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comments11.xml" ContentType="application/vnd.openxmlformats-officedocument.spreadsheetml.comments+xml"/>
  <Override PartName="/xl/threadedComments/threadedComment9.xml" ContentType="application/vnd.ms-excel.threadedcomments+xml"/>
  <Override PartName="/xl/comments12.xml" ContentType="application/vnd.openxmlformats-officedocument.spreadsheetml.comments+xml"/>
  <Override PartName="/xl/threadedComments/threadedComment10.xml" ContentType="application/vnd.ms-excel.threadedcomments+xml"/>
  <Override PartName="/xl/comments13.xml" ContentType="application/vnd.openxmlformats-officedocument.spreadsheetml.comments+xml"/>
  <Override PartName="/xl/threadedComments/threadedComment11.xml" ContentType="application/vnd.ms-excel.threadedcomments+xml"/>
  <Override PartName="/xl/comments14.xml" ContentType="application/vnd.openxmlformats-officedocument.spreadsheetml.comments+xml"/>
  <Override PartName="/xl/threadedComments/threadedComment12.xml" ContentType="application/vnd.ms-excel.threadedcomments+xml"/>
  <Override PartName="/xl/comments15.xml" ContentType="application/vnd.openxmlformats-officedocument.spreadsheetml.comments+xml"/>
  <Override PartName="/xl/threadedComments/threadedComment13.xml" ContentType="application/vnd.ms-excel.threadedcomments+xml"/>
  <Override PartName="/xl/comments16.xml" ContentType="application/vnd.openxmlformats-officedocument.spreadsheetml.comments+xml"/>
  <Override PartName="/xl/threadedComments/threadedComment14.xml" ContentType="application/vnd.ms-excel.threadedcomments+xml"/>
  <Override PartName="/xl/namedSheetViews/namedSheetView1.xml" ContentType="application/vnd.ms-excel.namedsheetviews+xml"/>
  <Override PartName="/xl/comments17.xml" ContentType="application/vnd.openxmlformats-officedocument.spreadsheetml.comments+xml"/>
  <Override PartName="/xl/threadedComments/threadedComment15.xml" ContentType="application/vnd.ms-excel.threadedcomments+xml"/>
  <Override PartName="/xl/comments18.xml" ContentType="application/vnd.openxmlformats-officedocument.spreadsheetml.comments+xml"/>
  <Override PartName="/xl/threadedComments/threadedComment16.xml" ContentType="application/vnd.ms-excel.threadedcomments+xml"/>
  <Override PartName="/xl/comments19.xml" ContentType="application/vnd.openxmlformats-officedocument.spreadsheetml.comments+xml"/>
  <Override PartName="/xl/comments20.xml" ContentType="application/vnd.openxmlformats-officedocument.spreadsheetml.comments+xml"/>
  <Override PartName="/xl/tables/table1.xml" ContentType="application/vnd.openxmlformats-officedocument.spreadsheetml.table+xml"/>
  <Override PartName="/xl/comments21.xml" ContentType="application/vnd.openxmlformats-officedocument.spreadsheetml.comments+xml"/>
  <Override PartName="/xl/threadedComments/threadedComment17.xml" ContentType="application/vnd.ms-excel.threadedcomments+xml"/>
  <Override PartName="/xl/comments22.xml" ContentType="application/vnd.openxmlformats-officedocument.spreadsheetml.comments+xml"/>
  <Override PartName="/xl/drawings/drawing5.xml" ContentType="application/vnd.openxmlformats-officedocument.drawing+xml"/>
  <Override PartName="/xl/comments23.xml" ContentType="application/vnd.openxmlformats-officedocument.spreadsheetml.comments+xml"/>
  <Override PartName="/xl/threadedComments/threadedComment18.xml" ContentType="application/vnd.ms-excel.threadedcomments+xml"/>
  <Override PartName="/xl/comments24.xml" ContentType="application/vnd.openxmlformats-officedocument.spreadsheetml.comments+xml"/>
  <Override PartName="/xl/threadedComments/threadedComment19.xml" ContentType="application/vnd.ms-excel.threadedcomments+xml"/>
  <Override PartName="/xl/comments25.xml" ContentType="application/vnd.openxmlformats-officedocument.spreadsheetml.comments+xml"/>
  <Override PartName="/xl/threadedComments/threadedComment20.xml" ContentType="application/vnd.ms-excel.threadedcomments+xml"/>
  <Override PartName="/xl/comments26.xml" ContentType="application/vnd.openxmlformats-officedocument.spreadsheetml.comments+xml"/>
  <Override PartName="/xl/threadedComments/threadedComment21.xml" ContentType="application/vnd.ms-excel.threadedcomments+xml"/>
  <Override PartName="/xl/drawings/drawing6.xml" ContentType="application/vnd.openxmlformats-officedocument.drawing+xml"/>
  <Override PartName="/xl/comments27.xml" ContentType="application/vnd.openxmlformats-officedocument.spreadsheetml.comments+xml"/>
  <Override PartName="/xl/threadedComments/threadedComment22.xml" ContentType="application/vnd.ms-excel.threadedcomments+xml"/>
  <Override PartName="/xl/drawings/drawing7.xml" ContentType="application/vnd.openxmlformats-officedocument.drawing+xml"/>
  <Override PartName="/xl/comments28.xml" ContentType="application/vnd.openxmlformats-officedocument.spreadsheetml.comments+xml"/>
  <Override PartName="/xl/threadedComments/threadedComment23.xml" ContentType="application/vnd.ms-excel.threadedcomments+xml"/>
  <Override PartName="/xl/comments29.xml" ContentType="application/vnd.openxmlformats-officedocument.spreadsheetml.comments+xml"/>
  <Override PartName="/xl/threadedComments/threadedComment24.xml" ContentType="application/vnd.ms-excel.threadedcomments+xml"/>
  <Override PartName="/xl/comments30.xml" ContentType="application/vnd.openxmlformats-officedocument.spreadsheetml.comments+xml"/>
  <Override PartName="/xl/threadedComments/threadedComment25.xml" ContentType="application/vnd.ms-excel.threadedcomments+xml"/>
  <Override PartName="/xl/comments31.xml" ContentType="application/vnd.openxmlformats-officedocument.spreadsheetml.comments+xml"/>
  <Override PartName="/xl/threadedComments/threadedComment26.xml" ContentType="application/vnd.ms-excel.threadedcomments+xml"/>
  <Override PartName="/xl/comments32.xml" ContentType="application/vnd.openxmlformats-officedocument.spreadsheetml.comments+xml"/>
  <Override PartName="/xl/threadedComments/threadedComment27.xml" ContentType="application/vnd.ms-excel.threadedcomments+xml"/>
  <Override PartName="/xl/comments33.xml" ContentType="application/vnd.openxmlformats-officedocument.spreadsheetml.comments+xml"/>
  <Override PartName="/xl/threadedComments/threadedComment28.xml" ContentType="application/vnd.ms-excel.threadedcomments+xml"/>
  <Override PartName="/xl/comments34.xml" ContentType="application/vnd.openxmlformats-officedocument.spreadsheetml.comments+xml"/>
  <Override PartName="/xl/threadedComments/threadedComment29.xml" ContentType="application/vnd.ms-excel.threadedcomments+xml"/>
  <Override PartName="/xl/comments35.xml" ContentType="application/vnd.openxmlformats-officedocument.spreadsheetml.comments+xml"/>
  <Override PartName="/xl/threadedComments/threadedComment30.xml" ContentType="application/vnd.ms-excel.threadedcomments+xml"/>
  <Override PartName="/xl/comments36.xml" ContentType="application/vnd.openxmlformats-officedocument.spreadsheetml.comments+xml"/>
  <Override PartName="/xl/threadedComments/threadedComment31.xml" ContentType="application/vnd.ms-excel.threadedcomments+xml"/>
  <Override PartName="/xl/comments37.xml" ContentType="application/vnd.openxmlformats-officedocument.spreadsheetml.comments+xml"/>
  <Override PartName="/xl/threadedComments/threadedComment32.xml" ContentType="application/vnd.ms-excel.threadedcomments+xml"/>
  <Override PartName="/xl/comments38.xml" ContentType="application/vnd.openxmlformats-officedocument.spreadsheetml.comments+xml"/>
  <Override PartName="/xl/threadedComments/threadedComment33.xml" ContentType="application/vnd.ms-excel.threadedcomments+xml"/>
  <Override PartName="/xl/comments39.xml" ContentType="application/vnd.openxmlformats-officedocument.spreadsheetml.comments+xml"/>
  <Override PartName="/xl/threadedComments/threadedComment34.xml" ContentType="application/vnd.ms-excel.threadedcomments+xml"/>
  <Override PartName="/xl/comments40.xml" ContentType="application/vnd.openxmlformats-officedocument.spreadsheetml.comments+xml"/>
  <Override PartName="/xl/threadedComments/threadedComment35.xml" ContentType="application/vnd.ms-excel.threadedcomments+xml"/>
  <Override PartName="/xl/drawings/drawing8.xml" ContentType="application/vnd.openxmlformats-officedocument.drawing+xml"/>
  <Override PartName="/xl/comments41.xml" ContentType="application/vnd.openxmlformats-officedocument.spreadsheetml.comments+xml"/>
  <Override PartName="/xl/threadedComments/threadedComment36.xml" ContentType="application/vnd.ms-excel.threadedcomments+xml"/>
  <Override PartName="/xl/comments42.xml" ContentType="application/vnd.openxmlformats-officedocument.spreadsheetml.comments+xml"/>
  <Override PartName="/xl/threadedComments/threadedComment37.xml" ContentType="application/vnd.ms-excel.threadedcomments+xml"/>
  <Override PartName="/xl/comments43.xml" ContentType="application/vnd.openxmlformats-officedocument.spreadsheetml.comments+xml"/>
  <Override PartName="/xl/threadedComments/threadedComment38.xml" ContentType="application/vnd.ms-excel.threadedcomments+xml"/>
  <Override PartName="/xl/drawings/drawing9.xml" ContentType="application/vnd.openxmlformats-officedocument.drawing+xml"/>
  <Override PartName="/xl/comments44.xml" ContentType="application/vnd.openxmlformats-officedocument.spreadsheetml.comments+xml"/>
  <Override PartName="/xl/threadedComments/threadedComment39.xml" ContentType="application/vnd.ms-excel.threadedcomments+xml"/>
  <Override PartName="/xl/drawings/drawing10.xml" ContentType="application/vnd.openxmlformats-officedocument.drawing+xml"/>
  <Override PartName="/xl/comments45.xml" ContentType="application/vnd.openxmlformats-officedocument.spreadsheetml.comments+xml"/>
  <Override PartName="/xl/threadedComments/threadedComment40.xml" ContentType="application/vnd.ms-excel.threadedcomments+xml"/>
  <Override PartName="/xl/comments46.xml" ContentType="application/vnd.openxmlformats-officedocument.spreadsheetml.comments+xml"/>
  <Override PartName="/xl/threadedComments/threadedComment41.xml" ContentType="application/vnd.ms-excel.threadedcomments+xml"/>
  <Override PartName="/xl/comments47.xml" ContentType="application/vnd.openxmlformats-officedocument.spreadsheetml.comments+xml"/>
  <Override PartName="/xl/threadedComments/threadedComment42.xml" ContentType="application/vnd.ms-excel.threadedcomments+xml"/>
  <Override PartName="/xl/comments48.xml" ContentType="application/vnd.openxmlformats-officedocument.spreadsheetml.comments+xml"/>
  <Override PartName="/xl/threadedComments/threadedComment43.xml" ContentType="application/vnd.ms-excel.threadedcomments+xml"/>
  <Override PartName="/xl/comments49.xml" ContentType="application/vnd.openxmlformats-officedocument.spreadsheetml.comments+xml"/>
  <Override PartName="/xl/threadedComments/threadedComment44.xml" ContentType="application/vnd.ms-excel.threadedcomments+xml"/>
  <Override PartName="/xl/comments50.xml" ContentType="application/vnd.openxmlformats-officedocument.spreadsheetml.comments+xml"/>
  <Override PartName="/xl/threadedComments/threadedComment45.xml" ContentType="application/vnd.ms-excel.threadedcomments+xml"/>
  <Override PartName="/xl/comments51.xml" ContentType="application/vnd.openxmlformats-officedocument.spreadsheetml.comments+xml"/>
  <Override PartName="/xl/threadedComments/threadedComment46.xml" ContentType="application/vnd.ms-excel.threadedcomments+xml"/>
  <Override PartName="/xl/comments52.xml" ContentType="application/vnd.openxmlformats-officedocument.spreadsheetml.comments+xml"/>
  <Override PartName="/xl/threadedComments/threadedComment47.xml" ContentType="application/vnd.ms-excel.threadedcomments+xml"/>
  <Override PartName="/xl/comments53.xml" ContentType="application/vnd.openxmlformats-officedocument.spreadsheetml.comments+xml"/>
  <Override PartName="/xl/threadedComments/threadedComment48.xml" ContentType="application/vnd.ms-excel.threadedcomments+xml"/>
  <Override PartName="/xl/comments54.xml" ContentType="application/vnd.openxmlformats-officedocument.spreadsheetml.comments+xml"/>
  <Override PartName="/xl/threadedComments/threadedComment49.xml" ContentType="application/vnd.ms-excel.threadedcomments+xml"/>
  <Override PartName="/xl/comments55.xml" ContentType="application/vnd.openxmlformats-officedocument.spreadsheetml.comments+xml"/>
  <Override PartName="/xl/threadedComments/threadedComment50.xml" ContentType="application/vnd.ms-excel.threadedcomments+xml"/>
  <Override PartName="/xl/drawings/drawing11.xml" ContentType="application/vnd.openxmlformats-officedocument.drawing+xml"/>
  <Override PartName="/xl/comments56.xml" ContentType="application/vnd.openxmlformats-officedocument.spreadsheetml.comments+xml"/>
  <Override PartName="/xl/threadedComments/threadedComment51.xml" ContentType="application/vnd.ms-excel.threadedcomments+xml"/>
  <Override PartName="/xl/comments57.xml" ContentType="application/vnd.openxmlformats-officedocument.spreadsheetml.comments+xml"/>
  <Override PartName="/xl/threadedComments/threadedComment52.xml" ContentType="application/vnd.ms-excel.threadedcomments+xml"/>
  <Override PartName="/xl/comments58.xml" ContentType="application/vnd.openxmlformats-officedocument.spreadsheetml.comments+xml"/>
  <Override PartName="/xl/threadedComments/threadedComment53.xml" ContentType="application/vnd.ms-excel.threadedcomments+xml"/>
  <Override PartName="/xl/comments59.xml" ContentType="application/vnd.openxmlformats-officedocument.spreadsheetml.comments+xml"/>
  <Override PartName="/xl/threadedComments/threadedComment54.xml" ContentType="application/vnd.ms-excel.threadedcomments+xml"/>
  <Override PartName="/xl/comments60.xml" ContentType="application/vnd.openxmlformats-officedocument.spreadsheetml.comments+xml"/>
  <Override PartName="/xl/threadedComments/threadedComment55.xml" ContentType="application/vnd.ms-excel.threadedcomments+xml"/>
  <Override PartName="/xl/comments61.xml" ContentType="application/vnd.openxmlformats-officedocument.spreadsheetml.comments+xml"/>
  <Override PartName="/xl/threadedComments/threadedComment56.xml" ContentType="application/vnd.ms-excel.threadedcomments+xml"/>
  <Override PartName="/xl/comments62.xml" ContentType="application/vnd.openxmlformats-officedocument.spreadsheetml.comments+xml"/>
  <Override PartName="/xl/threadedComments/threadedComment57.xml" ContentType="application/vnd.ms-excel.threadedcomments+xml"/>
  <Override PartName="/xl/comments63.xml" ContentType="application/vnd.openxmlformats-officedocument.spreadsheetml.comments+xml"/>
  <Override PartName="/xl/threadedComments/threadedComment58.xml" ContentType="application/vnd.ms-excel.threadedcomments+xml"/>
  <Override PartName="/xl/comments64.xml" ContentType="application/vnd.openxmlformats-officedocument.spreadsheetml.comments+xml"/>
  <Override PartName="/xl/threadedComments/threadedComment59.xml" ContentType="application/vnd.ms-excel.threadedcomments+xml"/>
  <Override PartName="/xl/comments65.xml" ContentType="application/vnd.openxmlformats-officedocument.spreadsheetml.comments+xml"/>
  <Override PartName="/xl/threadedComments/threadedComment60.xml" ContentType="application/vnd.ms-excel.threadedcomments+xml"/>
  <Override PartName="/xl/comments66.xml" ContentType="application/vnd.openxmlformats-officedocument.spreadsheetml.comments+xml"/>
  <Override PartName="/xl/threadedComments/threadedComment61.xml" ContentType="application/vnd.ms-excel.threadedcomments+xml"/>
  <Override PartName="/xl/comments67.xml" ContentType="application/vnd.openxmlformats-officedocument.spreadsheetml.comments+xml"/>
  <Override PartName="/xl/threadedComments/threadedComment62.xml" ContentType="application/vnd.ms-excel.threadedcomments+xml"/>
  <Override PartName="/xl/comments68.xml" ContentType="application/vnd.openxmlformats-officedocument.spreadsheetml.comments+xml"/>
  <Override PartName="/xl/threadedComments/threadedComment63.xml" ContentType="application/vnd.ms-excel.threadedcomments+xml"/>
  <Override PartName="/xl/comments69.xml" ContentType="application/vnd.openxmlformats-officedocument.spreadsheetml.comments+xml"/>
  <Override PartName="/xl/threadedComments/threadedComment64.xml" ContentType="application/vnd.ms-excel.threadedcomments+xml"/>
  <Override PartName="/xl/comments70.xml" ContentType="application/vnd.openxmlformats-officedocument.spreadsheetml.comments+xml"/>
  <Override PartName="/xl/threadedComments/threadedComment65.xml" ContentType="application/vnd.ms-excel.threadedcomments+xml"/>
  <Override PartName="/xl/comments71.xml" ContentType="application/vnd.openxmlformats-officedocument.spreadsheetml.comments+xml"/>
  <Override PartName="/xl/threadedComments/threadedComment66.xml" ContentType="application/vnd.ms-excel.threadedcomments+xml"/>
  <Override PartName="/xl/comments72.xml" ContentType="application/vnd.openxmlformats-officedocument.spreadsheetml.comments+xml"/>
  <Override PartName="/xl/threadedComments/threadedComment67.xml" ContentType="application/vnd.ms-excel.threadedcomments+xml"/>
  <Override PartName="/xl/comments73.xml" ContentType="application/vnd.openxmlformats-officedocument.spreadsheetml.comments+xml"/>
  <Override PartName="/xl/threadedComments/threadedComment68.xml" ContentType="application/vnd.ms-excel.threadedcomments+xml"/>
  <Override PartName="/xl/comments74.xml" ContentType="application/vnd.openxmlformats-officedocument.spreadsheetml.comments+xml"/>
  <Override PartName="/xl/threadedComments/threadedComment69.xml" ContentType="application/vnd.ms-excel.threadedcomments+xml"/>
  <Override PartName="/xl/namedSheetViews/namedSheetView2.xml" ContentType="application/vnd.ms-excel.namedsheetviews+xml"/>
  <Override PartName="/xl/comments75.xml" ContentType="application/vnd.openxmlformats-officedocument.spreadsheetml.comments+xml"/>
  <Override PartName="/xl/threadedComments/threadedComment70.xml" ContentType="application/vnd.ms-excel.threadedcomments+xml"/>
  <Override PartName="/xl/namedSheetViews/namedSheetView3.xml" ContentType="application/vnd.ms-excel.namedsheetviews+xml"/>
  <Override PartName="/xl/drawings/drawing12.xml" ContentType="application/vnd.openxmlformats-officedocument.drawing+xml"/>
  <Override PartName="/xl/comments7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松本英朗\Desktop\財政見通し資料\新予算要求202510\"/>
    </mc:Choice>
  </mc:AlternateContent>
  <xr:revisionPtr revIDLastSave="0" documentId="8_{BF33558F-F672-4EEA-B085-51E15BEB2CD1}" xr6:coauthVersionLast="47" xr6:coauthVersionMax="47" xr10:uidLastSave="{00000000-0000-0000-0000-000000000000}"/>
  <bookViews>
    <workbookView xWindow="-110" yWindow="-110" windowWidth="19420" windowHeight="10300" firstSheet="18" activeTab="18" xr2:uid="{B59797C4-C4E7-4CC2-865E-42234C49A095}"/>
  </bookViews>
  <sheets>
    <sheet name="Sheet1" sheetId="453" state="hidden" r:id="rId1"/>
    <sheet name="予算管理比較積算 (VIL移管前)" sheetId="451" state="hidden" r:id="rId2"/>
    <sheet name="内示額反映積算（VIL移管反映）" sheetId="474" r:id="rId3"/>
    <sheet name="新予算管理比較積算（VIL移管反映）" sheetId="472" r:id="rId4"/>
    <sheet name="予算管理比較積算（VIL移管反映）" sheetId="351" state="hidden" r:id="rId5"/>
    <sheet name="食事単価の考え方" sheetId="352" state="hidden" r:id="rId6"/>
    <sheet name="債務負担行為積算  (全部盛り) " sheetId="301" state="hidden" r:id="rId7"/>
    <sheet name="財政見通し積算" sheetId="294" state="hidden" r:id="rId8"/>
    <sheet name="債務負担行為積算  (数式)" sheetId="293" state="hidden" r:id="rId9"/>
    <sheet name="消費者物価平均指数　IMF" sheetId="253" state="hidden" r:id="rId10"/>
    <sheet name="物価（案1）" sheetId="263" state="hidden" r:id="rId11"/>
    <sheet name="物価（案2）" sheetId="264" state="hidden" r:id="rId12"/>
    <sheet name="案3元データ" sheetId="265" state="hidden" r:id="rId13"/>
    <sheet name="アジア選手（v4）" sheetId="258" state="hidden" r:id="rId14"/>
    <sheet name="アジア選手（0913試行更新版）" sheetId="296" state="hidden" r:id="rId15"/>
    <sheet name="【20240925】アジア競技大会配宿シュミレーション" sheetId="326" state="hidden" r:id="rId16"/>
    <sheet name="アジアファミスポ(更新)" sheetId="272" state="hidden" r:id="rId17"/>
    <sheet name="財政見通し積算 (全SH全項目統合版）" sheetId="350" r:id="rId18"/>
    <sheet name="【251001】アジア選手積算" sheetId="353" r:id="rId19"/>
    <sheet name="【251001】パラ選手積算" sheetId="354" r:id="rId20"/>
    <sheet name="財政見通し積算 (技術役員、スポンサー、メディア）" sheetId="300" state="hidden" r:id="rId21"/>
    <sheet name="【250925】アジパラファミリー積算" sheetId="355" r:id="rId22"/>
    <sheet name="Results【技術役員スポンサーメディア積算】" sheetId="257" r:id="rId23"/>
    <sheet name="【251001】アジア技術役員シミュ" sheetId="330" r:id="rId24"/>
    <sheet name="【251001】アジアスポンサーシミュ" sheetId="329" r:id="rId25"/>
    <sheet name="【251001】アジアメディアシミュ" sheetId="332" r:id="rId26"/>
    <sheet name="アジア技術役員　更新版" sheetId="302" state="hidden" r:id="rId27"/>
    <sheet name="アジア技術役員(DCO以外 0913)" sheetId="280" state="hidden" r:id="rId28"/>
    <sheet name="アジア技術役員 (DCO更新) " sheetId="281" state="hidden" r:id="rId29"/>
    <sheet name="【アジア】飲食提供経費シュミレーション" sheetId="252" state="hidden" r:id="rId30"/>
    <sheet name="注意点" sheetId="249" state="hidden" r:id="rId31"/>
    <sheet name="アジアメディア（更新 没）" sheetId="262" state="hidden" r:id="rId32"/>
    <sheet name="アジアメディア(新更新版）" sheetId="319" state="hidden" r:id="rId33"/>
    <sheet name="パラ選手・チーム役員 (0531)" sheetId="268" state="hidden" r:id="rId34"/>
    <sheet name="パラメディア" sheetId="274" state="hidden" r:id="rId35"/>
    <sheet name="シン・パラ技術役員" sheetId="277" state="hidden" r:id="rId36"/>
    <sheet name="シン・パラ技術役員 (DCO)" sheetId="278" state="hidden" r:id="rId37"/>
    <sheet name="まとめ（考え方）" sheetId="250" state="hidden" r:id="rId38"/>
    <sheet name="契約期間上 宿泊期間  (2024財政見通し用）" sheetId="282" state="hidden" r:id="rId39"/>
    <sheet name="契約期間上　カレンダー確保泊数 (2024財政見通し用）" sheetId="283" state="hidden" r:id="rId40"/>
    <sheet name="【251001】パラ技術役員シミュ" sheetId="335" r:id="rId41"/>
    <sheet name="【250610】パラスポンサーシミュ" sheetId="334" r:id="rId42"/>
    <sheet name="パラファミスポ(0530)" sheetId="273" state="hidden" r:id="rId43"/>
    <sheet name="【251001】パラメディアシミュ" sheetId="333" r:id="rId44"/>
    <sheet name="0012_ルートイン小牧　別紙1-1" sheetId="356" r:id="rId45"/>
    <sheet name="0012_ルートイン小牧　別紙1-2" sheetId="357" r:id="rId46"/>
    <sheet name="0024_ホテルメルパルク名古屋　別紙1-1" sheetId="358" r:id="rId47"/>
    <sheet name="0024_ホテルメルパルク名古屋　別紙1-2" sheetId="359" r:id="rId48"/>
    <sheet name="0024_ホテルメルパルク名古屋　別紙1-3" sheetId="360" r:id="rId49"/>
    <sheet name="0040_名古屋マリオット　別紙1-1" sheetId="361" r:id="rId50"/>
    <sheet name="0040_名古屋マリオット　別紙1-2" sheetId="362" r:id="rId51"/>
    <sheet name="0064_名古屋プリンス　別紙1-1" sheetId="363" r:id="rId52"/>
    <sheet name="0064_名古屋プリンス　別紙1-2" sheetId="364" r:id="rId53"/>
    <sheet name="0094_ヒルトン名古屋　別紙1-1" sheetId="365" r:id="rId54"/>
    <sheet name="0094_ヒルトン名古屋　別紙1-2" sheetId="366" r:id="rId55"/>
    <sheet name="0094_ヒルトン名古屋　別紙1-3" sheetId="367" r:id="rId56"/>
    <sheet name="0105_ANAクラウン　別紙1-1" sheetId="368" r:id="rId57"/>
    <sheet name="0105_ANAクラウン　別紙1-2" sheetId="369" r:id="rId58"/>
    <sheet name="0105_ANAクラウン　別紙1-3" sheetId="370" r:id="rId59"/>
    <sheet name="0111　アパEXCELLENT_別紙1-1" sheetId="371" r:id="rId60"/>
    <sheet name="0111_アパEXCELLENT 別紙1-2" sheetId="372" r:id="rId61"/>
    <sheet name="0121_名古屋東急　別紙1-1" sheetId="373" r:id="rId62"/>
    <sheet name="0121_名古屋東急　別紙1-2" sheetId="374" r:id="rId63"/>
    <sheet name="0159_JALシティ錦　別紙1-1" sheetId="375" r:id="rId64"/>
    <sheet name="0167_グリーンリッチ　別紙1-1" sheetId="457" r:id="rId65"/>
    <sheet name="0201_つどいの丘　別紙1-1" sheetId="458" r:id="rId66"/>
    <sheet name="0201_つどいの丘　別紙1-2" sheetId="378" r:id="rId67"/>
    <sheet name="0206_トヨタキャッスル　別紙1-1" sheetId="379" r:id="rId68"/>
    <sheet name="0206_トヨタキャッスル　別紙1-2" sheetId="380" r:id="rId69"/>
    <sheet name="0210_名鉄トヨタ　別紙1-1" sheetId="381" r:id="rId70"/>
    <sheet name="0210_名鉄トヨタ　別紙1-2" sheetId="382" r:id="rId71"/>
    <sheet name="0219_東横三河Ⅱ　別紙1-1" sheetId="383" r:id="rId72"/>
    <sheet name="0200_東横三河Ⅰ　別紙1-1" sheetId="384" r:id="rId73"/>
    <sheet name="0221_グランドティアラ　別紙1-1" sheetId="385" r:id="rId74"/>
    <sheet name="0221_グランドティアラ　別紙1-2" sheetId="386" r:id="rId75"/>
    <sheet name="0221_グランドティアラ　別紙1-3" sheetId="387" r:id="rId76"/>
    <sheet name="0223_ドーミー三河安城　別紙1-1" sheetId="388" r:id="rId77"/>
    <sheet name="0245_変なホテル　別紙1-1" sheetId="389" r:id="rId78"/>
    <sheet name="0245_変なホテル　別紙1-2" sheetId="390" r:id="rId79"/>
    <sheet name="0249_明山荘　別紙1-1" sheetId="391" r:id="rId80"/>
    <sheet name="0249_明山荘　別紙1-2" sheetId="392" r:id="rId81"/>
    <sheet name="0252_ホテル平野屋　別紙1-1" sheetId="393" r:id="rId82"/>
    <sheet name="0252_ホテル平野屋　別紙1-2" sheetId="394" r:id="rId83"/>
    <sheet name="0253_蒲郡ホテル　別紙1-1" sheetId="395" r:id="rId84"/>
    <sheet name="0253_蒲郡ホテル　別紙1-2" sheetId="396" r:id="rId85"/>
    <sheet name="0261_ホテル竹島　別紙1-1" sheetId="397" r:id="rId86"/>
    <sheet name="0261_ホテル竹島　別紙1-2" sheetId="398" r:id="rId87"/>
    <sheet name="0281_ロワジール豊橋　別紙1-1" sheetId="399" r:id="rId88"/>
    <sheet name="0281_ロワジール豊橋　別紙1-2" sheetId="400" r:id="rId89"/>
    <sheet name="0298_フォーポイント中部　別紙1-1" sheetId="401" r:id="rId90"/>
    <sheet name="0298_フォーポイント中部　別紙1-3" sheetId="452" r:id="rId91"/>
    <sheet name="0299_東横中部国際Ⅱ　別紙1-1" sheetId="402" r:id="rId92"/>
    <sheet name="0299_東横中部国際Ⅱ　別紙1-3" sheetId="403" r:id="rId93"/>
    <sheet name="0300_東横中部国際Ⅰ　別紙1-1" sheetId="404" r:id="rId94"/>
    <sheet name="0300_東横中部国際Ⅰ　別紙1-2" sheetId="405" r:id="rId95"/>
    <sheet name="0301_Jホテルりんくう　別紙1-1" sheetId="406" r:id="rId96"/>
    <sheet name="0301_Jホテルりんくう　別紙1-2" sheetId="407" r:id="rId97"/>
    <sheet name="0302_セントレアホテル　別紙1-1" sheetId="408" r:id="rId98"/>
    <sheet name="1003_ルートイン新城　別紙1-1" sheetId="409" r:id="rId99"/>
    <sheet name="1003_ルートイン新城　別紙1-2" sheetId="410" r:id="rId100"/>
    <sheet name="1007_ミュースタイル　別紙1-1" sheetId="411" r:id="rId101"/>
    <sheet name="1007_ミュースタイル　別紙1-2" sheetId="412" r:id="rId102"/>
    <sheet name="1015_三河海陽閣　別紙1-1" sheetId="413" r:id="rId103"/>
    <sheet name="1015_三河海陽閣　別紙1-2" sheetId="414" r:id="rId104"/>
    <sheet name="1021_コートヤード　別紙1-1" sheetId="415" r:id="rId105"/>
    <sheet name="1021_コートヤード　別紙1-2" sheetId="416" r:id="rId106"/>
    <sheet name="1021_コートヤード　別紙1-3" sheetId="417" r:id="rId107"/>
    <sheet name="1027_TIAD 別紙1-1" sheetId="418" r:id="rId108"/>
    <sheet name="1027_TIAD 別紙1-2" sheetId="419" r:id="rId109"/>
    <sheet name="1029_伊良湖オーシャン　別紙1-1" sheetId="420" r:id="rId110"/>
    <sheet name="1029_伊良湖オーシャン　別紙1-2" sheetId="421" r:id="rId111"/>
    <sheet name="2007_シェラトン都ホテル大阪 (2)" sheetId="422" r:id="rId112"/>
    <sheet name="2007_シェラトン都ホテル　別紙1-3" sheetId="423" r:id="rId113"/>
    <sheet name="2008_アゴーラ堺　別紙1-1" sheetId="424" r:id="rId114"/>
    <sheet name="2008_アゴーラ堺　別紙1-2" sheetId="425" r:id="rId115"/>
    <sheet name="2016_つま恋リゾート　別紙1-1" sheetId="426" r:id="rId116"/>
    <sheet name="2016_つま恋リゾート　別紙1-2" sheetId="427" r:id="rId117"/>
    <sheet name="2018_掛川グランド　別紙1-1" sheetId="428" r:id="rId118"/>
    <sheet name="2018_掛川グランド　別紙1-2" sheetId="429" r:id="rId119"/>
    <sheet name="2019_メルキュール浜名湖　別紙1-1" sheetId="455" r:id="rId120"/>
    <sheet name="2019_メルキュール浜名湖　別紙1-2" sheetId="456" r:id="rId121"/>
    <sheet name="2022_ラフォーレ修善寺 別紙1-1" sheetId="430" r:id="rId122"/>
    <sheet name="2022_ラフォーレ修善寺 別紙1-2" sheetId="431" r:id="rId123"/>
    <sheet name="2022_ラフォーレ修善寺 別紙1-3" sheetId="450" r:id="rId124"/>
    <sheet name="2026_岐阜グランド　別紙1-1" sheetId="432" r:id="rId125"/>
    <sheet name="2026_岐阜グランド　別紙1-2" sheetId="433" r:id="rId126"/>
    <sheet name="2027_岐阜都　別紙1-1" sheetId="434" r:id="rId127"/>
    <sheet name="2027_岐阜都　別紙1-2" sheetId="435" r:id="rId128"/>
    <sheet name="2032_大垣フォーラム　別紙1-1" sheetId="436" r:id="rId129"/>
    <sheet name="2032_大垣フォーラム　別紙1-2" sheetId="437" r:id="rId130"/>
    <sheet name="2041_コンコルド浜松　別紙1-1" sheetId="438" r:id="rId131"/>
    <sheet name="2041_コンコルド浜松　別紙1-2" sheetId="439" r:id="rId132"/>
    <sheet name="2045_クインテッサ大垣　別紙1-1" sheetId="440" r:id="rId133"/>
    <sheet name="2045_クインテッサ大垣　別紙1-2" sheetId="441" r:id="rId134"/>
    <sheet name="2049_青年館ホテル　別紙1-1" sheetId="442" r:id="rId135"/>
    <sheet name="2049_青年館ホテル　別紙1-2" sheetId="443" r:id="rId136"/>
    <sheet name="2051_ベイ潮見プリンス　別紙1-1" sheetId="444" r:id="rId137"/>
    <sheet name="2051_ベイ潮見プリンス　別紙1-2" sheetId="445" r:id="rId138"/>
    <sheet name="3001_グランドニッコー台場　別紙1-1" sheetId="446" r:id="rId139"/>
    <sheet name="3001_グランドニッコー台場　別紙1-3" sheetId="447" r:id="rId140"/>
    <sheet name="アジアResults1031" sheetId="448" state="hidden" r:id="rId141"/>
    <sheet name="パラResults1031" sheetId="449" state="hidden" r:id="rId142"/>
    <sheet name="食事単価の考え方(1021更新)" sheetId="454" r:id="rId143"/>
    <sheet name="物価（案3）" sheetId="295" r:id="rId144"/>
    <sheet name="オリジナル" sheetId="21" state="hidden" r:id="rId145"/>
    <sheet name="マスター1_項目コード" sheetId="275" state="hidden" r:id="rId146"/>
    <sheet name="マスター2_施設情報" sheetId="276" state="hidden" r:id="rId147"/>
    <sheet name="ボツ債務負担行為積算 " sheetId="292" state="hidden" r:id="rId148"/>
  </sheets>
  <externalReferences>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s>
  <definedNames>
    <definedName name="_" localSheetId="15" hidden="1">#REF!</definedName>
    <definedName name="_" localSheetId="14" hidden="1">#REF!</definedName>
    <definedName name="_" localSheetId="147" hidden="1">#REF!</definedName>
    <definedName name="_" localSheetId="39" hidden="1">#REF!</definedName>
    <definedName name="_" localSheetId="8" hidden="1">'債務負担行為積算  (数式)'!#REF!</definedName>
    <definedName name="_" localSheetId="6" hidden="1">'債務負担行為積算  (全部盛り) '!#REF!</definedName>
    <definedName name="_" hidden="1">#REF!</definedName>
    <definedName name="__123Graph_Aアースロス" localSheetId="15" hidden="1">#REF!</definedName>
    <definedName name="__123Graph_Aアースロス" localSheetId="14" hidden="1">#REF!</definedName>
    <definedName name="__123Graph_Aアースロス" localSheetId="147" hidden="1">#REF!</definedName>
    <definedName name="__123Graph_Aアースロス" localSheetId="39" hidden="1">#REF!</definedName>
    <definedName name="__123Graph_Aアースロス" localSheetId="8" hidden="1">'債務負担行為積算  (数式)'!#REF!</definedName>
    <definedName name="__123Graph_Aアースロス" localSheetId="6" hidden="1">'債務負担行為積算  (全部盛り) '!#REF!</definedName>
    <definedName name="__123Graph_Aアースロス" hidden="1">#REF!</definedName>
    <definedName name="__123Graph_Aアース拡底" localSheetId="15" hidden="1">#REF!</definedName>
    <definedName name="__123Graph_Aアース拡底" localSheetId="14" hidden="1">#REF!</definedName>
    <definedName name="__123Graph_Aアース拡底" localSheetId="147" hidden="1">#REF!</definedName>
    <definedName name="__123Graph_Aアース拡底" localSheetId="8" hidden="1">'債務負担行為積算  (数式)'!#REF!</definedName>
    <definedName name="__123Graph_Aアース拡底" localSheetId="6" hidden="1">'債務負担行為積算  (全部盛り) '!#REF!</definedName>
    <definedName name="__123Graph_Aアース拡底" hidden="1">#REF!</definedName>
    <definedName name="__123Graph_Aアース単杭" localSheetId="15" hidden="1">#REF!</definedName>
    <definedName name="__123Graph_Aアース単杭" localSheetId="14" hidden="1">#REF!</definedName>
    <definedName name="__123Graph_Aアース単杭" localSheetId="147" hidden="1">#REF!</definedName>
    <definedName name="__123Graph_Aアース単杭" localSheetId="8" hidden="1">'債務負担行為積算  (数式)'!#REF!</definedName>
    <definedName name="__123Graph_Aアース単杭" localSheetId="6" hidden="1">'債務負担行為積算  (全部盛り) '!#REF!</definedName>
    <definedName name="__123Graph_Aアース単杭" hidden="1">#REF!</definedName>
    <definedName name="__123Graph_Aリバース" localSheetId="15" hidden="1">#REF!</definedName>
    <definedName name="__123Graph_Aリバース" localSheetId="14" hidden="1">#REF!</definedName>
    <definedName name="__123Graph_Aリバース" localSheetId="147" hidden="1">#REF!</definedName>
    <definedName name="__123Graph_Aリバース" localSheetId="8" hidden="1">'債務負担行為積算  (数式)'!#REF!</definedName>
    <definedName name="__123Graph_Aリバース" localSheetId="6" hidden="1">'債務負担行為積算  (全部盛り) '!#REF!</definedName>
    <definedName name="__123Graph_Aリバース" hidden="1">#REF!</definedName>
    <definedName name="__123Graph_Aリバス拡底" localSheetId="15" hidden="1">#REF!</definedName>
    <definedName name="__123Graph_Aリバス拡底" localSheetId="14" hidden="1">#REF!</definedName>
    <definedName name="__123Graph_Aリバス拡底" localSheetId="147" hidden="1">#REF!</definedName>
    <definedName name="__123Graph_Aリバス拡底" localSheetId="8" hidden="1">'債務負担行為積算  (数式)'!#REF!</definedName>
    <definedName name="__123Graph_Aリバス拡底" localSheetId="6" hidden="1">'債務負担行為積算  (全部盛り) '!#REF!</definedName>
    <definedName name="__123Graph_Aリバス拡底" hidden="1">#REF!</definedName>
    <definedName name="__123Graph_Aリバス単杭" localSheetId="15" hidden="1">#REF!</definedName>
    <definedName name="__123Graph_Aリバス単杭" localSheetId="14" hidden="1">#REF!</definedName>
    <definedName name="__123Graph_Aリバス単杭" localSheetId="147" hidden="1">#REF!</definedName>
    <definedName name="__123Graph_Aリバス単杭" localSheetId="8" hidden="1">'債務負担行為積算  (数式)'!#REF!</definedName>
    <definedName name="__123Graph_Aリバス単杭" localSheetId="6" hidden="1">'債務負担行為積算  (全部盛り) '!#REF!</definedName>
    <definedName name="__123Graph_Aリバス単杭" hidden="1">#REF!</definedName>
    <definedName name="__123Graph_Bアースロス" localSheetId="15" hidden="1">#REF!</definedName>
    <definedName name="__123Graph_Bアースロス" localSheetId="14" hidden="1">#REF!</definedName>
    <definedName name="__123Graph_Bアースロス" localSheetId="147" hidden="1">#REF!</definedName>
    <definedName name="__123Graph_Bアースロス" localSheetId="8" hidden="1">'債務負担行為積算  (数式)'!#REF!</definedName>
    <definedName name="__123Graph_Bアースロス" localSheetId="6" hidden="1">'債務負担行為積算  (全部盛り) '!#REF!</definedName>
    <definedName name="__123Graph_Bアースロス" hidden="1">#REF!</definedName>
    <definedName name="__123Graph_Bアース拡底" localSheetId="15" hidden="1">#REF!</definedName>
    <definedName name="__123Graph_Bアース拡底" localSheetId="14" hidden="1">#REF!</definedName>
    <definedName name="__123Graph_Bアース拡底" localSheetId="147" hidden="1">#REF!</definedName>
    <definedName name="__123Graph_Bアース拡底" localSheetId="8" hidden="1">'債務負担行為積算  (数式)'!#REF!</definedName>
    <definedName name="__123Graph_Bアース拡底" localSheetId="6" hidden="1">'債務負担行為積算  (全部盛り) '!#REF!</definedName>
    <definedName name="__123Graph_Bアース拡底" hidden="1">#REF!</definedName>
    <definedName name="__123Graph_Bアース単杭" localSheetId="15" hidden="1">#REF!</definedName>
    <definedName name="__123Graph_Bアース単杭" localSheetId="14" hidden="1">#REF!</definedName>
    <definedName name="__123Graph_Bアース単杭" localSheetId="147" hidden="1">#REF!</definedName>
    <definedName name="__123Graph_Bアース単杭" localSheetId="8" hidden="1">'債務負担行為積算  (数式)'!#REF!</definedName>
    <definedName name="__123Graph_Bアース単杭" localSheetId="6" hidden="1">'債務負担行為積算  (全部盛り) '!#REF!</definedName>
    <definedName name="__123Graph_Bアース単杭" hidden="1">#REF!</definedName>
    <definedName name="__123Graph_Bリバース" localSheetId="15" hidden="1">#REF!</definedName>
    <definedName name="__123Graph_Bリバース" localSheetId="14" hidden="1">#REF!</definedName>
    <definedName name="__123Graph_Bリバース" localSheetId="147" hidden="1">#REF!</definedName>
    <definedName name="__123Graph_Bリバース" localSheetId="8" hidden="1">'債務負担行為積算  (数式)'!#REF!</definedName>
    <definedName name="__123Graph_Bリバース" localSheetId="6" hidden="1">'債務負担行為積算  (全部盛り) '!#REF!</definedName>
    <definedName name="__123Graph_Bリバース" hidden="1">#REF!</definedName>
    <definedName name="__123Graph_Bリバス拡底" localSheetId="15" hidden="1">#REF!</definedName>
    <definedName name="__123Graph_Bリバス拡底" localSheetId="14" hidden="1">#REF!</definedName>
    <definedName name="__123Graph_Bリバス拡底" localSheetId="147" hidden="1">#REF!</definedName>
    <definedName name="__123Graph_Bリバス拡底" localSheetId="8" hidden="1">'債務負担行為積算  (数式)'!#REF!</definedName>
    <definedName name="__123Graph_Bリバス拡底" localSheetId="6" hidden="1">'債務負担行為積算  (全部盛り) '!#REF!</definedName>
    <definedName name="__123Graph_Bリバス拡底" hidden="1">#REF!</definedName>
    <definedName name="__123Graph_Bリバス単杭" localSheetId="15" hidden="1">#REF!</definedName>
    <definedName name="__123Graph_Bリバス単杭" localSheetId="14" hidden="1">#REF!</definedName>
    <definedName name="__123Graph_Bリバス単杭" localSheetId="147" hidden="1">#REF!</definedName>
    <definedName name="__123Graph_Bリバス単杭" localSheetId="8" hidden="1">'債務負担行為積算  (数式)'!#REF!</definedName>
    <definedName name="__123Graph_Bリバス単杭" localSheetId="6" hidden="1">'債務負担行為積算  (全部盛り) '!#REF!</definedName>
    <definedName name="__123Graph_Bリバス単杭" hidden="1">#REF!</definedName>
    <definedName name="__123Graph_Cアースロス" localSheetId="15" hidden="1">#REF!</definedName>
    <definedName name="__123Graph_Cアースロス" localSheetId="14" hidden="1">#REF!</definedName>
    <definedName name="__123Graph_Cアースロス" localSheetId="147" hidden="1">#REF!</definedName>
    <definedName name="__123Graph_Cアースロス" localSheetId="8" hidden="1">'債務負担行為積算  (数式)'!#REF!</definedName>
    <definedName name="__123Graph_Cアースロス" localSheetId="6" hidden="1">'債務負担行為積算  (全部盛り) '!#REF!</definedName>
    <definedName name="__123Graph_Cアースロス" hidden="1">#REF!</definedName>
    <definedName name="__123Graph_Cアース拡底" localSheetId="15" hidden="1">#REF!</definedName>
    <definedName name="__123Graph_Cアース拡底" localSheetId="14" hidden="1">#REF!</definedName>
    <definedName name="__123Graph_Cアース拡底" localSheetId="147" hidden="1">#REF!</definedName>
    <definedName name="__123Graph_Cアース拡底" localSheetId="8" hidden="1">'債務負担行為積算  (数式)'!#REF!</definedName>
    <definedName name="__123Graph_Cアース拡底" localSheetId="6" hidden="1">'債務負担行為積算  (全部盛り) '!#REF!</definedName>
    <definedName name="__123Graph_Cアース拡底" hidden="1">#REF!</definedName>
    <definedName name="__123Graph_Cアース単杭" localSheetId="15" hidden="1">#REF!</definedName>
    <definedName name="__123Graph_Cアース単杭" localSheetId="14" hidden="1">#REF!</definedName>
    <definedName name="__123Graph_Cアース単杭" localSheetId="147" hidden="1">#REF!</definedName>
    <definedName name="__123Graph_Cアース単杭" localSheetId="8" hidden="1">'債務負担行為積算  (数式)'!#REF!</definedName>
    <definedName name="__123Graph_Cアース単杭" localSheetId="6" hidden="1">'債務負担行為積算  (全部盛り) '!#REF!</definedName>
    <definedName name="__123Graph_Cアース単杭" hidden="1">#REF!</definedName>
    <definedName name="__123Graph_Cリバース" localSheetId="15" hidden="1">#REF!</definedName>
    <definedName name="__123Graph_Cリバース" localSheetId="14" hidden="1">#REF!</definedName>
    <definedName name="__123Graph_Cリバース" localSheetId="147" hidden="1">#REF!</definedName>
    <definedName name="__123Graph_Cリバース" localSheetId="8" hidden="1">'債務負担行為積算  (数式)'!#REF!</definedName>
    <definedName name="__123Graph_Cリバース" localSheetId="6" hidden="1">'債務負担行為積算  (全部盛り) '!#REF!</definedName>
    <definedName name="__123Graph_Cリバース" hidden="1">#REF!</definedName>
    <definedName name="__123Graph_Cリバス拡底" localSheetId="15" hidden="1">#REF!</definedName>
    <definedName name="__123Graph_Cリバス拡底" localSheetId="14" hidden="1">#REF!</definedName>
    <definedName name="__123Graph_Cリバス拡底" localSheetId="147" hidden="1">#REF!</definedName>
    <definedName name="__123Graph_Cリバス拡底" localSheetId="8" hidden="1">'債務負担行為積算  (数式)'!#REF!</definedName>
    <definedName name="__123Graph_Cリバス拡底" localSheetId="6" hidden="1">'債務負担行為積算  (全部盛り) '!#REF!</definedName>
    <definedName name="__123Graph_Cリバス拡底" hidden="1">#REF!</definedName>
    <definedName name="__123Graph_Cリバス単杭" localSheetId="15" hidden="1">#REF!</definedName>
    <definedName name="__123Graph_Cリバス単杭" localSheetId="14" hidden="1">#REF!</definedName>
    <definedName name="__123Graph_Cリバス単杭" localSheetId="147" hidden="1">#REF!</definedName>
    <definedName name="__123Graph_Cリバス単杭" localSheetId="8" hidden="1">'債務負担行為積算  (数式)'!#REF!</definedName>
    <definedName name="__123Graph_Cリバス単杭" localSheetId="6" hidden="1">'債務負担行為積算  (全部盛り) '!#REF!</definedName>
    <definedName name="__123Graph_Cリバス単杭" hidden="1">#REF!</definedName>
    <definedName name="__123Graph_Xアースロス" localSheetId="15" hidden="1">#REF!</definedName>
    <definedName name="__123Graph_Xアースロス" localSheetId="14" hidden="1">#REF!</definedName>
    <definedName name="__123Graph_Xアースロス" localSheetId="147" hidden="1">#REF!</definedName>
    <definedName name="__123Graph_Xアースロス" localSheetId="8" hidden="1">'債務負担行為積算  (数式)'!#REF!</definedName>
    <definedName name="__123Graph_Xアースロス" localSheetId="6" hidden="1">'債務負担行為積算  (全部盛り) '!#REF!</definedName>
    <definedName name="__123Graph_Xアースロス" hidden="1">#REF!</definedName>
    <definedName name="__123Graph_Xアース拡底" localSheetId="15" hidden="1">#REF!</definedName>
    <definedName name="__123Graph_Xアース拡底" localSheetId="14" hidden="1">#REF!</definedName>
    <definedName name="__123Graph_Xアース拡底" localSheetId="147" hidden="1">#REF!</definedName>
    <definedName name="__123Graph_Xアース拡底" localSheetId="8" hidden="1">'債務負担行為積算  (数式)'!#REF!</definedName>
    <definedName name="__123Graph_Xアース拡底" localSheetId="6" hidden="1">'債務負担行為積算  (全部盛り) '!#REF!</definedName>
    <definedName name="__123Graph_Xアース拡底" hidden="1">#REF!</definedName>
    <definedName name="__123Graph_Xアース単杭" localSheetId="15" hidden="1">#REF!</definedName>
    <definedName name="__123Graph_Xアース単杭" localSheetId="14" hidden="1">#REF!</definedName>
    <definedName name="__123Graph_Xアース単杭" localSheetId="147" hidden="1">#REF!</definedName>
    <definedName name="__123Graph_Xアース単杭" localSheetId="8" hidden="1">'債務負担行為積算  (数式)'!#REF!</definedName>
    <definedName name="__123Graph_Xアース単杭" localSheetId="6" hidden="1">'債務負担行為積算  (全部盛り) '!#REF!</definedName>
    <definedName name="__123Graph_Xアース単杭" hidden="1">#REF!</definedName>
    <definedName name="__123Graph_Xリバース" localSheetId="15" hidden="1">#REF!</definedName>
    <definedName name="__123Graph_Xリバース" localSheetId="14" hidden="1">#REF!</definedName>
    <definedName name="__123Graph_Xリバース" localSheetId="147" hidden="1">#REF!</definedName>
    <definedName name="__123Graph_Xリバース" localSheetId="8" hidden="1">'債務負担行為積算  (数式)'!#REF!</definedName>
    <definedName name="__123Graph_Xリバース" localSheetId="6" hidden="1">'債務負担行為積算  (全部盛り) '!#REF!</definedName>
    <definedName name="__123Graph_Xリバース" hidden="1">#REF!</definedName>
    <definedName name="__123Graph_Xリバス拡底" localSheetId="15" hidden="1">#REF!</definedName>
    <definedName name="__123Graph_Xリバス拡底" localSheetId="14" hidden="1">#REF!</definedName>
    <definedName name="__123Graph_Xリバス拡底" localSheetId="147" hidden="1">#REF!</definedName>
    <definedName name="__123Graph_Xリバス拡底" localSheetId="8" hidden="1">'債務負担行為積算  (数式)'!#REF!</definedName>
    <definedName name="__123Graph_Xリバス拡底" localSheetId="6" hidden="1">'債務負担行為積算  (全部盛り) '!#REF!</definedName>
    <definedName name="__123Graph_Xリバス拡底" hidden="1">#REF!</definedName>
    <definedName name="__123Graph_Xリバス単杭" localSheetId="15" hidden="1">#REF!</definedName>
    <definedName name="__123Graph_Xリバス単杭" localSheetId="14" hidden="1">#REF!</definedName>
    <definedName name="__123Graph_Xリバス単杭" localSheetId="147" hidden="1">#REF!</definedName>
    <definedName name="__123Graph_Xリバス単杭" localSheetId="8" hidden="1">'債務負担行為積算  (数式)'!#REF!</definedName>
    <definedName name="__123Graph_Xリバス単杭" localSheetId="6" hidden="1">'債務負担行為積算  (全部盛り) '!#REF!</definedName>
    <definedName name="__123Graph_Xリバス単杭" hidden="1">#REF!</definedName>
    <definedName name="_5面遮水" localSheetId="15">#REF!</definedName>
    <definedName name="_5面遮水" localSheetId="14">#REF!</definedName>
    <definedName name="_5面遮水" localSheetId="13">#REF!</definedName>
    <definedName name="_5面遮水" localSheetId="147">#REF!</definedName>
    <definedName name="_5面遮水" localSheetId="8">'債務負担行為積算  (数式)'!#REF!</definedName>
    <definedName name="_5面遮水" localSheetId="6">'債務負担行為積算  (全部盛り) '!#REF!</definedName>
    <definedName name="_5面遮水">#REF!</definedName>
    <definedName name="_6面遮水" localSheetId="15">#REF!</definedName>
    <definedName name="_6面遮水" localSheetId="14">#REF!</definedName>
    <definedName name="_6面遮水" localSheetId="13">#REF!</definedName>
    <definedName name="_6面遮水" localSheetId="147">#REF!</definedName>
    <definedName name="_6面遮水" localSheetId="8">'債務負担行為積算  (数式)'!#REF!</definedName>
    <definedName name="_6面遮水" localSheetId="6">'債務負担行為積算  (全部盛り) '!#REF!</definedName>
    <definedName name="_6面遮水">#REF!</definedName>
    <definedName name="_Fill" localSheetId="15" hidden="1">#REF!</definedName>
    <definedName name="_Fill" localSheetId="14" hidden="1">#REF!</definedName>
    <definedName name="_Fill" localSheetId="147" hidden="1">#REF!</definedName>
    <definedName name="_Fill" localSheetId="8" hidden="1">'債務負担行為積算  (数式)'!#REF!</definedName>
    <definedName name="_Fill" localSheetId="6" hidden="1">'債務負担行為積算  (全部盛り) '!#REF!</definedName>
    <definedName name="_Fill" hidden="1">#REF!</definedName>
    <definedName name="_xlnm._FilterDatabase" localSheetId="15" hidden="1">【20240925】アジア競技大会配宿シュミレーション!$B$1:$U$127</definedName>
    <definedName name="_xlnm._FilterDatabase" localSheetId="41" hidden="1">【250610】パラスポンサーシミュ!$A$5:$V$5</definedName>
    <definedName name="_xlnm._FilterDatabase" localSheetId="24" hidden="1">【251001】アジアスポンサーシミュ!$J$5:$BH$5</definedName>
    <definedName name="_xlnm._FilterDatabase" localSheetId="25" hidden="1">【251001】アジアメディアシミュ!$A$8:$BZ$8</definedName>
    <definedName name="_xlnm._FilterDatabase" localSheetId="23" hidden="1">【251001】アジア技術役員シミュ!$A$4:$CK$118</definedName>
    <definedName name="_xlnm._FilterDatabase" localSheetId="43" hidden="1">【251001】パラメディアシミュ!$B$4:$T$18</definedName>
    <definedName name="_xlnm._FilterDatabase" localSheetId="40" hidden="1">【251001】パラ技術役員シミュ!$A$4:$BS$47</definedName>
    <definedName name="_xlnm._FilterDatabase" localSheetId="19" hidden="1">【251001】パラ選手積算!$B$1:$AB$1</definedName>
    <definedName name="_xlnm._FilterDatabase" localSheetId="45" hidden="1">'0012_ルートイン小牧　別紙1-2'!$A$4:$Z$4</definedName>
    <definedName name="_xlnm._FilterDatabase" localSheetId="47" hidden="1">'0024_ホテルメルパルク名古屋　別紙1-2'!$A$4:$AE$4</definedName>
    <definedName name="_xlnm._FilterDatabase" localSheetId="48" hidden="1">'0024_ホテルメルパルク名古屋　別紙1-3'!$A$4:$AE$4</definedName>
    <definedName name="_xlnm._FilterDatabase" localSheetId="50" hidden="1">'0040_名古屋マリオット　別紙1-2'!#REF!</definedName>
    <definedName name="_xlnm._FilterDatabase" localSheetId="52" hidden="1">'0064_名古屋プリンス　別紙1-2'!$A$4:$AE$4</definedName>
    <definedName name="_xlnm._FilterDatabase" localSheetId="54" hidden="1">'0094_ヒルトン名古屋　別紙1-2'!$A$4:$AE$4</definedName>
    <definedName name="_xlnm._FilterDatabase" localSheetId="55" hidden="1">'0094_ヒルトン名古屋　別紙1-3'!$A$4:$AE$4</definedName>
    <definedName name="_xlnm._FilterDatabase" localSheetId="57" hidden="1">'0105_ANAクラウン　別紙1-2'!$A$4:$AE$4</definedName>
    <definedName name="_xlnm._FilterDatabase" localSheetId="58" hidden="1">'0105_ANAクラウン　別紙1-3'!$A$4:$AE$4</definedName>
    <definedName name="_xlnm._FilterDatabase" localSheetId="60" hidden="1">'0111_アパEXCELLENT 別紙1-2'!$A$4:$AE$4</definedName>
    <definedName name="_xlnm._FilterDatabase" localSheetId="62" hidden="1">'0121_名古屋東急　別紙1-2'!$A$4:$AE$4</definedName>
    <definedName name="_xlnm._FilterDatabase" localSheetId="66" hidden="1">'0201_つどいの丘　別紙1-2'!$A$4:$AE$4</definedName>
    <definedName name="_xlnm._FilterDatabase" localSheetId="68" hidden="1">'0206_トヨタキャッスル　別紙1-2'!$A$4:$AE$4</definedName>
    <definedName name="_xlnm._FilterDatabase" localSheetId="70" hidden="1">'0210_名鉄トヨタ　別紙1-2'!$A$4:$AE$4</definedName>
    <definedName name="_xlnm._FilterDatabase" localSheetId="75" hidden="1">'0221_グランドティアラ　別紙1-3'!$A$4:$AE$4</definedName>
    <definedName name="_xlnm._FilterDatabase" localSheetId="78" hidden="1">'0245_変なホテル　別紙1-2'!$A$4:$AE$4</definedName>
    <definedName name="_xlnm._FilterDatabase" localSheetId="80" hidden="1">'0249_明山荘　別紙1-2'!$A$4:$AE$4</definedName>
    <definedName name="_xlnm._FilterDatabase" localSheetId="82" hidden="1">'0252_ホテル平野屋　別紙1-2'!$A$4:$AE$4</definedName>
    <definedName name="_xlnm._FilterDatabase" localSheetId="84" hidden="1">'0253_蒲郡ホテル　別紙1-2'!#REF!</definedName>
    <definedName name="_xlnm._FilterDatabase" localSheetId="86" hidden="1">'0261_ホテル竹島　別紙1-2'!$A$4:$AE$4</definedName>
    <definedName name="_xlnm._FilterDatabase" localSheetId="88" hidden="1">'0281_ロワジール豊橋　別紙1-2'!$A$4:$AE$4</definedName>
    <definedName name="_xlnm._FilterDatabase" localSheetId="90" hidden="1">'0298_フォーポイント中部　別紙1-3'!$A$4:$AE$4</definedName>
    <definedName name="_xlnm._FilterDatabase" localSheetId="92" hidden="1">'0299_東横中部国際Ⅱ　別紙1-3'!$A$4:$AE$4</definedName>
    <definedName name="_xlnm._FilterDatabase" localSheetId="94" hidden="1">'0300_東横中部国際Ⅰ　別紙1-2'!$A$4:$AE$4</definedName>
    <definedName name="_xlnm._FilterDatabase" localSheetId="96" hidden="1">'0301_Jホテルりんくう　別紙1-2'!$A$4:$AE$4</definedName>
    <definedName name="_xlnm._FilterDatabase" localSheetId="99" hidden="1">'1003_ルートイン新城　別紙1-2'!$A$4:$AE$4</definedName>
    <definedName name="_xlnm._FilterDatabase" localSheetId="101" hidden="1">'1007_ミュースタイル　別紙1-2'!$A$4:$AE$4</definedName>
    <definedName name="_xlnm._FilterDatabase" localSheetId="103" hidden="1">'1015_三河海陽閣　別紙1-2'!$A$4:$AE$4</definedName>
    <definedName name="_xlnm._FilterDatabase" localSheetId="105" hidden="1">'1021_コートヤード　別紙1-2'!$A$4:$AE$4</definedName>
    <definedName name="_xlnm._FilterDatabase" localSheetId="106" hidden="1">'1021_コートヤード　別紙1-3'!$A$4:$AE$4</definedName>
    <definedName name="_xlnm._FilterDatabase" localSheetId="108" hidden="1">'1027_TIAD 別紙1-2'!#REF!</definedName>
    <definedName name="_xlnm._FilterDatabase" localSheetId="110" hidden="1">'1029_伊良湖オーシャン　別紙1-2'!$A$4:$AE$4</definedName>
    <definedName name="_xlnm._FilterDatabase" localSheetId="112" hidden="1">'2007_シェラトン都ホテル　別紙1-3'!$A$4:$AE$4</definedName>
    <definedName name="_xlnm._FilterDatabase" localSheetId="114" hidden="1">'2008_アゴーラ堺　別紙1-2'!$A$4:$AE$4</definedName>
    <definedName name="_xlnm._FilterDatabase" localSheetId="116" hidden="1">'2016_つま恋リゾート　別紙1-2'!$A$4:$AE$4</definedName>
    <definedName name="_xlnm._FilterDatabase" localSheetId="118" hidden="1">'2018_掛川グランド　別紙1-2'!$A$4:$AE$4</definedName>
    <definedName name="_xlnm._FilterDatabase" localSheetId="120" hidden="1">'2019_メルキュール浜名湖　別紙1-2'!$A$4:$AE$4</definedName>
    <definedName name="_xlnm._FilterDatabase" localSheetId="122" hidden="1">'2022_ラフォーレ修善寺 別紙1-2'!$A$4:$AE$4</definedName>
    <definedName name="_xlnm._FilterDatabase" localSheetId="123" hidden="1">'2022_ラフォーレ修善寺 別紙1-3'!$A$4:$AE$4</definedName>
    <definedName name="_xlnm._FilterDatabase" localSheetId="125" hidden="1">'2026_岐阜グランド　別紙1-2'!$A$4:$AE$4</definedName>
    <definedName name="_xlnm._FilterDatabase" localSheetId="127" hidden="1">'2027_岐阜都　別紙1-2'!$A$4:$AE$4</definedName>
    <definedName name="_xlnm._FilterDatabase" localSheetId="129" hidden="1">'2032_大垣フォーラム　別紙1-2'!$A$4:$AE$4</definedName>
    <definedName name="_xlnm._FilterDatabase" localSheetId="131" hidden="1">'2041_コンコルド浜松　別紙1-2'!$A$4:$AE$4</definedName>
    <definedName name="_xlnm._FilterDatabase" localSheetId="133" hidden="1">'2045_クインテッサ大垣　別紙1-2'!$A$4:$AE$4</definedName>
    <definedName name="_xlnm._FilterDatabase" localSheetId="135" hidden="1">'2049_青年館ホテル　別紙1-2'!$A$4:$AE$4</definedName>
    <definedName name="_xlnm._FilterDatabase" localSheetId="137" hidden="1">'2051_ベイ潮見プリンス　別紙1-2'!$A$4:$AE$4</definedName>
    <definedName name="_xlnm._FilterDatabase" localSheetId="139" hidden="1">'3001_グランドニッコー台場　別紙1-3'!$A$4:$AE$4</definedName>
    <definedName name="_xlnm._FilterDatabase" localSheetId="22" hidden="1">Results【技術役員スポンサーメディア積算】!$A$1:$BT$283</definedName>
    <definedName name="_xlnm._FilterDatabase" localSheetId="0" hidden="1">Sheet1!$B$1:$E$131</definedName>
    <definedName name="_xlnm._FilterDatabase" localSheetId="140" hidden="1">アジアResults1031!$A$1:$CI$257</definedName>
    <definedName name="_xlnm._FilterDatabase" localSheetId="26" hidden="1">'アジア技術役員　更新版'!$A$3:$AW$3</definedName>
    <definedName name="_xlnm._FilterDatabase" localSheetId="27" hidden="1">'アジア技術役員(DCO以外 0913)'!$B$3:$BZ$72</definedName>
    <definedName name="_xlnm._FilterDatabase" localSheetId="14" hidden="1">'アジア選手（0913試行更新版）'!$B$1:$V$130</definedName>
    <definedName name="_xlnm._FilterDatabase" localSheetId="13" hidden="1">'アジア選手（v4）'!$A$2:$CA$142</definedName>
    <definedName name="_xlnm._FilterDatabase" localSheetId="35" hidden="1">シン・パラ技術役員!$B$2:$BH$2</definedName>
    <definedName name="_xlnm._FilterDatabase" localSheetId="36" hidden="1">'シン・パラ技術役員 (DCO)'!$B$2:$BH$2</definedName>
    <definedName name="_xlnm._FilterDatabase" localSheetId="141" hidden="1">パラResults1031!$A$1:$CF$237</definedName>
    <definedName name="_xlnm._FilterDatabase" localSheetId="42" hidden="1">'パラファミスポ(0530)'!$B$5:$K$19</definedName>
    <definedName name="_xlnm._FilterDatabase" localSheetId="34" hidden="1">パラメディア!$B$4:$BA$4</definedName>
    <definedName name="_xlnm._FilterDatabase" localSheetId="33" hidden="1">'パラ選手・チーム役員 (0531)'!$A$3:$CO$31</definedName>
    <definedName name="_xlnm._FilterDatabase" localSheetId="146" hidden="1">マスター2_施設情報!$A$6:$AG$344</definedName>
    <definedName name="_xlnm._FilterDatabase" localSheetId="38" hidden="1">'契約期間上 宿泊期間  (2024財政見通し用）'!#REF!</definedName>
    <definedName name="_Key1" localSheetId="15" hidden="1">#REF!</definedName>
    <definedName name="_Key1" localSheetId="14" hidden="1">#REF!</definedName>
    <definedName name="_Key1" localSheetId="147" hidden="1">#REF!</definedName>
    <definedName name="_Key1" localSheetId="39" hidden="1">#REF!</definedName>
    <definedName name="_Key1" localSheetId="8" hidden="1">'債務負担行為積算  (数式)'!#REF!</definedName>
    <definedName name="_Key1" localSheetId="6" hidden="1">'債務負担行為積算  (全部盛り) '!#REF!</definedName>
    <definedName name="_Key1" hidden="1">#REF!</definedName>
    <definedName name="_Key2" localSheetId="15" hidden="1">#REF!</definedName>
    <definedName name="_Key2" localSheetId="14" hidden="1">#REF!</definedName>
    <definedName name="_Key2" localSheetId="147" hidden="1">#REF!</definedName>
    <definedName name="_Key2" localSheetId="39" hidden="1">#REF!</definedName>
    <definedName name="_Key2" localSheetId="8" hidden="1">'債務負担行為積算  (数式)'!#REF!</definedName>
    <definedName name="_Key2" localSheetId="6" hidden="1">'債務負担行為積算  (全部盛り) '!#REF!</definedName>
    <definedName name="_Key2" hidden="1">#REF!</definedName>
    <definedName name="_Order1" hidden="1">255</definedName>
    <definedName name="_Order2" hidden="1">255</definedName>
    <definedName name="_Sort" localSheetId="15" hidden="1">#REF!</definedName>
    <definedName name="_Sort" localSheetId="14" hidden="1">#REF!</definedName>
    <definedName name="_Sort" localSheetId="147" hidden="1">#REF!</definedName>
    <definedName name="_Sort" localSheetId="39" hidden="1">#REF!</definedName>
    <definedName name="_Sort" localSheetId="8" hidden="1">'債務負担行為積算  (数式)'!#REF!</definedName>
    <definedName name="_Sort" localSheetId="6" hidden="1">'債務負担行為積算  (全部盛り) '!#REF!</definedName>
    <definedName name="_Sort" hidden="1">#REF!</definedName>
    <definedName name="_シート無" localSheetId="15">#REF!</definedName>
    <definedName name="_シート無" localSheetId="14">#REF!</definedName>
    <definedName name="_シート無" localSheetId="13">#REF!</definedName>
    <definedName name="_シート無" localSheetId="147">#REF!</definedName>
    <definedName name="_シート無" localSheetId="8">'債務負担行為積算  (数式)'!#REF!</definedName>
    <definedName name="_シート無" localSheetId="6">'債務負担行為積算  (全部盛り) '!#REF!</definedName>
    <definedName name="_シート無">#REF!</definedName>
    <definedName name="・・・" localSheetId="15">#REF!</definedName>
    <definedName name="・・・">#REF!</definedName>
    <definedName name="a" localSheetId="15">#REF!</definedName>
    <definedName name="a" localSheetId="93">[1]会場形態!$A$2:$A$6</definedName>
    <definedName name="a" localSheetId="94">[1]会場形態!$A$2:$A$6</definedName>
    <definedName name="a" localSheetId="14">#REF!</definedName>
    <definedName name="a" localSheetId="13">#REF!</definedName>
    <definedName name="a" localSheetId="147">#REF!</definedName>
    <definedName name="a" localSheetId="8">'債務負担行為積算  (数式)'!#REF!</definedName>
    <definedName name="a" localSheetId="6">'債務負担行為積算  (全部盛り) '!#REF!</definedName>
    <definedName name="a">#REF!</definedName>
    <definedName name="aaa" localSheetId="15" hidden="1">#REF!</definedName>
    <definedName name="aaa" localSheetId="14" hidden="1">#REF!</definedName>
    <definedName name="aaa" localSheetId="147" hidden="1">#REF!</definedName>
    <definedName name="aaa" localSheetId="8" hidden="1">'債務負担行為積算  (数式)'!#REF!</definedName>
    <definedName name="aaa" localSheetId="6" hidden="1">'債務負担行為積算  (全部盛り) '!#REF!</definedName>
    <definedName name="aaa" hidden="1">#REF!</definedName>
    <definedName name="aaaa" localSheetId="15" hidden="1">#REF!</definedName>
    <definedName name="aaaa" localSheetId="14" hidden="1">#REF!</definedName>
    <definedName name="aaaa" localSheetId="147" hidden="1">#REF!</definedName>
    <definedName name="aaaa" localSheetId="8" hidden="1">'債務負担行為積算  (数式)'!#REF!</definedName>
    <definedName name="aaaa" localSheetId="6" hidden="1">'債務負担行為積算  (全部盛り) '!#REF!</definedName>
    <definedName name="aaaa" hidden="1">#REF!</definedName>
    <definedName name="AAM" localSheetId="15">#REF!</definedName>
    <definedName name="AAM" localSheetId="14">#REF!</definedName>
    <definedName name="AAM" localSheetId="147">#REF!</definedName>
    <definedName name="AAM" localSheetId="8">'債務負担行為積算  (数式)'!#REF!</definedName>
    <definedName name="AAM" localSheetId="6">'債務負担行為積算  (全部盛り) '!#REF!</definedName>
    <definedName name="AAM">#REF!</definedName>
    <definedName name="ah" localSheetId="15">#REF!</definedName>
    <definedName name="ah" localSheetId="14">#REF!</definedName>
    <definedName name="ah" localSheetId="147">#REF!</definedName>
    <definedName name="ah" localSheetId="8">'債務負担行為積算  (数式)'!#REF!</definedName>
    <definedName name="ah" localSheetId="6">'債務負担行為積算  (全部盛り) '!#REF!</definedName>
    <definedName name="ah">#REF!</definedName>
    <definedName name="AIX" localSheetId="15">#REF!</definedName>
    <definedName name="AIX" localSheetId="14">#REF!</definedName>
    <definedName name="AIX" localSheetId="147">#REF!</definedName>
    <definedName name="AIX" localSheetId="8">'債務負担行為積算  (数式)'!#REF!</definedName>
    <definedName name="AIX" localSheetId="6">'債務負担行為積算  (全部盛り) '!#REF!</definedName>
    <definedName name="AIX">#REF!</definedName>
    <definedName name="AJC" localSheetId="15">#REF!</definedName>
    <definedName name="AJC" localSheetId="14">#REF!</definedName>
    <definedName name="AJC" localSheetId="147">#REF!</definedName>
    <definedName name="AJC" localSheetId="8">'債務負担行為積算  (数式)'!#REF!</definedName>
    <definedName name="AJC" localSheetId="6">'債務負担行為積算  (全部盛り) '!#REF!</definedName>
    <definedName name="AJC">#REF!</definedName>
    <definedName name="AJG" localSheetId="15">#REF!</definedName>
    <definedName name="AJG" localSheetId="14">#REF!</definedName>
    <definedName name="AJG" localSheetId="147">#REF!</definedName>
    <definedName name="AJG" localSheetId="8">'債務負担行為積算  (数式)'!#REF!</definedName>
    <definedName name="AJG" localSheetId="6">'債務負担行為積算  (全部盛り) '!#REF!</definedName>
    <definedName name="AJG">#REF!</definedName>
    <definedName name="AMM" localSheetId="15">#REF!</definedName>
    <definedName name="AMM" localSheetId="14">#REF!</definedName>
    <definedName name="AMM" localSheetId="147">#REF!</definedName>
    <definedName name="AMM" localSheetId="8">'債務負担行為積算  (数式)'!#REF!</definedName>
    <definedName name="AMM" localSheetId="6">'債務負担行為積算  (全部盛り) '!#REF!</definedName>
    <definedName name="AMM">#REF!</definedName>
    <definedName name="b" localSheetId="15">#REF!</definedName>
    <definedName name="b" localSheetId="14">#REF!</definedName>
    <definedName name="b" localSheetId="147">#REF!</definedName>
    <definedName name="b" localSheetId="8">'債務負担行為積算  (数式)'!#REF!</definedName>
    <definedName name="b" localSheetId="6">'債務負担行為積算  (全部盛り) '!#REF!</definedName>
    <definedName name="b">#REF!</definedName>
    <definedName name="bbbb" localSheetId="15" hidden="1">#REF!</definedName>
    <definedName name="bbbb" localSheetId="14" hidden="1">#REF!</definedName>
    <definedName name="bbbb" localSheetId="147" hidden="1">#REF!</definedName>
    <definedName name="bbbb" localSheetId="8" hidden="1">'債務負担行為積算  (数式)'!#REF!</definedName>
    <definedName name="bbbb" localSheetId="6" hidden="1">'債務負担行為積算  (全部盛り) '!#REF!</definedName>
    <definedName name="bbbb" hidden="1">#REF!</definedName>
    <definedName name="BS_1500歩掛" localSheetId="15">#REF!</definedName>
    <definedName name="BS_1500歩掛" localSheetId="14">#REF!</definedName>
    <definedName name="BS_1500歩掛" localSheetId="147">#REF!</definedName>
    <definedName name="BS_1500歩掛" localSheetId="8">'債務負担行為積算  (数式)'!#REF!</definedName>
    <definedName name="BS_1500歩掛" localSheetId="6">'債務負担行為積算  (全部盛り) '!#REF!</definedName>
    <definedName name="BS_1500歩掛">#REF!</definedName>
    <definedName name="BS_2000歩掛" localSheetId="15">#REF!</definedName>
    <definedName name="BS_2000歩掛" localSheetId="14">#REF!</definedName>
    <definedName name="BS_2000歩掛" localSheetId="147">#REF!</definedName>
    <definedName name="BS_2000歩掛" localSheetId="8">'債務負担行為積算  (数式)'!#REF!</definedName>
    <definedName name="BS_2000歩掛" localSheetId="6">'債務負担行為積算  (全部盛り) '!#REF!</definedName>
    <definedName name="BS_2000歩掛">#REF!</definedName>
    <definedName name="BS_2500歩掛" localSheetId="15">#REF!</definedName>
    <definedName name="BS_2500歩掛" localSheetId="14">#REF!</definedName>
    <definedName name="BS_2500歩掛" localSheetId="147">#REF!</definedName>
    <definedName name="BS_2500歩掛" localSheetId="8">'債務負担行為積算  (数式)'!#REF!</definedName>
    <definedName name="BS_2500歩掛" localSheetId="6">'債務負担行為積算  (全部盛り) '!#REF!</definedName>
    <definedName name="BS_2500歩掛">#REF!</definedName>
    <definedName name="buzai_kg" localSheetId="23">#REF!</definedName>
    <definedName name="buzai_kg" localSheetId="40">#REF!</definedName>
    <definedName name="buzai_kg">[2]mst製品質量!$D$3:$G$240</definedName>
    <definedName name="ccccc" localSheetId="15" hidden="1">#REF!</definedName>
    <definedName name="ccccc" localSheetId="14" hidden="1">#REF!</definedName>
    <definedName name="ccccc" localSheetId="147" hidden="1">#REF!</definedName>
    <definedName name="ccccc" localSheetId="39" hidden="1">#REF!</definedName>
    <definedName name="ccccc" localSheetId="8" hidden="1">'債務負担行為積算  (数式)'!#REF!</definedName>
    <definedName name="ccccc" localSheetId="6" hidden="1">'債務負担行為積算  (全部盛り) '!#REF!</definedName>
    <definedName name="ccccc" hidden="1">#REF!</definedName>
    <definedName name="cellレッカー規格1" localSheetId="23">#REF!</definedName>
    <definedName name="cellレッカー規格1" localSheetId="40">#REF!</definedName>
    <definedName name="cellレッカー規格1">[2]【入力】概要!$J$35</definedName>
    <definedName name="cellレッカー規格2" localSheetId="23">#REF!</definedName>
    <definedName name="cellレッカー規格2" localSheetId="40">#REF!</definedName>
    <definedName name="cellレッカー規格2">[2]【入力】概要!$J$36</definedName>
    <definedName name="cellレッカー種類1" localSheetId="23">#REF!</definedName>
    <definedName name="cellレッカー種類1" localSheetId="40">#REF!</definedName>
    <definedName name="cellレッカー種類1">[2]【入力】概要!$F$35</definedName>
    <definedName name="cellレッカー種類2" localSheetId="23">#REF!</definedName>
    <definedName name="cellレッカー種類2" localSheetId="40">#REF!</definedName>
    <definedName name="cellレッカー種類2">[2]【入力】概要!$F$36</definedName>
    <definedName name="cellレッカー賃料txt" localSheetId="23">#REF!</definedName>
    <definedName name="cellレッカー賃料txt" localSheetId="40">#REF!</definedName>
    <definedName name="cellレッカー賃料txt">[2]mst_単価!$A$52</definedName>
    <definedName name="cell営業所" localSheetId="23">#REF!</definedName>
    <definedName name="cell営業所" localSheetId="40">#REF!</definedName>
    <definedName name="cell営業所">[2]【入力】概要!$AC$14</definedName>
    <definedName name="cell管理番号" localSheetId="23">#REF!</definedName>
    <definedName name="cell管理番号" localSheetId="40">#REF!</definedName>
    <definedName name="cell管理番号">[2]【入力】概要!$AC$13</definedName>
    <definedName name="cell軽油" localSheetId="23">#REF!</definedName>
    <definedName name="cell軽油" localSheetId="40">#REF!</definedName>
    <definedName name="cell軽油">[2]【入力】詳細!$C$74</definedName>
    <definedName name="cell県" localSheetId="15">#REF!</definedName>
    <definedName name="cell県" localSheetId="14">#REF!</definedName>
    <definedName name="cell県" localSheetId="13">#REF!</definedName>
    <definedName name="cell県" localSheetId="147">#REF!</definedName>
    <definedName name="cell県" localSheetId="39">#REF!</definedName>
    <definedName name="cell県" localSheetId="8">'債務負担行為積算  (数式)'!#REF!</definedName>
    <definedName name="cell県" localSheetId="6">'債務負担行為積算  (全部盛り) '!#REF!</definedName>
    <definedName name="cell県">#REF!</definedName>
    <definedName name="cell工事費" localSheetId="23">#REF!</definedName>
    <definedName name="cell工事費" localSheetId="40">#REF!</definedName>
    <definedName name="cell工事費">[2]【入力】概要!$T$7</definedName>
    <definedName name="cell高n" localSheetId="23">#REF!</definedName>
    <definedName name="cell高n" localSheetId="40">#REF!</definedName>
    <definedName name="cell高n">[2]数量計算書_組立図ツール連動用!$AL$99</definedName>
    <definedName name="cell高さ" localSheetId="23">#REF!</definedName>
    <definedName name="cell高さ" localSheetId="40">#REF!</definedName>
    <definedName name="cell高さ">[2]【入力】概要!$H$4</definedName>
    <definedName name="cell担当者" localSheetId="23">#REF!</definedName>
    <definedName name="cell担当者" localSheetId="40">#REF!</definedName>
    <definedName name="cell担当者">[2]【入力】概要!$AC$15</definedName>
    <definedName name="cell地域" localSheetId="23">#REF!</definedName>
    <definedName name="cell地域" localSheetId="40">#REF!</definedName>
    <definedName name="cell地域">[2]【入力】概要!$P$34</definedName>
    <definedName name="cell年度" localSheetId="23">#REF!</definedName>
    <definedName name="cell年度" localSheetId="40">#REF!</definedName>
    <definedName name="cell年度">[2]mst_労務!$A$1</definedName>
    <definedName name="cell余裕高" localSheetId="23">#REF!</definedName>
    <definedName name="cell余裕高" localSheetId="40">#REF!</definedName>
    <definedName name="cell余裕高">[2]【入力】概要!$AE$6</definedName>
    <definedName name="change" localSheetId="15">#REF!</definedName>
    <definedName name="change" localSheetId="14">#REF!</definedName>
    <definedName name="change" localSheetId="147">#REF!</definedName>
    <definedName name="change" localSheetId="39">#REF!</definedName>
    <definedName name="change" localSheetId="8">'債務負担行為積算  (数式)'!#REF!</definedName>
    <definedName name="change" localSheetId="6">'債務負担行為積算  (全部盛り) '!#REF!</definedName>
    <definedName name="change">#REF!</definedName>
    <definedName name="ddddd" localSheetId="15" hidden="1">#REF!</definedName>
    <definedName name="ddddd" localSheetId="14" hidden="1">#REF!</definedName>
    <definedName name="ddddd" localSheetId="147" hidden="1">#REF!</definedName>
    <definedName name="ddddd" localSheetId="39" hidden="1">#REF!</definedName>
    <definedName name="ddddd" localSheetId="8" hidden="1">'債務負担行為積算  (数式)'!#REF!</definedName>
    <definedName name="ddddd" localSheetId="6" hidden="1">'債務負担行為積算  (全部盛り) '!#REF!</definedName>
    <definedName name="ddddd" hidden="1">#REF!</definedName>
    <definedName name="Dept_list" localSheetId="15">#REF!</definedName>
    <definedName name="Dept_list" localSheetId="14">#REF!</definedName>
    <definedName name="Dept_list" localSheetId="147">#REF!</definedName>
    <definedName name="Dept_list" localSheetId="39">#REF!</definedName>
    <definedName name="Dept_list" localSheetId="8">'債務負担行為積算  (数式)'!#REF!</definedName>
    <definedName name="Dept_list" localSheetId="6">'債務負担行為積算  (全部盛り) '!#REF!</definedName>
    <definedName name="Dept_list">#REF!</definedName>
    <definedName name="Dept_to_FA" localSheetId="15">#REF!</definedName>
    <definedName name="Dept_to_FA" localSheetId="14">#REF!</definedName>
    <definedName name="Dept_to_FA" localSheetId="147">#REF!</definedName>
    <definedName name="Dept_to_FA" localSheetId="8">'債務負担行為積算  (数式)'!#REF!</definedName>
    <definedName name="Dept_to_FA" localSheetId="6">'債務負担行為積算  (全部盛り) '!#REF!</definedName>
    <definedName name="Dept_to_FA">#REF!</definedName>
    <definedName name="E" localSheetId="15">#REF!</definedName>
    <definedName name="E" localSheetId="14">#REF!</definedName>
    <definedName name="E" localSheetId="147">#REF!</definedName>
    <definedName name="E" localSheetId="8">'債務負担行為積算  (数式)'!#REF!</definedName>
    <definedName name="E" localSheetId="6">'債務負担行為積算  (全部盛り) '!#REF!</definedName>
    <definedName name="E">#REF!</definedName>
    <definedName name="eee" localSheetId="15" hidden="1">#REF!</definedName>
    <definedName name="eee" localSheetId="14" hidden="1">#REF!</definedName>
    <definedName name="eee" localSheetId="147" hidden="1">#REF!</definedName>
    <definedName name="eee" localSheetId="8" hidden="1">'債務負担行為積算  (数式)'!#REF!</definedName>
    <definedName name="eee" localSheetId="6" hidden="1">'債務負担行為積算  (全部盛り) '!#REF!</definedName>
    <definedName name="eee" hidden="1">#REF!</definedName>
    <definedName name="eeee" localSheetId="15" hidden="1">#REF!</definedName>
    <definedName name="eeee" localSheetId="14" hidden="1">#REF!</definedName>
    <definedName name="eeee" localSheetId="147" hidden="1">#REF!</definedName>
    <definedName name="eeee" localSheetId="8" hidden="1">'債務負担行為積算  (数式)'!#REF!</definedName>
    <definedName name="eeee" localSheetId="6" hidden="1">'債務負担行為積算  (全部盛り) '!#REF!</definedName>
    <definedName name="eeee" hidden="1">#REF!</definedName>
    <definedName name="fffff" localSheetId="15" hidden="1">#REF!</definedName>
    <definedName name="fffff" localSheetId="14" hidden="1">#REF!</definedName>
    <definedName name="fffff" localSheetId="147" hidden="1">#REF!</definedName>
    <definedName name="fffff" localSheetId="8" hidden="1">'債務負担行為積算  (数式)'!#REF!</definedName>
    <definedName name="fffff" localSheetId="6" hidden="1">'債務負担行為積算  (全部盛り) '!#REF!</definedName>
    <definedName name="fffff" hidden="1">#REF!</definedName>
    <definedName name="gggg" localSheetId="15" hidden="1">#REF!</definedName>
    <definedName name="gggg" localSheetId="14" hidden="1">#REF!</definedName>
    <definedName name="gggg" localSheetId="147" hidden="1">#REF!</definedName>
    <definedName name="gggg" localSheetId="8" hidden="1">'債務負担行為積算  (数式)'!#REF!</definedName>
    <definedName name="gggg" localSheetId="6" hidden="1">'債務負担行為積算  (全部盛り) '!#REF!</definedName>
    <definedName name="gggg" hidden="1">#REF!</definedName>
    <definedName name="hhhhh" localSheetId="15" hidden="1">#REF!</definedName>
    <definedName name="hhhhh" localSheetId="14" hidden="1">#REF!</definedName>
    <definedName name="hhhhh" localSheetId="147" hidden="1">#REF!</definedName>
    <definedName name="hhhhh" localSheetId="8" hidden="1">'債務負担行為積算  (数式)'!#REF!</definedName>
    <definedName name="hhhhh" localSheetId="6" hidden="1">'債務負担行為積算  (全部盛り) '!#REF!</definedName>
    <definedName name="hhhhh" hidden="1">#REF!</definedName>
    <definedName name="i" localSheetId="15" hidden="1">#REF!</definedName>
    <definedName name="i" localSheetId="14" hidden="1">#REF!</definedName>
    <definedName name="i" localSheetId="147" hidden="1">#REF!</definedName>
    <definedName name="i" localSheetId="8" hidden="1">'債務負担行為積算  (数式)'!#REF!</definedName>
    <definedName name="i" localSheetId="6" hidden="1">'債務負担行為積算  (全部盛り) '!#REF!</definedName>
    <definedName name="i" hidden="1">#REF!</definedName>
    <definedName name="I_1500歩掛" localSheetId="15">#REF!</definedName>
    <definedName name="I_1500歩掛" localSheetId="14">#REF!</definedName>
    <definedName name="I_1500歩掛" localSheetId="13">#REF!</definedName>
    <definedName name="I_1500歩掛" localSheetId="147">#REF!</definedName>
    <definedName name="I_1500歩掛" localSheetId="8">'債務負担行為積算  (数式)'!#REF!</definedName>
    <definedName name="I_1500歩掛" localSheetId="6">'債務負担行為積算  (全部盛り) '!#REF!</definedName>
    <definedName name="I_1500歩掛">#REF!</definedName>
    <definedName name="I_2000歩掛" localSheetId="15">#REF!</definedName>
    <definedName name="I_2000歩掛" localSheetId="14">#REF!</definedName>
    <definedName name="I_2000歩掛" localSheetId="13">#REF!</definedName>
    <definedName name="I_2000歩掛" localSheetId="147">#REF!</definedName>
    <definedName name="I_2000歩掛" localSheetId="8">'債務負担行為積算  (数式)'!#REF!</definedName>
    <definedName name="I_2000歩掛" localSheetId="6">'債務負担行為積算  (全部盛り) '!#REF!</definedName>
    <definedName name="I_2000歩掛">#REF!</definedName>
    <definedName name="I_2500歩掛" localSheetId="15">#REF!</definedName>
    <definedName name="I_2500歩掛" localSheetId="14">#REF!</definedName>
    <definedName name="I_2500歩掛" localSheetId="13">#REF!</definedName>
    <definedName name="I_2500歩掛" localSheetId="147">#REF!</definedName>
    <definedName name="I_2500歩掛" localSheetId="8">'債務負担行為積算  (数式)'!#REF!</definedName>
    <definedName name="I_2500歩掛" localSheetId="6">'債務負担行為積算  (全部盛り) '!#REF!</definedName>
    <definedName name="I_2500歩掛">#REF!</definedName>
    <definedName name="iii" localSheetId="15" hidden="1">#REF!</definedName>
    <definedName name="iii" localSheetId="14" hidden="1">#REF!</definedName>
    <definedName name="iii" localSheetId="147" hidden="1">#REF!</definedName>
    <definedName name="iii" localSheetId="8" hidden="1">'債務負担行為積算  (数式)'!#REF!</definedName>
    <definedName name="iii" localSheetId="6" hidden="1">'債務負担行為積算  (全部盛り) '!#REF!</definedName>
    <definedName name="iii" hidden="1">#REF!</definedName>
    <definedName name="iiiii" localSheetId="15" hidden="1">#REF!</definedName>
    <definedName name="iiiii" localSheetId="14" hidden="1">#REF!</definedName>
    <definedName name="iiiii" localSheetId="147" hidden="1">#REF!</definedName>
    <definedName name="iiiii" localSheetId="8" hidden="1">'債務負担行為積算  (数式)'!#REF!</definedName>
    <definedName name="iiiii" localSheetId="6" hidden="1">'債務負担行為積算  (全部盛り) '!#REF!</definedName>
    <definedName name="iiiii" hidden="1">#REF!</definedName>
    <definedName name="inM3クラス" localSheetId="23">#REF!</definedName>
    <definedName name="inM3クラス" localSheetId="40">#REF!</definedName>
    <definedName name="inM3クラス">[2]【入力】標準組立図!$C$7</definedName>
    <definedName name="inふた幅" localSheetId="23">#REF!</definedName>
    <definedName name="inふた幅" localSheetId="40">#REF!</definedName>
    <definedName name="inふた幅">[2]【入力】標準組立図!$C$8</definedName>
    <definedName name="in県" localSheetId="23">#REF!</definedName>
    <definedName name="in県" localSheetId="40">#REF!</definedName>
    <definedName name="in県">[2]【入力】標準組立図!$C$5</definedName>
    <definedName name="in高さ" localSheetId="23">#REF!</definedName>
    <definedName name="in高さ" localSheetId="40">#REF!</definedName>
    <definedName name="in高さ">[2]【入力】標準組立図!$C$6</definedName>
    <definedName name="in製品重量" localSheetId="23">#REF!</definedName>
    <definedName name="in製品重量" localSheetId="40">#REF!</definedName>
    <definedName name="in製品重量">[2]【入力】標準組立図!$H$9</definedName>
    <definedName name="in製品単価" localSheetId="23">#REF!</definedName>
    <definedName name="in製品単価" localSheetId="40">#REF!</definedName>
    <definedName name="in製品単価">[2]【入力】標準組立図!$C$12</definedName>
    <definedName name="in余裕高" localSheetId="23">#REF!</definedName>
    <definedName name="in余裕高" localSheetId="40">#REF!</definedName>
    <definedName name="in余裕高">[2]【入力】標準組立図!$C$9</definedName>
    <definedName name="jjj" localSheetId="15" hidden="1">#REF!</definedName>
    <definedName name="jjj" localSheetId="14" hidden="1">#REF!</definedName>
    <definedName name="jjj" localSheetId="147" hidden="1">#REF!</definedName>
    <definedName name="jjj" localSheetId="39" hidden="1">#REF!</definedName>
    <definedName name="jjj" localSheetId="8" hidden="1">'債務負担行為積算  (数式)'!#REF!</definedName>
    <definedName name="jjj" localSheetId="6" hidden="1">'債務負担行為積算  (全部盛り) '!#REF!</definedName>
    <definedName name="jjj" hidden="1">#REF!</definedName>
    <definedName name="jjjjj" localSheetId="15" hidden="1">#REF!</definedName>
    <definedName name="jjjjj" localSheetId="14" hidden="1">#REF!</definedName>
    <definedName name="jjjjj" localSheetId="147" hidden="1">#REF!</definedName>
    <definedName name="jjjjj" localSheetId="39" hidden="1">#REF!</definedName>
    <definedName name="jjjjj" localSheetId="8" hidden="1">'債務負担行為積算  (数式)'!#REF!</definedName>
    <definedName name="jjjjj" localSheetId="6" hidden="1">'債務負担行為積算  (全部盛り) '!#REF!</definedName>
    <definedName name="jjjjj" hidden="1">#REF!</definedName>
    <definedName name="JTB担当">[3]DB!$F$2:$F$9</definedName>
    <definedName name="kk" localSheetId="15" hidden="1">#REF!</definedName>
    <definedName name="kk" localSheetId="14" hidden="1">#REF!</definedName>
    <definedName name="kk" localSheetId="147" hidden="1">#REF!</definedName>
    <definedName name="kk" localSheetId="39" hidden="1">#REF!</definedName>
    <definedName name="kk" localSheetId="8" hidden="1">'債務負担行為積算  (数式)'!#REF!</definedName>
    <definedName name="kk" localSheetId="6" hidden="1">'債務負担行為積算  (全部盛り) '!#REF!</definedName>
    <definedName name="kk" hidden="1">#REF!</definedName>
    <definedName name="kkkkk" localSheetId="15" hidden="1">#REF!</definedName>
    <definedName name="kkkkk" localSheetId="14" hidden="1">#REF!</definedName>
    <definedName name="kkkkk" localSheetId="147" hidden="1">#REF!</definedName>
    <definedName name="kkkkk" localSheetId="8" hidden="1">'債務負担行為積算  (数式)'!#REF!</definedName>
    <definedName name="kkkkk" localSheetId="6" hidden="1">'債務負担行為積算  (全部盛り) '!#REF!</definedName>
    <definedName name="kkkkk" hidden="1">#REF!</definedName>
    <definedName name="lllll" localSheetId="15" hidden="1">#REF!</definedName>
    <definedName name="lllll" localSheetId="14" hidden="1">#REF!</definedName>
    <definedName name="lllll" localSheetId="147" hidden="1">#REF!</definedName>
    <definedName name="lllll" localSheetId="8" hidden="1">'債務負担行為積算  (数式)'!#REF!</definedName>
    <definedName name="lllll" localSheetId="6" hidden="1">'債務負担行為積算  (全部盛り) '!#REF!</definedName>
    <definedName name="lllll" hidden="1">#REF!</definedName>
    <definedName name="mm" localSheetId="15" hidden="1">#REF!</definedName>
    <definedName name="mm" localSheetId="14" hidden="1">#REF!</definedName>
    <definedName name="mm" localSheetId="147" hidden="1">#REF!</definedName>
    <definedName name="mm" localSheetId="8" hidden="1">'債務負担行為積算  (数式)'!#REF!</definedName>
    <definedName name="mm" localSheetId="6" hidden="1">'債務負担行為積算  (全部盛り) '!#REF!</definedName>
    <definedName name="mm" hidden="1">#REF!</definedName>
    <definedName name="mmmm" localSheetId="15" hidden="1">#REF!</definedName>
    <definedName name="mmmm" localSheetId="14" hidden="1">#REF!</definedName>
    <definedName name="mmmm" localSheetId="147" hidden="1">#REF!</definedName>
    <definedName name="mmmm" localSheetId="8" hidden="1">'債務負担行為積算  (数式)'!#REF!</definedName>
    <definedName name="mmmm" localSheetId="6" hidden="1">'債務負担行為積算  (全部盛り) '!#REF!</definedName>
    <definedName name="mmmm" hidden="1">#REF!</definedName>
    <definedName name="mst_Qfuta" localSheetId="23">#REF!</definedName>
    <definedName name="mst_Qfuta" localSheetId="40">#REF!</definedName>
    <definedName name="mst_Qfuta">'[2]参_ふた、端面D規格'!$B$23:$F$46</definedName>
    <definedName name="mst_Qtand" localSheetId="23">#REF!</definedName>
    <definedName name="mst_Qtand" localSheetId="40">#REF!</definedName>
    <definedName name="mst_Qtand">'[2]参_ふた、端面D規格'!$B$50:$G$91</definedName>
    <definedName name="NAME" localSheetId="15">#REF!</definedName>
    <definedName name="NAME" localSheetId="14">#REF!</definedName>
    <definedName name="NAME" localSheetId="147">#REF!</definedName>
    <definedName name="NAME" localSheetId="39">#REF!</definedName>
    <definedName name="NAME" localSheetId="8">'債務負担行為積算  (数式)'!#REF!</definedName>
    <definedName name="NAME" localSheetId="6">'債務負担行為積算  (全部盛り) '!#REF!</definedName>
    <definedName name="NAME">#REF!</definedName>
    <definedName name="nnnn" localSheetId="15" hidden="1">#REF!</definedName>
    <definedName name="nnnn" localSheetId="14" hidden="1">#REF!</definedName>
    <definedName name="nnnn" localSheetId="147" hidden="1">#REF!</definedName>
    <definedName name="nnnn" localSheetId="39" hidden="1">#REF!</definedName>
    <definedName name="nnnn" localSheetId="8" hidden="1">'債務負担行為積算  (数式)'!#REF!</definedName>
    <definedName name="nnnn" localSheetId="6" hidden="1">'債務負担行為積算  (全部盛り) '!#REF!</definedName>
    <definedName name="nnnn" hidden="1">#REF!</definedName>
    <definedName name="ooooo" localSheetId="15" hidden="1">#REF!</definedName>
    <definedName name="ooooo" localSheetId="14" hidden="1">#REF!</definedName>
    <definedName name="ooooo" localSheetId="147" hidden="1">#REF!</definedName>
    <definedName name="ooooo" localSheetId="39" hidden="1">#REF!</definedName>
    <definedName name="ooooo" localSheetId="8" hidden="1">'債務負担行為積算  (数式)'!#REF!</definedName>
    <definedName name="ooooo" localSheetId="6" hidden="1">'債務負担行為積算  (全部盛り) '!#REF!</definedName>
    <definedName name="ooooo" hidden="1">#REF!</definedName>
    <definedName name="PIBO" localSheetId="15">#REF!</definedName>
    <definedName name="PIBO" localSheetId="14">#REF!</definedName>
    <definedName name="PIBO" localSheetId="147">#REF!</definedName>
    <definedName name="PIBO" localSheetId="8">'債務負担行為積算  (数式)'!#REF!</definedName>
    <definedName name="PIBO" localSheetId="6">'債務負担行為積算  (全部盛り) '!#REF!</definedName>
    <definedName name="PIBO">#REF!</definedName>
    <definedName name="ppp" localSheetId="15" hidden="1">#REF!</definedName>
    <definedName name="ppp" localSheetId="14" hidden="1">#REF!</definedName>
    <definedName name="ppp" localSheetId="147" hidden="1">#REF!</definedName>
    <definedName name="ppp" localSheetId="8" hidden="1">'債務負担行為積算  (数式)'!#REF!</definedName>
    <definedName name="ppp" localSheetId="6" hidden="1">'債務負担行為積算  (全部盛り) '!#REF!</definedName>
    <definedName name="ppp" hidden="1">#REF!</definedName>
    <definedName name="ppppp" localSheetId="15" hidden="1">#REF!</definedName>
    <definedName name="ppppp" localSheetId="14" hidden="1">#REF!</definedName>
    <definedName name="ppppp" localSheetId="147" hidden="1">#REF!</definedName>
    <definedName name="ppppp" localSheetId="8" hidden="1">'債務負担行為積算  (数式)'!#REF!</definedName>
    <definedName name="ppppp" localSheetId="6" hidden="1">'債務負担行為積算  (全部盛り) '!#REF!</definedName>
    <definedName name="ppppp" hidden="1">#REF!</definedName>
    <definedName name="_xlnm.Print_Area" localSheetId="15">【20240925】アジア競技大会配宿シュミレーション!$A$1:$BN$117</definedName>
    <definedName name="_xlnm.Print_Area" localSheetId="41">【250610】パラスポンサーシミュ!$B$1:$X$20</definedName>
    <definedName name="_xlnm.Print_Area" localSheetId="24">【251001】アジアスポンサーシミュ!$A$1:$BJ$37</definedName>
    <definedName name="_xlnm.Print_Area" localSheetId="25">【251001】アジアメディアシミュ!$A$1:$BG$44</definedName>
    <definedName name="_xlnm.Print_Area" localSheetId="23">【251001】アジア技術役員シミュ!$A$1:$CI$120</definedName>
    <definedName name="_xlnm.Print_Area" localSheetId="18">【251001】アジア選手積算!$A$4:$AB$83</definedName>
    <definedName name="_xlnm.Print_Area" localSheetId="43">【251001】パラメディアシミュ!$B$1:$T$16</definedName>
    <definedName name="_xlnm.Print_Area" localSheetId="40">【251001】パラ技術役員シミュ!$A$1:$BQ$49</definedName>
    <definedName name="_xlnm.Print_Area" localSheetId="19">【251001】パラ選手積算!$A$1:$AB$37</definedName>
    <definedName name="_xlnm.Print_Area" localSheetId="29">【アジア】飲食提供経費シュミレーション!$A$1:$K$116</definedName>
    <definedName name="_xlnm.Print_Area" localSheetId="44">'0012_ルートイン小牧　別紙1-1'!$A$2:$AD$29</definedName>
    <definedName name="_xlnm.Print_Area" localSheetId="45">'0012_ルートイン小牧　別紙1-2'!$A$2:$U$20</definedName>
    <definedName name="_xlnm.Print_Area" localSheetId="46">'0024_ホテルメルパルク名古屋　別紙1-1'!$A$2:$AD$61</definedName>
    <definedName name="_xlnm.Print_Area" localSheetId="47">'0024_ホテルメルパルク名古屋　別紙1-2'!$A$2:$U$80</definedName>
    <definedName name="_xlnm.Print_Area" localSheetId="48">'0024_ホテルメルパルク名古屋　別紙1-3'!$A$2:$U$24</definedName>
    <definedName name="_xlnm.Print_Area" localSheetId="49">'0040_名古屋マリオット　別紙1-1'!$A$2:$AD$34</definedName>
    <definedName name="_xlnm.Print_Area" localSheetId="50">'0040_名古屋マリオット　別紙1-2'!$A$2:$U$27</definedName>
    <definedName name="_xlnm.Print_Area" localSheetId="51">'0064_名古屋プリンス　別紙1-1'!$A$2:$AD$34</definedName>
    <definedName name="_xlnm.Print_Area" localSheetId="52">'0064_名古屋プリンス　別紙1-2'!$A$2:$U$20</definedName>
    <definedName name="_xlnm.Print_Area" localSheetId="53">'0094_ヒルトン名古屋　別紙1-1'!$A$2:$AD$34</definedName>
    <definedName name="_xlnm.Print_Area" localSheetId="54">'0094_ヒルトン名古屋　別紙1-2'!$A$2:$U$36</definedName>
    <definedName name="_xlnm.Print_Area" localSheetId="55">'0094_ヒルトン名古屋　別紙1-3'!$A$2:$U$24</definedName>
    <definedName name="_xlnm.Print_Area" localSheetId="56">'0105_ANAクラウン　別紙1-1'!$A$2:$AD$61</definedName>
    <definedName name="_xlnm.Print_Area" localSheetId="57">'0105_ANAクラウン　別紙1-2'!$A$2:$U$40</definedName>
    <definedName name="_xlnm.Print_Area" localSheetId="58">'0105_ANAクラウン　別紙1-3'!$A$2:$U$24</definedName>
    <definedName name="_xlnm.Print_Area" localSheetId="59">'0111　アパEXCELLENT_別紙1-1'!$A$2:$AD$32</definedName>
    <definedName name="_xlnm.Print_Area" localSheetId="60">'0111_アパEXCELLENT 別紙1-2'!$A$2:$U$20</definedName>
    <definedName name="_xlnm.Print_Area" localSheetId="61">'0121_名古屋東急　別紙1-1'!$A$2:$AE$65</definedName>
    <definedName name="_xlnm.Print_Area" localSheetId="62">'0121_名古屋東急　別紙1-2'!$A$2:$U$41</definedName>
    <definedName name="_xlnm.Print_Area" localSheetId="63">'0159_JALシティ錦　別紙1-1'!$A$2:$AD$64</definedName>
    <definedName name="_xlnm.Print_Area" localSheetId="64">'0167_グリーンリッチ　別紙1-1'!$A$2:$AE$58</definedName>
    <definedName name="_xlnm.Print_Area" localSheetId="72">'0200_東横三河Ⅰ　別紙1-1'!$A$2:$AE$30</definedName>
    <definedName name="_xlnm.Print_Area" localSheetId="65">'0201_つどいの丘　別紙1-1'!$A$2:$AE$27</definedName>
    <definedName name="_xlnm.Print_Area" localSheetId="66">'0201_つどいの丘　別紙1-2'!$A$2:$U$48</definedName>
    <definedName name="_xlnm.Print_Area" localSheetId="67">'0206_トヨタキャッスル　別紙1-1'!$A$2:$AE$45</definedName>
    <definedName name="_xlnm.Print_Area" localSheetId="68">'0206_トヨタキャッスル　別紙1-2'!$A$2:$U$36</definedName>
    <definedName name="_xlnm.Print_Area" localSheetId="69">'0210_名鉄トヨタ　別紙1-1'!$A$2:$AE$32</definedName>
    <definedName name="_xlnm.Print_Area" localSheetId="70">'0210_名鉄トヨタ　別紙1-2'!$A$2:$U$20</definedName>
    <definedName name="_xlnm.Print_Area" localSheetId="71">'0219_東横三河Ⅱ　別紙1-1'!$A$2:$AE$31</definedName>
    <definedName name="_xlnm.Print_Area" localSheetId="73">'0221_グランドティアラ　別紙1-1'!$A$2:$Y$57</definedName>
    <definedName name="_xlnm.Print_Area" localSheetId="75">'0221_グランドティアラ　別紙1-3'!$A$2:$U$24</definedName>
    <definedName name="_xlnm.Print_Area" localSheetId="76">'0223_ドーミー三河安城　別紙1-1'!$A$2:$AE$32</definedName>
    <definedName name="_xlnm.Print_Area" localSheetId="77">'0245_変なホテル　別紙1-1'!$A$2:$AE$57</definedName>
    <definedName name="_xlnm.Print_Area" localSheetId="78">'0245_変なホテル　別紙1-2'!$A$2:$U$38</definedName>
    <definedName name="_xlnm.Print_Area" localSheetId="79">'0249_明山荘　別紙1-1'!$A$2:$AE$37</definedName>
    <definedName name="_xlnm.Print_Area" localSheetId="80">'0249_明山荘　別紙1-2'!$A$2:$U$19</definedName>
    <definedName name="_xlnm.Print_Area" localSheetId="81">'0252_ホテル平野屋　別紙1-1'!$A$2:$AE$32</definedName>
    <definedName name="_xlnm.Print_Area" localSheetId="82">'0252_ホテル平野屋　別紙1-2'!$A$2:$U$28</definedName>
    <definedName name="_xlnm.Print_Area" localSheetId="83">'0253_蒲郡ホテル　別紙1-1'!$A$2:$AE$33</definedName>
    <definedName name="_xlnm.Print_Area" localSheetId="84">'0253_蒲郡ホテル　別紙1-2'!$A$2:$U$20</definedName>
    <definedName name="_xlnm.Print_Area" localSheetId="85">'0261_ホテル竹島　別紙1-1'!$A$2:$AE$33</definedName>
    <definedName name="_xlnm.Print_Area" localSheetId="86">'0261_ホテル竹島　別紙1-2'!$A$2:$U$20</definedName>
    <definedName name="_xlnm.Print_Area" localSheetId="87">'0281_ロワジール豊橋　別紙1-1'!$A$2:$AE$83</definedName>
    <definedName name="_xlnm.Print_Area" localSheetId="88">'0281_ロワジール豊橋　別紙1-2'!$A$2:$U$92</definedName>
    <definedName name="_xlnm.Print_Area" localSheetId="89">'0298_フォーポイント中部　別紙1-1'!$A$2:$AE$59</definedName>
    <definedName name="_xlnm.Print_Area" localSheetId="90">'0298_フォーポイント中部　別紙1-3'!$A$2:$U$39</definedName>
    <definedName name="_xlnm.Print_Area" localSheetId="91">'0299_東横中部国際Ⅱ　別紙1-1'!$A$2:$AE$31</definedName>
    <definedName name="_xlnm.Print_Area" localSheetId="92">'0299_東横中部国際Ⅱ　別紙1-3'!$A$2:$U$24</definedName>
    <definedName name="_xlnm.Print_Area" localSheetId="93">'0300_東横中部国際Ⅰ　別紙1-1'!$A$2:$AE$30</definedName>
    <definedName name="_xlnm.Print_Area" localSheetId="94">'0300_東横中部国際Ⅰ　別紙1-2'!$A$2:$U$20</definedName>
    <definedName name="_xlnm.Print_Area" localSheetId="95">'0301_Jホテルりんくう　別紙1-1'!$A$2:$AE$36</definedName>
    <definedName name="_xlnm.Print_Area" localSheetId="96">'0301_Jホテルりんくう　別紙1-2'!$A$2:$U$20</definedName>
    <definedName name="_xlnm.Print_Area" localSheetId="97">'0302_セントレアホテル　別紙1-1'!$A$2:$AE$58</definedName>
    <definedName name="_xlnm.Print_Area" localSheetId="98">'1003_ルートイン新城　別紙1-1'!$A$2:$AE$32</definedName>
    <definedName name="_xlnm.Print_Area" localSheetId="99">'1003_ルートイン新城　別紙1-2'!$A$2:$U$20</definedName>
    <definedName name="_xlnm.Print_Area" localSheetId="100">'1007_ミュースタイル　別紙1-1'!$A$2:$AE$54</definedName>
    <definedName name="_xlnm.Print_Area" localSheetId="101">'1007_ミュースタイル　別紙1-2'!$A$2:$U$18</definedName>
    <definedName name="_xlnm.Print_Area" localSheetId="102">'1015_三河海陽閣　別紙1-1'!$A$2:$AE$32</definedName>
    <definedName name="_xlnm.Print_Area" localSheetId="103">'1015_三河海陽閣　別紙1-2'!$A$2:$U$20</definedName>
    <definedName name="_xlnm.Print_Area" localSheetId="104">'1021_コートヤード　別紙1-1'!$A$2:$AE$57</definedName>
    <definedName name="_xlnm.Print_Area" localSheetId="105">'1021_コートヤード　別紙1-2'!$A$2:$U$37</definedName>
    <definedName name="_xlnm.Print_Area" localSheetId="106">'1021_コートヤード　別紙1-3'!$A$2:$U$39</definedName>
    <definedName name="_xlnm.Print_Area" localSheetId="107">'1027_TIAD 別紙1-1'!$A$2:$AE$33</definedName>
    <definedName name="_xlnm.Print_Area" localSheetId="108">'1027_TIAD 別紙1-2'!$A$1:$U$21</definedName>
    <definedName name="_xlnm.Print_Area" localSheetId="109">'1029_伊良湖オーシャン　別紙1-1'!$A$2:$AE$32</definedName>
    <definedName name="_xlnm.Print_Area" localSheetId="110">'1029_伊良湖オーシャン　別紙1-2'!$A$2:$U$22</definedName>
    <definedName name="_xlnm.Print_Area" localSheetId="112">'2007_シェラトン都ホテル　別紙1-3'!$A$2:$U$24</definedName>
    <definedName name="_xlnm.Print_Area" localSheetId="111">'2007_シェラトン都ホテル大阪 (2)'!$A$1:$J$73</definedName>
    <definedName name="_xlnm.Print_Area" localSheetId="113">'2008_アゴーラ堺　別紙1-1'!$A$2:$AE$31</definedName>
    <definedName name="_xlnm.Print_Area" localSheetId="114">'2008_アゴーラ堺　別紙1-2'!$A$2:$U$19</definedName>
    <definedName name="_xlnm.Print_Area" localSheetId="115">'2016_つま恋リゾート　別紙1-1'!$A$2:$AE$32</definedName>
    <definedName name="_xlnm.Print_Area" localSheetId="116">'2016_つま恋リゾート　別紙1-2'!$A$2:$U$28</definedName>
    <definedName name="_xlnm.Print_Area" localSheetId="117">'2018_掛川グランド　別紙1-1'!$A$2:$AE$32</definedName>
    <definedName name="_xlnm.Print_Area" localSheetId="118">'2018_掛川グランド　別紙1-2'!$A$2:$U$20</definedName>
    <definedName name="_xlnm.Print_Area" localSheetId="119">'2019_メルキュール浜名湖　別紙1-1'!$A$2:$AE$57</definedName>
    <definedName name="_xlnm.Print_Area" localSheetId="120">'2019_メルキュール浜名湖　別紙1-2'!$A$2:$U$48</definedName>
    <definedName name="_xlnm.Print_Area" localSheetId="121">'2022_ラフォーレ修善寺 別紙1-1'!$A$2:$AE$57</definedName>
    <definedName name="_xlnm.Print_Area" localSheetId="122">'2022_ラフォーレ修善寺 別紙1-2'!$A$2:$U$49</definedName>
    <definedName name="_xlnm.Print_Area" localSheetId="123">'2022_ラフォーレ修善寺 別紙1-3'!$A$2:$U$24</definedName>
    <definedName name="_xlnm.Print_Area" localSheetId="124">'2026_岐阜グランド　別紙1-1'!$A$2:$AE$61</definedName>
    <definedName name="_xlnm.Print_Area" localSheetId="125">'2026_岐阜グランド　別紙1-2'!$A$2:$U$94</definedName>
    <definedName name="_xlnm.Print_Area" localSheetId="126">'2027_岐阜都　別紙1-1'!$A$2:$AE$57</definedName>
    <definedName name="_xlnm.Print_Area" localSheetId="127">'2027_岐阜都　別紙1-2'!$A$2:$U$43</definedName>
    <definedName name="_xlnm.Print_Area" localSheetId="128">'2032_大垣フォーラム　別紙1-1'!$A$2:$AE$32</definedName>
    <definedName name="_xlnm.Print_Area" localSheetId="129">'2032_大垣フォーラム　別紙1-2'!$A$2:$U$42</definedName>
    <definedName name="_xlnm.Print_Area" localSheetId="130">'2041_コンコルド浜松　別紙1-1'!$A$2:$AE$55</definedName>
    <definedName name="_xlnm.Print_Area" localSheetId="131">'2041_コンコルド浜松　別紙1-2'!$A$2:$U$36</definedName>
    <definedName name="_xlnm.Print_Area" localSheetId="132">'2045_クインテッサ大垣　別紙1-1'!$A$2:$AE$32</definedName>
    <definedName name="_xlnm.Print_Area" localSheetId="133">'2045_クインテッサ大垣　別紙1-2'!$A$2:$U$24</definedName>
    <definedName name="_xlnm.Print_Area" localSheetId="134">'2049_青年館ホテル　別紙1-1'!$A$2:$AE$32</definedName>
    <definedName name="_xlnm.Print_Area" localSheetId="135">'2049_青年館ホテル　別紙1-2'!$A$2:$U$26</definedName>
    <definedName name="_xlnm.Print_Area" localSheetId="136">'2051_ベイ潮見プリンス　別紙1-1'!$A$2:$AF$32</definedName>
    <definedName name="_xlnm.Print_Area" localSheetId="137">'2051_ベイ潮見プリンス　別紙1-2'!$A$2:$U$21</definedName>
    <definedName name="_xlnm.Print_Area" localSheetId="138">'3001_グランドニッコー台場　別紙1-1'!$A$2:$Y$48</definedName>
    <definedName name="_xlnm.Print_Area" localSheetId="139">'3001_グランドニッコー台場　別紙1-3'!$A$2:$U$24</definedName>
    <definedName name="_xlnm.Print_Area" localSheetId="31">'アジアメディア（更新 没）'!$A$1:$BO$38</definedName>
    <definedName name="_xlnm.Print_Area" localSheetId="32">'アジアメディア(新更新版）'!$A$1:$BO$38</definedName>
    <definedName name="_xlnm.Print_Area" localSheetId="28">'アジア技術役員 (DCO更新) '!$B$1:$BB$14</definedName>
    <definedName name="_xlnm.Print_Area" localSheetId="26">'アジア技術役員　更新版'!$A$1:$AB$73</definedName>
    <definedName name="_xlnm.Print_Area" localSheetId="27">'アジア技術役員(DCO以外 0913)'!$B$1:$BS$78</definedName>
    <definedName name="_xlnm.Print_Area" localSheetId="14">'アジア選手（0913試行更新版）'!$A$1:$BN$120</definedName>
    <definedName name="_xlnm.Print_Area" localSheetId="13">'アジア選手（v4）'!$A$1:$BX$139</definedName>
    <definedName name="_xlnm.Print_Area" localSheetId="144">オリジナル!$B$3:$I$71</definedName>
    <definedName name="_xlnm.Print_Area" localSheetId="35">シン・パラ技術役員!$B$1:$AV$25</definedName>
    <definedName name="_xlnm.Print_Area" localSheetId="36">'シン・パラ技術役員 (DCO)'!$B$1:$AV$9</definedName>
    <definedName name="_xlnm.Print_Area" localSheetId="42">'パラファミスポ(0530)'!$B$1:$Z$20</definedName>
    <definedName name="_xlnm.Print_Area" localSheetId="34">パラメディア!$A$1:$AZ$31</definedName>
    <definedName name="_xlnm.Print_Area" localSheetId="33">'パラ選手・チーム役員 (0531)'!$B$1:$BH$34</definedName>
    <definedName name="_xlnm.Print_Area" localSheetId="147">'ボツ債務負担行為積算 '!$A$2:$W$11</definedName>
    <definedName name="_xlnm.Print_Area" localSheetId="146">マスター2_施設情報!$A$1:$T$362</definedName>
    <definedName name="_xlnm.Print_Area" localSheetId="8">'債務負担行為積算  (数式)'!$A$1:$J$40</definedName>
    <definedName name="_xlnm.Print_Area" localSheetId="6">'債務負担行為積算  (全部盛り) '!$A$1:$J$41</definedName>
    <definedName name="_xlnm.Print_Area" localSheetId="3">'新予算管理比較積算（VIL移管反映）'!$A$2:$R$144</definedName>
    <definedName name="_xlnm.Print_Area" localSheetId="2">'内示額反映積算（VIL移管反映）'!$A$2:$R$144</definedName>
    <definedName name="_xlnm.Print_Area" localSheetId="1">'予算管理比較積算 (VIL移管前)'!$A$1:$S$95</definedName>
    <definedName name="_xlnm.Print_Area" localSheetId="4">'予算管理比較積算（VIL移管反映）'!$A$1:$R$110</definedName>
    <definedName name="_xlnm.Print_Titles" localSheetId="15">【20240925】アジア競技大会配宿シュミレーション!$A:$G,【20240925】アジア競技大会配宿シュミレーション!$1:$4</definedName>
    <definedName name="_xlnm.Print_Titles" localSheetId="41">【250610】パラスポンサーシミュ!$2:$5</definedName>
    <definedName name="_xlnm.Print_Titles" localSheetId="25">【251001】アジアメディアシミュ!$6:$8</definedName>
    <definedName name="_xlnm.Print_Titles" localSheetId="23">【251001】アジア技術役員シミュ!$A:$H,【251001】アジア技術役員シミュ!$1:$4</definedName>
    <definedName name="_xlnm.Print_Titles" localSheetId="18">【251001】アジア選手積算!$A:$C,【251001】アジア選手積算!$3:$4</definedName>
    <definedName name="_xlnm.Print_Titles" localSheetId="43">【251001】パラメディアシミュ!$2:$4</definedName>
    <definedName name="_xlnm.Print_Titles" localSheetId="40">【251001】パラ技術役員シミュ!$A:$H,【251001】パラ技術役員シミュ!$1:$4</definedName>
    <definedName name="_xlnm.Print_Titles" localSheetId="19">【251001】パラ選手積算!$1:$1</definedName>
    <definedName name="_xlnm.Print_Titles" localSheetId="31">'アジアメディア（更新 没）'!$2:$4</definedName>
    <definedName name="_xlnm.Print_Titles" localSheetId="32">'アジアメディア(新更新版）'!$6:$8</definedName>
    <definedName name="_xlnm.Print_Titles" localSheetId="28">'アジア技術役員 (DCO更新) '!$2:$2</definedName>
    <definedName name="_xlnm.Print_Titles" localSheetId="26">'アジア技術役員　更新版'!$3:$3</definedName>
    <definedName name="_xlnm.Print_Titles" localSheetId="27">'アジア技術役員(DCO以外 0913)'!$3:$3</definedName>
    <definedName name="_xlnm.Print_Titles" localSheetId="14">'アジア選手（0913試行更新版）'!$A:$G,'アジア選手（0913試行更新版）'!$1:$4</definedName>
    <definedName name="_xlnm.Print_Titles" localSheetId="13">'アジア選手（v4）'!$A:$G,'アジア選手（v4）'!$1:$2</definedName>
    <definedName name="_xlnm.Print_Titles" localSheetId="34">パラメディア!$2:$4</definedName>
    <definedName name="_xlnm.Print_Titles" localSheetId="33">'パラ選手・チーム役員 (0531)'!$1:$3</definedName>
    <definedName name="_xlnm.Print_Titles" localSheetId="146">マスター2_施設情報!$1:$6</definedName>
    <definedName name="q" localSheetId="15" hidden="1">#REF!</definedName>
    <definedName name="q" localSheetId="14" hidden="1">#REF!</definedName>
    <definedName name="q" localSheetId="147" hidden="1">#REF!</definedName>
    <definedName name="q" localSheetId="8" hidden="1">'債務負担行為積算  (数式)'!#REF!</definedName>
    <definedName name="q" localSheetId="6" hidden="1">'債務負担行為積算  (全部盛り) '!#REF!</definedName>
    <definedName name="q" hidden="1">#REF!</definedName>
    <definedName name="qqq" localSheetId="15" hidden="1">#REF!</definedName>
    <definedName name="qqq" localSheetId="14" hidden="1">#REF!</definedName>
    <definedName name="qqq" localSheetId="147" hidden="1">#REF!</definedName>
    <definedName name="qqq" localSheetId="8" hidden="1">'債務負担行為積算  (数式)'!#REF!</definedName>
    <definedName name="qqq" localSheetId="6" hidden="1">'債務負担行為積算  (全部盛り) '!#REF!</definedName>
    <definedName name="qqq" hidden="1">#REF!</definedName>
    <definedName name="qqqqq" localSheetId="15" hidden="1">#REF!</definedName>
    <definedName name="qqqqq" localSheetId="14" hidden="1">#REF!</definedName>
    <definedName name="qqqqq" localSheetId="147" hidden="1">#REF!</definedName>
    <definedName name="qqqqq" localSheetId="8" hidden="1">'債務負担行為積算  (数式)'!#REF!</definedName>
    <definedName name="qqqqq" localSheetId="6" hidden="1">'債務負担行為積算  (全部盛り) '!#REF!</definedName>
    <definedName name="qqqqq" hidden="1">#REF!</definedName>
    <definedName name="rrr" localSheetId="15" hidden="1">#REF!</definedName>
    <definedName name="rrr" localSheetId="14" hidden="1">#REF!</definedName>
    <definedName name="rrr" localSheetId="147" hidden="1">#REF!</definedName>
    <definedName name="rrr" localSheetId="8" hidden="1">'債務負担行為積算  (数式)'!#REF!</definedName>
    <definedName name="rrr" localSheetId="6" hidden="1">'債務負担行為積算  (全部盛り) '!#REF!</definedName>
    <definedName name="rrr" hidden="1">#REF!</definedName>
    <definedName name="rrrrr" localSheetId="15" hidden="1">#REF!</definedName>
    <definedName name="rrrrr" localSheetId="14" hidden="1">#REF!</definedName>
    <definedName name="rrrrr" localSheetId="147" hidden="1">#REF!</definedName>
    <definedName name="rrrrr" localSheetId="8" hidden="1">'債務負担行為積算  (数式)'!#REF!</definedName>
    <definedName name="rrrrr" localSheetId="6" hidden="1">'債務負担行為積算  (全部盛り) '!#REF!</definedName>
    <definedName name="rrrrr" hidden="1">#REF!</definedName>
    <definedName name="SH" localSheetId="15">#REF!</definedName>
    <definedName name="SH" localSheetId="14">#REF!</definedName>
    <definedName name="SH" localSheetId="13">#REF!</definedName>
    <definedName name="SH" localSheetId="147">#REF!</definedName>
    <definedName name="SH" localSheetId="8">'債務負担行為積算  (数式)'!#REF!</definedName>
    <definedName name="SH" localSheetId="6">'債務負担行為積算  (全部盛り) '!#REF!</definedName>
    <definedName name="SH">#REF!</definedName>
    <definedName name="sssss" localSheetId="15" hidden="1">#REF!</definedName>
    <definedName name="sssss" localSheetId="14" hidden="1">#REF!</definedName>
    <definedName name="sssss" localSheetId="147" hidden="1">#REF!</definedName>
    <definedName name="sssss" localSheetId="8" hidden="1">'債務負担行為積算  (数式)'!#REF!</definedName>
    <definedName name="sssss" localSheetId="6" hidden="1">'債務負担行為積算  (全部盛り) '!#REF!</definedName>
    <definedName name="sssss" hidden="1">#REF!</definedName>
    <definedName name="sw" localSheetId="23">#REF!</definedName>
    <definedName name="sw" localSheetId="40">#REF!</definedName>
    <definedName name="sw">[2]数量計算書_組立図ツール連動用!$AI$2</definedName>
    <definedName name="tblCOST00" localSheetId="23">#REF!</definedName>
    <definedName name="tblCOST00" localSheetId="40">#REF!</definedName>
    <definedName name="tblCOST00">[2]mst_FB000!$BA$4:$BA$108</definedName>
    <definedName name="tblCOST06" localSheetId="23">#REF!</definedName>
    <definedName name="tblCOST06" localSheetId="40">#REF!</definedName>
    <definedName name="tblCOST06">[2]mst_FB600!$BA$4:$BA$108</definedName>
    <definedName name="tblHP" localSheetId="23">#REF!</definedName>
    <definedName name="tblHP" localSheetId="40">#REF!</definedName>
    <definedName name="tblHP">[2]mst!$C$160:$D$175</definedName>
    <definedName name="tblHP呼び径" localSheetId="23">#REF!</definedName>
    <definedName name="tblHP呼び径" localSheetId="40">#REF!</definedName>
    <definedName name="tblHP呼び径">[2]mst!$B$160:$B$175</definedName>
    <definedName name="tblSTDID_見出00" localSheetId="23">#REF!</definedName>
    <definedName name="tblSTDID_見出00" localSheetId="40">#REF!</definedName>
    <definedName name="tblSTDID_見出00">[2]mst_FB000!$B$4:$AZ$108</definedName>
    <definedName name="tblSTDID_見出06" localSheetId="23">#REF!</definedName>
    <definedName name="tblSTDID_見出06" localSheetId="40">#REF!</definedName>
    <definedName name="tblSTDID_見出06">[2]mst_FB600!$B$4:$AZ$108</definedName>
    <definedName name="tblSTDID00" localSheetId="23">#REF!</definedName>
    <definedName name="tblSTDID00" localSheetId="40">#REF!</definedName>
    <definedName name="tblSTDID00">[2]mst_FB000!$A$4:$A$108</definedName>
    <definedName name="tblSTDID06" localSheetId="23">#REF!</definedName>
    <definedName name="tblSTDID06" localSheetId="40">#REF!</definedName>
    <definedName name="tblSTDID06">[2]mst_FB600!$A$4:$A$108</definedName>
    <definedName name="tblクローラ" localSheetId="23">#REF!</definedName>
    <definedName name="tblクローラ" localSheetId="40">#REF!</definedName>
    <definedName name="tblクローラ">[2]mst_単価!$I$54:$N$54</definedName>
    <definedName name="tblクローラ2" localSheetId="23">#REF!</definedName>
    <definedName name="tblクローラ2" localSheetId="40">#REF!</definedName>
    <definedName name="tblクローラ2">[2]mst_単価!$I$72:$N$72</definedName>
    <definedName name="tblトラック" localSheetId="23">#REF!</definedName>
    <definedName name="tblトラック" localSheetId="40">#REF!</definedName>
    <definedName name="tblトラック">[2]mst_単価!$O$54:$S$54</definedName>
    <definedName name="tblはしご" localSheetId="23">#REF!</definedName>
    <definedName name="tblはしご" localSheetId="40">#REF!</definedName>
    <definedName name="tblはしご">[2]mst_単価!$A$73:$E$89</definedName>
    <definedName name="tblはしごタイプ" localSheetId="23">#REF!</definedName>
    <definedName name="tblはしごタイプ" localSheetId="40">#REF!</definedName>
    <definedName name="tblはしごタイプ">[2]mst_単価!$C$73:$C$74</definedName>
    <definedName name="tblラフテレーン" localSheetId="23">#REF!</definedName>
    <definedName name="tblラフテレーン" localSheetId="40">#REF!</definedName>
    <definedName name="tblラフテレーン">[2]mst_単価!$B$54:$H$54</definedName>
    <definedName name="tbl運搬" localSheetId="23">#REF!</definedName>
    <definedName name="tbl運搬" localSheetId="40">#REF!</definedName>
    <definedName name="tbl運搬">[2]mst_単価!$Z$3:$AC$3</definedName>
    <definedName name="tbl運搬クローラ" localSheetId="23">#REF!</definedName>
    <definedName name="tbl運搬クローラ" localSheetId="40">#REF!</definedName>
    <definedName name="tbl運搬クローラ">[2]mst_単価!$T$3:$W$3</definedName>
    <definedName name="tbl営業所_住所" localSheetId="23">#REF!</definedName>
    <definedName name="tbl営業所_住所" localSheetId="40">#REF!</definedName>
    <definedName name="tbl営業所_住所">[2]mst_営業所!$B$3:$C$28</definedName>
    <definedName name="tbl塩ビ管" localSheetId="23">#REF!</definedName>
    <definedName name="tbl塩ビ管" localSheetId="40">#REF!</definedName>
    <definedName name="tbl塩ビ管">[2]mst!$C$179:$D$192</definedName>
    <definedName name="tbl塩ビ管呼び径" localSheetId="23">#REF!</definedName>
    <definedName name="tbl塩ビ管呼び径" localSheetId="40">#REF!</definedName>
    <definedName name="tbl塩ビ管呼び径">[2]mst!$B$179:$B$192</definedName>
    <definedName name="tbl県" localSheetId="23">#REF!</definedName>
    <definedName name="tbl県" localSheetId="40">#REF!</definedName>
    <definedName name="tbl県">[2]mst_労務!$B$4:$B$50</definedName>
    <definedName name="tbl県_運搬" localSheetId="23">#REF!</definedName>
    <definedName name="tbl県_運搬" localSheetId="40">#REF!</definedName>
    <definedName name="tbl県_運搬">[2]mst_単価!$Z$4:$AC$49</definedName>
    <definedName name="tbl県_運搬クローラ" localSheetId="23">#REF!</definedName>
    <definedName name="tbl県_運搬クローラ" localSheetId="40">#REF!</definedName>
    <definedName name="tbl県_運搬クローラ">[2]mst_単価!$T$4:$W$49</definedName>
    <definedName name="tbl県_工種" localSheetId="23">#REF!</definedName>
    <definedName name="tbl県_工種" localSheetId="40">#REF!</definedName>
    <definedName name="tbl県_工種">[2]mst_単価!$B$4:$E$49</definedName>
    <definedName name="tbl県_職種" localSheetId="23">#REF!</definedName>
    <definedName name="tbl県_職種" localSheetId="40">#REF!</definedName>
    <definedName name="tbl県_職種">[2]mst_労務!$C$4:$U$50</definedName>
    <definedName name="tbl県_組立分解" localSheetId="23">#REF!</definedName>
    <definedName name="tbl県_組立分解" localSheetId="40">#REF!</definedName>
    <definedName name="tbl県_組立分解">[2]mst_単価!$N$4:$Q$49</definedName>
    <definedName name="tbl県_組立分解クローラ" localSheetId="23">#REF!</definedName>
    <definedName name="tbl県_組立分解クローラ" localSheetId="40">#REF!</definedName>
    <definedName name="tbl県_組立分解クローラ">[2]mst_単価!$H$4:$K$49</definedName>
    <definedName name="tbl見出00" localSheetId="23">#REF!</definedName>
    <definedName name="tbl見出00" localSheetId="40">#REF!</definedName>
    <definedName name="tbl見出00">[2]mst_FB000!$B$3:$AZ$3</definedName>
    <definedName name="tbl見出06" localSheetId="23">#REF!</definedName>
    <definedName name="tbl見出06" localSheetId="40">#REF!</definedName>
    <definedName name="tbl見出06">[2]mst_FB600!$B$3:$AZ$3</definedName>
    <definedName name="tbl工種" localSheetId="23">#REF!</definedName>
    <definedName name="tbl工種" localSheetId="40">#REF!</definedName>
    <definedName name="tbl工種">[2]mst_単価!$B$3:$E$3</definedName>
    <definedName name="tbl職種" localSheetId="23">#REF!</definedName>
    <definedName name="tbl職種" localSheetId="40">#REF!</definedName>
    <definedName name="tbl職種">[2]mst_労務!$C$3:$U$3</definedName>
    <definedName name="tbl組立分解" localSheetId="23">#REF!</definedName>
    <definedName name="tbl組立分解" localSheetId="40">#REF!</definedName>
    <definedName name="tbl組立分解">[2]mst_単価!$N$3:$Q$3</definedName>
    <definedName name="tbl組立分解クローラ" localSheetId="23">#REF!</definedName>
    <definedName name="tbl組立分解クローラ" localSheetId="40">#REF!</definedName>
    <definedName name="tbl組立分解クローラ">[2]mst_単価!$H$3:$K$3</definedName>
    <definedName name="tbl地域" localSheetId="23">#REF!</definedName>
    <definedName name="tbl地域" localSheetId="40">#REF!</definedName>
    <definedName name="tbl地域">[2]mst_単価!$A$55:$A$63</definedName>
    <definedName name="tbl地域_クローラ" localSheetId="23">#REF!</definedName>
    <definedName name="tbl地域_クローラ" localSheetId="40">#REF!</definedName>
    <definedName name="tbl地域_クローラ">[2]mst_単価!$I$55:$N$63</definedName>
    <definedName name="tbl地域_クローラ2" localSheetId="23">#REF!</definedName>
    <definedName name="tbl地域_クローラ2" localSheetId="40">#REF!</definedName>
    <definedName name="tbl地域_クローラ2">[2]mst_単価!$I$73:$N$81</definedName>
    <definedName name="tbl地域_トラック" localSheetId="23">#REF!</definedName>
    <definedName name="tbl地域_トラック" localSheetId="40">#REF!</definedName>
    <definedName name="tbl地域_トラック">[2]mst_単価!$O$55:$S$63</definedName>
    <definedName name="tbl地域_ラフテレーン" localSheetId="23">#REF!</definedName>
    <definedName name="tbl地域_ラフテレーン" localSheetId="40">#REF!</definedName>
    <definedName name="tbl地域_ラフテレーン">[2]mst_単価!$B$55:$H$63</definedName>
    <definedName name="tbl地域3" localSheetId="23">#REF!</definedName>
    <definedName name="tbl地域3" localSheetId="40">#REF!</definedName>
    <definedName name="tbl地域3">[2]mst_単価!$H$73:$H$81</definedName>
    <definedName name="ttt" localSheetId="15" hidden="1">#REF!</definedName>
    <definedName name="ttt" localSheetId="14" hidden="1">#REF!</definedName>
    <definedName name="ttt" localSheetId="147" hidden="1">#REF!</definedName>
    <definedName name="ttt" localSheetId="39" hidden="1">#REF!</definedName>
    <definedName name="ttt" localSheetId="8" hidden="1">'債務負担行為積算  (数式)'!#REF!</definedName>
    <definedName name="ttt" localSheetId="6" hidden="1">'債務負担行為積算  (全部盛り) '!#REF!</definedName>
    <definedName name="ttt" hidden="1">#REF!</definedName>
    <definedName name="ttttt" localSheetId="15" hidden="1">#REF!</definedName>
    <definedName name="ttttt" localSheetId="14" hidden="1">#REF!</definedName>
    <definedName name="ttttt" localSheetId="147" hidden="1">#REF!</definedName>
    <definedName name="ttttt" localSheetId="39" hidden="1">#REF!</definedName>
    <definedName name="ttttt" localSheetId="8" hidden="1">'債務負担行為積算  (数式)'!#REF!</definedName>
    <definedName name="ttttt" localSheetId="6" hidden="1">'債務負担行為積算  (全部盛り) '!#REF!</definedName>
    <definedName name="ttttt" hidden="1">#REF!</definedName>
    <definedName name="u" localSheetId="15" hidden="1">#REF!</definedName>
    <definedName name="u" localSheetId="14" hidden="1">#REF!</definedName>
    <definedName name="u" localSheetId="147" hidden="1">#REF!</definedName>
    <definedName name="u" localSheetId="39" hidden="1">#REF!</definedName>
    <definedName name="u" localSheetId="8" hidden="1">'債務負担行為積算  (数式)'!#REF!</definedName>
    <definedName name="u" localSheetId="6" hidden="1">'債務負担行為積算  (全部盛り) '!#REF!</definedName>
    <definedName name="u" hidden="1">#REF!</definedName>
    <definedName name="uuuu" localSheetId="15" hidden="1">#REF!</definedName>
    <definedName name="uuuu" localSheetId="14" hidden="1">#REF!</definedName>
    <definedName name="uuuu" localSheetId="147" hidden="1">#REF!</definedName>
    <definedName name="uuuu" localSheetId="8" hidden="1">'債務負担行為積算  (数式)'!#REF!</definedName>
    <definedName name="uuuu" localSheetId="6" hidden="1">'債務負担行為積算  (全部盛り) '!#REF!</definedName>
    <definedName name="uuuu" hidden="1">#REF!</definedName>
    <definedName name="VP" localSheetId="15">#REF!</definedName>
    <definedName name="VP" localSheetId="14">#REF!</definedName>
    <definedName name="VP" localSheetId="147">#REF!</definedName>
    <definedName name="VP" localSheetId="8">'債務負担行為積算  (数式)'!#REF!</definedName>
    <definedName name="VP" localSheetId="6">'債務負担行為積算  (全部盛り) '!#REF!</definedName>
    <definedName name="VP">#REF!</definedName>
    <definedName name="vvvv" localSheetId="15" hidden="1">#REF!</definedName>
    <definedName name="vvvv" localSheetId="14" hidden="1">#REF!</definedName>
    <definedName name="vvvv" localSheetId="147" hidden="1">#REF!</definedName>
    <definedName name="vvvv" localSheetId="8" hidden="1">'債務負担行為積算  (数式)'!#REF!</definedName>
    <definedName name="vvvv" localSheetId="6" hidden="1">'債務負担行為積算  (全部盛り) '!#REF!</definedName>
    <definedName name="vvvv" hidden="1">#REF!</definedName>
    <definedName name="wwww" localSheetId="15" hidden="1">#REF!</definedName>
    <definedName name="wwww" localSheetId="14" hidden="1">#REF!</definedName>
    <definedName name="wwww" localSheetId="147" hidden="1">#REF!</definedName>
    <definedName name="wwww" localSheetId="8" hidden="1">'債務負担行為積算  (数式)'!#REF!</definedName>
    <definedName name="wwww" localSheetId="6" hidden="1">'債務負担行為積算  (全部盛り) '!#REF!</definedName>
    <definedName name="wwww" hidden="1">#REF!</definedName>
    <definedName name="xxx" localSheetId="15" hidden="1">#REF!</definedName>
    <definedName name="xxx" localSheetId="14" hidden="1">#REF!</definedName>
    <definedName name="xxx" localSheetId="147" hidden="1">#REF!</definedName>
    <definedName name="xxx" localSheetId="8" hidden="1">'債務負担行為積算  (数式)'!#REF!</definedName>
    <definedName name="xxx" localSheetId="6" hidden="1">'債務負担行為積算  (全部盛り) '!#REF!</definedName>
    <definedName name="xxx" hidden="1">#REF!</definedName>
    <definedName name="xxxxx" localSheetId="15" hidden="1">#REF!</definedName>
    <definedName name="xxxxx" localSheetId="14" hidden="1">#REF!</definedName>
    <definedName name="xxxxx" localSheetId="147" hidden="1">#REF!</definedName>
    <definedName name="xxxxx" localSheetId="8" hidden="1">'債務負担行為積算  (数式)'!#REF!</definedName>
    <definedName name="xxxxx" localSheetId="6" hidden="1">'債務負担行為積算  (全部盛り) '!#REF!</definedName>
    <definedName name="xxxxx" hidden="1">#REF!</definedName>
    <definedName name="yy" localSheetId="15" hidden="1">#REF!</definedName>
    <definedName name="yy" localSheetId="14" hidden="1">#REF!</definedName>
    <definedName name="yy" localSheetId="147" hidden="1">#REF!</definedName>
    <definedName name="yy" localSheetId="8" hidden="1">'債務負担行為積算  (数式)'!#REF!</definedName>
    <definedName name="yy" localSheetId="6" hidden="1">'債務負担行為積算  (全部盛り) '!#REF!</definedName>
    <definedName name="yy" hidden="1">#REF!</definedName>
    <definedName name="yyyyy" localSheetId="15" hidden="1">#REF!</definedName>
    <definedName name="yyyyy" localSheetId="14" hidden="1">#REF!</definedName>
    <definedName name="yyyyy" localSheetId="147" hidden="1">#REF!</definedName>
    <definedName name="yyyyy" localSheetId="8" hidden="1">'債務負担行為積算  (数式)'!#REF!</definedName>
    <definedName name="yyyyy" localSheetId="6" hidden="1">'債務負担行為積算  (全部盛り) '!#REF!</definedName>
    <definedName name="yyyyy" hidden="1">#REF!</definedName>
    <definedName name="yyyyyyy" localSheetId="15" hidden="1">#REF!</definedName>
    <definedName name="yyyyyyy" localSheetId="14" hidden="1">#REF!</definedName>
    <definedName name="yyyyyyy" localSheetId="147" hidden="1">#REF!</definedName>
    <definedName name="yyyyyyy" localSheetId="8" hidden="1">'債務負担行為積算  (数式)'!#REF!</definedName>
    <definedName name="yyyyyyy" localSheetId="6" hidden="1">'債務負担行為積算  (全部盛り) '!#REF!</definedName>
    <definedName name="yyyyyyy" hidden="1">#REF!</definedName>
    <definedName name="zzzzz" localSheetId="15" hidden="1">#REF!</definedName>
    <definedName name="zzzzz" localSheetId="14" hidden="1">#REF!</definedName>
    <definedName name="zzzzz" localSheetId="147" hidden="1">#REF!</definedName>
    <definedName name="zzzzz" localSheetId="8" hidden="1">'債務負担行為積算  (数式)'!#REF!</definedName>
    <definedName name="zzzzz" localSheetId="6" hidden="1">'債務負担行為積算  (全部盛り) '!#REF!</definedName>
    <definedName name="zzzzz" hidden="1">#REF!</definedName>
    <definedName name="エリア">[3]DB!$H$2:$H$8</definedName>
    <definedName name="ガソリン" localSheetId="15">#REF!</definedName>
    <definedName name="ガソリン" localSheetId="14">#REF!</definedName>
    <definedName name="ガソリン" localSheetId="147">#REF!</definedName>
    <definedName name="ガソリン" localSheetId="8">'債務負担行為積算  (数式)'!#REF!</definedName>
    <definedName name="ガソリン" localSheetId="6">'債務負担行為積算  (全部盛り) '!#REF!</definedName>
    <definedName name="ガソリン">#REF!</definedName>
    <definedName name="クエリー1" localSheetId="15">#REF!</definedName>
    <definedName name="クエリー1">#REF!</definedName>
    <definedName name="ｿｰﾄ" localSheetId="15" hidden="1">#REF!</definedName>
    <definedName name="ｿｰﾄ" localSheetId="14" hidden="1">#REF!</definedName>
    <definedName name="ｿｰﾄ" localSheetId="147" hidden="1">#REF!</definedName>
    <definedName name="ｿｰﾄ" localSheetId="8" hidden="1">'債務負担行為積算  (数式)'!#REF!</definedName>
    <definedName name="ｿｰﾄ" localSheetId="6" hidden="1">'債務負担行為積算  (全部盛り) '!#REF!</definedName>
    <definedName name="ｿｰﾄ" hidden="1">#REF!</definedName>
    <definedName name="とび工" localSheetId="15">#REF!</definedName>
    <definedName name="とび工" localSheetId="14">#REF!</definedName>
    <definedName name="とび工" localSheetId="147">#REF!</definedName>
    <definedName name="とび工" localSheetId="8">'債務負担行為積算  (数式)'!#REF!</definedName>
    <definedName name="とび工" localSheetId="6">'債務負担行為積算  (全部盛り) '!#REF!</definedName>
    <definedName name="とび工">#REF!</definedName>
    <definedName name="ﾄﾗｯｸｸﾚｰﾝ" localSheetId="15">#REF!</definedName>
    <definedName name="ﾄﾗｯｸｸﾚｰﾝ" localSheetId="14">#REF!</definedName>
    <definedName name="ﾄﾗｯｸｸﾚｰﾝ" localSheetId="147">#REF!</definedName>
    <definedName name="ﾄﾗｯｸｸﾚｰﾝ" localSheetId="8">'債務負担行為積算  (数式)'!#REF!</definedName>
    <definedName name="ﾄﾗｯｸｸﾚｰﾝ" localSheetId="6">'債務負担行為積算  (全部盛り) '!#REF!</definedName>
    <definedName name="ﾄﾗｯｸｸﾚｰﾝ">#REF!</definedName>
    <definedName name="トンネル作業員" localSheetId="15">#REF!</definedName>
    <definedName name="トンネル作業員" localSheetId="14">#REF!</definedName>
    <definedName name="トンネル作業員" localSheetId="147">#REF!</definedName>
    <definedName name="トンネル作業員" localSheetId="8">'債務負担行為積算  (数式)'!#REF!</definedName>
    <definedName name="トンネル作業員" localSheetId="6">'債務負担行為積算  (全部盛り) '!#REF!</definedName>
    <definedName name="トンネル作業員">#REF!</definedName>
    <definedName name="トンネル世話役" localSheetId="15">#REF!</definedName>
    <definedName name="トンネル世話役" localSheetId="14">#REF!</definedName>
    <definedName name="トンネル世話役" localSheetId="147">#REF!</definedName>
    <definedName name="トンネル世話役" localSheetId="8">'債務負担行為積算  (数式)'!#REF!</definedName>
    <definedName name="トンネル世話役" localSheetId="6">'債務負担行為積算  (全部盛り) '!#REF!</definedName>
    <definedName name="トンネル世話役">#REF!</definedName>
    <definedName name="トンネル特殊工" localSheetId="15">#REF!</definedName>
    <definedName name="トンネル特殊工" localSheetId="14">#REF!</definedName>
    <definedName name="トンネル特殊工" localSheetId="147">#REF!</definedName>
    <definedName name="トンネル特殊工" localSheetId="8">'債務負担行為積算  (数式)'!#REF!</definedName>
    <definedName name="トンネル特殊工" localSheetId="6">'債務負担行為積算  (全部盛り) '!#REF!</definedName>
    <definedName name="トンネル特殊工">#REF!</definedName>
    <definedName name="はつり工" localSheetId="15">#REF!</definedName>
    <definedName name="はつり工" localSheetId="14">#REF!</definedName>
    <definedName name="はつり工" localSheetId="147">#REF!</definedName>
    <definedName name="はつり工" localSheetId="8">'債務負担行為積算  (数式)'!#REF!</definedName>
    <definedName name="はつり工" localSheetId="6">'債務負担行為積算  (全部盛り) '!#REF!</definedName>
    <definedName name="はつり工">#REF!</definedName>
    <definedName name="ファンクション種類">[3]DB!$M$2:$M$5</definedName>
    <definedName name="一般運転手" localSheetId="15">#REF!</definedName>
    <definedName name="一般運転手" localSheetId="14">#REF!</definedName>
    <definedName name="一般運転手" localSheetId="147">#REF!</definedName>
    <definedName name="一般運転手" localSheetId="8">'債務負担行為積算  (数式)'!#REF!</definedName>
    <definedName name="一般運転手" localSheetId="6">'債務負担行為積算  (全部盛り) '!#REF!</definedName>
    <definedName name="一般運転手">#REF!</definedName>
    <definedName name="会議形態★">[4]会場形態!$A$2:$A$6</definedName>
    <definedName name="会場形態" localSheetId="44">[5]会場形態!$A$2:$A$6</definedName>
    <definedName name="会場形態" localSheetId="45">[5]会場形態!$A$2:$A$6</definedName>
    <definedName name="会場形態" localSheetId="48">[6]会場形態!$A$2:$A$6</definedName>
    <definedName name="会場形態" localSheetId="49">[7]会場形態!$A$2:$A$6</definedName>
    <definedName name="会場形態" localSheetId="50">[7]会場形態!$A$2:$A$6</definedName>
    <definedName name="会場形態" localSheetId="52">[8]会場形態!$A$2:$A$6</definedName>
    <definedName name="会場形態" localSheetId="54">[8]会場形態!$A$2:$A$6</definedName>
    <definedName name="会場形態" localSheetId="55">[6]会場形態!$A$2:$A$6</definedName>
    <definedName name="会場形態" localSheetId="56">[9]会場形態!$A$2:$A$6</definedName>
    <definedName name="会場形態" localSheetId="57">[9]会場形態!$A$2:$A$6</definedName>
    <definedName name="会場形態" localSheetId="58">[6]会場形態!$A$2:$A$6</definedName>
    <definedName name="会場形態" localSheetId="59">[10]会場形態!$A$2:$A$6</definedName>
    <definedName name="会場形態" localSheetId="60">[10]会場形態!$A$2:$A$6</definedName>
    <definedName name="会場形態" localSheetId="61">[11]Sheet1!$A$2:$A$4</definedName>
    <definedName name="会場形態" localSheetId="62">[11]Sheet1!$A$2:$A$4</definedName>
    <definedName name="会場形態" localSheetId="63">[12]会場形態!$A$2:$A$6</definedName>
    <definedName name="会場形態" localSheetId="64">[13]会場形態!$A$2:$A$6</definedName>
    <definedName name="会場形態" localSheetId="65">[14]会場形態!$A$2:$A$3</definedName>
    <definedName name="会場形態" localSheetId="66">[14]会場形態!$A$2:$A$3</definedName>
    <definedName name="会場形態" localSheetId="68">#REF!</definedName>
    <definedName name="会場形態" localSheetId="69">[15]会場形態!$A$2:$A$6</definedName>
    <definedName name="会場形態" localSheetId="70">[15]会場形態!$A$2:$A$6</definedName>
    <definedName name="会場形態" localSheetId="71">[16]会場形態!$A$2:$A$6</definedName>
    <definedName name="会場形態" localSheetId="73">[17]Sheet1!$A$2:$A$4</definedName>
    <definedName name="会場形態" localSheetId="74">[18]Sheet1!$A$2:$A$4</definedName>
    <definedName name="会場形態" localSheetId="75">[6]会場形態!$A$2:$A$6</definedName>
    <definedName name="会場形態" localSheetId="76">[19]会場形態!$A$2:$A$6</definedName>
    <definedName name="会場形態" localSheetId="77">[20]会場形態!$A$2:$A$6</definedName>
    <definedName name="会場形態" localSheetId="78">[20]会場形態!$A$2:$A$6</definedName>
    <definedName name="会場形態" localSheetId="82">[4]会場形態!$A$2:$A$6</definedName>
    <definedName name="会場形態" localSheetId="83">[21]会場形態!$A$2:$A$6</definedName>
    <definedName name="会場形態" localSheetId="84">[21]会場形態!$A$2:$A$6</definedName>
    <definedName name="会場形態" localSheetId="85">[22]会場形態!$A$2:$A$6</definedName>
    <definedName name="会場形態" localSheetId="86">[22]会場形態!$A$2:$A$6</definedName>
    <definedName name="会場形態" localSheetId="88">[23]Sheet1!$A$2:$A$4</definedName>
    <definedName name="会場形態" localSheetId="89">[24]会場形態!$A$2:$A$6</definedName>
    <definedName name="会場形態" localSheetId="90">[6]会場形態!$A$2:$A$6</definedName>
    <definedName name="会場形態" localSheetId="92">[6]会場形態!$A$2:$A$6</definedName>
    <definedName name="会場形態" localSheetId="94">[25]会場形態!$A$2:$A$6</definedName>
    <definedName name="会場形態" localSheetId="95">[26]会場形態!$A$2:$A$6</definedName>
    <definedName name="会場形態" localSheetId="96">[26]会場形態!$A$2:$A$6</definedName>
    <definedName name="会場形態" localSheetId="97">[27]会場形態!$A$2:$A$6</definedName>
    <definedName name="会場形態" localSheetId="98">[28]会場形態!$A$2:$A$6</definedName>
    <definedName name="会場形態" localSheetId="99">[28]会場形態!$A$2:$A$6</definedName>
    <definedName name="会場形態" localSheetId="100">#REF!</definedName>
    <definedName name="会場形態" localSheetId="102">[29]会場形態!$A$2:$A$6</definedName>
    <definedName name="会場形態" localSheetId="103">[29]会場形態!$A$2:$A$6</definedName>
    <definedName name="会場形態" localSheetId="104">[6]会場形態!$A$2:$A$6</definedName>
    <definedName name="会場形態" localSheetId="105">[6]会場形態!$A$2:$A$6</definedName>
    <definedName name="会場形態" localSheetId="106">[6]会場形態!$A$2:$A$6</definedName>
    <definedName name="会場形態" localSheetId="109">[30]会場形態!$A$2:$A$4</definedName>
    <definedName name="会場形態" localSheetId="110">[30]会場形態!$A$2:$A$4</definedName>
    <definedName name="会場形態" localSheetId="112">[6]会場形態!$A$2:$A$6</definedName>
    <definedName name="会場形態" localSheetId="113">[31]会場形態!$A$2:$A$6</definedName>
    <definedName name="会場形態" localSheetId="114">[31]会場形態!$A$2:$A$6</definedName>
    <definedName name="会場形態" localSheetId="115">[32]会場形態!$A$2:$A$6</definedName>
    <definedName name="会場形態" localSheetId="116">[32]会場形態!$A$2:$A$6</definedName>
    <definedName name="会場形態" localSheetId="117">[33]会場形態!$A$2:$A$6</definedName>
    <definedName name="会場形態" localSheetId="118">[33]会場形態!$A$2:$A$6</definedName>
    <definedName name="会場形態" localSheetId="120">[34]会場形態!$A$2:$A$6</definedName>
    <definedName name="会場形態" localSheetId="121">[35]会場形態!$A$2:$A$6</definedName>
    <definedName name="会場形態" localSheetId="122">[35]会場形態!$A$2:$A$6</definedName>
    <definedName name="会場形態" localSheetId="123">[6]会場形態!$A$2:$A$6</definedName>
    <definedName name="会場形態" localSheetId="124">[36]会場形態!$A$2:$A$6</definedName>
    <definedName name="会場形態" localSheetId="125">[36]会場形態!$A$2:$A$6</definedName>
    <definedName name="会場形態" localSheetId="126">[37]会場形態!$A$2:$A$3</definedName>
    <definedName name="会場形態" localSheetId="127">[37]会場形態!$A$2:$A$3</definedName>
    <definedName name="会場形態" localSheetId="128">[38]会場形態!$A$2:$A$6</definedName>
    <definedName name="会場形態" localSheetId="129">[38]会場形態!$A$2:$A$6</definedName>
    <definedName name="会場形態" localSheetId="130">[39]Sheet1!$A$2:$A$4</definedName>
    <definedName name="会場形態" localSheetId="131">[39]Sheet1!$A$2:$A$4</definedName>
    <definedName name="会場形態" localSheetId="132">[40]会場形態!$A$2:$A$6</definedName>
    <definedName name="会場形態" localSheetId="133">[40]会場形態!$A$2:$A$6</definedName>
    <definedName name="会場形態" localSheetId="134">[41]会場形態!$A$2:$A$6</definedName>
    <definedName name="会場形態" localSheetId="135">[41]会場形態!$A$2:$A$6</definedName>
    <definedName name="会場形態" localSheetId="136">[42]会場形態!$A$2:$A$6</definedName>
    <definedName name="会場形態" localSheetId="137">[42]会場形態!$A$2:$A$6</definedName>
    <definedName name="会場形態" localSheetId="138">[43]Sheet1!$A$2:$A$4</definedName>
    <definedName name="会場形態" localSheetId="139">[6]会場形態!$A$2:$A$6</definedName>
    <definedName name="会場形態">#REF!</definedName>
    <definedName name="管渠延長" localSheetId="23">#REF!</definedName>
    <definedName name="管渠延長" localSheetId="40">#REF!</definedName>
    <definedName name="管渠延長">[44]入力!$G$6</definedName>
    <definedName name="管径" localSheetId="23">#REF!</definedName>
    <definedName name="管径" localSheetId="40">#REF!</definedName>
    <definedName name="管径">[44]入力!$G$4</definedName>
    <definedName name="機械工" localSheetId="15">#REF!</definedName>
    <definedName name="機械工" localSheetId="14">#REF!</definedName>
    <definedName name="機械工" localSheetId="13">#REF!</definedName>
    <definedName name="機械工" localSheetId="147">#REF!</definedName>
    <definedName name="機械工" localSheetId="39">#REF!</definedName>
    <definedName name="機械工" localSheetId="8">'債務負担行為積算  (数式)'!#REF!</definedName>
    <definedName name="機械工" localSheetId="6">'債務負担行為積算  (全部盛り) '!#REF!</definedName>
    <definedName name="機械工">#REF!</definedName>
    <definedName name="客室提供割合">[3]DB!$K$2:$K$6</definedName>
    <definedName name="客室提供率21年度比">[3]DB!$N$2:$N$5</definedName>
    <definedName name="空隙" localSheetId="15">#REF!</definedName>
    <definedName name="空隙" localSheetId="14">#REF!</definedName>
    <definedName name="空隙" localSheetId="13">#REF!</definedName>
    <definedName name="空隙" localSheetId="147">#REF!</definedName>
    <definedName name="空隙" localSheetId="39">#REF!</definedName>
    <definedName name="空隙" localSheetId="8">'債務負担行為積算  (数式)'!#REF!</definedName>
    <definedName name="空隙" localSheetId="6">'債務負担行為積算  (全部盛り) '!#REF!</definedName>
    <definedName name="空隙">#REF!</definedName>
    <definedName name="型枠工" localSheetId="15">#REF!</definedName>
    <definedName name="型枠工" localSheetId="14">#REF!</definedName>
    <definedName name="型枠工" localSheetId="13">#REF!</definedName>
    <definedName name="型枠工" localSheetId="147">#REF!</definedName>
    <definedName name="型枠工" localSheetId="39">#REF!</definedName>
    <definedName name="型枠工" localSheetId="8">'債務負担行為積算  (数式)'!#REF!</definedName>
    <definedName name="型枠工" localSheetId="6">'債務負担行為積算  (全部盛り) '!#REF!</definedName>
    <definedName name="型枠工">#REF!</definedName>
    <definedName name="契約締結状況">[3]DB!$E$2:$E$9</definedName>
    <definedName name="軽油" localSheetId="15">#REF!</definedName>
    <definedName name="軽油" localSheetId="14">#REF!</definedName>
    <definedName name="軽油" localSheetId="147">#REF!</definedName>
    <definedName name="軽油" localSheetId="8">'債務負担行為積算  (数式)'!#REF!</definedName>
    <definedName name="軽油" localSheetId="6">'債務負担行為積算  (全部盛り) '!#REF!</definedName>
    <definedName name="軽油">#REF!</definedName>
    <definedName name="交通誘導員" localSheetId="15">#REF!</definedName>
    <definedName name="交通誘導員" localSheetId="14">#REF!</definedName>
    <definedName name="交通誘導員" localSheetId="147">#REF!</definedName>
    <definedName name="交通誘導員" localSheetId="8">'債務負担行為積算  (数式)'!#REF!</definedName>
    <definedName name="交通誘導員" localSheetId="6">'債務負担行為積算  (全部盛り) '!#REF!</definedName>
    <definedName name="交通誘導員">#REF!</definedName>
    <definedName name="項目ごと状況記号">[3]DB!$I$2:$I$6</definedName>
    <definedName name="左官" localSheetId="15">#REF!</definedName>
    <definedName name="左官" localSheetId="14">#REF!</definedName>
    <definedName name="左官" localSheetId="147">#REF!</definedName>
    <definedName name="左官" localSheetId="8">'債務負担行為積算  (数式)'!#REF!</definedName>
    <definedName name="左官" localSheetId="6">'債務負担行為積算  (全部盛り) '!#REF!</definedName>
    <definedName name="左官">#REF!</definedName>
    <definedName name="砕石" localSheetId="15">#REF!</definedName>
    <definedName name="砕石" localSheetId="14">#REF!</definedName>
    <definedName name="砕石" localSheetId="147">#REF!</definedName>
    <definedName name="砕石" localSheetId="8">'債務負担行為積算  (数式)'!#REF!</definedName>
    <definedName name="砕石" localSheetId="6">'債務負担行為積算  (全部盛り) '!#REF!</definedName>
    <definedName name="砕石">#REF!</definedName>
    <definedName name="施工歩掛り_世話役" localSheetId="23">#REF!</definedName>
    <definedName name="施工歩掛り_世話役" localSheetId="40">#REF!</definedName>
    <definedName name="施工歩掛り_世話役">[45]mst_規格!$AM$13:$AN$17</definedName>
    <definedName name="施工歩掛り_普通作業員" localSheetId="23">#REF!</definedName>
    <definedName name="施工歩掛り_普通作業員" localSheetId="40">#REF!</definedName>
    <definedName name="施工歩掛り_普通作業員">[45]mst_規格!$AO$13:$AP$17</definedName>
    <definedName name="施設_NO.">'[3]別添2　交渉優先度と客室提供率 (前サバキ)'!$C$4:$C$349</definedName>
    <definedName name="施設名">#REF!</definedName>
    <definedName name="社内担当者">#REF!</definedName>
    <definedName name="遮水" localSheetId="15">INDIRECT(#REF!)</definedName>
    <definedName name="遮水" localSheetId="14">INDIRECT(#REF!)</definedName>
    <definedName name="遮水" localSheetId="13">INDIRECT(#REF!)</definedName>
    <definedName name="遮水" localSheetId="147">INDIRECT(#REF!)</definedName>
    <definedName name="遮水" localSheetId="8">INDIRECT('債務負担行為積算  (数式)'!#REF!)</definedName>
    <definedName name="遮水" localSheetId="6">INDIRECT('債務負担行為積算  (全部盛り) '!#REF!)</definedName>
    <definedName name="遮水">INDIRECT(#REF!)</definedName>
    <definedName name="遮水_図" localSheetId="15">INDIRECT(#REF!)</definedName>
    <definedName name="遮水_図" localSheetId="14">INDIRECT(#REF!)</definedName>
    <definedName name="遮水_図" localSheetId="147">INDIRECT(#REF!)</definedName>
    <definedName name="遮水_図" localSheetId="8">INDIRECT('債務負担行為積算  (数式)'!#REF!)</definedName>
    <definedName name="遮水_図" localSheetId="6">INDIRECT('債務負担行為積算  (全部盛り) '!#REF!)</definedName>
    <definedName name="遮水_図">INDIRECT(#REF!)</definedName>
    <definedName name="手段">[3]DB!$G$2:$G$5</definedName>
    <definedName name="書式2" localSheetId="15">#REF!</definedName>
    <definedName name="書式2" localSheetId="14">#REF!</definedName>
    <definedName name="書式2" localSheetId="13">#REF!</definedName>
    <definedName name="書式2" localSheetId="147">#REF!</definedName>
    <definedName name="書式2" localSheetId="8">'債務負担行為積算  (数式)'!#REF!</definedName>
    <definedName name="書式2" localSheetId="6">'債務負担行為積算  (全部盛り) '!#REF!</definedName>
    <definedName name="書式2">#REF!</definedName>
    <definedName name="助手" localSheetId="15">#REF!</definedName>
    <definedName name="助手" localSheetId="14">#REF!</definedName>
    <definedName name="助手" localSheetId="13">#REF!</definedName>
    <definedName name="助手" localSheetId="147">#REF!</definedName>
    <definedName name="助手" localSheetId="8">'債務負担行為積算  (数式)'!#REF!</definedName>
    <definedName name="助手" localSheetId="6">'債務負担行為積算  (全部盛り) '!#REF!</definedName>
    <definedName name="助手">#REF!</definedName>
    <definedName name="植樹経費計算書" localSheetId="15" hidden="1">#REF!</definedName>
    <definedName name="植樹経費計算書" localSheetId="14" hidden="1">#REF!</definedName>
    <definedName name="植樹経費計算書" localSheetId="147" hidden="1">#REF!</definedName>
    <definedName name="植樹経費計算書" localSheetId="8" hidden="1">'債務負担行為積算  (数式)'!#REF!</definedName>
    <definedName name="植樹経費計算書" localSheetId="6" hidden="1">'債務負担行為積算  (全部盛り) '!#REF!</definedName>
    <definedName name="植樹経費計算書" hidden="1">#REF!</definedName>
    <definedName name="世話役" localSheetId="15">#REF!</definedName>
    <definedName name="世話役" localSheetId="14">#REF!</definedName>
    <definedName name="世話役" localSheetId="13">#REF!</definedName>
    <definedName name="世話役" localSheetId="147">#REF!</definedName>
    <definedName name="世話役" localSheetId="8">'債務負担行為積算  (数式)'!#REF!</definedName>
    <definedName name="世話役" localSheetId="6">'債務負担行為積算  (全部盛り) '!#REF!</definedName>
    <definedName name="世話役">#REF!</definedName>
    <definedName name="生コン" localSheetId="15">#REF!</definedName>
    <definedName name="生コン" localSheetId="14">#REF!</definedName>
    <definedName name="生コン" localSheetId="147">#REF!</definedName>
    <definedName name="生コン" localSheetId="8">'債務負担行為積算  (数式)'!#REF!</definedName>
    <definedName name="生コン" localSheetId="6">'債務負担行為積算  (全部盛り) '!#REF!</definedName>
    <definedName name="生コン">#REF!</definedName>
    <definedName name="設計日打設量" localSheetId="15">#REF!</definedName>
    <definedName name="設計日打設量" localSheetId="14">#REF!</definedName>
    <definedName name="設計日打設量" localSheetId="147">#REF!</definedName>
    <definedName name="設計日打設量" localSheetId="8">'債務負担行為積算  (数式)'!#REF!</definedName>
    <definedName name="設計日打設量" localSheetId="6">'債務負担行為積算  (全部盛り) '!#REF!</definedName>
    <definedName name="設計日打設量">#REF!</definedName>
    <definedName name="打合せ">#REF!</definedName>
    <definedName name="打設工法" localSheetId="15">#REF!</definedName>
    <definedName name="打設工法" localSheetId="14">#REF!</definedName>
    <definedName name="打設工法" localSheetId="147">#REF!</definedName>
    <definedName name="打設工法" localSheetId="8">'債務負担行為積算  (数式)'!#REF!</definedName>
    <definedName name="打設工法" localSheetId="6">'債務負担行為積算  (全部盛り) '!#REF!</definedName>
    <definedName name="打設工法">#REF!</definedName>
    <definedName name="打設高さ水平距離" localSheetId="15">#REF!</definedName>
    <definedName name="打設高さ水平距離" localSheetId="14">#REF!</definedName>
    <definedName name="打設高さ水平距離" localSheetId="147">#REF!</definedName>
    <definedName name="打設高さ水平距離" localSheetId="8">'債務負担行為積算  (数式)'!#REF!</definedName>
    <definedName name="打設高さ水平距離" localSheetId="6">'債務負担行為積算  (全部盛り) '!#REF!</definedName>
    <definedName name="打設高さ水平距離">#REF!</definedName>
    <definedName name="地域" localSheetId="15">#REF!</definedName>
    <definedName name="地域" localSheetId="14">#REF!</definedName>
    <definedName name="地域" localSheetId="147">#REF!</definedName>
    <definedName name="地域" localSheetId="8">'債務負担行為積算  (数式)'!#REF!</definedName>
    <definedName name="地域" localSheetId="6">'債務負担行為積算  (全部盛り) '!#REF!</definedName>
    <definedName name="地域">#REF!</definedName>
    <definedName name="鉄筋工" localSheetId="15">#REF!</definedName>
    <definedName name="鉄筋工" localSheetId="14">#REF!</definedName>
    <definedName name="鉄筋工" localSheetId="147">#REF!</definedName>
    <definedName name="鉄筋工" localSheetId="8">'債務負担行為積算  (数式)'!#REF!</definedName>
    <definedName name="鉄筋工" localSheetId="6">'債務負担行為積算  (全部盛り) '!#REF!</definedName>
    <definedName name="鉄筋工">#REF!</definedName>
    <definedName name="電工" localSheetId="15">#REF!</definedName>
    <definedName name="電工" localSheetId="14">#REF!</definedName>
    <definedName name="電工" localSheetId="147">#REF!</definedName>
    <definedName name="電工" localSheetId="8">'債務負担行為積算  (数式)'!#REF!</definedName>
    <definedName name="電工" localSheetId="6">'債務負担行為積算  (全部盛り) '!#REF!</definedName>
    <definedName name="電工">#REF!</definedName>
    <definedName name="電力料" localSheetId="15">#REF!</definedName>
    <definedName name="電力料" localSheetId="14">#REF!</definedName>
    <definedName name="電力料" localSheetId="147">#REF!</definedName>
    <definedName name="電力料" localSheetId="8">'債務負担行為積算  (数式)'!#REF!</definedName>
    <definedName name="電力料" localSheetId="6">'債務負担行為積算  (全部盛り) '!#REF!</definedName>
    <definedName name="電力料">#REF!</definedName>
    <definedName name="特殊運転手" localSheetId="15">#REF!</definedName>
    <definedName name="特殊運転手" localSheetId="14">#REF!</definedName>
    <definedName name="特殊運転手" localSheetId="147">#REF!</definedName>
    <definedName name="特殊運転手" localSheetId="8">'債務負担行為積算  (数式)'!#REF!</definedName>
    <definedName name="特殊運転手" localSheetId="6">'債務負担行為積算  (全部盛り) '!#REF!</definedName>
    <definedName name="特殊運転手">#REF!</definedName>
    <definedName name="特殊作業員" localSheetId="15">#REF!</definedName>
    <definedName name="特殊作業員" localSheetId="14">#REF!</definedName>
    <definedName name="特殊作業員" localSheetId="147">#REF!</definedName>
    <definedName name="特殊作業員" localSheetId="8">'債務負担行為積算  (数式)'!#REF!</definedName>
    <definedName name="特殊作業員" localSheetId="6">'債務負担行為積算  (全部盛り) '!#REF!</definedName>
    <definedName name="特殊作業員">#REF!</definedName>
    <definedName name="配管工" localSheetId="15">#REF!</definedName>
    <definedName name="配管工" localSheetId="14">#REF!</definedName>
    <definedName name="配管工" localSheetId="147">#REF!</definedName>
    <definedName name="配管工" localSheetId="8">'債務負担行為積算  (数式)'!#REF!</definedName>
    <definedName name="配管工" localSheetId="6">'債務負担行為積算  (全部盛り) '!#REF!</definedName>
    <definedName name="配管工">#REF!</definedName>
    <definedName name="配送データ" localSheetId="15">#REF!</definedName>
    <definedName name="配送データ">#REF!</definedName>
    <definedName name="泊数" localSheetId="15">#REF!</definedName>
    <definedName name="泊数" localSheetId="147">#REF!</definedName>
    <definedName name="泊数" localSheetId="8">'債務負担行為積算  (数式)'!#REF!</definedName>
    <definedName name="泊数" localSheetId="6">'債務負担行為積算  (全部盛り) '!#REF!</definedName>
    <definedName name="泊数">#REF!</definedName>
    <definedName name="表1" localSheetId="15">#REF!</definedName>
    <definedName name="表1" localSheetId="14">#REF!</definedName>
    <definedName name="表1">#REF!</definedName>
    <definedName name="普通作業員" localSheetId="15">#REF!</definedName>
    <definedName name="普通作業員" localSheetId="14">#REF!</definedName>
    <definedName name="普通作業員" localSheetId="147">#REF!</definedName>
    <definedName name="普通作業員" localSheetId="8">'債務負担行為積算  (数式)'!#REF!</definedName>
    <definedName name="普通作業員" localSheetId="6">'債務負担行為積算  (全部盛り) '!#REF!</definedName>
    <definedName name="普通作業員">#REF!</definedName>
    <definedName name="平面X" localSheetId="15">#REF!</definedName>
    <definedName name="平面X" localSheetId="14">#REF!</definedName>
    <definedName name="平面X" localSheetId="147">#REF!</definedName>
    <definedName name="平面X" localSheetId="8">'債務負担行為積算  (数式)'!#REF!</definedName>
    <definedName name="平面X" localSheetId="6">'債務負担行為積算  (全部盛り) '!#REF!</definedName>
    <definedName name="平面X">#REF!</definedName>
    <definedName name="平面Y" localSheetId="15">#REF!</definedName>
    <definedName name="平面Y" localSheetId="14">#REF!</definedName>
    <definedName name="平面Y" localSheetId="147">#REF!</definedName>
    <definedName name="平面Y" localSheetId="8">'債務負担行為積算  (数式)'!#REF!</definedName>
    <definedName name="平面Y" localSheetId="6">'債務負担行為積算  (全部盛り) '!#REF!</definedName>
    <definedName name="平面Y">#REF!</definedName>
    <definedName name="補正項目" localSheetId="23">#REF!</definedName>
    <definedName name="補正項目" localSheetId="40">#REF!</definedName>
    <definedName name="補正項目">[46]!case1補正率[項目]</definedName>
    <definedName name="有効水深Hy" localSheetId="15">#REF!</definedName>
    <definedName name="有効水深Hy" localSheetId="14">#REF!</definedName>
    <definedName name="有効水深Hy" localSheetId="147">#REF!</definedName>
    <definedName name="有効水深Hy" localSheetId="39">#REF!</definedName>
    <definedName name="有効水深Hy" localSheetId="8">'債務負担行為積算  (数式)'!#REF!</definedName>
    <definedName name="有効水深Hy" localSheetId="6">'債務負担行為積算  (全部盛り) '!#REF!</definedName>
    <definedName name="有効水深Hy">#REF!</definedName>
    <definedName name="溶接工" localSheetId="15">#REF!</definedName>
    <definedName name="溶接工" localSheetId="14">#REF!</definedName>
    <definedName name="溶接工" localSheetId="147">#REF!</definedName>
    <definedName name="溶接工" localSheetId="39">#REF!</definedName>
    <definedName name="溶接工" localSheetId="8">'債務負担行為積算  (数式)'!#REF!</definedName>
    <definedName name="溶接工" localSheetId="6">'債務負担行為積算  (全部盛り) '!#REF!</definedName>
    <definedName name="溶接工">#REF!</definedName>
    <definedName name="料金">[3]DB!$L$2:$L$5</definedName>
    <definedName name="連携・確認先">#REF!</definedName>
    <definedName name="路線延長" localSheetId="23">#REF!</definedName>
    <definedName name="路線延長" localSheetId="40">#REF!</definedName>
    <definedName name="路線延長">[44]入力!$G$5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363" l="1"/>
  <c r="N2" i="369"/>
  <c r="N20" i="369"/>
  <c r="C55" i="368"/>
  <c r="C54" i="368"/>
  <c r="AG51" i="368"/>
  <c r="AG49" i="368"/>
  <c r="AF49" i="368"/>
  <c r="AG48" i="368"/>
  <c r="AF48" i="368"/>
  <c r="AG47" i="368"/>
  <c r="AF47" i="368"/>
  <c r="AG46" i="368"/>
  <c r="AF46" i="368"/>
  <c r="AG45" i="368"/>
  <c r="AF45" i="368"/>
  <c r="AG44" i="368"/>
  <c r="AF44" i="368"/>
  <c r="AG43" i="368"/>
  <c r="AF43" i="368"/>
  <c r="AG42" i="368"/>
  <c r="AF42" i="368"/>
  <c r="AG41" i="368"/>
  <c r="AF41" i="368"/>
  <c r="AG40" i="368"/>
  <c r="AF40" i="368"/>
  <c r="AG39" i="368"/>
  <c r="AF39" i="368"/>
  <c r="AG38" i="368"/>
  <c r="AF38" i="368"/>
  <c r="AG37" i="368"/>
  <c r="AG50" i="368" s="1"/>
  <c r="AF37" i="368"/>
  <c r="AF50" i="368" s="1"/>
  <c r="AG36" i="368"/>
  <c r="AF36" i="368"/>
  <c r="AG35" i="368"/>
  <c r="AF35" i="368"/>
  <c r="C29" i="368"/>
  <c r="C27" i="368"/>
  <c r="C28" i="368"/>
  <c r="AG24" i="365"/>
  <c r="M2" i="368"/>
  <c r="M3" i="368" s="1"/>
  <c r="N3" i="366"/>
  <c r="N2" i="366"/>
  <c r="M2" i="365"/>
  <c r="M3" i="365" s="1"/>
  <c r="N3" i="364"/>
  <c r="N2" i="364"/>
  <c r="M2" i="363"/>
  <c r="M3" i="363" s="1"/>
  <c r="M2" i="361"/>
  <c r="N3" i="362"/>
  <c r="N2" i="362"/>
  <c r="O28" i="362"/>
  <c r="N3" i="359"/>
  <c r="N2" i="359"/>
  <c r="C56" i="358"/>
  <c r="C55" i="358"/>
  <c r="AG49" i="358"/>
  <c r="AF49" i="358"/>
  <c r="AG48" i="358"/>
  <c r="AF48" i="358"/>
  <c r="AG47" i="358"/>
  <c r="AF47" i="358"/>
  <c r="AG46" i="358"/>
  <c r="AF46" i="358"/>
  <c r="AG45" i="358"/>
  <c r="AF45" i="358"/>
  <c r="AG44" i="358"/>
  <c r="AF44" i="358"/>
  <c r="AG43" i="358"/>
  <c r="AF43" i="358"/>
  <c r="AG42" i="358"/>
  <c r="AF42" i="358"/>
  <c r="AG41" i="358"/>
  <c r="AF41" i="358"/>
  <c r="AG40" i="358"/>
  <c r="AF40" i="358"/>
  <c r="AG39" i="358"/>
  <c r="AF39" i="358"/>
  <c r="AG38" i="358"/>
  <c r="AF38" i="358"/>
  <c r="AG37" i="358"/>
  <c r="AF37" i="358"/>
  <c r="AG36" i="358"/>
  <c r="AG50" i="358" s="1"/>
  <c r="AF36" i="358"/>
  <c r="AF50" i="358" s="1"/>
  <c r="AG51" i="358" s="1"/>
  <c r="AG35" i="358"/>
  <c r="AF35" i="358"/>
  <c r="AG19" i="356"/>
  <c r="AG18" i="356"/>
  <c r="C23" i="356" s="1"/>
  <c r="AF18" i="356"/>
  <c r="AF17" i="356"/>
  <c r="M2" i="358"/>
  <c r="M3" i="358" s="1"/>
  <c r="M3" i="356"/>
  <c r="M2" i="356"/>
  <c r="N3" i="357"/>
  <c r="N2" i="357"/>
  <c r="O19" i="357"/>
  <c r="O18" i="357"/>
  <c r="M3" i="361" l="1"/>
  <c r="BH177" i="257" l="1"/>
  <c r="BG177" i="257"/>
  <c r="BF177" i="257"/>
  <c r="BE177" i="257"/>
  <c r="BD177" i="257"/>
  <c r="BC44" i="257"/>
  <c r="O202" i="474"/>
  <c r="I202" i="474"/>
  <c r="O201" i="474"/>
  <c r="I201" i="474"/>
  <c r="P201" i="474" s="1"/>
  <c r="O199" i="474"/>
  <c r="I199" i="474"/>
  <c r="P199" i="474" s="1"/>
  <c r="O197" i="474"/>
  <c r="I197" i="474"/>
  <c r="P197" i="474" s="1"/>
  <c r="O196" i="474"/>
  <c r="I196" i="474"/>
  <c r="O195" i="474"/>
  <c r="I195" i="474"/>
  <c r="O194" i="474"/>
  <c r="I194" i="474"/>
  <c r="O193" i="474"/>
  <c r="I193" i="474"/>
  <c r="P193" i="474" s="1"/>
  <c r="O192" i="474"/>
  <c r="I192" i="474"/>
  <c r="O191" i="474"/>
  <c r="I191" i="474"/>
  <c r="P191" i="474" s="1"/>
  <c r="O189" i="474"/>
  <c r="I189" i="474"/>
  <c r="P189" i="474" s="1"/>
  <c r="O188" i="474"/>
  <c r="I188" i="474"/>
  <c r="O187" i="474"/>
  <c r="I187" i="474"/>
  <c r="O186" i="474"/>
  <c r="I186" i="474"/>
  <c r="O185" i="474"/>
  <c r="I185" i="474"/>
  <c r="P185" i="474" s="1"/>
  <c r="O184" i="474"/>
  <c r="I184" i="474"/>
  <c r="O183" i="474"/>
  <c r="I183" i="474"/>
  <c r="P183" i="474" s="1"/>
  <c r="O182" i="474"/>
  <c r="I182" i="474"/>
  <c r="O181" i="474"/>
  <c r="I181" i="474"/>
  <c r="O180" i="474"/>
  <c r="I180" i="474"/>
  <c r="O179" i="474"/>
  <c r="I179" i="474"/>
  <c r="P179" i="474" s="1"/>
  <c r="I170" i="474"/>
  <c r="P170" i="474" s="1"/>
  <c r="I168" i="474"/>
  <c r="P168" i="474" s="1"/>
  <c r="O167" i="474"/>
  <c r="I167" i="474"/>
  <c r="O166" i="474"/>
  <c r="I166" i="474"/>
  <c r="F164" i="474"/>
  <c r="I163" i="474"/>
  <c r="O162" i="474"/>
  <c r="F162" i="474"/>
  <c r="O161" i="474"/>
  <c r="I161" i="474"/>
  <c r="L160" i="474"/>
  <c r="F160" i="474"/>
  <c r="O159" i="474"/>
  <c r="N159" i="474"/>
  <c r="I159" i="474"/>
  <c r="L158" i="474"/>
  <c r="F158" i="474"/>
  <c r="O157" i="474"/>
  <c r="N157" i="474"/>
  <c r="I157" i="474"/>
  <c r="L156" i="474"/>
  <c r="F156" i="474"/>
  <c r="M155" i="474"/>
  <c r="L155" i="474"/>
  <c r="K155" i="474"/>
  <c r="J155" i="474"/>
  <c r="H155" i="474"/>
  <c r="G155" i="474"/>
  <c r="F155" i="474"/>
  <c r="E155" i="474"/>
  <c r="D155" i="474"/>
  <c r="L154" i="474"/>
  <c r="F154" i="474"/>
  <c r="M152" i="474"/>
  <c r="L152" i="474"/>
  <c r="K152" i="474"/>
  <c r="J152" i="474"/>
  <c r="H152" i="474"/>
  <c r="G152" i="474"/>
  <c r="F152" i="474"/>
  <c r="E152" i="474"/>
  <c r="D152" i="474"/>
  <c r="O151" i="474"/>
  <c r="N151" i="474"/>
  <c r="L150" i="474"/>
  <c r="F150" i="474"/>
  <c r="M149" i="474"/>
  <c r="L149" i="474"/>
  <c r="K149" i="474"/>
  <c r="J149" i="474"/>
  <c r="H149" i="474"/>
  <c r="G149" i="474"/>
  <c r="F149" i="474"/>
  <c r="E149" i="474"/>
  <c r="D149" i="474"/>
  <c r="L148" i="474"/>
  <c r="F148" i="474"/>
  <c r="O147" i="474"/>
  <c r="N147" i="474"/>
  <c r="I147" i="474"/>
  <c r="O137" i="474"/>
  <c r="Q134" i="474"/>
  <c r="O108" i="474"/>
  <c r="I108" i="474"/>
  <c r="O107" i="474"/>
  <c r="I107" i="474"/>
  <c r="P107" i="474" s="1"/>
  <c r="I106" i="474"/>
  <c r="P106" i="474" s="1"/>
  <c r="O105" i="474"/>
  <c r="N105" i="474"/>
  <c r="I105" i="474"/>
  <c r="P105" i="474" s="1"/>
  <c r="O104" i="474"/>
  <c r="I104" i="474"/>
  <c r="P104" i="474" s="1"/>
  <c r="O103" i="474"/>
  <c r="O102" i="474" s="1"/>
  <c r="N103" i="474"/>
  <c r="I103" i="474"/>
  <c r="I102" i="474" s="1"/>
  <c r="N102" i="474"/>
  <c r="O101" i="474"/>
  <c r="N101" i="474"/>
  <c r="I101" i="474"/>
  <c r="P101" i="474" s="1"/>
  <c r="K99" i="474"/>
  <c r="O99" i="474" s="1"/>
  <c r="P99" i="474" s="1"/>
  <c r="O95" i="474"/>
  <c r="N95" i="474"/>
  <c r="I95" i="474"/>
  <c r="P95" i="474" s="1"/>
  <c r="K91" i="474"/>
  <c r="O91" i="474" s="1"/>
  <c r="O74" i="474"/>
  <c r="I74" i="474"/>
  <c r="P74" i="474" s="1"/>
  <c r="O73" i="474"/>
  <c r="I73" i="474"/>
  <c r="O72" i="474"/>
  <c r="I72" i="474"/>
  <c r="O71" i="474"/>
  <c r="I71" i="474"/>
  <c r="P71" i="474" s="1"/>
  <c r="O70" i="474"/>
  <c r="I70" i="474"/>
  <c r="P70" i="474" s="1"/>
  <c r="O69" i="474"/>
  <c r="I69" i="474"/>
  <c r="P69" i="474" s="1"/>
  <c r="O68" i="474"/>
  <c r="I68" i="474"/>
  <c r="P68" i="474" s="1"/>
  <c r="C113" i="474" s="1"/>
  <c r="O67" i="474"/>
  <c r="I67" i="474"/>
  <c r="O66" i="474"/>
  <c r="I66" i="474"/>
  <c r="O65" i="474"/>
  <c r="I65" i="474"/>
  <c r="O64" i="474"/>
  <c r="I64" i="474"/>
  <c r="P64" i="474" s="1"/>
  <c r="I63" i="474"/>
  <c r="P63" i="474" s="1"/>
  <c r="I62" i="474"/>
  <c r="P62" i="474" s="1"/>
  <c r="O61" i="474"/>
  <c r="I61" i="474"/>
  <c r="P61" i="474" s="1"/>
  <c r="C108" i="474" s="1"/>
  <c r="O60" i="474"/>
  <c r="I60" i="474"/>
  <c r="O59" i="474"/>
  <c r="I59" i="474"/>
  <c r="O58" i="474"/>
  <c r="I58" i="474"/>
  <c r="P58" i="474" s="1"/>
  <c r="I57" i="474"/>
  <c r="P57" i="474" s="1"/>
  <c r="C106" i="474" s="1"/>
  <c r="O56" i="474"/>
  <c r="I56" i="474"/>
  <c r="P56" i="474" s="1"/>
  <c r="Q56" i="474" s="1"/>
  <c r="O55" i="474"/>
  <c r="I55" i="474"/>
  <c r="P55" i="474" s="1"/>
  <c r="O54" i="474"/>
  <c r="N54" i="474"/>
  <c r="I54" i="474"/>
  <c r="O53" i="474"/>
  <c r="N53" i="474"/>
  <c r="I53" i="474"/>
  <c r="P53" i="474" s="1"/>
  <c r="C105" i="474" s="1"/>
  <c r="O52" i="474"/>
  <c r="O155" i="474" s="1"/>
  <c r="N52" i="474"/>
  <c r="N155" i="474" s="1"/>
  <c r="I52" i="474"/>
  <c r="O51" i="474"/>
  <c r="I51" i="474"/>
  <c r="P51" i="474" s="1"/>
  <c r="O50" i="474"/>
  <c r="O152" i="474" s="1"/>
  <c r="N50" i="474"/>
  <c r="N152" i="474" s="1"/>
  <c r="I50" i="474"/>
  <c r="O49" i="474"/>
  <c r="N49" i="474"/>
  <c r="N149" i="474" s="1"/>
  <c r="I49" i="474"/>
  <c r="O48" i="474"/>
  <c r="I48" i="474"/>
  <c r="P48" i="474" s="1"/>
  <c r="O47" i="474"/>
  <c r="P47" i="474" s="1"/>
  <c r="O46" i="474"/>
  <c r="I46" i="474"/>
  <c r="P46" i="474" s="1"/>
  <c r="P45" i="474" s="1"/>
  <c r="O45" i="474"/>
  <c r="I45" i="474"/>
  <c r="O44" i="474"/>
  <c r="I44" i="474"/>
  <c r="O43" i="474"/>
  <c r="N43" i="474"/>
  <c r="I43" i="474"/>
  <c r="P43" i="474" s="1"/>
  <c r="O42" i="474"/>
  <c r="I42" i="474"/>
  <c r="P42" i="474" s="1"/>
  <c r="O41" i="474"/>
  <c r="I41" i="474"/>
  <c r="O40" i="474"/>
  <c r="I40" i="474"/>
  <c r="P40" i="474" s="1"/>
  <c r="O39" i="474"/>
  <c r="P39" i="474" s="1"/>
  <c r="O38" i="474"/>
  <c r="O37" i="474" s="1"/>
  <c r="I38" i="474"/>
  <c r="O36" i="474"/>
  <c r="I36" i="474"/>
  <c r="P36" i="474" s="1"/>
  <c r="O30" i="474"/>
  <c r="I30" i="474"/>
  <c r="P30" i="474" s="1"/>
  <c r="C30" i="474" s="1"/>
  <c r="C68" i="474" s="1"/>
  <c r="O29" i="474"/>
  <c r="I29" i="474"/>
  <c r="P29" i="474" s="1"/>
  <c r="O28" i="474"/>
  <c r="I28" i="474"/>
  <c r="P28" i="474" s="1"/>
  <c r="C28" i="474" s="1"/>
  <c r="C64" i="474" s="1"/>
  <c r="O27" i="474"/>
  <c r="I27" i="474"/>
  <c r="O26" i="474"/>
  <c r="I26" i="474"/>
  <c r="P26" i="474" s="1"/>
  <c r="O25" i="474"/>
  <c r="I25" i="474"/>
  <c r="P25" i="474" s="1"/>
  <c r="O24" i="474"/>
  <c r="I24" i="474"/>
  <c r="P24" i="474" s="1"/>
  <c r="I23" i="474"/>
  <c r="P23" i="474" s="1"/>
  <c r="C23" i="474" s="1"/>
  <c r="C57" i="474" s="1"/>
  <c r="O22" i="474"/>
  <c r="I22" i="474"/>
  <c r="P22" i="474" s="1"/>
  <c r="H22" i="474"/>
  <c r="O21" i="474"/>
  <c r="I21" i="474"/>
  <c r="H21" i="474"/>
  <c r="O20" i="474"/>
  <c r="N20" i="474"/>
  <c r="I20" i="474"/>
  <c r="P20" i="474" s="1"/>
  <c r="H20" i="474"/>
  <c r="O19" i="474"/>
  <c r="N19" i="474"/>
  <c r="I19" i="474"/>
  <c r="P19" i="474" s="1"/>
  <c r="C19" i="474" s="1"/>
  <c r="C53" i="474" s="1"/>
  <c r="H19" i="474"/>
  <c r="L18" i="474"/>
  <c r="I18" i="474"/>
  <c r="H18" i="474"/>
  <c r="L17" i="474"/>
  <c r="I17" i="474"/>
  <c r="H17" i="474"/>
  <c r="O16" i="474"/>
  <c r="N16" i="474"/>
  <c r="I16" i="474"/>
  <c r="P16" i="474" s="1"/>
  <c r="L15" i="474"/>
  <c r="H15" i="474"/>
  <c r="O14" i="474"/>
  <c r="I14" i="474"/>
  <c r="P14" i="474" s="1"/>
  <c r="O13" i="474"/>
  <c r="I13" i="474"/>
  <c r="K12" i="474"/>
  <c r="O12" i="474" s="1"/>
  <c r="E12" i="474"/>
  <c r="I12" i="474" s="1"/>
  <c r="P12" i="474" s="1"/>
  <c r="L11" i="474"/>
  <c r="O11" i="474" s="1"/>
  <c r="I11" i="474"/>
  <c r="P11" i="474" s="1"/>
  <c r="H11" i="474"/>
  <c r="K10" i="474"/>
  <c r="O10" i="474" s="1"/>
  <c r="E10" i="474"/>
  <c r="I10" i="474" s="1"/>
  <c r="P10" i="474" s="1"/>
  <c r="O9" i="474"/>
  <c r="E9" i="474"/>
  <c r="I9" i="474" s="1"/>
  <c r="P9" i="474" s="1"/>
  <c r="O8" i="474"/>
  <c r="I8" i="474"/>
  <c r="O7" i="474"/>
  <c r="I7" i="474"/>
  <c r="P7" i="474" s="1"/>
  <c r="O6" i="474"/>
  <c r="I6" i="474"/>
  <c r="P6" i="474" s="1"/>
  <c r="O5" i="474"/>
  <c r="I5" i="474"/>
  <c r="P5" i="474" s="1"/>
  <c r="O4" i="474"/>
  <c r="I4" i="474"/>
  <c r="C11" i="474" l="1"/>
  <c r="C43" i="474" s="1"/>
  <c r="N11" i="474"/>
  <c r="O75" i="474"/>
  <c r="P59" i="474"/>
  <c r="Q57" i="474" s="1"/>
  <c r="P66" i="474"/>
  <c r="P72" i="474"/>
  <c r="P187" i="474"/>
  <c r="P54" i="474"/>
  <c r="P60" i="474"/>
  <c r="P67" i="474"/>
  <c r="P73" i="474"/>
  <c r="I37" i="474"/>
  <c r="I75" i="474" s="1"/>
  <c r="P181" i="474"/>
  <c r="P8" i="474"/>
  <c r="P13" i="474"/>
  <c r="P21" i="474"/>
  <c r="P27" i="474"/>
  <c r="C27" i="474" s="1"/>
  <c r="C61" i="474" s="1"/>
  <c r="P38" i="474"/>
  <c r="P108" i="474"/>
  <c r="R108" i="474" s="1"/>
  <c r="P166" i="474"/>
  <c r="P195" i="474"/>
  <c r="P102" i="474"/>
  <c r="I137" i="474"/>
  <c r="BH44" i="257"/>
  <c r="BN44" i="257"/>
  <c r="BG44" i="257"/>
  <c r="BM44" i="257"/>
  <c r="BL44" i="257"/>
  <c r="BP44" i="257"/>
  <c r="BK44" i="257"/>
  <c r="BE44" i="257"/>
  <c r="O136" i="474"/>
  <c r="O138" i="474" s="1"/>
  <c r="O130" i="474"/>
  <c r="P41" i="474"/>
  <c r="C142" i="474"/>
  <c r="I164" i="474"/>
  <c r="P163" i="474" s="1"/>
  <c r="H164" i="474"/>
  <c r="I162" i="474"/>
  <c r="P161" i="474" s="1"/>
  <c r="H162" i="474"/>
  <c r="O160" i="474"/>
  <c r="N160" i="474"/>
  <c r="I160" i="474"/>
  <c r="H160" i="474"/>
  <c r="O158" i="474"/>
  <c r="N158" i="474"/>
  <c r="I158" i="474"/>
  <c r="P157" i="474" s="1"/>
  <c r="H158" i="474"/>
  <c r="O156" i="474"/>
  <c r="N156" i="474"/>
  <c r="I156" i="474"/>
  <c r="H156" i="474"/>
  <c r="O154" i="474"/>
  <c r="N154" i="474"/>
  <c r="I154" i="474"/>
  <c r="H154" i="474"/>
  <c r="O148" i="474"/>
  <c r="N148" i="474"/>
  <c r="I148" i="474"/>
  <c r="P147" i="474" s="1"/>
  <c r="H148" i="474"/>
  <c r="P103" i="474"/>
  <c r="I130" i="474"/>
  <c r="P91" i="474"/>
  <c r="R74" i="474"/>
  <c r="C119" i="474"/>
  <c r="I118" i="474"/>
  <c r="O118" i="474"/>
  <c r="Q108" i="474"/>
  <c r="Q106" i="474"/>
  <c r="R106" i="474"/>
  <c r="Q105" i="474"/>
  <c r="R105" i="474"/>
  <c r="I155" i="474"/>
  <c r="P52" i="474"/>
  <c r="P50" i="474"/>
  <c r="I152" i="474"/>
  <c r="O149" i="474"/>
  <c r="I149" i="474"/>
  <c r="I131" i="474"/>
  <c r="P49" i="474"/>
  <c r="I136" i="474"/>
  <c r="P44" i="474"/>
  <c r="C95" i="474" s="1"/>
  <c r="Q68" i="474"/>
  <c r="R68" i="474"/>
  <c r="Q61" i="474"/>
  <c r="R61" i="474"/>
  <c r="R57" i="474"/>
  <c r="Q53" i="474"/>
  <c r="R53" i="474"/>
  <c r="N18" i="474"/>
  <c r="O18" i="474"/>
  <c r="P18" i="474" s="1"/>
  <c r="O17" i="474"/>
  <c r="N17" i="474"/>
  <c r="N15" i="474"/>
  <c r="O15" i="474"/>
  <c r="Q43" i="474"/>
  <c r="P4" i="474"/>
  <c r="I31" i="474"/>
  <c r="BI9" i="332"/>
  <c r="P159" i="474" l="1"/>
  <c r="P149" i="474"/>
  <c r="C101" i="474"/>
  <c r="P37" i="474"/>
  <c r="R43" i="474"/>
  <c r="P152" i="474"/>
  <c r="P65" i="474"/>
  <c r="P155" i="474"/>
  <c r="I138" i="474"/>
  <c r="BF44" i="257"/>
  <c r="BO44" i="257"/>
  <c r="Q101" i="474"/>
  <c r="R101" i="474"/>
  <c r="P17" i="474"/>
  <c r="C17" i="474" s="1"/>
  <c r="C50" i="474" s="1"/>
  <c r="O31" i="474"/>
  <c r="O77" i="474" s="1"/>
  <c r="C4" i="474"/>
  <c r="P118" i="474"/>
  <c r="I77" i="474"/>
  <c r="P15" i="474"/>
  <c r="O131" i="474"/>
  <c r="C88" i="474" l="1"/>
  <c r="P75" i="474"/>
  <c r="Q64" i="474"/>
  <c r="R64" i="474"/>
  <c r="P31" i="474"/>
  <c r="R50" i="474"/>
  <c r="Q50" i="474"/>
  <c r="C31" i="474"/>
  <c r="C36" i="474"/>
  <c r="C141" i="474" l="1"/>
  <c r="Q36" i="474"/>
  <c r="R36" i="474"/>
  <c r="R75" i="474" s="1"/>
  <c r="C75" i="474"/>
  <c r="Q75" i="474" s="1"/>
  <c r="M11" i="430" l="1"/>
  <c r="I104" i="472"/>
  <c r="O104" i="472"/>
  <c r="P104" i="472" l="1"/>
  <c r="O103" i="472"/>
  <c r="N103" i="472"/>
  <c r="I103" i="472"/>
  <c r="I102" i="472" s="1"/>
  <c r="O102" i="472" l="1"/>
  <c r="P102" i="472" s="1"/>
  <c r="P103" i="472"/>
  <c r="O108" i="472" l="1"/>
  <c r="I108" i="472"/>
  <c r="O107" i="472"/>
  <c r="I107" i="472"/>
  <c r="I106" i="472"/>
  <c r="P106" i="472" s="1"/>
  <c r="O105" i="472"/>
  <c r="N105" i="472"/>
  <c r="I105" i="472"/>
  <c r="N102" i="472"/>
  <c r="O101" i="472"/>
  <c r="N101" i="472"/>
  <c r="I101" i="472"/>
  <c r="O95" i="472"/>
  <c r="N95" i="472"/>
  <c r="I95" i="472"/>
  <c r="O202" i="472"/>
  <c r="I202" i="472"/>
  <c r="O201" i="472"/>
  <c r="I201" i="472"/>
  <c r="O199" i="472"/>
  <c r="I199" i="472"/>
  <c r="O197" i="472"/>
  <c r="I197" i="472"/>
  <c r="O196" i="472"/>
  <c r="I196" i="472"/>
  <c r="O195" i="472"/>
  <c r="I195" i="472"/>
  <c r="O194" i="472"/>
  <c r="I194" i="472"/>
  <c r="O193" i="472"/>
  <c r="I193" i="472"/>
  <c r="O192" i="472"/>
  <c r="I192" i="472"/>
  <c r="O191" i="472"/>
  <c r="I191" i="472"/>
  <c r="O189" i="472"/>
  <c r="I189" i="472"/>
  <c r="O188" i="472"/>
  <c r="I188" i="472"/>
  <c r="O187" i="472"/>
  <c r="I187" i="472"/>
  <c r="O186" i="472"/>
  <c r="I186" i="472"/>
  <c r="O185" i="472"/>
  <c r="I185" i="472"/>
  <c r="O184" i="472"/>
  <c r="I184" i="472"/>
  <c r="O183" i="472"/>
  <c r="I183" i="472"/>
  <c r="O182" i="472"/>
  <c r="I182" i="472"/>
  <c r="O181" i="472"/>
  <c r="I181" i="472"/>
  <c r="O180" i="472"/>
  <c r="I180" i="472"/>
  <c r="O179" i="472"/>
  <c r="I179" i="472"/>
  <c r="I170" i="472"/>
  <c r="P170" i="472" s="1"/>
  <c r="I168" i="472"/>
  <c r="P168" i="472" s="1"/>
  <c r="O167" i="472"/>
  <c r="I167" i="472"/>
  <c r="O166" i="472"/>
  <c r="I166" i="472"/>
  <c r="F164" i="472"/>
  <c r="I164" i="472" s="1"/>
  <c r="I163" i="472"/>
  <c r="O162" i="472"/>
  <c r="F162" i="472"/>
  <c r="I162" i="472" s="1"/>
  <c r="O161" i="472"/>
  <c r="I161" i="472"/>
  <c r="L160" i="472"/>
  <c r="O160" i="472" s="1"/>
  <c r="F160" i="472"/>
  <c r="I160" i="472" s="1"/>
  <c r="O159" i="472"/>
  <c r="N159" i="472"/>
  <c r="I159" i="472"/>
  <c r="L158" i="472"/>
  <c r="N158" i="472" s="1"/>
  <c r="F158" i="472"/>
  <c r="I158" i="472" s="1"/>
  <c r="O157" i="472"/>
  <c r="N157" i="472"/>
  <c r="I157" i="472"/>
  <c r="L156" i="472"/>
  <c r="N156" i="472" s="1"/>
  <c r="F156" i="472"/>
  <c r="I156" i="472" s="1"/>
  <c r="M155" i="472"/>
  <c r="L155" i="472"/>
  <c r="K155" i="472"/>
  <c r="J155" i="472"/>
  <c r="H155" i="472"/>
  <c r="G155" i="472"/>
  <c r="F155" i="472"/>
  <c r="E155" i="472"/>
  <c r="D155" i="472"/>
  <c r="L154" i="472"/>
  <c r="O154" i="472" s="1"/>
  <c r="F154" i="472"/>
  <c r="H154" i="472" s="1"/>
  <c r="M152" i="472"/>
  <c r="L152" i="472"/>
  <c r="K152" i="472"/>
  <c r="J152" i="472"/>
  <c r="H152" i="472"/>
  <c r="G152" i="472"/>
  <c r="F152" i="472"/>
  <c r="E152" i="472"/>
  <c r="D152" i="472"/>
  <c r="O151" i="472"/>
  <c r="N151" i="472"/>
  <c r="L150" i="472"/>
  <c r="F150" i="472"/>
  <c r="M149" i="472"/>
  <c r="L149" i="472"/>
  <c r="K149" i="472"/>
  <c r="J149" i="472"/>
  <c r="H149" i="472"/>
  <c r="G149" i="472"/>
  <c r="F149" i="472"/>
  <c r="E149" i="472"/>
  <c r="D149" i="472"/>
  <c r="L148" i="472"/>
  <c r="N148" i="472" s="1"/>
  <c r="F148" i="472"/>
  <c r="H148" i="472" s="1"/>
  <c r="O147" i="472"/>
  <c r="N147" i="472"/>
  <c r="I147" i="472"/>
  <c r="I63" i="472"/>
  <c r="P63" i="472" s="1"/>
  <c r="I62" i="472"/>
  <c r="P62" i="472" s="1"/>
  <c r="O61" i="472"/>
  <c r="I61" i="472"/>
  <c r="O60" i="472"/>
  <c r="I60" i="472"/>
  <c r="O59" i="472"/>
  <c r="I59" i="472"/>
  <c r="O58" i="472"/>
  <c r="I58" i="472"/>
  <c r="I57" i="472"/>
  <c r="P57" i="472" s="1"/>
  <c r="O56" i="472"/>
  <c r="I56" i="472"/>
  <c r="O55" i="472"/>
  <c r="I55" i="472"/>
  <c r="O54" i="472"/>
  <c r="N54" i="472"/>
  <c r="I54" i="472"/>
  <c r="O53" i="472"/>
  <c r="N53" i="472"/>
  <c r="I53" i="472"/>
  <c r="O52" i="472"/>
  <c r="O155" i="472" s="1"/>
  <c r="N52" i="472"/>
  <c r="N155" i="472" s="1"/>
  <c r="I52" i="472"/>
  <c r="I155" i="472" s="1"/>
  <c r="O51" i="472"/>
  <c r="I51" i="472"/>
  <c r="O50" i="472"/>
  <c r="O152" i="472" s="1"/>
  <c r="N50" i="472"/>
  <c r="N152" i="472" s="1"/>
  <c r="I50" i="472"/>
  <c r="I152" i="472" s="1"/>
  <c r="O49" i="472"/>
  <c r="O149" i="472" s="1"/>
  <c r="N49" i="472"/>
  <c r="N149" i="472" s="1"/>
  <c r="I49" i="472"/>
  <c r="I149" i="472" s="1"/>
  <c r="O43" i="472"/>
  <c r="N43" i="472"/>
  <c r="I43" i="472"/>
  <c r="O30" i="472"/>
  <c r="I30" i="472"/>
  <c r="O29" i="472"/>
  <c r="I29" i="472"/>
  <c r="O28" i="472"/>
  <c r="I28" i="472"/>
  <c r="O27" i="472"/>
  <c r="I27" i="472"/>
  <c r="O26" i="472"/>
  <c r="I26" i="472"/>
  <c r="O25" i="472"/>
  <c r="I25" i="472"/>
  <c r="O24" i="472"/>
  <c r="I24" i="472"/>
  <c r="I23" i="472"/>
  <c r="P23" i="472" s="1"/>
  <c r="O22" i="472"/>
  <c r="I22" i="472"/>
  <c r="H22" i="472"/>
  <c r="O21" i="472"/>
  <c r="I21" i="472"/>
  <c r="H21" i="472"/>
  <c r="O20" i="472"/>
  <c r="N20" i="472"/>
  <c r="I20" i="472"/>
  <c r="H20" i="472"/>
  <c r="O19" i="472"/>
  <c r="N19" i="472"/>
  <c r="I19" i="472"/>
  <c r="H19" i="472"/>
  <c r="L18" i="472"/>
  <c r="O18" i="472" s="1"/>
  <c r="I18" i="472"/>
  <c r="H18" i="472"/>
  <c r="L17" i="472"/>
  <c r="O17" i="472" s="1"/>
  <c r="I17" i="472"/>
  <c r="H17" i="472"/>
  <c r="O16" i="472"/>
  <c r="N16" i="472"/>
  <c r="I16" i="472"/>
  <c r="L15" i="472"/>
  <c r="N15" i="472" s="1"/>
  <c r="H15" i="472"/>
  <c r="O14" i="472"/>
  <c r="I14" i="472"/>
  <c r="O13" i="472"/>
  <c r="I13" i="472"/>
  <c r="K12" i="472"/>
  <c r="O12" i="472" s="1"/>
  <c r="E12" i="472"/>
  <c r="I12" i="472" s="1"/>
  <c r="L11" i="472"/>
  <c r="N11" i="472" s="1"/>
  <c r="I11" i="472"/>
  <c r="H11" i="472"/>
  <c r="K10" i="472"/>
  <c r="O10" i="472" s="1"/>
  <c r="E10" i="472"/>
  <c r="I10" i="472" s="1"/>
  <c r="O9" i="472"/>
  <c r="E9" i="472"/>
  <c r="I9" i="472" s="1"/>
  <c r="O8" i="472"/>
  <c r="I8" i="472"/>
  <c r="O7" i="472"/>
  <c r="I7" i="472"/>
  <c r="O6" i="472"/>
  <c r="I6" i="472"/>
  <c r="O5" i="472"/>
  <c r="I5" i="472"/>
  <c r="O4" i="472"/>
  <c r="I4" i="472"/>
  <c r="R36" i="350"/>
  <c r="T36" i="350"/>
  <c r="S36" i="350"/>
  <c r="U36" i="350"/>
  <c r="Y35" i="350"/>
  <c r="Y34" i="350"/>
  <c r="Y33" i="350"/>
  <c r="Y32" i="350"/>
  <c r="Y31" i="350"/>
  <c r="Y30" i="350"/>
  <c r="Y29" i="350"/>
  <c r="Y28" i="350"/>
  <c r="Y27" i="350"/>
  <c r="Y26" i="350"/>
  <c r="S39" i="350"/>
  <c r="T39" i="350"/>
  <c r="U39" i="350"/>
  <c r="X39" i="350"/>
  <c r="X40" i="350"/>
  <c r="U40" i="350"/>
  <c r="T40" i="350"/>
  <c r="S40" i="350"/>
  <c r="R40" i="350"/>
  <c r="R39" i="350"/>
  <c r="I130" i="472" l="1"/>
  <c r="O130" i="472"/>
  <c r="P13" i="472"/>
  <c r="Y40" i="350"/>
  <c r="Y36" i="350"/>
  <c r="P108" i="472"/>
  <c r="P20" i="472"/>
  <c r="P6" i="472"/>
  <c r="P26" i="472"/>
  <c r="P29" i="472"/>
  <c r="P24" i="472"/>
  <c r="C23" i="472" s="1"/>
  <c r="C57" i="472" s="1"/>
  <c r="P54" i="472"/>
  <c r="P60" i="472"/>
  <c r="P16" i="472"/>
  <c r="P5" i="472"/>
  <c r="O148" i="472"/>
  <c r="P25" i="472"/>
  <c r="P12" i="472"/>
  <c r="P14" i="472"/>
  <c r="P8" i="472"/>
  <c r="P191" i="472"/>
  <c r="P197" i="472"/>
  <c r="P179" i="472"/>
  <c r="P61" i="472"/>
  <c r="C108" i="472" s="1"/>
  <c r="Q108" i="472" s="1"/>
  <c r="P193" i="472"/>
  <c r="P7" i="472"/>
  <c r="P51" i="472"/>
  <c r="P181" i="472"/>
  <c r="P27" i="472"/>
  <c r="C27" i="472" s="1"/>
  <c r="C61" i="472" s="1"/>
  <c r="P56" i="472"/>
  <c r="Q56" i="472" s="1"/>
  <c r="P195" i="472"/>
  <c r="P95" i="472"/>
  <c r="P166" i="472"/>
  <c r="P183" i="472"/>
  <c r="P19" i="472"/>
  <c r="C19" i="472" s="1"/>
  <c r="C53" i="472" s="1"/>
  <c r="P105" i="472"/>
  <c r="P101" i="472"/>
  <c r="P107" i="472"/>
  <c r="P21" i="472"/>
  <c r="I154" i="472"/>
  <c r="P152" i="472" s="1"/>
  <c r="P22" i="472"/>
  <c r="O11" i="472"/>
  <c r="P11" i="472" s="1"/>
  <c r="P55" i="472"/>
  <c r="H162" i="472"/>
  <c r="P30" i="472"/>
  <c r="C30" i="472" s="1"/>
  <c r="C68" i="472" s="1"/>
  <c r="P185" i="472"/>
  <c r="P199" i="472"/>
  <c r="P18" i="472"/>
  <c r="H156" i="472"/>
  <c r="O15" i="472"/>
  <c r="P15" i="472" s="1"/>
  <c r="P161" i="472"/>
  <c r="O158" i="472"/>
  <c r="P157" i="472" s="1"/>
  <c r="P201" i="472"/>
  <c r="P59" i="472"/>
  <c r="P149" i="472"/>
  <c r="I148" i="472"/>
  <c r="P187" i="472"/>
  <c r="P28" i="472"/>
  <c r="P189" i="472"/>
  <c r="P43" i="472"/>
  <c r="P58" i="472"/>
  <c r="C106" i="472" s="1"/>
  <c r="P9" i="472"/>
  <c r="I31" i="472"/>
  <c r="P17" i="472"/>
  <c r="C17" i="472" s="1"/>
  <c r="C50" i="472" s="1"/>
  <c r="P163" i="472"/>
  <c r="P10" i="472"/>
  <c r="P159" i="472"/>
  <c r="P53" i="472"/>
  <c r="C105" i="472" s="1"/>
  <c r="P4" i="472"/>
  <c r="P50" i="472"/>
  <c r="O156" i="472"/>
  <c r="P155" i="472" s="1"/>
  <c r="N17" i="472"/>
  <c r="I131" i="472"/>
  <c r="N154" i="472"/>
  <c r="H160" i="472"/>
  <c r="H158" i="472"/>
  <c r="P49" i="472"/>
  <c r="N160" i="472"/>
  <c r="H164" i="472"/>
  <c r="N18" i="472"/>
  <c r="P52" i="472"/>
  <c r="Y39" i="350"/>
  <c r="R108" i="472" l="1"/>
  <c r="R105" i="472"/>
  <c r="R106" i="472"/>
  <c r="C101" i="472"/>
  <c r="Q101" i="472" s="1"/>
  <c r="C28" i="472"/>
  <c r="C64" i="472" s="1"/>
  <c r="R61" i="472"/>
  <c r="C11" i="472"/>
  <c r="C43" i="472" s="1"/>
  <c r="P147" i="472"/>
  <c r="R57" i="472"/>
  <c r="R53" i="472"/>
  <c r="Q57" i="472"/>
  <c r="Q61" i="472"/>
  <c r="Q106" i="472"/>
  <c r="Q105" i="472"/>
  <c r="O131" i="472"/>
  <c r="O31" i="472"/>
  <c r="Q53" i="472"/>
  <c r="C4" i="472"/>
  <c r="P31" i="472"/>
  <c r="R50" i="472"/>
  <c r="Q50" i="472"/>
  <c r="R101" i="472" l="1"/>
  <c r="C31" i="472"/>
  <c r="C36" i="472"/>
  <c r="C75" i="472" l="1"/>
  <c r="BI43" i="332" l="1"/>
  <c r="BI42" i="332"/>
  <c r="BI41" i="332"/>
  <c r="BI40" i="332"/>
  <c r="BI39" i="332"/>
  <c r="BI38" i="332"/>
  <c r="BI37" i="332"/>
  <c r="BI36" i="332"/>
  <c r="BI35" i="332"/>
  <c r="BI34" i="332"/>
  <c r="BI33" i="332"/>
  <c r="BI32" i="332"/>
  <c r="BI31" i="332"/>
  <c r="BI30" i="332"/>
  <c r="BI29" i="332"/>
  <c r="BI28" i="332"/>
  <c r="BI27" i="332"/>
  <c r="BI26" i="332"/>
  <c r="BI25" i="332"/>
  <c r="BI24" i="332"/>
  <c r="BI23" i="332"/>
  <c r="BI22" i="332"/>
  <c r="BI21" i="332"/>
  <c r="BI20" i="332"/>
  <c r="BI19" i="332"/>
  <c r="BI18" i="332"/>
  <c r="BI17" i="332"/>
  <c r="BI16" i="332"/>
  <c r="BI15" i="332"/>
  <c r="BI14" i="332"/>
  <c r="BI13" i="332"/>
  <c r="BI12" i="332"/>
  <c r="BI11" i="332"/>
  <c r="F17" i="381"/>
  <c r="D17" i="381"/>
  <c r="F16" i="381"/>
  <c r="D16" i="381"/>
  <c r="F15" i="381"/>
  <c r="D15" i="381"/>
  <c r="F14" i="381"/>
  <c r="D14" i="381"/>
  <c r="F13" i="381"/>
  <c r="D13" i="381"/>
  <c r="F12" i="381"/>
  <c r="D12" i="381"/>
  <c r="F11" i="381"/>
  <c r="D11" i="381"/>
  <c r="F10" i="381"/>
  <c r="D10" i="381"/>
  <c r="F9" i="381"/>
  <c r="D9" i="381"/>
  <c r="F8" i="381"/>
  <c r="D8" i="381"/>
  <c r="M9" i="332" l="1"/>
  <c r="AD1" i="332"/>
  <c r="O57" i="386" l="1"/>
  <c r="O54" i="386"/>
  <c r="O51" i="386"/>
  <c r="O48" i="386"/>
  <c r="O42" i="386"/>
  <c r="O39" i="386"/>
  <c r="O63" i="386"/>
  <c r="O62" i="386"/>
  <c r="O61" i="386"/>
  <c r="O60" i="386"/>
  <c r="O59" i="386"/>
  <c r="N32" i="386"/>
  <c r="N33" i="386" s="1"/>
  <c r="O10" i="364" l="1"/>
  <c r="H23" i="418" l="1"/>
  <c r="F23" i="418"/>
  <c r="D23" i="418"/>
  <c r="H22" i="418"/>
  <c r="F22" i="418"/>
  <c r="D22" i="418"/>
  <c r="H21" i="418"/>
  <c r="F21" i="418"/>
  <c r="D21" i="418"/>
  <c r="H20" i="418"/>
  <c r="F20" i="418"/>
  <c r="D20" i="418"/>
  <c r="H19" i="418"/>
  <c r="F19" i="418"/>
  <c r="D19" i="418"/>
  <c r="H18" i="418"/>
  <c r="F18" i="418"/>
  <c r="D18" i="418"/>
  <c r="H17" i="418"/>
  <c r="F17" i="418"/>
  <c r="D17" i="418"/>
  <c r="H16" i="418"/>
  <c r="F16" i="418"/>
  <c r="D16" i="418"/>
  <c r="H15" i="418"/>
  <c r="F15" i="418"/>
  <c r="D15" i="418"/>
  <c r="H14" i="418"/>
  <c r="F14" i="418"/>
  <c r="D14" i="418"/>
  <c r="H13" i="418"/>
  <c r="F13" i="418"/>
  <c r="D13" i="418"/>
  <c r="H12" i="418"/>
  <c r="F12" i="418"/>
  <c r="D12" i="418"/>
  <c r="H11" i="418"/>
  <c r="F11" i="418"/>
  <c r="D11" i="418"/>
  <c r="H10" i="418"/>
  <c r="F10" i="418"/>
  <c r="D10" i="418"/>
  <c r="H9" i="418"/>
  <c r="F9" i="418"/>
  <c r="D9" i="418"/>
  <c r="F23" i="443" l="1"/>
  <c r="F22" i="443"/>
  <c r="F21" i="443"/>
  <c r="F20" i="443"/>
  <c r="F19" i="443"/>
  <c r="F18" i="443"/>
  <c r="F17" i="443"/>
  <c r="F16" i="443"/>
  <c r="F15" i="443"/>
  <c r="F14" i="443"/>
  <c r="F13" i="443"/>
  <c r="F12" i="443"/>
  <c r="F11" i="443"/>
  <c r="F10" i="443"/>
  <c r="F9" i="443"/>
  <c r="F8" i="443"/>
  <c r="I26" i="427" l="1"/>
  <c r="N28" i="427"/>
  <c r="F23" i="427"/>
  <c r="F22" i="427"/>
  <c r="O22" i="427" s="1"/>
  <c r="F21" i="427"/>
  <c r="O21" i="427" s="1"/>
  <c r="F20" i="427"/>
  <c r="O20" i="427" s="1"/>
  <c r="F19" i="427"/>
  <c r="O19" i="427" s="1"/>
  <c r="F18" i="427"/>
  <c r="O18" i="427" s="1"/>
  <c r="F17" i="427"/>
  <c r="O17" i="427" s="1"/>
  <c r="F16" i="427"/>
  <c r="O16" i="427" s="1"/>
  <c r="F15" i="427"/>
  <c r="O15" i="427" s="1"/>
  <c r="F14" i="427"/>
  <c r="O14" i="427" s="1"/>
  <c r="F13" i="427"/>
  <c r="F12" i="427"/>
  <c r="F11" i="427"/>
  <c r="F10" i="427"/>
  <c r="F9" i="427"/>
  <c r="F8" i="427"/>
  <c r="F48" i="431" l="1"/>
  <c r="F47" i="431"/>
  <c r="F46" i="431"/>
  <c r="F45" i="431"/>
  <c r="F44" i="431"/>
  <c r="F43" i="431"/>
  <c r="F42" i="431"/>
  <c r="F41" i="431"/>
  <c r="F40" i="431"/>
  <c r="F39" i="431"/>
  <c r="F38" i="431"/>
  <c r="F37" i="431"/>
  <c r="F36" i="431"/>
  <c r="F35" i="431"/>
  <c r="F34" i="431"/>
  <c r="F33" i="431"/>
  <c r="F35" i="430"/>
  <c r="D35" i="430"/>
  <c r="F34" i="430"/>
  <c r="D34" i="430"/>
  <c r="F33" i="430"/>
  <c r="D33" i="430"/>
  <c r="D36" i="430"/>
  <c r="F36" i="430"/>
  <c r="H36" i="430"/>
  <c r="N36" i="430"/>
  <c r="F45" i="434" l="1"/>
  <c r="D45" i="434"/>
  <c r="F44" i="434"/>
  <c r="D44" i="434"/>
  <c r="F43" i="434"/>
  <c r="D43" i="434"/>
  <c r="F42" i="434"/>
  <c r="D42" i="434"/>
  <c r="F41" i="434"/>
  <c r="D41" i="434"/>
  <c r="F40" i="434"/>
  <c r="D40" i="434"/>
  <c r="F39" i="434"/>
  <c r="D39" i="434"/>
  <c r="F38" i="434"/>
  <c r="D38" i="434"/>
  <c r="F37" i="434"/>
  <c r="D37" i="434"/>
  <c r="F36" i="434"/>
  <c r="D36" i="434"/>
  <c r="F35" i="434"/>
  <c r="D35" i="434"/>
  <c r="F34" i="434"/>
  <c r="D34" i="434"/>
  <c r="F33" i="434"/>
  <c r="D33" i="434"/>
  <c r="F93" i="433" l="1"/>
  <c r="F92" i="433"/>
  <c r="F91" i="433"/>
  <c r="F90" i="433"/>
  <c r="F89" i="433"/>
  <c r="F88" i="433"/>
  <c r="F73" i="433"/>
  <c r="F72" i="433"/>
  <c r="F63" i="433"/>
  <c r="F62" i="433"/>
  <c r="F49" i="432"/>
  <c r="D49" i="432"/>
  <c r="F48" i="432"/>
  <c r="D48" i="432"/>
  <c r="F47" i="432"/>
  <c r="D47" i="432"/>
  <c r="F46" i="432"/>
  <c r="D46" i="432"/>
  <c r="F45" i="432"/>
  <c r="D45" i="432"/>
  <c r="F44" i="432"/>
  <c r="D44" i="432"/>
  <c r="F43" i="432"/>
  <c r="D43" i="432"/>
  <c r="F42" i="432"/>
  <c r="D42" i="432"/>
  <c r="F41" i="432"/>
  <c r="D41" i="432"/>
  <c r="F40" i="432"/>
  <c r="D40" i="432"/>
  <c r="F39" i="432"/>
  <c r="D39" i="432"/>
  <c r="F38" i="432"/>
  <c r="D38" i="432"/>
  <c r="F37" i="432"/>
  <c r="D37" i="432"/>
  <c r="F36" i="432"/>
  <c r="D36" i="432"/>
  <c r="F69" i="399" l="1"/>
  <c r="D69" i="399"/>
  <c r="F68" i="399"/>
  <c r="D68" i="399"/>
  <c r="F67" i="399"/>
  <c r="D67" i="399"/>
  <c r="F66" i="399"/>
  <c r="D66" i="399"/>
  <c r="F65" i="399"/>
  <c r="D65" i="399"/>
  <c r="F64" i="399"/>
  <c r="D64" i="399"/>
  <c r="F63" i="399"/>
  <c r="D63" i="399"/>
  <c r="F62" i="399"/>
  <c r="D62" i="399"/>
  <c r="F61" i="399"/>
  <c r="D61" i="399"/>
  <c r="F60" i="399"/>
  <c r="D60" i="399"/>
  <c r="F59" i="399"/>
  <c r="D59" i="399"/>
  <c r="F37" i="389" l="1"/>
  <c r="D37" i="389"/>
  <c r="F36" i="389"/>
  <c r="D36" i="389"/>
  <c r="F35" i="389"/>
  <c r="D35" i="389"/>
  <c r="F34" i="389"/>
  <c r="D34" i="389"/>
  <c r="F33" i="389"/>
  <c r="D33" i="389"/>
  <c r="K18" i="458" l="1"/>
  <c r="J18" i="458"/>
  <c r="AF17" i="458"/>
  <c r="H17" i="458"/>
  <c r="F17" i="458"/>
  <c r="D17" i="458"/>
  <c r="AF16" i="458"/>
  <c r="H16" i="458"/>
  <c r="F16" i="458"/>
  <c r="D16" i="458"/>
  <c r="AF15" i="458"/>
  <c r="H15" i="458"/>
  <c r="F15" i="458"/>
  <c r="D15" i="458"/>
  <c r="AF14" i="458"/>
  <c r="N14" i="458"/>
  <c r="H14" i="458"/>
  <c r="F14" i="458"/>
  <c r="D14" i="458"/>
  <c r="AF13" i="458"/>
  <c r="N13" i="458"/>
  <c r="H13" i="458"/>
  <c r="F13" i="458"/>
  <c r="D13" i="458"/>
  <c r="AF12" i="458"/>
  <c r="N12" i="458"/>
  <c r="H12" i="458"/>
  <c r="F12" i="458"/>
  <c r="D12" i="458"/>
  <c r="AF11" i="458"/>
  <c r="N11" i="458"/>
  <c r="H11" i="458"/>
  <c r="F11" i="458"/>
  <c r="D11" i="458"/>
  <c r="AF10" i="458"/>
  <c r="N10" i="458"/>
  <c r="H10" i="458"/>
  <c r="F10" i="458"/>
  <c r="D10" i="458"/>
  <c r="AF9" i="458"/>
  <c r="N9" i="458"/>
  <c r="H9" i="458"/>
  <c r="F9" i="458"/>
  <c r="D9" i="458"/>
  <c r="AF8" i="458"/>
  <c r="N8" i="458"/>
  <c r="H8" i="458"/>
  <c r="F8" i="458"/>
  <c r="D8" i="458"/>
  <c r="H7" i="458"/>
  <c r="F7" i="458"/>
  <c r="D7" i="458"/>
  <c r="P17" i="458" l="1"/>
  <c r="Q11" i="458"/>
  <c r="Q13" i="458"/>
  <c r="Q9" i="458"/>
  <c r="Q7" i="458"/>
  <c r="P10" i="458"/>
  <c r="Q16" i="458"/>
  <c r="P13" i="458"/>
  <c r="M19" i="458"/>
  <c r="M20" i="458" s="1"/>
  <c r="P11" i="458"/>
  <c r="P9" i="458"/>
  <c r="Q14" i="458"/>
  <c r="AF18" i="458"/>
  <c r="P8" i="458"/>
  <c r="Q12" i="458"/>
  <c r="Q8" i="458"/>
  <c r="P15" i="458"/>
  <c r="Q15" i="458"/>
  <c r="Q10" i="458"/>
  <c r="P12" i="458"/>
  <c r="P7" i="458"/>
  <c r="P14" i="458"/>
  <c r="P16" i="458"/>
  <c r="Q17" i="458"/>
  <c r="P18" i="458" l="1"/>
  <c r="C20" i="458" s="1"/>
  <c r="Q18" i="458"/>
  <c r="C21" i="458" s="1"/>
  <c r="C22" i="458" s="1"/>
  <c r="D47" i="385" l="1"/>
  <c r="D46" i="385"/>
  <c r="D45" i="385"/>
  <c r="D44" i="385"/>
  <c r="D43" i="385"/>
  <c r="D42" i="385"/>
  <c r="D41" i="385"/>
  <c r="D40" i="385"/>
  <c r="D39" i="385"/>
  <c r="D38" i="385"/>
  <c r="D37" i="385"/>
  <c r="D36" i="385"/>
  <c r="D35" i="385"/>
  <c r="D34" i="385"/>
  <c r="D33" i="385"/>
  <c r="F39" i="401" l="1"/>
  <c r="D39" i="401"/>
  <c r="F38" i="401"/>
  <c r="D38" i="401"/>
  <c r="F37" i="401"/>
  <c r="D37" i="401"/>
  <c r="F36" i="401"/>
  <c r="D36" i="401"/>
  <c r="F35" i="401"/>
  <c r="D35" i="401"/>
  <c r="F34" i="401"/>
  <c r="D34" i="401"/>
  <c r="H18" i="408" l="1"/>
  <c r="F18" i="408"/>
  <c r="D18" i="408"/>
  <c r="H17" i="408"/>
  <c r="F17" i="408"/>
  <c r="D17" i="408"/>
  <c r="H16" i="408"/>
  <c r="F16" i="408"/>
  <c r="D16" i="408"/>
  <c r="H15" i="408"/>
  <c r="F15" i="408"/>
  <c r="D15" i="408"/>
  <c r="H14" i="408"/>
  <c r="F14" i="408"/>
  <c r="D14" i="408"/>
  <c r="H13" i="408"/>
  <c r="F13" i="408"/>
  <c r="D13" i="408"/>
  <c r="H12" i="408"/>
  <c r="F12" i="408"/>
  <c r="D12" i="408"/>
  <c r="H11" i="408"/>
  <c r="F11" i="408"/>
  <c r="D11" i="408"/>
  <c r="H10" i="408"/>
  <c r="F10" i="408"/>
  <c r="D10" i="408"/>
  <c r="H9" i="408"/>
  <c r="F9" i="408"/>
  <c r="D9" i="408"/>
  <c r="H12" i="457" l="1"/>
  <c r="F12" i="457"/>
  <c r="D12" i="457"/>
  <c r="H11" i="457"/>
  <c r="F11" i="457"/>
  <c r="D11" i="457"/>
  <c r="H10" i="457"/>
  <c r="F10" i="457"/>
  <c r="D10" i="457"/>
  <c r="H9" i="457"/>
  <c r="F9" i="457"/>
  <c r="D9" i="457"/>
  <c r="K24" i="457"/>
  <c r="J24" i="457"/>
  <c r="AF23" i="457"/>
  <c r="H23" i="457"/>
  <c r="F23" i="457"/>
  <c r="D23" i="457"/>
  <c r="AF22" i="457"/>
  <c r="H22" i="457"/>
  <c r="F22" i="457"/>
  <c r="D22" i="457"/>
  <c r="AF21" i="457"/>
  <c r="H21" i="457"/>
  <c r="F21" i="457"/>
  <c r="D21" i="457"/>
  <c r="AF20" i="457"/>
  <c r="H20" i="457"/>
  <c r="F20" i="457"/>
  <c r="D20" i="457"/>
  <c r="AF19" i="457"/>
  <c r="H19" i="457"/>
  <c r="F19" i="457"/>
  <c r="D19" i="457"/>
  <c r="AF18" i="457"/>
  <c r="H18" i="457"/>
  <c r="F18" i="457"/>
  <c r="D18" i="457"/>
  <c r="AF17" i="457"/>
  <c r="N17" i="457"/>
  <c r="H17" i="457"/>
  <c r="F17" i="457"/>
  <c r="D17" i="457"/>
  <c r="AF16" i="457"/>
  <c r="N16" i="457"/>
  <c r="H16" i="457"/>
  <c r="F16" i="457"/>
  <c r="D16" i="457"/>
  <c r="AF15" i="457"/>
  <c r="N15" i="457"/>
  <c r="H15" i="457"/>
  <c r="F15" i="457"/>
  <c r="D15" i="457"/>
  <c r="AF14" i="457"/>
  <c r="N14" i="457"/>
  <c r="H14" i="457"/>
  <c r="F14" i="457"/>
  <c r="D14" i="457"/>
  <c r="AF13" i="457"/>
  <c r="N13" i="457"/>
  <c r="H13" i="457"/>
  <c r="F13" i="457"/>
  <c r="D13" i="457"/>
  <c r="AF12" i="457"/>
  <c r="N12" i="457"/>
  <c r="AF11" i="457"/>
  <c r="N11" i="457"/>
  <c r="AF10" i="457"/>
  <c r="N10" i="457"/>
  <c r="AF9" i="457"/>
  <c r="N9" i="457"/>
  <c r="H8" i="457"/>
  <c r="F8" i="457"/>
  <c r="D8" i="457"/>
  <c r="Q20" i="457" l="1"/>
  <c r="P23" i="457"/>
  <c r="Q11" i="457"/>
  <c r="Q10" i="457"/>
  <c r="P13" i="457"/>
  <c r="Q12" i="457"/>
  <c r="Q14" i="457"/>
  <c r="Q8" i="457"/>
  <c r="P21" i="457"/>
  <c r="Q18" i="457"/>
  <c r="P19" i="457"/>
  <c r="Q9" i="457"/>
  <c r="P11" i="457"/>
  <c r="P9" i="457"/>
  <c r="Q16" i="457"/>
  <c r="Q22" i="457"/>
  <c r="P10" i="457"/>
  <c r="P12" i="457"/>
  <c r="Q15" i="457"/>
  <c r="M25" i="457"/>
  <c r="M26" i="457" s="1"/>
  <c r="P17" i="457"/>
  <c r="P15" i="457"/>
  <c r="Q13" i="457"/>
  <c r="AF24" i="457"/>
  <c r="Q21" i="457"/>
  <c r="Q23" i="457"/>
  <c r="P8" i="457"/>
  <c r="P14" i="457"/>
  <c r="Q17" i="457"/>
  <c r="P16" i="457"/>
  <c r="P18" i="457"/>
  <c r="P20" i="457"/>
  <c r="P22" i="457"/>
  <c r="Q19" i="457"/>
  <c r="P24" i="457" l="1"/>
  <c r="C26" i="457" s="1"/>
  <c r="Q24" i="457"/>
  <c r="C27" i="457" s="1"/>
  <c r="C28" i="457" s="1"/>
  <c r="H37" i="457" l="1"/>
  <c r="F37" i="457"/>
  <c r="D37" i="457"/>
  <c r="H36" i="457"/>
  <c r="F36" i="457"/>
  <c r="D36" i="457"/>
  <c r="H35" i="457"/>
  <c r="F35" i="457"/>
  <c r="D35" i="457"/>
  <c r="H34" i="457"/>
  <c r="F34" i="457"/>
  <c r="D34" i="457"/>
  <c r="K49" i="457"/>
  <c r="J49" i="457"/>
  <c r="AF48" i="457"/>
  <c r="H48" i="457"/>
  <c r="F48" i="457"/>
  <c r="D48" i="457"/>
  <c r="AF47" i="457"/>
  <c r="H47" i="457"/>
  <c r="F47" i="457"/>
  <c r="D47" i="457"/>
  <c r="AF46" i="457"/>
  <c r="H46" i="457"/>
  <c r="F46" i="457"/>
  <c r="D46" i="457"/>
  <c r="AF45" i="457"/>
  <c r="H45" i="457"/>
  <c r="F45" i="457"/>
  <c r="D45" i="457"/>
  <c r="AF44" i="457"/>
  <c r="H44" i="457"/>
  <c r="F44" i="457"/>
  <c r="D44" i="457"/>
  <c r="AF43" i="457"/>
  <c r="H43" i="457"/>
  <c r="F43" i="457"/>
  <c r="D43" i="457"/>
  <c r="AF42" i="457"/>
  <c r="N42" i="457"/>
  <c r="H42" i="457"/>
  <c r="F42" i="457"/>
  <c r="D42" i="457"/>
  <c r="AF41" i="457"/>
  <c r="N41" i="457"/>
  <c r="H41" i="457"/>
  <c r="F41" i="457"/>
  <c r="D41" i="457"/>
  <c r="AF40" i="457"/>
  <c r="N40" i="457"/>
  <c r="H40" i="457"/>
  <c r="F40" i="457"/>
  <c r="D40" i="457"/>
  <c r="AF39" i="457"/>
  <c r="N39" i="457"/>
  <c r="H39" i="457"/>
  <c r="F39" i="457"/>
  <c r="D39" i="457"/>
  <c r="AF38" i="457"/>
  <c r="N38" i="457"/>
  <c r="H38" i="457"/>
  <c r="F38" i="457"/>
  <c r="D38" i="457"/>
  <c r="AF37" i="457"/>
  <c r="O37" i="457"/>
  <c r="N37" i="457"/>
  <c r="L37" i="457"/>
  <c r="AF36" i="457"/>
  <c r="O36" i="457"/>
  <c r="N36" i="457"/>
  <c r="L36" i="457"/>
  <c r="AF35" i="457"/>
  <c r="O35" i="457"/>
  <c r="N35" i="457"/>
  <c r="L35" i="457"/>
  <c r="AF34" i="457"/>
  <c r="O34" i="457"/>
  <c r="N34" i="457"/>
  <c r="L34" i="457"/>
  <c r="H33" i="457"/>
  <c r="F33" i="457"/>
  <c r="D33" i="457"/>
  <c r="Q33" i="457" l="1"/>
  <c r="P46" i="457"/>
  <c r="Q43" i="457"/>
  <c r="Q34" i="457"/>
  <c r="P37" i="457"/>
  <c r="Q36" i="457"/>
  <c r="Q48" i="457"/>
  <c r="Q40" i="457"/>
  <c r="P41" i="457"/>
  <c r="AF49" i="457"/>
  <c r="Q39" i="457"/>
  <c r="Q47" i="457"/>
  <c r="Q35" i="457"/>
  <c r="P44" i="457"/>
  <c r="P42" i="457"/>
  <c r="P40" i="457"/>
  <c r="Q37" i="457"/>
  <c r="P36" i="457"/>
  <c r="Q44" i="457"/>
  <c r="Q38" i="457"/>
  <c r="M50" i="457"/>
  <c r="M51" i="457" s="1"/>
  <c r="P34" i="457"/>
  <c r="Q45" i="457"/>
  <c r="Q42" i="457"/>
  <c r="P48" i="457"/>
  <c r="P39" i="457"/>
  <c r="Q46" i="457"/>
  <c r="P33" i="457"/>
  <c r="Q41" i="457"/>
  <c r="P43" i="457"/>
  <c r="P45" i="457"/>
  <c r="P47" i="457"/>
  <c r="P38" i="457"/>
  <c r="P35" i="457"/>
  <c r="P49" i="457" l="1"/>
  <c r="C51" i="457" s="1"/>
  <c r="Q49" i="457"/>
  <c r="C52" i="457" s="1"/>
  <c r="C53" i="457" s="1"/>
  <c r="AE26" i="375" l="1"/>
  <c r="AE25" i="375"/>
  <c r="AE24" i="375"/>
  <c r="AE23" i="375"/>
  <c r="AE22" i="375"/>
  <c r="AE21" i="375"/>
  <c r="AE20" i="375"/>
  <c r="AE19" i="375"/>
  <c r="AE18" i="375"/>
  <c r="H26" i="375"/>
  <c r="F26" i="375"/>
  <c r="D26" i="375"/>
  <c r="H25" i="375"/>
  <c r="F25" i="375"/>
  <c r="D25" i="375"/>
  <c r="H24" i="375"/>
  <c r="F24" i="375"/>
  <c r="D24" i="375"/>
  <c r="H23" i="375"/>
  <c r="F23" i="375"/>
  <c r="D23" i="375"/>
  <c r="H22" i="375"/>
  <c r="F22" i="375"/>
  <c r="D22" i="375"/>
  <c r="H21" i="375"/>
  <c r="F21" i="375"/>
  <c r="D21" i="375"/>
  <c r="H20" i="375"/>
  <c r="F20" i="375"/>
  <c r="D20" i="375"/>
  <c r="H19" i="375"/>
  <c r="F19" i="375"/>
  <c r="D19" i="375"/>
  <c r="H18" i="375"/>
  <c r="F18" i="375"/>
  <c r="D18" i="375"/>
  <c r="K28" i="375"/>
  <c r="J28" i="375"/>
  <c r="AE27" i="375"/>
  <c r="O27" i="375"/>
  <c r="AE17" i="375"/>
  <c r="AE16" i="375"/>
  <c r="H16" i="375"/>
  <c r="F16" i="375"/>
  <c r="D16" i="375"/>
  <c r="AE15" i="375"/>
  <c r="H15" i="375"/>
  <c r="F15" i="375"/>
  <c r="D15" i="375"/>
  <c r="AE14" i="375"/>
  <c r="H14" i="375"/>
  <c r="F14" i="375"/>
  <c r="D14" i="375"/>
  <c r="AE13" i="375"/>
  <c r="H13" i="375"/>
  <c r="F13" i="375"/>
  <c r="D13" i="375"/>
  <c r="AE12" i="375"/>
  <c r="H12" i="375"/>
  <c r="F12" i="375"/>
  <c r="D12" i="375"/>
  <c r="AE11" i="375"/>
  <c r="H11" i="375"/>
  <c r="F11" i="375"/>
  <c r="D11" i="375"/>
  <c r="AE10" i="375"/>
  <c r="H10" i="375"/>
  <c r="F10" i="375"/>
  <c r="D10" i="375"/>
  <c r="AE9" i="375"/>
  <c r="H9" i="375"/>
  <c r="F9" i="375"/>
  <c r="D9" i="375"/>
  <c r="O9" i="375" s="1"/>
  <c r="AE8" i="375"/>
  <c r="H8" i="375"/>
  <c r="F8" i="375"/>
  <c r="D8" i="375"/>
  <c r="H7" i="375"/>
  <c r="F7" i="375"/>
  <c r="D7" i="375"/>
  <c r="P12" i="375" l="1"/>
  <c r="P20" i="375"/>
  <c r="O24" i="375"/>
  <c r="O13" i="375"/>
  <c r="P8" i="375"/>
  <c r="P23" i="375"/>
  <c r="P16" i="375"/>
  <c r="P19" i="375"/>
  <c r="O23" i="375"/>
  <c r="P24" i="375"/>
  <c r="P21" i="375"/>
  <c r="P25" i="375"/>
  <c r="P11" i="375"/>
  <c r="M29" i="375"/>
  <c r="M30" i="375" s="1"/>
  <c r="O18" i="375"/>
  <c r="P22" i="375"/>
  <c r="P26" i="375"/>
  <c r="P18" i="375"/>
  <c r="P9" i="375"/>
  <c r="P15" i="375"/>
  <c r="O22" i="375"/>
  <c r="O10" i="375"/>
  <c r="O19" i="375"/>
  <c r="O25" i="375"/>
  <c r="O20" i="375"/>
  <c r="O26" i="375"/>
  <c r="O14" i="375"/>
  <c r="O7" i="375"/>
  <c r="O21" i="375"/>
  <c r="O11" i="375"/>
  <c r="O15" i="375"/>
  <c r="P7" i="375"/>
  <c r="P13" i="375"/>
  <c r="O8" i="375"/>
  <c r="O12" i="375"/>
  <c r="O16" i="375"/>
  <c r="P10" i="375"/>
  <c r="P14" i="375"/>
  <c r="P27" i="375"/>
  <c r="P28" i="375" l="1"/>
  <c r="C32" i="375" s="1"/>
  <c r="O28" i="375"/>
  <c r="C30" i="375" s="1"/>
  <c r="F44" i="358" l="1"/>
  <c r="D44" i="358"/>
  <c r="F43" i="358"/>
  <c r="D43" i="358"/>
  <c r="F42" i="358"/>
  <c r="D42" i="358"/>
  <c r="F41" i="358"/>
  <c r="D41" i="358"/>
  <c r="F40" i="358"/>
  <c r="D40" i="358"/>
  <c r="F39" i="358"/>
  <c r="D39" i="358"/>
  <c r="F38" i="358"/>
  <c r="D38" i="358"/>
  <c r="F37" i="358"/>
  <c r="D37" i="358"/>
  <c r="F36" i="358"/>
  <c r="D36" i="358"/>
  <c r="F35" i="358"/>
  <c r="D35" i="358"/>
  <c r="F55" i="373" l="1"/>
  <c r="D55" i="373"/>
  <c r="F54" i="373"/>
  <c r="D54" i="373"/>
  <c r="F53" i="373"/>
  <c r="D53" i="373"/>
  <c r="F52" i="373"/>
  <c r="D52" i="373"/>
  <c r="F51" i="373"/>
  <c r="D51" i="373"/>
  <c r="F50" i="373"/>
  <c r="D50" i="373"/>
  <c r="F49" i="373"/>
  <c r="D49" i="373"/>
  <c r="F48" i="373"/>
  <c r="D48" i="373"/>
  <c r="F47" i="373"/>
  <c r="D47" i="373"/>
  <c r="F46" i="373"/>
  <c r="D46" i="373"/>
  <c r="F45" i="373"/>
  <c r="D45" i="373"/>
  <c r="F44" i="373"/>
  <c r="D44" i="373"/>
  <c r="F43" i="373"/>
  <c r="D43" i="373"/>
  <c r="F42" i="373"/>
  <c r="D42" i="373"/>
  <c r="F41" i="373"/>
  <c r="D41" i="373"/>
  <c r="F40" i="373"/>
  <c r="D40" i="373"/>
  <c r="F39" i="373"/>
  <c r="D39" i="373"/>
  <c r="F38" i="373"/>
  <c r="D38" i="373"/>
  <c r="F37" i="373"/>
  <c r="H17" i="333" l="1"/>
  <c r="U15" i="333"/>
  <c r="U14" i="333"/>
  <c r="U13" i="333"/>
  <c r="U12" i="333"/>
  <c r="U10" i="333"/>
  <c r="U9" i="333"/>
  <c r="U7" i="333"/>
  <c r="M37" i="332" l="1"/>
  <c r="M33" i="332"/>
  <c r="I33" i="332"/>
  <c r="W21" i="334" l="1"/>
  <c r="AL17" i="335" l="1" a="1"/>
  <c r="AL17" i="335" s="1"/>
  <c r="AN17" i="335"/>
  <c r="AO17" i="335" s="1"/>
  <c r="BP39" i="335" a="1"/>
  <c r="BP39" i="335" s="1"/>
  <c r="BP33" i="335" a="1"/>
  <c r="BP33" i="335" s="1"/>
  <c r="BP31" i="335" a="1"/>
  <c r="BP31" i="335" s="1"/>
  <c r="BP25" i="335" a="1"/>
  <c r="BP25" i="335" s="1"/>
  <c r="BP21" i="335" a="1"/>
  <c r="BP21" i="335" s="1"/>
  <c r="BP15" i="335" a="1"/>
  <c r="BP15" i="335" s="1"/>
  <c r="BP13" i="335" a="1"/>
  <c r="BP13" i="335" s="1"/>
  <c r="AH40" i="335"/>
  <c r="AE40" i="335"/>
  <c r="AS39" i="335"/>
  <c r="AP39" i="335"/>
  <c r="AN39" i="335"/>
  <c r="AO39" i="335" s="1"/>
  <c r="AL39" i="335" a="1"/>
  <c r="AL39" i="335" s="1"/>
  <c r="AK39" i="335" a="1"/>
  <c r="AK39" i="335" s="1"/>
  <c r="AH39" i="335"/>
  <c r="AE39" i="335"/>
  <c r="Y39" i="335"/>
  <c r="Y33" i="335"/>
  <c r="AH34" i="335"/>
  <c r="AE34" i="335"/>
  <c r="AS33" i="335"/>
  <c r="AP33" i="335"/>
  <c r="AN33" i="335"/>
  <c r="AO33" i="335" s="1"/>
  <c r="AL33" i="335" a="1"/>
  <c r="AL33" i="335" s="1"/>
  <c r="AK33" i="335" a="1"/>
  <c r="AK33" i="335" s="1"/>
  <c r="AH33" i="335"/>
  <c r="AE33" i="335"/>
  <c r="AH32" i="335"/>
  <c r="AE32" i="335"/>
  <c r="AS31" i="335"/>
  <c r="AP31" i="335"/>
  <c r="AN31" i="335"/>
  <c r="AO31" i="335" s="1"/>
  <c r="AL31" i="335" a="1"/>
  <c r="AL31" i="335" s="1"/>
  <c r="AK31" i="335" a="1"/>
  <c r="AK31" i="335" s="1"/>
  <c r="AH31" i="335"/>
  <c r="AE31" i="335"/>
  <c r="Y31" i="335"/>
  <c r="AH26" i="335"/>
  <c r="AE26" i="335"/>
  <c r="AS25" i="335"/>
  <c r="AP25" i="335"/>
  <c r="AN25" i="335"/>
  <c r="AO25" i="335" s="1"/>
  <c r="AL25" i="335" a="1"/>
  <c r="AL25" i="335" s="1"/>
  <c r="AK25" i="335" a="1"/>
  <c r="AK25" i="335" s="1"/>
  <c r="AH25" i="335"/>
  <c r="AE25" i="335"/>
  <c r="Y25" i="335"/>
  <c r="AH22" i="335"/>
  <c r="AE22" i="335"/>
  <c r="AS21" i="335"/>
  <c r="AP21" i="335"/>
  <c r="AN21" i="335"/>
  <c r="AO21" i="335" s="1"/>
  <c r="AL21" i="335" a="1"/>
  <c r="AL21" i="335" s="1"/>
  <c r="AK21" i="335" a="1"/>
  <c r="AK21" i="335" s="1"/>
  <c r="AH21" i="335"/>
  <c r="AE21" i="335"/>
  <c r="Y21" i="335"/>
  <c r="Y15" i="335"/>
  <c r="Y11" i="335"/>
  <c r="Y13" i="335"/>
  <c r="Y17" i="335"/>
  <c r="AH18" i="335"/>
  <c r="AE18" i="335"/>
  <c r="AS17" i="335"/>
  <c r="AP17" i="335"/>
  <c r="AH17" i="335"/>
  <c r="AE17" i="335"/>
  <c r="AH16" i="335"/>
  <c r="AE16" i="335"/>
  <c r="AS15" i="335"/>
  <c r="AP15" i="335"/>
  <c r="AN15" i="335"/>
  <c r="AO15" i="335" s="1"/>
  <c r="AL15" i="335" a="1"/>
  <c r="AL15" i="335" s="1"/>
  <c r="AK15" i="335" a="1"/>
  <c r="AK15" i="335" s="1"/>
  <c r="AH15" i="335"/>
  <c r="AE15" i="335"/>
  <c r="AH14" i="335"/>
  <c r="AE14" i="335"/>
  <c r="AS13" i="335"/>
  <c r="AP13" i="335"/>
  <c r="AN13" i="335"/>
  <c r="AO13" i="335" s="1"/>
  <c r="AL13" i="335" a="1"/>
  <c r="AL13" i="335" s="1"/>
  <c r="AK13" i="335" a="1"/>
  <c r="AK13" i="335" s="1"/>
  <c r="AH13" i="335"/>
  <c r="AE13" i="335"/>
  <c r="Y9" i="335"/>
  <c r="Y5" i="335"/>
  <c r="Y19" i="335"/>
  <c r="Y41" i="335"/>
  <c r="Y37" i="335"/>
  <c r="Y35" i="335"/>
  <c r="Y29" i="335"/>
  <c r="Y27" i="335"/>
  <c r="Y23" i="335"/>
  <c r="Y7" i="335"/>
  <c r="AM13" i="335" l="1"/>
  <c r="AM39" i="335"/>
  <c r="AM33" i="335"/>
  <c r="AM31" i="335"/>
  <c r="BP17" i="335" a="1"/>
  <c r="BP17" i="335" s="1"/>
  <c r="AK17" i="335" a="1"/>
  <c r="AK17" i="335" s="1"/>
  <c r="AM17" i="335" s="1"/>
  <c r="AM21" i="335"/>
  <c r="AM25" i="335"/>
  <c r="AM15" i="335"/>
  <c r="CH110" i="330" l="1" a="1"/>
  <c r="CH110" i="330" s="1"/>
  <c r="CH106" i="330" a="1"/>
  <c r="CH106" i="330" s="1"/>
  <c r="CH100" i="330" a="1"/>
  <c r="CH100" i="330" s="1"/>
  <c r="CH90" i="330" a="1"/>
  <c r="CH90" i="330" s="1"/>
  <c r="CH88" i="330" a="1"/>
  <c r="CH88" i="330" s="1"/>
  <c r="CH67" i="330" a="1"/>
  <c r="CH67" i="330" s="1"/>
  <c r="CH51" i="330" a="1"/>
  <c r="CH51" i="330" s="1"/>
  <c r="CH49" i="330" a="1"/>
  <c r="CH49" i="330" s="1"/>
  <c r="CH41" i="330" a="1"/>
  <c r="CH41" i="330" s="1"/>
  <c r="CH31" i="330" a="1"/>
  <c r="CH31" i="330" s="1"/>
  <c r="CH29" i="330" a="1"/>
  <c r="CH29" i="330" s="1"/>
  <c r="CH27" i="330" a="1"/>
  <c r="CH27" i="330" s="1"/>
  <c r="CH17" i="330" a="1"/>
  <c r="CH17" i="330" s="1"/>
  <c r="CH71" i="330" a="1"/>
  <c r="CH71" i="330" s="1"/>
  <c r="CH73" i="330" a="1"/>
  <c r="CH73" i="330" s="1"/>
  <c r="CH82" i="330" a="1"/>
  <c r="CH82" i="330" s="1"/>
  <c r="CH80" i="330" a="1"/>
  <c r="CH80" i="330" s="1"/>
  <c r="CH86" i="330" a="1"/>
  <c r="CH86" i="330" s="1"/>
  <c r="AP17" i="330" a="1"/>
  <c r="AP17" i="330" s="1"/>
  <c r="AL111" i="330"/>
  <c r="AI111" i="330"/>
  <c r="AF111" i="330"/>
  <c r="AC111" i="330"/>
  <c r="Z111" i="330"/>
  <c r="AP110" i="330" a="1"/>
  <c r="AP110" i="330" s="1"/>
  <c r="AO110" i="330" a="1"/>
  <c r="AO110" i="330" s="1"/>
  <c r="AL110" i="330"/>
  <c r="AI110" i="330"/>
  <c r="AF110" i="330"/>
  <c r="AC110" i="330"/>
  <c r="Z110" i="330"/>
  <c r="Y110" i="330"/>
  <c r="AL107" i="330"/>
  <c r="AI107" i="330"/>
  <c r="AF107" i="330"/>
  <c r="AC107" i="330"/>
  <c r="Z107" i="330"/>
  <c r="AP106" i="330" a="1"/>
  <c r="AP106" i="330" s="1"/>
  <c r="AO106" i="330" a="1"/>
  <c r="AO106" i="330" s="1"/>
  <c r="AL106" i="330"/>
  <c r="AI106" i="330"/>
  <c r="AF106" i="330"/>
  <c r="AC106" i="330"/>
  <c r="Z106" i="330"/>
  <c r="Y106" i="330"/>
  <c r="AL101" i="330"/>
  <c r="AI101" i="330"/>
  <c r="AF101" i="330"/>
  <c r="AC101" i="330"/>
  <c r="Z101" i="330"/>
  <c r="AP100" i="330" a="1"/>
  <c r="AP100" i="330" s="1"/>
  <c r="AO100" i="330" a="1"/>
  <c r="AO100" i="330" s="1"/>
  <c r="AL100" i="330"/>
  <c r="AI100" i="330"/>
  <c r="AF100" i="330"/>
  <c r="AC100" i="330"/>
  <c r="Z100" i="330"/>
  <c r="Y100" i="330"/>
  <c r="Y112" i="330"/>
  <c r="Y108" i="330"/>
  <c r="Y104" i="330"/>
  <c r="Y102" i="330"/>
  <c r="Y98" i="330"/>
  <c r="Y96" i="330"/>
  <c r="Y94" i="330"/>
  <c r="Y92" i="330"/>
  <c r="AP90" i="330" a="1"/>
  <c r="AP90" i="330" s="1"/>
  <c r="AO90" i="330" a="1"/>
  <c r="AO90" i="330" s="1"/>
  <c r="Y90" i="330"/>
  <c r="AP88" i="330" a="1"/>
  <c r="AP88" i="330" s="1"/>
  <c r="AO88" i="330" a="1"/>
  <c r="AO88" i="330" s="1"/>
  <c r="Y88" i="330"/>
  <c r="AP86" i="330" a="1"/>
  <c r="AP86" i="330" s="1"/>
  <c r="AO86" i="330" a="1"/>
  <c r="AO86" i="330" s="1"/>
  <c r="Y86" i="330"/>
  <c r="Y84" i="330"/>
  <c r="AP82" i="330" a="1"/>
  <c r="AP82" i="330" s="1"/>
  <c r="AO82" i="330" a="1"/>
  <c r="AO82" i="330" s="1"/>
  <c r="Y82" i="330"/>
  <c r="AP80" i="330" a="1"/>
  <c r="AP80" i="330" s="1"/>
  <c r="AO80" i="330" a="1"/>
  <c r="AO80" i="330" s="1"/>
  <c r="Y80" i="330"/>
  <c r="Y77" i="330"/>
  <c r="Y75" i="330"/>
  <c r="AP73" i="330" a="1"/>
  <c r="AP73" i="330" s="1"/>
  <c r="AO73" i="330" a="1"/>
  <c r="AO73" i="330" s="1"/>
  <c r="Y73" i="330"/>
  <c r="AP71" i="330" a="1"/>
  <c r="AP71" i="330" s="1"/>
  <c r="AO71" i="330" a="1"/>
  <c r="AO71" i="330" s="1"/>
  <c r="Y71" i="330"/>
  <c r="Y69" i="330"/>
  <c r="AP67" i="330" a="1"/>
  <c r="AP67" i="330" s="1"/>
  <c r="AO67" i="330" a="1"/>
  <c r="AO67" i="330" s="1"/>
  <c r="Y67" i="330"/>
  <c r="Y65" i="330"/>
  <c r="Y63" i="330"/>
  <c r="Y61" i="330"/>
  <c r="Y57" i="330"/>
  <c r="Y55" i="330"/>
  <c r="Y53" i="330"/>
  <c r="AP51" i="330" a="1"/>
  <c r="AP51" i="330" s="1"/>
  <c r="AO51" i="330" a="1"/>
  <c r="AO51" i="330" s="1"/>
  <c r="AP49" i="330" a="1"/>
  <c r="AP49" i="330" s="1"/>
  <c r="AO49" i="330" a="1"/>
  <c r="AO49" i="330" s="1"/>
  <c r="Y51" i="330"/>
  <c r="Y49" i="330"/>
  <c r="Y46" i="330"/>
  <c r="Y43" i="330"/>
  <c r="AP31" i="330" a="1"/>
  <c r="AP31" i="330" s="1"/>
  <c r="AO31" i="330" a="1"/>
  <c r="AO31" i="330" s="1"/>
  <c r="AP29" i="330" a="1"/>
  <c r="AP29" i="330" s="1"/>
  <c r="AO29" i="330" a="1"/>
  <c r="AO29" i="330" s="1"/>
  <c r="AP27" i="330" a="1"/>
  <c r="AP27" i="330" s="1"/>
  <c r="AO27" i="330" a="1"/>
  <c r="AO27" i="330" s="1"/>
  <c r="AP41" i="330" a="1"/>
  <c r="AP41" i="330" s="1"/>
  <c r="AO41" i="330" a="1"/>
  <c r="AO41" i="330" s="1"/>
  <c r="Y41" i="330"/>
  <c r="Y39" i="330"/>
  <c r="Y37" i="330"/>
  <c r="Y33" i="330"/>
  <c r="Y31" i="330"/>
  <c r="Y29" i="330"/>
  <c r="Y27" i="330"/>
  <c r="Y25" i="330"/>
  <c r="Y23" i="330"/>
  <c r="Y19" i="330"/>
  <c r="AO17" i="330" a="1"/>
  <c r="AO17" i="330" s="1"/>
  <c r="Y17" i="330"/>
  <c r="Y15" i="330"/>
  <c r="Y13" i="330"/>
  <c r="Y10" i="330"/>
  <c r="Y7" i="330"/>
  <c r="Y5" i="330"/>
  <c r="AQ110" i="330" l="1"/>
  <c r="AQ106" i="330"/>
  <c r="AQ100" i="330"/>
  <c r="AQ90" i="330"/>
  <c r="AQ80" i="330"/>
  <c r="AQ88" i="330"/>
  <c r="AQ82" i="330"/>
  <c r="AQ86" i="330"/>
  <c r="AQ73" i="330"/>
  <c r="AQ71" i="330"/>
  <c r="AQ51" i="330"/>
  <c r="AQ67" i="330"/>
  <c r="AQ49" i="330"/>
  <c r="AQ27" i="330"/>
  <c r="AQ31" i="330"/>
  <c r="AQ29" i="330"/>
  <c r="AQ41" i="330"/>
  <c r="AQ17" i="330"/>
  <c r="K22" i="402" l="1"/>
  <c r="N8" i="367" l="1"/>
  <c r="H31" i="350" l="1"/>
  <c r="G31" i="350" l="1"/>
  <c r="O73" i="472"/>
  <c r="O72" i="472"/>
  <c r="N32" i="456"/>
  <c r="N33" i="456" s="1"/>
  <c r="I30" i="456"/>
  <c r="N8" i="455"/>
  <c r="N11" i="455"/>
  <c r="N10" i="455"/>
  <c r="N9" i="455"/>
  <c r="F47" i="456"/>
  <c r="O47" i="456" s="1"/>
  <c r="F46" i="456"/>
  <c r="O46" i="456" s="1"/>
  <c r="F45" i="456"/>
  <c r="O45" i="456" s="1"/>
  <c r="F44" i="456"/>
  <c r="O44" i="456" s="1"/>
  <c r="F43" i="456"/>
  <c r="O43" i="456" s="1"/>
  <c r="F42" i="456"/>
  <c r="O42" i="456" s="1"/>
  <c r="F41" i="456"/>
  <c r="O41" i="456" s="1"/>
  <c r="F40" i="456"/>
  <c r="O40" i="456" s="1"/>
  <c r="F39" i="456"/>
  <c r="O39" i="456" s="1"/>
  <c r="F38" i="456"/>
  <c r="L37" i="456"/>
  <c r="F37" i="456"/>
  <c r="O37" i="456" s="1"/>
  <c r="F29" i="456"/>
  <c r="O29" i="456" s="1"/>
  <c r="F28" i="456"/>
  <c r="O28" i="456" s="1"/>
  <c r="F27" i="456"/>
  <c r="O27" i="456" s="1"/>
  <c r="F26" i="456"/>
  <c r="O26" i="456" s="1"/>
  <c r="F25" i="456"/>
  <c r="O25" i="456" s="1"/>
  <c r="F24" i="456"/>
  <c r="O24" i="456" s="1"/>
  <c r="F23" i="456"/>
  <c r="O23" i="456" s="1"/>
  <c r="F22" i="456"/>
  <c r="O22" i="456" s="1"/>
  <c r="F21" i="456"/>
  <c r="O21" i="456" s="1"/>
  <c r="F20" i="456"/>
  <c r="O20" i="456" s="1"/>
  <c r="F19" i="456"/>
  <c r="O19" i="456" s="1"/>
  <c r="F18" i="456"/>
  <c r="O18" i="456" s="1"/>
  <c r="F17" i="456"/>
  <c r="O17" i="456" s="1"/>
  <c r="F16" i="456"/>
  <c r="F15" i="456"/>
  <c r="O15" i="456" s="1"/>
  <c r="F14" i="456"/>
  <c r="O14" i="456" s="1"/>
  <c r="F13" i="456"/>
  <c r="O13" i="456" s="1"/>
  <c r="F12" i="456"/>
  <c r="O12" i="456" s="1"/>
  <c r="F11" i="456"/>
  <c r="O11" i="456" s="1"/>
  <c r="F10" i="456"/>
  <c r="O10" i="456" s="1"/>
  <c r="F9" i="456"/>
  <c r="O9" i="456" s="1"/>
  <c r="F8" i="456"/>
  <c r="O8" i="456" s="1"/>
  <c r="L7" i="456"/>
  <c r="F7" i="456"/>
  <c r="O7" i="456" s="1"/>
  <c r="K117" i="472" l="1"/>
  <c r="O117" i="472" s="1"/>
  <c r="K117" i="474"/>
  <c r="O117" i="474" s="1"/>
  <c r="O116" i="474" s="1"/>
  <c r="O71" i="472"/>
  <c r="M24" i="455"/>
  <c r="M25" i="455" s="1"/>
  <c r="F30" i="456"/>
  <c r="F48" i="456"/>
  <c r="O16" i="456"/>
  <c r="O30" i="456" s="1"/>
  <c r="O31" i="456" s="1"/>
  <c r="O38" i="456"/>
  <c r="O48" i="456" s="1"/>
  <c r="O49" i="456" s="1"/>
  <c r="K48" i="455" l="1"/>
  <c r="J48" i="455"/>
  <c r="AF47" i="455"/>
  <c r="H47" i="455"/>
  <c r="F47" i="455"/>
  <c r="D47" i="455"/>
  <c r="AF46" i="455"/>
  <c r="H46" i="455"/>
  <c r="F46" i="455"/>
  <c r="D46" i="455"/>
  <c r="AF45" i="455"/>
  <c r="H45" i="455"/>
  <c r="F45" i="455"/>
  <c r="D45" i="455"/>
  <c r="AF44" i="455"/>
  <c r="H44" i="455"/>
  <c r="F44" i="455"/>
  <c r="D44" i="455"/>
  <c r="AF43" i="455"/>
  <c r="H43" i="455"/>
  <c r="F43" i="455"/>
  <c r="D43" i="455"/>
  <c r="AF42" i="455"/>
  <c r="H42" i="455"/>
  <c r="F42" i="455"/>
  <c r="D42" i="455"/>
  <c r="AF41" i="455"/>
  <c r="H41" i="455"/>
  <c r="F41" i="455"/>
  <c r="D41" i="455"/>
  <c r="AF40" i="455"/>
  <c r="H40" i="455"/>
  <c r="F40" i="455"/>
  <c r="D40" i="455"/>
  <c r="AF39" i="455"/>
  <c r="H39" i="455"/>
  <c r="F39" i="455"/>
  <c r="D39" i="455"/>
  <c r="AF38" i="455"/>
  <c r="H38" i="455"/>
  <c r="F38" i="455"/>
  <c r="D38" i="455"/>
  <c r="AF37" i="455"/>
  <c r="H37" i="455"/>
  <c r="F37" i="455"/>
  <c r="D37" i="455"/>
  <c r="AF36" i="455"/>
  <c r="H36" i="455"/>
  <c r="F36" i="455"/>
  <c r="D36" i="455"/>
  <c r="AF35" i="455"/>
  <c r="H35" i="455"/>
  <c r="F35" i="455"/>
  <c r="D35" i="455"/>
  <c r="AF34" i="455"/>
  <c r="H34" i="455"/>
  <c r="F34" i="455"/>
  <c r="D34" i="455"/>
  <c r="AF33" i="455"/>
  <c r="H33" i="455"/>
  <c r="F33" i="455"/>
  <c r="D33" i="455"/>
  <c r="AF32" i="455"/>
  <c r="H32" i="455"/>
  <c r="F32" i="455"/>
  <c r="D32" i="455"/>
  <c r="K23" i="455"/>
  <c r="J23" i="455"/>
  <c r="AF22" i="455"/>
  <c r="H22" i="455"/>
  <c r="Q22" i="455" s="1"/>
  <c r="AF21" i="455"/>
  <c r="H21" i="455"/>
  <c r="Q21" i="455" s="1"/>
  <c r="AF20" i="455"/>
  <c r="H20" i="455"/>
  <c r="Q20" i="455" s="1"/>
  <c r="AF19" i="455"/>
  <c r="H19" i="455"/>
  <c r="Q19" i="455" s="1"/>
  <c r="AF18" i="455"/>
  <c r="H18" i="455"/>
  <c r="Q18" i="455" s="1"/>
  <c r="AF17" i="455"/>
  <c r="H17" i="455"/>
  <c r="Q17" i="455" s="1"/>
  <c r="AF16" i="455"/>
  <c r="H16" i="455"/>
  <c r="P16" i="455" s="1"/>
  <c r="AF15" i="455"/>
  <c r="H15" i="455"/>
  <c r="Q15" i="455" s="1"/>
  <c r="AF14" i="455"/>
  <c r="H14" i="455"/>
  <c r="P14" i="455" s="1"/>
  <c r="AF13" i="455"/>
  <c r="H13" i="455"/>
  <c r="Q13" i="455" s="1"/>
  <c r="AF12" i="455"/>
  <c r="H12" i="455"/>
  <c r="Q12" i="455" s="1"/>
  <c r="AF11" i="455"/>
  <c r="H11" i="455"/>
  <c r="F11" i="455"/>
  <c r="AF10" i="455"/>
  <c r="H10" i="455"/>
  <c r="F10" i="455"/>
  <c r="AF9" i="455"/>
  <c r="H9" i="455"/>
  <c r="F9" i="455"/>
  <c r="D9" i="455"/>
  <c r="AF8" i="455"/>
  <c r="H8" i="455"/>
  <c r="F8" i="455"/>
  <c r="D8" i="455"/>
  <c r="AF7" i="455"/>
  <c r="H7" i="455"/>
  <c r="F7" i="455"/>
  <c r="D7" i="455"/>
  <c r="Q32" i="455" l="1"/>
  <c r="Q44" i="455"/>
  <c r="P35" i="455"/>
  <c r="P38" i="455"/>
  <c r="Q47" i="455"/>
  <c r="Q37" i="455"/>
  <c r="Q40" i="455"/>
  <c r="P46" i="455"/>
  <c r="Q36" i="455"/>
  <c r="Q45" i="455"/>
  <c r="Q39" i="455"/>
  <c r="Q11" i="455"/>
  <c r="AF23" i="455"/>
  <c r="Q42" i="455"/>
  <c r="Q43" i="455"/>
  <c r="Q10" i="455"/>
  <c r="Q14" i="455"/>
  <c r="Q9" i="455"/>
  <c r="P17" i="455"/>
  <c r="Q34" i="455"/>
  <c r="P7" i="455"/>
  <c r="P34" i="455"/>
  <c r="Q8" i="455"/>
  <c r="P11" i="455"/>
  <c r="P20" i="455"/>
  <c r="Q38" i="455"/>
  <c r="P40" i="455"/>
  <c r="Q46" i="455"/>
  <c r="P22" i="455"/>
  <c r="P44" i="455"/>
  <c r="P42" i="455"/>
  <c r="P36" i="455"/>
  <c r="Q33" i="455"/>
  <c r="Q41" i="455"/>
  <c r="P9" i="455"/>
  <c r="Q7" i="455"/>
  <c r="P33" i="455"/>
  <c r="P39" i="455"/>
  <c r="P41" i="455"/>
  <c r="P43" i="455"/>
  <c r="P45" i="455"/>
  <c r="P47" i="455"/>
  <c r="P37" i="455"/>
  <c r="P12" i="455"/>
  <c r="P15" i="455"/>
  <c r="P18" i="455"/>
  <c r="P21" i="455"/>
  <c r="Q35" i="455"/>
  <c r="P13" i="455"/>
  <c r="P10" i="455"/>
  <c r="P19" i="455"/>
  <c r="Q16" i="455"/>
  <c r="P32" i="455"/>
  <c r="P8" i="455"/>
  <c r="Q23" i="455" l="1"/>
  <c r="C26" i="455" s="1"/>
  <c r="C27" i="455" s="1"/>
  <c r="Q48" i="455"/>
  <c r="C51" i="455" s="1"/>
  <c r="C52" i="455" s="1"/>
  <c r="P48" i="455"/>
  <c r="C50" i="455" s="1"/>
  <c r="P23" i="455"/>
  <c r="C25" i="455" s="1"/>
  <c r="G26" i="350" l="1"/>
  <c r="I72" i="472"/>
  <c r="E117" i="472" l="1"/>
  <c r="I117" i="472" s="1"/>
  <c r="P117" i="472" s="1"/>
  <c r="E117" i="474"/>
  <c r="I117" i="474" s="1"/>
  <c r="P72" i="472"/>
  <c r="H26" i="350"/>
  <c r="P117" i="474" l="1"/>
  <c r="I116" i="474"/>
  <c r="P116" i="474" s="1"/>
  <c r="I73" i="472"/>
  <c r="C131" i="453"/>
  <c r="C130" i="453"/>
  <c r="C129" i="453"/>
  <c r="C128" i="453"/>
  <c r="C127" i="453"/>
  <c r="C126" i="453"/>
  <c r="C125" i="453"/>
  <c r="C124" i="453"/>
  <c r="C123" i="453"/>
  <c r="C122" i="453"/>
  <c r="C121" i="453"/>
  <c r="C120" i="453"/>
  <c r="C119" i="453"/>
  <c r="C118" i="453"/>
  <c r="C117" i="453"/>
  <c r="C116" i="453"/>
  <c r="C115" i="453"/>
  <c r="C114" i="453"/>
  <c r="C113" i="453"/>
  <c r="C112" i="453"/>
  <c r="C111" i="453"/>
  <c r="C110" i="453"/>
  <c r="C109" i="453"/>
  <c r="C108" i="453"/>
  <c r="C107" i="453"/>
  <c r="C106" i="453"/>
  <c r="C105" i="453"/>
  <c r="C104" i="453"/>
  <c r="C103" i="453"/>
  <c r="C102" i="453"/>
  <c r="C101" i="453"/>
  <c r="C100" i="453"/>
  <c r="C99" i="453"/>
  <c r="C98" i="453"/>
  <c r="C97" i="453"/>
  <c r="C96" i="453"/>
  <c r="C95" i="453"/>
  <c r="C94" i="453"/>
  <c r="C93" i="453"/>
  <c r="C92" i="453"/>
  <c r="C91" i="453"/>
  <c r="C90" i="453"/>
  <c r="C89" i="453"/>
  <c r="C88" i="453"/>
  <c r="C87" i="453"/>
  <c r="C86" i="453"/>
  <c r="C85" i="453"/>
  <c r="C84" i="453"/>
  <c r="C83" i="453"/>
  <c r="C82" i="453"/>
  <c r="C81" i="453"/>
  <c r="C80" i="453"/>
  <c r="C79" i="453"/>
  <c r="C78" i="453"/>
  <c r="C77" i="453"/>
  <c r="C76" i="453"/>
  <c r="C75" i="453"/>
  <c r="C74" i="453"/>
  <c r="C73" i="453"/>
  <c r="C72" i="453"/>
  <c r="C71" i="453"/>
  <c r="C70" i="453"/>
  <c r="C69" i="453"/>
  <c r="C68" i="453"/>
  <c r="C67" i="453"/>
  <c r="C66" i="453"/>
  <c r="C65" i="453"/>
  <c r="C64" i="453"/>
  <c r="C63" i="453"/>
  <c r="C62" i="453"/>
  <c r="C61" i="453"/>
  <c r="C60" i="453"/>
  <c r="C59" i="453"/>
  <c r="C58" i="453"/>
  <c r="C57" i="453"/>
  <c r="C56" i="453"/>
  <c r="C55" i="453"/>
  <c r="C54" i="453"/>
  <c r="C53" i="453"/>
  <c r="C52" i="453"/>
  <c r="C51" i="453"/>
  <c r="C50" i="453"/>
  <c r="C49" i="453"/>
  <c r="C48" i="453"/>
  <c r="C47" i="453"/>
  <c r="C46" i="453"/>
  <c r="C45" i="453"/>
  <c r="C44" i="453"/>
  <c r="C43" i="453"/>
  <c r="C42" i="453"/>
  <c r="C41" i="453"/>
  <c r="C40" i="453"/>
  <c r="C39" i="453"/>
  <c r="C38" i="453"/>
  <c r="C37" i="453"/>
  <c r="C36" i="453"/>
  <c r="C35" i="453"/>
  <c r="C34" i="453"/>
  <c r="C33" i="453"/>
  <c r="C32" i="453"/>
  <c r="C31" i="453"/>
  <c r="C30" i="453"/>
  <c r="C29" i="453"/>
  <c r="C28" i="453"/>
  <c r="C27" i="453"/>
  <c r="C26" i="453"/>
  <c r="C25" i="453"/>
  <c r="C24" i="453"/>
  <c r="C23" i="453"/>
  <c r="C22" i="453"/>
  <c r="C21" i="453"/>
  <c r="C20" i="453"/>
  <c r="C19" i="453"/>
  <c r="C18" i="453"/>
  <c r="C17" i="453"/>
  <c r="C16" i="453"/>
  <c r="C15" i="453"/>
  <c r="C14" i="453"/>
  <c r="C13" i="453"/>
  <c r="C12" i="453"/>
  <c r="C11" i="453"/>
  <c r="C10" i="453"/>
  <c r="C9" i="453"/>
  <c r="C8" i="453"/>
  <c r="C7" i="453"/>
  <c r="C6" i="453"/>
  <c r="C5" i="453"/>
  <c r="C4" i="453"/>
  <c r="C3" i="453"/>
  <c r="C2" i="453"/>
  <c r="D131" i="453"/>
  <c r="D130" i="453"/>
  <c r="D129" i="453"/>
  <c r="D128" i="453"/>
  <c r="D127" i="453"/>
  <c r="D126" i="453"/>
  <c r="D125" i="453"/>
  <c r="D123" i="453"/>
  <c r="D122" i="453"/>
  <c r="D121" i="453"/>
  <c r="D120" i="453"/>
  <c r="D119" i="453"/>
  <c r="D118" i="453"/>
  <c r="D117" i="453"/>
  <c r="D116" i="453"/>
  <c r="D115" i="453"/>
  <c r="D114" i="453"/>
  <c r="D113" i="453"/>
  <c r="D112" i="453"/>
  <c r="D111" i="453"/>
  <c r="D110" i="453"/>
  <c r="D109" i="453"/>
  <c r="D108" i="453"/>
  <c r="D107" i="453"/>
  <c r="D106" i="453"/>
  <c r="D105" i="453"/>
  <c r="D104" i="453"/>
  <c r="D103" i="453"/>
  <c r="D102" i="453"/>
  <c r="D101" i="453"/>
  <c r="D100" i="453"/>
  <c r="D99" i="453"/>
  <c r="D98" i="453"/>
  <c r="D97" i="453"/>
  <c r="D96" i="453"/>
  <c r="D95" i="453"/>
  <c r="D94" i="453"/>
  <c r="D93" i="453"/>
  <c r="D92" i="453"/>
  <c r="D91" i="453"/>
  <c r="D90" i="453"/>
  <c r="D89" i="453"/>
  <c r="D88" i="453"/>
  <c r="D87" i="453"/>
  <c r="D86" i="453"/>
  <c r="D85" i="453"/>
  <c r="D84" i="453"/>
  <c r="D83" i="453"/>
  <c r="D82" i="453"/>
  <c r="D81" i="453"/>
  <c r="D80" i="453"/>
  <c r="D79" i="453"/>
  <c r="D78" i="453"/>
  <c r="D77" i="453"/>
  <c r="D76" i="453"/>
  <c r="D75" i="453"/>
  <c r="D74" i="453"/>
  <c r="D73" i="453"/>
  <c r="D72" i="453"/>
  <c r="D71" i="453"/>
  <c r="D70" i="453"/>
  <c r="D69" i="453"/>
  <c r="D68" i="453"/>
  <c r="D67" i="453"/>
  <c r="D66" i="453"/>
  <c r="D65" i="453"/>
  <c r="D64" i="453"/>
  <c r="D63" i="453"/>
  <c r="D62" i="453"/>
  <c r="D61" i="453"/>
  <c r="D60" i="453"/>
  <c r="D59" i="453"/>
  <c r="D58" i="453"/>
  <c r="D57" i="453"/>
  <c r="D56" i="453"/>
  <c r="D55" i="453"/>
  <c r="D54" i="453"/>
  <c r="D53" i="453"/>
  <c r="D52" i="453"/>
  <c r="D51" i="453"/>
  <c r="D50" i="453"/>
  <c r="D49" i="453"/>
  <c r="D48" i="453"/>
  <c r="D47" i="453"/>
  <c r="D46" i="453"/>
  <c r="D45" i="453"/>
  <c r="D44" i="453"/>
  <c r="D43" i="453"/>
  <c r="D42" i="453"/>
  <c r="D41" i="453"/>
  <c r="D40" i="453"/>
  <c r="D39" i="453"/>
  <c r="D38" i="453"/>
  <c r="D37" i="453"/>
  <c r="D36" i="453"/>
  <c r="D35" i="453"/>
  <c r="D34" i="453"/>
  <c r="D33" i="453"/>
  <c r="D32" i="453"/>
  <c r="D31" i="453"/>
  <c r="D30" i="453"/>
  <c r="D29" i="453"/>
  <c r="D28" i="453"/>
  <c r="D27" i="453"/>
  <c r="D26" i="453"/>
  <c r="D25" i="453"/>
  <c r="D24" i="453"/>
  <c r="D23" i="453"/>
  <c r="D22" i="453"/>
  <c r="D21" i="453"/>
  <c r="D20" i="453"/>
  <c r="D19" i="453"/>
  <c r="D18" i="453"/>
  <c r="D17" i="453"/>
  <c r="D16" i="453"/>
  <c r="D15" i="453"/>
  <c r="D14" i="453"/>
  <c r="D13" i="453"/>
  <c r="D12" i="453"/>
  <c r="D11" i="453"/>
  <c r="D10" i="453"/>
  <c r="D9" i="453"/>
  <c r="D8" i="453"/>
  <c r="D7" i="453"/>
  <c r="D6" i="453"/>
  <c r="D5" i="453"/>
  <c r="D4" i="453"/>
  <c r="D3" i="453"/>
  <c r="D2" i="453"/>
  <c r="P73" i="472" l="1"/>
  <c r="I71" i="472"/>
  <c r="P71" i="472" s="1"/>
  <c r="F20" i="401" l="1"/>
  <c r="F19" i="401"/>
  <c r="F18" i="401"/>
  <c r="F17" i="401"/>
  <c r="F16" i="401"/>
  <c r="F15" i="401"/>
  <c r="F38" i="452"/>
  <c r="O38" i="452" s="1"/>
  <c r="F37" i="452"/>
  <c r="O37" i="452" s="1"/>
  <c r="F36" i="452"/>
  <c r="O36" i="452" s="1"/>
  <c r="F35" i="452"/>
  <c r="O35" i="452" s="1"/>
  <c r="F34" i="452"/>
  <c r="O34" i="452" s="1"/>
  <c r="F33" i="452"/>
  <c r="O33" i="452" s="1"/>
  <c r="F32" i="452"/>
  <c r="O32" i="452" s="1"/>
  <c r="F31" i="452"/>
  <c r="O30" i="452"/>
  <c r="O29" i="452"/>
  <c r="L28" i="452"/>
  <c r="F28" i="452"/>
  <c r="O28" i="452" s="1"/>
  <c r="F17" i="452"/>
  <c r="O17" i="452" s="1"/>
  <c r="F16" i="452"/>
  <c r="O16" i="452" s="1"/>
  <c r="F15" i="452"/>
  <c r="O15" i="452" s="1"/>
  <c r="F14" i="452"/>
  <c r="O14" i="452" s="1"/>
  <c r="F13" i="452"/>
  <c r="O13" i="452" s="1"/>
  <c r="F12" i="452"/>
  <c r="O12" i="452" s="1"/>
  <c r="F11" i="452"/>
  <c r="O11" i="452" s="1"/>
  <c r="F10" i="452"/>
  <c r="O10" i="452" s="1"/>
  <c r="F9" i="452"/>
  <c r="O9" i="452" s="1"/>
  <c r="F8" i="452"/>
  <c r="O8" i="452" s="1"/>
  <c r="C22" i="452" s="1"/>
  <c r="L7" i="452"/>
  <c r="F7" i="452"/>
  <c r="O7" i="452" s="1"/>
  <c r="AF12" i="442"/>
  <c r="AF11" i="442"/>
  <c r="F12" i="442"/>
  <c r="D12" i="442"/>
  <c r="F11" i="442"/>
  <c r="D11" i="442"/>
  <c r="C42" i="452" l="1"/>
  <c r="F39" i="452"/>
  <c r="O31" i="452"/>
  <c r="O39" i="452" s="1"/>
  <c r="O40" i="452" s="1"/>
  <c r="F18" i="452"/>
  <c r="O18" i="452"/>
  <c r="O19" i="452" s="1"/>
  <c r="I32" i="350" l="1"/>
  <c r="F17" i="358"/>
  <c r="D17" i="358"/>
  <c r="F16" i="358"/>
  <c r="D16" i="358"/>
  <c r="F15" i="358"/>
  <c r="D15" i="358"/>
  <c r="F14" i="358"/>
  <c r="D14" i="358"/>
  <c r="F13" i="358"/>
  <c r="D13" i="358"/>
  <c r="F12" i="358"/>
  <c r="D12" i="358"/>
  <c r="F11" i="358"/>
  <c r="D11" i="358"/>
  <c r="F10" i="358"/>
  <c r="D10" i="358"/>
  <c r="F9" i="358"/>
  <c r="D9" i="358"/>
  <c r="F10" i="424"/>
  <c r="D10" i="424"/>
  <c r="F9" i="424"/>
  <c r="D9" i="424"/>
  <c r="F8" i="424"/>
  <c r="D8" i="424"/>
  <c r="H10" i="424"/>
  <c r="H9" i="424"/>
  <c r="H8" i="424"/>
  <c r="I27" i="350" l="1"/>
  <c r="I40" i="350"/>
  <c r="K119" i="474" s="1"/>
  <c r="O119" i="474" s="1"/>
  <c r="F8" i="441"/>
  <c r="F9" i="441"/>
  <c r="F10" i="441"/>
  <c r="F11" i="441"/>
  <c r="F12" i="441"/>
  <c r="F13" i="441"/>
  <c r="F14" i="441"/>
  <c r="F15" i="441"/>
  <c r="F16" i="441"/>
  <c r="F17" i="441"/>
  <c r="F18" i="441"/>
  <c r="F19" i="441"/>
  <c r="O74" i="472" l="1"/>
  <c r="K119" i="472"/>
  <c r="O119" i="472" s="1"/>
  <c r="I39" i="350"/>
  <c r="E119" i="474" s="1"/>
  <c r="I119" i="474" s="1"/>
  <c r="P119" i="474" s="1"/>
  <c r="R119" i="474" s="1"/>
  <c r="K73" i="351"/>
  <c r="O73" i="351" s="1"/>
  <c r="K69" i="451"/>
  <c r="O69" i="451" s="1"/>
  <c r="O46" i="433"/>
  <c r="I74" i="472" l="1"/>
  <c r="P74" i="472" s="1"/>
  <c r="R74" i="472" s="1"/>
  <c r="E119" i="472"/>
  <c r="I119" i="472" s="1"/>
  <c r="P119" i="472" s="1"/>
  <c r="E73" i="351"/>
  <c r="I73" i="351" s="1"/>
  <c r="P73" i="351" s="1"/>
  <c r="R73" i="351" s="1"/>
  <c r="E69" i="451"/>
  <c r="I69" i="451" s="1"/>
  <c r="P69" i="451" s="1"/>
  <c r="N40" i="390"/>
  <c r="F31" i="390"/>
  <c r="O31" i="390" s="1"/>
  <c r="F30" i="390"/>
  <c r="O30" i="390" s="1"/>
  <c r="F28" i="390"/>
  <c r="O28" i="390" s="1"/>
  <c r="C119" i="472" l="1"/>
  <c r="R119" i="472" s="1"/>
  <c r="Q69" i="451"/>
  <c r="R69" i="451"/>
  <c r="F34" i="369"/>
  <c r="F33" i="369"/>
  <c r="F32" i="369"/>
  <c r="F31" i="369"/>
  <c r="O31" i="369" s="1"/>
  <c r="F30" i="369"/>
  <c r="F29" i="369"/>
  <c r="F28" i="369"/>
  <c r="F27" i="369"/>
  <c r="F44" i="368" l="1"/>
  <c r="D44" i="368"/>
  <c r="F43" i="368"/>
  <c r="D43" i="368"/>
  <c r="F42" i="368"/>
  <c r="D42" i="368"/>
  <c r="F41" i="368"/>
  <c r="D41" i="368"/>
  <c r="F40" i="368"/>
  <c r="D40" i="368"/>
  <c r="F39" i="368"/>
  <c r="D39" i="368"/>
  <c r="F38" i="368"/>
  <c r="D38" i="368"/>
  <c r="F37" i="368"/>
  <c r="D37" i="368"/>
  <c r="F36" i="368"/>
  <c r="D36" i="368"/>
  <c r="F35" i="368"/>
  <c r="D35" i="368"/>
  <c r="H17" i="368"/>
  <c r="F17" i="368"/>
  <c r="H16" i="368"/>
  <c r="F16" i="368"/>
  <c r="H15" i="368"/>
  <c r="F15" i="368"/>
  <c r="H14" i="368"/>
  <c r="F14" i="368"/>
  <c r="H13" i="368"/>
  <c r="F13" i="368"/>
  <c r="H12" i="368"/>
  <c r="F12" i="368"/>
  <c r="H11" i="368"/>
  <c r="F11" i="368"/>
  <c r="H10" i="368"/>
  <c r="F10" i="368"/>
  <c r="H9" i="368"/>
  <c r="F9" i="368"/>
  <c r="H8" i="368"/>
  <c r="F8" i="368"/>
  <c r="CH23" i="330" l="1" a="1"/>
  <c r="CH23" i="330" s="1"/>
  <c r="E8" i="351" l="1"/>
  <c r="I8" i="351" s="1"/>
  <c r="K9" i="351"/>
  <c r="O9" i="351" s="1"/>
  <c r="E9" i="351"/>
  <c r="I9" i="351" s="1"/>
  <c r="I62" i="351"/>
  <c r="P62" i="351" s="1"/>
  <c r="I61" i="351"/>
  <c r="P61" i="351" s="1"/>
  <c r="O60" i="351"/>
  <c r="I60" i="351"/>
  <c r="O59" i="351"/>
  <c r="I59" i="351"/>
  <c r="O58" i="351"/>
  <c r="I58" i="351"/>
  <c r="O57" i="351"/>
  <c r="I57" i="351"/>
  <c r="I56" i="351"/>
  <c r="P56" i="351" s="1"/>
  <c r="O55" i="351"/>
  <c r="I55" i="351"/>
  <c r="O54" i="351"/>
  <c r="I54" i="351"/>
  <c r="O53" i="351"/>
  <c r="N53" i="351"/>
  <c r="I53" i="351"/>
  <c r="O52" i="351"/>
  <c r="N52" i="351"/>
  <c r="I52" i="351"/>
  <c r="O51" i="351"/>
  <c r="O121" i="351" s="1"/>
  <c r="N51" i="351"/>
  <c r="N121" i="351" s="1"/>
  <c r="I51" i="351"/>
  <c r="O50" i="351"/>
  <c r="I50" i="351"/>
  <c r="O49" i="351"/>
  <c r="O118" i="351" s="1"/>
  <c r="N49" i="351"/>
  <c r="N118" i="351" s="1"/>
  <c r="I49" i="351"/>
  <c r="I118" i="351" s="1"/>
  <c r="O48" i="351"/>
  <c r="O115" i="351" s="1"/>
  <c r="N48" i="351"/>
  <c r="N115" i="351" s="1"/>
  <c r="I48" i="351"/>
  <c r="I115" i="351" s="1"/>
  <c r="O42" i="351"/>
  <c r="N42" i="351"/>
  <c r="I42" i="351"/>
  <c r="O29" i="351"/>
  <c r="I29" i="351"/>
  <c r="O28" i="351"/>
  <c r="I28" i="351"/>
  <c r="O27" i="351"/>
  <c r="I27" i="351"/>
  <c r="O26" i="351"/>
  <c r="I26" i="351"/>
  <c r="O25" i="351"/>
  <c r="I25" i="351"/>
  <c r="O24" i="351"/>
  <c r="I24" i="351"/>
  <c r="O23" i="351"/>
  <c r="I23" i="351"/>
  <c r="I22" i="351"/>
  <c r="P22" i="351" s="1"/>
  <c r="O21" i="351"/>
  <c r="I21" i="351"/>
  <c r="H21" i="351"/>
  <c r="O20" i="351"/>
  <c r="I20" i="351"/>
  <c r="H20" i="351"/>
  <c r="O19" i="351"/>
  <c r="N19" i="351"/>
  <c r="I19" i="351"/>
  <c r="H19" i="351"/>
  <c r="O18" i="351"/>
  <c r="N18" i="351"/>
  <c r="I18" i="351"/>
  <c r="H18" i="351"/>
  <c r="L17" i="351"/>
  <c r="N17" i="351" s="1"/>
  <c r="I17" i="351"/>
  <c r="H17" i="351"/>
  <c r="L16" i="351"/>
  <c r="O16" i="351" s="1"/>
  <c r="I16" i="351"/>
  <c r="H16" i="351"/>
  <c r="O15" i="351"/>
  <c r="N15" i="351"/>
  <c r="I15" i="351"/>
  <c r="L14" i="351"/>
  <c r="N14" i="351" s="1"/>
  <c r="H14" i="351"/>
  <c r="O13" i="351"/>
  <c r="I13" i="351"/>
  <c r="O12" i="351"/>
  <c r="I12" i="351"/>
  <c r="K11" i="351"/>
  <c r="O11" i="351" s="1"/>
  <c r="E11" i="351"/>
  <c r="I11" i="351" s="1"/>
  <c r="L10" i="351"/>
  <c r="N10" i="351" s="1"/>
  <c r="I10" i="351"/>
  <c r="H10" i="351"/>
  <c r="O8" i="351"/>
  <c r="O7" i="351"/>
  <c r="I7" i="351"/>
  <c r="O6" i="351"/>
  <c r="I6" i="351"/>
  <c r="O5" i="351"/>
  <c r="I5" i="351"/>
  <c r="O4" i="351"/>
  <c r="I4" i="351"/>
  <c r="O3" i="351"/>
  <c r="I3" i="351"/>
  <c r="O15" i="451"/>
  <c r="O153" i="451"/>
  <c r="I153" i="451"/>
  <c r="O152" i="451"/>
  <c r="I152" i="451"/>
  <c r="O150" i="451"/>
  <c r="I150" i="451"/>
  <c r="O148" i="451"/>
  <c r="I148" i="451"/>
  <c r="O147" i="451"/>
  <c r="I147" i="451"/>
  <c r="O146" i="451"/>
  <c r="I146" i="451"/>
  <c r="O145" i="451"/>
  <c r="I145" i="451"/>
  <c r="O144" i="451"/>
  <c r="I144" i="451"/>
  <c r="O143" i="451"/>
  <c r="I143" i="451"/>
  <c r="O142" i="451"/>
  <c r="I142" i="451"/>
  <c r="O140" i="451"/>
  <c r="I140" i="451"/>
  <c r="O139" i="451"/>
  <c r="I139" i="451"/>
  <c r="O138" i="451"/>
  <c r="I138" i="451"/>
  <c r="O137" i="451"/>
  <c r="I137" i="451"/>
  <c r="O136" i="451"/>
  <c r="I136" i="451"/>
  <c r="O135" i="451"/>
  <c r="I135" i="451"/>
  <c r="O134" i="451"/>
  <c r="I134" i="451"/>
  <c r="O133" i="451"/>
  <c r="I133" i="451"/>
  <c r="O132" i="451"/>
  <c r="I132" i="451"/>
  <c r="O131" i="451"/>
  <c r="I131" i="451"/>
  <c r="O130" i="451"/>
  <c r="I130" i="451"/>
  <c r="I121" i="451"/>
  <c r="P121" i="451" s="1"/>
  <c r="I119" i="451"/>
  <c r="P119" i="451" s="1"/>
  <c r="O118" i="451"/>
  <c r="I118" i="451"/>
  <c r="O117" i="451"/>
  <c r="I117" i="451"/>
  <c r="F115" i="451"/>
  <c r="I115" i="451" s="1"/>
  <c r="I114" i="451"/>
  <c r="O113" i="451"/>
  <c r="F113" i="451"/>
  <c r="H113" i="451" s="1"/>
  <c r="O112" i="451"/>
  <c r="I112" i="451"/>
  <c r="L111" i="451"/>
  <c r="N111" i="451" s="1"/>
  <c r="F111" i="451"/>
  <c r="I111" i="451" s="1"/>
  <c r="O110" i="451"/>
  <c r="N110" i="451"/>
  <c r="I110" i="451"/>
  <c r="L109" i="451"/>
  <c r="O109" i="451" s="1"/>
  <c r="F109" i="451"/>
  <c r="I109" i="451" s="1"/>
  <c r="O108" i="451"/>
  <c r="N108" i="451"/>
  <c r="I108" i="451"/>
  <c r="L107" i="451"/>
  <c r="N107" i="451" s="1"/>
  <c r="F107" i="451"/>
  <c r="I107" i="451" s="1"/>
  <c r="M106" i="451"/>
  <c r="L106" i="451"/>
  <c r="K106" i="451"/>
  <c r="J106" i="451"/>
  <c r="H106" i="451"/>
  <c r="G106" i="451"/>
  <c r="F106" i="451"/>
  <c r="E106" i="451"/>
  <c r="D106" i="451"/>
  <c r="L105" i="451"/>
  <c r="N105" i="451" s="1"/>
  <c r="F105" i="451"/>
  <c r="I105" i="451" s="1"/>
  <c r="M103" i="451"/>
  <c r="L103" i="451"/>
  <c r="K103" i="451"/>
  <c r="J103" i="451"/>
  <c r="H103" i="451"/>
  <c r="G103" i="451"/>
  <c r="F103" i="451"/>
  <c r="E103" i="451"/>
  <c r="D103" i="451"/>
  <c r="O102" i="451"/>
  <c r="N102" i="451"/>
  <c r="L101" i="451"/>
  <c r="F101" i="451"/>
  <c r="M100" i="451"/>
  <c r="L100" i="451"/>
  <c r="K100" i="451"/>
  <c r="J100" i="451"/>
  <c r="H100" i="451"/>
  <c r="G100" i="451"/>
  <c r="F100" i="451"/>
  <c r="E100" i="451"/>
  <c r="D100" i="451"/>
  <c r="L99" i="451"/>
  <c r="O99" i="451" s="1"/>
  <c r="F99" i="451"/>
  <c r="I99" i="451" s="1"/>
  <c r="O98" i="451"/>
  <c r="N98" i="451"/>
  <c r="I98" i="451"/>
  <c r="C70" i="451"/>
  <c r="I61" i="451"/>
  <c r="P61" i="451" s="1"/>
  <c r="I60" i="451"/>
  <c r="P60" i="451" s="1"/>
  <c r="O59" i="451"/>
  <c r="I59" i="451"/>
  <c r="O58" i="451"/>
  <c r="I58" i="451"/>
  <c r="O57" i="451"/>
  <c r="I57" i="451"/>
  <c r="O56" i="451"/>
  <c r="I56" i="451"/>
  <c r="I55" i="451"/>
  <c r="P55" i="451" s="1"/>
  <c r="O54" i="451"/>
  <c r="I54" i="451"/>
  <c r="O53" i="451"/>
  <c r="I53" i="451"/>
  <c r="O52" i="451"/>
  <c r="N52" i="451"/>
  <c r="I52" i="451"/>
  <c r="O51" i="451"/>
  <c r="N51" i="451"/>
  <c r="I51" i="451"/>
  <c r="O50" i="451"/>
  <c r="O106" i="451" s="1"/>
  <c r="N50" i="451"/>
  <c r="N106" i="451" s="1"/>
  <c r="I50" i="451"/>
  <c r="O49" i="451"/>
  <c r="I49" i="451"/>
  <c r="O48" i="451"/>
  <c r="O103" i="451" s="1"/>
  <c r="N48" i="451"/>
  <c r="N103" i="451" s="1"/>
  <c r="I48" i="451"/>
  <c r="O47" i="451"/>
  <c r="O100" i="451" s="1"/>
  <c r="N47" i="451"/>
  <c r="N100" i="451" s="1"/>
  <c r="I47" i="451"/>
  <c r="I100" i="451" s="1"/>
  <c r="K46" i="451"/>
  <c r="O46" i="451" s="1"/>
  <c r="P46" i="451" s="1"/>
  <c r="O42" i="451"/>
  <c r="N42" i="451"/>
  <c r="I42" i="451"/>
  <c r="K38" i="451"/>
  <c r="O38" i="451" s="1"/>
  <c r="P38" i="451" s="1"/>
  <c r="C30" i="451"/>
  <c r="O29" i="451"/>
  <c r="I29" i="451"/>
  <c r="O28" i="451"/>
  <c r="I28" i="451"/>
  <c r="O27" i="451"/>
  <c r="I27" i="451"/>
  <c r="O26" i="451"/>
  <c r="I26" i="451"/>
  <c r="O25" i="451"/>
  <c r="I25" i="451"/>
  <c r="O24" i="451"/>
  <c r="I24" i="451"/>
  <c r="O23" i="451"/>
  <c r="I23" i="451"/>
  <c r="I22" i="451"/>
  <c r="P22" i="451" s="1"/>
  <c r="O21" i="451"/>
  <c r="I21" i="451"/>
  <c r="H21" i="451"/>
  <c r="O20" i="451"/>
  <c r="I20" i="451"/>
  <c r="H20" i="451"/>
  <c r="O19" i="451"/>
  <c r="N19" i="451"/>
  <c r="I19" i="451"/>
  <c r="H19" i="451"/>
  <c r="O18" i="451"/>
  <c r="N18" i="451"/>
  <c r="I18" i="451"/>
  <c r="H18" i="451"/>
  <c r="L17" i="451"/>
  <c r="O17" i="451" s="1"/>
  <c r="I17" i="451"/>
  <c r="H17" i="451"/>
  <c r="L16" i="451"/>
  <c r="N16" i="451" s="1"/>
  <c r="I16" i="451"/>
  <c r="H16" i="451"/>
  <c r="N15" i="451"/>
  <c r="I15" i="451"/>
  <c r="L14" i="451"/>
  <c r="H14" i="451"/>
  <c r="O13" i="451"/>
  <c r="I13" i="451"/>
  <c r="O12" i="451"/>
  <c r="I12" i="451"/>
  <c r="K11" i="451"/>
  <c r="O11" i="451" s="1"/>
  <c r="E11" i="451"/>
  <c r="I11" i="451" s="1"/>
  <c r="L10" i="451"/>
  <c r="N10" i="451" s="1"/>
  <c r="I10" i="451"/>
  <c r="H10" i="451"/>
  <c r="K9" i="451"/>
  <c r="O9" i="451" s="1"/>
  <c r="E9" i="451"/>
  <c r="I9" i="451" s="1"/>
  <c r="O8" i="451"/>
  <c r="E8" i="451"/>
  <c r="I8" i="451" s="1"/>
  <c r="O7" i="451"/>
  <c r="I7" i="451"/>
  <c r="O6" i="451"/>
  <c r="I6" i="451"/>
  <c r="O5" i="451"/>
  <c r="I5" i="451"/>
  <c r="O4" i="451"/>
  <c r="I4" i="451"/>
  <c r="O3" i="451"/>
  <c r="I3" i="451"/>
  <c r="F29" i="450"/>
  <c r="F39" i="450" s="1"/>
  <c r="O38" i="450"/>
  <c r="O37" i="450"/>
  <c r="O36" i="450"/>
  <c r="O35" i="450"/>
  <c r="O34" i="450"/>
  <c r="O33" i="450"/>
  <c r="O32" i="450"/>
  <c r="O31" i="450"/>
  <c r="O30" i="450"/>
  <c r="L28" i="450"/>
  <c r="F28" i="450"/>
  <c r="O28" i="450" s="1"/>
  <c r="O17" i="450"/>
  <c r="O16" i="450"/>
  <c r="O15" i="450"/>
  <c r="O14" i="450"/>
  <c r="O13" i="450"/>
  <c r="O12" i="450"/>
  <c r="O11" i="450"/>
  <c r="F10" i="450"/>
  <c r="F18" i="450" s="1"/>
  <c r="O9" i="450"/>
  <c r="O8" i="450"/>
  <c r="L7" i="450"/>
  <c r="F7" i="450"/>
  <c r="O7" i="450" s="1"/>
  <c r="F11" i="430"/>
  <c r="H11" i="430"/>
  <c r="D11" i="430"/>
  <c r="I11" i="295"/>
  <c r="I10" i="295"/>
  <c r="K34" i="350" s="1"/>
  <c r="J8" i="295"/>
  <c r="G5" i="295"/>
  <c r="F4" i="295"/>
  <c r="ABS61" i="265"/>
  <c r="F17" i="447"/>
  <c r="O17" i="447" s="1"/>
  <c r="O16" i="447"/>
  <c r="O15" i="447"/>
  <c r="O14" i="447"/>
  <c r="O13" i="447"/>
  <c r="O12" i="447"/>
  <c r="O11" i="447"/>
  <c r="O10" i="447"/>
  <c r="N9" i="447"/>
  <c r="O9" i="447" s="1"/>
  <c r="F9" i="447"/>
  <c r="N8" i="447"/>
  <c r="O8" i="447" s="1"/>
  <c r="F8" i="447"/>
  <c r="L7" i="447"/>
  <c r="F7" i="447"/>
  <c r="O7" i="447" s="1"/>
  <c r="G39" i="446"/>
  <c r="F39" i="446"/>
  <c r="Z38" i="446"/>
  <c r="D38" i="446"/>
  <c r="K38" i="446" s="1"/>
  <c r="Z37" i="446"/>
  <c r="D37" i="446"/>
  <c r="Z36" i="446"/>
  <c r="D36" i="446"/>
  <c r="Z35" i="446"/>
  <c r="D35" i="446"/>
  <c r="Z34" i="446"/>
  <c r="D34" i="446"/>
  <c r="Z33" i="446"/>
  <c r="D33" i="446"/>
  <c r="J33" i="446" s="1"/>
  <c r="Z32" i="446"/>
  <c r="D32" i="446"/>
  <c r="K32" i="446" s="1"/>
  <c r="Z31" i="446"/>
  <c r="D31" i="446"/>
  <c r="J31" i="446" s="1"/>
  <c r="Z30" i="446"/>
  <c r="D30" i="446"/>
  <c r="J30" i="446" s="1"/>
  <c r="Z29" i="446"/>
  <c r="D29" i="446"/>
  <c r="Z28" i="446"/>
  <c r="K28" i="446"/>
  <c r="D28" i="446"/>
  <c r="J28" i="446" s="1"/>
  <c r="G18" i="446"/>
  <c r="F18" i="446"/>
  <c r="Z17" i="446"/>
  <c r="D17" i="446"/>
  <c r="J17" i="446" s="1"/>
  <c r="Z16" i="446"/>
  <c r="D16" i="446"/>
  <c r="Z15" i="446"/>
  <c r="D15" i="446"/>
  <c r="Z14" i="446"/>
  <c r="D14" i="446"/>
  <c r="K14" i="446" s="1"/>
  <c r="Z13" i="446"/>
  <c r="I13" i="446"/>
  <c r="D13" i="446"/>
  <c r="J13" i="446" s="1"/>
  <c r="Z12" i="446"/>
  <c r="I12" i="446"/>
  <c r="D12" i="446"/>
  <c r="Z11" i="446"/>
  <c r="I11" i="446"/>
  <c r="D11" i="446"/>
  <c r="J11" i="446" s="1"/>
  <c r="Z10" i="446"/>
  <c r="I10" i="446"/>
  <c r="D10" i="446"/>
  <c r="K10" i="446" s="1"/>
  <c r="Z9" i="446"/>
  <c r="I9" i="446"/>
  <c r="H19" i="446" s="1"/>
  <c r="H20" i="446" s="1"/>
  <c r="D9" i="446"/>
  <c r="K9" i="446" s="1"/>
  <c r="Z8" i="446"/>
  <c r="I8" i="446"/>
  <c r="D8" i="446"/>
  <c r="J8" i="446" s="1"/>
  <c r="K7" i="446"/>
  <c r="D7" i="446"/>
  <c r="J7" i="446" s="1"/>
  <c r="N20" i="445"/>
  <c r="N21" i="445" s="1"/>
  <c r="I18" i="445"/>
  <c r="F17" i="445"/>
  <c r="O17" i="445" s="1"/>
  <c r="F16" i="445"/>
  <c r="O16" i="445" s="1"/>
  <c r="F15" i="445"/>
  <c r="O15" i="445" s="1"/>
  <c r="F14" i="445"/>
  <c r="O14" i="445" s="1"/>
  <c r="F13" i="445"/>
  <c r="O13" i="445" s="1"/>
  <c r="F12" i="445"/>
  <c r="O12" i="445" s="1"/>
  <c r="F11" i="445"/>
  <c r="O11" i="445" s="1"/>
  <c r="F10" i="445"/>
  <c r="O10" i="445" s="1"/>
  <c r="F9" i="445"/>
  <c r="O9" i="445" s="1"/>
  <c r="F8" i="445"/>
  <c r="O8" i="445" s="1"/>
  <c r="L7" i="445"/>
  <c r="F7" i="445"/>
  <c r="O7" i="445" s="1"/>
  <c r="C2" i="445"/>
  <c r="K23" i="444"/>
  <c r="J23" i="444"/>
  <c r="AH22" i="444"/>
  <c r="AG22" i="444"/>
  <c r="H22" i="444"/>
  <c r="F22" i="444"/>
  <c r="D22" i="444"/>
  <c r="AH21" i="444"/>
  <c r="AG21" i="444"/>
  <c r="H21" i="444"/>
  <c r="F21" i="444"/>
  <c r="D21" i="444"/>
  <c r="AH20" i="444"/>
  <c r="AG20" i="444"/>
  <c r="H20" i="444"/>
  <c r="F20" i="444"/>
  <c r="D20" i="444"/>
  <c r="AH19" i="444"/>
  <c r="AG19" i="444"/>
  <c r="R19" i="444"/>
  <c r="Q19" i="444"/>
  <c r="AH18" i="444"/>
  <c r="AG18" i="444"/>
  <c r="R18" i="444"/>
  <c r="Q18" i="444"/>
  <c r="AH17" i="444"/>
  <c r="AG17" i="444"/>
  <c r="R17" i="444"/>
  <c r="Q17" i="444"/>
  <c r="AH16" i="444"/>
  <c r="O16" i="444"/>
  <c r="H16" i="444"/>
  <c r="F16" i="444"/>
  <c r="D16" i="444"/>
  <c r="AG15" i="444"/>
  <c r="N15" i="444"/>
  <c r="H15" i="444"/>
  <c r="F15" i="444"/>
  <c r="D15" i="444"/>
  <c r="AH14" i="444"/>
  <c r="O14" i="444"/>
  <c r="H14" i="444"/>
  <c r="F14" i="444"/>
  <c r="D14" i="444"/>
  <c r="AG13" i="444"/>
  <c r="N13" i="444"/>
  <c r="H13" i="444"/>
  <c r="F13" i="444"/>
  <c r="D13" i="444"/>
  <c r="AH12" i="444"/>
  <c r="O12" i="444"/>
  <c r="H12" i="444"/>
  <c r="F12" i="444"/>
  <c r="D12" i="444"/>
  <c r="AG11" i="444"/>
  <c r="N11" i="444"/>
  <c r="H11" i="444"/>
  <c r="F11" i="444"/>
  <c r="D11" i="444"/>
  <c r="AG10" i="444"/>
  <c r="N10" i="444"/>
  <c r="H10" i="444"/>
  <c r="F10" i="444"/>
  <c r="D10" i="444"/>
  <c r="AG9" i="444"/>
  <c r="N9" i="444"/>
  <c r="H9" i="444"/>
  <c r="F9" i="444"/>
  <c r="D9" i="444"/>
  <c r="AG8" i="444"/>
  <c r="N8" i="444"/>
  <c r="H8" i="444"/>
  <c r="F8" i="444"/>
  <c r="D8" i="444"/>
  <c r="H7" i="444"/>
  <c r="F7" i="444"/>
  <c r="D7" i="444"/>
  <c r="N26" i="443"/>
  <c r="N27" i="443" s="1"/>
  <c r="G24" i="443"/>
  <c r="O23" i="443"/>
  <c r="O22" i="443"/>
  <c r="O21" i="443"/>
  <c r="O20" i="443"/>
  <c r="O19" i="443"/>
  <c r="O18" i="443"/>
  <c r="O17" i="443"/>
  <c r="O16" i="443"/>
  <c r="O15" i="443"/>
  <c r="O14" i="443"/>
  <c r="O13" i="443"/>
  <c r="O12" i="443"/>
  <c r="O11" i="443"/>
  <c r="O10" i="443"/>
  <c r="O9" i="443"/>
  <c r="O8" i="443"/>
  <c r="L7" i="443"/>
  <c r="F7" i="443"/>
  <c r="O7" i="443" s="1"/>
  <c r="C2" i="443"/>
  <c r="K23" i="442"/>
  <c r="J23" i="442"/>
  <c r="AF22" i="442"/>
  <c r="H22" i="442"/>
  <c r="F22" i="442"/>
  <c r="D22" i="442"/>
  <c r="AF21" i="442"/>
  <c r="H21" i="442"/>
  <c r="F21" i="442"/>
  <c r="D21" i="442"/>
  <c r="AF20" i="442"/>
  <c r="H20" i="442"/>
  <c r="F20" i="442"/>
  <c r="D20" i="442"/>
  <c r="AF19" i="442"/>
  <c r="H19" i="442"/>
  <c r="F19" i="442"/>
  <c r="D19" i="442"/>
  <c r="AF18" i="442"/>
  <c r="H18" i="442"/>
  <c r="F18" i="442"/>
  <c r="D18" i="442"/>
  <c r="AF17" i="442"/>
  <c r="H17" i="442"/>
  <c r="F17" i="442"/>
  <c r="D17" i="442"/>
  <c r="AF16" i="442"/>
  <c r="H16" i="442"/>
  <c r="F16" i="442"/>
  <c r="D16" i="442"/>
  <c r="AF15" i="442"/>
  <c r="H15" i="442"/>
  <c r="F15" i="442"/>
  <c r="D15" i="442"/>
  <c r="AF14" i="442"/>
  <c r="H14" i="442"/>
  <c r="F14" i="442"/>
  <c r="D14" i="442"/>
  <c r="AF13" i="442"/>
  <c r="N13" i="442"/>
  <c r="H13" i="442"/>
  <c r="F13" i="442"/>
  <c r="D13" i="442"/>
  <c r="N12" i="442"/>
  <c r="H12" i="442"/>
  <c r="P12" i="442" s="1"/>
  <c r="N11" i="442"/>
  <c r="H11" i="442"/>
  <c r="AF10" i="442"/>
  <c r="N10" i="442"/>
  <c r="H10" i="442"/>
  <c r="F10" i="442"/>
  <c r="D10" i="442"/>
  <c r="AF9" i="442"/>
  <c r="N9" i="442"/>
  <c r="H9" i="442"/>
  <c r="F9" i="442"/>
  <c r="D9" i="442"/>
  <c r="AF8" i="442"/>
  <c r="N8" i="442"/>
  <c r="H8" i="442"/>
  <c r="F8" i="442"/>
  <c r="D8" i="442"/>
  <c r="H7" i="442"/>
  <c r="F7" i="442"/>
  <c r="D7" i="442"/>
  <c r="N24" i="441"/>
  <c r="N25" i="441" s="1"/>
  <c r="I22" i="441"/>
  <c r="F21" i="441"/>
  <c r="O21" i="441" s="1"/>
  <c r="F20" i="441"/>
  <c r="O19" i="441"/>
  <c r="O18" i="441"/>
  <c r="O17" i="441"/>
  <c r="O16" i="441"/>
  <c r="O15" i="441"/>
  <c r="O14" i="441"/>
  <c r="O13" i="441"/>
  <c r="O12" i="441"/>
  <c r="O11" i="441"/>
  <c r="O10" i="441"/>
  <c r="O8" i="441"/>
  <c r="L7" i="441"/>
  <c r="F7" i="441"/>
  <c r="O7" i="441" s="1"/>
  <c r="C2" i="441"/>
  <c r="K23" i="440"/>
  <c r="J23" i="440"/>
  <c r="AF22" i="440"/>
  <c r="H22" i="440"/>
  <c r="F22" i="440"/>
  <c r="D22" i="440"/>
  <c r="AF21" i="440"/>
  <c r="H21" i="440"/>
  <c r="F21" i="440"/>
  <c r="D21" i="440"/>
  <c r="AF20" i="440"/>
  <c r="H20" i="440"/>
  <c r="F20" i="440"/>
  <c r="D20" i="440"/>
  <c r="AF19" i="440"/>
  <c r="H19" i="440"/>
  <c r="F19" i="440"/>
  <c r="D19" i="440"/>
  <c r="AF18" i="440"/>
  <c r="H18" i="440"/>
  <c r="F18" i="440"/>
  <c r="D18" i="440"/>
  <c r="AF17" i="440"/>
  <c r="H17" i="440"/>
  <c r="F17" i="440"/>
  <c r="D17" i="440"/>
  <c r="AF16" i="440"/>
  <c r="H16" i="440"/>
  <c r="F16" i="440"/>
  <c r="D16" i="440"/>
  <c r="AF15" i="440"/>
  <c r="H15" i="440"/>
  <c r="F15" i="440"/>
  <c r="D15" i="440"/>
  <c r="AF14" i="440"/>
  <c r="N14" i="440"/>
  <c r="H14" i="440"/>
  <c r="F14" i="440"/>
  <c r="D14" i="440"/>
  <c r="AF13" i="440"/>
  <c r="N13" i="440"/>
  <c r="H13" i="440"/>
  <c r="F13" i="440"/>
  <c r="D13" i="440"/>
  <c r="AF12" i="440"/>
  <c r="N12" i="440"/>
  <c r="H12" i="440"/>
  <c r="F12" i="440"/>
  <c r="D12" i="440"/>
  <c r="AF11" i="440"/>
  <c r="N11" i="440"/>
  <c r="H11" i="440"/>
  <c r="F11" i="440"/>
  <c r="D11" i="440"/>
  <c r="AF10" i="440"/>
  <c r="N10" i="440"/>
  <c r="H10" i="440"/>
  <c r="F10" i="440"/>
  <c r="D10" i="440"/>
  <c r="AF9" i="440"/>
  <c r="N9" i="440"/>
  <c r="H9" i="440"/>
  <c r="F9" i="440"/>
  <c r="D9" i="440"/>
  <c r="AF8" i="440"/>
  <c r="N8" i="440"/>
  <c r="H8" i="440"/>
  <c r="F8" i="440"/>
  <c r="D8" i="440"/>
  <c r="H7" i="440"/>
  <c r="F7" i="440"/>
  <c r="D7" i="440"/>
  <c r="F35" i="439"/>
  <c r="O35" i="439" s="1"/>
  <c r="F34" i="439"/>
  <c r="O34" i="439" s="1"/>
  <c r="F33" i="439"/>
  <c r="O33" i="439" s="1"/>
  <c r="F32" i="439"/>
  <c r="O32" i="439" s="1"/>
  <c r="F31" i="439"/>
  <c r="O31" i="439" s="1"/>
  <c r="F30" i="439"/>
  <c r="O30" i="439" s="1"/>
  <c r="F29" i="439"/>
  <c r="O29" i="439" s="1"/>
  <c r="F28" i="439"/>
  <c r="O28" i="439" s="1"/>
  <c r="F27" i="439"/>
  <c r="O27" i="439" s="1"/>
  <c r="F26" i="439"/>
  <c r="L25" i="439"/>
  <c r="F25" i="439"/>
  <c r="O25" i="439" s="1"/>
  <c r="N19" i="439"/>
  <c r="N20" i="439" s="1"/>
  <c r="I18" i="439"/>
  <c r="F17" i="439"/>
  <c r="O17" i="439" s="1"/>
  <c r="F16" i="439"/>
  <c r="O16" i="439" s="1"/>
  <c r="F15" i="439"/>
  <c r="O15" i="439" s="1"/>
  <c r="F14" i="439"/>
  <c r="O14" i="439" s="1"/>
  <c r="F13" i="439"/>
  <c r="O13" i="439" s="1"/>
  <c r="F12" i="439"/>
  <c r="O12" i="439" s="1"/>
  <c r="F11" i="439"/>
  <c r="O11" i="439" s="1"/>
  <c r="F10" i="439"/>
  <c r="O10" i="439" s="1"/>
  <c r="F9" i="439"/>
  <c r="O9" i="439" s="1"/>
  <c r="F8" i="439"/>
  <c r="L7" i="439"/>
  <c r="F7" i="439"/>
  <c r="O7" i="439" s="1"/>
  <c r="K47" i="438"/>
  <c r="J47" i="438"/>
  <c r="AF46" i="438"/>
  <c r="H46" i="438"/>
  <c r="F46" i="438"/>
  <c r="D46" i="438"/>
  <c r="AF45" i="438"/>
  <c r="H45" i="438"/>
  <c r="F45" i="438"/>
  <c r="D45" i="438"/>
  <c r="AF44" i="438"/>
  <c r="H44" i="438"/>
  <c r="F44" i="438"/>
  <c r="D44" i="438"/>
  <c r="AF43" i="438"/>
  <c r="N43" i="438"/>
  <c r="H43" i="438"/>
  <c r="F43" i="438"/>
  <c r="D43" i="438"/>
  <c r="AF42" i="438"/>
  <c r="N42" i="438"/>
  <c r="H42" i="438"/>
  <c r="F42" i="438"/>
  <c r="D42" i="438"/>
  <c r="AF41" i="438"/>
  <c r="N41" i="438"/>
  <c r="H41" i="438"/>
  <c r="F41" i="438"/>
  <c r="D41" i="438"/>
  <c r="AF40" i="438"/>
  <c r="N40" i="438"/>
  <c r="H40" i="438"/>
  <c r="F40" i="438"/>
  <c r="D40" i="438"/>
  <c r="AF39" i="438"/>
  <c r="N39" i="438"/>
  <c r="H39" i="438"/>
  <c r="F39" i="438"/>
  <c r="D39" i="438"/>
  <c r="AF38" i="438"/>
  <c r="N38" i="438"/>
  <c r="H38" i="438"/>
  <c r="F38" i="438"/>
  <c r="D38" i="438"/>
  <c r="AF37" i="438"/>
  <c r="N37" i="438"/>
  <c r="H37" i="438"/>
  <c r="F37" i="438"/>
  <c r="D37" i="438"/>
  <c r="AF36" i="438"/>
  <c r="N36" i="438"/>
  <c r="H36" i="438"/>
  <c r="F36" i="438"/>
  <c r="D36" i="438"/>
  <c r="AF35" i="438"/>
  <c r="N35" i="438"/>
  <c r="H35" i="438"/>
  <c r="F35" i="438"/>
  <c r="D35" i="438"/>
  <c r="AF34" i="438"/>
  <c r="N34" i="438"/>
  <c r="H34" i="438"/>
  <c r="F34" i="438"/>
  <c r="D34" i="438"/>
  <c r="AF33" i="438"/>
  <c r="N33" i="438"/>
  <c r="H33" i="438"/>
  <c r="F33" i="438"/>
  <c r="D33" i="438"/>
  <c r="AF32" i="438"/>
  <c r="N32" i="438"/>
  <c r="H32" i="438"/>
  <c r="F32" i="438"/>
  <c r="D32" i="438"/>
  <c r="AF31" i="438"/>
  <c r="H31" i="438"/>
  <c r="F31" i="438"/>
  <c r="D31" i="438"/>
  <c r="K23" i="438"/>
  <c r="J23" i="438"/>
  <c r="AF22" i="438"/>
  <c r="H22" i="438"/>
  <c r="F22" i="438"/>
  <c r="D22" i="438"/>
  <c r="AF21" i="438"/>
  <c r="H21" i="438"/>
  <c r="F21" i="438"/>
  <c r="D21" i="438"/>
  <c r="AF20" i="438"/>
  <c r="H20" i="438"/>
  <c r="F20" i="438"/>
  <c r="D20" i="438"/>
  <c r="AF19" i="438"/>
  <c r="N19" i="438"/>
  <c r="H19" i="438"/>
  <c r="F19" i="438"/>
  <c r="D19" i="438"/>
  <c r="AF18" i="438"/>
  <c r="N18" i="438"/>
  <c r="H18" i="438"/>
  <c r="F18" i="438"/>
  <c r="D18" i="438"/>
  <c r="AF17" i="438"/>
  <c r="N17" i="438"/>
  <c r="H17" i="438"/>
  <c r="F17" i="438"/>
  <c r="D17" i="438"/>
  <c r="AF16" i="438"/>
  <c r="N16" i="438"/>
  <c r="H16" i="438"/>
  <c r="F16" i="438"/>
  <c r="D16" i="438"/>
  <c r="AF15" i="438"/>
  <c r="N15" i="438"/>
  <c r="H15" i="438"/>
  <c r="F15" i="438"/>
  <c r="D15" i="438"/>
  <c r="AF14" i="438"/>
  <c r="N14" i="438"/>
  <c r="H14" i="438"/>
  <c r="F14" i="438"/>
  <c r="D14" i="438"/>
  <c r="AF13" i="438"/>
  <c r="N13" i="438"/>
  <c r="H13" i="438"/>
  <c r="F13" i="438"/>
  <c r="D13" i="438"/>
  <c r="AF12" i="438"/>
  <c r="N12" i="438"/>
  <c r="H12" i="438"/>
  <c r="F12" i="438"/>
  <c r="D12" i="438"/>
  <c r="AF11" i="438"/>
  <c r="N11" i="438"/>
  <c r="H11" i="438"/>
  <c r="F11" i="438"/>
  <c r="D11" i="438"/>
  <c r="AF10" i="438"/>
  <c r="N10" i="438"/>
  <c r="H10" i="438"/>
  <c r="F10" i="438"/>
  <c r="D10" i="438"/>
  <c r="AF9" i="438"/>
  <c r="N9" i="438"/>
  <c r="H9" i="438"/>
  <c r="F9" i="438"/>
  <c r="D9" i="438"/>
  <c r="AF8" i="438"/>
  <c r="N8" i="438"/>
  <c r="H8" i="438"/>
  <c r="F8" i="438"/>
  <c r="D8" i="438"/>
  <c r="AF7" i="438"/>
  <c r="H7" i="438"/>
  <c r="F7" i="438"/>
  <c r="D7" i="438"/>
  <c r="N42" i="437"/>
  <c r="N43" i="437" s="1"/>
  <c r="I40" i="437"/>
  <c r="F39" i="437"/>
  <c r="O39" i="437" s="1"/>
  <c r="F38" i="437"/>
  <c r="O38" i="437" s="1"/>
  <c r="F37" i="437"/>
  <c r="O37" i="437" s="1"/>
  <c r="F36" i="437"/>
  <c r="O36" i="437" s="1"/>
  <c r="F35" i="437"/>
  <c r="O35" i="437" s="1"/>
  <c r="F34" i="437"/>
  <c r="O34" i="437" s="1"/>
  <c r="F33" i="437"/>
  <c r="O33" i="437" s="1"/>
  <c r="F32" i="437"/>
  <c r="O32" i="437" s="1"/>
  <c r="F31" i="437"/>
  <c r="O31" i="437" s="1"/>
  <c r="F30" i="437"/>
  <c r="O30" i="437" s="1"/>
  <c r="F29" i="437"/>
  <c r="O29" i="437" s="1"/>
  <c r="F28" i="437"/>
  <c r="O28" i="437" s="1"/>
  <c r="F27" i="437"/>
  <c r="O27" i="437" s="1"/>
  <c r="F26" i="437"/>
  <c r="O26" i="437" s="1"/>
  <c r="F25" i="437"/>
  <c r="O25" i="437" s="1"/>
  <c r="F24" i="437"/>
  <c r="O24" i="437" s="1"/>
  <c r="F23" i="437"/>
  <c r="O23" i="437" s="1"/>
  <c r="F22" i="437"/>
  <c r="O22" i="437" s="1"/>
  <c r="F21" i="437"/>
  <c r="O21" i="437" s="1"/>
  <c r="F20" i="437"/>
  <c r="O20" i="437" s="1"/>
  <c r="F19" i="437"/>
  <c r="O19" i="437" s="1"/>
  <c r="F18" i="437"/>
  <c r="O18" i="437" s="1"/>
  <c r="F17" i="437"/>
  <c r="O17" i="437" s="1"/>
  <c r="F16" i="437"/>
  <c r="O16" i="437" s="1"/>
  <c r="F15" i="437"/>
  <c r="O15" i="437" s="1"/>
  <c r="F14" i="437"/>
  <c r="O14" i="437" s="1"/>
  <c r="F13" i="437"/>
  <c r="O13" i="437" s="1"/>
  <c r="F12" i="437"/>
  <c r="O12" i="437" s="1"/>
  <c r="F11" i="437"/>
  <c r="O11" i="437" s="1"/>
  <c r="F10" i="437"/>
  <c r="O10" i="437" s="1"/>
  <c r="F9" i="437"/>
  <c r="F8" i="437"/>
  <c r="O8" i="437" s="1"/>
  <c r="L7" i="437"/>
  <c r="F7" i="437"/>
  <c r="O7" i="437" s="1"/>
  <c r="C2" i="437"/>
  <c r="K23" i="436"/>
  <c r="J23" i="436"/>
  <c r="AF22" i="436"/>
  <c r="H22" i="436"/>
  <c r="F22" i="436"/>
  <c r="D22" i="436"/>
  <c r="AF21" i="436"/>
  <c r="H21" i="436"/>
  <c r="F21" i="436"/>
  <c r="D21" i="436"/>
  <c r="AF20" i="436"/>
  <c r="H20" i="436"/>
  <c r="F20" i="436"/>
  <c r="D20" i="436"/>
  <c r="AF19" i="436"/>
  <c r="H19" i="436"/>
  <c r="F19" i="436"/>
  <c r="D19" i="436"/>
  <c r="AF18" i="436"/>
  <c r="H18" i="436"/>
  <c r="F18" i="436"/>
  <c r="D18" i="436"/>
  <c r="AF17" i="436"/>
  <c r="H17" i="436"/>
  <c r="F17" i="436"/>
  <c r="D17" i="436"/>
  <c r="AF16" i="436"/>
  <c r="H16" i="436"/>
  <c r="F16" i="436"/>
  <c r="D16" i="436"/>
  <c r="AF15" i="436"/>
  <c r="H15" i="436"/>
  <c r="F15" i="436"/>
  <c r="D15" i="436"/>
  <c r="AF14" i="436"/>
  <c r="N14" i="436"/>
  <c r="H14" i="436"/>
  <c r="F14" i="436"/>
  <c r="D14" i="436"/>
  <c r="AF13" i="436"/>
  <c r="N13" i="436"/>
  <c r="H13" i="436"/>
  <c r="F13" i="436"/>
  <c r="D13" i="436"/>
  <c r="AF12" i="436"/>
  <c r="N12" i="436"/>
  <c r="H12" i="436"/>
  <c r="F12" i="436"/>
  <c r="D12" i="436"/>
  <c r="AF11" i="436"/>
  <c r="N11" i="436"/>
  <c r="H11" i="436"/>
  <c r="F11" i="436"/>
  <c r="D11" i="436"/>
  <c r="AF10" i="436"/>
  <c r="N10" i="436"/>
  <c r="H10" i="436"/>
  <c r="F10" i="436"/>
  <c r="D10" i="436"/>
  <c r="AF9" i="436"/>
  <c r="N9" i="436"/>
  <c r="H9" i="436"/>
  <c r="F9" i="436"/>
  <c r="D9" i="436"/>
  <c r="AF8" i="436"/>
  <c r="N8" i="436"/>
  <c r="H8" i="436"/>
  <c r="F8" i="436"/>
  <c r="D8" i="436"/>
  <c r="H7" i="436"/>
  <c r="F7" i="436"/>
  <c r="D7" i="436"/>
  <c r="N45" i="435"/>
  <c r="N46" i="435" s="1"/>
  <c r="I43" i="435"/>
  <c r="O42" i="435"/>
  <c r="F41" i="435"/>
  <c r="O41" i="435" s="1"/>
  <c r="O40" i="435"/>
  <c r="F39" i="435"/>
  <c r="O39" i="435" s="1"/>
  <c r="O38" i="435"/>
  <c r="O37" i="435"/>
  <c r="F36" i="435"/>
  <c r="O36" i="435" s="1"/>
  <c r="O35" i="435"/>
  <c r="F34" i="435"/>
  <c r="O34" i="435" s="1"/>
  <c r="O33" i="435"/>
  <c r="F32" i="435"/>
  <c r="O32" i="435" s="1"/>
  <c r="F31" i="435"/>
  <c r="O31" i="435" s="1"/>
  <c r="O30" i="435"/>
  <c r="F29" i="435"/>
  <c r="L28" i="435"/>
  <c r="F28" i="435"/>
  <c r="O28" i="435" s="1"/>
  <c r="N22" i="435"/>
  <c r="N23" i="435" s="1"/>
  <c r="I20" i="435"/>
  <c r="F19" i="435"/>
  <c r="O19" i="435" s="1"/>
  <c r="F18" i="435"/>
  <c r="O18" i="435" s="1"/>
  <c r="F17" i="435"/>
  <c r="O17" i="435" s="1"/>
  <c r="F16" i="435"/>
  <c r="O16" i="435" s="1"/>
  <c r="F15" i="435"/>
  <c r="O15" i="435" s="1"/>
  <c r="F14" i="435"/>
  <c r="O14" i="435" s="1"/>
  <c r="F13" i="435"/>
  <c r="O13" i="435" s="1"/>
  <c r="F12" i="435"/>
  <c r="O12" i="435" s="1"/>
  <c r="F11" i="435"/>
  <c r="O11" i="435" s="1"/>
  <c r="F10" i="435"/>
  <c r="O10" i="435" s="1"/>
  <c r="F9" i="435"/>
  <c r="O9" i="435" s="1"/>
  <c r="F8" i="435"/>
  <c r="L7" i="435"/>
  <c r="F7" i="435"/>
  <c r="O7" i="435" s="1"/>
  <c r="C2" i="435"/>
  <c r="K48" i="434"/>
  <c r="J48" i="434"/>
  <c r="AF47" i="434"/>
  <c r="H47" i="434"/>
  <c r="F47" i="434"/>
  <c r="D47" i="434"/>
  <c r="AF46" i="434"/>
  <c r="H46" i="434"/>
  <c r="F46" i="434"/>
  <c r="D46" i="434"/>
  <c r="AF45" i="434"/>
  <c r="N45" i="434"/>
  <c r="H45" i="434"/>
  <c r="Q45" i="434" s="1"/>
  <c r="AF44" i="434"/>
  <c r="N44" i="434"/>
  <c r="H44" i="434"/>
  <c r="AF43" i="434"/>
  <c r="N43" i="434"/>
  <c r="H43" i="434"/>
  <c r="AF42" i="434"/>
  <c r="N42" i="434"/>
  <c r="H42" i="434"/>
  <c r="P42" i="434" s="1"/>
  <c r="AF41" i="434"/>
  <c r="N41" i="434"/>
  <c r="H41" i="434"/>
  <c r="AF40" i="434"/>
  <c r="N40" i="434"/>
  <c r="H40" i="434"/>
  <c r="AF39" i="434"/>
  <c r="N39" i="434"/>
  <c r="H39" i="434"/>
  <c r="Q39" i="434" s="1"/>
  <c r="AF38" i="434"/>
  <c r="N38" i="434"/>
  <c r="H38" i="434"/>
  <c r="AF37" i="434"/>
  <c r="N37" i="434"/>
  <c r="H37" i="434"/>
  <c r="AF36" i="434"/>
  <c r="N36" i="434"/>
  <c r="H36" i="434"/>
  <c r="P36" i="434" s="1"/>
  <c r="AF35" i="434"/>
  <c r="N35" i="434"/>
  <c r="H35" i="434"/>
  <c r="AF34" i="434"/>
  <c r="N34" i="434"/>
  <c r="H34" i="434"/>
  <c r="AF33" i="434"/>
  <c r="N33" i="434"/>
  <c r="H33" i="434"/>
  <c r="P33" i="434" s="1"/>
  <c r="H32" i="434"/>
  <c r="F32" i="434"/>
  <c r="D32" i="434"/>
  <c r="K23" i="434"/>
  <c r="J23" i="434"/>
  <c r="AF22" i="434"/>
  <c r="H22" i="434"/>
  <c r="F22" i="434"/>
  <c r="D22" i="434"/>
  <c r="AF21" i="434"/>
  <c r="H21" i="434"/>
  <c r="F21" i="434"/>
  <c r="D21" i="434"/>
  <c r="AF20" i="434"/>
  <c r="N20" i="434"/>
  <c r="F20" i="434"/>
  <c r="D20" i="434"/>
  <c r="AF19" i="434"/>
  <c r="N19" i="434"/>
  <c r="F19" i="434"/>
  <c r="D19" i="434"/>
  <c r="AF18" i="434"/>
  <c r="N18" i="434"/>
  <c r="H18" i="434"/>
  <c r="F18" i="434"/>
  <c r="D18" i="434"/>
  <c r="AF17" i="434"/>
  <c r="N17" i="434"/>
  <c r="H17" i="434"/>
  <c r="F17" i="434"/>
  <c r="D17" i="434"/>
  <c r="AF16" i="434"/>
  <c r="N16" i="434"/>
  <c r="H16" i="434"/>
  <c r="F16" i="434"/>
  <c r="D16" i="434"/>
  <c r="AF15" i="434"/>
  <c r="N15" i="434"/>
  <c r="H15" i="434"/>
  <c r="F15" i="434"/>
  <c r="D15" i="434"/>
  <c r="AF14" i="434"/>
  <c r="N14" i="434"/>
  <c r="H14" i="434"/>
  <c r="F14" i="434"/>
  <c r="D14" i="434"/>
  <c r="AF13" i="434"/>
  <c r="N13" i="434"/>
  <c r="H13" i="434"/>
  <c r="F13" i="434"/>
  <c r="D13" i="434"/>
  <c r="AF12" i="434"/>
  <c r="N12" i="434"/>
  <c r="H12" i="434"/>
  <c r="F12" i="434"/>
  <c r="D12" i="434"/>
  <c r="AF11" i="434"/>
  <c r="N11" i="434"/>
  <c r="H11" i="434"/>
  <c r="F11" i="434"/>
  <c r="D11" i="434"/>
  <c r="AF10" i="434"/>
  <c r="N10" i="434"/>
  <c r="H10" i="434"/>
  <c r="F10" i="434"/>
  <c r="D10" i="434"/>
  <c r="AF9" i="434"/>
  <c r="N9" i="434"/>
  <c r="H9" i="434"/>
  <c r="F9" i="434"/>
  <c r="D9" i="434"/>
  <c r="AF8" i="434"/>
  <c r="N8" i="434"/>
  <c r="H8" i="434"/>
  <c r="F8" i="434"/>
  <c r="D8" i="434"/>
  <c r="H7" i="434"/>
  <c r="F7" i="434"/>
  <c r="D7" i="434"/>
  <c r="N96" i="433"/>
  <c r="N97" i="433" s="1"/>
  <c r="I94" i="433"/>
  <c r="O93" i="433"/>
  <c r="O92" i="433"/>
  <c r="O91" i="433"/>
  <c r="O90" i="433"/>
  <c r="O89" i="433"/>
  <c r="O88" i="433"/>
  <c r="O87" i="433"/>
  <c r="O86" i="433"/>
  <c r="O85" i="433"/>
  <c r="O84" i="433"/>
  <c r="O83" i="433"/>
  <c r="O82" i="433"/>
  <c r="O81" i="433"/>
  <c r="O80" i="433"/>
  <c r="O79" i="433"/>
  <c r="O78" i="433"/>
  <c r="O77" i="433"/>
  <c r="O76" i="433"/>
  <c r="O75" i="433"/>
  <c r="O74" i="433"/>
  <c r="O72" i="433"/>
  <c r="O71" i="433"/>
  <c r="O70" i="433"/>
  <c r="O69" i="433"/>
  <c r="O68" i="433"/>
  <c r="O67" i="433"/>
  <c r="O66" i="433"/>
  <c r="O65" i="433"/>
  <c r="O64" i="433"/>
  <c r="O63" i="433"/>
  <c r="O62" i="433"/>
  <c r="O61" i="433"/>
  <c r="O60" i="433"/>
  <c r="O59" i="433"/>
  <c r="O58" i="433"/>
  <c r="O57" i="433"/>
  <c r="O56" i="433"/>
  <c r="L55" i="433"/>
  <c r="F55" i="433"/>
  <c r="O55" i="433" s="1"/>
  <c r="N49" i="433"/>
  <c r="N50" i="433" s="1"/>
  <c r="I47" i="433"/>
  <c r="F45" i="433"/>
  <c r="O45" i="433" s="1"/>
  <c r="F44" i="433"/>
  <c r="O44" i="433" s="1"/>
  <c r="F43" i="433"/>
  <c r="O43" i="433" s="1"/>
  <c r="F42" i="433"/>
  <c r="O42" i="433" s="1"/>
  <c r="F41" i="433"/>
  <c r="O41" i="433" s="1"/>
  <c r="F40" i="433"/>
  <c r="O40" i="433" s="1"/>
  <c r="F39" i="433"/>
  <c r="O39" i="433" s="1"/>
  <c r="F38" i="433"/>
  <c r="O38" i="433" s="1"/>
  <c r="F37" i="433"/>
  <c r="O37" i="433" s="1"/>
  <c r="F36" i="433"/>
  <c r="O36" i="433" s="1"/>
  <c r="F35" i="433"/>
  <c r="O35" i="433" s="1"/>
  <c r="F34" i="433"/>
  <c r="O34" i="433" s="1"/>
  <c r="F33" i="433"/>
  <c r="O33" i="433" s="1"/>
  <c r="F32" i="433"/>
  <c r="O32" i="433" s="1"/>
  <c r="F31" i="433"/>
  <c r="O31" i="433" s="1"/>
  <c r="F30" i="433"/>
  <c r="O30" i="433" s="1"/>
  <c r="F29" i="433"/>
  <c r="O29" i="433" s="1"/>
  <c r="F28" i="433"/>
  <c r="O28" i="433" s="1"/>
  <c r="F27" i="433"/>
  <c r="O27" i="433" s="1"/>
  <c r="F26" i="433"/>
  <c r="O26" i="433" s="1"/>
  <c r="F25" i="433"/>
  <c r="O25" i="433" s="1"/>
  <c r="F24" i="433"/>
  <c r="O24" i="433" s="1"/>
  <c r="O23" i="433"/>
  <c r="O22" i="433"/>
  <c r="O21" i="433"/>
  <c r="O20" i="433"/>
  <c r="O19" i="433"/>
  <c r="O18" i="433"/>
  <c r="O17" i="433"/>
  <c r="O16" i="433"/>
  <c r="F15" i="433"/>
  <c r="O15" i="433" s="1"/>
  <c r="F14" i="433"/>
  <c r="O14" i="433" s="1"/>
  <c r="F13" i="433"/>
  <c r="O13" i="433" s="1"/>
  <c r="F12" i="433"/>
  <c r="O11" i="433"/>
  <c r="O10" i="433"/>
  <c r="O9" i="433"/>
  <c r="O8" i="433"/>
  <c r="L7" i="433"/>
  <c r="F7" i="433"/>
  <c r="O7" i="433" s="1"/>
  <c r="C2" i="433"/>
  <c r="K51" i="432"/>
  <c r="J51" i="432"/>
  <c r="AF50" i="432"/>
  <c r="N50" i="432"/>
  <c r="H50" i="432"/>
  <c r="F50" i="432"/>
  <c r="D50" i="432"/>
  <c r="AF49" i="432"/>
  <c r="N49" i="432"/>
  <c r="H49" i="432"/>
  <c r="AF48" i="432"/>
  <c r="N48" i="432"/>
  <c r="H48" i="432"/>
  <c r="AF47" i="432"/>
  <c r="N47" i="432"/>
  <c r="H47" i="432"/>
  <c r="AF46" i="432"/>
  <c r="N46" i="432"/>
  <c r="H46" i="432"/>
  <c r="Q46" i="432" s="1"/>
  <c r="AF45" i="432"/>
  <c r="N45" i="432"/>
  <c r="H45" i="432"/>
  <c r="AF44" i="432"/>
  <c r="N44" i="432"/>
  <c r="H44" i="432"/>
  <c r="AF43" i="432"/>
  <c r="N43" i="432"/>
  <c r="H43" i="432"/>
  <c r="AF42" i="432"/>
  <c r="N42" i="432"/>
  <c r="H42" i="432"/>
  <c r="AF41" i="432"/>
  <c r="N41" i="432"/>
  <c r="H41" i="432"/>
  <c r="Q41" i="432" s="1"/>
  <c r="AF40" i="432"/>
  <c r="N40" i="432"/>
  <c r="H40" i="432"/>
  <c r="AF39" i="432"/>
  <c r="N39" i="432"/>
  <c r="H39" i="432"/>
  <c r="AF38" i="432"/>
  <c r="N38" i="432"/>
  <c r="H38" i="432"/>
  <c r="P38" i="432" s="1"/>
  <c r="AF37" i="432"/>
  <c r="N37" i="432"/>
  <c r="H37" i="432"/>
  <c r="AF36" i="432"/>
  <c r="N36" i="432"/>
  <c r="H36" i="432"/>
  <c r="H35" i="432"/>
  <c r="F35" i="432"/>
  <c r="D35" i="432"/>
  <c r="K25" i="432"/>
  <c r="J25" i="432"/>
  <c r="AF24" i="432"/>
  <c r="Q24" i="432"/>
  <c r="P24" i="432"/>
  <c r="N24" i="432"/>
  <c r="AF23" i="432"/>
  <c r="Q23" i="432"/>
  <c r="P23" i="432"/>
  <c r="N23" i="432"/>
  <c r="AF22" i="432"/>
  <c r="Q22" i="432"/>
  <c r="P22" i="432"/>
  <c r="N22" i="432"/>
  <c r="AF21" i="432"/>
  <c r="N21" i="432"/>
  <c r="H21" i="432"/>
  <c r="F21" i="432"/>
  <c r="D21" i="432"/>
  <c r="AF20" i="432"/>
  <c r="N20" i="432"/>
  <c r="H20" i="432"/>
  <c r="F20" i="432"/>
  <c r="D20" i="432"/>
  <c r="AF19" i="432"/>
  <c r="N19" i="432"/>
  <c r="H19" i="432"/>
  <c r="F19" i="432"/>
  <c r="D19" i="432"/>
  <c r="AF18" i="432"/>
  <c r="N18" i="432"/>
  <c r="H18" i="432"/>
  <c r="F18" i="432"/>
  <c r="D18" i="432"/>
  <c r="AF17" i="432"/>
  <c r="N17" i="432"/>
  <c r="H17" i="432"/>
  <c r="F17" i="432"/>
  <c r="D17" i="432"/>
  <c r="AF16" i="432"/>
  <c r="N16" i="432"/>
  <c r="H16" i="432"/>
  <c r="F16" i="432"/>
  <c r="D16" i="432"/>
  <c r="AF15" i="432"/>
  <c r="N15" i="432"/>
  <c r="H15" i="432"/>
  <c r="F15" i="432"/>
  <c r="D15" i="432"/>
  <c r="AF14" i="432"/>
  <c r="N14" i="432"/>
  <c r="H14" i="432"/>
  <c r="F14" i="432"/>
  <c r="D14" i="432"/>
  <c r="AF13" i="432"/>
  <c r="N13" i="432"/>
  <c r="H13" i="432"/>
  <c r="F13" i="432"/>
  <c r="D13" i="432"/>
  <c r="AF12" i="432"/>
  <c r="N12" i="432"/>
  <c r="H12" i="432"/>
  <c r="F12" i="432"/>
  <c r="D12" i="432"/>
  <c r="AF11" i="432"/>
  <c r="N11" i="432"/>
  <c r="H11" i="432"/>
  <c r="F11" i="432"/>
  <c r="D11" i="432"/>
  <c r="AF10" i="432"/>
  <c r="N10" i="432"/>
  <c r="H10" i="432"/>
  <c r="F10" i="432"/>
  <c r="D10" i="432"/>
  <c r="AF9" i="432"/>
  <c r="N9" i="432"/>
  <c r="H9" i="432"/>
  <c r="F9" i="432"/>
  <c r="D9" i="432"/>
  <c r="AF8" i="432"/>
  <c r="N8" i="432"/>
  <c r="H8" i="432"/>
  <c r="F8" i="432"/>
  <c r="D8" i="432"/>
  <c r="H7" i="432"/>
  <c r="F7" i="432"/>
  <c r="D7" i="432"/>
  <c r="N51" i="431"/>
  <c r="N52" i="431" s="1"/>
  <c r="I49" i="431"/>
  <c r="O48" i="431"/>
  <c r="O47" i="431"/>
  <c r="O46" i="431"/>
  <c r="O45" i="431"/>
  <c r="O44" i="431"/>
  <c r="O43" i="431"/>
  <c r="O42" i="431"/>
  <c r="O41" i="431"/>
  <c r="O40" i="431"/>
  <c r="O39" i="431"/>
  <c r="O38" i="431"/>
  <c r="O37" i="431"/>
  <c r="O35" i="431"/>
  <c r="O34" i="431"/>
  <c r="O33" i="431"/>
  <c r="L32" i="431"/>
  <c r="F32" i="431"/>
  <c r="O32" i="431" s="1"/>
  <c r="N26" i="431"/>
  <c r="N27" i="431" s="1"/>
  <c r="I24" i="431"/>
  <c r="F23" i="431"/>
  <c r="O23" i="431" s="1"/>
  <c r="F22" i="431"/>
  <c r="O22" i="431" s="1"/>
  <c r="F21" i="431"/>
  <c r="O21" i="431" s="1"/>
  <c r="F20" i="431"/>
  <c r="O20" i="431" s="1"/>
  <c r="F19" i="431"/>
  <c r="O19" i="431" s="1"/>
  <c r="F18" i="431"/>
  <c r="O18" i="431" s="1"/>
  <c r="F17" i="431"/>
  <c r="O17" i="431" s="1"/>
  <c r="F16" i="431"/>
  <c r="O16" i="431" s="1"/>
  <c r="F15" i="431"/>
  <c r="O15" i="431" s="1"/>
  <c r="F14" i="431"/>
  <c r="O14" i="431" s="1"/>
  <c r="F13" i="431"/>
  <c r="O13" i="431" s="1"/>
  <c r="F12" i="431"/>
  <c r="O12" i="431" s="1"/>
  <c r="F11" i="431"/>
  <c r="O11" i="431" s="1"/>
  <c r="F10" i="431"/>
  <c r="O10" i="431" s="1"/>
  <c r="F9" i="431"/>
  <c r="O9" i="431" s="1"/>
  <c r="F8" i="431"/>
  <c r="O8" i="431" s="1"/>
  <c r="L7" i="431"/>
  <c r="F7" i="431"/>
  <c r="O7" i="431" s="1"/>
  <c r="C2" i="431"/>
  <c r="K48" i="430"/>
  <c r="J48" i="430"/>
  <c r="AF47" i="430"/>
  <c r="H47" i="430"/>
  <c r="F47" i="430"/>
  <c r="D47" i="430"/>
  <c r="AF46" i="430"/>
  <c r="H46" i="430"/>
  <c r="F46" i="430"/>
  <c r="D46" i="430"/>
  <c r="AF45" i="430"/>
  <c r="H45" i="430"/>
  <c r="F45" i="430"/>
  <c r="D45" i="430"/>
  <c r="AF44" i="430"/>
  <c r="H44" i="430"/>
  <c r="F44" i="430"/>
  <c r="D44" i="430"/>
  <c r="AF43" i="430"/>
  <c r="H43" i="430"/>
  <c r="F43" i="430"/>
  <c r="D43" i="430"/>
  <c r="AF42" i="430"/>
  <c r="H42" i="430"/>
  <c r="F42" i="430"/>
  <c r="D42" i="430"/>
  <c r="AF41" i="430"/>
  <c r="N41" i="430"/>
  <c r="H41" i="430"/>
  <c r="F41" i="430"/>
  <c r="D41" i="430"/>
  <c r="AF40" i="430"/>
  <c r="N40" i="430"/>
  <c r="H40" i="430"/>
  <c r="F40" i="430"/>
  <c r="D40" i="430"/>
  <c r="AF39" i="430"/>
  <c r="N39" i="430"/>
  <c r="H39" i="430"/>
  <c r="F39" i="430"/>
  <c r="D39" i="430"/>
  <c r="AF38" i="430"/>
  <c r="N38" i="430"/>
  <c r="H38" i="430"/>
  <c r="F38" i="430"/>
  <c r="D38" i="430"/>
  <c r="AF37" i="430"/>
  <c r="N37" i="430"/>
  <c r="H37" i="430"/>
  <c r="F37" i="430"/>
  <c r="D37" i="430"/>
  <c r="AF36" i="430"/>
  <c r="AF35" i="430"/>
  <c r="N35" i="430"/>
  <c r="H35" i="430"/>
  <c r="AF34" i="430"/>
  <c r="N34" i="430"/>
  <c r="H34" i="430"/>
  <c r="AF33" i="430"/>
  <c r="N33" i="430"/>
  <c r="H33" i="430"/>
  <c r="H32" i="430"/>
  <c r="F32" i="430"/>
  <c r="D32" i="430"/>
  <c r="K23" i="430"/>
  <c r="J23" i="430"/>
  <c r="AF22" i="430"/>
  <c r="H22" i="430"/>
  <c r="F22" i="430"/>
  <c r="D22" i="430"/>
  <c r="AF21" i="430"/>
  <c r="H21" i="430"/>
  <c r="F21" i="430"/>
  <c r="D21" i="430"/>
  <c r="AF20" i="430"/>
  <c r="H20" i="430"/>
  <c r="F20" i="430"/>
  <c r="D20" i="430"/>
  <c r="AF19" i="430"/>
  <c r="H19" i="430"/>
  <c r="F19" i="430"/>
  <c r="D19" i="430"/>
  <c r="AF18" i="430"/>
  <c r="H18" i="430"/>
  <c r="F18" i="430"/>
  <c r="D18" i="430"/>
  <c r="AF17" i="430"/>
  <c r="H17" i="430"/>
  <c r="F17" i="430"/>
  <c r="D17" i="430"/>
  <c r="AF16" i="430"/>
  <c r="N16" i="430"/>
  <c r="H16" i="430"/>
  <c r="F16" i="430"/>
  <c r="D16" i="430"/>
  <c r="AF15" i="430"/>
  <c r="N15" i="430"/>
  <c r="H15" i="430"/>
  <c r="F15" i="430"/>
  <c r="D15" i="430"/>
  <c r="AF14" i="430"/>
  <c r="N14" i="430"/>
  <c r="H14" i="430"/>
  <c r="F14" i="430"/>
  <c r="D14" i="430"/>
  <c r="AF13" i="430"/>
  <c r="N13" i="430"/>
  <c r="H13" i="430"/>
  <c r="F13" i="430"/>
  <c r="D13" i="430"/>
  <c r="AF12" i="430"/>
  <c r="N12" i="430"/>
  <c r="H12" i="430"/>
  <c r="F12" i="430"/>
  <c r="D12" i="430"/>
  <c r="AF11" i="430"/>
  <c r="AF10" i="430"/>
  <c r="N10" i="430"/>
  <c r="H10" i="430"/>
  <c r="F10" i="430"/>
  <c r="D10" i="430"/>
  <c r="AF9" i="430"/>
  <c r="N9" i="430"/>
  <c r="H9" i="430"/>
  <c r="F9" i="430"/>
  <c r="D9" i="430"/>
  <c r="AF8" i="430"/>
  <c r="N8" i="430"/>
  <c r="H8" i="430"/>
  <c r="F8" i="430"/>
  <c r="D8" i="430"/>
  <c r="H7" i="430"/>
  <c r="F7" i="430"/>
  <c r="D7" i="430"/>
  <c r="N20" i="429"/>
  <c r="N21" i="429" s="1"/>
  <c r="I18" i="429"/>
  <c r="F17" i="429"/>
  <c r="O17" i="429" s="1"/>
  <c r="F16" i="429"/>
  <c r="O16" i="429" s="1"/>
  <c r="F15" i="429"/>
  <c r="O15" i="429" s="1"/>
  <c r="F14" i="429"/>
  <c r="O14" i="429" s="1"/>
  <c r="F13" i="429"/>
  <c r="O13" i="429" s="1"/>
  <c r="F12" i="429"/>
  <c r="O12" i="429" s="1"/>
  <c r="F11" i="429"/>
  <c r="O11" i="429" s="1"/>
  <c r="F10" i="429"/>
  <c r="O10" i="429" s="1"/>
  <c r="F9" i="429"/>
  <c r="O9" i="429" s="1"/>
  <c r="F8" i="429"/>
  <c r="L7" i="429"/>
  <c r="F7" i="429"/>
  <c r="O7" i="429" s="1"/>
  <c r="C2" i="429"/>
  <c r="K23" i="428"/>
  <c r="J23" i="428"/>
  <c r="AF22" i="428"/>
  <c r="H22" i="428"/>
  <c r="F22" i="428"/>
  <c r="D22" i="428"/>
  <c r="AF21" i="428"/>
  <c r="H21" i="428"/>
  <c r="F21" i="428"/>
  <c r="D21" i="428"/>
  <c r="AF20" i="428"/>
  <c r="H20" i="428"/>
  <c r="F20" i="428"/>
  <c r="D20" i="428"/>
  <c r="AF19" i="428"/>
  <c r="H19" i="428"/>
  <c r="F19" i="428"/>
  <c r="D19" i="428"/>
  <c r="AF18" i="428"/>
  <c r="H18" i="428"/>
  <c r="F18" i="428"/>
  <c r="D18" i="428"/>
  <c r="AF17" i="428"/>
  <c r="H17" i="428"/>
  <c r="F17" i="428"/>
  <c r="D17" i="428"/>
  <c r="AF16" i="428"/>
  <c r="N16" i="428"/>
  <c r="H16" i="428"/>
  <c r="F16" i="428"/>
  <c r="D16" i="428"/>
  <c r="AF15" i="428"/>
  <c r="N15" i="428"/>
  <c r="H15" i="428"/>
  <c r="F15" i="428"/>
  <c r="D15" i="428"/>
  <c r="AF14" i="428"/>
  <c r="N14" i="428"/>
  <c r="H14" i="428"/>
  <c r="F14" i="428"/>
  <c r="D14" i="428"/>
  <c r="AF13" i="428"/>
  <c r="N13" i="428"/>
  <c r="H13" i="428"/>
  <c r="F13" i="428"/>
  <c r="D13" i="428"/>
  <c r="AF12" i="428"/>
  <c r="N12" i="428"/>
  <c r="H12" i="428"/>
  <c r="F12" i="428"/>
  <c r="D12" i="428"/>
  <c r="AF11" i="428"/>
  <c r="N11" i="428"/>
  <c r="H11" i="428"/>
  <c r="F11" i="428"/>
  <c r="D11" i="428"/>
  <c r="AF10" i="428"/>
  <c r="N10" i="428"/>
  <c r="H10" i="428"/>
  <c r="F10" i="428"/>
  <c r="D10" i="428"/>
  <c r="AF9" i="428"/>
  <c r="N9" i="428"/>
  <c r="H9" i="428"/>
  <c r="F9" i="428"/>
  <c r="D9" i="428"/>
  <c r="AF8" i="428"/>
  <c r="N8" i="428"/>
  <c r="H8" i="428"/>
  <c r="F8" i="428"/>
  <c r="D8" i="428"/>
  <c r="H7" i="428"/>
  <c r="F7" i="428"/>
  <c r="D7" i="428"/>
  <c r="N29" i="427"/>
  <c r="O23" i="427"/>
  <c r="O13" i="427"/>
  <c r="O11" i="427"/>
  <c r="O10" i="427"/>
  <c r="O9" i="427"/>
  <c r="O8" i="427"/>
  <c r="L7" i="427"/>
  <c r="F7" i="427"/>
  <c r="O7" i="427" s="1"/>
  <c r="C2" i="427"/>
  <c r="K23" i="426"/>
  <c r="J23" i="426"/>
  <c r="AF22" i="426"/>
  <c r="H22" i="426"/>
  <c r="AF21" i="426"/>
  <c r="H21" i="426"/>
  <c r="AF20" i="426"/>
  <c r="H20" i="426"/>
  <c r="Q20" i="426" s="1"/>
  <c r="AF19" i="426"/>
  <c r="H19" i="426"/>
  <c r="Q19" i="426" s="1"/>
  <c r="AF18" i="426"/>
  <c r="H18" i="426"/>
  <c r="AF17" i="426"/>
  <c r="H17" i="426"/>
  <c r="AF16" i="426"/>
  <c r="N16" i="426"/>
  <c r="H16" i="426"/>
  <c r="AF15" i="426"/>
  <c r="N15" i="426"/>
  <c r="H15" i="426"/>
  <c r="AF14" i="426"/>
  <c r="N14" i="426"/>
  <c r="H14" i="426"/>
  <c r="P14" i="426" s="1"/>
  <c r="AF13" i="426"/>
  <c r="N13" i="426"/>
  <c r="H13" i="426"/>
  <c r="AF12" i="426"/>
  <c r="N12" i="426"/>
  <c r="H12" i="426"/>
  <c r="AF11" i="426"/>
  <c r="N11" i="426"/>
  <c r="H11" i="426"/>
  <c r="P11" i="426" s="1"/>
  <c r="AF10" i="426"/>
  <c r="N10" i="426"/>
  <c r="H10" i="426"/>
  <c r="AF9" i="426"/>
  <c r="N9" i="426"/>
  <c r="H9" i="426"/>
  <c r="Q9" i="426" s="1"/>
  <c r="AF8" i="426"/>
  <c r="N8" i="426"/>
  <c r="H8" i="426"/>
  <c r="F8" i="426"/>
  <c r="D8" i="426"/>
  <c r="AF7" i="426"/>
  <c r="H7" i="426"/>
  <c r="F7" i="426"/>
  <c r="D7" i="426"/>
  <c r="N19" i="425"/>
  <c r="N20" i="425" s="1"/>
  <c r="I17" i="425"/>
  <c r="F16" i="425"/>
  <c r="O16" i="425" s="1"/>
  <c r="F15" i="425"/>
  <c r="O15" i="425" s="1"/>
  <c r="F14" i="425"/>
  <c r="O14" i="425" s="1"/>
  <c r="F13" i="425"/>
  <c r="O13" i="425" s="1"/>
  <c r="F12" i="425"/>
  <c r="O12" i="425" s="1"/>
  <c r="F11" i="425"/>
  <c r="O11" i="425" s="1"/>
  <c r="F10" i="425"/>
  <c r="O10" i="425" s="1"/>
  <c r="F9" i="425"/>
  <c r="O9" i="425" s="1"/>
  <c r="F8" i="425"/>
  <c r="O8" i="425" s="1"/>
  <c r="F7" i="425"/>
  <c r="C2" i="425"/>
  <c r="K22" i="424"/>
  <c r="J22" i="424"/>
  <c r="AF21" i="424"/>
  <c r="H21" i="424"/>
  <c r="F21" i="424"/>
  <c r="D21" i="424"/>
  <c r="AF20" i="424"/>
  <c r="H20" i="424"/>
  <c r="F20" i="424"/>
  <c r="D20" i="424"/>
  <c r="AF19" i="424"/>
  <c r="H19" i="424"/>
  <c r="F19" i="424"/>
  <c r="D19" i="424"/>
  <c r="AF18" i="424"/>
  <c r="H18" i="424"/>
  <c r="F18" i="424"/>
  <c r="D18" i="424"/>
  <c r="AF17" i="424"/>
  <c r="H17" i="424"/>
  <c r="F17" i="424"/>
  <c r="D17" i="424"/>
  <c r="AF16" i="424"/>
  <c r="H16" i="424"/>
  <c r="F16" i="424"/>
  <c r="D16" i="424"/>
  <c r="AF15" i="424"/>
  <c r="H15" i="424"/>
  <c r="F15" i="424"/>
  <c r="D15" i="424"/>
  <c r="AF14" i="424"/>
  <c r="H14" i="424"/>
  <c r="F14" i="424"/>
  <c r="D14" i="424"/>
  <c r="AF13" i="424"/>
  <c r="N13" i="424"/>
  <c r="H13" i="424"/>
  <c r="F13" i="424"/>
  <c r="D13" i="424"/>
  <c r="AF12" i="424"/>
  <c r="N12" i="424"/>
  <c r="H12" i="424"/>
  <c r="F12" i="424"/>
  <c r="D12" i="424"/>
  <c r="AF11" i="424"/>
  <c r="N11" i="424"/>
  <c r="H11" i="424"/>
  <c r="F11" i="424"/>
  <c r="D11" i="424"/>
  <c r="AF10" i="424"/>
  <c r="N10" i="424"/>
  <c r="AF9" i="424"/>
  <c r="N9" i="424"/>
  <c r="AF8" i="424"/>
  <c r="N8" i="424"/>
  <c r="AF7" i="424"/>
  <c r="N7" i="424"/>
  <c r="H7" i="424"/>
  <c r="F7" i="424"/>
  <c r="D7" i="424"/>
  <c r="F17" i="423"/>
  <c r="F18" i="423" s="1"/>
  <c r="O16" i="423"/>
  <c r="O15" i="423"/>
  <c r="O14" i="423"/>
  <c r="O13" i="423"/>
  <c r="O12" i="423"/>
  <c r="O11" i="423"/>
  <c r="O10" i="423"/>
  <c r="N9" i="423"/>
  <c r="O9" i="423" s="1"/>
  <c r="N8" i="423"/>
  <c r="O8" i="423" s="1"/>
  <c r="L7" i="423"/>
  <c r="F7" i="423"/>
  <c r="O7" i="423" s="1"/>
  <c r="G65" i="422"/>
  <c r="E63" i="422"/>
  <c r="G63" i="422" s="1"/>
  <c r="C63" i="422"/>
  <c r="E62" i="422"/>
  <c r="G62" i="422" s="1"/>
  <c r="C62" i="422"/>
  <c r="E61" i="422"/>
  <c r="G61" i="422" s="1"/>
  <c r="C61" i="422"/>
  <c r="E60" i="422"/>
  <c r="G60" i="422" s="1"/>
  <c r="C60" i="422"/>
  <c r="E59" i="422"/>
  <c r="G59" i="422" s="1"/>
  <c r="C59" i="422"/>
  <c r="E58" i="422"/>
  <c r="G58" i="422" s="1"/>
  <c r="C58" i="422"/>
  <c r="E57" i="422"/>
  <c r="G57" i="422" s="1"/>
  <c r="C57" i="422"/>
  <c r="E56" i="422"/>
  <c r="G56" i="422" s="1"/>
  <c r="C56" i="422"/>
  <c r="E55" i="422"/>
  <c r="G55" i="422" s="1"/>
  <c r="C55" i="422"/>
  <c r="E54" i="422"/>
  <c r="G54" i="422" s="1"/>
  <c r="C54" i="422"/>
  <c r="E53" i="422"/>
  <c r="G53" i="422" s="1"/>
  <c r="C53" i="422"/>
  <c r="E52" i="422"/>
  <c r="G52" i="422" s="1"/>
  <c r="C52" i="422"/>
  <c r="E51" i="422"/>
  <c r="G51" i="422" s="1"/>
  <c r="C51" i="422"/>
  <c r="E50" i="422"/>
  <c r="G50" i="422" s="1"/>
  <c r="C50" i="422"/>
  <c r="E49" i="422"/>
  <c r="G49" i="422" s="1"/>
  <c r="C49" i="422"/>
  <c r="E48" i="422"/>
  <c r="G48" i="422" s="1"/>
  <c r="C48" i="422"/>
  <c r="E47" i="422"/>
  <c r="G47" i="422" s="1"/>
  <c r="C47" i="422"/>
  <c r="E46" i="422"/>
  <c r="G46" i="422" s="1"/>
  <c r="C46" i="422"/>
  <c r="E45" i="422"/>
  <c r="G45" i="422" s="1"/>
  <c r="C45" i="422"/>
  <c r="E44" i="422"/>
  <c r="G44" i="422" s="1"/>
  <c r="C44" i="422"/>
  <c r="E37" i="422"/>
  <c r="G37" i="422" s="1"/>
  <c r="C37" i="422"/>
  <c r="E36" i="422"/>
  <c r="G36" i="422" s="1"/>
  <c r="C36" i="422"/>
  <c r="E35" i="422"/>
  <c r="G35" i="422" s="1"/>
  <c r="C35" i="422"/>
  <c r="E34" i="422"/>
  <c r="G34" i="422" s="1"/>
  <c r="C34" i="422"/>
  <c r="E33" i="422"/>
  <c r="G33" i="422" s="1"/>
  <c r="C33" i="422"/>
  <c r="F27" i="422"/>
  <c r="E26" i="422"/>
  <c r="G26" i="422" s="1"/>
  <c r="C26" i="422"/>
  <c r="E25" i="422"/>
  <c r="G25" i="422" s="1"/>
  <c r="C25" i="422"/>
  <c r="E24" i="422"/>
  <c r="G24" i="422" s="1"/>
  <c r="C24" i="422"/>
  <c r="E23" i="422"/>
  <c r="G23" i="422" s="1"/>
  <c r="C23" i="422"/>
  <c r="E22" i="422"/>
  <c r="G22" i="422" s="1"/>
  <c r="C22" i="422"/>
  <c r="E21" i="422"/>
  <c r="G21" i="422" s="1"/>
  <c r="C21" i="422"/>
  <c r="E20" i="422"/>
  <c r="G20" i="422" s="1"/>
  <c r="C20" i="422"/>
  <c r="E19" i="422"/>
  <c r="G19" i="422" s="1"/>
  <c r="C19" i="422"/>
  <c r="E18" i="422"/>
  <c r="G18" i="422" s="1"/>
  <c r="C18" i="422"/>
  <c r="E17" i="422"/>
  <c r="G17" i="422" s="1"/>
  <c r="C17" i="422"/>
  <c r="K16" i="422"/>
  <c r="E16" i="422" s="1"/>
  <c r="G16" i="422" s="1"/>
  <c r="C16" i="422"/>
  <c r="K15" i="422"/>
  <c r="E15" i="422" s="1"/>
  <c r="G15" i="422" s="1"/>
  <c r="C15" i="422"/>
  <c r="K14" i="422"/>
  <c r="E14" i="422" s="1"/>
  <c r="G14" i="422" s="1"/>
  <c r="C14" i="422"/>
  <c r="K13" i="422"/>
  <c r="E13" i="422" s="1"/>
  <c r="G13" i="422" s="1"/>
  <c r="C13" i="422"/>
  <c r="H6" i="422"/>
  <c r="H5" i="422"/>
  <c r="D3" i="422"/>
  <c r="F2" i="422"/>
  <c r="E2" i="422"/>
  <c r="D2" i="422"/>
  <c r="C2" i="422"/>
  <c r="B2" i="422"/>
  <c r="N22" i="421"/>
  <c r="N23" i="421" s="1"/>
  <c r="I20" i="421"/>
  <c r="F20" i="421"/>
  <c r="O19" i="421"/>
  <c r="O18" i="421"/>
  <c r="O17" i="421"/>
  <c r="O16" i="421"/>
  <c r="O15" i="421"/>
  <c r="O14" i="421"/>
  <c r="O13" i="421"/>
  <c r="O12" i="421"/>
  <c r="O11" i="421"/>
  <c r="O10" i="421"/>
  <c r="O9" i="421"/>
  <c r="O8" i="421"/>
  <c r="L7" i="421"/>
  <c r="F7" i="421"/>
  <c r="O7" i="421" s="1"/>
  <c r="C2" i="421"/>
  <c r="K23" i="420"/>
  <c r="J23" i="420"/>
  <c r="AF22" i="420"/>
  <c r="H22" i="420"/>
  <c r="F22" i="420"/>
  <c r="D22" i="420"/>
  <c r="AF21" i="420"/>
  <c r="H21" i="420"/>
  <c r="F21" i="420"/>
  <c r="D21" i="420"/>
  <c r="AF20" i="420"/>
  <c r="H20" i="420"/>
  <c r="F20" i="420"/>
  <c r="D20" i="420"/>
  <c r="AF19" i="420"/>
  <c r="H19" i="420"/>
  <c r="F19" i="420"/>
  <c r="D19" i="420"/>
  <c r="AF18" i="420"/>
  <c r="H18" i="420"/>
  <c r="F18" i="420"/>
  <c r="D18" i="420"/>
  <c r="AF17" i="420"/>
  <c r="H17" i="420"/>
  <c r="F17" i="420"/>
  <c r="D17" i="420"/>
  <c r="AF16" i="420"/>
  <c r="H16" i="420"/>
  <c r="F16" i="420"/>
  <c r="D16" i="420"/>
  <c r="AF15" i="420"/>
  <c r="H15" i="420"/>
  <c r="F15" i="420"/>
  <c r="D15" i="420"/>
  <c r="AF14" i="420"/>
  <c r="H14" i="420"/>
  <c r="F14" i="420"/>
  <c r="D14" i="420"/>
  <c r="AF13" i="420"/>
  <c r="N13" i="420"/>
  <c r="H13" i="420"/>
  <c r="F13" i="420"/>
  <c r="D13" i="420"/>
  <c r="AF12" i="420"/>
  <c r="N12" i="420"/>
  <c r="H12" i="420"/>
  <c r="F12" i="420"/>
  <c r="D12" i="420"/>
  <c r="AF11" i="420"/>
  <c r="N11" i="420"/>
  <c r="H11" i="420"/>
  <c r="F11" i="420"/>
  <c r="D11" i="420"/>
  <c r="AF10" i="420"/>
  <c r="N10" i="420"/>
  <c r="H10" i="420"/>
  <c r="F10" i="420"/>
  <c r="D10" i="420"/>
  <c r="AF9" i="420"/>
  <c r="N9" i="420"/>
  <c r="H9" i="420"/>
  <c r="F9" i="420"/>
  <c r="D9" i="420"/>
  <c r="AF8" i="420"/>
  <c r="N8" i="420"/>
  <c r="H8" i="420"/>
  <c r="F8" i="420"/>
  <c r="D8" i="420"/>
  <c r="AF7" i="420"/>
  <c r="H7" i="420"/>
  <c r="F7" i="420"/>
  <c r="D7" i="420"/>
  <c r="N21" i="419"/>
  <c r="N22" i="419" s="1"/>
  <c r="I19" i="419"/>
  <c r="O18" i="419"/>
  <c r="O17" i="419"/>
  <c r="O16" i="419"/>
  <c r="O15" i="419"/>
  <c r="O14" i="419"/>
  <c r="O13" i="419"/>
  <c r="O12" i="419"/>
  <c r="F11" i="419"/>
  <c r="O11" i="419" s="1"/>
  <c r="O10" i="419"/>
  <c r="F9" i="419"/>
  <c r="O8" i="419"/>
  <c r="L7" i="419"/>
  <c r="F7" i="419"/>
  <c r="O7" i="419" s="1"/>
  <c r="K24" i="418"/>
  <c r="J24" i="418"/>
  <c r="AF23" i="418"/>
  <c r="N23" i="418"/>
  <c r="AF22" i="418"/>
  <c r="N22" i="418"/>
  <c r="AF21" i="418"/>
  <c r="N21" i="418"/>
  <c r="AF20" i="418"/>
  <c r="N20" i="418"/>
  <c r="AF19" i="418"/>
  <c r="N19" i="418"/>
  <c r="AF18" i="418"/>
  <c r="N18" i="418"/>
  <c r="AF17" i="418"/>
  <c r="N17" i="418"/>
  <c r="AF16" i="418"/>
  <c r="N16" i="418"/>
  <c r="AF15" i="418"/>
  <c r="N15" i="418"/>
  <c r="AF14" i="418"/>
  <c r="N14" i="418"/>
  <c r="AF13" i="418"/>
  <c r="N13" i="418"/>
  <c r="AF12" i="418"/>
  <c r="N12" i="418"/>
  <c r="AF11" i="418"/>
  <c r="N11" i="418"/>
  <c r="AF10" i="418"/>
  <c r="N10" i="418"/>
  <c r="AF9" i="418"/>
  <c r="N9" i="418"/>
  <c r="H8" i="418"/>
  <c r="F8" i="418"/>
  <c r="D8" i="418"/>
  <c r="N47" i="417"/>
  <c r="F47" i="417"/>
  <c r="N46" i="417"/>
  <c r="F46" i="417"/>
  <c r="F38" i="417"/>
  <c r="O38" i="417" s="1"/>
  <c r="F37" i="417"/>
  <c r="O37" i="417" s="1"/>
  <c r="F36" i="417"/>
  <c r="O36" i="417" s="1"/>
  <c r="F35" i="417"/>
  <c r="O35" i="417" s="1"/>
  <c r="F34" i="417"/>
  <c r="O34" i="417" s="1"/>
  <c r="F33" i="417"/>
  <c r="O33" i="417" s="1"/>
  <c r="F32" i="417"/>
  <c r="O32" i="417" s="1"/>
  <c r="F31" i="417"/>
  <c r="O31" i="417" s="1"/>
  <c r="N30" i="417"/>
  <c r="F30" i="417"/>
  <c r="N29" i="417"/>
  <c r="F29" i="417"/>
  <c r="L28" i="417"/>
  <c r="F28" i="417"/>
  <c r="O28" i="417" s="1"/>
  <c r="F17" i="417"/>
  <c r="O17" i="417" s="1"/>
  <c r="F16" i="417"/>
  <c r="O16" i="417" s="1"/>
  <c r="F15" i="417"/>
  <c r="O15" i="417" s="1"/>
  <c r="F14" i="417"/>
  <c r="O14" i="417" s="1"/>
  <c r="F13" i="417"/>
  <c r="O13" i="417" s="1"/>
  <c r="F12" i="417"/>
  <c r="O12" i="417" s="1"/>
  <c r="F11" i="417"/>
  <c r="O11" i="417" s="1"/>
  <c r="F10" i="417"/>
  <c r="O10" i="417" s="1"/>
  <c r="N9" i="417"/>
  <c r="F9" i="417"/>
  <c r="N8" i="417"/>
  <c r="F8" i="417"/>
  <c r="L7" i="417"/>
  <c r="F7" i="417"/>
  <c r="O7" i="417" s="1"/>
  <c r="C2" i="417"/>
  <c r="N39" i="416"/>
  <c r="N40" i="416" s="1"/>
  <c r="I37" i="416"/>
  <c r="F36" i="416"/>
  <c r="O36" i="416" s="1"/>
  <c r="F35" i="416"/>
  <c r="O35" i="416" s="1"/>
  <c r="F34" i="416"/>
  <c r="O34" i="416" s="1"/>
  <c r="F33" i="416"/>
  <c r="O33" i="416" s="1"/>
  <c r="F32" i="416"/>
  <c r="O32" i="416" s="1"/>
  <c r="N31" i="416"/>
  <c r="F31" i="416"/>
  <c r="F30" i="416"/>
  <c r="O30" i="416" s="1"/>
  <c r="F29" i="416"/>
  <c r="O29" i="416" s="1"/>
  <c r="F28" i="416"/>
  <c r="F27" i="416"/>
  <c r="O27" i="416" s="1"/>
  <c r="L26" i="416"/>
  <c r="F26" i="416"/>
  <c r="O26" i="416" s="1"/>
  <c r="I18" i="416"/>
  <c r="F17" i="416"/>
  <c r="O17" i="416" s="1"/>
  <c r="F16" i="416"/>
  <c r="O16" i="416" s="1"/>
  <c r="F15" i="416"/>
  <c r="O15" i="416" s="1"/>
  <c r="F14" i="416"/>
  <c r="O14" i="416" s="1"/>
  <c r="F13" i="416"/>
  <c r="O13" i="416" s="1"/>
  <c r="F12" i="416"/>
  <c r="O12" i="416" s="1"/>
  <c r="F11" i="416"/>
  <c r="O11" i="416" s="1"/>
  <c r="F10" i="416"/>
  <c r="O10" i="416" s="1"/>
  <c r="F9" i="416"/>
  <c r="O9" i="416" s="1"/>
  <c r="N8" i="416"/>
  <c r="N20" i="416" s="1"/>
  <c r="N21" i="416" s="1"/>
  <c r="F8" i="416"/>
  <c r="L7" i="416"/>
  <c r="F7" i="416"/>
  <c r="O7" i="416" s="1"/>
  <c r="C2" i="416"/>
  <c r="K64" i="415"/>
  <c r="N63" i="415"/>
  <c r="H63" i="415"/>
  <c r="F63" i="415"/>
  <c r="D63" i="415"/>
  <c r="N62" i="415"/>
  <c r="H62" i="415"/>
  <c r="F62" i="415"/>
  <c r="D62" i="415"/>
  <c r="N61" i="415"/>
  <c r="F61" i="415"/>
  <c r="N60" i="415"/>
  <c r="F60" i="415"/>
  <c r="N59" i="415"/>
  <c r="F59" i="415"/>
  <c r="P59" i="415" s="1"/>
  <c r="K48" i="415"/>
  <c r="J48" i="415"/>
  <c r="AF47" i="415"/>
  <c r="H47" i="415"/>
  <c r="F47" i="415"/>
  <c r="D47" i="415"/>
  <c r="AF46" i="415"/>
  <c r="H46" i="415"/>
  <c r="F46" i="415"/>
  <c r="D46" i="415"/>
  <c r="AF45" i="415"/>
  <c r="H45" i="415"/>
  <c r="F45" i="415"/>
  <c r="D45" i="415"/>
  <c r="AF44" i="415"/>
  <c r="H44" i="415"/>
  <c r="F44" i="415"/>
  <c r="D44" i="415"/>
  <c r="AF43" i="415"/>
  <c r="H43" i="415"/>
  <c r="F43" i="415"/>
  <c r="D43" i="415"/>
  <c r="AF42" i="415"/>
  <c r="H42" i="415"/>
  <c r="F42" i="415"/>
  <c r="D42" i="415"/>
  <c r="AF41" i="415"/>
  <c r="H41" i="415"/>
  <c r="F41" i="415"/>
  <c r="D41" i="415"/>
  <c r="AF40" i="415"/>
  <c r="H40" i="415"/>
  <c r="F40" i="415"/>
  <c r="D40" i="415"/>
  <c r="AF39" i="415"/>
  <c r="H39" i="415"/>
  <c r="F39" i="415"/>
  <c r="D39" i="415"/>
  <c r="AF38" i="415"/>
  <c r="N38" i="415"/>
  <c r="H38" i="415"/>
  <c r="F38" i="415"/>
  <c r="D38" i="415"/>
  <c r="AF37" i="415"/>
  <c r="N37" i="415"/>
  <c r="H37" i="415"/>
  <c r="F37" i="415"/>
  <c r="D37" i="415"/>
  <c r="AF36" i="415"/>
  <c r="N36" i="415"/>
  <c r="H36" i="415"/>
  <c r="F36" i="415"/>
  <c r="D36" i="415"/>
  <c r="AF35" i="415"/>
  <c r="N35" i="415"/>
  <c r="H35" i="415"/>
  <c r="F35" i="415"/>
  <c r="D35" i="415"/>
  <c r="AF34" i="415"/>
  <c r="N34" i="415"/>
  <c r="H34" i="415"/>
  <c r="F34" i="415"/>
  <c r="D34" i="415"/>
  <c r="AF33" i="415"/>
  <c r="N33" i="415"/>
  <c r="H33" i="415"/>
  <c r="F33" i="415"/>
  <c r="D33" i="415"/>
  <c r="H32" i="415"/>
  <c r="F32" i="415"/>
  <c r="D32" i="415"/>
  <c r="K23" i="415"/>
  <c r="J23" i="415"/>
  <c r="AF22" i="415"/>
  <c r="H22" i="415"/>
  <c r="F22" i="415"/>
  <c r="D22" i="415"/>
  <c r="AF21" i="415"/>
  <c r="H21" i="415"/>
  <c r="F21" i="415"/>
  <c r="D21" i="415"/>
  <c r="AF20" i="415"/>
  <c r="H20" i="415"/>
  <c r="F20" i="415"/>
  <c r="D20" i="415"/>
  <c r="AF19" i="415"/>
  <c r="H19" i="415"/>
  <c r="F19" i="415"/>
  <c r="D19" i="415"/>
  <c r="AF18" i="415"/>
  <c r="H18" i="415"/>
  <c r="F18" i="415"/>
  <c r="D18" i="415"/>
  <c r="AF17" i="415"/>
  <c r="H17" i="415"/>
  <c r="F17" i="415"/>
  <c r="D17" i="415"/>
  <c r="AF16" i="415"/>
  <c r="H16" i="415"/>
  <c r="F16" i="415"/>
  <c r="D16" i="415"/>
  <c r="AF15" i="415"/>
  <c r="H15" i="415"/>
  <c r="F15" i="415"/>
  <c r="D15" i="415"/>
  <c r="AF14" i="415"/>
  <c r="H14" i="415"/>
  <c r="F14" i="415"/>
  <c r="D14" i="415"/>
  <c r="AF13" i="415"/>
  <c r="Q13" i="415"/>
  <c r="P13" i="415"/>
  <c r="N13" i="415"/>
  <c r="AF12" i="415"/>
  <c r="Q12" i="415"/>
  <c r="P12" i="415"/>
  <c r="N12" i="415"/>
  <c r="AF11" i="415"/>
  <c r="Q11" i="415"/>
  <c r="P11" i="415"/>
  <c r="N11" i="415"/>
  <c r="AF10" i="415"/>
  <c r="Q10" i="415"/>
  <c r="P10" i="415"/>
  <c r="N10" i="415"/>
  <c r="AF9" i="415"/>
  <c r="Q9" i="415"/>
  <c r="P9" i="415"/>
  <c r="N9" i="415"/>
  <c r="AF8" i="415"/>
  <c r="Q8" i="415"/>
  <c r="P8" i="415"/>
  <c r="N8" i="415"/>
  <c r="H7" i="415"/>
  <c r="F7" i="415"/>
  <c r="D7" i="415"/>
  <c r="N20" i="414"/>
  <c r="N21" i="414" s="1"/>
  <c r="I18" i="414"/>
  <c r="F17" i="414"/>
  <c r="O17" i="414" s="1"/>
  <c r="F16" i="414"/>
  <c r="O16" i="414" s="1"/>
  <c r="F15" i="414"/>
  <c r="O15" i="414" s="1"/>
  <c r="F14" i="414"/>
  <c r="O14" i="414" s="1"/>
  <c r="F13" i="414"/>
  <c r="O13" i="414" s="1"/>
  <c r="F12" i="414"/>
  <c r="O12" i="414" s="1"/>
  <c r="F11" i="414"/>
  <c r="F10" i="414"/>
  <c r="O10" i="414" s="1"/>
  <c r="F9" i="414"/>
  <c r="O9" i="414" s="1"/>
  <c r="F8" i="414"/>
  <c r="O8" i="414" s="1"/>
  <c r="L7" i="414"/>
  <c r="F7" i="414"/>
  <c r="O7" i="414" s="1"/>
  <c r="C2" i="414"/>
  <c r="K23" i="413"/>
  <c r="J23" i="413"/>
  <c r="AF22" i="413"/>
  <c r="H22" i="413"/>
  <c r="F22" i="413"/>
  <c r="D22" i="413"/>
  <c r="AF21" i="413"/>
  <c r="H21" i="413"/>
  <c r="F21" i="413"/>
  <c r="D21" i="413"/>
  <c r="AF20" i="413"/>
  <c r="H20" i="413"/>
  <c r="F20" i="413"/>
  <c r="D20" i="413"/>
  <c r="AF19" i="413"/>
  <c r="H19" i="413"/>
  <c r="F19" i="413"/>
  <c r="D19" i="413"/>
  <c r="AF18" i="413"/>
  <c r="H18" i="413"/>
  <c r="F18" i="413"/>
  <c r="D18" i="413"/>
  <c r="AF17" i="413"/>
  <c r="H17" i="413"/>
  <c r="F17" i="413"/>
  <c r="D17" i="413"/>
  <c r="AF16" i="413"/>
  <c r="H16" i="413"/>
  <c r="F16" i="413"/>
  <c r="D16" i="413"/>
  <c r="AF15" i="413"/>
  <c r="H15" i="413"/>
  <c r="F15" i="413"/>
  <c r="D15" i="413"/>
  <c r="AF14" i="413"/>
  <c r="H14" i="413"/>
  <c r="F14" i="413"/>
  <c r="D14" i="413"/>
  <c r="AF13" i="413"/>
  <c r="N13" i="413"/>
  <c r="H13" i="413"/>
  <c r="F13" i="413"/>
  <c r="D13" i="413"/>
  <c r="AF12" i="413"/>
  <c r="N12" i="413"/>
  <c r="H12" i="413"/>
  <c r="F12" i="413"/>
  <c r="D12" i="413"/>
  <c r="AF11" i="413"/>
  <c r="N11" i="413"/>
  <c r="H11" i="413"/>
  <c r="F11" i="413"/>
  <c r="D11" i="413"/>
  <c r="AF10" i="413"/>
  <c r="N10" i="413"/>
  <c r="H10" i="413"/>
  <c r="F10" i="413"/>
  <c r="D10" i="413"/>
  <c r="AF9" i="413"/>
  <c r="N9" i="413"/>
  <c r="H9" i="413"/>
  <c r="F9" i="413"/>
  <c r="D9" i="413"/>
  <c r="AF8" i="413"/>
  <c r="N8" i="413"/>
  <c r="H8" i="413"/>
  <c r="F8" i="413"/>
  <c r="D8" i="413"/>
  <c r="H7" i="413"/>
  <c r="F7" i="413"/>
  <c r="D7" i="413"/>
  <c r="N19" i="412"/>
  <c r="N20" i="412" s="1"/>
  <c r="I17" i="412"/>
  <c r="F16" i="412"/>
  <c r="O16" i="412" s="1"/>
  <c r="F15" i="412"/>
  <c r="O15" i="412" s="1"/>
  <c r="F14" i="412"/>
  <c r="O14" i="412" s="1"/>
  <c r="F13" i="412"/>
  <c r="O13" i="412" s="1"/>
  <c r="F12" i="412"/>
  <c r="O12" i="412" s="1"/>
  <c r="F11" i="412"/>
  <c r="O11" i="412" s="1"/>
  <c r="F10" i="412"/>
  <c r="O10" i="412" s="1"/>
  <c r="F9" i="412"/>
  <c r="O9" i="412" s="1"/>
  <c r="F8" i="412"/>
  <c r="O8" i="412" s="1"/>
  <c r="F7" i="412"/>
  <c r="O7" i="412" s="1"/>
  <c r="K46" i="411"/>
  <c r="J46" i="411"/>
  <c r="AF45" i="411"/>
  <c r="H45" i="411"/>
  <c r="F45" i="411"/>
  <c r="D45" i="411"/>
  <c r="AF44" i="411"/>
  <c r="H44" i="411"/>
  <c r="F44" i="411"/>
  <c r="D44" i="411"/>
  <c r="AF43" i="411"/>
  <c r="H43" i="411"/>
  <c r="F43" i="411"/>
  <c r="D43" i="411"/>
  <c r="AF42" i="411"/>
  <c r="H42" i="411"/>
  <c r="F42" i="411"/>
  <c r="D42" i="411"/>
  <c r="AF41" i="411"/>
  <c r="H41" i="411"/>
  <c r="F41" i="411"/>
  <c r="D41" i="411"/>
  <c r="AF40" i="411"/>
  <c r="H40" i="411"/>
  <c r="F40" i="411"/>
  <c r="D40" i="411"/>
  <c r="AF39" i="411"/>
  <c r="H39" i="411"/>
  <c r="F39" i="411"/>
  <c r="D39" i="411"/>
  <c r="AF38" i="411"/>
  <c r="H38" i="411"/>
  <c r="F38" i="411"/>
  <c r="D38" i="411"/>
  <c r="AF37" i="411"/>
  <c r="H37" i="411"/>
  <c r="F37" i="411"/>
  <c r="D37" i="411"/>
  <c r="AF36" i="411"/>
  <c r="H36" i="411"/>
  <c r="F36" i="411"/>
  <c r="D36" i="411"/>
  <c r="AF35" i="411"/>
  <c r="H35" i="411"/>
  <c r="F35" i="411"/>
  <c r="D35" i="411"/>
  <c r="AF34" i="411"/>
  <c r="H34" i="411"/>
  <c r="F34" i="411"/>
  <c r="D34" i="411"/>
  <c r="AF33" i="411"/>
  <c r="H33" i="411"/>
  <c r="F33" i="411"/>
  <c r="D33" i="411"/>
  <c r="AF32" i="411"/>
  <c r="H32" i="411"/>
  <c r="F32" i="411"/>
  <c r="D32" i="411"/>
  <c r="Q32" i="411" s="1"/>
  <c r="AF31" i="411"/>
  <c r="H31" i="411"/>
  <c r="F31" i="411"/>
  <c r="D31" i="411"/>
  <c r="AF30" i="411"/>
  <c r="H30" i="411"/>
  <c r="F30" i="411"/>
  <c r="D30" i="411"/>
  <c r="K22" i="411"/>
  <c r="J22" i="411"/>
  <c r="AF21" i="411"/>
  <c r="N21" i="411"/>
  <c r="H21" i="411"/>
  <c r="F21" i="411"/>
  <c r="D21" i="411"/>
  <c r="AF20" i="411"/>
  <c r="N20" i="411"/>
  <c r="H20" i="411"/>
  <c r="F20" i="411"/>
  <c r="D20" i="411"/>
  <c r="AF19" i="411"/>
  <c r="N19" i="411"/>
  <c r="H19" i="411"/>
  <c r="F19" i="411"/>
  <c r="D19" i="411"/>
  <c r="AF18" i="411"/>
  <c r="N18" i="411"/>
  <c r="H18" i="411"/>
  <c r="F18" i="411"/>
  <c r="D18" i="411"/>
  <c r="AF17" i="411"/>
  <c r="N17" i="411"/>
  <c r="H17" i="411"/>
  <c r="F17" i="411"/>
  <c r="D17" i="411"/>
  <c r="AF16" i="411"/>
  <c r="N16" i="411"/>
  <c r="H16" i="411"/>
  <c r="F16" i="411"/>
  <c r="D16" i="411"/>
  <c r="AF15" i="411"/>
  <c r="N15" i="411"/>
  <c r="H15" i="411"/>
  <c r="F15" i="411"/>
  <c r="D15" i="411"/>
  <c r="AF14" i="411"/>
  <c r="N14" i="411"/>
  <c r="H14" i="411"/>
  <c r="F14" i="411"/>
  <c r="D14" i="411"/>
  <c r="AF13" i="411"/>
  <c r="N13" i="411"/>
  <c r="H13" i="411"/>
  <c r="F13" i="411"/>
  <c r="D13" i="411"/>
  <c r="AF12" i="411"/>
  <c r="N12" i="411"/>
  <c r="H12" i="411"/>
  <c r="F12" i="411"/>
  <c r="D12" i="411"/>
  <c r="AF11" i="411"/>
  <c r="N11" i="411"/>
  <c r="H11" i="411"/>
  <c r="F11" i="411"/>
  <c r="D11" i="411"/>
  <c r="AF10" i="411"/>
  <c r="N10" i="411"/>
  <c r="H10" i="411"/>
  <c r="F10" i="411"/>
  <c r="D10" i="411"/>
  <c r="AF9" i="411"/>
  <c r="N9" i="411"/>
  <c r="H9" i="411"/>
  <c r="F9" i="411"/>
  <c r="D9" i="411"/>
  <c r="AF8" i="411"/>
  <c r="N8" i="411"/>
  <c r="H8" i="411"/>
  <c r="F8" i="411"/>
  <c r="D8" i="411"/>
  <c r="AF7" i="411"/>
  <c r="N7" i="411"/>
  <c r="H7" i="411"/>
  <c r="F7" i="411"/>
  <c r="D7" i="411"/>
  <c r="N20" i="410"/>
  <c r="N21" i="410" s="1"/>
  <c r="I18" i="410"/>
  <c r="F17" i="410"/>
  <c r="O17" i="410" s="1"/>
  <c r="F16" i="410"/>
  <c r="O16" i="410" s="1"/>
  <c r="F15" i="410"/>
  <c r="O15" i="410" s="1"/>
  <c r="F14" i="410"/>
  <c r="O14" i="410" s="1"/>
  <c r="F13" i="410"/>
  <c r="O13" i="410" s="1"/>
  <c r="F12" i="410"/>
  <c r="O12" i="410" s="1"/>
  <c r="F11" i="410"/>
  <c r="O11" i="410" s="1"/>
  <c r="F10" i="410"/>
  <c r="O10" i="410" s="1"/>
  <c r="F9" i="410"/>
  <c r="O9" i="410" s="1"/>
  <c r="F8" i="410"/>
  <c r="O8" i="410" s="1"/>
  <c r="L7" i="410"/>
  <c r="F7" i="410"/>
  <c r="O7" i="410" s="1"/>
  <c r="C2" i="410"/>
  <c r="K23" i="409"/>
  <c r="J23" i="409"/>
  <c r="AF22" i="409"/>
  <c r="H22" i="409"/>
  <c r="F22" i="409"/>
  <c r="D22" i="409"/>
  <c r="AF21" i="409"/>
  <c r="H21" i="409"/>
  <c r="F21" i="409"/>
  <c r="D21" i="409"/>
  <c r="AF20" i="409"/>
  <c r="H20" i="409"/>
  <c r="F20" i="409"/>
  <c r="D20" i="409"/>
  <c r="AF19" i="409"/>
  <c r="H19" i="409"/>
  <c r="F19" i="409"/>
  <c r="D19" i="409"/>
  <c r="AF18" i="409"/>
  <c r="H18" i="409"/>
  <c r="F18" i="409"/>
  <c r="D18" i="409"/>
  <c r="AF17" i="409"/>
  <c r="H17" i="409"/>
  <c r="F17" i="409"/>
  <c r="D17" i="409"/>
  <c r="AF16" i="409"/>
  <c r="M16" i="409"/>
  <c r="N16" i="409" s="1"/>
  <c r="H16" i="409"/>
  <c r="F16" i="409"/>
  <c r="D16" i="409"/>
  <c r="AF15" i="409"/>
  <c r="N15" i="409"/>
  <c r="H15" i="409"/>
  <c r="F15" i="409"/>
  <c r="D15" i="409"/>
  <c r="AF14" i="409"/>
  <c r="M14" i="409"/>
  <c r="N14" i="409" s="1"/>
  <c r="H14" i="409"/>
  <c r="F14" i="409"/>
  <c r="D14" i="409"/>
  <c r="AF13" i="409"/>
  <c r="M13" i="409"/>
  <c r="N13" i="409" s="1"/>
  <c r="H13" i="409"/>
  <c r="F13" i="409"/>
  <c r="D13" i="409"/>
  <c r="AF12" i="409"/>
  <c r="N12" i="409"/>
  <c r="H12" i="409"/>
  <c r="F12" i="409"/>
  <c r="D12" i="409"/>
  <c r="AF11" i="409"/>
  <c r="M11" i="409"/>
  <c r="N11" i="409" s="1"/>
  <c r="H11" i="409"/>
  <c r="F11" i="409"/>
  <c r="D11" i="409"/>
  <c r="AF10" i="409"/>
  <c r="M10" i="409"/>
  <c r="N10" i="409" s="1"/>
  <c r="H10" i="409"/>
  <c r="F10" i="409"/>
  <c r="D10" i="409"/>
  <c r="AF9" i="409"/>
  <c r="N9" i="409"/>
  <c r="H9" i="409"/>
  <c r="F9" i="409"/>
  <c r="D9" i="409"/>
  <c r="AF8" i="409"/>
  <c r="M8" i="409"/>
  <c r="N8" i="409" s="1"/>
  <c r="H8" i="409"/>
  <c r="F8" i="409"/>
  <c r="D8" i="409"/>
  <c r="H7" i="409"/>
  <c r="F7" i="409"/>
  <c r="D7" i="409"/>
  <c r="K49" i="408"/>
  <c r="J49" i="408"/>
  <c r="AF48" i="408"/>
  <c r="H48" i="408"/>
  <c r="F48" i="408"/>
  <c r="D48" i="408"/>
  <c r="AF47" i="408"/>
  <c r="H47" i="408"/>
  <c r="F47" i="408"/>
  <c r="D47" i="408"/>
  <c r="AF46" i="408"/>
  <c r="H46" i="408"/>
  <c r="F46" i="408"/>
  <c r="D46" i="408"/>
  <c r="AF45" i="408"/>
  <c r="H45" i="408"/>
  <c r="F45" i="408"/>
  <c r="D45" i="408"/>
  <c r="AF44" i="408"/>
  <c r="H44" i="408"/>
  <c r="F44" i="408"/>
  <c r="D44" i="408"/>
  <c r="AF43" i="408"/>
  <c r="H43" i="408"/>
  <c r="F43" i="408"/>
  <c r="D43" i="408"/>
  <c r="AF42" i="408"/>
  <c r="H42" i="408"/>
  <c r="F42" i="408"/>
  <c r="D42" i="408"/>
  <c r="AF41" i="408"/>
  <c r="N41" i="408"/>
  <c r="H41" i="408"/>
  <c r="F41" i="408"/>
  <c r="D41" i="408"/>
  <c r="AF40" i="408"/>
  <c r="N40" i="408"/>
  <c r="H40" i="408"/>
  <c r="F40" i="408"/>
  <c r="D40" i="408"/>
  <c r="AF39" i="408"/>
  <c r="N39" i="408"/>
  <c r="H39" i="408"/>
  <c r="F39" i="408"/>
  <c r="D39" i="408"/>
  <c r="AF38" i="408"/>
  <c r="N38" i="408"/>
  <c r="H38" i="408"/>
  <c r="F38" i="408"/>
  <c r="D38" i="408"/>
  <c r="AF37" i="408"/>
  <c r="N37" i="408"/>
  <c r="H37" i="408"/>
  <c r="F37" i="408"/>
  <c r="D37" i="408"/>
  <c r="AF36" i="408"/>
  <c r="N36" i="408"/>
  <c r="H36" i="408"/>
  <c r="F36" i="408"/>
  <c r="D36" i="408"/>
  <c r="AF35" i="408"/>
  <c r="N35" i="408"/>
  <c r="H35" i="408"/>
  <c r="F35" i="408"/>
  <c r="D35" i="408"/>
  <c r="AF34" i="408"/>
  <c r="N34" i="408"/>
  <c r="H34" i="408"/>
  <c r="F34" i="408"/>
  <c r="D34" i="408"/>
  <c r="AF33" i="408"/>
  <c r="H33" i="408"/>
  <c r="F33" i="408"/>
  <c r="D33" i="408"/>
  <c r="K24" i="408"/>
  <c r="J24" i="408"/>
  <c r="AF23" i="408"/>
  <c r="H23" i="408"/>
  <c r="F23" i="408"/>
  <c r="D23" i="408"/>
  <c r="AF22" i="408"/>
  <c r="H22" i="408"/>
  <c r="F22" i="408"/>
  <c r="D22" i="408"/>
  <c r="AF21" i="408"/>
  <c r="H21" i="408"/>
  <c r="F21" i="408"/>
  <c r="D21" i="408"/>
  <c r="AF20" i="408"/>
  <c r="H20" i="408"/>
  <c r="F20" i="408"/>
  <c r="D20" i="408"/>
  <c r="AF19" i="408"/>
  <c r="H19" i="408"/>
  <c r="F19" i="408"/>
  <c r="D19" i="408"/>
  <c r="AF18" i="408"/>
  <c r="AF17" i="408"/>
  <c r="AF16" i="408"/>
  <c r="N16" i="408"/>
  <c r="AF15" i="408"/>
  <c r="N15" i="408"/>
  <c r="AF14" i="408"/>
  <c r="N14" i="408"/>
  <c r="AF13" i="408"/>
  <c r="N13" i="408"/>
  <c r="AF12" i="408"/>
  <c r="N12" i="408"/>
  <c r="AF11" i="408"/>
  <c r="N11" i="408"/>
  <c r="AF10" i="408"/>
  <c r="N10" i="408"/>
  <c r="AF9" i="408"/>
  <c r="N9" i="408"/>
  <c r="AF8" i="408"/>
  <c r="H8" i="408"/>
  <c r="F8" i="408"/>
  <c r="D8" i="408"/>
  <c r="N38" i="407"/>
  <c r="N39" i="407" s="1"/>
  <c r="I36" i="407"/>
  <c r="F35" i="407"/>
  <c r="O35" i="407" s="1"/>
  <c r="F34" i="407"/>
  <c r="O34" i="407" s="1"/>
  <c r="F33" i="407"/>
  <c r="O33" i="407" s="1"/>
  <c r="F32" i="407"/>
  <c r="O32" i="407" s="1"/>
  <c r="F31" i="407"/>
  <c r="O31" i="407" s="1"/>
  <c r="O30" i="407"/>
  <c r="F29" i="407"/>
  <c r="O29" i="407" s="1"/>
  <c r="O28" i="407"/>
  <c r="F27" i="407"/>
  <c r="O27" i="407" s="1"/>
  <c r="O26" i="407"/>
  <c r="L25" i="407"/>
  <c r="F25" i="407"/>
  <c r="O25" i="407" s="1"/>
  <c r="N20" i="407"/>
  <c r="N21" i="407" s="1"/>
  <c r="I18" i="407"/>
  <c r="F17" i="407"/>
  <c r="O17" i="407" s="1"/>
  <c r="F16" i="407"/>
  <c r="O16" i="407" s="1"/>
  <c r="F15" i="407"/>
  <c r="O15" i="407" s="1"/>
  <c r="F14" i="407"/>
  <c r="O14" i="407" s="1"/>
  <c r="F13" i="407"/>
  <c r="O13" i="407" s="1"/>
  <c r="F12" i="407"/>
  <c r="O12" i="407" s="1"/>
  <c r="F11" i="407"/>
  <c r="O11" i="407" s="1"/>
  <c r="F10" i="407"/>
  <c r="O10" i="407" s="1"/>
  <c r="F9" i="407"/>
  <c r="O9" i="407" s="1"/>
  <c r="F8" i="407"/>
  <c r="O8" i="407" s="1"/>
  <c r="L7" i="407"/>
  <c r="F7" i="407"/>
  <c r="O7" i="407" s="1"/>
  <c r="C2" i="407"/>
  <c r="K58" i="406"/>
  <c r="J58" i="406"/>
  <c r="AF57" i="406"/>
  <c r="H57" i="406"/>
  <c r="F57" i="406"/>
  <c r="D57" i="406"/>
  <c r="AF56" i="406"/>
  <c r="H56" i="406"/>
  <c r="F56" i="406"/>
  <c r="D56" i="406"/>
  <c r="AF55" i="406"/>
  <c r="H55" i="406"/>
  <c r="F55" i="406"/>
  <c r="D55" i="406"/>
  <c r="AF54" i="406"/>
  <c r="H54" i="406"/>
  <c r="F54" i="406"/>
  <c r="D54" i="406"/>
  <c r="AF53" i="406"/>
  <c r="H53" i="406"/>
  <c r="F53" i="406"/>
  <c r="D53" i="406"/>
  <c r="AF52" i="406"/>
  <c r="H52" i="406"/>
  <c r="F52" i="406"/>
  <c r="D52" i="406"/>
  <c r="AF51" i="406"/>
  <c r="H51" i="406"/>
  <c r="F51" i="406"/>
  <c r="D51" i="406"/>
  <c r="AF50" i="406"/>
  <c r="H50" i="406"/>
  <c r="F50" i="406"/>
  <c r="D50" i="406"/>
  <c r="AF49" i="406"/>
  <c r="H49" i="406"/>
  <c r="F49" i="406"/>
  <c r="D49" i="406"/>
  <c r="AF48" i="406"/>
  <c r="N48" i="406"/>
  <c r="H48" i="406"/>
  <c r="D48" i="406"/>
  <c r="AF47" i="406"/>
  <c r="N47" i="406"/>
  <c r="H47" i="406"/>
  <c r="D47" i="406"/>
  <c r="AF46" i="406"/>
  <c r="N46" i="406"/>
  <c r="H46" i="406"/>
  <c r="D46" i="406"/>
  <c r="AF45" i="406"/>
  <c r="N45" i="406"/>
  <c r="H45" i="406"/>
  <c r="D45" i="406"/>
  <c r="AF44" i="406"/>
  <c r="N44" i="406"/>
  <c r="H44" i="406"/>
  <c r="D44" i="406"/>
  <c r="AF43" i="406"/>
  <c r="N43" i="406"/>
  <c r="H43" i="406"/>
  <c r="D43" i="406"/>
  <c r="AF42" i="406"/>
  <c r="N42" i="406"/>
  <c r="H42" i="406"/>
  <c r="D42" i="406"/>
  <c r="AF41" i="406"/>
  <c r="N41" i="406"/>
  <c r="H41" i="406"/>
  <c r="D41" i="406"/>
  <c r="H40" i="406"/>
  <c r="F40" i="406"/>
  <c r="D40" i="406"/>
  <c r="K26" i="406"/>
  <c r="J26" i="406"/>
  <c r="AF25" i="406"/>
  <c r="H25" i="406"/>
  <c r="F25" i="406"/>
  <c r="D25" i="406"/>
  <c r="AF24" i="406"/>
  <c r="H24" i="406"/>
  <c r="F24" i="406"/>
  <c r="D24" i="406"/>
  <c r="AF23" i="406"/>
  <c r="H23" i="406"/>
  <c r="F23" i="406"/>
  <c r="D23" i="406"/>
  <c r="AF22" i="406"/>
  <c r="H22" i="406"/>
  <c r="F22" i="406"/>
  <c r="D22" i="406"/>
  <c r="AF21" i="406"/>
  <c r="H21" i="406"/>
  <c r="F21" i="406"/>
  <c r="D21" i="406"/>
  <c r="AF20" i="406"/>
  <c r="H20" i="406"/>
  <c r="F20" i="406"/>
  <c r="D20" i="406"/>
  <c r="AF19" i="406"/>
  <c r="H19" i="406"/>
  <c r="F19" i="406"/>
  <c r="D19" i="406"/>
  <c r="AF18" i="406"/>
  <c r="H18" i="406"/>
  <c r="F18" i="406"/>
  <c r="D18" i="406"/>
  <c r="AF17" i="406"/>
  <c r="H17" i="406"/>
  <c r="F17" i="406"/>
  <c r="D17" i="406"/>
  <c r="AF16" i="406"/>
  <c r="N16" i="406"/>
  <c r="H16" i="406"/>
  <c r="F16" i="406"/>
  <c r="D16" i="406"/>
  <c r="AF15" i="406"/>
  <c r="N15" i="406"/>
  <c r="H15" i="406"/>
  <c r="F15" i="406"/>
  <c r="D15" i="406"/>
  <c r="AF14" i="406"/>
  <c r="N14" i="406"/>
  <c r="H14" i="406"/>
  <c r="F14" i="406"/>
  <c r="D14" i="406"/>
  <c r="AF13" i="406"/>
  <c r="N13" i="406"/>
  <c r="H13" i="406"/>
  <c r="F13" i="406"/>
  <c r="D13" i="406"/>
  <c r="AF12" i="406"/>
  <c r="N12" i="406"/>
  <c r="H12" i="406"/>
  <c r="F12" i="406"/>
  <c r="D12" i="406"/>
  <c r="AF11" i="406"/>
  <c r="N11" i="406"/>
  <c r="H11" i="406"/>
  <c r="F11" i="406"/>
  <c r="D11" i="406"/>
  <c r="AF10" i="406"/>
  <c r="N10" i="406"/>
  <c r="H10" i="406"/>
  <c r="F10" i="406"/>
  <c r="D10" i="406"/>
  <c r="AF9" i="406"/>
  <c r="N9" i="406"/>
  <c r="H9" i="406"/>
  <c r="F9" i="406"/>
  <c r="D9" i="406"/>
  <c r="AF8" i="406"/>
  <c r="N8" i="406"/>
  <c r="H8" i="406"/>
  <c r="F8" i="406"/>
  <c r="D8" i="406"/>
  <c r="H7" i="406"/>
  <c r="F7" i="406"/>
  <c r="D7" i="406"/>
  <c r="N20" i="405"/>
  <c r="N21" i="405" s="1"/>
  <c r="I18" i="405"/>
  <c r="F17" i="405"/>
  <c r="O17" i="405" s="1"/>
  <c r="F16" i="405"/>
  <c r="O16" i="405" s="1"/>
  <c r="F15" i="405"/>
  <c r="O15" i="405" s="1"/>
  <c r="F14" i="405"/>
  <c r="O14" i="405" s="1"/>
  <c r="F13" i="405"/>
  <c r="O13" i="405" s="1"/>
  <c r="F12" i="405"/>
  <c r="O12" i="405" s="1"/>
  <c r="F11" i="405"/>
  <c r="O11" i="405" s="1"/>
  <c r="F10" i="405"/>
  <c r="O10" i="405" s="1"/>
  <c r="F9" i="405"/>
  <c r="O9" i="405" s="1"/>
  <c r="F8" i="405"/>
  <c r="O8" i="405" s="1"/>
  <c r="L7" i="405"/>
  <c r="F7" i="405"/>
  <c r="O7" i="405" s="1"/>
  <c r="K22" i="404"/>
  <c r="J22" i="404"/>
  <c r="AF21" i="404"/>
  <c r="H21" i="404"/>
  <c r="F21" i="404"/>
  <c r="D21" i="404"/>
  <c r="AF20" i="404"/>
  <c r="H20" i="404"/>
  <c r="F20" i="404"/>
  <c r="D20" i="404"/>
  <c r="AF19" i="404"/>
  <c r="H19" i="404"/>
  <c r="F19" i="404"/>
  <c r="D19" i="404"/>
  <c r="AF18" i="404"/>
  <c r="H18" i="404"/>
  <c r="F18" i="404"/>
  <c r="D18" i="404"/>
  <c r="AF17" i="404"/>
  <c r="H17" i="404"/>
  <c r="F17" i="404"/>
  <c r="D17" i="404"/>
  <c r="AF16" i="404"/>
  <c r="H16" i="404"/>
  <c r="F16" i="404"/>
  <c r="D16" i="404"/>
  <c r="AF15" i="404"/>
  <c r="H15" i="404"/>
  <c r="F15" i="404"/>
  <c r="D15" i="404"/>
  <c r="AF14" i="404"/>
  <c r="N14" i="404"/>
  <c r="H14" i="404"/>
  <c r="F14" i="404"/>
  <c r="D14" i="404"/>
  <c r="AF13" i="404"/>
  <c r="N13" i="404"/>
  <c r="H13" i="404"/>
  <c r="F13" i="404"/>
  <c r="D13" i="404"/>
  <c r="AF12" i="404"/>
  <c r="N12" i="404"/>
  <c r="H12" i="404"/>
  <c r="F12" i="404"/>
  <c r="D12" i="404"/>
  <c r="AF11" i="404"/>
  <c r="N11" i="404"/>
  <c r="H11" i="404"/>
  <c r="F11" i="404"/>
  <c r="D11" i="404"/>
  <c r="AF10" i="404"/>
  <c r="N10" i="404"/>
  <c r="H10" i="404"/>
  <c r="F10" i="404"/>
  <c r="D10" i="404"/>
  <c r="AF9" i="404"/>
  <c r="N9" i="404"/>
  <c r="H9" i="404"/>
  <c r="F9" i="404"/>
  <c r="D9" i="404"/>
  <c r="AF8" i="404"/>
  <c r="N8" i="404"/>
  <c r="H8" i="404"/>
  <c r="F8" i="404"/>
  <c r="D8" i="404"/>
  <c r="AF7" i="404"/>
  <c r="N7" i="404"/>
  <c r="H7" i="404"/>
  <c r="F7" i="404"/>
  <c r="D7" i="404"/>
  <c r="O17" i="403"/>
  <c r="O16" i="403"/>
  <c r="O15" i="403"/>
  <c r="O14" i="403"/>
  <c r="O13" i="403"/>
  <c r="O12" i="403"/>
  <c r="O11" i="403"/>
  <c r="F10" i="403"/>
  <c r="O10" i="403" s="1"/>
  <c r="O9" i="403"/>
  <c r="F9" i="403"/>
  <c r="O8" i="403"/>
  <c r="F8" i="403"/>
  <c r="L7" i="403"/>
  <c r="F7" i="403"/>
  <c r="O7" i="403" s="1"/>
  <c r="J22" i="402"/>
  <c r="AF21" i="402"/>
  <c r="H21" i="402"/>
  <c r="F21" i="402"/>
  <c r="D21" i="402"/>
  <c r="AF20" i="402"/>
  <c r="H20" i="402"/>
  <c r="F20" i="402"/>
  <c r="D20" i="402"/>
  <c r="AF19" i="402"/>
  <c r="H19" i="402"/>
  <c r="F19" i="402"/>
  <c r="D19" i="402"/>
  <c r="AF18" i="402"/>
  <c r="H18" i="402"/>
  <c r="F18" i="402"/>
  <c r="D18" i="402"/>
  <c r="AF17" i="402"/>
  <c r="H17" i="402"/>
  <c r="F17" i="402"/>
  <c r="D17" i="402"/>
  <c r="AF16" i="402"/>
  <c r="N16" i="402"/>
  <c r="H16" i="402"/>
  <c r="F16" i="402"/>
  <c r="D16" i="402"/>
  <c r="AF15" i="402"/>
  <c r="N15" i="402"/>
  <c r="H15" i="402"/>
  <c r="F15" i="402"/>
  <c r="D15" i="402"/>
  <c r="AF14" i="402"/>
  <c r="N14" i="402"/>
  <c r="H14" i="402"/>
  <c r="F14" i="402"/>
  <c r="D14" i="402"/>
  <c r="AF13" i="402"/>
  <c r="N13" i="402"/>
  <c r="H13" i="402"/>
  <c r="D13" i="402"/>
  <c r="AF12" i="402"/>
  <c r="N12" i="402"/>
  <c r="H12" i="402"/>
  <c r="F12" i="402"/>
  <c r="D12" i="402"/>
  <c r="AF11" i="402"/>
  <c r="N11" i="402"/>
  <c r="H11" i="402"/>
  <c r="F11" i="402"/>
  <c r="D11" i="402"/>
  <c r="AF10" i="402"/>
  <c r="N10" i="402"/>
  <c r="H10" i="402"/>
  <c r="F10" i="402"/>
  <c r="D10" i="402"/>
  <c r="AF9" i="402"/>
  <c r="N9" i="402"/>
  <c r="H9" i="402"/>
  <c r="F9" i="402"/>
  <c r="D9" i="402"/>
  <c r="AF8" i="402"/>
  <c r="N8" i="402"/>
  <c r="H8" i="402"/>
  <c r="F8" i="402"/>
  <c r="D8" i="402"/>
  <c r="AF7" i="402"/>
  <c r="N7" i="402"/>
  <c r="H7" i="402"/>
  <c r="F7" i="402"/>
  <c r="D7" i="402"/>
  <c r="K50" i="401"/>
  <c r="J50" i="401"/>
  <c r="AF49" i="401"/>
  <c r="H49" i="401"/>
  <c r="F49" i="401"/>
  <c r="D49" i="401"/>
  <c r="AF48" i="401"/>
  <c r="H48" i="401"/>
  <c r="F48" i="401"/>
  <c r="D48" i="401"/>
  <c r="AF47" i="401"/>
  <c r="H47" i="401"/>
  <c r="F47" i="401"/>
  <c r="D47" i="401"/>
  <c r="AF46" i="401"/>
  <c r="H46" i="401"/>
  <c r="F46" i="401"/>
  <c r="D46" i="401"/>
  <c r="AF45" i="401"/>
  <c r="H45" i="401"/>
  <c r="F45" i="401"/>
  <c r="D45" i="401"/>
  <c r="AF44" i="401"/>
  <c r="H44" i="401"/>
  <c r="F44" i="401"/>
  <c r="D44" i="401"/>
  <c r="AF43" i="401"/>
  <c r="H43" i="401"/>
  <c r="F43" i="401"/>
  <c r="D43" i="401"/>
  <c r="AF42" i="401"/>
  <c r="N42" i="401"/>
  <c r="H42" i="401"/>
  <c r="F42" i="401"/>
  <c r="D42" i="401"/>
  <c r="AF41" i="401"/>
  <c r="N41" i="401"/>
  <c r="H41" i="401"/>
  <c r="F41" i="401"/>
  <c r="D41" i="401"/>
  <c r="AF40" i="401"/>
  <c r="N40" i="401"/>
  <c r="H40" i="401"/>
  <c r="F40" i="401"/>
  <c r="D40" i="401"/>
  <c r="AF39" i="401"/>
  <c r="N39" i="401"/>
  <c r="H39" i="401"/>
  <c r="AF38" i="401"/>
  <c r="N38" i="401"/>
  <c r="H38" i="401"/>
  <c r="AF37" i="401"/>
  <c r="N37" i="401"/>
  <c r="H37" i="401"/>
  <c r="AF36" i="401"/>
  <c r="N36" i="401"/>
  <c r="H36" i="401"/>
  <c r="AF35" i="401"/>
  <c r="N35" i="401"/>
  <c r="H35" i="401"/>
  <c r="AF34" i="401"/>
  <c r="N34" i="401"/>
  <c r="H34" i="401"/>
  <c r="H33" i="401"/>
  <c r="F33" i="401"/>
  <c r="D33" i="401"/>
  <c r="K24" i="401"/>
  <c r="J24" i="401"/>
  <c r="AF23" i="401"/>
  <c r="H23" i="401"/>
  <c r="F23" i="401"/>
  <c r="D23" i="401"/>
  <c r="AF22" i="401"/>
  <c r="H22" i="401"/>
  <c r="F22" i="401"/>
  <c r="D22" i="401"/>
  <c r="AF21" i="401"/>
  <c r="H21" i="401"/>
  <c r="F21" i="401"/>
  <c r="D21" i="401"/>
  <c r="AF20" i="401"/>
  <c r="H20" i="401"/>
  <c r="D20" i="401"/>
  <c r="AF19" i="401"/>
  <c r="H19" i="401"/>
  <c r="D19" i="401"/>
  <c r="AF18" i="401"/>
  <c r="H18" i="401"/>
  <c r="D18" i="401"/>
  <c r="AF17" i="401"/>
  <c r="H17" i="401"/>
  <c r="D17" i="401"/>
  <c r="AF16" i="401"/>
  <c r="N16" i="401"/>
  <c r="H16" i="401"/>
  <c r="D16" i="401"/>
  <c r="AF15" i="401"/>
  <c r="N15" i="401"/>
  <c r="H15" i="401"/>
  <c r="AF14" i="401"/>
  <c r="N14" i="401"/>
  <c r="H14" i="401"/>
  <c r="F14" i="401"/>
  <c r="D14" i="401"/>
  <c r="AF13" i="401"/>
  <c r="N13" i="401"/>
  <c r="H13" i="401"/>
  <c r="F13" i="401"/>
  <c r="D13" i="401"/>
  <c r="AF12" i="401"/>
  <c r="N12" i="401"/>
  <c r="H12" i="401"/>
  <c r="F12" i="401"/>
  <c r="D12" i="401"/>
  <c r="AF11" i="401"/>
  <c r="N11" i="401"/>
  <c r="H11" i="401"/>
  <c r="F11" i="401"/>
  <c r="D11" i="401"/>
  <c r="AF10" i="401"/>
  <c r="N10" i="401"/>
  <c r="H10" i="401"/>
  <c r="F10" i="401"/>
  <c r="D10" i="401"/>
  <c r="AF9" i="401"/>
  <c r="N9" i="401"/>
  <c r="H9" i="401"/>
  <c r="F9" i="401"/>
  <c r="D9" i="401"/>
  <c r="AF8" i="401"/>
  <c r="N8" i="401"/>
  <c r="H8" i="401"/>
  <c r="F8" i="401"/>
  <c r="D8" i="401"/>
  <c r="H7" i="401"/>
  <c r="F7" i="401"/>
  <c r="D7" i="401"/>
  <c r="N91" i="400"/>
  <c r="N92" i="400" s="1"/>
  <c r="I89" i="400"/>
  <c r="F88" i="400"/>
  <c r="O88" i="400" s="1"/>
  <c r="F87" i="400"/>
  <c r="O87" i="400" s="1"/>
  <c r="F86" i="400"/>
  <c r="O86" i="400" s="1"/>
  <c r="F85" i="400"/>
  <c r="O85" i="400" s="1"/>
  <c r="F84" i="400"/>
  <c r="O84" i="400" s="1"/>
  <c r="F83" i="400"/>
  <c r="O83" i="400" s="1"/>
  <c r="F82" i="400"/>
  <c r="O82" i="400" s="1"/>
  <c r="F81" i="400"/>
  <c r="O81" i="400" s="1"/>
  <c r="F80" i="400"/>
  <c r="O80" i="400" s="1"/>
  <c r="F79" i="400"/>
  <c r="O79" i="400" s="1"/>
  <c r="F78" i="400"/>
  <c r="O78" i="400" s="1"/>
  <c r="O77" i="400"/>
  <c r="F76" i="400"/>
  <c r="O76" i="400" s="1"/>
  <c r="F75" i="400"/>
  <c r="O75" i="400" s="1"/>
  <c r="F74" i="400"/>
  <c r="O74" i="400" s="1"/>
  <c r="F73" i="400"/>
  <c r="O73" i="400" s="1"/>
  <c r="F72" i="400"/>
  <c r="O72" i="400" s="1"/>
  <c r="F71" i="400"/>
  <c r="O71" i="400" s="1"/>
  <c r="F70" i="400"/>
  <c r="O70" i="400" s="1"/>
  <c r="F69" i="400"/>
  <c r="O69" i="400" s="1"/>
  <c r="F68" i="400"/>
  <c r="O68" i="400" s="1"/>
  <c r="F67" i="400"/>
  <c r="O67" i="400" s="1"/>
  <c r="F66" i="400"/>
  <c r="O66" i="400" s="1"/>
  <c r="F65" i="400"/>
  <c r="O65" i="400" s="1"/>
  <c r="F64" i="400"/>
  <c r="O64" i="400" s="1"/>
  <c r="F63" i="400"/>
  <c r="O63" i="400" s="1"/>
  <c r="F62" i="400"/>
  <c r="O62" i="400" s="1"/>
  <c r="O61" i="400"/>
  <c r="F60" i="400"/>
  <c r="O60" i="400" s="1"/>
  <c r="F59" i="400"/>
  <c r="O59" i="400" s="1"/>
  <c r="F58" i="400"/>
  <c r="O58" i="400" s="1"/>
  <c r="F57" i="400"/>
  <c r="O57" i="400" s="1"/>
  <c r="F56" i="400"/>
  <c r="O56" i="400" s="1"/>
  <c r="O55" i="400"/>
  <c r="F54" i="400"/>
  <c r="O53" i="400"/>
  <c r="L52" i="400"/>
  <c r="F52" i="400"/>
  <c r="O52" i="400" s="1"/>
  <c r="N46" i="400"/>
  <c r="N47" i="400" s="1"/>
  <c r="I44" i="400"/>
  <c r="F43" i="400"/>
  <c r="O43" i="400" s="1"/>
  <c r="F42" i="400"/>
  <c r="O42" i="400" s="1"/>
  <c r="F41" i="400"/>
  <c r="O41" i="400" s="1"/>
  <c r="F40" i="400"/>
  <c r="O40" i="400" s="1"/>
  <c r="F39" i="400"/>
  <c r="O39" i="400" s="1"/>
  <c r="F38" i="400"/>
  <c r="O38" i="400" s="1"/>
  <c r="F37" i="400"/>
  <c r="O37" i="400" s="1"/>
  <c r="F36" i="400"/>
  <c r="O36" i="400" s="1"/>
  <c r="F35" i="400"/>
  <c r="O35" i="400" s="1"/>
  <c r="F34" i="400"/>
  <c r="O34" i="400" s="1"/>
  <c r="F33" i="400"/>
  <c r="O33" i="400" s="1"/>
  <c r="F32" i="400"/>
  <c r="O32" i="400" s="1"/>
  <c r="F31" i="400"/>
  <c r="O31" i="400" s="1"/>
  <c r="F30" i="400"/>
  <c r="O30" i="400" s="1"/>
  <c r="F29" i="400"/>
  <c r="O29" i="400" s="1"/>
  <c r="F28" i="400"/>
  <c r="O28" i="400" s="1"/>
  <c r="F27" i="400"/>
  <c r="O27" i="400" s="1"/>
  <c r="F26" i="400"/>
  <c r="O26" i="400" s="1"/>
  <c r="F25" i="400"/>
  <c r="O25" i="400" s="1"/>
  <c r="F24" i="400"/>
  <c r="O24" i="400" s="1"/>
  <c r="F23" i="400"/>
  <c r="O23" i="400" s="1"/>
  <c r="F22" i="400"/>
  <c r="O22" i="400" s="1"/>
  <c r="F21" i="400"/>
  <c r="O21" i="400" s="1"/>
  <c r="F20" i="400"/>
  <c r="O20" i="400" s="1"/>
  <c r="F19" i="400"/>
  <c r="O19" i="400" s="1"/>
  <c r="F18" i="400"/>
  <c r="O18" i="400" s="1"/>
  <c r="F17" i="400"/>
  <c r="O17" i="400" s="1"/>
  <c r="F16" i="400"/>
  <c r="O16" i="400" s="1"/>
  <c r="F15" i="400"/>
  <c r="O15" i="400" s="1"/>
  <c r="F14" i="400"/>
  <c r="O14" i="400" s="1"/>
  <c r="F13" i="400"/>
  <c r="O13" i="400" s="1"/>
  <c r="F12" i="400"/>
  <c r="O12" i="400" s="1"/>
  <c r="F11" i="400"/>
  <c r="O11" i="400" s="1"/>
  <c r="F10" i="400"/>
  <c r="O10" i="400" s="1"/>
  <c r="F9" i="400"/>
  <c r="O9" i="400" s="1"/>
  <c r="F8" i="400"/>
  <c r="O8" i="400" s="1"/>
  <c r="L7" i="400"/>
  <c r="F7" i="400"/>
  <c r="O7" i="400" s="1"/>
  <c r="K74" i="399"/>
  <c r="J74" i="399"/>
  <c r="AF73" i="399"/>
  <c r="H73" i="399"/>
  <c r="F73" i="399"/>
  <c r="D73" i="399"/>
  <c r="AF72" i="399"/>
  <c r="H72" i="399"/>
  <c r="F72" i="399"/>
  <c r="D72" i="399"/>
  <c r="AF71" i="399"/>
  <c r="H71" i="399"/>
  <c r="F71" i="399"/>
  <c r="D71" i="399"/>
  <c r="AF70" i="399"/>
  <c r="H70" i="399"/>
  <c r="F70" i="399"/>
  <c r="D70" i="399"/>
  <c r="AF69" i="399"/>
  <c r="N69" i="399"/>
  <c r="H69" i="399"/>
  <c r="AF68" i="399"/>
  <c r="N68" i="399"/>
  <c r="H68" i="399"/>
  <c r="AF67" i="399"/>
  <c r="N67" i="399"/>
  <c r="H67" i="399"/>
  <c r="AF66" i="399"/>
  <c r="N66" i="399"/>
  <c r="H66" i="399"/>
  <c r="AF65" i="399"/>
  <c r="N65" i="399"/>
  <c r="H65" i="399"/>
  <c r="AF64" i="399"/>
  <c r="N64" i="399"/>
  <c r="H64" i="399"/>
  <c r="AF63" i="399"/>
  <c r="N63" i="399"/>
  <c r="H63" i="399"/>
  <c r="AF62" i="399"/>
  <c r="N62" i="399"/>
  <c r="H62" i="399"/>
  <c r="AF61" i="399"/>
  <c r="N61" i="399"/>
  <c r="H61" i="399"/>
  <c r="AF60" i="399"/>
  <c r="N60" i="399"/>
  <c r="H60" i="399"/>
  <c r="AF59" i="399"/>
  <c r="N59" i="399"/>
  <c r="H59" i="399"/>
  <c r="H58" i="399"/>
  <c r="F58" i="399"/>
  <c r="D58" i="399"/>
  <c r="K49" i="399"/>
  <c r="J49" i="399"/>
  <c r="AF48" i="399"/>
  <c r="H48" i="399"/>
  <c r="F48" i="399"/>
  <c r="D48" i="399"/>
  <c r="AF47" i="399"/>
  <c r="H47" i="399"/>
  <c r="F47" i="399"/>
  <c r="D47" i="399"/>
  <c r="AF46" i="399"/>
  <c r="H46" i="399"/>
  <c r="F46" i="399"/>
  <c r="D46" i="399"/>
  <c r="AF45" i="399"/>
  <c r="H45" i="399"/>
  <c r="F45" i="399"/>
  <c r="D45" i="399"/>
  <c r="AF44" i="399"/>
  <c r="N44" i="399"/>
  <c r="H44" i="399"/>
  <c r="F44" i="399"/>
  <c r="D44" i="399"/>
  <c r="AF43" i="399"/>
  <c r="N43" i="399"/>
  <c r="H43" i="399"/>
  <c r="F43" i="399"/>
  <c r="D43" i="399"/>
  <c r="AF42" i="399"/>
  <c r="N42" i="399"/>
  <c r="H42" i="399"/>
  <c r="F42" i="399"/>
  <c r="D42" i="399"/>
  <c r="AF41" i="399"/>
  <c r="N41" i="399"/>
  <c r="H41" i="399"/>
  <c r="F41" i="399"/>
  <c r="D41" i="399"/>
  <c r="AF40" i="399"/>
  <c r="N40" i="399"/>
  <c r="H40" i="399"/>
  <c r="F40" i="399"/>
  <c r="D40" i="399"/>
  <c r="AF39" i="399"/>
  <c r="N39" i="399"/>
  <c r="H39" i="399"/>
  <c r="F39" i="399"/>
  <c r="D39" i="399"/>
  <c r="AF38" i="399"/>
  <c r="N38" i="399"/>
  <c r="H38" i="399"/>
  <c r="F38" i="399"/>
  <c r="D38" i="399"/>
  <c r="AF37" i="399"/>
  <c r="N37" i="399"/>
  <c r="H37" i="399"/>
  <c r="F37" i="399"/>
  <c r="D37" i="399"/>
  <c r="AF36" i="399"/>
  <c r="N36" i="399"/>
  <c r="H36" i="399"/>
  <c r="F36" i="399"/>
  <c r="D36" i="399"/>
  <c r="AF35" i="399"/>
  <c r="N35" i="399"/>
  <c r="H35" i="399"/>
  <c r="F35" i="399"/>
  <c r="D35" i="399"/>
  <c r="AF34" i="399"/>
  <c r="N34" i="399"/>
  <c r="H34" i="399"/>
  <c r="F34" i="399"/>
  <c r="D34" i="399"/>
  <c r="H33" i="399"/>
  <c r="F33" i="399"/>
  <c r="D33" i="399"/>
  <c r="K23" i="399"/>
  <c r="J23" i="399"/>
  <c r="AF22" i="399"/>
  <c r="H22" i="399"/>
  <c r="F22" i="399"/>
  <c r="D22" i="399"/>
  <c r="AF21" i="399"/>
  <c r="H21" i="399"/>
  <c r="F21" i="399"/>
  <c r="D21" i="399"/>
  <c r="AF20" i="399"/>
  <c r="H20" i="399"/>
  <c r="F20" i="399"/>
  <c r="D20" i="399"/>
  <c r="AF19" i="399"/>
  <c r="H19" i="399"/>
  <c r="F19" i="399"/>
  <c r="D19" i="399"/>
  <c r="AF18" i="399"/>
  <c r="N18" i="399"/>
  <c r="H18" i="399"/>
  <c r="F18" i="399"/>
  <c r="D18" i="399"/>
  <c r="AF17" i="399"/>
  <c r="N17" i="399"/>
  <c r="H17" i="399"/>
  <c r="F17" i="399"/>
  <c r="D17" i="399"/>
  <c r="AF16" i="399"/>
  <c r="N16" i="399"/>
  <c r="H16" i="399"/>
  <c r="F16" i="399"/>
  <c r="D16" i="399"/>
  <c r="AF15" i="399"/>
  <c r="N15" i="399"/>
  <c r="H15" i="399"/>
  <c r="F15" i="399"/>
  <c r="D15" i="399"/>
  <c r="AF14" i="399"/>
  <c r="N14" i="399"/>
  <c r="H14" i="399"/>
  <c r="F14" i="399"/>
  <c r="D14" i="399"/>
  <c r="AF13" i="399"/>
  <c r="N13" i="399"/>
  <c r="H13" i="399"/>
  <c r="F13" i="399"/>
  <c r="D13" i="399"/>
  <c r="AF12" i="399"/>
  <c r="N12" i="399"/>
  <c r="H12" i="399"/>
  <c r="F12" i="399"/>
  <c r="D12" i="399"/>
  <c r="AF11" i="399"/>
  <c r="N11" i="399"/>
  <c r="H11" i="399"/>
  <c r="F11" i="399"/>
  <c r="D11" i="399"/>
  <c r="AF10" i="399"/>
  <c r="N10" i="399"/>
  <c r="H10" i="399"/>
  <c r="F10" i="399"/>
  <c r="D10" i="399"/>
  <c r="AF9" i="399"/>
  <c r="N9" i="399"/>
  <c r="H9" i="399"/>
  <c r="F9" i="399"/>
  <c r="D9" i="399"/>
  <c r="AF8" i="399"/>
  <c r="N8" i="399"/>
  <c r="H8" i="399"/>
  <c r="F8" i="399"/>
  <c r="D8" i="399"/>
  <c r="H7" i="399"/>
  <c r="F7" i="399"/>
  <c r="D7" i="399"/>
  <c r="N20" i="398"/>
  <c r="N21" i="398" s="1"/>
  <c r="I18" i="398"/>
  <c r="F17" i="398"/>
  <c r="O17" i="398" s="1"/>
  <c r="F16" i="398"/>
  <c r="O16" i="398" s="1"/>
  <c r="F15" i="398"/>
  <c r="F14" i="398"/>
  <c r="O14" i="398" s="1"/>
  <c r="O13" i="398"/>
  <c r="O12" i="398"/>
  <c r="O11" i="398"/>
  <c r="O10" i="398"/>
  <c r="O9" i="398"/>
  <c r="O8" i="398"/>
  <c r="L7" i="398"/>
  <c r="F7" i="398"/>
  <c r="O7" i="398" s="1"/>
  <c r="C2" i="398"/>
  <c r="K23" i="397"/>
  <c r="J23" i="397"/>
  <c r="AF22" i="397"/>
  <c r="Q22" i="397"/>
  <c r="P22" i="397"/>
  <c r="AF21" i="397"/>
  <c r="Q21" i="397"/>
  <c r="P21" i="397"/>
  <c r="AF20" i="397"/>
  <c r="Q20" i="397"/>
  <c r="P20" i="397"/>
  <c r="N20" i="397"/>
  <c r="AF19" i="397"/>
  <c r="Q19" i="397"/>
  <c r="P19" i="397"/>
  <c r="N19" i="397"/>
  <c r="AF18" i="397"/>
  <c r="Q18" i="397"/>
  <c r="P18" i="397"/>
  <c r="N18" i="397"/>
  <c r="AF17" i="397"/>
  <c r="Q17" i="397"/>
  <c r="P17" i="397"/>
  <c r="N17" i="397"/>
  <c r="AF16" i="397"/>
  <c r="Q16" i="397"/>
  <c r="P16" i="397"/>
  <c r="N16" i="397"/>
  <c r="AF15" i="397"/>
  <c r="Q15" i="397"/>
  <c r="P15" i="397"/>
  <c r="N15" i="397"/>
  <c r="AF14" i="397"/>
  <c r="Q14" i="397"/>
  <c r="P14" i="397"/>
  <c r="N14" i="397"/>
  <c r="AF13" i="397"/>
  <c r="Q13" i="397"/>
  <c r="P13" i="397"/>
  <c r="N13" i="397"/>
  <c r="AF12" i="397"/>
  <c r="Q12" i="397"/>
  <c r="P12" i="397"/>
  <c r="N12" i="397"/>
  <c r="AF11" i="397"/>
  <c r="Q11" i="397"/>
  <c r="P11" i="397"/>
  <c r="N11" i="397"/>
  <c r="AF10" i="397"/>
  <c r="Q10" i="397"/>
  <c r="P10" i="397"/>
  <c r="N10" i="397"/>
  <c r="AF9" i="397"/>
  <c r="Q9" i="397"/>
  <c r="P9" i="397"/>
  <c r="N9" i="397"/>
  <c r="AF8" i="397"/>
  <c r="Q8" i="397"/>
  <c r="P8" i="397"/>
  <c r="N8" i="397"/>
  <c r="H7" i="397"/>
  <c r="F7" i="397"/>
  <c r="D7" i="397"/>
  <c r="N20" i="396"/>
  <c r="N21" i="396" s="1"/>
  <c r="I18" i="396"/>
  <c r="F17" i="396"/>
  <c r="O17" i="396" s="1"/>
  <c r="F16" i="396"/>
  <c r="O16" i="396" s="1"/>
  <c r="F15" i="396"/>
  <c r="O15" i="396" s="1"/>
  <c r="F14" i="396"/>
  <c r="O14" i="396" s="1"/>
  <c r="F13" i="396"/>
  <c r="O13" i="396" s="1"/>
  <c r="F12" i="396"/>
  <c r="O12" i="396" s="1"/>
  <c r="F11" i="396"/>
  <c r="O11" i="396" s="1"/>
  <c r="F10" i="396"/>
  <c r="O10" i="396" s="1"/>
  <c r="F9" i="396"/>
  <c r="O9" i="396" s="1"/>
  <c r="O8" i="396"/>
  <c r="L7" i="396"/>
  <c r="F7" i="396"/>
  <c r="O7" i="396" s="1"/>
  <c r="C2" i="396"/>
  <c r="K24" i="395"/>
  <c r="J24" i="395"/>
  <c r="AF23" i="395"/>
  <c r="H23" i="395"/>
  <c r="F23" i="395"/>
  <c r="D23" i="395"/>
  <c r="AF22" i="395"/>
  <c r="N22" i="395"/>
  <c r="H22" i="395"/>
  <c r="D22" i="395"/>
  <c r="AF21" i="395"/>
  <c r="N21" i="395"/>
  <c r="H21" i="395"/>
  <c r="D21" i="395"/>
  <c r="AF20" i="395"/>
  <c r="N20" i="395"/>
  <c r="H20" i="395"/>
  <c r="D20" i="395"/>
  <c r="AF19" i="395"/>
  <c r="N19" i="395"/>
  <c r="H19" i="395"/>
  <c r="D19" i="395"/>
  <c r="AF18" i="395"/>
  <c r="N18" i="395"/>
  <c r="H18" i="395"/>
  <c r="D18" i="395"/>
  <c r="AF17" i="395"/>
  <c r="N17" i="395"/>
  <c r="H17" i="395"/>
  <c r="D17" i="395"/>
  <c r="AF16" i="395"/>
  <c r="N16" i="395"/>
  <c r="H16" i="395"/>
  <c r="D16" i="395"/>
  <c r="AF15" i="395"/>
  <c r="N15" i="395"/>
  <c r="H15" i="395"/>
  <c r="D15" i="395"/>
  <c r="AF14" i="395"/>
  <c r="N14" i="395"/>
  <c r="H14" i="395"/>
  <c r="D14" i="395"/>
  <c r="AF13" i="395"/>
  <c r="N13" i="395"/>
  <c r="H13" i="395"/>
  <c r="D13" i="395"/>
  <c r="AF12" i="395"/>
  <c r="N12" i="395"/>
  <c r="H12" i="395"/>
  <c r="D12" i="395"/>
  <c r="AF11" i="395"/>
  <c r="N11" i="395"/>
  <c r="H11" i="395"/>
  <c r="D11" i="395"/>
  <c r="AF10" i="395"/>
  <c r="N10" i="395"/>
  <c r="H10" i="395"/>
  <c r="D10" i="395"/>
  <c r="AF9" i="395"/>
  <c r="N9" i="395"/>
  <c r="H9" i="395"/>
  <c r="D9" i="395"/>
  <c r="H8" i="395"/>
  <c r="F8" i="395"/>
  <c r="D8" i="395"/>
  <c r="N28" i="394"/>
  <c r="N29" i="394" s="1"/>
  <c r="I26" i="394"/>
  <c r="L25" i="394"/>
  <c r="F25" i="394"/>
  <c r="O25" i="394" s="1"/>
  <c r="L24" i="394"/>
  <c r="F24" i="394"/>
  <c r="O24" i="394" s="1"/>
  <c r="L23" i="394"/>
  <c r="F23" i="394"/>
  <c r="O23" i="394" s="1"/>
  <c r="L22" i="394"/>
  <c r="F22" i="394"/>
  <c r="O22" i="394" s="1"/>
  <c r="L21" i="394"/>
  <c r="F21" i="394"/>
  <c r="O21" i="394" s="1"/>
  <c r="L20" i="394"/>
  <c r="F20" i="394"/>
  <c r="O20" i="394" s="1"/>
  <c r="L19" i="394"/>
  <c r="F19" i="394"/>
  <c r="O19" i="394" s="1"/>
  <c r="L18" i="394"/>
  <c r="F18" i="394"/>
  <c r="O18" i="394" s="1"/>
  <c r="L17" i="394"/>
  <c r="F17" i="394"/>
  <c r="O17" i="394" s="1"/>
  <c r="L16" i="394"/>
  <c r="F16" i="394"/>
  <c r="O16" i="394" s="1"/>
  <c r="L15" i="394"/>
  <c r="F15" i="394"/>
  <c r="O15" i="394" s="1"/>
  <c r="L14" i="394"/>
  <c r="F14" i="394"/>
  <c r="O14" i="394" s="1"/>
  <c r="L13" i="394"/>
  <c r="F13" i="394"/>
  <c r="O13" i="394" s="1"/>
  <c r="L12" i="394"/>
  <c r="F12" i="394"/>
  <c r="O12" i="394" s="1"/>
  <c r="F11" i="394"/>
  <c r="O11" i="394" s="1"/>
  <c r="F10" i="394"/>
  <c r="O10" i="394" s="1"/>
  <c r="F9" i="394"/>
  <c r="O9" i="394" s="1"/>
  <c r="F8" i="394"/>
  <c r="L7" i="394"/>
  <c r="F7" i="394"/>
  <c r="O7" i="394" s="1"/>
  <c r="C2" i="394"/>
  <c r="K23" i="393"/>
  <c r="J23" i="393"/>
  <c r="AF22" i="393"/>
  <c r="H22" i="393"/>
  <c r="F22" i="393"/>
  <c r="D22" i="393"/>
  <c r="AF21" i="393"/>
  <c r="H21" i="393"/>
  <c r="F21" i="393"/>
  <c r="D21" i="393"/>
  <c r="AF20" i="393"/>
  <c r="H20" i="393"/>
  <c r="F20" i="393"/>
  <c r="D20" i="393"/>
  <c r="AF19" i="393"/>
  <c r="H19" i="393"/>
  <c r="F19" i="393"/>
  <c r="D19" i="393"/>
  <c r="AF18" i="393"/>
  <c r="H18" i="393"/>
  <c r="F18" i="393"/>
  <c r="D18" i="393"/>
  <c r="AF17" i="393"/>
  <c r="N17" i="393"/>
  <c r="H17" i="393"/>
  <c r="F17" i="393"/>
  <c r="D17" i="393"/>
  <c r="AF16" i="393"/>
  <c r="N16" i="393"/>
  <c r="H16" i="393"/>
  <c r="F16" i="393"/>
  <c r="D16" i="393"/>
  <c r="AF15" i="393"/>
  <c r="N15" i="393"/>
  <c r="H15" i="393"/>
  <c r="F15" i="393"/>
  <c r="D15" i="393"/>
  <c r="AF14" i="393"/>
  <c r="N14" i="393"/>
  <c r="H14" i="393"/>
  <c r="F14" i="393"/>
  <c r="D14" i="393"/>
  <c r="AF13" i="393"/>
  <c r="N13" i="393"/>
  <c r="H13" i="393"/>
  <c r="F13" i="393"/>
  <c r="D13" i="393"/>
  <c r="AF12" i="393"/>
  <c r="N12" i="393"/>
  <c r="H12" i="393"/>
  <c r="F12" i="393"/>
  <c r="D12" i="393"/>
  <c r="AF11" i="393"/>
  <c r="N11" i="393"/>
  <c r="H11" i="393"/>
  <c r="F11" i="393"/>
  <c r="D11" i="393"/>
  <c r="AF10" i="393"/>
  <c r="N10" i="393"/>
  <c r="H10" i="393"/>
  <c r="F10" i="393"/>
  <c r="D10" i="393"/>
  <c r="AF9" i="393"/>
  <c r="N9" i="393"/>
  <c r="H9" i="393"/>
  <c r="F9" i="393"/>
  <c r="D9" i="393"/>
  <c r="AF8" i="393"/>
  <c r="N8" i="393"/>
  <c r="H8" i="393"/>
  <c r="F8" i="393"/>
  <c r="D8" i="393"/>
  <c r="H7" i="393"/>
  <c r="F7" i="393"/>
  <c r="D7" i="393"/>
  <c r="N20" i="392"/>
  <c r="N21" i="392" s="1"/>
  <c r="I18" i="392"/>
  <c r="F17" i="392"/>
  <c r="O17" i="392" s="1"/>
  <c r="F16" i="392"/>
  <c r="O16" i="392" s="1"/>
  <c r="F15" i="392"/>
  <c r="O15" i="392" s="1"/>
  <c r="F14" i="392"/>
  <c r="O14" i="392" s="1"/>
  <c r="F13" i="392"/>
  <c r="O13" i="392" s="1"/>
  <c r="F12" i="392"/>
  <c r="O12" i="392" s="1"/>
  <c r="F11" i="392"/>
  <c r="O11" i="392" s="1"/>
  <c r="F10" i="392"/>
  <c r="O10" i="392" s="1"/>
  <c r="F9" i="392"/>
  <c r="O9" i="392" s="1"/>
  <c r="F8" i="392"/>
  <c r="O8" i="392" s="1"/>
  <c r="L7" i="392"/>
  <c r="F7" i="392"/>
  <c r="O7" i="392" s="1"/>
  <c r="K28" i="391"/>
  <c r="J28" i="391"/>
  <c r="AF27" i="391"/>
  <c r="N27" i="391"/>
  <c r="H27" i="391"/>
  <c r="F27" i="391"/>
  <c r="D27" i="391"/>
  <c r="AF26" i="391"/>
  <c r="N26" i="391"/>
  <c r="H26" i="391"/>
  <c r="F26" i="391"/>
  <c r="D26" i="391"/>
  <c r="AF25" i="391"/>
  <c r="N25" i="391"/>
  <c r="H25" i="391"/>
  <c r="F25" i="391"/>
  <c r="D25" i="391"/>
  <c r="AF24" i="391"/>
  <c r="N24" i="391"/>
  <c r="H24" i="391"/>
  <c r="F24" i="391"/>
  <c r="D24" i="391"/>
  <c r="AF23" i="391"/>
  <c r="N23" i="391"/>
  <c r="H23" i="391"/>
  <c r="F23" i="391"/>
  <c r="D23" i="391"/>
  <c r="AF22" i="391"/>
  <c r="N22" i="391"/>
  <c r="H22" i="391"/>
  <c r="F22" i="391"/>
  <c r="D22" i="391"/>
  <c r="AF21" i="391"/>
  <c r="N21" i="391"/>
  <c r="H21" i="391"/>
  <c r="F21" i="391"/>
  <c r="D21" i="391"/>
  <c r="AF20" i="391"/>
  <c r="N20" i="391"/>
  <c r="H20" i="391"/>
  <c r="F20" i="391"/>
  <c r="D20" i="391"/>
  <c r="AF19" i="391"/>
  <c r="N19" i="391"/>
  <c r="H19" i="391"/>
  <c r="F19" i="391"/>
  <c r="D19" i="391"/>
  <c r="AF18" i="391"/>
  <c r="N18" i="391"/>
  <c r="H18" i="391"/>
  <c r="F18" i="391"/>
  <c r="D18" i="391"/>
  <c r="AF17" i="391"/>
  <c r="N17" i="391"/>
  <c r="H17" i="391"/>
  <c r="F17" i="391"/>
  <c r="D17" i="391"/>
  <c r="AF16" i="391"/>
  <c r="N16" i="391"/>
  <c r="H16" i="391"/>
  <c r="F16" i="391"/>
  <c r="D16" i="391"/>
  <c r="N15" i="391"/>
  <c r="F15" i="391"/>
  <c r="D15" i="391"/>
  <c r="N14" i="391"/>
  <c r="F14" i="391"/>
  <c r="D14" i="391"/>
  <c r="AF13" i="391"/>
  <c r="N13" i="391"/>
  <c r="H13" i="391"/>
  <c r="F13" i="391"/>
  <c r="D13" i="391"/>
  <c r="AF12" i="391"/>
  <c r="N12" i="391"/>
  <c r="H12" i="391"/>
  <c r="F12" i="391"/>
  <c r="D12" i="391"/>
  <c r="AF11" i="391"/>
  <c r="N11" i="391"/>
  <c r="H11" i="391"/>
  <c r="F11" i="391"/>
  <c r="D11" i="391"/>
  <c r="N10" i="391"/>
  <c r="F10" i="391"/>
  <c r="D10" i="391"/>
  <c r="N9" i="391"/>
  <c r="F9" i="391"/>
  <c r="D9" i="391"/>
  <c r="AF8" i="391"/>
  <c r="N8" i="391"/>
  <c r="H8" i="391"/>
  <c r="F8" i="391"/>
  <c r="D8" i="391"/>
  <c r="H7" i="391"/>
  <c r="F7" i="391"/>
  <c r="D7" i="391"/>
  <c r="N41" i="390"/>
  <c r="I38" i="390"/>
  <c r="F37" i="390"/>
  <c r="O37" i="390" s="1"/>
  <c r="F36" i="390"/>
  <c r="O36" i="390" s="1"/>
  <c r="F35" i="390"/>
  <c r="O35" i="390" s="1"/>
  <c r="F34" i="390"/>
  <c r="O34" i="390" s="1"/>
  <c r="F33" i="390"/>
  <c r="O32" i="390"/>
  <c r="L27" i="390"/>
  <c r="F27" i="390"/>
  <c r="O27" i="390" s="1"/>
  <c r="N22" i="390"/>
  <c r="N23" i="390" s="1"/>
  <c r="I20" i="390"/>
  <c r="F19" i="390"/>
  <c r="O19" i="390" s="1"/>
  <c r="F18" i="390"/>
  <c r="O18" i="390" s="1"/>
  <c r="F17" i="390"/>
  <c r="O17" i="390" s="1"/>
  <c r="F16" i="390"/>
  <c r="O16" i="390" s="1"/>
  <c r="F15" i="390"/>
  <c r="O15" i="390" s="1"/>
  <c r="F14" i="390"/>
  <c r="O14" i="390" s="1"/>
  <c r="F13" i="390"/>
  <c r="O13" i="390" s="1"/>
  <c r="F12" i="390"/>
  <c r="O12" i="390" s="1"/>
  <c r="F11" i="390"/>
  <c r="O11" i="390" s="1"/>
  <c r="F10" i="390"/>
  <c r="O10" i="390" s="1"/>
  <c r="F9" i="390"/>
  <c r="O9" i="390" s="1"/>
  <c r="F8" i="390"/>
  <c r="O8" i="390" s="1"/>
  <c r="L7" i="390"/>
  <c r="F7" i="390"/>
  <c r="O7" i="390" s="1"/>
  <c r="C2" i="390"/>
  <c r="K48" i="389"/>
  <c r="J48" i="389"/>
  <c r="AF47" i="389"/>
  <c r="H47" i="389"/>
  <c r="F47" i="389"/>
  <c r="D47" i="389"/>
  <c r="AF46" i="389"/>
  <c r="H46" i="389"/>
  <c r="F46" i="389"/>
  <c r="D46" i="389"/>
  <c r="AF45" i="389"/>
  <c r="H45" i="389"/>
  <c r="F45" i="389"/>
  <c r="D45" i="389"/>
  <c r="AF44" i="389"/>
  <c r="H44" i="389"/>
  <c r="F44" i="389"/>
  <c r="D44" i="389"/>
  <c r="AF43" i="389"/>
  <c r="H43" i="389"/>
  <c r="F43" i="389"/>
  <c r="D43" i="389"/>
  <c r="AF42" i="389"/>
  <c r="N42" i="389"/>
  <c r="H42" i="389"/>
  <c r="F42" i="389"/>
  <c r="D42" i="389"/>
  <c r="AF41" i="389"/>
  <c r="N41" i="389"/>
  <c r="H41" i="389"/>
  <c r="F41" i="389"/>
  <c r="D41" i="389"/>
  <c r="AF40" i="389"/>
  <c r="N40" i="389"/>
  <c r="H40" i="389"/>
  <c r="F40" i="389"/>
  <c r="D40" i="389"/>
  <c r="AF39" i="389"/>
  <c r="N39" i="389"/>
  <c r="H39" i="389"/>
  <c r="F39" i="389"/>
  <c r="D39" i="389"/>
  <c r="AF38" i="389"/>
  <c r="N38" i="389"/>
  <c r="H38" i="389"/>
  <c r="F38" i="389"/>
  <c r="D38" i="389"/>
  <c r="AF37" i="389"/>
  <c r="O37" i="389"/>
  <c r="N37" i="389"/>
  <c r="L37" i="389"/>
  <c r="H37" i="389"/>
  <c r="AF36" i="389"/>
  <c r="O36" i="389"/>
  <c r="N36" i="389"/>
  <c r="L36" i="389"/>
  <c r="H36" i="389"/>
  <c r="AF35" i="389"/>
  <c r="O35" i="389"/>
  <c r="N35" i="389"/>
  <c r="L35" i="389"/>
  <c r="H35" i="389"/>
  <c r="AF34" i="389"/>
  <c r="O34" i="389"/>
  <c r="N34" i="389"/>
  <c r="L34" i="389"/>
  <c r="H34" i="389"/>
  <c r="AF33" i="389"/>
  <c r="M33" i="389"/>
  <c r="O33" i="389" s="1"/>
  <c r="H33" i="389"/>
  <c r="AF32" i="389"/>
  <c r="H32" i="389"/>
  <c r="F32" i="389"/>
  <c r="D32" i="389"/>
  <c r="K23" i="389"/>
  <c r="J23" i="389"/>
  <c r="AF22" i="389"/>
  <c r="H22" i="389"/>
  <c r="F22" i="389"/>
  <c r="D22" i="389"/>
  <c r="AF21" i="389"/>
  <c r="H21" i="389"/>
  <c r="F21" i="389"/>
  <c r="D21" i="389"/>
  <c r="AF20" i="389"/>
  <c r="H20" i="389"/>
  <c r="F20" i="389"/>
  <c r="D20" i="389"/>
  <c r="AF19" i="389"/>
  <c r="H19" i="389"/>
  <c r="F19" i="389"/>
  <c r="D19" i="389"/>
  <c r="AF18" i="389"/>
  <c r="H18" i="389"/>
  <c r="F18" i="389"/>
  <c r="D18" i="389"/>
  <c r="AF17" i="389"/>
  <c r="N17" i="389"/>
  <c r="H17" i="389"/>
  <c r="F17" i="389"/>
  <c r="D17" i="389"/>
  <c r="AF16" i="389"/>
  <c r="N16" i="389"/>
  <c r="H16" i="389"/>
  <c r="F16" i="389"/>
  <c r="D16" i="389"/>
  <c r="AF15" i="389"/>
  <c r="N15" i="389"/>
  <c r="H15" i="389"/>
  <c r="F15" i="389"/>
  <c r="D15" i="389"/>
  <c r="AF14" i="389"/>
  <c r="N14" i="389"/>
  <c r="H14" i="389"/>
  <c r="F14" i="389"/>
  <c r="D14" i="389"/>
  <c r="AF13" i="389"/>
  <c r="N13" i="389"/>
  <c r="H13" i="389"/>
  <c r="F13" i="389"/>
  <c r="D13" i="389"/>
  <c r="AF12" i="389"/>
  <c r="O12" i="389"/>
  <c r="N12" i="389"/>
  <c r="L12" i="389"/>
  <c r="H12" i="389"/>
  <c r="F12" i="389"/>
  <c r="D12" i="389"/>
  <c r="AF11" i="389"/>
  <c r="O11" i="389"/>
  <c r="N11" i="389"/>
  <c r="L11" i="389"/>
  <c r="H11" i="389"/>
  <c r="F11" i="389"/>
  <c r="D11" i="389"/>
  <c r="AF10" i="389"/>
  <c r="O10" i="389"/>
  <c r="N10" i="389"/>
  <c r="L10" i="389"/>
  <c r="H10" i="389"/>
  <c r="F10" i="389"/>
  <c r="D10" i="389"/>
  <c r="AF9" i="389"/>
  <c r="O9" i="389"/>
  <c r="N9" i="389"/>
  <c r="L9" i="389"/>
  <c r="H9" i="389"/>
  <c r="F9" i="389"/>
  <c r="D9" i="389"/>
  <c r="AF8" i="389"/>
  <c r="M8" i="389"/>
  <c r="H8" i="389"/>
  <c r="F8" i="389"/>
  <c r="D8" i="389"/>
  <c r="H7" i="389"/>
  <c r="F7" i="389"/>
  <c r="D7" i="389"/>
  <c r="K23" i="388"/>
  <c r="J23" i="388"/>
  <c r="H22" i="388"/>
  <c r="F22" i="388"/>
  <c r="D22" i="388"/>
  <c r="H21" i="388"/>
  <c r="F21" i="388"/>
  <c r="D21" i="388"/>
  <c r="H20" i="388"/>
  <c r="F20" i="388"/>
  <c r="D20" i="388"/>
  <c r="H19" i="388"/>
  <c r="F19" i="388"/>
  <c r="D19" i="388"/>
  <c r="H18" i="388"/>
  <c r="F18" i="388"/>
  <c r="D18" i="388"/>
  <c r="H17" i="388"/>
  <c r="F17" i="388"/>
  <c r="D17" i="388"/>
  <c r="H16" i="388"/>
  <c r="F16" i="388"/>
  <c r="D16" i="388"/>
  <c r="AF15" i="388"/>
  <c r="N15" i="388"/>
  <c r="H15" i="388"/>
  <c r="F15" i="388"/>
  <c r="D15" i="388"/>
  <c r="AF14" i="388"/>
  <c r="N14" i="388"/>
  <c r="H14" i="388"/>
  <c r="F14" i="388"/>
  <c r="D14" i="388"/>
  <c r="AF13" i="388"/>
  <c r="N13" i="388"/>
  <c r="H13" i="388"/>
  <c r="F13" i="388"/>
  <c r="D13" i="388"/>
  <c r="AF12" i="388"/>
  <c r="N12" i="388"/>
  <c r="H12" i="388"/>
  <c r="F12" i="388"/>
  <c r="D12" i="388"/>
  <c r="AF11" i="388"/>
  <c r="N11" i="388"/>
  <c r="H11" i="388"/>
  <c r="F11" i="388"/>
  <c r="D11" i="388"/>
  <c r="AF10" i="388"/>
  <c r="N10" i="388"/>
  <c r="H10" i="388"/>
  <c r="F10" i="388"/>
  <c r="D10" i="388"/>
  <c r="AF9" i="388"/>
  <c r="N9" i="388"/>
  <c r="H9" i="388"/>
  <c r="F9" i="388"/>
  <c r="D9" i="388"/>
  <c r="AF8" i="388"/>
  <c r="N8" i="388"/>
  <c r="H8" i="388"/>
  <c r="F8" i="388"/>
  <c r="D8" i="388"/>
  <c r="H7" i="388"/>
  <c r="F7" i="388"/>
  <c r="D7" i="388"/>
  <c r="F39" i="387"/>
  <c r="O38" i="387"/>
  <c r="O37" i="387"/>
  <c r="O36" i="387"/>
  <c r="O35" i="387"/>
  <c r="O34" i="387"/>
  <c r="O33" i="387"/>
  <c r="O32" i="387"/>
  <c r="O31" i="387"/>
  <c r="O30" i="387"/>
  <c r="O29" i="387"/>
  <c r="L28" i="387"/>
  <c r="F28" i="387"/>
  <c r="O28" i="387" s="1"/>
  <c r="F18" i="387"/>
  <c r="O17" i="387"/>
  <c r="O16" i="387"/>
  <c r="O15" i="387"/>
  <c r="O14" i="387"/>
  <c r="O13" i="387"/>
  <c r="O12" i="387"/>
  <c r="O11" i="387"/>
  <c r="O10" i="387"/>
  <c r="O9" i="387"/>
  <c r="O8" i="387"/>
  <c r="L7" i="387"/>
  <c r="F7" i="387"/>
  <c r="O7" i="387" s="1"/>
  <c r="I65" i="386"/>
  <c r="F58" i="386"/>
  <c r="O58" i="386" s="1"/>
  <c r="F56" i="386"/>
  <c r="O56" i="386" s="1"/>
  <c r="F55" i="386"/>
  <c r="O55" i="386" s="1"/>
  <c r="F53" i="386"/>
  <c r="O53" i="386" s="1"/>
  <c r="F52" i="386"/>
  <c r="O52" i="386" s="1"/>
  <c r="F50" i="386"/>
  <c r="O50" i="386" s="1"/>
  <c r="F49" i="386"/>
  <c r="O49" i="386" s="1"/>
  <c r="F47" i="386"/>
  <c r="O47" i="386" s="1"/>
  <c r="F46" i="386"/>
  <c r="O46" i="386" s="1"/>
  <c r="F45" i="386"/>
  <c r="O45" i="386" s="1"/>
  <c r="F44" i="386"/>
  <c r="O44" i="386" s="1"/>
  <c r="F43" i="386"/>
  <c r="O43" i="386" s="1"/>
  <c r="F41" i="386"/>
  <c r="O41" i="386" s="1"/>
  <c r="F40" i="386"/>
  <c r="O40" i="386" s="1"/>
  <c r="F38" i="386"/>
  <c r="O38" i="386" s="1"/>
  <c r="L37" i="386"/>
  <c r="F37" i="386"/>
  <c r="O37" i="386" s="1"/>
  <c r="I30" i="386"/>
  <c r="F29" i="386"/>
  <c r="O29" i="386" s="1"/>
  <c r="F28" i="386"/>
  <c r="O28" i="386" s="1"/>
  <c r="F27" i="386"/>
  <c r="O27" i="386" s="1"/>
  <c r="F26" i="386"/>
  <c r="O26" i="386" s="1"/>
  <c r="F25" i="386"/>
  <c r="O25" i="386" s="1"/>
  <c r="F24" i="386"/>
  <c r="O24" i="386" s="1"/>
  <c r="F23" i="386"/>
  <c r="O23" i="386" s="1"/>
  <c r="F22" i="386"/>
  <c r="O22" i="386" s="1"/>
  <c r="F21" i="386"/>
  <c r="O21" i="386" s="1"/>
  <c r="F20" i="386"/>
  <c r="O20" i="386" s="1"/>
  <c r="F19" i="386"/>
  <c r="O19" i="386" s="1"/>
  <c r="F18" i="386"/>
  <c r="O18" i="386" s="1"/>
  <c r="F17" i="386"/>
  <c r="O17" i="386" s="1"/>
  <c r="F16" i="386"/>
  <c r="O16" i="386" s="1"/>
  <c r="F15" i="386"/>
  <c r="O15" i="386" s="1"/>
  <c r="F14" i="386"/>
  <c r="O14" i="386" s="1"/>
  <c r="F13" i="386"/>
  <c r="O13" i="386" s="1"/>
  <c r="F12" i="386"/>
  <c r="O12" i="386" s="1"/>
  <c r="F11" i="386"/>
  <c r="O11" i="386" s="1"/>
  <c r="F10" i="386"/>
  <c r="O10" i="386" s="1"/>
  <c r="F9" i="386"/>
  <c r="O9" i="386" s="1"/>
  <c r="F8" i="386"/>
  <c r="O8" i="386" s="1"/>
  <c r="L7" i="386"/>
  <c r="F7" i="386"/>
  <c r="O7" i="386" s="1"/>
  <c r="G48" i="385"/>
  <c r="F48" i="385"/>
  <c r="Z47" i="385"/>
  <c r="K47" i="385"/>
  <c r="J47" i="385"/>
  <c r="I47" i="385"/>
  <c r="Z46" i="385"/>
  <c r="K46" i="385"/>
  <c r="J46" i="385"/>
  <c r="I46" i="385"/>
  <c r="Z45" i="385"/>
  <c r="K45" i="385"/>
  <c r="J45" i="385"/>
  <c r="I45" i="385"/>
  <c r="Z44" i="385"/>
  <c r="K44" i="385"/>
  <c r="J44" i="385"/>
  <c r="I44" i="385"/>
  <c r="Z43" i="385"/>
  <c r="K43" i="385"/>
  <c r="J43" i="385"/>
  <c r="I43" i="385"/>
  <c r="Z42" i="385"/>
  <c r="K42" i="385"/>
  <c r="J42" i="385"/>
  <c r="I42" i="385"/>
  <c r="Z41" i="385"/>
  <c r="K41" i="385"/>
  <c r="J41" i="385"/>
  <c r="I41" i="385"/>
  <c r="Z40" i="385"/>
  <c r="K40" i="385"/>
  <c r="J40" i="385"/>
  <c r="I40" i="385"/>
  <c r="Z39" i="385"/>
  <c r="K39" i="385"/>
  <c r="J39" i="385"/>
  <c r="I39" i="385"/>
  <c r="Z38" i="385"/>
  <c r="K38" i="385"/>
  <c r="J38" i="385"/>
  <c r="I38" i="385"/>
  <c r="Z37" i="385"/>
  <c r="K37" i="385"/>
  <c r="J37" i="385"/>
  <c r="I37" i="385"/>
  <c r="Z36" i="385"/>
  <c r="K36" i="385"/>
  <c r="J36" i="385"/>
  <c r="I36" i="385"/>
  <c r="Z35" i="385"/>
  <c r="K35" i="385"/>
  <c r="J35" i="385"/>
  <c r="I35" i="385"/>
  <c r="Z34" i="385"/>
  <c r="K34" i="385"/>
  <c r="J34" i="385"/>
  <c r="I34" i="385"/>
  <c r="Z33" i="385"/>
  <c r="K33" i="385"/>
  <c r="J33" i="385"/>
  <c r="I33" i="385"/>
  <c r="K32" i="385"/>
  <c r="D32" i="385"/>
  <c r="J32" i="385" s="1"/>
  <c r="G23" i="385"/>
  <c r="F23" i="385"/>
  <c r="Z22" i="385"/>
  <c r="I22" i="385"/>
  <c r="D22" i="385"/>
  <c r="Z21" i="385"/>
  <c r="I21" i="385"/>
  <c r="D21" i="385"/>
  <c r="Z20" i="385"/>
  <c r="I20" i="385"/>
  <c r="D20" i="385"/>
  <c r="K20" i="385" s="1"/>
  <c r="Z19" i="385"/>
  <c r="I19" i="385"/>
  <c r="D19" i="385"/>
  <c r="Z18" i="385"/>
  <c r="I18" i="385"/>
  <c r="D18" i="385"/>
  <c r="K18" i="385" s="1"/>
  <c r="Z17" i="385"/>
  <c r="I17" i="385"/>
  <c r="D17" i="385"/>
  <c r="Z16" i="385"/>
  <c r="I16" i="385"/>
  <c r="D16" i="385"/>
  <c r="Z15" i="385"/>
  <c r="I15" i="385"/>
  <c r="D15" i="385"/>
  <c r="Z14" i="385"/>
  <c r="I14" i="385"/>
  <c r="D14" i="385"/>
  <c r="K14" i="385" s="1"/>
  <c r="Z13" i="385"/>
  <c r="I13" i="385"/>
  <c r="D13" i="385"/>
  <c r="Z12" i="385"/>
  <c r="I12" i="385"/>
  <c r="D12" i="385"/>
  <c r="K12" i="385" s="1"/>
  <c r="Z11" i="385"/>
  <c r="I11" i="385"/>
  <c r="D11" i="385"/>
  <c r="K11" i="385" s="1"/>
  <c r="Z10" i="385"/>
  <c r="I10" i="385"/>
  <c r="D10" i="385"/>
  <c r="Z9" i="385"/>
  <c r="I9" i="385"/>
  <c r="D9" i="385"/>
  <c r="Z8" i="385"/>
  <c r="I8" i="385"/>
  <c r="D8" i="385"/>
  <c r="K7" i="385"/>
  <c r="D7" i="385"/>
  <c r="J7" i="385" s="1"/>
  <c r="K21" i="384"/>
  <c r="J21" i="384"/>
  <c r="AF20" i="384"/>
  <c r="H20" i="384"/>
  <c r="F20" i="384"/>
  <c r="D20" i="384"/>
  <c r="AF19" i="384"/>
  <c r="H19" i="384"/>
  <c r="F19" i="384"/>
  <c r="D19" i="384"/>
  <c r="AF18" i="384"/>
  <c r="H18" i="384"/>
  <c r="F18" i="384"/>
  <c r="D18" i="384"/>
  <c r="AF17" i="384"/>
  <c r="H17" i="384"/>
  <c r="F17" i="384"/>
  <c r="D17" i="384"/>
  <c r="AF16" i="384"/>
  <c r="H16" i="384"/>
  <c r="F16" i="384"/>
  <c r="D16" i="384"/>
  <c r="AF15" i="384"/>
  <c r="H15" i="384"/>
  <c r="F15" i="384"/>
  <c r="D15" i="384"/>
  <c r="AF14" i="384"/>
  <c r="H14" i="384"/>
  <c r="F14" i="384"/>
  <c r="D14" i="384"/>
  <c r="AF13" i="384"/>
  <c r="H13" i="384"/>
  <c r="F13" i="384"/>
  <c r="D13" i="384"/>
  <c r="AF12" i="384"/>
  <c r="N12" i="384"/>
  <c r="H12" i="384"/>
  <c r="F12" i="384"/>
  <c r="D12" i="384"/>
  <c r="AF11" i="384"/>
  <c r="N11" i="384"/>
  <c r="H11" i="384"/>
  <c r="F11" i="384"/>
  <c r="D11" i="384"/>
  <c r="AF10" i="384"/>
  <c r="N10" i="384"/>
  <c r="H10" i="384"/>
  <c r="F10" i="384"/>
  <c r="D10" i="384"/>
  <c r="AF9" i="384"/>
  <c r="N9" i="384"/>
  <c r="H9" i="384"/>
  <c r="F9" i="384"/>
  <c r="D9" i="384"/>
  <c r="AF8" i="384"/>
  <c r="N8" i="384"/>
  <c r="H8" i="384"/>
  <c r="F8" i="384"/>
  <c r="D8" i="384"/>
  <c r="AF7" i="384"/>
  <c r="N7" i="384"/>
  <c r="H7" i="384"/>
  <c r="F7" i="384"/>
  <c r="D7" i="384"/>
  <c r="M28" i="383"/>
  <c r="O28" i="383" s="1"/>
  <c r="K22" i="383"/>
  <c r="J22" i="383"/>
  <c r="AF21" i="383"/>
  <c r="H21" i="383"/>
  <c r="F21" i="383"/>
  <c r="D21" i="383"/>
  <c r="AF20" i="383"/>
  <c r="H20" i="383"/>
  <c r="F20" i="383"/>
  <c r="D20" i="383"/>
  <c r="AF19" i="383"/>
  <c r="H19" i="383"/>
  <c r="F19" i="383"/>
  <c r="D19" i="383"/>
  <c r="AF18" i="383"/>
  <c r="H18" i="383"/>
  <c r="F18" i="383"/>
  <c r="D18" i="383"/>
  <c r="AF17" i="383"/>
  <c r="H17" i="383"/>
  <c r="F17" i="383"/>
  <c r="D17" i="383"/>
  <c r="AF16" i="383"/>
  <c r="H16" i="383"/>
  <c r="F16" i="383"/>
  <c r="D16" i="383"/>
  <c r="AF15" i="383"/>
  <c r="H15" i="383"/>
  <c r="F15" i="383"/>
  <c r="D15" i="383"/>
  <c r="AF14" i="383"/>
  <c r="H14" i="383"/>
  <c r="F14" i="383"/>
  <c r="D14" i="383"/>
  <c r="AF13" i="383"/>
  <c r="H13" i="383"/>
  <c r="F13" i="383"/>
  <c r="D13" i="383"/>
  <c r="AF12" i="383"/>
  <c r="N12" i="383"/>
  <c r="H12" i="383"/>
  <c r="F12" i="383"/>
  <c r="D12" i="383"/>
  <c r="AF11" i="383"/>
  <c r="N11" i="383"/>
  <c r="H11" i="383"/>
  <c r="F11" i="383"/>
  <c r="D11" i="383"/>
  <c r="AF10" i="383"/>
  <c r="N10" i="383"/>
  <c r="H10" i="383"/>
  <c r="F10" i="383"/>
  <c r="D10" i="383"/>
  <c r="AF9" i="383"/>
  <c r="N9" i="383"/>
  <c r="H9" i="383"/>
  <c r="F9" i="383"/>
  <c r="D9" i="383"/>
  <c r="AF8" i="383"/>
  <c r="N8" i="383"/>
  <c r="H8" i="383"/>
  <c r="F8" i="383"/>
  <c r="D8" i="383"/>
  <c r="AF7" i="383"/>
  <c r="N7" i="383"/>
  <c r="H7" i="383"/>
  <c r="F7" i="383"/>
  <c r="D7" i="383"/>
  <c r="N20" i="382"/>
  <c r="N21" i="382" s="1"/>
  <c r="I18" i="382"/>
  <c r="F17" i="382"/>
  <c r="O17" i="382" s="1"/>
  <c r="F16" i="382"/>
  <c r="O16" i="382" s="1"/>
  <c r="F15" i="382"/>
  <c r="O15" i="382" s="1"/>
  <c r="F14" i="382"/>
  <c r="F13" i="382"/>
  <c r="O13" i="382" s="1"/>
  <c r="F12" i="382"/>
  <c r="O12" i="382" s="1"/>
  <c r="F11" i="382"/>
  <c r="O11" i="382" s="1"/>
  <c r="F10" i="382"/>
  <c r="O10" i="382" s="1"/>
  <c r="F9" i="382"/>
  <c r="O9" i="382" s="1"/>
  <c r="F8" i="382"/>
  <c r="O8" i="382" s="1"/>
  <c r="L7" i="382"/>
  <c r="F7" i="382"/>
  <c r="O7" i="382" s="1"/>
  <c r="C2" i="382"/>
  <c r="K23" i="381"/>
  <c r="J23" i="381"/>
  <c r="AF22" i="381"/>
  <c r="H22" i="381"/>
  <c r="F22" i="381"/>
  <c r="D22" i="381"/>
  <c r="AF21" i="381"/>
  <c r="H21" i="381"/>
  <c r="F21" i="381"/>
  <c r="D21" i="381"/>
  <c r="AF20" i="381"/>
  <c r="H20" i="381"/>
  <c r="F20" i="381"/>
  <c r="D20" i="381"/>
  <c r="AF19" i="381"/>
  <c r="H19" i="381"/>
  <c r="F19" i="381"/>
  <c r="D19" i="381"/>
  <c r="AF18" i="381"/>
  <c r="H18" i="381"/>
  <c r="F18" i="381"/>
  <c r="D18" i="381"/>
  <c r="AF17" i="381"/>
  <c r="N17" i="381"/>
  <c r="H17" i="381"/>
  <c r="AF16" i="381"/>
  <c r="N16" i="381"/>
  <c r="H16" i="381"/>
  <c r="AF15" i="381"/>
  <c r="N15" i="381"/>
  <c r="H15" i="381"/>
  <c r="AF14" i="381"/>
  <c r="N14" i="381"/>
  <c r="H14" i="381"/>
  <c r="AF13" i="381"/>
  <c r="N13" i="381"/>
  <c r="H13" i="381"/>
  <c r="AF12" i="381"/>
  <c r="N12" i="381"/>
  <c r="H12" i="381"/>
  <c r="AF11" i="381"/>
  <c r="N11" i="381"/>
  <c r="H11" i="381"/>
  <c r="AF10" i="381"/>
  <c r="N10" i="381"/>
  <c r="H10" i="381"/>
  <c r="AF9" i="381"/>
  <c r="N9" i="381"/>
  <c r="H9" i="381"/>
  <c r="AF8" i="381"/>
  <c r="N8" i="381"/>
  <c r="H8" i="381"/>
  <c r="H7" i="381"/>
  <c r="F7" i="381"/>
  <c r="D7" i="381"/>
  <c r="N38" i="380"/>
  <c r="N39" i="380" s="1"/>
  <c r="I36" i="380"/>
  <c r="F35" i="380"/>
  <c r="O35" i="380" s="1"/>
  <c r="F34" i="380"/>
  <c r="O34" i="380" s="1"/>
  <c r="F33" i="380"/>
  <c r="O33" i="380" s="1"/>
  <c r="F32" i="380"/>
  <c r="L31" i="380"/>
  <c r="F31" i="380"/>
  <c r="O31" i="380" s="1"/>
  <c r="O30" i="380"/>
  <c r="L30" i="380"/>
  <c r="L29" i="380"/>
  <c r="F29" i="380"/>
  <c r="O29" i="380" s="1"/>
  <c r="O28" i="380"/>
  <c r="L28" i="380"/>
  <c r="L27" i="380"/>
  <c r="F27" i="380"/>
  <c r="O27" i="380" s="1"/>
  <c r="O26" i="380"/>
  <c r="L26" i="380"/>
  <c r="L25" i="380"/>
  <c r="F25" i="380"/>
  <c r="O25" i="380" s="1"/>
  <c r="N20" i="380"/>
  <c r="N21" i="380" s="1"/>
  <c r="I18" i="380"/>
  <c r="F17" i="380"/>
  <c r="O17" i="380" s="1"/>
  <c r="F16" i="380"/>
  <c r="O16" i="380" s="1"/>
  <c r="F15" i="380"/>
  <c r="O15" i="380" s="1"/>
  <c r="F14" i="380"/>
  <c r="O14" i="380" s="1"/>
  <c r="F13" i="380"/>
  <c r="O13" i="380" s="1"/>
  <c r="F12" i="380"/>
  <c r="O12" i="380" s="1"/>
  <c r="F11" i="380"/>
  <c r="O11" i="380" s="1"/>
  <c r="F10" i="380"/>
  <c r="O10" i="380" s="1"/>
  <c r="F9" i="380"/>
  <c r="O9" i="380" s="1"/>
  <c r="F8" i="380"/>
  <c r="O8" i="380" s="1"/>
  <c r="O7" i="380"/>
  <c r="L7" i="380"/>
  <c r="K36" i="379"/>
  <c r="J36" i="379"/>
  <c r="AF35" i="379"/>
  <c r="N35" i="379"/>
  <c r="H35" i="379"/>
  <c r="D35" i="379"/>
  <c r="AF34" i="379"/>
  <c r="N34" i="379"/>
  <c r="H34" i="379"/>
  <c r="D34" i="379"/>
  <c r="AF33" i="379"/>
  <c r="N33" i="379"/>
  <c r="H33" i="379"/>
  <c r="D33" i="379"/>
  <c r="AF32" i="379"/>
  <c r="N32" i="379"/>
  <c r="H32" i="379"/>
  <c r="D32" i="379"/>
  <c r="AF31" i="379"/>
  <c r="N31" i="379"/>
  <c r="H31" i="379"/>
  <c r="D31" i="379"/>
  <c r="AF30" i="379"/>
  <c r="N30" i="379"/>
  <c r="H30" i="379"/>
  <c r="D30" i="379"/>
  <c r="AF29" i="379"/>
  <c r="N29" i="379"/>
  <c r="H29" i="379"/>
  <c r="D29" i="379"/>
  <c r="AF28" i="379"/>
  <c r="N28" i="379"/>
  <c r="H28" i="379"/>
  <c r="D28" i="379"/>
  <c r="AF27" i="379"/>
  <c r="N27" i="379"/>
  <c r="H27" i="379"/>
  <c r="D27" i="379"/>
  <c r="H26" i="379"/>
  <c r="F26" i="379"/>
  <c r="D26" i="379"/>
  <c r="K17" i="379"/>
  <c r="J17" i="379"/>
  <c r="AF16" i="379"/>
  <c r="N16" i="379"/>
  <c r="H16" i="379"/>
  <c r="F16" i="379"/>
  <c r="D16" i="379"/>
  <c r="AF15" i="379"/>
  <c r="N15" i="379"/>
  <c r="H15" i="379"/>
  <c r="F15" i="379"/>
  <c r="D15" i="379"/>
  <c r="AF14" i="379"/>
  <c r="N14" i="379"/>
  <c r="H14" i="379"/>
  <c r="F14" i="379"/>
  <c r="D14" i="379"/>
  <c r="AF13" i="379"/>
  <c r="N13" i="379"/>
  <c r="H13" i="379"/>
  <c r="F13" i="379"/>
  <c r="D13" i="379"/>
  <c r="AF12" i="379"/>
  <c r="N12" i="379"/>
  <c r="H12" i="379"/>
  <c r="F12" i="379"/>
  <c r="D12" i="379"/>
  <c r="AF11" i="379"/>
  <c r="N11" i="379"/>
  <c r="H11" i="379"/>
  <c r="F11" i="379"/>
  <c r="D11" i="379"/>
  <c r="AF10" i="379"/>
  <c r="N10" i="379"/>
  <c r="H10" i="379"/>
  <c r="F10" i="379"/>
  <c r="D10" i="379"/>
  <c r="AF9" i="379"/>
  <c r="N9" i="379"/>
  <c r="H9" i="379"/>
  <c r="F9" i="379"/>
  <c r="D9" i="379"/>
  <c r="AF8" i="379"/>
  <c r="N8" i="379"/>
  <c r="H8" i="379"/>
  <c r="F8" i="379"/>
  <c r="D8" i="379"/>
  <c r="H7" i="379"/>
  <c r="F7" i="379"/>
  <c r="D7" i="379"/>
  <c r="N48" i="378"/>
  <c r="N49" i="378" s="1"/>
  <c r="I46" i="378"/>
  <c r="F45" i="378"/>
  <c r="O45" i="378" s="1"/>
  <c r="F44" i="378"/>
  <c r="O44" i="378" s="1"/>
  <c r="F43" i="378"/>
  <c r="O43" i="378" s="1"/>
  <c r="F42" i="378"/>
  <c r="O42" i="378" s="1"/>
  <c r="F41" i="378"/>
  <c r="O41" i="378" s="1"/>
  <c r="F40" i="378"/>
  <c r="O40" i="378" s="1"/>
  <c r="F39" i="378"/>
  <c r="O39" i="378" s="1"/>
  <c r="F38" i="378"/>
  <c r="O38" i="378" s="1"/>
  <c r="F37" i="378"/>
  <c r="O37" i="378" s="1"/>
  <c r="F36" i="378"/>
  <c r="O36" i="378" s="1"/>
  <c r="F35" i="378"/>
  <c r="O35" i="378" s="1"/>
  <c r="F34" i="378"/>
  <c r="O34" i="378" s="1"/>
  <c r="F33" i="378"/>
  <c r="O33" i="378" s="1"/>
  <c r="F32" i="378"/>
  <c r="O32" i="378" s="1"/>
  <c r="F31" i="378"/>
  <c r="O31" i="378" s="1"/>
  <c r="F30" i="378"/>
  <c r="O30" i="378" s="1"/>
  <c r="F29" i="378"/>
  <c r="O29" i="378" s="1"/>
  <c r="F28" i="378"/>
  <c r="O28" i="378" s="1"/>
  <c r="F27" i="378"/>
  <c r="O27" i="378" s="1"/>
  <c r="F26" i="378"/>
  <c r="O26" i="378" s="1"/>
  <c r="F25" i="378"/>
  <c r="O25" i="378" s="1"/>
  <c r="F24" i="378"/>
  <c r="O24" i="378" s="1"/>
  <c r="F23" i="378"/>
  <c r="O23" i="378" s="1"/>
  <c r="F22" i="378"/>
  <c r="O22" i="378" s="1"/>
  <c r="F21" i="378"/>
  <c r="O21" i="378" s="1"/>
  <c r="F20" i="378"/>
  <c r="O20" i="378" s="1"/>
  <c r="F19" i="378"/>
  <c r="O19" i="378" s="1"/>
  <c r="F18" i="378"/>
  <c r="O18" i="378" s="1"/>
  <c r="F17" i="378"/>
  <c r="O17" i="378" s="1"/>
  <c r="F16" i="378"/>
  <c r="O16" i="378" s="1"/>
  <c r="F15" i="378"/>
  <c r="O15" i="378" s="1"/>
  <c r="F14" i="378"/>
  <c r="O14" i="378" s="1"/>
  <c r="F13" i="378"/>
  <c r="O13" i="378" s="1"/>
  <c r="F12" i="378"/>
  <c r="O12" i="378" s="1"/>
  <c r="F11" i="378"/>
  <c r="O11" i="378" s="1"/>
  <c r="F10" i="378"/>
  <c r="O10" i="378" s="1"/>
  <c r="F9" i="378"/>
  <c r="O9" i="378" s="1"/>
  <c r="F8" i="378"/>
  <c r="O8" i="378" s="1"/>
  <c r="L7" i="378"/>
  <c r="F7" i="378"/>
  <c r="O7" i="378" s="1"/>
  <c r="C2" i="378"/>
  <c r="K55" i="375"/>
  <c r="J55" i="375"/>
  <c r="AE54" i="375"/>
  <c r="H54" i="375"/>
  <c r="F54" i="375"/>
  <c r="D54" i="375"/>
  <c r="AE53" i="375"/>
  <c r="H53" i="375"/>
  <c r="F53" i="375"/>
  <c r="D53" i="375"/>
  <c r="AE52" i="375"/>
  <c r="H52" i="375"/>
  <c r="F52" i="375"/>
  <c r="D52" i="375"/>
  <c r="AE51" i="375"/>
  <c r="H51" i="375"/>
  <c r="F51" i="375"/>
  <c r="D51" i="375"/>
  <c r="AE50" i="375"/>
  <c r="H50" i="375"/>
  <c r="F50" i="375"/>
  <c r="D50" i="375"/>
  <c r="AE49" i="375"/>
  <c r="H49" i="375"/>
  <c r="F49" i="375"/>
  <c r="D49" i="375"/>
  <c r="AE48" i="375"/>
  <c r="H48" i="375"/>
  <c r="D48" i="375"/>
  <c r="AE47" i="375"/>
  <c r="H47" i="375"/>
  <c r="D47" i="375"/>
  <c r="AE46" i="375"/>
  <c r="H46" i="375"/>
  <c r="D46" i="375"/>
  <c r="AE45" i="375"/>
  <c r="H45" i="375"/>
  <c r="D45" i="375"/>
  <c r="AE44" i="375"/>
  <c r="H44" i="375"/>
  <c r="D44" i="375"/>
  <c r="AE43" i="375"/>
  <c r="H43" i="375"/>
  <c r="D43" i="375"/>
  <c r="AE42" i="375"/>
  <c r="H42" i="375"/>
  <c r="D42" i="375"/>
  <c r="AE41" i="375"/>
  <c r="H41" i="375"/>
  <c r="D41" i="375"/>
  <c r="AE40" i="375"/>
  <c r="H40" i="375"/>
  <c r="D40" i="375"/>
  <c r="H39" i="375"/>
  <c r="F39" i="375"/>
  <c r="D39" i="375"/>
  <c r="N43" i="374"/>
  <c r="N44" i="374" s="1"/>
  <c r="I41" i="374"/>
  <c r="F40" i="374"/>
  <c r="O40" i="374" s="1"/>
  <c r="F39" i="374"/>
  <c r="O39" i="374" s="1"/>
  <c r="F38" i="374"/>
  <c r="O38" i="374" s="1"/>
  <c r="F37" i="374"/>
  <c r="O37" i="374" s="1"/>
  <c r="F36" i="374"/>
  <c r="O36" i="374" s="1"/>
  <c r="F35" i="374"/>
  <c r="O35" i="374" s="1"/>
  <c r="F34" i="374"/>
  <c r="O34" i="374" s="1"/>
  <c r="F33" i="374"/>
  <c r="O33" i="374" s="1"/>
  <c r="F32" i="374"/>
  <c r="O32" i="374" s="1"/>
  <c r="F31" i="374"/>
  <c r="O31" i="374" s="1"/>
  <c r="F30" i="374"/>
  <c r="O30" i="374" s="1"/>
  <c r="F29" i="374"/>
  <c r="O29" i="374" s="1"/>
  <c r="F28" i="374"/>
  <c r="O28" i="374" s="1"/>
  <c r="L27" i="374"/>
  <c r="F27" i="374"/>
  <c r="O27" i="374" s="1"/>
  <c r="N22" i="374"/>
  <c r="N23" i="374" s="1"/>
  <c r="I20" i="374"/>
  <c r="F19" i="374"/>
  <c r="O19" i="374" s="1"/>
  <c r="F18" i="374"/>
  <c r="O18" i="374" s="1"/>
  <c r="F17" i="374"/>
  <c r="O17" i="374" s="1"/>
  <c r="F16" i="374"/>
  <c r="O16" i="374" s="1"/>
  <c r="F15" i="374"/>
  <c r="O15" i="374" s="1"/>
  <c r="F14" i="374"/>
  <c r="O14" i="374" s="1"/>
  <c r="F13" i="374"/>
  <c r="O13" i="374" s="1"/>
  <c r="F12" i="374"/>
  <c r="O12" i="374" s="1"/>
  <c r="F11" i="374"/>
  <c r="O11" i="374" s="1"/>
  <c r="F10" i="374"/>
  <c r="O10" i="374" s="1"/>
  <c r="F9" i="374"/>
  <c r="O9" i="374" s="1"/>
  <c r="F8" i="374"/>
  <c r="O8" i="374" s="1"/>
  <c r="L7" i="374"/>
  <c r="F7" i="374"/>
  <c r="O7" i="374" s="1"/>
  <c r="C2" i="374"/>
  <c r="K56" i="373"/>
  <c r="J56" i="373"/>
  <c r="AE55" i="373"/>
  <c r="H55" i="373"/>
  <c r="AE54" i="373"/>
  <c r="H54" i="373"/>
  <c r="AE53" i="373"/>
  <c r="H53" i="373"/>
  <c r="AE52" i="373"/>
  <c r="H52" i="373"/>
  <c r="AE51" i="373"/>
  <c r="H51" i="373"/>
  <c r="AE50" i="373"/>
  <c r="H50" i="373"/>
  <c r="AE49" i="373"/>
  <c r="H49" i="373"/>
  <c r="AE48" i="373"/>
  <c r="H48" i="373"/>
  <c r="AE47" i="373"/>
  <c r="H47" i="373"/>
  <c r="AE46" i="373"/>
  <c r="H46" i="373"/>
  <c r="AE45" i="373"/>
  <c r="H45" i="373"/>
  <c r="AE44" i="373"/>
  <c r="H44" i="373"/>
  <c r="AE43" i="373"/>
  <c r="H43" i="373"/>
  <c r="AE42" i="373"/>
  <c r="H42" i="373"/>
  <c r="AE41" i="373"/>
  <c r="H41" i="373"/>
  <c r="AE40" i="373"/>
  <c r="H40" i="373"/>
  <c r="AE39" i="373"/>
  <c r="H39" i="373"/>
  <c r="AE38" i="373"/>
  <c r="H38" i="373"/>
  <c r="AE37" i="373"/>
  <c r="H37" i="373"/>
  <c r="D37" i="373"/>
  <c r="H36" i="373"/>
  <c r="F36" i="373"/>
  <c r="D36" i="373"/>
  <c r="K27" i="373"/>
  <c r="J27" i="373"/>
  <c r="AE26" i="373"/>
  <c r="H26" i="373"/>
  <c r="F26" i="373"/>
  <c r="D26" i="373"/>
  <c r="AE25" i="373"/>
  <c r="H25" i="373"/>
  <c r="F25" i="373"/>
  <c r="D25" i="373"/>
  <c r="AE24" i="373"/>
  <c r="H24" i="373"/>
  <c r="F24" i="373"/>
  <c r="D24" i="373"/>
  <c r="AE23" i="373"/>
  <c r="H23" i="373"/>
  <c r="F23" i="373"/>
  <c r="D23" i="373"/>
  <c r="AE22" i="373"/>
  <c r="H22" i="373"/>
  <c r="F22" i="373"/>
  <c r="D22" i="373"/>
  <c r="AE21" i="373"/>
  <c r="H21" i="373"/>
  <c r="F21" i="373"/>
  <c r="D21" i="373"/>
  <c r="AE20" i="373"/>
  <c r="H20" i="373"/>
  <c r="F20" i="373"/>
  <c r="D20" i="373"/>
  <c r="AE19" i="373"/>
  <c r="H19" i="373"/>
  <c r="F19" i="373"/>
  <c r="D19" i="373"/>
  <c r="AE18" i="373"/>
  <c r="H18" i="373"/>
  <c r="F18" i="373"/>
  <c r="D18" i="373"/>
  <c r="AE17" i="373"/>
  <c r="H17" i="373"/>
  <c r="F17" i="373"/>
  <c r="D17" i="373"/>
  <c r="AE16" i="373"/>
  <c r="H16" i="373"/>
  <c r="F16" i="373"/>
  <c r="D16" i="373"/>
  <c r="AE15" i="373"/>
  <c r="H15" i="373"/>
  <c r="F15" i="373"/>
  <c r="D15" i="373"/>
  <c r="AE14" i="373"/>
  <c r="H14" i="373"/>
  <c r="F14" i="373"/>
  <c r="D14" i="373"/>
  <c r="AE13" i="373"/>
  <c r="H13" i="373"/>
  <c r="F13" i="373"/>
  <c r="D13" i="373"/>
  <c r="AE12" i="373"/>
  <c r="H12" i="373"/>
  <c r="F12" i="373"/>
  <c r="D12" i="373"/>
  <c r="AE11" i="373"/>
  <c r="H11" i="373"/>
  <c r="F11" i="373"/>
  <c r="D11" i="373"/>
  <c r="AE10" i="373"/>
  <c r="H10" i="373"/>
  <c r="F10" i="373"/>
  <c r="D10" i="373"/>
  <c r="AE9" i="373"/>
  <c r="H9" i="373"/>
  <c r="F9" i="373"/>
  <c r="D9" i="373"/>
  <c r="AE8" i="373"/>
  <c r="H8" i="373"/>
  <c r="F8" i="373"/>
  <c r="D8" i="373"/>
  <c r="H7" i="373"/>
  <c r="F7" i="373"/>
  <c r="D7" i="373"/>
  <c r="N20" i="372"/>
  <c r="N21" i="372" s="1"/>
  <c r="I18" i="372"/>
  <c r="O17" i="372"/>
  <c r="O16" i="372"/>
  <c r="O15" i="372"/>
  <c r="O14" i="372"/>
  <c r="F13" i="372"/>
  <c r="O13" i="372" s="1"/>
  <c r="F12" i="372"/>
  <c r="O12" i="372" s="1"/>
  <c r="F11" i="372"/>
  <c r="O11" i="372" s="1"/>
  <c r="F10" i="372"/>
  <c r="O10" i="372" s="1"/>
  <c r="F9" i="372"/>
  <c r="O9" i="372" s="1"/>
  <c r="F8" i="372"/>
  <c r="L7" i="372"/>
  <c r="F7" i="372"/>
  <c r="O7" i="372" s="1"/>
  <c r="C2" i="372"/>
  <c r="K23" i="371"/>
  <c r="J23" i="371"/>
  <c r="AE22" i="371"/>
  <c r="H22" i="371"/>
  <c r="F22" i="371"/>
  <c r="D22" i="371"/>
  <c r="AE21" i="371"/>
  <c r="H21" i="371"/>
  <c r="F21" i="371"/>
  <c r="D21" i="371"/>
  <c r="AE20" i="371"/>
  <c r="H20" i="371"/>
  <c r="F20" i="371"/>
  <c r="D20" i="371"/>
  <c r="AE19" i="371"/>
  <c r="H19" i="371"/>
  <c r="F19" i="371"/>
  <c r="D19" i="371"/>
  <c r="AE18" i="371"/>
  <c r="H18" i="371"/>
  <c r="F18" i="371"/>
  <c r="D18" i="371"/>
  <c r="AE17" i="371"/>
  <c r="H17" i="371"/>
  <c r="F17" i="371"/>
  <c r="D17" i="371"/>
  <c r="AE16" i="371"/>
  <c r="H16" i="371"/>
  <c r="F16" i="371"/>
  <c r="D16" i="371"/>
  <c r="AE15" i="371"/>
  <c r="H15" i="371"/>
  <c r="F15" i="371"/>
  <c r="D15" i="371"/>
  <c r="AE14" i="371"/>
  <c r="H14" i="371"/>
  <c r="F14" i="371"/>
  <c r="D14" i="371"/>
  <c r="AE13" i="371"/>
  <c r="H13" i="371"/>
  <c r="F13" i="371"/>
  <c r="D13" i="371"/>
  <c r="AE12" i="371"/>
  <c r="H12" i="371"/>
  <c r="F12" i="371"/>
  <c r="D12" i="371"/>
  <c r="AE11" i="371"/>
  <c r="H11" i="371"/>
  <c r="F11" i="371"/>
  <c r="D11" i="371"/>
  <c r="AE10" i="371"/>
  <c r="H10" i="371"/>
  <c r="F10" i="371"/>
  <c r="D10" i="371"/>
  <c r="AE9" i="371"/>
  <c r="H9" i="371"/>
  <c r="F9" i="371"/>
  <c r="D9" i="371"/>
  <c r="AE8" i="371"/>
  <c r="H8" i="371"/>
  <c r="F8" i="371"/>
  <c r="D8" i="371"/>
  <c r="H7" i="371"/>
  <c r="F7" i="371"/>
  <c r="D7" i="371"/>
  <c r="F39" i="370"/>
  <c r="O38" i="370"/>
  <c r="O37" i="370"/>
  <c r="O36" i="370"/>
  <c r="O35" i="370"/>
  <c r="O34" i="370"/>
  <c r="O33" i="370"/>
  <c r="O32" i="370"/>
  <c r="O31" i="370"/>
  <c r="O30" i="370"/>
  <c r="O29" i="370"/>
  <c r="L28" i="370"/>
  <c r="F28" i="370"/>
  <c r="O28" i="370" s="1"/>
  <c r="O17" i="370"/>
  <c r="O16" i="370"/>
  <c r="O15" i="370"/>
  <c r="O14" i="370"/>
  <c r="O13" i="370"/>
  <c r="O12" i="370"/>
  <c r="O11" i="370"/>
  <c r="O10" i="370"/>
  <c r="F9" i="370"/>
  <c r="O9" i="370" s="1"/>
  <c r="F8" i="370"/>
  <c r="O8" i="370" s="1"/>
  <c r="L7" i="370"/>
  <c r="F7" i="370"/>
  <c r="O7" i="370" s="1"/>
  <c r="N39" i="369"/>
  <c r="N40" i="369" s="1"/>
  <c r="I37" i="369"/>
  <c r="F36" i="369"/>
  <c r="O36" i="369" s="1"/>
  <c r="F35" i="369"/>
  <c r="O35" i="369" s="1"/>
  <c r="O27" i="369"/>
  <c r="L26" i="369"/>
  <c r="F26" i="369"/>
  <c r="O26" i="369" s="1"/>
  <c r="N21" i="369"/>
  <c r="I18" i="369"/>
  <c r="F17" i="369"/>
  <c r="O17" i="369" s="1"/>
  <c r="F16" i="369"/>
  <c r="O16" i="369" s="1"/>
  <c r="F15" i="369"/>
  <c r="O15" i="369" s="1"/>
  <c r="F14" i="369"/>
  <c r="O14" i="369" s="1"/>
  <c r="F13" i="369"/>
  <c r="O13" i="369" s="1"/>
  <c r="F12" i="369"/>
  <c r="F11" i="369"/>
  <c r="F10" i="369"/>
  <c r="F9" i="369"/>
  <c r="F8" i="369"/>
  <c r="O8" i="369" s="1"/>
  <c r="L7" i="369"/>
  <c r="F7" i="369"/>
  <c r="O7" i="369" s="1"/>
  <c r="C2" i="369"/>
  <c r="K50" i="368"/>
  <c r="J50" i="368"/>
  <c r="AE49" i="368"/>
  <c r="H49" i="368"/>
  <c r="F49" i="368"/>
  <c r="D49" i="368"/>
  <c r="AE48" i="368"/>
  <c r="H48" i="368"/>
  <c r="F48" i="368"/>
  <c r="D48" i="368"/>
  <c r="AE47" i="368"/>
  <c r="H47" i="368"/>
  <c r="F47" i="368"/>
  <c r="D47" i="368"/>
  <c r="AE46" i="368"/>
  <c r="H46" i="368"/>
  <c r="F46" i="368"/>
  <c r="D46" i="368"/>
  <c r="AE45" i="368"/>
  <c r="H45" i="368"/>
  <c r="F45" i="368"/>
  <c r="D45" i="368"/>
  <c r="AE44" i="368"/>
  <c r="H44" i="368"/>
  <c r="AE43" i="368"/>
  <c r="H43" i="368"/>
  <c r="AE42" i="368"/>
  <c r="H42" i="368"/>
  <c r="AE41" i="368"/>
  <c r="H41" i="368"/>
  <c r="AE40" i="368"/>
  <c r="H40" i="368"/>
  <c r="P40" i="368" s="1"/>
  <c r="AE39" i="368"/>
  <c r="H39" i="368"/>
  <c r="AE38" i="368"/>
  <c r="H38" i="368"/>
  <c r="AE37" i="368"/>
  <c r="H37" i="368"/>
  <c r="AE36" i="368"/>
  <c r="H36" i="368"/>
  <c r="P36" i="368" s="1"/>
  <c r="AE35" i="368"/>
  <c r="H35" i="368"/>
  <c r="P35" i="368" s="1"/>
  <c r="H34" i="368"/>
  <c r="F34" i="368"/>
  <c r="D34" i="368"/>
  <c r="K23" i="368"/>
  <c r="J23" i="368"/>
  <c r="AE22" i="368"/>
  <c r="H22" i="368"/>
  <c r="F22" i="368"/>
  <c r="D22" i="368"/>
  <c r="AE21" i="368"/>
  <c r="H21" i="368"/>
  <c r="F21" i="368"/>
  <c r="D21" i="368"/>
  <c r="AE20" i="368"/>
  <c r="H20" i="368"/>
  <c r="F20" i="368"/>
  <c r="D20" i="368"/>
  <c r="AE19" i="368"/>
  <c r="H19" i="368"/>
  <c r="F19" i="368"/>
  <c r="D19" i="368"/>
  <c r="AE18" i="368"/>
  <c r="H18" i="368"/>
  <c r="F18" i="368"/>
  <c r="D18" i="368"/>
  <c r="AE17" i="368"/>
  <c r="P17" i="368"/>
  <c r="O17" i="368"/>
  <c r="AE16" i="368"/>
  <c r="P16" i="368"/>
  <c r="O16" i="368"/>
  <c r="AE15" i="368"/>
  <c r="P15" i="368"/>
  <c r="O15" i="368"/>
  <c r="AE14" i="368"/>
  <c r="P14" i="368"/>
  <c r="O14" i="368"/>
  <c r="AE13" i="368"/>
  <c r="P13" i="368"/>
  <c r="O13" i="368"/>
  <c r="AE12" i="368"/>
  <c r="P12" i="368"/>
  <c r="O12" i="368"/>
  <c r="AE11" i="368"/>
  <c r="P11" i="368"/>
  <c r="O11" i="368"/>
  <c r="AE10" i="368"/>
  <c r="P10" i="368"/>
  <c r="O10" i="368"/>
  <c r="AE9" i="368"/>
  <c r="P9" i="368"/>
  <c r="O9" i="368"/>
  <c r="AE8" i="368"/>
  <c r="P8" i="368"/>
  <c r="O8" i="368"/>
  <c r="H7" i="368"/>
  <c r="F7" i="368"/>
  <c r="D7" i="368"/>
  <c r="F17" i="367"/>
  <c r="O17" i="367" s="1"/>
  <c r="O16" i="367"/>
  <c r="O15" i="367"/>
  <c r="O14" i="367"/>
  <c r="O13" i="367"/>
  <c r="O12" i="367"/>
  <c r="O11" i="367"/>
  <c r="O10" i="367"/>
  <c r="N9" i="367"/>
  <c r="F9" i="367"/>
  <c r="F8" i="367"/>
  <c r="L7" i="367"/>
  <c r="F7" i="367"/>
  <c r="O7" i="367" s="1"/>
  <c r="I34" i="366"/>
  <c r="F33" i="366"/>
  <c r="O33" i="366" s="1"/>
  <c r="N32" i="366"/>
  <c r="F32" i="366"/>
  <c r="F31" i="366"/>
  <c r="O31" i="366" s="1"/>
  <c r="F30" i="366"/>
  <c r="O30" i="366" s="1"/>
  <c r="F29" i="366"/>
  <c r="O29" i="366" s="1"/>
  <c r="F28" i="366"/>
  <c r="O28" i="366" s="1"/>
  <c r="F27" i="366"/>
  <c r="O27" i="366" s="1"/>
  <c r="F26" i="366"/>
  <c r="O26" i="366" s="1"/>
  <c r="F25" i="366"/>
  <c r="O25" i="366" s="1"/>
  <c r="F24" i="366"/>
  <c r="O24" i="366" s="1"/>
  <c r="F23" i="366"/>
  <c r="O23" i="366" s="1"/>
  <c r="F22" i="366"/>
  <c r="O22" i="366" s="1"/>
  <c r="F21" i="366"/>
  <c r="O21" i="366" s="1"/>
  <c r="F20" i="366"/>
  <c r="O20" i="366" s="1"/>
  <c r="F19" i="366"/>
  <c r="O19" i="366" s="1"/>
  <c r="F18" i="366"/>
  <c r="O18" i="366" s="1"/>
  <c r="F17" i="366"/>
  <c r="O17" i="366" s="1"/>
  <c r="F16" i="366"/>
  <c r="O16" i="366" s="1"/>
  <c r="F15" i="366"/>
  <c r="O15" i="366" s="1"/>
  <c r="F14" i="366"/>
  <c r="O14" i="366" s="1"/>
  <c r="F13" i="366"/>
  <c r="O13" i="366" s="1"/>
  <c r="F12" i="366"/>
  <c r="O12" i="366" s="1"/>
  <c r="F11" i="366"/>
  <c r="O11" i="366" s="1"/>
  <c r="F10" i="366"/>
  <c r="F9" i="366"/>
  <c r="O9" i="366" s="1"/>
  <c r="F8" i="366"/>
  <c r="O8" i="366" s="1"/>
  <c r="L7" i="366"/>
  <c r="F7" i="366"/>
  <c r="O7" i="366" s="1"/>
  <c r="K23" i="365"/>
  <c r="J23" i="365"/>
  <c r="AE22" i="365"/>
  <c r="H22" i="365"/>
  <c r="P22" i="365" s="1"/>
  <c r="AE21" i="365"/>
  <c r="H21" i="365"/>
  <c r="AE20" i="365"/>
  <c r="H20" i="365"/>
  <c r="AE19" i="365"/>
  <c r="H19" i="365"/>
  <c r="AE18" i="365"/>
  <c r="H18" i="365"/>
  <c r="AE17" i="365"/>
  <c r="H17" i="365"/>
  <c r="F17" i="365"/>
  <c r="D17" i="365"/>
  <c r="AE16" i="365"/>
  <c r="H16" i="365"/>
  <c r="F16" i="365"/>
  <c r="D16" i="365"/>
  <c r="AE15" i="365"/>
  <c r="H15" i="365"/>
  <c r="F15" i="365"/>
  <c r="D15" i="365"/>
  <c r="AE14" i="365"/>
  <c r="H14" i="365"/>
  <c r="F14" i="365"/>
  <c r="D14" i="365"/>
  <c r="AE13" i="365"/>
  <c r="H13" i="365"/>
  <c r="F13" i="365"/>
  <c r="D13" i="365"/>
  <c r="AE12" i="365"/>
  <c r="H12" i="365"/>
  <c r="F12" i="365"/>
  <c r="D12" i="365"/>
  <c r="AE11" i="365"/>
  <c r="H11" i="365"/>
  <c r="F11" i="365"/>
  <c r="D11" i="365"/>
  <c r="AE10" i="365"/>
  <c r="H10" i="365"/>
  <c r="F10" i="365"/>
  <c r="D10" i="365"/>
  <c r="AE9" i="365"/>
  <c r="H9" i="365"/>
  <c r="F9" i="365"/>
  <c r="D9" i="365"/>
  <c r="AE8" i="365"/>
  <c r="H8" i="365"/>
  <c r="F8" i="365"/>
  <c r="D8" i="365"/>
  <c r="H7" i="365"/>
  <c r="F7" i="365"/>
  <c r="D7" i="365"/>
  <c r="I18" i="364"/>
  <c r="F17" i="364"/>
  <c r="O17" i="364" s="1"/>
  <c r="F16" i="364"/>
  <c r="O16" i="364" s="1"/>
  <c r="F15" i="364"/>
  <c r="O15" i="364" s="1"/>
  <c r="F14" i="364"/>
  <c r="O14" i="364" s="1"/>
  <c r="F13" i="364"/>
  <c r="O13" i="364" s="1"/>
  <c r="O12" i="364"/>
  <c r="F11" i="364"/>
  <c r="O11" i="364" s="1"/>
  <c r="F9" i="364"/>
  <c r="O9" i="364" s="1"/>
  <c r="O8" i="364"/>
  <c r="L7" i="364"/>
  <c r="F7" i="364"/>
  <c r="O7" i="364" s="1"/>
  <c r="K23" i="363"/>
  <c r="J23" i="363"/>
  <c r="AE22" i="363"/>
  <c r="H22" i="363"/>
  <c r="P22" i="363" s="1"/>
  <c r="AE21" i="363"/>
  <c r="H21" i="363"/>
  <c r="AE20" i="363"/>
  <c r="H20" i="363"/>
  <c r="AE19" i="363"/>
  <c r="H19" i="363"/>
  <c r="O19" i="363" s="1"/>
  <c r="AE18" i="363"/>
  <c r="H18" i="363"/>
  <c r="P18" i="363" s="1"/>
  <c r="AE17" i="363"/>
  <c r="H17" i="363"/>
  <c r="AE16" i="363"/>
  <c r="H16" i="363"/>
  <c r="D16" i="363"/>
  <c r="AE15" i="363"/>
  <c r="H15" i="363"/>
  <c r="D15" i="363"/>
  <c r="AE14" i="363"/>
  <c r="H14" i="363"/>
  <c r="D14" i="363"/>
  <c r="AE13" i="363"/>
  <c r="H13" i="363"/>
  <c r="D13" i="363"/>
  <c r="AE12" i="363"/>
  <c r="H12" i="363"/>
  <c r="D12" i="363"/>
  <c r="AE11" i="363"/>
  <c r="H11" i="363"/>
  <c r="D11" i="363"/>
  <c r="AE10" i="363"/>
  <c r="H10" i="363"/>
  <c r="D10" i="363"/>
  <c r="AE9" i="363"/>
  <c r="H9" i="363"/>
  <c r="D9" i="363"/>
  <c r="AE8" i="363"/>
  <c r="H8" i="363"/>
  <c r="D8" i="363"/>
  <c r="H7" i="363"/>
  <c r="F7" i="363"/>
  <c r="D7" i="363"/>
  <c r="I27" i="362"/>
  <c r="F26" i="362"/>
  <c r="O26" i="362" s="1"/>
  <c r="F25" i="362"/>
  <c r="O25" i="362" s="1"/>
  <c r="F24" i="362"/>
  <c r="O24" i="362" s="1"/>
  <c r="F23" i="362"/>
  <c r="O23" i="362" s="1"/>
  <c r="F22" i="362"/>
  <c r="O22" i="362" s="1"/>
  <c r="F21" i="362"/>
  <c r="O21" i="362" s="1"/>
  <c r="F20" i="362"/>
  <c r="O20" i="362" s="1"/>
  <c r="F19" i="362"/>
  <c r="O19" i="362" s="1"/>
  <c r="F18" i="362"/>
  <c r="O18" i="362" s="1"/>
  <c r="F17" i="362"/>
  <c r="O17" i="362" s="1"/>
  <c r="F16" i="362"/>
  <c r="F15" i="362"/>
  <c r="O15" i="362" s="1"/>
  <c r="F14" i="362"/>
  <c r="O14" i="362" s="1"/>
  <c r="F13" i="362"/>
  <c r="O13" i="362" s="1"/>
  <c r="O12" i="362"/>
  <c r="F11" i="362"/>
  <c r="O11" i="362" s="1"/>
  <c r="O10" i="362"/>
  <c r="F9" i="362"/>
  <c r="O9" i="362" s="1"/>
  <c r="O8" i="362"/>
  <c r="L7" i="362"/>
  <c r="F7" i="362"/>
  <c r="O7" i="362" s="1"/>
  <c r="C2" i="362"/>
  <c r="K23" i="361"/>
  <c r="J23" i="361"/>
  <c r="AE22" i="361"/>
  <c r="H22" i="361"/>
  <c r="F22" i="361"/>
  <c r="D22" i="361"/>
  <c r="AE21" i="361"/>
  <c r="H21" i="361"/>
  <c r="F21" i="361"/>
  <c r="D21" i="361"/>
  <c r="AE20" i="361"/>
  <c r="H20" i="361"/>
  <c r="F20" i="361"/>
  <c r="D20" i="361"/>
  <c r="AE19" i="361"/>
  <c r="H19" i="361"/>
  <c r="F19" i="361"/>
  <c r="D19" i="361"/>
  <c r="AE18" i="361"/>
  <c r="H18" i="361"/>
  <c r="F18" i="361"/>
  <c r="D18" i="361"/>
  <c r="AE17" i="361"/>
  <c r="H17" i="361"/>
  <c r="F17" i="361"/>
  <c r="D17" i="361"/>
  <c r="AE16" i="361"/>
  <c r="H16" i="361"/>
  <c r="F16" i="361"/>
  <c r="D16" i="361"/>
  <c r="AE15" i="361"/>
  <c r="H15" i="361"/>
  <c r="D15" i="361"/>
  <c r="AE14" i="361"/>
  <c r="H14" i="361"/>
  <c r="D14" i="361"/>
  <c r="AE13" i="361"/>
  <c r="H13" i="361"/>
  <c r="D13" i="361"/>
  <c r="AE12" i="361"/>
  <c r="H12" i="361"/>
  <c r="D12" i="361"/>
  <c r="AE11" i="361"/>
  <c r="H11" i="361"/>
  <c r="D11" i="361"/>
  <c r="AE10" i="361"/>
  <c r="H10" i="361"/>
  <c r="D10" i="361"/>
  <c r="AE9" i="361"/>
  <c r="H9" i="361"/>
  <c r="D9" i="361"/>
  <c r="AE8" i="361"/>
  <c r="H8" i="361"/>
  <c r="D8" i="361"/>
  <c r="H7" i="361"/>
  <c r="F7" i="361"/>
  <c r="D7" i="361"/>
  <c r="F39" i="360"/>
  <c r="O38" i="360"/>
  <c r="O37" i="360"/>
  <c r="O36" i="360"/>
  <c r="O35" i="360"/>
  <c r="O34" i="360"/>
  <c r="O33" i="360"/>
  <c r="O32" i="360"/>
  <c r="O31" i="360"/>
  <c r="O30" i="360"/>
  <c r="O29" i="360"/>
  <c r="L28" i="360"/>
  <c r="F28" i="360"/>
  <c r="O28" i="360" s="1"/>
  <c r="F18" i="360"/>
  <c r="O17" i="360"/>
  <c r="O16" i="360"/>
  <c r="O15" i="360"/>
  <c r="O14" i="360"/>
  <c r="O13" i="360"/>
  <c r="O12" i="360"/>
  <c r="O11" i="360"/>
  <c r="O10" i="360"/>
  <c r="O9" i="360"/>
  <c r="O8" i="360"/>
  <c r="L7" i="360"/>
  <c r="F7" i="360"/>
  <c r="O7" i="360" s="1"/>
  <c r="I76" i="359"/>
  <c r="F75" i="359"/>
  <c r="O75" i="359" s="1"/>
  <c r="O74" i="359"/>
  <c r="F73" i="359"/>
  <c r="O73" i="359" s="1"/>
  <c r="O72" i="359"/>
  <c r="F71" i="359"/>
  <c r="O71" i="359" s="1"/>
  <c r="O70" i="359"/>
  <c r="F69" i="359"/>
  <c r="O69" i="359" s="1"/>
  <c r="O68" i="359"/>
  <c r="F67" i="359"/>
  <c r="O67" i="359" s="1"/>
  <c r="O66" i="359"/>
  <c r="F65" i="359"/>
  <c r="O65" i="359" s="1"/>
  <c r="O64" i="359"/>
  <c r="F63" i="359"/>
  <c r="O63" i="359" s="1"/>
  <c r="O62" i="359"/>
  <c r="O61" i="359"/>
  <c r="F60" i="359"/>
  <c r="O60" i="359" s="1"/>
  <c r="F59" i="359"/>
  <c r="O59" i="359" s="1"/>
  <c r="O58" i="359"/>
  <c r="F57" i="359"/>
  <c r="O57" i="359" s="1"/>
  <c r="O56" i="359"/>
  <c r="F55" i="359"/>
  <c r="O55" i="359" s="1"/>
  <c r="O54" i="359"/>
  <c r="F53" i="359"/>
  <c r="O52" i="359"/>
  <c r="F51" i="359"/>
  <c r="O51" i="359" s="1"/>
  <c r="O50" i="359"/>
  <c r="F49" i="359"/>
  <c r="O49" i="359" s="1"/>
  <c r="O48" i="359"/>
  <c r="F47" i="359"/>
  <c r="O47" i="359" s="1"/>
  <c r="O46" i="359"/>
  <c r="C109" i="474" s="1"/>
  <c r="C120" i="474" s="1"/>
  <c r="L45" i="359"/>
  <c r="F45" i="359"/>
  <c r="O45" i="359" s="1"/>
  <c r="N38" i="359"/>
  <c r="I38" i="359"/>
  <c r="F37" i="359"/>
  <c r="O37" i="359" s="1"/>
  <c r="F36" i="359"/>
  <c r="O36" i="359" s="1"/>
  <c r="F35" i="359"/>
  <c r="O35" i="359" s="1"/>
  <c r="F34" i="359"/>
  <c r="O34" i="359" s="1"/>
  <c r="F33" i="359"/>
  <c r="O33" i="359" s="1"/>
  <c r="F32" i="359"/>
  <c r="O32" i="359" s="1"/>
  <c r="F31" i="359"/>
  <c r="O31" i="359" s="1"/>
  <c r="F30" i="359"/>
  <c r="O30" i="359" s="1"/>
  <c r="F29" i="359"/>
  <c r="O29" i="359" s="1"/>
  <c r="F28" i="359"/>
  <c r="O28" i="359" s="1"/>
  <c r="F27" i="359"/>
  <c r="O27" i="359" s="1"/>
  <c r="F26" i="359"/>
  <c r="O26" i="359" s="1"/>
  <c r="F25" i="359"/>
  <c r="O25" i="359" s="1"/>
  <c r="F24" i="359"/>
  <c r="O24" i="359" s="1"/>
  <c r="F23" i="359"/>
  <c r="O23" i="359" s="1"/>
  <c r="F22" i="359"/>
  <c r="O22" i="359" s="1"/>
  <c r="F21" i="359"/>
  <c r="O21" i="359" s="1"/>
  <c r="F20" i="359"/>
  <c r="O20" i="359" s="1"/>
  <c r="F19" i="359"/>
  <c r="O19" i="359" s="1"/>
  <c r="F18" i="359"/>
  <c r="O18" i="359" s="1"/>
  <c r="F17" i="359"/>
  <c r="O17" i="359" s="1"/>
  <c r="F16" i="359"/>
  <c r="O16" i="359" s="1"/>
  <c r="F15" i="359"/>
  <c r="O15" i="359" s="1"/>
  <c r="F14" i="359"/>
  <c r="O14" i="359" s="1"/>
  <c r="F13" i="359"/>
  <c r="O13" i="359" s="1"/>
  <c r="F12" i="359"/>
  <c r="O12" i="359" s="1"/>
  <c r="F11" i="359"/>
  <c r="O11" i="359" s="1"/>
  <c r="F10" i="359"/>
  <c r="O10" i="359" s="1"/>
  <c r="F9" i="359"/>
  <c r="O9" i="359" s="1"/>
  <c r="F8" i="359"/>
  <c r="O8" i="359" s="1"/>
  <c r="L7" i="359"/>
  <c r="F7" i="359"/>
  <c r="O7" i="359" s="1"/>
  <c r="C2" i="359"/>
  <c r="K50" i="358"/>
  <c r="J50" i="358"/>
  <c r="AE49" i="358"/>
  <c r="H49" i="358"/>
  <c r="F49" i="358"/>
  <c r="D49" i="358"/>
  <c r="AE48" i="358"/>
  <c r="H48" i="358"/>
  <c r="F48" i="358"/>
  <c r="D48" i="358"/>
  <c r="AE47" i="358"/>
  <c r="H47" i="358"/>
  <c r="F47" i="358"/>
  <c r="D47" i="358"/>
  <c r="AE46" i="358"/>
  <c r="H46" i="358"/>
  <c r="F46" i="358"/>
  <c r="D46" i="358"/>
  <c r="AE45" i="358"/>
  <c r="H45" i="358"/>
  <c r="F45" i="358"/>
  <c r="D45" i="358"/>
  <c r="AE44" i="358"/>
  <c r="H44" i="358"/>
  <c r="AE43" i="358"/>
  <c r="H43" i="358"/>
  <c r="AE42" i="358"/>
  <c r="H42" i="358"/>
  <c r="AE41" i="358"/>
  <c r="H41" i="358"/>
  <c r="AE40" i="358"/>
  <c r="H40" i="358"/>
  <c r="AE39" i="358"/>
  <c r="H39" i="358"/>
  <c r="AE38" i="358"/>
  <c r="H38" i="358"/>
  <c r="AE37" i="358"/>
  <c r="H37" i="358"/>
  <c r="AE36" i="358"/>
  <c r="H36" i="358"/>
  <c r="AE35" i="358"/>
  <c r="H35" i="358"/>
  <c r="H34" i="358"/>
  <c r="F34" i="358"/>
  <c r="D34" i="358"/>
  <c r="K23" i="358"/>
  <c r="J23" i="358"/>
  <c r="AE22" i="358"/>
  <c r="H22" i="358"/>
  <c r="F22" i="358"/>
  <c r="D22" i="358"/>
  <c r="AE21" i="358"/>
  <c r="H21" i="358"/>
  <c r="F21" i="358"/>
  <c r="D21" i="358"/>
  <c r="AE20" i="358"/>
  <c r="H20" i="358"/>
  <c r="F20" i="358"/>
  <c r="D20" i="358"/>
  <c r="AE19" i="358"/>
  <c r="H19" i="358"/>
  <c r="F19" i="358"/>
  <c r="D19" i="358"/>
  <c r="AE18" i="358"/>
  <c r="H18" i="358"/>
  <c r="F18" i="358"/>
  <c r="D18" i="358"/>
  <c r="AE17" i="358"/>
  <c r="H17" i="358"/>
  <c r="O17" i="358" s="1"/>
  <c r="AE16" i="358"/>
  <c r="H16" i="358"/>
  <c r="AE15" i="358"/>
  <c r="H15" i="358"/>
  <c r="O15" i="358" s="1"/>
  <c r="AE14" i="358"/>
  <c r="H14" i="358"/>
  <c r="O14" i="358" s="1"/>
  <c r="AE13" i="358"/>
  <c r="H13" i="358"/>
  <c r="P13" i="358" s="1"/>
  <c r="AE12" i="358"/>
  <c r="H12" i="358"/>
  <c r="AE11" i="358"/>
  <c r="H11" i="358"/>
  <c r="O11" i="358" s="1"/>
  <c r="AE10" i="358"/>
  <c r="H10" i="358"/>
  <c r="AE9" i="358"/>
  <c r="H9" i="358"/>
  <c r="P9" i="358" s="1"/>
  <c r="AE8" i="358"/>
  <c r="H8" i="358"/>
  <c r="F8" i="358"/>
  <c r="D8" i="358"/>
  <c r="H7" i="358"/>
  <c r="F7" i="358"/>
  <c r="D7" i="358"/>
  <c r="I18" i="357"/>
  <c r="F17" i="357"/>
  <c r="O17" i="357" s="1"/>
  <c r="F16" i="357"/>
  <c r="O16" i="357" s="1"/>
  <c r="F15" i="357"/>
  <c r="O15" i="357" s="1"/>
  <c r="F14" i="357"/>
  <c r="O14" i="357" s="1"/>
  <c r="F13" i="357"/>
  <c r="O13" i="357" s="1"/>
  <c r="F12" i="357"/>
  <c r="O12" i="357" s="1"/>
  <c r="F11" i="357"/>
  <c r="O11" i="357" s="1"/>
  <c r="F10" i="357"/>
  <c r="O10" i="357" s="1"/>
  <c r="F9" i="357"/>
  <c r="O9" i="357" s="1"/>
  <c r="F8" i="357"/>
  <c r="O8" i="357" s="1"/>
  <c r="L7" i="357"/>
  <c r="F7" i="357"/>
  <c r="O7" i="357" s="1"/>
  <c r="C2" i="357"/>
  <c r="K18" i="356"/>
  <c r="J18" i="356"/>
  <c r="AE17" i="356"/>
  <c r="H17" i="356"/>
  <c r="F17" i="356"/>
  <c r="D17" i="356"/>
  <c r="AE16" i="356"/>
  <c r="H16" i="356"/>
  <c r="F16" i="356"/>
  <c r="D16" i="356"/>
  <c r="AE15" i="356"/>
  <c r="H15" i="356"/>
  <c r="F15" i="356"/>
  <c r="D15" i="356"/>
  <c r="AE14" i="356"/>
  <c r="H14" i="356"/>
  <c r="F14" i="356"/>
  <c r="D14" i="356"/>
  <c r="AE13" i="356"/>
  <c r="M13" i="356"/>
  <c r="H13" i="356"/>
  <c r="F13" i="356"/>
  <c r="D13" i="356"/>
  <c r="AE12" i="356"/>
  <c r="M12" i="356"/>
  <c r="H12" i="356"/>
  <c r="F12" i="356"/>
  <c r="D12" i="356"/>
  <c r="AE11" i="356"/>
  <c r="H11" i="356"/>
  <c r="F11" i="356"/>
  <c r="D11" i="356"/>
  <c r="AE10" i="356"/>
  <c r="M10" i="356"/>
  <c r="H10" i="356"/>
  <c r="F10" i="356"/>
  <c r="D10" i="356"/>
  <c r="AE9" i="356"/>
  <c r="M9" i="356"/>
  <c r="H9" i="356"/>
  <c r="F9" i="356"/>
  <c r="D9" i="356"/>
  <c r="AE8" i="356"/>
  <c r="M8" i="356"/>
  <c r="H8" i="356"/>
  <c r="F8" i="356"/>
  <c r="D8" i="356"/>
  <c r="H7" i="356"/>
  <c r="F7" i="356"/>
  <c r="D7" i="356"/>
  <c r="K13" i="446"/>
  <c r="Q10" i="424"/>
  <c r="Q8" i="424"/>
  <c r="P8" i="424"/>
  <c r="Q9" i="424"/>
  <c r="P9" i="424"/>
  <c r="Q12" i="442"/>
  <c r="P10" i="424"/>
  <c r="O9" i="441"/>
  <c r="O155" i="351"/>
  <c r="I155" i="351"/>
  <c r="O154" i="351"/>
  <c r="O153" i="351"/>
  <c r="O152" i="351"/>
  <c r="O151" i="351"/>
  <c r="O150" i="351"/>
  <c r="O149" i="351"/>
  <c r="O148" i="351"/>
  <c r="O147" i="351"/>
  <c r="O146" i="351"/>
  <c r="O145" i="351"/>
  <c r="I154" i="351"/>
  <c r="I153" i="351"/>
  <c r="I152" i="351"/>
  <c r="I150" i="351"/>
  <c r="I149" i="351"/>
  <c r="I148" i="351"/>
  <c r="I147" i="351"/>
  <c r="I146" i="351"/>
  <c r="I145" i="351"/>
  <c r="I151" i="351"/>
  <c r="O168" i="351"/>
  <c r="I168" i="351"/>
  <c r="O167" i="351"/>
  <c r="I167" i="351"/>
  <c r="O165" i="351"/>
  <c r="I165" i="351"/>
  <c r="O163" i="351"/>
  <c r="I163" i="351"/>
  <c r="O162" i="351"/>
  <c r="I162" i="351"/>
  <c r="O161" i="351"/>
  <c r="I161" i="351"/>
  <c r="O160" i="351"/>
  <c r="I160" i="351"/>
  <c r="O159" i="351"/>
  <c r="I159" i="351"/>
  <c r="I157" i="351"/>
  <c r="O157" i="351"/>
  <c r="O158" i="351"/>
  <c r="I158" i="351"/>
  <c r="F114" i="351"/>
  <c r="I114" i="351" s="1"/>
  <c r="L114" i="351"/>
  <c r="O114" i="351" s="1"/>
  <c r="O117" i="351"/>
  <c r="N117" i="351"/>
  <c r="O113" i="351"/>
  <c r="N113" i="351"/>
  <c r="I113" i="351"/>
  <c r="D115" i="351"/>
  <c r="D118" i="351"/>
  <c r="D121" i="351"/>
  <c r="F130" i="351"/>
  <c r="H130" i="351" s="1"/>
  <c r="O133" i="351"/>
  <c r="I133" i="351"/>
  <c r="I136" i="351"/>
  <c r="P136" i="351" s="1"/>
  <c r="I134" i="351"/>
  <c r="P134" i="351" s="1"/>
  <c r="O132" i="351"/>
  <c r="I132" i="351"/>
  <c r="I129" i="351"/>
  <c r="L126" i="351"/>
  <c r="N126" i="351" s="1"/>
  <c r="L124" i="351"/>
  <c r="O124" i="351" s="1"/>
  <c r="F128" i="351"/>
  <c r="I128" i="351" s="1"/>
  <c r="F126" i="351"/>
  <c r="I126" i="351" s="1"/>
  <c r="F124" i="351"/>
  <c r="H124" i="351" s="1"/>
  <c r="O128" i="351"/>
  <c r="O127" i="351"/>
  <c r="I127" i="351"/>
  <c r="O125" i="351"/>
  <c r="N125" i="351"/>
  <c r="I125" i="351"/>
  <c r="O123" i="351"/>
  <c r="N123" i="351"/>
  <c r="I123" i="351"/>
  <c r="F120" i="351"/>
  <c r="H120" i="351" s="1"/>
  <c r="L120" i="351"/>
  <c r="N120" i="351" s="1"/>
  <c r="L122" i="351"/>
  <c r="N122" i="351" s="1"/>
  <c r="F122" i="351"/>
  <c r="E121" i="351"/>
  <c r="F121" i="351"/>
  <c r="G121" i="351"/>
  <c r="H121" i="351"/>
  <c r="J121" i="351"/>
  <c r="K121" i="351"/>
  <c r="L121" i="351"/>
  <c r="M121" i="351"/>
  <c r="E118" i="351"/>
  <c r="F118" i="351"/>
  <c r="G118" i="351"/>
  <c r="H118" i="351"/>
  <c r="J118" i="351"/>
  <c r="K118" i="351"/>
  <c r="L118" i="351"/>
  <c r="M118" i="351"/>
  <c r="L116" i="351"/>
  <c r="F116" i="351"/>
  <c r="E115" i="351"/>
  <c r="F115" i="351"/>
  <c r="G115" i="351"/>
  <c r="H115" i="351"/>
  <c r="J115" i="351"/>
  <c r="K115" i="351"/>
  <c r="L115" i="351"/>
  <c r="M115" i="351"/>
  <c r="AF39" i="350"/>
  <c r="AE39" i="350"/>
  <c r="AD40" i="350"/>
  <c r="AD39" i="350"/>
  <c r="AG40" i="350"/>
  <c r="AF40" i="350"/>
  <c r="AE40" i="350"/>
  <c r="AG39" i="350"/>
  <c r="AG36" i="350"/>
  <c r="AH35" i="350"/>
  <c r="Z35" i="350" s="1"/>
  <c r="AH34" i="350"/>
  <c r="Z34" i="350" s="1"/>
  <c r="AH33" i="350"/>
  <c r="Z33" i="350" s="1"/>
  <c r="AH28" i="350"/>
  <c r="Z28" i="350" s="1"/>
  <c r="AH30" i="350"/>
  <c r="Z30" i="350" s="1"/>
  <c r="AH29" i="350"/>
  <c r="Z29" i="350" s="1"/>
  <c r="AH32" i="350"/>
  <c r="Z32" i="350" s="1"/>
  <c r="AH31" i="350"/>
  <c r="Z31" i="350" s="1"/>
  <c r="AH27" i="350"/>
  <c r="Z27" i="350" s="1"/>
  <c r="AH26" i="350"/>
  <c r="Z26" i="350" s="1"/>
  <c r="AF36" i="350"/>
  <c r="AE36" i="350"/>
  <c r="AD36" i="350"/>
  <c r="N36" i="300"/>
  <c r="P36" i="300"/>
  <c r="O32" i="300"/>
  <c r="Q31" i="300"/>
  <c r="Q30" i="300"/>
  <c r="O36" i="300"/>
  <c r="Q29" i="300"/>
  <c r="Q28" i="300"/>
  <c r="Q27" i="300"/>
  <c r="P32" i="300"/>
  <c r="O35" i="300"/>
  <c r="N32" i="300"/>
  <c r="Q26" i="300"/>
  <c r="N35" i="300"/>
  <c r="P35" i="300"/>
  <c r="W8" i="334"/>
  <c r="CH15" i="330" a="1"/>
  <c r="CH15" i="330" s="1"/>
  <c r="CH112" i="330" a="1"/>
  <c r="CH112" i="330" s="1"/>
  <c r="U16" i="333"/>
  <c r="U11" i="333"/>
  <c r="U8" i="333"/>
  <c r="U6" i="333"/>
  <c r="U5" i="333"/>
  <c r="W20" i="334"/>
  <c r="W19" i="334"/>
  <c r="W18" i="334"/>
  <c r="W17" i="334"/>
  <c r="W16" i="334"/>
  <c r="W15" i="334"/>
  <c r="W14" i="334"/>
  <c r="W13" i="334"/>
  <c r="W12" i="334"/>
  <c r="W11" i="334"/>
  <c r="W10" i="334"/>
  <c r="W9" i="334"/>
  <c r="W7" i="334"/>
  <c r="W6" i="334"/>
  <c r="A11" i="329"/>
  <c r="A8" i="329"/>
  <c r="BP5" i="335" a="1"/>
  <c r="BP5" i="335" s="1"/>
  <c r="BN51" i="335"/>
  <c r="BM51" i="335"/>
  <c r="BL51" i="335"/>
  <c r="BK51" i="335"/>
  <c r="BJ51" i="335"/>
  <c r="BI51" i="335"/>
  <c r="BH51" i="335"/>
  <c r="BG51" i="335"/>
  <c r="BF51" i="335"/>
  <c r="BE51" i="335"/>
  <c r="BD51" i="335"/>
  <c r="BC51" i="335"/>
  <c r="BB51" i="335"/>
  <c r="BA51" i="335"/>
  <c r="AZ51" i="335"/>
  <c r="AY51" i="335"/>
  <c r="AX51" i="335"/>
  <c r="AW51" i="335"/>
  <c r="AV51" i="335"/>
  <c r="AT51" i="335"/>
  <c r="V46" i="335"/>
  <c r="T46" i="335"/>
  <c r="V45" i="335"/>
  <c r="T45" i="335"/>
  <c r="AT44" i="335"/>
  <c r="AT52" i="335" s="1"/>
  <c r="T44" i="335"/>
  <c r="AH43" i="335"/>
  <c r="AE43" i="335"/>
  <c r="AH42" i="335"/>
  <c r="AE42" i="335"/>
  <c r="AH41" i="335"/>
  <c r="AE41" i="335"/>
  <c r="AS41" i="335"/>
  <c r="AH38" i="335"/>
  <c r="AE38" i="335"/>
  <c r="AH37" i="335"/>
  <c r="AE37" i="335"/>
  <c r="AS37" i="335"/>
  <c r="AH36" i="335"/>
  <c r="AE36" i="335"/>
  <c r="AH35" i="335"/>
  <c r="AE35" i="335"/>
  <c r="AS35" i="335"/>
  <c r="AH30" i="335"/>
  <c r="AE30" i="335"/>
  <c r="AS29" i="335"/>
  <c r="AH29" i="335"/>
  <c r="AE29" i="335"/>
  <c r="AP29" i="335"/>
  <c r="AH28" i="335"/>
  <c r="AE28" i="335"/>
  <c r="AH27" i="335"/>
  <c r="AE27" i="335"/>
  <c r="AS27" i="335"/>
  <c r="AH24" i="335"/>
  <c r="AE24" i="335"/>
  <c r="AS23" i="335"/>
  <c r="AP23" i="335"/>
  <c r="AH23" i="335"/>
  <c r="AE23" i="335"/>
  <c r="AH20" i="335"/>
  <c r="AE20" i="335"/>
  <c r="AS19" i="335"/>
  <c r="AH19" i="335"/>
  <c r="AE19" i="335"/>
  <c r="AP19" i="335"/>
  <c r="AH12" i="335"/>
  <c r="AE12" i="335"/>
  <c r="AS11" i="335"/>
  <c r="AH11" i="335"/>
  <c r="AE11" i="335"/>
  <c r="AP11" i="335"/>
  <c r="AH10" i="335"/>
  <c r="AE10" i="335"/>
  <c r="AS9" i="335"/>
  <c r="AH9" i="335"/>
  <c r="AE9" i="335"/>
  <c r="AP9" i="335"/>
  <c r="AH8" i="335"/>
  <c r="AE8" i="335"/>
  <c r="AS7" i="335"/>
  <c r="AH7" i="335"/>
  <c r="AE7" i="335"/>
  <c r="AP7" i="335"/>
  <c r="C7" i="335"/>
  <c r="C9" i="335" s="1"/>
  <c r="C11" i="335" s="1"/>
  <c r="AH6" i="335"/>
  <c r="AE6" i="335"/>
  <c r="AS5" i="335"/>
  <c r="AH5" i="335"/>
  <c r="AE5" i="335"/>
  <c r="O58" i="335"/>
  <c r="AP5" i="335"/>
  <c r="AN41" i="335"/>
  <c r="AO41" i="335" s="1"/>
  <c r="AL41" i="335" a="1"/>
  <c r="AL41" i="335" s="1"/>
  <c r="AN27" i="335"/>
  <c r="AO27" i="335" s="1"/>
  <c r="AL37" i="335" a="1"/>
  <c r="AL37" i="335" s="1"/>
  <c r="AN19" i="335"/>
  <c r="AO19" i="335" s="1"/>
  <c r="Y52" i="335"/>
  <c r="V44" i="335"/>
  <c r="Y51" i="335"/>
  <c r="BD44" i="335"/>
  <c r="BD52" i="335" s="1"/>
  <c r="BI44" i="335"/>
  <c r="BI52" i="335" s="1"/>
  <c r="AP27" i="335"/>
  <c r="AP35" i="335"/>
  <c r="AP37" i="335"/>
  <c r="AP41" i="335"/>
  <c r="AN5" i="335"/>
  <c r="AO5" i="335" s="1"/>
  <c r="AN9" i="335"/>
  <c r="AO9" i="335" s="1"/>
  <c r="AN29" i="335"/>
  <c r="AO29" i="335" s="1"/>
  <c r="M57" i="335"/>
  <c r="AY44" i="335"/>
  <c r="AY52" i="335" s="1"/>
  <c r="N57" i="335"/>
  <c r="O57" i="335"/>
  <c r="AL9" i="335" a="1"/>
  <c r="AL9" i="335" s="1"/>
  <c r="AL19" i="335" a="1"/>
  <c r="AL19" i="335" s="1"/>
  <c r="M58" i="335"/>
  <c r="N58" i="335"/>
  <c r="BP23" i="335" a="1"/>
  <c r="BP23" i="335" s="1"/>
  <c r="AK23" i="335" a="1"/>
  <c r="AK23" i="335" s="1"/>
  <c r="AX44" i="335"/>
  <c r="AX52" i="335" s="1"/>
  <c r="AN23" i="335"/>
  <c r="AO23" i="335" s="1"/>
  <c r="AL11" i="335" a="1"/>
  <c r="AL11" i="335" s="1"/>
  <c r="BP29" i="335" a="1"/>
  <c r="BP29" i="335" s="1"/>
  <c r="AK29" i="335" a="1"/>
  <c r="AK29" i="335" s="1"/>
  <c r="BJ44" i="335"/>
  <c r="BJ52" i="335" s="1"/>
  <c r="BP11" i="335" a="1"/>
  <c r="BP11" i="335" s="1"/>
  <c r="AK11" i="335" a="1"/>
  <c r="AK11" i="335" s="1"/>
  <c r="AK35" i="335" a="1"/>
  <c r="AK35" i="335" s="1"/>
  <c r="BP35" i="335" a="1"/>
  <c r="BP35" i="335" s="1"/>
  <c r="BL44" i="335"/>
  <c r="BL52" i="335" s="1"/>
  <c r="BP9" i="335" a="1"/>
  <c r="BP9" i="335" s="1"/>
  <c r="AK9" i="335" a="1"/>
  <c r="AK9" i="335" s="1"/>
  <c r="BH44" i="335"/>
  <c r="BH52" i="335" s="1"/>
  <c r="AW44" i="335"/>
  <c r="AW52" i="335" s="1"/>
  <c r="AZ44" i="335"/>
  <c r="AZ52" i="335" s="1"/>
  <c r="AV44" i="335"/>
  <c r="AV52" i="335" s="1"/>
  <c r="BP19" i="335" a="1"/>
  <c r="BP19" i="335" s="1"/>
  <c r="AK19" i="335" a="1"/>
  <c r="AK19" i="335" s="1"/>
  <c r="BE44" i="335"/>
  <c r="BE52" i="335" s="1"/>
  <c r="AL35" i="335" a="1"/>
  <c r="AL35" i="335" s="1"/>
  <c r="BG44" i="335"/>
  <c r="BG52" i="335" s="1"/>
  <c r="BF44" i="335"/>
  <c r="BF52" i="335" s="1"/>
  <c r="AN35" i="335"/>
  <c r="AO35" i="335" s="1"/>
  <c r="BP7" i="335" a="1"/>
  <c r="BP7" i="335" s="1"/>
  <c r="AK7" i="335" a="1"/>
  <c r="AK7" i="335" s="1"/>
  <c r="BC44" i="335"/>
  <c r="BC52" i="335" s="1"/>
  <c r="AL7" i="335" a="1"/>
  <c r="AL7" i="335" s="1"/>
  <c r="BM44" i="335"/>
  <c r="BM52" i="335" s="1"/>
  <c r="AN11" i="335"/>
  <c r="AO11" i="335" s="1"/>
  <c r="AL5" i="335" a="1"/>
  <c r="AL5" i="335" s="1"/>
  <c r="BN44" i="335"/>
  <c r="BN52" i="335" s="1"/>
  <c r="BB44" i="335"/>
  <c r="BB52" i="335" s="1"/>
  <c r="AL29" i="335" a="1"/>
  <c r="AL29" i="335" s="1"/>
  <c r="BA44" i="335"/>
  <c r="BA52" i="335" s="1"/>
  <c r="BK44" i="335"/>
  <c r="BK52" i="335" s="1"/>
  <c r="AK37" i="335" a="1"/>
  <c r="AK37" i="335" s="1"/>
  <c r="BP37" i="335" a="1"/>
  <c r="BP37" i="335" s="1"/>
  <c r="AL27" i="335" a="1"/>
  <c r="AL27" i="335" s="1"/>
  <c r="AN37" i="335"/>
  <c r="AO37" i="335" s="1"/>
  <c r="AK41" i="335" a="1"/>
  <c r="AK41" i="335" s="1"/>
  <c r="BP41" i="335" a="1"/>
  <c r="BP41" i="335" s="1"/>
  <c r="AL23" i="335" a="1"/>
  <c r="AL23" i="335" s="1"/>
  <c r="AU44" i="335"/>
  <c r="AK5" i="335" a="1"/>
  <c r="AK5" i="335" s="1"/>
  <c r="AN7" i="335"/>
  <c r="AO7" i="335" s="1"/>
  <c r="AK27" i="335" a="1"/>
  <c r="AK27" i="335" s="1"/>
  <c r="BP27" i="335" a="1"/>
  <c r="BP27" i="335" s="1"/>
  <c r="W35" i="334"/>
  <c r="W34" i="334"/>
  <c r="W33" i="334"/>
  <c r="W32" i="334"/>
  <c r="W31" i="334"/>
  <c r="W30" i="334"/>
  <c r="W29" i="334"/>
  <c r="W28" i="334"/>
  <c r="W27" i="334"/>
  <c r="W26" i="334"/>
  <c r="W25" i="334"/>
  <c r="W24" i="334"/>
  <c r="W23" i="334"/>
  <c r="J17" i="333"/>
  <c r="M17" i="333"/>
  <c r="BI10" i="332"/>
  <c r="M41" i="332"/>
  <c r="M42" i="332"/>
  <c r="I44" i="332"/>
  <c r="E44" i="332"/>
  <c r="AW44" i="332"/>
  <c r="AV44" i="332"/>
  <c r="AE44" i="332"/>
  <c r="AD44" i="332"/>
  <c r="CF122" i="330"/>
  <c r="CE122" i="330"/>
  <c r="CD122" i="330"/>
  <c r="CC122" i="330"/>
  <c r="CB122" i="330"/>
  <c r="CA122" i="330"/>
  <c r="BZ122" i="330"/>
  <c r="BY122" i="330"/>
  <c r="BX122" i="330"/>
  <c r="BW122" i="330"/>
  <c r="BV122" i="330"/>
  <c r="BU122" i="330"/>
  <c r="BT122" i="330"/>
  <c r="BS122" i="330"/>
  <c r="BR122" i="330"/>
  <c r="BQ122" i="330"/>
  <c r="BP122" i="330"/>
  <c r="BO122" i="330"/>
  <c r="BN122" i="330"/>
  <c r="BM122" i="330"/>
  <c r="BL122" i="330"/>
  <c r="BK122" i="330"/>
  <c r="BJ122" i="330"/>
  <c r="BI122" i="330"/>
  <c r="BH122" i="330"/>
  <c r="BG122" i="330"/>
  <c r="BF122" i="330"/>
  <c r="BE122" i="330"/>
  <c r="BD122" i="330"/>
  <c r="BC122" i="330"/>
  <c r="BB122" i="330"/>
  <c r="BA122" i="330"/>
  <c r="AZ122" i="330"/>
  <c r="AY122" i="330"/>
  <c r="AX122" i="330"/>
  <c r="AL114" i="330"/>
  <c r="AI114" i="330"/>
  <c r="AF114" i="330"/>
  <c r="AC114" i="330"/>
  <c r="Z114" i="330"/>
  <c r="AL113" i="330"/>
  <c r="AI113" i="330"/>
  <c r="AF113" i="330"/>
  <c r="AC113" i="330"/>
  <c r="Z113" i="330"/>
  <c r="AT112" i="330"/>
  <c r="AL112" i="330"/>
  <c r="AI112" i="330"/>
  <c r="AF112" i="330"/>
  <c r="AC112" i="330"/>
  <c r="Z112" i="330"/>
  <c r="AL109" i="330"/>
  <c r="AI109" i="330"/>
  <c r="AF109" i="330"/>
  <c r="AC109" i="330"/>
  <c r="Z109" i="330"/>
  <c r="AT108" i="330"/>
  <c r="AL108" i="330"/>
  <c r="AI108" i="330"/>
  <c r="AF108" i="330"/>
  <c r="AC108" i="330"/>
  <c r="Z108" i="330"/>
  <c r="AL105" i="330"/>
  <c r="AI105" i="330"/>
  <c r="AF105" i="330"/>
  <c r="AC105" i="330"/>
  <c r="Z105" i="330"/>
  <c r="AT104" i="330"/>
  <c r="AL104" i="330"/>
  <c r="AI104" i="330"/>
  <c r="AF104" i="330"/>
  <c r="AC104" i="330"/>
  <c r="Z104" i="330"/>
  <c r="AL103" i="330"/>
  <c r="AI103" i="330"/>
  <c r="AF103" i="330"/>
  <c r="AC103" i="330"/>
  <c r="Z103" i="330"/>
  <c r="AT102" i="330"/>
  <c r="AL102" i="330"/>
  <c r="AI102" i="330"/>
  <c r="AF102" i="330"/>
  <c r="AC102" i="330"/>
  <c r="Z102" i="330"/>
  <c r="AL99" i="330"/>
  <c r="AI99" i="330"/>
  <c r="AF99" i="330"/>
  <c r="AC99" i="330"/>
  <c r="Z99" i="330"/>
  <c r="AT98" i="330"/>
  <c r="AL98" i="330"/>
  <c r="AI98" i="330"/>
  <c r="AF98" i="330"/>
  <c r="AC98" i="330"/>
  <c r="Z98" i="330"/>
  <c r="AL97" i="330"/>
  <c r="AI97" i="330"/>
  <c r="AF97" i="330"/>
  <c r="AC97" i="330"/>
  <c r="Z97" i="330"/>
  <c r="AT96" i="330"/>
  <c r="AL96" i="330"/>
  <c r="AI96" i="330"/>
  <c r="AF96" i="330"/>
  <c r="AC96" i="330"/>
  <c r="Z96" i="330"/>
  <c r="AL95" i="330"/>
  <c r="AI95" i="330"/>
  <c r="AF95" i="330"/>
  <c r="AC95" i="330"/>
  <c r="Z95" i="330"/>
  <c r="AT94" i="330"/>
  <c r="AL94" i="330"/>
  <c r="AI94" i="330"/>
  <c r="AF94" i="330"/>
  <c r="AC94" i="330"/>
  <c r="Z94" i="330"/>
  <c r="AL93" i="330"/>
  <c r="AI93" i="330"/>
  <c r="AF93" i="330"/>
  <c r="AC93" i="330"/>
  <c r="Z93" i="330"/>
  <c r="AT92" i="330"/>
  <c r="AL92" i="330"/>
  <c r="AI92" i="330"/>
  <c r="AF92" i="330"/>
  <c r="AC92" i="330"/>
  <c r="Z92" i="330"/>
  <c r="AL85" i="330"/>
  <c r="AI85" i="330"/>
  <c r="AF85" i="330"/>
  <c r="AC85" i="330"/>
  <c r="Z85" i="330"/>
  <c r="AT84" i="330"/>
  <c r="AL84" i="330"/>
  <c r="AI84" i="330"/>
  <c r="AF84" i="330"/>
  <c r="AC84" i="330"/>
  <c r="Z84" i="330"/>
  <c r="AL79" i="330"/>
  <c r="AI79" i="330"/>
  <c r="AF79" i="330"/>
  <c r="AC79" i="330"/>
  <c r="Z79" i="330"/>
  <c r="AT77" i="330"/>
  <c r="AL77" i="330"/>
  <c r="AI77" i="330"/>
  <c r="AF77" i="330"/>
  <c r="AC77" i="330"/>
  <c r="Z77" i="330"/>
  <c r="AL76" i="330"/>
  <c r="AI76" i="330"/>
  <c r="AF76" i="330"/>
  <c r="AC76" i="330"/>
  <c r="Z76" i="330"/>
  <c r="AT75" i="330"/>
  <c r="AL75" i="330"/>
  <c r="AI75" i="330"/>
  <c r="AF75" i="330"/>
  <c r="AC75" i="330"/>
  <c r="Z75" i="330"/>
  <c r="AL70" i="330"/>
  <c r="AI70" i="330"/>
  <c r="AF70" i="330"/>
  <c r="AC70" i="330"/>
  <c r="Z70" i="330"/>
  <c r="AT69" i="330"/>
  <c r="AL69" i="330"/>
  <c r="AI69" i="330"/>
  <c r="AF69" i="330"/>
  <c r="AC69" i="330"/>
  <c r="Z69" i="330"/>
  <c r="AL66" i="330"/>
  <c r="AI66" i="330"/>
  <c r="AF66" i="330"/>
  <c r="AC66" i="330"/>
  <c r="Z66" i="330"/>
  <c r="AT65" i="330"/>
  <c r="AL65" i="330"/>
  <c r="AI65" i="330"/>
  <c r="AF65" i="330"/>
  <c r="AC65" i="330"/>
  <c r="Z65" i="330"/>
  <c r="AL64" i="330"/>
  <c r="AI64" i="330"/>
  <c r="AF64" i="330"/>
  <c r="AC64" i="330"/>
  <c r="Z64" i="330"/>
  <c r="AT63" i="330"/>
  <c r="AL63" i="330"/>
  <c r="AI63" i="330"/>
  <c r="AF63" i="330"/>
  <c r="AC63" i="330"/>
  <c r="Z63" i="330"/>
  <c r="AL62" i="330"/>
  <c r="AI62" i="330"/>
  <c r="AF62" i="330"/>
  <c r="AC62" i="330"/>
  <c r="Z62" i="330"/>
  <c r="AT61" i="330"/>
  <c r="AL61" i="330"/>
  <c r="AI61" i="330"/>
  <c r="AF61" i="330"/>
  <c r="AC61" i="330"/>
  <c r="Z61" i="330"/>
  <c r="AL60" i="330"/>
  <c r="AI60" i="330"/>
  <c r="AF60" i="330"/>
  <c r="AC60" i="330"/>
  <c r="Z60" i="330"/>
  <c r="AL59" i="330"/>
  <c r="AI59" i="330"/>
  <c r="AF59" i="330"/>
  <c r="AC59" i="330"/>
  <c r="Z59" i="330"/>
  <c r="AL58" i="330"/>
  <c r="AI58" i="330"/>
  <c r="AF58" i="330"/>
  <c r="AC58" i="330"/>
  <c r="Z58" i="330"/>
  <c r="AT57" i="330"/>
  <c r="AL57" i="330"/>
  <c r="AI57" i="330"/>
  <c r="AF57" i="330"/>
  <c r="AC57" i="330"/>
  <c r="Z57" i="330"/>
  <c r="AL56" i="330"/>
  <c r="AI56" i="330"/>
  <c r="AF56" i="330"/>
  <c r="AC56" i="330"/>
  <c r="Z56" i="330"/>
  <c r="AT55" i="330"/>
  <c r="AL55" i="330"/>
  <c r="AI55" i="330"/>
  <c r="AF55" i="330"/>
  <c r="AC55" i="330"/>
  <c r="Z55" i="330"/>
  <c r="AL54" i="330"/>
  <c r="AI54" i="330"/>
  <c r="AF54" i="330"/>
  <c r="AC54" i="330"/>
  <c r="Z54" i="330"/>
  <c r="AT53" i="330"/>
  <c r="AL53" i="330"/>
  <c r="AI53" i="330"/>
  <c r="AF53" i="330"/>
  <c r="AC53" i="330"/>
  <c r="Z53" i="330"/>
  <c r="AL48" i="330"/>
  <c r="AI48" i="330"/>
  <c r="AF48" i="330"/>
  <c r="AC48" i="330"/>
  <c r="Z48" i="330"/>
  <c r="AL47" i="330"/>
  <c r="AI47" i="330"/>
  <c r="AF47" i="330"/>
  <c r="AC47" i="330"/>
  <c r="Z47" i="330"/>
  <c r="AT46" i="330"/>
  <c r="AL46" i="330"/>
  <c r="AI46" i="330"/>
  <c r="AF46" i="330"/>
  <c r="AC46" i="330"/>
  <c r="Z46" i="330"/>
  <c r="AL45" i="330"/>
  <c r="AI45" i="330"/>
  <c r="AF45" i="330"/>
  <c r="AC45" i="330"/>
  <c r="Z45" i="330"/>
  <c r="AT43" i="330"/>
  <c r="AL43" i="330"/>
  <c r="AI43" i="330"/>
  <c r="AF43" i="330"/>
  <c r="AC43" i="330"/>
  <c r="Z43" i="330"/>
  <c r="AL40" i="330"/>
  <c r="AI40" i="330"/>
  <c r="AF40" i="330"/>
  <c r="AC40" i="330"/>
  <c r="Z40" i="330"/>
  <c r="AT39" i="330"/>
  <c r="AL39" i="330"/>
  <c r="AI39" i="330"/>
  <c r="AF39" i="330"/>
  <c r="AC39" i="330"/>
  <c r="Z39" i="330"/>
  <c r="AL38" i="330"/>
  <c r="AI38" i="330"/>
  <c r="AF38" i="330"/>
  <c r="AC38" i="330"/>
  <c r="Z38" i="330"/>
  <c r="AT37" i="330"/>
  <c r="AL37" i="330"/>
  <c r="AI37" i="330"/>
  <c r="AF37" i="330"/>
  <c r="AC37" i="330"/>
  <c r="Z37" i="330"/>
  <c r="AL36" i="330"/>
  <c r="AI36" i="330"/>
  <c r="AF36" i="330"/>
  <c r="AC36" i="330"/>
  <c r="Z36" i="330"/>
  <c r="AL34" i="330"/>
  <c r="AI34" i="330"/>
  <c r="AF34" i="330"/>
  <c r="AC34" i="330"/>
  <c r="Z34" i="330"/>
  <c r="AT33" i="330"/>
  <c r="AL33" i="330"/>
  <c r="AI33" i="330"/>
  <c r="AF33" i="330"/>
  <c r="AC33" i="330"/>
  <c r="Z33" i="330"/>
  <c r="AL26" i="330"/>
  <c r="AI26" i="330"/>
  <c r="AF26" i="330"/>
  <c r="AC26" i="330"/>
  <c r="Z26" i="330"/>
  <c r="AT25" i="330"/>
  <c r="AL25" i="330"/>
  <c r="AI25" i="330"/>
  <c r="AF25" i="330"/>
  <c r="AC25" i="330"/>
  <c r="Z25" i="330"/>
  <c r="AL24" i="330"/>
  <c r="AI24" i="330"/>
  <c r="AF24" i="330"/>
  <c r="AC24" i="330"/>
  <c r="Z24" i="330"/>
  <c r="AT23" i="330"/>
  <c r="AL23" i="330"/>
  <c r="AI23" i="330"/>
  <c r="AF23" i="330"/>
  <c r="AC23" i="330"/>
  <c r="Z23" i="330"/>
  <c r="AL22" i="330"/>
  <c r="AI22" i="330"/>
  <c r="AF22" i="330"/>
  <c r="AC22" i="330"/>
  <c r="Z22" i="330"/>
  <c r="AL21" i="330"/>
  <c r="AI21" i="330"/>
  <c r="AF21" i="330"/>
  <c r="AC21" i="330"/>
  <c r="Z21" i="330"/>
  <c r="AL20" i="330"/>
  <c r="AI20" i="330"/>
  <c r="AF20" i="330"/>
  <c r="AC20" i="330"/>
  <c r="Z20" i="330"/>
  <c r="AT19" i="330"/>
  <c r="AL19" i="330"/>
  <c r="AI19" i="330"/>
  <c r="AF19" i="330"/>
  <c r="AC19" i="330"/>
  <c r="Z19" i="330"/>
  <c r="AL16" i="330"/>
  <c r="AI16" i="330"/>
  <c r="AF16" i="330"/>
  <c r="AC16" i="330"/>
  <c r="Z16" i="330"/>
  <c r="AT15" i="330"/>
  <c r="AL15" i="330"/>
  <c r="AI15" i="330"/>
  <c r="AF15" i="330"/>
  <c r="AC15" i="330"/>
  <c r="Z15" i="330"/>
  <c r="AL14" i="330"/>
  <c r="AI14" i="330"/>
  <c r="AF14" i="330"/>
  <c r="AC14" i="330"/>
  <c r="Z14" i="330"/>
  <c r="AT13" i="330"/>
  <c r="AL13" i="330"/>
  <c r="AI13" i="330"/>
  <c r="AF13" i="330"/>
  <c r="AC13" i="330"/>
  <c r="Z13" i="330"/>
  <c r="AL12" i="330"/>
  <c r="AI12" i="330"/>
  <c r="AF12" i="330"/>
  <c r="AC12" i="330"/>
  <c r="Z12" i="330"/>
  <c r="AL11" i="330"/>
  <c r="AI11" i="330"/>
  <c r="AF11" i="330"/>
  <c r="AC11" i="330"/>
  <c r="Z11" i="330"/>
  <c r="AT10" i="330"/>
  <c r="AL10" i="330"/>
  <c r="AI10" i="330"/>
  <c r="AF10" i="330"/>
  <c r="AC10" i="330"/>
  <c r="Z10" i="330"/>
  <c r="AL9" i="330"/>
  <c r="AI9" i="330"/>
  <c r="AF9" i="330"/>
  <c r="AC9" i="330"/>
  <c r="Z9" i="330"/>
  <c r="AL8" i="330"/>
  <c r="AI8" i="330"/>
  <c r="AF8" i="330"/>
  <c r="AC8" i="330"/>
  <c r="Z8" i="330"/>
  <c r="AT7" i="330"/>
  <c r="AL7" i="330"/>
  <c r="AI7" i="330"/>
  <c r="AF7" i="330"/>
  <c r="AC7" i="330"/>
  <c r="Z7" i="330"/>
  <c r="C7" i="330"/>
  <c r="C10" i="330" s="1"/>
  <c r="C13" i="330" s="1"/>
  <c r="C15" i="330" s="1"/>
  <c r="AL6" i="330"/>
  <c r="AI6" i="330"/>
  <c r="AF6" i="330"/>
  <c r="AC6" i="330"/>
  <c r="Z6" i="330"/>
  <c r="AT5" i="330"/>
  <c r="AL5" i="330"/>
  <c r="AI5" i="330"/>
  <c r="AF5" i="330"/>
  <c r="AC5" i="330"/>
  <c r="Z5" i="330"/>
  <c r="T116" i="330"/>
  <c r="AP13" i="330" a="1"/>
  <c r="AP13" i="330" s="1"/>
  <c r="O129" i="330"/>
  <c r="N129" i="330"/>
  <c r="M129" i="330"/>
  <c r="O128" i="330"/>
  <c r="N128" i="330"/>
  <c r="M128" i="330"/>
  <c r="T115" i="330"/>
  <c r="AP46" i="330" a="1"/>
  <c r="AP46" i="330" s="1"/>
  <c r="AP43" i="330" a="1"/>
  <c r="AP43" i="330" s="1"/>
  <c r="T117" i="330"/>
  <c r="AP84" i="330" a="1"/>
  <c r="AP84" i="330" s="1"/>
  <c r="AP75" i="330" a="1"/>
  <c r="AP75" i="330" s="1"/>
  <c r="AP112" i="330" a="1"/>
  <c r="AP112" i="330" s="1"/>
  <c r="AO84" i="330" a="1"/>
  <c r="AO84" i="330" s="1"/>
  <c r="AP55" i="330" a="1"/>
  <c r="AP55" i="330" s="1"/>
  <c r="AO23" i="330" a="1"/>
  <c r="AO23" i="330" s="1"/>
  <c r="AO39" i="330" a="1"/>
  <c r="AO39" i="330" s="1"/>
  <c r="CH25" i="330" a="1"/>
  <c r="CH25" i="330" s="1"/>
  <c r="AP25" i="330" a="1"/>
  <c r="AP25" i="330" s="1"/>
  <c r="AO112" i="330" a="1"/>
  <c r="AO112" i="330" s="1"/>
  <c r="AO98" i="330" a="1"/>
  <c r="AO98" i="330" s="1"/>
  <c r="AO53" i="330" a="1"/>
  <c r="AO53" i="330" s="1"/>
  <c r="AP69" i="330" a="1"/>
  <c r="AP69" i="330" s="1"/>
  <c r="AO61" i="330" a="1"/>
  <c r="AO61" i="330" s="1"/>
  <c r="AP19" i="330" a="1"/>
  <c r="AP19" i="330" s="1"/>
  <c r="AO94" i="330" a="1"/>
  <c r="AO94" i="330" s="1"/>
  <c r="AO92" i="330" a="1"/>
  <c r="AO92" i="330" s="1"/>
  <c r="AO33" i="330" a="1"/>
  <c r="AO33" i="330" s="1"/>
  <c r="AP7" i="330" a="1"/>
  <c r="AP7" i="330" s="1"/>
  <c r="AP10" i="330" a="1"/>
  <c r="AP10" i="330" s="1"/>
  <c r="AP53" i="330" a="1"/>
  <c r="AP53" i="330" s="1"/>
  <c r="AO43" i="330" a="1"/>
  <c r="AO43" i="330" s="1"/>
  <c r="AO63" i="330" a="1"/>
  <c r="AO63" i="330" s="1"/>
  <c r="AO77" i="330" a="1"/>
  <c r="AO77" i="330" s="1"/>
  <c r="AP94" i="330" a="1"/>
  <c r="AP94" i="330" s="1"/>
  <c r="AO69" i="330" a="1"/>
  <c r="AO69" i="330" s="1"/>
  <c r="AO19" i="330" a="1"/>
  <c r="AO19" i="330" s="1"/>
  <c r="AO108" i="330" a="1"/>
  <c r="AO108" i="330" s="1"/>
  <c r="AO96" i="330" a="1"/>
  <c r="AO96" i="330" s="1"/>
  <c r="AP65" i="330" a="1"/>
  <c r="AP65" i="330" s="1"/>
  <c r="AO15" i="330" a="1"/>
  <c r="AO15" i="330" s="1"/>
  <c r="AP63" i="330" a="1"/>
  <c r="AP63" i="330" s="1"/>
  <c r="AO46" i="330" a="1"/>
  <c r="AO46" i="330" s="1"/>
  <c r="AO25" i="330" a="1"/>
  <c r="AO25" i="330" s="1"/>
  <c r="AP61" i="330" a="1"/>
  <c r="AP61" i="330" s="1"/>
  <c r="AP39" i="330" a="1"/>
  <c r="AP39" i="330" s="1"/>
  <c r="AP98" i="330" a="1"/>
  <c r="AP98" i="330" s="1"/>
  <c r="AP108" i="330" a="1"/>
  <c r="AP108" i="330" s="1"/>
  <c r="AP57" i="330" a="1"/>
  <c r="AP57" i="330" s="1"/>
  <c r="AP33" i="330" a="1"/>
  <c r="AP33" i="330" s="1"/>
  <c r="AP15" i="330" a="1"/>
  <c r="AP15" i="330" s="1"/>
  <c r="AO104" i="330" a="1"/>
  <c r="AO104" i="330" s="1"/>
  <c r="AP5" i="330" a="1"/>
  <c r="AP5" i="330" s="1"/>
  <c r="AO10" i="330" a="1"/>
  <c r="AO10" i="330" s="1"/>
  <c r="AP102" i="330" a="1"/>
  <c r="AP102" i="330" s="1"/>
  <c r="AP77" i="330" a="1"/>
  <c r="AP77" i="330" s="1"/>
  <c r="AO13" i="330" a="1"/>
  <c r="AO13" i="330" s="1"/>
  <c r="AP92" i="330" a="1"/>
  <c r="AP92" i="330" s="1"/>
  <c r="AO37" i="330" a="1"/>
  <c r="AO37" i="330" s="1"/>
  <c r="AO75" i="330" a="1"/>
  <c r="AO75" i="330" s="1"/>
  <c r="AP96" i="330" a="1"/>
  <c r="AP96" i="330" s="1"/>
  <c r="AO65" i="330" a="1"/>
  <c r="AO65" i="330" s="1"/>
  <c r="AP104" i="330" a="1"/>
  <c r="AP104" i="330" s="1"/>
  <c r="AO57" i="330" a="1"/>
  <c r="AO57" i="330" s="1"/>
  <c r="AO102" i="330" a="1"/>
  <c r="AO102" i="330" s="1"/>
  <c r="AO5" i="330" a="1"/>
  <c r="AO5" i="330" s="1"/>
  <c r="AP37" i="330" a="1"/>
  <c r="AP37" i="330" s="1"/>
  <c r="AP23" i="330" a="1"/>
  <c r="AP23" i="330" s="1"/>
  <c r="AO7" i="330" a="1"/>
  <c r="AO7" i="330" s="1"/>
  <c r="AO55" i="330" a="1"/>
  <c r="AO55" i="330" s="1"/>
  <c r="CH63" i="330" a="1"/>
  <c r="CH63" i="330" s="1"/>
  <c r="CH19" i="330" a="1"/>
  <c r="CH19" i="330" s="1"/>
  <c r="CH108" i="330" a="1"/>
  <c r="CH108" i="330" s="1"/>
  <c r="CH104" i="330" a="1"/>
  <c r="CH104" i="330" s="1"/>
  <c r="CH43" i="330" a="1"/>
  <c r="CH43" i="330" s="1"/>
  <c r="CH57" i="330" a="1"/>
  <c r="CH57" i="330" s="1"/>
  <c r="CH84" i="330" a="1"/>
  <c r="CH84" i="330" s="1"/>
  <c r="V116" i="330"/>
  <c r="CH96" i="330" a="1"/>
  <c r="CH96" i="330" s="1"/>
  <c r="CH77" i="330" a="1"/>
  <c r="CH77" i="330" s="1"/>
  <c r="CH46" i="330" a="1"/>
  <c r="CH46" i="330" s="1"/>
  <c r="CH69" i="330" a="1"/>
  <c r="CH69" i="330" s="1"/>
  <c r="CH37" i="330" a="1"/>
  <c r="CH37" i="330" s="1"/>
  <c r="CH75" i="330" a="1"/>
  <c r="CH75" i="330" s="1"/>
  <c r="CH65" i="330" a="1"/>
  <c r="CH65" i="330" s="1"/>
  <c r="CH102" i="330" a="1"/>
  <c r="CH102" i="330" s="1"/>
  <c r="CH55" i="330" a="1"/>
  <c r="CH55" i="330" s="1"/>
  <c r="CH53" i="330" a="1"/>
  <c r="CH53" i="330" s="1"/>
  <c r="CH39" i="330" a="1"/>
  <c r="CH39" i="330" s="1"/>
  <c r="CH98" i="330" a="1"/>
  <c r="CH98" i="330" s="1"/>
  <c r="CH94" i="330" a="1"/>
  <c r="CH94" i="330" s="1"/>
  <c r="CH92" i="330" a="1"/>
  <c r="CH92" i="330" s="1"/>
  <c r="CH33" i="330" a="1"/>
  <c r="CH33" i="330" s="1"/>
  <c r="CH61" i="330" a="1"/>
  <c r="CH61" i="330" s="1"/>
  <c r="CH10" i="330" a="1"/>
  <c r="CH10" i="330" s="1"/>
  <c r="AR7" i="330"/>
  <c r="AS7" i="330" s="1"/>
  <c r="CH7" i="330" a="1"/>
  <c r="CH7" i="330" s="1"/>
  <c r="BA115" i="330"/>
  <c r="BA123" i="330" s="1"/>
  <c r="Y122" i="330"/>
  <c r="Y123" i="330"/>
  <c r="AR25" i="330"/>
  <c r="AS25" i="330" s="1"/>
  <c r="CH5" i="330" a="1"/>
  <c r="CH5" i="330" s="1"/>
  <c r="AR61" i="330"/>
  <c r="AS61" i="330" s="1"/>
  <c r="BE115" i="330"/>
  <c r="BE123" i="330" s="1"/>
  <c r="BD115" i="330"/>
  <c r="BD123" i="330" s="1"/>
  <c r="AR108" i="330"/>
  <c r="AS108" i="330" s="1"/>
  <c r="BW115" i="330"/>
  <c r="BW123" i="330" s="1"/>
  <c r="AR39" i="330"/>
  <c r="AS39" i="330" s="1"/>
  <c r="CB115" i="330"/>
  <c r="CB123" i="330" s="1"/>
  <c r="AR55" i="330"/>
  <c r="AS55" i="330" s="1"/>
  <c r="BT115" i="330"/>
  <c r="BT123" i="330" s="1"/>
  <c r="BC115" i="330"/>
  <c r="BC123" i="330" s="1"/>
  <c r="AR92" i="330"/>
  <c r="AS92" i="330" s="1"/>
  <c r="BB115" i="330"/>
  <c r="BB123" i="330" s="1"/>
  <c r="AY115" i="330"/>
  <c r="AY123" i="330" s="1"/>
  <c r="CF115" i="330"/>
  <c r="CF123" i="330" s="1"/>
  <c r="AR104" i="330"/>
  <c r="AS104" i="330" s="1"/>
  <c r="CA115" i="330"/>
  <c r="CA123" i="330" s="1"/>
  <c r="AR57" i="330"/>
  <c r="AS57" i="330" s="1"/>
  <c r="AR15" i="330"/>
  <c r="AS15" i="330" s="1"/>
  <c r="BX115" i="330"/>
  <c r="BX123" i="330" s="1"/>
  <c r="BZ115" i="330"/>
  <c r="BZ123" i="330" s="1"/>
  <c r="BU115" i="330"/>
  <c r="BU123" i="330" s="1"/>
  <c r="AR37" i="330"/>
  <c r="AS37" i="330" s="1"/>
  <c r="AR84" i="330"/>
  <c r="AS84" i="330" s="1"/>
  <c r="CC115" i="330"/>
  <c r="CC123" i="330" s="1"/>
  <c r="AR112" i="330"/>
  <c r="AS112" i="330" s="1"/>
  <c r="AR98" i="330"/>
  <c r="AS98" i="330" s="1"/>
  <c r="AZ115" i="330"/>
  <c r="AZ123" i="330" s="1"/>
  <c r="BV115" i="330"/>
  <c r="BV123" i="330" s="1"/>
  <c r="AR75" i="330"/>
  <c r="AS75" i="330" s="1"/>
  <c r="AR65" i="330"/>
  <c r="AS65" i="330" s="1"/>
  <c r="AR94" i="330"/>
  <c r="AS94" i="330" s="1"/>
  <c r="AR19" i="330"/>
  <c r="AS19" i="330" s="1"/>
  <c r="BF115" i="330"/>
  <c r="BF123" i="330" s="1"/>
  <c r="AR10" i="330"/>
  <c r="AS10" i="330" s="1"/>
  <c r="AR69" i="330"/>
  <c r="AS69" i="330" s="1"/>
  <c r="AR77" i="330"/>
  <c r="AS77" i="330" s="1"/>
  <c r="AR46" i="330"/>
  <c r="AS46" i="330" s="1"/>
  <c r="AR53" i="330"/>
  <c r="AS53" i="330" s="1"/>
  <c r="AR102" i="330"/>
  <c r="AS102" i="330" s="1"/>
  <c r="CD115" i="330"/>
  <c r="CD123" i="330" s="1"/>
  <c r="AR33" i="330"/>
  <c r="AS33" i="330" s="1"/>
  <c r="AR63" i="330"/>
  <c r="AS63" i="330" s="1"/>
  <c r="AR96" i="330"/>
  <c r="AS96" i="330" s="1"/>
  <c r="BS115" i="330"/>
  <c r="BS123" i="330" s="1"/>
  <c r="AX115" i="330"/>
  <c r="AX123" i="330" s="1"/>
  <c r="CE115" i="330"/>
  <c r="CE123" i="330" s="1"/>
  <c r="AR5" i="330"/>
  <c r="AS5" i="330" s="1"/>
  <c r="AR43" i="330"/>
  <c r="AS43" i="330" s="1"/>
  <c r="AR23" i="330"/>
  <c r="AS23" i="330" s="1"/>
  <c r="BY115" i="330"/>
  <c r="BY123" i="330" s="1"/>
  <c r="H37" i="329"/>
  <c r="H35" i="329"/>
  <c r="H34" i="329"/>
  <c r="H33" i="329"/>
  <c r="H32" i="329"/>
  <c r="H31" i="329"/>
  <c r="H30" i="329"/>
  <c r="H29" i="329"/>
  <c r="H28" i="329"/>
  <c r="H26" i="329"/>
  <c r="H25" i="329"/>
  <c r="H24" i="329"/>
  <c r="H23" i="329"/>
  <c r="H22" i="329"/>
  <c r="H21" i="329"/>
  <c r="A21" i="329" s="1"/>
  <c r="H20" i="329"/>
  <c r="A20" i="329" s="1"/>
  <c r="A19" i="329"/>
  <c r="H18" i="329"/>
  <c r="A18" i="329" s="1"/>
  <c r="H17" i="329"/>
  <c r="A17" i="329" s="1"/>
  <c r="H16" i="329"/>
  <c r="A16" i="329" s="1"/>
  <c r="H15" i="329"/>
  <c r="A15" i="329" s="1"/>
  <c r="H14" i="329"/>
  <c r="A14" i="329" s="1"/>
  <c r="H13" i="329"/>
  <c r="A13" i="329" s="1"/>
  <c r="H12" i="329"/>
  <c r="A12" i="329" s="1"/>
  <c r="H10" i="329"/>
  <c r="A10" i="329" s="1"/>
  <c r="H9" i="329"/>
  <c r="A9" i="329" s="1"/>
  <c r="A7" i="329"/>
  <c r="A6" i="329"/>
  <c r="H27" i="329"/>
  <c r="F65" i="326"/>
  <c r="V113" i="326"/>
  <c r="T113" i="326"/>
  <c r="S113" i="326"/>
  <c r="P113" i="326"/>
  <c r="O113" i="326"/>
  <c r="N113" i="326"/>
  <c r="M113" i="326"/>
  <c r="L113" i="326"/>
  <c r="K113" i="326"/>
  <c r="J113" i="326"/>
  <c r="I113" i="326"/>
  <c r="H113" i="326"/>
  <c r="G113" i="326"/>
  <c r="F113" i="326"/>
  <c r="D113" i="326"/>
  <c r="V112" i="326"/>
  <c r="T112" i="326"/>
  <c r="S112" i="326"/>
  <c r="O112" i="326"/>
  <c r="N112" i="326"/>
  <c r="M112" i="326"/>
  <c r="L112" i="326"/>
  <c r="K112" i="326"/>
  <c r="J112" i="326"/>
  <c r="I112" i="326"/>
  <c r="H112" i="326"/>
  <c r="G112" i="326"/>
  <c r="F112" i="326"/>
  <c r="D112" i="326"/>
  <c r="AE111" i="326"/>
  <c r="AA111" i="326"/>
  <c r="AM111" i="326" s="1"/>
  <c r="V111" i="326"/>
  <c r="T111" i="326"/>
  <c r="S111" i="326"/>
  <c r="P111" i="326"/>
  <c r="O111" i="326"/>
  <c r="N111" i="326"/>
  <c r="M111" i="326"/>
  <c r="L111" i="326"/>
  <c r="K111" i="326"/>
  <c r="I111" i="326"/>
  <c r="H111" i="326"/>
  <c r="G111" i="326"/>
  <c r="F111" i="326"/>
  <c r="V110" i="326"/>
  <c r="T110" i="326"/>
  <c r="S110" i="326"/>
  <c r="P110" i="326"/>
  <c r="O110" i="326"/>
  <c r="N110" i="326"/>
  <c r="M110" i="326"/>
  <c r="L110" i="326"/>
  <c r="K110" i="326"/>
  <c r="J110" i="326"/>
  <c r="I110" i="326"/>
  <c r="H110" i="326"/>
  <c r="G110" i="326"/>
  <c r="F110" i="326"/>
  <c r="D110" i="326"/>
  <c r="AE109" i="326"/>
  <c r="AA109" i="326"/>
  <c r="BJ109" i="326" s="1"/>
  <c r="V109" i="326"/>
  <c r="T109" i="326"/>
  <c r="S109" i="326"/>
  <c r="P109" i="326"/>
  <c r="O109" i="326"/>
  <c r="N109" i="326"/>
  <c r="M109" i="326"/>
  <c r="L109" i="326"/>
  <c r="K109" i="326"/>
  <c r="I109" i="326"/>
  <c r="H109" i="326"/>
  <c r="G109" i="326"/>
  <c r="F109" i="326"/>
  <c r="D109" i="326"/>
  <c r="V108" i="326"/>
  <c r="T108" i="326"/>
  <c r="S108" i="326"/>
  <c r="P108" i="326"/>
  <c r="O108" i="326"/>
  <c r="N108" i="326"/>
  <c r="M108" i="326"/>
  <c r="L108" i="326"/>
  <c r="K108" i="326"/>
  <c r="J108" i="326"/>
  <c r="I108" i="326"/>
  <c r="H108" i="326"/>
  <c r="G108" i="326"/>
  <c r="F108" i="326"/>
  <c r="D108" i="326"/>
  <c r="AE107" i="326"/>
  <c r="AA107" i="326"/>
  <c r="AN107" i="326" s="1"/>
  <c r="V107" i="326"/>
  <c r="T107" i="326"/>
  <c r="S107" i="326"/>
  <c r="P107" i="326"/>
  <c r="O107" i="326"/>
  <c r="N107" i="326"/>
  <c r="M107" i="326"/>
  <c r="L107" i="326"/>
  <c r="K107" i="326"/>
  <c r="I107" i="326"/>
  <c r="H107" i="326"/>
  <c r="G107" i="326"/>
  <c r="F107" i="326"/>
  <c r="D107" i="326"/>
  <c r="V106" i="326"/>
  <c r="T106" i="326"/>
  <c r="S106" i="326"/>
  <c r="P106" i="326"/>
  <c r="O106" i="326"/>
  <c r="N106" i="326"/>
  <c r="M106" i="326"/>
  <c r="L106" i="326"/>
  <c r="K106" i="326"/>
  <c r="J106" i="326"/>
  <c r="I106" i="326"/>
  <c r="H106" i="326"/>
  <c r="G106" i="326"/>
  <c r="F106" i="326"/>
  <c r="D106" i="326"/>
  <c r="AE105" i="326"/>
  <c r="AA105" i="326"/>
  <c r="AV105" i="326" s="1"/>
  <c r="V105" i="326"/>
  <c r="T105" i="326"/>
  <c r="S105" i="326"/>
  <c r="P105" i="326"/>
  <c r="O105" i="326"/>
  <c r="N105" i="326"/>
  <c r="M105" i="326"/>
  <c r="L105" i="326"/>
  <c r="K105" i="326"/>
  <c r="I105" i="326"/>
  <c r="H105" i="326"/>
  <c r="G105" i="326"/>
  <c r="F105" i="326"/>
  <c r="D105" i="326"/>
  <c r="V104" i="326"/>
  <c r="T104" i="326"/>
  <c r="S104" i="326"/>
  <c r="P104" i="326"/>
  <c r="O104" i="326"/>
  <c r="N104" i="326"/>
  <c r="M104" i="326"/>
  <c r="L104" i="326"/>
  <c r="K104" i="326"/>
  <c r="J104" i="326"/>
  <c r="I104" i="326"/>
  <c r="H104" i="326"/>
  <c r="G104" i="326"/>
  <c r="F104" i="326"/>
  <c r="D104" i="326"/>
  <c r="AE103" i="326"/>
  <c r="AA103" i="326"/>
  <c r="AQ103" i="326" s="1"/>
  <c r="V103" i="326"/>
  <c r="T103" i="326"/>
  <c r="S103" i="326"/>
  <c r="P103" i="326"/>
  <c r="O103" i="326"/>
  <c r="N103" i="326"/>
  <c r="M103" i="326"/>
  <c r="L103" i="326"/>
  <c r="K103" i="326"/>
  <c r="I103" i="326"/>
  <c r="H103" i="326"/>
  <c r="G103" i="326"/>
  <c r="F103" i="326"/>
  <c r="D103" i="326"/>
  <c r="V102" i="326"/>
  <c r="T102" i="326"/>
  <c r="S102" i="326"/>
  <c r="D102" i="326"/>
  <c r="AE101" i="326"/>
  <c r="AA101" i="326"/>
  <c r="AM101" i="326" s="1"/>
  <c r="V101" i="326"/>
  <c r="T101" i="326"/>
  <c r="U101" i="326" s="1"/>
  <c r="S101" i="326"/>
  <c r="P101" i="326"/>
  <c r="O101" i="326"/>
  <c r="N101" i="326"/>
  <c r="M101" i="326"/>
  <c r="L101" i="326"/>
  <c r="K101" i="326"/>
  <c r="I101" i="326"/>
  <c r="H101" i="326"/>
  <c r="G101" i="326"/>
  <c r="F101" i="326"/>
  <c r="D101" i="326"/>
  <c r="V100" i="326"/>
  <c r="T100" i="326"/>
  <c r="S100" i="326"/>
  <c r="P100" i="326"/>
  <c r="O100" i="326"/>
  <c r="N100" i="326"/>
  <c r="M100" i="326"/>
  <c r="L100" i="326"/>
  <c r="K100" i="326"/>
  <c r="J100" i="326"/>
  <c r="I100" i="326"/>
  <c r="H100" i="326"/>
  <c r="G100" i="326"/>
  <c r="F100" i="326"/>
  <c r="D100" i="326"/>
  <c r="AE99" i="326"/>
  <c r="AA99" i="326"/>
  <c r="AN99" i="326" s="1"/>
  <c r="V99" i="326"/>
  <c r="T99" i="326"/>
  <c r="S99" i="326"/>
  <c r="P99" i="326"/>
  <c r="O99" i="326"/>
  <c r="N99" i="326"/>
  <c r="M99" i="326"/>
  <c r="L99" i="326"/>
  <c r="K99" i="326"/>
  <c r="I99" i="326"/>
  <c r="H99" i="326"/>
  <c r="G99" i="326"/>
  <c r="F99" i="326"/>
  <c r="D99" i="326"/>
  <c r="V98" i="326"/>
  <c r="T98" i="326"/>
  <c r="S98" i="326"/>
  <c r="P98" i="326"/>
  <c r="O98" i="326"/>
  <c r="N98" i="326"/>
  <c r="M98" i="326"/>
  <c r="L98" i="326"/>
  <c r="K98" i="326"/>
  <c r="J98" i="326"/>
  <c r="I98" i="326"/>
  <c r="H98" i="326"/>
  <c r="G98" i="326"/>
  <c r="F98" i="326"/>
  <c r="D98" i="326"/>
  <c r="AE97" i="326"/>
  <c r="AA97" i="326"/>
  <c r="BL97" i="326" s="1"/>
  <c r="V97" i="326"/>
  <c r="T97" i="326"/>
  <c r="S97" i="326"/>
  <c r="P97" i="326"/>
  <c r="O97" i="326"/>
  <c r="N97" i="326"/>
  <c r="M97" i="326"/>
  <c r="L97" i="326"/>
  <c r="K97" i="326"/>
  <c r="I97" i="326"/>
  <c r="H97" i="326"/>
  <c r="G97" i="326"/>
  <c r="D97" i="326"/>
  <c r="V96" i="326"/>
  <c r="T96" i="326"/>
  <c r="S96" i="326"/>
  <c r="P96" i="326"/>
  <c r="O96" i="326"/>
  <c r="N96" i="326"/>
  <c r="M96" i="326"/>
  <c r="L96" i="326"/>
  <c r="K96" i="326"/>
  <c r="J96" i="326"/>
  <c r="I96" i="326"/>
  <c r="H96" i="326"/>
  <c r="G96" i="326"/>
  <c r="F96" i="326"/>
  <c r="D96" i="326"/>
  <c r="AE95" i="326"/>
  <c r="AA95" i="326"/>
  <c r="V95" i="326"/>
  <c r="T95" i="326"/>
  <c r="S95" i="326"/>
  <c r="P95" i="326"/>
  <c r="O95" i="326"/>
  <c r="N95" i="326"/>
  <c r="M95" i="326"/>
  <c r="L95" i="326"/>
  <c r="K95" i="326"/>
  <c r="I95" i="326"/>
  <c r="H95" i="326"/>
  <c r="G95" i="326"/>
  <c r="F95" i="326"/>
  <c r="D95" i="326"/>
  <c r="V94" i="326"/>
  <c r="T94" i="326"/>
  <c r="S94" i="326"/>
  <c r="P94" i="326"/>
  <c r="O94" i="326"/>
  <c r="N94" i="326"/>
  <c r="M94" i="326"/>
  <c r="L94" i="326"/>
  <c r="K94" i="326"/>
  <c r="J94" i="326"/>
  <c r="I94" i="326"/>
  <c r="H94" i="326"/>
  <c r="G94" i="326"/>
  <c r="F94" i="326"/>
  <c r="D94" i="326"/>
  <c r="AE93" i="326"/>
  <c r="AA93" i="326"/>
  <c r="V93" i="326"/>
  <c r="T93" i="326"/>
  <c r="S93" i="326"/>
  <c r="P93" i="326"/>
  <c r="O93" i="326"/>
  <c r="N93" i="326"/>
  <c r="M93" i="326"/>
  <c r="L93" i="326"/>
  <c r="K93" i="326"/>
  <c r="I93" i="326"/>
  <c r="H93" i="326"/>
  <c r="G93" i="326"/>
  <c r="F93" i="326"/>
  <c r="D93" i="326"/>
  <c r="V92" i="326"/>
  <c r="T92" i="326"/>
  <c r="S92" i="326"/>
  <c r="P92" i="326"/>
  <c r="O92" i="326"/>
  <c r="N92" i="326"/>
  <c r="M92" i="326"/>
  <c r="L92" i="326"/>
  <c r="K92" i="326"/>
  <c r="J92" i="326"/>
  <c r="I92" i="326"/>
  <c r="H92" i="326"/>
  <c r="G92" i="326"/>
  <c r="F92" i="326"/>
  <c r="D92" i="326"/>
  <c r="AE91" i="326"/>
  <c r="AA91" i="326"/>
  <c r="V91" i="326"/>
  <c r="T91" i="326"/>
  <c r="S91" i="326"/>
  <c r="P91" i="326"/>
  <c r="O91" i="326"/>
  <c r="N91" i="326"/>
  <c r="M91" i="326"/>
  <c r="L91" i="326"/>
  <c r="K91" i="326"/>
  <c r="I91" i="326"/>
  <c r="H91" i="326"/>
  <c r="G91" i="326"/>
  <c r="F91" i="326"/>
  <c r="D91" i="326"/>
  <c r="V90" i="326"/>
  <c r="T90" i="326"/>
  <c r="S90" i="326"/>
  <c r="P90" i="326"/>
  <c r="O90" i="326"/>
  <c r="N90" i="326"/>
  <c r="M90" i="326"/>
  <c r="L90" i="326"/>
  <c r="K90" i="326"/>
  <c r="J90" i="326"/>
  <c r="I90" i="326"/>
  <c r="H90" i="326"/>
  <c r="G90" i="326"/>
  <c r="F90" i="326"/>
  <c r="D90" i="326"/>
  <c r="AE89" i="326"/>
  <c r="AA89" i="326"/>
  <c r="AJ89" i="326" s="1"/>
  <c r="V89" i="326"/>
  <c r="T89" i="326"/>
  <c r="S89" i="326"/>
  <c r="P89" i="326"/>
  <c r="O89" i="326"/>
  <c r="N89" i="326"/>
  <c r="M89" i="326"/>
  <c r="L89" i="326"/>
  <c r="K89" i="326"/>
  <c r="I89" i="326"/>
  <c r="H89" i="326"/>
  <c r="G89" i="326"/>
  <c r="F89" i="326"/>
  <c r="D89" i="326"/>
  <c r="V88" i="326"/>
  <c r="T88" i="326"/>
  <c r="S88" i="326"/>
  <c r="O88" i="326"/>
  <c r="N88" i="326"/>
  <c r="M88" i="326"/>
  <c r="L88" i="326"/>
  <c r="K88" i="326"/>
  <c r="J88" i="326"/>
  <c r="I88" i="326"/>
  <c r="H88" i="326"/>
  <c r="G88" i="326"/>
  <c r="F88" i="326"/>
  <c r="D88" i="326"/>
  <c r="AE87" i="326"/>
  <c r="AA87" i="326"/>
  <c r="V87" i="326"/>
  <c r="T87" i="326"/>
  <c r="U87" i="326" s="1"/>
  <c r="S87" i="326"/>
  <c r="P87" i="326"/>
  <c r="O87" i="326"/>
  <c r="N87" i="326"/>
  <c r="M87" i="326"/>
  <c r="L87" i="326"/>
  <c r="K87" i="326"/>
  <c r="I87" i="326"/>
  <c r="H87" i="326"/>
  <c r="G87" i="326"/>
  <c r="F87" i="326"/>
  <c r="D87" i="326"/>
  <c r="V86" i="326"/>
  <c r="T86" i="326"/>
  <c r="S86" i="326"/>
  <c r="O86" i="326"/>
  <c r="N86" i="326"/>
  <c r="M86" i="326"/>
  <c r="L86" i="326"/>
  <c r="K86" i="326"/>
  <c r="J86" i="326"/>
  <c r="I86" i="326"/>
  <c r="H86" i="326"/>
  <c r="G86" i="326"/>
  <c r="F86" i="326"/>
  <c r="D86" i="326"/>
  <c r="AE85" i="326"/>
  <c r="AA85" i="326"/>
  <c r="V85" i="326"/>
  <c r="T85" i="326"/>
  <c r="U85" i="326" s="1"/>
  <c r="S85" i="326"/>
  <c r="P85" i="326"/>
  <c r="O85" i="326"/>
  <c r="N85" i="326"/>
  <c r="M85" i="326"/>
  <c r="L85" i="326"/>
  <c r="K85" i="326"/>
  <c r="I85" i="326"/>
  <c r="H85" i="326"/>
  <c r="G85" i="326"/>
  <c r="F85" i="326"/>
  <c r="D85" i="326"/>
  <c r="V84" i="326"/>
  <c r="T84" i="326"/>
  <c r="S84" i="326"/>
  <c r="P84" i="326"/>
  <c r="O84" i="326"/>
  <c r="N84" i="326"/>
  <c r="M84" i="326"/>
  <c r="L84" i="326"/>
  <c r="K84" i="326"/>
  <c r="J84" i="326"/>
  <c r="I84" i="326"/>
  <c r="H84" i="326"/>
  <c r="G84" i="326"/>
  <c r="F84" i="326"/>
  <c r="D84" i="326"/>
  <c r="AE83" i="326"/>
  <c r="AA83" i="326"/>
  <c r="V83" i="326"/>
  <c r="T83" i="326"/>
  <c r="S83" i="326"/>
  <c r="P83" i="326"/>
  <c r="O83" i="326"/>
  <c r="N83" i="326"/>
  <c r="M83" i="326"/>
  <c r="L83" i="326"/>
  <c r="K83" i="326"/>
  <c r="I83" i="326"/>
  <c r="H83" i="326"/>
  <c r="G83" i="326"/>
  <c r="F83" i="326"/>
  <c r="D83" i="326"/>
  <c r="V82" i="326"/>
  <c r="T82" i="326"/>
  <c r="S82" i="326"/>
  <c r="O82" i="326"/>
  <c r="N82" i="326"/>
  <c r="M82" i="326"/>
  <c r="L82" i="326"/>
  <c r="K82" i="326"/>
  <c r="J82" i="326"/>
  <c r="I82" i="326"/>
  <c r="H82" i="326"/>
  <c r="G82" i="326"/>
  <c r="F82" i="326"/>
  <c r="D82" i="326"/>
  <c r="AE81" i="326"/>
  <c r="AA81" i="326"/>
  <c r="BB81" i="326" s="1"/>
  <c r="V81" i="326"/>
  <c r="T81" i="326"/>
  <c r="S81" i="326"/>
  <c r="P81" i="326"/>
  <c r="O81" i="326"/>
  <c r="N81" i="326"/>
  <c r="M81" i="326"/>
  <c r="L81" i="326"/>
  <c r="K81" i="326"/>
  <c r="I81" i="326"/>
  <c r="H81" i="326"/>
  <c r="G81" i="326"/>
  <c r="F81" i="326"/>
  <c r="D81" i="326"/>
  <c r="V80" i="326"/>
  <c r="T80" i="326"/>
  <c r="S80" i="326"/>
  <c r="P80" i="326"/>
  <c r="O80" i="326"/>
  <c r="N80" i="326"/>
  <c r="M80" i="326"/>
  <c r="L80" i="326"/>
  <c r="K80" i="326"/>
  <c r="J80" i="326"/>
  <c r="I80" i="326"/>
  <c r="H80" i="326"/>
  <c r="G80" i="326"/>
  <c r="F80" i="326"/>
  <c r="D80" i="326"/>
  <c r="AE79" i="326"/>
  <c r="AA79" i="326"/>
  <c r="AK79" i="326" s="1"/>
  <c r="V79" i="326"/>
  <c r="T79" i="326"/>
  <c r="U79" i="326" s="1"/>
  <c r="S79" i="326"/>
  <c r="P79" i="326"/>
  <c r="O79" i="326"/>
  <c r="N79" i="326"/>
  <c r="M79" i="326"/>
  <c r="L79" i="326"/>
  <c r="K79" i="326"/>
  <c r="I79" i="326"/>
  <c r="H79" i="326"/>
  <c r="G79" i="326"/>
  <c r="F79" i="326"/>
  <c r="D79" i="326"/>
  <c r="V78" i="326"/>
  <c r="T78" i="326"/>
  <c r="S78" i="326"/>
  <c r="P78" i="326"/>
  <c r="O78" i="326"/>
  <c r="N78" i="326"/>
  <c r="M78" i="326"/>
  <c r="L78" i="326"/>
  <c r="K78" i="326"/>
  <c r="J78" i="326"/>
  <c r="I78" i="326"/>
  <c r="H78" i="326"/>
  <c r="G78" i="326"/>
  <c r="F78" i="326"/>
  <c r="D78" i="326"/>
  <c r="AE77" i="326"/>
  <c r="AA77" i="326"/>
  <c r="BM77" i="326" s="1"/>
  <c r="V77" i="326"/>
  <c r="T77" i="326"/>
  <c r="U77" i="326" s="1"/>
  <c r="S77" i="326"/>
  <c r="P77" i="326"/>
  <c r="O77" i="326"/>
  <c r="N77" i="326"/>
  <c r="M77" i="326"/>
  <c r="L77" i="326"/>
  <c r="K77" i="326"/>
  <c r="I77" i="326"/>
  <c r="H77" i="326"/>
  <c r="G77" i="326"/>
  <c r="F77" i="326"/>
  <c r="D77" i="326"/>
  <c r="V76" i="326"/>
  <c r="T76" i="326"/>
  <c r="S76" i="326"/>
  <c r="I76" i="326"/>
  <c r="H76" i="326"/>
  <c r="G76" i="326"/>
  <c r="F76" i="326"/>
  <c r="D76" i="326"/>
  <c r="AE75" i="326"/>
  <c r="AA75" i="326"/>
  <c r="V75" i="326"/>
  <c r="T75" i="326"/>
  <c r="U75" i="326" s="1"/>
  <c r="S75" i="326"/>
  <c r="P75" i="326"/>
  <c r="O75" i="326"/>
  <c r="N75" i="326"/>
  <c r="M75" i="326"/>
  <c r="L75" i="326"/>
  <c r="K75" i="326"/>
  <c r="J75" i="326"/>
  <c r="I75" i="326"/>
  <c r="H75" i="326"/>
  <c r="G75" i="326"/>
  <c r="F75" i="326"/>
  <c r="V74" i="326"/>
  <c r="T74" i="326"/>
  <c r="S74" i="326"/>
  <c r="P74" i="326"/>
  <c r="O74" i="326"/>
  <c r="N74" i="326"/>
  <c r="M74" i="326"/>
  <c r="L74" i="326"/>
  <c r="K74" i="326"/>
  <c r="J74" i="326"/>
  <c r="I74" i="326"/>
  <c r="H74" i="326"/>
  <c r="G74" i="326"/>
  <c r="F74" i="326"/>
  <c r="D74" i="326"/>
  <c r="AE73" i="326"/>
  <c r="AA73" i="326"/>
  <c r="AK73" i="326" s="1"/>
  <c r="V73" i="326"/>
  <c r="T73" i="326"/>
  <c r="S73" i="326"/>
  <c r="P73" i="326"/>
  <c r="O73" i="326"/>
  <c r="N73" i="326"/>
  <c r="M73" i="326"/>
  <c r="L73" i="326"/>
  <c r="K73" i="326"/>
  <c r="I73" i="326"/>
  <c r="H73" i="326"/>
  <c r="G73" i="326"/>
  <c r="F73" i="326"/>
  <c r="D73" i="326"/>
  <c r="V72" i="326"/>
  <c r="T72" i="326"/>
  <c r="S72" i="326"/>
  <c r="P72" i="326"/>
  <c r="O72" i="326"/>
  <c r="N72" i="326"/>
  <c r="M72" i="326"/>
  <c r="L72" i="326"/>
  <c r="K72" i="326"/>
  <c r="J72" i="326"/>
  <c r="I72" i="326"/>
  <c r="H72" i="326"/>
  <c r="G72" i="326"/>
  <c r="F72" i="326"/>
  <c r="D72" i="326"/>
  <c r="AE71" i="326"/>
  <c r="AA71" i="326"/>
  <c r="V71" i="326"/>
  <c r="T71" i="326"/>
  <c r="U71" i="326" s="1"/>
  <c r="S71" i="326"/>
  <c r="P71" i="326"/>
  <c r="O71" i="326"/>
  <c r="N71" i="326"/>
  <c r="M71" i="326"/>
  <c r="L71" i="326"/>
  <c r="K71" i="326"/>
  <c r="I71" i="326"/>
  <c r="H71" i="326"/>
  <c r="G71" i="326"/>
  <c r="F71" i="326"/>
  <c r="D71" i="326"/>
  <c r="V70" i="326"/>
  <c r="T70" i="326"/>
  <c r="S70" i="326"/>
  <c r="P70" i="326"/>
  <c r="O70" i="326"/>
  <c r="N70" i="326"/>
  <c r="M70" i="326"/>
  <c r="L70" i="326"/>
  <c r="K70" i="326"/>
  <c r="J70" i="326"/>
  <c r="I70" i="326"/>
  <c r="H70" i="326"/>
  <c r="G70" i="326"/>
  <c r="F70" i="326"/>
  <c r="D70" i="326"/>
  <c r="AE69" i="326"/>
  <c r="AA69" i="326"/>
  <c r="AU69" i="326" s="1"/>
  <c r="V69" i="326"/>
  <c r="T69" i="326"/>
  <c r="S69" i="326"/>
  <c r="P69" i="326"/>
  <c r="O69" i="326"/>
  <c r="N69" i="326"/>
  <c r="M69" i="326"/>
  <c r="L69" i="326"/>
  <c r="K69" i="326"/>
  <c r="I69" i="326"/>
  <c r="H69" i="326"/>
  <c r="G69" i="326"/>
  <c r="F69" i="326"/>
  <c r="D69" i="326"/>
  <c r="V68" i="326"/>
  <c r="T68" i="326"/>
  <c r="S68" i="326"/>
  <c r="O68" i="326"/>
  <c r="N68" i="326"/>
  <c r="M68" i="326"/>
  <c r="L68" i="326"/>
  <c r="K68" i="326"/>
  <c r="J68" i="326"/>
  <c r="I68" i="326"/>
  <c r="H68" i="326"/>
  <c r="G68" i="326"/>
  <c r="F68" i="326"/>
  <c r="D68" i="326"/>
  <c r="AE67" i="326"/>
  <c r="AA67" i="326"/>
  <c r="V67" i="326"/>
  <c r="T67" i="326"/>
  <c r="S67" i="326"/>
  <c r="P67" i="326"/>
  <c r="O67" i="326"/>
  <c r="N67" i="326"/>
  <c r="M67" i="326"/>
  <c r="L67" i="326"/>
  <c r="K67" i="326"/>
  <c r="I67" i="326"/>
  <c r="H67" i="326"/>
  <c r="G67" i="326"/>
  <c r="F67" i="326"/>
  <c r="D67" i="326"/>
  <c r="V66" i="326"/>
  <c r="T66" i="326"/>
  <c r="S66" i="326"/>
  <c r="P66" i="326"/>
  <c r="O66" i="326"/>
  <c r="N66" i="326"/>
  <c r="M66" i="326"/>
  <c r="L66" i="326"/>
  <c r="K66" i="326"/>
  <c r="I66" i="326"/>
  <c r="H66" i="326"/>
  <c r="G66" i="326"/>
  <c r="F66" i="326"/>
  <c r="D66" i="326"/>
  <c r="AE65" i="326"/>
  <c r="AA65" i="326"/>
  <c r="AN65" i="326" s="1"/>
  <c r="V65" i="326"/>
  <c r="T65" i="326"/>
  <c r="S65" i="326"/>
  <c r="P65" i="326"/>
  <c r="O65" i="326"/>
  <c r="N65" i="326"/>
  <c r="M65" i="326"/>
  <c r="L65" i="326"/>
  <c r="K65" i="326"/>
  <c r="I65" i="326"/>
  <c r="H65" i="326"/>
  <c r="G65" i="326"/>
  <c r="V64" i="326"/>
  <c r="T64" i="326"/>
  <c r="S64" i="326"/>
  <c r="P64" i="326"/>
  <c r="O64" i="326"/>
  <c r="N64" i="326"/>
  <c r="M64" i="326"/>
  <c r="L64" i="326"/>
  <c r="K64" i="326"/>
  <c r="I64" i="326"/>
  <c r="H64" i="326"/>
  <c r="G64" i="326"/>
  <c r="F64" i="326"/>
  <c r="D64" i="326"/>
  <c r="AE63" i="326"/>
  <c r="AA63" i="326"/>
  <c r="V63" i="326"/>
  <c r="T63" i="326"/>
  <c r="S63" i="326"/>
  <c r="P63" i="326"/>
  <c r="O63" i="326"/>
  <c r="N63" i="326"/>
  <c r="M63" i="326"/>
  <c r="L63" i="326"/>
  <c r="K63" i="326"/>
  <c r="I63" i="326"/>
  <c r="H63" i="326"/>
  <c r="G63" i="326"/>
  <c r="F63" i="326"/>
  <c r="D63" i="326"/>
  <c r="V62" i="326"/>
  <c r="T62" i="326"/>
  <c r="S62" i="326"/>
  <c r="P62" i="326"/>
  <c r="O62" i="326"/>
  <c r="N62" i="326"/>
  <c r="M62" i="326"/>
  <c r="L62" i="326"/>
  <c r="K62" i="326"/>
  <c r="I62" i="326"/>
  <c r="H62" i="326"/>
  <c r="G62" i="326"/>
  <c r="F62" i="326"/>
  <c r="D62" i="326"/>
  <c r="AE61" i="326"/>
  <c r="AA61" i="326"/>
  <c r="AO61" i="326" s="1"/>
  <c r="V61" i="326"/>
  <c r="T61" i="326"/>
  <c r="S61" i="326"/>
  <c r="P61" i="326"/>
  <c r="O61" i="326"/>
  <c r="N61" i="326"/>
  <c r="M61" i="326"/>
  <c r="L61" i="326"/>
  <c r="K61" i="326"/>
  <c r="I61" i="326"/>
  <c r="H61" i="326"/>
  <c r="G61" i="326"/>
  <c r="F61" i="326"/>
  <c r="D61" i="326"/>
  <c r="V60" i="326"/>
  <c r="T60" i="326"/>
  <c r="S60" i="326"/>
  <c r="P60" i="326"/>
  <c r="O60" i="326"/>
  <c r="N60" i="326"/>
  <c r="M60" i="326"/>
  <c r="L60" i="326"/>
  <c r="K60" i="326"/>
  <c r="J60" i="326"/>
  <c r="I60" i="326"/>
  <c r="H60" i="326"/>
  <c r="G60" i="326"/>
  <c r="F60" i="326"/>
  <c r="D60" i="326"/>
  <c r="AE59" i="326"/>
  <c r="AA59" i="326"/>
  <c r="V59" i="326"/>
  <c r="T59" i="326"/>
  <c r="U59" i="326" s="1"/>
  <c r="S59" i="326"/>
  <c r="P59" i="326"/>
  <c r="O59" i="326"/>
  <c r="N59" i="326"/>
  <c r="M59" i="326"/>
  <c r="L59" i="326"/>
  <c r="K59" i="326"/>
  <c r="I59" i="326"/>
  <c r="H59" i="326"/>
  <c r="G59" i="326"/>
  <c r="F59" i="326"/>
  <c r="D59" i="326"/>
  <c r="V58" i="326"/>
  <c r="T58" i="326"/>
  <c r="S58" i="326"/>
  <c r="P58" i="326"/>
  <c r="O58" i="326"/>
  <c r="N58" i="326"/>
  <c r="M58" i="326"/>
  <c r="L58" i="326"/>
  <c r="K58" i="326"/>
  <c r="I58" i="326"/>
  <c r="H58" i="326"/>
  <c r="G58" i="326"/>
  <c r="F58" i="326"/>
  <c r="D58" i="326"/>
  <c r="AE57" i="326"/>
  <c r="AA57" i="326"/>
  <c r="V57" i="326"/>
  <c r="T57" i="326"/>
  <c r="S57" i="326"/>
  <c r="P57" i="326"/>
  <c r="O57" i="326"/>
  <c r="N57" i="326"/>
  <c r="M57" i="326"/>
  <c r="L57" i="326"/>
  <c r="K57" i="326"/>
  <c r="I57" i="326"/>
  <c r="H57" i="326"/>
  <c r="G57" i="326"/>
  <c r="F57" i="326"/>
  <c r="D57" i="326"/>
  <c r="V56" i="326"/>
  <c r="T56" i="326"/>
  <c r="S56" i="326"/>
  <c r="P56" i="326"/>
  <c r="O56" i="326"/>
  <c r="N56" i="326"/>
  <c r="M56" i="326"/>
  <c r="L56" i="326"/>
  <c r="K56" i="326"/>
  <c r="I56" i="326"/>
  <c r="H56" i="326"/>
  <c r="G56" i="326"/>
  <c r="F56" i="326"/>
  <c r="D56" i="326"/>
  <c r="V55" i="326"/>
  <c r="T55" i="326"/>
  <c r="S55" i="326"/>
  <c r="P55" i="326"/>
  <c r="V54" i="326"/>
  <c r="T54" i="326"/>
  <c r="S54" i="326"/>
  <c r="P54" i="326"/>
  <c r="AE53" i="326"/>
  <c r="AA53" i="326"/>
  <c r="BJ53" i="326" s="1"/>
  <c r="V53" i="326"/>
  <c r="T53" i="326"/>
  <c r="S53" i="326"/>
  <c r="P53" i="326"/>
  <c r="O53" i="326"/>
  <c r="N53" i="326"/>
  <c r="M53" i="326"/>
  <c r="L53" i="326"/>
  <c r="K53" i="326"/>
  <c r="I53" i="326"/>
  <c r="H53" i="326"/>
  <c r="G53" i="326"/>
  <c r="F53" i="326"/>
  <c r="D53" i="326"/>
  <c r="V52" i="326"/>
  <c r="T52" i="326"/>
  <c r="S52" i="326"/>
  <c r="P52" i="326"/>
  <c r="O52" i="326"/>
  <c r="N52" i="326"/>
  <c r="M52" i="326"/>
  <c r="L52" i="326"/>
  <c r="K52" i="326"/>
  <c r="I52" i="326"/>
  <c r="H52" i="326"/>
  <c r="G52" i="326"/>
  <c r="F52" i="326"/>
  <c r="D52" i="326"/>
  <c r="V51" i="326"/>
  <c r="T51" i="326"/>
  <c r="S51" i="326"/>
  <c r="P51" i="326"/>
  <c r="V50" i="326"/>
  <c r="T50" i="326"/>
  <c r="S50" i="326"/>
  <c r="P50" i="326"/>
  <c r="O50" i="326"/>
  <c r="N50" i="326"/>
  <c r="M50" i="326"/>
  <c r="L50" i="326"/>
  <c r="K50" i="326"/>
  <c r="I50" i="326"/>
  <c r="H50" i="326"/>
  <c r="G50" i="326"/>
  <c r="F50" i="326"/>
  <c r="D50" i="326"/>
  <c r="AE49" i="326"/>
  <c r="AA49" i="326"/>
  <c r="AT49" i="326" s="1"/>
  <c r="V49" i="326"/>
  <c r="T49" i="326"/>
  <c r="S49" i="326"/>
  <c r="P49" i="326"/>
  <c r="O49" i="326"/>
  <c r="N49" i="326"/>
  <c r="M49" i="326"/>
  <c r="L49" i="326"/>
  <c r="K49" i="326"/>
  <c r="I49" i="326"/>
  <c r="H49" i="326"/>
  <c r="G49" i="326"/>
  <c r="F49" i="326"/>
  <c r="D49" i="326"/>
  <c r="V48" i="326"/>
  <c r="T48" i="326"/>
  <c r="S48" i="326"/>
  <c r="V47" i="326"/>
  <c r="T47" i="326"/>
  <c r="S47" i="326"/>
  <c r="P47" i="326"/>
  <c r="V46" i="326"/>
  <c r="T46" i="326"/>
  <c r="S46" i="326"/>
  <c r="P46" i="326"/>
  <c r="O46" i="326"/>
  <c r="N46" i="326"/>
  <c r="M46" i="326"/>
  <c r="L46" i="326"/>
  <c r="K46" i="326"/>
  <c r="I46" i="326"/>
  <c r="H46" i="326"/>
  <c r="G46" i="326"/>
  <c r="F46" i="326"/>
  <c r="D46" i="326"/>
  <c r="AE45" i="326"/>
  <c r="AA45" i="326"/>
  <c r="BG45" i="326" s="1"/>
  <c r="V45" i="326"/>
  <c r="T45" i="326"/>
  <c r="S45" i="326"/>
  <c r="P45" i="326"/>
  <c r="O45" i="326"/>
  <c r="N45" i="326"/>
  <c r="M45" i="326"/>
  <c r="L45" i="326"/>
  <c r="K45" i="326"/>
  <c r="I45" i="326"/>
  <c r="H45" i="326"/>
  <c r="G45" i="326"/>
  <c r="F45" i="326"/>
  <c r="D45" i="326"/>
  <c r="V44" i="326"/>
  <c r="T44" i="326"/>
  <c r="S44" i="326"/>
  <c r="P44" i="326"/>
  <c r="O44" i="326"/>
  <c r="N44" i="326"/>
  <c r="M44" i="326"/>
  <c r="L44" i="326"/>
  <c r="K44" i="326"/>
  <c r="J44" i="326"/>
  <c r="I44" i="326"/>
  <c r="H44" i="326"/>
  <c r="G44" i="326"/>
  <c r="F44" i="326"/>
  <c r="D44" i="326"/>
  <c r="V43" i="326"/>
  <c r="T43" i="326"/>
  <c r="S43" i="326"/>
  <c r="P43" i="326"/>
  <c r="O43" i="326"/>
  <c r="N43" i="326"/>
  <c r="M43" i="326"/>
  <c r="L43" i="326"/>
  <c r="K43" i="326"/>
  <c r="J43" i="326"/>
  <c r="I43" i="326"/>
  <c r="H43" i="326"/>
  <c r="G43" i="326"/>
  <c r="F43" i="326"/>
  <c r="D43" i="326"/>
  <c r="V42" i="326"/>
  <c r="T42" i="326"/>
  <c r="S42" i="326"/>
  <c r="P42" i="326"/>
  <c r="V41" i="326"/>
  <c r="T41" i="326"/>
  <c r="S41" i="326"/>
  <c r="P41" i="326"/>
  <c r="V40" i="326"/>
  <c r="T40" i="326"/>
  <c r="S40" i="326"/>
  <c r="P40" i="326"/>
  <c r="V39" i="326"/>
  <c r="T39" i="326"/>
  <c r="S39" i="326"/>
  <c r="P39" i="326"/>
  <c r="V38" i="326"/>
  <c r="T38" i="326"/>
  <c r="S38" i="326"/>
  <c r="P38" i="326"/>
  <c r="V37" i="326"/>
  <c r="T37" i="326"/>
  <c r="S37" i="326"/>
  <c r="P37" i="326"/>
  <c r="V36" i="326"/>
  <c r="T36" i="326"/>
  <c r="S36" i="326"/>
  <c r="P36" i="326"/>
  <c r="O36" i="326"/>
  <c r="N36" i="326"/>
  <c r="M36" i="326"/>
  <c r="L36" i="326"/>
  <c r="K36" i="326"/>
  <c r="I36" i="326"/>
  <c r="H36" i="326"/>
  <c r="G36" i="326"/>
  <c r="F36" i="326"/>
  <c r="D36" i="326"/>
  <c r="AE35" i="326"/>
  <c r="AA35" i="326"/>
  <c r="BM35" i="326" s="1"/>
  <c r="V35" i="326"/>
  <c r="T35" i="326"/>
  <c r="S35" i="326"/>
  <c r="P35" i="326"/>
  <c r="O35" i="326"/>
  <c r="N35" i="326"/>
  <c r="M35" i="326"/>
  <c r="L35" i="326"/>
  <c r="K35" i="326"/>
  <c r="I35" i="326"/>
  <c r="H35" i="326"/>
  <c r="G35" i="326"/>
  <c r="F35" i="326"/>
  <c r="D35" i="326"/>
  <c r="V34" i="326"/>
  <c r="T34" i="326"/>
  <c r="S34" i="326"/>
  <c r="P34" i="326"/>
  <c r="O34" i="326"/>
  <c r="N34" i="326"/>
  <c r="M34" i="326"/>
  <c r="L34" i="326"/>
  <c r="K34" i="326"/>
  <c r="J34" i="326"/>
  <c r="I34" i="326"/>
  <c r="H34" i="326"/>
  <c r="G34" i="326"/>
  <c r="F34" i="326"/>
  <c r="D34" i="326"/>
  <c r="AE33" i="326"/>
  <c r="AA33" i="326"/>
  <c r="BI33" i="326" s="1"/>
  <c r="V33" i="326"/>
  <c r="T33" i="326"/>
  <c r="S33" i="326"/>
  <c r="P33" i="326"/>
  <c r="O33" i="326"/>
  <c r="N33" i="326"/>
  <c r="M33" i="326"/>
  <c r="L33" i="326"/>
  <c r="K33" i="326"/>
  <c r="I33" i="326"/>
  <c r="H33" i="326"/>
  <c r="G33" i="326"/>
  <c r="F33" i="326"/>
  <c r="D33" i="326"/>
  <c r="V32" i="326"/>
  <c r="T32" i="326"/>
  <c r="S32" i="326"/>
  <c r="P32" i="326"/>
  <c r="O32" i="326"/>
  <c r="N32" i="326"/>
  <c r="M32" i="326"/>
  <c r="L32" i="326"/>
  <c r="K32" i="326"/>
  <c r="I32" i="326"/>
  <c r="H32" i="326"/>
  <c r="G32" i="326"/>
  <c r="F32" i="326"/>
  <c r="D32" i="326"/>
  <c r="AE31" i="326"/>
  <c r="AA31" i="326"/>
  <c r="V31" i="326"/>
  <c r="T31" i="326"/>
  <c r="U31" i="326" s="1"/>
  <c r="S31" i="326"/>
  <c r="P31" i="326"/>
  <c r="O31" i="326"/>
  <c r="N31" i="326"/>
  <c r="M31" i="326"/>
  <c r="L31" i="326"/>
  <c r="K31" i="326"/>
  <c r="J31" i="326"/>
  <c r="I31" i="326"/>
  <c r="H31" i="326"/>
  <c r="G31" i="326"/>
  <c r="F31" i="326"/>
  <c r="D31" i="326"/>
  <c r="V30" i="326"/>
  <c r="T30" i="326"/>
  <c r="S30" i="326"/>
  <c r="P30" i="326"/>
  <c r="O30" i="326"/>
  <c r="N30" i="326"/>
  <c r="M30" i="326"/>
  <c r="L30" i="326"/>
  <c r="K30" i="326"/>
  <c r="I30" i="326"/>
  <c r="H30" i="326"/>
  <c r="G30" i="326"/>
  <c r="F30" i="326"/>
  <c r="D30" i="326"/>
  <c r="AE29" i="326"/>
  <c r="AA29" i="326"/>
  <c r="AQ29" i="326" s="1"/>
  <c r="V29" i="326"/>
  <c r="T29" i="326"/>
  <c r="S29" i="326"/>
  <c r="P29" i="326"/>
  <c r="O29" i="326"/>
  <c r="N29" i="326"/>
  <c r="M29" i="326"/>
  <c r="L29" i="326"/>
  <c r="K29" i="326"/>
  <c r="I29" i="326"/>
  <c r="H29" i="326"/>
  <c r="G29" i="326"/>
  <c r="F29" i="326"/>
  <c r="D29" i="326"/>
  <c r="V28" i="326"/>
  <c r="T28" i="326"/>
  <c r="S28" i="326"/>
  <c r="J28" i="326"/>
  <c r="AA27" i="326"/>
  <c r="Y27" i="326"/>
  <c r="Z27" i="326" s="1"/>
  <c r="V27" i="326"/>
  <c r="T27" i="326"/>
  <c r="S27" i="326"/>
  <c r="V26" i="326"/>
  <c r="T26" i="326"/>
  <c r="S26" i="326"/>
  <c r="AA25" i="326"/>
  <c r="Y25" i="326"/>
  <c r="Z25" i="326" s="1"/>
  <c r="V25" i="326"/>
  <c r="T25" i="326"/>
  <c r="S25" i="326"/>
  <c r="AE24" i="326"/>
  <c r="AA24" i="326"/>
  <c r="V24" i="326"/>
  <c r="T24" i="326"/>
  <c r="S24" i="326"/>
  <c r="P24" i="326"/>
  <c r="O24" i="326"/>
  <c r="N24" i="326"/>
  <c r="M24" i="326"/>
  <c r="L24" i="326"/>
  <c r="K24" i="326"/>
  <c r="J24" i="326"/>
  <c r="I24" i="326"/>
  <c r="H24" i="326"/>
  <c r="G24" i="326"/>
  <c r="F24" i="326"/>
  <c r="D24" i="326"/>
  <c r="C24" i="326"/>
  <c r="C29" i="326" s="1"/>
  <c r="C31" i="326" s="1"/>
  <c r="C33" i="326" s="1"/>
  <c r="C35" i="326" s="1"/>
  <c r="C45" i="326" s="1"/>
  <c r="C49" i="326" s="1"/>
  <c r="C53" i="326" s="1"/>
  <c r="C57" i="326" s="1"/>
  <c r="C59" i="326" s="1"/>
  <c r="C61" i="326" s="1"/>
  <c r="C63" i="326" s="1"/>
  <c r="C65" i="326" s="1"/>
  <c r="C67" i="326" s="1"/>
  <c r="C69" i="326" s="1"/>
  <c r="C71" i="326" s="1"/>
  <c r="C73" i="326" s="1"/>
  <c r="C75" i="326" s="1"/>
  <c r="C77" i="326" s="1"/>
  <c r="C79" i="326" s="1"/>
  <c r="C81" i="326" s="1"/>
  <c r="C83" i="326" s="1"/>
  <c r="C85" i="326" s="1"/>
  <c r="C87" i="326" s="1"/>
  <c r="C89" i="326" s="1"/>
  <c r="C91" i="326" s="1"/>
  <c r="C93" i="326" s="1"/>
  <c r="C95" i="326" s="1"/>
  <c r="C97" i="326" s="1"/>
  <c r="C99" i="326" s="1"/>
  <c r="C101" i="326" s="1"/>
  <c r="C103" i="326" s="1"/>
  <c r="C105" i="326" s="1"/>
  <c r="C107" i="326" s="1"/>
  <c r="C109" i="326" s="1"/>
  <c r="C111" i="326" s="1"/>
  <c r="V23" i="326"/>
  <c r="T23" i="326"/>
  <c r="S23" i="326"/>
  <c r="P23" i="326"/>
  <c r="N23" i="326"/>
  <c r="M23" i="326"/>
  <c r="L23" i="326"/>
  <c r="K23" i="326"/>
  <c r="J23" i="326"/>
  <c r="I23" i="326"/>
  <c r="H23" i="326"/>
  <c r="G23" i="326"/>
  <c r="F23" i="326"/>
  <c r="D23" i="326"/>
  <c r="V22" i="326"/>
  <c r="T22" i="326"/>
  <c r="S22" i="326"/>
  <c r="P22" i="326"/>
  <c r="V21" i="326"/>
  <c r="T21" i="326"/>
  <c r="S21" i="326"/>
  <c r="P21" i="326"/>
  <c r="N21" i="326"/>
  <c r="M21" i="326"/>
  <c r="L21" i="326"/>
  <c r="K21" i="326"/>
  <c r="J21" i="326"/>
  <c r="I21" i="326"/>
  <c r="H21" i="326"/>
  <c r="G21" i="326"/>
  <c r="F21" i="326"/>
  <c r="D21" i="326"/>
  <c r="V20" i="326"/>
  <c r="T20" i="326"/>
  <c r="S20" i="326"/>
  <c r="P20" i="326"/>
  <c r="V19" i="326"/>
  <c r="T19" i="326"/>
  <c r="S19" i="326"/>
  <c r="P19" i="326"/>
  <c r="N19" i="326"/>
  <c r="M19" i="326"/>
  <c r="L19" i="326"/>
  <c r="K19" i="326"/>
  <c r="J19" i="326"/>
  <c r="I19" i="326"/>
  <c r="H19" i="326"/>
  <c r="G19" i="326"/>
  <c r="F19" i="326"/>
  <c r="D19" i="326"/>
  <c r="V18" i="326"/>
  <c r="T18" i="326"/>
  <c r="S18" i="326"/>
  <c r="P18" i="326"/>
  <c r="N18" i="326"/>
  <c r="M18" i="326"/>
  <c r="L18" i="326"/>
  <c r="K18" i="326"/>
  <c r="J18" i="326"/>
  <c r="I18" i="326"/>
  <c r="H18" i="326"/>
  <c r="G18" i="326"/>
  <c r="F18" i="326"/>
  <c r="D18" i="326"/>
  <c r="V17" i="326"/>
  <c r="T17" i="326"/>
  <c r="S17" i="326"/>
  <c r="P17" i="326"/>
  <c r="N17" i="326"/>
  <c r="M17" i="326"/>
  <c r="L17" i="326"/>
  <c r="K17" i="326"/>
  <c r="J17" i="326"/>
  <c r="I17" i="326"/>
  <c r="H17" i="326"/>
  <c r="G17" i="326"/>
  <c r="F17" i="326"/>
  <c r="D17" i="326"/>
  <c r="V16" i="326"/>
  <c r="T16" i="326"/>
  <c r="S16" i="326"/>
  <c r="P16" i="326"/>
  <c r="N16" i="326"/>
  <c r="M16" i="326"/>
  <c r="L16" i="326"/>
  <c r="K16" i="326"/>
  <c r="J16" i="326"/>
  <c r="I16" i="326"/>
  <c r="H16" i="326"/>
  <c r="G16" i="326"/>
  <c r="F16" i="326"/>
  <c r="D16" i="326"/>
  <c r="V15" i="326"/>
  <c r="T15" i="326"/>
  <c r="S15" i="326"/>
  <c r="P15" i="326"/>
  <c r="N15" i="326"/>
  <c r="M15" i="326"/>
  <c r="L15" i="326"/>
  <c r="K15" i="326"/>
  <c r="J15" i="326"/>
  <c r="I15" i="326"/>
  <c r="H15" i="326"/>
  <c r="G15" i="326"/>
  <c r="F15" i="326"/>
  <c r="D15" i="326"/>
  <c r="V14" i="326"/>
  <c r="T14" i="326"/>
  <c r="S14" i="326"/>
  <c r="P14" i="326"/>
  <c r="N14" i="326"/>
  <c r="M14" i="326"/>
  <c r="L14" i="326"/>
  <c r="K14" i="326"/>
  <c r="J14" i="326"/>
  <c r="I14" i="326"/>
  <c r="H14" i="326"/>
  <c r="G14" i="326"/>
  <c r="F14" i="326"/>
  <c r="D14" i="326"/>
  <c r="V13" i="326"/>
  <c r="T13" i="326"/>
  <c r="S13" i="326"/>
  <c r="P13" i="326"/>
  <c r="V12" i="326"/>
  <c r="T12" i="326"/>
  <c r="S12" i="326"/>
  <c r="P12" i="326"/>
  <c r="N12" i="326"/>
  <c r="M12" i="326"/>
  <c r="L12" i="326"/>
  <c r="K12" i="326"/>
  <c r="J12" i="326"/>
  <c r="I12" i="326"/>
  <c r="H12" i="326"/>
  <c r="G12" i="326"/>
  <c r="F12" i="326"/>
  <c r="D12" i="326"/>
  <c r="V11" i="326"/>
  <c r="T11" i="326"/>
  <c r="S11" i="326"/>
  <c r="P11" i="326"/>
  <c r="V10" i="326"/>
  <c r="T10" i="326"/>
  <c r="S10" i="326"/>
  <c r="P10" i="326"/>
  <c r="N10" i="326"/>
  <c r="M10" i="326"/>
  <c r="L10" i="326"/>
  <c r="K10" i="326"/>
  <c r="J10" i="326"/>
  <c r="I10" i="326"/>
  <c r="H10" i="326"/>
  <c r="G10" i="326"/>
  <c r="F10" i="326"/>
  <c r="D10" i="326"/>
  <c r="V9" i="326"/>
  <c r="T9" i="326"/>
  <c r="S9" i="326"/>
  <c r="P9" i="326"/>
  <c r="N9" i="326"/>
  <c r="M9" i="326"/>
  <c r="L9" i="326"/>
  <c r="K9" i="326"/>
  <c r="J9" i="326"/>
  <c r="I9" i="326"/>
  <c r="H9" i="326"/>
  <c r="G9" i="326"/>
  <c r="F9" i="326"/>
  <c r="D9" i="326"/>
  <c r="V8" i="326"/>
  <c r="T8" i="326"/>
  <c r="S8" i="326"/>
  <c r="P8" i="326"/>
  <c r="O8" i="326"/>
  <c r="N8" i="326"/>
  <c r="M8" i="326"/>
  <c r="L8" i="326"/>
  <c r="K8" i="326"/>
  <c r="J8" i="326"/>
  <c r="I8" i="326"/>
  <c r="H8" i="326"/>
  <c r="G8" i="326"/>
  <c r="F8" i="326"/>
  <c r="D8" i="326"/>
  <c r="V7" i="326"/>
  <c r="T7" i="326"/>
  <c r="S7" i="326"/>
  <c r="P7" i="326"/>
  <c r="O7" i="326"/>
  <c r="N7" i="326"/>
  <c r="M7" i="326"/>
  <c r="L7" i="326"/>
  <c r="K7" i="326"/>
  <c r="J7" i="326"/>
  <c r="I7" i="326"/>
  <c r="H7" i="326"/>
  <c r="G7" i="326"/>
  <c r="F7" i="326"/>
  <c r="D7" i="326"/>
  <c r="V6" i="326"/>
  <c r="T6" i="326"/>
  <c r="S6" i="326"/>
  <c r="P6" i="326"/>
  <c r="O6" i="326"/>
  <c r="N6" i="326"/>
  <c r="M6" i="326"/>
  <c r="L6" i="326"/>
  <c r="K6" i="326"/>
  <c r="J6" i="326"/>
  <c r="I6" i="326"/>
  <c r="H6" i="326"/>
  <c r="G6" i="326"/>
  <c r="F6" i="326"/>
  <c r="D6" i="326"/>
  <c r="AE5" i="326"/>
  <c r="AA5" i="326"/>
  <c r="AT5" i="326" s="1"/>
  <c r="V5" i="326"/>
  <c r="T5" i="326"/>
  <c r="S5" i="326"/>
  <c r="P5" i="326"/>
  <c r="N5" i="326"/>
  <c r="M5" i="326"/>
  <c r="L5" i="326"/>
  <c r="K5" i="326"/>
  <c r="I5" i="326"/>
  <c r="H5" i="326"/>
  <c r="G5" i="326"/>
  <c r="F5" i="326"/>
  <c r="D5" i="326"/>
  <c r="AX38" i="319"/>
  <c r="AW38" i="319"/>
  <c r="AF38" i="319"/>
  <c r="AE38" i="319"/>
  <c r="E38" i="319"/>
  <c r="N37" i="319"/>
  <c r="J37" i="319"/>
  <c r="N36" i="319"/>
  <c r="J36" i="319"/>
  <c r="N35" i="319"/>
  <c r="J35" i="319"/>
  <c r="N34" i="319"/>
  <c r="J34" i="319"/>
  <c r="J31" i="319"/>
  <c r="J9" i="319"/>
  <c r="N31" i="319"/>
  <c r="N9" i="319"/>
  <c r="G30" i="262"/>
  <c r="AV38" i="262"/>
  <c r="K5" i="262"/>
  <c r="K11" i="262"/>
  <c r="K22" i="262"/>
  <c r="K23" i="262"/>
  <c r="K26" i="262"/>
  <c r="K27" i="262"/>
  <c r="K28" i="262"/>
  <c r="K29" i="262"/>
  <c r="K32" i="262"/>
  <c r="K33" i="262"/>
  <c r="K34" i="262"/>
  <c r="K35" i="262"/>
  <c r="I114" i="301"/>
  <c r="I115" i="301"/>
  <c r="I116" i="301"/>
  <c r="C102" i="301"/>
  <c r="D102" i="301"/>
  <c r="E102" i="301"/>
  <c r="F102" i="301"/>
  <c r="G102" i="301"/>
  <c r="H102" i="301"/>
  <c r="I102" i="301"/>
  <c r="J102" i="301"/>
  <c r="K102" i="301"/>
  <c r="L102" i="301"/>
  <c r="C103" i="301"/>
  <c r="D103" i="301"/>
  <c r="E103" i="301"/>
  <c r="F103" i="301"/>
  <c r="G103" i="301"/>
  <c r="H103" i="301"/>
  <c r="I103" i="301"/>
  <c r="J103" i="301"/>
  <c r="K103" i="301"/>
  <c r="L103" i="301"/>
  <c r="C104" i="301"/>
  <c r="D104" i="301"/>
  <c r="E104" i="301"/>
  <c r="F104" i="301"/>
  <c r="G104" i="301"/>
  <c r="H104" i="301"/>
  <c r="J104" i="301"/>
  <c r="K104" i="301"/>
  <c r="L104" i="301"/>
  <c r="C105" i="301"/>
  <c r="D105" i="301"/>
  <c r="E105" i="301"/>
  <c r="F105" i="301"/>
  <c r="G105" i="301"/>
  <c r="H105" i="301"/>
  <c r="J105" i="301"/>
  <c r="K105" i="301"/>
  <c r="L105" i="301"/>
  <c r="C106" i="301"/>
  <c r="D106" i="301"/>
  <c r="E106" i="301"/>
  <c r="F106" i="301"/>
  <c r="G106" i="301"/>
  <c r="H106" i="301"/>
  <c r="I106" i="301"/>
  <c r="J106" i="301"/>
  <c r="K106" i="301"/>
  <c r="L106" i="301"/>
  <c r="C107" i="301"/>
  <c r="D107" i="301"/>
  <c r="E107" i="301"/>
  <c r="F107" i="301"/>
  <c r="G107" i="301"/>
  <c r="H107" i="301"/>
  <c r="I107" i="301"/>
  <c r="J107" i="301"/>
  <c r="K107" i="301"/>
  <c r="L107" i="301"/>
  <c r="C108" i="301"/>
  <c r="D108" i="301"/>
  <c r="E108" i="301"/>
  <c r="F108" i="301"/>
  <c r="G108" i="301"/>
  <c r="H108" i="301"/>
  <c r="J108" i="301"/>
  <c r="K108" i="301"/>
  <c r="L108" i="301"/>
  <c r="C109" i="301"/>
  <c r="D109" i="301"/>
  <c r="E109" i="301"/>
  <c r="F109" i="301"/>
  <c r="G109" i="301"/>
  <c r="H109" i="301"/>
  <c r="I109" i="301"/>
  <c r="J109" i="301"/>
  <c r="K109" i="301"/>
  <c r="L109" i="301"/>
  <c r="C82" i="301"/>
  <c r="D82" i="301"/>
  <c r="E82" i="301"/>
  <c r="F82" i="301"/>
  <c r="G82" i="301"/>
  <c r="H82" i="301"/>
  <c r="I82" i="301"/>
  <c r="J82" i="301"/>
  <c r="K82" i="301"/>
  <c r="L82" i="301"/>
  <c r="C83" i="301"/>
  <c r="D83" i="301"/>
  <c r="E83" i="301"/>
  <c r="F83" i="301"/>
  <c r="G83" i="301"/>
  <c r="H83" i="301"/>
  <c r="I83" i="301"/>
  <c r="J83" i="301"/>
  <c r="K83" i="301"/>
  <c r="L83" i="301"/>
  <c r="C84" i="301"/>
  <c r="D84" i="301"/>
  <c r="E84" i="301"/>
  <c r="F84" i="301"/>
  <c r="G84" i="301"/>
  <c r="H84" i="301"/>
  <c r="I84" i="301"/>
  <c r="J84" i="301"/>
  <c r="K84" i="301"/>
  <c r="L84" i="301"/>
  <c r="C85" i="301"/>
  <c r="D85" i="301"/>
  <c r="E85" i="301"/>
  <c r="F85" i="301"/>
  <c r="G85" i="301"/>
  <c r="H85" i="301"/>
  <c r="J85" i="301"/>
  <c r="K85" i="301"/>
  <c r="L85" i="301"/>
  <c r="C86" i="301"/>
  <c r="D86" i="301"/>
  <c r="E86" i="301"/>
  <c r="F86" i="301"/>
  <c r="G86" i="301"/>
  <c r="H86" i="301"/>
  <c r="J86" i="301"/>
  <c r="K86" i="301"/>
  <c r="L86" i="301"/>
  <c r="C87" i="301"/>
  <c r="D87" i="301"/>
  <c r="E87" i="301"/>
  <c r="F87" i="301"/>
  <c r="G87" i="301"/>
  <c r="H87" i="301"/>
  <c r="J87" i="301"/>
  <c r="K87" i="301"/>
  <c r="L87" i="301"/>
  <c r="C88" i="301"/>
  <c r="D88" i="301"/>
  <c r="E88" i="301"/>
  <c r="F88" i="301"/>
  <c r="G88" i="301"/>
  <c r="H88" i="301"/>
  <c r="J88" i="301"/>
  <c r="K88" i="301"/>
  <c r="L88" i="301"/>
  <c r="C89" i="301"/>
  <c r="D89" i="301"/>
  <c r="E89" i="301"/>
  <c r="F89" i="301"/>
  <c r="G89" i="301"/>
  <c r="H89" i="301"/>
  <c r="J89" i="301"/>
  <c r="K89" i="301"/>
  <c r="L89" i="301"/>
  <c r="C90" i="301"/>
  <c r="D90" i="301"/>
  <c r="E90" i="301"/>
  <c r="F90" i="301"/>
  <c r="G90" i="301"/>
  <c r="H90" i="301"/>
  <c r="I90" i="301"/>
  <c r="J90" i="301"/>
  <c r="K90" i="301"/>
  <c r="L90" i="301"/>
  <c r="C91" i="301"/>
  <c r="D91" i="301"/>
  <c r="E91" i="301"/>
  <c r="F91" i="301"/>
  <c r="G91" i="301"/>
  <c r="H91" i="301"/>
  <c r="I91" i="301"/>
  <c r="J91" i="301"/>
  <c r="K91" i="301"/>
  <c r="L91" i="301"/>
  <c r="C92" i="301"/>
  <c r="D92" i="301"/>
  <c r="E92" i="301"/>
  <c r="F92" i="301"/>
  <c r="G92" i="301"/>
  <c r="H92" i="301"/>
  <c r="I92" i="301"/>
  <c r="J92" i="301"/>
  <c r="K92" i="301"/>
  <c r="L92" i="301"/>
  <c r="C93" i="301"/>
  <c r="D93" i="301"/>
  <c r="E93" i="301"/>
  <c r="F93" i="301"/>
  <c r="G93" i="301"/>
  <c r="H93" i="301"/>
  <c r="J93" i="301"/>
  <c r="K93" i="301"/>
  <c r="L93" i="301"/>
  <c r="C94" i="301"/>
  <c r="D94" i="301"/>
  <c r="E94" i="301"/>
  <c r="F94" i="301"/>
  <c r="G94" i="301"/>
  <c r="H94" i="301"/>
  <c r="J94" i="301"/>
  <c r="K94" i="301"/>
  <c r="L94" i="301"/>
  <c r="C95" i="301"/>
  <c r="D95" i="301"/>
  <c r="E95" i="301"/>
  <c r="F95" i="301"/>
  <c r="G95" i="301"/>
  <c r="H95" i="301"/>
  <c r="J95" i="301"/>
  <c r="K95" i="301"/>
  <c r="L95" i="301"/>
  <c r="C96" i="301"/>
  <c r="D96" i="301"/>
  <c r="E96" i="301"/>
  <c r="F96" i="301"/>
  <c r="G96" i="301"/>
  <c r="H96" i="301"/>
  <c r="J96" i="301"/>
  <c r="K96" i="301"/>
  <c r="L96" i="301"/>
  <c r="C97" i="301"/>
  <c r="D97" i="301"/>
  <c r="E97" i="301"/>
  <c r="F97" i="301"/>
  <c r="G97" i="301"/>
  <c r="H97" i="301"/>
  <c r="J97" i="301"/>
  <c r="K97" i="301"/>
  <c r="L97" i="301"/>
  <c r="C98" i="301"/>
  <c r="D98" i="301"/>
  <c r="E98" i="301"/>
  <c r="F98" i="301"/>
  <c r="G98" i="301"/>
  <c r="H98" i="301"/>
  <c r="I98" i="301"/>
  <c r="J98" i="301"/>
  <c r="K98" i="301"/>
  <c r="L98" i="301"/>
  <c r="I74" i="301"/>
  <c r="I75" i="301"/>
  <c r="I76" i="301"/>
  <c r="C63" i="301"/>
  <c r="D63" i="301"/>
  <c r="E63" i="301"/>
  <c r="F63" i="301"/>
  <c r="G63" i="301"/>
  <c r="H63" i="301"/>
  <c r="I63" i="301"/>
  <c r="J63" i="301"/>
  <c r="K63" i="301"/>
  <c r="L63" i="301"/>
  <c r="C64" i="301"/>
  <c r="D64" i="301"/>
  <c r="E64" i="301"/>
  <c r="F64" i="301"/>
  <c r="G64" i="301"/>
  <c r="H64" i="301"/>
  <c r="I64" i="301"/>
  <c r="J64" i="301"/>
  <c r="K64" i="301"/>
  <c r="L64" i="301"/>
  <c r="C65" i="301"/>
  <c r="D65" i="301"/>
  <c r="E65" i="301"/>
  <c r="F65" i="301"/>
  <c r="G65" i="301"/>
  <c r="H65" i="301"/>
  <c r="J65" i="301"/>
  <c r="K65" i="301"/>
  <c r="L65" i="301"/>
  <c r="C66" i="301"/>
  <c r="D66" i="301"/>
  <c r="E66" i="301"/>
  <c r="F66" i="301"/>
  <c r="G66" i="301"/>
  <c r="H66" i="301"/>
  <c r="J66" i="301"/>
  <c r="K66" i="301"/>
  <c r="L66" i="301"/>
  <c r="C67" i="301"/>
  <c r="D67" i="301"/>
  <c r="E67" i="301"/>
  <c r="F67" i="301"/>
  <c r="G67" i="301"/>
  <c r="H67" i="301"/>
  <c r="I67" i="301"/>
  <c r="J67" i="301"/>
  <c r="K67" i="301"/>
  <c r="L67" i="301"/>
  <c r="C68" i="301"/>
  <c r="D68" i="301"/>
  <c r="E68" i="301"/>
  <c r="F68" i="301"/>
  <c r="G68" i="301"/>
  <c r="H68" i="301"/>
  <c r="I68" i="301"/>
  <c r="J68" i="301"/>
  <c r="K68" i="301"/>
  <c r="L68" i="301"/>
  <c r="C69" i="301"/>
  <c r="D69" i="301"/>
  <c r="E69" i="301"/>
  <c r="F69" i="301"/>
  <c r="G69" i="301"/>
  <c r="H69" i="301"/>
  <c r="J69" i="301"/>
  <c r="K69" i="301"/>
  <c r="L69" i="301"/>
  <c r="C70" i="301"/>
  <c r="D70" i="301"/>
  <c r="E70" i="301"/>
  <c r="F70" i="301"/>
  <c r="G70" i="301"/>
  <c r="H70" i="301"/>
  <c r="I70" i="301"/>
  <c r="J70" i="301"/>
  <c r="K70" i="301"/>
  <c r="L70" i="301"/>
  <c r="C43" i="301"/>
  <c r="D43" i="301"/>
  <c r="E43" i="301"/>
  <c r="F43" i="301"/>
  <c r="G43" i="301"/>
  <c r="H43" i="301"/>
  <c r="I43" i="301"/>
  <c r="J43" i="301"/>
  <c r="K43" i="301"/>
  <c r="L43" i="301"/>
  <c r="C44" i="301"/>
  <c r="D44" i="301"/>
  <c r="E44" i="301"/>
  <c r="F44" i="301"/>
  <c r="G44" i="301"/>
  <c r="H44" i="301"/>
  <c r="I44" i="301"/>
  <c r="J44" i="301"/>
  <c r="K44" i="301"/>
  <c r="L44" i="301"/>
  <c r="C45" i="301"/>
  <c r="D45" i="301"/>
  <c r="E45" i="301"/>
  <c r="F45" i="301"/>
  <c r="G45" i="301"/>
  <c r="H45" i="301"/>
  <c r="I45" i="301"/>
  <c r="J45" i="301"/>
  <c r="K45" i="301"/>
  <c r="L45" i="301"/>
  <c r="C46" i="301"/>
  <c r="D46" i="301"/>
  <c r="E46" i="301"/>
  <c r="F46" i="301"/>
  <c r="G46" i="301"/>
  <c r="H46" i="301"/>
  <c r="J46" i="301"/>
  <c r="K46" i="301"/>
  <c r="L46" i="301"/>
  <c r="C47" i="301"/>
  <c r="D47" i="301"/>
  <c r="E47" i="301"/>
  <c r="F47" i="301"/>
  <c r="G47" i="301"/>
  <c r="H47" i="301"/>
  <c r="J47" i="301"/>
  <c r="K47" i="301"/>
  <c r="L47" i="301"/>
  <c r="C48" i="301"/>
  <c r="D48" i="301"/>
  <c r="E48" i="301"/>
  <c r="F48" i="301"/>
  <c r="G48" i="301"/>
  <c r="H48" i="301"/>
  <c r="J48" i="301"/>
  <c r="K48" i="301"/>
  <c r="L48" i="301"/>
  <c r="C49" i="301"/>
  <c r="D49" i="301"/>
  <c r="E49" i="301"/>
  <c r="F49" i="301"/>
  <c r="G49" i="301"/>
  <c r="H49" i="301"/>
  <c r="J49" i="301"/>
  <c r="K49" i="301"/>
  <c r="L49" i="301"/>
  <c r="C50" i="301"/>
  <c r="D50" i="301"/>
  <c r="E50" i="301"/>
  <c r="F50" i="301"/>
  <c r="G50" i="301"/>
  <c r="H50" i="301"/>
  <c r="J50" i="301"/>
  <c r="K50" i="301"/>
  <c r="L50" i="301"/>
  <c r="C51" i="301"/>
  <c r="D51" i="301"/>
  <c r="E51" i="301"/>
  <c r="F51" i="301"/>
  <c r="G51" i="301"/>
  <c r="H51" i="301"/>
  <c r="I51" i="301"/>
  <c r="J51" i="301"/>
  <c r="K51" i="301"/>
  <c r="L51" i="301"/>
  <c r="C52" i="301"/>
  <c r="D52" i="301"/>
  <c r="E52" i="301"/>
  <c r="F52" i="301"/>
  <c r="G52" i="301"/>
  <c r="H52" i="301"/>
  <c r="I52" i="301"/>
  <c r="J52" i="301"/>
  <c r="K52" i="301"/>
  <c r="L52" i="301"/>
  <c r="C53" i="301"/>
  <c r="D53" i="301"/>
  <c r="E53" i="301"/>
  <c r="F53" i="301"/>
  <c r="G53" i="301"/>
  <c r="H53" i="301"/>
  <c r="I53" i="301"/>
  <c r="J53" i="301"/>
  <c r="K53" i="301"/>
  <c r="L53" i="301"/>
  <c r="C54" i="301"/>
  <c r="D54" i="301"/>
  <c r="E54" i="301"/>
  <c r="F54" i="301"/>
  <c r="G54" i="301"/>
  <c r="H54" i="301"/>
  <c r="J54" i="301"/>
  <c r="K54" i="301"/>
  <c r="L54" i="301"/>
  <c r="C55" i="301"/>
  <c r="D55" i="301"/>
  <c r="E55" i="301"/>
  <c r="F55" i="301"/>
  <c r="G55" i="301"/>
  <c r="H55" i="301"/>
  <c r="J55" i="301"/>
  <c r="K55" i="301"/>
  <c r="L55" i="301"/>
  <c r="C56" i="301"/>
  <c r="D56" i="301"/>
  <c r="E56" i="301"/>
  <c r="F56" i="301"/>
  <c r="G56" i="301"/>
  <c r="H56" i="301"/>
  <c r="J56" i="301"/>
  <c r="K56" i="301"/>
  <c r="L56" i="301"/>
  <c r="C57" i="301"/>
  <c r="D57" i="301"/>
  <c r="E57" i="301"/>
  <c r="F57" i="301"/>
  <c r="G57" i="301"/>
  <c r="H57" i="301"/>
  <c r="J57" i="301"/>
  <c r="K57" i="301"/>
  <c r="L57" i="301"/>
  <c r="C58" i="301"/>
  <c r="D58" i="301"/>
  <c r="E58" i="301"/>
  <c r="F58" i="301"/>
  <c r="G58" i="301"/>
  <c r="H58" i="301"/>
  <c r="J58" i="301"/>
  <c r="K58" i="301"/>
  <c r="L58" i="301"/>
  <c r="C59" i="301"/>
  <c r="D59" i="301"/>
  <c r="E59" i="301"/>
  <c r="F59" i="301"/>
  <c r="G59" i="301"/>
  <c r="H59" i="301"/>
  <c r="I59" i="301"/>
  <c r="J59" i="301"/>
  <c r="K59" i="301"/>
  <c r="L59" i="301"/>
  <c r="E30" i="301"/>
  <c r="E29" i="301"/>
  <c r="E28" i="301"/>
  <c r="E27" i="301"/>
  <c r="E25" i="301"/>
  <c r="E24" i="301"/>
  <c r="Q119" i="296"/>
  <c r="Q118" i="296"/>
  <c r="BN117" i="296"/>
  <c r="BN123" i="296" s="1"/>
  <c r="Q117" i="296"/>
  <c r="U116" i="296"/>
  <c r="T116" i="296"/>
  <c r="P116" i="296"/>
  <c r="O116" i="296"/>
  <c r="N116" i="296"/>
  <c r="M116" i="296"/>
  <c r="L116" i="296"/>
  <c r="K116" i="296"/>
  <c r="J116" i="296"/>
  <c r="I116" i="296"/>
  <c r="H116" i="296"/>
  <c r="G116" i="296"/>
  <c r="F116" i="296"/>
  <c r="D116" i="296"/>
  <c r="U115" i="296"/>
  <c r="T115" i="296"/>
  <c r="O115" i="296"/>
  <c r="N115" i="296"/>
  <c r="M115" i="296"/>
  <c r="L115" i="296"/>
  <c r="K115" i="296"/>
  <c r="J115" i="296"/>
  <c r="I115" i="296"/>
  <c r="H115" i="296"/>
  <c r="G115" i="296"/>
  <c r="F115" i="296"/>
  <c r="D115" i="296"/>
  <c r="AA114" i="296"/>
  <c r="AK114" i="296" s="1"/>
  <c r="U114" i="296"/>
  <c r="T114" i="296"/>
  <c r="P114" i="296"/>
  <c r="O114" i="296"/>
  <c r="N114" i="296"/>
  <c r="M114" i="296"/>
  <c r="L114" i="296"/>
  <c r="K114" i="296"/>
  <c r="J114" i="296"/>
  <c r="I114" i="296"/>
  <c r="H114" i="296"/>
  <c r="G114" i="296"/>
  <c r="F114" i="296"/>
  <c r="U113" i="296"/>
  <c r="T113" i="296"/>
  <c r="P113" i="296"/>
  <c r="O113" i="296"/>
  <c r="N113" i="296"/>
  <c r="M113" i="296"/>
  <c r="L113" i="296"/>
  <c r="K113" i="296"/>
  <c r="J113" i="296"/>
  <c r="I113" i="296"/>
  <c r="H113" i="296"/>
  <c r="G113" i="296"/>
  <c r="F113" i="296"/>
  <c r="D113" i="296"/>
  <c r="AA112" i="296"/>
  <c r="U112" i="296"/>
  <c r="T112" i="296"/>
  <c r="P112" i="296"/>
  <c r="O112" i="296"/>
  <c r="N112" i="296"/>
  <c r="M112" i="296"/>
  <c r="L112" i="296"/>
  <c r="K112" i="296"/>
  <c r="J112" i="296"/>
  <c r="I112" i="296"/>
  <c r="H112" i="296"/>
  <c r="G112" i="296"/>
  <c r="F112" i="296"/>
  <c r="D112" i="296"/>
  <c r="U111" i="296"/>
  <c r="T111" i="296"/>
  <c r="P111" i="296"/>
  <c r="O111" i="296"/>
  <c r="N111" i="296"/>
  <c r="M111" i="296"/>
  <c r="L111" i="296"/>
  <c r="K111" i="296"/>
  <c r="J111" i="296"/>
  <c r="I111" i="296"/>
  <c r="H111" i="296"/>
  <c r="G111" i="296"/>
  <c r="F111" i="296"/>
  <c r="D111" i="296"/>
  <c r="AA110" i="296"/>
  <c r="U110" i="296"/>
  <c r="T110" i="296"/>
  <c r="P110" i="296"/>
  <c r="O110" i="296"/>
  <c r="N110" i="296"/>
  <c r="M110" i="296"/>
  <c r="L110" i="296"/>
  <c r="K110" i="296"/>
  <c r="J110" i="296"/>
  <c r="I110" i="296"/>
  <c r="H110" i="296"/>
  <c r="G110" i="296"/>
  <c r="F110" i="296"/>
  <c r="D110" i="296"/>
  <c r="U109" i="296"/>
  <c r="T109" i="296"/>
  <c r="P109" i="296"/>
  <c r="O109" i="296"/>
  <c r="N109" i="296"/>
  <c r="M109" i="296"/>
  <c r="L109" i="296"/>
  <c r="K109" i="296"/>
  <c r="J109" i="296"/>
  <c r="I109" i="296"/>
  <c r="H109" i="296"/>
  <c r="G109" i="296"/>
  <c r="F109" i="296"/>
  <c r="D109" i="296"/>
  <c r="AA108" i="296"/>
  <c r="AO108" i="296" s="1"/>
  <c r="U108" i="296"/>
  <c r="T108" i="296"/>
  <c r="P108" i="296"/>
  <c r="O108" i="296"/>
  <c r="N108" i="296"/>
  <c r="M108" i="296"/>
  <c r="L108" i="296"/>
  <c r="K108" i="296"/>
  <c r="J108" i="296"/>
  <c r="I108" i="296"/>
  <c r="H108" i="296"/>
  <c r="G108" i="296"/>
  <c r="F108" i="296"/>
  <c r="D108" i="296"/>
  <c r="U107" i="296"/>
  <c r="T107" i="296"/>
  <c r="P107" i="296"/>
  <c r="O107" i="296"/>
  <c r="N107" i="296"/>
  <c r="M107" i="296"/>
  <c r="L107" i="296"/>
  <c r="K107" i="296"/>
  <c r="J107" i="296"/>
  <c r="I107" i="296"/>
  <c r="H107" i="296"/>
  <c r="G107" i="296"/>
  <c r="F107" i="296"/>
  <c r="D107" i="296"/>
  <c r="AA106" i="296"/>
  <c r="BI106" i="296" s="1"/>
  <c r="U106" i="296"/>
  <c r="T106" i="296"/>
  <c r="P106" i="296"/>
  <c r="O106" i="296"/>
  <c r="N106" i="296"/>
  <c r="M106" i="296"/>
  <c r="L106" i="296"/>
  <c r="K106" i="296"/>
  <c r="J106" i="296"/>
  <c r="I106" i="296"/>
  <c r="H106" i="296"/>
  <c r="G106" i="296"/>
  <c r="F106" i="296"/>
  <c r="D106" i="296"/>
  <c r="U105" i="296"/>
  <c r="T105" i="296"/>
  <c r="D105" i="296"/>
  <c r="AA104" i="296"/>
  <c r="AN104" i="296" s="1"/>
  <c r="U104" i="296"/>
  <c r="V104" i="296" s="1"/>
  <c r="T104" i="296"/>
  <c r="P104" i="296"/>
  <c r="O104" i="296"/>
  <c r="N104" i="296"/>
  <c r="M104" i="296"/>
  <c r="L104" i="296"/>
  <c r="K104" i="296"/>
  <c r="J104" i="296"/>
  <c r="I104" i="296"/>
  <c r="H104" i="296"/>
  <c r="G104" i="296"/>
  <c r="F104" i="296"/>
  <c r="D104" i="296"/>
  <c r="U103" i="296"/>
  <c r="T103" i="296"/>
  <c r="P103" i="296"/>
  <c r="O103" i="296"/>
  <c r="N103" i="296"/>
  <c r="M103" i="296"/>
  <c r="L103" i="296"/>
  <c r="K103" i="296"/>
  <c r="J103" i="296"/>
  <c r="I103" i="296"/>
  <c r="H103" i="296"/>
  <c r="G103" i="296"/>
  <c r="F103" i="296"/>
  <c r="D103" i="296"/>
  <c r="AA102" i="296"/>
  <c r="AL102" i="296" s="1"/>
  <c r="U102" i="296"/>
  <c r="T102" i="296"/>
  <c r="P102" i="296"/>
  <c r="O102" i="296"/>
  <c r="N102" i="296"/>
  <c r="M102" i="296"/>
  <c r="L102" i="296"/>
  <c r="K102" i="296"/>
  <c r="J102" i="296"/>
  <c r="I102" i="296"/>
  <c r="H102" i="296"/>
  <c r="G102" i="296"/>
  <c r="F102" i="296"/>
  <c r="D102" i="296"/>
  <c r="U101" i="296"/>
  <c r="T101" i="296"/>
  <c r="P101" i="296"/>
  <c r="O101" i="296"/>
  <c r="N101" i="296"/>
  <c r="M101" i="296"/>
  <c r="L101" i="296"/>
  <c r="K101" i="296"/>
  <c r="J101" i="296"/>
  <c r="I101" i="296"/>
  <c r="H101" i="296"/>
  <c r="G101" i="296"/>
  <c r="F101" i="296"/>
  <c r="D101" i="296"/>
  <c r="AA100" i="296"/>
  <c r="AQ100" i="296" s="1"/>
  <c r="U100" i="296"/>
  <c r="T100" i="296"/>
  <c r="P100" i="296"/>
  <c r="O100" i="296"/>
  <c r="N100" i="296"/>
  <c r="M100" i="296"/>
  <c r="L100" i="296"/>
  <c r="K100" i="296"/>
  <c r="J100" i="296"/>
  <c r="I100" i="296"/>
  <c r="H100" i="296"/>
  <c r="G100" i="296"/>
  <c r="F100" i="296"/>
  <c r="D100" i="296"/>
  <c r="U99" i="296"/>
  <c r="T99" i="296"/>
  <c r="P99" i="296"/>
  <c r="O99" i="296"/>
  <c r="N99" i="296"/>
  <c r="M99" i="296"/>
  <c r="L99" i="296"/>
  <c r="K99" i="296"/>
  <c r="J99" i="296"/>
  <c r="I99" i="296"/>
  <c r="H99" i="296"/>
  <c r="G99" i="296"/>
  <c r="F99" i="296"/>
  <c r="D99" i="296"/>
  <c r="AA98" i="296"/>
  <c r="BG98" i="296" s="1"/>
  <c r="U98" i="296"/>
  <c r="T98" i="296"/>
  <c r="P98" i="296"/>
  <c r="O98" i="296"/>
  <c r="N98" i="296"/>
  <c r="M98" i="296"/>
  <c r="L98" i="296"/>
  <c r="K98" i="296"/>
  <c r="J98" i="296"/>
  <c r="I98" i="296"/>
  <c r="H98" i="296"/>
  <c r="G98" i="296"/>
  <c r="F98" i="296"/>
  <c r="D98" i="296"/>
  <c r="U97" i="296"/>
  <c r="T97" i="296"/>
  <c r="P97" i="296"/>
  <c r="O97" i="296"/>
  <c r="N97" i="296"/>
  <c r="M97" i="296"/>
  <c r="L97" i="296"/>
  <c r="K97" i="296"/>
  <c r="J97" i="296"/>
  <c r="I97" i="296"/>
  <c r="H97" i="296"/>
  <c r="G97" i="296"/>
  <c r="F97" i="296"/>
  <c r="D97" i="296"/>
  <c r="U96" i="296"/>
  <c r="T96" i="296"/>
  <c r="P96" i="296"/>
  <c r="O96" i="296"/>
  <c r="N96" i="296"/>
  <c r="M96" i="296"/>
  <c r="L96" i="296"/>
  <c r="K96" i="296"/>
  <c r="J96" i="296"/>
  <c r="I96" i="296"/>
  <c r="H96" i="296"/>
  <c r="G96" i="296"/>
  <c r="F96" i="296"/>
  <c r="D96" i="296"/>
  <c r="AA95" i="296"/>
  <c r="BI95" i="296" s="1"/>
  <c r="U95" i="296"/>
  <c r="T95" i="296"/>
  <c r="P95" i="296"/>
  <c r="O95" i="296"/>
  <c r="N95" i="296"/>
  <c r="M95" i="296"/>
  <c r="L95" i="296"/>
  <c r="K95" i="296"/>
  <c r="J95" i="296"/>
  <c r="I95" i="296"/>
  <c r="H95" i="296"/>
  <c r="G95" i="296"/>
  <c r="F95" i="296"/>
  <c r="D95" i="296"/>
  <c r="U94" i="296"/>
  <c r="T94" i="296"/>
  <c r="P94" i="296"/>
  <c r="O94" i="296"/>
  <c r="N94" i="296"/>
  <c r="M94" i="296"/>
  <c r="L94" i="296"/>
  <c r="K94" i="296"/>
  <c r="J94" i="296"/>
  <c r="I94" i="296"/>
  <c r="H94" i="296"/>
  <c r="G94" i="296"/>
  <c r="F94" i="296"/>
  <c r="D94" i="296"/>
  <c r="AA93" i="296"/>
  <c r="AY93" i="296" s="1"/>
  <c r="U93" i="296"/>
  <c r="V93" i="296" s="1"/>
  <c r="T93" i="296"/>
  <c r="P93" i="296"/>
  <c r="O93" i="296"/>
  <c r="N93" i="296"/>
  <c r="M93" i="296"/>
  <c r="L93" i="296"/>
  <c r="K93" i="296"/>
  <c r="J93" i="296"/>
  <c r="I93" i="296"/>
  <c r="H93" i="296"/>
  <c r="G93" i="296"/>
  <c r="F93" i="296"/>
  <c r="D93" i="296"/>
  <c r="U92" i="296"/>
  <c r="T92" i="296"/>
  <c r="P92" i="296"/>
  <c r="O92" i="296"/>
  <c r="N92" i="296"/>
  <c r="M92" i="296"/>
  <c r="L92" i="296"/>
  <c r="K92" i="296"/>
  <c r="J92" i="296"/>
  <c r="I92" i="296"/>
  <c r="H92" i="296"/>
  <c r="G92" i="296"/>
  <c r="F92" i="296"/>
  <c r="D92" i="296"/>
  <c r="AA91" i="296"/>
  <c r="U91" i="296"/>
  <c r="V91" i="296" s="1"/>
  <c r="T91" i="296"/>
  <c r="P91" i="296"/>
  <c r="O91" i="296"/>
  <c r="N91" i="296"/>
  <c r="M91" i="296"/>
  <c r="L91" i="296"/>
  <c r="K91" i="296"/>
  <c r="J91" i="296"/>
  <c r="I91" i="296"/>
  <c r="H91" i="296"/>
  <c r="G91" i="296"/>
  <c r="F91" i="296"/>
  <c r="D91" i="296"/>
  <c r="U90" i="296"/>
  <c r="T90" i="296"/>
  <c r="P90" i="296"/>
  <c r="O90" i="296"/>
  <c r="N90" i="296"/>
  <c r="M90" i="296"/>
  <c r="L90" i="296"/>
  <c r="K90" i="296"/>
  <c r="J90" i="296"/>
  <c r="I90" i="296"/>
  <c r="H90" i="296"/>
  <c r="G90" i="296"/>
  <c r="F90" i="296"/>
  <c r="D90" i="296"/>
  <c r="AA89" i="296"/>
  <c r="AF89" i="296" s="1"/>
  <c r="U89" i="296"/>
  <c r="T89" i="296"/>
  <c r="P89" i="296"/>
  <c r="O89" i="296"/>
  <c r="N89" i="296"/>
  <c r="M89" i="296"/>
  <c r="L89" i="296"/>
  <c r="K89" i="296"/>
  <c r="J89" i="296"/>
  <c r="I89" i="296"/>
  <c r="H89" i="296"/>
  <c r="G89" i="296"/>
  <c r="F89" i="296"/>
  <c r="D89" i="296"/>
  <c r="U88" i="296"/>
  <c r="T88" i="296"/>
  <c r="P88" i="296"/>
  <c r="O88" i="296"/>
  <c r="N88" i="296"/>
  <c r="M88" i="296"/>
  <c r="L88" i="296"/>
  <c r="K88" i="296"/>
  <c r="J88" i="296"/>
  <c r="I88" i="296"/>
  <c r="H88" i="296"/>
  <c r="G88" i="296"/>
  <c r="F88" i="296"/>
  <c r="D88" i="296"/>
  <c r="AA87" i="296"/>
  <c r="AG87" i="296" s="1"/>
  <c r="U87" i="296"/>
  <c r="T87" i="296"/>
  <c r="P87" i="296"/>
  <c r="O87" i="296"/>
  <c r="N87" i="296"/>
  <c r="M87" i="296"/>
  <c r="L87" i="296"/>
  <c r="K87" i="296"/>
  <c r="J87" i="296"/>
  <c r="I87" i="296"/>
  <c r="H87" i="296"/>
  <c r="G87" i="296"/>
  <c r="F87" i="296"/>
  <c r="D87" i="296"/>
  <c r="U86" i="296"/>
  <c r="T86" i="296"/>
  <c r="P86" i="296"/>
  <c r="O86" i="296"/>
  <c r="N86" i="296"/>
  <c r="M86" i="296"/>
  <c r="L86" i="296"/>
  <c r="K86" i="296"/>
  <c r="J86" i="296"/>
  <c r="I86" i="296"/>
  <c r="H86" i="296"/>
  <c r="G86" i="296"/>
  <c r="F86" i="296"/>
  <c r="D86" i="296"/>
  <c r="AA85" i="296"/>
  <c r="AR85" i="296" s="1"/>
  <c r="U85" i="296"/>
  <c r="V85" i="296" s="1"/>
  <c r="T85" i="296"/>
  <c r="P85" i="296"/>
  <c r="O85" i="296"/>
  <c r="N85" i="296"/>
  <c r="M85" i="296"/>
  <c r="L85" i="296"/>
  <c r="K85" i="296"/>
  <c r="J85" i="296"/>
  <c r="I85" i="296"/>
  <c r="H85" i="296"/>
  <c r="G85" i="296"/>
  <c r="F85" i="296"/>
  <c r="D85" i="296"/>
  <c r="U84" i="296"/>
  <c r="T84" i="296"/>
  <c r="P84" i="296"/>
  <c r="O84" i="296"/>
  <c r="N84" i="296"/>
  <c r="M84" i="296"/>
  <c r="L84" i="296"/>
  <c r="K84" i="296"/>
  <c r="J84" i="296"/>
  <c r="I84" i="296"/>
  <c r="H84" i="296"/>
  <c r="G84" i="296"/>
  <c r="F84" i="296"/>
  <c r="D84" i="296"/>
  <c r="AA83" i="296"/>
  <c r="BA83" i="296" s="1"/>
  <c r="U83" i="296"/>
  <c r="V83" i="296" s="1"/>
  <c r="T83" i="296"/>
  <c r="P83" i="296"/>
  <c r="O83" i="296"/>
  <c r="N83" i="296"/>
  <c r="M83" i="296"/>
  <c r="L83" i="296"/>
  <c r="K83" i="296"/>
  <c r="J83" i="296"/>
  <c r="I83" i="296"/>
  <c r="H83" i="296"/>
  <c r="G83" i="296"/>
  <c r="F83" i="296"/>
  <c r="D83" i="296"/>
  <c r="U82" i="296"/>
  <c r="T82" i="296"/>
  <c r="P82" i="296"/>
  <c r="O82" i="296"/>
  <c r="N82" i="296"/>
  <c r="M82" i="296"/>
  <c r="L82" i="296"/>
  <c r="K82" i="296"/>
  <c r="J82" i="296"/>
  <c r="I82" i="296"/>
  <c r="H82" i="296"/>
  <c r="G82" i="296"/>
  <c r="F82" i="296"/>
  <c r="D82" i="296"/>
  <c r="AA81" i="296"/>
  <c r="AH81" i="296" s="1"/>
  <c r="U81" i="296"/>
  <c r="V81" i="296" s="1"/>
  <c r="T81" i="296"/>
  <c r="P81" i="296"/>
  <c r="O81" i="296"/>
  <c r="N81" i="296"/>
  <c r="M81" i="296"/>
  <c r="L81" i="296"/>
  <c r="K81" i="296"/>
  <c r="J81" i="296"/>
  <c r="I81" i="296"/>
  <c r="H81" i="296"/>
  <c r="G81" i="296"/>
  <c r="F81" i="296"/>
  <c r="D81" i="296"/>
  <c r="U80" i="296"/>
  <c r="T80" i="296"/>
  <c r="P80" i="296"/>
  <c r="O80" i="296"/>
  <c r="N80" i="296"/>
  <c r="M80" i="296"/>
  <c r="L80" i="296"/>
  <c r="K80" i="296"/>
  <c r="J80" i="296"/>
  <c r="I80" i="296"/>
  <c r="H80" i="296"/>
  <c r="G80" i="296"/>
  <c r="F80" i="296"/>
  <c r="D80" i="296"/>
  <c r="AA79" i="296"/>
  <c r="AH79" i="296" s="1"/>
  <c r="U79" i="296"/>
  <c r="V79" i="296" s="1"/>
  <c r="T79" i="296"/>
  <c r="P79" i="296"/>
  <c r="O79" i="296"/>
  <c r="N79" i="296"/>
  <c r="M79" i="296"/>
  <c r="L79" i="296"/>
  <c r="K79" i="296"/>
  <c r="J79" i="296"/>
  <c r="I79" i="296"/>
  <c r="H79" i="296"/>
  <c r="G79" i="296"/>
  <c r="F79" i="296"/>
  <c r="D79" i="296"/>
  <c r="U78" i="296"/>
  <c r="T78" i="296"/>
  <c r="P78" i="296"/>
  <c r="O78" i="296"/>
  <c r="N78" i="296"/>
  <c r="M78" i="296"/>
  <c r="L78" i="296"/>
  <c r="K78" i="296"/>
  <c r="J78" i="296"/>
  <c r="I78" i="296"/>
  <c r="H78" i="296"/>
  <c r="G78" i="296"/>
  <c r="F78" i="296"/>
  <c r="D78" i="296"/>
  <c r="AA77" i="296"/>
  <c r="AL77" i="296" s="1"/>
  <c r="U77" i="296"/>
  <c r="V77" i="296" s="1"/>
  <c r="T77" i="296"/>
  <c r="P77" i="296"/>
  <c r="O77" i="296"/>
  <c r="N77" i="296"/>
  <c r="M77" i="296"/>
  <c r="L77" i="296"/>
  <c r="K77" i="296"/>
  <c r="J77" i="296"/>
  <c r="I77" i="296"/>
  <c r="H77" i="296"/>
  <c r="G77" i="296"/>
  <c r="F77" i="296"/>
  <c r="D77" i="296"/>
  <c r="U76" i="296"/>
  <c r="T76" i="296"/>
  <c r="P76" i="296"/>
  <c r="O76" i="296"/>
  <c r="N76" i="296"/>
  <c r="M76" i="296"/>
  <c r="L76" i="296"/>
  <c r="K76" i="296"/>
  <c r="J76" i="296"/>
  <c r="I76" i="296"/>
  <c r="H76" i="296"/>
  <c r="G76" i="296"/>
  <c r="F76" i="296"/>
  <c r="D76" i="296"/>
  <c r="AA75" i="296"/>
  <c r="AL75" i="296" s="1"/>
  <c r="U75" i="296"/>
  <c r="T75" i="296"/>
  <c r="P75" i="296"/>
  <c r="O75" i="296"/>
  <c r="N75" i="296"/>
  <c r="M75" i="296"/>
  <c r="L75" i="296"/>
  <c r="K75" i="296"/>
  <c r="J75" i="296"/>
  <c r="I75" i="296"/>
  <c r="H75" i="296"/>
  <c r="G75" i="296"/>
  <c r="F75" i="296"/>
  <c r="D75" i="296"/>
  <c r="U74" i="296"/>
  <c r="T74" i="296"/>
  <c r="P74" i="296"/>
  <c r="O74" i="296"/>
  <c r="N74" i="296"/>
  <c r="M74" i="296"/>
  <c r="L74" i="296"/>
  <c r="K74" i="296"/>
  <c r="J74" i="296"/>
  <c r="I74" i="296"/>
  <c r="H74" i="296"/>
  <c r="G74" i="296"/>
  <c r="F74" i="296"/>
  <c r="D74" i="296"/>
  <c r="AA73" i="296"/>
  <c r="BH73" i="296" s="1"/>
  <c r="U73" i="296"/>
  <c r="T73" i="296"/>
  <c r="P73" i="296"/>
  <c r="O73" i="296"/>
  <c r="N73" i="296"/>
  <c r="M73" i="296"/>
  <c r="L73" i="296"/>
  <c r="K73" i="296"/>
  <c r="J73" i="296"/>
  <c r="I73" i="296"/>
  <c r="H73" i="296"/>
  <c r="G73" i="296"/>
  <c r="F73" i="296"/>
  <c r="D73" i="296"/>
  <c r="U72" i="296"/>
  <c r="T72" i="296"/>
  <c r="P72" i="296"/>
  <c r="O72" i="296"/>
  <c r="N72" i="296"/>
  <c r="M72" i="296"/>
  <c r="L72" i="296"/>
  <c r="K72" i="296"/>
  <c r="I72" i="296"/>
  <c r="H72" i="296"/>
  <c r="G72" i="296"/>
  <c r="F72" i="296"/>
  <c r="D72" i="296"/>
  <c r="AA71" i="296"/>
  <c r="AY71" i="296" s="1"/>
  <c r="U71" i="296"/>
  <c r="V71" i="296" s="1"/>
  <c r="T71" i="296"/>
  <c r="P71" i="296"/>
  <c r="O71" i="296"/>
  <c r="N71" i="296"/>
  <c r="M71" i="296"/>
  <c r="L71" i="296"/>
  <c r="K71" i="296"/>
  <c r="J71" i="296"/>
  <c r="I71" i="296"/>
  <c r="H71" i="296"/>
  <c r="G71" i="296"/>
  <c r="F71" i="296"/>
  <c r="U70" i="296"/>
  <c r="T70" i="296"/>
  <c r="P70" i="296"/>
  <c r="O70" i="296"/>
  <c r="N70" i="296"/>
  <c r="M70" i="296"/>
  <c r="L70" i="296"/>
  <c r="K70" i="296"/>
  <c r="I70" i="296"/>
  <c r="H70" i="296"/>
  <c r="G70" i="296"/>
  <c r="F70" i="296"/>
  <c r="D70" i="296"/>
  <c r="AA69" i="296"/>
  <c r="U69" i="296"/>
  <c r="V69" i="296" s="1"/>
  <c r="T69" i="296"/>
  <c r="P69" i="296"/>
  <c r="O69" i="296"/>
  <c r="N69" i="296"/>
  <c r="M69" i="296"/>
  <c r="L69" i="296"/>
  <c r="K69" i="296"/>
  <c r="J69" i="296"/>
  <c r="I69" i="296"/>
  <c r="H69" i="296"/>
  <c r="G69" i="296"/>
  <c r="F69" i="296"/>
  <c r="D69" i="296"/>
  <c r="U68" i="296"/>
  <c r="T68" i="296"/>
  <c r="P68" i="296"/>
  <c r="O68" i="296"/>
  <c r="N68" i="296"/>
  <c r="M68" i="296"/>
  <c r="L68" i="296"/>
  <c r="K68" i="296"/>
  <c r="I68" i="296"/>
  <c r="H68" i="296"/>
  <c r="G68" i="296"/>
  <c r="F68" i="296"/>
  <c r="D68" i="296"/>
  <c r="AA67" i="296"/>
  <c r="BL67" i="296" s="1"/>
  <c r="U67" i="296"/>
  <c r="V67" i="296" s="1"/>
  <c r="T67" i="296"/>
  <c r="P67" i="296"/>
  <c r="O67" i="296"/>
  <c r="N67" i="296"/>
  <c r="M67" i="296"/>
  <c r="L67" i="296"/>
  <c r="K67" i="296"/>
  <c r="J67" i="296"/>
  <c r="I67" i="296"/>
  <c r="H67" i="296"/>
  <c r="G67" i="296"/>
  <c r="F67" i="296"/>
  <c r="D67" i="296"/>
  <c r="U66" i="296"/>
  <c r="T66" i="296"/>
  <c r="P66" i="296"/>
  <c r="O66" i="296"/>
  <c r="N66" i="296"/>
  <c r="M66" i="296"/>
  <c r="L66" i="296"/>
  <c r="K66" i="296"/>
  <c r="J66" i="296"/>
  <c r="I66" i="296"/>
  <c r="H66" i="296"/>
  <c r="G66" i="296"/>
  <c r="F66" i="296"/>
  <c r="D66" i="296"/>
  <c r="AA65" i="296"/>
  <c r="AF65" i="296" s="1"/>
  <c r="U65" i="296"/>
  <c r="V65" i="296" s="1"/>
  <c r="T65" i="296"/>
  <c r="P65" i="296"/>
  <c r="O65" i="296"/>
  <c r="N65" i="296"/>
  <c r="M65" i="296"/>
  <c r="L65" i="296"/>
  <c r="K65" i="296"/>
  <c r="J65" i="296"/>
  <c r="I65" i="296"/>
  <c r="H65" i="296"/>
  <c r="G65" i="296"/>
  <c r="F65" i="296"/>
  <c r="D65" i="296"/>
  <c r="U64" i="296"/>
  <c r="T64" i="296"/>
  <c r="P64" i="296"/>
  <c r="O64" i="296"/>
  <c r="N64" i="296"/>
  <c r="M64" i="296"/>
  <c r="L64" i="296"/>
  <c r="K64" i="296"/>
  <c r="I64" i="296"/>
  <c r="H64" i="296"/>
  <c r="G64" i="296"/>
  <c r="F64" i="296"/>
  <c r="D64" i="296"/>
  <c r="AA63" i="296"/>
  <c r="BJ63" i="296" s="1"/>
  <c r="U63" i="296"/>
  <c r="T63" i="296"/>
  <c r="P63" i="296"/>
  <c r="O63" i="296"/>
  <c r="N63" i="296"/>
  <c r="M63" i="296"/>
  <c r="L63" i="296"/>
  <c r="K63" i="296"/>
  <c r="J63" i="296"/>
  <c r="I63" i="296"/>
  <c r="H63" i="296"/>
  <c r="G63" i="296"/>
  <c r="F63" i="296"/>
  <c r="D63" i="296"/>
  <c r="U62" i="296"/>
  <c r="T62" i="296"/>
  <c r="P62" i="296"/>
  <c r="U61" i="296"/>
  <c r="T61" i="296"/>
  <c r="P61" i="296"/>
  <c r="U60" i="296"/>
  <c r="T60" i="296"/>
  <c r="P60" i="296"/>
  <c r="O60" i="296"/>
  <c r="N60" i="296"/>
  <c r="M60" i="296"/>
  <c r="L60" i="296"/>
  <c r="K60" i="296"/>
  <c r="I60" i="296"/>
  <c r="H60" i="296"/>
  <c r="G60" i="296"/>
  <c r="F60" i="296"/>
  <c r="D60" i="296"/>
  <c r="AA59" i="296"/>
  <c r="AN59" i="296" s="1"/>
  <c r="U59" i="296"/>
  <c r="T59" i="296"/>
  <c r="P59" i="296"/>
  <c r="O59" i="296"/>
  <c r="N59" i="296"/>
  <c r="M59" i="296"/>
  <c r="L59" i="296"/>
  <c r="K59" i="296"/>
  <c r="J59" i="296"/>
  <c r="I59" i="296"/>
  <c r="H59" i="296"/>
  <c r="G59" i="296"/>
  <c r="F59" i="296"/>
  <c r="D59" i="296"/>
  <c r="U58" i="296"/>
  <c r="T58" i="296"/>
  <c r="P58" i="296"/>
  <c r="U57" i="296"/>
  <c r="T57" i="296"/>
  <c r="P57" i="296"/>
  <c r="U56" i="296"/>
  <c r="T56" i="296"/>
  <c r="P56" i="296"/>
  <c r="U55" i="296"/>
  <c r="T55" i="296"/>
  <c r="P55" i="296"/>
  <c r="O55" i="296"/>
  <c r="N55" i="296"/>
  <c r="M55" i="296"/>
  <c r="L55" i="296"/>
  <c r="K55" i="296"/>
  <c r="J55" i="296"/>
  <c r="I55" i="296"/>
  <c r="H55" i="296"/>
  <c r="G55" i="296"/>
  <c r="F55" i="296"/>
  <c r="D55" i="296"/>
  <c r="U54" i="296"/>
  <c r="T54" i="296"/>
  <c r="P54" i="296"/>
  <c r="O54" i="296"/>
  <c r="N54" i="296"/>
  <c r="M54" i="296"/>
  <c r="L54" i="296"/>
  <c r="K54" i="296"/>
  <c r="J54" i="296"/>
  <c r="I54" i="296"/>
  <c r="H54" i="296"/>
  <c r="G54" i="296"/>
  <c r="F54" i="296"/>
  <c r="D54" i="296"/>
  <c r="U53" i="296"/>
  <c r="T53" i="296"/>
  <c r="P53" i="296"/>
  <c r="O53" i="296"/>
  <c r="N53" i="296"/>
  <c r="M53" i="296"/>
  <c r="L53" i="296"/>
  <c r="K53" i="296"/>
  <c r="I53" i="296"/>
  <c r="H53" i="296"/>
  <c r="G53" i="296"/>
  <c r="F53" i="296"/>
  <c r="D53" i="296"/>
  <c r="AA52" i="296"/>
  <c r="AH52" i="296" s="1"/>
  <c r="U52" i="296"/>
  <c r="T52" i="296"/>
  <c r="P52" i="296"/>
  <c r="O52" i="296"/>
  <c r="N52" i="296"/>
  <c r="M52" i="296"/>
  <c r="L52" i="296"/>
  <c r="K52" i="296"/>
  <c r="J52" i="296"/>
  <c r="I52" i="296"/>
  <c r="H52" i="296"/>
  <c r="G52" i="296"/>
  <c r="F52" i="296"/>
  <c r="D52" i="296"/>
  <c r="U51" i="296"/>
  <c r="T51" i="296"/>
  <c r="P51" i="296"/>
  <c r="O51" i="296"/>
  <c r="N51" i="296"/>
  <c r="M51" i="296"/>
  <c r="L51" i="296"/>
  <c r="K51" i="296"/>
  <c r="J51" i="296"/>
  <c r="I51" i="296"/>
  <c r="H51" i="296"/>
  <c r="G51" i="296"/>
  <c r="F51" i="296"/>
  <c r="D51" i="296"/>
  <c r="AA50" i="296"/>
  <c r="AS50" i="296" s="1"/>
  <c r="U50" i="296"/>
  <c r="T50" i="296"/>
  <c r="P50" i="296"/>
  <c r="O50" i="296"/>
  <c r="N50" i="296"/>
  <c r="M50" i="296"/>
  <c r="L50" i="296"/>
  <c r="K50" i="296"/>
  <c r="J50" i="296"/>
  <c r="I50" i="296"/>
  <c r="H50" i="296"/>
  <c r="G50" i="296"/>
  <c r="F50" i="296"/>
  <c r="D50" i="296"/>
  <c r="C50" i="296"/>
  <c r="C52" i="296" s="1"/>
  <c r="C59" i="296" s="1"/>
  <c r="C63" i="296" s="1"/>
  <c r="C65" i="296" s="1"/>
  <c r="C67" i="296" s="1"/>
  <c r="C69" i="296" s="1"/>
  <c r="C71" i="296" s="1"/>
  <c r="C73" i="296" s="1"/>
  <c r="C75" i="296" s="1"/>
  <c r="C77" i="296" s="1"/>
  <c r="C79" i="296" s="1"/>
  <c r="C81" i="296" s="1"/>
  <c r="C83" i="296" s="1"/>
  <c r="C85" i="296" s="1"/>
  <c r="C87" i="296" s="1"/>
  <c r="C89" i="296" s="1"/>
  <c r="C91" i="296" s="1"/>
  <c r="C93" i="296" s="1"/>
  <c r="C95" i="296" s="1"/>
  <c r="C98" i="296" s="1"/>
  <c r="C100" i="296" s="1"/>
  <c r="C102" i="296" s="1"/>
  <c r="C104" i="296" s="1"/>
  <c r="C106" i="296" s="1"/>
  <c r="C108" i="296" s="1"/>
  <c r="C110" i="296" s="1"/>
  <c r="C112" i="296" s="1"/>
  <c r="U49" i="296"/>
  <c r="T49" i="296"/>
  <c r="P49" i="296"/>
  <c r="O49" i="296"/>
  <c r="N49" i="296"/>
  <c r="M49" i="296"/>
  <c r="L49" i="296"/>
  <c r="K49" i="296"/>
  <c r="I49" i="296"/>
  <c r="H49" i="296"/>
  <c r="G49" i="296"/>
  <c r="F49" i="296"/>
  <c r="D49" i="296"/>
  <c r="AA48" i="296"/>
  <c r="AH48" i="296" s="1"/>
  <c r="U48" i="296"/>
  <c r="V48" i="296" s="1"/>
  <c r="T48" i="296"/>
  <c r="P48" i="296"/>
  <c r="O48" i="296"/>
  <c r="N48" i="296"/>
  <c r="M48" i="296"/>
  <c r="L48" i="296"/>
  <c r="K48" i="296"/>
  <c r="J48" i="296"/>
  <c r="I48" i="296"/>
  <c r="H48" i="296"/>
  <c r="G48" i="296"/>
  <c r="F48" i="296"/>
  <c r="D48" i="296"/>
  <c r="U47" i="296"/>
  <c r="T47" i="296"/>
  <c r="P47" i="296"/>
  <c r="U46" i="296"/>
  <c r="T46" i="296"/>
  <c r="P46" i="296"/>
  <c r="AA45" i="296"/>
  <c r="AQ45" i="296" s="1"/>
  <c r="U45" i="296"/>
  <c r="T45" i="296"/>
  <c r="P45" i="296"/>
  <c r="O45" i="296"/>
  <c r="N45" i="296"/>
  <c r="M45" i="296"/>
  <c r="L45" i="296"/>
  <c r="K45" i="296"/>
  <c r="J45" i="296"/>
  <c r="I45" i="296"/>
  <c r="H45" i="296"/>
  <c r="G45" i="296"/>
  <c r="F45" i="296"/>
  <c r="U44" i="296"/>
  <c r="T44" i="296"/>
  <c r="P44" i="296"/>
  <c r="O44" i="296"/>
  <c r="N44" i="296"/>
  <c r="M44" i="296"/>
  <c r="L44" i="296"/>
  <c r="K44" i="296"/>
  <c r="I44" i="296"/>
  <c r="H44" i="296"/>
  <c r="G44" i="296"/>
  <c r="F44" i="296"/>
  <c r="D44" i="296"/>
  <c r="AA43" i="296"/>
  <c r="AJ43" i="296" s="1"/>
  <c r="U43" i="296"/>
  <c r="T43" i="296"/>
  <c r="P43" i="296"/>
  <c r="O43" i="296"/>
  <c r="N43" i="296"/>
  <c r="M43" i="296"/>
  <c r="L43" i="296"/>
  <c r="K43" i="296"/>
  <c r="J43" i="296"/>
  <c r="I43" i="296"/>
  <c r="H43" i="296"/>
  <c r="G43" i="296"/>
  <c r="F43" i="296"/>
  <c r="D43" i="296"/>
  <c r="U42" i="296"/>
  <c r="T42" i="296"/>
  <c r="P42" i="296"/>
  <c r="O42" i="296"/>
  <c r="N42" i="296"/>
  <c r="M42" i="296"/>
  <c r="L42" i="296"/>
  <c r="K42" i="296"/>
  <c r="J42" i="296"/>
  <c r="I42" i="296"/>
  <c r="H42" i="296"/>
  <c r="G42" i="296"/>
  <c r="F42" i="296"/>
  <c r="D42" i="296"/>
  <c r="AA41" i="296"/>
  <c r="BD41" i="296" s="1"/>
  <c r="U41" i="296"/>
  <c r="T41" i="296"/>
  <c r="P41" i="296"/>
  <c r="O41" i="296"/>
  <c r="N41" i="296"/>
  <c r="M41" i="296"/>
  <c r="L41" i="296"/>
  <c r="K41" i="296"/>
  <c r="J41" i="296"/>
  <c r="I41" i="296"/>
  <c r="H41" i="296"/>
  <c r="G41" i="296"/>
  <c r="F41" i="296"/>
  <c r="D41" i="296"/>
  <c r="U40" i="296"/>
  <c r="T40" i="296"/>
  <c r="P40" i="296"/>
  <c r="O40" i="296"/>
  <c r="N40" i="296"/>
  <c r="M40" i="296"/>
  <c r="L40" i="296"/>
  <c r="K40" i="296"/>
  <c r="J40" i="296"/>
  <c r="I40" i="296"/>
  <c r="H40" i="296"/>
  <c r="G40" i="296"/>
  <c r="F40" i="296"/>
  <c r="D40" i="296"/>
  <c r="U39" i="296"/>
  <c r="T39" i="296"/>
  <c r="U38" i="296"/>
  <c r="T38" i="296"/>
  <c r="U37" i="296"/>
  <c r="T37" i="296"/>
  <c r="P37" i="296"/>
  <c r="O37" i="296"/>
  <c r="N37" i="296"/>
  <c r="M37" i="296"/>
  <c r="L37" i="296"/>
  <c r="K37" i="296"/>
  <c r="J37" i="296"/>
  <c r="I37" i="296"/>
  <c r="H37" i="296"/>
  <c r="G37" i="296"/>
  <c r="F37" i="296"/>
  <c r="D37" i="296"/>
  <c r="U36" i="296"/>
  <c r="T36" i="296"/>
  <c r="P36" i="296"/>
  <c r="O36" i="296"/>
  <c r="N36" i="296"/>
  <c r="M36" i="296"/>
  <c r="L36" i="296"/>
  <c r="K36" i="296"/>
  <c r="J36" i="296"/>
  <c r="I36" i="296"/>
  <c r="H36" i="296"/>
  <c r="G36" i="296"/>
  <c r="F36" i="296"/>
  <c r="D36" i="296"/>
  <c r="AA35" i="296"/>
  <c r="BA35" i="296" s="1"/>
  <c r="U35" i="296"/>
  <c r="T35" i="296"/>
  <c r="P35" i="296"/>
  <c r="O35" i="296"/>
  <c r="N35" i="296"/>
  <c r="M35" i="296"/>
  <c r="L35" i="296"/>
  <c r="K35" i="296"/>
  <c r="J35" i="296"/>
  <c r="I35" i="296"/>
  <c r="H35" i="296"/>
  <c r="G35" i="296"/>
  <c r="F35" i="296"/>
  <c r="D35" i="296"/>
  <c r="U34" i="296"/>
  <c r="T34" i="296"/>
  <c r="P34" i="296"/>
  <c r="O34" i="296"/>
  <c r="N34" i="296"/>
  <c r="M34" i="296"/>
  <c r="L34" i="296"/>
  <c r="K34" i="296"/>
  <c r="I34" i="296"/>
  <c r="H34" i="296"/>
  <c r="G34" i="296"/>
  <c r="F34" i="296"/>
  <c r="D34" i="296"/>
  <c r="AA33" i="296"/>
  <c r="AL33" i="296" s="1"/>
  <c r="U33" i="296"/>
  <c r="T33" i="296"/>
  <c r="P33" i="296"/>
  <c r="O33" i="296"/>
  <c r="N33" i="296"/>
  <c r="M33" i="296"/>
  <c r="L33" i="296"/>
  <c r="K33" i="296"/>
  <c r="J33" i="296"/>
  <c r="I33" i="296"/>
  <c r="H33" i="296"/>
  <c r="G33" i="296"/>
  <c r="F33" i="296"/>
  <c r="D33" i="296"/>
  <c r="U32" i="296"/>
  <c r="T32" i="296"/>
  <c r="P32" i="296"/>
  <c r="O32" i="296"/>
  <c r="N32" i="296"/>
  <c r="M32" i="296"/>
  <c r="L32" i="296"/>
  <c r="K32" i="296"/>
  <c r="J32" i="296"/>
  <c r="I32" i="296"/>
  <c r="H32" i="296"/>
  <c r="G32" i="296"/>
  <c r="F32" i="296"/>
  <c r="D32" i="296"/>
  <c r="U31" i="296"/>
  <c r="T31" i="296"/>
  <c r="P31" i="296"/>
  <c r="AA30" i="296"/>
  <c r="AH30" i="296" s="1"/>
  <c r="U30" i="296"/>
  <c r="T30" i="296"/>
  <c r="P30" i="296"/>
  <c r="O30" i="296"/>
  <c r="N30" i="296"/>
  <c r="M30" i="296"/>
  <c r="L30" i="296"/>
  <c r="K30" i="296"/>
  <c r="J30" i="296"/>
  <c r="I30" i="296"/>
  <c r="H30" i="296"/>
  <c r="G30" i="296"/>
  <c r="F30" i="296"/>
  <c r="D30" i="296"/>
  <c r="U29" i="296"/>
  <c r="T29" i="296"/>
  <c r="P29" i="296"/>
  <c r="O29" i="296"/>
  <c r="N29" i="296"/>
  <c r="M29" i="296"/>
  <c r="L29" i="296"/>
  <c r="K29" i="296"/>
  <c r="J29" i="296"/>
  <c r="I29" i="296"/>
  <c r="H29" i="296"/>
  <c r="G29" i="296"/>
  <c r="F29" i="296"/>
  <c r="D29" i="296"/>
  <c r="AA28" i="296"/>
  <c r="AX28" i="296" s="1"/>
  <c r="U28" i="296"/>
  <c r="T28" i="296"/>
  <c r="P28" i="296"/>
  <c r="O28" i="296"/>
  <c r="N28" i="296"/>
  <c r="M28" i="296"/>
  <c r="L28" i="296"/>
  <c r="K28" i="296"/>
  <c r="J28" i="296"/>
  <c r="I28" i="296"/>
  <c r="H28" i="296"/>
  <c r="G28" i="296"/>
  <c r="F28" i="296"/>
  <c r="D28" i="296"/>
  <c r="U27" i="296"/>
  <c r="T27" i="296"/>
  <c r="P27" i="296"/>
  <c r="O27" i="296"/>
  <c r="N27" i="296"/>
  <c r="M27" i="296"/>
  <c r="L27" i="296"/>
  <c r="K27" i="296"/>
  <c r="J27" i="296"/>
  <c r="I27" i="296"/>
  <c r="H27" i="296"/>
  <c r="G27" i="296"/>
  <c r="F27" i="296"/>
  <c r="D27" i="296"/>
  <c r="U26" i="296"/>
  <c r="T26" i="296"/>
  <c r="P26" i="296"/>
  <c r="O26" i="296"/>
  <c r="N26" i="296"/>
  <c r="M26" i="296"/>
  <c r="L26" i="296"/>
  <c r="K26" i="296"/>
  <c r="J26" i="296"/>
  <c r="I26" i="296"/>
  <c r="H26" i="296"/>
  <c r="G26" i="296"/>
  <c r="F26" i="296"/>
  <c r="D26" i="296"/>
  <c r="AA25" i="296"/>
  <c r="AL25" i="296" s="1"/>
  <c r="U25" i="296"/>
  <c r="T25" i="296"/>
  <c r="P25" i="296"/>
  <c r="O25" i="296"/>
  <c r="N25" i="296"/>
  <c r="M25" i="296"/>
  <c r="L25" i="296"/>
  <c r="K25" i="296"/>
  <c r="J25" i="296"/>
  <c r="I25" i="296"/>
  <c r="H25" i="296"/>
  <c r="G25" i="296"/>
  <c r="F25" i="296"/>
  <c r="D25" i="296"/>
  <c r="C25" i="296"/>
  <c r="C28" i="296" s="1"/>
  <c r="C30" i="296" s="1"/>
  <c r="C33" i="296" s="1"/>
  <c r="C35" i="296" s="1"/>
  <c r="C41" i="296" s="1"/>
  <c r="C43" i="296" s="1"/>
  <c r="U24" i="296"/>
  <c r="T24" i="296"/>
  <c r="P24" i="296"/>
  <c r="N24" i="296"/>
  <c r="M24" i="296"/>
  <c r="L24" i="296"/>
  <c r="K24" i="296"/>
  <c r="J24" i="296"/>
  <c r="I24" i="296"/>
  <c r="H24" i="296"/>
  <c r="G24" i="296"/>
  <c r="F24" i="296"/>
  <c r="D24" i="296"/>
  <c r="U23" i="296"/>
  <c r="T23" i="296"/>
  <c r="P23" i="296"/>
  <c r="N23" i="296"/>
  <c r="M23" i="296"/>
  <c r="L23" i="296"/>
  <c r="K23" i="296"/>
  <c r="J23" i="296"/>
  <c r="I23" i="296"/>
  <c r="H23" i="296"/>
  <c r="G23" i="296"/>
  <c r="F23" i="296"/>
  <c r="D23" i="296"/>
  <c r="U22" i="296"/>
  <c r="T22" i="296"/>
  <c r="U21" i="296"/>
  <c r="T21" i="296"/>
  <c r="P21" i="296"/>
  <c r="N21" i="296"/>
  <c r="M21" i="296"/>
  <c r="L21" i="296"/>
  <c r="K21" i="296"/>
  <c r="J21" i="296"/>
  <c r="I21" i="296"/>
  <c r="H21" i="296"/>
  <c r="G21" i="296"/>
  <c r="F21" i="296"/>
  <c r="D21" i="296"/>
  <c r="U20" i="296"/>
  <c r="T20" i="296"/>
  <c r="P20" i="296"/>
  <c r="U19" i="296"/>
  <c r="T19" i="296"/>
  <c r="P19" i="296"/>
  <c r="N19" i="296"/>
  <c r="M19" i="296"/>
  <c r="L19" i="296"/>
  <c r="K19" i="296"/>
  <c r="J19" i="296"/>
  <c r="I19" i="296"/>
  <c r="H19" i="296"/>
  <c r="G19" i="296"/>
  <c r="F19" i="296"/>
  <c r="D19" i="296"/>
  <c r="U18" i="296"/>
  <c r="T18" i="296"/>
  <c r="P18" i="296"/>
  <c r="N18" i="296"/>
  <c r="M18" i="296"/>
  <c r="L18" i="296"/>
  <c r="K18" i="296"/>
  <c r="J18" i="296"/>
  <c r="I18" i="296"/>
  <c r="H18" i="296"/>
  <c r="G18" i="296"/>
  <c r="F18" i="296"/>
  <c r="D18" i="296"/>
  <c r="U17" i="296"/>
  <c r="T17" i="296"/>
  <c r="P17" i="296"/>
  <c r="N17" i="296"/>
  <c r="M17" i="296"/>
  <c r="L17" i="296"/>
  <c r="K17" i="296"/>
  <c r="J17" i="296"/>
  <c r="I17" i="296"/>
  <c r="H17" i="296"/>
  <c r="G17" i="296"/>
  <c r="F17" i="296"/>
  <c r="D17" i="296"/>
  <c r="U16" i="296"/>
  <c r="T16" i="296"/>
  <c r="P16" i="296"/>
  <c r="N16" i="296"/>
  <c r="M16" i="296"/>
  <c r="L16" i="296"/>
  <c r="K16" i="296"/>
  <c r="J16" i="296"/>
  <c r="I16" i="296"/>
  <c r="H16" i="296"/>
  <c r="G16" i="296"/>
  <c r="F16" i="296"/>
  <c r="D16" i="296"/>
  <c r="U15" i="296"/>
  <c r="T15" i="296"/>
  <c r="P15" i="296"/>
  <c r="N15" i="296"/>
  <c r="M15" i="296"/>
  <c r="L15" i="296"/>
  <c r="K15" i="296"/>
  <c r="J15" i="296"/>
  <c r="I15" i="296"/>
  <c r="H15" i="296"/>
  <c r="G15" i="296"/>
  <c r="F15" i="296"/>
  <c r="D15" i="296"/>
  <c r="U14" i="296"/>
  <c r="T14" i="296"/>
  <c r="P14" i="296"/>
  <c r="N14" i="296"/>
  <c r="M14" i="296"/>
  <c r="L14" i="296"/>
  <c r="K14" i="296"/>
  <c r="J14" i="296"/>
  <c r="I14" i="296"/>
  <c r="H14" i="296"/>
  <c r="G14" i="296"/>
  <c r="F14" i="296"/>
  <c r="D14" i="296"/>
  <c r="U13" i="296"/>
  <c r="T13" i="296"/>
  <c r="P13" i="296"/>
  <c r="N13" i="296"/>
  <c r="M13" i="296"/>
  <c r="L13" i="296"/>
  <c r="K13" i="296"/>
  <c r="J13" i="296"/>
  <c r="I13" i="296"/>
  <c r="H13" i="296"/>
  <c r="G13" i="296"/>
  <c r="F13" i="296"/>
  <c r="D13" i="296"/>
  <c r="U12" i="296"/>
  <c r="T12" i="296"/>
  <c r="P12" i="296"/>
  <c r="N12" i="296"/>
  <c r="M12" i="296"/>
  <c r="L12" i="296"/>
  <c r="K12" i="296"/>
  <c r="J12" i="296"/>
  <c r="I12" i="296"/>
  <c r="H12" i="296"/>
  <c r="G12" i="296"/>
  <c r="F12" i="296"/>
  <c r="D12" i="296"/>
  <c r="U11" i="296"/>
  <c r="T11" i="296"/>
  <c r="P11" i="296"/>
  <c r="U10" i="296"/>
  <c r="T10" i="296"/>
  <c r="P10" i="296"/>
  <c r="N10" i="296"/>
  <c r="M10" i="296"/>
  <c r="L10" i="296"/>
  <c r="K10" i="296"/>
  <c r="J10" i="296"/>
  <c r="I10" i="296"/>
  <c r="H10" i="296"/>
  <c r="G10" i="296"/>
  <c r="F10" i="296"/>
  <c r="D10" i="296"/>
  <c r="U9" i="296"/>
  <c r="T9" i="296"/>
  <c r="P9" i="296"/>
  <c r="N9" i="296"/>
  <c r="M9" i="296"/>
  <c r="L9" i="296"/>
  <c r="K9" i="296"/>
  <c r="J9" i="296"/>
  <c r="I9" i="296"/>
  <c r="H9" i="296"/>
  <c r="G9" i="296"/>
  <c r="F9" i="296"/>
  <c r="D9" i="296"/>
  <c r="U8" i="296"/>
  <c r="T8" i="296"/>
  <c r="P8" i="296"/>
  <c r="O8" i="296"/>
  <c r="N8" i="296"/>
  <c r="M8" i="296"/>
  <c r="L8" i="296"/>
  <c r="K8" i="296"/>
  <c r="J8" i="296"/>
  <c r="I8" i="296"/>
  <c r="H8" i="296"/>
  <c r="G8" i="296"/>
  <c r="F8" i="296"/>
  <c r="D8" i="296"/>
  <c r="U7" i="296"/>
  <c r="T7" i="296"/>
  <c r="P7" i="296"/>
  <c r="O7" i="296"/>
  <c r="N7" i="296"/>
  <c r="M7" i="296"/>
  <c r="L7" i="296"/>
  <c r="K7" i="296"/>
  <c r="J7" i="296"/>
  <c r="I7" i="296"/>
  <c r="H7" i="296"/>
  <c r="G7" i="296"/>
  <c r="F7" i="296"/>
  <c r="D7" i="296"/>
  <c r="U6" i="296"/>
  <c r="T6" i="296"/>
  <c r="P6" i="296"/>
  <c r="O6" i="296"/>
  <c r="N6" i="296"/>
  <c r="M6" i="296"/>
  <c r="L6" i="296"/>
  <c r="K6" i="296"/>
  <c r="J6" i="296"/>
  <c r="I6" i="296"/>
  <c r="H6" i="296"/>
  <c r="G6" i="296"/>
  <c r="F6" i="296"/>
  <c r="D6" i="296"/>
  <c r="AA5" i="296"/>
  <c r="BN5" i="296" s="1"/>
  <c r="U5" i="296"/>
  <c r="T5" i="296"/>
  <c r="P5" i="296"/>
  <c r="N5" i="296"/>
  <c r="M5" i="296"/>
  <c r="L5" i="296"/>
  <c r="K5" i="296"/>
  <c r="J5" i="296"/>
  <c r="I5" i="296"/>
  <c r="H5" i="296"/>
  <c r="G5" i="296"/>
  <c r="F5" i="296"/>
  <c r="D5" i="296"/>
  <c r="AI77" i="296"/>
  <c r="G64" i="21"/>
  <c r="D25" i="294"/>
  <c r="E3" i="295"/>
  <c r="D2" i="295"/>
  <c r="ABS60" i="265"/>
  <c r="E24" i="293"/>
  <c r="E25" i="293"/>
  <c r="E27" i="293"/>
  <c r="E28" i="293"/>
  <c r="E29" i="293"/>
  <c r="E30" i="293"/>
  <c r="I5" i="292"/>
  <c r="AI28" i="350"/>
  <c r="AI29" i="350"/>
  <c r="G27" i="300"/>
  <c r="R26" i="300"/>
  <c r="R29" i="300"/>
  <c r="G8" i="301"/>
  <c r="G7" i="301"/>
  <c r="G29" i="301"/>
  <c r="G18" i="301"/>
  <c r="G5" i="301"/>
  <c r="G15" i="301"/>
  <c r="G29" i="300"/>
  <c r="F36" i="294"/>
  <c r="F35" i="294"/>
  <c r="F37" i="294"/>
  <c r="F34" i="294"/>
  <c r="F31" i="294"/>
  <c r="G11" i="293"/>
  <c r="F30" i="294"/>
  <c r="G9" i="293"/>
  <c r="G16" i="293"/>
  <c r="G30" i="293"/>
  <c r="G19" i="293"/>
  <c r="G14" i="293"/>
  <c r="G24" i="292"/>
  <c r="J24" i="292" s="1"/>
  <c r="G25" i="292"/>
  <c r="J25" i="292" s="1"/>
  <c r="G26" i="292"/>
  <c r="G27" i="292"/>
  <c r="G28" i="292"/>
  <c r="I28" i="292" s="1"/>
  <c r="G29" i="292"/>
  <c r="I29" i="292" s="1"/>
  <c r="G30" i="292"/>
  <c r="G31" i="292"/>
  <c r="J31" i="292" s="1"/>
  <c r="G32" i="292"/>
  <c r="I32" i="292" s="1"/>
  <c r="G33" i="292"/>
  <c r="G34" i="292"/>
  <c r="I34" i="292" s="1"/>
  <c r="G35" i="292"/>
  <c r="G36" i="292"/>
  <c r="I36" i="292" s="1"/>
  <c r="G23" i="292"/>
  <c r="J23" i="292" s="1"/>
  <c r="K23" i="292" s="1"/>
  <c r="I6" i="292"/>
  <c r="I7" i="292"/>
  <c r="I8" i="292"/>
  <c r="I9" i="292"/>
  <c r="I10" i="292"/>
  <c r="I11" i="292"/>
  <c r="I12" i="292"/>
  <c r="I13" i="292"/>
  <c r="I14" i="292"/>
  <c r="I15" i="292"/>
  <c r="I16" i="292"/>
  <c r="I17" i="292"/>
  <c r="I18" i="292"/>
  <c r="J6" i="292"/>
  <c r="J7" i="292"/>
  <c r="J8" i="292"/>
  <c r="J9" i="292"/>
  <c r="J10" i="292"/>
  <c r="J11" i="292"/>
  <c r="J12" i="292"/>
  <c r="K12" i="292" s="1"/>
  <c r="J13" i="292"/>
  <c r="J14" i="292"/>
  <c r="J15" i="292"/>
  <c r="J16" i="292"/>
  <c r="J17" i="292"/>
  <c r="J18" i="292"/>
  <c r="J5" i="292"/>
  <c r="K5" i="292" s="1"/>
  <c r="BP4" i="280"/>
  <c r="BM30" i="283"/>
  <c r="BN30" i="283" s="1"/>
  <c r="BK30" i="283"/>
  <c r="BL30" i="283" s="1"/>
  <c r="BM29" i="283"/>
  <c r="BN29" i="283" s="1"/>
  <c r="BK29" i="283"/>
  <c r="BL29" i="283" s="1"/>
  <c r="BM28" i="283"/>
  <c r="BN28" i="283" s="1"/>
  <c r="BK28" i="283"/>
  <c r="BL28" i="283" s="1"/>
  <c r="BM27" i="283"/>
  <c r="BN27" i="283" s="1"/>
  <c r="BK27" i="283"/>
  <c r="BL27" i="283" s="1"/>
  <c r="BM26" i="283"/>
  <c r="BN26" i="283" s="1"/>
  <c r="BK26" i="283"/>
  <c r="BM25" i="283"/>
  <c r="BN25" i="283" s="1"/>
  <c r="BK25" i="283"/>
  <c r="BL25" i="283" s="1"/>
  <c r="BO24" i="283"/>
  <c r="BP24" i="283" s="1"/>
  <c r="BM24" i="283"/>
  <c r="BN24" i="283" s="1"/>
  <c r="BO23" i="283"/>
  <c r="BP23" i="283" s="1"/>
  <c r="BM23" i="283"/>
  <c r="BN23" i="283" s="1"/>
  <c r="BK23" i="283"/>
  <c r="BL23" i="283" s="1"/>
  <c r="BO22" i="283"/>
  <c r="BM22" i="283"/>
  <c r="BN22" i="283" s="1"/>
  <c r="BK22" i="283"/>
  <c r="BL22" i="283" s="1"/>
  <c r="BB28" i="268"/>
  <c r="BD28" i="268" s="1"/>
  <c r="AT28" i="268"/>
  <c r="AW28" i="268" s="1"/>
  <c r="AZ10" i="281"/>
  <c r="AN10" i="281"/>
  <c r="AM10" i="281"/>
  <c r="V10" i="281"/>
  <c r="U10" i="281"/>
  <c r="BP72" i="280"/>
  <c r="BP70" i="280"/>
  <c r="BP69" i="280"/>
  <c r="BP68" i="280"/>
  <c r="BP67" i="280"/>
  <c r="BP66" i="280"/>
  <c r="BP65" i="280"/>
  <c r="BP64" i="280"/>
  <c r="BP63" i="280"/>
  <c r="BP62" i="280"/>
  <c r="BP61" i="280"/>
  <c r="BP60" i="280"/>
  <c r="BP59" i="280"/>
  <c r="BP56" i="280"/>
  <c r="BP55" i="280"/>
  <c r="BP54" i="280"/>
  <c r="BP53" i="280"/>
  <c r="BP51" i="280"/>
  <c r="BP50" i="280"/>
  <c r="BP48" i="280"/>
  <c r="BP47" i="280"/>
  <c r="BP46" i="280"/>
  <c r="BP44" i="280"/>
  <c r="BP43" i="280"/>
  <c r="BP42" i="280"/>
  <c r="BP40" i="280"/>
  <c r="BP39" i="280"/>
  <c r="BP38" i="280"/>
  <c r="BP37" i="280"/>
  <c r="BP33" i="280"/>
  <c r="BP32" i="280"/>
  <c r="BP29" i="280"/>
  <c r="BP26" i="280"/>
  <c r="BP9" i="280"/>
  <c r="BP6" i="280"/>
  <c r="AP4" i="278"/>
  <c r="AP5" i="278"/>
  <c r="AO22" i="277"/>
  <c r="AP8" i="277"/>
  <c r="AO6" i="278"/>
  <c r="AN6" i="278"/>
  <c r="AM6" i="278"/>
  <c r="AY32" i="274"/>
  <c r="AN22" i="277"/>
  <c r="AM22" i="277"/>
  <c r="AP21" i="277"/>
  <c r="AP19" i="277"/>
  <c r="AP18" i="277"/>
  <c r="AP16" i="277"/>
  <c r="AP14" i="277"/>
  <c r="AP13" i="277"/>
  <c r="AP12" i="277"/>
  <c r="AP11" i="277"/>
  <c r="AP5" i="277"/>
  <c r="AP4" i="277"/>
  <c r="AP3" i="277"/>
  <c r="BJ46" i="272"/>
  <c r="BI46" i="272"/>
  <c r="L7" i="276"/>
  <c r="L8" i="276"/>
  <c r="L9" i="276"/>
  <c r="L10" i="276"/>
  <c r="L11" i="276"/>
  <c r="L12" i="276"/>
  <c r="L13" i="276"/>
  <c r="L14" i="276"/>
  <c r="L15" i="276"/>
  <c r="L16" i="276"/>
  <c r="L17" i="276"/>
  <c r="L18" i="276"/>
  <c r="L19" i="276"/>
  <c r="L20" i="276"/>
  <c r="L21" i="276"/>
  <c r="L22" i="276"/>
  <c r="L23" i="276"/>
  <c r="L24" i="276"/>
  <c r="L25" i="276"/>
  <c r="L26" i="276"/>
  <c r="L27" i="276"/>
  <c r="L28" i="276"/>
  <c r="L29" i="276"/>
  <c r="L30" i="276"/>
  <c r="L31" i="276"/>
  <c r="L32" i="276"/>
  <c r="L33" i="276"/>
  <c r="L34" i="276"/>
  <c r="L35" i="276"/>
  <c r="L36" i="276"/>
  <c r="L37" i="276"/>
  <c r="L38" i="276"/>
  <c r="L39" i="276"/>
  <c r="L40" i="276"/>
  <c r="L41" i="276"/>
  <c r="L42" i="276"/>
  <c r="L43" i="276"/>
  <c r="L44" i="276"/>
  <c r="L45" i="276"/>
  <c r="L46" i="276"/>
  <c r="L47" i="276"/>
  <c r="L48" i="276"/>
  <c r="L49" i="276"/>
  <c r="L50" i="276"/>
  <c r="L51" i="276"/>
  <c r="L52" i="276"/>
  <c r="L53" i="276"/>
  <c r="L54" i="276"/>
  <c r="L55" i="276"/>
  <c r="L56" i="276"/>
  <c r="L57" i="276"/>
  <c r="L58" i="276"/>
  <c r="L59" i="276"/>
  <c r="L60" i="276"/>
  <c r="L61" i="276"/>
  <c r="L62" i="276"/>
  <c r="L63" i="276"/>
  <c r="L64" i="276"/>
  <c r="L65" i="276"/>
  <c r="L66" i="276"/>
  <c r="L67" i="276"/>
  <c r="L68" i="276"/>
  <c r="L69" i="276"/>
  <c r="L70" i="276"/>
  <c r="L71" i="276"/>
  <c r="L72" i="276"/>
  <c r="L73" i="276"/>
  <c r="L74" i="276"/>
  <c r="L75" i="276"/>
  <c r="L76" i="276"/>
  <c r="L77" i="276"/>
  <c r="L78" i="276"/>
  <c r="L79" i="276"/>
  <c r="L80" i="276"/>
  <c r="L81" i="276"/>
  <c r="L82" i="276"/>
  <c r="L83" i="276"/>
  <c r="L84" i="276"/>
  <c r="L85" i="276"/>
  <c r="L86" i="276"/>
  <c r="L87" i="276"/>
  <c r="L88" i="276"/>
  <c r="L89" i="276"/>
  <c r="L90" i="276"/>
  <c r="L91" i="276"/>
  <c r="L92" i="276"/>
  <c r="L93" i="276"/>
  <c r="L94" i="276"/>
  <c r="L95" i="276"/>
  <c r="L96" i="276"/>
  <c r="L97" i="276"/>
  <c r="L98" i="276"/>
  <c r="L99" i="276"/>
  <c r="L100" i="276"/>
  <c r="L101" i="276"/>
  <c r="L102" i="276"/>
  <c r="L103" i="276"/>
  <c r="L104" i="276"/>
  <c r="L105" i="276"/>
  <c r="L106" i="276"/>
  <c r="L107" i="276"/>
  <c r="L108" i="276"/>
  <c r="L109" i="276"/>
  <c r="L110" i="276"/>
  <c r="L111" i="276"/>
  <c r="L112" i="276"/>
  <c r="L113" i="276"/>
  <c r="L114" i="276"/>
  <c r="L115" i="276"/>
  <c r="L116" i="276"/>
  <c r="L117" i="276"/>
  <c r="L118" i="276"/>
  <c r="L119" i="276"/>
  <c r="L120" i="276"/>
  <c r="L121" i="276"/>
  <c r="L122" i="276"/>
  <c r="L123" i="276"/>
  <c r="L124" i="276"/>
  <c r="L125" i="276"/>
  <c r="L126" i="276"/>
  <c r="L127" i="276"/>
  <c r="L128" i="276"/>
  <c r="L129" i="276"/>
  <c r="L130" i="276"/>
  <c r="L131" i="276"/>
  <c r="L132" i="276"/>
  <c r="L133" i="276"/>
  <c r="L134" i="276"/>
  <c r="L135" i="276"/>
  <c r="L136" i="276"/>
  <c r="L137" i="276"/>
  <c r="L138" i="276"/>
  <c r="L139" i="276"/>
  <c r="L140" i="276"/>
  <c r="L141" i="276"/>
  <c r="L142" i="276"/>
  <c r="L143" i="276"/>
  <c r="L144" i="276"/>
  <c r="L145" i="276"/>
  <c r="L146" i="276"/>
  <c r="L147" i="276"/>
  <c r="L148" i="276"/>
  <c r="L149" i="276"/>
  <c r="L150" i="276"/>
  <c r="L151" i="276"/>
  <c r="L152" i="276"/>
  <c r="L153" i="276"/>
  <c r="L154" i="276"/>
  <c r="L155" i="276"/>
  <c r="L156" i="276"/>
  <c r="L157" i="276"/>
  <c r="L158" i="276"/>
  <c r="L159" i="276"/>
  <c r="L160" i="276"/>
  <c r="L161" i="276"/>
  <c r="L162" i="276"/>
  <c r="L163" i="276"/>
  <c r="L164" i="276"/>
  <c r="L165" i="276"/>
  <c r="L166" i="276"/>
  <c r="L167" i="276"/>
  <c r="L168" i="276"/>
  <c r="L169" i="276"/>
  <c r="L170" i="276"/>
  <c r="L171" i="276"/>
  <c r="L172" i="276"/>
  <c r="L173" i="276"/>
  <c r="L174" i="276"/>
  <c r="L175" i="276"/>
  <c r="L176" i="276"/>
  <c r="L177" i="276"/>
  <c r="L178" i="276"/>
  <c r="L179" i="276"/>
  <c r="L180" i="276"/>
  <c r="L181" i="276"/>
  <c r="L182" i="276"/>
  <c r="L183" i="276"/>
  <c r="L184" i="276"/>
  <c r="L185" i="276"/>
  <c r="L186" i="276"/>
  <c r="L187" i="276"/>
  <c r="L188" i="276"/>
  <c r="L189" i="276"/>
  <c r="L190" i="276"/>
  <c r="L191" i="276"/>
  <c r="L192" i="276"/>
  <c r="L193" i="276"/>
  <c r="L194" i="276"/>
  <c r="L195" i="276"/>
  <c r="L196" i="276"/>
  <c r="L197" i="276"/>
  <c r="L198" i="276"/>
  <c r="L199" i="276"/>
  <c r="L200" i="276"/>
  <c r="L201" i="276"/>
  <c r="L202" i="276"/>
  <c r="L203" i="276"/>
  <c r="L204" i="276"/>
  <c r="L205" i="276"/>
  <c r="L206" i="276"/>
  <c r="L207" i="276"/>
  <c r="L208" i="276"/>
  <c r="L209" i="276"/>
  <c r="L210" i="276"/>
  <c r="L211" i="276"/>
  <c r="L212" i="276"/>
  <c r="L213" i="276"/>
  <c r="L214" i="276"/>
  <c r="L215" i="276"/>
  <c r="L216" i="276"/>
  <c r="L217" i="276"/>
  <c r="L218" i="276"/>
  <c r="L219" i="276"/>
  <c r="L220" i="276"/>
  <c r="L221" i="276"/>
  <c r="L222" i="276"/>
  <c r="L223" i="276"/>
  <c r="L224" i="276"/>
  <c r="L225" i="276"/>
  <c r="L226" i="276"/>
  <c r="L227" i="276"/>
  <c r="L228" i="276"/>
  <c r="L229" i="276"/>
  <c r="L230" i="276"/>
  <c r="L231" i="276"/>
  <c r="L232" i="276"/>
  <c r="L233" i="276"/>
  <c r="L234" i="276"/>
  <c r="L235" i="276"/>
  <c r="L236" i="276"/>
  <c r="L237" i="276"/>
  <c r="L238" i="276"/>
  <c r="L239" i="276"/>
  <c r="L240" i="276"/>
  <c r="L241" i="276"/>
  <c r="L242" i="276"/>
  <c r="L243" i="276"/>
  <c r="L244" i="276"/>
  <c r="L245" i="276"/>
  <c r="L246" i="276"/>
  <c r="L247" i="276"/>
  <c r="L248" i="276"/>
  <c r="L249" i="276"/>
  <c r="L250" i="276"/>
  <c r="L251" i="276"/>
  <c r="L252" i="276"/>
  <c r="L253" i="276"/>
  <c r="L254" i="276"/>
  <c r="L255" i="276"/>
  <c r="L256" i="276"/>
  <c r="L257" i="276"/>
  <c r="L258" i="276"/>
  <c r="L259" i="276"/>
  <c r="L260" i="276"/>
  <c r="L261" i="276"/>
  <c r="L262" i="276"/>
  <c r="L263" i="276"/>
  <c r="L264" i="276"/>
  <c r="L265" i="276"/>
  <c r="L266" i="276"/>
  <c r="L267" i="276"/>
  <c r="L268" i="276"/>
  <c r="L269" i="276"/>
  <c r="L270" i="276"/>
  <c r="L271" i="276"/>
  <c r="L272" i="276"/>
  <c r="L273" i="276"/>
  <c r="L274" i="276"/>
  <c r="L275" i="276"/>
  <c r="L276" i="276"/>
  <c r="L277" i="276"/>
  <c r="L278" i="276"/>
  <c r="L279" i="276"/>
  <c r="L280" i="276"/>
  <c r="L281" i="276"/>
  <c r="L282" i="276"/>
  <c r="L283" i="276"/>
  <c r="L285" i="276"/>
  <c r="L286" i="276"/>
  <c r="L287" i="276"/>
  <c r="L288" i="276"/>
  <c r="L289" i="276"/>
  <c r="L290" i="276"/>
  <c r="L291" i="276"/>
  <c r="L292" i="276"/>
  <c r="L293" i="276"/>
  <c r="L294" i="276"/>
  <c r="L295" i="276"/>
  <c r="L296" i="276"/>
  <c r="L298" i="276"/>
  <c r="L299" i="276"/>
  <c r="L300" i="276"/>
  <c r="L301" i="276"/>
  <c r="L302" i="276"/>
  <c r="L303" i="276"/>
  <c r="L304" i="276"/>
  <c r="L305" i="276"/>
  <c r="L306" i="276"/>
  <c r="L307" i="276"/>
  <c r="L308" i="276"/>
  <c r="L309" i="276"/>
  <c r="L310" i="276"/>
  <c r="L311" i="276"/>
  <c r="L312" i="276"/>
  <c r="L313" i="276"/>
  <c r="L314" i="276"/>
  <c r="L315" i="276"/>
  <c r="L316" i="276"/>
  <c r="L317" i="276"/>
  <c r="L318" i="276"/>
  <c r="L319" i="276"/>
  <c r="L320" i="276"/>
  <c r="L321" i="276"/>
  <c r="L322" i="276"/>
  <c r="L323" i="276"/>
  <c r="L324" i="276"/>
  <c r="L325" i="276"/>
  <c r="L326" i="276"/>
  <c r="L327" i="276"/>
  <c r="L328" i="276"/>
  <c r="L329" i="276"/>
  <c r="L330" i="276"/>
  <c r="L331" i="276"/>
  <c r="L332" i="276"/>
  <c r="L333" i="276"/>
  <c r="L334" i="276"/>
  <c r="L335" i="276"/>
  <c r="L336" i="276"/>
  <c r="L337" i="276"/>
  <c r="L338" i="276"/>
  <c r="E22" i="273"/>
  <c r="V19" i="273"/>
  <c r="U19" i="273"/>
  <c r="BA31" i="268"/>
  <c r="AZ31" i="268"/>
  <c r="AY31" i="268"/>
  <c r="BB30" i="268"/>
  <c r="BE30" i="268" s="1"/>
  <c r="BB29" i="268"/>
  <c r="BB27" i="268"/>
  <c r="BD27" i="268" s="1"/>
  <c r="BB26" i="268"/>
  <c r="BB25" i="268"/>
  <c r="BD25" i="268" s="1"/>
  <c r="BB24" i="268"/>
  <c r="BB23" i="268"/>
  <c r="BD23" i="268" s="1"/>
  <c r="BB22" i="268"/>
  <c r="BB21" i="268"/>
  <c r="BB20" i="268"/>
  <c r="BB19" i="268"/>
  <c r="BD19" i="268" s="1"/>
  <c r="BB18" i="268"/>
  <c r="BD18" i="268" s="1"/>
  <c r="BB17" i="268"/>
  <c r="BB16" i="268"/>
  <c r="BD16" i="268" s="1"/>
  <c r="BB15" i="268"/>
  <c r="BB14" i="268"/>
  <c r="BB13" i="268"/>
  <c r="BD13" i="268" s="1"/>
  <c r="BB12" i="268"/>
  <c r="BD12" i="268" s="1"/>
  <c r="BB11" i="268"/>
  <c r="BD11" i="268" s="1"/>
  <c r="BB10" i="268"/>
  <c r="BD10" i="268" s="1"/>
  <c r="BB9" i="268"/>
  <c r="BB8" i="268"/>
  <c r="BD8" i="268" s="1"/>
  <c r="BB7" i="268"/>
  <c r="BD7" i="268" s="1"/>
  <c r="BB6" i="268"/>
  <c r="BB5" i="268"/>
  <c r="BB4" i="268"/>
  <c r="BE4" i="268" s="1"/>
  <c r="AS31" i="268"/>
  <c r="AR31" i="268"/>
  <c r="AQ31" i="268"/>
  <c r="AT7" i="268"/>
  <c r="AV7" i="268" s="1"/>
  <c r="AT17" i="268"/>
  <c r="AT6" i="268"/>
  <c r="AT24" i="268"/>
  <c r="AV24" i="268" s="1"/>
  <c r="AT14" i="268"/>
  <c r="AW14" i="268" s="1"/>
  <c r="AT8" i="268"/>
  <c r="AT13" i="268"/>
  <c r="AV13" i="268" s="1"/>
  <c r="AT25" i="268"/>
  <c r="AT23" i="268"/>
  <c r="AT22" i="268"/>
  <c r="AW22" i="268" s="1"/>
  <c r="AT18" i="268"/>
  <c r="AT19" i="268"/>
  <c r="AW19" i="268" s="1"/>
  <c r="AT15" i="268"/>
  <c r="AW15" i="268" s="1"/>
  <c r="AT16" i="268"/>
  <c r="AT30" i="268"/>
  <c r="AW30" i="268" s="1"/>
  <c r="AT12" i="268"/>
  <c r="AT20" i="268"/>
  <c r="AT11" i="268"/>
  <c r="AV11" i="268" s="1"/>
  <c r="AT29" i="268"/>
  <c r="AW29" i="268" s="1"/>
  <c r="AT27" i="268"/>
  <c r="AV27" i="268" s="1"/>
  <c r="AT10" i="268"/>
  <c r="AV10" i="268" s="1"/>
  <c r="AT4" i="268"/>
  <c r="AW4" i="268" s="1"/>
  <c r="AT26" i="268"/>
  <c r="AT9" i="268"/>
  <c r="AV9" i="268" s="1"/>
  <c r="AT5" i="268"/>
  <c r="AW5" i="268" s="1"/>
  <c r="AT21" i="268"/>
  <c r="F4" i="264"/>
  <c r="G5" i="264" s="1"/>
  <c r="H6" i="264" s="1"/>
  <c r="E3" i="264"/>
  <c r="D2" i="264"/>
  <c r="F4" i="263"/>
  <c r="E3" i="263"/>
  <c r="D2" i="263"/>
  <c r="AX38" i="262"/>
  <c r="AU38" i="262"/>
  <c r="AD38" i="262"/>
  <c r="AC38" i="262"/>
  <c r="G37" i="262"/>
  <c r="G36" i="262"/>
  <c r="G34" i="262"/>
  <c r="G32" i="262"/>
  <c r="G28" i="262"/>
  <c r="G26" i="262"/>
  <c r="G22" i="262"/>
  <c r="G5" i="262"/>
  <c r="X140" i="258"/>
  <c r="R141" i="258"/>
  <c r="K148" i="258"/>
  <c r="J148" i="258"/>
  <c r="I148" i="258"/>
  <c r="K147" i="258"/>
  <c r="J147" i="258"/>
  <c r="I147" i="258"/>
  <c r="P141" i="258"/>
  <c r="Q141" i="258"/>
  <c r="B11" i="249"/>
  <c r="B10" i="249"/>
  <c r="B9" i="249"/>
  <c r="B8" i="249"/>
  <c r="F3" i="253"/>
  <c r="G3" i="253"/>
  <c r="H3" i="253"/>
  <c r="I3" i="253"/>
  <c r="J3" i="253"/>
  <c r="K3" i="253"/>
  <c r="L3" i="253"/>
  <c r="M3" i="253"/>
  <c r="N3" i="253"/>
  <c r="E115" i="252"/>
  <c r="D115" i="252"/>
  <c r="H5" i="252"/>
  <c r="J57" i="252" s="1"/>
  <c r="F5" i="252"/>
  <c r="E54" i="252" s="1"/>
  <c r="H54" i="252" s="1"/>
  <c r="H3" i="252"/>
  <c r="J78" i="252" s="1"/>
  <c r="G3" i="252"/>
  <c r="I61" i="252" s="1"/>
  <c r="F3" i="252"/>
  <c r="E32" i="252" s="1"/>
  <c r="H32" i="252" s="1"/>
  <c r="K19" i="301"/>
  <c r="C36" i="294"/>
  <c r="E36" i="294" s="1"/>
  <c r="K18" i="293"/>
  <c r="K18" i="301"/>
  <c r="C37" i="294"/>
  <c r="E37" i="294" s="1"/>
  <c r="K19" i="293"/>
  <c r="K11" i="301"/>
  <c r="K10" i="301"/>
  <c r="C29" i="294"/>
  <c r="E29" i="294" s="1"/>
  <c r="K11" i="293"/>
  <c r="C28" i="294"/>
  <c r="E28" i="294" s="1"/>
  <c r="K10" i="293"/>
  <c r="D23" i="294"/>
  <c r="D42" i="294" s="1"/>
  <c r="K5" i="301"/>
  <c r="K5" i="293"/>
  <c r="C23" i="294"/>
  <c r="E23" i="294" s="1"/>
  <c r="E62" i="21"/>
  <c r="G62" i="21" s="1"/>
  <c r="C62" i="21"/>
  <c r="E61" i="21"/>
  <c r="G61" i="21" s="1"/>
  <c r="C61" i="21"/>
  <c r="E60" i="21"/>
  <c r="G60" i="21" s="1"/>
  <c r="C60" i="21"/>
  <c r="E59" i="21"/>
  <c r="G59" i="21" s="1"/>
  <c r="C59" i="21"/>
  <c r="E58" i="21"/>
  <c r="G58" i="21" s="1"/>
  <c r="C58" i="21"/>
  <c r="E57" i="21"/>
  <c r="G57" i="21" s="1"/>
  <c r="C57" i="21"/>
  <c r="E56" i="21"/>
  <c r="G56" i="21" s="1"/>
  <c r="C56" i="21"/>
  <c r="E55" i="21"/>
  <c r="G55" i="21" s="1"/>
  <c r="C55" i="21"/>
  <c r="E54" i="21"/>
  <c r="G54" i="21" s="1"/>
  <c r="C54" i="21"/>
  <c r="E53" i="21"/>
  <c r="G53" i="21" s="1"/>
  <c r="C53" i="21"/>
  <c r="E52" i="21"/>
  <c r="G52" i="21" s="1"/>
  <c r="C52" i="21"/>
  <c r="E51" i="21"/>
  <c r="G51" i="21" s="1"/>
  <c r="C51" i="21"/>
  <c r="E50" i="21"/>
  <c r="G50" i="21" s="1"/>
  <c r="C50" i="21"/>
  <c r="E49" i="21"/>
  <c r="G49" i="21" s="1"/>
  <c r="C49" i="21"/>
  <c r="E48" i="21"/>
  <c r="G48" i="21" s="1"/>
  <c r="C48" i="21"/>
  <c r="E47" i="21"/>
  <c r="G47" i="21" s="1"/>
  <c r="C47" i="21"/>
  <c r="E46" i="21"/>
  <c r="G46" i="21" s="1"/>
  <c r="C46" i="21"/>
  <c r="E45" i="21"/>
  <c r="G45" i="21" s="1"/>
  <c r="C45" i="21"/>
  <c r="E44" i="21"/>
  <c r="G44" i="21" s="1"/>
  <c r="C44" i="21"/>
  <c r="E43" i="21"/>
  <c r="G43" i="21" s="1"/>
  <c r="C43" i="21"/>
  <c r="G36" i="21"/>
  <c r="C36" i="21"/>
  <c r="G35" i="21"/>
  <c r="C35" i="21"/>
  <c r="E34" i="21"/>
  <c r="G34" i="21" s="1"/>
  <c r="C34" i="21"/>
  <c r="E33" i="21"/>
  <c r="G33" i="21" s="1"/>
  <c r="C33" i="21"/>
  <c r="E32" i="21"/>
  <c r="G32" i="21" s="1"/>
  <c r="C32" i="21"/>
  <c r="F26" i="21"/>
  <c r="E25" i="21"/>
  <c r="G25" i="21" s="1"/>
  <c r="C25" i="21"/>
  <c r="E24" i="21"/>
  <c r="G24" i="21" s="1"/>
  <c r="C24" i="21"/>
  <c r="E23" i="21"/>
  <c r="G23" i="21" s="1"/>
  <c r="C23" i="21"/>
  <c r="E22" i="21"/>
  <c r="G22" i="21" s="1"/>
  <c r="C22" i="21"/>
  <c r="E21" i="21"/>
  <c r="G21" i="21" s="1"/>
  <c r="C21" i="21"/>
  <c r="E20" i="21"/>
  <c r="G20" i="21" s="1"/>
  <c r="C20" i="21"/>
  <c r="E19" i="21"/>
  <c r="G19" i="21" s="1"/>
  <c r="C19" i="21"/>
  <c r="E18" i="21"/>
  <c r="G18" i="21" s="1"/>
  <c r="C18" i="21"/>
  <c r="E17" i="21"/>
  <c r="G17" i="21" s="1"/>
  <c r="C17" i="21"/>
  <c r="E16" i="21"/>
  <c r="G16" i="21" s="1"/>
  <c r="C16" i="21"/>
  <c r="E15" i="21"/>
  <c r="G15" i="21" s="1"/>
  <c r="C15" i="21"/>
  <c r="E14" i="21"/>
  <c r="G14" i="21" s="1"/>
  <c r="C14" i="21"/>
  <c r="E13" i="21"/>
  <c r="G13" i="21" s="1"/>
  <c r="C13" i="21"/>
  <c r="H6" i="21"/>
  <c r="H5" i="21"/>
  <c r="K30" i="301"/>
  <c r="K16" i="301"/>
  <c r="K30" i="293"/>
  <c r="K15" i="301"/>
  <c r="C33" i="294"/>
  <c r="E33" i="294" s="1"/>
  <c r="K15" i="293"/>
  <c r="C34" i="294"/>
  <c r="E34" i="294" s="1"/>
  <c r="D34" i="294"/>
  <c r="K16" i="293"/>
  <c r="X141" i="258"/>
  <c r="AF141" i="258"/>
  <c r="AP142" i="258"/>
  <c r="BW142" i="258"/>
  <c r="BX142" i="258"/>
  <c r="AQ141" i="258"/>
  <c r="AR141" i="258"/>
  <c r="BW141" i="258"/>
  <c r="BX141" i="258"/>
  <c r="AQ142" i="258"/>
  <c r="AP141" i="258"/>
  <c r="AR142" i="258"/>
  <c r="AS142" i="258"/>
  <c r="AS141" i="258"/>
  <c r="AT142" i="258"/>
  <c r="AT141" i="258"/>
  <c r="AU142" i="258"/>
  <c r="AU141" i="258"/>
  <c r="AV142" i="258"/>
  <c r="AV141" i="258"/>
  <c r="AW142" i="258"/>
  <c r="AW141" i="258"/>
  <c r="AX142" i="258"/>
  <c r="AX141" i="258"/>
  <c r="AY142" i="258"/>
  <c r="AY141" i="258"/>
  <c r="AZ142" i="258"/>
  <c r="AZ141" i="258"/>
  <c r="BA142" i="258"/>
  <c r="BA141" i="258"/>
  <c r="BB142" i="258"/>
  <c r="BB141" i="258"/>
  <c r="BC142" i="258"/>
  <c r="BC141" i="258"/>
  <c r="BD142" i="258"/>
  <c r="BD141" i="258"/>
  <c r="BE142" i="258"/>
  <c r="BE141" i="258"/>
  <c r="BF142" i="258"/>
  <c r="BF141" i="258"/>
  <c r="BG142" i="258"/>
  <c r="BV141" i="258"/>
  <c r="BG141" i="258"/>
  <c r="BV142" i="258"/>
  <c r="BH142" i="258"/>
  <c r="BH141" i="258"/>
  <c r="BI142" i="258"/>
  <c r="BI141" i="258"/>
  <c r="BL142" i="258"/>
  <c r="BJ142" i="258"/>
  <c r="BM141" i="258"/>
  <c r="BJ141" i="258"/>
  <c r="BM142" i="258"/>
  <c r="BN141" i="258"/>
  <c r="BK141" i="258"/>
  <c r="BL141" i="258"/>
  <c r="BK142" i="258"/>
  <c r="BN142" i="258"/>
  <c r="BO141" i="258"/>
  <c r="BO142" i="258"/>
  <c r="BP141" i="258"/>
  <c r="BP142" i="258"/>
  <c r="BQ141" i="258"/>
  <c r="BQ142" i="258"/>
  <c r="BR141" i="258"/>
  <c r="BR142" i="258"/>
  <c r="BS141" i="258"/>
  <c r="BS142" i="258"/>
  <c r="BT141" i="258"/>
  <c r="BT142" i="258"/>
  <c r="BU141" i="258"/>
  <c r="BU142" i="258"/>
  <c r="K17" i="293"/>
  <c r="C35" i="294"/>
  <c r="E35" i="294" s="1"/>
  <c r="K17" i="301"/>
  <c r="BH105" i="326"/>
  <c r="AL101" i="326"/>
  <c r="BD97" i="326"/>
  <c r="BN105" i="326"/>
  <c r="AK101" i="326"/>
  <c r="BL107" i="326"/>
  <c r="AK105" i="326"/>
  <c r="BI97" i="326"/>
  <c r="AI105" i="326"/>
  <c r="AJ101" i="326"/>
  <c r="AI101" i="326"/>
  <c r="AY105" i="326"/>
  <c r="AP105" i="326"/>
  <c r="AP103" i="326"/>
  <c r="F97" i="326"/>
  <c r="AU107" i="326"/>
  <c r="AV107" i="326"/>
  <c r="AW107" i="326"/>
  <c r="J111" i="326"/>
  <c r="J5" i="326"/>
  <c r="J99" i="326"/>
  <c r="J109" i="326"/>
  <c r="J105" i="326"/>
  <c r="J95" i="326"/>
  <c r="J97" i="326"/>
  <c r="J93" i="326"/>
  <c r="J91" i="326"/>
  <c r="J101" i="326"/>
  <c r="J103" i="326"/>
  <c r="J107" i="326"/>
  <c r="J87" i="326"/>
  <c r="J85" i="326"/>
  <c r="J53" i="326"/>
  <c r="J89" i="326"/>
  <c r="J81" i="326"/>
  <c r="J83" i="326"/>
  <c r="J77" i="326"/>
  <c r="J79" i="326"/>
  <c r="J59" i="326"/>
  <c r="J71" i="326"/>
  <c r="J69" i="326"/>
  <c r="J67" i="326"/>
  <c r="J73" i="326"/>
  <c r="J33" i="326"/>
  <c r="J57" i="326"/>
  <c r="J29" i="326"/>
  <c r="J65" i="326"/>
  <c r="J61" i="326"/>
  <c r="J45" i="326"/>
  <c r="J63" i="326"/>
  <c r="J49" i="326"/>
  <c r="J35" i="326"/>
  <c r="BC107" i="326"/>
  <c r="K8" i="293"/>
  <c r="K8" i="301"/>
  <c r="C26" i="294"/>
  <c r="E26" i="294" s="1"/>
  <c r="K7" i="301"/>
  <c r="C25" i="294"/>
  <c r="E25" i="294" s="1"/>
  <c r="K7" i="293"/>
  <c r="AG14" i="368" l="1"/>
  <c r="AF14" i="368"/>
  <c r="AG21" i="368"/>
  <c r="AF21" i="368"/>
  <c r="AF11" i="368"/>
  <c r="AG11" i="368"/>
  <c r="AG15" i="368"/>
  <c r="AF15" i="368"/>
  <c r="AG19" i="368"/>
  <c r="AF19" i="368"/>
  <c r="AG22" i="368"/>
  <c r="AF22" i="368"/>
  <c r="AF18" i="368"/>
  <c r="AG18" i="368"/>
  <c r="AG8" i="368"/>
  <c r="AF8" i="368"/>
  <c r="AF12" i="368"/>
  <c r="AG12" i="368"/>
  <c r="AG16" i="368"/>
  <c r="AF16" i="368"/>
  <c r="AG20" i="368"/>
  <c r="AF20" i="368"/>
  <c r="AG9" i="368"/>
  <c r="AF9" i="368"/>
  <c r="AG13" i="368"/>
  <c r="AF13" i="368"/>
  <c r="AF17" i="368"/>
  <c r="AG17" i="368"/>
  <c r="AF10" i="368"/>
  <c r="AG10" i="368"/>
  <c r="AG15" i="365"/>
  <c r="AF15" i="365"/>
  <c r="AF18" i="365"/>
  <c r="AG18" i="365"/>
  <c r="AG19" i="365"/>
  <c r="AF19" i="365"/>
  <c r="AG10" i="365"/>
  <c r="AF10" i="365"/>
  <c r="AG13" i="365"/>
  <c r="AF13" i="365"/>
  <c r="AF16" i="365"/>
  <c r="AG16" i="365"/>
  <c r="AG20" i="365"/>
  <c r="AF20" i="365"/>
  <c r="AG9" i="365"/>
  <c r="AF9" i="365"/>
  <c r="AF12" i="365"/>
  <c r="AG12" i="365"/>
  <c r="AG21" i="365"/>
  <c r="AF21" i="365"/>
  <c r="AG8" i="365"/>
  <c r="AF8" i="365"/>
  <c r="AG11" i="365"/>
  <c r="AF11" i="365"/>
  <c r="AG14" i="365"/>
  <c r="AF14" i="365"/>
  <c r="AF17" i="365"/>
  <c r="AG17" i="365"/>
  <c r="AF22" i="365"/>
  <c r="AG22" i="365"/>
  <c r="AF9" i="363"/>
  <c r="AG9" i="363"/>
  <c r="AG12" i="363"/>
  <c r="AF12" i="363"/>
  <c r="AF15" i="363"/>
  <c r="AG15" i="363"/>
  <c r="AG20" i="363"/>
  <c r="AF20" i="363"/>
  <c r="AF21" i="363"/>
  <c r="AG21" i="363"/>
  <c r="AG7" i="363"/>
  <c r="AF7" i="363"/>
  <c r="AG10" i="363"/>
  <c r="AF10" i="363"/>
  <c r="AG13" i="363"/>
  <c r="AF13" i="363"/>
  <c r="AG16" i="363"/>
  <c r="AF16" i="363"/>
  <c r="AG17" i="363"/>
  <c r="AF17" i="363"/>
  <c r="AG8" i="363"/>
  <c r="AF8" i="363"/>
  <c r="AF11" i="363"/>
  <c r="AG11" i="363"/>
  <c r="AF14" i="363"/>
  <c r="AG14" i="363"/>
  <c r="AF18" i="363"/>
  <c r="AG18" i="363"/>
  <c r="AG19" i="363"/>
  <c r="AF19" i="363"/>
  <c r="AG19" i="361"/>
  <c r="AF19" i="361"/>
  <c r="AG22" i="361"/>
  <c r="AF22" i="361"/>
  <c r="AF8" i="361"/>
  <c r="AG8" i="361"/>
  <c r="AF11" i="361"/>
  <c r="AG11" i="361"/>
  <c r="AF14" i="361"/>
  <c r="AG14" i="361"/>
  <c r="AG17" i="361"/>
  <c r="AF17" i="361"/>
  <c r="AF20" i="361"/>
  <c r="AG20" i="361"/>
  <c r="AF9" i="361"/>
  <c r="AG9" i="361"/>
  <c r="AG12" i="361"/>
  <c r="AF12" i="361"/>
  <c r="AG15" i="361"/>
  <c r="AF15" i="361"/>
  <c r="AG18" i="361"/>
  <c r="AF18" i="361"/>
  <c r="AG21" i="361"/>
  <c r="AF21" i="361"/>
  <c r="AG10" i="361"/>
  <c r="AF10" i="361"/>
  <c r="AF13" i="361"/>
  <c r="AG13" i="361"/>
  <c r="AF16" i="361"/>
  <c r="AG16" i="361"/>
  <c r="AF20" i="358"/>
  <c r="AG20" i="358"/>
  <c r="AG21" i="358"/>
  <c r="AF21" i="358"/>
  <c r="AG19" i="358"/>
  <c r="AF19" i="358"/>
  <c r="AG22" i="358"/>
  <c r="AF22" i="358"/>
  <c r="AF13" i="358"/>
  <c r="AG13" i="358"/>
  <c r="AG18" i="358"/>
  <c r="AF18" i="358"/>
  <c r="AG8" i="358"/>
  <c r="AF8" i="358"/>
  <c r="AG14" i="358"/>
  <c r="AF14" i="358"/>
  <c r="AF12" i="358"/>
  <c r="AG12" i="358"/>
  <c r="AG11" i="358"/>
  <c r="AF11" i="358"/>
  <c r="AG17" i="358"/>
  <c r="AF17" i="358"/>
  <c r="AG9" i="358"/>
  <c r="AF9" i="358"/>
  <c r="AG15" i="358"/>
  <c r="AF15" i="358"/>
  <c r="AG10" i="358"/>
  <c r="AF10" i="358"/>
  <c r="AG16" i="358"/>
  <c r="AF16" i="358"/>
  <c r="AG12" i="356"/>
  <c r="AF12" i="356"/>
  <c r="AG15" i="356"/>
  <c r="AF15" i="356"/>
  <c r="AF14" i="356"/>
  <c r="AG14" i="356"/>
  <c r="AG10" i="356"/>
  <c r="AF10" i="356"/>
  <c r="AG9" i="356"/>
  <c r="AF9" i="356"/>
  <c r="AG16" i="356"/>
  <c r="AF16" i="356"/>
  <c r="AG8" i="356"/>
  <c r="AF8" i="356"/>
  <c r="AF11" i="356"/>
  <c r="AG11" i="356"/>
  <c r="AG17" i="356"/>
  <c r="AG13" i="356"/>
  <c r="AF13" i="356"/>
  <c r="AL95" i="326"/>
  <c r="AN95" i="326"/>
  <c r="BN95" i="326"/>
  <c r="AG95" i="326"/>
  <c r="AM95" i="326"/>
  <c r="AQ95" i="326"/>
  <c r="AU95" i="326"/>
  <c r="AI93" i="326"/>
  <c r="AZ93" i="326"/>
  <c r="AQ91" i="326"/>
  <c r="AV91" i="326"/>
  <c r="AH91" i="326"/>
  <c r="AM91" i="326"/>
  <c r="AW91" i="326"/>
  <c r="AG91" i="326"/>
  <c r="BL91" i="326"/>
  <c r="AZ91" i="326"/>
  <c r="BA91" i="326"/>
  <c r="AR91" i="326"/>
  <c r="AS91" i="326"/>
  <c r="BB91" i="326"/>
  <c r="AU91" i="326"/>
  <c r="BD91" i="326"/>
  <c r="BE91" i="326"/>
  <c r="AX91" i="326"/>
  <c r="BG91" i="326"/>
  <c r="BJ91" i="326"/>
  <c r="AY91" i="326"/>
  <c r="AO91" i="326"/>
  <c r="AF91" i="326"/>
  <c r="AT91" i="326"/>
  <c r="BC91" i="326"/>
  <c r="BM91" i="326"/>
  <c r="BF91" i="326"/>
  <c r="AI91" i="326"/>
  <c r="BN91" i="326"/>
  <c r="BH91" i="326"/>
  <c r="BI91" i="326"/>
  <c r="AK91" i="326"/>
  <c r="AP91" i="326"/>
  <c r="AL91" i="326"/>
  <c r="AJ91" i="326"/>
  <c r="AL87" i="326"/>
  <c r="AQ87" i="326"/>
  <c r="BL85" i="326"/>
  <c r="BH85" i="326"/>
  <c r="AV83" i="326"/>
  <c r="AZ83" i="326"/>
  <c r="BE83" i="326"/>
  <c r="BL75" i="326"/>
  <c r="AY75" i="326"/>
  <c r="AZ75" i="326"/>
  <c r="AR75" i="326"/>
  <c r="AH71" i="326"/>
  <c r="AO71" i="326"/>
  <c r="AU71" i="326"/>
  <c r="AI71" i="326"/>
  <c r="AX71" i="326"/>
  <c r="AJ71" i="326"/>
  <c r="BH71" i="326"/>
  <c r="AY71" i="326"/>
  <c r="BL71" i="326"/>
  <c r="BA71" i="326"/>
  <c r="BB71" i="326"/>
  <c r="BC71" i="326"/>
  <c r="BJ71" i="326"/>
  <c r="BK71" i="326"/>
  <c r="BG71" i="326"/>
  <c r="BF71" i="326"/>
  <c r="BM71" i="326"/>
  <c r="AL71" i="326"/>
  <c r="AQ71" i="326"/>
  <c r="AT71" i="326"/>
  <c r="AR71" i="326"/>
  <c r="AZ71" i="326"/>
  <c r="AN71" i="326"/>
  <c r="AS71" i="326"/>
  <c r="AM71" i="326"/>
  <c r="AV71" i="326"/>
  <c r="BE71" i="326"/>
  <c r="BI71" i="326"/>
  <c r="AG71" i="326"/>
  <c r="AF71" i="326"/>
  <c r="AP71" i="326"/>
  <c r="AV67" i="326"/>
  <c r="BC67" i="326"/>
  <c r="AH63" i="326"/>
  <c r="AT63" i="326"/>
  <c r="BD63" i="326"/>
  <c r="AO63" i="326"/>
  <c r="BK63" i="326"/>
  <c r="BL59" i="326"/>
  <c r="BB59" i="326"/>
  <c r="BD59" i="326"/>
  <c r="BH59" i="326"/>
  <c r="AF59" i="326"/>
  <c r="AK59" i="326"/>
  <c r="AL59" i="326"/>
  <c r="BM59" i="326"/>
  <c r="BE59" i="326"/>
  <c r="BJ59" i="326"/>
  <c r="AG59" i="326"/>
  <c r="AH59" i="326"/>
  <c r="AU59" i="326"/>
  <c r="BC59" i="326"/>
  <c r="AJ59" i="326"/>
  <c r="AV59" i="326"/>
  <c r="AT59" i="326"/>
  <c r="AW59" i="326"/>
  <c r="AQ59" i="326"/>
  <c r="AO59" i="326"/>
  <c r="AX59" i="326"/>
  <c r="BK59" i="326"/>
  <c r="AZ59" i="326"/>
  <c r="BF59" i="326"/>
  <c r="AR59" i="326"/>
  <c r="BA59" i="326"/>
  <c r="AY59" i="326"/>
  <c r="AS59" i="326"/>
  <c r="AK57" i="326"/>
  <c r="BE57" i="326"/>
  <c r="AV31" i="326"/>
  <c r="AQ31" i="326"/>
  <c r="AI24" i="326"/>
  <c r="AR24" i="326"/>
  <c r="AH39" i="350"/>
  <c r="Z39" i="350" s="1"/>
  <c r="BB99" i="326"/>
  <c r="AQ109" i="326"/>
  <c r="AG31" i="326"/>
  <c r="BA75" i="326"/>
  <c r="BH77" i="326"/>
  <c r="AY95" i="326"/>
  <c r="AC95" i="326" s="1" a="1"/>
  <c r="AC95" i="326" s="1"/>
  <c r="AU31" i="326"/>
  <c r="AK75" i="326"/>
  <c r="BG31" i="326"/>
  <c r="AZ95" i="326"/>
  <c r="AS97" i="326"/>
  <c r="BK95" i="326"/>
  <c r="AS31" i="326"/>
  <c r="AS95" i="326"/>
  <c r="AF95" i="326"/>
  <c r="AH77" i="326"/>
  <c r="AX31" i="326"/>
  <c r="AN75" i="326"/>
  <c r="BF95" i="326"/>
  <c r="BG95" i="326"/>
  <c r="AJ95" i="326"/>
  <c r="AH95" i="326"/>
  <c r="BC77" i="326"/>
  <c r="AX95" i="326"/>
  <c r="AI95" i="326"/>
  <c r="AV33" i="326"/>
  <c r="AV95" i="326"/>
  <c r="BN77" i="326"/>
  <c r="AR95" i="326"/>
  <c r="BJ95" i="326"/>
  <c r="AK95" i="326"/>
  <c r="AO95" i="326"/>
  <c r="BJ31" i="326"/>
  <c r="AZ33" i="326"/>
  <c r="BA95" i="326"/>
  <c r="AT31" i="326"/>
  <c r="AT95" i="326"/>
  <c r="BM31" i="326"/>
  <c r="BD95" i="326"/>
  <c r="BI95" i="326"/>
  <c r="BM95" i="326"/>
  <c r="BI31" i="326"/>
  <c r="BB95" i="326"/>
  <c r="BH95" i="326"/>
  <c r="BH33" i="326"/>
  <c r="BC31" i="326"/>
  <c r="BB31" i="326"/>
  <c r="AW95" i="326"/>
  <c r="AR31" i="326"/>
  <c r="AH31" i="326"/>
  <c r="AZ77" i="326"/>
  <c r="BL95" i="326"/>
  <c r="BE95" i="326"/>
  <c r="AL65" i="326"/>
  <c r="AJ97" i="326"/>
  <c r="AU97" i="326"/>
  <c r="AY97" i="326"/>
  <c r="BI107" i="326"/>
  <c r="AG107" i="326"/>
  <c r="AO33" i="326"/>
  <c r="AF107" i="326"/>
  <c r="AS107" i="326"/>
  <c r="AR97" i="326"/>
  <c r="AG33" i="326"/>
  <c r="BH107" i="326"/>
  <c r="AI33" i="326"/>
  <c r="BG33" i="326"/>
  <c r="AQ33" i="326"/>
  <c r="AN97" i="326"/>
  <c r="BM97" i="326"/>
  <c r="AT33" i="326"/>
  <c r="AR33" i="326"/>
  <c r="AG97" i="326"/>
  <c r="BF107" i="326"/>
  <c r="BH97" i="326"/>
  <c r="AL33" i="326"/>
  <c r="AR87" i="296"/>
  <c r="BM33" i="326"/>
  <c r="AM97" i="326"/>
  <c r="BN33" i="326"/>
  <c r="BD107" i="326"/>
  <c r="BA33" i="326"/>
  <c r="AQ107" i="326"/>
  <c r="AI97" i="326"/>
  <c r="BN107" i="326"/>
  <c r="AM107" i="326"/>
  <c r="AQ97" i="326"/>
  <c r="BF33" i="326"/>
  <c r="AO97" i="326"/>
  <c r="AH33" i="326"/>
  <c r="AX33" i="326"/>
  <c r="AT107" i="326"/>
  <c r="AO107" i="326"/>
  <c r="BF97" i="326"/>
  <c r="BG97" i="326"/>
  <c r="AZ45" i="326"/>
  <c r="AT35" i="326"/>
  <c r="BJ57" i="326"/>
  <c r="AJ57" i="326"/>
  <c r="AM57" i="326"/>
  <c r="BN57" i="326"/>
  <c r="BC57" i="326"/>
  <c r="Q16" i="401"/>
  <c r="AM65" i="326"/>
  <c r="AK5" i="326"/>
  <c r="AY5" i="326"/>
  <c r="AS45" i="326"/>
  <c r="BD99" i="326"/>
  <c r="AL109" i="326"/>
  <c r="AV109" i="326"/>
  <c r="AG109" i="326"/>
  <c r="BC109" i="326"/>
  <c r="AF45" i="326"/>
  <c r="AO109" i="326"/>
  <c r="AF109" i="326"/>
  <c r="AG35" i="326"/>
  <c r="AV35" i="326"/>
  <c r="AX99" i="326"/>
  <c r="BA35" i="326"/>
  <c r="BG35" i="326"/>
  <c r="BB35" i="326"/>
  <c r="BB45" i="326"/>
  <c r="AH99" i="326"/>
  <c r="AV45" i="326"/>
  <c r="AP45" i="326"/>
  <c r="AJ109" i="326"/>
  <c r="AB109" i="326" s="1"/>
  <c r="AI99" i="326"/>
  <c r="AJ45" i="326"/>
  <c r="AG99" i="326"/>
  <c r="BM99" i="326"/>
  <c r="AQ35" i="326"/>
  <c r="AO45" i="326"/>
  <c r="AM99" i="326"/>
  <c r="AH109" i="326"/>
  <c r="Q18" i="438"/>
  <c r="BL81" i="326"/>
  <c r="P51" i="406"/>
  <c r="AY81" i="326"/>
  <c r="BA81" i="326"/>
  <c r="BH81" i="326"/>
  <c r="BE31" i="326"/>
  <c r="BG77" i="326"/>
  <c r="BF77" i="326"/>
  <c r="AW75" i="326"/>
  <c r="BB77" i="326"/>
  <c r="AT99" i="326"/>
  <c r="BG109" i="326"/>
  <c r="AQ45" i="326"/>
  <c r="AR99" i="326"/>
  <c r="BM109" i="326"/>
  <c r="AH35" i="326"/>
  <c r="AK31" i="326"/>
  <c r="BN31" i="326"/>
  <c r="AF31" i="326"/>
  <c r="AL31" i="326"/>
  <c r="AO31" i="326"/>
  <c r="AY31" i="326"/>
  <c r="AZ31" i="326"/>
  <c r="AI31" i="326"/>
  <c r="BL31" i="326"/>
  <c r="AW31" i="326"/>
  <c r="BF31" i="326"/>
  <c r="AO77" i="326"/>
  <c r="BH49" i="326"/>
  <c r="AU49" i="326"/>
  <c r="AG53" i="326"/>
  <c r="AO53" i="326"/>
  <c r="AU81" i="326"/>
  <c r="BE81" i="326"/>
  <c r="BF81" i="326"/>
  <c r="BI35" i="326"/>
  <c r="BI77" i="326"/>
  <c r="AX35" i="326"/>
  <c r="AX109" i="326"/>
  <c r="AP35" i="326"/>
  <c r="AO35" i="326"/>
  <c r="AY49" i="326"/>
  <c r="BM45" i="326"/>
  <c r="AI45" i="326"/>
  <c r="AF57" i="326"/>
  <c r="BA57" i="326"/>
  <c r="AV57" i="326"/>
  <c r="AW57" i="326"/>
  <c r="BB57" i="326"/>
  <c r="AY103" i="326"/>
  <c r="AJ103" i="326"/>
  <c r="AG77" i="326"/>
  <c r="AI77" i="326"/>
  <c r="AU77" i="326"/>
  <c r="AF77" i="326"/>
  <c r="AW77" i="326"/>
  <c r="AY77" i="326"/>
  <c r="BA77" i="326"/>
  <c r="BD77" i="326"/>
  <c r="AM77" i="326"/>
  <c r="AV77" i="326"/>
  <c r="AX77" i="326"/>
  <c r="AN77" i="326"/>
  <c r="AK77" i="326"/>
  <c r="AP77" i="326"/>
  <c r="AM75" i="326"/>
  <c r="BG75" i="326"/>
  <c r="AH75" i="326"/>
  <c r="AJ75" i="326"/>
  <c r="BD75" i="326"/>
  <c r="AO75" i="326"/>
  <c r="AG75" i="326"/>
  <c r="BH75" i="326"/>
  <c r="AQ75" i="326"/>
  <c r="AT75" i="326"/>
  <c r="BF75" i="326"/>
  <c r="BN75" i="326"/>
  <c r="AI75" i="326"/>
  <c r="BF99" i="326"/>
  <c r="BN99" i="326"/>
  <c r="BK99" i="326"/>
  <c r="BH99" i="326"/>
  <c r="AV99" i="326"/>
  <c r="BE99" i="326"/>
  <c r="BL99" i="326"/>
  <c r="AS99" i="326"/>
  <c r="BI99" i="326"/>
  <c r="AJ99" i="326"/>
  <c r="AW99" i="326"/>
  <c r="AY99" i="326"/>
  <c r="AY45" i="326"/>
  <c r="AM109" i="326"/>
  <c r="BN45" i="326"/>
  <c r="BF35" i="326"/>
  <c r="BF45" i="326"/>
  <c r="AS75" i="326"/>
  <c r="AZ99" i="326"/>
  <c r="BL77" i="326"/>
  <c r="BI75" i="326"/>
  <c r="AZ35" i="326"/>
  <c r="BB75" i="326"/>
  <c r="BA31" i="326"/>
  <c r="AX75" i="326"/>
  <c r="AQ99" i="326"/>
  <c r="AF35" i="326"/>
  <c r="AU35" i="326"/>
  <c r="BK35" i="326"/>
  <c r="AN35" i="326"/>
  <c r="AY35" i="326"/>
  <c r="BD35" i="326"/>
  <c r="AK35" i="326"/>
  <c r="BN35" i="326"/>
  <c r="AR35" i="326"/>
  <c r="AS35" i="326"/>
  <c r="AW35" i="326"/>
  <c r="BE35" i="326"/>
  <c r="AX45" i="326"/>
  <c r="BE45" i="326"/>
  <c r="BI45" i="326"/>
  <c r="BK45" i="326"/>
  <c r="AR45" i="326"/>
  <c r="BJ45" i="326"/>
  <c r="AM45" i="326"/>
  <c r="BA45" i="326"/>
  <c r="BC45" i="326"/>
  <c r="AT45" i="326"/>
  <c r="BD45" i="326"/>
  <c r="AH45" i="326"/>
  <c r="AK45" i="326"/>
  <c r="AL45" i="326"/>
  <c r="BA109" i="326"/>
  <c r="BF109" i="326"/>
  <c r="AP109" i="326"/>
  <c r="AT109" i="326"/>
  <c r="BI109" i="326"/>
  <c r="BB109" i="326"/>
  <c r="BK109" i="326"/>
  <c r="BE109" i="326"/>
  <c r="BN109" i="326"/>
  <c r="BL109" i="326"/>
  <c r="BH109" i="326"/>
  <c r="BJ35" i="326"/>
  <c r="BC35" i="326"/>
  <c r="BD31" i="326"/>
  <c r="AW45" i="326"/>
  <c r="AM35" i="326"/>
  <c r="AL35" i="326"/>
  <c r="BG99" i="326"/>
  <c r="AJ77" i="326"/>
  <c r="AJ35" i="326"/>
  <c r="BH35" i="326"/>
  <c r="BH31" i="326"/>
  <c r="BJ77" i="326"/>
  <c r="AY109" i="326"/>
  <c r="AU75" i="326"/>
  <c r="AU45" i="326"/>
  <c r="AG45" i="326"/>
  <c r="AI109" i="326"/>
  <c r="AL99" i="326"/>
  <c r="AL77" i="326"/>
  <c r="AT77" i="326"/>
  <c r="AP31" i="326"/>
  <c r="AO99" i="326"/>
  <c r="AF99" i="326"/>
  <c r="AF75" i="326"/>
  <c r="AQ77" i="326"/>
  <c r="AN109" i="326"/>
  <c r="BL45" i="326"/>
  <c r="AS109" i="326"/>
  <c r="AV81" i="326"/>
  <c r="AF33" i="326"/>
  <c r="AS33" i="326"/>
  <c r="AW33" i="326"/>
  <c r="BE33" i="326"/>
  <c r="AK33" i="326"/>
  <c r="AJ33" i="326"/>
  <c r="BL33" i="326"/>
  <c r="AU33" i="326"/>
  <c r="AX97" i="326"/>
  <c r="BK97" i="326"/>
  <c r="AW97" i="326"/>
  <c r="BA97" i="326"/>
  <c r="AH97" i="326"/>
  <c r="BN97" i="326"/>
  <c r="AZ97" i="326"/>
  <c r="AF97" i="326"/>
  <c r="BJ97" i="326"/>
  <c r="AH107" i="326"/>
  <c r="AL107" i="326"/>
  <c r="BJ107" i="326"/>
  <c r="BM107" i="326"/>
  <c r="AX107" i="326"/>
  <c r="BB107" i="326"/>
  <c r="BE107" i="326"/>
  <c r="AR107" i="326"/>
  <c r="AY107" i="326"/>
  <c r="BA107" i="326"/>
  <c r="BK107" i="326"/>
  <c r="BJ75" i="326"/>
  <c r="BE75" i="326"/>
  <c r="BC75" i="326"/>
  <c r="AZ107" i="326"/>
  <c r="BE77" i="326"/>
  <c r="AW109" i="326"/>
  <c r="AU109" i="326"/>
  <c r="AX57" i="326"/>
  <c r="AR109" i="326"/>
  <c r="AR103" i="326"/>
  <c r="AP107" i="326"/>
  <c r="BA99" i="326"/>
  <c r="BD109" i="326"/>
  <c r="BJ99" i="326"/>
  <c r="AK99" i="326"/>
  <c r="AV97" i="326"/>
  <c r="AU99" i="326"/>
  <c r="AK97" i="326"/>
  <c r="BK101" i="326"/>
  <c r="AP85" i="326"/>
  <c r="G17" i="293"/>
  <c r="L17" i="293" s="1"/>
  <c r="G4" i="301"/>
  <c r="K29" i="350"/>
  <c r="BC69" i="326"/>
  <c r="BM101" i="326"/>
  <c r="G6" i="293"/>
  <c r="G16" i="301"/>
  <c r="L16" i="301" s="1"/>
  <c r="AI34" i="350"/>
  <c r="BN106" i="296"/>
  <c r="J9" i="446"/>
  <c r="Q42" i="434"/>
  <c r="AW24" i="326"/>
  <c r="BH101" i="326"/>
  <c r="BE101" i="326"/>
  <c r="AT83" i="326"/>
  <c r="AQ83" i="326"/>
  <c r="BH63" i="326"/>
  <c r="AT101" i="326"/>
  <c r="AF83" i="326"/>
  <c r="AO24" i="326"/>
  <c r="AN24" i="326"/>
  <c r="G8" i="293"/>
  <c r="L8" i="293" s="1"/>
  <c r="G7" i="293"/>
  <c r="L7" i="293" s="1"/>
  <c r="G12" i="293"/>
  <c r="G28" i="300"/>
  <c r="G28" i="301"/>
  <c r="G19" i="301"/>
  <c r="L19" i="301" s="1"/>
  <c r="K35" i="350"/>
  <c r="G15" i="293"/>
  <c r="L15" i="293" s="1"/>
  <c r="F32" i="294"/>
  <c r="G26" i="300"/>
  <c r="G17" i="301"/>
  <c r="L17" i="301" s="1"/>
  <c r="G30" i="301"/>
  <c r="L30" i="301" s="1"/>
  <c r="K30" i="350"/>
  <c r="BC83" i="326"/>
  <c r="AJ111" i="326"/>
  <c r="G26" i="293"/>
  <c r="L26" i="293" s="1"/>
  <c r="BG79" i="326"/>
  <c r="AW83" i="326"/>
  <c r="AW111" i="326"/>
  <c r="BB105" i="326"/>
  <c r="AF101" i="326"/>
  <c r="AR101" i="326"/>
  <c r="BN101" i="326"/>
  <c r="AM31" i="326"/>
  <c r="AX105" i="326"/>
  <c r="AJ83" i="326"/>
  <c r="BL24" i="326"/>
  <c r="G5" i="293"/>
  <c r="L5" i="293" s="1"/>
  <c r="G27" i="293"/>
  <c r="G29" i="293"/>
  <c r="G30" i="300"/>
  <c r="G10" i="301"/>
  <c r="L10" i="301" s="1"/>
  <c r="G9" i="301"/>
  <c r="AI35" i="350"/>
  <c r="AG101" i="326"/>
  <c r="G24" i="301"/>
  <c r="AM83" i="326"/>
  <c r="AL83" i="326"/>
  <c r="AG24" i="326"/>
  <c r="F22" i="294"/>
  <c r="G10" i="293"/>
  <c r="L10" i="293" s="1"/>
  <c r="F24" i="294"/>
  <c r="G25" i="293"/>
  <c r="G12" i="301"/>
  <c r="R27" i="300"/>
  <c r="K33" i="350"/>
  <c r="AZ79" i="326"/>
  <c r="BE24" i="326"/>
  <c r="AS83" i="326"/>
  <c r="AP101" i="326"/>
  <c r="BF24" i="326"/>
  <c r="BD24" i="326"/>
  <c r="AZ24" i="326"/>
  <c r="BI101" i="326"/>
  <c r="BL83" i="326"/>
  <c r="AS101" i="326"/>
  <c r="AF24" i="326"/>
  <c r="BB24" i="326"/>
  <c r="BA83" i="326"/>
  <c r="BK83" i="326"/>
  <c r="AQ63" i="326"/>
  <c r="AQ101" i="326"/>
  <c r="AY101" i="326"/>
  <c r="AH101" i="326"/>
  <c r="AG83" i="326"/>
  <c r="BB101" i="326"/>
  <c r="AM24" i="326"/>
  <c r="BA24" i="326"/>
  <c r="AQ24" i="326"/>
  <c r="AW101" i="326"/>
  <c r="AI83" i="326"/>
  <c r="AV101" i="326"/>
  <c r="BG24" i="326"/>
  <c r="G18" i="293"/>
  <c r="L18" i="293" s="1"/>
  <c r="G28" i="293"/>
  <c r="F33" i="294"/>
  <c r="G33" i="294" s="1"/>
  <c r="G31" i="300"/>
  <c r="G25" i="301"/>
  <c r="AI30" i="350"/>
  <c r="BG83" i="326"/>
  <c r="AY24" i="326"/>
  <c r="AT24" i="326"/>
  <c r="AU83" i="326"/>
  <c r="BC101" i="326"/>
  <c r="AN83" i="326"/>
  <c r="BN83" i="326"/>
  <c r="AP83" i="326"/>
  <c r="AJ63" i="326"/>
  <c r="AU101" i="326"/>
  <c r="AH83" i="326"/>
  <c r="BH83" i="326"/>
  <c r="BF83" i="326"/>
  <c r="BD83" i="326"/>
  <c r="AX24" i="326"/>
  <c r="AY83" i="326"/>
  <c r="AX111" i="326"/>
  <c r="AS63" i="326"/>
  <c r="AX101" i="326"/>
  <c r="AN101" i="326"/>
  <c r="AG63" i="326"/>
  <c r="AO101" i="326"/>
  <c r="BM24" i="326"/>
  <c r="G4" i="293"/>
  <c r="G13" i="293"/>
  <c r="F25" i="294"/>
  <c r="G25" i="294" s="1"/>
  <c r="G11" i="301"/>
  <c r="L11" i="301" s="1"/>
  <c r="G13" i="301"/>
  <c r="R31" i="300"/>
  <c r="K28" i="350"/>
  <c r="BB83" i="326"/>
  <c r="AU24" i="326"/>
  <c r="BI83" i="326"/>
  <c r="BC24" i="326"/>
  <c r="BF101" i="326"/>
  <c r="BD101" i="326"/>
  <c r="AU111" i="326"/>
  <c r="AK83" i="326"/>
  <c r="BL101" i="326"/>
  <c r="AR83" i="326"/>
  <c r="BM83" i="326"/>
  <c r="AK24" i="326"/>
  <c r="F23" i="294"/>
  <c r="G23" i="294" s="1"/>
  <c r="F28" i="294"/>
  <c r="G28" i="294" s="1"/>
  <c r="F27" i="294"/>
  <c r="G26" i="301"/>
  <c r="H26" i="301" s="1"/>
  <c r="G14" i="301"/>
  <c r="R30" i="300"/>
  <c r="AI33" i="350"/>
  <c r="AW71" i="326"/>
  <c r="AV75" i="326"/>
  <c r="AV24" i="326"/>
  <c r="BA111" i="326"/>
  <c r="AX83" i="326"/>
  <c r="BG101" i="326"/>
  <c r="AS24" i="326"/>
  <c r="AP75" i="326"/>
  <c r="AP24" i="326"/>
  <c r="BM57" i="326"/>
  <c r="BA101" i="326"/>
  <c r="BM75" i="326"/>
  <c r="AM103" i="326"/>
  <c r="AS77" i="326"/>
  <c r="BM79" i="326"/>
  <c r="AJ31" i="326"/>
  <c r="BN71" i="326"/>
  <c r="AG79" i="326"/>
  <c r="G24" i="293"/>
  <c r="F29" i="294"/>
  <c r="G29" i="294" s="1"/>
  <c r="F26" i="294"/>
  <c r="G26" i="294" s="1"/>
  <c r="G27" i="301"/>
  <c r="G6" i="301"/>
  <c r="R28" i="300"/>
  <c r="BD87" i="326"/>
  <c r="AZ67" i="326"/>
  <c r="AX67" i="326"/>
  <c r="AY67" i="326"/>
  <c r="BF67" i="326"/>
  <c r="BB87" i="326"/>
  <c r="BE67" i="326"/>
  <c r="BD67" i="326"/>
  <c r="BA87" i="326"/>
  <c r="AZ87" i="326"/>
  <c r="AI67" i="326"/>
  <c r="AM67" i="326"/>
  <c r="BK87" i="326"/>
  <c r="BJ87" i="326"/>
  <c r="AF87" i="326"/>
  <c r="BH87" i="326"/>
  <c r="J38" i="446"/>
  <c r="AN67" i="326"/>
  <c r="BG67" i="326"/>
  <c r="AO67" i="326"/>
  <c r="AK67" i="326"/>
  <c r="AO87" i="326"/>
  <c r="AR87" i="326"/>
  <c r="BB67" i="326"/>
  <c r="BA67" i="326"/>
  <c r="BN87" i="326"/>
  <c r="BN67" i="326"/>
  <c r="AP67" i="326"/>
  <c r="AS87" i="326"/>
  <c r="BM87" i="326"/>
  <c r="BE87" i="326"/>
  <c r="BC87" i="326"/>
  <c r="AX87" i="326"/>
  <c r="AW67" i="326"/>
  <c r="BJ67" i="326"/>
  <c r="BF87" i="326"/>
  <c r="BI67" i="326"/>
  <c r="BH67" i="326"/>
  <c r="AG67" i="326"/>
  <c r="AK87" i="326"/>
  <c r="AI87" i="326"/>
  <c r="AG87" i="326"/>
  <c r="AN87" i="326"/>
  <c r="AJ67" i="326"/>
  <c r="BM67" i="326"/>
  <c r="AW87" i="326"/>
  <c r="AU87" i="326"/>
  <c r="AH87" i="326"/>
  <c r="AP87" i="326"/>
  <c r="AL67" i="326"/>
  <c r="BL87" i="326"/>
  <c r="AU67" i="326"/>
  <c r="AQ67" i="326"/>
  <c r="AF67" i="326"/>
  <c r="BI87" i="326"/>
  <c r="BL67" i="326"/>
  <c r="AT87" i="326"/>
  <c r="AJ87" i="326"/>
  <c r="AH67" i="326"/>
  <c r="AR67" i="326"/>
  <c r="AM87" i="326"/>
  <c r="AS67" i="326"/>
  <c r="AY87" i="326"/>
  <c r="AT111" i="326"/>
  <c r="AY79" i="326"/>
  <c r="AQ111" i="326"/>
  <c r="AJ79" i="326"/>
  <c r="AK111" i="326"/>
  <c r="AQ79" i="326"/>
  <c r="BI111" i="326"/>
  <c r="BL79" i="326"/>
  <c r="BA100" i="296"/>
  <c r="BE79" i="326"/>
  <c r="AF79" i="326"/>
  <c r="AZ111" i="326"/>
  <c r="AM79" i="326"/>
  <c r="AP111" i="326"/>
  <c r="BH79" i="326"/>
  <c r="BK111" i="326"/>
  <c r="AI79" i="326"/>
  <c r="BC111" i="326"/>
  <c r="AS79" i="326"/>
  <c r="BN111" i="326"/>
  <c r="AO111" i="326"/>
  <c r="AY111" i="326"/>
  <c r="AR111" i="326"/>
  <c r="AL79" i="326"/>
  <c r="BI79" i="326"/>
  <c r="BB79" i="326"/>
  <c r="BA79" i="326"/>
  <c r="BJ79" i="326"/>
  <c r="BH111" i="326"/>
  <c r="AV111" i="326"/>
  <c r="AT79" i="326"/>
  <c r="BG111" i="326"/>
  <c r="BB111" i="326"/>
  <c r="BD79" i="326"/>
  <c r="BC79" i="326"/>
  <c r="AP79" i="326"/>
  <c r="AL111" i="326"/>
  <c r="AH111" i="326"/>
  <c r="AR79" i="326"/>
  <c r="BD111" i="326"/>
  <c r="BN79" i="326"/>
  <c r="AF111" i="326"/>
  <c r="BF111" i="326"/>
  <c r="BE111" i="326"/>
  <c r="BM111" i="326"/>
  <c r="AI111" i="326"/>
  <c r="BF79" i="326"/>
  <c r="AN79" i="326"/>
  <c r="AO79" i="326"/>
  <c r="AV79" i="326"/>
  <c r="AU79" i="326"/>
  <c r="AH79" i="326"/>
  <c r="AX79" i="326"/>
  <c r="AS111" i="326"/>
  <c r="AG111" i="326"/>
  <c r="BL111" i="326"/>
  <c r="BI5" i="326"/>
  <c r="AZ69" i="326"/>
  <c r="AZ85" i="326"/>
  <c r="AT89" i="326"/>
  <c r="AP69" i="326"/>
  <c r="BN69" i="326"/>
  <c r="AR69" i="326"/>
  <c r="AM85" i="326"/>
  <c r="AM5" i="326"/>
  <c r="BE65" i="326"/>
  <c r="BI89" i="326"/>
  <c r="AF89" i="326"/>
  <c r="AM69" i="326"/>
  <c r="AI65" i="326"/>
  <c r="AI85" i="326"/>
  <c r="AG85" i="326"/>
  <c r="BF65" i="326"/>
  <c r="BC5" i="326"/>
  <c r="AO65" i="326"/>
  <c r="BH69" i="326"/>
  <c r="BC65" i="326"/>
  <c r="AX89" i="326"/>
  <c r="BE89" i="326"/>
  <c r="BB5" i="326"/>
  <c r="BF89" i="326"/>
  <c r="AQ89" i="326"/>
  <c r="BA89" i="326"/>
  <c r="BG85" i="326"/>
  <c r="BE85" i="326"/>
  <c r="BD89" i="326"/>
  <c r="BD65" i="326"/>
  <c r="AT69" i="326"/>
  <c r="AW89" i="326"/>
  <c r="AX5" i="326"/>
  <c r="AW85" i="326"/>
  <c r="AR65" i="326"/>
  <c r="AT85" i="326"/>
  <c r="BB89" i="326"/>
  <c r="BI85" i="326"/>
  <c r="BN89" i="326"/>
  <c r="BB69" i="326"/>
  <c r="BJ5" i="326"/>
  <c r="BA65" i="326"/>
  <c r="AY89" i="326"/>
  <c r="BJ89" i="326"/>
  <c r="AV85" i="326"/>
  <c r="AT65" i="326"/>
  <c r="AU5" i="326"/>
  <c r="AH65" i="326"/>
  <c r="AJ65" i="326"/>
  <c r="BF5" i="326"/>
  <c r="AZ89" i="326"/>
  <c r="AV65" i="326"/>
  <c r="BF69" i="326"/>
  <c r="BE5" i="326"/>
  <c r="AZ65" i="326"/>
  <c r="BA5" i="326"/>
  <c r="AZ5" i="326"/>
  <c r="AS69" i="326"/>
  <c r="AV89" i="326"/>
  <c r="AQ69" i="326"/>
  <c r="AK85" i="326"/>
  <c r="AJ5" i="326"/>
  <c r="AG89" i="326"/>
  <c r="AH85" i="326"/>
  <c r="BM5" i="326"/>
  <c r="BJ69" i="326"/>
  <c r="AX65" i="326"/>
  <c r="BH89" i="326"/>
  <c r="AS65" i="326"/>
  <c r="AK69" i="326"/>
  <c r="AF65" i="326"/>
  <c r="BL69" i="326"/>
  <c r="BC89" i="326"/>
  <c r="AQ5" i="326"/>
  <c r="AH89" i="326"/>
  <c r="BK85" i="326"/>
  <c r="AH5" i="326"/>
  <c r="AO89" i="326"/>
  <c r="AS5" i="326"/>
  <c r="AR85" i="326"/>
  <c r="AF5" i="326"/>
  <c r="AO69" i="326"/>
  <c r="BM89" i="326"/>
  <c r="BA69" i="326"/>
  <c r="BB65" i="326"/>
  <c r="AX69" i="326"/>
  <c r="BE69" i="326"/>
  <c r="AW5" i="326"/>
  <c r="AQ85" i="326"/>
  <c r="AO5" i="326"/>
  <c r="BH5" i="326"/>
  <c r="AX85" i="326"/>
  <c r="AU89" i="326"/>
  <c r="AW69" i="326"/>
  <c r="AU65" i="326"/>
  <c r="AS89" i="326"/>
  <c r="AI89" i="326"/>
  <c r="BN5" i="326"/>
  <c r="AP5" i="326"/>
  <c r="AG69" i="326"/>
  <c r="BC85" i="326"/>
  <c r="BI69" i="326"/>
  <c r="BD69" i="326"/>
  <c r="BG5" i="326"/>
  <c r="AY85" i="326"/>
  <c r="BG89" i="326"/>
  <c r="AN89" i="326"/>
  <c r="AJ69" i="326"/>
  <c r="AK65" i="326"/>
  <c r="BJ85" i="326"/>
  <c r="AF69" i="326"/>
  <c r="AQ65" i="326"/>
  <c r="AG65" i="326"/>
  <c r="AG5" i="326"/>
  <c r="AL5" i="326"/>
  <c r="BB85" i="326"/>
  <c r="BF85" i="326"/>
  <c r="AM89" i="326"/>
  <c r="AR89" i="326"/>
  <c r="AS85" i="326"/>
  <c r="AF85" i="326"/>
  <c r="AN69" i="326"/>
  <c r="AJ85" i="326"/>
  <c r="BD85" i="326"/>
  <c r="AL89" i="326"/>
  <c r="BL89" i="326"/>
  <c r="AS73" i="326"/>
  <c r="BN24" i="326"/>
  <c r="AW81" i="296"/>
  <c r="AH24" i="326"/>
  <c r="BH24" i="326"/>
  <c r="AF61" i="326"/>
  <c r="BJ24" i="326"/>
  <c r="BI61" i="326"/>
  <c r="AM29" i="326"/>
  <c r="BI24" i="326"/>
  <c r="AV93" i="326"/>
  <c r="AL24" i="326"/>
  <c r="BD93" i="326"/>
  <c r="AY29" i="326"/>
  <c r="AT29" i="326"/>
  <c r="AT93" i="326"/>
  <c r="AR93" i="326"/>
  <c r="AF73" i="326"/>
  <c r="Q42" i="401"/>
  <c r="Q14" i="432"/>
  <c r="G37" i="294"/>
  <c r="P39" i="434"/>
  <c r="L15" i="301"/>
  <c r="BI65" i="296"/>
  <c r="BM83" i="296"/>
  <c r="AM65" i="296"/>
  <c r="AI71" i="296"/>
  <c r="BC53" i="326"/>
  <c r="BA53" i="326"/>
  <c r="AT53" i="326"/>
  <c r="AR81" i="326"/>
  <c r="AI53" i="326"/>
  <c r="AN81" i="326"/>
  <c r="AK49" i="326"/>
  <c r="BM53" i="326"/>
  <c r="AM53" i="326"/>
  <c r="AJ81" i="326"/>
  <c r="BK53" i="326"/>
  <c r="Q9" i="438"/>
  <c r="Q21" i="438"/>
  <c r="AG81" i="326"/>
  <c r="BN53" i="326"/>
  <c r="AF49" i="326"/>
  <c r="AN53" i="326"/>
  <c r="AI81" i="326"/>
  <c r="BI53" i="326"/>
  <c r="BE49" i="326"/>
  <c r="AY53" i="326"/>
  <c r="AQ53" i="326"/>
  <c r="BF49" i="326"/>
  <c r="BD49" i="326"/>
  <c r="AJ49" i="326"/>
  <c r="AH53" i="326"/>
  <c r="AL49" i="326"/>
  <c r="BA49" i="326"/>
  <c r="AI49" i="326"/>
  <c r="AW49" i="326"/>
  <c r="BM49" i="326"/>
  <c r="AH49" i="326"/>
  <c r="AV53" i="326"/>
  <c r="AK53" i="326"/>
  <c r="BI49" i="326"/>
  <c r="BB49" i="326"/>
  <c r="AX49" i="326"/>
  <c r="AG49" i="326"/>
  <c r="AJ53" i="326"/>
  <c r="BB53" i="326"/>
  <c r="AS81" i="326"/>
  <c r="AT81" i="326"/>
  <c r="BJ49" i="326"/>
  <c r="AL53" i="326"/>
  <c r="BM81" i="326"/>
  <c r="BD53" i="326"/>
  <c r="AZ81" i="326"/>
  <c r="BL53" i="326"/>
  <c r="BG53" i="326"/>
  <c r="AH81" i="326"/>
  <c r="L30" i="293"/>
  <c r="L5" i="301"/>
  <c r="AZ53" i="326"/>
  <c r="AZ49" i="326"/>
  <c r="BL49" i="326"/>
  <c r="AN49" i="326"/>
  <c r="AV49" i="326"/>
  <c r="AP49" i="326"/>
  <c r="AO49" i="326"/>
  <c r="L8" i="301"/>
  <c r="BC49" i="326"/>
  <c r="AW53" i="326"/>
  <c r="AR49" i="326"/>
  <c r="BK49" i="326"/>
  <c r="AF53" i="326"/>
  <c r="BN49" i="326"/>
  <c r="BI81" i="326"/>
  <c r="AX81" i="326"/>
  <c r="AU53" i="326"/>
  <c r="BN81" i="326"/>
  <c r="AK81" i="326"/>
  <c r="AQ49" i="326"/>
  <c r="AL81" i="326"/>
  <c r="BF53" i="326"/>
  <c r="AQ81" i="326"/>
  <c r="BJ81" i="326"/>
  <c r="BG81" i="326"/>
  <c r="AX53" i="326"/>
  <c r="AW81" i="326"/>
  <c r="AO81" i="326"/>
  <c r="AR53" i="326"/>
  <c r="AF81" i="326"/>
  <c r="AM81" i="326"/>
  <c r="BH53" i="326"/>
  <c r="Q28" i="379"/>
  <c r="Q34" i="379"/>
  <c r="BD81" i="326"/>
  <c r="BC81" i="326"/>
  <c r="AS49" i="326"/>
  <c r="AS53" i="326"/>
  <c r="AG77" i="296"/>
  <c r="P14" i="365"/>
  <c r="J32" i="446"/>
  <c r="J14" i="385"/>
  <c r="BR283" i="257"/>
  <c r="G36" i="294"/>
  <c r="L7" i="301"/>
  <c r="L19" i="293"/>
  <c r="AQ83" i="296"/>
  <c r="AW114" i="296"/>
  <c r="BC114" i="296"/>
  <c r="G34" i="294"/>
  <c r="AG41" i="296"/>
  <c r="BH29" i="326"/>
  <c r="BE93" i="326"/>
  <c r="BE61" i="326"/>
  <c r="BA29" i="326"/>
  <c r="BA73" i="326"/>
  <c r="AW93" i="326"/>
  <c r="AY93" i="326"/>
  <c r="AV61" i="326"/>
  <c r="AK93" i="326"/>
  <c r="AH61" i="326"/>
  <c r="BM61" i="326"/>
  <c r="BH73" i="326"/>
  <c r="AI73" i="326"/>
  <c r="BC100" i="296"/>
  <c r="AX73" i="326"/>
  <c r="BA93" i="326"/>
  <c r="AV73" i="326"/>
  <c r="AR73" i="326"/>
  <c r="AJ61" i="326"/>
  <c r="AL73" i="326"/>
  <c r="AT100" i="296"/>
  <c r="AP73" i="326"/>
  <c r="AK61" i="326"/>
  <c r="AL29" i="326"/>
  <c r="AM61" i="326"/>
  <c r="BJ61" i="326"/>
  <c r="AG100" i="296"/>
  <c r="BG29" i="326"/>
  <c r="BC61" i="326"/>
  <c r="AN93" i="326"/>
  <c r="AQ61" i="326"/>
  <c r="AH73" i="326"/>
  <c r="BG73" i="326"/>
  <c r="AG93" i="326"/>
  <c r="BI73" i="326"/>
  <c r="AM73" i="326"/>
  <c r="AL95" i="296"/>
  <c r="BN29" i="326"/>
  <c r="AU93" i="326"/>
  <c r="AL61" i="326"/>
  <c r="BB61" i="326"/>
  <c r="AX93" i="326"/>
  <c r="AU73" i="326"/>
  <c r="BE95" i="296"/>
  <c r="BE29" i="326"/>
  <c r="AW29" i="326"/>
  <c r="AL93" i="326"/>
  <c r="BM73" i="326"/>
  <c r="AG73" i="326"/>
  <c r="BA95" i="296"/>
  <c r="BD61" i="326"/>
  <c r="AU61" i="326"/>
  <c r="AT61" i="326"/>
  <c r="BN61" i="326"/>
  <c r="BI93" i="326"/>
  <c r="BF73" i="326"/>
  <c r="BC29" i="326"/>
  <c r="BB93" i="326"/>
  <c r="AW73" i="326"/>
  <c r="AS29" i="326"/>
  <c r="BM93" i="326"/>
  <c r="BL93" i="326"/>
  <c r="BM29" i="326"/>
  <c r="AI61" i="326"/>
  <c r="AH93" i="326"/>
  <c r="AK29" i="326"/>
  <c r="BN93" i="326"/>
  <c r="BK73" i="326"/>
  <c r="BL73" i="326"/>
  <c r="BD95" i="296"/>
  <c r="AO93" i="326"/>
  <c r="AF93" i="326"/>
  <c r="BN73" i="326"/>
  <c r="AT95" i="296"/>
  <c r="AQ93" i="326"/>
  <c r="AH29" i="326"/>
  <c r="BF29" i="326"/>
  <c r="AZ29" i="326"/>
  <c r="AN29" i="326"/>
  <c r="BB73" i="326"/>
  <c r="AS93" i="326"/>
  <c r="AR61" i="326"/>
  <c r="BL61" i="326"/>
  <c r="AM93" i="326"/>
  <c r="AG61" i="326"/>
  <c r="BA61" i="326"/>
  <c r="AZ61" i="326"/>
  <c r="AZ73" i="326"/>
  <c r="AX61" i="326"/>
  <c r="AT73" i="326"/>
  <c r="AF29" i="326"/>
  <c r="BH93" i="326"/>
  <c r="AY73" i="326"/>
  <c r="AW61" i="326"/>
  <c r="AP93" i="326"/>
  <c r="AG29" i="326"/>
  <c r="AJ29" i="326"/>
  <c r="BJ73" i="326"/>
  <c r="AU29" i="326"/>
  <c r="BD29" i="326"/>
  <c r="BL29" i="326"/>
  <c r="BJ29" i="326"/>
  <c r="BH61" i="326"/>
  <c r="AN61" i="326"/>
  <c r="AI29" i="326"/>
  <c r="BG93" i="326"/>
  <c r="AO29" i="326"/>
  <c r="BI29" i="326"/>
  <c r="BB29" i="326"/>
  <c r="AS61" i="326"/>
  <c r="AO73" i="326"/>
  <c r="BJ93" i="326"/>
  <c r="BF93" i="326"/>
  <c r="BF61" i="326"/>
  <c r="BE73" i="326"/>
  <c r="BD73" i="326"/>
  <c r="BC93" i="326"/>
  <c r="AX29" i="326"/>
  <c r="AV29" i="326"/>
  <c r="AY61" i="326"/>
  <c r="AR29" i="326"/>
  <c r="AQ73" i="326"/>
  <c r="BK61" i="326"/>
  <c r="AN73" i="326"/>
  <c r="AO100" i="296"/>
  <c r="AN95" i="296"/>
  <c r="BK114" i="296"/>
  <c r="BA85" i="296"/>
  <c r="AO85" i="296"/>
  <c r="AH114" i="296"/>
  <c r="BL114" i="296"/>
  <c r="BG114" i="296"/>
  <c r="BI85" i="296"/>
  <c r="BN114" i="296"/>
  <c r="AL114" i="296"/>
  <c r="AO87" i="296"/>
  <c r="AS87" i="296"/>
  <c r="P10" i="361"/>
  <c r="O10" i="361"/>
  <c r="P13" i="361"/>
  <c r="N109" i="451"/>
  <c r="BD77" i="296"/>
  <c r="AH41" i="296"/>
  <c r="AK77" i="296"/>
  <c r="O40" i="368"/>
  <c r="O36" i="368"/>
  <c r="O16" i="361"/>
  <c r="C21" i="447"/>
  <c r="Q47" i="430"/>
  <c r="BM52" i="296"/>
  <c r="O22" i="371"/>
  <c r="AL67" i="296"/>
  <c r="O31" i="386"/>
  <c r="O66" i="386"/>
  <c r="AX71" i="296"/>
  <c r="BJ71" i="296"/>
  <c r="AH65" i="296"/>
  <c r="AL83" i="296"/>
  <c r="BE71" i="296"/>
  <c r="AG81" i="296"/>
  <c r="BI81" i="296"/>
  <c r="AN63" i="296"/>
  <c r="AT67" i="296"/>
  <c r="AU81" i="296"/>
  <c r="AF63" i="296"/>
  <c r="BD65" i="296"/>
  <c r="AN71" i="296"/>
  <c r="BE89" i="296"/>
  <c r="AZ81" i="296"/>
  <c r="AJ63" i="296"/>
  <c r="BE65" i="296"/>
  <c r="BC81" i="296"/>
  <c r="BN28" i="296"/>
  <c r="O35" i="368"/>
  <c r="BA65" i="296"/>
  <c r="BA71" i="296"/>
  <c r="Q43" i="408"/>
  <c r="P18" i="438"/>
  <c r="AV89" i="296"/>
  <c r="BI59" i="326"/>
  <c r="BN59" i="326"/>
  <c r="BK104" i="296"/>
  <c r="AL104" i="296"/>
  <c r="M50" i="408"/>
  <c r="M51" i="408" s="1"/>
  <c r="M25" i="408"/>
  <c r="M26" i="408" s="1"/>
  <c r="AM59" i="326"/>
  <c r="AN59" i="326"/>
  <c r="AI59" i="326"/>
  <c r="BN104" i="296"/>
  <c r="M23" i="402"/>
  <c r="M24" i="402" s="1"/>
  <c r="O13" i="361"/>
  <c r="Q31" i="379"/>
  <c r="Q13" i="402"/>
  <c r="P9" i="413"/>
  <c r="AG9" i="413" s="1"/>
  <c r="AG45" i="296"/>
  <c r="AM104" i="296"/>
  <c r="BG75" i="296"/>
  <c r="C22" i="360"/>
  <c r="O7" i="361"/>
  <c r="BN85" i="296"/>
  <c r="AQ85" i="296"/>
  <c r="BN75" i="296"/>
  <c r="P9" i="411"/>
  <c r="AY75" i="296"/>
  <c r="AG104" i="296"/>
  <c r="P16" i="401"/>
  <c r="P13" i="402"/>
  <c r="P32" i="411"/>
  <c r="Q38" i="411"/>
  <c r="P18" i="430"/>
  <c r="Q40" i="432"/>
  <c r="P46" i="432"/>
  <c r="BB104" i="296"/>
  <c r="BM85" i="296"/>
  <c r="Q31" i="438"/>
  <c r="Q36" i="438"/>
  <c r="P46" i="438"/>
  <c r="AR75" i="296"/>
  <c r="P12" i="401"/>
  <c r="P39" i="438"/>
  <c r="Q10" i="442"/>
  <c r="Q12" i="444"/>
  <c r="BJ77" i="296"/>
  <c r="AR41" i="296"/>
  <c r="AP77" i="296"/>
  <c r="P19" i="426"/>
  <c r="AX77" i="296"/>
  <c r="AY41" i="296"/>
  <c r="BF41" i="296"/>
  <c r="P10" i="442"/>
  <c r="P34" i="408"/>
  <c r="P16" i="411"/>
  <c r="Q35" i="415"/>
  <c r="Q12" i="428"/>
  <c r="Q21" i="434"/>
  <c r="Q33" i="434"/>
  <c r="R12" i="444"/>
  <c r="AH77" i="296"/>
  <c r="BK77" i="296"/>
  <c r="AL41" i="296"/>
  <c r="U17" i="333"/>
  <c r="P59" i="399"/>
  <c r="BM41" i="296"/>
  <c r="AN77" i="296"/>
  <c r="P22" i="371"/>
  <c r="L11" i="293"/>
  <c r="BH98" i="296"/>
  <c r="BB41" i="296"/>
  <c r="AI41" i="296"/>
  <c r="M28" i="373"/>
  <c r="M29" i="373" s="1"/>
  <c r="AZ77" i="296"/>
  <c r="AW77" i="296"/>
  <c r="BG41" i="296"/>
  <c r="Q16" i="424"/>
  <c r="P22" i="436"/>
  <c r="Q16" i="444"/>
  <c r="R9" i="444"/>
  <c r="BB77" i="296"/>
  <c r="Q44" i="401"/>
  <c r="P44" i="432"/>
  <c r="P24" i="451"/>
  <c r="C13" i="335"/>
  <c r="C15" i="335" s="1"/>
  <c r="C17" i="335" s="1"/>
  <c r="C19" i="335" s="1"/>
  <c r="C17" i="330"/>
  <c r="C19" i="330" s="1"/>
  <c r="C23" i="330" s="1"/>
  <c r="AV114" i="296"/>
  <c r="AL89" i="296"/>
  <c r="AF100" i="296"/>
  <c r="AR89" i="296"/>
  <c r="AR95" i="296"/>
  <c r="AX63" i="296"/>
  <c r="AM52" i="296"/>
  <c r="BH83" i="296"/>
  <c r="BD67" i="296"/>
  <c r="AI114" i="296"/>
  <c r="AG89" i="296"/>
  <c r="AK63" i="296"/>
  <c r="BN52" i="296"/>
  <c r="AO63" i="296"/>
  <c r="P42" i="432"/>
  <c r="P12" i="436"/>
  <c r="P44" i="438"/>
  <c r="L16" i="293"/>
  <c r="AY63" i="296"/>
  <c r="BB28" i="296"/>
  <c r="AR63" i="296"/>
  <c r="L18" i="301"/>
  <c r="BF89" i="296"/>
  <c r="AU89" i="296"/>
  <c r="BC33" i="326"/>
  <c r="BB33" i="326"/>
  <c r="AY65" i="326"/>
  <c r="AW65" i="326"/>
  <c r="BB97" i="326"/>
  <c r="AT97" i="326"/>
  <c r="BM69" i="326"/>
  <c r="BM85" i="326"/>
  <c r="AL85" i="326"/>
  <c r="AL97" i="326"/>
  <c r="BE97" i="326"/>
  <c r="AK89" i="326"/>
  <c r="AH69" i="326"/>
  <c r="AI5" i="326"/>
  <c r="AI69" i="326"/>
  <c r="BN85" i="326"/>
  <c r="AM33" i="326"/>
  <c r="AG114" i="296"/>
  <c r="AX114" i="296"/>
  <c r="AU100" i="296"/>
  <c r="AI89" i="296"/>
  <c r="AG95" i="296"/>
  <c r="AZ41" i="296"/>
  <c r="BG52" i="296"/>
  <c r="AQ77" i="296"/>
  <c r="AY85" i="296"/>
  <c r="AY67" i="296"/>
  <c r="AV85" i="296"/>
  <c r="P45" i="375"/>
  <c r="P12" i="413"/>
  <c r="AJ114" i="296"/>
  <c r="AT28" i="296"/>
  <c r="BG100" i="296"/>
  <c r="AW89" i="296"/>
  <c r="AU95" i="296"/>
  <c r="BD63" i="296"/>
  <c r="BM114" i="296"/>
  <c r="AO67" i="296"/>
  <c r="BM100" i="296"/>
  <c r="AU85" i="296"/>
  <c r="AS114" i="296"/>
  <c r="BH89" i="296"/>
  <c r="BE28" i="296"/>
  <c r="BH100" i="296"/>
  <c r="AH89" i="296"/>
  <c r="AX89" i="296"/>
  <c r="AH95" i="296"/>
  <c r="BK93" i="296"/>
  <c r="BE100" i="296"/>
  <c r="BJ85" i="296"/>
  <c r="AP85" i="296"/>
  <c r="AZ85" i="296"/>
  <c r="BB95" i="296"/>
  <c r="BD114" i="296"/>
  <c r="AN89" i="296"/>
  <c r="AS28" i="296"/>
  <c r="BC89" i="296"/>
  <c r="BK89" i="296"/>
  <c r="AV95" i="296"/>
  <c r="AL63" i="296"/>
  <c r="AU93" i="296"/>
  <c r="BD85" i="296"/>
  <c r="AT85" i="296"/>
  <c r="AG67" i="296"/>
  <c r="AK95" i="296"/>
  <c r="F37" i="369"/>
  <c r="AR114" i="296"/>
  <c r="BJ100" i="296"/>
  <c r="BJ83" i="296"/>
  <c r="AS100" i="296"/>
  <c r="BH95" i="296"/>
  <c r="AM63" i="296"/>
  <c r="AW28" i="296"/>
  <c r="BL85" i="296"/>
  <c r="P20" i="426"/>
  <c r="O8" i="373"/>
  <c r="O20" i="373"/>
  <c r="O39" i="373"/>
  <c r="P45" i="373"/>
  <c r="P17" i="384"/>
  <c r="P34" i="399"/>
  <c r="P61" i="399"/>
  <c r="P64" i="399"/>
  <c r="Q67" i="399"/>
  <c r="P36" i="401"/>
  <c r="Q39" i="401"/>
  <c r="Q14" i="402"/>
  <c r="Q51" i="406"/>
  <c r="Q47" i="432"/>
  <c r="AH67" i="296"/>
  <c r="AL28" i="296"/>
  <c r="K33" i="446"/>
  <c r="N33" i="389"/>
  <c r="M49" i="389" s="1"/>
  <c r="M50" i="389" s="1"/>
  <c r="Q11" i="426"/>
  <c r="AT63" i="296"/>
  <c r="AR52" i="296"/>
  <c r="BJ33" i="326"/>
  <c r="BG69" i="326"/>
  <c r="BD33" i="326"/>
  <c r="BD5" i="326"/>
  <c r="AY69" i="326"/>
  <c r="BK5" i="326"/>
  <c r="AY33" i="326"/>
  <c r="AV69" i="326"/>
  <c r="AU57" i="326"/>
  <c r="AV5" i="326"/>
  <c r="AU85" i="326"/>
  <c r="AI107" i="326"/>
  <c r="AJ107" i="326"/>
  <c r="AN5" i="326"/>
  <c r="BK103" i="326"/>
  <c r="AN85" i="326"/>
  <c r="AP33" i="326"/>
  <c r="AQ114" i="296"/>
  <c r="AZ75" i="296"/>
  <c r="AU28" i="296"/>
  <c r="BN100" i="296"/>
  <c r="BN77" i="296"/>
  <c r="AM95" i="296"/>
  <c r="BA75" i="296"/>
  <c r="AI63" i="296"/>
  <c r="AI52" i="296"/>
  <c r="AL85" i="296"/>
  <c r="BI114" i="296"/>
  <c r="AS67" i="296"/>
  <c r="AJ85" i="296"/>
  <c r="AS95" i="296"/>
  <c r="P38" i="411"/>
  <c r="Q20" i="402"/>
  <c r="Q8" i="411"/>
  <c r="Q13" i="411"/>
  <c r="O17" i="423"/>
  <c r="O18" i="423" s="1"/>
  <c r="O19" i="423" s="1"/>
  <c r="P14" i="356"/>
  <c r="P37" i="358"/>
  <c r="P7" i="361"/>
  <c r="P7" i="383"/>
  <c r="Q45" i="389"/>
  <c r="Q45" i="401"/>
  <c r="P55" i="406"/>
  <c r="Q41" i="408"/>
  <c r="AS65" i="296"/>
  <c r="AS71" i="296"/>
  <c r="BJ81" i="296"/>
  <c r="P45" i="401"/>
  <c r="P15" i="358"/>
  <c r="P11" i="358"/>
  <c r="P44" i="415"/>
  <c r="Q14" i="442"/>
  <c r="O37" i="358"/>
  <c r="O13" i="363"/>
  <c r="G35" i="294"/>
  <c r="BF114" i="296"/>
  <c r="BB85" i="296"/>
  <c r="AU71" i="296"/>
  <c r="AL100" i="296"/>
  <c r="AH100" i="296"/>
  <c r="BL77" i="296"/>
  <c r="BA89" i="296"/>
  <c r="AJ95" i="296"/>
  <c r="BA41" i="296"/>
  <c r="AZ114" i="296"/>
  <c r="BH85" i="296"/>
  <c r="BF65" i="296"/>
  <c r="BB63" i="296"/>
  <c r="BK71" i="296"/>
  <c r="BD71" i="296"/>
  <c r="AF114" i="296"/>
  <c r="AN85" i="296"/>
  <c r="AO71" i="296"/>
  <c r="BJ65" i="296"/>
  <c r="AX100" i="296"/>
  <c r="AV100" i="296"/>
  <c r="AF77" i="296"/>
  <c r="AX95" i="296"/>
  <c r="BN41" i="296"/>
  <c r="AV41" i="296"/>
  <c r="BF85" i="296"/>
  <c r="AN65" i="296"/>
  <c r="AM100" i="296"/>
  <c r="AO95" i="296"/>
  <c r="V112" i="296"/>
  <c r="O7" i="363"/>
  <c r="BC71" i="296"/>
  <c r="BG45" i="296"/>
  <c r="BH65" i="296"/>
  <c r="AI81" i="296"/>
  <c r="AO65" i="296"/>
  <c r="BI71" i="296"/>
  <c r="AO81" i="296"/>
  <c r="Q59" i="415"/>
  <c r="AZ45" i="296"/>
  <c r="O30" i="417"/>
  <c r="O47" i="417"/>
  <c r="P20" i="418"/>
  <c r="Q10" i="420"/>
  <c r="Q20" i="428"/>
  <c r="Q17" i="430"/>
  <c r="Q35" i="430"/>
  <c r="P42" i="430"/>
  <c r="P18" i="432"/>
  <c r="P16" i="434"/>
  <c r="Q7" i="436"/>
  <c r="P9" i="440"/>
  <c r="Q14" i="440"/>
  <c r="Q10" i="444"/>
  <c r="P15" i="383"/>
  <c r="Q12" i="395"/>
  <c r="Q18" i="395"/>
  <c r="Q21" i="395"/>
  <c r="Q39" i="408"/>
  <c r="U89" i="326"/>
  <c r="U103" i="326"/>
  <c r="U73" i="326"/>
  <c r="U93" i="326"/>
  <c r="P41" i="430"/>
  <c r="Q17" i="432"/>
  <c r="P28" i="451"/>
  <c r="O14" i="365"/>
  <c r="P9" i="404"/>
  <c r="P42" i="411"/>
  <c r="P13" i="440"/>
  <c r="BF98" i="296"/>
  <c r="AM98" i="296"/>
  <c r="BD93" i="296"/>
  <c r="BF93" i="296"/>
  <c r="AJ98" i="296"/>
  <c r="AH98" i="296"/>
  <c r="BN98" i="296"/>
  <c r="AJ93" i="296"/>
  <c r="AI93" i="296"/>
  <c r="P38" i="373"/>
  <c r="P40" i="399"/>
  <c r="P8" i="402"/>
  <c r="Q15" i="404"/>
  <c r="P18" i="406"/>
  <c r="P41" i="406"/>
  <c r="Q47" i="406"/>
  <c r="P23" i="408"/>
  <c r="P30" i="379"/>
  <c r="Q17" i="381"/>
  <c r="K48" i="385"/>
  <c r="C51" i="385" s="1"/>
  <c r="C52" i="385" s="1"/>
  <c r="P13" i="388"/>
  <c r="Q13" i="391"/>
  <c r="Q21" i="391"/>
  <c r="P22" i="393"/>
  <c r="AG22" i="393" s="1"/>
  <c r="Q63" i="399"/>
  <c r="Q20" i="401"/>
  <c r="P13" i="404"/>
  <c r="Q15" i="408"/>
  <c r="Q48" i="408"/>
  <c r="Q12" i="411"/>
  <c r="AF51" i="432"/>
  <c r="AH105" i="326"/>
  <c r="AL63" i="326"/>
  <c r="AI98" i="296"/>
  <c r="AN93" i="296"/>
  <c r="BJ93" i="296"/>
  <c r="BM45" i="296"/>
  <c r="AR98" i="296"/>
  <c r="BE45" i="296"/>
  <c r="BD98" i="296"/>
  <c r="AL5" i="296"/>
  <c r="Q12" i="436"/>
  <c r="P19" i="395"/>
  <c r="AW98" i="296"/>
  <c r="BI93" i="296"/>
  <c r="AP93" i="296"/>
  <c r="AK93" i="296"/>
  <c r="AX98" i="296"/>
  <c r="AN105" i="326"/>
  <c r="BK105" i="326"/>
  <c r="AV5" i="296"/>
  <c r="BF5" i="296"/>
  <c r="BI98" i="296"/>
  <c r="BH93" i="296"/>
  <c r="AQ93" i="296"/>
  <c r="BL93" i="296"/>
  <c r="AW5" i="296"/>
  <c r="BA45" i="296"/>
  <c r="P16" i="361"/>
  <c r="O36" i="373"/>
  <c r="P16" i="424"/>
  <c r="AH5" i="296"/>
  <c r="AF5" i="296"/>
  <c r="AK98" i="296"/>
  <c r="AT93" i="296"/>
  <c r="AL93" i="296"/>
  <c r="BB98" i="296"/>
  <c r="P7" i="436"/>
  <c r="P35" i="434"/>
  <c r="Q41" i="434"/>
  <c r="BC63" i="326"/>
  <c r="AF105" i="326"/>
  <c r="AG105" i="326"/>
  <c r="AU5" i="296"/>
  <c r="BJ98" i="296"/>
  <c r="AY98" i="296"/>
  <c r="BE93" i="296"/>
  <c r="AX93" i="296"/>
  <c r="AZ93" i="296"/>
  <c r="BB45" i="296"/>
  <c r="AZ5" i="296"/>
  <c r="P50" i="351"/>
  <c r="BB63" i="326"/>
  <c r="BE63" i="326"/>
  <c r="AZ63" i="326"/>
  <c r="BI105" i="326"/>
  <c r="BJ63" i="326"/>
  <c r="AN63" i="326"/>
  <c r="AG5" i="296"/>
  <c r="AQ98" i="296"/>
  <c r="BL98" i="296"/>
  <c r="AH93" i="296"/>
  <c r="AO93" i="296"/>
  <c r="BM93" i="296"/>
  <c r="AK45" i="296"/>
  <c r="BE98" i="296"/>
  <c r="BF63" i="326"/>
  <c r="AX63" i="326"/>
  <c r="AU105" i="326"/>
  <c r="AR105" i="326"/>
  <c r="BG105" i="326"/>
  <c r="AZ105" i="326"/>
  <c r="AQ105" i="326"/>
  <c r="AI63" i="326"/>
  <c r="BI63" i="326"/>
  <c r="AF63" i="326"/>
  <c r="AT5" i="296"/>
  <c r="BE5" i="296"/>
  <c r="BC98" i="296"/>
  <c r="AL98" i="296"/>
  <c r="AG93" i="296"/>
  <c r="BC93" i="296"/>
  <c r="AM93" i="296"/>
  <c r="AL45" i="296"/>
  <c r="AS98" i="296"/>
  <c r="Q37" i="430"/>
  <c r="AW63" i="326"/>
  <c r="AV63" i="326"/>
  <c r="AL105" i="326"/>
  <c r="BM63" i="326"/>
  <c r="BL63" i="326"/>
  <c r="AK63" i="326"/>
  <c r="AT105" i="326"/>
  <c r="AR63" i="326"/>
  <c r="AJ105" i="326"/>
  <c r="AQ5" i="296"/>
  <c r="AF98" i="296"/>
  <c r="AZ98" i="296"/>
  <c r="AF93" i="296"/>
  <c r="BA93" i="296"/>
  <c r="Q44" i="438"/>
  <c r="P11" i="393"/>
  <c r="AG11" i="393" s="1"/>
  <c r="Q7" i="399"/>
  <c r="Q17" i="399"/>
  <c r="Q9" i="411"/>
  <c r="Q12" i="413"/>
  <c r="BM105" i="326"/>
  <c r="AM105" i="326"/>
  <c r="AU63" i="326"/>
  <c r="BJ105" i="326"/>
  <c r="BN63" i="326"/>
  <c r="BD105" i="326"/>
  <c r="BA63" i="326"/>
  <c r="BE105" i="326"/>
  <c r="AY63" i="326"/>
  <c r="BC105" i="326"/>
  <c r="BA105" i="326"/>
  <c r="AO105" i="326"/>
  <c r="AM63" i="326"/>
  <c r="AS105" i="326"/>
  <c r="BL105" i="326"/>
  <c r="AT98" i="296"/>
  <c r="BM98" i="296"/>
  <c r="BB93" i="296"/>
  <c r="AR93" i="296"/>
  <c r="BN93" i="296"/>
  <c r="AG98" i="296"/>
  <c r="O9" i="367"/>
  <c r="P42" i="375"/>
  <c r="O45" i="375"/>
  <c r="P14" i="381"/>
  <c r="Q19" i="381"/>
  <c r="Q10" i="383"/>
  <c r="Q15" i="383"/>
  <c r="P13" i="384"/>
  <c r="P16" i="384"/>
  <c r="AK73" i="296"/>
  <c r="P40" i="430"/>
  <c r="Q10" i="436"/>
  <c r="P7" i="438"/>
  <c r="AY5" i="296"/>
  <c r="P13" i="365"/>
  <c r="P18" i="371"/>
  <c r="O21" i="371"/>
  <c r="O12" i="373"/>
  <c r="O17" i="373"/>
  <c r="O41" i="373"/>
  <c r="Q8" i="379"/>
  <c r="P9" i="393"/>
  <c r="AG9" i="393" s="1"/>
  <c r="P63" i="399"/>
  <c r="P20" i="401"/>
  <c r="P23" i="401"/>
  <c r="Q46" i="401"/>
  <c r="P8" i="404"/>
  <c r="P50" i="406"/>
  <c r="Q56" i="406"/>
  <c r="Q37" i="408"/>
  <c r="P11" i="409"/>
  <c r="Q44" i="415"/>
  <c r="O8" i="416"/>
  <c r="O18" i="416" s="1"/>
  <c r="O19" i="416" s="1"/>
  <c r="Q20" i="418"/>
  <c r="P10" i="420"/>
  <c r="P21" i="420"/>
  <c r="Q12" i="424"/>
  <c r="Q19" i="434"/>
  <c r="BE26" i="268"/>
  <c r="BG5" i="296"/>
  <c r="BI67" i="296"/>
  <c r="AV98" i="296"/>
  <c r="BA98" i="296"/>
  <c r="BG95" i="296"/>
  <c r="AU52" i="296"/>
  <c r="AS93" i="296"/>
  <c r="BI52" i="296"/>
  <c r="AO28" i="296"/>
  <c r="AU98" i="296"/>
  <c r="AP98" i="296"/>
  <c r="AU48" i="296"/>
  <c r="P21" i="391"/>
  <c r="O13" i="356"/>
  <c r="P10" i="381"/>
  <c r="Q17" i="384"/>
  <c r="Q19" i="391"/>
  <c r="Q11" i="401"/>
  <c r="Q19" i="402"/>
  <c r="P19" i="404"/>
  <c r="P22" i="409"/>
  <c r="Q16" i="415"/>
  <c r="Q22" i="415"/>
  <c r="Q36" i="415"/>
  <c r="Q8" i="418"/>
  <c r="Q8" i="420"/>
  <c r="P22" i="420"/>
  <c r="P15" i="424"/>
  <c r="Q18" i="424"/>
  <c r="AX48" i="296"/>
  <c r="O22" i="363"/>
  <c r="P9" i="371"/>
  <c r="P8" i="373"/>
  <c r="P43" i="375"/>
  <c r="P46" i="399"/>
  <c r="P47" i="401"/>
  <c r="P48" i="406"/>
  <c r="P9" i="418"/>
  <c r="Q18" i="418"/>
  <c r="Q8" i="438"/>
  <c r="P20" i="438"/>
  <c r="P38" i="438"/>
  <c r="P18" i="451"/>
  <c r="O13" i="358"/>
  <c r="BA73" i="296"/>
  <c r="P17" i="358"/>
  <c r="O9" i="358"/>
  <c r="P7" i="358"/>
  <c r="O48" i="358"/>
  <c r="P28" i="379"/>
  <c r="P31" i="379"/>
  <c r="P34" i="379"/>
  <c r="P17" i="383"/>
  <c r="P20" i="383"/>
  <c r="Q12" i="384"/>
  <c r="Q14" i="391"/>
  <c r="Q22" i="391"/>
  <c r="P13" i="411"/>
  <c r="Q22" i="428"/>
  <c r="O14" i="356"/>
  <c r="Q21" i="381"/>
  <c r="Q14" i="388"/>
  <c r="P8" i="389"/>
  <c r="P19" i="430"/>
  <c r="Q22" i="430"/>
  <c r="Q15" i="432"/>
  <c r="P32" i="434"/>
  <c r="E38" i="252"/>
  <c r="H38" i="252" s="1"/>
  <c r="BL30" i="296"/>
  <c r="P22" i="399"/>
  <c r="Q37" i="399"/>
  <c r="Q12" i="404"/>
  <c r="P41" i="408"/>
  <c r="Q14" i="413"/>
  <c r="P17" i="413"/>
  <c r="P35" i="415"/>
  <c r="Q40" i="415"/>
  <c r="Q43" i="415"/>
  <c r="Q46" i="415"/>
  <c r="P13" i="418"/>
  <c r="Q16" i="418"/>
  <c r="Q19" i="418"/>
  <c r="Q22" i="418"/>
  <c r="Q7" i="426"/>
  <c r="U95" i="326"/>
  <c r="P14" i="361"/>
  <c r="O12" i="363"/>
  <c r="O8" i="367"/>
  <c r="P7" i="368"/>
  <c r="P15" i="371"/>
  <c r="P21" i="373"/>
  <c r="P7" i="379"/>
  <c r="P12" i="389"/>
  <c r="Q22" i="389"/>
  <c r="Q42" i="399"/>
  <c r="V87" i="296"/>
  <c r="U67" i="326"/>
  <c r="Q7" i="428"/>
  <c r="P7" i="428"/>
  <c r="Q10" i="428"/>
  <c r="P10" i="428"/>
  <c r="P15" i="428"/>
  <c r="Q15" i="428"/>
  <c r="Q17" i="428"/>
  <c r="P17" i="428"/>
  <c r="Q9" i="430"/>
  <c r="P9" i="430"/>
  <c r="P12" i="430"/>
  <c r="Q12" i="430"/>
  <c r="Q20" i="430"/>
  <c r="P20" i="430"/>
  <c r="Q45" i="430"/>
  <c r="P45" i="430"/>
  <c r="P11" i="432"/>
  <c r="Q11" i="432"/>
  <c r="P16" i="432"/>
  <c r="Q16" i="432"/>
  <c r="Q36" i="432"/>
  <c r="P36" i="432"/>
  <c r="P39" i="432"/>
  <c r="Q39" i="432"/>
  <c r="P45" i="432"/>
  <c r="Q45" i="432"/>
  <c r="P48" i="432"/>
  <c r="Q48" i="432"/>
  <c r="Q9" i="434"/>
  <c r="P9" i="434"/>
  <c r="Q14" i="438"/>
  <c r="P14" i="438"/>
  <c r="Q19" i="438"/>
  <c r="P19" i="438"/>
  <c r="P32" i="438"/>
  <c r="Q32" i="438"/>
  <c r="P17" i="442"/>
  <c r="Q17" i="442"/>
  <c r="Q7" i="444"/>
  <c r="R7" i="444"/>
  <c r="R20" i="444"/>
  <c r="Q20" i="444"/>
  <c r="AS52" i="296"/>
  <c r="AX52" i="296"/>
  <c r="BE52" i="296"/>
  <c r="AP52" i="296"/>
  <c r="AW52" i="296"/>
  <c r="BN67" i="296"/>
  <c r="BE67" i="296"/>
  <c r="BK67" i="296"/>
  <c r="AF67" i="296"/>
  <c r="AM67" i="296"/>
  <c r="AJ67" i="296"/>
  <c r="AV67" i="296"/>
  <c r="AN83" i="296"/>
  <c r="BL83" i="296"/>
  <c r="AX83" i="296"/>
  <c r="AG83" i="296"/>
  <c r="BD83" i="296"/>
  <c r="Q14" i="393"/>
  <c r="P14" i="393"/>
  <c r="AG14" i="393" s="1"/>
  <c r="P19" i="393"/>
  <c r="AG19" i="393" s="1"/>
  <c r="Q19" i="393"/>
  <c r="Q22" i="393"/>
  <c r="P8" i="399"/>
  <c r="Q8" i="399"/>
  <c r="Q15" i="399"/>
  <c r="P15" i="399"/>
  <c r="P20" i="399"/>
  <c r="Q20" i="399"/>
  <c r="Q38" i="399"/>
  <c r="Q45" i="399"/>
  <c r="P45" i="399"/>
  <c r="P48" i="399"/>
  <c r="Q48" i="399"/>
  <c r="Q60" i="399"/>
  <c r="P60" i="399"/>
  <c r="Q66" i="399"/>
  <c r="P66" i="399"/>
  <c r="P69" i="399"/>
  <c r="Q69" i="399"/>
  <c r="Q72" i="399"/>
  <c r="P72" i="399"/>
  <c r="P11" i="401"/>
  <c r="P35" i="401"/>
  <c r="Q35" i="401"/>
  <c r="P38" i="401"/>
  <c r="Q38" i="401"/>
  <c r="Q43" i="401"/>
  <c r="P43" i="401"/>
  <c r="Q49" i="401"/>
  <c r="P49" i="401"/>
  <c r="Q13" i="404"/>
  <c r="Q11" i="406"/>
  <c r="P11" i="406"/>
  <c r="P44" i="406"/>
  <c r="Q44" i="406"/>
  <c r="Q53" i="406"/>
  <c r="P53" i="406"/>
  <c r="Q10" i="408"/>
  <c r="P10" i="408"/>
  <c r="P15" i="408"/>
  <c r="P42" i="408"/>
  <c r="Q42" i="408"/>
  <c r="Q45" i="408"/>
  <c r="P45" i="408"/>
  <c r="P48" i="408"/>
  <c r="Q7" i="411"/>
  <c r="P7" i="411"/>
  <c r="P12" i="411"/>
  <c r="Q35" i="411"/>
  <c r="P35" i="411"/>
  <c r="P41" i="411"/>
  <c r="Q41" i="411"/>
  <c r="Q44" i="411"/>
  <c r="P44" i="411"/>
  <c r="Q7" i="413"/>
  <c r="P7" i="413"/>
  <c r="Q10" i="413"/>
  <c r="P10" i="413"/>
  <c r="AG10" i="413" s="1"/>
  <c r="P15" i="413"/>
  <c r="Q15" i="413"/>
  <c r="Q18" i="413"/>
  <c r="P18" i="413"/>
  <c r="P21" i="413"/>
  <c r="Q21" i="413"/>
  <c r="P22" i="415"/>
  <c r="Q38" i="415"/>
  <c r="P38" i="415"/>
  <c r="Q41" i="415"/>
  <c r="P41" i="415"/>
  <c r="Q47" i="415"/>
  <c r="P47" i="415"/>
  <c r="P62" i="415"/>
  <c r="Q62" i="415"/>
  <c r="P11" i="418"/>
  <c r="Q11" i="418"/>
  <c r="Q14" i="418"/>
  <c r="P14" i="418"/>
  <c r="Q17" i="418"/>
  <c r="P17" i="418"/>
  <c r="P23" i="418"/>
  <c r="Q23" i="418"/>
  <c r="Q15" i="420"/>
  <c r="P15" i="420"/>
  <c r="P18" i="420"/>
  <c r="Q18" i="420"/>
  <c r="Q8" i="426"/>
  <c r="P8" i="426"/>
  <c r="Q21" i="426"/>
  <c r="P21" i="426"/>
  <c r="Q37" i="438"/>
  <c r="P14" i="440"/>
  <c r="Q20" i="440"/>
  <c r="P8" i="442"/>
  <c r="P14" i="442"/>
  <c r="Q20" i="442"/>
  <c r="R10" i="444"/>
  <c r="P11" i="430"/>
  <c r="BH67" i="296"/>
  <c r="AZ83" i="296"/>
  <c r="BA48" i="296"/>
  <c r="BC52" i="296"/>
  <c r="BA52" i="296"/>
  <c r="AV83" i="296"/>
  <c r="AX67" i="296"/>
  <c r="AN67" i="296"/>
  <c r="BK45" i="296"/>
  <c r="BC45" i="296"/>
  <c r="P17" i="430"/>
  <c r="P7" i="381"/>
  <c r="O14" i="382"/>
  <c r="O18" i="382" s="1"/>
  <c r="O19" i="382" s="1"/>
  <c r="F18" i="382"/>
  <c r="Q13" i="383"/>
  <c r="P13" i="383"/>
  <c r="P16" i="383"/>
  <c r="Q16" i="383"/>
  <c r="P19" i="383"/>
  <c r="K9" i="385"/>
  <c r="J9" i="385"/>
  <c r="K17" i="385"/>
  <c r="J17" i="385"/>
  <c r="K21" i="385"/>
  <c r="J21" i="385"/>
  <c r="Q13" i="388"/>
  <c r="P11" i="389"/>
  <c r="P41" i="389"/>
  <c r="P7" i="391"/>
  <c r="P13" i="391"/>
  <c r="Q26" i="391"/>
  <c r="P43" i="399"/>
  <c r="Q16" i="402"/>
  <c r="P16" i="406"/>
  <c r="Q12" i="426"/>
  <c r="P12" i="426"/>
  <c r="Q16" i="426"/>
  <c r="P16" i="426"/>
  <c r="Q8" i="428"/>
  <c r="P18" i="428"/>
  <c r="Q15" i="430"/>
  <c r="P38" i="430"/>
  <c r="Q38" i="430"/>
  <c r="Q40" i="430"/>
  <c r="P43" i="430"/>
  <c r="P12" i="434"/>
  <c r="P19" i="434"/>
  <c r="Q37" i="434"/>
  <c r="P43" i="434"/>
  <c r="P8" i="436"/>
  <c r="P10" i="436"/>
  <c r="Q10" i="438"/>
  <c r="Q20" i="381"/>
  <c r="P20" i="381"/>
  <c r="Q9" i="384"/>
  <c r="P9" i="384"/>
  <c r="Q14" i="384"/>
  <c r="P14" i="384"/>
  <c r="Q20" i="384"/>
  <c r="P20" i="384"/>
  <c r="Q32" i="389"/>
  <c r="P32" i="389"/>
  <c r="P10" i="395"/>
  <c r="Q10" i="395"/>
  <c r="P22" i="395"/>
  <c r="Q22" i="395"/>
  <c r="P22" i="426"/>
  <c r="Q22" i="426"/>
  <c r="BD52" i="296"/>
  <c r="BB52" i="296"/>
  <c r="AR67" i="296"/>
  <c r="AU63" i="296"/>
  <c r="BA63" i="296"/>
  <c r="BL89" i="296"/>
  <c r="BG89" i="296"/>
  <c r="AY89" i="296"/>
  <c r="BD89" i="296"/>
  <c r="AL69" i="296"/>
  <c r="AU69" i="296"/>
  <c r="AX75" i="296"/>
  <c r="BD75" i="296"/>
  <c r="Q10" i="381"/>
  <c r="BH45" i="296"/>
  <c r="AN45" i="296"/>
  <c r="BE85" i="296"/>
  <c r="AM85" i="296"/>
  <c r="AH85" i="296"/>
  <c r="BH114" i="296"/>
  <c r="BE114" i="296"/>
  <c r="AP114" i="296"/>
  <c r="BB114" i="296"/>
  <c r="AM114" i="296"/>
  <c r="AT114" i="296"/>
  <c r="P35" i="430"/>
  <c r="AJ52" i="296"/>
  <c r="AW45" i="296"/>
  <c r="AI45" i="296"/>
  <c r="AW67" i="296"/>
  <c r="BJ45" i="296"/>
  <c r="AY45" i="296"/>
  <c r="BI45" i="296"/>
  <c r="BC95" i="296"/>
  <c r="AI95" i="296"/>
  <c r="AZ95" i="296"/>
  <c r="AF95" i="296"/>
  <c r="BL95" i="296"/>
  <c r="AW95" i="296"/>
  <c r="BN95" i="296"/>
  <c r="BI100" i="296"/>
  <c r="AW100" i="296"/>
  <c r="BF100" i="296"/>
  <c r="BL100" i="296"/>
  <c r="BD100" i="296"/>
  <c r="BJ67" i="296"/>
  <c r="BC83" i="296"/>
  <c r="AT45" i="296"/>
  <c r="BF45" i="296"/>
  <c r="BH52" i="296"/>
  <c r="BF52" i="296"/>
  <c r="AT52" i="296"/>
  <c r="AK52" i="296"/>
  <c r="BF83" i="296"/>
  <c r="BM67" i="296"/>
  <c r="AJ45" i="296"/>
  <c r="AJ65" i="296"/>
  <c r="AR65" i="296"/>
  <c r="AL65" i="296"/>
  <c r="AV65" i="296"/>
  <c r="BF71" i="296"/>
  <c r="AH71" i="296"/>
  <c r="BN71" i="296"/>
  <c r="AV71" i="296"/>
  <c r="AT81" i="296"/>
  <c r="BA81" i="296"/>
  <c r="AK81" i="296"/>
  <c r="BL81" i="296"/>
  <c r="AX81" i="296"/>
  <c r="AQ81" i="296"/>
  <c r="P26" i="391"/>
  <c r="I87" i="252"/>
  <c r="AU67" i="296"/>
  <c r="AF45" i="296"/>
  <c r="AS45" i="296"/>
  <c r="AY83" i="296"/>
  <c r="BK75" i="296"/>
  <c r="AY52" i="296"/>
  <c r="BN45" i="296"/>
  <c r="AT83" i="296"/>
  <c r="BF67" i="296"/>
  <c r="AI67" i="296"/>
  <c r="AQ75" i="296"/>
  <c r="AH45" i="296"/>
  <c r="V100" i="296"/>
  <c r="Q7" i="381"/>
  <c r="AI83" i="296"/>
  <c r="BG83" i="296"/>
  <c r="AV75" i="296"/>
  <c r="AL52" i="296"/>
  <c r="AX45" i="296"/>
  <c r="AG52" i="296"/>
  <c r="AZ67" i="296"/>
  <c r="AH104" i="296"/>
  <c r="AI104" i="296"/>
  <c r="BG85" i="296"/>
  <c r="AM75" i="296"/>
  <c r="AT41" i="296"/>
  <c r="BL41" i="296"/>
  <c r="AU41" i="296"/>
  <c r="AX41" i="296"/>
  <c r="BE77" i="296"/>
  <c r="BA77" i="296"/>
  <c r="AV77" i="296"/>
  <c r="AS77" i="296"/>
  <c r="BM77" i="296"/>
  <c r="P47" i="406"/>
  <c r="C42" i="294"/>
  <c r="AU114" i="296"/>
  <c r="BA114" i="296"/>
  <c r="BN81" i="296"/>
  <c r="AU45" i="296"/>
  <c r="AF28" i="296"/>
  <c r="AJ83" i="296"/>
  <c r="BL75" i="296"/>
  <c r="AF75" i="296"/>
  <c r="BJ95" i="296"/>
  <c r="AS89" i="296"/>
  <c r="AK41" i="296"/>
  <c r="AV63" i="296"/>
  <c r="AZ52" i="296"/>
  <c r="AY114" i="296"/>
  <c r="BI83" i="296"/>
  <c r="BM95" i="296"/>
  <c r="BA67" i="296"/>
  <c r="AN28" i="296"/>
  <c r="BB67" i="296"/>
  <c r="BB100" i="296"/>
  <c r="AG85" i="296"/>
  <c r="AR45" i="296"/>
  <c r="BL45" i="296"/>
  <c r="P38" i="399"/>
  <c r="Q9" i="440"/>
  <c r="P39" i="368"/>
  <c r="O39" i="368"/>
  <c r="P43" i="368"/>
  <c r="O43" i="368"/>
  <c r="O14" i="371"/>
  <c r="P19" i="371"/>
  <c r="O19" i="371"/>
  <c r="P15" i="373"/>
  <c r="O42" i="373"/>
  <c r="P48" i="373"/>
  <c r="O48" i="373"/>
  <c r="O51" i="373"/>
  <c r="P54" i="373"/>
  <c r="O54" i="373"/>
  <c r="Q16" i="395"/>
  <c r="Q19" i="395"/>
  <c r="Q13" i="399"/>
  <c r="Q33" i="399"/>
  <c r="Q36" i="399"/>
  <c r="Q43" i="399"/>
  <c r="P41" i="401"/>
  <c r="P16" i="402"/>
  <c r="P9" i="406"/>
  <c r="Q16" i="406"/>
  <c r="Q25" i="406"/>
  <c r="P35" i="408"/>
  <c r="P9" i="409"/>
  <c r="P16" i="409"/>
  <c r="Q12" i="418"/>
  <c r="P12" i="418"/>
  <c r="P40" i="438"/>
  <c r="P15" i="442"/>
  <c r="P18" i="442"/>
  <c r="M24" i="444"/>
  <c r="M25" i="444" s="1"/>
  <c r="P13" i="373"/>
  <c r="O13" i="373"/>
  <c r="P25" i="373"/>
  <c r="O25" i="373"/>
  <c r="K10" i="385"/>
  <c r="J10" i="385"/>
  <c r="K22" i="385"/>
  <c r="J22" i="385"/>
  <c r="P19" i="391"/>
  <c r="P17" i="426"/>
  <c r="Q17" i="426"/>
  <c r="AF23" i="428"/>
  <c r="P10" i="430"/>
  <c r="Q13" i="430"/>
  <c r="Q12" i="432"/>
  <c r="P10" i="434"/>
  <c r="P40" i="358"/>
  <c r="O40" i="358"/>
  <c r="O43" i="358"/>
  <c r="P43" i="358"/>
  <c r="O21" i="365"/>
  <c r="P21" i="365"/>
  <c r="Q15" i="381"/>
  <c r="Q11" i="383"/>
  <c r="Q7" i="389"/>
  <c r="Q13" i="389"/>
  <c r="P35" i="389"/>
  <c r="P37" i="389"/>
  <c r="Q39" i="389"/>
  <c r="Q44" i="389"/>
  <c r="Q47" i="389"/>
  <c r="Q16" i="413"/>
  <c r="Q14" i="415"/>
  <c r="M49" i="415"/>
  <c r="M50" i="415" s="1"/>
  <c r="M25" i="418"/>
  <c r="M26" i="418" s="1"/>
  <c r="P36" i="373"/>
  <c r="P44" i="368"/>
  <c r="O44" i="368"/>
  <c r="P18" i="384"/>
  <c r="Q18" i="384"/>
  <c r="Q11" i="389"/>
  <c r="O7" i="358"/>
  <c r="P48" i="358"/>
  <c r="O18" i="363"/>
  <c r="O47" i="368"/>
  <c r="O18" i="373"/>
  <c r="P41" i="375"/>
  <c r="P44" i="375"/>
  <c r="P47" i="375"/>
  <c r="O50" i="375"/>
  <c r="Q14" i="379"/>
  <c r="M37" i="379"/>
  <c r="M38" i="379" s="1"/>
  <c r="U105" i="326"/>
  <c r="P51" i="373"/>
  <c r="J18" i="385"/>
  <c r="O21" i="358"/>
  <c r="O34" i="358"/>
  <c r="O46" i="358"/>
  <c r="C43" i="360"/>
  <c r="O19" i="361"/>
  <c r="O22" i="361"/>
  <c r="M56" i="375"/>
  <c r="M57" i="375" s="1"/>
  <c r="AF36" i="379"/>
  <c r="P35" i="358"/>
  <c r="O38" i="358"/>
  <c r="P41" i="358"/>
  <c r="O17" i="361"/>
  <c r="Q27" i="391"/>
  <c r="Q14" i="395"/>
  <c r="P17" i="395"/>
  <c r="P20" i="395"/>
  <c r="P18" i="401"/>
  <c r="P42" i="401"/>
  <c r="Q9" i="404"/>
  <c r="P17" i="409"/>
  <c r="Q42" i="411"/>
  <c r="P45" i="411"/>
  <c r="AF24" i="418"/>
  <c r="P20" i="420"/>
  <c r="AF23" i="436"/>
  <c r="P32" i="379"/>
  <c r="P14" i="388"/>
  <c r="AF23" i="415"/>
  <c r="P22" i="358"/>
  <c r="M25" i="395"/>
  <c r="M26" i="395" s="1"/>
  <c r="Q23" i="397"/>
  <c r="C26" i="397" s="1"/>
  <c r="C27" i="397" s="1"/>
  <c r="P17" i="424"/>
  <c r="Q20" i="424"/>
  <c r="Q14" i="430"/>
  <c r="Q35" i="432"/>
  <c r="Q18" i="434"/>
  <c r="P14" i="436"/>
  <c r="Q16" i="438"/>
  <c r="P21" i="438"/>
  <c r="P11" i="440"/>
  <c r="P16" i="440"/>
  <c r="M26" i="444"/>
  <c r="M27" i="444" s="1"/>
  <c r="Q22" i="444"/>
  <c r="Q35" i="300"/>
  <c r="F18" i="372"/>
  <c r="P39" i="375"/>
  <c r="Z48" i="385"/>
  <c r="P38" i="389"/>
  <c r="Q19" i="401"/>
  <c r="P39" i="408"/>
  <c r="AF23" i="420"/>
  <c r="P12" i="428"/>
  <c r="Q13" i="432"/>
  <c r="P21" i="434"/>
  <c r="Q20" i="436"/>
  <c r="O22" i="373"/>
  <c r="H49" i="385"/>
  <c r="H50" i="385" s="1"/>
  <c r="Q17" i="389"/>
  <c r="P16" i="391"/>
  <c r="P12" i="395"/>
  <c r="Q15" i="395"/>
  <c r="P18" i="395"/>
  <c r="P21" i="395"/>
  <c r="P10" i="399"/>
  <c r="Q40" i="399"/>
  <c r="P13" i="401"/>
  <c r="Q8" i="402"/>
  <c r="Q18" i="402"/>
  <c r="P15" i="404"/>
  <c r="P13" i="406"/>
  <c r="Q18" i="406"/>
  <c r="P24" i="406"/>
  <c r="Q23" i="408"/>
  <c r="P21" i="409"/>
  <c r="O21" i="368"/>
  <c r="O9" i="371"/>
  <c r="O15" i="373"/>
  <c r="O43" i="375"/>
  <c r="O49" i="375"/>
  <c r="Q8" i="383"/>
  <c r="BD48" i="296"/>
  <c r="BE48" i="296"/>
  <c r="AK48" i="296"/>
  <c r="AG48" i="296"/>
  <c r="AP48" i="296"/>
  <c r="BC48" i="296"/>
  <c r="AJ48" i="296"/>
  <c r="AF48" i="296"/>
  <c r="AQ48" i="296"/>
  <c r="BG48" i="296"/>
  <c r="BL28" i="296"/>
  <c r="BK28" i="296"/>
  <c r="BI28" i="296"/>
  <c r="AK28" i="296"/>
  <c r="AZ28" i="296"/>
  <c r="BD28" i="296"/>
  <c r="BH28" i="296"/>
  <c r="BM63" i="296"/>
  <c r="BI63" i="296"/>
  <c r="AS63" i="296"/>
  <c r="BL63" i="296"/>
  <c r="BH63" i="296"/>
  <c r="BM89" i="296"/>
  <c r="BN89" i="296"/>
  <c r="AZ89" i="296"/>
  <c r="AM89" i="296"/>
  <c r="AJ89" i="296"/>
  <c r="AK89" i="296"/>
  <c r="BB75" i="296"/>
  <c r="AP75" i="296"/>
  <c r="BF75" i="296"/>
  <c r="AW75" i="296"/>
  <c r="AH75" i="296"/>
  <c r="AI75" i="296"/>
  <c r="AJ75" i="296"/>
  <c r="BE104" i="296"/>
  <c r="AO104" i="296"/>
  <c r="BL104" i="296"/>
  <c r="BM104" i="296"/>
  <c r="BD104" i="296"/>
  <c r="AK104" i="296"/>
  <c r="BC104" i="296"/>
  <c r="AG28" i="296"/>
  <c r="AV48" i="296"/>
  <c r="AK69" i="296"/>
  <c r="AY28" i="296"/>
  <c r="AI28" i="296"/>
  <c r="BG63" i="296"/>
  <c r="BF79" i="296"/>
  <c r="AL50" i="296"/>
  <c r="BJ75" i="296"/>
  <c r="BB71" i="296"/>
  <c r="V28" i="296"/>
  <c r="V33" i="296"/>
  <c r="AK75" i="296"/>
  <c r="AG63" i="296"/>
  <c r="BF63" i="296"/>
  <c r="AL48" i="296"/>
  <c r="BH48" i="296"/>
  <c r="BL65" i="296"/>
  <c r="BA28" i="296"/>
  <c r="BG104" i="296"/>
  <c r="BH75" i="296"/>
  <c r="AX104" i="296"/>
  <c r="BJ41" i="296"/>
  <c r="AV104" i="296"/>
  <c r="AZ48" i="296"/>
  <c r="AI48" i="296"/>
  <c r="BL50" i="296"/>
  <c r="AU50" i="296"/>
  <c r="AQ50" i="296"/>
  <c r="AZ65" i="296"/>
  <c r="AK65" i="296"/>
  <c r="AT65" i="296"/>
  <c r="AU65" i="296"/>
  <c r="AY65" i="296"/>
  <c r="BB65" i="296"/>
  <c r="BK65" i="296"/>
  <c r="BH71" i="296"/>
  <c r="AW71" i="296"/>
  <c r="AL71" i="296"/>
  <c r="AJ71" i="296"/>
  <c r="BL71" i="296"/>
  <c r="AR71" i="296"/>
  <c r="AY81" i="296"/>
  <c r="AN81" i="296"/>
  <c r="AP81" i="296"/>
  <c r="AQ104" i="296"/>
  <c r="AW65" i="296"/>
  <c r="AG75" i="296"/>
  <c r="AH63" i="296"/>
  <c r="AS48" i="296"/>
  <c r="BM48" i="296"/>
  <c r="AW48" i="296"/>
  <c r="BF81" i="296"/>
  <c r="BE81" i="296"/>
  <c r="AR81" i="296"/>
  <c r="AJ28" i="296"/>
  <c r="BM65" i="296"/>
  <c r="AM28" i="296"/>
  <c r="AU104" i="296"/>
  <c r="AP104" i="296"/>
  <c r="BG81" i="296"/>
  <c r="AM71" i="296"/>
  <c r="AU91" i="296"/>
  <c r="AX91" i="296"/>
  <c r="BA110" i="296"/>
  <c r="BC110" i="296"/>
  <c r="BF28" i="296"/>
  <c r="BB48" i="296"/>
  <c r="AM48" i="296"/>
  <c r="BI48" i="296"/>
  <c r="AJ81" i="296"/>
  <c r="AF81" i="296"/>
  <c r="AV81" i="296"/>
  <c r="BJ28" i="296"/>
  <c r="AT104" i="296"/>
  <c r="BH104" i="296"/>
  <c r="AS75" i="296"/>
  <c r="AF104" i="296"/>
  <c r="AF71" i="296"/>
  <c r="AW41" i="296"/>
  <c r="BC41" i="296"/>
  <c r="AN41" i="296"/>
  <c r="AJ41" i="296"/>
  <c r="AS41" i="296"/>
  <c r="AM41" i="296"/>
  <c r="BE41" i="296"/>
  <c r="BC77" i="296"/>
  <c r="BF77" i="296"/>
  <c r="AM77" i="296"/>
  <c r="BH77" i="296"/>
  <c r="AJ77" i="296"/>
  <c r="BE18" i="268"/>
  <c r="AY43" i="296"/>
  <c r="AR48" i="296"/>
  <c r="BN48" i="296"/>
  <c r="BJ48" i="296"/>
  <c r="BE75" i="296"/>
  <c r="AG71" i="296"/>
  <c r="AI33" i="296"/>
  <c r="AX65" i="296"/>
  <c r="AR104" i="296"/>
  <c r="AK71" i="296"/>
  <c r="BD50" i="296"/>
  <c r="AT71" i="296"/>
  <c r="AZ71" i="296"/>
  <c r="AV28" i="296"/>
  <c r="AG65" i="296"/>
  <c r="BN65" i="296"/>
  <c r="AO75" i="296"/>
  <c r="AZ63" i="296"/>
  <c r="AW63" i="296"/>
  <c r="AT48" i="296"/>
  <c r="AY48" i="296"/>
  <c r="AH69" i="296"/>
  <c r="BD81" i="296"/>
  <c r="BI104" i="296"/>
  <c r="BC28" i="296"/>
  <c r="AI65" i="296"/>
  <c r="AR28" i="296"/>
  <c r="AJ104" i="296"/>
  <c r="AS81" i="296"/>
  <c r="AT89" i="296"/>
  <c r="BM71" i="296"/>
  <c r="AH28" i="296"/>
  <c r="AY77" i="296"/>
  <c r="BM75" i="296"/>
  <c r="BM81" i="296"/>
  <c r="BB89" i="296"/>
  <c r="BC75" i="296"/>
  <c r="BI89" i="296"/>
  <c r="AO89" i="296"/>
  <c r="BK41" i="296"/>
  <c r="BN63" i="296"/>
  <c r="BK63" i="296"/>
  <c r="BF48" i="296"/>
  <c r="BL48" i="296"/>
  <c r="AO77" i="296"/>
  <c r="AS104" i="296"/>
  <c r="BH81" i="296"/>
  <c r="BC65" i="296"/>
  <c r="BM28" i="296"/>
  <c r="BC63" i="296"/>
  <c r="BF104" i="296"/>
  <c r="AW104" i="296"/>
  <c r="AY104" i="296"/>
  <c r="BB81" i="296"/>
  <c r="AN75" i="296"/>
  <c r="AO41" i="296"/>
  <c r="P7" i="389"/>
  <c r="P47" i="389"/>
  <c r="P21" i="358"/>
  <c r="K34" i="446"/>
  <c r="J34" i="446"/>
  <c r="O22" i="365"/>
  <c r="O41" i="375"/>
  <c r="P15" i="381"/>
  <c r="Q19" i="415"/>
  <c r="P19" i="415"/>
  <c r="Q21" i="424"/>
  <c r="P21" i="424"/>
  <c r="O12" i="427"/>
  <c r="O26" i="427" s="1"/>
  <c r="O27" i="427" s="1"/>
  <c r="F26" i="427"/>
  <c r="O36" i="431"/>
  <c r="O49" i="431" s="1"/>
  <c r="O50" i="431" s="1"/>
  <c r="F49" i="431"/>
  <c r="Q14" i="434"/>
  <c r="P14" i="434"/>
  <c r="Q20" i="395"/>
  <c r="Q15" i="424"/>
  <c r="K30" i="446"/>
  <c r="P18" i="424"/>
  <c r="P16" i="415"/>
  <c r="Q11" i="391"/>
  <c r="P11" i="391"/>
  <c r="Q13" i="395"/>
  <c r="P13" i="395"/>
  <c r="AF74" i="399"/>
  <c r="AF50" i="401"/>
  <c r="P11" i="402"/>
  <c r="Q11" i="402"/>
  <c r="AN100" i="296"/>
  <c r="AR100" i="296"/>
  <c r="BN83" i="296"/>
  <c r="BF95" i="296"/>
  <c r="AP100" i="296"/>
  <c r="AF52" i="296"/>
  <c r="BJ52" i="296"/>
  <c r="BC85" i="296"/>
  <c r="AI85" i="296"/>
  <c r="AF85" i="296"/>
  <c r="AS85" i="296"/>
  <c r="AK67" i="296"/>
  <c r="AV45" i="296"/>
  <c r="AQ57" i="330"/>
  <c r="P12" i="371"/>
  <c r="O12" i="371"/>
  <c r="P11" i="388"/>
  <c r="Q11" i="388"/>
  <c r="O26" i="439"/>
  <c r="O36" i="439" s="1"/>
  <c r="F36" i="439"/>
  <c r="O20" i="441"/>
  <c r="O22" i="441" s="1"/>
  <c r="O23" i="441" s="1"/>
  <c r="F22" i="441"/>
  <c r="C25" i="301"/>
  <c r="H25" i="301" s="1"/>
  <c r="O12" i="356"/>
  <c r="P16" i="358"/>
  <c r="O16" i="358"/>
  <c r="O44" i="358"/>
  <c r="P44" i="358"/>
  <c r="P8" i="361"/>
  <c r="P11" i="361"/>
  <c r="O14" i="361"/>
  <c r="O20" i="363"/>
  <c r="P20" i="363"/>
  <c r="P7" i="365"/>
  <c r="P17" i="365"/>
  <c r="O19" i="368"/>
  <c r="P11" i="373"/>
  <c r="O23" i="373"/>
  <c r="O46" i="373"/>
  <c r="O52" i="373"/>
  <c r="P50" i="375"/>
  <c r="P8" i="381"/>
  <c r="Q14" i="383"/>
  <c r="Q17" i="383"/>
  <c r="Q20" i="434"/>
  <c r="P20" i="434"/>
  <c r="J36" i="446"/>
  <c r="K36" i="446"/>
  <c r="O47" i="375"/>
  <c r="P13" i="389"/>
  <c r="P11" i="383"/>
  <c r="P11" i="395"/>
  <c r="Q11" i="395"/>
  <c r="Q18" i="426"/>
  <c r="P18" i="426"/>
  <c r="P16" i="430"/>
  <c r="Q16" i="430"/>
  <c r="P8" i="438"/>
  <c r="AF23" i="438"/>
  <c r="Q13" i="438"/>
  <c r="Q20" i="438"/>
  <c r="Q38" i="438"/>
  <c r="Q15" i="440"/>
  <c r="P18" i="440"/>
  <c r="P9" i="442"/>
  <c r="R11" i="444"/>
  <c r="R16" i="444"/>
  <c r="P47" i="451"/>
  <c r="AU83" i="296"/>
  <c r="AK83" i="296"/>
  <c r="AQ52" i="296"/>
  <c r="BL52" i="296"/>
  <c r="AY95" i="296"/>
  <c r="AF83" i="296"/>
  <c r="BC67" i="296"/>
  <c r="AK85" i="296"/>
  <c r="Q22" i="436"/>
  <c r="O16" i="363"/>
  <c r="P16" i="363"/>
  <c r="O21" i="363"/>
  <c r="P21" i="363"/>
  <c r="O18" i="369"/>
  <c r="O19" i="369" s="1"/>
  <c r="Q9" i="413"/>
  <c r="P20" i="413"/>
  <c r="Q20" i="413"/>
  <c r="O31" i="416"/>
  <c r="O8" i="417"/>
  <c r="P9" i="420"/>
  <c r="Q14" i="420"/>
  <c r="Q17" i="420"/>
  <c r="Q20" i="420"/>
  <c r="P7" i="424"/>
  <c r="P11" i="424"/>
  <c r="P22" i="428"/>
  <c r="P8" i="430"/>
  <c r="AF48" i="430"/>
  <c r="M49" i="430"/>
  <c r="M50" i="430" s="1"/>
  <c r="Q41" i="430"/>
  <c r="P47" i="430"/>
  <c r="Q7" i="432"/>
  <c r="P10" i="432"/>
  <c r="Q8" i="434"/>
  <c r="Q15" i="434"/>
  <c r="Q35" i="434"/>
  <c r="Q38" i="434"/>
  <c r="P41" i="434"/>
  <c r="P47" i="434"/>
  <c r="Q11" i="436"/>
  <c r="Q19" i="436"/>
  <c r="M24" i="438"/>
  <c r="M25" i="438" s="1"/>
  <c r="Q16" i="442"/>
  <c r="P16" i="442"/>
  <c r="Q14" i="444"/>
  <c r="R14" i="444"/>
  <c r="C22" i="447"/>
  <c r="Q14" i="426"/>
  <c r="O41" i="358"/>
  <c r="P14" i="395"/>
  <c r="P13" i="399"/>
  <c r="Q11" i="409"/>
  <c r="P21" i="371"/>
  <c r="O18" i="365"/>
  <c r="P18" i="365"/>
  <c r="P8" i="379"/>
  <c r="O8" i="389"/>
  <c r="L8" i="389"/>
  <c r="N8" i="389"/>
  <c r="M24" i="389" s="1"/>
  <c r="M25" i="389" s="1"/>
  <c r="P12" i="391"/>
  <c r="P15" i="391"/>
  <c r="Q18" i="391"/>
  <c r="P25" i="391"/>
  <c r="Q8" i="393"/>
  <c r="P13" i="393"/>
  <c r="AG13" i="393" s="1"/>
  <c r="Q18" i="393"/>
  <c r="P21" i="393"/>
  <c r="AG21" i="393" s="1"/>
  <c r="P8" i="395"/>
  <c r="P23" i="395"/>
  <c r="M24" i="399"/>
  <c r="M25" i="399" s="1"/>
  <c r="Q12" i="399"/>
  <c r="Q14" i="399"/>
  <c r="P19" i="399"/>
  <c r="AF49" i="399"/>
  <c r="P37" i="399"/>
  <c r="P42" i="399"/>
  <c r="Q47" i="399"/>
  <c r="Q59" i="399"/>
  <c r="P68" i="399"/>
  <c r="P37" i="401"/>
  <c r="Q12" i="402"/>
  <c r="P15" i="402"/>
  <c r="Q15" i="402"/>
  <c r="P17" i="402"/>
  <c r="P20" i="402"/>
  <c r="P12" i="404"/>
  <c r="P7" i="406"/>
  <c r="Q15" i="406"/>
  <c r="P17" i="406"/>
  <c r="P20" i="406"/>
  <c r="Q23" i="406"/>
  <c r="Q40" i="406"/>
  <c r="P43" i="406"/>
  <c r="Q49" i="406"/>
  <c r="Q55" i="406"/>
  <c r="Q19" i="408"/>
  <c r="Q34" i="408"/>
  <c r="P44" i="408"/>
  <c r="Q44" i="408"/>
  <c r="P7" i="409"/>
  <c r="Q10" i="409"/>
  <c r="Q17" i="409"/>
  <c r="AF22" i="411"/>
  <c r="P11" i="411"/>
  <c r="Q16" i="411"/>
  <c r="Q34" i="411"/>
  <c r="Q40" i="411"/>
  <c r="Q18" i="415"/>
  <c r="F18" i="417"/>
  <c r="O29" i="417"/>
  <c r="F39" i="417"/>
  <c r="O46" i="417"/>
  <c r="Q7" i="420"/>
  <c r="Q12" i="420"/>
  <c r="Q14" i="424"/>
  <c r="P14" i="424"/>
  <c r="M24" i="426"/>
  <c r="M25" i="426" s="1"/>
  <c r="P8" i="418"/>
  <c r="Q8" i="442"/>
  <c r="P8" i="420"/>
  <c r="P17" i="432"/>
  <c r="P44" i="389"/>
  <c r="Q18" i="401"/>
  <c r="Q46" i="438"/>
  <c r="O8" i="356"/>
  <c r="O8" i="365"/>
  <c r="M24" i="371"/>
  <c r="M25" i="371" s="1"/>
  <c r="O13" i="371"/>
  <c r="P7" i="373"/>
  <c r="O7" i="373"/>
  <c r="P19" i="373"/>
  <c r="Q15" i="379"/>
  <c r="Q16" i="381"/>
  <c r="M23" i="383"/>
  <c r="M24" i="383" s="1"/>
  <c r="O24" i="383" s="1"/>
  <c r="O29" i="383" s="1"/>
  <c r="P12" i="383"/>
  <c r="O39" i="387"/>
  <c r="O40" i="387" s="1"/>
  <c r="P12" i="388"/>
  <c r="AF23" i="389"/>
  <c r="Q19" i="389"/>
  <c r="P22" i="389"/>
  <c r="AF23" i="397"/>
  <c r="C22" i="403"/>
  <c r="O18" i="447"/>
  <c r="O19" i="447" s="1"/>
  <c r="F18" i="407"/>
  <c r="Q41" i="401"/>
  <c r="F18" i="380"/>
  <c r="P16" i="395"/>
  <c r="Q17" i="395"/>
  <c r="P11" i="356"/>
  <c r="O11" i="356"/>
  <c r="O18" i="361"/>
  <c r="O21" i="361"/>
  <c r="O49" i="368"/>
  <c r="O10" i="373"/>
  <c r="H24" i="385"/>
  <c r="H25" i="385" s="1"/>
  <c r="M24" i="397"/>
  <c r="M25" i="397" s="1"/>
  <c r="P23" i="397"/>
  <c r="C25" i="397" s="1"/>
  <c r="AF22" i="404"/>
  <c r="P21" i="404"/>
  <c r="Q21" i="404"/>
  <c r="AF58" i="406"/>
  <c r="P17" i="408"/>
  <c r="Q17" i="408"/>
  <c r="Q18" i="409"/>
  <c r="P18" i="409"/>
  <c r="L33" i="389"/>
  <c r="Q33" i="389" s="1"/>
  <c r="Q22" i="399"/>
  <c r="P33" i="399"/>
  <c r="O42" i="375"/>
  <c r="P39" i="389"/>
  <c r="O44" i="375"/>
  <c r="P36" i="415"/>
  <c r="Q35" i="408"/>
  <c r="P13" i="363"/>
  <c r="AE18" i="356"/>
  <c r="P10" i="358"/>
  <c r="O10" i="358"/>
  <c r="P18" i="368"/>
  <c r="O18" i="368"/>
  <c r="AE56" i="373"/>
  <c r="P46" i="375"/>
  <c r="O46" i="375"/>
  <c r="Q11" i="384"/>
  <c r="P11" i="384"/>
  <c r="Z23" i="385"/>
  <c r="J48" i="385"/>
  <c r="C50" i="385" s="1"/>
  <c r="Q8" i="388"/>
  <c r="P8" i="388"/>
  <c r="U107" i="326"/>
  <c r="P20" i="442"/>
  <c r="F24" i="431"/>
  <c r="F18" i="410"/>
  <c r="P38" i="358"/>
  <c r="K11" i="446"/>
  <c r="P37" i="438"/>
  <c r="Q20" i="383"/>
  <c r="P12" i="384"/>
  <c r="Q15" i="384"/>
  <c r="Q9" i="388"/>
  <c r="P10" i="389"/>
  <c r="Q18" i="389"/>
  <c r="P21" i="389"/>
  <c r="Q35" i="389"/>
  <c r="Q37" i="389"/>
  <c r="Q8" i="391"/>
  <c r="P17" i="391"/>
  <c r="P22" i="391"/>
  <c r="P16" i="399"/>
  <c r="P36" i="399"/>
  <c r="P41" i="399"/>
  <c r="Q46" i="399"/>
  <c r="P70" i="399"/>
  <c r="Q17" i="401"/>
  <c r="Q21" i="401"/>
  <c r="P44" i="401"/>
  <c r="Q47" i="401"/>
  <c r="Q9" i="402"/>
  <c r="P14" i="402"/>
  <c r="P19" i="402"/>
  <c r="Q16" i="404"/>
  <c r="Q19" i="404"/>
  <c r="Q9" i="406"/>
  <c r="Q14" i="406"/>
  <c r="Q19" i="406"/>
  <c r="P25" i="406"/>
  <c r="Q48" i="406"/>
  <c r="Q8" i="408"/>
  <c r="Q21" i="408"/>
  <c r="P38" i="408"/>
  <c r="P43" i="408"/>
  <c r="Q9" i="409"/>
  <c r="Q22" i="409"/>
  <c r="P8" i="411"/>
  <c r="P15" i="411"/>
  <c r="Q39" i="411"/>
  <c r="Q45" i="411"/>
  <c r="P8" i="413"/>
  <c r="AG8" i="413" s="1"/>
  <c r="AF23" i="413"/>
  <c r="Q13" i="413"/>
  <c r="P16" i="413"/>
  <c r="Q22" i="413"/>
  <c r="F18" i="414"/>
  <c r="Q34" i="415"/>
  <c r="Q42" i="415"/>
  <c r="P24" i="420"/>
  <c r="P25" i="420" s="1"/>
  <c r="P16" i="420"/>
  <c r="Q22" i="420"/>
  <c r="P8" i="428"/>
  <c r="Q18" i="428"/>
  <c r="P21" i="428"/>
  <c r="P13" i="430"/>
  <c r="P15" i="430"/>
  <c r="Q18" i="430"/>
  <c r="Q21" i="430"/>
  <c r="P32" i="430"/>
  <c r="Q43" i="430"/>
  <c r="AF25" i="432"/>
  <c r="P14" i="432"/>
  <c r="Q19" i="432"/>
  <c r="Q21" i="432"/>
  <c r="Q12" i="434"/>
  <c r="P37" i="434"/>
  <c r="Q43" i="434"/>
  <c r="Q8" i="436"/>
  <c r="Q13" i="436"/>
  <c r="P15" i="436"/>
  <c r="Q21" i="436"/>
  <c r="Q7" i="438"/>
  <c r="P10" i="438"/>
  <c r="Q40" i="438"/>
  <c r="Q12" i="440"/>
  <c r="P20" i="440"/>
  <c r="R13" i="444"/>
  <c r="R15" i="444"/>
  <c r="P26" i="373"/>
  <c r="Q32" i="379"/>
  <c r="P35" i="379"/>
  <c r="Q7" i="383"/>
  <c r="P10" i="384"/>
  <c r="P45" i="389"/>
  <c r="P27" i="391"/>
  <c r="P15" i="393"/>
  <c r="AG15" i="393" s="1"/>
  <c r="P58" i="399"/>
  <c r="F89" i="400"/>
  <c r="Q12" i="401"/>
  <c r="Q7" i="402"/>
  <c r="P12" i="406"/>
  <c r="Q16" i="408"/>
  <c r="M24" i="415"/>
  <c r="M25" i="415" s="1"/>
  <c r="P14" i="415"/>
  <c r="P20" i="415"/>
  <c r="Q11" i="428"/>
  <c r="Q10" i="430"/>
  <c r="Q36" i="430"/>
  <c r="P12" i="432"/>
  <c r="Q10" i="434"/>
  <c r="P15" i="438"/>
  <c r="Q15" i="442"/>
  <c r="Q18" i="442"/>
  <c r="Q21" i="442"/>
  <c r="F18" i="447"/>
  <c r="M23" i="424"/>
  <c r="M24" i="424" s="1"/>
  <c r="M52" i="432"/>
  <c r="M53" i="432" s="1"/>
  <c r="AF48" i="434"/>
  <c r="O54" i="400"/>
  <c r="O89" i="400" s="1"/>
  <c r="O90" i="400" s="1"/>
  <c r="Q15" i="393"/>
  <c r="P40" i="432"/>
  <c r="P15" i="384"/>
  <c r="Q61" i="399"/>
  <c r="P14" i="371"/>
  <c r="P20" i="373"/>
  <c r="P39" i="373"/>
  <c r="P42" i="373"/>
  <c r="O45" i="373"/>
  <c r="P17" i="381"/>
  <c r="Q19" i="383"/>
  <c r="Q41" i="389"/>
  <c r="Q7" i="391"/>
  <c r="Q9" i="393"/>
  <c r="Q23" i="401"/>
  <c r="P46" i="401"/>
  <c r="Q8" i="404"/>
  <c r="Q50" i="406"/>
  <c r="P56" i="406"/>
  <c r="P37" i="408"/>
  <c r="Q21" i="420"/>
  <c r="P12" i="424"/>
  <c r="P20" i="428"/>
  <c r="Q42" i="430"/>
  <c r="Q18" i="432"/>
  <c r="Q16" i="434"/>
  <c r="Q36" i="434"/>
  <c r="P45" i="434"/>
  <c r="P9" i="438"/>
  <c r="Q39" i="438"/>
  <c r="P16" i="438"/>
  <c r="P20" i="436"/>
  <c r="Q13" i="444"/>
  <c r="R22" i="444"/>
  <c r="Q64" i="399"/>
  <c r="Q58" i="399"/>
  <c r="J10" i="446"/>
  <c r="P36" i="430"/>
  <c r="P21" i="442"/>
  <c r="J11" i="385"/>
  <c r="K8" i="446"/>
  <c r="P16" i="408"/>
  <c r="C5" i="301"/>
  <c r="F5" i="301" s="1"/>
  <c r="C25" i="293"/>
  <c r="D25" i="301"/>
  <c r="D25" i="293"/>
  <c r="C5" i="293"/>
  <c r="D6" i="252"/>
  <c r="D4" i="252"/>
  <c r="BJ87" i="296"/>
  <c r="AF87" i="296"/>
  <c r="BM87" i="296"/>
  <c r="AY87" i="296"/>
  <c r="AZ87" i="296"/>
  <c r="BD87" i="296"/>
  <c r="AL87" i="296"/>
  <c r="BH87" i="296"/>
  <c r="BI87" i="296"/>
  <c r="AM87" i="296"/>
  <c r="BG87" i="296"/>
  <c r="AW87" i="296"/>
  <c r="AI87" i="296"/>
  <c r="AX87" i="296"/>
  <c r="BF87" i="296"/>
  <c r="BL87" i="296"/>
  <c r="BB87" i="296"/>
  <c r="BB106" i="296"/>
  <c r="AS106" i="296"/>
  <c r="AG106" i="296"/>
  <c r="BE106" i="296"/>
  <c r="AQ106" i="296"/>
  <c r="BD106" i="296"/>
  <c r="AT106" i="296"/>
  <c r="AN106" i="296"/>
  <c r="BG106" i="296"/>
  <c r="AZ106" i="296"/>
  <c r="AM106" i="296"/>
  <c r="AW106" i="296"/>
  <c r="AI106" i="296"/>
  <c r="AU106" i="296"/>
  <c r="AY106" i="296"/>
  <c r="AF106" i="296"/>
  <c r="BM106" i="296"/>
  <c r="AH106" i="296"/>
  <c r="BL106" i="296"/>
  <c r="AP106" i="296"/>
  <c r="AJ106" i="296"/>
  <c r="BC106" i="296"/>
  <c r="BK106" i="296"/>
  <c r="AV106" i="296"/>
  <c r="AO106" i="296"/>
  <c r="BF106" i="296"/>
  <c r="BN65" i="326"/>
  <c r="BH65" i="326"/>
  <c r="BJ65" i="326"/>
  <c r="BI65" i="326"/>
  <c r="BK65" i="326"/>
  <c r="BL65" i="326"/>
  <c r="BM65" i="326"/>
  <c r="AJ102" i="296"/>
  <c r="AZ73" i="296"/>
  <c r="AR73" i="296"/>
  <c r="AS73" i="296"/>
  <c r="BJ73" i="296"/>
  <c r="AQ73" i="296"/>
  <c r="BG73" i="296"/>
  <c r="AI73" i="296"/>
  <c r="AF73" i="296"/>
  <c r="BL73" i="296"/>
  <c r="AW73" i="296"/>
  <c r="AY73" i="296"/>
  <c r="BM73" i="296"/>
  <c r="BB73" i="296"/>
  <c r="AN73" i="296"/>
  <c r="AV73" i="296"/>
  <c r="BN73" i="296"/>
  <c r="D3" i="252"/>
  <c r="BA106" i="296"/>
  <c r="AN103" i="326"/>
  <c r="BI57" i="326"/>
  <c r="BK57" i="326"/>
  <c r="AV103" i="326"/>
  <c r="BH103" i="326"/>
  <c r="AS103" i="326"/>
  <c r="BD103" i="326"/>
  <c r="AT57" i="326"/>
  <c r="AL103" i="326"/>
  <c r="BL103" i="326"/>
  <c r="BL110" i="296"/>
  <c r="BI110" i="296"/>
  <c r="AT91" i="296"/>
  <c r="BD102" i="296"/>
  <c r="AW103" i="326"/>
  <c r="BE103" i="326"/>
  <c r="AG57" i="326"/>
  <c r="BF57" i="326"/>
  <c r="AX103" i="326"/>
  <c r="AI57" i="326"/>
  <c r="AZ57" i="326"/>
  <c r="BI103" i="326"/>
  <c r="BF103" i="326"/>
  <c r="BC103" i="326"/>
  <c r="AS57" i="326"/>
  <c r="AO57" i="326"/>
  <c r="BM103" i="326"/>
  <c r="AI103" i="326"/>
  <c r="BG57" i="326"/>
  <c r="BN103" i="326"/>
  <c r="AF103" i="326"/>
  <c r="BE102" i="296"/>
  <c r="AR102" i="296"/>
  <c r="BI73" i="296"/>
  <c r="AJ87" i="296"/>
  <c r="AF91" i="296"/>
  <c r="BN102" i="296"/>
  <c r="BI102" i="296"/>
  <c r="AK102" i="296"/>
  <c r="BG102" i="296"/>
  <c r="AO102" i="296"/>
  <c r="AH102" i="296"/>
  <c r="AY102" i="296"/>
  <c r="AW102" i="296"/>
  <c r="BL102" i="296"/>
  <c r="AV102" i="296"/>
  <c r="BK102" i="296"/>
  <c r="AU102" i="296"/>
  <c r="BH102" i="296"/>
  <c r="AM102" i="296"/>
  <c r="AN102" i="296"/>
  <c r="AG102" i="296"/>
  <c r="BA102" i="296"/>
  <c r="BB102" i="296"/>
  <c r="AF102" i="296"/>
  <c r="BF102" i="296"/>
  <c r="BM102" i="296"/>
  <c r="AZ102" i="296"/>
  <c r="AX102" i="296"/>
  <c r="BJ102" i="296"/>
  <c r="AS102" i="296"/>
  <c r="AL57" i="326"/>
  <c r="AH103" i="326"/>
  <c r="AG103" i="326"/>
  <c r="AR57" i="326"/>
  <c r="AX110" i="296"/>
  <c r="AH87" i="296"/>
  <c r="AX106" i="296"/>
  <c r="AY57" i="326"/>
  <c r="AU103" i="326"/>
  <c r="BA103" i="326"/>
  <c r="AN57" i="326"/>
  <c r="AH57" i="326"/>
  <c r="BH57" i="326"/>
  <c r="BL57" i="326"/>
  <c r="AW21" i="268"/>
  <c r="AV21" i="268"/>
  <c r="AW16" i="268"/>
  <c r="AV16" i="268"/>
  <c r="I31" i="292"/>
  <c r="BN110" i="296"/>
  <c r="BH106" i="296"/>
  <c r="AL91" i="296"/>
  <c r="AQ57" i="326"/>
  <c r="AT103" i="326"/>
  <c r="AO103" i="326"/>
  <c r="AZ103" i="326"/>
  <c r="BG103" i="326"/>
  <c r="BB103" i="326"/>
  <c r="BD110" i="296"/>
  <c r="AN87" i="296"/>
  <c r="AX73" i="296"/>
  <c r="BA87" i="296"/>
  <c r="BF73" i="296"/>
  <c r="AG73" i="296"/>
  <c r="AT102" i="296"/>
  <c r="AX30" i="296"/>
  <c r="AI30" i="296"/>
  <c r="AU30" i="296"/>
  <c r="BB30" i="296"/>
  <c r="BG30" i="296"/>
  <c r="AT30" i="296"/>
  <c r="BA30" i="296"/>
  <c r="BH35" i="296"/>
  <c r="AX35" i="296"/>
  <c r="AP35" i="296"/>
  <c r="BB35" i="296"/>
  <c r="BF91" i="296"/>
  <c r="BK91" i="296"/>
  <c r="BM91" i="296"/>
  <c r="BL91" i="296"/>
  <c r="BD91" i="296"/>
  <c r="AG91" i="296"/>
  <c r="AR91" i="296"/>
  <c r="AZ91" i="296"/>
  <c r="BE91" i="296"/>
  <c r="AS91" i="296"/>
  <c r="AQ91" i="296"/>
  <c r="BJ91" i="296"/>
  <c r="AV91" i="296"/>
  <c r="BN91" i="296"/>
  <c r="AW91" i="296"/>
  <c r="AJ91" i="296"/>
  <c r="AM91" i="296"/>
  <c r="BG91" i="296"/>
  <c r="BI91" i="296"/>
  <c r="AH91" i="296"/>
  <c r="AI91" i="296"/>
  <c r="BH91" i="296"/>
  <c r="AK91" i="296"/>
  <c r="AN91" i="296"/>
  <c r="BE110" i="296"/>
  <c r="AV110" i="296"/>
  <c r="BB110" i="296"/>
  <c r="BK110" i="296"/>
  <c r="AS110" i="296"/>
  <c r="AI110" i="296"/>
  <c r="AW110" i="296"/>
  <c r="AG110" i="296"/>
  <c r="AP110" i="296"/>
  <c r="AT110" i="296"/>
  <c r="AU110" i="296"/>
  <c r="BH110" i="296"/>
  <c r="AN110" i="296"/>
  <c r="BF110" i="296"/>
  <c r="AM110" i="296"/>
  <c r="AZ110" i="296"/>
  <c r="AF110" i="296"/>
  <c r="BM110" i="296"/>
  <c r="AY110" i="296"/>
  <c r="BJ110" i="296"/>
  <c r="AO110" i="296"/>
  <c r="AR110" i="296"/>
  <c r="AH110" i="296"/>
  <c r="AJ110" i="296"/>
  <c r="AQ110" i="296"/>
  <c r="BC91" i="296"/>
  <c r="AY91" i="296"/>
  <c r="BC87" i="296"/>
  <c r="AH73" i="296"/>
  <c r="BD73" i="296"/>
  <c r="AM30" i="296"/>
  <c r="AM35" i="296"/>
  <c r="AI102" i="296"/>
  <c r="BB91" i="296"/>
  <c r="AR106" i="296"/>
  <c r="I12" i="252"/>
  <c r="E69" i="252"/>
  <c r="H69" i="252" s="1"/>
  <c r="BD30" i="268"/>
  <c r="BA5" i="296"/>
  <c r="AJ5" i="296"/>
  <c r="AQ69" i="330"/>
  <c r="BI5" i="296"/>
  <c r="AM7" i="335"/>
  <c r="Q17" i="424"/>
  <c r="P19" i="408"/>
  <c r="P9" i="402"/>
  <c r="Q17" i="406"/>
  <c r="Q13" i="406"/>
  <c r="P17" i="401"/>
  <c r="F36" i="407"/>
  <c r="Q24" i="406"/>
  <c r="Q7" i="406"/>
  <c r="Q16" i="391"/>
  <c r="P13" i="371"/>
  <c r="O11" i="414"/>
  <c r="O18" i="414" s="1"/>
  <c r="O19" i="414" s="1"/>
  <c r="O8" i="361"/>
  <c r="F18" i="405"/>
  <c r="P22" i="430"/>
  <c r="P21" i="381"/>
  <c r="O39" i="375"/>
  <c r="Q13" i="384"/>
  <c r="O18" i="371"/>
  <c r="P14" i="391"/>
  <c r="Q9" i="420"/>
  <c r="P39" i="411"/>
  <c r="P46" i="415"/>
  <c r="Q8" i="413"/>
  <c r="P20" i="424"/>
  <c r="P18" i="434"/>
  <c r="Q9" i="444"/>
  <c r="P18" i="415"/>
  <c r="P8" i="434"/>
  <c r="P15" i="406"/>
  <c r="J20" i="385"/>
  <c r="Q68" i="399"/>
  <c r="Q12" i="383"/>
  <c r="P36" i="438"/>
  <c r="P43" i="415"/>
  <c r="K31" i="446"/>
  <c r="P18" i="361"/>
  <c r="P7" i="356"/>
  <c r="O7" i="356"/>
  <c r="O17" i="356"/>
  <c r="P17" i="356"/>
  <c r="P12" i="358"/>
  <c r="O12" i="358"/>
  <c r="P19" i="358"/>
  <c r="O19" i="358"/>
  <c r="O10" i="365"/>
  <c r="P10" i="365"/>
  <c r="P9" i="373"/>
  <c r="O9" i="373"/>
  <c r="O55" i="373"/>
  <c r="P55" i="373"/>
  <c r="P53" i="375"/>
  <c r="O53" i="375"/>
  <c r="AF23" i="381"/>
  <c r="P13" i="381"/>
  <c r="Q13" i="381"/>
  <c r="Q18" i="381"/>
  <c r="P18" i="381"/>
  <c r="Q9" i="383"/>
  <c r="P9" i="383"/>
  <c r="Q7" i="384"/>
  <c r="P7" i="384"/>
  <c r="AF21" i="384"/>
  <c r="F65" i="386"/>
  <c r="M24" i="388"/>
  <c r="M25" i="388" s="1"/>
  <c r="Q10" i="389"/>
  <c r="P16" i="389"/>
  <c r="Q16" i="389"/>
  <c r="Q42" i="389"/>
  <c r="P42" i="389"/>
  <c r="O33" i="390"/>
  <c r="O38" i="390" s="1"/>
  <c r="O39" i="390" s="1"/>
  <c r="F38" i="390"/>
  <c r="P24" i="391"/>
  <c r="Q24" i="391"/>
  <c r="Q7" i="393"/>
  <c r="P7" i="393"/>
  <c r="Q10" i="393"/>
  <c r="P10" i="393"/>
  <c r="AG10" i="393" s="1"/>
  <c r="P12" i="393"/>
  <c r="AG12" i="393" s="1"/>
  <c r="Q12" i="393"/>
  <c r="P17" i="393"/>
  <c r="AG17" i="393" s="1"/>
  <c r="Q17" i="393"/>
  <c r="Q20" i="393"/>
  <c r="P20" i="393"/>
  <c r="AG20" i="393" s="1"/>
  <c r="P7" i="397"/>
  <c r="Q7" i="397"/>
  <c r="O15" i="398"/>
  <c r="O18" i="398" s="1"/>
  <c r="O19" i="398" s="1"/>
  <c r="F18" i="398"/>
  <c r="AF23" i="399"/>
  <c r="P11" i="399"/>
  <c r="Q11" i="399"/>
  <c r="Q18" i="399"/>
  <c r="P18" i="399"/>
  <c r="P21" i="399"/>
  <c r="Q21" i="399"/>
  <c r="Q9" i="401"/>
  <c r="P9" i="401"/>
  <c r="Q14" i="401"/>
  <c r="P14" i="401"/>
  <c r="Q11" i="404"/>
  <c r="P11" i="404"/>
  <c r="AF26" i="406"/>
  <c r="Q22" i="406"/>
  <c r="P22" i="406"/>
  <c r="Q42" i="406"/>
  <c r="P42" i="406"/>
  <c r="P45" i="406"/>
  <c r="Q45" i="406"/>
  <c r="Q54" i="406"/>
  <c r="P54" i="406"/>
  <c r="P57" i="406"/>
  <c r="Q57" i="406"/>
  <c r="Q11" i="408"/>
  <c r="P11" i="408"/>
  <c r="Q13" i="408"/>
  <c r="P13" i="408"/>
  <c r="P18" i="408"/>
  <c r="Q18" i="408"/>
  <c r="P33" i="408"/>
  <c r="Q33" i="408"/>
  <c r="P40" i="408"/>
  <c r="Q40" i="408"/>
  <c r="Q46" i="408"/>
  <c r="P46" i="408"/>
  <c r="AF23" i="409"/>
  <c r="Q14" i="409"/>
  <c r="P14" i="409"/>
  <c r="Q19" i="409"/>
  <c r="P19" i="409"/>
  <c r="P10" i="411"/>
  <c r="Q10" i="411"/>
  <c r="Q30" i="411"/>
  <c r="P30" i="411"/>
  <c r="Q33" i="411"/>
  <c r="P33" i="411"/>
  <c r="Q36" i="411"/>
  <c r="P36" i="411"/>
  <c r="P19" i="413"/>
  <c r="Q19" i="413"/>
  <c r="Q7" i="415"/>
  <c r="P7" i="415"/>
  <c r="Q39" i="415"/>
  <c r="P39" i="415"/>
  <c r="Q45" i="415"/>
  <c r="P45" i="415"/>
  <c r="O28" i="416"/>
  <c r="F37" i="416"/>
  <c r="Q15" i="418"/>
  <c r="P15" i="418"/>
  <c r="P21" i="418"/>
  <c r="Q21" i="418"/>
  <c r="P11" i="420"/>
  <c r="Q11" i="420"/>
  <c r="Q13" i="420"/>
  <c r="P13" i="420"/>
  <c r="P19" i="420"/>
  <c r="Q19" i="420"/>
  <c r="O20" i="421"/>
  <c r="O21" i="421" s="1"/>
  <c r="P13" i="424"/>
  <c r="Q13" i="424"/>
  <c r="AF23" i="426"/>
  <c r="Q13" i="428"/>
  <c r="P13" i="428"/>
  <c r="O8" i="429"/>
  <c r="O18" i="429" s="1"/>
  <c r="O19" i="429" s="1"/>
  <c r="F18" i="429"/>
  <c r="Q7" i="430"/>
  <c r="P7" i="430"/>
  <c r="AF23" i="430"/>
  <c r="Q46" i="430"/>
  <c r="P46" i="430"/>
  <c r="Q9" i="432"/>
  <c r="P9" i="432"/>
  <c r="Q37" i="432"/>
  <c r="P37" i="432"/>
  <c r="P43" i="432"/>
  <c r="Q43" i="432"/>
  <c r="Q49" i="432"/>
  <c r="P49" i="432"/>
  <c r="Q7" i="434"/>
  <c r="P7" i="434"/>
  <c r="AF23" i="434"/>
  <c r="Q17" i="434"/>
  <c r="P17" i="434"/>
  <c r="Q22" i="434"/>
  <c r="P22" i="434"/>
  <c r="Q34" i="434"/>
  <c r="P34" i="434"/>
  <c r="P40" i="434"/>
  <c r="Q40" i="434"/>
  <c r="Q46" i="434"/>
  <c r="P46" i="434"/>
  <c r="O8" i="435"/>
  <c r="O20" i="435" s="1"/>
  <c r="O21" i="435" s="1"/>
  <c r="F20" i="435"/>
  <c r="M24" i="436"/>
  <c r="M25" i="436" s="1"/>
  <c r="Q18" i="436"/>
  <c r="P18" i="436"/>
  <c r="O9" i="437"/>
  <c r="O40" i="437" s="1"/>
  <c r="O41" i="437" s="1"/>
  <c r="F40" i="437"/>
  <c r="Q12" i="438"/>
  <c r="P12" i="438"/>
  <c r="Q17" i="438"/>
  <c r="P17" i="438"/>
  <c r="Q22" i="438"/>
  <c r="P22" i="438"/>
  <c r="Q35" i="438"/>
  <c r="P35" i="438"/>
  <c r="Q42" i="438"/>
  <c r="P42" i="438"/>
  <c r="Q45" i="438"/>
  <c r="P45" i="438"/>
  <c r="F18" i="439"/>
  <c r="Q7" i="440"/>
  <c r="P7" i="440"/>
  <c r="Q17" i="440"/>
  <c r="P17" i="440"/>
  <c r="P11" i="442"/>
  <c r="Q11" i="442"/>
  <c r="R8" i="444"/>
  <c r="Q8" i="444"/>
  <c r="P7" i="432"/>
  <c r="Q43" i="406"/>
  <c r="F18" i="445"/>
  <c r="P12" i="402"/>
  <c r="P17" i="389"/>
  <c r="P31" i="438"/>
  <c r="P7" i="363"/>
  <c r="Q18" i="440"/>
  <c r="O9" i="417"/>
  <c r="P13" i="438"/>
  <c r="O15" i="365"/>
  <c r="P15" i="365"/>
  <c r="P37" i="368"/>
  <c r="O37" i="368"/>
  <c r="P41" i="368"/>
  <c r="O41" i="368"/>
  <c r="P45" i="368"/>
  <c r="O45" i="368"/>
  <c r="P48" i="368"/>
  <c r="O48" i="368"/>
  <c r="C22" i="370"/>
  <c r="C43" i="370"/>
  <c r="O8" i="371"/>
  <c r="P8" i="371"/>
  <c r="P14" i="373"/>
  <c r="O14" i="373"/>
  <c r="M57" i="373"/>
  <c r="M58" i="373" s="1"/>
  <c r="AE55" i="375"/>
  <c r="P29" i="379"/>
  <c r="Q29" i="379"/>
  <c r="O32" i="380"/>
  <c r="O36" i="380" s="1"/>
  <c r="O37" i="380" s="1"/>
  <c r="F36" i="380"/>
  <c r="Q11" i="381"/>
  <c r="P11" i="381"/>
  <c r="J15" i="385"/>
  <c r="K15" i="385"/>
  <c r="J19" i="385"/>
  <c r="K19" i="385"/>
  <c r="F30" i="386"/>
  <c r="AF48" i="389"/>
  <c r="M29" i="391"/>
  <c r="M30" i="391" s="1"/>
  <c r="AF24" i="395"/>
  <c r="Q39" i="399"/>
  <c r="P39" i="399"/>
  <c r="Q33" i="401"/>
  <c r="P33" i="401"/>
  <c r="Q14" i="404"/>
  <c r="P14" i="404"/>
  <c r="M27" i="406"/>
  <c r="M28" i="406" s="1"/>
  <c r="M59" i="406"/>
  <c r="M60" i="406" s="1"/>
  <c r="AF49" i="408"/>
  <c r="Q12" i="409"/>
  <c r="P12" i="409"/>
  <c r="M23" i="411"/>
  <c r="M24" i="411" s="1"/>
  <c r="M24" i="413"/>
  <c r="M25" i="413" s="1"/>
  <c r="Q11" i="413"/>
  <c r="P11" i="413"/>
  <c r="P17" i="415"/>
  <c r="Q17" i="415"/>
  <c r="AF48" i="415"/>
  <c r="Q63" i="415"/>
  <c r="P63" i="415"/>
  <c r="AF22" i="424"/>
  <c r="P19" i="424"/>
  <c r="Q19" i="424"/>
  <c r="Q13" i="426"/>
  <c r="P13" i="426"/>
  <c r="M24" i="428"/>
  <c r="M25" i="428" s="1"/>
  <c r="Q33" i="430"/>
  <c r="P33" i="430"/>
  <c r="M26" i="432"/>
  <c r="M27" i="432" s="1"/>
  <c r="O73" i="433"/>
  <c r="O94" i="433" s="1"/>
  <c r="O95" i="433" s="1"/>
  <c r="F94" i="433"/>
  <c r="M49" i="434"/>
  <c r="M50" i="434" s="1"/>
  <c r="Q33" i="438"/>
  <c r="P33" i="438"/>
  <c r="Q10" i="440"/>
  <c r="P10" i="440"/>
  <c r="AF23" i="442"/>
  <c r="AG23" i="444"/>
  <c r="R21" i="444"/>
  <c r="Q21" i="444"/>
  <c r="K29" i="446"/>
  <c r="J29" i="446"/>
  <c r="K35" i="446"/>
  <c r="J35" i="446"/>
  <c r="P56" i="451"/>
  <c r="K17" i="446"/>
  <c r="Q13" i="440"/>
  <c r="J14" i="446"/>
  <c r="P21" i="430"/>
  <c r="Q32" i="434"/>
  <c r="Q11" i="411"/>
  <c r="Q7" i="409"/>
  <c r="P19" i="406"/>
  <c r="J12" i="385"/>
  <c r="F20" i="390"/>
  <c r="Q41" i="399"/>
  <c r="Q16" i="384"/>
  <c r="P14" i="358"/>
  <c r="P19" i="436"/>
  <c r="Q17" i="402"/>
  <c r="Q7" i="424"/>
  <c r="P10" i="409"/>
  <c r="P17" i="420"/>
  <c r="Q8" i="430"/>
  <c r="O11" i="371"/>
  <c r="P11" i="371"/>
  <c r="O24" i="373"/>
  <c r="P24" i="373"/>
  <c r="P44" i="373"/>
  <c r="O44" i="373"/>
  <c r="O47" i="373"/>
  <c r="P47" i="373"/>
  <c r="P50" i="373"/>
  <c r="O50" i="373"/>
  <c r="P53" i="373"/>
  <c r="O53" i="373"/>
  <c r="P51" i="375"/>
  <c r="O51" i="375"/>
  <c r="O54" i="375"/>
  <c r="P54" i="375"/>
  <c r="Q26" i="379"/>
  <c r="P26" i="379"/>
  <c r="Q9" i="381"/>
  <c r="P9" i="381"/>
  <c r="Q22" i="381"/>
  <c r="P22" i="381"/>
  <c r="Q18" i="383"/>
  <c r="P18" i="383"/>
  <c r="Q21" i="383"/>
  <c r="P21" i="383"/>
  <c r="Q8" i="384"/>
  <c r="P8" i="384"/>
  <c r="K8" i="385"/>
  <c r="J8" i="385"/>
  <c r="K16" i="385"/>
  <c r="J16" i="385"/>
  <c r="P7" i="388"/>
  <c r="Q7" i="388"/>
  <c r="Q10" i="388"/>
  <c r="P10" i="388"/>
  <c r="Q14" i="389"/>
  <c r="P14" i="389"/>
  <c r="Q34" i="389"/>
  <c r="P34" i="389"/>
  <c r="Q36" i="389"/>
  <c r="P36" i="389"/>
  <c r="Q40" i="389"/>
  <c r="P40" i="389"/>
  <c r="Q9" i="391"/>
  <c r="P9" i="391"/>
  <c r="Q20" i="391"/>
  <c r="P20" i="391"/>
  <c r="P62" i="399"/>
  <c r="Q62" i="399"/>
  <c r="P65" i="399"/>
  <c r="Q65" i="399"/>
  <c r="Q71" i="399"/>
  <c r="P71" i="399"/>
  <c r="P7" i="401"/>
  <c r="Q7" i="401"/>
  <c r="P10" i="401"/>
  <c r="Q10" i="401"/>
  <c r="Q15" i="401"/>
  <c r="P15" i="401"/>
  <c r="Q22" i="401"/>
  <c r="P22" i="401"/>
  <c r="Q34" i="401"/>
  <c r="P34" i="401"/>
  <c r="Q40" i="401"/>
  <c r="P40" i="401"/>
  <c r="P48" i="401"/>
  <c r="Q48" i="401"/>
  <c r="Q10" i="402"/>
  <c r="P10" i="402"/>
  <c r="P17" i="404"/>
  <c r="Q17" i="404"/>
  <c r="Q10" i="406"/>
  <c r="P10" i="406"/>
  <c r="P46" i="406"/>
  <c r="Q46" i="406"/>
  <c r="P52" i="406"/>
  <c r="Q52" i="406"/>
  <c r="Q9" i="408"/>
  <c r="P9" i="408"/>
  <c r="Q14" i="408"/>
  <c r="P14" i="408"/>
  <c r="P22" i="408"/>
  <c r="Q22" i="408"/>
  <c r="Q36" i="408"/>
  <c r="P36" i="408"/>
  <c r="Q47" i="408"/>
  <c r="P47" i="408"/>
  <c r="Q15" i="409"/>
  <c r="P15" i="409"/>
  <c r="P20" i="409"/>
  <c r="Q20" i="409"/>
  <c r="P31" i="411"/>
  <c r="Q31" i="411"/>
  <c r="Q37" i="411"/>
  <c r="P37" i="411"/>
  <c r="P43" i="411"/>
  <c r="Q43" i="411"/>
  <c r="Q32" i="415"/>
  <c r="P32" i="415"/>
  <c r="Q37" i="415"/>
  <c r="P37" i="415"/>
  <c r="Q10" i="418"/>
  <c r="P10" i="418"/>
  <c r="Q10" i="426"/>
  <c r="P10" i="426"/>
  <c r="P9" i="428"/>
  <c r="Q9" i="428"/>
  <c r="P14" i="428"/>
  <c r="Q14" i="428"/>
  <c r="P16" i="428"/>
  <c r="Q16" i="428"/>
  <c r="P19" i="428"/>
  <c r="Q19" i="428"/>
  <c r="Q39" i="430"/>
  <c r="P39" i="430"/>
  <c r="Q44" i="430"/>
  <c r="P44" i="430"/>
  <c r="P50" i="432"/>
  <c r="Q50" i="432"/>
  <c r="P13" i="434"/>
  <c r="Q13" i="434"/>
  <c r="Q44" i="434"/>
  <c r="P44" i="434"/>
  <c r="O29" i="435"/>
  <c r="O43" i="435" s="1"/>
  <c r="O44" i="435" s="1"/>
  <c r="F43" i="435"/>
  <c r="P9" i="436"/>
  <c r="Q9" i="436"/>
  <c r="Q16" i="436"/>
  <c r="P16" i="436"/>
  <c r="P43" i="438"/>
  <c r="Q43" i="438"/>
  <c r="Q8" i="440"/>
  <c r="P8" i="440"/>
  <c r="Q13" i="442"/>
  <c r="P13" i="442"/>
  <c r="K16" i="446"/>
  <c r="J16" i="446"/>
  <c r="P41" i="373"/>
  <c r="O19" i="365"/>
  <c r="P19" i="365"/>
  <c r="P16" i="371"/>
  <c r="O16" i="371"/>
  <c r="P15" i="388"/>
  <c r="Q15" i="388"/>
  <c r="Q12" i="389"/>
  <c r="Q46" i="389"/>
  <c r="P46" i="389"/>
  <c r="P23" i="391"/>
  <c r="Q23" i="391"/>
  <c r="M24" i="393"/>
  <c r="M25" i="393" s="1"/>
  <c r="O8" i="394"/>
  <c r="O26" i="394" s="1"/>
  <c r="O27" i="394" s="1"/>
  <c r="F26" i="394"/>
  <c r="Q35" i="399"/>
  <c r="P35" i="399"/>
  <c r="P8" i="401"/>
  <c r="Q8" i="401"/>
  <c r="M23" i="404"/>
  <c r="M24" i="404" s="1"/>
  <c r="Q10" i="404"/>
  <c r="P10" i="404"/>
  <c r="P8" i="406"/>
  <c r="Q8" i="406"/>
  <c r="Q12" i="408"/>
  <c r="P12" i="408"/>
  <c r="Q8" i="409"/>
  <c r="P8" i="409"/>
  <c r="P15" i="415"/>
  <c r="Q15" i="415"/>
  <c r="P21" i="415"/>
  <c r="Q21" i="415"/>
  <c r="Q60" i="415"/>
  <c r="P60" i="415"/>
  <c r="O9" i="419"/>
  <c r="O19" i="419" s="1"/>
  <c r="O20" i="419" s="1"/>
  <c r="F19" i="419"/>
  <c r="Q34" i="430"/>
  <c r="P34" i="430"/>
  <c r="Q8" i="432"/>
  <c r="P8" i="432"/>
  <c r="Q20" i="432"/>
  <c r="P20" i="432"/>
  <c r="Q11" i="438"/>
  <c r="P11" i="438"/>
  <c r="Q41" i="438"/>
  <c r="P41" i="438"/>
  <c r="Q19" i="442"/>
  <c r="P19" i="442"/>
  <c r="Q22" i="442"/>
  <c r="P22" i="442"/>
  <c r="J37" i="446"/>
  <c r="K37" i="446"/>
  <c r="O14" i="451"/>
  <c r="O76" i="451" s="1"/>
  <c r="N14" i="451"/>
  <c r="P14" i="420"/>
  <c r="P14" i="413"/>
  <c r="Q25" i="391"/>
  <c r="Q11" i="444"/>
  <c r="P17" i="399"/>
  <c r="P47" i="432"/>
  <c r="P41" i="432"/>
  <c r="Q44" i="432"/>
  <c r="P18" i="358"/>
  <c r="O18" i="358"/>
  <c r="AE23" i="361"/>
  <c r="O8" i="363"/>
  <c r="P8" i="363"/>
  <c r="O11" i="363"/>
  <c r="P11" i="363"/>
  <c r="O14" i="363"/>
  <c r="P14" i="363"/>
  <c r="O17" i="363"/>
  <c r="P17" i="363"/>
  <c r="AE23" i="368"/>
  <c r="P49" i="368"/>
  <c r="O40" i="375"/>
  <c r="P40" i="375"/>
  <c r="M18" i="379"/>
  <c r="M19" i="379" s="1"/>
  <c r="P13" i="379"/>
  <c r="AF17" i="379"/>
  <c r="Q27" i="379"/>
  <c r="Q30" i="379"/>
  <c r="P33" i="379"/>
  <c r="M24" i="381"/>
  <c r="M25" i="381" s="1"/>
  <c r="Q12" i="381"/>
  <c r="P12" i="381"/>
  <c r="Q14" i="381"/>
  <c r="P19" i="381"/>
  <c r="P10" i="383"/>
  <c r="AF22" i="383"/>
  <c r="M22" i="384"/>
  <c r="M23" i="384" s="1"/>
  <c r="P19" i="384"/>
  <c r="O18" i="387"/>
  <c r="O19" i="387" s="1"/>
  <c r="AF23" i="388"/>
  <c r="Q9" i="389"/>
  <c r="Q20" i="389"/>
  <c r="P20" i="389"/>
  <c r="Q38" i="389"/>
  <c r="Q43" i="389"/>
  <c r="Q10" i="391"/>
  <c r="P10" i="391"/>
  <c r="AF28" i="391"/>
  <c r="P18" i="391"/>
  <c r="AF23" i="393"/>
  <c r="Q16" i="393"/>
  <c r="P16" i="393"/>
  <c r="AG16" i="393" s="1"/>
  <c r="P18" i="393"/>
  <c r="AG18" i="393" s="1"/>
  <c r="Q21" i="393"/>
  <c r="Q9" i="395"/>
  <c r="P9" i="395"/>
  <c r="M51" i="401"/>
  <c r="M52" i="401" s="1"/>
  <c r="Q21" i="402"/>
  <c r="P21" i="402"/>
  <c r="P18" i="404"/>
  <c r="Q18" i="404"/>
  <c r="Q21" i="406"/>
  <c r="P21" i="406"/>
  <c r="AF24" i="408"/>
  <c r="P20" i="408"/>
  <c r="Q20" i="408"/>
  <c r="P13" i="409"/>
  <c r="Q13" i="409"/>
  <c r="Q14" i="411"/>
  <c r="P14" i="411"/>
  <c r="P33" i="415"/>
  <c r="Q33" i="415"/>
  <c r="M24" i="430"/>
  <c r="M25" i="430" s="1"/>
  <c r="F47" i="433"/>
  <c r="M24" i="434"/>
  <c r="M25" i="434" s="1"/>
  <c r="Q11" i="434"/>
  <c r="P11" i="434"/>
  <c r="P17" i="436"/>
  <c r="Q17" i="436"/>
  <c r="P34" i="438"/>
  <c r="Q34" i="438"/>
  <c r="M24" i="440"/>
  <c r="M25" i="440" s="1"/>
  <c r="P19" i="440"/>
  <c r="Q19" i="440"/>
  <c r="Q22" i="440"/>
  <c r="P22" i="440"/>
  <c r="P7" i="442"/>
  <c r="Q7" i="442"/>
  <c r="J12" i="446"/>
  <c r="K12" i="446"/>
  <c r="Q15" i="438"/>
  <c r="P13" i="436"/>
  <c r="P9" i="426"/>
  <c r="P37" i="430"/>
  <c r="P12" i="420"/>
  <c r="P21" i="408"/>
  <c r="Q9" i="418"/>
  <c r="P8" i="408"/>
  <c r="Q10" i="432"/>
  <c r="Q19" i="399"/>
  <c r="P16" i="404"/>
  <c r="Q21" i="428"/>
  <c r="Q10" i="399"/>
  <c r="P47" i="399"/>
  <c r="P19" i="432"/>
  <c r="F44" i="400"/>
  <c r="P14" i="383"/>
  <c r="Q21" i="389"/>
  <c r="Q16" i="440"/>
  <c r="P13" i="413"/>
  <c r="P39" i="401"/>
  <c r="Q8" i="381"/>
  <c r="P18" i="418"/>
  <c r="Q17" i="413"/>
  <c r="Q32" i="430"/>
  <c r="P49" i="406"/>
  <c r="P8" i="365"/>
  <c r="Q14" i="436"/>
  <c r="P21" i="432"/>
  <c r="P13" i="432"/>
  <c r="P21" i="436"/>
  <c r="Q47" i="434"/>
  <c r="O12" i="433"/>
  <c r="O47" i="433" s="1"/>
  <c r="O48" i="433" s="1"/>
  <c r="F24" i="443"/>
  <c r="P14" i="430"/>
  <c r="P22" i="413"/>
  <c r="P7" i="426"/>
  <c r="P12" i="440"/>
  <c r="P7" i="399"/>
  <c r="P16" i="381"/>
  <c r="Q7" i="379"/>
  <c r="P12" i="399"/>
  <c r="O8" i="372"/>
  <c r="O18" i="372" s="1"/>
  <c r="O19" i="372" s="1"/>
  <c r="Q11" i="440"/>
  <c r="Q15" i="391"/>
  <c r="Q12" i="406"/>
  <c r="P42" i="415"/>
  <c r="P11" i="428"/>
  <c r="P40" i="406"/>
  <c r="P15" i="395"/>
  <c r="O7" i="368"/>
  <c r="P40" i="415"/>
  <c r="P19" i="418"/>
  <c r="Q15" i="436"/>
  <c r="P35" i="432"/>
  <c r="P22" i="418"/>
  <c r="Q15" i="444"/>
  <c r="P23" i="406"/>
  <c r="Q11" i="424"/>
  <c r="Q16" i="420"/>
  <c r="P21" i="401"/>
  <c r="P16" i="418"/>
  <c r="Q21" i="409"/>
  <c r="F17" i="412"/>
  <c r="Q11" i="393"/>
  <c r="P14" i="399"/>
  <c r="P8" i="393"/>
  <c r="AG8" i="393" s="1"/>
  <c r="O38" i="373"/>
  <c r="O21" i="373"/>
  <c r="O11" i="373"/>
  <c r="P21" i="368"/>
  <c r="P7" i="402"/>
  <c r="P38" i="434"/>
  <c r="P14" i="406"/>
  <c r="P67" i="399"/>
  <c r="Q35" i="379"/>
  <c r="O15" i="371"/>
  <c r="Q23" i="395"/>
  <c r="Q20" i="406"/>
  <c r="Q13" i="401"/>
  <c r="Q37" i="401"/>
  <c r="O8" i="439"/>
  <c r="O18" i="439" s="1"/>
  <c r="Q19" i="430"/>
  <c r="Q13" i="418"/>
  <c r="P7" i="420"/>
  <c r="P34" i="415"/>
  <c r="F18" i="416"/>
  <c r="P18" i="402"/>
  <c r="Q15" i="411"/>
  <c r="P15" i="432"/>
  <c r="C21" i="423"/>
  <c r="P18" i="389"/>
  <c r="P19" i="401"/>
  <c r="Q10" i="384"/>
  <c r="F41" i="374"/>
  <c r="P17" i="373"/>
  <c r="O26" i="373"/>
  <c r="P21" i="361"/>
  <c r="P8" i="391"/>
  <c r="Q17" i="391"/>
  <c r="Q13" i="393"/>
  <c r="Q20" i="415"/>
  <c r="P8" i="356"/>
  <c r="P10" i="356"/>
  <c r="O22" i="358"/>
  <c r="P49" i="358"/>
  <c r="O39" i="360"/>
  <c r="O40" i="360" s="1"/>
  <c r="P10" i="363"/>
  <c r="O10" i="363"/>
  <c r="O19" i="373"/>
  <c r="O48" i="375"/>
  <c r="P48" i="375"/>
  <c r="Q12" i="388"/>
  <c r="P19" i="389"/>
  <c r="Q12" i="391"/>
  <c r="P9" i="399"/>
  <c r="Q16" i="399"/>
  <c r="Q34" i="399"/>
  <c r="M50" i="399"/>
  <c r="M51" i="399" s="1"/>
  <c r="Q44" i="399"/>
  <c r="P44" i="399"/>
  <c r="M75" i="399"/>
  <c r="M76" i="399" s="1"/>
  <c r="Q70" i="399"/>
  <c r="Q73" i="399"/>
  <c r="F18" i="403"/>
  <c r="P7" i="404"/>
  <c r="Q7" i="404"/>
  <c r="P20" i="404"/>
  <c r="Q20" i="404"/>
  <c r="P15" i="434"/>
  <c r="P11" i="436"/>
  <c r="P15" i="440"/>
  <c r="Q21" i="440"/>
  <c r="P21" i="440"/>
  <c r="Q9" i="442"/>
  <c r="Z18" i="446"/>
  <c r="J15" i="446"/>
  <c r="K15" i="446"/>
  <c r="J13" i="385"/>
  <c r="K13" i="385"/>
  <c r="Q15" i="389"/>
  <c r="P15" i="389"/>
  <c r="Q61" i="415"/>
  <c r="P61" i="415"/>
  <c r="C22" i="423"/>
  <c r="P15" i="426"/>
  <c r="Q15" i="426"/>
  <c r="AF23" i="440"/>
  <c r="AH23" i="444"/>
  <c r="P49" i="375"/>
  <c r="P52" i="375"/>
  <c r="F46" i="378"/>
  <c r="O7" i="365"/>
  <c r="O12" i="365"/>
  <c r="O17" i="365"/>
  <c r="P19" i="368"/>
  <c r="P22" i="368"/>
  <c r="C42" i="370"/>
  <c r="P7" i="371"/>
  <c r="O10" i="371"/>
  <c r="AE23" i="371"/>
  <c r="P17" i="371"/>
  <c r="O20" i="371"/>
  <c r="AE27" i="373"/>
  <c r="P16" i="373"/>
  <c r="P23" i="373"/>
  <c r="O37" i="373"/>
  <c r="P40" i="373"/>
  <c r="O43" i="373"/>
  <c r="P46" i="373"/>
  <c r="O49" i="373"/>
  <c r="P52" i="373"/>
  <c r="I26" i="252"/>
  <c r="AF41" i="296"/>
  <c r="AM45" i="296"/>
  <c r="AQ23" i="330"/>
  <c r="I43" i="252"/>
  <c r="BE28" i="268"/>
  <c r="V63" i="296"/>
  <c r="U109" i="326"/>
  <c r="AQ98" i="330"/>
  <c r="BH41" i="296"/>
  <c r="U69" i="326"/>
  <c r="F6" i="252"/>
  <c r="E25" i="252" s="1"/>
  <c r="H25" i="252" s="1"/>
  <c r="AQ10" i="330"/>
  <c r="I39" i="252"/>
  <c r="O10" i="356"/>
  <c r="O22" i="368"/>
  <c r="Q33" i="379"/>
  <c r="P18" i="373"/>
  <c r="O40" i="373"/>
  <c r="Q19" i="384"/>
  <c r="O52" i="375"/>
  <c r="P9" i="389"/>
  <c r="P37" i="373"/>
  <c r="P8" i="383"/>
  <c r="F18" i="370"/>
  <c r="P43" i="389"/>
  <c r="P52" i="351"/>
  <c r="O16" i="373"/>
  <c r="F18" i="392"/>
  <c r="P47" i="368"/>
  <c r="P49" i="373"/>
  <c r="F18" i="357"/>
  <c r="P43" i="373"/>
  <c r="P27" i="379"/>
  <c r="O7" i="371"/>
  <c r="Q9" i="399"/>
  <c r="O13" i="365"/>
  <c r="P46" i="368"/>
  <c r="P10" i="373"/>
  <c r="P12" i="373"/>
  <c r="P22" i="373"/>
  <c r="F18" i="367"/>
  <c r="O39" i="370"/>
  <c r="O40" i="370" s="1"/>
  <c r="O17" i="371"/>
  <c r="Q36" i="401"/>
  <c r="Q38" i="408"/>
  <c r="P20" i="371"/>
  <c r="P12" i="365"/>
  <c r="F20" i="374"/>
  <c r="O49" i="358"/>
  <c r="P10" i="371"/>
  <c r="P34" i="358"/>
  <c r="P46" i="358"/>
  <c r="O11" i="361"/>
  <c r="P19" i="361"/>
  <c r="P22" i="361"/>
  <c r="O9" i="363"/>
  <c r="P12" i="363"/>
  <c r="O15" i="363"/>
  <c r="P29" i="451"/>
  <c r="Q16" i="409"/>
  <c r="P73" i="399"/>
  <c r="O35" i="358"/>
  <c r="P17" i="361"/>
  <c r="G27" i="422"/>
  <c r="G28" i="422" s="1"/>
  <c r="G29" i="422" s="1"/>
  <c r="P15" i="356"/>
  <c r="O15" i="361"/>
  <c r="F18" i="396"/>
  <c r="I56" i="252"/>
  <c r="E21" i="252"/>
  <c r="H21" i="252" s="1"/>
  <c r="AW24" i="268"/>
  <c r="I104" i="252"/>
  <c r="J11" i="252"/>
  <c r="AV15" i="268"/>
  <c r="BE16" i="268"/>
  <c r="J34" i="292"/>
  <c r="AV14" i="268"/>
  <c r="M24" i="409"/>
  <c r="M25" i="409" s="1"/>
  <c r="AW6" i="268"/>
  <c r="E20" i="252"/>
  <c r="H20" i="252" s="1"/>
  <c r="I64" i="252"/>
  <c r="BB5" i="296"/>
  <c r="V89" i="296"/>
  <c r="V102" i="296"/>
  <c r="P119" i="296"/>
  <c r="E100" i="252"/>
  <c r="H100" i="252" s="1"/>
  <c r="E11" i="252"/>
  <c r="H11" i="252" s="1"/>
  <c r="BE11" i="268"/>
  <c r="E24" i="252"/>
  <c r="H24" i="252" s="1"/>
  <c r="AV5" i="268"/>
  <c r="AQ84" i="330"/>
  <c r="F18" i="364"/>
  <c r="O46" i="368"/>
  <c r="O18" i="360"/>
  <c r="O19" i="360" s="1"/>
  <c r="O16" i="356"/>
  <c r="AE23" i="358"/>
  <c r="AE50" i="358"/>
  <c r="P9" i="451"/>
  <c r="P52" i="451"/>
  <c r="O105" i="451"/>
  <c r="O24" i="443"/>
  <c r="O25" i="443" s="1"/>
  <c r="P12" i="356"/>
  <c r="O18" i="405"/>
  <c r="O19" i="405" s="1"/>
  <c r="P19" i="363"/>
  <c r="O18" i="403"/>
  <c r="O19" i="403" s="1"/>
  <c r="Q42" i="432"/>
  <c r="P9" i="363"/>
  <c r="O17" i="412"/>
  <c r="O18" i="412" s="1"/>
  <c r="O15" i="356"/>
  <c r="C22" i="367"/>
  <c r="AE50" i="368"/>
  <c r="F18" i="369"/>
  <c r="O32" i="366"/>
  <c r="AE23" i="363"/>
  <c r="AE23" i="365"/>
  <c r="P13" i="451"/>
  <c r="P21" i="451"/>
  <c r="P51" i="451"/>
  <c r="G37" i="21"/>
  <c r="G38" i="21" s="1"/>
  <c r="G39" i="21" s="1"/>
  <c r="J106" i="252"/>
  <c r="H6" i="252"/>
  <c r="J14" i="252" s="1"/>
  <c r="J50" i="252"/>
  <c r="J81" i="252"/>
  <c r="J13" i="252"/>
  <c r="J80" i="252"/>
  <c r="J54" i="252"/>
  <c r="AV8" i="268"/>
  <c r="AW8" i="268"/>
  <c r="J35" i="292"/>
  <c r="I35" i="292"/>
  <c r="BD15" i="268"/>
  <c r="BE15" i="268"/>
  <c r="J32" i="252"/>
  <c r="J66" i="252"/>
  <c r="BE22" i="268"/>
  <c r="BD22" i="268"/>
  <c r="J27" i="292"/>
  <c r="I27" i="292"/>
  <c r="BN79" i="296"/>
  <c r="AG79" i="296"/>
  <c r="G5" i="263"/>
  <c r="H6" i="263" s="1"/>
  <c r="BD69" i="296"/>
  <c r="E71" i="252"/>
  <c r="H71" i="252" s="1"/>
  <c r="AV4" i="268"/>
  <c r="AG33" i="296"/>
  <c r="E22" i="252"/>
  <c r="H22" i="252" s="1"/>
  <c r="F4" i="252"/>
  <c r="E83" i="252" s="1"/>
  <c r="H83" i="252" s="1"/>
  <c r="I23" i="292"/>
  <c r="AT33" i="296"/>
  <c r="BE79" i="296"/>
  <c r="AW79" i="296"/>
  <c r="AX79" i="296"/>
  <c r="AZ79" i="296"/>
  <c r="AO79" i="296"/>
  <c r="BL79" i="296"/>
  <c r="BM79" i="296"/>
  <c r="BC79" i="296"/>
  <c r="AR79" i="296"/>
  <c r="BH79" i="296"/>
  <c r="AK79" i="296"/>
  <c r="AN79" i="296"/>
  <c r="AS79" i="296"/>
  <c r="BA79" i="296"/>
  <c r="BB79" i="296"/>
  <c r="AI79" i="296"/>
  <c r="AY79" i="296"/>
  <c r="AT79" i="296"/>
  <c r="AF79" i="296"/>
  <c r="AV79" i="296"/>
  <c r="AU79" i="296"/>
  <c r="AP79" i="296"/>
  <c r="BJ79" i="296"/>
  <c r="BI79" i="296"/>
  <c r="BD79" i="296"/>
  <c r="AQ79" i="296"/>
  <c r="BG112" i="296"/>
  <c r="BJ112" i="296"/>
  <c r="BH33" i="296"/>
  <c r="AY33" i="296"/>
  <c r="AX33" i="296"/>
  <c r="BG33" i="296"/>
  <c r="BL33" i="296"/>
  <c r="AF33" i="296"/>
  <c r="AW33" i="296"/>
  <c r="AR33" i="296"/>
  <c r="BF33" i="296"/>
  <c r="AO33" i="296"/>
  <c r="AM33" i="296"/>
  <c r="AS33" i="296"/>
  <c r="AU33" i="296"/>
  <c r="AJ33" i="296"/>
  <c r="BE33" i="296"/>
  <c r="AK33" i="296"/>
  <c r="AZ33" i="296"/>
  <c r="AZ69" i="296"/>
  <c r="AW69" i="296"/>
  <c r="AY69" i="296"/>
  <c r="AV69" i="296"/>
  <c r="BE69" i="296"/>
  <c r="BA69" i="296"/>
  <c r="AF69" i="296"/>
  <c r="BB69" i="296"/>
  <c r="AR69" i="296"/>
  <c r="BG79" i="296"/>
  <c r="BD33" i="296"/>
  <c r="BJ33" i="296"/>
  <c r="AJ79" i="296"/>
  <c r="E50" i="252"/>
  <c r="H50" i="252" s="1"/>
  <c r="AV6" i="268"/>
  <c r="AW25" i="268"/>
  <c r="AV25" i="268"/>
  <c r="E57" i="252"/>
  <c r="H57" i="252" s="1"/>
  <c r="E23" i="252"/>
  <c r="H23" i="252" s="1"/>
  <c r="BK5" i="296"/>
  <c r="K6" i="292"/>
  <c r="AM5" i="296"/>
  <c r="AX5" i="296"/>
  <c r="BJ5" i="296"/>
  <c r="AQ19" i="330"/>
  <c r="BO30" i="283"/>
  <c r="J29" i="292"/>
  <c r="AO30" i="296"/>
  <c r="AN30" i="296"/>
  <c r="AW30" i="296"/>
  <c r="AU35" i="296"/>
  <c r="AL30" i="296"/>
  <c r="BD5" i="296"/>
  <c r="AV28" i="268"/>
  <c r="AQ15" i="330"/>
  <c r="P115" i="326"/>
  <c r="AF35" i="296"/>
  <c r="AY30" i="296"/>
  <c r="BH5" i="296"/>
  <c r="U63" i="326"/>
  <c r="U91" i="326"/>
  <c r="P116" i="326"/>
  <c r="AQ25" i="330"/>
  <c r="AN5" i="296"/>
  <c r="V75" i="296"/>
  <c r="O9" i="361"/>
  <c r="P9" i="361"/>
  <c r="P12" i="361"/>
  <c r="O12" i="361"/>
  <c r="P20" i="361"/>
  <c r="O20" i="361"/>
  <c r="O16" i="362"/>
  <c r="O27" i="362" s="1"/>
  <c r="F27" i="362"/>
  <c r="P13" i="356"/>
  <c r="O20" i="358"/>
  <c r="P20" i="358"/>
  <c r="P36" i="358"/>
  <c r="O36" i="358"/>
  <c r="O39" i="358"/>
  <c r="P39" i="358"/>
  <c r="P42" i="358"/>
  <c r="O42" i="358"/>
  <c r="P45" i="358"/>
  <c r="O45" i="358"/>
  <c r="P47" i="358"/>
  <c r="O47" i="358"/>
  <c r="O53" i="359"/>
  <c r="O76" i="359" s="1"/>
  <c r="F76" i="359"/>
  <c r="AQ5" i="330"/>
  <c r="AQ39" i="330"/>
  <c r="AQ94" i="330"/>
  <c r="AQ43" i="330"/>
  <c r="T118" i="330"/>
  <c r="T120" i="330" s="1"/>
  <c r="O9" i="356"/>
  <c r="P9" i="356"/>
  <c r="U111" i="326"/>
  <c r="M44" i="332"/>
  <c r="AM5" i="335"/>
  <c r="AM37" i="335"/>
  <c r="P20" i="368"/>
  <c r="O20" i="368"/>
  <c r="O34" i="368"/>
  <c r="P34" i="368"/>
  <c r="P38" i="368"/>
  <c r="O38" i="368"/>
  <c r="O42" i="368"/>
  <c r="P42" i="368"/>
  <c r="T47" i="335"/>
  <c r="T49" i="335" s="1"/>
  <c r="P16" i="356"/>
  <c r="P15" i="361"/>
  <c r="P9" i="365"/>
  <c r="O9" i="365"/>
  <c r="P11" i="365"/>
  <c r="O11" i="365"/>
  <c r="O16" i="365"/>
  <c r="P16" i="365"/>
  <c r="O20" i="365"/>
  <c r="P20" i="365"/>
  <c r="O10" i="366"/>
  <c r="F34" i="366"/>
  <c r="O18" i="380"/>
  <c r="O19" i="380" s="1"/>
  <c r="O18" i="410"/>
  <c r="O19" i="410" s="1"/>
  <c r="G38" i="422"/>
  <c r="G39" i="422" s="1"/>
  <c r="G40" i="422" s="1"/>
  <c r="H107" i="451"/>
  <c r="P19" i="451"/>
  <c r="H99" i="451"/>
  <c r="H105" i="451"/>
  <c r="O16" i="451"/>
  <c r="P16" i="451" s="1"/>
  <c r="Q16" i="451" s="1"/>
  <c r="P53" i="451"/>
  <c r="P59" i="451"/>
  <c r="Q59" i="451" s="1"/>
  <c r="P100" i="451"/>
  <c r="N99" i="451"/>
  <c r="P7" i="451"/>
  <c r="P9" i="388"/>
  <c r="Q38" i="432"/>
  <c r="C93" i="451"/>
  <c r="P33" i="389"/>
  <c r="O20" i="374"/>
  <c r="O21" i="374" s="1"/>
  <c r="P15" i="451"/>
  <c r="P57" i="451"/>
  <c r="P148" i="451"/>
  <c r="G26" i="21"/>
  <c r="E42" i="294"/>
  <c r="G63" i="21"/>
  <c r="G65" i="21" s="1"/>
  <c r="BD9" i="268"/>
  <c r="BE9" i="268"/>
  <c r="BE20" i="268"/>
  <c r="BD20" i="268"/>
  <c r="BE21" i="268"/>
  <c r="BD21" i="268"/>
  <c r="I88" i="252"/>
  <c r="I55" i="252"/>
  <c r="I44" i="252"/>
  <c r="I17" i="252"/>
  <c r="I76" i="252"/>
  <c r="I29" i="252"/>
  <c r="BE24" i="268"/>
  <c r="BD24" i="268"/>
  <c r="I24" i="252"/>
  <c r="I34" i="252"/>
  <c r="AV26" i="268"/>
  <c r="AW26" i="268"/>
  <c r="I85" i="252"/>
  <c r="I46" i="252"/>
  <c r="AW18" i="268"/>
  <c r="AV18" i="268"/>
  <c r="J30" i="292"/>
  <c r="K30" i="292" s="1"/>
  <c r="I30" i="292"/>
  <c r="I78" i="252"/>
  <c r="I83" i="252"/>
  <c r="I106" i="252"/>
  <c r="I91" i="252"/>
  <c r="I75" i="252"/>
  <c r="I60" i="252"/>
  <c r="G4" i="252"/>
  <c r="G5" i="252" s="1"/>
  <c r="G6" i="252" s="1"/>
  <c r="I97" i="252"/>
  <c r="I82" i="252"/>
  <c r="I67" i="252"/>
  <c r="I71" i="252"/>
  <c r="I35" i="252"/>
  <c r="I92" i="252"/>
  <c r="I15" i="252"/>
  <c r="I22" i="252"/>
  <c r="I31" i="252"/>
  <c r="I28" i="252"/>
  <c r="I59" i="252"/>
  <c r="I52" i="252"/>
  <c r="I47" i="252"/>
  <c r="I18" i="252"/>
  <c r="I101" i="252"/>
  <c r="I19" i="252"/>
  <c r="I21" i="252"/>
  <c r="I66" i="252"/>
  <c r="I99" i="252"/>
  <c r="I90" i="252"/>
  <c r="I89" i="252"/>
  <c r="I98" i="252"/>
  <c r="I45" i="252"/>
  <c r="I16" i="252"/>
  <c r="I63" i="252"/>
  <c r="I72" i="252"/>
  <c r="I77" i="252"/>
  <c r="I74" i="252"/>
  <c r="I13" i="252"/>
  <c r="I102" i="252"/>
  <c r="I30" i="252"/>
  <c r="I54" i="252"/>
  <c r="I65" i="252"/>
  <c r="I62" i="252"/>
  <c r="I48" i="252"/>
  <c r="I73" i="252"/>
  <c r="I23" i="252"/>
  <c r="I36" i="252"/>
  <c r="I53" i="252"/>
  <c r="I38" i="252"/>
  <c r="I27" i="252"/>
  <c r="I69" i="252"/>
  <c r="I40" i="252"/>
  <c r="I32" i="252"/>
  <c r="I100" i="252"/>
  <c r="I51" i="252"/>
  <c r="I14" i="252"/>
  <c r="BJ35" i="296"/>
  <c r="BF35" i="296"/>
  <c r="AV35" i="296"/>
  <c r="E81" i="252"/>
  <c r="H81" i="252" s="1"/>
  <c r="E80" i="252"/>
  <c r="H80" i="252" s="1"/>
  <c r="G38" i="262"/>
  <c r="I7" i="264"/>
  <c r="AG35" i="296"/>
  <c r="C6" i="264"/>
  <c r="C7" i="264" s="1"/>
  <c r="I33" i="292"/>
  <c r="J33" i="292"/>
  <c r="I24" i="292"/>
  <c r="AL35" i="296"/>
  <c r="E106" i="252"/>
  <c r="H106" i="252" s="1"/>
  <c r="BD17" i="268"/>
  <c r="BE17" i="268"/>
  <c r="AV17" i="268"/>
  <c r="AW17" i="268"/>
  <c r="BL26" i="283"/>
  <c r="BO26" i="283"/>
  <c r="BC35" i="296"/>
  <c r="BL35" i="296"/>
  <c r="AT35" i="296"/>
  <c r="BI35" i="296"/>
  <c r="AH35" i="296"/>
  <c r="BG35" i="296"/>
  <c r="BN35" i="296"/>
  <c r="AK35" i="296"/>
  <c r="BD35" i="296"/>
  <c r="AN35" i="296"/>
  <c r="AR35" i="296"/>
  <c r="AW35" i="296"/>
  <c r="BE35" i="296"/>
  <c r="BM35" i="296"/>
  <c r="AQ35" i="296"/>
  <c r="AY35" i="296"/>
  <c r="AW9" i="268"/>
  <c r="AO35" i="296"/>
  <c r="AS35" i="296"/>
  <c r="BD4" i="268"/>
  <c r="AZ35" i="296"/>
  <c r="BE83" i="296"/>
  <c r="AV29" i="268"/>
  <c r="AW11" i="268"/>
  <c r="BO27" i="283"/>
  <c r="K13" i="292"/>
  <c r="BI69" i="296"/>
  <c r="AP30" i="296"/>
  <c r="AI69" i="296"/>
  <c r="AP83" i="296"/>
  <c r="BI33" i="296"/>
  <c r="BC33" i="296"/>
  <c r="BD30" i="296"/>
  <c r="AJ69" i="296"/>
  <c r="AT87" i="296"/>
  <c r="AP73" i="296"/>
  <c r="AQ53" i="330"/>
  <c r="AN69" i="296"/>
  <c r="BN33" i="296"/>
  <c r="AJ73" i="296"/>
  <c r="AK5" i="296"/>
  <c r="AO73" i="296"/>
  <c r="AU87" i="296"/>
  <c r="BF30" i="296"/>
  <c r="BN69" i="296"/>
  <c r="BK69" i="296"/>
  <c r="BJ30" i="296"/>
  <c r="AO69" i="296"/>
  <c r="BM33" i="296"/>
  <c r="AY100" i="296"/>
  <c r="BC73" i="296"/>
  <c r="AW83" i="296"/>
  <c r="P117" i="296"/>
  <c r="AQ13" i="330"/>
  <c r="AQ30" i="296"/>
  <c r="AH83" i="296"/>
  <c r="BH69" i="296"/>
  <c r="AM83" i="296"/>
  <c r="BM30" i="296"/>
  <c r="AS30" i="296"/>
  <c r="AX69" i="296"/>
  <c r="AS69" i="296"/>
  <c r="AH33" i="296"/>
  <c r="AV33" i="296"/>
  <c r="AR30" i="296"/>
  <c r="AZ100" i="296"/>
  <c r="BC5" i="296"/>
  <c r="AO5" i="296"/>
  <c r="AM73" i="296"/>
  <c r="AP5" i="296"/>
  <c r="BH30" i="296"/>
  <c r="J19" i="292"/>
  <c r="AT69" i="296"/>
  <c r="AZ30" i="296"/>
  <c r="AG69" i="296"/>
  <c r="BK30" i="296"/>
  <c r="BL69" i="296"/>
  <c r="BG77" i="296"/>
  <c r="AI5" i="296"/>
  <c r="BB83" i="296"/>
  <c r="BB33" i="296"/>
  <c r="BN87" i="296"/>
  <c r="AF30" i="296"/>
  <c r="BJ69" i="296"/>
  <c r="BI30" i="296"/>
  <c r="V52" i="296"/>
  <c r="AQ112" i="330"/>
  <c r="AO83" i="296"/>
  <c r="AM69" i="296"/>
  <c r="BA33" i="296"/>
  <c r="AG30" i="296"/>
  <c r="AV52" i="296"/>
  <c r="BE73" i="296"/>
  <c r="AR77" i="296"/>
  <c r="AN33" i="296"/>
  <c r="AI100" i="296"/>
  <c r="BE87" i="296"/>
  <c r="BN30" i="296"/>
  <c r="BM69" i="296"/>
  <c r="BC69" i="296"/>
  <c r="BE30" i="296"/>
  <c r="AK87" i="296"/>
  <c r="AV30" i="296"/>
  <c r="AL73" i="296"/>
  <c r="BF69" i="296"/>
  <c r="AV87" i="296"/>
  <c r="AQ33" i="330"/>
  <c r="AQ61" i="330"/>
  <c r="AQ75" i="330"/>
  <c r="V110" i="296"/>
  <c r="AQ77" i="330"/>
  <c r="AQ46" i="330"/>
  <c r="U29" i="326"/>
  <c r="AQ55" i="330"/>
  <c r="AQ102" i="330"/>
  <c r="V106" i="296"/>
  <c r="Q120" i="296"/>
  <c r="Q122" i="296" s="1"/>
  <c r="U81" i="326"/>
  <c r="U97" i="326"/>
  <c r="AQ7" i="330"/>
  <c r="AQ63" i="330"/>
  <c r="V108" i="296"/>
  <c r="I6" i="329"/>
  <c r="I22" i="329" s="1"/>
  <c r="I23" i="329" s="1"/>
  <c r="I24" i="329" s="1"/>
  <c r="I25" i="329" s="1"/>
  <c r="I26" i="329" s="1"/>
  <c r="I27" i="329" s="1"/>
  <c r="I28" i="329" s="1"/>
  <c r="I29" i="329" s="1"/>
  <c r="I30" i="329" s="1"/>
  <c r="I31" i="329" s="1"/>
  <c r="I32" i="329" s="1"/>
  <c r="I33" i="329" s="1"/>
  <c r="I34" i="329" s="1"/>
  <c r="I35" i="329" s="1"/>
  <c r="AM27" i="335"/>
  <c r="AM35" i="335"/>
  <c r="N38" i="319"/>
  <c r="P114" i="326"/>
  <c r="AQ108" i="330"/>
  <c r="AM23" i="335"/>
  <c r="AM11" i="335"/>
  <c r="V47" i="335"/>
  <c r="AM41" i="335"/>
  <c r="I130" i="351"/>
  <c r="P129" i="351" s="1"/>
  <c r="O24" i="431"/>
  <c r="O25" i="431" s="1"/>
  <c r="G64" i="422"/>
  <c r="G66" i="422" s="1"/>
  <c r="P155" i="351"/>
  <c r="O44" i="400"/>
  <c r="O45" i="400" s="1"/>
  <c r="O18" i="407"/>
  <c r="O19" i="407" s="1"/>
  <c r="Q8" i="395"/>
  <c r="I113" i="451"/>
  <c r="P112" i="451" s="1"/>
  <c r="P150" i="451"/>
  <c r="Q13" i="379"/>
  <c r="P20" i="451"/>
  <c r="P54" i="451"/>
  <c r="Q54" i="451" s="1"/>
  <c r="O20" i="390"/>
  <c r="O21" i="390" s="1"/>
  <c r="P144" i="451"/>
  <c r="Q36" i="300"/>
  <c r="O18" i="445"/>
  <c r="O19" i="445" s="1"/>
  <c r="C21" i="370"/>
  <c r="P114" i="451"/>
  <c r="O18" i="396"/>
  <c r="O19" i="396" s="1"/>
  <c r="O18" i="364"/>
  <c r="O19" i="364" s="1"/>
  <c r="O46" i="378"/>
  <c r="O47" i="378" s="1"/>
  <c r="P34" i="411"/>
  <c r="P132" i="451"/>
  <c r="N17" i="451"/>
  <c r="P14" i="379"/>
  <c r="P40" i="411"/>
  <c r="H109" i="451"/>
  <c r="O36" i="407"/>
  <c r="O37" i="407" s="1"/>
  <c r="P15" i="363"/>
  <c r="P4" i="451"/>
  <c r="P48" i="451"/>
  <c r="O41" i="374"/>
  <c r="O42" i="374" s="1"/>
  <c r="O37" i="369"/>
  <c r="O38" i="369" s="1"/>
  <c r="Q11" i="430"/>
  <c r="O10" i="451"/>
  <c r="P10" i="451" s="1"/>
  <c r="BN122" i="296"/>
  <c r="V43" i="296"/>
  <c r="U99" i="326"/>
  <c r="V73" i="296"/>
  <c r="V98" i="296"/>
  <c r="AB91" i="326"/>
  <c r="AB95" i="326"/>
  <c r="U83" i="326"/>
  <c r="V95" i="296"/>
  <c r="U61" i="326"/>
  <c r="K129" i="296"/>
  <c r="V59" i="296"/>
  <c r="V114" i="296"/>
  <c r="U57" i="326"/>
  <c r="K71" i="351"/>
  <c r="O71" i="351" s="1"/>
  <c r="U33" i="326"/>
  <c r="U65" i="326"/>
  <c r="U35" i="326"/>
  <c r="I128" i="296"/>
  <c r="U24" i="326"/>
  <c r="Y95" i="326"/>
  <c r="Z95" i="326" s="1"/>
  <c r="V30" i="296"/>
  <c r="U45" i="326"/>
  <c r="P42" i="351"/>
  <c r="P153" i="351"/>
  <c r="P12" i="351"/>
  <c r="P20" i="351"/>
  <c r="P26" i="351"/>
  <c r="C26" i="351" s="1"/>
  <c r="C60" i="351" s="1"/>
  <c r="H126" i="351"/>
  <c r="P28" i="351"/>
  <c r="P23" i="351"/>
  <c r="C22" i="351" s="1"/>
  <c r="C56" i="351" s="1"/>
  <c r="P29" i="351"/>
  <c r="C29" i="351" s="1"/>
  <c r="C67" i="351" s="1"/>
  <c r="P15" i="351"/>
  <c r="J71" i="252"/>
  <c r="J86" i="252"/>
  <c r="BP75" i="280"/>
  <c r="J70" i="252"/>
  <c r="J36" i="252"/>
  <c r="BD14" i="268"/>
  <c r="BE14" i="268"/>
  <c r="J87" i="252"/>
  <c r="J101" i="252"/>
  <c r="J90" i="252"/>
  <c r="E70" i="252"/>
  <c r="H70" i="252" s="1"/>
  <c r="E86" i="252"/>
  <c r="H86" i="252" s="1"/>
  <c r="E36" i="252"/>
  <c r="H36" i="252" s="1"/>
  <c r="E87" i="252"/>
  <c r="H87" i="252" s="1"/>
  <c r="AW23" i="268"/>
  <c r="AV23" i="268"/>
  <c r="BB31" i="268"/>
  <c r="BJ25" i="296"/>
  <c r="AR25" i="296"/>
  <c r="BK25" i="296"/>
  <c r="AQ25" i="296"/>
  <c r="AI25" i="296"/>
  <c r="AU25" i="296"/>
  <c r="BG25" i="296"/>
  <c r="BH25" i="296"/>
  <c r="BE25" i="296"/>
  <c r="AG25" i="296"/>
  <c r="AM25" i="296"/>
  <c r="AP25" i="296"/>
  <c r="BI25" i="296"/>
  <c r="AX25" i="296"/>
  <c r="AY25" i="296"/>
  <c r="BB25" i="296"/>
  <c r="AW25" i="296"/>
  <c r="BL25" i="296"/>
  <c r="AV25" i="296"/>
  <c r="AS25" i="296"/>
  <c r="AN25" i="296"/>
  <c r="AO25" i="296"/>
  <c r="BF25" i="296"/>
  <c r="AZ25" i="296"/>
  <c r="BA25" i="296"/>
  <c r="AH25" i="296"/>
  <c r="BM25" i="296"/>
  <c r="BN25" i="296"/>
  <c r="AF25" i="296"/>
  <c r="AT25" i="296"/>
  <c r="BC25" i="296"/>
  <c r="J85" i="252"/>
  <c r="BD26" i="268"/>
  <c r="BD6" i="268"/>
  <c r="BE6" i="268"/>
  <c r="E101" i="252"/>
  <c r="H101" i="252" s="1"/>
  <c r="J23" i="252"/>
  <c r="E13" i="252"/>
  <c r="H13" i="252" s="1"/>
  <c r="E33" i="252"/>
  <c r="H33" i="252" s="1"/>
  <c r="E91" i="252"/>
  <c r="H91" i="252" s="1"/>
  <c r="E85" i="252"/>
  <c r="H85" i="252" s="1"/>
  <c r="I25" i="252"/>
  <c r="I11" i="252"/>
  <c r="I94" i="252"/>
  <c r="I41" i="252"/>
  <c r="I86" i="252"/>
  <c r="I42" i="252"/>
  <c r="I80" i="252"/>
  <c r="I95" i="252"/>
  <c r="I57" i="252"/>
  <c r="I58" i="252"/>
  <c r="I103" i="252"/>
  <c r="I50" i="252"/>
  <c r="I81" i="252"/>
  <c r="I49" i="252"/>
  <c r="I33" i="252"/>
  <c r="I20" i="252"/>
  <c r="BD29" i="268"/>
  <c r="BE29" i="268"/>
  <c r="J91" i="252"/>
  <c r="J22" i="252"/>
  <c r="J24" i="252"/>
  <c r="H4" i="252"/>
  <c r="J69" i="252"/>
  <c r="J20" i="252"/>
  <c r="AW20" i="268"/>
  <c r="AV20" i="268"/>
  <c r="J26" i="292"/>
  <c r="I26" i="292"/>
  <c r="AR59" i="296"/>
  <c r="AO59" i="296"/>
  <c r="AH59" i="296"/>
  <c r="BM59" i="296"/>
  <c r="BN59" i="296"/>
  <c r="BI59" i="296"/>
  <c r="AI59" i="296"/>
  <c r="AM59" i="296"/>
  <c r="AK59" i="296"/>
  <c r="AG59" i="296"/>
  <c r="AW59" i="296"/>
  <c r="BK59" i="296"/>
  <c r="AY59" i="296"/>
  <c r="AU59" i="296"/>
  <c r="AJ59" i="296"/>
  <c r="AX59" i="296"/>
  <c r="BL59" i="296"/>
  <c r="BH59" i="296"/>
  <c r="BB59" i="296"/>
  <c r="AF59" i="296"/>
  <c r="BA59" i="296"/>
  <c r="AS59" i="296"/>
  <c r="AT59" i="296"/>
  <c r="BC59" i="296"/>
  <c r="AZ59" i="296"/>
  <c r="BF59" i="296"/>
  <c r="BG59" i="296"/>
  <c r="BD59" i="296"/>
  <c r="BJ59" i="296"/>
  <c r="AL59" i="296"/>
  <c r="BC112" i="296"/>
  <c r="AP112" i="296"/>
  <c r="AG112" i="296"/>
  <c r="AY112" i="296"/>
  <c r="AH112" i="296"/>
  <c r="AU112" i="296"/>
  <c r="BD112" i="296"/>
  <c r="AR112" i="296"/>
  <c r="AV112" i="296"/>
  <c r="BM112" i="296"/>
  <c r="BF112" i="296"/>
  <c r="AQ112" i="296"/>
  <c r="AF112" i="296"/>
  <c r="AO112" i="296"/>
  <c r="BI112" i="296"/>
  <c r="BK112" i="296"/>
  <c r="BE112" i="296"/>
  <c r="AI112" i="296"/>
  <c r="AT112" i="296"/>
  <c r="BL112" i="296"/>
  <c r="BH112" i="296"/>
  <c r="AN112" i="296"/>
  <c r="AS112" i="296"/>
  <c r="AX112" i="296"/>
  <c r="AM112" i="296"/>
  <c r="BB112" i="296"/>
  <c r="BA112" i="296"/>
  <c r="AW112" i="296"/>
  <c r="BN112" i="296"/>
  <c r="AJ112" i="296"/>
  <c r="J100" i="252"/>
  <c r="BE8" i="268"/>
  <c r="I19" i="292"/>
  <c r="J21" i="252"/>
  <c r="I84" i="252"/>
  <c r="I37" i="252"/>
  <c r="I96" i="252"/>
  <c r="I105" i="252"/>
  <c r="I79" i="252"/>
  <c r="I70" i="252"/>
  <c r="I68" i="252"/>
  <c r="I93" i="252"/>
  <c r="E66" i="252"/>
  <c r="H66" i="252" s="1"/>
  <c r="E78" i="252"/>
  <c r="H78" i="252" s="1"/>
  <c r="AV59" i="296"/>
  <c r="AJ50" i="296"/>
  <c r="AP50" i="296"/>
  <c r="BF50" i="296"/>
  <c r="AV50" i="296"/>
  <c r="BH50" i="296"/>
  <c r="AG50" i="296"/>
  <c r="BG50" i="296"/>
  <c r="BA50" i="296"/>
  <c r="BJ50" i="296"/>
  <c r="BE50" i="296"/>
  <c r="AZ50" i="296"/>
  <c r="AW50" i="296"/>
  <c r="AI50" i="296"/>
  <c r="BC50" i="296"/>
  <c r="AM50" i="296"/>
  <c r="AK50" i="296"/>
  <c r="BI50" i="296"/>
  <c r="BM50" i="296"/>
  <c r="AX50" i="296"/>
  <c r="AR50" i="296"/>
  <c r="BN50" i="296"/>
  <c r="AH50" i="296"/>
  <c r="AF50" i="296"/>
  <c r="BB50" i="296"/>
  <c r="AY50" i="296"/>
  <c r="AT50" i="296"/>
  <c r="P118" i="296"/>
  <c r="BD108" i="296"/>
  <c r="AQ108" i="296"/>
  <c r="AT108" i="296"/>
  <c r="AU108" i="296"/>
  <c r="BL108" i="296"/>
  <c r="BE108" i="296"/>
  <c r="BI108" i="296"/>
  <c r="BJ108" i="296"/>
  <c r="BK108" i="296"/>
  <c r="AY108" i="296"/>
  <c r="AL108" i="296"/>
  <c r="BC108" i="296"/>
  <c r="BB108" i="296"/>
  <c r="AZ108" i="296"/>
  <c r="BA108" i="296"/>
  <c r="BM108" i="296"/>
  <c r="AF108" i="296"/>
  <c r="AS108" i="296"/>
  <c r="AR108" i="296"/>
  <c r="BG108" i="296"/>
  <c r="AJ108" i="296"/>
  <c r="AK108" i="296"/>
  <c r="AP108" i="296"/>
  <c r="AV108" i="296"/>
  <c r="AG108" i="296"/>
  <c r="AM108" i="296"/>
  <c r="BH108" i="296"/>
  <c r="BN108" i="296"/>
  <c r="AN108" i="296"/>
  <c r="AH108" i="296"/>
  <c r="AI108" i="296"/>
  <c r="K38" i="262"/>
  <c r="J33" i="252"/>
  <c r="E90" i="252"/>
  <c r="H90" i="252" s="1"/>
  <c r="D5" i="252"/>
  <c r="BM43" i="296"/>
  <c r="AM43" i="296"/>
  <c r="BJ43" i="296"/>
  <c r="AK43" i="296"/>
  <c r="BC43" i="296"/>
  <c r="BB43" i="296"/>
  <c r="BL43" i="296"/>
  <c r="BA43" i="296"/>
  <c r="AF43" i="296"/>
  <c r="AH43" i="296"/>
  <c r="AX43" i="296"/>
  <c r="AZ43" i="296"/>
  <c r="AT43" i="296"/>
  <c r="AV43" i="296"/>
  <c r="AL43" i="296"/>
  <c r="BD43" i="296"/>
  <c r="AS43" i="296"/>
  <c r="BF43" i="296"/>
  <c r="BH43" i="296"/>
  <c r="BI43" i="296"/>
  <c r="BE43" i="296"/>
  <c r="AR43" i="296"/>
  <c r="AI43" i="296"/>
  <c r="AQ43" i="296"/>
  <c r="AG43" i="296"/>
  <c r="AW43" i="296"/>
  <c r="AN43" i="296"/>
  <c r="AU43" i="296"/>
  <c r="BN43" i="296"/>
  <c r="BG43" i="296"/>
  <c r="J38" i="252"/>
  <c r="AV12" i="268"/>
  <c r="AQ37" i="330"/>
  <c r="AQ96" i="330"/>
  <c r="J36" i="292"/>
  <c r="AQ65" i="330"/>
  <c r="AV19" i="268"/>
  <c r="BE5" i="268"/>
  <c r="J28" i="292"/>
  <c r="BD5" i="268"/>
  <c r="BO29" i="283"/>
  <c r="V41" i="296"/>
  <c r="AQ92" i="330"/>
  <c r="AT31" i="268"/>
  <c r="BO28" i="283"/>
  <c r="I25" i="292"/>
  <c r="J32" i="292"/>
  <c r="V5" i="296"/>
  <c r="V25" i="296"/>
  <c r="J129" i="296"/>
  <c r="V35" i="296"/>
  <c r="V45" i="296"/>
  <c r="V50" i="296"/>
  <c r="J38" i="319"/>
  <c r="AV22" i="268"/>
  <c r="AV30" i="268"/>
  <c r="BE19" i="268"/>
  <c r="BE23" i="268"/>
  <c r="BE25" i="268"/>
  <c r="AQ104" i="330"/>
  <c r="AM29" i="335"/>
  <c r="V117" i="330"/>
  <c r="AM19" i="335"/>
  <c r="U49" i="326"/>
  <c r="U5" i="326"/>
  <c r="V115" i="330"/>
  <c r="AM9" i="335"/>
  <c r="U53" i="326"/>
  <c r="K126" i="326"/>
  <c r="N124" i="351"/>
  <c r="Q32" i="300"/>
  <c r="AH36" i="350"/>
  <c r="I122" i="351"/>
  <c r="H122" i="351"/>
  <c r="P159" i="351"/>
  <c r="P165" i="351"/>
  <c r="O18" i="392"/>
  <c r="O19" i="392" s="1"/>
  <c r="AH40" i="350"/>
  <c r="Z40" i="350" s="1"/>
  <c r="P115" i="351"/>
  <c r="P8" i="358"/>
  <c r="P10" i="379"/>
  <c r="P15" i="379"/>
  <c r="AF22" i="402"/>
  <c r="M24" i="442"/>
  <c r="M25" i="442" s="1"/>
  <c r="O10" i="450"/>
  <c r="O18" i="450" s="1"/>
  <c r="O19" i="450" s="1"/>
  <c r="P23" i="451"/>
  <c r="O18" i="370"/>
  <c r="O19" i="370" s="1"/>
  <c r="M25" i="401"/>
  <c r="M26" i="401" s="1"/>
  <c r="P138" i="451"/>
  <c r="P6" i="351"/>
  <c r="AF24" i="401"/>
  <c r="P12" i="451"/>
  <c r="P146" i="451"/>
  <c r="P27" i="351"/>
  <c r="O107" i="451"/>
  <c r="P134" i="451"/>
  <c r="P140" i="451"/>
  <c r="P11" i="379"/>
  <c r="I75" i="451"/>
  <c r="I76" i="451"/>
  <c r="P108" i="451"/>
  <c r="P3" i="451"/>
  <c r="P25" i="451"/>
  <c r="P142" i="451"/>
  <c r="O17" i="351"/>
  <c r="P17" i="351" s="1"/>
  <c r="P8" i="351"/>
  <c r="Q16" i="379"/>
  <c r="C22" i="387"/>
  <c r="O29" i="450"/>
  <c r="P50" i="451"/>
  <c r="P98" i="451"/>
  <c r="P18" i="351"/>
  <c r="C18" i="351" s="1"/>
  <c r="C52" i="351" s="1"/>
  <c r="P17" i="451"/>
  <c r="Q17" i="451" s="1"/>
  <c r="P26" i="451"/>
  <c r="P58" i="451"/>
  <c r="I103" i="451"/>
  <c r="P136" i="451"/>
  <c r="P3" i="351"/>
  <c r="P55" i="351"/>
  <c r="Q55" i="351" s="1"/>
  <c r="P130" i="451"/>
  <c r="C43" i="387"/>
  <c r="P5" i="451"/>
  <c r="P27" i="451"/>
  <c r="P4" i="351"/>
  <c r="K84" i="451"/>
  <c r="O84" i="451" s="1"/>
  <c r="Q41" i="406"/>
  <c r="P6" i="451"/>
  <c r="P117" i="451"/>
  <c r="P152" i="451"/>
  <c r="Q10" i="379"/>
  <c r="P9" i="379"/>
  <c r="Q11" i="379"/>
  <c r="Q12" i="379"/>
  <c r="P16" i="379"/>
  <c r="Q9" i="379"/>
  <c r="P12" i="379"/>
  <c r="Y91" i="326"/>
  <c r="Z91" i="326" s="1"/>
  <c r="AB71" i="326"/>
  <c r="AC91" i="326" a="1"/>
  <c r="AC91" i="326" s="1"/>
  <c r="AB75" i="326"/>
  <c r="W22" i="334"/>
  <c r="J128" i="296"/>
  <c r="I125" i="326"/>
  <c r="K128" i="296"/>
  <c r="J125" i="326"/>
  <c r="I129" i="296"/>
  <c r="K125" i="326"/>
  <c r="I126" i="326"/>
  <c r="J126" i="326"/>
  <c r="P11" i="451"/>
  <c r="O111" i="451"/>
  <c r="P110" i="451" s="1"/>
  <c r="I30" i="451"/>
  <c r="H115" i="451"/>
  <c r="P49" i="451"/>
  <c r="I106" i="451"/>
  <c r="P42" i="451"/>
  <c r="H111" i="451"/>
  <c r="P8" i="451"/>
  <c r="P49" i="351"/>
  <c r="P54" i="351"/>
  <c r="P5" i="351"/>
  <c r="O120" i="351"/>
  <c r="I124" i="351"/>
  <c r="P123" i="351" s="1"/>
  <c r="N114" i="351"/>
  <c r="P161" i="351"/>
  <c r="I86" i="351"/>
  <c r="P13" i="351"/>
  <c r="P21" i="351"/>
  <c r="P157" i="351"/>
  <c r="P53" i="351"/>
  <c r="O8" i="358"/>
  <c r="F38" i="359"/>
  <c r="O38" i="359"/>
  <c r="O39" i="359" s="1"/>
  <c r="F17" i="425"/>
  <c r="O7" i="425"/>
  <c r="O17" i="425" s="1"/>
  <c r="O18" i="425" s="1"/>
  <c r="N67" i="386"/>
  <c r="P145" i="351"/>
  <c r="P149" i="351"/>
  <c r="H114" i="351"/>
  <c r="P163" i="351"/>
  <c r="P147" i="351"/>
  <c r="P7" i="351"/>
  <c r="P57" i="351"/>
  <c r="P151" i="351"/>
  <c r="I87" i="351"/>
  <c r="P58" i="351"/>
  <c r="P113" i="351"/>
  <c r="P59" i="351"/>
  <c r="H128" i="351"/>
  <c r="P167" i="351"/>
  <c r="P132" i="351"/>
  <c r="P24" i="351"/>
  <c r="P60" i="351"/>
  <c r="O126" i="351"/>
  <c r="P125" i="351" s="1"/>
  <c r="O122" i="351"/>
  <c r="I121" i="351"/>
  <c r="P51" i="351"/>
  <c r="P16" i="351"/>
  <c r="C16" i="351" s="1"/>
  <c r="C49" i="351" s="1"/>
  <c r="P19" i="351"/>
  <c r="P25" i="351"/>
  <c r="P9" i="351"/>
  <c r="C108" i="351"/>
  <c r="P127" i="351"/>
  <c r="I30" i="351"/>
  <c r="P11" i="351"/>
  <c r="O10" i="351"/>
  <c r="O30" i="351" s="1"/>
  <c r="I120" i="351"/>
  <c r="O14" i="351"/>
  <c r="N16" i="351"/>
  <c r="P48" i="351"/>
  <c r="AF23" i="368" l="1"/>
  <c r="AG24" i="368" s="1"/>
  <c r="AG23" i="368"/>
  <c r="AG23" i="365"/>
  <c r="AF23" i="365"/>
  <c r="AG22" i="363"/>
  <c r="AF22" i="363"/>
  <c r="AG23" i="363" s="1"/>
  <c r="C28" i="363" s="1"/>
  <c r="AG23" i="361"/>
  <c r="AF23" i="361"/>
  <c r="AG24" i="361" s="1"/>
  <c r="C28" i="361" s="1"/>
  <c r="AF23" i="358"/>
  <c r="AG23" i="358"/>
  <c r="O77" i="359"/>
  <c r="F32" i="350"/>
  <c r="K115" i="474" s="1"/>
  <c r="O115" i="474" s="1"/>
  <c r="F26" i="350"/>
  <c r="E114" i="474" s="1"/>
  <c r="I114" i="474" s="1"/>
  <c r="H26" i="293"/>
  <c r="I103" i="351"/>
  <c r="I137" i="472"/>
  <c r="H5" i="293"/>
  <c r="I5" i="293" s="1"/>
  <c r="Y59" i="326"/>
  <c r="Z59" i="326" s="1"/>
  <c r="AB35" i="326"/>
  <c r="AB24" i="326"/>
  <c r="AB65" i="326"/>
  <c r="Y87" i="326"/>
  <c r="Z87" i="326" s="1"/>
  <c r="AB77" i="326"/>
  <c r="Y35" i="326"/>
  <c r="Z35" i="326" s="1"/>
  <c r="AC35" i="326" a="1"/>
  <c r="AC35" i="326" s="1"/>
  <c r="Y61" i="326"/>
  <c r="Z61" i="326" s="1"/>
  <c r="AC87" i="326" a="1"/>
  <c r="AC87" i="326" s="1"/>
  <c r="Y109" i="326"/>
  <c r="Z109" i="326" s="1"/>
  <c r="Y75" i="326"/>
  <c r="Z75" i="326" s="1"/>
  <c r="Y45" i="326"/>
  <c r="Z45" i="326" s="1"/>
  <c r="AC99" i="326" a="1"/>
  <c r="AC99" i="326" s="1"/>
  <c r="Y71" i="326"/>
  <c r="Z71" i="326" s="1"/>
  <c r="AB99" i="326"/>
  <c r="AB45" i="326"/>
  <c r="AB101" i="326"/>
  <c r="AC77" i="326" a="1"/>
  <c r="AC77" i="326" s="1"/>
  <c r="AC81" i="326" a="1"/>
  <c r="AC81" i="326" s="1"/>
  <c r="AB79" i="326"/>
  <c r="Y83" i="326"/>
  <c r="Z83" i="326" s="1"/>
  <c r="Y99" i="326"/>
  <c r="Z99" i="326" s="1"/>
  <c r="AB111" i="326"/>
  <c r="AB87" i="326"/>
  <c r="AB67" i="326"/>
  <c r="AC101" i="326" a="1"/>
  <c r="AC101" i="326" s="1"/>
  <c r="AB31" i="326"/>
  <c r="AC24" i="326" a="1"/>
  <c r="AC24" i="326" s="1"/>
  <c r="AD24" i="326" s="1"/>
  <c r="Y79" i="326"/>
  <c r="Z79" i="326" s="1"/>
  <c r="AC109" i="326" a="1"/>
  <c r="AC109" i="326" s="1"/>
  <c r="AD109" i="326" s="1"/>
  <c r="L26" i="301"/>
  <c r="AB83" i="326"/>
  <c r="O48" i="417"/>
  <c r="O49" i="417" s="1"/>
  <c r="K99" i="472" s="1"/>
  <c r="O99" i="472" s="1"/>
  <c r="P99" i="472" s="1"/>
  <c r="AC45" i="326" a="1"/>
  <c r="AC45" i="326" s="1"/>
  <c r="AC75" i="326" a="1"/>
  <c r="AC75" i="326" s="1"/>
  <c r="AD75" i="326" s="1"/>
  <c r="Y77" i="326"/>
  <c r="Z77" i="326" s="1"/>
  <c r="AB97" i="326"/>
  <c r="Y89" i="326"/>
  <c r="Z89" i="326" s="1"/>
  <c r="Y67" i="326"/>
  <c r="Z67" i="326" s="1"/>
  <c r="AC83" i="326" a="1"/>
  <c r="AC83" i="326" s="1"/>
  <c r="AC71" i="326" a="1"/>
  <c r="AC71" i="326" s="1"/>
  <c r="Y31" i="326"/>
  <c r="Z31" i="326" s="1"/>
  <c r="AC79" i="326" a="1"/>
  <c r="AC79" i="326" s="1"/>
  <c r="Y101" i="326"/>
  <c r="Z101" i="326" s="1"/>
  <c r="AC111" i="326" a="1"/>
  <c r="AC111" i="326" s="1"/>
  <c r="AC31" i="326" a="1"/>
  <c r="AC31" i="326" s="1"/>
  <c r="Y24" i="326"/>
  <c r="Z24" i="326" s="1"/>
  <c r="AC67" i="326" a="1"/>
  <c r="AC67" i="326" s="1"/>
  <c r="Y111" i="326"/>
  <c r="Z111" i="326" s="1"/>
  <c r="AB89" i="326"/>
  <c r="Y81" i="326"/>
  <c r="Z81" i="326" s="1"/>
  <c r="Y53" i="326"/>
  <c r="Z53" i="326" s="1"/>
  <c r="Y49" i="326"/>
  <c r="Z49" i="326" s="1"/>
  <c r="AB81" i="326"/>
  <c r="AC53" i="326" a="1"/>
  <c r="AC53" i="326" s="1"/>
  <c r="AC49" i="326" a="1"/>
  <c r="AC49" i="326" s="1"/>
  <c r="AB49" i="326"/>
  <c r="AB53" i="326"/>
  <c r="AB59" i="326"/>
  <c r="AB93" i="326"/>
  <c r="AB61" i="326"/>
  <c r="AC59" i="326" a="1"/>
  <c r="AC59" i="326" s="1"/>
  <c r="Y97" i="326"/>
  <c r="Z97" i="326" s="1"/>
  <c r="AB73" i="326"/>
  <c r="AC89" i="326" a="1"/>
  <c r="AC89" i="326" s="1"/>
  <c r="AC61" i="326" a="1"/>
  <c r="AC61" i="326" s="1"/>
  <c r="Y29" i="326"/>
  <c r="Z29" i="326" s="1"/>
  <c r="AC93" i="326" a="1"/>
  <c r="AC93" i="326" s="1"/>
  <c r="AC73" i="326" a="1"/>
  <c r="AC73" i="326" s="1"/>
  <c r="Y93" i="326"/>
  <c r="Z93" i="326" s="1"/>
  <c r="AB29" i="326"/>
  <c r="AP114" i="326"/>
  <c r="AP120" i="326" s="1"/>
  <c r="AC29" i="326" a="1"/>
  <c r="AC29" i="326" s="1"/>
  <c r="Y73" i="326"/>
  <c r="Z73" i="326" s="1"/>
  <c r="AK114" i="326"/>
  <c r="AK119" i="326" s="1"/>
  <c r="F25" i="293"/>
  <c r="C42" i="417"/>
  <c r="AC107" i="326" a="1"/>
  <c r="AC107" i="326" s="1"/>
  <c r="P14" i="451"/>
  <c r="P30" i="451" s="1"/>
  <c r="O18" i="417"/>
  <c r="O19" i="417" s="1"/>
  <c r="K57" i="252"/>
  <c r="AC69" i="326" a="1"/>
  <c r="AC69" i="326" s="1"/>
  <c r="E29" i="252"/>
  <c r="H29" i="252" s="1"/>
  <c r="E102" i="252"/>
  <c r="H102" i="252" s="1"/>
  <c r="AB5" i="326"/>
  <c r="E84" i="252"/>
  <c r="H84" i="252" s="1"/>
  <c r="E28" i="252"/>
  <c r="H28" i="252" s="1"/>
  <c r="N68" i="386"/>
  <c r="Q8" i="389"/>
  <c r="Q23" i="389" s="1"/>
  <c r="C26" i="389" s="1"/>
  <c r="C27" i="389" s="1"/>
  <c r="AB107" i="326"/>
  <c r="Q49" i="408"/>
  <c r="C52" i="408" s="1"/>
  <c r="C53" i="408" s="1"/>
  <c r="AD95" i="326"/>
  <c r="E14" i="252"/>
  <c r="H14" i="252" s="1"/>
  <c r="K14" i="252" s="1"/>
  <c r="AB85" i="326"/>
  <c r="Q24" i="408"/>
  <c r="C27" i="408" s="1"/>
  <c r="C28" i="408" s="1"/>
  <c r="Q22" i="402"/>
  <c r="C25" i="402" s="1"/>
  <c r="AC85" i="326" a="1"/>
  <c r="AC85" i="326" s="1"/>
  <c r="Y85" i="326"/>
  <c r="Z85" i="326" s="1"/>
  <c r="Y107" i="326"/>
  <c r="Z107" i="326" s="1"/>
  <c r="AQ114" i="326"/>
  <c r="AQ120" i="326" s="1"/>
  <c r="AJ114" i="326"/>
  <c r="AJ120" i="326" s="1"/>
  <c r="P22" i="424"/>
  <c r="C24" i="424" s="1"/>
  <c r="K39" i="446"/>
  <c r="C42" i="446" s="1"/>
  <c r="C43" i="446" s="1"/>
  <c r="C21" i="367"/>
  <c r="O37" i="416"/>
  <c r="O38" i="416" s="1"/>
  <c r="BA114" i="326"/>
  <c r="Y69" i="326"/>
  <c r="Z69" i="326" s="1"/>
  <c r="Y33" i="326"/>
  <c r="Z33" i="326" s="1"/>
  <c r="AC97" i="326" a="1"/>
  <c r="AC97" i="326" s="1"/>
  <c r="BB114" i="326"/>
  <c r="BB120" i="326" s="1"/>
  <c r="AB33" i="326"/>
  <c r="AC33" i="326" a="1"/>
  <c r="AC33" i="326" s="1"/>
  <c r="AC5" i="326" a="1"/>
  <c r="AC5" i="326" s="1"/>
  <c r="C21" i="335"/>
  <c r="C23" i="335" s="1"/>
  <c r="C25" i="335" s="1"/>
  <c r="C27" i="335" s="1"/>
  <c r="C29" i="335" s="1"/>
  <c r="AB69" i="326"/>
  <c r="AW114" i="326"/>
  <c r="C25" i="330"/>
  <c r="C27" i="330" s="1"/>
  <c r="C29" i="330" s="1"/>
  <c r="C31" i="330" s="1"/>
  <c r="C33" i="330" s="1"/>
  <c r="C37" i="330" s="1"/>
  <c r="C39" i="330" s="1"/>
  <c r="Y5" i="326"/>
  <c r="Z5" i="326" s="1"/>
  <c r="AF114" i="326"/>
  <c r="AF119" i="326" s="1"/>
  <c r="BE114" i="326"/>
  <c r="BE120" i="326" s="1"/>
  <c r="Q23" i="436"/>
  <c r="C26" i="436" s="1"/>
  <c r="C27" i="436" s="1"/>
  <c r="AB63" i="326"/>
  <c r="AC105" i="326" a="1"/>
  <c r="AC105" i="326" s="1"/>
  <c r="Y93" i="296"/>
  <c r="Z93" i="296" s="1"/>
  <c r="Y98" i="296"/>
  <c r="Z98" i="296" s="1"/>
  <c r="K21" i="252"/>
  <c r="O19" i="367"/>
  <c r="O18" i="367"/>
  <c r="AV114" i="326"/>
  <c r="AV119" i="326" s="1"/>
  <c r="AB105" i="326"/>
  <c r="Y63" i="326"/>
  <c r="Z63" i="326" s="1"/>
  <c r="AU114" i="326"/>
  <c r="AU119" i="326" s="1"/>
  <c r="AY114" i="326"/>
  <c r="AY120" i="326" s="1"/>
  <c r="Y105" i="326"/>
  <c r="Z105" i="326" s="1"/>
  <c r="AR114" i="326"/>
  <c r="AR120" i="326" s="1"/>
  <c r="AG114" i="326"/>
  <c r="BD114" i="326"/>
  <c r="BD119" i="326" s="1"/>
  <c r="AM114" i="326"/>
  <c r="AM119" i="326" s="1"/>
  <c r="AC63" i="326" a="1"/>
  <c r="AC63" i="326" s="1"/>
  <c r="O23" i="368"/>
  <c r="C25" i="368" s="1"/>
  <c r="E12" i="252"/>
  <c r="H12" i="252" s="1"/>
  <c r="E73" i="252"/>
  <c r="H73" i="252" s="1"/>
  <c r="E58" i="252"/>
  <c r="H58" i="252" s="1"/>
  <c r="J52" i="252"/>
  <c r="H5" i="301"/>
  <c r="I5" i="301" s="1"/>
  <c r="F5" i="293"/>
  <c r="R52" i="351"/>
  <c r="E56" i="252"/>
  <c r="H56" i="252" s="1"/>
  <c r="E61" i="252"/>
  <c r="H61" i="252" s="1"/>
  <c r="AG23" i="413"/>
  <c r="C27" i="351"/>
  <c r="C63" i="351" s="1"/>
  <c r="AX114" i="326"/>
  <c r="AX119" i="326" s="1"/>
  <c r="C21" i="417"/>
  <c r="AH114" i="326"/>
  <c r="AH120" i="326" s="1"/>
  <c r="BJ114" i="326"/>
  <c r="BJ119" i="326" s="1"/>
  <c r="Q23" i="442"/>
  <c r="C26" i="442" s="1"/>
  <c r="C27" i="442" s="1"/>
  <c r="AS114" i="326"/>
  <c r="AS119" i="326" s="1"/>
  <c r="BK114" i="326"/>
  <c r="BK120" i="326" s="1"/>
  <c r="BC114" i="326"/>
  <c r="BC119" i="326" s="1"/>
  <c r="P103" i="451"/>
  <c r="AB103" i="326"/>
  <c r="BM114" i="326"/>
  <c r="BM120" i="326" s="1"/>
  <c r="Q23" i="388"/>
  <c r="C26" i="388" s="1"/>
  <c r="C27" i="388" s="1"/>
  <c r="Y41" i="296"/>
  <c r="Z41" i="296" s="1"/>
  <c r="BI114" i="326"/>
  <c r="BI120" i="326" s="1"/>
  <c r="P28" i="391"/>
  <c r="C30" i="391" s="1"/>
  <c r="P22" i="411"/>
  <c r="C24" i="411" s="1"/>
  <c r="Q60" i="351"/>
  <c r="P23" i="430"/>
  <c r="C25" i="430" s="1"/>
  <c r="P48" i="430"/>
  <c r="C50" i="430" s="1"/>
  <c r="Q24" i="395"/>
  <c r="C27" i="395" s="1"/>
  <c r="C28" i="395" s="1"/>
  <c r="P22" i="402"/>
  <c r="C24" i="402" s="1"/>
  <c r="P48" i="434"/>
  <c r="C50" i="434" s="1"/>
  <c r="K54" i="252"/>
  <c r="AZ114" i="326"/>
  <c r="AZ120" i="326" s="1"/>
  <c r="AI114" i="326"/>
  <c r="AI119" i="326" s="1"/>
  <c r="K38" i="252"/>
  <c r="C6" i="263"/>
  <c r="C7" i="263" s="1"/>
  <c r="Q22" i="411"/>
  <c r="C25" i="411" s="1"/>
  <c r="C26" i="411" s="1"/>
  <c r="P23" i="420"/>
  <c r="C25" i="420" s="1"/>
  <c r="P23" i="442"/>
  <c r="C25" i="442" s="1"/>
  <c r="E18" i="252"/>
  <c r="H18" i="252" s="1"/>
  <c r="P36" i="379"/>
  <c r="C38" i="379" s="1"/>
  <c r="P23" i="426"/>
  <c r="C25" i="426" s="1"/>
  <c r="AO114" i="326"/>
  <c r="AO120" i="326" s="1"/>
  <c r="BH114" i="326"/>
  <c r="BH119" i="326" s="1"/>
  <c r="Y63" i="296"/>
  <c r="Z63" i="296" s="1"/>
  <c r="Y89" i="296"/>
  <c r="Z89" i="296" s="1"/>
  <c r="Y65" i="296"/>
  <c r="Z65" i="296" s="1"/>
  <c r="Y104" i="296"/>
  <c r="Z104" i="296" s="1"/>
  <c r="Y95" i="296"/>
  <c r="Z95" i="296" s="1"/>
  <c r="Y75" i="296"/>
  <c r="Z75" i="296" s="1"/>
  <c r="Y114" i="296"/>
  <c r="Z114" i="296" s="1"/>
  <c r="Y67" i="296"/>
  <c r="Z67" i="296" s="1"/>
  <c r="Y91" i="296"/>
  <c r="Z91" i="296" s="1"/>
  <c r="Y71" i="296"/>
  <c r="Z71" i="296" s="1"/>
  <c r="Y81" i="296"/>
  <c r="Z81" i="296" s="1"/>
  <c r="Y48" i="296"/>
  <c r="Z48" i="296" s="1"/>
  <c r="Y28" i="296"/>
  <c r="Z28" i="296" s="1"/>
  <c r="Y52" i="296"/>
  <c r="Z52" i="296" s="1"/>
  <c r="Y73" i="296"/>
  <c r="Z73" i="296" s="1"/>
  <c r="Y102" i="296"/>
  <c r="Z102" i="296" s="1"/>
  <c r="Y45" i="296"/>
  <c r="Z45" i="296" s="1"/>
  <c r="Y85" i="296"/>
  <c r="Z85" i="296" s="1"/>
  <c r="BN114" i="326"/>
  <c r="BN119" i="326" s="1"/>
  <c r="AC57" i="326" a="1"/>
  <c r="AC57" i="326" s="1"/>
  <c r="AD91" i="326"/>
  <c r="Y100" i="296"/>
  <c r="Z100" i="296" s="1"/>
  <c r="Y5" i="296"/>
  <c r="Z5" i="296" s="1"/>
  <c r="Y83" i="296"/>
  <c r="Z83" i="296" s="1"/>
  <c r="J65" i="252"/>
  <c r="J58" i="252"/>
  <c r="Q23" i="430"/>
  <c r="C26" i="430" s="1"/>
  <c r="C27" i="430" s="1"/>
  <c r="P23" i="388"/>
  <c r="C25" i="388" s="1"/>
  <c r="P24" i="401"/>
  <c r="C26" i="401" s="1"/>
  <c r="P22" i="404"/>
  <c r="C24" i="404" s="1"/>
  <c r="Q48" i="434"/>
  <c r="C51" i="434" s="1"/>
  <c r="C52" i="434" s="1"/>
  <c r="Q50" i="401"/>
  <c r="C53" i="401" s="1"/>
  <c r="C54" i="401" s="1"/>
  <c r="Q21" i="384"/>
  <c r="C24" i="384" s="1"/>
  <c r="Q22" i="424"/>
  <c r="C25" i="424" s="1"/>
  <c r="C26" i="424" s="1"/>
  <c r="P23" i="438"/>
  <c r="C25" i="438" s="1"/>
  <c r="R23" i="444"/>
  <c r="C26" i="444" s="1"/>
  <c r="C27" i="444" s="1"/>
  <c r="Q23" i="434"/>
  <c r="C26" i="434" s="1"/>
  <c r="C27" i="434" s="1"/>
  <c r="Q24" i="401"/>
  <c r="C27" i="401" s="1"/>
  <c r="C28" i="401" s="1"/>
  <c r="Y110" i="296"/>
  <c r="Z110" i="296" s="1"/>
  <c r="BF114" i="326"/>
  <c r="BF119" i="326" s="1"/>
  <c r="Y57" i="326"/>
  <c r="Z57" i="326" s="1"/>
  <c r="BL114" i="326"/>
  <c r="BL120" i="326" s="1"/>
  <c r="Y106" i="296"/>
  <c r="Z106" i="296" s="1"/>
  <c r="J56" i="252"/>
  <c r="J40" i="252"/>
  <c r="K23" i="252"/>
  <c r="K19" i="292"/>
  <c r="AL114" i="326"/>
  <c r="AL120" i="326" s="1"/>
  <c r="AB57" i="326"/>
  <c r="Q58" i="406"/>
  <c r="C61" i="406" s="1"/>
  <c r="P120" i="296"/>
  <c r="P122" i="296" s="1"/>
  <c r="O50" i="368"/>
  <c r="C52" i="368" s="1"/>
  <c r="Q23" i="415"/>
  <c r="C26" i="415" s="1"/>
  <c r="C27" i="415" s="1"/>
  <c r="Q55" i="451"/>
  <c r="J12" i="252"/>
  <c r="Q51" i="451"/>
  <c r="Q49" i="399"/>
  <c r="C52" i="399" s="1"/>
  <c r="C53" i="399" s="1"/>
  <c r="P23" i="358"/>
  <c r="C26" i="358" s="1"/>
  <c r="C27" i="358" s="1"/>
  <c r="P23" i="415"/>
  <c r="C25" i="415" s="1"/>
  <c r="O27" i="373"/>
  <c r="C29" i="373" s="1"/>
  <c r="Q28" i="391"/>
  <c r="C31" i="391" s="1"/>
  <c r="C32" i="391" s="1"/>
  <c r="P24" i="395"/>
  <c r="C26" i="395" s="1"/>
  <c r="K11" i="252"/>
  <c r="Q23" i="409"/>
  <c r="C26" i="409" s="1"/>
  <c r="C27" i="409" s="1"/>
  <c r="J23" i="385"/>
  <c r="C25" i="385" s="1"/>
  <c r="P23" i="428"/>
  <c r="C25" i="428" s="1"/>
  <c r="Q23" i="413"/>
  <c r="C26" i="413" s="1"/>
  <c r="C27" i="413" s="1"/>
  <c r="AG23" i="393"/>
  <c r="P23" i="434"/>
  <c r="C25" i="434" s="1"/>
  <c r="AN114" i="326"/>
  <c r="AN120" i="326" s="1"/>
  <c r="J55" i="252"/>
  <c r="J51" i="252"/>
  <c r="J53" i="252"/>
  <c r="J42" i="252"/>
  <c r="P23" i="368"/>
  <c r="C26" i="368" s="1"/>
  <c r="O23" i="371"/>
  <c r="C25" i="371" s="1"/>
  <c r="P27" i="373"/>
  <c r="C30" i="373" s="1"/>
  <c r="C31" i="373" s="1"/>
  <c r="K18" i="446"/>
  <c r="C21" i="446" s="1"/>
  <c r="C22" i="446" s="1"/>
  <c r="P24" i="408"/>
  <c r="C26" i="408" s="1"/>
  <c r="P23" i="381"/>
  <c r="C25" i="381" s="1"/>
  <c r="J39" i="446"/>
  <c r="C41" i="446" s="1"/>
  <c r="Q23" i="438"/>
  <c r="C26" i="438" s="1"/>
  <c r="K66" i="252"/>
  <c r="K100" i="252"/>
  <c r="K50" i="252"/>
  <c r="Y77" i="296"/>
  <c r="Z77" i="296" s="1"/>
  <c r="BG114" i="326"/>
  <c r="BG120" i="326" s="1"/>
  <c r="K81" i="252"/>
  <c r="AC103" i="326" a="1"/>
  <c r="AC103" i="326" s="1"/>
  <c r="E82" i="252"/>
  <c r="H82" i="252" s="1"/>
  <c r="E94" i="252"/>
  <c r="H94" i="252" s="1"/>
  <c r="E103" i="252"/>
  <c r="H103" i="252" s="1"/>
  <c r="E48" i="252"/>
  <c r="H48" i="252" s="1"/>
  <c r="E52" i="252"/>
  <c r="H52" i="252" s="1"/>
  <c r="O34" i="366"/>
  <c r="O35" i="366" s="1"/>
  <c r="P50" i="358"/>
  <c r="C53" i="358" s="1"/>
  <c r="C54" i="358" s="1"/>
  <c r="P56" i="373"/>
  <c r="C59" i="373" s="1"/>
  <c r="C60" i="373" s="1"/>
  <c r="AC65" i="326" a="1"/>
  <c r="AC65" i="326" s="1"/>
  <c r="E105" i="252"/>
  <c r="H105" i="252" s="1"/>
  <c r="E49" i="252"/>
  <c r="H49" i="252" s="1"/>
  <c r="E27" i="252"/>
  <c r="H27" i="252" s="1"/>
  <c r="E63" i="252"/>
  <c r="H63" i="252" s="1"/>
  <c r="E89" i="252"/>
  <c r="H89" i="252" s="1"/>
  <c r="O18" i="356"/>
  <c r="C20" i="356" s="1"/>
  <c r="E42" i="252"/>
  <c r="H42" i="252" s="1"/>
  <c r="O56" i="373"/>
  <c r="C58" i="373" s="1"/>
  <c r="E67" i="252"/>
  <c r="H67" i="252" s="1"/>
  <c r="K78" i="252"/>
  <c r="E64" i="252"/>
  <c r="H64" i="252" s="1"/>
  <c r="E45" i="252"/>
  <c r="H45" i="252" s="1"/>
  <c r="E104" i="252"/>
  <c r="H104" i="252" s="1"/>
  <c r="E26" i="252"/>
  <c r="H26" i="252" s="1"/>
  <c r="P50" i="368"/>
  <c r="C53" i="368" s="1"/>
  <c r="C56" i="368" s="1"/>
  <c r="E47" i="252"/>
  <c r="H47" i="252" s="1"/>
  <c r="E62" i="252"/>
  <c r="H62" i="252" s="1"/>
  <c r="E88" i="252"/>
  <c r="H88" i="252" s="1"/>
  <c r="E59" i="252"/>
  <c r="H59" i="252" s="1"/>
  <c r="P23" i="371"/>
  <c r="C26" i="371" s="1"/>
  <c r="C27" i="371" s="1"/>
  <c r="O39" i="417"/>
  <c r="O40" i="417" s="1"/>
  <c r="AT114" i="326"/>
  <c r="AT119" i="326" s="1"/>
  <c r="E16" i="252"/>
  <c r="H16" i="252" s="1"/>
  <c r="E51" i="252"/>
  <c r="H51" i="252" s="1"/>
  <c r="E93" i="252"/>
  <c r="H93" i="252" s="1"/>
  <c r="E75" i="252"/>
  <c r="H75" i="252" s="1"/>
  <c r="E37" i="252"/>
  <c r="H37" i="252" s="1"/>
  <c r="E79" i="252"/>
  <c r="H79" i="252" s="1"/>
  <c r="Y103" i="326"/>
  <c r="Z103" i="326" s="1"/>
  <c r="Y69" i="296"/>
  <c r="Z69" i="296" s="1"/>
  <c r="E96" i="252"/>
  <c r="H96" i="252" s="1"/>
  <c r="Q23" i="399"/>
  <c r="C26" i="399" s="1"/>
  <c r="C27" i="399" s="1"/>
  <c r="K23" i="385"/>
  <c r="C26" i="385" s="1"/>
  <c r="C27" i="385" s="1"/>
  <c r="O23" i="358"/>
  <c r="C25" i="358" s="1"/>
  <c r="R51" i="451"/>
  <c r="E98" i="252"/>
  <c r="H98" i="252" s="1"/>
  <c r="E55" i="252"/>
  <c r="H55" i="252" s="1"/>
  <c r="E92" i="252"/>
  <c r="H92" i="252" s="1"/>
  <c r="E17" i="252"/>
  <c r="H17" i="252" s="1"/>
  <c r="E34" i="252"/>
  <c r="H34" i="252" s="1"/>
  <c r="E72" i="252"/>
  <c r="H72" i="252" s="1"/>
  <c r="P50" i="401"/>
  <c r="C52" i="401" s="1"/>
  <c r="P23" i="409"/>
  <c r="C25" i="409" s="1"/>
  <c r="AI23" i="444"/>
  <c r="P49" i="399"/>
  <c r="C51" i="399" s="1"/>
  <c r="Q23" i="444"/>
  <c r="C25" i="444" s="1"/>
  <c r="Q25" i="432"/>
  <c r="C28" i="432" s="1"/>
  <c r="C29" i="432" s="1"/>
  <c r="P58" i="406"/>
  <c r="C60" i="406" s="1"/>
  <c r="C62" i="406" s="1"/>
  <c r="P47" i="438"/>
  <c r="C49" i="438" s="1"/>
  <c r="E74" i="252"/>
  <c r="H74" i="252" s="1"/>
  <c r="E43" i="252"/>
  <c r="H43" i="252" s="1"/>
  <c r="K71" i="252"/>
  <c r="I7" i="263"/>
  <c r="E60" i="252"/>
  <c r="H60" i="252" s="1"/>
  <c r="Y79" i="296"/>
  <c r="Z79" i="296" s="1"/>
  <c r="Y33" i="296"/>
  <c r="Z33" i="296" s="1"/>
  <c r="P55" i="375"/>
  <c r="C59" i="375" s="1"/>
  <c r="P24" i="418"/>
  <c r="C26" i="418" s="1"/>
  <c r="Q23" i="381"/>
  <c r="C26" i="381" s="1"/>
  <c r="C27" i="381" s="1"/>
  <c r="Q22" i="404"/>
  <c r="C25" i="404" s="1"/>
  <c r="P23" i="399"/>
  <c r="C25" i="399" s="1"/>
  <c r="P23" i="440"/>
  <c r="C25" i="440" s="1"/>
  <c r="Q46" i="411"/>
  <c r="C49" i="411" s="1"/>
  <c r="P49" i="408"/>
  <c r="C51" i="408" s="1"/>
  <c r="Q74" i="399"/>
  <c r="C77" i="399" s="1"/>
  <c r="C78" i="399" s="1"/>
  <c r="P23" i="389"/>
  <c r="C25" i="389" s="1"/>
  <c r="P22" i="383"/>
  <c r="C24" i="383" s="1"/>
  <c r="J18" i="446"/>
  <c r="C20" i="446" s="1"/>
  <c r="Q23" i="426"/>
  <c r="C26" i="426" s="1"/>
  <c r="C27" i="426" s="1"/>
  <c r="Q47" i="438"/>
  <c r="C50" i="438" s="1"/>
  <c r="Q48" i="430"/>
  <c r="C51" i="430" s="1"/>
  <c r="C52" i="430" s="1"/>
  <c r="P21" i="384"/>
  <c r="C23" i="384" s="1"/>
  <c r="Q23" i="420"/>
  <c r="C26" i="420" s="1"/>
  <c r="C27" i="420" s="1"/>
  <c r="F25" i="301"/>
  <c r="R59" i="451"/>
  <c r="Y65" i="326"/>
  <c r="Z65" i="326" s="1"/>
  <c r="E65" i="252"/>
  <c r="H65" i="252" s="1"/>
  <c r="E53" i="252"/>
  <c r="H53" i="252" s="1"/>
  <c r="E40" i="252"/>
  <c r="H40" i="252" s="1"/>
  <c r="E41" i="252"/>
  <c r="H41" i="252" s="1"/>
  <c r="O55" i="375"/>
  <c r="C57" i="375" s="1"/>
  <c r="Q48" i="389"/>
  <c r="C51" i="389" s="1"/>
  <c r="C52" i="389" s="1"/>
  <c r="P74" i="399"/>
  <c r="C76" i="399" s="1"/>
  <c r="Q22" i="383"/>
  <c r="C25" i="383" s="1"/>
  <c r="C26" i="383" s="1"/>
  <c r="Q48" i="415"/>
  <c r="C51" i="415" s="1"/>
  <c r="C52" i="415" s="1"/>
  <c r="C32" i="350" s="1"/>
  <c r="K90" i="474" s="1"/>
  <c r="O90" i="474" s="1"/>
  <c r="E35" i="252"/>
  <c r="H35" i="252" s="1"/>
  <c r="P23" i="393"/>
  <c r="C25" i="393" s="1"/>
  <c r="P25" i="432"/>
  <c r="C27" i="432" s="1"/>
  <c r="P23" i="413"/>
  <c r="C25" i="413" s="1"/>
  <c r="P48" i="415"/>
  <c r="C50" i="415" s="1"/>
  <c r="Q36" i="379"/>
  <c r="C39" i="379" s="1"/>
  <c r="C40" i="379" s="1"/>
  <c r="Q26" i="406"/>
  <c r="C29" i="406" s="1"/>
  <c r="Q23" i="428"/>
  <c r="C26" i="428" s="1"/>
  <c r="C27" i="428" s="1"/>
  <c r="K69" i="252"/>
  <c r="E39" i="252"/>
  <c r="H39" i="252" s="1"/>
  <c r="Q64" i="415"/>
  <c r="P23" i="436"/>
  <c r="C25" i="436" s="1"/>
  <c r="Q24" i="418"/>
  <c r="C27" i="418" s="1"/>
  <c r="C28" i="418" s="1"/>
  <c r="P26" i="406"/>
  <c r="C28" i="406" s="1"/>
  <c r="C30" i="406" s="1"/>
  <c r="P51" i="432"/>
  <c r="C53" i="432" s="1"/>
  <c r="H25" i="293"/>
  <c r="K24" i="252"/>
  <c r="Q23" i="440"/>
  <c r="C26" i="440" s="1"/>
  <c r="C27" i="440" s="1"/>
  <c r="P48" i="389"/>
  <c r="C50" i="389" s="1"/>
  <c r="K13" i="252"/>
  <c r="O75" i="451"/>
  <c r="K80" i="252"/>
  <c r="P23" i="363"/>
  <c r="K32" i="252"/>
  <c r="P117" i="326"/>
  <c r="P119" i="326" s="1"/>
  <c r="O23" i="363"/>
  <c r="O30" i="451"/>
  <c r="K22" i="252"/>
  <c r="Q51" i="432"/>
  <c r="C54" i="432" s="1"/>
  <c r="C55" i="432" s="1"/>
  <c r="F27" i="350"/>
  <c r="E115" i="474" s="1"/>
  <c r="I115" i="474" s="1"/>
  <c r="Q23" i="393"/>
  <c r="C26" i="393" s="1"/>
  <c r="C27" i="393" s="1"/>
  <c r="Y35" i="296"/>
  <c r="Z35" i="296" s="1"/>
  <c r="P23" i="361"/>
  <c r="G68" i="422"/>
  <c r="Y87" i="296"/>
  <c r="Z87" i="296" s="1"/>
  <c r="O50" i="358"/>
  <c r="C52" i="358" s="1"/>
  <c r="P18" i="356"/>
  <c r="C22" i="356" s="1"/>
  <c r="C24" i="356" s="1"/>
  <c r="BL117" i="296"/>
  <c r="BL122" i="296" s="1"/>
  <c r="K90" i="252"/>
  <c r="O23" i="361"/>
  <c r="AO117" i="296"/>
  <c r="AO122" i="296" s="1"/>
  <c r="R55" i="451"/>
  <c r="BH117" i="296"/>
  <c r="BH122" i="296" s="1"/>
  <c r="K20" i="252"/>
  <c r="E95" i="252"/>
  <c r="H95" i="252" s="1"/>
  <c r="E99" i="252"/>
  <c r="H99" i="252" s="1"/>
  <c r="E77" i="252"/>
  <c r="H77" i="252" s="1"/>
  <c r="E76" i="252"/>
  <c r="H76" i="252" s="1"/>
  <c r="E46" i="252"/>
  <c r="H46" i="252" s="1"/>
  <c r="E97" i="252"/>
  <c r="H97" i="252" s="1"/>
  <c r="E31" i="252"/>
  <c r="H31" i="252" s="1"/>
  <c r="E30" i="252"/>
  <c r="H30" i="252" s="1"/>
  <c r="E68" i="252"/>
  <c r="H68" i="252" s="1"/>
  <c r="E19" i="252"/>
  <c r="H19" i="252" s="1"/>
  <c r="E15" i="252"/>
  <c r="H15" i="252" s="1"/>
  <c r="E44" i="252"/>
  <c r="H44" i="252" s="1"/>
  <c r="K36" i="252"/>
  <c r="K24" i="292"/>
  <c r="P46" i="411"/>
  <c r="C48" i="411" s="1"/>
  <c r="Y30" i="296"/>
  <c r="Z30" i="296" s="1"/>
  <c r="O23" i="365"/>
  <c r="C25" i="365" s="1"/>
  <c r="C22" i="450"/>
  <c r="K31" i="292"/>
  <c r="P23" i="365"/>
  <c r="C26" i="365" s="1"/>
  <c r="C27" i="365" s="1"/>
  <c r="J43" i="252"/>
  <c r="J89" i="252"/>
  <c r="J25" i="252"/>
  <c r="K25" i="252" s="1"/>
  <c r="BI117" i="296"/>
  <c r="BI123" i="296" s="1"/>
  <c r="AT117" i="296"/>
  <c r="AT122" i="296" s="1"/>
  <c r="Q52" i="351"/>
  <c r="C3" i="351"/>
  <c r="BK117" i="296"/>
  <c r="BK123" i="296" s="1"/>
  <c r="C8" i="264"/>
  <c r="Q17" i="379"/>
  <c r="C20" i="379" s="1"/>
  <c r="C21" i="379" s="1"/>
  <c r="K85" i="252"/>
  <c r="K106" i="252"/>
  <c r="P106" i="451"/>
  <c r="H23" i="294"/>
  <c r="G42" i="294"/>
  <c r="BD117" i="296"/>
  <c r="BD122" i="296" s="1"/>
  <c r="G27" i="21"/>
  <c r="G28" i="21" s="1"/>
  <c r="BJ117" i="296"/>
  <c r="BJ122" i="296" s="1"/>
  <c r="AL117" i="296"/>
  <c r="AL123" i="296" s="1"/>
  <c r="Y25" i="296"/>
  <c r="Z25" i="296" s="1"/>
  <c r="BE117" i="296"/>
  <c r="BE123" i="296" s="1"/>
  <c r="AS117" i="296"/>
  <c r="AS123" i="296" s="1"/>
  <c r="AI117" i="296"/>
  <c r="AI122" i="296" s="1"/>
  <c r="U120" i="326"/>
  <c r="V117" i="296"/>
  <c r="AF117" i="296"/>
  <c r="AF123" i="296" s="1"/>
  <c r="AU117" i="296"/>
  <c r="AU123" i="296" s="1"/>
  <c r="AK117" i="296"/>
  <c r="AK122" i="296" s="1"/>
  <c r="BA117" i="296"/>
  <c r="BA122" i="296" s="1"/>
  <c r="AG117" i="296"/>
  <c r="AG123" i="296" s="1"/>
  <c r="AV117" i="296"/>
  <c r="AV123" i="296" s="1"/>
  <c r="AJ117" i="296"/>
  <c r="AJ123" i="296" s="1"/>
  <c r="AH117" i="296"/>
  <c r="AH123" i="296" s="1"/>
  <c r="K94" i="351"/>
  <c r="O94" i="351" s="1"/>
  <c r="K83" i="451"/>
  <c r="O83" i="451" s="1"/>
  <c r="K95" i="351"/>
  <c r="O95" i="351" s="1"/>
  <c r="K72" i="351"/>
  <c r="O72" i="351" s="1"/>
  <c r="O70" i="351" s="1"/>
  <c r="AD81" i="326"/>
  <c r="BG117" i="296"/>
  <c r="BG123" i="296" s="1"/>
  <c r="Y50" i="296"/>
  <c r="Z50" i="296" s="1"/>
  <c r="BC117" i="296"/>
  <c r="BC122" i="296" s="1"/>
  <c r="AQ117" i="296"/>
  <c r="AQ122" i="296" s="1"/>
  <c r="U119" i="326"/>
  <c r="AZ117" i="296"/>
  <c r="AD71" i="326"/>
  <c r="V122" i="296"/>
  <c r="AX117" i="296"/>
  <c r="AX122" i="296" s="1"/>
  <c r="O86" i="351"/>
  <c r="P14" i="351"/>
  <c r="O87" i="351"/>
  <c r="Q56" i="351"/>
  <c r="R49" i="351"/>
  <c r="Q49" i="351"/>
  <c r="V123" i="296"/>
  <c r="K91" i="252"/>
  <c r="K33" i="252"/>
  <c r="AW117" i="296"/>
  <c r="AW123" i="296" s="1"/>
  <c r="Y112" i="296"/>
  <c r="Z112" i="296" s="1"/>
  <c r="BB117" i="296"/>
  <c r="Y59" i="296"/>
  <c r="Z59" i="296" s="1"/>
  <c r="BM117" i="296"/>
  <c r="AY117" i="296"/>
  <c r="Y108" i="296"/>
  <c r="Z108" i="296" s="1"/>
  <c r="K101" i="252"/>
  <c r="AR117" i="296"/>
  <c r="AP117" i="296"/>
  <c r="K87" i="252"/>
  <c r="BF117" i="296"/>
  <c r="AM117" i="296"/>
  <c r="Q48" i="451"/>
  <c r="Y43" i="296"/>
  <c r="Z43" i="296" s="1"/>
  <c r="K86" i="252"/>
  <c r="P121" i="351"/>
  <c r="V118" i="330"/>
  <c r="I107" i="252"/>
  <c r="AN117" i="296"/>
  <c r="K70" i="252"/>
  <c r="D27" i="301"/>
  <c r="C43" i="450"/>
  <c r="O39" i="450"/>
  <c r="O40" i="450" s="1"/>
  <c r="J98" i="252"/>
  <c r="J27" i="252"/>
  <c r="J103" i="252"/>
  <c r="J61" i="252"/>
  <c r="J60" i="252"/>
  <c r="J88" i="252"/>
  <c r="J99" i="252"/>
  <c r="J39" i="252"/>
  <c r="J48" i="252"/>
  <c r="K48" i="252" s="1"/>
  <c r="J37" i="252"/>
  <c r="K37" i="252" s="1"/>
  <c r="J95" i="252"/>
  <c r="J18" i="252"/>
  <c r="J74" i="252"/>
  <c r="J67" i="252"/>
  <c r="J63" i="252"/>
  <c r="J15" i="252"/>
  <c r="J62" i="252"/>
  <c r="K62" i="252" s="1"/>
  <c r="J49" i="252"/>
  <c r="J59" i="252"/>
  <c r="J68" i="252"/>
  <c r="J26" i="252"/>
  <c r="K26" i="252" s="1"/>
  <c r="J92" i="252"/>
  <c r="K92" i="252" s="1"/>
  <c r="J73" i="252"/>
  <c r="K73" i="252" s="1"/>
  <c r="J28" i="252"/>
  <c r="J77" i="252"/>
  <c r="J105" i="252"/>
  <c r="J31" i="252"/>
  <c r="J30" i="252"/>
  <c r="J75" i="252"/>
  <c r="J41" i="252"/>
  <c r="J93" i="252"/>
  <c r="J16" i="252"/>
  <c r="K16" i="252" s="1"/>
  <c r="J76" i="252"/>
  <c r="J64" i="252"/>
  <c r="J29" i="252"/>
  <c r="J45" i="252"/>
  <c r="J102" i="252"/>
  <c r="J83" i="252"/>
  <c r="K83" i="252" s="1"/>
  <c r="J17" i="252"/>
  <c r="J104" i="252"/>
  <c r="J34" i="252"/>
  <c r="J19" i="252"/>
  <c r="J96" i="252"/>
  <c r="J82" i="252"/>
  <c r="J44" i="252"/>
  <c r="J97" i="252"/>
  <c r="J84" i="252"/>
  <c r="K84" i="252" s="1"/>
  <c r="J46" i="252"/>
  <c r="J79" i="252"/>
  <c r="J72" i="252"/>
  <c r="J35" i="252"/>
  <c r="J47" i="252"/>
  <c r="J94" i="252"/>
  <c r="E1" i="350"/>
  <c r="F1" i="350"/>
  <c r="P17" i="379"/>
  <c r="C19" i="379" s="1"/>
  <c r="R48" i="451"/>
  <c r="K115" i="472"/>
  <c r="O115" i="472" s="1"/>
  <c r="R56" i="351"/>
  <c r="P118" i="351"/>
  <c r="R60" i="351"/>
  <c r="C35" i="351"/>
  <c r="P10" i="351"/>
  <c r="C28" i="365" l="1"/>
  <c r="C29" i="365" s="1"/>
  <c r="C29" i="363"/>
  <c r="C25" i="363"/>
  <c r="C27" i="361"/>
  <c r="C25" i="361"/>
  <c r="C29" i="361"/>
  <c r="AG24" i="358"/>
  <c r="C28" i="358" s="1"/>
  <c r="C29" i="358" s="1"/>
  <c r="K97" i="252"/>
  <c r="I113" i="474"/>
  <c r="P115" i="474"/>
  <c r="AD79" i="326"/>
  <c r="AD67" i="326"/>
  <c r="K47" i="252"/>
  <c r="BA120" i="326"/>
  <c r="BA119" i="326"/>
  <c r="AW119" i="326"/>
  <c r="AW120" i="326"/>
  <c r="AG119" i="326"/>
  <c r="AG120" i="326"/>
  <c r="C1" i="350"/>
  <c r="D1" i="350"/>
  <c r="D27" i="350"/>
  <c r="K63" i="252"/>
  <c r="E26" i="350"/>
  <c r="E31" i="350"/>
  <c r="K96" i="474" s="1"/>
  <c r="O96" i="474" s="1"/>
  <c r="D31" i="350"/>
  <c r="F31" i="350"/>
  <c r="K114" i="474" s="1"/>
  <c r="O114" i="474" s="1"/>
  <c r="O113" i="474" s="1"/>
  <c r="E32" i="350"/>
  <c r="K98" i="474" s="1"/>
  <c r="O98" i="474" s="1"/>
  <c r="C63" i="406"/>
  <c r="AD45" i="326"/>
  <c r="D29" i="293"/>
  <c r="C11" i="301" a="1"/>
  <c r="C11" i="301" s="1"/>
  <c r="F11" i="301" s="1"/>
  <c r="D24" i="301"/>
  <c r="C24" i="293"/>
  <c r="C4" i="301"/>
  <c r="F4" i="301" s="1"/>
  <c r="C8" i="301" a="1"/>
  <c r="C8" i="301" s="1"/>
  <c r="F8" i="301" s="1"/>
  <c r="AD87" i="326"/>
  <c r="AD31" i="326"/>
  <c r="AD65" i="326"/>
  <c r="K76" i="252"/>
  <c r="AD101" i="326"/>
  <c r="AD77" i="326"/>
  <c r="K77" i="252"/>
  <c r="K39" i="252"/>
  <c r="O39" i="472"/>
  <c r="P39" i="472" s="1"/>
  <c r="K91" i="472"/>
  <c r="O91" i="472" s="1"/>
  <c r="I44" i="472"/>
  <c r="K46" i="351"/>
  <c r="O46" i="351" s="1"/>
  <c r="P46" i="351" s="1"/>
  <c r="O47" i="472"/>
  <c r="P47" i="472" s="1"/>
  <c r="K68" i="451"/>
  <c r="O68" i="451" s="1"/>
  <c r="O70" i="472"/>
  <c r="K75" i="252"/>
  <c r="K60" i="252"/>
  <c r="I66" i="472"/>
  <c r="K31" i="252"/>
  <c r="E65" i="351"/>
  <c r="I65" i="351" s="1"/>
  <c r="K72" i="252"/>
  <c r="K98" i="252"/>
  <c r="AD83" i="326"/>
  <c r="K93" i="252"/>
  <c r="AD35" i="326"/>
  <c r="K103" i="252"/>
  <c r="K46" i="252"/>
  <c r="AD111" i="326"/>
  <c r="K67" i="252"/>
  <c r="K79" i="252"/>
  <c r="AD53" i="326"/>
  <c r="AD99" i="326"/>
  <c r="AD97" i="326"/>
  <c r="AD73" i="326"/>
  <c r="C12" i="293" a="1"/>
  <c r="C12" i="293" s="1"/>
  <c r="F12" i="293" s="1"/>
  <c r="K29" i="252"/>
  <c r="K34" i="252"/>
  <c r="D29" i="301"/>
  <c r="D30" i="301"/>
  <c r="AD61" i="326"/>
  <c r="K45" i="252"/>
  <c r="C13" i="301" a="1"/>
  <c r="C13" i="301" s="1"/>
  <c r="F13" i="301" s="1"/>
  <c r="C19" i="293" a="1"/>
  <c r="C19" i="293" s="1"/>
  <c r="H19" i="293" s="1"/>
  <c r="C28" i="301"/>
  <c r="AD29" i="326"/>
  <c r="C12" i="301" a="1"/>
  <c r="C12" i="301" s="1"/>
  <c r="H12" i="301" s="1"/>
  <c r="I12" i="301" s="1"/>
  <c r="C14" i="301" a="1"/>
  <c r="C14" i="301" s="1"/>
  <c r="H14" i="301" s="1"/>
  <c r="AK120" i="326"/>
  <c r="K44" i="252"/>
  <c r="AL119" i="326"/>
  <c r="K82" i="252"/>
  <c r="K68" i="252"/>
  <c r="D30" i="293"/>
  <c r="K96" i="252"/>
  <c r="K59" i="252"/>
  <c r="K99" i="252"/>
  <c r="C16" i="293" a="1"/>
  <c r="C16" i="293" s="1"/>
  <c r="H16" i="293" s="1"/>
  <c r="K64" i="252"/>
  <c r="BM119" i="326"/>
  <c r="K49" i="252"/>
  <c r="K88" i="252"/>
  <c r="D28" i="301"/>
  <c r="C28" i="293"/>
  <c r="K102" i="252"/>
  <c r="K74" i="252"/>
  <c r="D28" i="293"/>
  <c r="C19" i="301" a="1"/>
  <c r="C19" i="301" s="1"/>
  <c r="H19" i="301" s="1"/>
  <c r="C4" i="293"/>
  <c r="C24" i="301"/>
  <c r="H24" i="301" s="1"/>
  <c r="C27" i="301" a="1"/>
  <c r="C27" i="301" s="1"/>
  <c r="F27" i="301" s="1"/>
  <c r="C30" i="301" a="1"/>
  <c r="C30" i="301" s="1"/>
  <c r="D27" i="293"/>
  <c r="C6" i="301" a="1"/>
  <c r="C6" i="301" s="1"/>
  <c r="H6" i="301" s="1"/>
  <c r="C29" i="301" a="1"/>
  <c r="C29" i="301" s="1"/>
  <c r="H29" i="301" s="1"/>
  <c r="D24" i="293"/>
  <c r="C11" i="293" a="1"/>
  <c r="C11" i="293" s="1"/>
  <c r="H11" i="293" s="1"/>
  <c r="C27" i="293" a="1"/>
  <c r="C27" i="293" s="1"/>
  <c r="F27" i="293" s="1"/>
  <c r="K61" i="252"/>
  <c r="K27" i="252"/>
  <c r="K28" i="252"/>
  <c r="K18" i="252"/>
  <c r="AD49" i="326"/>
  <c r="AD89" i="326"/>
  <c r="K105" i="252"/>
  <c r="C29" i="293" a="1"/>
  <c r="C29" i="293" s="1"/>
  <c r="F29" i="293" s="1"/>
  <c r="AD59" i="326"/>
  <c r="AD93" i="326"/>
  <c r="K41" i="252"/>
  <c r="K94" i="252"/>
  <c r="K104" i="252"/>
  <c r="AP119" i="326"/>
  <c r="K17" i="252"/>
  <c r="AR119" i="326"/>
  <c r="K30" i="252"/>
  <c r="K58" i="252"/>
  <c r="K95" i="252"/>
  <c r="K19" i="252"/>
  <c r="K35" i="252"/>
  <c r="AT123" i="296"/>
  <c r="C14" i="293" a="1"/>
  <c r="C14" i="293" s="1"/>
  <c r="H14" i="293" s="1"/>
  <c r="C17" i="301" a="1"/>
  <c r="C17" i="301" s="1"/>
  <c r="H17" i="301" s="1"/>
  <c r="C17" i="293" a="1"/>
  <c r="C17" i="293" s="1"/>
  <c r="H17" i="293" s="1"/>
  <c r="C16" i="301" a="1"/>
  <c r="C16" i="301" s="1"/>
  <c r="F16" i="301" s="1"/>
  <c r="C30" i="293" a="1"/>
  <c r="C30" i="293" s="1"/>
  <c r="H30" i="293" s="1"/>
  <c r="C13" i="293" a="1"/>
  <c r="C13" i="293" s="1"/>
  <c r="H13" i="293" s="1"/>
  <c r="I13" i="293" s="1"/>
  <c r="AD107" i="326"/>
  <c r="AD85" i="326"/>
  <c r="C9" i="293" a="1"/>
  <c r="C9" i="293" s="1"/>
  <c r="H9" i="293" s="1"/>
  <c r="C8" i="293" a="1"/>
  <c r="C8" i="293" s="1"/>
  <c r="H8" i="293" s="1"/>
  <c r="C6" i="293" a="1"/>
  <c r="C6" i="293" s="1"/>
  <c r="F6" i="293" s="1"/>
  <c r="C9" i="301" a="1"/>
  <c r="C9" i="301" s="1"/>
  <c r="F9" i="301" s="1"/>
  <c r="AD69" i="326"/>
  <c r="AI120" i="326"/>
  <c r="K12" i="252"/>
  <c r="K52" i="252"/>
  <c r="BB119" i="326"/>
  <c r="K56" i="252"/>
  <c r="K89" i="252"/>
  <c r="AD5" i="326"/>
  <c r="AD105" i="326"/>
  <c r="K42" i="252"/>
  <c r="AD33" i="326"/>
  <c r="AJ119" i="326"/>
  <c r="AQ119" i="326"/>
  <c r="AD63" i="326"/>
  <c r="AY119" i="326"/>
  <c r="BK119" i="326"/>
  <c r="BI119" i="326"/>
  <c r="BE119" i="326"/>
  <c r="BD120" i="326"/>
  <c r="C31" i="335"/>
  <c r="AZ119" i="326"/>
  <c r="AS120" i="326"/>
  <c r="C41" i="330"/>
  <c r="C43" i="330" s="1"/>
  <c r="C46" i="330" s="1"/>
  <c r="BF120" i="326"/>
  <c r="AV120" i="326"/>
  <c r="AF120" i="326"/>
  <c r="AM120" i="326"/>
  <c r="AT120" i="326"/>
  <c r="BG119" i="326"/>
  <c r="E114" i="472"/>
  <c r="I114" i="472" s="1"/>
  <c r="K40" i="252"/>
  <c r="K53" i="252"/>
  <c r="K51" i="252"/>
  <c r="AH119" i="326"/>
  <c r="AU120" i="326"/>
  <c r="AO119" i="326"/>
  <c r="BJ120" i="326"/>
  <c r="BC120" i="326"/>
  <c r="K55" i="252"/>
  <c r="AD103" i="326"/>
  <c r="BH120" i="326"/>
  <c r="AX120" i="326"/>
  <c r="K65" i="252"/>
  <c r="C31" i="406"/>
  <c r="AK123" i="296"/>
  <c r="C8" i="263"/>
  <c r="K43" i="252"/>
  <c r="K15" i="252"/>
  <c r="AO123" i="296"/>
  <c r="BN120" i="326"/>
  <c r="AD57" i="326"/>
  <c r="BA123" i="296"/>
  <c r="AL122" i="296"/>
  <c r="BH123" i="296"/>
  <c r="AN119" i="326"/>
  <c r="BJ123" i="296"/>
  <c r="BI122" i="296"/>
  <c r="AF122" i="296"/>
  <c r="BL123" i="296"/>
  <c r="BL119" i="326"/>
  <c r="K90" i="472"/>
  <c r="O90" i="472" s="1"/>
  <c r="AH122" i="296"/>
  <c r="AI123" i="296"/>
  <c r="H107" i="252"/>
  <c r="K38" i="351"/>
  <c r="O38" i="351" s="1"/>
  <c r="P38" i="351" s="1"/>
  <c r="BE122" i="296"/>
  <c r="E84" i="451"/>
  <c r="I84" i="451" s="1"/>
  <c r="P84" i="451" s="1"/>
  <c r="BK122" i="296"/>
  <c r="J107" i="252"/>
  <c r="BD123" i="296"/>
  <c r="G67" i="21"/>
  <c r="I10" i="264"/>
  <c r="J8" i="264"/>
  <c r="AU122" i="296"/>
  <c r="AS122" i="296"/>
  <c r="BC123" i="296"/>
  <c r="AV122" i="296"/>
  <c r="AQ123" i="296"/>
  <c r="AG122" i="296"/>
  <c r="AJ122" i="296"/>
  <c r="BG122" i="296"/>
  <c r="AW122" i="296"/>
  <c r="AX123" i="296"/>
  <c r="AZ122" i="296"/>
  <c r="AZ123" i="296"/>
  <c r="AN123" i="296"/>
  <c r="AN122" i="296"/>
  <c r="AM122" i="296"/>
  <c r="AM123" i="296"/>
  <c r="BF122" i="296"/>
  <c r="BF123" i="296"/>
  <c r="AP122" i="296"/>
  <c r="AP123" i="296"/>
  <c r="AR123" i="296"/>
  <c r="AR122" i="296"/>
  <c r="AY122" i="296"/>
  <c r="AY123" i="296"/>
  <c r="BM122" i="296"/>
  <c r="BM123" i="296"/>
  <c r="BB122" i="296"/>
  <c r="BB123" i="296"/>
  <c r="K69" i="351"/>
  <c r="O69" i="351" s="1"/>
  <c r="C10" i="351"/>
  <c r="P30" i="351"/>
  <c r="H24" i="293" l="1"/>
  <c r="K109" i="472"/>
  <c r="O109" i="472" s="1"/>
  <c r="K109" i="474"/>
  <c r="O109" i="474" s="1"/>
  <c r="P113" i="474"/>
  <c r="R113" i="474" s="1"/>
  <c r="P114" i="474"/>
  <c r="E43" i="351"/>
  <c r="I43" i="351" s="1"/>
  <c r="E96" i="474"/>
  <c r="I96" i="474" s="1"/>
  <c r="P96" i="474" s="1"/>
  <c r="E111" i="472"/>
  <c r="I111" i="472" s="1"/>
  <c r="E64" i="451"/>
  <c r="I64" i="451" s="1"/>
  <c r="E111" i="474"/>
  <c r="I111" i="474" s="1"/>
  <c r="C27" i="350"/>
  <c r="D26" i="350"/>
  <c r="E109" i="474" s="1"/>
  <c r="I109" i="474" s="1"/>
  <c r="F4" i="293"/>
  <c r="H4" i="293"/>
  <c r="E43" i="451"/>
  <c r="I43" i="451" s="1"/>
  <c r="E96" i="472"/>
  <c r="I96" i="472" s="1"/>
  <c r="E27" i="350"/>
  <c r="D32" i="350"/>
  <c r="K111" i="474" s="1"/>
  <c r="O111" i="474" s="1"/>
  <c r="H4" i="301"/>
  <c r="I4" i="301" s="1"/>
  <c r="H11" i="301"/>
  <c r="H8" i="301"/>
  <c r="F28" i="293"/>
  <c r="F28" i="301"/>
  <c r="M283" i="257"/>
  <c r="P91" i="472"/>
  <c r="O64" i="472"/>
  <c r="O44" i="472"/>
  <c r="P44" i="472" s="1"/>
  <c r="K96" i="472"/>
  <c r="O96" i="472" s="1"/>
  <c r="I70" i="472"/>
  <c r="P70" i="472" s="1"/>
  <c r="E115" i="472"/>
  <c r="I115" i="472" s="1"/>
  <c r="P115" i="472" s="1"/>
  <c r="O46" i="472"/>
  <c r="K98" i="472"/>
  <c r="O98" i="472" s="1"/>
  <c r="O69" i="472"/>
  <c r="O68" i="472" s="1"/>
  <c r="K114" i="472"/>
  <c r="O114" i="472" s="1"/>
  <c r="O113" i="472" s="1"/>
  <c r="K37" i="451"/>
  <c r="O37" i="451" s="1"/>
  <c r="O38" i="472"/>
  <c r="O103" i="351"/>
  <c r="O137" i="472"/>
  <c r="E68" i="351"/>
  <c r="I68" i="351" s="1"/>
  <c r="I69" i="472"/>
  <c r="K43" i="451"/>
  <c r="O43" i="451" s="1"/>
  <c r="K67" i="451"/>
  <c r="O67" i="451" s="1"/>
  <c r="O66" i="451" s="1"/>
  <c r="H12" i="293"/>
  <c r="I12" i="293" s="1"/>
  <c r="F24" i="301"/>
  <c r="E67" i="451"/>
  <c r="I67" i="451" s="1"/>
  <c r="F12" i="301"/>
  <c r="H30" i="301"/>
  <c r="I29" i="301" s="1"/>
  <c r="F29" i="301"/>
  <c r="H13" i="301"/>
  <c r="I13" i="301" s="1"/>
  <c r="F19" i="301"/>
  <c r="H28" i="293"/>
  <c r="I28" i="293" s="1"/>
  <c r="F19" i="293"/>
  <c r="F14" i="301"/>
  <c r="H28" i="301"/>
  <c r="I28" i="301" s="1"/>
  <c r="F24" i="293"/>
  <c r="F16" i="293"/>
  <c r="F30" i="301"/>
  <c r="F11" i="293"/>
  <c r="H27" i="301"/>
  <c r="I25" i="301" s="1"/>
  <c r="H27" i="293"/>
  <c r="I25" i="293" s="1"/>
  <c r="F6" i="301"/>
  <c r="H29" i="293"/>
  <c r="I29" i="293" s="1"/>
  <c r="K45" i="451"/>
  <c r="O45" i="451" s="1"/>
  <c r="O44" i="451" s="1"/>
  <c r="K45" i="351"/>
  <c r="O45" i="351" s="1"/>
  <c r="F17" i="293"/>
  <c r="F14" i="293"/>
  <c r="F13" i="293"/>
  <c r="F30" i="293"/>
  <c r="H16" i="301"/>
  <c r="F17" i="301"/>
  <c r="H6" i="293"/>
  <c r="F8" i="293"/>
  <c r="F9" i="293"/>
  <c r="H9" i="301"/>
  <c r="BP283" i="257"/>
  <c r="K107" i="252"/>
  <c r="K108" i="252" s="1"/>
  <c r="K109" i="252" s="1"/>
  <c r="K110" i="252" s="1"/>
  <c r="K116" i="252" s="1"/>
  <c r="C33" i="335"/>
  <c r="C35" i="335" s="1"/>
  <c r="C37" i="335" s="1"/>
  <c r="C39" i="335" s="1"/>
  <c r="C41" i="335" s="1"/>
  <c r="C49" i="330"/>
  <c r="C51" i="330" s="1"/>
  <c r="C53" i="330" s="1"/>
  <c r="C55" i="330" s="1"/>
  <c r="C57" i="330" s="1"/>
  <c r="C61" i="330" s="1"/>
  <c r="C63" i="330" s="1"/>
  <c r="C65" i="330" s="1"/>
  <c r="I10" i="263"/>
  <c r="J8" i="263"/>
  <c r="K37" i="351"/>
  <c r="O37" i="351" s="1"/>
  <c r="F36" i="350"/>
  <c r="C26" i="350"/>
  <c r="E88" i="474" s="1"/>
  <c r="E95" i="351"/>
  <c r="I95" i="351" s="1"/>
  <c r="P95" i="351" s="1"/>
  <c r="E72" i="351"/>
  <c r="I72" i="351" s="1"/>
  <c r="P72" i="351" s="1"/>
  <c r="E69" i="351"/>
  <c r="I69" i="351" s="1"/>
  <c r="E68" i="451"/>
  <c r="I68" i="451" s="1"/>
  <c r="F39" i="350"/>
  <c r="K43" i="351"/>
  <c r="O43" i="351" s="1"/>
  <c r="K68" i="351"/>
  <c r="O68" i="351" s="1"/>
  <c r="F40" i="350"/>
  <c r="E94" i="351"/>
  <c r="I94" i="351" s="1"/>
  <c r="P94" i="351" s="1"/>
  <c r="E71" i="351"/>
  <c r="I71" i="351" s="1"/>
  <c r="P71" i="351" s="1"/>
  <c r="E83" i="451"/>
  <c r="I83" i="451" s="1"/>
  <c r="P83" i="451" s="1"/>
  <c r="C18" i="293" a="1"/>
  <c r="C18" i="293" s="1"/>
  <c r="C18" i="301" a="1"/>
  <c r="C18" i="301" s="1"/>
  <c r="C7" i="301" a="1"/>
  <c r="C7" i="301" s="1"/>
  <c r="C15" i="301" a="1"/>
  <c r="C15" i="301" s="1"/>
  <c r="C15" i="293" a="1"/>
  <c r="C15" i="293" s="1"/>
  <c r="C7" i="293" a="1"/>
  <c r="C7" i="293" s="1"/>
  <c r="BQ283" i="257"/>
  <c r="C10" i="301" a="1"/>
  <c r="C10" i="301" s="1"/>
  <c r="C10" i="293" a="1"/>
  <c r="C10" i="293" s="1"/>
  <c r="I24" i="301"/>
  <c r="I24" i="293"/>
  <c r="I4" i="293"/>
  <c r="C42" i="351"/>
  <c r="C74" i="351" s="1"/>
  <c r="C30" i="351"/>
  <c r="Q113" i="474" l="1"/>
  <c r="P43" i="351"/>
  <c r="P96" i="472"/>
  <c r="P43" i="451"/>
  <c r="P109" i="474"/>
  <c r="K111" i="472"/>
  <c r="O111" i="472" s="1"/>
  <c r="P111" i="472" s="1"/>
  <c r="P111" i="474"/>
  <c r="E109" i="472"/>
  <c r="I109" i="472" s="1"/>
  <c r="P109" i="472" s="1"/>
  <c r="E98" i="472"/>
  <c r="I98" i="472" s="1"/>
  <c r="P98" i="472" s="1"/>
  <c r="E98" i="474"/>
  <c r="I98" i="474" s="1"/>
  <c r="P98" i="474" s="1"/>
  <c r="E90" i="474"/>
  <c r="I90" i="474" s="1"/>
  <c r="P90" i="474" s="1"/>
  <c r="E90" i="472"/>
  <c r="I90" i="472" s="1"/>
  <c r="P90" i="472" s="1"/>
  <c r="E88" i="472"/>
  <c r="I88" i="472" s="1"/>
  <c r="I88" i="474"/>
  <c r="C31" i="350"/>
  <c r="E29" i="300"/>
  <c r="E36" i="300" s="1"/>
  <c r="E33" i="350"/>
  <c r="K100" i="474" s="1"/>
  <c r="O100" i="474" s="1"/>
  <c r="O97" i="474" s="1"/>
  <c r="I67" i="351"/>
  <c r="P68" i="351"/>
  <c r="F31" i="293"/>
  <c r="F41" i="350"/>
  <c r="P114" i="472"/>
  <c r="I113" i="472"/>
  <c r="P113" i="472" s="1"/>
  <c r="K64" i="451"/>
  <c r="O64" i="451" s="1"/>
  <c r="P64" i="451" s="1"/>
  <c r="O66" i="472"/>
  <c r="E37" i="351"/>
  <c r="I37" i="351" s="1"/>
  <c r="P37" i="351" s="1"/>
  <c r="I38" i="472"/>
  <c r="E45" i="351"/>
  <c r="I45" i="351" s="1"/>
  <c r="P45" i="351" s="1"/>
  <c r="I46" i="472"/>
  <c r="E62" i="451"/>
  <c r="I62" i="451" s="1"/>
  <c r="I64" i="472"/>
  <c r="P64" i="472" s="1"/>
  <c r="I68" i="472"/>
  <c r="P68" i="472" s="1"/>
  <c r="C113" i="472" s="1"/>
  <c r="P69" i="472"/>
  <c r="BK283" i="257"/>
  <c r="K27" i="293" s="1"/>
  <c r="L27" i="293" s="1"/>
  <c r="E63" i="351"/>
  <c r="I63" i="351" s="1"/>
  <c r="P67" i="451"/>
  <c r="F31" i="301"/>
  <c r="E45" i="451"/>
  <c r="I45" i="451" s="1"/>
  <c r="I44" i="451" s="1"/>
  <c r="J27" i="350"/>
  <c r="N27" i="350" s="1"/>
  <c r="E37" i="451"/>
  <c r="I37" i="451" s="1"/>
  <c r="P37" i="451" s="1"/>
  <c r="H31" i="301"/>
  <c r="J32" i="350"/>
  <c r="N32" i="350" s="1"/>
  <c r="K65" i="351"/>
  <c r="O65" i="351" s="1"/>
  <c r="P65" i="351" s="1"/>
  <c r="H31" i="293"/>
  <c r="BJ283" i="257"/>
  <c r="K25" i="293" s="1"/>
  <c r="L25" i="293" s="1"/>
  <c r="C67" i="330"/>
  <c r="C69" i="330" s="1"/>
  <c r="C71" i="330" s="1"/>
  <c r="C73" i="330" s="1"/>
  <c r="C75" i="330" s="1"/>
  <c r="C77" i="330" s="1"/>
  <c r="I31" i="293"/>
  <c r="BN283" i="257"/>
  <c r="K29" i="293" s="1"/>
  <c r="L29" i="293" s="1"/>
  <c r="BI283" i="257"/>
  <c r="D28" i="350" s="1"/>
  <c r="E112" i="474" s="1"/>
  <c r="I112" i="474" s="1"/>
  <c r="P69" i="351"/>
  <c r="I31" i="301"/>
  <c r="O67" i="351"/>
  <c r="BM283" i="257"/>
  <c r="D31" i="294" s="1"/>
  <c r="BL283" i="257"/>
  <c r="D33" i="350" s="1"/>
  <c r="I66" i="451"/>
  <c r="P66" i="451" s="1"/>
  <c r="P68" i="451"/>
  <c r="K62" i="451"/>
  <c r="O62" i="451" s="1"/>
  <c r="K63" i="351"/>
  <c r="O63" i="351" s="1"/>
  <c r="I70" i="351"/>
  <c r="P70" i="351" s="1"/>
  <c r="H10" i="293"/>
  <c r="F10" i="293"/>
  <c r="H10" i="301"/>
  <c r="F10" i="301"/>
  <c r="F7" i="293"/>
  <c r="H7" i="293"/>
  <c r="H15" i="293"/>
  <c r="F15" i="293"/>
  <c r="H15" i="301"/>
  <c r="F15" i="301"/>
  <c r="H7" i="301"/>
  <c r="F7" i="301"/>
  <c r="F18" i="301"/>
  <c r="H18" i="301"/>
  <c r="H18" i="293"/>
  <c r="F18" i="293"/>
  <c r="K88" i="474" l="1"/>
  <c r="O88" i="474" s="1"/>
  <c r="P88" i="474" s="1"/>
  <c r="K88" i="472"/>
  <c r="O88" i="472" s="1"/>
  <c r="P88" i="472" s="1"/>
  <c r="I110" i="474"/>
  <c r="P67" i="351"/>
  <c r="Q67" i="351" s="1"/>
  <c r="E118" i="472"/>
  <c r="I118" i="472" s="1"/>
  <c r="K24" i="293"/>
  <c r="L24" i="293" s="1"/>
  <c r="E112" i="472"/>
  <c r="I112" i="472" s="1"/>
  <c r="K28" i="301"/>
  <c r="L28" i="301" s="1"/>
  <c r="K100" i="472"/>
  <c r="O100" i="472" s="1"/>
  <c r="O97" i="472" s="1"/>
  <c r="E40" i="350"/>
  <c r="K118" i="472"/>
  <c r="O118" i="472" s="1"/>
  <c r="O116" i="472" s="1"/>
  <c r="Q113" i="472"/>
  <c r="P66" i="472"/>
  <c r="P62" i="451"/>
  <c r="K82" i="451"/>
  <c r="O82" i="451" s="1"/>
  <c r="O48" i="472"/>
  <c r="O45" i="472" s="1"/>
  <c r="J26" i="350"/>
  <c r="N26" i="350" s="1"/>
  <c r="I36" i="472"/>
  <c r="J31" i="350"/>
  <c r="O36" i="472"/>
  <c r="Q68" i="472"/>
  <c r="R68" i="472"/>
  <c r="P46" i="472"/>
  <c r="P38" i="472"/>
  <c r="D26" i="294"/>
  <c r="K27" i="301"/>
  <c r="L27" i="301" s="1"/>
  <c r="K35" i="451"/>
  <c r="O35" i="451" s="1"/>
  <c r="K35" i="351"/>
  <c r="O35" i="351" s="1"/>
  <c r="O102" i="351" s="1"/>
  <c r="O104" i="351" s="1"/>
  <c r="P45" i="451"/>
  <c r="P44" i="451" s="1"/>
  <c r="Q42" i="451" s="1"/>
  <c r="K93" i="351"/>
  <c r="O93" i="351" s="1"/>
  <c r="K47" i="351"/>
  <c r="O47" i="351" s="1"/>
  <c r="O44" i="351" s="1"/>
  <c r="K25" i="301"/>
  <c r="L25" i="301" s="1"/>
  <c r="D24" i="294"/>
  <c r="C80" i="330"/>
  <c r="C82" i="330" s="1"/>
  <c r="C84" i="330" s="1"/>
  <c r="C86" i="330" s="1"/>
  <c r="C88" i="330" s="1"/>
  <c r="C90" i="330" s="1"/>
  <c r="C92" i="330" s="1"/>
  <c r="C94" i="330" s="1"/>
  <c r="C96" i="330" s="1"/>
  <c r="C98" i="330" s="1"/>
  <c r="K29" i="301"/>
  <c r="L29" i="301" s="1"/>
  <c r="D32" i="294"/>
  <c r="D44" i="294" s="1"/>
  <c r="K24" i="301"/>
  <c r="L24" i="301" s="1"/>
  <c r="D26" i="300"/>
  <c r="D35" i="300" s="1"/>
  <c r="D22" i="294"/>
  <c r="D38" i="294" s="1"/>
  <c r="R66" i="451"/>
  <c r="Q66" i="451"/>
  <c r="K28" i="293"/>
  <c r="L28" i="293" s="1"/>
  <c r="D29" i="300"/>
  <c r="D36" i="300" s="1"/>
  <c r="D30" i="294"/>
  <c r="E35" i="351"/>
  <c r="I35" i="351" s="1"/>
  <c r="E35" i="451"/>
  <c r="I35" i="451" s="1"/>
  <c r="I14" i="293"/>
  <c r="I37" i="293" s="1"/>
  <c r="BH283" i="257"/>
  <c r="C35" i="350" s="1"/>
  <c r="K94" i="474" s="1"/>
  <c r="O94" i="474" s="1"/>
  <c r="BF283" i="257"/>
  <c r="C33" i="350" s="1"/>
  <c r="K92" i="474" s="1"/>
  <c r="O92" i="474" s="1"/>
  <c r="F20" i="293"/>
  <c r="BE283" i="257"/>
  <c r="C30" i="350" s="1"/>
  <c r="E94" i="474" s="1"/>
  <c r="I94" i="474" s="1"/>
  <c r="P94" i="474" s="1"/>
  <c r="BD283" i="257"/>
  <c r="P63" i="351"/>
  <c r="BG283" i="257"/>
  <c r="C34" i="350" s="1"/>
  <c r="K93" i="474" s="1"/>
  <c r="O93" i="474" s="1"/>
  <c r="F20" i="301"/>
  <c r="I14" i="301"/>
  <c r="I36" i="301" s="1"/>
  <c r="I6" i="293"/>
  <c r="H20" i="293"/>
  <c r="I6" i="301"/>
  <c r="H20" i="301"/>
  <c r="R67" i="351" l="1"/>
  <c r="O89" i="474"/>
  <c r="O141" i="474"/>
  <c r="K112" i="472"/>
  <c r="O112" i="472" s="1"/>
  <c r="K112" i="474"/>
  <c r="O112" i="474" s="1"/>
  <c r="O142" i="474"/>
  <c r="O132" i="474"/>
  <c r="C24" i="294"/>
  <c r="E24" i="294" s="1"/>
  <c r="G24" i="294" s="1"/>
  <c r="H24" i="294" s="1"/>
  <c r="C29" i="350"/>
  <c r="E94" i="472"/>
  <c r="C31" i="300"/>
  <c r="F31" i="300" s="1"/>
  <c r="S31" i="300" s="1"/>
  <c r="T31" i="300" s="1"/>
  <c r="K94" i="472"/>
  <c r="O94" i="472" s="1"/>
  <c r="K9" i="293"/>
  <c r="L9" i="293" s="1"/>
  <c r="K12" i="293"/>
  <c r="L12" i="293" s="1"/>
  <c r="K92" i="472"/>
  <c r="O92" i="472" s="1"/>
  <c r="P35" i="451"/>
  <c r="O41" i="472"/>
  <c r="K93" i="472"/>
  <c r="O93" i="472" s="1"/>
  <c r="I110" i="472"/>
  <c r="N31" i="350"/>
  <c r="I116" i="472"/>
  <c r="P118" i="472"/>
  <c r="K65" i="451"/>
  <c r="O65" i="451" s="1"/>
  <c r="O63" i="451" s="1"/>
  <c r="O67" i="472"/>
  <c r="O65" i="472" s="1"/>
  <c r="E66" i="351"/>
  <c r="I66" i="351" s="1"/>
  <c r="I64" i="351" s="1"/>
  <c r="I67" i="472"/>
  <c r="O136" i="472"/>
  <c r="O138" i="472" s="1"/>
  <c r="I136" i="472"/>
  <c r="I138" i="472" s="1"/>
  <c r="P36" i="472"/>
  <c r="R42" i="451"/>
  <c r="D43" i="294"/>
  <c r="C100" i="330"/>
  <c r="C102" i="330" s="1"/>
  <c r="C104" i="330" s="1"/>
  <c r="D39" i="350"/>
  <c r="L31" i="301"/>
  <c r="E65" i="451"/>
  <c r="I65" i="451" s="1"/>
  <c r="D36" i="350"/>
  <c r="K31" i="301"/>
  <c r="D41" i="294"/>
  <c r="L31" i="293"/>
  <c r="K66" i="351"/>
  <c r="O66" i="351" s="1"/>
  <c r="O64" i="351" s="1"/>
  <c r="D40" i="350"/>
  <c r="K31" i="293"/>
  <c r="D32" i="300"/>
  <c r="P35" i="351"/>
  <c r="I102" i="351"/>
  <c r="I104" i="351" s="1"/>
  <c r="C29" i="300"/>
  <c r="F29" i="300" s="1"/>
  <c r="S29" i="300" s="1"/>
  <c r="C32" i="294"/>
  <c r="E32" i="294" s="1"/>
  <c r="G32" i="294" s="1"/>
  <c r="H32" i="294" s="1"/>
  <c r="K12" i="301"/>
  <c r="L12" i="301" s="1"/>
  <c r="K14" i="301"/>
  <c r="L14" i="301" s="1"/>
  <c r="C27" i="300"/>
  <c r="F27" i="300" s="1"/>
  <c r="J27" i="300" s="1"/>
  <c r="K14" i="293"/>
  <c r="L14" i="293" s="1"/>
  <c r="C30" i="294"/>
  <c r="K6" i="301"/>
  <c r="L6" i="301" s="1"/>
  <c r="C27" i="294"/>
  <c r="E27" i="294" s="1"/>
  <c r="G27" i="294" s="1"/>
  <c r="K6" i="293"/>
  <c r="L6" i="293" s="1"/>
  <c r="K9" i="301"/>
  <c r="L9" i="301" s="1"/>
  <c r="C28" i="300"/>
  <c r="F28" i="300" s="1"/>
  <c r="K40" i="451"/>
  <c r="O40" i="451" s="1"/>
  <c r="K40" i="351"/>
  <c r="O40" i="351" s="1"/>
  <c r="J34" i="350"/>
  <c r="C31" i="294"/>
  <c r="K13" i="301"/>
  <c r="L13" i="301" s="1"/>
  <c r="K13" i="293"/>
  <c r="L13" i="293" s="1"/>
  <c r="C30" i="300"/>
  <c r="I20" i="301"/>
  <c r="I35" i="301"/>
  <c r="I37" i="301" s="1"/>
  <c r="I20" i="293"/>
  <c r="I36" i="293"/>
  <c r="I38" i="293" s="1"/>
  <c r="O110" i="472" l="1"/>
  <c r="P112" i="472"/>
  <c r="P110" i="472" s="1"/>
  <c r="E93" i="472"/>
  <c r="I93" i="472" s="1"/>
  <c r="P93" i="472" s="1"/>
  <c r="E93" i="474"/>
  <c r="I93" i="474" s="1"/>
  <c r="O110" i="474"/>
  <c r="P112" i="474"/>
  <c r="P110" i="474" s="1"/>
  <c r="J31" i="300"/>
  <c r="H31" i="300"/>
  <c r="I31" i="300" s="1"/>
  <c r="P116" i="472"/>
  <c r="O142" i="472"/>
  <c r="D41" i="350"/>
  <c r="O89" i="472"/>
  <c r="I42" i="472"/>
  <c r="I94" i="472"/>
  <c r="P94" i="472" s="1"/>
  <c r="P67" i="472"/>
  <c r="P65" i="472" s="1"/>
  <c r="C109" i="472" s="1"/>
  <c r="I65" i="472"/>
  <c r="P65" i="451"/>
  <c r="P63" i="451" s="1"/>
  <c r="Q62" i="451" s="1"/>
  <c r="K41" i="351"/>
  <c r="O41" i="351" s="1"/>
  <c r="O108" i="351" s="1"/>
  <c r="O42" i="472"/>
  <c r="O132" i="472" s="1"/>
  <c r="J29" i="350"/>
  <c r="N29" i="350" s="1"/>
  <c r="I41" i="472"/>
  <c r="K39" i="451"/>
  <c r="O39" i="451" s="1"/>
  <c r="O78" i="451" s="1"/>
  <c r="O40" i="472"/>
  <c r="L34" i="350"/>
  <c r="M34" i="350" s="1"/>
  <c r="N34" i="350"/>
  <c r="C106" i="330"/>
  <c r="C108" i="330" s="1"/>
  <c r="C110" i="330" s="1"/>
  <c r="C112" i="330" s="1"/>
  <c r="I63" i="451"/>
  <c r="C44" i="294"/>
  <c r="P66" i="351"/>
  <c r="P64" i="351" s="1"/>
  <c r="Q63" i="351" s="1"/>
  <c r="K39" i="351"/>
  <c r="O39" i="351" s="1"/>
  <c r="O89" i="351" s="1"/>
  <c r="E40" i="351"/>
  <c r="I40" i="351" s="1"/>
  <c r="P40" i="351" s="1"/>
  <c r="J33" i="350"/>
  <c r="C43" i="294"/>
  <c r="E40" i="451"/>
  <c r="I40" i="451" s="1"/>
  <c r="P40" i="451" s="1"/>
  <c r="H27" i="300"/>
  <c r="S27" i="300"/>
  <c r="J29" i="300"/>
  <c r="H29" i="300"/>
  <c r="I29" i="300" s="1"/>
  <c r="C40" i="350"/>
  <c r="K41" i="451"/>
  <c r="O41" i="451" s="1"/>
  <c r="J35" i="350"/>
  <c r="E30" i="294"/>
  <c r="E43" i="294" s="1"/>
  <c r="J28" i="300"/>
  <c r="S28" i="300"/>
  <c r="H28" i="300"/>
  <c r="J30" i="350"/>
  <c r="N30" i="350" s="1"/>
  <c r="E41" i="351"/>
  <c r="I41" i="351" s="1"/>
  <c r="E41" i="451"/>
  <c r="I41" i="451" s="1"/>
  <c r="F30" i="300"/>
  <c r="C36" i="300"/>
  <c r="E31" i="294"/>
  <c r="G31" i="294" s="1"/>
  <c r="AJ34" i="350"/>
  <c r="AK34" i="350" s="1"/>
  <c r="T29" i="300"/>
  <c r="P93" i="474" l="1"/>
  <c r="I132" i="474"/>
  <c r="I142" i="474"/>
  <c r="P142" i="474" s="1"/>
  <c r="O120" i="474"/>
  <c r="O129" i="474"/>
  <c r="Q109" i="474"/>
  <c r="R109" i="474"/>
  <c r="I142" i="472"/>
  <c r="P142" i="472" s="1"/>
  <c r="I132" i="472"/>
  <c r="R130" i="472" s="1"/>
  <c r="O120" i="472"/>
  <c r="C142" i="472"/>
  <c r="O141" i="472"/>
  <c r="O88" i="351"/>
  <c r="L29" i="350"/>
  <c r="AJ29" i="350"/>
  <c r="R62" i="451"/>
  <c r="J40" i="350"/>
  <c r="N40" i="350" s="1"/>
  <c r="P41" i="351"/>
  <c r="R113" i="472"/>
  <c r="Q109" i="472"/>
  <c r="R109" i="472"/>
  <c r="R64" i="472"/>
  <c r="Q64" i="472"/>
  <c r="O37" i="472"/>
  <c r="O129" i="472" s="1"/>
  <c r="O36" i="451"/>
  <c r="O70" i="451" s="1"/>
  <c r="P42" i="472"/>
  <c r="P41" i="472"/>
  <c r="L33" i="350"/>
  <c r="M33" i="350" s="1"/>
  <c r="N33" i="350"/>
  <c r="L35" i="350"/>
  <c r="M35" i="350" s="1"/>
  <c r="N35" i="350"/>
  <c r="R63" i="351"/>
  <c r="O36" i="351"/>
  <c r="O107" i="351" s="1"/>
  <c r="AJ33" i="350"/>
  <c r="AK33" i="350" s="1"/>
  <c r="I27" i="300"/>
  <c r="AJ35" i="350"/>
  <c r="AK35" i="350" s="1"/>
  <c r="G30" i="294"/>
  <c r="H30" i="294" s="1"/>
  <c r="I93" i="451"/>
  <c r="I77" i="451"/>
  <c r="T27" i="300"/>
  <c r="O77" i="451"/>
  <c r="O93" i="451"/>
  <c r="L30" i="350"/>
  <c r="AJ30" i="350"/>
  <c r="E44" i="294"/>
  <c r="P41" i="451"/>
  <c r="I108" i="351"/>
  <c r="P108" i="351" s="1"/>
  <c r="I88" i="351"/>
  <c r="S30" i="300"/>
  <c r="H30" i="300"/>
  <c r="J30" i="300"/>
  <c r="F36" i="300"/>
  <c r="G44" i="294"/>
  <c r="H31" i="294"/>
  <c r="Q130" i="474" l="1"/>
  <c r="R130" i="474"/>
  <c r="R142" i="474"/>
  <c r="Q142" i="474"/>
  <c r="O122" i="474"/>
  <c r="O128" i="474"/>
  <c r="O122" i="472"/>
  <c r="O74" i="451"/>
  <c r="O92" i="451"/>
  <c r="Q142" i="472"/>
  <c r="O75" i="472"/>
  <c r="O128" i="472" s="1"/>
  <c r="Q130" i="472"/>
  <c r="L40" i="350"/>
  <c r="O74" i="351"/>
  <c r="O84" i="351" s="1"/>
  <c r="O85" i="351"/>
  <c r="R75" i="451"/>
  <c r="AJ40" i="350"/>
  <c r="P93" i="451"/>
  <c r="G43" i="294"/>
  <c r="Q75" i="451"/>
  <c r="Q108" i="351"/>
  <c r="R108" i="351"/>
  <c r="M29" i="350"/>
  <c r="AK29" i="350"/>
  <c r="Q86" i="351"/>
  <c r="R86" i="351"/>
  <c r="I30" i="300"/>
  <c r="H36" i="300"/>
  <c r="T30" i="300"/>
  <c r="S36" i="300"/>
  <c r="O72" i="451"/>
  <c r="O73" i="451"/>
  <c r="R142" i="472" l="1"/>
  <c r="O77" i="472"/>
  <c r="O76" i="351"/>
  <c r="Q93" i="451"/>
  <c r="R93" i="451"/>
  <c r="CH13" i="330" a="1"/>
  <c r="CH13" i="330" s="1"/>
  <c r="BJ115" i="330"/>
  <c r="BJ123" i="330" s="1"/>
  <c r="BN115" i="330"/>
  <c r="BN123" i="330" s="1"/>
  <c r="BM115" i="330"/>
  <c r="BM123" i="330" s="1"/>
  <c r="BP115" i="330"/>
  <c r="BP123" i="330" s="1"/>
  <c r="BQ115" i="330"/>
  <c r="BQ123" i="330" s="1"/>
  <c r="BL115" i="330"/>
  <c r="BL123" i="330" s="1"/>
  <c r="BG115" i="330"/>
  <c r="BG123" i="330" s="1"/>
  <c r="BH115" i="330"/>
  <c r="BH123" i="330" s="1"/>
  <c r="BK115" i="330"/>
  <c r="BK123" i="330" s="1"/>
  <c r="BO115" i="330"/>
  <c r="BO123" i="330" s="1"/>
  <c r="BR115" i="330"/>
  <c r="BR123" i="330" s="1"/>
  <c r="BI115" i="330"/>
  <c r="BI123" i="330" s="1"/>
  <c r="AR13" i="330"/>
  <c r="AS13" i="330" s="1"/>
  <c r="BC283" i="257" l="1"/>
  <c r="C28" i="350" s="1"/>
  <c r="E92" i="474" s="1"/>
  <c r="I92" i="474" s="1"/>
  <c r="BO283" i="257"/>
  <c r="E28" i="350" s="1"/>
  <c r="E100" i="474" s="1"/>
  <c r="I100" i="474" s="1"/>
  <c r="I89" i="474" l="1"/>
  <c r="P92" i="474"/>
  <c r="P89" i="474" s="1"/>
  <c r="I97" i="474"/>
  <c r="P100" i="474"/>
  <c r="P97" i="474" s="1"/>
  <c r="I40" i="472"/>
  <c r="E92" i="472"/>
  <c r="I92" i="472" s="1"/>
  <c r="K4" i="293"/>
  <c r="K4" i="301"/>
  <c r="C26" i="300"/>
  <c r="C22" i="294"/>
  <c r="E100" i="472"/>
  <c r="I100" i="472" s="1"/>
  <c r="E26" i="300"/>
  <c r="I120" i="474" l="1"/>
  <c r="I129" i="474"/>
  <c r="I141" i="474"/>
  <c r="R88" i="474"/>
  <c r="Q88" i="474"/>
  <c r="P120" i="474"/>
  <c r="Q120" i="474" s="1"/>
  <c r="P141" i="474"/>
  <c r="Q134" i="472"/>
  <c r="P40" i="472"/>
  <c r="P37" i="472" s="1"/>
  <c r="R95" i="474"/>
  <c r="Q95" i="474"/>
  <c r="P100" i="472"/>
  <c r="P97" i="472" s="1"/>
  <c r="I97" i="472"/>
  <c r="P92" i="472"/>
  <c r="I89" i="472"/>
  <c r="I37" i="472"/>
  <c r="I48" i="472"/>
  <c r="E32" i="300"/>
  <c r="E35" i="300"/>
  <c r="E82" i="451"/>
  <c r="I82" i="451" s="1"/>
  <c r="P82" i="451" s="1"/>
  <c r="E36" i="350"/>
  <c r="E93" i="351"/>
  <c r="I93" i="351" s="1"/>
  <c r="P93" i="351" s="1"/>
  <c r="E47" i="351"/>
  <c r="I47" i="351" s="1"/>
  <c r="E39" i="350"/>
  <c r="E41" i="350" s="1"/>
  <c r="E22" i="294"/>
  <c r="C38" i="294"/>
  <c r="C41" i="294"/>
  <c r="F26" i="300"/>
  <c r="C32" i="300"/>
  <c r="C35" i="300"/>
  <c r="L4" i="301"/>
  <c r="L20" i="301" s="1"/>
  <c r="K20" i="301"/>
  <c r="K20" i="293"/>
  <c r="L4" i="293"/>
  <c r="L20" i="293" s="1"/>
  <c r="J28" i="350"/>
  <c r="E39" i="351"/>
  <c r="I39" i="351" s="1"/>
  <c r="C36" i="350"/>
  <c r="C39" i="350"/>
  <c r="C41" i="350" s="1"/>
  <c r="E39" i="451"/>
  <c r="I39" i="451" s="1"/>
  <c r="I128" i="474" l="1"/>
  <c r="I122" i="474"/>
  <c r="Q141" i="474"/>
  <c r="R141" i="474"/>
  <c r="R120" i="474"/>
  <c r="R134" i="474" s="1"/>
  <c r="Q36" i="472"/>
  <c r="R36" i="472"/>
  <c r="C88" i="472"/>
  <c r="C141" i="472" s="1"/>
  <c r="P89" i="472"/>
  <c r="R88" i="472" s="1"/>
  <c r="I120" i="472"/>
  <c r="I141" i="472"/>
  <c r="P48" i="472"/>
  <c r="P45" i="472" s="1"/>
  <c r="C95" i="472" s="1"/>
  <c r="C120" i="472" s="1"/>
  <c r="I45" i="472"/>
  <c r="I129" i="472" s="1"/>
  <c r="N28" i="350"/>
  <c r="J39" i="350"/>
  <c r="P39" i="451"/>
  <c r="P36" i="451" s="1"/>
  <c r="I36" i="451"/>
  <c r="I78" i="451"/>
  <c r="Q78" i="451" s="1"/>
  <c r="P39" i="351"/>
  <c r="P36" i="351" s="1"/>
  <c r="I89" i="351"/>
  <c r="Q89" i="351" s="1"/>
  <c r="I36" i="351"/>
  <c r="L28" i="350"/>
  <c r="AJ28" i="350"/>
  <c r="J36" i="350"/>
  <c r="I44" i="351"/>
  <c r="P47" i="351"/>
  <c r="P44" i="351" s="1"/>
  <c r="H26" i="300"/>
  <c r="F32" i="300"/>
  <c r="F35" i="300"/>
  <c r="S26" i="300"/>
  <c r="J26" i="300"/>
  <c r="E38" i="294"/>
  <c r="G22" i="294"/>
  <c r="E41" i="294"/>
  <c r="P141" i="472" l="1"/>
  <c r="R141" i="472" s="1"/>
  <c r="Q88" i="472"/>
  <c r="P120" i="472"/>
  <c r="Q120" i="472" s="1"/>
  <c r="I122" i="472"/>
  <c r="Q95" i="472"/>
  <c r="R95" i="472"/>
  <c r="R120" i="472" s="1"/>
  <c r="R134" i="472" s="1"/>
  <c r="I75" i="472"/>
  <c r="I128" i="472" s="1"/>
  <c r="R43" i="472"/>
  <c r="R75" i="472" s="1"/>
  <c r="Q43" i="472"/>
  <c r="P75" i="472"/>
  <c r="Q75" i="472" s="1"/>
  <c r="AK28" i="350"/>
  <c r="AK36" i="350" s="1"/>
  <c r="AJ36" i="350"/>
  <c r="AJ39" i="350"/>
  <c r="I74" i="351"/>
  <c r="I85" i="351"/>
  <c r="I107" i="351"/>
  <c r="M28" i="350"/>
  <c r="L39" i="350"/>
  <c r="L36" i="350"/>
  <c r="G38" i="294"/>
  <c r="G41" i="294"/>
  <c r="H22" i="294"/>
  <c r="H38" i="294" s="1"/>
  <c r="P74" i="351"/>
  <c r="Q74" i="351" s="1"/>
  <c r="Q35" i="351"/>
  <c r="P107" i="351"/>
  <c r="R35" i="351"/>
  <c r="S32" i="300"/>
  <c r="T26" i="300"/>
  <c r="T32" i="300" s="1"/>
  <c r="S35" i="300"/>
  <c r="H32" i="300"/>
  <c r="H35" i="300"/>
  <c r="I26" i="300"/>
  <c r="I32" i="300" s="1"/>
  <c r="I92" i="451"/>
  <c r="I74" i="451"/>
  <c r="I70" i="451"/>
  <c r="Q42" i="351"/>
  <c r="R42" i="351"/>
  <c r="R35" i="451"/>
  <c r="P92" i="451"/>
  <c r="Q35" i="451"/>
  <c r="P70" i="451"/>
  <c r="Q70" i="451" s="1"/>
  <c r="Q141" i="472" l="1"/>
  <c r="I77" i="472"/>
  <c r="M36" i="350"/>
  <c r="N39" i="350"/>
  <c r="I72" i="451"/>
  <c r="I73" i="451"/>
  <c r="R70" i="451" s="1"/>
  <c r="R78" i="451" s="1"/>
  <c r="R92" i="451"/>
  <c r="Q92" i="451"/>
  <c r="I84" i="351"/>
  <c r="R74" i="351" s="1"/>
  <c r="R89" i="351" s="1"/>
  <c r="I76" i="351"/>
  <c r="Q107" i="351"/>
  <c r="R107" i="3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tc={95873CEC-529A-4E76-B366-15ECF2D52BF0}</author>
    <author>tc={94A3D4D6-0542-44B4-AC02-63DE3937217D}</author>
    <author>tc={7D01BDAB-DAA9-431F-95A4-826B90B3B543}</author>
    <author>tc={0C79C239-FAEA-4E6F-8054-B6141AD60350}</author>
    <author>tc={B5BEEA73-6601-49C7-821C-82B4537C5F93}</author>
    <author>tc={52C7E8E0-9FF0-43DF-8BAE-249D70E4E284}</author>
    <author>tc={A705D827-FBC4-4500-9769-0D4C7133FA00}</author>
    <author>tc={793E87BE-3088-418A-B1FC-30AF781CAB0C}</author>
    <author>tc={390E006E-6DB0-44C1-AA59-89E2AE3A8EBB}</author>
    <author>tc={020C948B-EBE7-4602-988D-CC855E886537}</author>
    <author>tc={58D2993C-5FD8-4F41-9A35-2D13F81138E9}</author>
    <author>tc={47E0D353-ECCA-4617-994F-565CB7DE40CC}</author>
    <author>tc={8D1C44A5-6B83-497B-AD9A-99AB01225488}</author>
    <author>tc={2D20A749-8087-4F36-B5E4-B390F8EAA67B}</author>
    <author>tc={BE644BF1-B5EF-4D7B-86D2-20A135F77FCE}</author>
    <author>tc={82B7B1D6-3594-4F04-81B0-487973B9064E}</author>
    <author>tc={DBDFF742-69B2-4763-BFB7-74D9DCB54FD1}</author>
    <author>tc={0C679B16-D404-466B-B05A-0ED64EA7250E}</author>
  </authors>
  <commentList>
    <comment ref="I14" authorId="0" shapeId="0" xr:uid="{95873CEC-529A-4E76-B366-15ECF2D52BF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725*11*21000は167,475,000円だが、計算ミス？7976人泊になっていた</t>
      </text>
    </comment>
    <comment ref="F42" authorId="1" shapeId="0" xr:uid="{94A3D4D6-0542-44B4-AC02-63DE393721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2" authorId="2" shapeId="0" xr:uid="{7D01BDAB-DAA9-431F-95A4-826B90B3B5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47" authorId="3" shapeId="0" xr:uid="{0C79C239-FAEA-4E6F-8054-B6141AD6035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L47" authorId="4" shapeId="0" xr:uid="{B5BEEA73-6601-49C7-821C-82B4537C5F9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F48" authorId="5" shapeId="0" xr:uid="{52C7E8E0-9FF0-43DF-8BAE-249D70E4E28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8" authorId="6" shapeId="0" xr:uid="{A705D827-FBC4-4500-9769-0D4C7133FA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49" authorId="7" shapeId="0" xr:uid="{793E87BE-3088-418A-B1FC-30AF781CAB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9" authorId="8" shapeId="0" xr:uid="{390E006E-6DB0-44C1-AA59-89E2AE3A8E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0" authorId="9" shapeId="0" xr:uid="{020C948B-EBE7-4602-988D-CC855E8865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0" authorId="10" shapeId="0" xr:uid="{58D2993C-5FD8-4F41-9A35-2D13F81138E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1" authorId="11" shapeId="0" xr:uid="{47E0D353-ECCA-4617-994F-565CB7DE40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1" authorId="12" shapeId="0" xr:uid="{8D1C44A5-6B83-497B-AD9A-99AB012254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2" authorId="13" shapeId="0" xr:uid="{2D20A749-8087-4F36-B5E4-B390F8EAA67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2" authorId="14" shapeId="0" xr:uid="{BE644BF1-B5EF-4D7B-86D2-20A135F77F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3" authorId="15" shapeId="0" xr:uid="{82B7B1D6-3594-4F04-81B0-487973B9064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4" authorId="16" shapeId="0" xr:uid="{DBDFF742-69B2-4763-BFB7-74D9DCB54FD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C69" authorId="17" shapeId="0" xr:uid="{0C679B16-D404-466B-B05A-0ED64EA725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財政見通し上は、アジア86,508千円、パラ22,496千円が積算</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tc={D5AF8BD7-2026-4691-A991-8DCA792BAC98}</author>
    <author>tc={52BFDE44-D5A1-4CF9-BB88-3A1A09E24421}</author>
    <author>tc={EB8BA3B1-4CFB-4159-8517-C0AFF5146A6F}</author>
    <author>tc={B1A41CDB-12FE-4589-A3C1-0B5CB3630D72}</author>
    <author>tc={49AFA56C-5044-4C54-AD9B-4661E4173036}</author>
    <author>tc={9477C5B1-D852-4651-AA2E-96F1C3DD9F1A}</author>
    <author>tc={CE8A8F37-99DC-483C-AF4A-B2EF6A65B6B3}</author>
    <author>tc={D9CF3A65-3B2D-4315-B26F-02BB00E385B8}</author>
    <author>tc={E93733B4-681D-4DC3-BCCF-9E4A8268276C}</author>
    <author>tc={50B993D2-04BF-4649-9089-501F166F577E}</author>
    <author>tc={BA18B4B5-743B-45F9-816F-3CE1B7BDC0EA}</author>
    <author>tc={85D2968E-0A6E-4F0F-BA57-A0A4EDDA9930}</author>
    <author>tc={8E6C2754-0610-4310-9A25-03EE0D9CEA41}</author>
    <author>tc={1F55D310-A377-490C-AC6E-42F8E2A4EB02}</author>
    <author>tc={3BD6560B-F742-4644-B3E5-27A645168BD2}</author>
    <author>tc={C753BC75-1B2B-4718-A607-ABF9E71132F9}</author>
    <author>tc={E55D419D-FD06-436E-988D-EC397E656A32}</author>
    <author>tc={742C5935-7B9A-4148-963F-13D9DB9551D1}</author>
    <author>tc={96D70CC7-D2B4-477F-A388-B01E98654956}</author>
    <author>tc={DAEF0A4F-D1DC-4E35-86D9-0C120D18A9AF}</author>
    <author>tc={8E5184CB-66B5-42C1-BCA6-8727DC754F95}</author>
    <author>tc={6F16A8AC-C630-4F81-A8EF-362EEB7EAF33}</author>
    <author>tc={B898AB3B-A801-4834-B229-19B20BFD8A18}</author>
    <author>tc={A68D3A93-712D-4290-9EDA-50B7A70EFB91}</author>
    <author>tc={3A818F63-C916-4B2F-8F8E-34A61899E823}</author>
    <author>tc={83BAC8EE-3DC8-4AC1-8490-F31D49929AEA}</author>
    <author>tc={D7DF019A-B932-4BD2-BC97-A87415602DD4}</author>
    <author>tc={88C17A8B-016E-4E21-BCB3-44E2D5C18062}</author>
    <author>tc={D62866D6-8B4E-4BFD-A0C9-15B6D9F3C797}</author>
    <author>tc={6CC0A658-7531-48BE-B58D-B8C25258FB5A}</author>
    <author>tc={BA3E1DD0-43C6-418A-8C6D-4D5485921921}</author>
    <author>tc={9FD8CBF8-7E2A-4813-B0DB-5900A661ABF6}</author>
    <author>tc={ED9EF441-FB5E-43EF-A499-6B806851B15A}</author>
    <author>tc={CC2A3BFB-6A94-4728-AD4E-A7B624359256}</author>
    <author>tc={DE5532B0-E4B2-4453-A840-A53634AF3243}</author>
    <author>tc={0E265A97-FD6D-4B03-984B-F604D1061618}</author>
  </authors>
  <commentList>
    <comment ref="I15" authorId="0" shapeId="0" xr:uid="{D5AF8BD7-2026-4691-A991-8DCA792BAC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725*11*21000は167,475,000円だが、計算ミス？7976人泊になっていた</t>
      </text>
    </comment>
    <comment ref="F43" authorId="1" shapeId="0" xr:uid="{52BFDE44-D5A1-4CF9-BB88-3A1A09E2442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3" authorId="2" shapeId="0" xr:uid="{EB8BA3B1-4CFB-4159-8517-C0AFF5146A6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49" authorId="3" shapeId="0" xr:uid="{B1A41CDB-12FE-4589-A3C1-0B5CB3630D7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L49" authorId="4" shapeId="0" xr:uid="{49AFA56C-5044-4C54-AD9B-4661E41730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F50" authorId="5" shapeId="0" xr:uid="{9477C5B1-D852-4651-AA2E-96F1C3DD9F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0" authorId="6" shapeId="0" xr:uid="{CE8A8F37-99DC-483C-AF4A-B2EF6A65B6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1" authorId="7" shapeId="0" xr:uid="{D9CF3A65-3B2D-4315-B26F-02BB00E385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1" authorId="8" shapeId="0" xr:uid="{E93733B4-681D-4DC3-BCCF-9E4A8268276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2" authorId="9" shapeId="0" xr:uid="{50B993D2-04BF-4649-9089-501F166F57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2" authorId="10" shapeId="0" xr:uid="{BA18B4B5-743B-45F9-816F-3CE1B7BDC0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3" authorId="11" shapeId="0" xr:uid="{85D2968E-0A6E-4F0F-BA57-A0A4EDDA993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3" authorId="12" shapeId="0" xr:uid="{8E6C2754-0610-4310-9A25-03EE0D9CEA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4" authorId="13" shapeId="0" xr:uid="{1F55D310-A377-490C-AC6E-42F8E2A4EB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4" authorId="14" shapeId="0" xr:uid="{3BD6560B-F742-4644-B3E5-27A645168B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5" authorId="15" shapeId="0" xr:uid="{C753BC75-1B2B-4718-A607-ABF9E71132F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6" authorId="16" shapeId="0" xr:uid="{E55D419D-FD06-436E-988D-EC397E656A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C74" authorId="17" shapeId="0" xr:uid="{742C5935-7B9A-4148-963F-13D9DB9551D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財政見通し上は、アジア86,508千円、パラ22,496千円が積算</t>
      </text>
    </comment>
    <comment ref="F95" authorId="18" shapeId="0" xr:uid="{96D70CC7-D2B4-477F-A388-B01E986549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95" authorId="19" shapeId="0" xr:uid="{DAEF0A4F-D1DC-4E35-86D9-0C120D18A9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1" authorId="20" shapeId="0" xr:uid="{8E5184CB-66B5-42C1-BCA6-8727DC754F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1" authorId="21" shapeId="0" xr:uid="{6F16A8AC-C630-4F81-A8EF-362EEB7EAF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3" authorId="22" shapeId="0" xr:uid="{B898AB3B-A801-4834-B229-19B20BFD8A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3" authorId="23" shapeId="0" xr:uid="{A68D3A93-712D-4290-9EDA-50B7A70EFB9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4" authorId="24" shapeId="0" xr:uid="{3A818F63-C916-4B2F-8F8E-34A61899E8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4" authorId="25" shapeId="0" xr:uid="{83BAC8EE-3DC8-4AC1-8490-F31D49929AE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5" authorId="26" shapeId="0" xr:uid="{D7DF019A-B932-4BD2-BC97-A87415602D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5" authorId="27" shapeId="0" xr:uid="{88C17A8B-016E-4E21-BCB3-44E2D5C180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C106" authorId="28" shapeId="0" xr:uid="{D62866D6-8B4E-4BFD-A0C9-15B6D9F3C7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査定分を減額</t>
      </text>
    </comment>
    <comment ref="E106" authorId="29" shapeId="0" xr:uid="{6CC0A658-7531-48BE-B58D-B8C25258FB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減額により444,090,000円マイナス（この２項目合計で）</t>
      </text>
    </comment>
    <comment ref="C109" authorId="30" shapeId="0" xr:uid="{BA3E1DD0-43C6-418A-8C6D-4D548592192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メルパルク瑞雲（82,475,789円）およびアイリス愛知パラFn料金（53,344,500円）を減額</t>
      </text>
    </comment>
    <comment ref="K109" authorId="31" shapeId="0" xr:uid="{9FD8CBF8-7E2A-4813-B0DB-5900A661AB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メルパルクの瑞雲を減額</t>
      </text>
    </comment>
    <comment ref="K112" authorId="32" shapeId="0" xr:uid="{ED9EF441-FB5E-43EF-A499-6B806851B1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アイリスFnを減額</t>
      </text>
    </comment>
    <comment ref="C113" authorId="33" shapeId="0" xr:uid="{CC2A3BFB-6A94-4728-AD4E-A7B6243592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査定分を減額</t>
      </text>
    </comment>
    <comment ref="E118" authorId="34" shapeId="0" xr:uid="{DE5532B0-E4B2-4453-A840-A53634AF32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削減されたのでそれにあわせた数字。
消す前の数式は以下
='財政見通し積算 (全SH全項目統合版）'!H26</t>
      </text>
    </comment>
    <comment ref="K118" authorId="35" shapeId="0" xr:uid="{0E265A97-FD6D-4B03-984B-F604D10616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削減されたのでそれにあわせた数字。
消す前の数式は以下
='財政見通し積算 (全SH全項目統合版）'!H31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tc={DAD85D08-448D-46D5-928E-6479BD187E94}</author>
    <author>tc={4ED1335E-9C8D-480C-850B-A3DC84CA06CA}</author>
    <author>tc={2C95B18C-6E26-4B37-A2E3-5F671B048D5D}</author>
    <author>tc={C815A54F-0483-4A4D-B176-D763077BCC89}</author>
    <author>tc={475FAD83-1260-4D25-98BD-F5C53C07034C}</author>
    <author>tc={47429F19-4E6B-4839-99FB-49F9608341B1}</author>
    <author>tc={27FF1EAF-6E52-4D5E-BA57-B277A3C562BE}</author>
    <author>tc={9EBE3732-507C-4A93-ACFB-B8781534C316}</author>
    <author>tc={316A1287-B125-48C3-8D01-20F9967EC6F3}</author>
    <author>tc={01120D24-1923-4FE6-85BB-B2C06E88AFF8}</author>
    <author>tc={7A3190BB-E30C-46F8-8A10-8023567CF3B5}</author>
    <author>tc={28470D0B-0133-4077-86AC-56A31A9B0FDC}</author>
    <author>tc={4DA36B2A-F85A-4F48-A2C6-920A12F7697C}</author>
    <author>tc={2A3B671A-4200-424F-82E4-A392CFB27F40}</author>
    <author>tc={C9241508-D3D0-47A7-B738-0BE94C642F54}</author>
    <author>tc={6C605AB3-FE7D-4833-850A-EF1F23E95F11}</author>
    <author>tc={E3F3FC29-8F54-4896-94B5-80C903F7EB57}</author>
    <author>tc={4F36EA9A-F6D4-4BC3-9D35-CEDA18AA3D58}</author>
    <author>tc={8D6E9BFA-95C7-46FC-8DFA-9D207A3998F2}</author>
    <author>tc={1E83D9A1-732B-4B89-9CF6-CFD5605F9264}</author>
    <author>tc={DCE85963-13EE-4658-8792-56514C6859CC}</author>
    <author>tc={6C921FD5-7B4D-45C4-B23B-A7EFA07924FC}</author>
    <author>tc={E1A4600C-E3C9-41CB-A66F-06E24FED3410}</author>
    <author>tc={57837FF8-94E4-425C-BE45-15D24F4650D7}</author>
    <author>tc={F9659C3D-D1DB-408A-BB54-00B06603454F}</author>
    <author>tc={6088C08C-9E0C-4244-91EA-3A24E4CD34C9}</author>
    <author>tc={84D250BA-B11D-46C3-B651-3741E181C1BE}</author>
    <author>tc={2F7A590D-331B-461C-801F-2FC5F7F31E34}</author>
    <author>tc={05EB897E-FF61-4618-B501-A0F7D358FF38}</author>
    <author>tc={8FC090A4-3B92-43B7-82A8-3ECC5E8E789F}</author>
    <author>tc={FB9464D3-29D3-4806-9271-B3B24054F285}</author>
    <author>tc={96174796-011D-4E67-B7F7-B27DE3ECF51E}</author>
    <author>tc={8747C289-1E83-4FF0-B0ED-8F40BD9CCEB5}</author>
    <author>tc={01C1D834-A56A-4046-8812-58EDC2553726}</author>
    <author>tc={C782A718-DAA1-4CA5-9192-5727F04F6027}</author>
    <author>tc={0E95C3B8-16DE-4B71-BD66-D560DBFBF48D}</author>
  </authors>
  <commentList>
    <comment ref="I15" authorId="0" shapeId="0" xr:uid="{DAD85D08-448D-46D5-928E-6479BD187E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725*11*21000は167,475,000円だが、計算ミス？7976人泊になっていた</t>
      </text>
    </comment>
    <comment ref="F43" authorId="1" shapeId="0" xr:uid="{4ED1335E-9C8D-480C-850B-A3DC84CA06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3" authorId="2" shapeId="0" xr:uid="{2C95B18C-6E26-4B37-A2E3-5F671B048D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49" authorId="3" shapeId="0" xr:uid="{C815A54F-0483-4A4D-B176-D763077BCC8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L49" authorId="4" shapeId="0" xr:uid="{475FAD83-1260-4D25-98BD-F5C53C0703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F50" authorId="5" shapeId="0" xr:uid="{47429F19-4E6B-4839-99FB-49F9608341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0" authorId="6" shapeId="0" xr:uid="{27FF1EAF-6E52-4D5E-BA57-B277A3C562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1" authorId="7" shapeId="0" xr:uid="{9EBE3732-507C-4A93-ACFB-B8781534C31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1" authorId="8" shapeId="0" xr:uid="{316A1287-B125-48C3-8D01-20F9967EC6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2" authorId="9" shapeId="0" xr:uid="{01120D24-1923-4FE6-85BB-B2C06E88AF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2" authorId="10" shapeId="0" xr:uid="{7A3190BB-E30C-46F8-8A10-8023567CF3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3" authorId="11" shapeId="0" xr:uid="{28470D0B-0133-4077-86AC-56A31A9B0F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3" authorId="12" shapeId="0" xr:uid="{4DA36B2A-F85A-4F48-A2C6-920A12F769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4" authorId="13" shapeId="0" xr:uid="{2A3B671A-4200-424F-82E4-A392CFB27F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4" authorId="14" shapeId="0" xr:uid="{C9241508-D3D0-47A7-B738-0BE94C642F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5" authorId="15" shapeId="0" xr:uid="{6C605AB3-FE7D-4833-850A-EF1F23E95F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6" authorId="16" shapeId="0" xr:uid="{E3F3FC29-8F54-4896-94B5-80C903F7EB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C74" authorId="17" shapeId="0" xr:uid="{4F36EA9A-F6D4-4BC3-9D35-CEDA18AA3D5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財政見通し上は、アジア86,508千円、パラ22,496千円が積算</t>
      </text>
    </comment>
    <comment ref="F95" authorId="18" shapeId="0" xr:uid="{8D6E9BFA-95C7-46FC-8DFA-9D207A3998F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95" authorId="19" shapeId="0" xr:uid="{1E83D9A1-732B-4B89-9CF6-CFD5605F92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1" authorId="20" shapeId="0" xr:uid="{DCE85963-13EE-4658-8792-56514C6859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1" authorId="21" shapeId="0" xr:uid="{6C921FD5-7B4D-45C4-B23B-A7EFA07924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3" authorId="22" shapeId="0" xr:uid="{E1A4600C-E3C9-41CB-A66F-06E24FED34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3" authorId="23" shapeId="0" xr:uid="{57837FF8-94E4-425C-BE45-15D24F4650D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4" authorId="24" shapeId="0" xr:uid="{F9659C3D-D1DB-408A-BB54-00B0660345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4" authorId="25" shapeId="0" xr:uid="{6088C08C-9E0C-4244-91EA-3A24E4CD34C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105" authorId="26" shapeId="0" xr:uid="{84D250BA-B11D-46C3-B651-3741E181C1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105" authorId="27" shapeId="0" xr:uid="{2F7A590D-331B-461C-801F-2FC5F7F31E3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C106" authorId="28" shapeId="0" xr:uid="{05EB897E-FF61-4618-B501-A0F7D358FF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査定分を減額</t>
      </text>
    </comment>
    <comment ref="E106" authorId="29" shapeId="0" xr:uid="{8FC090A4-3B92-43B7-82A8-3ECC5E8E78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減額により444,090,000円マイナス（この２項目合計で）</t>
      </text>
    </comment>
    <comment ref="C109" authorId="30" shapeId="0" xr:uid="{FB9464D3-29D3-4806-9271-B3B24054F28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メルパルク瑞雲（82,475,789円）およびアイリス愛知パラFn料金（53,344,500円）を減額</t>
      </text>
    </comment>
    <comment ref="K109" authorId="31" shapeId="0" xr:uid="{96174796-011D-4E67-B7F7-B27DE3ECF5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メルパルクの瑞雲を減額</t>
      </text>
    </comment>
    <comment ref="K112" authorId="32" shapeId="0" xr:uid="{8747C289-1E83-4FF0-B0ED-8F40BD9CCE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アイリスFnを減額</t>
      </text>
    </comment>
    <comment ref="C113" authorId="33" shapeId="0" xr:uid="{01C1D834-A56A-4046-8812-58EDC255372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査定分を減額</t>
      </text>
    </comment>
    <comment ref="E118" authorId="34" shapeId="0" xr:uid="{C782A718-DAA1-4CA5-9192-5727F04F60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削減されたのでそれにあわせた数字。
消す前の数式は以下
='財政見通し積算 (全SH全項目統合版）'!H26</t>
      </text>
    </comment>
    <comment ref="K118" authorId="35" shapeId="0" xr:uid="{0E95C3B8-16DE-4B71-BD66-D560DBFBF48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削減されたのでそれにあわせた数字。
消す前の数式は以下
='財政見通し積算 (全SH全項目統合版）'!H31</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tc={C5A27978-A225-4062-BFAD-C24FD5858BB2}</author>
    <author>tc={A4CA61A1-874A-4CE8-AECD-C2C5342E79FB}</author>
    <author>tc={97D76BE1-A20A-434C-A277-ECA790CBC55C}</author>
    <author>tc={B450ECDF-6B04-4A6C-B981-D4696323ACA0}</author>
    <author>tc={496DC078-86AD-48F6-976E-3B100ADC1995}</author>
    <author>tc={791EAD3E-384A-4C0A-99EF-610FE7370B8A}</author>
    <author>tc={EB1E38C9-7388-4E1B-A9F4-E27530091E8E}</author>
    <author>tc={34CB64A7-03FE-4AB9-B367-9DFA30150C5F}</author>
    <author>tc={10CBB359-16F9-4ACD-B64C-9DD5779FC20F}</author>
    <author>tc={B97CF67E-D7AB-4A32-B0F4-AF0A75415642}</author>
    <author>tc={0307EAE6-28DE-4F10-B869-2E33997C5764}</author>
    <author>tc={C608B312-D323-4670-9CD3-829A421D0B5A}</author>
    <author>tc={BC7A19AD-FDE9-46B6-AA54-D02E5395374B}</author>
    <author>tc={5A4560D0-83C0-4A24-BCDB-76977EE09F0E}</author>
    <author>tc={8C08D46A-4D0A-4BED-8238-F510D6EBE3B7}</author>
    <author>tc={431739C2-7431-4C96-8BDF-2EA11BBE6FFF}</author>
    <author>tc={59757F9F-E2AF-41EF-BFAE-D383F8135DB3}</author>
    <author>tc={4B63B774-E8C0-419F-91DC-C6E80D760AEC}</author>
  </authors>
  <commentList>
    <comment ref="I14" authorId="0" shapeId="0" xr:uid="{C5A27978-A225-4062-BFAD-C24FD5858BB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725*11*21000は167,475,000円だが、計算ミス？7976人泊になっていた</t>
      </text>
    </comment>
    <comment ref="F42" authorId="1" shapeId="0" xr:uid="{A4CA61A1-874A-4CE8-AECD-C2C5342E79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2" authorId="2" shapeId="0" xr:uid="{97D76BE1-A20A-434C-A277-ECA790CBC5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48" authorId="3" shapeId="0" xr:uid="{B450ECDF-6B04-4A6C-B981-D4696323ACA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L48" authorId="4" shapeId="0" xr:uid="{496DC078-86AD-48F6-976E-3B100ADC19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のべ。ハラルは完調品のため通常食対応の人数を記載</t>
      </text>
    </comment>
    <comment ref="F49" authorId="5" shapeId="0" xr:uid="{791EAD3E-384A-4C0A-99EF-610FE7370B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49" authorId="6" shapeId="0" xr:uid="{EB1E38C9-7388-4E1B-A9F4-E27530091E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0" authorId="7" shapeId="0" xr:uid="{34CB64A7-03FE-4AB9-B367-9DFA30150C5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0" authorId="8" shapeId="0" xr:uid="{10CBB359-16F9-4ACD-B64C-9DD5779FC20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1" authorId="9" shapeId="0" xr:uid="{B97CF67E-D7AB-4A32-B0F4-AF0A7541564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1" authorId="10" shapeId="0" xr:uid="{0307EAE6-28DE-4F10-B869-2E33997C57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2" authorId="11" shapeId="0" xr:uid="{C608B312-D323-4670-9CD3-829A421D0B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2" authorId="12" shapeId="0" xr:uid="{BC7A19AD-FDE9-46B6-AA54-D02E539537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3" authorId="13" shapeId="0" xr:uid="{5A4560D0-83C0-4A24-BCDB-76977EE09F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L53" authorId="14" shapeId="0" xr:uid="{8C08D46A-4D0A-4BED-8238-F510D6EBE3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4" authorId="15" shapeId="0" xr:uid="{431739C2-7431-4C96-8BDF-2EA11BBE6F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F55" authorId="16" shapeId="0" xr:uid="{59757F9F-E2AF-41EF-BFAE-D383F8135D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のべ</t>
      </text>
    </comment>
    <comment ref="C73" authorId="17" shapeId="0" xr:uid="{4B63B774-E8C0-419F-91DC-C6E80D760AE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財政見通し上は、アジア86,508千円、パラ22,496千円が積算</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5" authorId="0" shapeId="0" xr:uid="{1C0EFD41-D59A-4401-910A-A6D781D130D9}">
      <text>
        <r>
          <rPr>
            <sz val="9"/>
            <color indexed="81"/>
            <rFont val="MS P ゴシック"/>
            <family val="3"/>
            <charset val="128"/>
          </rPr>
          <t>コロナ後の上昇率を抽出
2020～2023の上昇率３か年平均値採用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5" authorId="0" shapeId="0" xr:uid="{89184858-9BE1-49A8-BA70-8934413659E7}">
      <text>
        <r>
          <rPr>
            <sz val="9"/>
            <color indexed="81"/>
            <rFont val="MS P ゴシック"/>
            <family val="3"/>
            <charset val="128"/>
          </rPr>
          <t>コロナ後の上昇率を抽出
2020～2023の上昇率の中で一番高い数値採用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tc={B30BA52A-5794-4402-93AF-AC40AFBC796C}</author>
    <author>tc={7A9C7C49-D162-4363-8085-D5FBDBD9BD18}</author>
    <author>tc={D0F27E5B-DFEB-4F49-AD09-8FFECAAEBBBE}</author>
    <author>tc={0D62913B-8DD0-42D9-9F50-CD216A0F7783}</author>
    <author>tc={F426B24B-34D3-4577-AE8D-3041BC59B215}</author>
    <author>tc={2330071C-E4C7-4416-9EFB-CAE51D0DE03A}</author>
    <author>tc={0CD1BE30-D384-47DD-80EE-0941DD719E91}</author>
    <author>tc={9AC8FA65-1698-4415-A31E-1A9600651AAF}</author>
    <author>tc={1F8BE633-D828-4ACF-A508-9F61FD6C0269}</author>
    <author>tc={51089EA8-EF1B-4755-B5BB-7F660456908D}</author>
  </authors>
  <commentList>
    <comment ref="U35" authorId="0" shapeId="0" xr:uid="{B30BA52A-5794-4402-93AF-AC40AFBC796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出発地点：愛知県庁三の丸庁舎及び名城病院の間の交差点 </t>
      </text>
    </comment>
    <comment ref="AC35" authorId="1" shapeId="0" xr:uid="{7A9C7C49-D162-4363-8085-D5FBDBD9BD1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出発地点：愛知県庁三の丸庁舎及び名城病院の間の交差点 </t>
      </text>
    </comment>
    <comment ref="U36" authorId="2" shapeId="0" xr:uid="{D0F27E5B-DFEB-4F49-AD09-8FFECAAEBBB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出発地点：瑞穂運動公園陸上競技場 </t>
      </text>
    </comment>
    <comment ref="AC36" authorId="3" shapeId="0" xr:uid="{0D62913B-8DD0-42D9-9F50-CD216A0F778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出発地点：瑞穂運動公園陸上競技場 </t>
      </text>
    </comment>
    <comment ref="F74" authorId="4" shapeId="0" xr:uid="{F426B24B-34D3-4577-AE8D-3041BC59B2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調査中になっていましたが、一旦HP記載の室数を入力します</t>
      </text>
    </comment>
    <comment ref="F98" authorId="5" shapeId="0" xr:uid="{2330071C-E4C7-4416-9EFB-CAE51D0DE0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103室保有しているものの、使用可能なのは50室のみ。水回りについて修繕していないため普段から使用していない。
2021は57室であった</t>
      </text>
    </comment>
    <comment ref="U106" authorId="6" shapeId="0" xr:uid="{0CD1BE30-D384-47DD-80EE-0941DD719E9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AC106" authorId="7" shapeId="0" xr:uid="{9AC8FA65-1698-4415-A31E-1A9600651AAF}">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U108" authorId="8" shapeId="0" xr:uid="{1F8BE633-D828-4ACF-A508-9F61FD6C026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 ref="AC108" authorId="9" shapeId="0" xr:uid="{51089EA8-EF1B-4755-B5BB-7F660456908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tc={C939851A-C08F-4219-BA0A-69791A88213B}</author>
    <author>tc={72A120E2-3747-4CD5-9C89-2B22496337AF}</author>
    <author>tc={4C0501DD-9D3F-43E7-AFBA-4E2B278EB3DA}</author>
    <author>tc={5889972D-2E9E-41AC-B95E-2C4980CDC4C3}</author>
    <author>tc={6834B925-AEC7-48D0-822B-F63B60F5EC55}</author>
  </authors>
  <commentList>
    <comment ref="R35" authorId="0" shapeId="0" xr:uid="{C939851A-C08F-4219-BA0A-69791A88213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20240712_渉外G松本さんより
３階、４階に宴会場があり、客室を貸し出してもどうしても一般の方の利用を希望 </t>
      </text>
    </comment>
    <comment ref="U35" authorId="1" shapeId="0" xr:uid="{72A120E2-3747-4CD5-9C89-2B22496337AF}">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人数手入力
</t>
      </text>
    </comment>
    <comment ref="S40" authorId="2" shapeId="0" xr:uid="{4C0501DD-9D3F-43E7-AFBA-4E2B278EB3D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出発地点：愛知県庁三の丸庁舎及び名城病院の間の交差点 </t>
      </text>
    </comment>
    <comment ref="S87" authorId="3" shapeId="0" xr:uid="{5889972D-2E9E-41AC-B95E-2C4980CDC4C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S91" authorId="4" shapeId="0" xr:uid="{6834B925-AEC7-48D0-822B-F63B60F5EC5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tc={EDC7C5F0-1B6E-426C-A520-18BE1924279D}</author>
    <author>tc={254B81B0-FA93-4711-820C-ACAEB8835243}</author>
    <author>tc={D540C72C-C831-434E-8C00-76A64FB4A768}</author>
    <author>tc={0FA29FB5-0457-4210-83E3-3361CDE29854}</author>
    <author>tc={21F5237C-2C82-43FF-9232-4CFBA150B29A}</author>
    <author>tc={8B9A6D52-0A23-4857-80A7-981B1516A742}</author>
    <author>tc={F4EBD46D-8669-425B-9EB5-70E5D6284C25}</author>
    <author>tc={AD217C3A-548B-4FDA-9F20-3D70C12BB25D}</author>
    <author>tc={20CAF948-9DD8-4ECC-B912-65EDDC86E968}</author>
    <author>tc={D9C23765-0D0A-4E6C-B6EC-BF88CAB49F4D}</author>
    <author>tc={039A5C19-76D6-4C19-BDAA-1A84DDB58E7E}</author>
    <author>tc={076B109F-DA3E-4C6C-AFB3-8230F559D6A1}</author>
    <author>tc={3B2B936B-CC20-4A0B-8F56-099D024AE8B5}</author>
    <author>tc={C1AD7DE9-FE5E-4154-9F16-B33F9CDDDE38}</author>
    <author>tc={45F728F7-7C05-4897-B469-29A82A51A669}</author>
    <author>tc={5AD84163-E4AF-4D6D-93F7-F0D5233157EB}</author>
    <author>tc={E7203549-28BD-4128-B279-7E32D3B3F4AE}</author>
    <author>tc={DA1998FA-99B6-45EE-BF31-BF6888A7F3A5}</author>
    <author>tc={2B101A06-8486-4CC5-9014-4431828A176E}</author>
    <author>tc={79312409-D051-419B-A73A-66BDF8A49F7F}</author>
    <author>tc={6437C524-4C16-48F2-821B-54D29920DE24}</author>
  </authors>
  <commentList>
    <comment ref="AR5" authorId="0" shapeId="0" xr:uid="{EDC7C5F0-1B6E-426C-A520-18BE192427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AS5" authorId="1" shapeId="0" xr:uid="{254B81B0-FA93-4711-820C-ACAEB88352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競技日程変更前提</t>
      </text>
    </comment>
    <comment ref="R23" authorId="2" shapeId="0" xr:uid="{D540C72C-C831-434E-8C00-76A64FB4A76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出発地点：愛知県庁三の丸庁舎及び名城病院の間の交差点 </t>
      </text>
    </comment>
    <comment ref="E24" authorId="3" shapeId="0" xr:uid="{0FA29FB5-0457-4210-83E3-3361CDE298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
フルボード提供必須の場合、満室受入れ難しい。客室提供はFNBサポート次第。７月末を目途に何室提供可能か返答をもらうことになっている。（回答はまだ不明）
返信:
感触的にはどうか？ニッコースタイルやJALシティに振り替えたほうが良いか？
返信:
@松雄 裕太 
JTB経由でベッセルへ提供客室数の催促していますが、返事がありません。
引き続き催促はします。
ニッコースタイルは、食事に対して反応がかなり渋かったですが選手不可とは言われていませんので可能性はありです。ここもFNBのサポート次第（どこまでホテルのレベルに寄り添えるか次第）です。
なお、グリーンリッチですが９月〆切を目途に今見積依頼中で10月中には使用するかしないか返事がほしいと言われています。キャパが少ないため、シミュレーションからは敬遠されているのかと思いますが選手団受入れに大変好意的で飲食も他の名古屋市内の施設に比較するとこちらの求めるレベルを完璧にするのは無理とのことでしたがある程度対応できるといわれましたので、使う方向でいってほしいと思います。
返信:
継続。</t>
      </text>
    </comment>
    <comment ref="E33" authorId="4" shapeId="0" xr:uid="{21F5237C-2C82-43FF-9232-4CFBA150B29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渉外Gによる難易度記載がないが、一旦このまま進めてよいか？
返信:
継続。
・ルートインはグループとしてまとめて7月12日にと打合せを実施したが、主に食事面で難色を示された。
・今後の流れとしては、予算に準じたサービスレベル及び支援策を検討した上で再度接触予定。
20240712_訪問記録（ルートインジャパン株式会社）.pdf</t>
      </text>
    </comment>
    <comment ref="E59" authorId="5" shapeId="0" xr:uid="{8B9A6D52-0A23-4857-80A7-981B1516A74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
食事の提供数について難色。人的、物的サポートは必須。その前提で前向きに検討はしてもらっている
返信:
このままハイブリッド方式て検討を進めてよいか？
返信:
【継続】
グランドティアラ的には、一応なんとか700食くらい提供できるように前向きに検討はしてくれている。ただし、機器や人材のサポートは必須。
お金さえあれば大丈夫。
ない場合…は…　ﾖｳｿｳﾀﾞﾝ</t>
      </text>
    </comment>
    <comment ref="E75" authorId="6" shapeId="0" xr:uid="{F4EBD46D-8669-425B-9EB5-70E5D6284C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
２回目の訪問をしたがランチ不可という方針は変わらない。厨房に外部の人材が入ることに抵抗はないとのこと。
返信:
可能性として現段階としてはこの想定で進めてよいか？
返信:
FNBより、スチコンを持っていない施設であるため、オーワは厳しいと言われた。
ホテル側は組織委員会が紹介する人材派遣会社を通して料理人の確保ができるのであれば、厨房に外部人材を入れることに抵抗はないためばランチ可能、とのこと。
ただ、FNBからは調理補助やホールスタッフの派遣は斡旋できても料理人の斡旋をする予定はない、と言われたので、オーワに配宿された選手団はホテルでランチを取ることは難しいことに・・・。
返信:
代案必要。
返信:
20240925_岡崎オーワホテル→トヨタスポーツセンターへ変更</t>
      </text>
    </comment>
    <comment ref="R81" authorId="7" shapeId="0" xr:uid="{AD217C3A-548B-4FDA-9F20-3D70C12BB25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E83" authorId="8" shapeId="0" xr:uid="{20CAF948-9DD8-4ECC-B912-65EDDC86E9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20240919_JTB様コメント
三河湾ヒルズを代案とする可能性あり 
返信:
東海園はサウナ３カ所あり。
施設も協力的な感じ
返信:
継続。</t>
      </text>
    </comment>
    <comment ref="E85" authorId="9" shapeId="0" xr:uid="{D9C23765-0D0A-4E6C-B6EC-BF88CAB49F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20240919_JTB様コメント
リステル浜名湖を代案として検討中 
返信:
AINAGOCとしては、当該施設を利用する他ないと考えていたが、JTB様ご提案のリステル浜名湖と比較検討が必要か。
2024/09/24時点で情報の更新はございません。
・ルートインジャパン（本部）と打合せを実施したが、主に食事面で難色を示された。
・今後の流れとしては、予算に準じたサービスレベル及び支援策を検討した上で再度接触予定。
20240712_訪問記録（ルートインジャパン株式会社）.pdf 
返信:
【継続】</t>
      </text>
    </comment>
    <comment ref="R85" authorId="10" shapeId="0" xr:uid="{039A5C19-76D6-4C19-BDAA-1A84DDB58E7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 ref="E87" authorId="11" shapeId="0" xr:uid="{076B109F-DA3E-4C6C-AFB3-8230F559D6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20240919_JTB様コメント
貸切の場合、伊良湖オーシャンリゾートを代案とするかAINAGOC判断要 
返信:
今後の流れとしては、諸条件を整理した上で必要に応じて見積もり取得して比較検討かと存じます。
・伊良湖リゾート＆コンベンションホテル
・伊良湖オーシャンリゾート</t>
      </text>
    </comment>
    <comment ref="E89" authorId="12" shapeId="0" xr:uid="{3B2B936B-CC20-4A0B-8F56-099D024AE8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渉外G未訪問だが、一旦このまま進めてよいか？
返信:
中野さん行っていた気が
返信:
継続。
6月報告リストのとおりで訪問済みです。食事面でホテル側が現場と実現可能か検討していただいています。</t>
      </text>
    </comment>
    <comment ref="E91" authorId="13" shapeId="0" xr:uid="{C1AD7DE9-FE5E-4154-9F16-B33F9CDDDE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@松雄 裕太 
ホッケー協会問題がまだクリアになっていないため、増室依頼まだできていないが早急に動きたいと思っている。</t>
      </text>
    </comment>
    <comment ref="E93" authorId="14" shapeId="0" xr:uid="{45F728F7-7C05-4897-B469-29A82A51A6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@松雄 裕太 
貸切の件はJTBから依頼しているが、まだ返事なし。営業補償が発生すると思われます。</t>
      </text>
    </comment>
    <comment ref="E95" authorId="15" shapeId="0" xr:uid="{5AD84163-E4AF-4D6D-93F7-F0D5233157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20240920_一旦このまま進める形で良いか？三重や大垣フォーラムなどの分宿とするか？
返信:
【渉外G】
ランチ不可、１棟貸切不可
返信:
★客室について
・アジア大会のみ受入可能
・インバウンド団体の受入が大前提
・4～6階フロア貸切可能（129室/265室）
※8/31ホテルよりメール
 ①宿泊総数は１６８名（MAX)でお願いします
 ②フロアー貸切料金・部屋利用人数と食事料金は宗教に対応する 　食事内容が判明してから提示します
★FR及び食事会場について
・2階に3つ会議室あり。
・食事会場は110席。
※8/31 ホテルよりメール
③２階フロアー貸切について
 　一般団体（約２５０名）の夕食・朝食対応は２階（情熱：172席）しか不可能ですので大会関係者の使用NG
 　２階ロビー及び会議室等はご利用可能ですが貸切フロアーではありません
 　１階栄光（110席）（夕食・朝食）及びラウンジとして昼間利用（有料）可能です
返信:
代案必要。
返信:
・129室提供可能。
・受入れ可能最大人数は168名
・ランチ不可
ランチは食事場所のみ提供可能、とのことです。組織委員会側が用意する必要があります。</t>
      </text>
    </comment>
    <comment ref="E102" authorId="16" shapeId="0" xr:uid="{E7203549-28BD-4128-B279-7E32D3B3F4A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20240920_ラフォーレ修善寺含め進捗はあるか？
返信:
【継続】
あれ（4月）から全く進捗がないです…すみません。
サンバレー伊豆長岡には話を全くしていない状況です。</t>
      </text>
    </comment>
    <comment ref="E103" authorId="17" shapeId="0" xr:uid="{DA1998FA-99B6-45EE-BF31-BF6888A7F3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
現時点は希望客室数は確保できていない。サッカーの競技日程が決まり次第、交渉が必要。ハラル完調品提供が掛川も可能かどうか。
返信:
掛川グランドの交渉状況はどうか？
返信:
@松雄 裕太 
·掛川のハラル完調品　NGとは言われていないが、可能かどうかは現時点でははっきりしていない。
·掛川GHは２チームで仮押さえ中　4チームは厳しい。</t>
      </text>
    </comment>
    <comment ref="E105" authorId="18" shapeId="0" xr:uid="{2B101A06-8486-4CC5-9014-4431828A17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20240920_渉外Gが未訪問だが、変更確定で良いか？
返信:
継続。
提髪さんに代わって記入します。
7月に訪問していましたシミュレーションの関係で漏れていました。
内容は易でした。食事面も選手実績ありでも問題なし。セキュリティも一棟貸しではないが、導線分離可。</t>
      </text>
    </comment>
    <comment ref="E107" authorId="19" shapeId="0" xr:uid="{79312409-D051-419B-A73A-66BDF8A49F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渉外Gコメントが無いが、一旦このまま進めてよいか？
返信:
・ホテルアゴーラリージェンシー大阪堺
　⇒客室6フロア（１フロアあたり21室のため計126室）のご提供を前向きに検討いただいております。
　　また宴会フロアについては、3階を貸切いただくのが警備面からも有効かと存じますとお伝えいただきました。
返信:
継続。</t>
      </text>
    </comment>
    <comment ref="E109" authorId="20" shapeId="0" xr:uid="{6437C524-4C16-48F2-821B-54D29920DE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20240920_復活で良いか？渉外G記載がないがこのまま進めてよいか？
返信:
京都はどうなった？
返信:
ポートピアについては
⇒南館6フロア＆本館2フロアのご提供を前向きに検討いただいております。 
JTBからは使わない場合、早急にキャンセルしないといけないレベル（ポートピアは大規模会議場を持ち合わせており、8フロアの押さえはホテルにとって相当大きな話。使わないなら早くリリースしないと、というレベル）、と言われた
京都はリーガロイヤルホテル京都を使いたい、とJTBを通じてホテルにも打診した。SEC面も良好。
1フロアを(60室)→室タイプ混在なので、受け入れチーム数次第で1フロア貸切＋プラスアルファかと思われるが・・・そもそも京都会場はあるのか。ないなら早めにリリース。
返信:
継続。</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tc={61412422-9BED-45B8-B099-602D01F9CFBC}</author>
    <author>tc={B49020A4-CA42-4057-AE71-F30F9FAFEE42}</author>
    <author>tc={2A1EB51A-AD79-49F1-8D8D-606CF259CCA1}</author>
    <author>tc={FB1C722D-D774-4DDF-B339-9AFF42E56071}</author>
  </authors>
  <commentList>
    <comment ref="U27" authorId="0" shapeId="0" xr:uid="{61412422-9BED-45B8-B099-602D01F9CFB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★数量の変更
【旧】306室　386ベッド
【新】295室　364ベッドに変更</t>
      </text>
    </comment>
    <comment ref="U32" authorId="1" shapeId="0" xr:uid="{B49020A4-CA42-4057-AE71-F30F9FAFEE4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JTBWEBサイトより引用
ガーデンホテルオリーブ 宿泊予約プラン・料金一覧【JTB】＜長島温泉＞ </t>
      </text>
    </comment>
    <comment ref="U33" authorId="2" shapeId="0" xr:uid="{2A1EB51A-AD79-49F1-8D8D-606CF259CCA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JTBWEBサイトより引用
ホテル花水木【JTB】＜長島温泉＞ </t>
      </text>
    </comment>
    <comment ref="AM35" authorId="3" shapeId="0" xr:uid="{FB1C722D-D774-4DDF-B339-9AFF42E5607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★1251に合わせるため数量の変更
【旧】67室　22ベッド
【新】107室　〇〇ベッドに変更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tc={A65AEBA3-FBF5-4244-85F7-811C53DB9E27}</author>
    <author>tc={F1412163-9F9B-42CF-B3BF-7658ED84C380}</author>
    <author>tc={A925F398-4AC1-4BDF-8539-3E7DE6476D1C}</author>
    <author>tc={0325EDF2-12EC-45CD-B3ED-E6770996BEF9}</author>
    <author>tc={5452AFE8-EF43-4034-8F49-16DF7447DC71}</author>
    <author>tc={E1C70E21-656E-4E5A-B2D2-A1C4E01E94CB}</author>
    <author>tc={C552EE1C-A876-44F8-8337-6EBC5CB3F0E1}</author>
    <author>tc={D5B83172-3069-403E-A615-5771F6FF40DA}</author>
  </authors>
  <commentList>
    <comment ref="C26" authorId="0" shapeId="0" xr:uid="{A65AEBA3-FBF5-4244-85F7-811C53DB9E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健康の森プラザホテルの料金を加算</t>
      </text>
    </comment>
    <comment ref="E26" authorId="1" shapeId="0" xr:uid="{F1412163-9F9B-42CF-B3BF-7658ED84C3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朝食差額（アスリートミール4,100円－通常朝食費用分）</t>
      </text>
    </comment>
    <comment ref="C28" authorId="2" shapeId="0" xr:uid="{A925F398-4AC1-4BDF-8539-3E7DE6476D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スポンサー、メディアは1.34倍（物価上昇率）</t>
      </text>
    </comment>
    <comment ref="R30" authorId="3" shapeId="0" xr:uid="{0325EDF2-12EC-45CD-B3ED-E6770996BEF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日によって宿泊者数に波がある部分について、精緻な数にするために計算式を入れている、ということで
/96000*81500という数式をいれていた</t>
      </text>
    </comment>
    <comment ref="AD30" authorId="4" shapeId="0" xr:uid="{5452AFE8-EF43-4034-8F49-16DF7447DC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日によって宿泊者数に波がある部分について、精緻な数にするために計算式を入れている、ということで
/96000*81500という数式をいれていた</t>
      </text>
    </comment>
    <comment ref="E31" authorId="5" shapeId="0" xr:uid="{E1C70E21-656E-4E5A-B2D2-A1C4E01E94C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朝食差額（アスリートミール4,100円－通常朝食費用分）</t>
      </text>
    </comment>
    <comment ref="C33" authorId="6" shapeId="0" xr:uid="{C552EE1C-A876-44F8-8337-6EBC5CB3F0E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スポンサー、メディアは1.34倍（物価上昇率）</t>
      </text>
    </comment>
    <comment ref="D33" authorId="7" shapeId="0" xr:uid="{D5B83172-3069-403E-A615-5771F6FF40D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インディゴ犬山の当初金額165,953,676から契約実績額23,073,600円まで減額した際、消費税抜きの金額のみ減額して財政当局と合意したため、消費税分10％が予算額に残っている</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tc={A314102F-A76B-47BD-9567-9A087CE83ABD}</author>
    <author>tc={A3F61321-624D-45A7-BBA9-DB16D4AA0FE7}</author>
    <author>tc={02064334-6431-4FDB-93C0-88B048AB83FC}</author>
    <author>tc={C8AB918E-FA3A-4E48-B2DC-2C77BDE6D81E}</author>
    <author>tc={98C66500-0E56-45C4-A093-0523DA66A6FC}</author>
    <author>tc={378413E9-E994-4025-8870-8A7C83BE13C9}</author>
    <author>tc={28B77094-8FD5-4417-9B6F-BA17A99AECE2}</author>
    <author>tc={58E7C4D5-76D5-48F1-A631-FB18660AF105}</author>
    <author>tc={9EAEB899-62DF-4D05-8731-0644A5E4FAFE}</author>
    <author>tc={97C82A93-F03A-4CE7-9C1C-59A7FF7DBCD1}</author>
    <author>tc={3B28A446-C2E7-4683-8921-680EA07AA6C6}</author>
    <author>tc={0D88CE29-56D0-4D6D-A518-DEFA80369CC6}</author>
    <author>tc={0BA54056-621F-4C5A-B424-FC3D5643324B}</author>
    <author>tc={A72397BB-88E9-4DB2-93A5-7C201C45CE0C}</author>
    <author>tc={78CBCEE0-5195-485D-8A71-A8472C95A128}</author>
    <author>tc={658C8E28-9433-48EE-8286-1F1C6B705D93}</author>
    <author>tc={AC56F730-A74F-448D-B190-776C3F6F7A2C}</author>
  </authors>
  <commentList>
    <comment ref="D2" authorId="0" shapeId="0" xr:uid="{A314102F-A76B-47BD-9567-9A087CE83A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正確には1/20シミュを基にした財政見通し資料（1/22版）のResultsシートを参照</t>
      </text>
    </comment>
    <comment ref="M4" authorId="1" shapeId="0" xr:uid="{A3F61321-624D-45A7-BBA9-DB16D4AA0FE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ファンクションは泊数ではなく日数のため、＋0.5日足して計算</t>
      </text>
    </comment>
    <comment ref="C30" authorId="2" shapeId="0" xr:uid="{02064334-6431-4FDB-93C0-88B048AB83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【渉外G】
フルボード提供必須の場合、満室受入れ難しい。客室提供はFNBサポート次第。７月末を目途に何室提供可能か返答をもらうことになっている。（回答はまだ不明）
返信:
感触的にはどうか？ニッコースタイルやJALシティに振り替えたほうが良いか？
返信:
@松雄 裕太 
JTB経由でベッセルへ提供客室数の催促していますが、返事がありません。
引き続き催促はします。
ニッコースタイルは、食事に対して反応がかなり渋かったですが選手不可とは言われていませんので可能性はありです。ここもFNBのサポート次第（どこまでホテルのレベルに寄り添えるか次第）です。
なお、グリーンリッチですが９月〆切を目途に今見積依頼中で10月中には使用するかしないか返事がほしいと言われています。キャパが少ないため、シミュレーションからは敬遠されているのかと思いますが選手団受入れに大変好意的で飲食も他の名古屋市内の施設に比較するとこちらの求めるレベルを完璧にするのは無理とのことでしたがある程度対応できるといわれましたので、使う方向でいってほしいと思います。
返信:
継続。</t>
      </text>
    </comment>
    <comment ref="N50" authorId="3" shapeId="0" xr:uid="{C8AB918E-FA3A-4E48-B2DC-2C77BDE6D8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N51" authorId="4" shapeId="0" xr:uid="{98C66500-0E56-45C4-A093-0523DA66A6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仮設厨房</t>
      </text>
    </comment>
    <comment ref="H53" authorId="5" shapeId="0" xr:uid="{378413E9-E994-4025-8870-8A7C83BE13C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仮置き、実際は交渉中</t>
      </text>
    </comment>
    <comment ref="C54" authorId="6" shapeId="0" xr:uid="{28B77094-8FD5-4417-9B6F-BA17A99AEC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【渉外】
食事の提供数について難色。人的、物的サポートは必須。その前提で前向きに検討はしてもらっている
返信:
このままハイブリッド方式て検討を進めてよいか？
返信:
【継続】
グランドティアラ的には、一応なんとか700食くらい提供できるように前向きに検討はしてくれている。ただし、機器や人材のサポートは必須。
お金さえあれば大丈夫。
ない場合…は…　ﾖｳｿｳﾀﾞﾝ</t>
      </text>
    </comment>
    <comment ref="E54" authorId="7" shapeId="0" xr:uid="{58E7C4D5-76D5-48F1-A631-FB18660AF10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F54" authorId="8" shapeId="0" xr:uid="{9EAEB899-62DF-4D05-8731-0644A5E4FA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H54" authorId="9" shapeId="0" xr:uid="{97C82A93-F03A-4CE7-9C1C-59A7FF7DBCD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N54" authorId="10" shapeId="0" xr:uid="{3B28A446-C2E7-4683-8921-680EA07AA6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N55" authorId="11" shapeId="0" xr:uid="{0D88CE29-56D0-4D6D-A518-DEFA80369C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N56" authorId="12" shapeId="0" xr:uid="{0BA54056-621F-4C5A-B424-FC3D564332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N57" authorId="13" shapeId="0" xr:uid="{A72397BB-88E9-4DB2-93A5-7C201C45CE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N58" authorId="14" shapeId="0" xr:uid="{78CBCEE0-5195-485D-8A71-A8472C95A1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ハイブリッド方式</t>
      </text>
    </comment>
    <comment ref="E70" authorId="15" shapeId="0" xr:uid="{658C8E28-9433-48EE-8286-1F1C6B705D9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 ref="F70" authorId="16" shapeId="0" xr:uid="{AC56F730-A74F-448D-B190-776C3F6F7A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聞き取りベース</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tc={DC4A5FB9-CE62-4CFF-B71D-0D820016C638}</author>
    <author>tc={AE8F8DFC-8579-440F-B16C-4B64F7B0A6AD}</author>
  </authors>
  <commentList>
    <comment ref="J1" authorId="0" shapeId="0" xr:uid="{DC4A5FB9-CE62-4CFF-B71D-0D820016C63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人数なのか？客室数だから厳密には違うか</t>
      </text>
    </comment>
    <comment ref="M6" authorId="1" shapeId="0" xr:uid="{AE8F8DFC-8579-440F-B16C-4B64F7B0A6A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瑞雲を減額（開催都市負担）</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tc={42E49D74-4EBC-4B70-BAE9-B940B159BE6B}</author>
    <author>tc={38C22EE1-E4BA-4285-8A36-61EDB698A2A5}</author>
  </authors>
  <commentList>
    <comment ref="C28" authorId="0" shapeId="0" xr:uid="{42E49D74-4EBC-4B70-BAE9-B940B159BE6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日によって宿泊者数に波がある部分について、精緻な数にするために計算式を入れている、ということで
/96000*81500という数式をいれていた</t>
      </text>
    </comment>
    <comment ref="N28" authorId="1" shapeId="0" xr:uid="{38C22EE1-E4BA-4285-8A36-61EDB698A2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日によって宿泊者数に波がある部分について、精緻な数にするために計算式を入れている、ということで
/96000*81500という数式をいれていた</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tc={CA2CCB04-1D93-4CC7-8751-F3023DD6672C}</author>
    <author>tc={0BF460A7-C33C-42CA-AEE8-EB9D11911D08}</author>
    <author>松本 柊</author>
    <author>tc={3E044860-BEBC-4D88-A3AC-63520F1BECA8}</author>
    <author>tc={BC0BE68D-B937-455A-A1B6-232E74AAD081}</author>
    <author>tc={0E94430E-A057-4587-8C0D-9F2304E63425}</author>
    <author>tc={62FCEF19-9E91-4E50-A1CE-074C0ACC135A}</author>
    <author>tc={D56F43C7-753D-4FBE-B923-6AF8B6B24C04}</author>
    <author>tc={0A4A340B-6BA6-4A62-AE35-78504A2F302F}</author>
  </authors>
  <commentList>
    <comment ref="BP3" authorId="0" shapeId="0" xr:uid="{CA2CCB04-1D93-4CC7-8751-F3023DD667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×客室１室あたり平均単価　○１人あたり平均単価</t>
      </text>
    </comment>
    <comment ref="BT3" authorId="1" shapeId="0" xr:uid="{0BF460A7-C33C-42CA-AEE8-EB9D11911D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ファンクションは泊数ではなく日数のため、＋0.5日足して計算</t>
      </text>
    </comment>
    <comment ref="BY3" authorId="2" shapeId="0" xr:uid="{2CB53C8C-9F18-44AF-9544-811D3AA1C990}">
      <text>
        <r>
          <rPr>
            <b/>
            <sz val="9"/>
            <color indexed="81"/>
            <rFont val="MS P ゴシック"/>
            <family val="3"/>
            <charset val="128"/>
          </rPr>
          <t>②ヒルトン名古屋は契約実績額（20,451,200円）に置き換え、それ以外のホテルは単価4,400円（ヒルトン実績ベース）に置き換え</t>
        </r>
        <r>
          <rPr>
            <sz val="9"/>
            <color indexed="81"/>
            <rFont val="MS P ゴシック"/>
            <family val="3"/>
            <charset val="128"/>
          </rPr>
          <t xml:space="preserve">
</t>
        </r>
      </text>
    </comment>
    <comment ref="H5" authorId="3" shapeId="0" xr:uid="{3E044860-BEBC-4D88-A3AC-63520F1BECA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【備考】
OCAファミリーの必要数：980室</t>
      </text>
    </comment>
    <comment ref="G9" authorId="4" shapeId="0" xr:uid="{BC0BE68D-B937-455A-A1B6-232E74AAD08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25/3/14ACM追記
スイート8室＋婚礼用返却客室を想定。</t>
      </text>
    </comment>
    <comment ref="BP25" authorId="5" shapeId="0" xr:uid="{0E94430E-A057-4587-8C0D-9F2304E634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×客室１室あたり平均単価　○１人あたり平均単価</t>
      </text>
    </comment>
    <comment ref="BT25" authorId="6" shapeId="0" xr:uid="{62FCEF19-9E91-4E50-A1CE-074C0ACC13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ファンクションは泊数ではなく日数のため、＋0.5日足して計算</t>
      </text>
    </comment>
    <comment ref="AX28" authorId="7" shapeId="0" xr:uid="{D56F43C7-753D-4FBE-B923-6AF8B6B24C0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（800/11）＋30※貸し切りだけど利用しない部屋が30室</t>
      </text>
    </comment>
    <comment ref="AX29" authorId="8" shapeId="0" xr:uid="{0A4A340B-6BA6-4A62-AE35-78504A2F30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330-（800/11）＝257</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tc={6C62B303-E675-4F4D-808C-1876FD88A0B2}</author>
    <author>tc={A32E1BFF-A2FA-4EB0-97FE-F1E7AA4D75A7}</author>
    <author>松本 柊</author>
    <author>tc={E525C799-CDBA-4DAF-AB02-239DEB86A80E}</author>
    <author>tc={EFBF8A8D-5E08-4A8B-A13D-799517E97E6E}</author>
    <author>tc={227E8466-B168-4C48-AB22-76FE44E79986}</author>
    <author>tc={1D40ACF2-4347-4A7E-AF22-E29351B1EF9B}</author>
    <author>tc={83240AA2-C48A-40E9-AEAA-8EA189266216}</author>
    <author>tc={2AA72DF3-5CA4-4241-AD7D-58FF6DFAE5BB}</author>
    <author>tc={18FBB624-74C0-4E34-9449-6DC2F5D45293}</author>
    <author>tc={A00E7ABE-C4B9-4981-B92B-0D3433CB0B80}</author>
    <author>tc={40AF7F91-A681-4F4D-9220-87AB544942D2}</author>
    <author>tc={58F49CEB-E393-450A-83E6-1D64A0259788}</author>
    <author>tc={B52AC22B-27A7-44CF-ABE2-39395E3EC8A6}</author>
    <author>tc={332753EB-F100-49B2-BE61-27087761D167}</author>
    <author>tc={6F12C491-ECA9-4820-9401-7EE28911F979}</author>
    <author>tc={6FACBB5F-6944-4E98-8FCA-9001449C6DC0}</author>
  </authors>
  <commentList>
    <comment ref="S1" authorId="0" shapeId="0" xr:uid="{6C62B303-E675-4F4D-808C-1876FD88A0B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費課税額にも課税しているため、L列よりも高い金額となっている箇所アリ</t>
      </text>
    </comment>
    <comment ref="V1" authorId="1" shapeId="0" xr:uid="{A32E1BFF-A2FA-4EB0-97FE-F1E7AA4D75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K列/H（I）列が良いかはご相談</t>
      </text>
    </comment>
    <comment ref="BC44" authorId="2" shapeId="0" xr:uid="{067F193E-F3DE-49D1-925C-C1560A3B2927}">
      <text>
        <r>
          <rPr>
            <b/>
            <sz val="9"/>
            <color indexed="81"/>
            <rFont val="MS P ゴシック"/>
            <family val="3"/>
            <charset val="128"/>
          </rPr>
          <t>④原課から増額要求があったため、要求額＋46,070,016円を措置。</t>
        </r>
      </text>
    </comment>
    <comment ref="BI44" authorId="2" shapeId="0" xr:uid="{206EE1E3-83FC-4776-BA2C-3C44D15124CF}">
      <text>
        <r>
          <rPr>
            <b/>
            <sz val="9"/>
            <color indexed="81"/>
            <rFont val="MS P ゴシック"/>
            <family val="3"/>
            <charset val="128"/>
          </rPr>
          <t>③契約実績額に置き換え。</t>
        </r>
      </text>
    </comment>
    <comment ref="B68" authorId="3" shapeId="0" xr:uid="{E525C799-CDBA-4DAF-AB02-239DEB86A8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パラの期間は一棟貸し、アジアは客室全室借上げ</t>
      </text>
    </comment>
    <comment ref="K68" authorId="4" shapeId="0" xr:uid="{EFBF8A8D-5E08-4A8B-A13D-799517E97E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一棟貸しマスト</t>
      </text>
    </comment>
    <comment ref="BC68" authorId="5" shapeId="0" xr:uid="{227E8466-B168-4C48-AB22-76FE44E799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アイリスは一棟貸し</t>
      </text>
    </comment>
    <comment ref="BF68" authorId="6" shapeId="0" xr:uid="{1D40ACF2-4347-4A7E-AF22-E29351B1EF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アイリスは一棟貸し</t>
      </text>
    </comment>
    <comment ref="BL68" authorId="7" shapeId="0" xr:uid="{83240AA2-C48A-40E9-AEAA-8EA18926621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VI検査会場としての費用のため０に減額</t>
      </text>
    </comment>
    <comment ref="B77" authorId="8" shapeId="0" xr:uid="{2AA72DF3-5CA4-4241-AD7D-58FF6DFAE5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個票によると、「提供交渉中」とのこと（＝情報（金額）がない）</t>
      </text>
    </comment>
    <comment ref="B96" authorId="9" shapeId="0" xr:uid="{18FBB624-74C0-4E34-9449-6DC2F5D4529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個票にファンクションルームの情報（金額）記載なし</t>
      </text>
    </comment>
    <comment ref="BC177" authorId="2" shapeId="0" xr:uid="{1D202142-E0C4-4130-8B70-39A990543739}">
      <text>
        <r>
          <rPr>
            <b/>
            <sz val="9"/>
            <color indexed="81"/>
            <rFont val="MS P ゴシック"/>
            <family val="3"/>
            <charset val="128"/>
          </rPr>
          <t>⑤契約実績額（客室61,602,250円、会議室23,073,600円）に置き換え</t>
        </r>
        <r>
          <rPr>
            <sz val="9"/>
            <color indexed="81"/>
            <rFont val="MS P ゴシック"/>
            <family val="3"/>
            <charset val="128"/>
          </rPr>
          <t xml:space="preserve">
</t>
        </r>
      </text>
    </comment>
    <comment ref="B191" authorId="10" shapeId="0" xr:uid="{A00E7ABE-C4B9-4981-B92B-0D3433CB0B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個票に情報（金額）記載なし</t>
      </text>
    </comment>
    <comment ref="B194" authorId="11" shapeId="0" xr:uid="{40AF7F91-A681-4F4D-9220-87AB544942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個票に「継続交渉中」旨あり、情報（金額）は記載なし</t>
      </text>
    </comment>
    <comment ref="AE209" authorId="12" shapeId="0" xr:uid="{58F49CEB-E393-450A-83E6-1D64A02597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t>
      </text>
    </comment>
    <comment ref="AE214" authorId="13" shapeId="0" xr:uid="{B52AC22B-27A7-44CF-ABE2-39395E3EC8A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岐阜グランドホテル公式サイト | 岐阜市 ホテル・宿泊　ぎふ長良川温泉 (gifugrandhotel.co.jp) </t>
      </text>
    </comment>
    <comment ref="AE218" authorId="14" shapeId="0" xr:uid="{332753EB-F100-49B2-BE61-27087761D16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客室・料金紹介｜ご宿泊｜大垣フォーラムホテル (forumhotel.co.jp) </t>
      </text>
    </comment>
    <comment ref="AE221" authorId="15" shapeId="0" xr:uid="{6F12C491-ECA9-4820-9401-7EE28911F97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ホテルKOYO | 岐阜県羽島市【公式】 (hotel-koyo.jp) </t>
      </text>
    </comment>
    <comment ref="AE233" authorId="16" shapeId="0" xr:uid="{6FACBB5F-6944-4E98-8FCA-9001449C6D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未開業</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tc={5B19144E-7E03-43E8-AEE1-BBFF4875C89A}</author>
    <author>tc={B28C9339-AADA-456C-9D35-1F331BED1149}</author>
    <author>tc={FF0C9635-594B-4AA4-A2F9-B3BF382D9AE5}</author>
    <author>tc={D936ABA8-897E-4F26-A723-233DFF394433}</author>
    <author>tc={FEDCC103-9F7A-4018-AF3F-EF5CEDA54B48}</author>
    <author>tc={7F4BFD86-4171-4786-8F3F-EB30B8D0509A}</author>
    <author>tc={080F3E11-18C7-41AB-BFA4-C775DFF95DAA}</author>
  </authors>
  <commentList>
    <comment ref="H57" authorId="0" shapeId="0" xr:uid="{5B19144E-7E03-43E8-AEE1-BBFF4875C89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和室の客室利用想定から96人の収容を想定</t>
      </text>
    </comment>
    <comment ref="V63" authorId="1" shapeId="0" xr:uid="{B28C9339-AADA-456C-9D35-1F331BED114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出発地点：蒲郡市商工会議所 </t>
      </text>
    </comment>
    <comment ref="AB64" authorId="2" shapeId="0" xr:uid="{FF0C9635-594B-4AA4-A2F9-B3BF382D9A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岡崎市中央総合公園への所要時間</t>
      </text>
    </comment>
    <comment ref="AE64" authorId="3" shapeId="0" xr:uid="{D936ABA8-897E-4F26-A723-233DFF3944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豊橋市民球場への所要時間</t>
      </text>
    </comment>
    <comment ref="AB65" authorId="4" shapeId="0" xr:uid="{FEDCC103-9F7A-4018-AF3F-EF5CEDA54B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岡崎市中央総合公園への所要時間</t>
      </text>
    </comment>
    <comment ref="AE65" authorId="5" shapeId="0" xr:uid="{7F4BFD86-4171-4786-8F3F-EB30B8D0509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豊橋市民球場への所要時間</t>
      </text>
    </comment>
    <comment ref="V69" authorId="6" shapeId="0" xr:uid="{080F3E11-18C7-41AB-BFA4-C775DFF95DA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出発地点：新城市桜淵公園 </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tc={FF8E2800-B8C9-41B1-BD35-7DE96D180C14}</author>
    <author>tc={9BF70F9B-5DB4-4F8A-9BF5-529FBDE8BFBD}</author>
    <author>tc={245E1980-E14B-4383-ADBB-CD3871150C5E}</author>
    <author>tc={D42DA8E7-F57C-4A9E-A570-2F869E55169C}</author>
  </authors>
  <commentList>
    <comment ref="BJ15" authorId="0" shapeId="0" xr:uid="{FF8E2800-B8C9-41B1-BD35-7DE96D180C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宴会場とレストランがあるホテル</t>
      </text>
    </comment>
    <comment ref="M17" authorId="1" shapeId="0" xr:uid="{9BF70F9B-5DB4-4F8A-9BF5-529FBDE8BF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JTB様より選手ホテル候補として推薦されているホテル</t>
      </text>
    </comment>
    <comment ref="M23" authorId="2" shapeId="0" xr:uid="{245E1980-E14B-4383-ADBB-CD3871150C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JTB様より選手ホテル候補として推薦されているホテル</t>
      </text>
    </comment>
    <comment ref="M35" authorId="3" shapeId="0" xr:uid="{D42DA8E7-F57C-4A9E-A570-2F869E5516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黄緑セル：JTB様より選手ホテル候補として推薦されているホテル</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10" authorId="0" shapeId="0" xr:uid="{E947EB56-CB9F-4267-A81A-1E3E74EEF9CC}">
      <text>
        <r>
          <rPr>
            <b/>
            <sz val="9"/>
            <color indexed="81"/>
            <rFont val="MS P ゴシック"/>
            <family val="3"/>
            <charset val="128"/>
          </rPr>
          <t>競技課からの最新資料では男子サッカー全体で4会場で151なので35ずつとし、メインスタジアムである豊田のみ46人とする</t>
        </r>
      </text>
    </comment>
    <comment ref="F12" authorId="0" shapeId="0" xr:uid="{C9E5FAD0-2EB3-48CD-B8ED-B14F98F46E40}">
      <text>
        <r>
          <rPr>
            <b/>
            <sz val="9"/>
            <color indexed="81"/>
            <rFont val="MS P ゴシック"/>
            <family val="3"/>
            <charset val="128"/>
          </rPr>
          <t>競技課からの最新資料では野球全体で49
便宜上、半分に分配</t>
        </r>
      </text>
    </comment>
    <comment ref="F19" authorId="0" shapeId="0" xr:uid="{2373476B-3C63-4C59-9416-BB98BFBB1465}">
      <text>
        <r>
          <rPr>
            <b/>
            <sz val="9"/>
            <color indexed="81"/>
            <rFont val="MS P ゴシック"/>
            <family val="3"/>
            <charset val="128"/>
          </rPr>
          <t>競技課からの最新資料では76</t>
        </r>
      </text>
    </comment>
    <comment ref="F27" authorId="0" shapeId="0" xr:uid="{CFB76C6F-6461-4FAB-8BBC-7A90AC166675}">
      <text>
        <r>
          <rPr>
            <b/>
            <sz val="9"/>
            <color indexed="81"/>
            <rFont val="MS P ゴシック"/>
            <family val="3"/>
            <charset val="128"/>
          </rPr>
          <t xml:space="preserve">競技課からの最新資料では女子サッカー全体で4会場で240人になっているので60×4に修正
</t>
        </r>
      </text>
    </comment>
    <comment ref="F40" authorId="0" shapeId="0" xr:uid="{007B3138-50C4-456C-9D31-741573954E1D}">
      <text>
        <r>
          <rPr>
            <b/>
            <sz val="9"/>
            <color indexed="81"/>
            <rFont val="MS P ゴシック"/>
            <family val="3"/>
            <charset val="128"/>
          </rPr>
          <t xml:space="preserve">競技課からの最新資料では24
</t>
        </r>
      </text>
    </comment>
    <comment ref="F49" authorId="0" shapeId="0" xr:uid="{F40BD556-3B0F-4490-B43D-00F7E897701E}">
      <text>
        <r>
          <rPr>
            <b/>
            <sz val="9"/>
            <color indexed="81"/>
            <rFont val="MS P ゴシック"/>
            <family val="3"/>
            <charset val="128"/>
          </rPr>
          <t>競技課からの最新資料では45</t>
        </r>
      </text>
    </comment>
    <comment ref="F51" authorId="0" shapeId="0" xr:uid="{195BEF30-1732-471C-B2EE-B53505197D6E}">
      <text>
        <r>
          <rPr>
            <b/>
            <sz val="9"/>
            <color indexed="81"/>
            <rFont val="MS P ゴシック"/>
            <family val="3"/>
            <charset val="128"/>
          </rPr>
          <t>競技課からの最新資料では80</t>
        </r>
      </text>
    </comment>
    <comment ref="F65" authorId="0" shapeId="0" xr:uid="{360299E2-8DFF-44AD-98CC-7E6E402221DF}">
      <text>
        <r>
          <rPr>
            <b/>
            <sz val="9"/>
            <color indexed="81"/>
            <rFont val="MS P ゴシック"/>
            <family val="3"/>
            <charset val="128"/>
          </rPr>
          <t>種別ごとに分割</t>
        </r>
      </text>
    </comment>
    <comment ref="O65" authorId="0" shapeId="0" xr:uid="{DD49E60F-0BBA-44BE-8FF1-14C5E70BEA7C}">
      <text>
        <r>
          <rPr>
            <b/>
            <sz val="9"/>
            <color indexed="81"/>
            <rFont val="MS P ゴシック"/>
            <family val="3"/>
            <charset val="128"/>
          </rPr>
          <t>種別ごとに分割</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O13" authorId="0" shapeId="0" xr:uid="{EFEBF903-AD3A-4D81-B243-196C377C9140}">
      <text>
        <r>
          <rPr>
            <b/>
            <sz val="9"/>
            <color indexed="81"/>
            <rFont val="MS P ゴシック"/>
            <family val="3"/>
            <charset val="128"/>
          </rPr>
          <t xml:space="preserve">競技課からの最新資料では女子サッカー全体で4会場で240人になっているので60×4に修正
</t>
        </r>
      </text>
    </comment>
    <comment ref="BO27" authorId="0" shapeId="0" xr:uid="{48E4F256-418E-4EEA-9F16-B5B341B9A7F1}">
      <text>
        <r>
          <rPr>
            <b/>
            <sz val="9"/>
            <color indexed="81"/>
            <rFont val="MS P ゴシック"/>
            <family val="3"/>
            <charset val="128"/>
          </rPr>
          <t>競技課からの最新資料では76</t>
        </r>
      </text>
    </comment>
    <comment ref="H29" authorId="0" shapeId="0" xr:uid="{8A0AAFC0-81BA-47E2-84B6-5D8D4BC4C99E}">
      <text>
        <r>
          <rPr>
            <b/>
            <sz val="9"/>
            <color indexed="81"/>
            <rFont val="MS P ゴシック"/>
            <family val="3"/>
            <charset val="128"/>
          </rPr>
          <t>種別ごとに分割</t>
        </r>
      </text>
    </comment>
    <comment ref="BO29" authorId="0" shapeId="0" xr:uid="{5207D077-B657-4DAA-B2C9-A4AF186DC48A}">
      <text>
        <r>
          <rPr>
            <b/>
            <sz val="9"/>
            <color indexed="81"/>
            <rFont val="MS P ゴシック"/>
            <family val="3"/>
            <charset val="128"/>
          </rPr>
          <t>種別ごとに分割</t>
        </r>
      </text>
    </comment>
    <comment ref="BO38" authorId="0" shapeId="0" xr:uid="{877BF6B7-81D3-4347-B327-627E1CB7D9D2}">
      <text>
        <r>
          <rPr>
            <b/>
            <sz val="9"/>
            <color indexed="81"/>
            <rFont val="MS P ゴシック"/>
            <family val="3"/>
            <charset val="128"/>
          </rPr>
          <t>競技課からの最新資料では男子サッカー全体で3会場で151なので50ずつとしメインスタジアムである豊田にTD配置想定</t>
        </r>
      </text>
    </comment>
    <comment ref="BO40" authorId="0" shapeId="0" xr:uid="{EBD9144C-2504-4DF0-9E01-3F5ED8582FF0}">
      <text>
        <r>
          <rPr>
            <b/>
            <sz val="9"/>
            <color indexed="81"/>
            <rFont val="MS P ゴシック"/>
            <family val="3"/>
            <charset val="128"/>
          </rPr>
          <t>競技課からの最新資料では45</t>
        </r>
      </text>
    </comment>
    <comment ref="BO47" authorId="0" shapeId="0" xr:uid="{522A2177-00FE-4688-BBB4-CA78E74CF93C}">
      <text>
        <r>
          <rPr>
            <b/>
            <sz val="9"/>
            <color indexed="81"/>
            <rFont val="MS P ゴシック"/>
            <family val="3"/>
            <charset val="128"/>
          </rPr>
          <t>競技課からの最新資料では80</t>
        </r>
      </text>
    </comment>
    <comment ref="BO52" authorId="0" shapeId="0" xr:uid="{17B6905A-70A1-4F5C-A9CD-A86E37F7ABDD}">
      <text>
        <r>
          <rPr>
            <b/>
            <sz val="9"/>
            <color indexed="81"/>
            <rFont val="MS P ゴシック"/>
            <family val="3"/>
            <charset val="128"/>
          </rPr>
          <t>競技課からの最新資料では野球全体で49
便宜上、半分に分配</t>
        </r>
      </text>
    </comment>
    <comment ref="BO57" authorId="0" shapeId="0" xr:uid="{B31EC98B-5B87-42FB-B7B1-1B8322395D9A}">
      <text>
        <r>
          <rPr>
            <b/>
            <sz val="9"/>
            <color indexed="81"/>
            <rFont val="MS P ゴシック"/>
            <family val="3"/>
            <charset val="128"/>
          </rPr>
          <t xml:space="preserve">競技課からの最新資料では24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tc={A6D2E208-C7BF-435B-BA89-897288D4CECE}</author>
    <author>tc={AD862A27-A8B0-40ED-B48F-5C6468F71F72}</author>
    <author>tc={547982C4-014B-4865-B8E7-D7B9341CDC48}</author>
    <author>tc={F1C0B69F-8F68-4515-A17B-56AD78E89631}</author>
    <author>tc={35E512E8-144A-4A62-A3F6-8E2B97184EF1}</author>
    <author>tc={5A94A561-ACCE-427B-BAFD-0607B5816E9D}</author>
    <author>tc={406D0307-98A2-4B50-9633-3D0A345B2183}</author>
    <author>tc={773B7829-B1AD-42A2-AD51-71B11BA5BA1B}</author>
  </authors>
  <commentList>
    <comment ref="J26" authorId="0" shapeId="0" xr:uid="{A6D2E208-C7BF-435B-BA89-897288D4CE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27" authorId="1" shapeId="0" xr:uid="{AD862A27-A8B0-40ED-B48F-5C6468F71F7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28" authorId="2" shapeId="0" xr:uid="{547982C4-014B-4865-B8E7-D7B9341CDC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29" authorId="3" shapeId="0" xr:uid="{F1C0B69F-8F68-4515-A17B-56AD78E896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30" authorId="4" shapeId="0" xr:uid="{35E512E8-144A-4A62-A3F6-8E2B97184E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31" authorId="5" shapeId="0" xr:uid="{5A94A561-ACCE-427B-BAFD-0607B5816E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32" authorId="6" shapeId="0" xr:uid="{406D0307-98A2-4B50-9633-3D0A345B21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 ref="J34" authorId="7" shapeId="0" xr:uid="{773B7829-B1AD-42A2-AD51-71B11BA5BA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勝手に机上の空論的に配宿。元々提供ないので注意</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2" authorId="0" shapeId="0" xr:uid="{784B1A53-C2BC-4596-B582-A550A3E032E8}">
      <text>
        <r>
          <rPr>
            <b/>
            <sz val="9"/>
            <color indexed="81"/>
            <rFont val="MS P ゴシック"/>
            <family val="3"/>
            <charset val="128"/>
          </rPr>
          <t>使用期間ではなく、帯で確保する「確保期間」とする。</t>
        </r>
      </text>
    </comment>
    <comment ref="B3" authorId="0" shapeId="0" xr:uid="{BF5E1A0B-C774-4980-84A2-6D77BB4F5DC0}">
      <text>
        <r>
          <rPr>
            <b/>
            <sz val="9"/>
            <color indexed="81"/>
            <rFont val="MS P ゴシック"/>
            <family val="3"/>
            <charset val="128"/>
          </rPr>
          <t>各シートからリンク</t>
        </r>
      </text>
    </comment>
    <comment ref="H7" authorId="0" shapeId="0" xr:uid="{3CDE10C1-18EC-4EF3-AC37-9641E99B02D1}">
      <text>
        <r>
          <rPr>
            <b/>
            <sz val="9"/>
            <color indexed="81"/>
            <rFont val="MS P ゴシック"/>
            <family val="3"/>
            <charset val="128"/>
          </rPr>
          <t>最終的にここを出したい。</t>
        </r>
      </text>
    </comment>
    <comment ref="E17" authorId="0" shapeId="0" xr:uid="{04B52291-E184-4118-8D2B-30ADB274AA32}">
      <text>
        <r>
          <rPr>
            <b/>
            <sz val="9"/>
            <color indexed="81"/>
            <rFont val="MS P ゴシック"/>
            <family val="3"/>
            <charset val="128"/>
          </rPr>
          <t>使用期間ではなく、帯で確保する「確保期間」とする。</t>
        </r>
      </text>
    </comment>
    <comment ref="B18" authorId="0" shapeId="0" xr:uid="{E3244033-EBAD-4AAC-A62A-A150292B6865}">
      <text>
        <r>
          <rPr>
            <b/>
            <sz val="9"/>
            <color indexed="81"/>
            <rFont val="MS P ゴシック"/>
            <family val="3"/>
            <charset val="128"/>
          </rPr>
          <t>各シートからリンク</t>
        </r>
      </text>
    </comment>
    <comment ref="G18" authorId="0" shapeId="0" xr:uid="{0C370EC6-7670-4A68-AE45-06E9C114B593}">
      <text>
        <r>
          <rPr>
            <b/>
            <sz val="9"/>
            <color indexed="81"/>
            <rFont val="MS P ゴシック"/>
            <family val="3"/>
            <charset val="128"/>
          </rPr>
          <t>泊数＋1となる。
※チェックアウトの日でも借りるため。</t>
        </r>
      </text>
    </comment>
    <comment ref="H22" authorId="0" shapeId="0" xr:uid="{A492DFC1-B798-4BD6-804A-18201214805E}">
      <text>
        <r>
          <rPr>
            <b/>
            <sz val="9"/>
            <color indexed="81"/>
            <rFont val="MS P ゴシック"/>
            <family val="3"/>
            <charset val="128"/>
          </rPr>
          <t>最終的にここを出したい。</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tc={6302F150-6651-4705-A82B-E7F0146C0F74}</author>
    <author>tc={2C62CBE4-E007-44BD-81B3-CE342A9B955E}</author>
  </authors>
  <commentList>
    <comment ref="E27" authorId="0" shapeId="0" xr:uid="{6302F150-6651-4705-A82B-E7F0146C0F7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【アジア】一部宿泊者＋ファンクションルームIN
※VINODをはじめとする事務方スタッフ＋一部のファンクションルームはこの期間から必要。</t>
      </text>
    </comment>
    <comment ref="AH27" authorId="1" shapeId="0" xr:uid="{2C62CBE4-E007-44BD-81B3-CE342A9B955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【パラ】一部宿泊者＋ファンクションルームIN
※VINODをはじめとする事務方スタッフ＋一部のファンクションルームはこの期間から必要。
</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tc={DD8EECDF-24C9-472D-8E5E-6412063D4E57}</author>
  </authors>
  <commentList>
    <comment ref="U12" authorId="0" shapeId="0" xr:uid="{DD8EECDF-24C9-472D-8E5E-6412063D4E5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宴会場とレストランがあるホテル</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tc={7B296C11-149A-4F90-A562-5D078DAC543C}</author>
  </authors>
  <commentList>
    <comment ref="AE5" authorId="0" shapeId="0" xr:uid="{7B296C11-149A-4F90-A562-5D078DAC54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tc={78FEEFFF-651C-43BF-9A5B-00C8C01093C7}</author>
    <author>tc={A8063083-0995-4898-944B-F84C4B1EE3EE}</author>
  </authors>
  <commentList>
    <comment ref="AE5" authorId="0" shapeId="0" xr:uid="{78FEEFFF-651C-43BF-9A5B-00C8C01093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E32" authorId="1" shapeId="0" xr:uid="{A8063083-0995-4898-944B-F84C4B1EE3E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tc={F5B62FBD-29B3-4C7A-8FB4-B17FFC496C61}</author>
  </authors>
  <commentList>
    <comment ref="AE5" authorId="0" shapeId="0" xr:uid="{F5B62FBD-29B3-4C7A-8FB4-B17FFC496C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tc={0851C4D5-CEE6-4AAD-AA3C-4AAF492C6EDF}</author>
  </authors>
  <commentList>
    <comment ref="AE5" authorId="0" shapeId="0" xr:uid="{0851C4D5-CEE6-4AAD-AA3C-4AAF492C6ED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tc={5A533A9E-9E90-4815-88BF-7C72226FF6C1}</author>
  </authors>
  <commentList>
    <comment ref="AE5" authorId="0" shapeId="0" xr:uid="{5A533A9E-9E90-4815-88BF-7C72226FF6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tc={1CEDD855-EF6A-4338-A534-B52867479F97}</author>
    <author>tc={BF924FF5-9695-4840-85B2-5DF5DFA84AD4}</author>
  </authors>
  <commentList>
    <comment ref="AE5" authorId="0" shapeId="0" xr:uid="{1CEDD855-EF6A-4338-A534-B52867479F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E32" authorId="1" shapeId="0" xr:uid="{BF924FF5-9695-4840-85B2-5DF5DFA84A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tc={4C05DE75-05D0-4980-B1F6-7C12C73C89C5}</author>
  </authors>
  <commentList>
    <comment ref="AE5" authorId="0" shapeId="0" xr:uid="{4C05DE75-05D0-4980-B1F6-7C12C73C89C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tc={033AFA01-55FC-4511-8893-DC42ECC28994}</author>
    <author>tc={0BCC8047-96BA-4C1C-B3B3-5652E2E5D799}</author>
  </authors>
  <commentList>
    <comment ref="AE5" authorId="0" shapeId="0" xr:uid="{033AFA01-55FC-4511-8893-DC42ECC289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E34" authorId="1" shapeId="0" xr:uid="{0BCC8047-96BA-4C1C-B3B3-5652E2E5D79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tc={D354A241-4E4A-4809-97C4-9BDBD09DC848}</author>
    <author>tc={9D28D48D-B514-4CED-BCA7-0BA7B97465F7}</author>
  </authors>
  <commentList>
    <comment ref="AE5" authorId="0" shapeId="0" xr:uid="{D354A241-4E4A-4809-97C4-9BDBD09DC8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E37" authorId="1" shapeId="0" xr:uid="{9D28D48D-B514-4CED-BCA7-0BA7B97465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tc={0D6CB707-14BB-46A0-ADE4-B0E8118E69A4}</author>
    <author>tc={260329AF-DDEC-4EED-A426-2762EDAF89A0}</author>
  </authors>
  <commentList>
    <comment ref="AF6" authorId="0" shapeId="0" xr:uid="{0D6CB707-14BB-46A0-ADE4-B0E8118E69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1" authorId="1" shapeId="0" xr:uid="{260329AF-DDEC-4EED-A426-2762EDAF89A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tc={EE22F1AF-EB83-42F1-9CAD-9CDDE32C5D90}</author>
  </authors>
  <commentList>
    <comment ref="AF5" authorId="0" shapeId="0" xr:uid="{EE22F1AF-EB83-42F1-9CAD-9CDDE32C5D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tc={5B4C9587-B7A9-4CE3-9C57-D18AA13BBCD7}</author>
    <author>tc={77188BC5-A029-4640-AABC-9BB98BC745F7}</author>
  </authors>
  <commentList>
    <comment ref="AF5" authorId="0" shapeId="0" xr:uid="{5B4C9587-B7A9-4CE3-9C57-D18AA13BBCD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F24" authorId="1" shapeId="0" xr:uid="{77188BC5-A029-4640-AABC-9BB98BC745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tc={75FF794A-6832-48AB-8806-1B1C2A960908}</author>
  </authors>
  <commentList>
    <comment ref="AF5" authorId="0" shapeId="0" xr:uid="{75FF794A-6832-48AB-8806-1B1C2A9609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tc={1E615D54-9541-4B16-B960-91108B73455E}</author>
  </authors>
  <commentList>
    <comment ref="AF5" authorId="0" shapeId="0" xr:uid="{1E615D54-9541-4B16-B960-91108B7345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tc={23F168D2-F7B5-46DA-AF40-AC20037B5864}</author>
  </authors>
  <commentList>
    <comment ref="AF5" authorId="0" shapeId="0" xr:uid="{23F168D2-F7B5-46DA-AF40-AC20037B58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tc={BE57C414-09BF-496C-A9E6-0DA098D68946}</author>
    <author>tc={30744347-0B98-4F05-9974-64E178B6B3B1}</author>
  </authors>
  <commentList>
    <comment ref="Z5" authorId="0" shapeId="0" xr:uid="{BE57C414-09BF-496C-A9E6-0DA098D689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Z30" authorId="1" shapeId="0" xr:uid="{30744347-0B98-4F05-9974-64E178B6B3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tc={D557A12E-9B46-47AA-B1D8-D51A41E649B9}</author>
  </authors>
  <commentList>
    <comment ref="AF5" authorId="0" shapeId="0" xr:uid="{D557A12E-9B46-47AA-B1D8-D51A41E649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tc={94CBF3F5-6444-4EF9-BDDB-567DB97C51D3}</author>
    <author>tc={5AF7327A-9897-47B4-9FDA-A2705162A9CD}</author>
  </authors>
  <commentList>
    <comment ref="AF5" authorId="0" shapeId="0" xr:uid="{94CBF3F5-6444-4EF9-BDDB-567DB97C51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F30" authorId="1" shapeId="0" xr:uid="{5AF7327A-9897-47B4-9FDA-A2705162A9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tc={C208D041-6543-4426-A63A-45F7DA4663E5}</author>
  </authors>
  <commentList>
    <comment ref="AF5" authorId="0" shapeId="0" xr:uid="{C208D041-6543-4426-A63A-45F7DA4663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tc={3AAEA4EB-4314-4FF1-BD81-B7F14B930FAC}</author>
  </authors>
  <commentList>
    <comment ref="AF5" authorId="0" shapeId="0" xr:uid="{3AAEA4EB-4314-4FF1-BD81-B7F14B930FA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tc={1E258561-A89F-4EEA-9EB5-6F1D70E323A6}</author>
  </authors>
  <commentList>
    <comment ref="AF6" authorId="0" shapeId="0" xr:uid="{1E258561-A89F-4EEA-9EB5-6F1D70E323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tc={657B52BB-4C69-43F4-9B7E-B670B0960022}</author>
  </authors>
  <commentList>
    <comment ref="AF5" authorId="0" shapeId="0" xr:uid="{657B52BB-4C69-43F4-9B7E-B670B096002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tc={CCCF37B2-4C18-4161-B1E6-6A6CE940F847}</author>
    <author>tc={2A37A02E-C73B-4FE5-8E3B-69F1760B6731}</author>
    <author>tc={0205335E-CC82-4288-85D3-4499CBC5DB6E}</author>
  </authors>
  <commentList>
    <comment ref="AF5" authorId="0" shapeId="0" xr:uid="{CCCF37B2-4C18-4161-B1E6-6A6CE940F84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F31" authorId="1" shapeId="0" xr:uid="{2A37A02E-C73B-4FE5-8E3B-69F1760B67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F56" authorId="2" shapeId="0" xr:uid="{0205335E-CC82-4288-85D3-4499CBC5DB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tc={0DE5A67F-18A1-47C7-96BF-4B6AF6057CBF}</author>
    <author>tc={4FF4B0F3-E9C9-4157-B771-DEEBAFF8D113}</author>
  </authors>
  <commentList>
    <comment ref="AF5" authorId="0" shapeId="0" xr:uid="{0DE5A67F-18A1-47C7-96BF-4B6AF6057CB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1" authorId="1" shapeId="0" xr:uid="{4FF4B0F3-E9C9-4157-B771-DEEBAFF8D1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tc={530A772D-CF7F-416D-939F-C49B03756AFC}</author>
  </authors>
  <commentList>
    <comment ref="AF5" authorId="0" shapeId="0" xr:uid="{530A772D-CF7F-416D-939F-C49B03756A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tc={8CCBD20D-6EA4-4E09-9BA6-B9CC0720C601}</author>
  </authors>
  <commentList>
    <comment ref="AF5" authorId="0" shapeId="0" xr:uid="{8CCBD20D-6EA4-4E09-9BA6-B9CC0720C6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tc={4F63D596-51B0-4D70-BD0B-CC27612C39B0}</author>
    <author>tc={02094F50-9CB2-44A7-8605-89CCF176EB88}</author>
  </authors>
  <commentList>
    <comment ref="AF5" authorId="0" shapeId="0" xr:uid="{4F63D596-51B0-4D70-BD0B-CC27612C39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8" authorId="1" shapeId="0" xr:uid="{02094F50-9CB2-44A7-8605-89CCF176EB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tc={AFA37FA3-14DD-4CAC-9520-D5C4622DC6AD}</author>
  </authors>
  <commentList>
    <comment ref="N14" authorId="0" shapeId="0" xr:uid="{AFA37FA3-14DD-4CAC-9520-D5C4622DC6A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1日あたりの料金を無理やり算出</t>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tc={6AFEDA82-C3E7-43B9-8686-680614B88601}</author>
    <author>tc={79FE05DD-A4F5-492C-961B-0A8242B48AE0}</author>
  </authors>
  <commentList>
    <comment ref="AF6" authorId="0" shapeId="0" xr:uid="{6AFEDA82-C3E7-43B9-8686-680614B886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1" authorId="1" shapeId="0" xr:uid="{79FE05DD-A4F5-492C-961B-0A8242B48A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tc={92B5E258-1367-4BC5-9F3D-F661E01E5E5E}</author>
  </authors>
  <commentList>
    <comment ref="AF5" authorId="0" shapeId="0" xr:uid="{92B5E258-1367-4BC5-9F3D-F661E01E5E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tc={0D586CBE-2F25-4378-A598-D14D1F164D55}</author>
    <author>tc={90575023-F616-4C3C-ADCF-F8DE23820CF9}</author>
  </authors>
  <commentList>
    <comment ref="AF5" authorId="0" shapeId="0" xr:uid="{0D586CBE-2F25-4378-A598-D14D1F164D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F28" authorId="1" shapeId="0" xr:uid="{90575023-F616-4C3C-ADCF-F8DE23820CF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tc={B6B5D066-B935-4338-9FFB-517BA76F97D8}</author>
  </authors>
  <commentList>
    <comment ref="AF5" authorId="0" shapeId="0" xr:uid="{B6B5D066-B935-4338-9FFB-517BA76F97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tc={E6110F5F-5B00-4064-975C-9725F5D584A6}</author>
    <author>tc={574DB4DA-5394-4359-AA73-2A825DA54B5F}</author>
  </authors>
  <commentList>
    <comment ref="AF5" authorId="0" shapeId="0" xr:uid="{E6110F5F-5B00-4064-975C-9725F5D584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0" authorId="1" shapeId="0" xr:uid="{574DB4DA-5394-4359-AA73-2A825DA54B5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tc={F7A646B8-0AB8-46BB-A7F7-F242632062A6}</author>
  </authors>
  <commentList>
    <comment ref="AF6" authorId="0" shapeId="0" xr:uid="{F7A646B8-0AB8-46BB-A7F7-F242632062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tc={594B238A-047C-4E36-989B-F37889CA10DC}</author>
  </authors>
  <commentList>
    <comment ref="AF5" authorId="0" shapeId="0" xr:uid="{594B238A-047C-4E36-989B-F37889CA10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tc={F65377C5-AD0E-4110-95A6-41D81F777333}</author>
  </authors>
  <commentList>
    <comment ref="AF5" authorId="0" shapeId="0" xr:uid="{F65377C5-AD0E-4110-95A6-41D81F77733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tc={590DFF99-5067-4A1D-9C17-C92A36EBD9FF}</author>
  </authors>
  <commentList>
    <comment ref="AF5" authorId="0" shapeId="0" xr:uid="{590DFF99-5067-4A1D-9C17-C92A36EBD9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tc={22B0690E-A7D3-49FF-A0EC-EE748F3CDA6B}</author>
  </authors>
  <commentList>
    <comment ref="AF5" authorId="0" shapeId="0" xr:uid="{22B0690E-A7D3-49FF-A0EC-EE748F3CDA6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tc={8E660C1D-8F8A-4E35-A44D-8F9F766FCFD6}</author>
    <author>tc={2B2C2E27-A0ED-4E54-8C90-D7B50C9140D3}</author>
  </authors>
  <commentList>
    <comment ref="AF5" authorId="0" shapeId="0" xr:uid="{8E660C1D-8F8A-4E35-A44D-8F9F766FCFD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0" authorId="1" shapeId="0" xr:uid="{2B2C2E27-A0ED-4E54-8C90-D7B50C9140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tc={2F5C6CE6-9811-4896-9528-5593B7D37353}</author>
    <author>tc={9A515634-78CF-455C-BC1F-75132B526ED6}</author>
    <author>tc={2DD066B5-3FBE-4914-9301-88111E9DC973}</author>
    <author>tc={57BD21FA-242A-40C9-8918-F8E9BD92557F}</author>
  </authors>
  <commentList>
    <comment ref="AF5" authorId="0" shapeId="0" xr:uid="{2F5C6CE6-9811-4896-9528-5593B7D373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E11" authorId="1" shapeId="0" xr:uid="{9A515634-78CF-455C-BC1F-75132B526ED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ロードからトラックに参加する選手が50名程度？2日間泊まる場所を確保する必要がある</t>
      </text>
    </comment>
    <comment ref="M11" authorId="2" shapeId="0" xr:uid="{2DD066B5-3FBE-4914-9301-88111E9DC9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客室料金（朝食込）＋昼食夕食16,900円＋朝食差額1,100円を入れた料金</t>
      </text>
    </comment>
    <comment ref="AF30" authorId="3" shapeId="0" xr:uid="{57BD21FA-242A-40C9-8918-F8E9BD9255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tc={68CDF834-36E9-4204-99EA-88BB5867B03D}</author>
  </authors>
  <commentList>
    <comment ref="I29" authorId="0" shapeId="0" xr:uid="{68CDF834-36E9-4204-99EA-88BB5867B0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車いすは特殊対応</t>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tc={038A4728-7484-4B6A-9416-79958B587580}</author>
    <author>tc={12ADCF3D-BEDB-45AF-923F-63C34AF174A8}</author>
  </authors>
  <commentList>
    <comment ref="AF5" authorId="0" shapeId="0" xr:uid="{038A4728-7484-4B6A-9416-79958B5875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3" authorId="1" shapeId="0" xr:uid="{12ADCF3D-BEDB-45AF-923F-63C34AF174A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tc={AC6EEB7D-DACB-4CC1-9BAC-0691D6D4F081}</author>
    <author>tc={9C1169A1-ACD1-4A48-8399-55C801514C8B}</author>
  </authors>
  <commentList>
    <comment ref="AF5" authorId="0" shapeId="0" xr:uid="{AC6EEB7D-DACB-4CC1-9BAC-0691D6D4F08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 ref="AF30" authorId="1" shapeId="0" xr:uid="{9C1169A1-ACD1-4A48-8399-55C801514C8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tc={21367BCB-C6DA-4F12-B6A4-2875FB51942D}</author>
  </authors>
  <commentList>
    <comment ref="AF5" authorId="0" shapeId="0" xr:uid="{21367BCB-C6DA-4F12-B6A4-2875FB51942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tc={1A832572-6119-488F-BAAF-6883C2C8E4D0}</author>
    <author>tc={D451E3D2-32FB-422E-9FB8-AD5392878E2B}</author>
  </authors>
  <commentList>
    <comment ref="AF5" authorId="0" shapeId="0" xr:uid="{1A832572-6119-488F-BAAF-6883C2C8E4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F29" authorId="1" shapeId="0" xr:uid="{D451E3D2-32FB-422E-9FB8-AD5392878E2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tc={E8E0EC61-54BD-43B5-8714-3FE33B2280C7}</author>
  </authors>
  <commentList>
    <comment ref="AF5" authorId="0" shapeId="0" xr:uid="{E8E0EC61-54BD-43B5-8714-3FE33B2280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tc={69EC1FBF-38DA-4A2D-8065-954E70E6090C}</author>
  </authors>
  <commentList>
    <comment ref="AF5" authorId="0" shapeId="0" xr:uid="{69EC1FBF-38DA-4A2D-8065-954E70E609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これはホテル様には不要と思いますが、組織委員会内部で使用したいので記載したままでお願いしたいです。</t>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tc={991C1559-62A2-4FAB-A6F4-925C47EBC203}</author>
    <author>tc={550A9A5A-47EA-4834-9FBB-4F1B7A184832}</author>
  </authors>
  <commentList>
    <comment ref="AG5" authorId="0" shapeId="0" xr:uid="{991C1559-62A2-4FAB-A6F4-925C47EBC2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AH5" authorId="1" shapeId="0" xr:uid="{550A9A5A-47EA-4834-9FBB-4F1B7A1848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tc={92E9F99A-2A12-457A-86A8-E944B776B935}</author>
    <author>tc={68B64020-836E-4D9A-AEB3-B426C8BB4DCF}</author>
    <author>tc={7FEB27EB-D8C7-4D5B-AD06-FC396693D591}</author>
  </authors>
  <commentList>
    <comment ref="B5" authorId="0" shapeId="0" xr:uid="{92E9F99A-2A12-457A-86A8-E944B776B93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組織委員会の準備期間は必要ですか？
必要な場合は選手・ファミリー用の別紙1と同じ様式になるかと思います。</t>
      </text>
    </comment>
    <comment ref="Z5" authorId="1" shapeId="0" xr:uid="{68B64020-836E-4D9A-AEB3-B426C8BB4D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 ref="Z26" authorId="2" shapeId="0" xr:uid="{7FEB27EB-D8C7-4D5B-AD06-FC396693D59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これはホテルに見せるようには不要と思いますが、組織委員会内部で使用したいので記載したままでお願いしたいです。</t>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tc={8BCC5D53-0A6A-45D5-B32F-C4F7D7874861}</author>
    <author>tc={5C01DE0E-43B2-4ED7-8448-F724CC3752E2}</author>
    <author>tc={26144C4A-8374-4572-9BF6-DD9D5E14DCEE}</author>
    <author>tc={A300B0F0-F99F-494A-87BC-BFFBF43A53ED}</author>
    <author>tc={CD50B7EA-B1D6-4E6B-A4DE-4DFAE5073BB8}</author>
    <author>tc={0566EF39-52ED-4982-997D-955275BE2146}</author>
    <author>tc={EFD1CB83-E132-41EB-B229-045D7D86061F}</author>
    <author>tc={680024D0-11F0-4DEF-9FEE-45DC97E83389}</author>
    <author>tc={3CA416A8-2C59-4D88-8C41-8550D704037A}</author>
    <author>tc={D6620E09-8EE9-4EE1-91D2-A4E1DCEFEE12}</author>
    <author>tc={6E477BB6-0C03-4724-A468-B65FE5D15BC5}</author>
    <author>tc={D2BD85ED-1C56-430B-9434-97DAFD5FB7A2}</author>
  </authors>
  <commentList>
    <comment ref="Q1" authorId="0" shapeId="0" xr:uid="{8BCC5D53-0A6A-45D5-B32F-C4F7D78748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費課税額にも課税しているため、L列よりも高い金額となっている箇所アリ</t>
      </text>
    </comment>
    <comment ref="T1" authorId="1" shapeId="0" xr:uid="{5C01DE0E-43B2-4ED7-8448-F724CC3752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K列/H（I）列が良いかはご相談</t>
      </text>
    </comment>
    <comment ref="AF1" authorId="2" shapeId="0" xr:uid="{26144C4A-8374-4572-9BF6-DD9D5E14DCE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概算費用積算書の合計額</t>
      </text>
    </comment>
    <comment ref="B76" authorId="3" shapeId="0" xr:uid="{A300B0F0-F99F-494A-87BC-BFFBF43A53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個票によると、「提供交渉中」とのこと（＝情報（金額）がない）</t>
      </text>
    </comment>
    <comment ref="B93" authorId="4" shapeId="0" xr:uid="{CD50B7EA-B1D6-4E6B-A4DE-4DFAE5073B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個票にファンクションルームの情報（金額）記載なし</t>
      </text>
    </comment>
    <comment ref="B186" authorId="5" shapeId="0" xr:uid="{0566EF39-52ED-4982-997D-955275BE21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個票に情報（金額）記載なし</t>
      </text>
    </comment>
    <comment ref="B189" authorId="6" shapeId="0" xr:uid="{EFD1CB83-E132-41EB-B229-045D7D8606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個票に「継続交渉中」旨あり、情報（金額）は記載なし</t>
      </text>
    </comment>
    <comment ref="AC202" authorId="7" shapeId="0" xr:uid="{680024D0-11F0-4DEF-9FEE-45DC97E8338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t>
      </text>
    </comment>
    <comment ref="AC207" authorId="8" shapeId="0" xr:uid="{3CA416A8-2C59-4D88-8C41-8550D704037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岐阜グランドホテル公式サイト | 岐阜市 ホテル・宿泊　ぎふ長良川温泉 (gifugrandhotel.co.jp) </t>
      </text>
    </comment>
    <comment ref="AC211" authorId="9" shapeId="0" xr:uid="{D6620E09-8EE9-4EE1-91D2-A4E1DCEFEE1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客室・料金紹介｜ご宿泊｜大垣フォーラムホテル (forumhotel.co.jp) </t>
      </text>
    </comment>
    <comment ref="AC214" authorId="10" shapeId="0" xr:uid="{6E477BB6-0C03-4724-A468-B65FE5D15BC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ホテルKOYO | 岐阜県羽島市【公式】 (hotel-koyo.jp) </t>
      </text>
    </comment>
    <comment ref="AC226" authorId="11" shapeId="0" xr:uid="{D2BD85ED-1C56-430B-9434-97DAFD5FB7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未開業</t>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tc={1D50D4A2-EBD3-4F22-9601-CA06C5D41F14}</author>
    <author>tc={721850C3-AF6D-4282-A1D5-8F38532B46D9}</author>
    <author>tc={0FD2DDB7-C776-43DC-9DCE-ECB1E5D4FE8F}</author>
    <author>tc={2034C9BB-812D-4BDD-A405-99D3974E6D7D}</author>
    <author>tc={DFC79044-6F0B-49BD-9D43-F6495EB20225}</author>
    <author>tc={41ABDD97-3AAE-4EE1-A555-B83DB05F6509}</author>
    <author>tc={65E5C98E-AA2E-4C2A-AB9F-C325051B2920}</author>
    <author>tc={7531BFB8-76B1-4141-BA4B-43827705ED5A}</author>
    <author>tc={F9FD825D-E895-40B3-9E13-A01B4805A266}</author>
    <author>tc={E00E825D-8AB0-4F94-9796-BB70C9F0F655}</author>
    <author>tc={2134AC64-886F-48F0-9E5A-3156257AA21E}</author>
    <author>tc={AAFE1DD9-3196-4C9A-9D06-98F8BB563AED}</author>
  </authors>
  <commentList>
    <comment ref="Q1" authorId="0" shapeId="0" xr:uid="{1D50D4A2-EBD3-4F22-9601-CA06C5D41F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費課税額にも課税しているため、L列よりも高い金額となっている箇所アリ</t>
      </text>
    </comment>
    <comment ref="T1" authorId="1" shapeId="0" xr:uid="{721850C3-AF6D-4282-A1D5-8F38532B46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K列/H（I）列が良いかはご相談</t>
      </text>
    </comment>
    <comment ref="AD1" authorId="2" shapeId="0" xr:uid="{0FD2DDB7-C776-43DC-9DCE-ECB1E5D4FE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概算費用積算書の合計額</t>
      </text>
    </comment>
    <comment ref="B72" authorId="3" shapeId="0" xr:uid="{2034C9BB-812D-4BDD-A405-99D3974E6D7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個票によると、「提供交渉中」とのこと（＝情報（金額）がない）</t>
      </text>
    </comment>
    <comment ref="B89" authorId="4" shapeId="0" xr:uid="{DFC79044-6F0B-49BD-9D43-F6495EB202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個票にファンクションルームの情報（金額）記載なし</t>
      </text>
    </comment>
    <comment ref="B180" authorId="5" shapeId="0" xr:uid="{41ABDD97-3AAE-4EE1-A555-B83DB05F65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個票に情報（金額）記載なし</t>
      </text>
    </comment>
    <comment ref="B183" authorId="6" shapeId="0" xr:uid="{65E5C98E-AA2E-4C2A-AB9F-C325051B292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個票に「継続交渉中」旨あり、情報（金額）は記載なし</t>
      </text>
    </comment>
    <comment ref="Y196" authorId="7" shapeId="0" xr:uid="{7531BFB8-76B1-4141-BA4B-43827705ED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t>
      </text>
    </comment>
    <comment ref="Y201" authorId="8" shapeId="0" xr:uid="{F9FD825D-E895-40B3-9E13-A01B4805A26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岐阜グランドホテル公式サイト | 岐阜市 ホテル・宿泊　ぎふ長良川温泉 (gifugrandhotel.co.jp) </t>
      </text>
    </comment>
    <comment ref="Y205" authorId="9" shapeId="0" xr:uid="{E00E825D-8AB0-4F94-9796-BB70C9F0F65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客室・料金紹介｜ご宿泊｜大垣フォーラムホテル (forumhotel.co.jp) </t>
      </text>
    </comment>
    <comment ref="Y208" authorId="10" shapeId="0" xr:uid="{2134AC64-886F-48F0-9E5A-3156257AA21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記載なし
ホテルKOYO | 岐阜県羽島市【公式】 (hotel-koyo.jp) </t>
      </text>
    </comment>
    <comment ref="Y220" authorId="11" shapeId="0" xr:uid="{AAFE1DD9-3196-4C9A-9D06-98F8BB563A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未開業</t>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5" authorId="0" shapeId="0" xr:uid="{E38E02DF-F230-4845-BA10-07D9D967B347}">
      <text>
        <r>
          <rPr>
            <sz val="9"/>
            <color indexed="81"/>
            <rFont val="MS P ゴシック"/>
            <family val="3"/>
            <charset val="128"/>
          </rPr>
          <t>実績値である2021➡2024の上昇率のみ考える</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クエリ - 宿泊施設DB" description="ブック内の '宿泊施設DB' クエリへの接続です。" type="5" refreshedVersion="8" background="1" saveData="1">
    <dbPr connection="Provider=Microsoft.Mashup.OleDb.1;Data Source=$Workbook$;Location=宿泊施設DB;Extended Properties=&quot;&quot;" command="SELECT * FROM [宿泊施設DB]"/>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<sst xmlns="http://schemas.openxmlformats.org/spreadsheetml/2006/main" count="75161" uniqueCount="7076">
  <si>
    <t>施設番号</t>
    <rPh sb="0" eb="4">
      <t>シセツバンゴウ</t>
    </rPh>
    <phoneticPr fontId="2"/>
  </si>
  <si>
    <t>施設名</t>
    <rPh sb="0" eb="3">
      <t>シセツメイ</t>
    </rPh>
    <phoneticPr fontId="2"/>
  </si>
  <si>
    <t>住所</t>
    <rPh sb="0" eb="2">
      <t>ジュウショ</t>
    </rPh>
    <phoneticPr fontId="2"/>
  </si>
  <si>
    <t>市町村</t>
    <rPh sb="0" eb="3">
      <t>シチョウソン</t>
    </rPh>
    <phoneticPr fontId="2"/>
  </si>
  <si>
    <t>一宮市</t>
    <rPh sb="0" eb="3">
      <t>イチノミヤシ</t>
    </rPh>
    <phoneticPr fontId="2"/>
  </si>
  <si>
    <t>春日井市</t>
    <rPh sb="0" eb="4">
      <t>カスガイシ</t>
    </rPh>
    <phoneticPr fontId="2"/>
  </si>
  <si>
    <t>小牧市</t>
    <phoneticPr fontId="2"/>
  </si>
  <si>
    <t>名古屋市</t>
    <rPh sb="0" eb="4">
      <t>ナゴヤシ</t>
    </rPh>
    <phoneticPr fontId="2"/>
  </si>
  <si>
    <t>豊田市</t>
    <rPh sb="0" eb="3">
      <t>トヨタシ</t>
    </rPh>
    <phoneticPr fontId="2"/>
  </si>
  <si>
    <t>安城市</t>
    <phoneticPr fontId="2"/>
  </si>
  <si>
    <t>岡崎市</t>
    <rPh sb="0" eb="3">
      <t>オカザキシ</t>
    </rPh>
    <phoneticPr fontId="2"/>
  </si>
  <si>
    <t>蒲郡市</t>
    <rPh sb="0" eb="3">
      <t>ガマゴオリシ</t>
    </rPh>
    <phoneticPr fontId="2"/>
  </si>
  <si>
    <t>田原市</t>
    <phoneticPr fontId="2"/>
  </si>
  <si>
    <t>豊橋市</t>
    <rPh sb="0" eb="3">
      <t>トヨハシシ</t>
    </rPh>
    <phoneticPr fontId="2"/>
  </si>
  <si>
    <t>常滑市</t>
    <rPh sb="0" eb="3">
      <t>トコナメシ</t>
    </rPh>
    <phoneticPr fontId="2"/>
  </si>
  <si>
    <t>東海市</t>
    <rPh sb="0" eb="3">
      <t>トウカイシ</t>
    </rPh>
    <phoneticPr fontId="2"/>
  </si>
  <si>
    <t>新城市</t>
    <phoneticPr fontId="2"/>
  </si>
  <si>
    <t>犬山市</t>
    <rPh sb="0" eb="3">
      <t>イヌヤマシ</t>
    </rPh>
    <phoneticPr fontId="2"/>
  </si>
  <si>
    <t>碧南市</t>
    <rPh sb="0" eb="3">
      <t>ヘキナンシ</t>
    </rPh>
    <phoneticPr fontId="2"/>
  </si>
  <si>
    <t>大阪府大阪市</t>
    <rPh sb="0" eb="3">
      <t>オオサカフ</t>
    </rPh>
    <rPh sb="3" eb="6">
      <t>オオサカシ</t>
    </rPh>
    <phoneticPr fontId="2"/>
  </si>
  <si>
    <t>大阪府堺市</t>
    <rPh sb="0" eb="3">
      <t>オオサカフ</t>
    </rPh>
    <rPh sb="3" eb="5">
      <t>サカイシ</t>
    </rPh>
    <phoneticPr fontId="2"/>
  </si>
  <si>
    <t>静岡県掛川市</t>
    <rPh sb="0" eb="3">
      <t>シズオカケン</t>
    </rPh>
    <rPh sb="3" eb="6">
      <t>カケガワシ</t>
    </rPh>
    <phoneticPr fontId="2"/>
  </si>
  <si>
    <t>静岡県伊豆市</t>
    <rPh sb="0" eb="3">
      <t>シズオカケン</t>
    </rPh>
    <rPh sb="3" eb="6">
      <t>イズシ</t>
    </rPh>
    <phoneticPr fontId="2"/>
  </si>
  <si>
    <t>岐阜県岐阜市</t>
    <rPh sb="0" eb="3">
      <t>ギフケン</t>
    </rPh>
    <rPh sb="3" eb="6">
      <t>ギフシ</t>
    </rPh>
    <phoneticPr fontId="2"/>
  </si>
  <si>
    <t>岐阜県大垣市</t>
    <rPh sb="0" eb="3">
      <t>ギフケン</t>
    </rPh>
    <phoneticPr fontId="2"/>
  </si>
  <si>
    <t>岐阜県各務原市</t>
    <rPh sb="0" eb="3">
      <t>ギフケン</t>
    </rPh>
    <rPh sb="3" eb="7">
      <t>カカミガハラシ</t>
    </rPh>
    <phoneticPr fontId="2"/>
  </si>
  <si>
    <t>岐阜県羽島市</t>
    <rPh sb="0" eb="3">
      <t>ギフケン</t>
    </rPh>
    <rPh sb="3" eb="6">
      <t>ハシマシ</t>
    </rPh>
    <phoneticPr fontId="2"/>
  </si>
  <si>
    <t>静岡県浜松市</t>
    <rPh sb="0" eb="3">
      <t>シズオカケン</t>
    </rPh>
    <rPh sb="3" eb="6">
      <t>ハママツシ</t>
    </rPh>
    <phoneticPr fontId="2"/>
  </si>
  <si>
    <t>東京都江東区</t>
    <rPh sb="0" eb="3">
      <t>トウキョウト</t>
    </rPh>
    <phoneticPr fontId="2"/>
  </si>
  <si>
    <t>東京都新宿区</t>
    <rPh sb="0" eb="3">
      <t>トウキョウト</t>
    </rPh>
    <rPh sb="3" eb="6">
      <t>シンジュクク</t>
    </rPh>
    <phoneticPr fontId="2"/>
  </si>
  <si>
    <t>東京都世田谷区</t>
    <rPh sb="0" eb="3">
      <t>トウキョウト</t>
    </rPh>
    <rPh sb="3" eb="7">
      <t>セタガヤク</t>
    </rPh>
    <phoneticPr fontId="2"/>
  </si>
  <si>
    <t>東京都港区</t>
    <rPh sb="0" eb="3">
      <t>トウキョウト</t>
    </rPh>
    <rPh sb="3" eb="5">
      <t>ミナトク</t>
    </rPh>
    <phoneticPr fontId="2"/>
  </si>
  <si>
    <t>静岡県三島市</t>
    <rPh sb="0" eb="3">
      <t>シズオカケン</t>
    </rPh>
    <rPh sb="3" eb="6">
      <t>ミシマシ</t>
    </rPh>
    <phoneticPr fontId="2"/>
  </si>
  <si>
    <t>大阪府大阪市住之江区南港北1丁目13-11 ·</t>
    <phoneticPr fontId="2"/>
  </si>
  <si>
    <t>岐阜県多治見市</t>
    <rPh sb="0" eb="3">
      <t>ギフケン</t>
    </rPh>
    <rPh sb="3" eb="6">
      <t>タジミ</t>
    </rPh>
    <rPh sb="6" eb="7">
      <t>シ</t>
    </rPh>
    <phoneticPr fontId="2"/>
  </si>
  <si>
    <t>24/10時点</t>
    <rPh sb="5" eb="7">
      <t>ジテン</t>
    </rPh>
    <phoneticPr fontId="46"/>
  </si>
  <si>
    <t>全体予算</t>
    <rPh sb="0" eb="4">
      <t>ゼンタイヨサン</t>
    </rPh>
    <phoneticPr fontId="46"/>
  </si>
  <si>
    <t>アジア</t>
    <phoneticPr fontId="46"/>
  </si>
  <si>
    <t>一旦計算（非表示）</t>
    <rPh sb="0" eb="2">
      <t>イッタン</t>
    </rPh>
    <rPh sb="2" eb="4">
      <t>ケイサン</t>
    </rPh>
    <rPh sb="5" eb="8">
      <t>ヒヒョウジ</t>
    </rPh>
    <phoneticPr fontId="46"/>
  </si>
  <si>
    <t>パラ</t>
    <phoneticPr fontId="46"/>
  </si>
  <si>
    <t>全体</t>
    <rPh sb="0" eb="2">
      <t>ゼンタイ</t>
    </rPh>
    <phoneticPr fontId="46"/>
  </si>
  <si>
    <t>予算項目</t>
    <rPh sb="0" eb="4">
      <t>ヨサンコウモク</t>
    </rPh>
    <phoneticPr fontId="46"/>
  </si>
  <si>
    <t>予算金額（VIL移管分含む）</t>
    <rPh sb="0" eb="4">
      <t>ヨサンキンガク</t>
    </rPh>
    <rPh sb="8" eb="10">
      <t>イカン</t>
    </rPh>
    <rPh sb="10" eb="11">
      <t>ブン</t>
    </rPh>
    <rPh sb="11" eb="12">
      <t>フク</t>
    </rPh>
    <phoneticPr fontId="46"/>
  </si>
  <si>
    <t>項目</t>
    <rPh sb="0" eb="2">
      <t>コウモク</t>
    </rPh>
    <phoneticPr fontId="46"/>
  </si>
  <si>
    <t>単価</t>
    <rPh sb="0" eb="2">
      <t>タンカ</t>
    </rPh>
    <phoneticPr fontId="46"/>
  </si>
  <si>
    <t>人数</t>
    <rPh sb="0" eb="2">
      <t>ニンズウ</t>
    </rPh>
    <phoneticPr fontId="46"/>
  </si>
  <si>
    <t>泊数</t>
    <rPh sb="0" eb="1">
      <t>ハク</t>
    </rPh>
    <rPh sb="1" eb="2">
      <t>スウ</t>
    </rPh>
    <phoneticPr fontId="46"/>
  </si>
  <si>
    <t>小計</t>
    <rPh sb="0" eb="2">
      <t>ショウケイ</t>
    </rPh>
    <phoneticPr fontId="46"/>
  </si>
  <si>
    <t>合計</t>
    <rPh sb="0" eb="2">
      <t>ゴウケイ</t>
    </rPh>
    <phoneticPr fontId="46"/>
  </si>
  <si>
    <t>客室確保費（朝食付）</t>
  </si>
  <si>
    <t>ホテル（選手団）</t>
    <rPh sb="4" eb="7">
      <t>センシュダン</t>
    </rPh>
    <phoneticPr fontId="46"/>
  </si>
  <si>
    <t>ホテル（選手団以外）</t>
    <rPh sb="4" eb="7">
      <t>センシュダン</t>
    </rPh>
    <rPh sb="7" eb="9">
      <t>イガイ</t>
    </rPh>
    <phoneticPr fontId="46"/>
  </si>
  <si>
    <t>（ファミリーAINAGOC負担）</t>
    <rPh sb="13" eb="15">
      <t>フタン</t>
    </rPh>
    <phoneticPr fontId="46"/>
  </si>
  <si>
    <r>
      <t>（ファミリー</t>
    </r>
    <r>
      <rPr>
        <i/>
        <sz val="12"/>
        <color rgb="FFFF0000"/>
        <rFont val="メイリオ"/>
        <family val="3"/>
        <charset val="128"/>
      </rPr>
      <t>利用者負担</t>
    </r>
    <r>
      <rPr>
        <i/>
        <sz val="12"/>
        <color theme="1" tint="0.34998626667073579"/>
        <rFont val="メイリオ"/>
        <family val="3"/>
        <charset val="128"/>
      </rPr>
      <t>）</t>
    </r>
    <rPh sb="6" eb="9">
      <t>リヨウシャ</t>
    </rPh>
    <rPh sb="9" eb="11">
      <t>フタン</t>
    </rPh>
    <phoneticPr fontId="46"/>
  </si>
  <si>
    <t>（技術役員）</t>
    <rPh sb="1" eb="5">
      <t>ギジュツヤクイン</t>
    </rPh>
    <phoneticPr fontId="46"/>
  </si>
  <si>
    <r>
      <t>（スポンサー</t>
    </r>
    <r>
      <rPr>
        <i/>
        <sz val="12"/>
        <color rgb="FFEE0000"/>
        <rFont val="メイリオ"/>
        <family val="3"/>
        <charset val="128"/>
      </rPr>
      <t>利用者負担</t>
    </r>
    <r>
      <rPr>
        <i/>
        <sz val="12"/>
        <color theme="1" tint="0.34998626667073579"/>
        <rFont val="メイリオ"/>
        <family val="3"/>
        <charset val="128"/>
      </rPr>
      <t>）</t>
    </r>
    <rPh sb="6" eb="11">
      <t>リヨウシャフタン</t>
    </rPh>
    <phoneticPr fontId="46"/>
  </si>
  <si>
    <r>
      <t>（メディア</t>
    </r>
    <r>
      <rPr>
        <i/>
        <sz val="12"/>
        <color rgb="FFEE0000"/>
        <rFont val="メイリオ"/>
        <family val="3"/>
        <charset val="128"/>
      </rPr>
      <t>利用者負担</t>
    </r>
    <r>
      <rPr>
        <i/>
        <sz val="12"/>
        <color theme="1" tint="0.34998626667073579"/>
        <rFont val="メイリオ"/>
        <family val="3"/>
        <charset val="128"/>
      </rPr>
      <t>）</t>
    </r>
    <rPh sb="5" eb="8">
      <t>リヨウシャ</t>
    </rPh>
    <rPh sb="8" eb="10">
      <t>フタン</t>
    </rPh>
    <phoneticPr fontId="46"/>
  </si>
  <si>
    <t>飲食費（昼食及び夕食）</t>
  </si>
  <si>
    <t>（ファミリーAINAGOC負担）</t>
    <phoneticPr fontId="46"/>
  </si>
  <si>
    <r>
      <t>（ファミリー</t>
    </r>
    <r>
      <rPr>
        <sz val="12"/>
        <color rgb="FFEE0000"/>
        <rFont val="メイリオ"/>
        <family val="3"/>
        <charset val="128"/>
      </rPr>
      <t>利用者負担</t>
    </r>
    <r>
      <rPr>
        <sz val="12"/>
        <color theme="1" tint="0.34998626667073579"/>
        <rFont val="メイリオ"/>
        <family val="3"/>
        <charset val="128"/>
      </rPr>
      <t>）</t>
    </r>
    <phoneticPr fontId="46"/>
  </si>
  <si>
    <t>コンテナ</t>
    <phoneticPr fontId="46"/>
  </si>
  <si>
    <t>コンテナ（選手団）</t>
    <rPh sb="5" eb="8">
      <t>センシュダン</t>
    </rPh>
    <phoneticPr fontId="46"/>
  </si>
  <si>
    <t>コンテナ（NOC本部）</t>
    <rPh sb="8" eb="10">
      <t>ホンブ</t>
    </rPh>
    <phoneticPr fontId="46"/>
  </si>
  <si>
    <t>飲食費（ハラル・ヴィーガン対応）</t>
  </si>
  <si>
    <t>ホテル</t>
    <phoneticPr fontId="46"/>
  </si>
  <si>
    <t>飲食費（グラブアンドゴー）</t>
  </si>
  <si>
    <t>船</t>
    <rPh sb="0" eb="1">
      <t>フネ</t>
    </rPh>
    <phoneticPr fontId="46"/>
  </si>
  <si>
    <t>飲食費（アスリートミール：船）</t>
  </si>
  <si>
    <t>飲食費（空港島運営及びガーデンふ頭運営及び仮設厨房）内容については別紙参照</t>
  </si>
  <si>
    <t>空港島運営経費</t>
    <rPh sb="0" eb="3">
      <t>クウコウジマ</t>
    </rPh>
    <rPh sb="3" eb="7">
      <t>ウンエイケイヒ</t>
    </rPh>
    <phoneticPr fontId="46"/>
  </si>
  <si>
    <t>空港島仮設厨房経費</t>
    <rPh sb="0" eb="3">
      <t>クウコウジマ</t>
    </rPh>
    <rPh sb="3" eb="7">
      <t>カセツチュウボウ</t>
    </rPh>
    <rPh sb="7" eb="9">
      <t>ケイヒ</t>
    </rPh>
    <phoneticPr fontId="46"/>
  </si>
  <si>
    <t>ガーデン運営経費</t>
    <rPh sb="4" eb="8">
      <t>ウンエイケイヒ</t>
    </rPh>
    <phoneticPr fontId="46"/>
  </si>
  <si>
    <t>ガーデン仮設厨房経費</t>
    <rPh sb="4" eb="6">
      <t>カセツ</t>
    </rPh>
    <rPh sb="6" eb="8">
      <t>チュウボウ</t>
    </rPh>
    <rPh sb="8" eb="10">
      <t>ケイヒ</t>
    </rPh>
    <phoneticPr fontId="46"/>
  </si>
  <si>
    <t>飲食費（その他経費（支援機器設置等））</t>
  </si>
  <si>
    <t>会議室等確保費</t>
  </si>
  <si>
    <r>
      <t>ホテル（選手団以外）</t>
    </r>
    <r>
      <rPr>
        <sz val="12"/>
        <color theme="1" tint="0.34998626667073579"/>
        <rFont val="メイリオ"/>
        <family val="3"/>
        <charset val="128"/>
      </rPr>
      <t>（ファミリー）</t>
    </r>
    <rPh sb="4" eb="7">
      <t>センシュダン</t>
    </rPh>
    <rPh sb="7" eb="9">
      <t>イガイ</t>
    </rPh>
    <phoneticPr fontId="46"/>
  </si>
  <si>
    <t>営業補償費</t>
  </si>
  <si>
    <t>合計</t>
  </si>
  <si>
    <t>25/6時点</t>
    <rPh sb="4" eb="6">
      <t>ジテン</t>
    </rPh>
    <phoneticPr fontId="46"/>
  </si>
  <si>
    <t>全体額</t>
    <rPh sb="0" eb="2">
      <t>ゼンタイ</t>
    </rPh>
    <rPh sb="2" eb="3">
      <t>ガク</t>
    </rPh>
    <phoneticPr fontId="46"/>
  </si>
  <si>
    <t>差し引き（項目ごと）</t>
    <rPh sb="0" eb="1">
      <t>サ</t>
    </rPh>
    <rPh sb="2" eb="3">
      <t>ヒ</t>
    </rPh>
    <rPh sb="5" eb="7">
      <t>コウモク</t>
    </rPh>
    <phoneticPr fontId="46"/>
  </si>
  <si>
    <t>客室確保費（朝食付）</t>
    <phoneticPr fontId="2"/>
  </si>
  <si>
    <t>ホテル（選手団以外）</t>
    <rPh sb="4" eb="7">
      <t>センシュダン</t>
    </rPh>
    <rPh sb="7" eb="9">
      <t>イガイ</t>
    </rPh>
    <phoneticPr fontId="2"/>
  </si>
  <si>
    <r>
      <t>（スポンサー</t>
    </r>
    <r>
      <rPr>
        <i/>
        <sz val="12"/>
        <color rgb="FFFF0000"/>
        <rFont val="メイリオ"/>
        <family val="3"/>
        <charset val="128"/>
      </rPr>
      <t>利用者負担</t>
    </r>
    <r>
      <rPr>
        <i/>
        <sz val="12"/>
        <color theme="1" tint="0.34998626667073579"/>
        <rFont val="メイリオ"/>
        <family val="3"/>
        <charset val="128"/>
      </rPr>
      <t>）</t>
    </r>
    <rPh sb="6" eb="9">
      <t>リヨウシャ</t>
    </rPh>
    <rPh sb="9" eb="11">
      <t>フタン</t>
    </rPh>
    <phoneticPr fontId="46"/>
  </si>
  <si>
    <r>
      <t>（メディア</t>
    </r>
    <r>
      <rPr>
        <i/>
        <sz val="12"/>
        <color rgb="FFFF0000"/>
        <rFont val="メイリオ"/>
        <family val="3"/>
        <charset val="128"/>
      </rPr>
      <t>利用者負担</t>
    </r>
    <r>
      <rPr>
        <i/>
        <sz val="12"/>
        <color theme="1" tint="0.34998626667073579"/>
        <rFont val="メイリオ"/>
        <family val="3"/>
        <charset val="128"/>
      </rPr>
      <t>）</t>
    </r>
    <rPh sb="5" eb="8">
      <t>リヨウシャ</t>
    </rPh>
    <rPh sb="8" eb="10">
      <t>フタン</t>
    </rPh>
    <phoneticPr fontId="46"/>
  </si>
  <si>
    <t>ホテル（選手団）昼食及び夕食</t>
    <rPh sb="4" eb="7">
      <t>センシュダン</t>
    </rPh>
    <rPh sb="8" eb="10">
      <t>チュウショク</t>
    </rPh>
    <rPh sb="10" eb="11">
      <t>オヨ</t>
    </rPh>
    <rPh sb="12" eb="14">
      <t>ユウショク</t>
    </rPh>
    <phoneticPr fontId="46"/>
  </si>
  <si>
    <t>ホテル（選手団）ｱｽﾘｰﾄﾐｰﾙ差額</t>
    <rPh sb="4" eb="7">
      <t>センシュダン</t>
    </rPh>
    <rPh sb="16" eb="18">
      <t>サガク</t>
    </rPh>
    <phoneticPr fontId="46"/>
  </si>
  <si>
    <r>
      <t>（ファミリー</t>
    </r>
    <r>
      <rPr>
        <i/>
        <sz val="12"/>
        <color rgb="FFFF0000"/>
        <rFont val="メイリオ"/>
        <family val="3"/>
        <charset val="128"/>
      </rPr>
      <t>利用者負担</t>
    </r>
    <r>
      <rPr>
        <i/>
        <sz val="12"/>
        <color theme="1" tint="0.34998626667073579"/>
        <rFont val="メイリオ"/>
        <family val="3"/>
        <charset val="128"/>
      </rPr>
      <t>）</t>
    </r>
    <phoneticPr fontId="46"/>
  </si>
  <si>
    <t>コンテナ（選手団・NOC）※3食</t>
    <rPh sb="5" eb="8">
      <t>センシュダン</t>
    </rPh>
    <rPh sb="15" eb="16">
      <t>ショク</t>
    </rPh>
    <phoneticPr fontId="46"/>
  </si>
  <si>
    <t>ホテル自前</t>
    <rPh sb="3" eb="5">
      <t>ジマエ</t>
    </rPh>
    <phoneticPr fontId="46"/>
  </si>
  <si>
    <t>完調品対応</t>
    <rPh sb="0" eb="3">
      <t>カンチョウヒン</t>
    </rPh>
    <rPh sb="3" eb="5">
      <t>タイオウ</t>
    </rPh>
    <phoneticPr fontId="46"/>
  </si>
  <si>
    <t>飲食費（アスリートミール：船）</t>
    <phoneticPr fontId="2"/>
  </si>
  <si>
    <t>飲食費（空港島運営及びガーデンふ頭運営及び仮設厨房）</t>
    <phoneticPr fontId="46"/>
  </si>
  <si>
    <t>ホテル厨房機器レンタル</t>
    <rPh sb="3" eb="5">
      <t>チュウボウ</t>
    </rPh>
    <rPh sb="5" eb="7">
      <t>キキ</t>
    </rPh>
    <phoneticPr fontId="46"/>
  </si>
  <si>
    <t>シップグラブ＆ゴー設備レンタル</t>
    <rPh sb="9" eb="11">
      <t>セツビ</t>
    </rPh>
    <phoneticPr fontId="2"/>
  </si>
  <si>
    <t>シップグラブ＆ゴー備品レンタル</t>
    <rPh sb="9" eb="11">
      <t>ビヒン</t>
    </rPh>
    <rPh sb="10" eb="11">
      <t>セツビ</t>
    </rPh>
    <phoneticPr fontId="2"/>
  </si>
  <si>
    <t>（ファミリー）</t>
    <phoneticPr fontId="46"/>
  </si>
  <si>
    <t>（選手団）</t>
    <rPh sb="1" eb="4">
      <t>センシュダン</t>
    </rPh>
    <phoneticPr fontId="46"/>
  </si>
  <si>
    <t>ランドリーサービス費</t>
    <phoneticPr fontId="46"/>
  </si>
  <si>
    <t>ランドリーサービス費（選手団以外）</t>
    <phoneticPr fontId="46"/>
  </si>
  <si>
    <t>　※技術役員・スポンサー・メディアのホテルについては、積算単価が2021年時点のものであるため、客室単価に1.34（宿泊料物価上昇率）を掛けている</t>
    <rPh sb="2" eb="6">
      <t>ギジュツヤクイン</t>
    </rPh>
    <rPh sb="27" eb="29">
      <t>セキサン</t>
    </rPh>
    <rPh sb="29" eb="31">
      <t>タンカ</t>
    </rPh>
    <rPh sb="36" eb="37">
      <t>ネン</t>
    </rPh>
    <rPh sb="37" eb="39">
      <t>ジテン</t>
    </rPh>
    <rPh sb="48" eb="52">
      <t>キャクシツタンカ</t>
    </rPh>
    <rPh sb="58" eb="61">
      <t>シュクハクリョウ</t>
    </rPh>
    <rPh sb="61" eb="66">
      <t>ブッカジョウショウリツ</t>
    </rPh>
    <rPh sb="68" eb="69">
      <t>カ</t>
    </rPh>
    <phoneticPr fontId="2"/>
  </si>
  <si>
    <t>全体差し引き</t>
    <rPh sb="0" eb="2">
      <t>ゼンタイ</t>
    </rPh>
    <rPh sb="2" eb="3">
      <t>サ</t>
    </rPh>
    <rPh sb="4" eb="5">
      <t>ヒ</t>
    </rPh>
    <phoneticPr fontId="46"/>
  </si>
  <si>
    <t>VIL移管Ver.</t>
    <rPh sb="3" eb="5">
      <t>イカン</t>
    </rPh>
    <phoneticPr fontId="46"/>
  </si>
  <si>
    <t>　※技術役員の会議室費用については1.1（総合物価上昇率）を掛けている</t>
    <rPh sb="2" eb="6">
      <t>ギジュツヤクイン</t>
    </rPh>
    <rPh sb="7" eb="10">
      <t>カイギシツ</t>
    </rPh>
    <rPh sb="10" eb="12">
      <t>ヒヨウ</t>
    </rPh>
    <rPh sb="21" eb="23">
      <t>ソウゴウ</t>
    </rPh>
    <rPh sb="23" eb="28">
      <t>ブッカジョウショウリツ</t>
    </rPh>
    <rPh sb="30" eb="31">
      <t>カ</t>
    </rPh>
    <phoneticPr fontId="46"/>
  </si>
  <si>
    <t>アジア差し引き</t>
    <rPh sb="3" eb="4">
      <t>サ</t>
    </rPh>
    <rPh sb="5" eb="6">
      <t>ヒ</t>
    </rPh>
    <phoneticPr fontId="46"/>
  </si>
  <si>
    <t>パラ差し引き</t>
    <rPh sb="2" eb="3">
      <t>サ</t>
    </rPh>
    <rPh sb="4" eb="5">
      <t>ヒ</t>
    </rPh>
    <phoneticPr fontId="46"/>
  </si>
  <si>
    <t>　※I列、O列で青色にしている部分がVIL移管</t>
    <rPh sb="3" eb="4">
      <t>レツ</t>
    </rPh>
    <rPh sb="6" eb="7">
      <t>レツ</t>
    </rPh>
    <rPh sb="8" eb="10">
      <t>アオイロ</t>
    </rPh>
    <rPh sb="15" eb="17">
      <t>ブブン</t>
    </rPh>
    <rPh sb="21" eb="23">
      <t>イカン</t>
    </rPh>
    <phoneticPr fontId="2"/>
  </si>
  <si>
    <t>うち　ACM積算分差し引き</t>
    <rPh sb="6" eb="9">
      <t>セキサンブン</t>
    </rPh>
    <rPh sb="9" eb="10">
      <t>サ</t>
    </rPh>
    <rPh sb="11" eb="12">
      <t>ヒ</t>
    </rPh>
    <phoneticPr fontId="2"/>
  </si>
  <si>
    <t>うち　ACM積算分差し引き</t>
    <phoneticPr fontId="2"/>
  </si>
  <si>
    <t>歳入減</t>
    <rPh sb="0" eb="3">
      <t>サイニュウゲン</t>
    </rPh>
    <phoneticPr fontId="46"/>
  </si>
  <si>
    <t>うち　FNB積算分差し引き（ACM積算分）</t>
    <rPh sb="6" eb="8">
      <t>セキサン</t>
    </rPh>
    <rPh sb="8" eb="9">
      <t>ブン</t>
    </rPh>
    <rPh sb="9" eb="10">
      <t>サ</t>
    </rPh>
    <rPh sb="11" eb="12">
      <t>ヒ</t>
    </rPh>
    <rPh sb="17" eb="19">
      <t>セキサン</t>
    </rPh>
    <rPh sb="19" eb="20">
      <t>ブン</t>
    </rPh>
    <phoneticPr fontId="2"/>
  </si>
  <si>
    <t>うち　FNB積算分差し引き（VIL移管分）</t>
    <rPh sb="6" eb="8">
      <t>セキサン</t>
    </rPh>
    <rPh sb="8" eb="9">
      <t>ブン</t>
    </rPh>
    <rPh sb="9" eb="10">
      <t>サ</t>
    </rPh>
    <rPh sb="11" eb="12">
      <t>ヒ</t>
    </rPh>
    <rPh sb="17" eb="20">
      <t>イカンブン</t>
    </rPh>
    <phoneticPr fontId="2"/>
  </si>
  <si>
    <t>利用者負担（歳入）差し引き</t>
    <rPh sb="0" eb="3">
      <t>リヨウシャ</t>
    </rPh>
    <rPh sb="3" eb="5">
      <t>フタン</t>
    </rPh>
    <rPh sb="6" eb="8">
      <t>サイニュウ</t>
    </rPh>
    <rPh sb="9" eb="10">
      <t>サ</t>
    </rPh>
    <rPh sb="11" eb="12">
      <t>ヒ</t>
    </rPh>
    <phoneticPr fontId="46"/>
  </si>
  <si>
    <t>実質全体差し引き</t>
    <rPh sb="0" eb="2">
      <t>ジッシツ</t>
    </rPh>
    <rPh sb="2" eb="4">
      <t>ゼンタイ</t>
    </rPh>
    <rPh sb="4" eb="5">
      <t>サ</t>
    </rPh>
    <rPh sb="6" eb="7">
      <t>ヒ</t>
    </rPh>
    <phoneticPr fontId="46"/>
  </si>
  <si>
    <t>参考　利用者負担を除いた場合の差し引き</t>
    <rPh sb="0" eb="2">
      <t>サンコウ</t>
    </rPh>
    <rPh sb="3" eb="6">
      <t>リヨウシャ</t>
    </rPh>
    <phoneticPr fontId="2"/>
  </si>
  <si>
    <t>現状積算外の費用</t>
    <rPh sb="0" eb="2">
      <t>ゲンジョウ</t>
    </rPh>
    <rPh sb="2" eb="5">
      <t>セキサンガイ</t>
    </rPh>
    <rPh sb="6" eb="8">
      <t>ヒヨウ</t>
    </rPh>
    <phoneticPr fontId="2"/>
  </si>
  <si>
    <r>
      <t xml:space="preserve">ホテル（選手団以外） </t>
    </r>
    <r>
      <rPr>
        <sz val="12"/>
        <rFont val="メイリオ"/>
        <family val="3"/>
        <charset val="128"/>
      </rPr>
      <t>（技術役員）</t>
    </r>
    <rPh sb="4" eb="9">
      <t>センシュダンイガイ</t>
    </rPh>
    <rPh sb="12" eb="16">
      <t>ギジュツヤクイン</t>
    </rPh>
    <phoneticPr fontId="46"/>
  </si>
  <si>
    <r>
      <t xml:space="preserve">ホテル </t>
    </r>
    <r>
      <rPr>
        <sz val="12"/>
        <color theme="1"/>
        <rFont val="メイリオ"/>
        <family val="3"/>
        <charset val="128"/>
      </rPr>
      <t>（クリーンベニュー自販機）</t>
    </r>
    <rPh sb="13" eb="16">
      <t>ジハンキ</t>
    </rPh>
    <phoneticPr fontId="46"/>
  </si>
  <si>
    <r>
      <t xml:space="preserve">ホテル </t>
    </r>
    <r>
      <rPr>
        <sz val="12"/>
        <color theme="1"/>
        <rFont val="メイリオ"/>
        <family val="3"/>
        <charset val="128"/>
      </rPr>
      <t>（クリーンベニューテナント）</t>
    </r>
    <phoneticPr fontId="46"/>
  </si>
  <si>
    <t>　</t>
    <phoneticPr fontId="2"/>
  </si>
  <si>
    <t>　※技術役員の昼食夕食については、参照できる単価がないためアスリートミールの単価（通常：16,900円　ハラル19,000円）を参照</t>
    <rPh sb="2" eb="6">
      <t>ギジュツヤクイン</t>
    </rPh>
    <rPh sb="7" eb="9">
      <t>チュウショク</t>
    </rPh>
    <rPh sb="9" eb="11">
      <t>ユウショク</t>
    </rPh>
    <rPh sb="17" eb="19">
      <t>サンショウ</t>
    </rPh>
    <rPh sb="22" eb="24">
      <t>タンカ</t>
    </rPh>
    <rPh sb="38" eb="40">
      <t>タンカ</t>
    </rPh>
    <rPh sb="41" eb="43">
      <t>ツウジョウ</t>
    </rPh>
    <rPh sb="50" eb="51">
      <t>エン</t>
    </rPh>
    <rPh sb="61" eb="62">
      <t>エン</t>
    </rPh>
    <rPh sb="64" eb="66">
      <t>サンショウ</t>
    </rPh>
    <phoneticPr fontId="2"/>
  </si>
  <si>
    <t>　※クリーンベニューの営業補償については、どこまでの範囲を行うのか、どのSHを行うのか不明のため、少なくとも選手村として運用するホテルの全てのテナントに対して行う想定で算出。</t>
    <rPh sb="11" eb="13">
      <t>エイギョウ</t>
    </rPh>
    <rPh sb="13" eb="15">
      <t>ホショウ</t>
    </rPh>
    <rPh sb="26" eb="28">
      <t>ハンイ</t>
    </rPh>
    <rPh sb="29" eb="30">
      <t>オコナ</t>
    </rPh>
    <rPh sb="39" eb="40">
      <t>オコナ</t>
    </rPh>
    <rPh sb="43" eb="45">
      <t>フメイ</t>
    </rPh>
    <rPh sb="49" eb="50">
      <t>スク</t>
    </rPh>
    <rPh sb="54" eb="57">
      <t>センシュムラ</t>
    </rPh>
    <rPh sb="60" eb="62">
      <t>ウンヨウ</t>
    </rPh>
    <rPh sb="68" eb="69">
      <t>スベ</t>
    </rPh>
    <rPh sb="76" eb="77">
      <t>タイ</t>
    </rPh>
    <rPh sb="79" eb="80">
      <t>オコナ</t>
    </rPh>
    <rPh sb="81" eb="83">
      <t>ソウテイ</t>
    </rPh>
    <rPh sb="84" eb="86">
      <t>サンシュツ</t>
    </rPh>
    <phoneticPr fontId="2"/>
  </si>
  <si>
    <t>　※自動販売機の補償については、1台5,000円の換算で、各施設2フロアにつき1台がある想定で仮置きし算出</t>
    <rPh sb="2" eb="7">
      <t>ジドウハンバイキ</t>
    </rPh>
    <rPh sb="8" eb="10">
      <t>ホショウ</t>
    </rPh>
    <rPh sb="17" eb="18">
      <t>ダイ</t>
    </rPh>
    <rPh sb="23" eb="24">
      <t>エン</t>
    </rPh>
    <rPh sb="25" eb="27">
      <t>カンサン</t>
    </rPh>
    <rPh sb="29" eb="30">
      <t>カク</t>
    </rPh>
    <rPh sb="30" eb="32">
      <t>シセツ</t>
    </rPh>
    <rPh sb="40" eb="41">
      <t>ダイ</t>
    </rPh>
    <rPh sb="44" eb="46">
      <t>ソウテイ</t>
    </rPh>
    <rPh sb="47" eb="49">
      <t>カリオ</t>
    </rPh>
    <rPh sb="51" eb="53">
      <t>サンシュツ</t>
    </rPh>
    <phoneticPr fontId="2"/>
  </si>
  <si>
    <t>　※テナント営業補償について、レストランやコンビニ、ゴルフ場など補償額が高そうなものが多くあるため各施設1,800,000円/日にて計算（ヒルトンしか参照単価がないためこの金額を参考）</t>
    <rPh sb="6" eb="8">
      <t>エイギョウ</t>
    </rPh>
    <rPh sb="8" eb="10">
      <t>ホショウ</t>
    </rPh>
    <rPh sb="29" eb="30">
      <t>ジョウ</t>
    </rPh>
    <rPh sb="32" eb="35">
      <t>ホショウガク</t>
    </rPh>
    <rPh sb="36" eb="37">
      <t>タカ</t>
    </rPh>
    <rPh sb="43" eb="44">
      <t>オオ</t>
    </rPh>
    <rPh sb="49" eb="52">
      <t>カクシセツ</t>
    </rPh>
    <rPh sb="61" eb="62">
      <t>エン</t>
    </rPh>
    <rPh sb="63" eb="64">
      <t>ニチ</t>
    </rPh>
    <rPh sb="66" eb="68">
      <t>ケイサン</t>
    </rPh>
    <rPh sb="75" eb="77">
      <t>サンショウ</t>
    </rPh>
    <rPh sb="77" eb="79">
      <t>タンカ</t>
    </rPh>
    <rPh sb="86" eb="88">
      <t>キンガク</t>
    </rPh>
    <rPh sb="89" eb="91">
      <t>サンコウ</t>
    </rPh>
    <phoneticPr fontId="2"/>
  </si>
  <si>
    <t>　　➡なお、500,000円/日だとしても1,200,000,000円程度になる計算。</t>
    <rPh sb="13" eb="14">
      <t>エン</t>
    </rPh>
    <rPh sb="15" eb="16">
      <t>ニチ</t>
    </rPh>
    <rPh sb="34" eb="35">
      <t>エン</t>
    </rPh>
    <rPh sb="35" eb="37">
      <t>テイド</t>
    </rPh>
    <rPh sb="40" eb="42">
      <t>ケイサン</t>
    </rPh>
    <phoneticPr fontId="2"/>
  </si>
  <si>
    <t>ACM内で連動する費用（宿泊管理支援業務）</t>
    <rPh sb="3" eb="4">
      <t>ナイ</t>
    </rPh>
    <rPh sb="5" eb="7">
      <t>レンドウ</t>
    </rPh>
    <rPh sb="9" eb="11">
      <t>ヒヨウ</t>
    </rPh>
    <phoneticPr fontId="2"/>
  </si>
  <si>
    <t>予算金額</t>
    <rPh sb="0" eb="4">
      <t>ヨサンキンガク</t>
    </rPh>
    <phoneticPr fontId="2"/>
  </si>
  <si>
    <t>合計</t>
    <rPh sb="0" eb="2">
      <t>ゴウケイ</t>
    </rPh>
    <phoneticPr fontId="2"/>
  </si>
  <si>
    <t>委託料</t>
    <rPh sb="0" eb="3">
      <t>イタクリョウ</t>
    </rPh>
    <phoneticPr fontId="2"/>
  </si>
  <si>
    <t>　※うち歳入になる分</t>
    <rPh sb="4" eb="6">
      <t>サイニュウ</t>
    </rPh>
    <rPh sb="9" eb="10">
      <t>ブン</t>
    </rPh>
    <phoneticPr fontId="46"/>
  </si>
  <si>
    <t>利用者負担分の10％</t>
    <rPh sb="0" eb="3">
      <t>リヨウシャ</t>
    </rPh>
    <rPh sb="3" eb="6">
      <t>フタンブン</t>
    </rPh>
    <phoneticPr fontId="46"/>
  </si>
  <si>
    <t>　※宿泊確保費のうち、客室確保費（朝食付）のアジア・パラ総額の10％の金額</t>
    <rPh sb="2" eb="6">
      <t>シュクハクカクホ</t>
    </rPh>
    <rPh sb="6" eb="7">
      <t>ヒ</t>
    </rPh>
    <rPh sb="11" eb="13">
      <t>キャクシツ</t>
    </rPh>
    <rPh sb="13" eb="15">
      <t>カクホ</t>
    </rPh>
    <rPh sb="15" eb="16">
      <t>ヒ</t>
    </rPh>
    <rPh sb="17" eb="19">
      <t>チョウショク</t>
    </rPh>
    <rPh sb="19" eb="20">
      <t>ツキ</t>
    </rPh>
    <rPh sb="28" eb="30">
      <t>ソウガク</t>
    </rPh>
    <rPh sb="35" eb="37">
      <t>キンガク</t>
    </rPh>
    <phoneticPr fontId="2"/>
  </si>
  <si>
    <t>増額要因（FNB積算分）</t>
    <rPh sb="0" eb="4">
      <t>ゾウガクヨウイン</t>
    </rPh>
    <rPh sb="8" eb="11">
      <t>セキサンブン</t>
    </rPh>
    <phoneticPr fontId="2"/>
  </si>
  <si>
    <t>増減</t>
    <rPh sb="0" eb="2">
      <t>ゾウゲン</t>
    </rPh>
    <phoneticPr fontId="2"/>
  </si>
  <si>
    <t>新選手団配宿</t>
    <rPh sb="0" eb="1">
      <t>シン</t>
    </rPh>
    <rPh sb="1" eb="3">
      <t>センシュ</t>
    </rPh>
    <rPh sb="3" eb="4">
      <t>ダン</t>
    </rPh>
    <rPh sb="4" eb="6">
      <t>ハイシュク</t>
    </rPh>
    <phoneticPr fontId="46"/>
  </si>
  <si>
    <t>ホテル（選手団）</t>
  </si>
  <si>
    <t>旧選手団配宿</t>
    <rPh sb="0" eb="1">
      <t>キュウ</t>
    </rPh>
    <rPh sb="1" eb="3">
      <t>センシュ</t>
    </rPh>
    <rPh sb="3" eb="4">
      <t>ダン</t>
    </rPh>
    <rPh sb="4" eb="6">
      <t>ハイシュク</t>
    </rPh>
    <phoneticPr fontId="46"/>
  </si>
  <si>
    <t>コンテナ</t>
  </si>
  <si>
    <t>コンテナ（NOC本部）</t>
  </si>
  <si>
    <t>ホテル</t>
  </si>
  <si>
    <t>船</t>
  </si>
  <si>
    <t>変動なし</t>
    <rPh sb="0" eb="2">
      <t>ヘンドウ</t>
    </rPh>
    <phoneticPr fontId="46"/>
  </si>
  <si>
    <t>ホテル厨房機器レンタル</t>
  </si>
  <si>
    <t>シップグラブ＆ゴー設備レンタル</t>
  </si>
  <si>
    <t>項目なし</t>
    <rPh sb="0" eb="2">
      <t>コウモク</t>
    </rPh>
    <phoneticPr fontId="46"/>
  </si>
  <si>
    <t>シップグラブ＆ゴー備品レンタル</t>
  </si>
  <si>
    <t>増額理由列記</t>
    <rPh sb="0" eb="2">
      <t>ゾウガク</t>
    </rPh>
    <rPh sb="2" eb="4">
      <t>リユウ</t>
    </rPh>
    <rPh sb="4" eb="6">
      <t>レッキ</t>
    </rPh>
    <phoneticPr fontId="46"/>
  </si>
  <si>
    <t>　アジア：選手団配宿12,600人➡15,000人への変動により延べ食数が増加、その他配宿計画の変動により食数の内訳変動（コンテナ等）</t>
    <rPh sb="5" eb="8">
      <t>センシュダン</t>
    </rPh>
    <rPh sb="8" eb="10">
      <t>ハイシュク</t>
    </rPh>
    <rPh sb="16" eb="17">
      <t>ニン</t>
    </rPh>
    <rPh sb="24" eb="25">
      <t>ニン</t>
    </rPh>
    <rPh sb="27" eb="29">
      <t>ヘンドウ</t>
    </rPh>
    <rPh sb="42" eb="43">
      <t>タ</t>
    </rPh>
    <rPh sb="43" eb="45">
      <t>ハイシュク</t>
    </rPh>
    <rPh sb="45" eb="47">
      <t>ケイカク</t>
    </rPh>
    <rPh sb="48" eb="50">
      <t>ヘンドウ</t>
    </rPh>
    <rPh sb="53" eb="55">
      <t>ショクスウ</t>
    </rPh>
    <rPh sb="56" eb="58">
      <t>ウチワケ</t>
    </rPh>
    <rPh sb="58" eb="60">
      <t>ヘンドウ</t>
    </rPh>
    <rPh sb="65" eb="66">
      <t>ナド</t>
    </rPh>
    <phoneticPr fontId="46"/>
  </si>
  <si>
    <t>　パラ　：選手団サービス提供期間2日間延長により延べ食数、対応必要食数が増加</t>
    <rPh sb="5" eb="8">
      <t>センシュダン</t>
    </rPh>
    <rPh sb="12" eb="14">
      <t>テイキョウ</t>
    </rPh>
    <rPh sb="14" eb="16">
      <t>キカン</t>
    </rPh>
    <rPh sb="17" eb="18">
      <t>ニチ</t>
    </rPh>
    <rPh sb="18" eb="19">
      <t>カン</t>
    </rPh>
    <rPh sb="19" eb="21">
      <t>エンチョウ</t>
    </rPh>
    <rPh sb="24" eb="25">
      <t>ノ</t>
    </rPh>
    <rPh sb="26" eb="28">
      <t>ショクスウ</t>
    </rPh>
    <rPh sb="36" eb="38">
      <t>ゾウカ</t>
    </rPh>
    <phoneticPr fontId="46"/>
  </si>
  <si>
    <t>増額要因（ACM積算分）</t>
    <rPh sb="0" eb="4">
      <t>ゾウガクヨウイン</t>
    </rPh>
    <rPh sb="8" eb="11">
      <t>セキサンブン</t>
    </rPh>
    <phoneticPr fontId="2"/>
  </si>
  <si>
    <t>新選手団配宿</t>
    <rPh sb="0" eb="1">
      <t>シン</t>
    </rPh>
    <rPh sb="1" eb="4">
      <t>センシュダン</t>
    </rPh>
    <rPh sb="4" eb="6">
      <t>ハイシュク</t>
    </rPh>
    <phoneticPr fontId="46"/>
  </si>
  <si>
    <t>旧選手団配宿</t>
    <rPh sb="0" eb="1">
      <t>キュウ</t>
    </rPh>
    <rPh sb="1" eb="4">
      <t>センシュダン</t>
    </rPh>
    <rPh sb="4" eb="6">
      <t>ハイシュク</t>
    </rPh>
    <phoneticPr fontId="46"/>
  </si>
  <si>
    <t>新ファミリー配宿</t>
    <rPh sb="0" eb="1">
      <t>シン</t>
    </rPh>
    <rPh sb="6" eb="8">
      <t>ハイシュク</t>
    </rPh>
    <phoneticPr fontId="46"/>
  </si>
  <si>
    <t>ホテル（ファミリー）</t>
    <phoneticPr fontId="46"/>
  </si>
  <si>
    <t>旧ファミリー配宿</t>
    <rPh sb="0" eb="1">
      <t>キュウ</t>
    </rPh>
    <rPh sb="6" eb="8">
      <t>ハイシュク</t>
    </rPh>
    <phoneticPr fontId="46"/>
  </si>
  <si>
    <t>新技術役員配宿</t>
    <rPh sb="0" eb="1">
      <t>シン</t>
    </rPh>
    <rPh sb="1" eb="5">
      <t>ギジュツヤクイン</t>
    </rPh>
    <rPh sb="5" eb="7">
      <t>ハイシュク</t>
    </rPh>
    <phoneticPr fontId="46"/>
  </si>
  <si>
    <t>ホテル（技術役員）</t>
    <rPh sb="4" eb="8">
      <t>ギジュツヤクイン</t>
    </rPh>
    <phoneticPr fontId="46"/>
  </si>
  <si>
    <t>旧技術役員配宿</t>
    <rPh sb="0" eb="1">
      <t>キュウ</t>
    </rPh>
    <rPh sb="1" eb="5">
      <t>ギジュツヤクイン</t>
    </rPh>
    <rPh sb="5" eb="7">
      <t>ハイシュク</t>
    </rPh>
    <phoneticPr fontId="46"/>
  </si>
  <si>
    <t>新スポンサー配宿</t>
    <rPh sb="0" eb="1">
      <t>シン</t>
    </rPh>
    <rPh sb="6" eb="8">
      <t>ハイシュク</t>
    </rPh>
    <phoneticPr fontId="46"/>
  </si>
  <si>
    <t>ホテル（スポンサー）</t>
    <phoneticPr fontId="46"/>
  </si>
  <si>
    <t>旧スポンサー配宿</t>
    <rPh sb="0" eb="1">
      <t>キュウ</t>
    </rPh>
    <rPh sb="6" eb="8">
      <t>ハイシュク</t>
    </rPh>
    <phoneticPr fontId="46"/>
  </si>
  <si>
    <t>新メディア配宿</t>
    <rPh sb="0" eb="1">
      <t>シン</t>
    </rPh>
    <rPh sb="5" eb="7">
      <t>ハイシュク</t>
    </rPh>
    <phoneticPr fontId="46"/>
  </si>
  <si>
    <t>ホテル（メディア）</t>
    <phoneticPr fontId="46"/>
  </si>
  <si>
    <t>旧メディア配宿</t>
    <rPh sb="0" eb="1">
      <t>キュウ</t>
    </rPh>
    <rPh sb="5" eb="7">
      <t>ハイシュク</t>
    </rPh>
    <phoneticPr fontId="46"/>
  </si>
  <si>
    <t>ホテル（メディア）</t>
  </si>
  <si>
    <t>ホテル（選手団）ｱｽﾘｰﾄﾐｰﾙ差額</t>
  </si>
  <si>
    <t>ホテル（選手団以外）（ファミリー）</t>
  </si>
  <si>
    <t>ホテル（選手団以外）（ファミリー）</t>
    <rPh sb="4" eb="7">
      <t>センシュダン</t>
    </rPh>
    <rPh sb="7" eb="9">
      <t>イガイ</t>
    </rPh>
    <phoneticPr fontId="2"/>
  </si>
  <si>
    <t>新技術役員サービスレベル</t>
    <rPh sb="0" eb="1">
      <t>シン</t>
    </rPh>
    <rPh sb="1" eb="5">
      <t>ギジュツヤクイン</t>
    </rPh>
    <phoneticPr fontId="46"/>
  </si>
  <si>
    <t>ホテル（選手団以外）（技術役員）</t>
    <rPh sb="4" eb="7">
      <t>センシュダン</t>
    </rPh>
    <rPh sb="7" eb="9">
      <t>イガイ</t>
    </rPh>
    <rPh sb="11" eb="15">
      <t>ギジュツヤクイン</t>
    </rPh>
    <phoneticPr fontId="2"/>
  </si>
  <si>
    <t>旧技術役員サービスレベル</t>
    <rPh sb="0" eb="1">
      <t>キュウ</t>
    </rPh>
    <rPh sb="1" eb="5">
      <t>ギジュツヤクイン</t>
    </rPh>
    <phoneticPr fontId="46"/>
  </si>
  <si>
    <t>新選手団積算</t>
    <rPh sb="0" eb="1">
      <t>シン</t>
    </rPh>
    <rPh sb="1" eb="4">
      <t>センシュダン</t>
    </rPh>
    <rPh sb="4" eb="6">
      <t>セキサン</t>
    </rPh>
    <phoneticPr fontId="46"/>
  </si>
  <si>
    <t>ホテル　　　　　　　　　（選手団）</t>
    <phoneticPr fontId="46"/>
  </si>
  <si>
    <t>旧選手団積算</t>
    <rPh sb="0" eb="1">
      <t>キュウ</t>
    </rPh>
    <rPh sb="1" eb="4">
      <t>センシュダン</t>
    </rPh>
    <rPh sb="4" eb="6">
      <t>セキサン</t>
    </rPh>
    <phoneticPr fontId="46"/>
  </si>
  <si>
    <t>ホテル　　　　　　　（ファミリー）</t>
    <phoneticPr fontId="46"/>
  </si>
  <si>
    <r>
      <t>　アジア：選手団配宿12,600人➡15,000人＋αへの変動により延べ人泊数が増加、その他配宿計画の変動により人泊数の内訳変動（コンテナ等）
　アジア：選手団以外の配宿計画変動により金額が変動
　アジア：選手団・ファミリーの契約に際し、2021年見込み単価より金額が上昇</t>
    </r>
    <r>
      <rPr>
        <b/>
        <sz val="14"/>
        <color rgb="FFEE0000"/>
        <rFont val="メイリオ"/>
        <family val="3"/>
        <charset val="128"/>
      </rPr>
      <t>（約1.3倍）</t>
    </r>
    <r>
      <rPr>
        <b/>
        <sz val="14"/>
        <color theme="1"/>
        <rFont val="メイリオ"/>
        <family val="3"/>
        <charset val="128"/>
      </rPr>
      <t xml:space="preserve">
　アジア：技術役員のサービスレベル変動により金額が上昇</t>
    </r>
    <r>
      <rPr>
        <b/>
        <sz val="14"/>
        <color rgb="FFEE0000"/>
        <rFont val="メイリオ"/>
        <family val="3"/>
        <charset val="128"/>
      </rPr>
      <t>（＋745,838,253円）</t>
    </r>
    <r>
      <rPr>
        <b/>
        <sz val="14"/>
        <color theme="1"/>
        <rFont val="メイリオ"/>
        <family val="3"/>
        <charset val="128"/>
      </rPr>
      <t>※会議室確保費
　アジア：選手団ホテルにおける営業補償費（一棟貸しによる営業停止等）をこれまで積算していなかったが、積算の必要が出てきたため金額上昇</t>
    </r>
    <r>
      <rPr>
        <b/>
        <sz val="14"/>
        <color rgb="FFEE0000"/>
        <rFont val="メイリオ"/>
        <family val="3"/>
        <charset val="128"/>
      </rPr>
      <t>（＋58,961,165円）</t>
    </r>
    <r>
      <rPr>
        <b/>
        <sz val="14"/>
        <color theme="1"/>
        <rFont val="メイリオ"/>
        <family val="3"/>
        <charset val="128"/>
      </rPr>
      <t xml:space="preserve">
　アジア：宿泊税、入湯税を計上したため金額上昇</t>
    </r>
    <r>
      <rPr>
        <b/>
        <sz val="14"/>
        <color rgb="FFEE0000"/>
        <rFont val="メイリオ"/>
        <family val="3"/>
        <charset val="128"/>
      </rPr>
      <t>（＋16,386,650円）</t>
    </r>
    <r>
      <rPr>
        <b/>
        <sz val="14"/>
        <color theme="1"/>
        <rFont val="メイリオ"/>
        <family val="3"/>
        <charset val="128"/>
      </rPr>
      <t xml:space="preserve">
　アジア：アスリート対応朝食の単価と、通常朝食単価の差額（ホテル毎に単価は異なる、現状は通常朝食分しか予算が無い）を計上</t>
    </r>
    <r>
      <rPr>
        <b/>
        <sz val="14"/>
        <color rgb="FFEE0000"/>
        <rFont val="メイリオ"/>
        <family val="3"/>
        <charset val="128"/>
      </rPr>
      <t>（＋79,313,574円）</t>
    </r>
    <r>
      <rPr>
        <b/>
        <sz val="14"/>
        <color theme="1"/>
        <rFont val="メイリオ"/>
        <family val="3"/>
        <charset val="128"/>
      </rPr>
      <t xml:space="preserve">
　パラ：選手団サービス提供期間2日間延長により延べ人泊数が増加、その他配宿計画の変動により人泊数の内訳変動（コンテナ等）
　パラ：選手団以外の配宿計画変動により金額が変動
　パラ：技術役員のサービスレベル変動により金額が上昇</t>
    </r>
    <r>
      <rPr>
        <b/>
        <sz val="14"/>
        <color rgb="FFEE0000"/>
        <rFont val="メイリオ"/>
        <family val="3"/>
        <charset val="128"/>
      </rPr>
      <t>（＋481,939,726円）</t>
    </r>
    <r>
      <rPr>
        <b/>
        <sz val="14"/>
        <color theme="1"/>
        <rFont val="メイリオ"/>
        <family val="3"/>
        <charset val="128"/>
      </rPr>
      <t>※会議室確保費
　パラ：選手団ホテルにおける営業補償費（一棟貸しによる営業停止等。車いす受入れのための扉外し対応費用含む）をこれまで積算していなかったが、積算の必要が出てきたため金額上昇</t>
    </r>
    <r>
      <rPr>
        <b/>
        <sz val="14"/>
        <color rgb="FFEE0000"/>
        <rFont val="メイリオ"/>
        <family val="3"/>
        <charset val="128"/>
      </rPr>
      <t>（＋87,391,200円）</t>
    </r>
    <r>
      <rPr>
        <b/>
        <sz val="14"/>
        <color theme="1"/>
        <rFont val="メイリオ"/>
        <family val="3"/>
        <charset val="128"/>
      </rPr>
      <t xml:space="preserve">
　パラ：宿泊税、入湯税を計上したため金額上昇</t>
    </r>
    <r>
      <rPr>
        <b/>
        <sz val="14"/>
        <color rgb="FFEE0000"/>
        <rFont val="メイリオ"/>
        <family val="3"/>
        <charset val="128"/>
      </rPr>
      <t>（＋3,224,700円）</t>
    </r>
    <r>
      <rPr>
        <b/>
        <sz val="14"/>
        <color theme="1"/>
        <rFont val="メイリオ"/>
        <family val="3"/>
        <charset val="128"/>
      </rPr>
      <t xml:space="preserve">
　パラ：アスリート対応朝食の単価と、通常朝食単価の差額（ホテル毎に単価は異なる、現状は通常朝食分しか予算が無い）を計上</t>
    </r>
    <r>
      <rPr>
        <b/>
        <sz val="14"/>
        <color rgb="FFEE0000"/>
        <rFont val="メイリオ"/>
        <family val="3"/>
        <charset val="128"/>
      </rPr>
      <t>（＋30,879,036円）</t>
    </r>
    <r>
      <rPr>
        <b/>
        <sz val="14"/>
        <color theme="1"/>
        <rFont val="メイリオ"/>
        <family val="3"/>
        <charset val="128"/>
      </rPr>
      <t xml:space="preserve">
　共通：技術役員の食費および、クリーンベニューのための営業補償費については別枠で算出。</t>
    </r>
    <rPh sb="5" eb="8">
      <t>センシュダン</t>
    </rPh>
    <rPh sb="8" eb="10">
      <t>ハイシュク</t>
    </rPh>
    <rPh sb="16" eb="17">
      <t>ニン</t>
    </rPh>
    <rPh sb="24" eb="25">
      <t>ニン</t>
    </rPh>
    <rPh sb="29" eb="31">
      <t>ヘンドウ</t>
    </rPh>
    <rPh sb="36" eb="37">
      <t>ニン</t>
    </rPh>
    <rPh sb="37" eb="39">
      <t>ハクスウ</t>
    </rPh>
    <rPh sb="45" eb="46">
      <t>タ</t>
    </rPh>
    <rPh sb="46" eb="48">
      <t>ハイシュク</t>
    </rPh>
    <rPh sb="48" eb="50">
      <t>ケイカク</t>
    </rPh>
    <rPh sb="51" eb="53">
      <t>ヘンドウ</t>
    </rPh>
    <rPh sb="56" eb="59">
      <t>ニンハクスウ</t>
    </rPh>
    <rPh sb="60" eb="62">
      <t>ウチワケ</t>
    </rPh>
    <rPh sb="62" eb="64">
      <t>ヘンドウ</t>
    </rPh>
    <rPh sb="69" eb="70">
      <t>ナド</t>
    </rPh>
    <rPh sb="103" eb="106">
      <t>センシュダン</t>
    </rPh>
    <rPh sb="113" eb="115">
      <t>ケイヤク</t>
    </rPh>
    <rPh sb="116" eb="117">
      <t>サイ</t>
    </rPh>
    <rPh sb="123" eb="124">
      <t>ネン</t>
    </rPh>
    <rPh sb="124" eb="126">
      <t>ミコ</t>
    </rPh>
    <rPh sb="127" eb="129">
      <t>タンカ</t>
    </rPh>
    <rPh sb="131" eb="133">
      <t>キンガク</t>
    </rPh>
    <rPh sb="134" eb="136">
      <t>ジョウショウ</t>
    </rPh>
    <rPh sb="137" eb="138">
      <t>ヤク</t>
    </rPh>
    <rPh sb="141" eb="142">
      <t>バイ</t>
    </rPh>
    <rPh sb="149" eb="153">
      <t>ギジュツヤクイン</t>
    </rPh>
    <rPh sb="161" eb="163">
      <t>ヘンドウ</t>
    </rPh>
    <rPh sb="166" eb="168">
      <t>キンガク</t>
    </rPh>
    <rPh sb="169" eb="171">
      <t>ジョウショウ</t>
    </rPh>
    <rPh sb="184" eb="185">
      <t>エン</t>
    </rPh>
    <rPh sb="187" eb="190">
      <t>カイギシツ</t>
    </rPh>
    <rPh sb="190" eb="193">
      <t>カクホヒ</t>
    </rPh>
    <rPh sb="199" eb="202">
      <t>センシュダン</t>
    </rPh>
    <rPh sb="209" eb="213">
      <t>エイギョウホショウ</t>
    </rPh>
    <rPh sb="213" eb="214">
      <t>ヒ</t>
    </rPh>
    <rPh sb="233" eb="235">
      <t>セキサン</t>
    </rPh>
    <rPh sb="244" eb="246">
      <t>セキサン</t>
    </rPh>
    <rPh sb="247" eb="249">
      <t>ヒツヨウ</t>
    </rPh>
    <rPh sb="250" eb="251">
      <t>デ</t>
    </rPh>
    <rPh sb="272" eb="273">
      <t>エン</t>
    </rPh>
    <rPh sb="310" eb="311">
      <t>エン</t>
    </rPh>
    <rPh sb="323" eb="327">
      <t>タイオウチョウショク</t>
    </rPh>
    <rPh sb="328" eb="330">
      <t>タンカ</t>
    </rPh>
    <rPh sb="332" eb="336">
      <t>ツウジョウチョウショク</t>
    </rPh>
    <rPh sb="336" eb="338">
      <t>タンカ</t>
    </rPh>
    <rPh sb="339" eb="341">
      <t>サガク</t>
    </rPh>
    <rPh sb="345" eb="346">
      <t>ゴト</t>
    </rPh>
    <rPh sb="347" eb="349">
      <t>タンカ</t>
    </rPh>
    <rPh sb="350" eb="351">
      <t>コト</t>
    </rPh>
    <rPh sb="354" eb="356">
      <t>ゲンジョウ</t>
    </rPh>
    <rPh sb="357" eb="361">
      <t>ツウジョウチョウショク</t>
    </rPh>
    <rPh sb="361" eb="362">
      <t>ブン</t>
    </rPh>
    <rPh sb="364" eb="366">
      <t>ヨサン</t>
    </rPh>
    <rPh sb="367" eb="368">
      <t>ナ</t>
    </rPh>
    <rPh sb="371" eb="373">
      <t>ケイジョウ</t>
    </rPh>
    <rPh sb="385" eb="386">
      <t>エン</t>
    </rPh>
    <rPh sb="414" eb="417">
      <t>ニンハクスウ</t>
    </rPh>
    <rPh sb="454" eb="457">
      <t>センシュダン</t>
    </rPh>
    <rPh sb="457" eb="459">
      <t>イガイ</t>
    </rPh>
    <rPh sb="460" eb="462">
      <t>ハイシュク</t>
    </rPh>
    <rPh sb="462" eb="464">
      <t>ケイカク</t>
    </rPh>
    <rPh sb="464" eb="466">
      <t>ヘンドウ</t>
    </rPh>
    <rPh sb="469" eb="471">
      <t>キンガク</t>
    </rPh>
    <rPh sb="472" eb="474">
      <t>ヘンドウ</t>
    </rPh>
    <rPh sb="544" eb="546">
      <t>イットウ</t>
    </rPh>
    <rPh sb="546" eb="547">
      <t>カ</t>
    </rPh>
    <rPh sb="551" eb="553">
      <t>エイギョウ</t>
    </rPh>
    <rPh sb="553" eb="555">
      <t>テイシ</t>
    </rPh>
    <rPh sb="555" eb="556">
      <t>トウ</t>
    </rPh>
    <rPh sb="557" eb="558">
      <t>クルマ</t>
    </rPh>
    <rPh sb="560" eb="562">
      <t>ウケイ</t>
    </rPh>
    <rPh sb="567" eb="568">
      <t>トビラ</t>
    </rPh>
    <rPh sb="568" eb="569">
      <t>ハズ</t>
    </rPh>
    <rPh sb="570" eb="572">
      <t>タイオウ</t>
    </rPh>
    <rPh sb="572" eb="574">
      <t>ヒヨウ</t>
    </rPh>
    <rPh sb="574" eb="575">
      <t>フク</t>
    </rPh>
    <rPh sb="621" eb="622">
      <t>エン</t>
    </rPh>
    <rPh sb="731" eb="732">
      <t>エン</t>
    </rPh>
    <rPh sb="736" eb="738">
      <t>キョウツウ</t>
    </rPh>
    <rPh sb="739" eb="743">
      <t>ギジュツヤクイン</t>
    </rPh>
    <rPh sb="744" eb="746">
      <t>ショクヒ</t>
    </rPh>
    <rPh sb="762" eb="766">
      <t>エイギョウホショウ</t>
    </rPh>
    <rPh sb="766" eb="767">
      <t>ヒ</t>
    </rPh>
    <rPh sb="772" eb="774">
      <t>ベツワク</t>
    </rPh>
    <rPh sb="775" eb="777">
      <t>サンシュツ</t>
    </rPh>
    <phoneticPr fontId="46"/>
  </si>
  <si>
    <t>　内容については別紙参照</t>
    <phoneticPr fontId="46"/>
  </si>
  <si>
    <t>飲食費（その他経費（支援機器設置等））</t>
    <phoneticPr fontId="46"/>
  </si>
  <si>
    <t>会議室等確保費</t>
    <phoneticPr fontId="46"/>
  </si>
  <si>
    <t>ホテル（一棟貸しによる補償）</t>
    <rPh sb="4" eb="7">
      <t>イットウカ</t>
    </rPh>
    <rPh sb="11" eb="13">
      <t>ホショウ</t>
    </rPh>
    <phoneticPr fontId="46"/>
  </si>
  <si>
    <t>ホテル（クリーンベニューによる補償）</t>
    <rPh sb="15" eb="17">
      <t>ホショウ</t>
    </rPh>
    <phoneticPr fontId="46"/>
  </si>
  <si>
    <t>（選手団※自動販売機補償）</t>
    <rPh sb="1" eb="4">
      <t>センシュダン</t>
    </rPh>
    <rPh sb="5" eb="10">
      <t>ジドウハンバイキ</t>
    </rPh>
    <rPh sb="10" eb="12">
      <t>ホショウ</t>
    </rPh>
    <phoneticPr fontId="46"/>
  </si>
  <si>
    <t>（選手団※テナント等補償）</t>
    <rPh sb="1" eb="4">
      <t>センシュダン</t>
    </rPh>
    <rPh sb="9" eb="10">
      <t>トウ</t>
    </rPh>
    <rPh sb="10" eb="12">
      <t>ホショウ</t>
    </rPh>
    <phoneticPr fontId="46"/>
  </si>
  <si>
    <t>　※技術役員の昼食夕食について、延べ人数の3割に5,000円の昼食提供、10割に10,000円の夕食提供、5割に1,500円の夜食提供という前提で算出。</t>
    <rPh sb="2" eb="6">
      <t>ギジュツヤクイン</t>
    </rPh>
    <rPh sb="7" eb="9">
      <t>チュウショク</t>
    </rPh>
    <rPh sb="9" eb="11">
      <t>ユウショク</t>
    </rPh>
    <rPh sb="16" eb="17">
      <t>ノ</t>
    </rPh>
    <rPh sb="18" eb="20">
      <t>ニンズウ</t>
    </rPh>
    <rPh sb="22" eb="23">
      <t>ワリ</t>
    </rPh>
    <rPh sb="29" eb="30">
      <t>エン</t>
    </rPh>
    <rPh sb="31" eb="33">
      <t>チュウショク</t>
    </rPh>
    <rPh sb="33" eb="35">
      <t>テイキョウ</t>
    </rPh>
    <rPh sb="38" eb="39">
      <t>ワリ</t>
    </rPh>
    <rPh sb="46" eb="47">
      <t>エン</t>
    </rPh>
    <rPh sb="48" eb="50">
      <t>ユウショク</t>
    </rPh>
    <rPh sb="50" eb="52">
      <t>テイキョウ</t>
    </rPh>
    <rPh sb="54" eb="55">
      <t>ワリ</t>
    </rPh>
    <rPh sb="61" eb="62">
      <t>エン</t>
    </rPh>
    <rPh sb="63" eb="65">
      <t>ヤショク</t>
    </rPh>
    <rPh sb="65" eb="67">
      <t>テイキョウ</t>
    </rPh>
    <rPh sb="70" eb="72">
      <t>ゼンテイ</t>
    </rPh>
    <rPh sb="73" eb="75">
      <t>サンシュツ</t>
    </rPh>
    <phoneticPr fontId="46"/>
  </si>
  <si>
    <t>　※ファミリーのランドリーサービス費については、昨年度要求時、財政見通し時にアジア86,508千円、パラ22,496千円にて積算するも予算要求資料には記載せず。ただし来年度の支払で必要になるため今回の予算要求時には積算</t>
    <rPh sb="17" eb="18">
      <t>ヒ</t>
    </rPh>
    <rPh sb="24" eb="27">
      <t>サクネンド</t>
    </rPh>
    <rPh sb="27" eb="30">
      <t>ヨウキュウジ</t>
    </rPh>
    <rPh sb="31" eb="35">
      <t>ザイセイミトオ</t>
    </rPh>
    <rPh sb="36" eb="37">
      <t>ジ</t>
    </rPh>
    <rPh sb="62" eb="64">
      <t>セキサン</t>
    </rPh>
    <rPh sb="67" eb="73">
      <t>ヨサンヨウキュウシリョウ</t>
    </rPh>
    <rPh sb="75" eb="77">
      <t>キサイ</t>
    </rPh>
    <rPh sb="83" eb="86">
      <t>ライネンド</t>
    </rPh>
    <rPh sb="87" eb="89">
      <t>シハライ</t>
    </rPh>
    <rPh sb="90" eb="92">
      <t>ヒツヨウ</t>
    </rPh>
    <rPh sb="97" eb="99">
      <t>コンカイ</t>
    </rPh>
    <rPh sb="100" eb="105">
      <t>ヨサンヨウキュウジ</t>
    </rPh>
    <rPh sb="107" eb="109">
      <t>セキサン</t>
    </rPh>
    <phoneticPr fontId="46"/>
  </si>
  <si>
    <t>選手団ホテルにかかっている総費用（会議室費用およびサポート含む、グラブアンドゴーおよび営業補償除く）</t>
    <rPh sb="17" eb="20">
      <t>カイギシツ</t>
    </rPh>
    <rPh sb="20" eb="22">
      <t>ヒヨウ</t>
    </rPh>
    <rPh sb="43" eb="47">
      <t>エイギョウホショウ</t>
    </rPh>
    <rPh sb="47" eb="48">
      <t>ノゾ</t>
    </rPh>
    <phoneticPr fontId="46"/>
  </si>
  <si>
    <t>選手団のべ人数</t>
    <rPh sb="2" eb="3">
      <t>ダン</t>
    </rPh>
    <rPh sb="5" eb="7">
      <t>ニンズウ</t>
    </rPh>
    <phoneticPr fontId="46"/>
  </si>
  <si>
    <t>選手ホテルで1人あたりにかかっている費用</t>
    <rPh sb="7" eb="8">
      <t>ニン</t>
    </rPh>
    <rPh sb="18" eb="20">
      <t>ヒヨウ</t>
    </rPh>
    <phoneticPr fontId="46"/>
  </si>
  <si>
    <t>　アジア：選手団配宿12,600人➡15,000人＋αへの変動により延べ人泊数が増加、その他配宿計画の変動により人泊数の内訳変動（コンテナ等）
　アジア：技術役員の3,300人➡4,100人への変動により延べ人泊数が増加し、配宿計画の変動により金額が変動
　アジア：人数増加以外の理由による配宿計画変動により金額が変動
　アジア：選手団・ファミリーの契約に際し、2021年見込み単価より金額が上昇（約1.3倍）
　アジア：宿泊税、入湯税を計上したため金額上昇（＋16,386,650円）
　アジア：アスリート対応朝食の単価と、通常朝食単価の差額（ホテル毎に単価は異なる、現状は通常朝食分しか予算が無い）を計上（＋79,313,574円）
　アジア：技術役員のサービスレベル変動により金額が上昇（会議室確保費　＋847,152,847円、昼食夕食費用　＋735,196,000円）
　アジア：選手団ホテルにおける営業補償費（一棟貸しによる営業停止等）をこれまで積算していなかったが、積算の必要が出てきたため金額上昇（＋58,961,165円）
　アジア：選手団ホテルにおける営業補償費（クリーンベニューを行うことによって発生する営業補償費）についても計上（自動販売機補償　＋10,045,000円、レストラン等の営業補償　＋2,697,400,000円）
　アジア：ファミリーホテルにおけるランドリーサービス費について、昨年度要求時は財政見通しにのみ86,508千円を計上して予算要求資料には未記載だったが、来年度支払が必要となるため、今回計上（＋136,866,942円）
　　　　　※6,197円/3着料金×22,086人泊（422人×23泊【ヒルトン】＋335人×20泊【コートヤード】＋223人×20泊【ANA】＋90人×13泊【ニッコー台場】＋10人×5泊【シェラトン大阪】の合計）
　パラ：選手団サービス提供期間2日間延長により延べ人泊数が増加、その他配宿計画の変動により人泊数の内訳変動（コンテナ等）
　パラ：技術役員の800人➡1,200人への変動により延べ人泊数が増加し、配宿計画の変動により金額が変動
　パラ：人数増加以外の理由による配宿計画変動により金額が変動
　パラ：宿泊税、入湯税を計上したため金額上昇（＋3,224,700円）
　パラ：アスリート対応朝食の単価と、通常朝食単価の差額（ホテル毎に単価は異なる、現状は通常朝食分しか予算が無い）を計上（＋30,879,036円）
　パラ：技術役員のサービスレベル変動により金額が上昇（会議室確保費　＋530,133,699円、昼食夕食費用　＋203,644,000円）
　パラ：選手団ホテルにおける営業補償費（一棟貸しによる営業停止等。車いす受入れのための扉外し対応費用含む）をこれまで積算していなかったが、積算の必要が出てきたため金額上昇（＋87,391,200円）
　パラ：選手団ホテルにおける営業補償費（クリーンベニューを行うことによって発生する営業補償費）についても計上（自動販売機補償　＋6,750,000円、レストラン等の営業補償　＋1,720,000,000円）
　パラ：ファミリーホテルにおけるランドリーサービス費について、昨年度要求時は財政見通しにのみ22,496千円を計上して予算要求資料には未記載だったが、来年度支払が必要となるため、今回計上（＋23,176,780円）
　　　　　※6,197円/3着料金×3,740人泊（340人×11泊【コートヤード】）
　共通：北朝鮮、制裁対象国検討に伴う配宿シミュレーションの変更は考慮していない</t>
    <rPh sb="603" eb="604">
      <t>ヒ</t>
    </rPh>
    <rPh sb="609" eb="612">
      <t>サクネンド</t>
    </rPh>
    <rPh sb="612" eb="615">
      <t>ヨウキュウジ</t>
    </rPh>
    <rPh sb="616" eb="620">
      <t>ザイセイミトオ</t>
    </rPh>
    <rPh sb="630" eb="632">
      <t>センエン</t>
    </rPh>
    <rPh sb="633" eb="635">
      <t>ケイジョウ</t>
    </rPh>
    <rPh sb="637" eb="643">
      <t>ヨサンヨウキュウシリョウ</t>
    </rPh>
    <rPh sb="645" eb="648">
      <t>ミキサイ</t>
    </rPh>
    <rPh sb="653" eb="656">
      <t>ライネンド</t>
    </rPh>
    <rPh sb="656" eb="658">
      <t>シハライ</t>
    </rPh>
    <rPh sb="659" eb="661">
      <t>ヒツヨウ</t>
    </rPh>
    <rPh sb="667" eb="669">
      <t>コンカイ</t>
    </rPh>
    <rPh sb="669" eb="671">
      <t>ケイジョウ</t>
    </rPh>
    <rPh sb="684" eb="685">
      <t>エン</t>
    </rPh>
    <phoneticPr fontId="46"/>
  </si>
  <si>
    <t>客室単価＋通常朝食と、アスリートミールの財政見通し上の関係性とこれまでの経緯</t>
    <rPh sb="0" eb="2">
      <t>キャクシツ</t>
    </rPh>
    <rPh sb="2" eb="4">
      <t>タンカ</t>
    </rPh>
    <rPh sb="5" eb="7">
      <t>ツウジョウ</t>
    </rPh>
    <rPh sb="7" eb="9">
      <t>チョウショク</t>
    </rPh>
    <rPh sb="20" eb="24">
      <t>ザイセイミトオ</t>
    </rPh>
    <rPh sb="25" eb="26">
      <t>ジョウ</t>
    </rPh>
    <rPh sb="27" eb="30">
      <t>カンケイセイ</t>
    </rPh>
    <rPh sb="36" eb="38">
      <t>ケイイ</t>
    </rPh>
    <phoneticPr fontId="2"/>
  </si>
  <si>
    <t>例：客室単価9,000円（税込）＋通常朝食1,500円（税込）の場合</t>
    <rPh sb="0" eb="1">
      <t>レイ</t>
    </rPh>
    <rPh sb="2" eb="4">
      <t>キャクシツ</t>
    </rPh>
    <rPh sb="4" eb="6">
      <t>タンカ</t>
    </rPh>
    <rPh sb="11" eb="12">
      <t>エン</t>
    </rPh>
    <rPh sb="13" eb="15">
      <t>ゼイコミ</t>
    </rPh>
    <rPh sb="17" eb="21">
      <t>ツウジョウチョウショク</t>
    </rPh>
    <rPh sb="26" eb="27">
      <t>エン</t>
    </rPh>
    <rPh sb="28" eb="30">
      <t>ゼイコミ</t>
    </rPh>
    <rPh sb="32" eb="34">
      <t>バアイ</t>
    </rPh>
    <phoneticPr fontId="2"/>
  </si>
  <si>
    <t>※ハラルヴィーガン単価については別軸</t>
    <rPh sb="9" eb="11">
      <t>タンカ</t>
    </rPh>
    <rPh sb="16" eb="17">
      <t>ベツ</t>
    </rPh>
    <rPh sb="17" eb="18">
      <t>ジク</t>
    </rPh>
    <phoneticPr fontId="2"/>
  </si>
  <si>
    <t>基本</t>
    <rPh sb="0" eb="2">
      <t>キホン</t>
    </rPh>
    <phoneticPr fontId="2"/>
  </si>
  <si>
    <t>客室単価</t>
    <rPh sb="0" eb="2">
      <t>キャクシツ</t>
    </rPh>
    <rPh sb="2" eb="4">
      <t>タンカ</t>
    </rPh>
    <phoneticPr fontId="2"/>
  </si>
  <si>
    <t>朝食</t>
    <rPh sb="0" eb="2">
      <t>チョウショク</t>
    </rPh>
    <phoneticPr fontId="2"/>
  </si>
  <si>
    <t>9000円</t>
    <rPh sb="4" eb="5">
      <t>エン</t>
    </rPh>
    <phoneticPr fontId="2"/>
  </si>
  <si>
    <t>1,500円</t>
    <rPh sb="5" eb="6">
      <t>エン</t>
    </rPh>
    <phoneticPr fontId="2"/>
  </si>
  <si>
    <t>財政見通し時（24年10月）</t>
    <rPh sb="0" eb="2">
      <t>ザイセイ</t>
    </rPh>
    <rPh sb="2" eb="4">
      <t>ミトオ</t>
    </rPh>
    <rPh sb="5" eb="6">
      <t>ジ</t>
    </rPh>
    <rPh sb="9" eb="10">
      <t>ネン</t>
    </rPh>
    <rPh sb="12" eb="13">
      <t>ガツ</t>
    </rPh>
    <phoneticPr fontId="2"/>
  </si>
  <si>
    <t>アスリートミール単価</t>
    <rPh sb="8" eb="10">
      <t>タンカ</t>
    </rPh>
    <phoneticPr fontId="2"/>
  </si>
  <si>
    <t>朝食4,100円</t>
    <rPh sb="0" eb="2">
      <t>チョウショク</t>
    </rPh>
    <rPh sb="7" eb="8">
      <t>エン</t>
    </rPh>
    <phoneticPr fontId="2"/>
  </si>
  <si>
    <t>昼食7,400円</t>
    <rPh sb="0" eb="2">
      <t>チュウショク</t>
    </rPh>
    <rPh sb="7" eb="8">
      <t>エン</t>
    </rPh>
    <phoneticPr fontId="2"/>
  </si>
  <si>
    <t>夕食9,500円</t>
    <rPh sb="0" eb="2">
      <t>ユウショク</t>
    </rPh>
    <rPh sb="7" eb="8">
      <t>エン</t>
    </rPh>
    <phoneticPr fontId="2"/>
  </si>
  <si>
    <t>21,000円</t>
    <rPh sb="6" eb="7">
      <t>エン</t>
    </rPh>
    <phoneticPr fontId="2"/>
  </si>
  <si>
    <t>査定</t>
    <rPh sb="0" eb="2">
      <t>サテイ</t>
    </rPh>
    <phoneticPr fontId="2"/>
  </si>
  <si>
    <t>二重計上という</t>
    <rPh sb="0" eb="4">
      <t>ニジュウケイジョウ</t>
    </rPh>
    <phoneticPr fontId="2"/>
  </si>
  <si>
    <t>ことで切られる</t>
    <rPh sb="3" eb="4">
      <t>キ</t>
    </rPh>
    <phoneticPr fontId="2"/>
  </si>
  <si>
    <t>16,900円</t>
    <rPh sb="6" eb="7">
      <t>エン</t>
    </rPh>
    <phoneticPr fontId="2"/>
  </si>
  <si>
    <t>昨年度の立てつけ（現実的には破綻）</t>
    <rPh sb="0" eb="3">
      <t>サクネンド</t>
    </rPh>
    <rPh sb="4" eb="5">
      <t>タ</t>
    </rPh>
    <rPh sb="9" eb="12">
      <t>ゲンジツテキ</t>
    </rPh>
    <rPh sb="14" eb="16">
      <t>ハタン</t>
    </rPh>
    <phoneticPr fontId="2"/>
  </si>
  <si>
    <t>差額の</t>
    <rPh sb="0" eb="2">
      <t>サガク</t>
    </rPh>
    <phoneticPr fontId="2"/>
  </si>
  <si>
    <t>通常朝食</t>
    <rPh sb="0" eb="4">
      <t>ツウジョウチョウショク</t>
    </rPh>
    <phoneticPr fontId="2"/>
  </si>
  <si>
    <t>2,600円</t>
    <rPh sb="5" eb="6">
      <t>エン</t>
    </rPh>
    <phoneticPr fontId="2"/>
  </si>
  <si>
    <t>9,000円-2,600円？？</t>
    <rPh sb="5" eb="6">
      <t>エン</t>
    </rPh>
    <rPh sb="12" eb="13">
      <t>エン</t>
    </rPh>
    <phoneticPr fontId="2"/>
  </si>
  <si>
    <t>4,100円</t>
    <rPh sb="5" eb="6">
      <t>エン</t>
    </rPh>
    <phoneticPr fontId="2"/>
  </si>
  <si>
    <t>※ホテルへは、【アスリートミール対応朝食と通常朝食の差額】＋【アスリートミール対応昼食】＋【アスリートミール対応夕食】で16,900円程度で案内</t>
    <rPh sb="16" eb="18">
      <t>タイオウ</t>
    </rPh>
    <rPh sb="18" eb="20">
      <t>チョウショク</t>
    </rPh>
    <rPh sb="21" eb="25">
      <t>ツウジョウチョウショク</t>
    </rPh>
    <rPh sb="26" eb="28">
      <t>サガク</t>
    </rPh>
    <rPh sb="39" eb="41">
      <t>タイオウ</t>
    </rPh>
    <rPh sb="41" eb="43">
      <t>チュウショク</t>
    </rPh>
    <rPh sb="56" eb="58">
      <t>ユウショク</t>
    </rPh>
    <rPh sb="66" eb="67">
      <t>エン</t>
    </rPh>
    <rPh sb="67" eb="69">
      <t>テイド</t>
    </rPh>
    <rPh sb="70" eb="72">
      <t>アンナイ</t>
    </rPh>
    <phoneticPr fontId="2"/>
  </si>
  <si>
    <t>※反応としては、この金額では対応は出来ないと言われている状況。</t>
    <rPh sb="1" eb="3">
      <t>ハンノウ</t>
    </rPh>
    <rPh sb="10" eb="12">
      <t>キンガク</t>
    </rPh>
    <rPh sb="14" eb="16">
      <t>タイオウ</t>
    </rPh>
    <rPh sb="17" eb="19">
      <t>デキ</t>
    </rPh>
    <rPh sb="22" eb="23">
      <t>イ</t>
    </rPh>
    <rPh sb="28" eb="30">
      <t>ジョウキョウ</t>
    </rPh>
    <phoneticPr fontId="2"/>
  </si>
  <si>
    <t>今回</t>
    <rPh sb="0" eb="2">
      <t>コンカイ</t>
    </rPh>
    <phoneticPr fontId="2"/>
  </si>
  <si>
    <t>アスリートミール単価</t>
    <phoneticPr fontId="2"/>
  </si>
  <si>
    <t>9,000円</t>
    <rPh sb="5" eb="6">
      <t>エン</t>
    </rPh>
    <phoneticPr fontId="2"/>
  </si>
  <si>
    <t>債務負担行為（キャンセル期限前の契約金額ベース）</t>
    <rPh sb="0" eb="2">
      <t>サイム</t>
    </rPh>
    <rPh sb="2" eb="4">
      <t>フタン</t>
    </rPh>
    <rPh sb="4" eb="6">
      <t>コウイ</t>
    </rPh>
    <rPh sb="12" eb="14">
      <t>キゲン</t>
    </rPh>
    <rPh sb="14" eb="15">
      <t>マエ</t>
    </rPh>
    <rPh sb="16" eb="18">
      <t>ケイヤク</t>
    </rPh>
    <rPh sb="18" eb="20">
      <t>キンガク</t>
    </rPh>
    <phoneticPr fontId="2"/>
  </si>
  <si>
    <t>宿泊料</t>
    <rPh sb="0" eb="2">
      <t>シュクハク</t>
    </rPh>
    <rPh sb="2" eb="3">
      <t>リョウ</t>
    </rPh>
    <phoneticPr fontId="59"/>
  </si>
  <si>
    <t>案3</t>
    <rPh sb="0" eb="1">
      <t>アン</t>
    </rPh>
    <phoneticPr fontId="2"/>
  </si>
  <si>
    <t>※財政見通しver（キャンセル期限後に実際に支払う金額ベース）</t>
    <rPh sb="1" eb="3">
      <t>ザイセイ</t>
    </rPh>
    <rPh sb="3" eb="5">
      <t>ミトオ</t>
    </rPh>
    <rPh sb="15" eb="17">
      <t>キゲン</t>
    </rPh>
    <rPh sb="17" eb="18">
      <t>ゴ</t>
    </rPh>
    <rPh sb="19" eb="21">
      <t>ジッサイ</t>
    </rPh>
    <rPh sb="22" eb="24">
      <t>シハラ</t>
    </rPh>
    <rPh sb="25" eb="27">
      <t>キンガク</t>
    </rPh>
    <phoneticPr fontId="2"/>
  </si>
  <si>
    <t>ステークホルダー</t>
    <phoneticPr fontId="59"/>
  </si>
  <si>
    <t>1室あたりの
平均単価</t>
    <rPh sb="1" eb="2">
      <t>シツ</t>
    </rPh>
    <rPh sb="7" eb="9">
      <t>ヘイキン</t>
    </rPh>
    <rPh sb="9" eb="11">
      <t>タンカ</t>
    </rPh>
    <phoneticPr fontId="59"/>
  </si>
  <si>
    <t>室数
※シミュレーションの客室数</t>
    <rPh sb="0" eb="1">
      <t>シツ</t>
    </rPh>
    <rPh sb="1" eb="2">
      <t>スウ</t>
    </rPh>
    <rPh sb="13" eb="15">
      <t>キャクシツ</t>
    </rPh>
    <rPh sb="15" eb="16">
      <t>スウ</t>
    </rPh>
    <phoneticPr fontId="59"/>
  </si>
  <si>
    <t>契約泊数</t>
    <rPh sb="0" eb="2">
      <t>ケイヤク</t>
    </rPh>
    <rPh sb="2" eb="4">
      <t>ハクスウ</t>
    </rPh>
    <phoneticPr fontId="59"/>
  </si>
  <si>
    <t>金額
物価上昇前
（G、H列固定値）</t>
    <rPh sb="0" eb="2">
      <t>キンガク</t>
    </rPh>
    <rPh sb="3" eb="5">
      <t>ブッカ</t>
    </rPh>
    <rPh sb="5" eb="7">
      <t>ジョウショウ</t>
    </rPh>
    <rPh sb="7" eb="8">
      <t>マエ</t>
    </rPh>
    <rPh sb="16" eb="17">
      <t>チ</t>
    </rPh>
    <phoneticPr fontId="59"/>
  </si>
  <si>
    <t>物価上昇率（宿泊）
2021➡2026</t>
    <rPh sb="0" eb="4">
      <t>ブッカジョウショウ</t>
    </rPh>
    <rPh sb="4" eb="5">
      <t>リツ</t>
    </rPh>
    <rPh sb="6" eb="8">
      <t>シュクハク</t>
    </rPh>
    <phoneticPr fontId="59"/>
  </si>
  <si>
    <t>金額
物価上昇後
（G、H列固定値）</t>
    <rPh sb="0" eb="2">
      <t>キンガク</t>
    </rPh>
    <rPh sb="3" eb="5">
      <t>ブッカ</t>
    </rPh>
    <rPh sb="5" eb="8">
      <t>ジョウショウゴ</t>
    </rPh>
    <phoneticPr fontId="59"/>
  </si>
  <si>
    <t>総　計</t>
    <rPh sb="0" eb="1">
      <t>ソウ</t>
    </rPh>
    <rPh sb="2" eb="3">
      <t>ケイ</t>
    </rPh>
    <phoneticPr fontId="59"/>
  </si>
  <si>
    <t>【参考値】
金額
物価上昇前
（シミュレーション）</t>
    <rPh sb="3" eb="4">
      <t>アタイ</t>
    </rPh>
    <rPh sb="6" eb="8">
      <t>キンガク</t>
    </rPh>
    <rPh sb="9" eb="13">
      <t>ブッカジョウショウ</t>
    </rPh>
    <rPh sb="13" eb="14">
      <t>マエ</t>
    </rPh>
    <phoneticPr fontId="2"/>
  </si>
  <si>
    <t>【参考値】
金額
物価上昇後
（シミュレーション）</t>
    <rPh sb="6" eb="8">
      <t>キンガク</t>
    </rPh>
    <rPh sb="9" eb="11">
      <t>ブッカ</t>
    </rPh>
    <rPh sb="11" eb="14">
      <t>ジョウショウゴ</t>
    </rPh>
    <phoneticPr fontId="59"/>
  </si>
  <si>
    <t>アジア</t>
    <phoneticPr fontId="59"/>
  </si>
  <si>
    <t>選手団15,000</t>
    <rPh sb="0" eb="3">
      <t>センシュダン</t>
    </rPh>
    <phoneticPr fontId="59"/>
  </si>
  <si>
    <t>選手団12,000</t>
    <rPh sb="0" eb="3">
      <t>センシュダン</t>
    </rPh>
    <phoneticPr fontId="2"/>
  </si>
  <si>
    <t>不要？</t>
    <rPh sb="0" eb="2">
      <t>フヨウ</t>
    </rPh>
    <phoneticPr fontId="2"/>
  </si>
  <si>
    <t>ファミリー</t>
    <phoneticPr fontId="59"/>
  </si>
  <si>
    <t>スポンサー</t>
    <phoneticPr fontId="59"/>
  </si>
  <si>
    <t>NOC本部</t>
    <rPh sb="3" eb="5">
      <t>ホンブ</t>
    </rPh>
    <phoneticPr fontId="59"/>
  </si>
  <si>
    <t>メディア</t>
    <phoneticPr fontId="59"/>
  </si>
  <si>
    <t>技術役員（競技役員）</t>
    <rPh sb="0" eb="2">
      <t>ギジュツ</t>
    </rPh>
    <rPh sb="2" eb="4">
      <t>ヤクイン</t>
    </rPh>
    <rPh sb="5" eb="7">
      <t>キョウギ</t>
    </rPh>
    <rPh sb="7" eb="9">
      <t>ヤクイン</t>
    </rPh>
    <phoneticPr fontId="59"/>
  </si>
  <si>
    <t>技術役員（DCO)</t>
    <rPh sb="0" eb="2">
      <t>ギジュツ</t>
    </rPh>
    <rPh sb="2" eb="4">
      <t>ヤクイン</t>
    </rPh>
    <phoneticPr fontId="59"/>
  </si>
  <si>
    <t>パラ</t>
    <phoneticPr fontId="59"/>
  </si>
  <si>
    <t>選手団4,000</t>
    <rPh sb="0" eb="3">
      <t>センシュダン</t>
    </rPh>
    <phoneticPr fontId="59"/>
  </si>
  <si>
    <t>選手団3,600</t>
    <rPh sb="0" eb="3">
      <t>センシュダン</t>
    </rPh>
    <phoneticPr fontId="2"/>
  </si>
  <si>
    <t>NPC本部</t>
    <rPh sb="3" eb="5">
      <t>ホンブ</t>
    </rPh>
    <phoneticPr fontId="59"/>
  </si>
  <si>
    <t>-</t>
    <phoneticPr fontId="2"/>
  </si>
  <si>
    <t>FR料</t>
    <rPh sb="2" eb="3">
      <t>リョウ</t>
    </rPh>
    <phoneticPr fontId="59"/>
  </si>
  <si>
    <t xml:space="preserve">1室あたりの
平均単価
</t>
    <rPh sb="1" eb="2">
      <t>シツ</t>
    </rPh>
    <rPh sb="7" eb="9">
      <t>ヘイキン</t>
    </rPh>
    <rPh sb="9" eb="11">
      <t>タンカ</t>
    </rPh>
    <phoneticPr fontId="59"/>
  </si>
  <si>
    <t>部屋数
※施設保有FR数</t>
    <rPh sb="0" eb="3">
      <t>ヘヤスウ</t>
    </rPh>
    <rPh sb="5" eb="7">
      <t>シセツ</t>
    </rPh>
    <rPh sb="7" eb="9">
      <t>ホユウ</t>
    </rPh>
    <rPh sb="11" eb="12">
      <t>スウ</t>
    </rPh>
    <phoneticPr fontId="59"/>
  </si>
  <si>
    <t>契約日数</t>
    <rPh sb="0" eb="2">
      <t>ケイヤク</t>
    </rPh>
    <rPh sb="2" eb="4">
      <t>ニッスウ</t>
    </rPh>
    <phoneticPr fontId="59"/>
  </si>
  <si>
    <t>選手団</t>
    <rPh sb="0" eb="3">
      <t>センシュダン</t>
    </rPh>
    <phoneticPr fontId="59"/>
  </si>
  <si>
    <t>※契約泊数及び日数についてシミュレーションが流動的であるため最大利用期間で契約見込、その後精査しキャンセル期限までにキャンセルする。</t>
    <rPh sb="1" eb="3">
      <t>ケイヤク</t>
    </rPh>
    <rPh sb="3" eb="5">
      <t>ハクスウ</t>
    </rPh>
    <rPh sb="5" eb="6">
      <t>オヨ</t>
    </rPh>
    <rPh sb="7" eb="9">
      <t>ニッスウ</t>
    </rPh>
    <rPh sb="39" eb="41">
      <t>ミコ</t>
    </rPh>
    <rPh sb="44" eb="45">
      <t>アト</t>
    </rPh>
    <rPh sb="53" eb="55">
      <t>キゲン</t>
    </rPh>
    <phoneticPr fontId="2"/>
  </si>
  <si>
    <t>宿泊料＋FR料</t>
    <rPh sb="0" eb="3">
      <t>シュクハクリョウ</t>
    </rPh>
    <rPh sb="6" eb="7">
      <t>リョウ</t>
    </rPh>
    <phoneticPr fontId="2"/>
  </si>
  <si>
    <t>アジア</t>
    <phoneticPr fontId="2"/>
  </si>
  <si>
    <t>パラ</t>
    <phoneticPr fontId="2"/>
  </si>
  <si>
    <t>【パラ本部泊数式修正】（泊数減＋パラ4,000一棟借上げ原則ヤメ）ACM財政見通（v4.3c）</t>
    <phoneticPr fontId="2"/>
  </si>
  <si>
    <t>（パラ4,000一棟借上げ原則ヤメ）ACM財政見通（v4.3c）</t>
    <phoneticPr fontId="2"/>
  </si>
  <si>
    <t>財政見通し積算にあたっての前提条件</t>
    <rPh sb="0" eb="4">
      <t>ザイセイミトオ</t>
    </rPh>
    <rPh sb="5" eb="7">
      <t>セキサン</t>
    </rPh>
    <rPh sb="13" eb="17">
      <t>ゼンテイジョウケン</t>
    </rPh>
    <phoneticPr fontId="2"/>
  </si>
  <si>
    <r>
      <t>○積算するにあたっての単価、泊数等は</t>
    </r>
    <r>
      <rPr>
        <b/>
        <sz val="11"/>
        <color theme="1"/>
        <rFont val="ＭＳ Ｐゴシック"/>
        <family val="3"/>
        <charset val="128"/>
        <scheme val="minor"/>
      </rPr>
      <t>別シート（Results）</t>
    </r>
    <r>
      <rPr>
        <sz val="11"/>
        <color theme="1"/>
        <rFont val="ＭＳ Ｐゴシック"/>
        <family val="2"/>
        <charset val="128"/>
        <scheme val="minor"/>
      </rPr>
      <t>にて宿泊施設毎に計算</t>
    </r>
    <rPh sb="1" eb="3">
      <t>セキサン</t>
    </rPh>
    <rPh sb="11" eb="13">
      <t>タンカ</t>
    </rPh>
    <rPh sb="14" eb="16">
      <t>ハクスウ</t>
    </rPh>
    <rPh sb="16" eb="17">
      <t>トウ</t>
    </rPh>
    <rPh sb="18" eb="19">
      <t>ベツ</t>
    </rPh>
    <rPh sb="33" eb="35">
      <t>シュクハク</t>
    </rPh>
    <rPh sb="35" eb="37">
      <t>シセツ</t>
    </rPh>
    <rPh sb="37" eb="38">
      <t>ゴト</t>
    </rPh>
    <rPh sb="39" eb="41">
      <t>ケイサン</t>
    </rPh>
    <phoneticPr fontId="2"/>
  </si>
  <si>
    <r>
      <t>○選手団は</t>
    </r>
    <r>
      <rPr>
        <b/>
        <sz val="11"/>
        <color rgb="FFFF0000"/>
        <rFont val="ＭＳ Ｐゴシック"/>
        <family val="3"/>
        <charset val="128"/>
        <scheme val="minor"/>
      </rPr>
      <t>貸切想定（アジアもパラも）のため、選手団の宿泊施設数が同じの場合は同じ額になる</t>
    </r>
    <rPh sb="1" eb="4">
      <t>センシュダン</t>
    </rPh>
    <rPh sb="5" eb="7">
      <t>カシキリ</t>
    </rPh>
    <rPh sb="7" eb="9">
      <t>ソウテイ</t>
    </rPh>
    <rPh sb="22" eb="25">
      <t>センシュダン</t>
    </rPh>
    <rPh sb="26" eb="30">
      <t>シュクハクシセツ</t>
    </rPh>
    <rPh sb="30" eb="31">
      <t>スウ</t>
    </rPh>
    <rPh sb="32" eb="33">
      <t>オナ</t>
    </rPh>
    <rPh sb="35" eb="37">
      <t>バアイ</t>
    </rPh>
    <rPh sb="38" eb="39">
      <t>オナ</t>
    </rPh>
    <rPh sb="40" eb="41">
      <t>ガク</t>
    </rPh>
    <phoneticPr fontId="2"/>
  </si>
  <si>
    <r>
      <t>○ファミリーの</t>
    </r>
    <r>
      <rPr>
        <b/>
        <sz val="11"/>
        <color rgb="FFFF0000"/>
        <rFont val="ＭＳ Ｐゴシック"/>
        <family val="3"/>
        <charset val="128"/>
        <scheme val="minor"/>
      </rPr>
      <t>OF1は貸切想定、OF2以下は貸切ではない</t>
    </r>
    <rPh sb="11" eb="13">
      <t>カシキリ</t>
    </rPh>
    <rPh sb="13" eb="15">
      <t>ソウテイ</t>
    </rPh>
    <rPh sb="19" eb="21">
      <t>イカ</t>
    </rPh>
    <rPh sb="22" eb="24">
      <t>カシキリ</t>
    </rPh>
    <phoneticPr fontId="2"/>
  </si>
  <si>
    <r>
      <t>○ファンクションルームの積算については、基本</t>
    </r>
    <r>
      <rPr>
        <b/>
        <sz val="11"/>
        <color rgb="FFFF0000"/>
        <rFont val="ＭＳ Ｐゴシック"/>
        <family val="3"/>
        <charset val="128"/>
        <scheme val="minor"/>
      </rPr>
      <t>選手、ファミリー、本部は（一応）全施設利用想定</t>
    </r>
    <rPh sb="12" eb="14">
      <t>セキサン</t>
    </rPh>
    <rPh sb="20" eb="22">
      <t>キホン</t>
    </rPh>
    <rPh sb="22" eb="24">
      <t>センシュ</t>
    </rPh>
    <rPh sb="31" eb="33">
      <t>ホンブ</t>
    </rPh>
    <rPh sb="35" eb="37">
      <t>イチオウ</t>
    </rPh>
    <rPh sb="38" eb="41">
      <t>ゼンシセツ</t>
    </rPh>
    <rPh sb="41" eb="45">
      <t>リヨウソウテイ</t>
    </rPh>
    <phoneticPr fontId="2"/>
  </si>
  <si>
    <r>
      <t>○物価上昇率は、総務省の消費者物価指数（宿泊料：</t>
    </r>
    <r>
      <rPr>
        <b/>
        <sz val="11"/>
        <color rgb="FFFF0000"/>
        <rFont val="ＭＳ Ｐゴシック"/>
        <family val="3"/>
        <charset val="128"/>
        <scheme val="minor"/>
      </rPr>
      <t>2021→2023で1.22倍</t>
    </r>
    <r>
      <rPr>
        <sz val="11"/>
        <color theme="1"/>
        <rFont val="ＭＳ Ｐゴシック"/>
        <family val="2"/>
        <charset val="128"/>
        <scheme val="minor"/>
      </rPr>
      <t>）から算出</t>
    </r>
    <rPh sb="1" eb="6">
      <t>ブッカジョウショウリツ</t>
    </rPh>
    <rPh sb="8" eb="11">
      <t>ソウムショウ</t>
    </rPh>
    <rPh sb="12" eb="15">
      <t>ショウヒシャ</t>
    </rPh>
    <rPh sb="15" eb="17">
      <t>ブッカ</t>
    </rPh>
    <rPh sb="17" eb="19">
      <t>シスウ</t>
    </rPh>
    <rPh sb="20" eb="22">
      <t>シュクハク</t>
    </rPh>
    <rPh sb="22" eb="23">
      <t>リョウ</t>
    </rPh>
    <rPh sb="38" eb="39">
      <t>バイ</t>
    </rPh>
    <rPh sb="42" eb="44">
      <t>サンシュツ</t>
    </rPh>
    <phoneticPr fontId="2"/>
  </si>
  <si>
    <t>Resultsシートの説明</t>
    <rPh sb="11" eb="13">
      <t>セツメイ</t>
    </rPh>
    <phoneticPr fontId="2"/>
  </si>
  <si>
    <r>
      <t>○各宿泊施設で割り振られるSHを記載（</t>
    </r>
    <r>
      <rPr>
        <b/>
        <sz val="11"/>
        <color theme="1"/>
        <rFont val="ＭＳ Ｐゴシック"/>
        <family val="3"/>
        <charset val="128"/>
        <scheme val="minor"/>
      </rPr>
      <t>C列～G列</t>
    </r>
    <r>
      <rPr>
        <sz val="11"/>
        <color theme="1"/>
        <rFont val="ＭＳ Ｐゴシック"/>
        <family val="2"/>
        <charset val="128"/>
        <scheme val="minor"/>
      </rPr>
      <t>、被りの関係で列が分かれる）</t>
    </r>
    <rPh sb="1" eb="2">
      <t>カク</t>
    </rPh>
    <rPh sb="2" eb="6">
      <t>シュクハクシセツ</t>
    </rPh>
    <rPh sb="7" eb="8">
      <t>ワ</t>
    </rPh>
    <rPh sb="9" eb="10">
      <t>フ</t>
    </rPh>
    <rPh sb="16" eb="18">
      <t>キサイ</t>
    </rPh>
    <rPh sb="20" eb="21">
      <t>レツ</t>
    </rPh>
    <rPh sb="23" eb="24">
      <t>レツ</t>
    </rPh>
    <rPh sb="25" eb="26">
      <t>カブ</t>
    </rPh>
    <rPh sb="28" eb="30">
      <t>カンケイ</t>
    </rPh>
    <rPh sb="31" eb="32">
      <t>レツ</t>
    </rPh>
    <rPh sb="33" eb="34">
      <t>ワ</t>
    </rPh>
    <phoneticPr fontId="2"/>
  </si>
  <si>
    <r>
      <t>○</t>
    </r>
    <r>
      <rPr>
        <b/>
        <sz val="11"/>
        <color theme="1"/>
        <rFont val="ＭＳ Ｐゴシック"/>
        <family val="3"/>
        <charset val="128"/>
        <scheme val="minor"/>
      </rPr>
      <t>C列～G列</t>
    </r>
    <r>
      <rPr>
        <sz val="11"/>
        <color theme="1"/>
        <rFont val="ＭＳ Ｐゴシック"/>
        <family val="2"/>
        <charset val="128"/>
        <scheme val="minor"/>
      </rPr>
      <t>のSH毎の、シミュレーション上の利用客室数を</t>
    </r>
    <r>
      <rPr>
        <b/>
        <sz val="11"/>
        <color theme="1"/>
        <rFont val="ＭＳ Ｐゴシック"/>
        <family val="3"/>
        <charset val="128"/>
        <scheme val="minor"/>
      </rPr>
      <t>X列～AB列</t>
    </r>
    <r>
      <rPr>
        <sz val="11"/>
        <color theme="1"/>
        <rFont val="ＭＳ Ｐゴシック"/>
        <family val="2"/>
        <charset val="128"/>
        <scheme val="minor"/>
      </rPr>
      <t>に記載</t>
    </r>
    <rPh sb="2" eb="3">
      <t>レツ</t>
    </rPh>
    <rPh sb="5" eb="6">
      <t>レツ</t>
    </rPh>
    <rPh sb="9" eb="10">
      <t>ゴト</t>
    </rPh>
    <rPh sb="20" eb="21">
      <t>ジョウ</t>
    </rPh>
    <rPh sb="22" eb="27">
      <t>リヨウキャクシツスウ</t>
    </rPh>
    <rPh sb="29" eb="30">
      <t>レツ</t>
    </rPh>
    <rPh sb="33" eb="34">
      <t>レツ</t>
    </rPh>
    <rPh sb="35" eb="37">
      <t>キサイ</t>
    </rPh>
    <phoneticPr fontId="2"/>
  </si>
  <si>
    <r>
      <t>○</t>
    </r>
    <r>
      <rPr>
        <b/>
        <sz val="11"/>
        <color theme="1"/>
        <rFont val="ＭＳ Ｐゴシック"/>
        <family val="3"/>
        <charset val="128"/>
        <scheme val="minor"/>
      </rPr>
      <t>C列～G列</t>
    </r>
    <r>
      <rPr>
        <sz val="11"/>
        <color theme="1"/>
        <rFont val="ＭＳ Ｐゴシック"/>
        <family val="2"/>
        <charset val="128"/>
        <scheme val="minor"/>
      </rPr>
      <t>のSH毎を参照し、それぞれのSHの宿泊施設毎の泊数を拾ってきている（</t>
    </r>
    <r>
      <rPr>
        <b/>
        <sz val="11"/>
        <color theme="1"/>
        <rFont val="ＭＳ Ｐゴシック"/>
        <family val="3"/>
        <charset val="128"/>
        <scheme val="minor"/>
      </rPr>
      <t>AK列～AU列</t>
    </r>
    <r>
      <rPr>
        <sz val="11"/>
        <color theme="1"/>
        <rFont val="ＭＳ Ｐゴシック"/>
        <family val="2"/>
        <charset val="128"/>
        <scheme val="minor"/>
      </rPr>
      <t>）</t>
    </r>
    <rPh sb="2" eb="3">
      <t>レツ</t>
    </rPh>
    <rPh sb="5" eb="6">
      <t>レツ</t>
    </rPh>
    <rPh sb="9" eb="10">
      <t>ゴト</t>
    </rPh>
    <rPh sb="11" eb="13">
      <t>サンショウ</t>
    </rPh>
    <rPh sb="23" eb="27">
      <t>シュクハクシセツ</t>
    </rPh>
    <rPh sb="27" eb="28">
      <t>ゴト</t>
    </rPh>
    <rPh sb="29" eb="31">
      <t>ハクスウ</t>
    </rPh>
    <rPh sb="32" eb="33">
      <t>ヒロ</t>
    </rPh>
    <rPh sb="42" eb="43">
      <t>レツ</t>
    </rPh>
    <rPh sb="46" eb="47">
      <t>レツ</t>
    </rPh>
    <phoneticPr fontId="2"/>
  </si>
  <si>
    <r>
      <t>○各宿泊施設の客室単価は各シートにて積算、その合計を拾っている（</t>
    </r>
    <r>
      <rPr>
        <b/>
        <sz val="11"/>
        <color theme="1"/>
        <rFont val="ＭＳ Ｐゴシック"/>
        <family val="3"/>
        <charset val="128"/>
        <scheme val="minor"/>
      </rPr>
      <t>S列</t>
    </r>
    <r>
      <rPr>
        <sz val="11"/>
        <color theme="1"/>
        <rFont val="ＭＳ Ｐゴシック"/>
        <family val="2"/>
        <charset val="128"/>
        <scheme val="minor"/>
      </rPr>
      <t>）</t>
    </r>
    <rPh sb="1" eb="2">
      <t>カク</t>
    </rPh>
    <rPh sb="2" eb="6">
      <t>シュクハクシセツ</t>
    </rPh>
    <rPh sb="7" eb="9">
      <t>キャクシツ</t>
    </rPh>
    <rPh sb="9" eb="11">
      <t>タンカ</t>
    </rPh>
    <rPh sb="12" eb="13">
      <t>カク</t>
    </rPh>
    <rPh sb="18" eb="20">
      <t>セキサン</t>
    </rPh>
    <rPh sb="23" eb="25">
      <t>ゴウケイ</t>
    </rPh>
    <rPh sb="26" eb="27">
      <t>ヒロ</t>
    </rPh>
    <rPh sb="33" eb="34">
      <t>レツ</t>
    </rPh>
    <phoneticPr fontId="2"/>
  </si>
  <si>
    <r>
      <t>○</t>
    </r>
    <r>
      <rPr>
        <b/>
        <sz val="11"/>
        <color theme="1"/>
        <rFont val="ＭＳ Ｐゴシック"/>
        <family val="3"/>
        <charset val="128"/>
        <scheme val="minor"/>
      </rPr>
      <t>S列</t>
    </r>
    <r>
      <rPr>
        <sz val="11"/>
        <color theme="1"/>
        <rFont val="ＭＳ Ｐゴシック"/>
        <family val="2"/>
        <charset val="128"/>
        <scheme val="minor"/>
      </rPr>
      <t>を各シートの合計客室数（</t>
    </r>
    <r>
      <rPr>
        <b/>
        <sz val="11"/>
        <color theme="1"/>
        <rFont val="ＭＳ Ｐゴシック"/>
        <family val="3"/>
        <charset val="128"/>
        <scheme val="minor"/>
      </rPr>
      <t>V列</t>
    </r>
    <r>
      <rPr>
        <sz val="11"/>
        <color theme="1"/>
        <rFont val="ＭＳ Ｐゴシック"/>
        <family val="2"/>
        <charset val="128"/>
        <scheme val="minor"/>
      </rPr>
      <t>）で割って、一室あたりの平均単価を算出（</t>
    </r>
    <r>
      <rPr>
        <b/>
        <sz val="11"/>
        <color theme="1"/>
        <rFont val="ＭＳ Ｐゴシック"/>
        <family val="3"/>
        <charset val="128"/>
        <scheme val="minor"/>
      </rPr>
      <t>T列</t>
    </r>
    <r>
      <rPr>
        <sz val="11"/>
        <color theme="1"/>
        <rFont val="ＭＳ Ｐゴシック"/>
        <family val="2"/>
        <charset val="128"/>
        <scheme val="minor"/>
      </rPr>
      <t>）</t>
    </r>
    <rPh sb="2" eb="3">
      <t>レツ</t>
    </rPh>
    <rPh sb="4" eb="5">
      <t>カク</t>
    </rPh>
    <rPh sb="9" eb="11">
      <t>ゴウケイ</t>
    </rPh>
    <rPh sb="11" eb="13">
      <t>キャクシツ</t>
    </rPh>
    <rPh sb="13" eb="14">
      <t>スウ</t>
    </rPh>
    <rPh sb="16" eb="17">
      <t>レツ</t>
    </rPh>
    <rPh sb="19" eb="20">
      <t>ワ</t>
    </rPh>
    <rPh sb="23" eb="25">
      <t>イッシツ</t>
    </rPh>
    <rPh sb="29" eb="31">
      <t>ヘイキン</t>
    </rPh>
    <rPh sb="31" eb="33">
      <t>タンカ</t>
    </rPh>
    <rPh sb="34" eb="36">
      <t>サンシュツ</t>
    </rPh>
    <rPh sb="38" eb="39">
      <t>レツ</t>
    </rPh>
    <phoneticPr fontId="2"/>
  </si>
  <si>
    <r>
      <t>○各宿泊施設のファンクションルーム単価は各シートにて積算、その合計を拾っている（</t>
    </r>
    <r>
      <rPr>
        <b/>
        <sz val="11"/>
        <color theme="1"/>
        <rFont val="ＭＳ Ｐゴシック"/>
        <family val="3"/>
        <charset val="128"/>
        <scheme val="minor"/>
      </rPr>
      <t>Q列</t>
    </r>
    <r>
      <rPr>
        <b/>
        <sz val="11"/>
        <color rgb="FFFF0000"/>
        <rFont val="ＭＳ Ｐゴシック"/>
        <family val="3"/>
        <charset val="128"/>
        <scheme val="minor"/>
      </rPr>
      <t>※選手、ファミリー、本部ホテルのみ</t>
    </r>
    <r>
      <rPr>
        <sz val="11"/>
        <color theme="1"/>
        <rFont val="ＭＳ Ｐゴシック"/>
        <family val="2"/>
        <charset val="128"/>
        <scheme val="minor"/>
      </rPr>
      <t>）</t>
    </r>
    <rPh sb="1" eb="6">
      <t>カクシュクハクシセツ</t>
    </rPh>
    <rPh sb="17" eb="19">
      <t>タンカ</t>
    </rPh>
    <rPh sb="20" eb="21">
      <t>カク</t>
    </rPh>
    <rPh sb="26" eb="28">
      <t>セキサン</t>
    </rPh>
    <rPh sb="31" eb="33">
      <t>ゴウケイ</t>
    </rPh>
    <rPh sb="34" eb="35">
      <t>ヒロ</t>
    </rPh>
    <rPh sb="41" eb="42">
      <t>レツ</t>
    </rPh>
    <rPh sb="43" eb="45">
      <t>センシュ</t>
    </rPh>
    <rPh sb="52" eb="54">
      <t>ホンブ</t>
    </rPh>
    <phoneticPr fontId="2"/>
  </si>
  <si>
    <r>
      <t>○</t>
    </r>
    <r>
      <rPr>
        <b/>
        <sz val="11"/>
        <color theme="1"/>
        <rFont val="ＭＳ Ｐゴシック"/>
        <family val="3"/>
        <charset val="128"/>
        <scheme val="minor"/>
      </rPr>
      <t>Q列</t>
    </r>
    <r>
      <rPr>
        <sz val="11"/>
        <color theme="1"/>
        <rFont val="ＭＳ Ｐゴシック"/>
        <family val="2"/>
        <charset val="128"/>
        <scheme val="minor"/>
      </rPr>
      <t>を各シートのファンクション合計数（</t>
    </r>
    <r>
      <rPr>
        <b/>
        <sz val="11"/>
        <color theme="1"/>
        <rFont val="ＭＳ Ｐゴシック"/>
        <family val="3"/>
        <charset val="128"/>
        <scheme val="minor"/>
      </rPr>
      <t>I列</t>
    </r>
    <r>
      <rPr>
        <sz val="11"/>
        <color theme="1"/>
        <rFont val="ＭＳ Ｐゴシック"/>
        <family val="2"/>
        <charset val="128"/>
        <scheme val="minor"/>
      </rPr>
      <t>※現在諸事情によりH列）で割って、一室あたりの平均単価を算出（</t>
    </r>
    <r>
      <rPr>
        <b/>
        <sz val="11"/>
        <color theme="1"/>
        <rFont val="ＭＳ Ｐゴシック"/>
        <family val="3"/>
        <charset val="128"/>
        <scheme val="minor"/>
      </rPr>
      <t>R列</t>
    </r>
    <r>
      <rPr>
        <sz val="11"/>
        <color theme="1"/>
        <rFont val="ＭＳ Ｐゴシック"/>
        <family val="2"/>
        <charset val="128"/>
        <scheme val="minor"/>
      </rPr>
      <t>）</t>
    </r>
    <rPh sb="4" eb="5">
      <t>カク</t>
    </rPh>
    <rPh sb="16" eb="18">
      <t>ゴウケイ</t>
    </rPh>
    <rPh sb="18" eb="19">
      <t>スウ</t>
    </rPh>
    <rPh sb="23" eb="25">
      <t>ゲンザイ</t>
    </rPh>
    <rPh sb="25" eb="28">
      <t>ショジジョウ</t>
    </rPh>
    <rPh sb="32" eb="33">
      <t>レツ</t>
    </rPh>
    <phoneticPr fontId="2"/>
  </si>
  <si>
    <r>
      <t>○</t>
    </r>
    <r>
      <rPr>
        <b/>
        <sz val="11"/>
        <color theme="1"/>
        <rFont val="ＭＳ Ｐゴシック"/>
        <family val="3"/>
        <charset val="128"/>
        <scheme val="minor"/>
      </rPr>
      <t>宿泊施設毎</t>
    </r>
    <r>
      <rPr>
        <sz val="11"/>
        <color theme="1"/>
        <rFont val="ＭＳ Ｐゴシック"/>
        <family val="2"/>
        <charset val="128"/>
        <scheme val="minor"/>
      </rPr>
      <t>の客室の合計金額算出方法：</t>
    </r>
    <r>
      <rPr>
        <b/>
        <sz val="11"/>
        <color theme="1"/>
        <rFont val="ＭＳ Ｐゴシック"/>
        <family val="3"/>
        <charset val="128"/>
        <scheme val="minor"/>
      </rPr>
      <t>一室あたりの平均単価（T列）×利用室数（X列～AB列）×泊数（AK列～AU列）</t>
    </r>
    <rPh sb="1" eb="5">
      <t>シュクハクシセツ</t>
    </rPh>
    <rPh sb="5" eb="6">
      <t>ゴト</t>
    </rPh>
    <rPh sb="7" eb="9">
      <t>キャクシツ</t>
    </rPh>
    <rPh sb="10" eb="12">
      <t>ゴウケイ</t>
    </rPh>
    <rPh sb="12" eb="14">
      <t>キンガク</t>
    </rPh>
    <rPh sb="14" eb="18">
      <t>サンシュツホウホウ</t>
    </rPh>
    <rPh sb="19" eb="21">
      <t>イッシツ</t>
    </rPh>
    <rPh sb="25" eb="29">
      <t>ヘイキンタンカ</t>
    </rPh>
    <rPh sb="31" eb="32">
      <t>レツ</t>
    </rPh>
    <rPh sb="34" eb="38">
      <t>リヨウシツスウ</t>
    </rPh>
    <rPh sb="40" eb="41">
      <t>レツ</t>
    </rPh>
    <rPh sb="44" eb="45">
      <t>レツ</t>
    </rPh>
    <rPh sb="47" eb="49">
      <t>ハクスウ</t>
    </rPh>
    <rPh sb="52" eb="53">
      <t>レツ</t>
    </rPh>
    <rPh sb="56" eb="57">
      <t>レツ</t>
    </rPh>
    <phoneticPr fontId="2"/>
  </si>
  <si>
    <r>
      <t>○</t>
    </r>
    <r>
      <rPr>
        <b/>
        <sz val="11"/>
        <color theme="1"/>
        <rFont val="ＭＳ Ｐゴシック"/>
        <family val="3"/>
        <charset val="128"/>
        <scheme val="minor"/>
      </rPr>
      <t>宿泊施設毎</t>
    </r>
    <r>
      <rPr>
        <sz val="11"/>
        <color theme="1"/>
        <rFont val="ＭＳ Ｐゴシック"/>
        <family val="2"/>
        <charset val="128"/>
        <scheme val="minor"/>
      </rPr>
      <t>のファンクションルームの合計金額算出方法：</t>
    </r>
    <r>
      <rPr>
        <b/>
        <sz val="11"/>
        <color theme="1"/>
        <rFont val="ＭＳ Ｐゴシック"/>
        <family val="3"/>
        <charset val="128"/>
        <scheme val="minor"/>
      </rPr>
      <t>一室あたりの平均単価（R列）×利用室数（I列</t>
    </r>
    <r>
      <rPr>
        <sz val="11"/>
        <color theme="1"/>
        <rFont val="ＭＳ Ｐゴシック"/>
        <family val="3"/>
        <charset val="128"/>
        <scheme val="minor"/>
      </rPr>
      <t>※現在諸事情によりH列</t>
    </r>
    <r>
      <rPr>
        <b/>
        <sz val="11"/>
        <color theme="1"/>
        <rFont val="ＭＳ Ｐゴシック"/>
        <family val="3"/>
        <charset val="128"/>
        <scheme val="minor"/>
      </rPr>
      <t>）×泊数(AK列～AU列)</t>
    </r>
    <rPh sb="27" eb="29">
      <t>イッシツ</t>
    </rPh>
    <rPh sb="33" eb="37">
      <t>ヘイキンタンカ</t>
    </rPh>
    <rPh sb="39" eb="40">
      <t>レツ</t>
    </rPh>
    <rPh sb="42" eb="46">
      <t>リヨウシツスウ</t>
    </rPh>
    <rPh sb="48" eb="49">
      <t>レツ</t>
    </rPh>
    <rPh sb="50" eb="52">
      <t>ゲンザイ</t>
    </rPh>
    <rPh sb="52" eb="55">
      <t>ショジジョウ</t>
    </rPh>
    <rPh sb="59" eb="60">
      <t>レツ</t>
    </rPh>
    <rPh sb="62" eb="64">
      <t>ハクスウ</t>
    </rPh>
    <rPh sb="67" eb="68">
      <t>レツ</t>
    </rPh>
    <rPh sb="71" eb="72">
      <t>レツ</t>
    </rPh>
    <phoneticPr fontId="2"/>
  </si>
  <si>
    <t>○宿泊施設毎に算出した金額を、SH毎にまとめている</t>
    <rPh sb="1" eb="5">
      <t>シュクハクシセツ</t>
    </rPh>
    <rPh sb="5" eb="6">
      <t>ゴト</t>
    </rPh>
    <rPh sb="7" eb="9">
      <t>サンシュツ</t>
    </rPh>
    <rPh sb="11" eb="13">
      <t>キンガク</t>
    </rPh>
    <rPh sb="17" eb="18">
      <t>ゴト</t>
    </rPh>
    <phoneticPr fontId="2"/>
  </si>
  <si>
    <t>客室金額合計</t>
  </si>
  <si>
    <t>ファンクションルーム金額合計</t>
  </si>
  <si>
    <t>合計（物価上昇考慮前）</t>
    <rPh sb="0" eb="2">
      <t>ゴウケイ</t>
    </rPh>
    <phoneticPr fontId="2"/>
  </si>
  <si>
    <t>物価上昇率</t>
    <rPh sb="0" eb="5">
      <t>ブッカジョウショウリツ</t>
    </rPh>
    <phoneticPr fontId="2"/>
  </si>
  <si>
    <t>合計（物価上昇考慮後）</t>
    <rPh sb="0" eb="2">
      <t>ゴウケイ</t>
    </rPh>
    <rPh sb="9" eb="10">
      <t>アト</t>
    </rPh>
    <phoneticPr fontId="2"/>
  </si>
  <si>
    <t>総計</t>
    <rPh sb="0" eb="2">
      <t>ソウケイ</t>
    </rPh>
    <phoneticPr fontId="2"/>
  </si>
  <si>
    <t>アジア　選手15,000人</t>
    <phoneticPr fontId="2"/>
  </si>
  <si>
    <t>アジア　選手12,000人</t>
  </si>
  <si>
    <t>アジア　ファミリー</t>
    <phoneticPr fontId="2"/>
  </si>
  <si>
    <t>アジア　スポンサー</t>
    <phoneticPr fontId="2"/>
  </si>
  <si>
    <t>アジア　本部</t>
    <rPh sb="4" eb="6">
      <t>ホンブ</t>
    </rPh>
    <phoneticPr fontId="2"/>
  </si>
  <si>
    <t>アジア　メディア</t>
    <phoneticPr fontId="2"/>
  </si>
  <si>
    <t>アジア　技術役員</t>
    <rPh sb="4" eb="8">
      <t>ギジュツヤクイン</t>
    </rPh>
    <phoneticPr fontId="2"/>
  </si>
  <si>
    <t>アジア　DCO</t>
    <phoneticPr fontId="2"/>
  </si>
  <si>
    <t>パラ　選手4,000人</t>
  </si>
  <si>
    <t>パラ　選手3,600人</t>
  </si>
  <si>
    <t>パラファミリー</t>
    <phoneticPr fontId="2"/>
  </si>
  <si>
    <t>パラスポンサー</t>
    <phoneticPr fontId="2"/>
  </si>
  <si>
    <t>パラ本部</t>
    <rPh sb="2" eb="4">
      <t>ホンブ</t>
    </rPh>
    <phoneticPr fontId="2"/>
  </si>
  <si>
    <t>パラメディア</t>
    <phoneticPr fontId="2"/>
  </si>
  <si>
    <t>パラ技術役員</t>
    <rPh sb="2" eb="6">
      <t>ギジュツヤクイン</t>
    </rPh>
    <phoneticPr fontId="2"/>
  </si>
  <si>
    <t>パラDCO</t>
    <phoneticPr fontId="2"/>
  </si>
  <si>
    <t>小計</t>
    <rPh sb="0" eb="2">
      <t>ショウケイ</t>
    </rPh>
    <phoneticPr fontId="2"/>
  </si>
  <si>
    <t>アジア15,000パターン計</t>
    <rPh sb="13" eb="14">
      <t>ケイ</t>
    </rPh>
    <phoneticPr fontId="2"/>
  </si>
  <si>
    <t>アジア12,000パターン計</t>
    <rPh sb="13" eb="14">
      <t>ケイ</t>
    </rPh>
    <phoneticPr fontId="2"/>
  </si>
  <si>
    <t>パラ4,000パターン計</t>
    <rPh sb="11" eb="12">
      <t>ケイ</t>
    </rPh>
    <phoneticPr fontId="2"/>
  </si>
  <si>
    <t>パラ3,600パターン計</t>
    <rPh sb="11" eb="12">
      <t>ケイ</t>
    </rPh>
    <phoneticPr fontId="2"/>
  </si>
  <si>
    <t>Country</t>
  </si>
  <si>
    <t>Subject Descriptor</t>
  </si>
  <si>
    <t>Units</t>
  </si>
  <si>
    <t>Scale</t>
  </si>
  <si>
    <t>Country/Series-specific Notes</t>
  </si>
  <si>
    <t>Estimates Start After</t>
  </si>
  <si>
    <t>Japan</t>
  </si>
  <si>
    <t>Inflation, average consumer prices</t>
  </si>
  <si>
    <t>Index</t>
  </si>
  <si>
    <t>Source: Ministry of Internal Affairs and Communications Latest actual data: 2023 Notes: The CPI basket was constructed by averaging 2019 and 2020 weights. Harmonized prices: No Base year: 2020 Primary domestic currency: Japanese yen Data last updated: 03/2024</t>
  </si>
  <si>
    <t>2021年基準指標</t>
    <rPh sb="4" eb="5">
      <t>ネン</t>
    </rPh>
    <rPh sb="5" eb="7">
      <t>キジュン</t>
    </rPh>
    <rPh sb="7" eb="9">
      <t>シヒョウ</t>
    </rPh>
    <phoneticPr fontId="2"/>
  </si>
  <si>
    <t>International Monetary Fund, World Economic Outlook Database, April 2024</t>
  </si>
  <si>
    <t>予測</t>
    <rPh sb="0" eb="2">
      <t>ヨソク</t>
    </rPh>
    <phoneticPr fontId="2"/>
  </si>
  <si>
    <t>※「宿泊」ではなく、「総合」</t>
    <rPh sb="2" eb="4">
      <t>シュクハク</t>
    </rPh>
    <rPh sb="11" eb="13">
      <t>ソウゴウ</t>
    </rPh>
    <phoneticPr fontId="2"/>
  </si>
  <si>
    <t>消費者物価指数（総合）</t>
    <rPh sb="0" eb="3">
      <t>ショウヒシャ</t>
    </rPh>
    <rPh sb="3" eb="5">
      <t>ブッカ</t>
    </rPh>
    <rPh sb="5" eb="7">
      <t>シスウ</t>
    </rPh>
    <phoneticPr fontId="2"/>
  </si>
  <si>
    <t>宿泊料</t>
  </si>
  <si>
    <t>宿泊料上昇率</t>
    <rPh sb="0" eb="3">
      <t>シュクハクリョウ</t>
    </rPh>
    <rPh sb="3" eb="6">
      <t>ジョウショウリツ</t>
    </rPh>
    <phoneticPr fontId="2"/>
  </si>
  <si>
    <t>2020実績</t>
    <rPh sb="4" eb="6">
      <t>ジッセキ</t>
    </rPh>
    <phoneticPr fontId="2"/>
  </si>
  <si>
    <t>2021実績</t>
    <phoneticPr fontId="2"/>
  </si>
  <si>
    <t>とすると</t>
    <phoneticPr fontId="2"/>
  </si>
  <si>
    <t>2022実績</t>
    <phoneticPr fontId="2"/>
  </si>
  <si>
    <t>2023実績</t>
    <phoneticPr fontId="2"/>
  </si>
  <si>
    <t>2024見込</t>
    <rPh sb="4" eb="6">
      <t>ミコ</t>
    </rPh>
    <phoneticPr fontId="2"/>
  </si>
  <si>
    <t>2025見込</t>
    <rPh sb="4" eb="6">
      <t>ミコ</t>
    </rPh>
    <phoneticPr fontId="2"/>
  </si>
  <si>
    <t>2026見込</t>
    <rPh sb="4" eb="6">
      <t>ミコ</t>
    </rPh>
    <phoneticPr fontId="2"/>
  </si>
  <si>
    <t>になる</t>
    <phoneticPr fontId="2"/>
  </si>
  <si>
    <t>2021→2026宿泊物価上昇率</t>
    <rPh sb="9" eb="11">
      <t>シュクハク</t>
    </rPh>
    <rPh sb="11" eb="13">
      <t>ブッカ</t>
    </rPh>
    <rPh sb="13" eb="15">
      <t>ジョウショウ</t>
    </rPh>
    <rPh sb="15" eb="16">
      <t>リツ</t>
    </rPh>
    <phoneticPr fontId="2"/>
  </si>
  <si>
    <t>　　　　　</t>
    <phoneticPr fontId="2"/>
  </si>
  <si>
    <t>完調品単価</t>
    <rPh sb="0" eb="3">
      <t>カンチョウヒン</t>
    </rPh>
    <rPh sb="3" eb="5">
      <t>タンカ</t>
    </rPh>
    <phoneticPr fontId="2"/>
  </si>
  <si>
    <t>ハラル完調品費用19,000円</t>
    <rPh sb="3" eb="6">
      <t>カンチョウヒン</t>
    </rPh>
    <rPh sb="6" eb="8">
      <t>ヒヨウ</t>
    </rPh>
    <rPh sb="14" eb="15">
      <t>エン</t>
    </rPh>
    <phoneticPr fontId="2"/>
  </si>
  <si>
    <t>19,000円</t>
    <rPh sb="6" eb="7">
      <t>エン</t>
    </rPh>
    <phoneticPr fontId="2"/>
  </si>
  <si>
    <t>ここについてはハラル費用でカバーしていて</t>
    <rPh sb="10" eb="12">
      <t>ヒヨウ</t>
    </rPh>
    <phoneticPr fontId="2"/>
  </si>
  <si>
    <t>二重計上になるということで切られる</t>
    <rPh sb="0" eb="4">
      <t>ニジュウケイジョウ</t>
    </rPh>
    <rPh sb="13" eb="14">
      <t>キ</t>
    </rPh>
    <phoneticPr fontId="2"/>
  </si>
  <si>
    <t>※完調品サポートホテルへは、ハラルサポートがある場合、そのメニューの仕入費用は差し引いて算出するように依頼</t>
    <rPh sb="1" eb="4">
      <t>カンチョウヒン</t>
    </rPh>
    <rPh sb="24" eb="26">
      <t>バアイ</t>
    </rPh>
    <rPh sb="34" eb="36">
      <t>シイレ</t>
    </rPh>
    <rPh sb="36" eb="38">
      <t>ヒヨウ</t>
    </rPh>
    <rPh sb="39" eb="40">
      <t>サ</t>
    </rPh>
    <rPh sb="41" eb="42">
      <t>ヒ</t>
    </rPh>
    <rPh sb="44" eb="46">
      <t>サンシュツ</t>
    </rPh>
    <rPh sb="51" eb="53">
      <t>イライ</t>
    </rPh>
    <phoneticPr fontId="2"/>
  </si>
  <si>
    <t>2024実績</t>
    <rPh sb="4" eb="6">
      <t>ジッセキ</t>
    </rPh>
    <phoneticPr fontId="2"/>
  </si>
  <si>
    <t>2021→2024宿泊物価上昇率</t>
    <rPh sb="9" eb="11">
      <t>シュクハク</t>
    </rPh>
    <rPh sb="11" eb="13">
      <t>ブッカ</t>
    </rPh>
    <rPh sb="13" eb="15">
      <t>ジョウショウ</t>
    </rPh>
    <rPh sb="15" eb="16">
      <t>リツ</t>
    </rPh>
    <phoneticPr fontId="2"/>
  </si>
  <si>
    <t>2021→2024総合物価上昇率</t>
    <rPh sb="9" eb="11">
      <t>ソウゴウ</t>
    </rPh>
    <rPh sb="11" eb="13">
      <t>ブッカ</t>
    </rPh>
    <rPh sb="13" eb="15">
      <t>ジョウショウ</t>
    </rPh>
    <rPh sb="15" eb="16">
      <t>リツ</t>
    </rPh>
    <phoneticPr fontId="2"/>
  </si>
  <si>
    <t>類・品目</t>
  </si>
  <si>
    <t>総合</t>
  </si>
  <si>
    <t>食料</t>
  </si>
  <si>
    <t>穀類</t>
  </si>
  <si>
    <t>米類</t>
  </si>
  <si>
    <t>うるち米Ａ</t>
  </si>
  <si>
    <t>うるち米Ｂ</t>
  </si>
  <si>
    <t>パン</t>
  </si>
  <si>
    <t>食パン</t>
  </si>
  <si>
    <t>あんパン</t>
  </si>
  <si>
    <t>カレーパン</t>
  </si>
  <si>
    <t>麺類</t>
  </si>
  <si>
    <t>ゆでうどん</t>
  </si>
  <si>
    <t>そうめん</t>
  </si>
  <si>
    <t>スパゲッティ</t>
  </si>
  <si>
    <t>カップ麺</t>
  </si>
  <si>
    <t>中華麺</t>
  </si>
  <si>
    <t>他の穀類</t>
  </si>
  <si>
    <t>小麦粉</t>
  </si>
  <si>
    <t>もち</t>
  </si>
  <si>
    <t>シリアル</t>
  </si>
  <si>
    <t>魚介類</t>
  </si>
  <si>
    <t>生鮮魚介</t>
  </si>
  <si>
    <t>まぐろ</t>
  </si>
  <si>
    <t>あじ</t>
  </si>
  <si>
    <t>いわし</t>
  </si>
  <si>
    <t>かつお</t>
  </si>
  <si>
    <t>さけ</t>
  </si>
  <si>
    <t>さば</t>
  </si>
  <si>
    <t>さんま</t>
  </si>
  <si>
    <t>たい</t>
  </si>
  <si>
    <t>ぶり</t>
  </si>
  <si>
    <t>いか</t>
  </si>
  <si>
    <t>たこ</t>
  </si>
  <si>
    <t>えび</t>
  </si>
  <si>
    <t>あさり</t>
  </si>
  <si>
    <t>かき（貝）</t>
  </si>
  <si>
    <t>ほたて貝</t>
  </si>
  <si>
    <t>塩干魚介</t>
  </si>
  <si>
    <t>塩さけ</t>
  </si>
  <si>
    <t>たらこ</t>
  </si>
  <si>
    <t>しらす干し</t>
  </si>
  <si>
    <t>干しあじ</t>
  </si>
  <si>
    <t>煮干し</t>
  </si>
  <si>
    <t>ししゃも</t>
  </si>
  <si>
    <t>いくら</t>
  </si>
  <si>
    <t>魚肉練製品</t>
  </si>
  <si>
    <t>揚げかまぼこ</t>
  </si>
  <si>
    <t>ちくわ</t>
  </si>
  <si>
    <t>かまぼこ</t>
  </si>
  <si>
    <t>他の魚介加工品</t>
  </si>
  <si>
    <t>かつお節</t>
  </si>
  <si>
    <t>魚介漬物</t>
  </si>
  <si>
    <t>魚介つくだ煮</t>
  </si>
  <si>
    <t>魚介缶詰</t>
  </si>
  <si>
    <t>肉類</t>
  </si>
  <si>
    <t>生鮮肉</t>
  </si>
  <si>
    <t>牛肉（国産品）</t>
  </si>
  <si>
    <t>牛肉（輸入品）</t>
  </si>
  <si>
    <t>豚肉（国産品）</t>
  </si>
  <si>
    <t>豚肉（輸入品）</t>
  </si>
  <si>
    <t>鶏肉</t>
  </si>
  <si>
    <t>加工肉</t>
  </si>
  <si>
    <t>ハム</t>
  </si>
  <si>
    <t>ソーセージ</t>
  </si>
  <si>
    <t>ベーコン</t>
  </si>
  <si>
    <t>味付け肉</t>
  </si>
  <si>
    <t>乳卵類</t>
  </si>
  <si>
    <t>牛乳・乳製品</t>
  </si>
  <si>
    <t>牛乳</t>
  </si>
  <si>
    <t>乳製品</t>
  </si>
  <si>
    <t>粉ミルク</t>
  </si>
  <si>
    <t>ヨーグルト</t>
  </si>
  <si>
    <t>バター</t>
  </si>
  <si>
    <t>チーズ（国産品）</t>
  </si>
  <si>
    <t>チーズ（輸入品）</t>
  </si>
  <si>
    <t>卵</t>
  </si>
  <si>
    <t>鶏卵</t>
  </si>
  <si>
    <t>野菜・海藻</t>
  </si>
  <si>
    <t>生鮮野菜</t>
  </si>
  <si>
    <t>キャベツ</t>
  </si>
  <si>
    <t>ほうれんそう</t>
  </si>
  <si>
    <t>はくさい</t>
  </si>
  <si>
    <t>ねぎ</t>
  </si>
  <si>
    <t>レタス</t>
  </si>
  <si>
    <t>ブロッコリー</t>
  </si>
  <si>
    <t>もやし</t>
  </si>
  <si>
    <t>アスパラガス</t>
  </si>
  <si>
    <t>さつまいも</t>
  </si>
  <si>
    <t>じゃがいも</t>
  </si>
  <si>
    <t>さといも</t>
  </si>
  <si>
    <t>だいこん</t>
  </si>
  <si>
    <t>にんじん</t>
  </si>
  <si>
    <t>ごぼう</t>
  </si>
  <si>
    <t>たまねぎ</t>
  </si>
  <si>
    <t>れんこん</t>
  </si>
  <si>
    <t>ながいも</t>
  </si>
  <si>
    <t>しょうが</t>
  </si>
  <si>
    <t>えだまめ</t>
  </si>
  <si>
    <t>さやいんげん</t>
  </si>
  <si>
    <t>かぼちゃ</t>
  </si>
  <si>
    <t>きゅうり</t>
  </si>
  <si>
    <t>なす</t>
  </si>
  <si>
    <t>トマト</t>
  </si>
  <si>
    <t>ピーマン</t>
  </si>
  <si>
    <t>生しいたけ</t>
  </si>
  <si>
    <t>えのきたけ</t>
  </si>
  <si>
    <t>しめじ</t>
  </si>
  <si>
    <t>カット野菜</t>
  </si>
  <si>
    <t>乾物・加工品類</t>
  </si>
  <si>
    <t>乾物・海藻</t>
  </si>
  <si>
    <t>干ししいたけ</t>
  </si>
  <si>
    <t>干しのり</t>
  </si>
  <si>
    <t>わかめ</t>
  </si>
  <si>
    <t>こんぶ</t>
  </si>
  <si>
    <t>ひじき</t>
  </si>
  <si>
    <t>大豆加工品</t>
  </si>
  <si>
    <t>豆腐</t>
  </si>
  <si>
    <t>油揚げ</t>
  </si>
  <si>
    <t>納豆</t>
  </si>
  <si>
    <t>他の野菜・海藻加工品</t>
  </si>
  <si>
    <t>こんにゃく</t>
  </si>
  <si>
    <t>梅干し</t>
  </si>
  <si>
    <t>だいこん漬</t>
  </si>
  <si>
    <t>はくさい漬</t>
  </si>
  <si>
    <t>キムチ</t>
  </si>
  <si>
    <t>こんぶつくだ煮</t>
  </si>
  <si>
    <t>野菜缶詰</t>
  </si>
  <si>
    <t>果物</t>
  </si>
  <si>
    <t>生鮮果物</t>
  </si>
  <si>
    <t>りんご</t>
  </si>
  <si>
    <t>みかん</t>
  </si>
  <si>
    <t>オレンジ</t>
  </si>
  <si>
    <t>しらぬひ</t>
  </si>
  <si>
    <t>梨</t>
  </si>
  <si>
    <t>ぶどうＡ</t>
  </si>
  <si>
    <t>ぶどうＢ</t>
  </si>
  <si>
    <t>柿</t>
  </si>
  <si>
    <t>桃</t>
  </si>
  <si>
    <t>すいか</t>
  </si>
  <si>
    <t>メロン</t>
  </si>
  <si>
    <t>いちご</t>
  </si>
  <si>
    <t>バナナ</t>
  </si>
  <si>
    <t>キウイフルーツ</t>
  </si>
  <si>
    <t>さくらんぼ</t>
  </si>
  <si>
    <t>アボカド</t>
  </si>
  <si>
    <t>果物加工品</t>
  </si>
  <si>
    <t>ナッツ</t>
  </si>
  <si>
    <t>油脂・調味料</t>
  </si>
  <si>
    <t>油脂</t>
  </si>
  <si>
    <t>食用油</t>
  </si>
  <si>
    <t>マーガリン</t>
  </si>
  <si>
    <t>調味料</t>
  </si>
  <si>
    <t>食塩</t>
  </si>
  <si>
    <t>しょう油</t>
  </si>
  <si>
    <t>みそ</t>
  </si>
  <si>
    <t>砂糖</t>
  </si>
  <si>
    <t>酢</t>
  </si>
  <si>
    <t>ソース</t>
  </si>
  <si>
    <t>ケチャップ</t>
  </si>
  <si>
    <t>マヨネーズ</t>
  </si>
  <si>
    <t>ドレッシング</t>
  </si>
  <si>
    <t>ジャム</t>
  </si>
  <si>
    <t>カレールウ</t>
  </si>
  <si>
    <t>乾燥スープ</t>
  </si>
  <si>
    <t>風味調味料</t>
  </si>
  <si>
    <t>ふりかけ</t>
  </si>
  <si>
    <t>たれ</t>
  </si>
  <si>
    <t>つゆ</t>
  </si>
  <si>
    <t>合わせ調味料</t>
  </si>
  <si>
    <t>パスタソース</t>
  </si>
  <si>
    <t>菓子類</t>
  </si>
  <si>
    <t>ようかん</t>
  </si>
  <si>
    <t>まんじゅう</t>
  </si>
  <si>
    <t>だいふく餅</t>
  </si>
  <si>
    <t>カステラ</t>
  </si>
  <si>
    <t>ケーキ</t>
  </si>
  <si>
    <t>ゼリー</t>
  </si>
  <si>
    <t>プリン</t>
  </si>
  <si>
    <t>シュークリーム</t>
  </si>
  <si>
    <t>ロールケーキ</t>
  </si>
  <si>
    <t>せんべい</t>
  </si>
  <si>
    <t>ビスケット</t>
  </si>
  <si>
    <t>ポテトチップス</t>
  </si>
  <si>
    <t>キャンデー</t>
  </si>
  <si>
    <t>チョコレート</t>
  </si>
  <si>
    <t>アイスクリーム</t>
  </si>
  <si>
    <t>落花生</t>
  </si>
  <si>
    <t>チューインガム</t>
  </si>
  <si>
    <t>調理食品</t>
  </si>
  <si>
    <t>主食的調理食品</t>
  </si>
  <si>
    <t>すし（弁当）Ａ</t>
  </si>
  <si>
    <t>すし（弁当）Ｂ</t>
  </si>
  <si>
    <t>弁当Ａ</t>
  </si>
  <si>
    <t>弁当Ｂ</t>
  </si>
  <si>
    <t>おにぎり</t>
  </si>
  <si>
    <t>調理パン</t>
  </si>
  <si>
    <t>冷凍米飯</t>
  </si>
  <si>
    <t>調理パスタ</t>
  </si>
  <si>
    <t>調理ピザ</t>
  </si>
  <si>
    <t>無菌包装米飯</t>
  </si>
  <si>
    <t>他の調理食品</t>
  </si>
  <si>
    <t>うなぎかば焼き</t>
  </si>
  <si>
    <t>サラダ</t>
  </si>
  <si>
    <t>コロッケ</t>
  </si>
  <si>
    <t>豚カツ</t>
  </si>
  <si>
    <t>からあげ</t>
  </si>
  <si>
    <t>ぎょうざ</t>
  </si>
  <si>
    <t>やきとり</t>
  </si>
  <si>
    <t>ハンバーグ</t>
  </si>
  <si>
    <t>冷凍調理コロッケ</t>
  </si>
  <si>
    <t>冷凍調理ハンバーグ</t>
  </si>
  <si>
    <t>冷凍ぎょうざ</t>
  </si>
  <si>
    <t>調理カレー</t>
  </si>
  <si>
    <t>混ぜごはんのもと</t>
  </si>
  <si>
    <t>煮豆</t>
  </si>
  <si>
    <t>焼き魚</t>
  </si>
  <si>
    <t>きんぴら</t>
  </si>
  <si>
    <t>焼豚</t>
  </si>
  <si>
    <t>サラダチキン</t>
  </si>
  <si>
    <t>おでん</t>
  </si>
  <si>
    <t>飲料</t>
  </si>
  <si>
    <t>茶類</t>
  </si>
  <si>
    <t>緑茶</t>
  </si>
  <si>
    <t>紅茶</t>
  </si>
  <si>
    <t>茶飲料</t>
  </si>
  <si>
    <t>コーヒー・ココア</t>
  </si>
  <si>
    <t>インスタントコーヒー</t>
  </si>
  <si>
    <t>コーヒー豆</t>
  </si>
  <si>
    <t>コーヒー飲料Ａ</t>
  </si>
  <si>
    <t>コーヒー飲料Ｂ</t>
  </si>
  <si>
    <t>他の飲料</t>
  </si>
  <si>
    <t>果実ジュース</t>
  </si>
  <si>
    <t>果汁入り飲料</t>
  </si>
  <si>
    <t>野菜ジュース</t>
  </si>
  <si>
    <t>炭酸飲料</t>
  </si>
  <si>
    <t>ノンアルコールビール</t>
  </si>
  <si>
    <t>乳酸菌飲料</t>
  </si>
  <si>
    <t>ミネラルウォーター</t>
  </si>
  <si>
    <t>宅配水</t>
  </si>
  <si>
    <t>スポーツドリンク</t>
  </si>
  <si>
    <t>豆乳</t>
  </si>
  <si>
    <t>酒類</t>
  </si>
  <si>
    <t>清酒</t>
  </si>
  <si>
    <t>焼酎</t>
  </si>
  <si>
    <t>ビール</t>
  </si>
  <si>
    <t>発泡酒</t>
  </si>
  <si>
    <t>ウイスキー</t>
  </si>
  <si>
    <t>ワイン（国産品）</t>
  </si>
  <si>
    <t>ワイン（輸入品）</t>
  </si>
  <si>
    <t>チューハイ</t>
  </si>
  <si>
    <t>ビール風アルコール飲料</t>
  </si>
  <si>
    <t>外食</t>
  </si>
  <si>
    <t>一般外食</t>
  </si>
  <si>
    <t>うどん（外食）</t>
  </si>
  <si>
    <t>日本そば（外食）</t>
  </si>
  <si>
    <t>中華そば（外食）</t>
  </si>
  <si>
    <t>スパゲッティ（外食）</t>
  </si>
  <si>
    <t>すし（外食）Ａ</t>
  </si>
  <si>
    <t>すし（外食）Ｂ</t>
  </si>
  <si>
    <t>天丼（外食）</t>
  </si>
  <si>
    <t>カレーライス（外食）</t>
  </si>
  <si>
    <t>牛丼（外食）</t>
  </si>
  <si>
    <t>豚カツ定食（外食）</t>
  </si>
  <si>
    <t>しょうが焼き定食（外食）</t>
  </si>
  <si>
    <t>フライドチキン（外食）</t>
  </si>
  <si>
    <t>ぎょうざ（外食）</t>
  </si>
  <si>
    <t>ハンバーグ（外食）</t>
  </si>
  <si>
    <t>焼肉（外食）</t>
  </si>
  <si>
    <t>ハンバーガー（外食）</t>
  </si>
  <si>
    <t>サンドイッチ（外食）</t>
  </si>
  <si>
    <t>ピザ（配達）</t>
  </si>
  <si>
    <t>ドーナツ（外食）</t>
  </si>
  <si>
    <t>コーヒー（外食）Ａ</t>
  </si>
  <si>
    <t>コーヒー（外食）Ｂ</t>
  </si>
  <si>
    <t>ビール（外食）</t>
  </si>
  <si>
    <t>やきとり（外食）</t>
  </si>
  <si>
    <t>学校給食</t>
  </si>
  <si>
    <t>学校給食（小学校）</t>
  </si>
  <si>
    <t>学校給食（中学校）</t>
  </si>
  <si>
    <t>住居</t>
  </si>
  <si>
    <t>家賃</t>
  </si>
  <si>
    <t>民営家賃</t>
  </si>
  <si>
    <t>公営・都市再生機構・公社家賃</t>
  </si>
  <si>
    <t>公営家賃</t>
  </si>
  <si>
    <t>都市再生機構・公社家賃</t>
  </si>
  <si>
    <t>持家の帰属家賃</t>
  </si>
  <si>
    <t>設備修繕・維持</t>
  </si>
  <si>
    <t>設備材料</t>
  </si>
  <si>
    <t>システムバス</t>
  </si>
  <si>
    <t>温水洗浄便座</t>
  </si>
  <si>
    <t>給湯器</t>
  </si>
  <si>
    <t>システムキッチン</t>
  </si>
  <si>
    <t>カーポート</t>
  </si>
  <si>
    <t>修繕材料</t>
  </si>
  <si>
    <t>工事その他のサービス</t>
  </si>
  <si>
    <t>畳替え代</t>
  </si>
  <si>
    <t>水道工事費</t>
  </si>
  <si>
    <t>塀工事費</t>
  </si>
  <si>
    <t>外壁塗装費</t>
  </si>
  <si>
    <t>屋根修理費</t>
  </si>
  <si>
    <t>植木職手間代</t>
  </si>
  <si>
    <t>ふすま張替費</t>
  </si>
  <si>
    <t>大工手間代</t>
  </si>
  <si>
    <t>駐車場工事費</t>
  </si>
  <si>
    <t>壁紙張替費</t>
  </si>
  <si>
    <t>火災・地震保険料</t>
  </si>
  <si>
    <t>光熱・水道</t>
  </si>
  <si>
    <t>電気代</t>
  </si>
  <si>
    <t>ガス代</t>
  </si>
  <si>
    <t>都市ガス代</t>
  </si>
  <si>
    <t>プロパンガス</t>
  </si>
  <si>
    <t>他の光熱</t>
  </si>
  <si>
    <t>灯油</t>
  </si>
  <si>
    <t>上下水道料</t>
  </si>
  <si>
    <t>水道料</t>
  </si>
  <si>
    <t>下水道料</t>
  </si>
  <si>
    <t>家具・家事用品</t>
  </si>
  <si>
    <t>家庭用耐久財</t>
  </si>
  <si>
    <t>家事用耐久財</t>
  </si>
  <si>
    <t>電子レンジ</t>
  </si>
  <si>
    <t>電気炊飯器</t>
  </si>
  <si>
    <t>ガステーブル</t>
  </si>
  <si>
    <t>電気冷蔵庫</t>
  </si>
  <si>
    <t>電気掃除機</t>
  </si>
  <si>
    <t>電気洗濯機（全自動洗濯機）</t>
  </si>
  <si>
    <t>電気洗濯機（洗濯乾燥機）</t>
  </si>
  <si>
    <t>冷暖房用器具</t>
  </si>
  <si>
    <t>ルームエアコン</t>
  </si>
  <si>
    <t>温風ヒーター</t>
  </si>
  <si>
    <t>空気清浄機</t>
  </si>
  <si>
    <t>一般家具</t>
  </si>
  <si>
    <t>食堂セット</t>
  </si>
  <si>
    <t>ソファ</t>
  </si>
  <si>
    <t>食器戸棚</t>
  </si>
  <si>
    <t>室内装備品</t>
  </si>
  <si>
    <t>照明器具</t>
  </si>
  <si>
    <t>カーペット</t>
  </si>
  <si>
    <t>カーテン</t>
  </si>
  <si>
    <t>クッション</t>
  </si>
  <si>
    <t>寝具類</t>
  </si>
  <si>
    <t>ベッド</t>
  </si>
  <si>
    <t>布団</t>
  </si>
  <si>
    <t>敷布</t>
  </si>
  <si>
    <t>布団カバー</t>
  </si>
  <si>
    <t>敷きパッド</t>
  </si>
  <si>
    <t>家事雑貨</t>
  </si>
  <si>
    <t>食器類</t>
  </si>
  <si>
    <t>茶わん</t>
  </si>
  <si>
    <t>皿</t>
  </si>
  <si>
    <t>台所用品</t>
  </si>
  <si>
    <t>水筒</t>
  </si>
  <si>
    <t>鍋</t>
  </si>
  <si>
    <t>フライパン</t>
  </si>
  <si>
    <t>スポンジたわし</t>
  </si>
  <si>
    <t>他の家事雑貨</t>
  </si>
  <si>
    <t>電球・ランプ</t>
  </si>
  <si>
    <t>タオル</t>
  </si>
  <si>
    <t>マット</t>
  </si>
  <si>
    <t>物干し用ハンガー</t>
  </si>
  <si>
    <t>収納ケース</t>
  </si>
  <si>
    <t>家事用消耗品</t>
  </si>
  <si>
    <t>ティシュ・トイレットペーパー</t>
  </si>
  <si>
    <t>ティシュペーパー</t>
  </si>
  <si>
    <t>トイレットペーパー</t>
  </si>
  <si>
    <t>洗剤</t>
  </si>
  <si>
    <t>台所用洗剤</t>
  </si>
  <si>
    <t>洗濯用洗剤</t>
  </si>
  <si>
    <t>他の家事用消耗品</t>
  </si>
  <si>
    <t>ラップ</t>
  </si>
  <si>
    <t>ポリ袋</t>
  </si>
  <si>
    <t>殺虫剤</t>
  </si>
  <si>
    <t>柔軟仕上剤</t>
  </si>
  <si>
    <t>芳香・消臭剤</t>
  </si>
  <si>
    <t>キッチンペーパー</t>
  </si>
  <si>
    <t>漂白剤</t>
  </si>
  <si>
    <t>家事サービス</t>
  </si>
  <si>
    <t>家事代行料</t>
  </si>
  <si>
    <t>清掃代</t>
  </si>
  <si>
    <t>リサイクル料金</t>
  </si>
  <si>
    <t>浄化槽清掃代</t>
  </si>
  <si>
    <t>他の家事サービス</t>
  </si>
  <si>
    <t>モップレンタル料</t>
  </si>
  <si>
    <t>被服及び履物</t>
  </si>
  <si>
    <t>衣料</t>
  </si>
  <si>
    <t>和服</t>
  </si>
  <si>
    <t>婦人用着物</t>
  </si>
  <si>
    <t>婦人用帯</t>
  </si>
  <si>
    <t>洋服</t>
  </si>
  <si>
    <t>男子用洋服</t>
  </si>
  <si>
    <t>背広服（春夏物，中級品）</t>
  </si>
  <si>
    <t>背広服（春夏物，普通品）</t>
  </si>
  <si>
    <t>背広服（秋冬物，中級品）</t>
  </si>
  <si>
    <t>背広服（秋冬物，普通品）</t>
  </si>
  <si>
    <t>男子用上着</t>
  </si>
  <si>
    <t>男子用ズボン（春夏物）</t>
  </si>
  <si>
    <t>男子用ズボン（秋冬物）</t>
  </si>
  <si>
    <t>男子用ズボン（ジーンズ）</t>
  </si>
  <si>
    <t>男子用コート</t>
  </si>
  <si>
    <t>男子用学校制服</t>
  </si>
  <si>
    <t>婦人用洋服</t>
  </si>
  <si>
    <t>婦人用スーツ（春夏物，中級品）</t>
  </si>
  <si>
    <t>婦人用スーツ（春夏物，普通品）</t>
  </si>
  <si>
    <t>婦人用スーツ（秋冬物，中級品）</t>
  </si>
  <si>
    <t>婦人用スーツ（秋冬物，普通品）</t>
  </si>
  <si>
    <t>ワンピース（春夏物）</t>
  </si>
  <si>
    <t>ワンピース（秋冬物）</t>
  </si>
  <si>
    <t>婦人用上着</t>
  </si>
  <si>
    <t>スカート（春夏物）</t>
  </si>
  <si>
    <t>スカート（秋冬物）</t>
  </si>
  <si>
    <t>婦人用スラックス（秋冬物）</t>
  </si>
  <si>
    <t>婦人用スラックス（ジーンズ）</t>
  </si>
  <si>
    <t>婦人用コート</t>
  </si>
  <si>
    <t>女子用学校制服</t>
  </si>
  <si>
    <t>子供用洋服</t>
  </si>
  <si>
    <t>子供用ズボン（春夏物）</t>
  </si>
  <si>
    <t>子供用ズボン（秋冬物）</t>
  </si>
  <si>
    <t>乳児服</t>
  </si>
  <si>
    <t>シャツ・セーター・下着類</t>
  </si>
  <si>
    <t>シャツ・セーター類</t>
  </si>
  <si>
    <t>男子用シャツ・セーター類</t>
  </si>
  <si>
    <t>ワイシャツ</t>
  </si>
  <si>
    <t>男子用スポーツシャツ（長袖）</t>
  </si>
  <si>
    <t>男子用スポーツシャツ（半袖）</t>
  </si>
  <si>
    <t>男子用セーター</t>
  </si>
  <si>
    <t>婦人用シャツ・セーター類</t>
  </si>
  <si>
    <t>ブラウス（長袖）</t>
  </si>
  <si>
    <t>ブラウス（半袖）</t>
  </si>
  <si>
    <t>婦人用Ｔシャツ（長袖）</t>
  </si>
  <si>
    <t>婦人用Ｔシャツ（半袖）</t>
  </si>
  <si>
    <t>婦人用セーター（長袖）</t>
  </si>
  <si>
    <t>婦人用セーター（半袖）</t>
  </si>
  <si>
    <t>子供用シャツ・セーター類</t>
  </si>
  <si>
    <t>子供用Ｔシャツ（長袖）</t>
  </si>
  <si>
    <t>子供用Ｔシャツ（半袖）</t>
  </si>
  <si>
    <t>下着類</t>
  </si>
  <si>
    <t>男子用下着類</t>
  </si>
  <si>
    <t>男子用シャツ（半袖）</t>
  </si>
  <si>
    <t>男子用パンツ</t>
  </si>
  <si>
    <t>男子用パジャマ</t>
  </si>
  <si>
    <t>婦人用下着類</t>
  </si>
  <si>
    <t>ブラジャー</t>
  </si>
  <si>
    <t>婦人用ショーツ</t>
  </si>
  <si>
    <t>ランジェリー</t>
  </si>
  <si>
    <t>子供用下着類</t>
  </si>
  <si>
    <t>子供用下着</t>
  </si>
  <si>
    <t>履物類</t>
  </si>
  <si>
    <t>男子靴</t>
  </si>
  <si>
    <t>婦人靴</t>
  </si>
  <si>
    <t>子供靴</t>
  </si>
  <si>
    <t>運動靴</t>
  </si>
  <si>
    <t>サンダル</t>
  </si>
  <si>
    <t>スリッパ</t>
  </si>
  <si>
    <t>他の被服</t>
  </si>
  <si>
    <t>帽子</t>
  </si>
  <si>
    <t>ネクタイ</t>
  </si>
  <si>
    <t>マフラー</t>
  </si>
  <si>
    <t>男子用靴下</t>
  </si>
  <si>
    <t>婦人用ストッキング</t>
  </si>
  <si>
    <t>婦人用ソックス</t>
  </si>
  <si>
    <t>ベルト</t>
  </si>
  <si>
    <t>被服関連サービス</t>
  </si>
  <si>
    <t>クリーニング代Ａ</t>
  </si>
  <si>
    <t>クリーニング代Ｂ</t>
  </si>
  <si>
    <t>履物修理代</t>
  </si>
  <si>
    <t>被服賃借料</t>
  </si>
  <si>
    <t>保健医療</t>
  </si>
  <si>
    <t>医薬品・健康保持用摂取品</t>
  </si>
  <si>
    <t>総合かぜ薬</t>
  </si>
  <si>
    <t>解熱鎮痛剤</t>
  </si>
  <si>
    <t>胃腸薬</t>
  </si>
  <si>
    <t>ビタミン剤Ａ</t>
  </si>
  <si>
    <t>ビタミン剤Ｂ</t>
  </si>
  <si>
    <t>ドリンク剤</t>
  </si>
  <si>
    <t>皮膚病薬</t>
  </si>
  <si>
    <t>はり薬</t>
  </si>
  <si>
    <t>目薬</t>
  </si>
  <si>
    <t>漢方薬</t>
  </si>
  <si>
    <t>鼻炎薬</t>
  </si>
  <si>
    <t>健康保持用摂取品Ａ</t>
  </si>
  <si>
    <t>健康保持用摂取品Ｂ</t>
  </si>
  <si>
    <t>保健医療用品・器具</t>
  </si>
  <si>
    <t>紙おむつ（乳幼児用）</t>
  </si>
  <si>
    <t>紙おむつ（大人用）</t>
  </si>
  <si>
    <t>生理用ナプキン</t>
  </si>
  <si>
    <t>入浴剤</t>
  </si>
  <si>
    <t>コンタクトレンズ用剤</t>
  </si>
  <si>
    <t>マスク</t>
  </si>
  <si>
    <t>軽度失禁用品</t>
  </si>
  <si>
    <t>眼鏡</t>
  </si>
  <si>
    <t>コンタクトレンズ</t>
  </si>
  <si>
    <t>血圧計</t>
  </si>
  <si>
    <t>補聴器</t>
  </si>
  <si>
    <t>サポーター</t>
  </si>
  <si>
    <t>保健医療サービス</t>
  </si>
  <si>
    <t>診療代</t>
  </si>
  <si>
    <t>マッサージ料金</t>
  </si>
  <si>
    <t>人間ドック受診料</t>
  </si>
  <si>
    <t>予防接種料</t>
  </si>
  <si>
    <t>交通・通信</t>
  </si>
  <si>
    <t>交通</t>
  </si>
  <si>
    <t>鉄道運賃（ＪＲ）</t>
  </si>
  <si>
    <t>普通運賃（ＪＲ）</t>
  </si>
  <si>
    <t>料金（ＪＲ，在来線）</t>
  </si>
  <si>
    <t>料金（ＪＲ，新幹線）</t>
  </si>
  <si>
    <t>通学定期（ＪＲ）</t>
  </si>
  <si>
    <t>通勤定期（ＪＲ）</t>
  </si>
  <si>
    <t>鉄道運賃（ＪＲ以外）</t>
  </si>
  <si>
    <t>普通運賃（ＪＲ以外）</t>
  </si>
  <si>
    <t>通学定期（ＪＲ以外）</t>
  </si>
  <si>
    <t>通勤定期（ＪＲ以外）</t>
  </si>
  <si>
    <t>他の交通</t>
  </si>
  <si>
    <t>一般路線バス代</t>
  </si>
  <si>
    <t>高速バス代</t>
  </si>
  <si>
    <t>タクシー代</t>
  </si>
  <si>
    <t>航空運賃</t>
  </si>
  <si>
    <t>有料道路料</t>
  </si>
  <si>
    <t>高速自動車国道料金</t>
  </si>
  <si>
    <t>都市高速道路料金</t>
  </si>
  <si>
    <t>自動車等関係費</t>
  </si>
  <si>
    <t>自動車</t>
  </si>
  <si>
    <t>軽乗用車</t>
  </si>
  <si>
    <t>小型乗用車</t>
  </si>
  <si>
    <t>普通乗用車Ａ</t>
  </si>
  <si>
    <t>普通乗用車Ｂ</t>
  </si>
  <si>
    <t>自転車</t>
  </si>
  <si>
    <t>自転車Ａ</t>
  </si>
  <si>
    <t>自転車Ｂ</t>
  </si>
  <si>
    <t>自動車等維持</t>
  </si>
  <si>
    <t>ガソリン</t>
  </si>
  <si>
    <t>自動車タイヤ</t>
  </si>
  <si>
    <t>自動車バッテリー</t>
  </si>
  <si>
    <t>カーナビゲーション</t>
  </si>
  <si>
    <t>ドライブレコーダー</t>
  </si>
  <si>
    <t>自動車整備費（定期点検）</t>
  </si>
  <si>
    <t>自動車整備費（パンク修理）</t>
  </si>
  <si>
    <t>自動車オイル交換料</t>
  </si>
  <si>
    <t>車庫借料</t>
  </si>
  <si>
    <t>駐車料金</t>
  </si>
  <si>
    <t>自動車免許手数料</t>
  </si>
  <si>
    <t>レンタカー料金</t>
  </si>
  <si>
    <t>洗車代</t>
  </si>
  <si>
    <t>ロードサービス料</t>
  </si>
  <si>
    <t>自動車保険料（自賠責）</t>
  </si>
  <si>
    <t>自動車保険料（任意）</t>
  </si>
  <si>
    <t>通信</t>
  </si>
  <si>
    <t>はがき</t>
  </si>
  <si>
    <t>封書</t>
  </si>
  <si>
    <t>通信料（固定電話）</t>
  </si>
  <si>
    <t>通信料（携帯電話）</t>
  </si>
  <si>
    <t>運送料</t>
  </si>
  <si>
    <t>携帯電話機</t>
  </si>
  <si>
    <t>教育</t>
  </si>
  <si>
    <t>授業料等</t>
  </si>
  <si>
    <t>ＰＴＡ会費（小学校）</t>
  </si>
  <si>
    <t>ＰＴＡ会費（中学校）</t>
  </si>
  <si>
    <t>中学校授業料（私立）</t>
  </si>
  <si>
    <t>高等学校授業料（公立）</t>
  </si>
  <si>
    <t>高等学校授業料（私立）</t>
  </si>
  <si>
    <t>大学授業料（国立）</t>
  </si>
  <si>
    <t>大学授業料（私立）</t>
  </si>
  <si>
    <t>短期大学授業料（私立）</t>
  </si>
  <si>
    <t>専修学校授業料（私立）</t>
  </si>
  <si>
    <t>教科書・学習参考教材</t>
  </si>
  <si>
    <t>教科書</t>
  </si>
  <si>
    <t>学習参考教材</t>
  </si>
  <si>
    <t>補習教育</t>
  </si>
  <si>
    <t>補習教育（小学校）</t>
  </si>
  <si>
    <t>補習教育（中学校）</t>
  </si>
  <si>
    <t>補習教育（高校・予備校）</t>
  </si>
  <si>
    <t>教養娯楽</t>
  </si>
  <si>
    <t>教養娯楽用耐久財</t>
  </si>
  <si>
    <t>テレビ</t>
  </si>
  <si>
    <t>ビデオレコーダー</t>
  </si>
  <si>
    <t>パソコン（デスクトップ型）</t>
  </si>
  <si>
    <t>パソコン（ノート型）</t>
  </si>
  <si>
    <t>タブレット端末</t>
  </si>
  <si>
    <t>プリンタ</t>
  </si>
  <si>
    <t>カメラ</t>
  </si>
  <si>
    <t>ピアノ</t>
  </si>
  <si>
    <t>学習用机</t>
  </si>
  <si>
    <t>教養娯楽用品</t>
  </si>
  <si>
    <t>文房具</t>
  </si>
  <si>
    <t>ボールペン</t>
  </si>
  <si>
    <t>ノートブック</t>
  </si>
  <si>
    <t>はさみ</t>
  </si>
  <si>
    <t>運動用具類</t>
  </si>
  <si>
    <t>ゴルフクラブ</t>
  </si>
  <si>
    <t>グローブ</t>
  </si>
  <si>
    <t>テニスラケット</t>
  </si>
  <si>
    <t>釣ざお</t>
  </si>
  <si>
    <t>トレーニングパンツ</t>
  </si>
  <si>
    <t>水着</t>
  </si>
  <si>
    <t>競技用靴</t>
  </si>
  <si>
    <t>玩具</t>
  </si>
  <si>
    <t>家庭用ゲーム機</t>
  </si>
  <si>
    <t>ゲームソフト</t>
  </si>
  <si>
    <t>人形</t>
  </si>
  <si>
    <t>玩具自動車</t>
  </si>
  <si>
    <t>組立玩具</t>
  </si>
  <si>
    <t>切り花</t>
  </si>
  <si>
    <t>切り花（カーネーション）</t>
  </si>
  <si>
    <t>切り花（きく）</t>
  </si>
  <si>
    <t>切り花（バラ）</t>
  </si>
  <si>
    <t>他の教養娯楽用品</t>
  </si>
  <si>
    <t>メモリーカード</t>
  </si>
  <si>
    <t>コンパクトディスク</t>
  </si>
  <si>
    <t>ビデオソフト</t>
  </si>
  <si>
    <t>ペットフード（ドッグフード）</t>
  </si>
  <si>
    <t>ペットフード（キャットフード）</t>
  </si>
  <si>
    <t>ペットトイレ用品</t>
  </si>
  <si>
    <t>鉢植え</t>
  </si>
  <si>
    <t>園芸用土</t>
  </si>
  <si>
    <t>園芸用肥料</t>
  </si>
  <si>
    <t>電池</t>
  </si>
  <si>
    <t>プリンタ用インク</t>
  </si>
  <si>
    <t>書籍・他の印刷物</t>
  </si>
  <si>
    <t>新聞代</t>
  </si>
  <si>
    <t>新聞代（地方・ブロック紙）</t>
  </si>
  <si>
    <t>新聞代（全国紙）</t>
  </si>
  <si>
    <t>雑誌</t>
  </si>
  <si>
    <t>月刊誌</t>
  </si>
  <si>
    <t>週刊誌</t>
  </si>
  <si>
    <t>書籍</t>
  </si>
  <si>
    <t>単行本Ａ</t>
  </si>
  <si>
    <t>単行本Ｂ</t>
  </si>
  <si>
    <t>教養娯楽サービス</t>
  </si>
  <si>
    <t>パック旅行費</t>
  </si>
  <si>
    <t>外国パック旅行費</t>
  </si>
  <si>
    <t>月謝類</t>
  </si>
  <si>
    <t>講習料（英会話）</t>
  </si>
  <si>
    <t>講習料（書道）</t>
  </si>
  <si>
    <t>講習料（音楽）</t>
  </si>
  <si>
    <t>講習料（ダンス）</t>
  </si>
  <si>
    <t>講習料（水泳）</t>
  </si>
  <si>
    <t>講習料（体育）</t>
  </si>
  <si>
    <t>自動車教習料</t>
  </si>
  <si>
    <t>他の教養娯楽サービス</t>
  </si>
  <si>
    <t>放送受信料</t>
  </si>
  <si>
    <t>放送受信料（ＮＨＫ）</t>
  </si>
  <si>
    <t>放送受信料（ケーブル）</t>
  </si>
  <si>
    <t>放送受信料（ＮＨＫ・ケーブル以外）</t>
  </si>
  <si>
    <t>入場・観覧・ゲーム代</t>
  </si>
  <si>
    <t>映画観覧料</t>
  </si>
  <si>
    <t>演劇観覧料</t>
  </si>
  <si>
    <t>サッカー観覧料</t>
  </si>
  <si>
    <t>プロ野球観覧料</t>
  </si>
  <si>
    <t>ゴルフ練習料金</t>
  </si>
  <si>
    <t>ゴルフプレー料金</t>
  </si>
  <si>
    <t>ボウリングゲーム代</t>
  </si>
  <si>
    <t>プール使用料</t>
  </si>
  <si>
    <t>フィットネスクラブ使用料</t>
  </si>
  <si>
    <t>文化施設入場料</t>
  </si>
  <si>
    <t>テーマパーク入場料</t>
  </si>
  <si>
    <t>カラオケルーム使用料</t>
  </si>
  <si>
    <t>他の娯楽サービス</t>
  </si>
  <si>
    <t>写真撮影代</t>
  </si>
  <si>
    <t>ビデオソフトレンタル料</t>
  </si>
  <si>
    <t>インターネット接続料</t>
  </si>
  <si>
    <t>ウェブコンテンツ利用料</t>
  </si>
  <si>
    <t>獣医代</t>
  </si>
  <si>
    <t>ペット美容院代</t>
  </si>
  <si>
    <t>諸雑費</t>
  </si>
  <si>
    <t>理美容サービス</t>
  </si>
  <si>
    <t>入浴料</t>
  </si>
  <si>
    <t>理髪料</t>
  </si>
  <si>
    <t>パーマネント代</t>
  </si>
  <si>
    <t>カット代</t>
  </si>
  <si>
    <t>ヘアカラーリング代</t>
  </si>
  <si>
    <t>エステティック料金</t>
  </si>
  <si>
    <t>理美容用品</t>
  </si>
  <si>
    <t>理容器具</t>
  </si>
  <si>
    <t>電気かみそり</t>
  </si>
  <si>
    <t>歯ブラシ</t>
  </si>
  <si>
    <t>石けん類</t>
  </si>
  <si>
    <t>手洗い用石けん</t>
  </si>
  <si>
    <t>ボディーソープ</t>
  </si>
  <si>
    <t>洗顔料</t>
  </si>
  <si>
    <t>クレンジング</t>
  </si>
  <si>
    <t>シャンプー</t>
  </si>
  <si>
    <t>ヘアコンディショナー</t>
  </si>
  <si>
    <t>歯磨き</t>
  </si>
  <si>
    <t>化粧品</t>
  </si>
  <si>
    <t>整髪料</t>
  </si>
  <si>
    <t>養毛剤</t>
  </si>
  <si>
    <t>化粧クリームＡ</t>
  </si>
  <si>
    <t>化粧クリームＢ</t>
  </si>
  <si>
    <t>化粧水Ａ</t>
  </si>
  <si>
    <t>化粧水Ｂ</t>
  </si>
  <si>
    <t>乳液Ａ</t>
  </si>
  <si>
    <t>乳液Ｂ</t>
  </si>
  <si>
    <t>ファンデーションＡ</t>
  </si>
  <si>
    <t>ファンデーションＢ</t>
  </si>
  <si>
    <t>口紅Ａ</t>
  </si>
  <si>
    <t>口紅Ｂ</t>
  </si>
  <si>
    <t>ヘアカラーリング剤</t>
  </si>
  <si>
    <t>美容液</t>
  </si>
  <si>
    <t>身の回り用品</t>
  </si>
  <si>
    <t>かばん類</t>
  </si>
  <si>
    <t>バッグＡ</t>
  </si>
  <si>
    <t>バッグＢ</t>
  </si>
  <si>
    <t>通学用かばん</t>
  </si>
  <si>
    <t>旅行用かばん</t>
  </si>
  <si>
    <t>腕時計・指輪</t>
  </si>
  <si>
    <t>指輪</t>
  </si>
  <si>
    <t>腕時計</t>
  </si>
  <si>
    <t>他の身の回り用品</t>
  </si>
  <si>
    <t>傘</t>
  </si>
  <si>
    <t>ハンカチーフ</t>
  </si>
  <si>
    <t>たばこ</t>
  </si>
  <si>
    <t>たばこ（国産品）</t>
  </si>
  <si>
    <t>たばこ（輸入品）</t>
  </si>
  <si>
    <t>他の諸雑費</t>
  </si>
  <si>
    <t>葬儀料</t>
  </si>
  <si>
    <t>傷害保険料</t>
  </si>
  <si>
    <t>保育所保育料</t>
  </si>
  <si>
    <t>学童保育料</t>
  </si>
  <si>
    <t>介護料</t>
  </si>
  <si>
    <t>行政証明書手数料</t>
  </si>
  <si>
    <t>パスポート取得料</t>
  </si>
  <si>
    <t>振込手数料</t>
  </si>
  <si>
    <t>警備料</t>
  </si>
  <si>
    <t>生鮮食品</t>
  </si>
  <si>
    <t>生鮮魚介（再掲）</t>
  </si>
  <si>
    <t>生鮮野菜（再掲）</t>
  </si>
  <si>
    <t>生鮮果物（再掲）</t>
  </si>
  <si>
    <t>生鮮食品を除く総合</t>
  </si>
  <si>
    <t>生鮮食品を除く食料</t>
  </si>
  <si>
    <t>持家の帰属家賃を除く総合</t>
  </si>
  <si>
    <t>持家の帰属家賃を除く住居</t>
  </si>
  <si>
    <t>持家の帰属家賃を除く家賃</t>
  </si>
  <si>
    <t>持家の帰属家賃及び生鮮食品を除く総合</t>
  </si>
  <si>
    <t>エネルギー</t>
  </si>
  <si>
    <t>生鮮食品及びエネルギーを除く総合</t>
  </si>
  <si>
    <t>食料（酒類を除く）及びエネルギーを除く総合</t>
  </si>
  <si>
    <t>教育関係費</t>
  </si>
  <si>
    <t>教養娯楽関係費</t>
  </si>
  <si>
    <t>情報通信関係費</t>
  </si>
  <si>
    <t>消費者物価指数 2020年基準消費者物価指数 長期時系列データ 品目別価格指数 全国 年度平均 | ファイル | 統計データを探す | 政府統計の総合窓口</t>
  </si>
  <si>
    <t>←抜粋元</t>
    <rPh sb="1" eb="3">
      <t>バッスイ</t>
    </rPh>
    <rPh sb="3" eb="4">
      <t>モト</t>
    </rPh>
    <phoneticPr fontId="2"/>
  </si>
  <si>
    <t>Group/Item</t>
  </si>
  <si>
    <t>All items</t>
  </si>
  <si>
    <t>Food</t>
  </si>
  <si>
    <t>Cereals</t>
  </si>
  <si>
    <t>Rice</t>
  </si>
  <si>
    <t>Non-glutinous rice-A</t>
  </si>
  <si>
    <t>Non-glutinous rice-B</t>
  </si>
  <si>
    <t>Bread</t>
  </si>
  <si>
    <t>White bread</t>
  </si>
  <si>
    <t>Bean-jam buns</t>
  </si>
  <si>
    <t>Curry buns</t>
  </si>
  <si>
    <t>Noodles</t>
  </si>
  <si>
    <t>Boiled “Udon”</t>
  </si>
  <si>
    <t>“Somen”, fine wheat noodles</t>
  </si>
  <si>
    <t>Spaghetti</t>
  </si>
  <si>
    <t>Instant noodles in cups</t>
  </si>
  <si>
    <t>Chinese noodles</t>
  </si>
  <si>
    <t>Other cereals</t>
  </si>
  <si>
    <t>Wheat flour</t>
  </si>
  <si>
    <t>“Mochi”, rice-cakes</t>
  </si>
  <si>
    <t>Cereal</t>
  </si>
  <si>
    <t>Fish &amp; seafood</t>
  </si>
  <si>
    <t>Fresh fish &amp; seafood</t>
  </si>
  <si>
    <t>Tuna fish</t>
  </si>
  <si>
    <t>Horse mackerel</t>
  </si>
  <si>
    <t>Sardines</t>
  </si>
  <si>
    <t>Bonito</t>
  </si>
  <si>
    <t>Salmon</t>
  </si>
  <si>
    <t>Mackerel</t>
  </si>
  <si>
    <t>Saury</t>
  </si>
  <si>
    <t>Sea bream</t>
  </si>
  <si>
    <t>Yellowtail</t>
  </si>
  <si>
    <t>Cuttlefish</t>
  </si>
  <si>
    <t>Octopus</t>
  </si>
  <si>
    <t>Prawns</t>
  </si>
  <si>
    <t>Short-necked clams</t>
  </si>
  <si>
    <t>Oysters</t>
  </si>
  <si>
    <t>Scallops</t>
  </si>
  <si>
    <t>Salted &amp; dried fish</t>
  </si>
  <si>
    <t>Salted salmon</t>
  </si>
  <si>
    <t>Salted cod roe</t>
  </si>
  <si>
    <t>“Shirasu-boshi”, dried young sardines</t>
  </si>
  <si>
    <t>Dried horse mackerel</t>
  </si>
  <si>
    <t>“Niboshi”, dried small sardines</t>
  </si>
  <si>
    <t>Capelin</t>
  </si>
  <si>
    <t>Salmon roe</t>
  </si>
  <si>
    <t>Fish-paste products</t>
  </si>
  <si>
    <t>“Agekamaboko”, fried fish-paste patties</t>
  </si>
  <si>
    <t>“Chikuwa”, baked fish-paste bars</t>
  </si>
  <si>
    <t>“Kamaboko”, steamed fish-paste cakes</t>
  </si>
  <si>
    <t>Other processed fish &amp; seafood</t>
  </si>
  <si>
    <t>Dried bonito fillets</t>
  </si>
  <si>
    <t>Pickled fish</t>
  </si>
  <si>
    <t>Fish prepared in soy sauce</t>
  </si>
  <si>
    <t>Canned fish</t>
  </si>
  <si>
    <t>Meats</t>
  </si>
  <si>
    <t>Raw meats</t>
  </si>
  <si>
    <t>Beef (domestic)</t>
  </si>
  <si>
    <t>Beef (imported)</t>
  </si>
  <si>
    <t>Pork (domestic)</t>
  </si>
  <si>
    <t>Pork (imported)</t>
  </si>
  <si>
    <t>Chicken</t>
  </si>
  <si>
    <t>Meat products</t>
  </si>
  <si>
    <t>Ham</t>
  </si>
  <si>
    <t>Sausages</t>
  </si>
  <si>
    <t>Bacon</t>
  </si>
  <si>
    <t>Seasoned meat</t>
  </si>
  <si>
    <t>Dairy products &amp; eggs</t>
  </si>
  <si>
    <t>Fresh milk &amp; dairy products</t>
  </si>
  <si>
    <t>Fresh milk</t>
  </si>
  <si>
    <t>Dairy products</t>
  </si>
  <si>
    <t>Powdered milk</t>
  </si>
  <si>
    <t>Yogurt</t>
  </si>
  <si>
    <t>Butter</t>
  </si>
  <si>
    <t>Cheese (domestic)</t>
  </si>
  <si>
    <t>Cheese (imported)</t>
  </si>
  <si>
    <t>Eggs</t>
  </si>
  <si>
    <t>Hen eggs</t>
  </si>
  <si>
    <t>Vegetables &amp; seaweeds</t>
  </si>
  <si>
    <t>Fresh vegetables</t>
  </si>
  <si>
    <t>Cabbage</t>
  </si>
  <si>
    <t>Spinach</t>
  </si>
  <si>
    <t>Chinese cabbage</t>
  </si>
  <si>
    <t>Welsh onions</t>
  </si>
  <si>
    <t>Lettuce</t>
  </si>
  <si>
    <t>Broccoli</t>
  </si>
  <si>
    <t>Bean sprouts</t>
  </si>
  <si>
    <t>Asparagus</t>
  </si>
  <si>
    <t>Sweet potatoes</t>
  </si>
  <si>
    <t>White potatoes</t>
  </si>
  <si>
    <t>Taros</t>
  </si>
  <si>
    <t>Radishes</t>
  </si>
  <si>
    <t>Carrots</t>
  </si>
  <si>
    <t>Burdocks</t>
  </si>
  <si>
    <t>Onions</t>
  </si>
  <si>
    <t>Lotus roots</t>
  </si>
  <si>
    <t>“Naga-imo”, yams</t>
  </si>
  <si>
    <t>Ginger</t>
  </si>
  <si>
    <t>Green soybeans</t>
  </si>
  <si>
    <t>Kidney beans</t>
  </si>
  <si>
    <t>Pumpkins</t>
  </si>
  <si>
    <t>Cucumbers</t>
  </si>
  <si>
    <t>Eggplants</t>
  </si>
  <si>
    <t>Tomatoes</t>
  </si>
  <si>
    <t>Green peppers</t>
  </si>
  <si>
    <t>“Shiitake”, Japanese mushrooms, fresh</t>
  </si>
  <si>
    <t>“Enokitake”, mushrooms</t>
  </si>
  <si>
    <t>“Shimeji”, mushrooms</t>
  </si>
  <si>
    <t>Cut vegetables</t>
  </si>
  <si>
    <t>Processed vegetables &amp; seaweeds</t>
  </si>
  <si>
    <t>Dried vegetables &amp; seaweeds</t>
  </si>
  <si>
    <t>“Shiitake”, Japanese mushrooms, dried</t>
  </si>
  <si>
    <t>Dried laver</t>
  </si>
  <si>
    <t>“Wakame”, seaweed</t>
  </si>
  <si>
    <t>Dried tangle</t>
  </si>
  <si>
    <t>“Hijiki”, edible brown algae</t>
  </si>
  <si>
    <t>Soybean products</t>
  </si>
  <si>
    <t>“Tofu”, bean curd</t>
  </si>
  <si>
    <t>Fried bean curd</t>
  </si>
  <si>
    <t>“Natto”, fermented soybeans</t>
  </si>
  <si>
    <t>Other processed vegetables &amp; seaweeds</t>
  </si>
  <si>
    <t>“Konnyaku”, devil's-tongue</t>
  </si>
  <si>
    <t>“Umeboshi”, pickled plums</t>
  </si>
  <si>
    <t>Pickled radishes</t>
  </si>
  <si>
    <t>Pickled Chinese cabbage</t>
  </si>
  <si>
    <t>“Kimuchi”</t>
  </si>
  <si>
    <t>Tangle prepared in soy sauce</t>
  </si>
  <si>
    <t>Canned vegetables</t>
  </si>
  <si>
    <t>Fruits</t>
  </si>
  <si>
    <t>Fresh fruits</t>
  </si>
  <si>
    <t>Apples</t>
  </si>
  <si>
    <t>Mandarin oranges</t>
  </si>
  <si>
    <t>Oranges</t>
  </si>
  <si>
    <t>“Shiranui”, citrus fruits</t>
  </si>
  <si>
    <t>Pears</t>
  </si>
  <si>
    <t>Grapes-A</t>
  </si>
  <si>
    <t>Grapes-B</t>
  </si>
  <si>
    <t>Persimmons</t>
  </si>
  <si>
    <t>Peaches</t>
  </si>
  <si>
    <t>Watermelons</t>
  </si>
  <si>
    <t>Melons</t>
  </si>
  <si>
    <t>Strawberries</t>
  </si>
  <si>
    <t>Bananas</t>
  </si>
  <si>
    <t>Kiwi fruits</t>
  </si>
  <si>
    <t>Cherries</t>
  </si>
  <si>
    <t>Avocados</t>
  </si>
  <si>
    <t>Processed fruits</t>
  </si>
  <si>
    <t>Nuts</t>
  </si>
  <si>
    <t>Oils, fats &amp; seasonings</t>
  </si>
  <si>
    <t>Oils &amp; fats</t>
  </si>
  <si>
    <t>Edible oil</t>
  </si>
  <si>
    <t>Margarine</t>
  </si>
  <si>
    <t>Seasonings</t>
  </si>
  <si>
    <t>Salt</t>
  </si>
  <si>
    <t>Soy sauce</t>
  </si>
  <si>
    <t>Soybean paste</t>
  </si>
  <si>
    <t>Sugar</t>
  </si>
  <si>
    <t>Vinegar</t>
  </si>
  <si>
    <t>Worcester sauce</t>
  </si>
  <si>
    <t>Ketchup</t>
  </si>
  <si>
    <t>Mayonnaise</t>
  </si>
  <si>
    <t>Dressing</t>
  </si>
  <si>
    <t>Jam</t>
  </si>
  <si>
    <t>Instant curry mix</t>
  </si>
  <si>
    <t>Instant dried soup</t>
  </si>
  <si>
    <t>Flavor seasonings</t>
  </si>
  <si>
    <t>“Furikake”, granular flavor seasonings</t>
  </si>
  <si>
    <t>“Tare”, liquid seasonings</t>
  </si>
  <si>
    <t>“Tsuyu”, liquid seasonings</t>
  </si>
  <si>
    <t>Mixed seasonings</t>
  </si>
  <si>
    <t>Prepared pasta sauce</t>
  </si>
  <si>
    <t>Cakes &amp; candies</t>
  </si>
  <si>
    <t>“Yokan”, sweet bean jelly</t>
  </si>
  <si>
    <t>“Manju”, bean-jam cakes</t>
  </si>
  <si>
    <t>“Daifukumochi”, rice cakes stuffed with sweetened bean jam</t>
  </si>
  <si>
    <t>“Kasutera”, sponge cakes</t>
  </si>
  <si>
    <t>Cakes</t>
  </si>
  <si>
    <t>Jelly</t>
  </si>
  <si>
    <t>Pudding</t>
  </si>
  <si>
    <t>Cream puffs</t>
  </si>
  <si>
    <t>Roll cakes</t>
  </si>
  <si>
    <t>“Sembei”, Japanese crackers</t>
  </si>
  <si>
    <t>Biscuits</t>
  </si>
  <si>
    <t>Potato chips</t>
  </si>
  <si>
    <t>Candies</t>
  </si>
  <si>
    <t>Chocolate</t>
  </si>
  <si>
    <t>Ice cream</t>
  </si>
  <si>
    <t>Peanuts</t>
  </si>
  <si>
    <t>Chewing gum</t>
  </si>
  <si>
    <t>Cooked food</t>
  </si>
  <si>
    <t>Cooked food with rice, bread or noodles</t>
  </si>
  <si>
    <t>Sushi (box lunch)-A</t>
  </si>
  <si>
    <t>Sushi (box lunch)-B</t>
  </si>
  <si>
    <t>Box lunch-A</t>
  </si>
  <si>
    <t>Box lunch-B</t>
  </si>
  <si>
    <t>Rice balls</t>
  </si>
  <si>
    <t>Bread like sandwiches</t>
  </si>
  <si>
    <t>Frozen cooked rice</t>
  </si>
  <si>
    <t>Cooked pasta</t>
  </si>
  <si>
    <t>Processed pizza</t>
  </si>
  <si>
    <t>Aseptic packaged cooked rice</t>
  </si>
  <si>
    <t>Other cooked food</t>
  </si>
  <si>
    <t>“Kabayaki”, broiled eels</t>
  </si>
  <si>
    <t>Salad</t>
  </si>
  <si>
    <t>Croquettes</t>
  </si>
  <si>
    <t>Pork cutlets</t>
  </si>
  <si>
    <t>Deep fried chicken</t>
  </si>
  <si>
    <t>“Gyoza”</t>
  </si>
  <si>
    <t>“Yakitori”, grilled chicken</t>
  </si>
  <si>
    <t>Hamburg steaks</t>
  </si>
  <si>
    <t>Frozen croquettes</t>
  </si>
  <si>
    <t>Frozen hamburg steak</t>
  </si>
  <si>
    <t>Frozen“Gyoza”</t>
  </si>
  <si>
    <t>Cooked curry</t>
  </si>
  <si>
    <t>“Mazegohan no moto”, prepared materials to steamed rice with assorted ingredients</t>
  </si>
  <si>
    <t>Boiled beans</t>
  </si>
  <si>
    <t>Grilled fish</t>
  </si>
  <si>
    <t>“Kimpira”</t>
  </si>
  <si>
    <t>Roast pork</t>
  </si>
  <si>
    <t>“Salad chicken”</t>
  </si>
  <si>
    <t>“Oden”, Japanese stew</t>
  </si>
  <si>
    <t>Beverages</t>
  </si>
  <si>
    <t>Tea</t>
  </si>
  <si>
    <t>Green tea</t>
  </si>
  <si>
    <t>Black tea</t>
  </si>
  <si>
    <t>Tea beverages</t>
  </si>
  <si>
    <t>Coffee &amp; cocoa</t>
  </si>
  <si>
    <t>Instant coffee</t>
  </si>
  <si>
    <t>Coffee beans</t>
  </si>
  <si>
    <t>Coffee beverages-A</t>
  </si>
  <si>
    <t>Coffee beverages-B</t>
  </si>
  <si>
    <t>Other beverages</t>
  </si>
  <si>
    <t>Fruit juice</t>
  </si>
  <si>
    <t>Beverages containing juice</t>
  </si>
  <si>
    <t>Vegetable juice</t>
  </si>
  <si>
    <t>Carbonated beverages</t>
  </si>
  <si>
    <t>Non-alcoholic beer</t>
  </si>
  <si>
    <t>Fermented lactic drinks</t>
  </si>
  <si>
    <t>Mineral water</t>
  </si>
  <si>
    <t>Home delivery water</t>
  </si>
  <si>
    <t>Sports drinks</t>
  </si>
  <si>
    <t>Soy milk</t>
  </si>
  <si>
    <t>Alcoholic beverages</t>
  </si>
  <si>
    <t>“Sake”</t>
  </si>
  <si>
    <t>“Shochu”, distilled spirits</t>
  </si>
  <si>
    <t>Beer</t>
  </si>
  <si>
    <t>Low-malt beer</t>
  </si>
  <si>
    <t>Whisky</t>
  </si>
  <si>
    <t>Wine (domestic)</t>
  </si>
  <si>
    <t>Wine (imported)</t>
  </si>
  <si>
    <t>“Chu-hi”, liquor with soda &amp; fruits</t>
  </si>
  <si>
    <t>Beer-flavored alcoholic beverages</t>
  </si>
  <si>
    <t>Meals outside the home</t>
  </si>
  <si>
    <t>Eating out</t>
  </si>
  <si>
    <t>“Udon”, Japanese noodles (eating out)</t>
  </si>
  <si>
    <t>“Soba”, Japanese noodles (eating out)</t>
  </si>
  <si>
    <t>Chinese noodles (eating out)</t>
  </si>
  <si>
    <t>Spaghetti (eating out)</t>
  </si>
  <si>
    <t>Sushi (eating out)-A</t>
  </si>
  <si>
    <t>Sushi (eating out)-B</t>
  </si>
  <si>
    <t>Tempura bowls (eating out)</t>
  </si>
  <si>
    <t>Curry &amp; rice (eating out)</t>
  </si>
  <si>
    <t>Beef bowls (eating out)</t>
  </si>
  <si>
    <t>Pork cutlet set meals (eating out)</t>
  </si>
  <si>
    <t>Ginger pork set meals (eating out)</t>
  </si>
  <si>
    <t>Fried chickens (eating out)</t>
  </si>
  <si>
    <t>“Gyoza” (eating out)</t>
  </si>
  <si>
    <t>Hamburg steaks (eating out)</t>
  </si>
  <si>
    <t>Broiled meat (eating out)</t>
  </si>
  <si>
    <t>Hamburgers (eating out)</t>
  </si>
  <si>
    <t>Sandwiches (eating out)</t>
  </si>
  <si>
    <t>Delivered pizza</t>
  </si>
  <si>
    <t>Doughnuts (eating out)</t>
  </si>
  <si>
    <t>Coffee (eating out)-A</t>
  </si>
  <si>
    <t>Coffee (eating out)-B</t>
  </si>
  <si>
    <t>Beer (eating out)</t>
  </si>
  <si>
    <t>“Yakitori”, grilled chicken (eating out)</t>
  </si>
  <si>
    <t>School lunch</t>
  </si>
  <si>
    <t>(elementary school)</t>
  </si>
  <si>
    <t>(junior high school)</t>
  </si>
  <si>
    <t>Housing</t>
  </si>
  <si>
    <t>Rent</t>
  </si>
  <si>
    <t>House rent, private</t>
  </si>
  <si>
    <t>House rent, public, Urban Renaissance Agency &amp; public corporation</t>
  </si>
  <si>
    <t>House rent, public</t>
  </si>
  <si>
    <t>House rent, Urban Renaissance Agency &amp; public corporation</t>
  </si>
  <si>
    <t>Imputed rent</t>
  </si>
  <si>
    <t>Repairs &amp; maintenance</t>
  </si>
  <si>
    <t>Tools &amp; materials for repairs &amp; maintenance</t>
  </si>
  <si>
    <t>Custom bath</t>
  </si>
  <si>
    <t>Toilet seat with a hot douche</t>
  </si>
  <si>
    <t>Hot-water supply equipment</t>
  </si>
  <si>
    <t>Custom kitchen</t>
  </si>
  <si>
    <t>Carports</t>
  </si>
  <si>
    <t>Materials for repairs &amp; maintenance</t>
  </si>
  <si>
    <t>Service charges for repairs &amp; maintenance</t>
  </si>
  <si>
    <t>“Tatami” reupholstering</t>
  </si>
  <si>
    <t>Plumbing</t>
  </si>
  <si>
    <t>Fence construction</t>
  </si>
  <si>
    <t>External wall coating</t>
  </si>
  <si>
    <t>Repairing roofs</t>
  </si>
  <si>
    <t>Gardening</t>
  </si>
  <si>
    <t>“Fusuma”, sliding doors, reupholstering</t>
  </si>
  <si>
    <t>Carpentering</t>
  </si>
  <si>
    <t>Parking lot construction</t>
  </si>
  <si>
    <t>Wallpaper reupholstering</t>
  </si>
  <si>
    <t>Fire &amp; earthquake insurance premium</t>
  </si>
  <si>
    <t>Fuel, light &amp; water charges</t>
  </si>
  <si>
    <t>Electricity</t>
  </si>
  <si>
    <t>Gas</t>
  </si>
  <si>
    <t>Gas, manufactured &amp; piped</t>
  </si>
  <si>
    <t>Liquefied propane</t>
  </si>
  <si>
    <t>Other fuel &amp; light</t>
  </si>
  <si>
    <t>Kerosene</t>
  </si>
  <si>
    <t>Water &amp; sewerage charges</t>
  </si>
  <si>
    <t>Water charges</t>
  </si>
  <si>
    <t>Sewerage charges</t>
  </si>
  <si>
    <t>Furniture &amp; household utensils</t>
  </si>
  <si>
    <t>Household durable goods</t>
  </si>
  <si>
    <t>Durable goods assisting housework</t>
  </si>
  <si>
    <t>Microwave ovens</t>
  </si>
  <si>
    <t>Electric rice-cookers</t>
  </si>
  <si>
    <t>Gas cooking tables</t>
  </si>
  <si>
    <t>Refrigerators</t>
  </si>
  <si>
    <t>Vacuum cleaners</t>
  </si>
  <si>
    <t>Washing machines</t>
  </si>
  <si>
    <t>Washing &amp; drying machines</t>
  </si>
  <si>
    <t>Heating &amp; cooling appliances</t>
  </si>
  <si>
    <t>Room air conditioners</t>
  </si>
  <si>
    <t>Fan heaters</t>
  </si>
  <si>
    <t>Air cleaners</t>
  </si>
  <si>
    <t>General furniture</t>
  </si>
  <si>
    <t>Dining sets</t>
  </si>
  <si>
    <t>Sofas</t>
  </si>
  <si>
    <t>Kitchen cabinets</t>
  </si>
  <si>
    <t>Interior furnishings</t>
  </si>
  <si>
    <t>Lighting apparatus</t>
  </si>
  <si>
    <t>Carpets</t>
  </si>
  <si>
    <t>Curtains</t>
  </si>
  <si>
    <t>Cushions</t>
  </si>
  <si>
    <t>Bedding</t>
  </si>
  <si>
    <t>Beds</t>
  </si>
  <si>
    <t>Japanese style futon</t>
  </si>
  <si>
    <t>Sheets</t>
  </si>
  <si>
    <t>Duvet covers</t>
  </si>
  <si>
    <t>Mattress pads</t>
  </si>
  <si>
    <t>Domestic utensils</t>
  </si>
  <si>
    <t>Tableware</t>
  </si>
  <si>
    <t>Bowls</t>
  </si>
  <si>
    <t>Dishes</t>
  </si>
  <si>
    <t>Kitchen utensils</t>
  </si>
  <si>
    <t>Canteens</t>
  </si>
  <si>
    <t>Pans</t>
  </si>
  <si>
    <t>Frying pans</t>
  </si>
  <si>
    <t>Scrubbing sponges</t>
  </si>
  <si>
    <t>Other domestic utensils</t>
  </si>
  <si>
    <t>Electric bulbs &amp; lamps</t>
  </si>
  <si>
    <t>Towels</t>
  </si>
  <si>
    <t>Mattings</t>
  </si>
  <si>
    <t>Clothes drying hangers</t>
  </si>
  <si>
    <t>Storage cases</t>
  </si>
  <si>
    <t>Domestic non-durable goods</t>
  </si>
  <si>
    <t>Facial tissue &amp; rolled toilet paper</t>
  </si>
  <si>
    <t>Facial tissue</t>
  </si>
  <si>
    <t>Rolled toilet paper</t>
  </si>
  <si>
    <t>Detergent</t>
  </si>
  <si>
    <t>Liquid detergent, kitchen</t>
  </si>
  <si>
    <t>Detergent, laundry</t>
  </si>
  <si>
    <t>Other domestic non-durable goods</t>
  </si>
  <si>
    <t>Food wrap</t>
  </si>
  <si>
    <t>Plastic bags</t>
  </si>
  <si>
    <t>Insecticide</t>
  </si>
  <si>
    <t>Fabric softener</t>
  </si>
  <si>
    <t>Air fresheners &amp; deodorizer</t>
  </si>
  <si>
    <t>Kitchen paper</t>
  </si>
  <si>
    <t>Bleach</t>
  </si>
  <si>
    <t>Domestic services</t>
  </si>
  <si>
    <t>Domestic help</t>
  </si>
  <si>
    <t>Cleaning fees</t>
  </si>
  <si>
    <t>Recycle fees</t>
  </si>
  <si>
    <t>Septic tank cleaning fees</t>
  </si>
  <si>
    <t>Other domestic services</t>
  </si>
  <si>
    <t>Mop-rental fees</t>
  </si>
  <si>
    <t>Clothes &amp; footwear</t>
  </si>
  <si>
    <t>Clothes</t>
  </si>
  <si>
    <t>Japanese clothing</t>
  </si>
  <si>
    <t>Women's“Kimono”</t>
  </si>
  <si>
    <t>Women's“Obi”</t>
  </si>
  <si>
    <t>Clothing</t>
  </si>
  <si>
    <t>Men's clothing</t>
  </si>
  <si>
    <t>Men's suits (for spring &amp; summer, medium)</t>
  </si>
  <si>
    <t>Men's suits (for spring &amp; summer, ordinary)</t>
  </si>
  <si>
    <t>Men's suits (for autumn &amp; winter, medium)</t>
  </si>
  <si>
    <t>Men's suits (for autumn &amp; winter, ordinary)</t>
  </si>
  <si>
    <t>Men's jackets</t>
  </si>
  <si>
    <t>Men's slacks (for spring &amp; summer)</t>
  </si>
  <si>
    <t>Men's slacks (for autumn &amp; winter)</t>
  </si>
  <si>
    <t>Men's slacks (jeans)</t>
  </si>
  <si>
    <t>Men's coats</t>
  </si>
  <si>
    <t>Boys' school uniforms</t>
  </si>
  <si>
    <t>Women's clothing</t>
  </si>
  <si>
    <t>Women's suits (for spring &amp; summer, medium)</t>
  </si>
  <si>
    <t>Women's suits (for spring &amp; summer, ordinary)</t>
  </si>
  <si>
    <t>Women's suits (for autumn &amp; winter, medium)</t>
  </si>
  <si>
    <t>Women's suits (for autumn &amp; winter, ordinary)</t>
  </si>
  <si>
    <t>One-piece dresses (for spring &amp; summer)</t>
  </si>
  <si>
    <t>One-piece dresses (for autumn &amp; winter)</t>
  </si>
  <si>
    <t>Women's jackets</t>
  </si>
  <si>
    <t>Skirts (for spring &amp; summer)</t>
  </si>
  <si>
    <t>Skirts (for autumn &amp; winter)</t>
  </si>
  <si>
    <t>Women's slacks (for autumn &amp; winter)</t>
  </si>
  <si>
    <t>Women's slacks (jeans)</t>
  </si>
  <si>
    <t>Women's coats</t>
  </si>
  <si>
    <t>Girls' school uniforms</t>
  </si>
  <si>
    <t>Children's clothing</t>
  </si>
  <si>
    <t>Children's trousers (for spring &amp; summer)</t>
  </si>
  <si>
    <t>Children's trousers (for autumn &amp; winter)</t>
  </si>
  <si>
    <t>Babies' clothes</t>
  </si>
  <si>
    <t>Shirts, sweaters &amp; underwear</t>
  </si>
  <si>
    <t>Shirts &amp; sweaters</t>
  </si>
  <si>
    <t>Men's shirts &amp; sweaters</t>
  </si>
  <si>
    <t>Men's business shirts</t>
  </si>
  <si>
    <t>Men's sports shirts (long sleeves)</t>
  </si>
  <si>
    <t>Men's sports shirts (short sleeves)</t>
  </si>
  <si>
    <t>Men's sweaters</t>
  </si>
  <si>
    <t>Women's shirts &amp; sweaters</t>
  </si>
  <si>
    <t>Blouses (long sleeves)</t>
  </si>
  <si>
    <t>Blouses (short sleeves)</t>
  </si>
  <si>
    <t>Women's T-shirts (long sleeves)</t>
  </si>
  <si>
    <t>Women's T-shirts (short sleeves)</t>
  </si>
  <si>
    <t>Women's sweaters (long sleeves)</t>
  </si>
  <si>
    <t>Women's sweaters (short sleeves)</t>
  </si>
  <si>
    <t>Children's shirts &amp; sweaters</t>
  </si>
  <si>
    <t>Children's T-shirts (long sleeves)</t>
  </si>
  <si>
    <t>Children's T-shirts (short sleeves)</t>
  </si>
  <si>
    <t>Underwear</t>
  </si>
  <si>
    <t>Men's underwear</t>
  </si>
  <si>
    <t>Men's undershirts</t>
  </si>
  <si>
    <t>Men's underpants</t>
  </si>
  <si>
    <t>Men's pajamas</t>
  </si>
  <si>
    <t>Women's underwear</t>
  </si>
  <si>
    <t>Brassieres</t>
  </si>
  <si>
    <t>Panties</t>
  </si>
  <si>
    <t>Lingeries</t>
  </si>
  <si>
    <t>Children's underwear</t>
  </si>
  <si>
    <t>Footwear</t>
  </si>
  <si>
    <t>Men's shoes</t>
  </si>
  <si>
    <t>Women's shoes</t>
  </si>
  <si>
    <t>Children's shoes</t>
  </si>
  <si>
    <t>Canvas shoes</t>
  </si>
  <si>
    <t>Sandals</t>
  </si>
  <si>
    <t>Slippers</t>
  </si>
  <si>
    <t>Other clothing</t>
  </si>
  <si>
    <t>Hats &amp; caps</t>
  </si>
  <si>
    <t>Neckties</t>
  </si>
  <si>
    <t>Mufflers</t>
  </si>
  <si>
    <t>Men's socks</t>
  </si>
  <si>
    <t>Women's stockings</t>
  </si>
  <si>
    <t>Women's socks</t>
  </si>
  <si>
    <t>Belts</t>
  </si>
  <si>
    <t>Services related to clothing</t>
  </si>
  <si>
    <t>Laundry charges-A</t>
  </si>
  <si>
    <t>Laundry charges-B</t>
  </si>
  <si>
    <t>Footwear repair charges</t>
  </si>
  <si>
    <t>Charges for clothing rent</t>
  </si>
  <si>
    <t>Medical care</t>
  </si>
  <si>
    <t>Medicines &amp; health fortification</t>
  </si>
  <si>
    <t>Medicines for cold</t>
  </si>
  <si>
    <t>Antipyretic &amp; analgesic medicines</t>
  </si>
  <si>
    <t>Gastrointestinal medicines</t>
  </si>
  <si>
    <t>Vitamin preparations-A</t>
  </si>
  <si>
    <t>Vitamin preparations-B</t>
  </si>
  <si>
    <t>Health drinks</t>
  </si>
  <si>
    <t>Dermal medicines</t>
  </si>
  <si>
    <t>Plasters</t>
  </si>
  <si>
    <t>Eyewashes</t>
  </si>
  <si>
    <t>Chinese medicines</t>
  </si>
  <si>
    <t>Medicines for rhinitis</t>
  </si>
  <si>
    <t>Health fortification-A</t>
  </si>
  <si>
    <t>Health fortification-B</t>
  </si>
  <si>
    <t>Medical supplies &amp; appliances</t>
  </si>
  <si>
    <t>Disposable diapers (for babies)</t>
  </si>
  <si>
    <t>Disposable diapers (for adults)</t>
  </si>
  <si>
    <t>Sanitary napkins</t>
  </si>
  <si>
    <t>Bath additives</t>
  </si>
  <si>
    <t>Contact lenses cleaning solution</t>
  </si>
  <si>
    <t>Masks</t>
  </si>
  <si>
    <t>Supplies for slight incontinence</t>
  </si>
  <si>
    <t>Spectacles</t>
  </si>
  <si>
    <t>Contact lenses</t>
  </si>
  <si>
    <t>Sphygmomanometers</t>
  </si>
  <si>
    <t>Hearing aids</t>
  </si>
  <si>
    <t>Supporters</t>
  </si>
  <si>
    <t>Medical services</t>
  </si>
  <si>
    <t>Medical treatment</t>
  </si>
  <si>
    <t>Charges for massage</t>
  </si>
  <si>
    <t>Fees for complete medical checkup</t>
  </si>
  <si>
    <t>Fees for vaccination</t>
  </si>
  <si>
    <t>Transportation &amp; communication</t>
  </si>
  <si>
    <t>Public transportation</t>
  </si>
  <si>
    <t>Railway fares (JR)</t>
  </si>
  <si>
    <t>(ordinary fares)</t>
  </si>
  <si>
    <t>(special fares, excluding “Shinkansen”)</t>
  </si>
  <si>
    <t>(special fares, for “Shinkansen”)</t>
  </si>
  <si>
    <t>(students' season tickets)</t>
  </si>
  <si>
    <t>(commuters' season tickets)</t>
  </si>
  <si>
    <t>Railway fares (excluding JR)</t>
  </si>
  <si>
    <t>Other public transportation</t>
  </si>
  <si>
    <t>Fixed route bus fares</t>
  </si>
  <si>
    <t>Expressway bus fares</t>
  </si>
  <si>
    <t>Taxi fares</t>
  </si>
  <si>
    <t>Airplane fares</t>
  </si>
  <si>
    <t>Highway tolls</t>
  </si>
  <si>
    <t>National expressway tolls</t>
  </si>
  <si>
    <t>City expressway tolls</t>
  </si>
  <si>
    <t>Private transportation</t>
  </si>
  <si>
    <t>Automobiles</t>
  </si>
  <si>
    <t>Light motor vehicles (0.66L or less)</t>
  </si>
  <si>
    <t>Small motor vehicles</t>
  </si>
  <si>
    <t>Motor vehicles-A</t>
  </si>
  <si>
    <t>Motor vehicles-B</t>
  </si>
  <si>
    <t>Bicycles</t>
  </si>
  <si>
    <t>Bicycles-A</t>
  </si>
  <si>
    <t>Bicycles-B</t>
  </si>
  <si>
    <t>Automotive maintenance</t>
  </si>
  <si>
    <t>Gasoline</t>
  </si>
  <si>
    <t>Tires</t>
  </si>
  <si>
    <t>Automobile batteries</t>
  </si>
  <si>
    <t>Automobile navigations</t>
  </si>
  <si>
    <t>Drive recorders</t>
  </si>
  <si>
    <t>Automotive maintenance charges (regular inspections)</t>
  </si>
  <si>
    <t>Automotive maintenance charges (puncture repairs)</t>
  </si>
  <si>
    <t>Motor oil replacement</t>
  </si>
  <si>
    <t>Charges for garage rental</t>
  </si>
  <si>
    <t>Charges for parking</t>
  </si>
  <si>
    <t>Charges for driving license</t>
  </si>
  <si>
    <t>Charges for rental car</t>
  </si>
  <si>
    <t>Car wash fees</t>
  </si>
  <si>
    <t>Road services</t>
  </si>
  <si>
    <t>Automotive insurance premium (compulsion)</t>
  </si>
  <si>
    <t>Automotive insurance premium (option)</t>
  </si>
  <si>
    <t>Communication</t>
  </si>
  <si>
    <t>Postcards</t>
  </si>
  <si>
    <t>Letters</t>
  </si>
  <si>
    <t>Telephone charges (fixed-line phone)</t>
  </si>
  <si>
    <t>Telephone charges (mobile phone)</t>
  </si>
  <si>
    <t>Forwarding charges</t>
  </si>
  <si>
    <t>Mobile phones</t>
  </si>
  <si>
    <t>Education</t>
  </si>
  <si>
    <t>School fees</t>
  </si>
  <si>
    <t>PTA membership fees (elementary school)</t>
  </si>
  <si>
    <t>PTA membership fees (junior high school)</t>
  </si>
  <si>
    <t>Junior high school fees (private)</t>
  </si>
  <si>
    <t>High school fees (public)</t>
  </si>
  <si>
    <t>High school fees (private)</t>
  </si>
  <si>
    <t>College &amp; university fees (national)</t>
  </si>
  <si>
    <t>College &amp; university fees (private)</t>
  </si>
  <si>
    <t>Junior college fees (private)</t>
  </si>
  <si>
    <t>Special training school fees (private)</t>
  </si>
  <si>
    <t>School textbooks &amp; reference books for study</t>
  </si>
  <si>
    <t>School textbooks</t>
  </si>
  <si>
    <t>Reference books for study</t>
  </si>
  <si>
    <t>Tutorial fees</t>
  </si>
  <si>
    <t>(high school &amp; preparatory school)</t>
  </si>
  <si>
    <t>Culture &amp; recreation</t>
  </si>
  <si>
    <t>Recreational durable goods</t>
  </si>
  <si>
    <t>TV sets</t>
  </si>
  <si>
    <t>Video recorders</t>
  </si>
  <si>
    <t>Personal computers (desktop)</t>
  </si>
  <si>
    <t>Personal computers (notes)</t>
  </si>
  <si>
    <t>Tablet computers</t>
  </si>
  <si>
    <t>PC printers</t>
  </si>
  <si>
    <t>Cameras</t>
  </si>
  <si>
    <t>Pianos</t>
  </si>
  <si>
    <t>Desks</t>
  </si>
  <si>
    <t>Recreational goods</t>
  </si>
  <si>
    <t>Stationery</t>
  </si>
  <si>
    <t>Ball-point pens</t>
  </si>
  <si>
    <t>Notebooks</t>
  </si>
  <si>
    <t>Scissors</t>
  </si>
  <si>
    <t>Sporting goods</t>
  </si>
  <si>
    <t>Golf clubs</t>
  </si>
  <si>
    <t>Baseball gloves</t>
  </si>
  <si>
    <t>Tennis rackets</t>
  </si>
  <si>
    <t>Fishing rods</t>
  </si>
  <si>
    <t>Pants for exercise</t>
  </si>
  <si>
    <t>Swimming suits</t>
  </si>
  <si>
    <t>Athletic shoes</t>
  </si>
  <si>
    <t>Toys</t>
  </si>
  <si>
    <t>Computer games for domestic use</t>
  </si>
  <si>
    <t>Game softwares</t>
  </si>
  <si>
    <t>Dolls</t>
  </si>
  <si>
    <t>Toy cars</t>
  </si>
  <si>
    <t>Building blocks</t>
  </si>
  <si>
    <t>Cut flowers</t>
  </si>
  <si>
    <t>(Carnations)</t>
  </si>
  <si>
    <t>(Chrysanthemums)</t>
  </si>
  <si>
    <t>(Roses)</t>
  </si>
  <si>
    <t>Other recreational goods</t>
  </si>
  <si>
    <t>Memory cards</t>
  </si>
  <si>
    <t>Compact discs</t>
  </si>
  <si>
    <t>Video softwares</t>
  </si>
  <si>
    <t>Pet foods (dog foods)</t>
  </si>
  <si>
    <t>Pet foods (cat foods)</t>
  </si>
  <si>
    <t>Pet toilet supplies</t>
  </si>
  <si>
    <t>Potted plants</t>
  </si>
  <si>
    <t>Gardening earth</t>
  </si>
  <si>
    <t>Horticultural fertilizer</t>
  </si>
  <si>
    <t>Batteries</t>
  </si>
  <si>
    <t>Ink cartridges for printer</t>
  </si>
  <si>
    <t>Books &amp; other reading materials</t>
  </si>
  <si>
    <t>Newspapers</t>
  </si>
  <si>
    <t>(regional)</t>
  </si>
  <si>
    <t>(national)</t>
  </si>
  <si>
    <t>Magazines</t>
  </si>
  <si>
    <t>Monthly magazines</t>
  </si>
  <si>
    <t>Weekly magazines</t>
  </si>
  <si>
    <t>Books</t>
  </si>
  <si>
    <t>Books-A</t>
  </si>
  <si>
    <t>Books-B</t>
  </si>
  <si>
    <t>Recreational services</t>
  </si>
  <si>
    <t>Hotel charges</t>
  </si>
  <si>
    <t>Charges for package tours</t>
  </si>
  <si>
    <t>Charges for package tours to overseas</t>
  </si>
  <si>
    <t>Lesson fees</t>
  </si>
  <si>
    <t>(English conversation school)</t>
  </si>
  <si>
    <t>(calligraphy school)</t>
  </si>
  <si>
    <t>(music school)</t>
  </si>
  <si>
    <t>(dancing school)</t>
  </si>
  <si>
    <t>(swimming school)</t>
  </si>
  <si>
    <t>(physical education school)</t>
  </si>
  <si>
    <t>Lesson fees, driving school</t>
  </si>
  <si>
    <t>Other recreational services</t>
  </si>
  <si>
    <t>Charges for TV license</t>
  </si>
  <si>
    <t>Charges for NHK TV license</t>
  </si>
  <si>
    <t>Charges for cable TV license</t>
  </si>
  <si>
    <t>Charges for other TV licenses</t>
  </si>
  <si>
    <t>Admission &amp; game charges</t>
  </si>
  <si>
    <t>Admission to movies</t>
  </si>
  <si>
    <t>Admission to theater</t>
  </si>
  <si>
    <t>Admission to soccer</t>
  </si>
  <si>
    <t>Admission to professional baseball games</t>
  </si>
  <si>
    <t>Charges for practicing golf</t>
  </si>
  <si>
    <t>Charges for playing golf</t>
  </si>
  <si>
    <t>Game charges, bowling</t>
  </si>
  <si>
    <t>Swimming pool charges</t>
  </si>
  <si>
    <t>Fitness club fees</t>
  </si>
  <si>
    <t>Admission fees to cultural establishments</t>
  </si>
  <si>
    <t>Admission fees to theme parks</t>
  </si>
  <si>
    <t>“Karaoke” room charges</t>
  </si>
  <si>
    <t>Photography fees</t>
  </si>
  <si>
    <t>Charges for video rental</t>
  </si>
  <si>
    <t>Internet connection charges</t>
  </si>
  <si>
    <t>Charges for web content</t>
  </si>
  <si>
    <t>Veterinary surgeon fees</t>
  </si>
  <si>
    <t>Grooming parlor fees</t>
  </si>
  <si>
    <t>Miscellaneous</t>
  </si>
  <si>
    <t>Personal care services</t>
  </si>
  <si>
    <t>Bathing charges</t>
  </si>
  <si>
    <t>Charges for barbers' services</t>
  </si>
  <si>
    <t>Permanent wave charges</t>
  </si>
  <si>
    <t>Haircut charges</t>
  </si>
  <si>
    <t>Hair dyeing charges</t>
  </si>
  <si>
    <t>Charges for beauty-treatment</t>
  </si>
  <si>
    <t>Toilet articles</t>
  </si>
  <si>
    <t>Toilet utensils</t>
  </si>
  <si>
    <t>Electric shavers</t>
  </si>
  <si>
    <t>Toothbrushes</t>
  </si>
  <si>
    <t>Soap &amp; others</t>
  </si>
  <si>
    <t>Hand soap</t>
  </si>
  <si>
    <t>Body soap</t>
  </si>
  <si>
    <t>Facial wash</t>
  </si>
  <si>
    <t>Cleansing products</t>
  </si>
  <si>
    <t>Shampoo</t>
  </si>
  <si>
    <t>Hair conditioner</t>
  </si>
  <si>
    <t>Toothpaste</t>
  </si>
  <si>
    <t>Cosmetics</t>
  </si>
  <si>
    <t>Hair styling products</t>
  </si>
  <si>
    <t>Hair tonic</t>
  </si>
  <si>
    <t>Face cream-A</t>
  </si>
  <si>
    <t>Face cream-B</t>
  </si>
  <si>
    <t>Toilet lotion-A</t>
  </si>
  <si>
    <t>Toilet lotion-B</t>
  </si>
  <si>
    <t>Milky lotion-A</t>
  </si>
  <si>
    <t>Milky lotion-B</t>
  </si>
  <si>
    <t>Foundation-A</t>
  </si>
  <si>
    <t>Foundation-B</t>
  </si>
  <si>
    <t>Lipsticks-A</t>
  </si>
  <si>
    <t>Lipsticks-B</t>
  </si>
  <si>
    <t>Hair color</t>
  </si>
  <si>
    <t>Face serums</t>
  </si>
  <si>
    <t>Personal effects</t>
  </si>
  <si>
    <t>Bags</t>
  </si>
  <si>
    <t>Bags-A</t>
  </si>
  <si>
    <t>Bags-B</t>
  </si>
  <si>
    <t>School knapsacks</t>
  </si>
  <si>
    <t>Suitcases</t>
  </si>
  <si>
    <t>Watches &amp; rings</t>
  </si>
  <si>
    <t>Rings</t>
  </si>
  <si>
    <t>Wrist watches</t>
  </si>
  <si>
    <t>Other personal effects</t>
  </si>
  <si>
    <t>Umbrellas</t>
  </si>
  <si>
    <t>Handkerchiefs</t>
  </si>
  <si>
    <t>Tobacco</t>
  </si>
  <si>
    <t>(domestics)</t>
  </si>
  <si>
    <t>(imported)</t>
  </si>
  <si>
    <t>Other miscellaneous</t>
  </si>
  <si>
    <t>Funeral fees</t>
  </si>
  <si>
    <t>Charges for accident insurance</t>
  </si>
  <si>
    <t>Nursery school fees</t>
  </si>
  <si>
    <t>After-school childcare fees</t>
  </si>
  <si>
    <t>Charges for nursing care</t>
  </si>
  <si>
    <t>Charges for administrative certificates</t>
  </si>
  <si>
    <t>Charges for acquisition of passport</t>
  </si>
  <si>
    <t>Charges for transfer commission</t>
  </si>
  <si>
    <t>Home security services</t>
  </si>
  <si>
    <t>Fresh food</t>
  </si>
  <si>
    <t>Fresh fish &amp; seafood (reentry)</t>
  </si>
  <si>
    <t>Fresh vegetables (reentry)</t>
  </si>
  <si>
    <t>Fresh fruits (reentry)</t>
  </si>
  <si>
    <t>All items, less fresh food</t>
  </si>
  <si>
    <t>Food, less fresh food</t>
  </si>
  <si>
    <t>All items, less imputed rent</t>
  </si>
  <si>
    <t>Housing, less imputed rent</t>
  </si>
  <si>
    <t>Rent, less imputed rent</t>
  </si>
  <si>
    <t>All items, less imputed rent &amp; fresh food</t>
  </si>
  <si>
    <t>Energy</t>
  </si>
  <si>
    <t>All items, less fresh food and energy</t>
  </si>
  <si>
    <t>All items, less food (less alcoholic beverages) and energy</t>
  </si>
  <si>
    <t>Expenses for education</t>
  </si>
  <si>
    <t>Expenses for culture &amp; recreation</t>
  </si>
  <si>
    <t>Expenses for information &amp; communication</t>
  </si>
  <si>
    <t>2020年基準消費者物価指数　品目別価格指数（1970年度～最新年度）より抜粋</t>
    <rPh sb="37" eb="39">
      <t>バッスイ</t>
    </rPh>
    <phoneticPr fontId="2"/>
  </si>
  <si>
    <t>類・品目符号(Group/Item code)</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</si>
  <si>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</si>
  <si>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</si>
  <si>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</si>
  <si>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</si>
  <si>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</si>
  <si>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</si>
  <si>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</si>
  <si>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</si>
  <si>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</si>
  <si>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</si>
  <si>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</si>
  <si>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</si>
  <si>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</si>
  <si>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</si>
  <si>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</si>
  <si>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</si>
  <si>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</si>
  <si>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</si>
  <si>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</si>
  <si>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</si>
  <si>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</si>
  <si>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</si>
  <si>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</si>
  <si>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</si>
  <si>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</si>
  <si>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</si>
  <si>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</si>
  <si>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</si>
  <si>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</si>
  <si>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</si>
  <si>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</si>
  <si>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</si>
  <si>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</si>
  <si>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</si>
  <si>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</si>
  <si>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</si>
  <si>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</si>
  <si>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</si>
  <si>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</si>
  <si>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</si>
  <si>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</si>
  <si>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</si>
  <si>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</si>
  <si>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</si>
  <si>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</si>
  <si>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</si>
  <si>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</si>
  <si>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</si>
  <si>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0050</t>
  </si>
  <si>
    <t>0051</t>
  </si>
  <si>
    <t>0052</t>
  </si>
  <si>
    <t>0053</t>
  </si>
  <si>
    <t>0054</t>
  </si>
  <si>
    <t>0056</t>
  </si>
  <si>
    <t>0057</t>
  </si>
  <si>
    <t>0058</t>
  </si>
  <si>
    <t>0059</t>
  </si>
  <si>
    <t>0060</t>
  </si>
  <si>
    <t>0061</t>
  </si>
  <si>
    <t>0062</t>
  </si>
  <si>
    <t>0063</t>
  </si>
  <si>
    <t>0064</t>
  </si>
  <si>
    <t>0066</t>
  </si>
  <si>
    <t>0070</t>
  </si>
  <si>
    <t>0073</t>
  </si>
  <si>
    <t>0074</t>
  </si>
  <si>
    <t>0075</t>
  </si>
  <si>
    <t>0076</t>
  </si>
  <si>
    <t>0077</t>
  </si>
  <si>
    <t>0078</t>
  </si>
  <si>
    <t>0079</t>
  </si>
  <si>
    <t>0080</t>
  </si>
  <si>
    <t>0081</t>
  </si>
  <si>
    <t>0174</t>
  </si>
  <si>
    <t>0175</t>
  </si>
  <si>
    <t>0176</t>
  </si>
  <si>
    <t>0082</t>
  </si>
  <si>
    <t>0083</t>
  </si>
  <si>
    <t>0084</t>
  </si>
  <si>
    <t>0085</t>
  </si>
  <si>
    <t>0086</t>
  </si>
  <si>
    <t>0087</t>
  </si>
  <si>
    <t>0088</t>
  </si>
  <si>
    <t>0089</t>
  </si>
  <si>
    <t>0090</t>
  </si>
  <si>
    <t>0091</t>
  </si>
  <si>
    <t>0092</t>
  </si>
  <si>
    <t>0093</t>
  </si>
  <si>
    <t>0094</t>
  </si>
  <si>
    <t>0095</t>
  </si>
  <si>
    <t>0096</t>
  </si>
  <si>
    <t>0097</t>
  </si>
  <si>
    <t>0098</t>
  </si>
  <si>
    <t>0103</t>
  </si>
  <si>
    <t>0106</t>
  </si>
  <si>
    <t>0107</t>
  </si>
  <si>
    <t>0108</t>
  </si>
  <si>
    <t>0109</t>
  </si>
  <si>
    <t>0110</t>
  </si>
  <si>
    <t>0111</t>
  </si>
  <si>
    <t>0112</t>
  </si>
  <si>
    <t>0179</t>
  </si>
  <si>
    <t>0180</t>
  </si>
  <si>
    <t>0181</t>
  </si>
  <si>
    <t>0182</t>
  </si>
  <si>
    <t>0113</t>
  </si>
  <si>
    <t>0114</t>
  </si>
  <si>
    <t>0115</t>
  </si>
  <si>
    <t>0116</t>
  </si>
  <si>
    <t>0117</t>
  </si>
  <si>
    <t>0118</t>
  </si>
  <si>
    <t>0119</t>
  </si>
  <si>
    <t>0120</t>
  </si>
  <si>
    <t>0121</t>
  </si>
  <si>
    <t>0122</t>
  </si>
  <si>
    <t>0123</t>
  </si>
  <si>
    <t>0128</t>
  </si>
  <si>
    <t>0129</t>
  </si>
  <si>
    <t>0130</t>
  </si>
  <si>
    <t>0131</t>
  </si>
  <si>
    <t>0132</t>
  </si>
  <si>
    <t>0133</t>
  </si>
  <si>
    <t>0134</t>
  </si>
  <si>
    <t>0135</t>
  </si>
  <si>
    <t>0136</t>
  </si>
  <si>
    <t>0137</t>
  </si>
  <si>
    <t>0138</t>
  </si>
  <si>
    <t>0139</t>
  </si>
  <si>
    <t>0177</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</si>
  <si>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</si>
  <si>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</si>
  <si>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</si>
  <si>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</si>
  <si>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</si>
  <si>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</si>
  <si>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</si>
  <si>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</si>
  <si>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</si>
  <si>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</si>
  <si>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</si>
  <si>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</si>
  <si>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</si>
  <si>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</si>
  <si>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</si>
  <si>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</si>
  <si>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</si>
  <si>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</si>
  <si>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</si>
  <si>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</si>
  <si>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</si>
  <si>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</si>
  <si>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0172</t>
  </si>
  <si>
    <t>0163</t>
  </si>
  <si>
    <t>0164</t>
  </si>
  <si>
    <t>0165</t>
  </si>
  <si>
    <t>0166</t>
  </si>
  <si>
    <t>0167</t>
  </si>
  <si>
    <t>0178</t>
  </si>
  <si>
    <t>0168</t>
  </si>
  <si>
    <t>0162</t>
  </si>
  <si>
    <t>0173</t>
  </si>
  <si>
    <t>0169</t>
  </si>
  <si>
    <t>政府統計データ</t>
    <rPh sb="0" eb="4">
      <t>セイフトウケイ</t>
    </rPh>
    <phoneticPr fontId="2"/>
  </si>
  <si>
    <t>含類総連番(Serial number)</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</si>
  <si>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</si>
  <si>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</si>
  <si>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</si>
  <si>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</si>
  <si>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</si>
  <si>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</si>
  <si>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</si>
  <si>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</si>
  <si>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</si>
  <si>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</si>
  <si>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</si>
  <si>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</si>
  <si>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</si>
  <si>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</si>
  <si>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</si>
  <si>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</si>
  <si>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</si>
  <si>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</si>
  <si>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</si>
  <si>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</si>
  <si>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</si>
  <si>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</si>
  <si>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</si>
  <si>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</si>
  <si>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</si>
  <si>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</si>
  <si>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</si>
  <si>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</si>
  <si>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</si>
  <si>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</si>
  <si>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</si>
  <si>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</si>
  <si>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</si>
  <si>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</si>
  <si>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</si>
  <si>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</si>
  <si>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</si>
  <si>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</si>
  <si>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</si>
  <si>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</si>
  <si>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</si>
  <si>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</si>
  <si>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</si>
  <si>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</si>
  <si>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</si>
  <si>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</si>
  <si>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</si>
  <si>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</si>
  <si>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</si>
  <si>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</si>
  <si>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</si>
  <si>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</si>
  <si>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</si>
  <si>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</si>
  <si>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</si>
  <si>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</si>
  <si>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</si>
  <si>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</si>
  <si>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</si>
  <si>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</si>
  <si>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</si>
  <si>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</si>
  <si>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</si>
  <si>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</si>
  <si>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</si>
  <si>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</si>
  <si>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</si>
  <si>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</si>
  <si>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</si>
  <si>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</si>
  <si>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</si>
  <si>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</si>
  <si>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</si>
  <si>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</si>
  <si>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</si>
  <si>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</si>
  <si>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</si>
  <si>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</si>
  <si>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</si>
  <si>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</si>
  <si>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</si>
  <si>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</si>
  <si>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</si>
  <si>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</si>
  <si>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</si>
  <si>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</si>
  <si>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</si>
  <si>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</si>
  <si>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</si>
  <si>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</si>
  <si>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</si>
  <si>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</si>
  <si>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</si>
  <si>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</si>
  <si>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</si>
  <si>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</si>
  <si>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</si>
  <si>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</si>
  <si>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</si>
  <si>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ウエイト(Weight)</t>
  </si>
  <si>
    <t>ウエイト１万分比(Weight per 10000)</t>
  </si>
  <si>
    <t>所在地</t>
    <rPh sb="0" eb="3">
      <t>ショザイチ</t>
    </rPh>
    <phoneticPr fontId="59"/>
  </si>
  <si>
    <t>通し
番号</t>
    <rPh sb="0" eb="1">
      <t>トオ</t>
    </rPh>
    <rPh sb="3" eb="5">
      <t>バンゴウ</t>
    </rPh>
    <phoneticPr fontId="2"/>
  </si>
  <si>
    <t>施設
番号</t>
    <rPh sb="0" eb="2">
      <t>シセツ</t>
    </rPh>
    <rPh sb="3" eb="5">
      <t>バンゴウ</t>
    </rPh>
    <phoneticPr fontId="2"/>
  </si>
  <si>
    <t>宿泊施設基本情報</t>
    <rPh sb="0" eb="4">
      <t>シュクハクシセツ</t>
    </rPh>
    <rPh sb="4" eb="8">
      <t>キホンジョウホウ</t>
    </rPh>
    <phoneticPr fontId="2"/>
  </si>
  <si>
    <t>保有客室</t>
    <phoneticPr fontId="59"/>
  </si>
  <si>
    <t>ﾌｧﾝｸｼｮﾝ
保有数</t>
    <rPh sb="8" eb="11">
      <t>ホユウスウ</t>
    </rPh>
    <phoneticPr fontId="59"/>
  </si>
  <si>
    <t>食事提供
難易度</t>
    <rPh sb="0" eb="4">
      <t>ショクジテイキョウ</t>
    </rPh>
    <rPh sb="5" eb="8">
      <t>ナンイド</t>
    </rPh>
    <phoneticPr fontId="59"/>
  </si>
  <si>
    <t>食事提供
主体想定</t>
    <rPh sb="0" eb="4">
      <t>ショクジテイキョウ</t>
    </rPh>
    <rPh sb="5" eb="9">
      <t>シュタイソウテイ</t>
    </rPh>
    <phoneticPr fontId="59"/>
  </si>
  <si>
    <t>朝食会場
座席数</t>
    <phoneticPr fontId="59"/>
  </si>
  <si>
    <t>その他宿泊施設機能</t>
    <rPh sb="2" eb="3">
      <t>タ</t>
    </rPh>
    <rPh sb="3" eb="7">
      <t>シュクハクシセツ</t>
    </rPh>
    <rPh sb="7" eb="9">
      <t>キノウ</t>
    </rPh>
    <phoneticPr fontId="59"/>
  </si>
  <si>
    <t>乗降場</t>
    <rPh sb="0" eb="3">
      <t>ジョウコウジョウ</t>
    </rPh>
    <phoneticPr fontId="59"/>
  </si>
  <si>
    <t>使用想定</t>
    <rPh sb="0" eb="2">
      <t>シヨウ</t>
    </rPh>
    <rPh sb="2" eb="4">
      <t>ソウテイ</t>
    </rPh>
    <phoneticPr fontId="59"/>
  </si>
  <si>
    <t>貸切想定（※）</t>
    <rPh sb="0" eb="2">
      <t>カシキリ</t>
    </rPh>
    <rPh sb="2" eb="4">
      <t>ソウテイ</t>
    </rPh>
    <phoneticPr fontId="59"/>
  </si>
  <si>
    <t>15,000人</t>
    <rPh sb="6" eb="7">
      <t>ニン</t>
    </rPh>
    <phoneticPr fontId="2"/>
  </si>
  <si>
    <t>最大瞬間
風速時
予備ベッド数</t>
    <rPh sb="0" eb="2">
      <t>サイダイ</t>
    </rPh>
    <rPh sb="2" eb="4">
      <t>シュンカン</t>
    </rPh>
    <rPh sb="5" eb="7">
      <t>フウソク</t>
    </rPh>
    <rPh sb="7" eb="8">
      <t>ジ</t>
    </rPh>
    <rPh sb="9" eb="11">
      <t>ヨビ</t>
    </rPh>
    <rPh sb="14" eb="15">
      <t>スウ</t>
    </rPh>
    <phoneticPr fontId="2"/>
  </si>
  <si>
    <t>予備率</t>
    <rPh sb="0" eb="3">
      <t>ヨビリツ</t>
    </rPh>
    <phoneticPr fontId="2"/>
  </si>
  <si>
    <t>12,000人</t>
    <rPh sb="6" eb="7">
      <t>ニン</t>
    </rPh>
    <phoneticPr fontId="59"/>
  </si>
  <si>
    <t>区分</t>
    <rPh sb="0" eb="2">
      <t>クブン</t>
    </rPh>
    <phoneticPr fontId="2"/>
  </si>
  <si>
    <t>開始日</t>
    <rPh sb="0" eb="3">
      <t>カイシビ</t>
    </rPh>
    <phoneticPr fontId="2"/>
  </si>
  <si>
    <t>終日</t>
    <rPh sb="0" eb="2">
      <t>シュウジツ</t>
    </rPh>
    <phoneticPr fontId="2"/>
  </si>
  <si>
    <t>差し引き</t>
    <rPh sb="0" eb="1">
      <t>サ</t>
    </rPh>
    <rPh sb="2" eb="3">
      <t>ヒ</t>
    </rPh>
    <phoneticPr fontId="2"/>
  </si>
  <si>
    <t>案1～3の記載
案1…あらゆるSH想定
案2・・・除外SH想定
案3・・・今あるもので決め打ち</t>
    <rPh sb="0" eb="1">
      <t>アン</t>
    </rPh>
    <rPh sb="5" eb="7">
      <t>キサイ</t>
    </rPh>
    <rPh sb="8" eb="9">
      <t>アン</t>
    </rPh>
    <rPh sb="17" eb="19">
      <t>ソウテイ</t>
    </rPh>
    <rPh sb="20" eb="21">
      <t>アン</t>
    </rPh>
    <rPh sb="25" eb="27">
      <t>ジョガイ</t>
    </rPh>
    <rPh sb="29" eb="31">
      <t>ソウテイ</t>
    </rPh>
    <rPh sb="32" eb="33">
      <t>アン</t>
    </rPh>
    <rPh sb="37" eb="38">
      <t>イマ</t>
    </rPh>
    <rPh sb="43" eb="44">
      <t>キ</t>
    </rPh>
    <rPh sb="45" eb="46">
      <t>ウ</t>
    </rPh>
    <phoneticPr fontId="2"/>
  </si>
  <si>
    <t>備考
※除外SH・競技（＝確実に配宿されないことから確保期間に反映させなくてよいSH)などを記載</t>
    <rPh sb="0" eb="2">
      <t>ビコウ</t>
    </rPh>
    <rPh sb="4" eb="6">
      <t>ジョガイ</t>
    </rPh>
    <rPh sb="9" eb="11">
      <t>キョウギ</t>
    </rPh>
    <rPh sb="13" eb="15">
      <t>カクジツ</t>
    </rPh>
    <rPh sb="16" eb="18">
      <t>ハイシュク</t>
    </rPh>
    <rPh sb="26" eb="28">
      <t>カクホ</t>
    </rPh>
    <rPh sb="28" eb="30">
      <t>キカン</t>
    </rPh>
    <rPh sb="31" eb="33">
      <t>ハンエイ</t>
    </rPh>
    <rPh sb="46" eb="48">
      <t>キサイ</t>
    </rPh>
    <phoneticPr fontId="59"/>
  </si>
  <si>
    <t>エリア</t>
    <phoneticPr fontId="2"/>
  </si>
  <si>
    <t>市町村郡</t>
    <phoneticPr fontId="2"/>
  </si>
  <si>
    <t>施設名</t>
  </si>
  <si>
    <t>総客室数</t>
    <rPh sb="0" eb="4">
      <t>ソウキャクシツスウ</t>
    </rPh>
    <phoneticPr fontId="59"/>
  </si>
  <si>
    <t>収容可能人数</t>
    <rPh sb="0" eb="6">
      <t>シュウヨウカノウニンズウ</t>
    </rPh>
    <phoneticPr fontId="59"/>
  </si>
  <si>
    <t>ジム</t>
  </si>
  <si>
    <t>サウナ</t>
  </si>
  <si>
    <t>コイン
ランドリー</t>
  </si>
  <si>
    <t>乗降場詳細</t>
    <rPh sb="0" eb="5">
      <t>ジョウコウジョウショウサイ</t>
    </rPh>
    <phoneticPr fontId="59"/>
  </si>
  <si>
    <t>配宿競技</t>
    <rPh sb="0" eb="4">
      <t>ハイシュクキョウギ</t>
    </rPh>
    <phoneticPr fontId="2"/>
  </si>
  <si>
    <t>会場</t>
    <rPh sb="0" eb="2">
      <t>カイジョウ</t>
    </rPh>
    <phoneticPr fontId="2"/>
  </si>
  <si>
    <t>人数</t>
    <rPh sb="0" eb="2">
      <t>ニンズウ</t>
    </rPh>
    <phoneticPr fontId="2"/>
  </si>
  <si>
    <t>施設別
人数</t>
    <rPh sb="0" eb="2">
      <t>シセツ</t>
    </rPh>
    <rPh sb="2" eb="3">
      <t>ベツ</t>
    </rPh>
    <rPh sb="4" eb="6">
      <t>ニンズウ</t>
    </rPh>
    <phoneticPr fontId="2"/>
  </si>
  <si>
    <t>会場までの
距離</t>
    <rPh sb="0" eb="2">
      <t>カイジョウ</t>
    </rPh>
    <rPh sb="6" eb="8">
      <t>キョリ</t>
    </rPh>
    <phoneticPr fontId="2"/>
  </si>
  <si>
    <t>会場までの
移動時間</t>
    <rPh sb="0" eb="2">
      <t>カイジョウ</t>
    </rPh>
    <rPh sb="6" eb="10">
      <t>イドウジカン</t>
    </rPh>
    <phoneticPr fontId="2"/>
  </si>
  <si>
    <t>金</t>
  </si>
  <si>
    <t>土</t>
  </si>
  <si>
    <t>日</t>
  </si>
  <si>
    <t>月</t>
    <rPh sb="0" eb="1">
      <t>ゲツ</t>
    </rPh>
    <phoneticPr fontId="59"/>
  </si>
  <si>
    <t>火</t>
    <rPh sb="0" eb="1">
      <t>カ</t>
    </rPh>
    <phoneticPr fontId="59"/>
  </si>
  <si>
    <t>水</t>
    <rPh sb="0" eb="1">
      <t>スイ</t>
    </rPh>
    <phoneticPr fontId="2"/>
  </si>
  <si>
    <t>木</t>
    <rPh sb="0" eb="1">
      <t>モク</t>
    </rPh>
    <phoneticPr fontId="2"/>
  </si>
  <si>
    <t>月</t>
  </si>
  <si>
    <t>火</t>
  </si>
  <si>
    <t>水</t>
  </si>
  <si>
    <t>木</t>
  </si>
  <si>
    <t>名古屋</t>
    <rPh sb="0" eb="3">
      <t>ナゴヤ</t>
    </rPh>
    <phoneticPr fontId="59"/>
  </si>
  <si>
    <t>ホテルシップ</t>
    <phoneticPr fontId="2"/>
  </si>
  <si>
    <t/>
  </si>
  <si>
    <t>【ホテルシップ】</t>
  </si>
  <si>
    <t>調査中</t>
  </si>
  <si>
    <t>宿泊施設</t>
  </si>
  <si>
    <t>○</t>
  </si>
  <si>
    <t>－</t>
  </si>
  <si>
    <t>岸壁整備</t>
    <rPh sb="0" eb="2">
      <t>ガンペキ</t>
    </rPh>
    <rPh sb="2" eb="4">
      <t>セイビ</t>
    </rPh>
    <phoneticPr fontId="2"/>
  </si>
  <si>
    <t>全棟</t>
    <rPh sb="0" eb="2">
      <t>ゼントウ</t>
    </rPh>
    <phoneticPr fontId="2"/>
  </si>
  <si>
    <t>陸上競技（トラック／フィールド）</t>
    <rPh sb="0" eb="2">
      <t>リクジョウ</t>
    </rPh>
    <rPh sb="2" eb="4">
      <t>キョウギ</t>
    </rPh>
    <phoneticPr fontId="2"/>
  </si>
  <si>
    <t>名古屋市</t>
  </si>
  <si>
    <t>【ホテルシップ】　合計</t>
  </si>
  <si>
    <t>15,000人</t>
    <phoneticPr fontId="2"/>
  </si>
  <si>
    <t>カヌー・カヤック（スプリント）</t>
  </si>
  <si>
    <t>三好市</t>
  </si>
  <si>
    <t>12,000人</t>
    <phoneticPr fontId="2"/>
  </si>
  <si>
    <t>ウエイトリフティング</t>
  </si>
  <si>
    <t>ラグビー(男子)</t>
    <rPh sb="5" eb="7">
      <t>ダンシ</t>
    </rPh>
    <phoneticPr fontId="2"/>
  </si>
  <si>
    <t>柔道</t>
    <rPh sb="0" eb="2">
      <t>ジュウドウ</t>
    </rPh>
    <phoneticPr fontId="2"/>
  </si>
  <si>
    <t>ラグビー(女子)</t>
    <rPh sb="5" eb="7">
      <t>ジョシ</t>
    </rPh>
    <phoneticPr fontId="2"/>
  </si>
  <si>
    <t>クラッシュ</t>
  </si>
  <si>
    <t>カバディ(男子)</t>
    <rPh sb="5" eb="7">
      <t>ダンシ</t>
    </rPh>
    <phoneticPr fontId="2"/>
  </si>
  <si>
    <t>東海市</t>
  </si>
  <si>
    <t>カバディ(女子)</t>
    <rPh sb="5" eb="7">
      <t>ジョシ</t>
    </rPh>
    <phoneticPr fontId="2"/>
  </si>
  <si>
    <t>スポーツクライミング</t>
  </si>
  <si>
    <t>スカッシュ</t>
  </si>
  <si>
    <t>レスリング</t>
  </si>
  <si>
    <t>自転車競技（BMXレース）</t>
  </si>
  <si>
    <t>自転車競技（マウンテンバイク）</t>
  </si>
  <si>
    <t>ソフトボール</t>
  </si>
  <si>
    <t>安城市</t>
  </si>
  <si>
    <t>ANAクラウンプラザホテル　グランコート名古屋</t>
  </si>
  <si>
    <t>路上2台</t>
  </si>
  <si>
    <t>○</t>
    <phoneticPr fontId="2"/>
  </si>
  <si>
    <t>武術太極拳</t>
    <rPh sb="0" eb="5">
      <t>ブジュツタイキョクケン</t>
    </rPh>
    <phoneticPr fontId="2"/>
  </si>
  <si>
    <t>ANAクラウンプラザホテル　グランコート名古屋　合計</t>
  </si>
  <si>
    <t>柔術</t>
    <rPh sb="0" eb="2">
      <t>ジュウジュツ</t>
    </rPh>
    <phoneticPr fontId="2"/>
  </si>
  <si>
    <t>ブレイキン</t>
  </si>
  <si>
    <t>サイプレス　ガーデンホテル</t>
  </si>
  <si>
    <t>中</t>
  </si>
  <si>
    <t>路上1台</t>
  </si>
  <si>
    <t>フロア</t>
  </si>
  <si>
    <t>サッカー（女子／刈谷）</t>
    <rPh sb="8" eb="10">
      <t>カリヤ</t>
    </rPh>
    <phoneticPr fontId="2"/>
  </si>
  <si>
    <t>刈谷市</t>
  </si>
  <si>
    <t>－</t>
    <phoneticPr fontId="2"/>
  </si>
  <si>
    <t>サイプレス　ガーデンホテル　合計</t>
  </si>
  <si>
    <t>15,000人</t>
  </si>
  <si>
    <t>12,000人</t>
  </si>
  <si>
    <t>ベッセルホテルカンパーナ名古屋</t>
    <phoneticPr fontId="2"/>
  </si>
  <si>
    <t>ﾐｽﾄｻｳﾅ</t>
  </si>
  <si>
    <t>バドミントン</t>
  </si>
  <si>
    <t>一宮市</t>
  </si>
  <si>
    <t>ベッセルホテルカンパーナ名古屋　合計</t>
  </si>
  <si>
    <t>ホテルメルパルク名古屋</t>
    <phoneticPr fontId="2"/>
  </si>
  <si>
    <t>低</t>
  </si>
  <si>
    <t>玄関前（屋根付）3台</t>
  </si>
  <si>
    <t>水球(男子)</t>
    <rPh sb="0" eb="2">
      <t>スイキュウ</t>
    </rPh>
    <rPh sb="3" eb="5">
      <t>ダンシ</t>
    </rPh>
    <phoneticPr fontId="2"/>
  </si>
  <si>
    <t>ホテルメルパルク名古屋　合計</t>
  </si>
  <si>
    <t>水球(女子)</t>
    <rPh sb="0" eb="2">
      <t>スイキュウ</t>
    </rPh>
    <rPh sb="3" eb="5">
      <t>ジョシ</t>
    </rPh>
    <phoneticPr fontId="2"/>
  </si>
  <si>
    <t>西鉄ホテルクルーム名古屋</t>
    <phoneticPr fontId="2"/>
  </si>
  <si>
    <t>体操</t>
    <rPh sb="0" eb="2">
      <t>タイソウ</t>
    </rPh>
    <phoneticPr fontId="2"/>
  </si>
  <si>
    <t>セパタクロー</t>
    <phoneticPr fontId="2"/>
  </si>
  <si>
    <t>西鉄ホテルクルーム名古屋　合計</t>
  </si>
  <si>
    <t>※20240618_施設確認</t>
    <rPh sb="10" eb="12">
      <t>シセツ</t>
    </rPh>
    <rPh sb="12" eb="14">
      <t>カクニン</t>
    </rPh>
    <phoneticPr fontId="2"/>
  </si>
  <si>
    <t>新体操</t>
    <rPh sb="0" eb="3">
      <t>シンタイソウ</t>
    </rPh>
    <phoneticPr fontId="2"/>
  </si>
  <si>
    <t>トランポリン</t>
  </si>
  <si>
    <t>ザサイプレスメルキュールホテル名古屋</t>
    <phoneticPr fontId="2"/>
  </si>
  <si>
    <t>サッカー（女子／名古屋・港）</t>
    <rPh sb="5" eb="7">
      <t>ジョシ</t>
    </rPh>
    <rPh sb="8" eb="11">
      <t>ナゴヤ</t>
    </rPh>
    <rPh sb="12" eb="13">
      <t>ミナト</t>
    </rPh>
    <phoneticPr fontId="2"/>
  </si>
  <si>
    <t>ザサイプレスメルキュールホテル名古屋　合計</t>
  </si>
  <si>
    <t>イビススタイルズ名古屋</t>
    <phoneticPr fontId="2"/>
  </si>
  <si>
    <t>テニス</t>
  </si>
  <si>
    <t>テニス</t>
    <phoneticPr fontId="2"/>
  </si>
  <si>
    <t>イビススタイルズ名古屋　合計</t>
  </si>
  <si>
    <t>ソフトテニス</t>
  </si>
  <si>
    <t>ソフトテニス</t>
    <phoneticPr fontId="2"/>
  </si>
  <si>
    <t>陸上競技（競歩）</t>
    <rPh sb="5" eb="7">
      <t>キョウホ</t>
    </rPh>
    <phoneticPr fontId="2"/>
  </si>
  <si>
    <t>陸上競技（マラソン）</t>
  </si>
  <si>
    <t>名古屋東急ホテル</t>
    <phoneticPr fontId="2"/>
  </si>
  <si>
    <t>○(ｼﾞﾑ内等)</t>
  </si>
  <si>
    <t>玄関前（屋根付）2台</t>
  </si>
  <si>
    <t>バスケットボール（男子/5x5）</t>
    <rPh sb="9" eb="11">
      <t>ダンシ</t>
    </rPh>
    <phoneticPr fontId="2"/>
  </si>
  <si>
    <t>名古屋東急ホテル　合計</t>
  </si>
  <si>
    <t>バスケットボール（女子/5x5）</t>
    <rPh sb="9" eb="11">
      <t>ジョシ</t>
    </rPh>
    <phoneticPr fontId="2"/>
  </si>
  <si>
    <t>ゴルフ</t>
  </si>
  <si>
    <t>都心の天然温泉　名古屋クラウンホテル</t>
    <phoneticPr fontId="2"/>
  </si>
  <si>
    <t>ハンドボール（男子）</t>
    <rPh sb="7" eb="9">
      <t>ダンシ</t>
    </rPh>
    <phoneticPr fontId="2"/>
  </si>
  <si>
    <t>稲沢市</t>
  </si>
  <si>
    <t>ハンドボール(男子)</t>
    <rPh sb="7" eb="9">
      <t>ダンシ</t>
    </rPh>
    <phoneticPr fontId="2"/>
  </si>
  <si>
    <t>都心の天然温泉　名古屋クラウンホテル　合計</t>
  </si>
  <si>
    <t>ハンドボール（女子）</t>
    <rPh sb="7" eb="9">
      <t>ジョシ</t>
    </rPh>
    <phoneticPr fontId="2"/>
  </si>
  <si>
    <t>春日井市</t>
  </si>
  <si>
    <t>ハンドボール(女子)</t>
    <rPh sb="7" eb="9">
      <t>ジョシ</t>
    </rPh>
    <phoneticPr fontId="2"/>
  </si>
  <si>
    <t>ニッコースタイル名古屋</t>
    <phoneticPr fontId="2"/>
  </si>
  <si>
    <t>バスケットボール（男子/3x3）</t>
    <rPh sb="9" eb="11">
      <t>ダンシ</t>
    </rPh>
    <phoneticPr fontId="2"/>
  </si>
  <si>
    <t>ニッコースタイル名古屋　合計</t>
  </si>
  <si>
    <t>バスケットボール（女子/3x3）</t>
    <rPh sb="9" eb="11">
      <t>ジョシ</t>
    </rPh>
    <phoneticPr fontId="2"/>
  </si>
  <si>
    <t>サイプレスホテル名古屋駅前</t>
    <phoneticPr fontId="2"/>
  </si>
  <si>
    <t>サッカー（男子／名古屋・瑞穂ラグビー）</t>
    <rPh sb="5" eb="7">
      <t>ダンシ</t>
    </rPh>
    <phoneticPr fontId="2"/>
  </si>
  <si>
    <t>サイプレスホテル名古屋駅前　合計</t>
  </si>
  <si>
    <t>サッカー（女子／名古屋・瑞穂ラグビー）</t>
  </si>
  <si>
    <t>アパホテル&lt;名古屋錦&gt; EXCELLENT</t>
    <phoneticPr fontId="2"/>
  </si>
  <si>
    <t>ケータリング</t>
  </si>
  <si>
    <t>アパホテル&lt;名古屋錦&gt; EXCELLENT　合計</t>
  </si>
  <si>
    <t>※要施設調整</t>
    <rPh sb="1" eb="2">
      <t>ヨウ</t>
    </rPh>
    <rPh sb="2" eb="4">
      <t>シセツ</t>
    </rPh>
    <rPh sb="4" eb="6">
      <t>チョウセイ</t>
    </rPh>
    <phoneticPr fontId="2"/>
  </si>
  <si>
    <t>尾張</t>
    <rPh sb="0" eb="2">
      <t>オワリ</t>
    </rPh>
    <phoneticPr fontId="59"/>
  </si>
  <si>
    <t>犬山市</t>
  </si>
  <si>
    <t>ホテルインディゴ犬山有楽苑</t>
    <phoneticPr fontId="2"/>
  </si>
  <si>
    <t>玄関前（屋根付）1台</t>
  </si>
  <si>
    <t>ホッケー(女子①)</t>
    <rPh sb="5" eb="7">
      <t>ジョシ</t>
    </rPh>
    <phoneticPr fontId="2"/>
  </si>
  <si>
    <t>各務原</t>
  </si>
  <si>
    <t>ホテルインディゴ犬山有楽苑　合計</t>
  </si>
  <si>
    <t>ホテルミュースタイル犬山エクスペリエンス</t>
    <phoneticPr fontId="2"/>
  </si>
  <si>
    <t>玄関前（屋根無）1台</t>
  </si>
  <si>
    <t>ホッケー(女子②)</t>
    <rPh sb="5" eb="7">
      <t>ジョシ</t>
    </rPh>
    <phoneticPr fontId="2"/>
  </si>
  <si>
    <t>ホテルミュースタイル犬山エクスペリエンス　合計</t>
  </si>
  <si>
    <t>小牧市</t>
  </si>
  <si>
    <t>ルートイングランティア小牧</t>
    <phoneticPr fontId="2"/>
  </si>
  <si>
    <t>高</t>
  </si>
  <si>
    <t>バレーボール（女子①）</t>
    <rPh sb="7" eb="9">
      <t>ジョシ</t>
    </rPh>
    <phoneticPr fontId="2"/>
  </si>
  <si>
    <t>バレーボール（女子）</t>
    <rPh sb="7" eb="9">
      <t>ジョシ</t>
    </rPh>
    <phoneticPr fontId="2"/>
  </si>
  <si>
    <t>ルートイングランティア小牧　合計</t>
  </si>
  <si>
    <t>名鉄小牧ホテル</t>
    <phoneticPr fontId="2"/>
  </si>
  <si>
    <t>付近に乗降場無し（小牧駅前ロータリー）</t>
  </si>
  <si>
    <t>バレーボール（女子②）</t>
    <rPh sb="7" eb="9">
      <t>ジョシ</t>
    </rPh>
    <phoneticPr fontId="2"/>
  </si>
  <si>
    <t>名鉄小牧ホテル　合計</t>
  </si>
  <si>
    <t>東郷町</t>
  </si>
  <si>
    <t>ホテルルートイン愛知東郷町</t>
    <rPh sb="8" eb="10">
      <t>アイチ</t>
    </rPh>
    <rPh sb="10" eb="13">
      <t>トウゴウチョウ</t>
    </rPh>
    <phoneticPr fontId="2"/>
  </si>
  <si>
    <t>サッカー（男子／豊田）</t>
    <rPh sb="5" eb="7">
      <t>ダンシ</t>
    </rPh>
    <rPh sb="8" eb="10">
      <t>トヨタ</t>
    </rPh>
    <phoneticPr fontId="2"/>
  </si>
  <si>
    <t>豊田市</t>
  </si>
  <si>
    <t>ホテルルートイン愛知東郷町　合計</t>
  </si>
  <si>
    <t>【代替案：トヨタスポーツセンター】</t>
    <rPh sb="1" eb="4">
      <t>ダイタイアン</t>
    </rPh>
    <phoneticPr fontId="2"/>
  </si>
  <si>
    <t>※代替案の場合</t>
    <rPh sb="1" eb="4">
      <t>ダイタイアン</t>
    </rPh>
    <rPh sb="5" eb="7">
      <t>バアイ</t>
    </rPh>
    <phoneticPr fontId="2"/>
  </si>
  <si>
    <t>知多</t>
    <rPh sb="0" eb="2">
      <t>チタ</t>
    </rPh>
    <phoneticPr fontId="59"/>
  </si>
  <si>
    <t>常滑市</t>
  </si>
  <si>
    <t>東横INN中部国際空港２</t>
    <phoneticPr fontId="2"/>
  </si>
  <si>
    <t>スケートボード</t>
  </si>
  <si>
    <t>東横INN中部国際空港２　合計</t>
  </si>
  <si>
    <t>※実施方法検討中</t>
    <rPh sb="1" eb="3">
      <t>ジッシ</t>
    </rPh>
    <rPh sb="3" eb="5">
      <t>ホウホウ</t>
    </rPh>
    <rPh sb="5" eb="8">
      <t>ケントウチュウ</t>
    </rPh>
    <phoneticPr fontId="2"/>
  </si>
  <si>
    <t>eスポーツ</t>
  </si>
  <si>
    <t>自転車競技（BMXフリースタイル）</t>
  </si>
  <si>
    <t>マラソンスイミング</t>
  </si>
  <si>
    <t>知多市</t>
  </si>
  <si>
    <t>東横INN中部国際空港1</t>
    <phoneticPr fontId="2"/>
  </si>
  <si>
    <t>東横INN中部国際空港1　合計</t>
  </si>
  <si>
    <t>セパタクロー</t>
  </si>
  <si>
    <t>フォーポイント　バイ　シェラトン名古屋　中部国際空港</t>
    <phoneticPr fontId="2"/>
  </si>
  <si>
    <t>専用乗降場所（屋根無）2台</t>
  </si>
  <si>
    <t>フェンシング</t>
  </si>
  <si>
    <t>フェンシング</t>
    <phoneticPr fontId="2"/>
  </si>
  <si>
    <t>フォーポイント　バイ　シェラトン名古屋　中部国際空港　合計</t>
  </si>
  <si>
    <t>J･ホテルりんくう</t>
  </si>
  <si>
    <t>付近に乗降場無し（りんくう駅前ロータリー）</t>
  </si>
  <si>
    <t>J･ホテルりんくう　合計</t>
  </si>
  <si>
    <t>西三河</t>
    <rPh sb="0" eb="3">
      <t>ニシミカワ</t>
    </rPh>
    <phoneticPr fontId="59"/>
  </si>
  <si>
    <t>碧南市</t>
  </si>
  <si>
    <t>衣浦グランドホテル</t>
    <phoneticPr fontId="2"/>
  </si>
  <si>
    <t>ビーチバレーボール(男子)</t>
    <rPh sb="10" eb="12">
      <t>ダンシ</t>
    </rPh>
    <phoneticPr fontId="2"/>
  </si>
  <si>
    <t>衣浦グランドホテル　合計</t>
  </si>
  <si>
    <t>ビーチバレーボール(女子)</t>
    <rPh sb="10" eb="12">
      <t>ジョシ</t>
    </rPh>
    <phoneticPr fontId="2"/>
  </si>
  <si>
    <t>ホテルグランドティアラ南名古屋</t>
    <phoneticPr fontId="2"/>
  </si>
  <si>
    <t>玄関前（屋根無）2台</t>
  </si>
  <si>
    <t>射撃①</t>
    <rPh sb="0" eb="2">
      <t>シャゲキ</t>
    </rPh>
    <phoneticPr fontId="2"/>
  </si>
  <si>
    <t>ホテルグランドティアラ南名古屋　合計</t>
  </si>
  <si>
    <t>東横INN三河安城駅新幹線南口２</t>
    <phoneticPr fontId="2"/>
  </si>
  <si>
    <t>射撃②</t>
    <rPh sb="0" eb="2">
      <t>シャゲキ</t>
    </rPh>
    <phoneticPr fontId="2"/>
  </si>
  <si>
    <t>東横INN三河安城駅新幹線南口２　合計</t>
  </si>
  <si>
    <t>※旧ハイブリッド想定</t>
    <rPh sb="1" eb="2">
      <t>キュウ</t>
    </rPh>
    <rPh sb="8" eb="10">
      <t>ソウテイ</t>
    </rPh>
    <phoneticPr fontId="2"/>
  </si>
  <si>
    <t>東横INN三河安城駅新幹線南口１</t>
    <phoneticPr fontId="2"/>
  </si>
  <si>
    <t>射撃③</t>
    <rPh sb="0" eb="2">
      <t>シャゲキ</t>
    </rPh>
    <phoneticPr fontId="2"/>
  </si>
  <si>
    <t>東横INN三河安城駅新幹線南口１　合計</t>
  </si>
  <si>
    <t>天然温泉　三州の湯　ドーミーイン　EXPRESS　三河安城</t>
    <phoneticPr fontId="2"/>
  </si>
  <si>
    <t>専用乗降場所（屋根無）1台</t>
  </si>
  <si>
    <t>射撃④</t>
    <rPh sb="0" eb="2">
      <t>シャゲキ</t>
    </rPh>
    <phoneticPr fontId="2"/>
  </si>
  <si>
    <t>天然温泉　三州の湯　ドーミーイン　EXPRESS　三河安城　合計</t>
  </si>
  <si>
    <t>全トヨタ労連研修センター　つどいの丘</t>
    <phoneticPr fontId="2"/>
  </si>
  <si>
    <t>カヌー・カヤック（スラローム）</t>
  </si>
  <si>
    <t>カヌー・カヤック（スラローム）</t>
    <phoneticPr fontId="2"/>
  </si>
  <si>
    <t>全トヨタ労連研修センター　つどいの丘　合計</t>
  </si>
  <si>
    <t>ホテルトヨタキャッスル</t>
    <phoneticPr fontId="2"/>
  </si>
  <si>
    <t>卓球①</t>
    <rPh sb="0" eb="2">
      <t>タッキュウ</t>
    </rPh>
    <phoneticPr fontId="2"/>
  </si>
  <si>
    <t>ホテルトヨタキャッスル　合計</t>
  </si>
  <si>
    <t>15,000人</t>
    <phoneticPr fontId="59"/>
  </si>
  <si>
    <t>近代五種</t>
  </si>
  <si>
    <t>近代五種</t>
    <phoneticPr fontId="2"/>
  </si>
  <si>
    <t>名鉄トヨタホテル</t>
    <phoneticPr fontId="2"/>
  </si>
  <si>
    <t>卓球②</t>
    <rPh sb="0" eb="2">
      <t>タッキュウ</t>
    </rPh>
    <phoneticPr fontId="2"/>
  </si>
  <si>
    <t>名鉄トヨタホテル　合計</t>
  </si>
  <si>
    <t>岡崎市</t>
  </si>
  <si>
    <t>岡崎オーワホテル</t>
    <phoneticPr fontId="2"/>
  </si>
  <si>
    <t>専用乗降場所（屋根無）3台</t>
  </si>
  <si>
    <t>野球（岡崎①）</t>
    <rPh sb="0" eb="2">
      <t>ヤキュウ</t>
    </rPh>
    <rPh sb="3" eb="5">
      <t>オカザキ</t>
    </rPh>
    <phoneticPr fontId="2"/>
  </si>
  <si>
    <t>野球（岡崎）</t>
    <rPh sb="0" eb="2">
      <t>ヤキュウ</t>
    </rPh>
    <rPh sb="3" eb="5">
      <t>オカザキ</t>
    </rPh>
    <phoneticPr fontId="2"/>
  </si>
  <si>
    <t>岡崎オーワホテル　合計</t>
  </si>
  <si>
    <t>岡崎ニューグランドホテル</t>
    <phoneticPr fontId="2"/>
  </si>
  <si>
    <t>野球（岡崎②）</t>
    <rPh sb="0" eb="2">
      <t>ヤキュウ</t>
    </rPh>
    <rPh sb="3" eb="5">
      <t>オカザキ</t>
    </rPh>
    <phoneticPr fontId="2"/>
  </si>
  <si>
    <t>岡崎ニューグランドホテル　合計</t>
  </si>
  <si>
    <t>西尾市</t>
  </si>
  <si>
    <t>株式会社三河湾リゾート・リンクス</t>
    <phoneticPr fontId="2"/>
  </si>
  <si>
    <t>ボクシング</t>
  </si>
  <si>
    <t>ボクシング</t>
    <phoneticPr fontId="2"/>
  </si>
  <si>
    <t>株式会社三河湾リゾート・リンクス　合計</t>
  </si>
  <si>
    <t>【代替案：蒲郡(西浦)温泉郷】</t>
    <rPh sb="1" eb="4">
      <t>ダイタイアン</t>
    </rPh>
    <phoneticPr fontId="2"/>
  </si>
  <si>
    <t>東三河</t>
    <rPh sb="0" eb="1">
      <t>ヒガシ</t>
    </rPh>
    <rPh sb="1" eb="3">
      <t>ミカワ</t>
    </rPh>
    <phoneticPr fontId="59"/>
  </si>
  <si>
    <t>蒲郡市</t>
  </si>
  <si>
    <t>ホテル明山荘</t>
    <phoneticPr fontId="2"/>
  </si>
  <si>
    <t>アーチェリー①</t>
    <phoneticPr fontId="2"/>
  </si>
  <si>
    <t>アーチェリー①</t>
  </si>
  <si>
    <t>ホテル明山荘　合計</t>
  </si>
  <si>
    <t>松風園</t>
    <phoneticPr fontId="2"/>
  </si>
  <si>
    <t>アーチェリー②</t>
  </si>
  <si>
    <t>松風園　合計</t>
  </si>
  <si>
    <t>株式会社平野屋</t>
    <phoneticPr fontId="2"/>
  </si>
  <si>
    <t>アーチェリー③</t>
  </si>
  <si>
    <t>株式会社平野屋　合計</t>
  </si>
  <si>
    <t>株式会社三谷温泉ひがきホテル</t>
    <phoneticPr fontId="2"/>
  </si>
  <si>
    <t>アーチェリー④</t>
  </si>
  <si>
    <t>株式会社三谷温泉ひがきホテル　合計</t>
  </si>
  <si>
    <t>変なホテル　ラグーナテンボス</t>
    <phoneticPr fontId="2"/>
  </si>
  <si>
    <t>セーリング</t>
  </si>
  <si>
    <t>セーリング</t>
    <phoneticPr fontId="2"/>
  </si>
  <si>
    <t>変なホテル　ラグーナテンボス　合計</t>
  </si>
  <si>
    <t>ホテル竹島</t>
    <phoneticPr fontId="2"/>
  </si>
  <si>
    <t>玄関前（屋根無）4台</t>
  </si>
  <si>
    <t>トライアスロン</t>
  </si>
  <si>
    <t>トライアスロン</t>
    <phoneticPr fontId="2"/>
  </si>
  <si>
    <t>ホテル竹島　合計</t>
  </si>
  <si>
    <t>新城市</t>
  </si>
  <si>
    <t>ホテルルートイン新城</t>
    <phoneticPr fontId="2"/>
  </si>
  <si>
    <t>自転車競技（ロードレース）</t>
  </si>
  <si>
    <t>自転車競技（ロードレース）</t>
    <phoneticPr fontId="2"/>
  </si>
  <si>
    <t>ホテルルートイン新城　合計</t>
  </si>
  <si>
    <t>田原市</t>
  </si>
  <si>
    <t>伊良湖リゾート＆コンベンションホテル（旧伊良湖シーパーク＆スパ）</t>
    <phoneticPr fontId="2"/>
  </si>
  <si>
    <t>サーフィン</t>
  </si>
  <si>
    <t>サーフィン</t>
    <phoneticPr fontId="2"/>
  </si>
  <si>
    <t>伊良湖リゾート＆コンベンションホテル（旧伊良湖シーパーク＆スパ）　合計</t>
  </si>
  <si>
    <t>豊橋市</t>
  </si>
  <si>
    <t>ロワジールホテル豊橋</t>
    <phoneticPr fontId="2"/>
  </si>
  <si>
    <t>空手</t>
    <rPh sb="0" eb="2">
      <t>カラテ</t>
    </rPh>
    <phoneticPr fontId="67"/>
  </si>
  <si>
    <t>空手</t>
    <rPh sb="0" eb="2">
      <t>カラテ</t>
    </rPh>
    <phoneticPr fontId="2"/>
  </si>
  <si>
    <t>ロワジールホテル豊橋　合計</t>
  </si>
  <si>
    <t>テコンドー</t>
  </si>
  <si>
    <t>テコンドー</t>
    <phoneticPr fontId="2"/>
  </si>
  <si>
    <t>バレーボール（男子①）</t>
    <rPh sb="7" eb="9">
      <t>ダンシ</t>
    </rPh>
    <phoneticPr fontId="2"/>
  </si>
  <si>
    <t>野球（豊橋）</t>
    <rPh sb="0" eb="2">
      <t>ヤキュウ</t>
    </rPh>
    <rPh sb="3" eb="5">
      <t>トヨハシ</t>
    </rPh>
    <phoneticPr fontId="2"/>
  </si>
  <si>
    <t>ホテルアソシア豊橋</t>
    <phoneticPr fontId="2"/>
  </si>
  <si>
    <t>バレーボール（男子②）</t>
    <rPh sb="7" eb="9">
      <t>ダンシ</t>
    </rPh>
    <phoneticPr fontId="2"/>
  </si>
  <si>
    <t>バレーボール（男子）</t>
    <rPh sb="7" eb="9">
      <t>ダンシ</t>
    </rPh>
    <phoneticPr fontId="2"/>
  </si>
  <si>
    <t>ホテルアソシア豊橋　合計</t>
  </si>
  <si>
    <t>県外</t>
    <rPh sb="0" eb="2">
      <t>ケンガイ</t>
    </rPh>
    <phoneticPr fontId="59"/>
  </si>
  <si>
    <t>岐阜市</t>
  </si>
  <si>
    <t>岐阜グランドホテル</t>
    <phoneticPr fontId="59"/>
  </si>
  <si>
    <t>サッカー（女子／岐阜）</t>
    <rPh sb="8" eb="10">
      <t>ギフ</t>
    </rPh>
    <phoneticPr fontId="2"/>
  </si>
  <si>
    <t>岐阜グランドホテル　合計</t>
  </si>
  <si>
    <t>都ホテル岐阜長良川</t>
    <phoneticPr fontId="2"/>
  </si>
  <si>
    <t>ホッケー(男子)</t>
    <rPh sb="5" eb="7">
      <t>ダンシ</t>
    </rPh>
    <phoneticPr fontId="2"/>
  </si>
  <si>
    <t>都ホテル岐阜長良川　合計</t>
  </si>
  <si>
    <t>大垣市</t>
  </si>
  <si>
    <t>大垣フォーラムホテル</t>
    <phoneticPr fontId="2"/>
  </si>
  <si>
    <t>ローイング①</t>
  </si>
  <si>
    <t>海津市</t>
  </si>
  <si>
    <t>ローイング①</t>
    <phoneticPr fontId="2"/>
  </si>
  <si>
    <t>大垣フォーラムホテル　合計</t>
  </si>
  <si>
    <t>羽島市</t>
  </si>
  <si>
    <t>ホテルコーヨー</t>
    <phoneticPr fontId="2"/>
  </si>
  <si>
    <t>ローイング②</t>
  </si>
  <si>
    <t>ローイング②</t>
    <phoneticPr fontId="2"/>
  </si>
  <si>
    <t>ホテルコーヨー　合計</t>
  </si>
  <si>
    <t>伊豆市</t>
  </si>
  <si>
    <t>ホテルラフォーレ修善寺</t>
    <phoneticPr fontId="2"/>
  </si>
  <si>
    <t>自転車競技（トラックレース）</t>
  </si>
  <si>
    <t>自転車競技（トラックレース）</t>
    <phoneticPr fontId="2"/>
  </si>
  <si>
    <t>ホテルラフォーレ修善寺　合計</t>
  </si>
  <si>
    <t>【代替案：ホテルサンバレー伊豆長岡】</t>
    <rPh sb="1" eb="4">
      <t>ダイタイアン</t>
    </rPh>
    <phoneticPr fontId="2"/>
  </si>
  <si>
    <t>掛川市</t>
  </si>
  <si>
    <t>つま恋リゾート　彩の郷</t>
    <phoneticPr fontId="2"/>
  </si>
  <si>
    <t>サッカー（男子／静岡）</t>
    <rPh sb="8" eb="10">
      <t>シズオカ</t>
    </rPh>
    <phoneticPr fontId="2"/>
  </si>
  <si>
    <t>袋井市</t>
  </si>
  <si>
    <t>つま恋リゾート　彩の郷　合計</t>
  </si>
  <si>
    <t>サッカー（女子／静岡）</t>
    <rPh sb="8" eb="10">
      <t>シズオカ</t>
    </rPh>
    <phoneticPr fontId="2"/>
  </si>
  <si>
    <t>浜松市</t>
  </si>
  <si>
    <t>THE HAMANAKO（グランドメルキュール浜名湖リゾート＆スパ）</t>
    <phoneticPr fontId="59"/>
  </si>
  <si>
    <t>アーティスティックスイミング</t>
  </si>
  <si>
    <t>アーティスティックスイミング</t>
    <phoneticPr fontId="2"/>
  </si>
  <si>
    <t>THE HAMANAKO（グランドメルキュール浜名湖リゾート＆スパ）　合計</t>
  </si>
  <si>
    <t>堺市</t>
  </si>
  <si>
    <t>ホテルアゴーラリージェンシー大阪堺</t>
    <phoneticPr fontId="2"/>
  </si>
  <si>
    <t>玄関前（屋根付）7台</t>
  </si>
  <si>
    <t>サッカー（男子／大阪）</t>
    <rPh sb="8" eb="10">
      <t>オオサカ</t>
    </rPh>
    <phoneticPr fontId="2"/>
  </si>
  <si>
    <t>大阪市</t>
  </si>
  <si>
    <t>ホテルアゴーラリージェンシー大阪堺　合計</t>
  </si>
  <si>
    <t>東京都</t>
  </si>
  <si>
    <t>東京ベイ潮見プリンスホテル</t>
    <phoneticPr fontId="2"/>
  </si>
  <si>
    <t>競泳</t>
    <rPh sb="0" eb="2">
      <t>キョウエイ</t>
    </rPh>
    <phoneticPr fontId="67"/>
  </si>
  <si>
    <t>競泳</t>
    <rPh sb="0" eb="2">
      <t>キョウエイ</t>
    </rPh>
    <phoneticPr fontId="2"/>
  </si>
  <si>
    <t>東京ベイ潮見プリンスホテル　合計</t>
  </si>
  <si>
    <t>飛込</t>
    <rPh sb="0" eb="2">
      <t>トビコミ</t>
    </rPh>
    <phoneticPr fontId="67"/>
  </si>
  <si>
    <t>飛込</t>
    <rPh sb="0" eb="2">
      <t>トビコミ</t>
    </rPh>
    <phoneticPr fontId="2"/>
  </si>
  <si>
    <t>馬術</t>
    <rPh sb="0" eb="2">
      <t>バジュツ</t>
    </rPh>
    <phoneticPr fontId="2"/>
  </si>
  <si>
    <t>※【食事難易度】
　　高：もっとも難易度が高く、いわゆるコロナ病棟パターン
　　　　（箱貸しのみ）
　　中：ホテルの通常レベルなら対応できるが、
　　　　　〇種類追加やメニューを毎日変更する等は難しい
　　低：一応レストランとして外部からのお客様を受けている
　　－：3食提供できる想定</t>
    <rPh sb="2" eb="7">
      <t>ショクジナンイド</t>
    </rPh>
    <rPh sb="11" eb="12">
      <t>コウ</t>
    </rPh>
    <rPh sb="52" eb="53">
      <t>チュウ</t>
    </rPh>
    <rPh sb="103" eb="104">
      <t>テイ</t>
    </rPh>
    <phoneticPr fontId="59"/>
  </si>
  <si>
    <t>愛知県内（名古屋市内）※ホテルシップ含む</t>
    <rPh sb="0" eb="2">
      <t>アイチ</t>
    </rPh>
    <rPh sb="2" eb="3">
      <t>ケン</t>
    </rPh>
    <rPh sb="3" eb="4">
      <t>ナイ</t>
    </rPh>
    <rPh sb="5" eb="8">
      <t>ナゴヤ</t>
    </rPh>
    <rPh sb="8" eb="10">
      <t>シナイ</t>
    </rPh>
    <phoneticPr fontId="59"/>
  </si>
  <si>
    <t>愛知県内（名古屋市外）</t>
    <rPh sb="0" eb="2">
      <t>アイチ</t>
    </rPh>
    <rPh sb="2" eb="3">
      <t>ケン</t>
    </rPh>
    <rPh sb="3" eb="4">
      <t>ナイ</t>
    </rPh>
    <rPh sb="5" eb="10">
      <t>ナゴヤシガイ</t>
    </rPh>
    <phoneticPr fontId="59"/>
  </si>
  <si>
    <t>愛知県外</t>
    <rPh sb="0" eb="2">
      <t>アイチ</t>
    </rPh>
    <rPh sb="2" eb="4">
      <t>ケンガイ</t>
    </rPh>
    <phoneticPr fontId="59"/>
  </si>
  <si>
    <t>※滞在期間（競技開始5日前～競技終了２日後、負け帰りは考慮していない／サッカーのみ負け帰り想定を考慮）</t>
    <rPh sb="1" eb="5">
      <t>タイザイキカン</t>
    </rPh>
    <rPh sb="6" eb="10">
      <t>キョウギカイシ</t>
    </rPh>
    <rPh sb="11" eb="13">
      <t>ニチマエ</t>
    </rPh>
    <rPh sb="14" eb="18">
      <t>キョウギシュウリョウ</t>
    </rPh>
    <rPh sb="19" eb="21">
      <t>ニチゴ</t>
    </rPh>
    <rPh sb="22" eb="23">
      <t>マ</t>
    </rPh>
    <rPh sb="24" eb="25">
      <t>ガエ</t>
    </rPh>
    <rPh sb="27" eb="29">
      <t>コウリョ</t>
    </rPh>
    <rPh sb="41" eb="42">
      <t>マ</t>
    </rPh>
    <rPh sb="43" eb="44">
      <t>ガエ</t>
    </rPh>
    <rPh sb="45" eb="47">
      <t>ソウテイ</t>
    </rPh>
    <rPh sb="48" eb="50">
      <t>コウリョ</t>
    </rPh>
    <phoneticPr fontId="2"/>
  </si>
  <si>
    <t>合計</t>
    <rPh sb="0" eb="2">
      <t>ゴウケイ</t>
    </rPh>
    <phoneticPr fontId="59"/>
  </si>
  <si>
    <t>チェック</t>
    <phoneticPr fontId="2"/>
  </si>
  <si>
    <t>チェック</t>
  </si>
  <si>
    <t>【タブ】</t>
    <phoneticPr fontId="2"/>
  </si>
  <si>
    <t>宿泊施設</t>
    <rPh sb="0" eb="4">
      <t>シュクハクシセツ</t>
    </rPh>
    <phoneticPr fontId="2"/>
  </si>
  <si>
    <t>共通</t>
    <rPh sb="0" eb="2">
      <t>キョウツウ</t>
    </rPh>
    <phoneticPr fontId="2"/>
  </si>
  <si>
    <t>ケータリング</t>
    <phoneticPr fontId="2"/>
  </si>
  <si>
    <t>パラのみ</t>
    <phoneticPr fontId="2"/>
  </si>
  <si>
    <t>フロア</t>
    <phoneticPr fontId="2"/>
  </si>
  <si>
    <t>NGホテル</t>
    <phoneticPr fontId="2"/>
  </si>
  <si>
    <t>アジア競技大会における選手団宿泊施設想定（2024年8月21日時点）</t>
    <rPh sb="3" eb="5">
      <t>キョウギ</t>
    </rPh>
    <rPh sb="5" eb="7">
      <t>タイカイ</t>
    </rPh>
    <rPh sb="11" eb="14">
      <t>センシュダン</t>
    </rPh>
    <rPh sb="14" eb="20">
      <t>シュクハクシセツソウテイ</t>
    </rPh>
    <rPh sb="25" eb="26">
      <t>ネン</t>
    </rPh>
    <rPh sb="27" eb="28">
      <t>ガツ</t>
    </rPh>
    <rPh sb="30" eb="31">
      <t>ニチ</t>
    </rPh>
    <rPh sb="31" eb="33">
      <t>ジテン</t>
    </rPh>
    <phoneticPr fontId="59"/>
  </si>
  <si>
    <t>取り扱い注意</t>
    <rPh sb="0" eb="1">
      <t>ト</t>
    </rPh>
    <phoneticPr fontId="2"/>
  </si>
  <si>
    <t>開会式</t>
    <rPh sb="0" eb="3">
      <t>カイカイシキ</t>
    </rPh>
    <phoneticPr fontId="59"/>
  </si>
  <si>
    <t>閉会式</t>
    <rPh sb="0" eb="3">
      <t>ヘイカイシキ</t>
    </rPh>
    <phoneticPr fontId="59"/>
  </si>
  <si>
    <t>入港</t>
    <rPh sb="0" eb="2">
      <t>ニュウコウ</t>
    </rPh>
    <phoneticPr fontId="2"/>
  </si>
  <si>
    <t>準備</t>
    <rPh sb="0" eb="2">
      <t>ジュンビ</t>
    </rPh>
    <phoneticPr fontId="2"/>
  </si>
  <si>
    <t>撤去</t>
    <rPh sb="0" eb="2">
      <t>テッキョ</t>
    </rPh>
    <phoneticPr fontId="2"/>
  </si>
  <si>
    <t>出航</t>
    <rPh sb="0" eb="2">
      <t>シュッコウ</t>
    </rPh>
    <phoneticPr fontId="2"/>
  </si>
  <si>
    <t>ラグビー（男子）</t>
    <rPh sb="5" eb="7">
      <t>ダンシ</t>
    </rPh>
    <phoneticPr fontId="2"/>
  </si>
  <si>
    <t>ラグビー（女子）</t>
    <rPh sb="5" eb="7">
      <t>ジョシ</t>
    </rPh>
    <phoneticPr fontId="2"/>
  </si>
  <si>
    <t>ウェイトリフティング</t>
  </si>
  <si>
    <t>アーチェリー</t>
  </si>
  <si>
    <t>サッカー（豊田／決勝）</t>
    <rPh sb="5" eb="7">
      <t>トヨタ</t>
    </rPh>
    <rPh sb="8" eb="10">
      <t>ケッショウ</t>
    </rPh>
    <phoneticPr fontId="2"/>
  </si>
  <si>
    <t>サッカー（港）</t>
    <rPh sb="5" eb="6">
      <t>ミナト</t>
    </rPh>
    <phoneticPr fontId="2"/>
  </si>
  <si>
    <t>サッカー（豊田／予選）</t>
    <rPh sb="5" eb="7">
      <t>トヨタ</t>
    </rPh>
    <rPh sb="8" eb="10">
      <t>ヨセン</t>
    </rPh>
    <phoneticPr fontId="2"/>
  </si>
  <si>
    <t>サッカー（刈谷）</t>
    <rPh sb="5" eb="7">
      <t>カリヤ</t>
    </rPh>
    <phoneticPr fontId="2"/>
  </si>
  <si>
    <t>サッカー（瑞穂）</t>
    <rPh sb="5" eb="7">
      <t>ミズホ</t>
    </rPh>
    <phoneticPr fontId="2"/>
  </si>
  <si>
    <t>バスケットボール（5×５／男子）</t>
    <rPh sb="13" eb="15">
      <t>ダンシ</t>
    </rPh>
    <phoneticPr fontId="2"/>
  </si>
  <si>
    <t>バスケットボール（5×５／女子）</t>
    <rPh sb="13" eb="15">
      <t>ジョシ</t>
    </rPh>
    <phoneticPr fontId="2"/>
  </si>
  <si>
    <t>水球（男子）</t>
    <rPh sb="0" eb="2">
      <t>スイキュウ</t>
    </rPh>
    <rPh sb="3" eb="5">
      <t>ダンシ</t>
    </rPh>
    <phoneticPr fontId="2"/>
  </si>
  <si>
    <t>水球（女子）</t>
    <rPh sb="0" eb="2">
      <t>スイキュウ</t>
    </rPh>
    <rPh sb="3" eb="5">
      <t>ジョシ</t>
    </rPh>
    <phoneticPr fontId="2"/>
  </si>
  <si>
    <t>ベストウェスタンプラス名古屋栄</t>
  </si>
  <si>
    <t>バスケットボール（3×３／男子）</t>
    <rPh sb="13" eb="15">
      <t>ダンシ</t>
    </rPh>
    <phoneticPr fontId="2"/>
  </si>
  <si>
    <t>バスケットボール（3×３／女子）</t>
    <rPh sb="13" eb="15">
      <t>ジョシ</t>
    </rPh>
    <phoneticPr fontId="2"/>
  </si>
  <si>
    <t>尾張</t>
    <rPh sb="0" eb="2">
      <t>オワリ</t>
    </rPh>
    <phoneticPr fontId="2"/>
  </si>
  <si>
    <t>ホッケー③</t>
  </si>
  <si>
    <t>ビーチバレーボール（男子）</t>
    <rPh sb="10" eb="12">
      <t>ダンシ</t>
    </rPh>
    <phoneticPr fontId="2"/>
  </si>
  <si>
    <t>ビーチバレーボール（女子）</t>
    <rPh sb="10" eb="12">
      <t>ジョシ</t>
    </rPh>
    <phoneticPr fontId="2"/>
  </si>
  <si>
    <t>東横INN中部国際空港1</t>
  </si>
  <si>
    <t>カバディ（男子）</t>
    <rPh sb="5" eb="7">
      <t>ダンシ</t>
    </rPh>
    <phoneticPr fontId="2"/>
  </si>
  <si>
    <t>カバディ（女子）</t>
    <rPh sb="5" eb="7">
      <t>ジョシ</t>
    </rPh>
    <phoneticPr fontId="2"/>
  </si>
  <si>
    <t>フォーポイント　バイ　シェラトン名古屋　中部国際空港</t>
  </si>
  <si>
    <t>西三河</t>
    <rPh sb="0" eb="3">
      <t>ニシミカワ</t>
    </rPh>
    <phoneticPr fontId="2"/>
  </si>
  <si>
    <t>↑リブマックスに変更</t>
    <rPh sb="8" eb="10">
      <t>ヘンコウ</t>
    </rPh>
    <phoneticPr fontId="2"/>
  </si>
  <si>
    <t>空き分については技術役員との同宿可</t>
    <rPh sb="0" eb="1">
      <t>ア</t>
    </rPh>
    <rPh sb="2" eb="3">
      <t>ブン</t>
    </rPh>
    <rPh sb="8" eb="12">
      <t>ギジュツヤクイン</t>
    </rPh>
    <rPh sb="14" eb="16">
      <t>ドウシュク</t>
    </rPh>
    <rPh sb="16" eb="17">
      <t>カ</t>
    </rPh>
    <phoneticPr fontId="2"/>
  </si>
  <si>
    <t>バレーボール（男子）①</t>
    <rPh sb="7" eb="9">
      <t>ダンシ</t>
    </rPh>
    <phoneticPr fontId="2"/>
  </si>
  <si>
    <t>バレーボール（男子）②</t>
    <rPh sb="7" eb="9">
      <t>ダンシ</t>
    </rPh>
    <phoneticPr fontId="2"/>
  </si>
  <si>
    <t>野球①</t>
    <rPh sb="0" eb="2">
      <t>ヤキュウ</t>
    </rPh>
    <phoneticPr fontId="2"/>
  </si>
  <si>
    <t>野球②</t>
    <rPh sb="0" eb="2">
      <t>ヤキュウ</t>
    </rPh>
    <phoneticPr fontId="2"/>
  </si>
  <si>
    <t>ホテル東海園</t>
  </si>
  <si>
    <t>全棟</t>
  </si>
  <si>
    <t>ホッケー①</t>
  </si>
  <si>
    <t>客室のみ</t>
    <rPh sb="0" eb="2">
      <t>キャクシツ</t>
    </rPh>
    <phoneticPr fontId="2"/>
  </si>
  <si>
    <t>ホッケー②</t>
  </si>
  <si>
    <t>サッカー（岐阜）</t>
    <rPh sb="5" eb="7">
      <t>ギフ</t>
    </rPh>
    <phoneticPr fontId="2"/>
  </si>
  <si>
    <t>ローイング</t>
  </si>
  <si>
    <t>【代替案：国立中央青少年交流の家】</t>
    <rPh sb="1" eb="4">
      <t>ダイタイアン</t>
    </rPh>
    <rPh sb="5" eb="9">
      <t>コクリツチュウオウ</t>
    </rPh>
    <rPh sb="9" eb="14">
      <t>セイショウネンコウリュウ</t>
    </rPh>
    <rPh sb="15" eb="16">
      <t>イエ</t>
    </rPh>
    <phoneticPr fontId="2"/>
  </si>
  <si>
    <t>サッカー（静岡）</t>
    <rPh sb="5" eb="7">
      <t>シズオカ</t>
    </rPh>
    <phoneticPr fontId="2"/>
  </si>
  <si>
    <t>ホテルコンコルド浜松</t>
  </si>
  <si>
    <t>サッカー（大阪）</t>
    <rPh sb="5" eb="7">
      <t>オオサカ</t>
    </rPh>
    <phoneticPr fontId="2"/>
  </si>
  <si>
    <t>神戸市</t>
    <rPh sb="0" eb="3">
      <t>コウベシ</t>
    </rPh>
    <phoneticPr fontId="2"/>
  </si>
  <si>
    <t>神戸ポートピアホテル</t>
  </si>
  <si>
    <t>サッカー（神戸）</t>
    <rPh sb="5" eb="7">
      <t>コウベ</t>
    </rPh>
    <phoneticPr fontId="2"/>
  </si>
  <si>
    <t>【代替案：国立オリンピック記念青少年総合センター】</t>
    <rPh sb="1" eb="4">
      <t>ダイタイアン</t>
    </rPh>
    <rPh sb="5" eb="7">
      <t>コクリツ</t>
    </rPh>
    <rPh sb="13" eb="15">
      <t>キネン</t>
    </rPh>
    <rPh sb="15" eb="18">
      <t>セイショウネン</t>
    </rPh>
    <rPh sb="18" eb="20">
      <t>ソウゴウ</t>
    </rPh>
    <phoneticPr fontId="2"/>
  </si>
  <si>
    <t>選手数計</t>
    <rPh sb="0" eb="3">
      <t>センシュスウ</t>
    </rPh>
    <rPh sb="3" eb="4">
      <t>ケイ</t>
    </rPh>
    <phoneticPr fontId="2"/>
  </si>
  <si>
    <t>※サッカー(豊田)を予選決勝でそれぞれ計上しているため、競技課からの人数との解離有</t>
    <rPh sb="6" eb="8">
      <t>トヨタ</t>
    </rPh>
    <rPh sb="10" eb="12">
      <t>ヨセン</t>
    </rPh>
    <rPh sb="12" eb="14">
      <t>ケッショウ</t>
    </rPh>
    <rPh sb="19" eb="21">
      <t>ケイジョウ</t>
    </rPh>
    <rPh sb="28" eb="31">
      <t>キョウギカ</t>
    </rPh>
    <rPh sb="34" eb="36">
      <t>ニンズウ</t>
    </rPh>
    <rPh sb="38" eb="40">
      <t>カイリ</t>
    </rPh>
    <rPh sb="40" eb="41">
      <t>アリ</t>
    </rPh>
    <phoneticPr fontId="2"/>
  </si>
  <si>
    <t>条件付</t>
    <rPh sb="0" eb="3">
      <t>ジョウケンツ</t>
    </rPh>
    <phoneticPr fontId="2"/>
  </si>
  <si>
    <t>アジア競技大会における選手団宿泊施設想定【①ホテルシップ3,700人＋空港島3,000人＋コンテナ1,000人】</t>
    <rPh sb="3" eb="5">
      <t>キョウギ</t>
    </rPh>
    <rPh sb="5" eb="7">
      <t>タイカイ</t>
    </rPh>
    <rPh sb="11" eb="14">
      <t>センシュダン</t>
    </rPh>
    <rPh sb="14" eb="20">
      <t>シュクハクシセツソウテイ</t>
    </rPh>
    <rPh sb="43" eb="44">
      <t>ニン</t>
    </rPh>
    <rPh sb="54" eb="55">
      <t>ニン</t>
    </rPh>
    <phoneticPr fontId="59"/>
  </si>
  <si>
    <t>※全棟貸切：企業契約や長期滞在者を除く貸切をイメージ</t>
    <rPh sb="1" eb="5">
      <t>ゼントウカシキリ</t>
    </rPh>
    <rPh sb="6" eb="8">
      <t>キギョウ</t>
    </rPh>
    <rPh sb="8" eb="10">
      <t>ケイヤク</t>
    </rPh>
    <rPh sb="11" eb="13">
      <t>チョウキ</t>
    </rPh>
    <rPh sb="13" eb="15">
      <t>タイザイ</t>
    </rPh>
    <rPh sb="15" eb="16">
      <t>シャ</t>
    </rPh>
    <rPh sb="17" eb="18">
      <t>ノゾ</t>
    </rPh>
    <rPh sb="19" eb="21">
      <t>カシキリ</t>
    </rPh>
    <phoneticPr fontId="2"/>
  </si>
  <si>
    <t>利用想定</t>
    <rPh sb="0" eb="4">
      <t>リヨウソウテイ</t>
    </rPh>
    <phoneticPr fontId="2"/>
  </si>
  <si>
    <t>貸切
想定（※）</t>
    <rPh sb="0" eb="2">
      <t>カシキリ</t>
    </rPh>
    <rPh sb="3" eb="5">
      <t>ソウテイ</t>
    </rPh>
    <phoneticPr fontId="59"/>
  </si>
  <si>
    <t>12,600人</t>
    <rPh sb="6" eb="7">
      <t>ニン</t>
    </rPh>
    <phoneticPr fontId="59"/>
  </si>
  <si>
    <t>競技会場</t>
    <rPh sb="0" eb="4">
      <t>キョウギカイジョウ</t>
    </rPh>
    <phoneticPr fontId="2"/>
  </si>
  <si>
    <t>距離</t>
    <rPh sb="0" eb="2">
      <t>キョリ</t>
    </rPh>
    <phoneticPr fontId="2"/>
  </si>
  <si>
    <t>移動時間</t>
    <rPh sb="0" eb="4">
      <t>イドウジカン</t>
    </rPh>
    <phoneticPr fontId="2"/>
  </si>
  <si>
    <t>柔道</t>
    <phoneticPr fontId="2"/>
  </si>
  <si>
    <t>ウェイトリフティング</t>
    <phoneticPr fontId="2"/>
  </si>
  <si>
    <t>レスリング</t>
    <phoneticPr fontId="2"/>
  </si>
  <si>
    <t>卓球</t>
    <rPh sb="0" eb="2">
      <t>タッキュウ</t>
    </rPh>
    <phoneticPr fontId="2"/>
  </si>
  <si>
    <t>サッカー（豊田／決勝）</t>
    <phoneticPr fontId="2"/>
  </si>
  <si>
    <t>陸上競技（マラソン）</t>
    <rPh sb="0" eb="2">
      <t>リクジョウ</t>
    </rPh>
    <rPh sb="2" eb="4">
      <t>キョウギ</t>
    </rPh>
    <phoneticPr fontId="2"/>
  </si>
  <si>
    <t>陸上競技（競歩）</t>
    <rPh sb="0" eb="4">
      <t>リクジョウキョウギ</t>
    </rPh>
    <rPh sb="5" eb="7">
      <t>キョウホ</t>
    </rPh>
    <phoneticPr fontId="2"/>
  </si>
  <si>
    <t>コンテナハウス</t>
    <phoneticPr fontId="2"/>
  </si>
  <si>
    <t>バドミントン</t>
    <phoneticPr fontId="2"/>
  </si>
  <si>
    <t>ホテルメルパルク名古屋</t>
    <rPh sb="8" eb="11">
      <t>ナゴヤ</t>
    </rPh>
    <phoneticPr fontId="2"/>
  </si>
  <si>
    <t>※前向き回答有</t>
    <rPh sb="1" eb="3">
      <t>マエム</t>
    </rPh>
    <rPh sb="4" eb="6">
      <t>カイトウ</t>
    </rPh>
    <rPh sb="6" eb="7">
      <t>アリ</t>
    </rPh>
    <phoneticPr fontId="2"/>
  </si>
  <si>
    <t>バスケットボール（５×５／男子）</t>
    <rPh sb="13" eb="15">
      <t>ダンシ</t>
    </rPh>
    <phoneticPr fontId="2"/>
  </si>
  <si>
    <t>バスケットボール（５×５／女子）</t>
    <rPh sb="13" eb="15">
      <t>ジョシ</t>
    </rPh>
    <phoneticPr fontId="2"/>
  </si>
  <si>
    <t>トランポリン</t>
    <phoneticPr fontId="2"/>
  </si>
  <si>
    <t>コンフォートホテル中部国際空港</t>
    <rPh sb="9" eb="15">
      <t>チュウブコクサイクウコウ</t>
    </rPh>
    <phoneticPr fontId="2"/>
  </si>
  <si>
    <t>スケートボード</t>
    <phoneticPr fontId="2"/>
  </si>
  <si>
    <t>ゴルフ</t>
    <phoneticPr fontId="2"/>
  </si>
  <si>
    <t>ソフトボール</t>
    <phoneticPr fontId="2"/>
  </si>
  <si>
    <t>近代五種</t>
    <rPh sb="0" eb="4">
      <t>キンダイゴシュ</t>
    </rPh>
    <phoneticPr fontId="2"/>
  </si>
  <si>
    <t>自転車競技（BMXフリースタイル）</t>
    <phoneticPr fontId="2"/>
  </si>
  <si>
    <t>マラソンスイミング</t>
    <phoneticPr fontId="2"/>
  </si>
  <si>
    <t>ブレイキン</t>
    <phoneticPr fontId="2"/>
  </si>
  <si>
    <t>J・ホテルりんくう</t>
    <phoneticPr fontId="2"/>
  </si>
  <si>
    <t>バスケットボール（３×３／女子）</t>
    <rPh sb="13" eb="15">
      <t>ジョシ</t>
    </rPh>
    <phoneticPr fontId="2"/>
  </si>
  <si>
    <t>天然温泉　三州の湯　ドーミーイン　EXPRESS　三河安城</t>
  </si>
  <si>
    <t>0222_HOTEL LiVEMAX三河安城駅前に変更</t>
    <rPh sb="25" eb="27">
      <t>ヘンコウ</t>
    </rPh>
    <phoneticPr fontId="2"/>
  </si>
  <si>
    <t>※空き分については技術役員との同宿可</t>
    <rPh sb="1" eb="2">
      <t>ア</t>
    </rPh>
    <rPh sb="3" eb="4">
      <t>ブン</t>
    </rPh>
    <rPh sb="9" eb="13">
      <t>ギジュツヤクイン</t>
    </rPh>
    <rPh sb="15" eb="17">
      <t>ドウシュク</t>
    </rPh>
    <rPh sb="17" eb="18">
      <t>カ</t>
    </rPh>
    <phoneticPr fontId="2"/>
  </si>
  <si>
    <t>ロイヤルホテルうお八</t>
  </si>
  <si>
    <t>トヨタスポーツセンター</t>
    <phoneticPr fontId="2"/>
  </si>
  <si>
    <t>【代替案：ホテル明山荘】</t>
    <rPh sb="1" eb="4">
      <t>ダイタイアン</t>
    </rPh>
    <phoneticPr fontId="2"/>
  </si>
  <si>
    <t>【代替案：リステル浜名湖】</t>
    <rPh sb="1" eb="4">
      <t>ダイタイアン</t>
    </rPh>
    <phoneticPr fontId="2"/>
  </si>
  <si>
    <t>【代替案：伊良湖オーシャンリゾート】</t>
    <rPh sb="1" eb="4">
      <t>ダイタイアン</t>
    </rPh>
    <phoneticPr fontId="2"/>
  </si>
  <si>
    <t>大垣市</t>
    <rPh sb="0" eb="2">
      <t>オオガキ</t>
    </rPh>
    <rPh sb="2" eb="3">
      <t>シ</t>
    </rPh>
    <phoneticPr fontId="2"/>
  </si>
  <si>
    <t>クインテッサホテル 大垣</t>
    <phoneticPr fontId="2"/>
  </si>
  <si>
    <t>ローイング③</t>
    <phoneticPr fontId="2"/>
  </si>
  <si>
    <t>神戸ポートピアホテル</t>
    <phoneticPr fontId="2"/>
  </si>
  <si>
    <t>【検討中：国立オリンピック記念青少年総合センター】</t>
    <rPh sb="1" eb="4">
      <t>ケントウチュウ</t>
    </rPh>
    <phoneticPr fontId="2"/>
  </si>
  <si>
    <t>12,600人</t>
  </si>
  <si>
    <t>仮配宿シミュレーションシート ver.13(AINAGOC修正後)　【OCA：ヒルトン本部版】</t>
    <rPh sb="0" eb="3">
      <t>カリハイシュク</t>
    </rPh>
    <rPh sb="29" eb="32">
      <t>シュウセイゴ</t>
    </rPh>
    <rPh sb="43" eb="45">
      <t>ホンブ</t>
    </rPh>
    <rPh sb="45" eb="46">
      <t>バン</t>
    </rPh>
    <phoneticPr fontId="2"/>
  </si>
  <si>
    <t>2024/6/14更新時点</t>
    <rPh sb="9" eb="11">
      <t>コウシン</t>
    </rPh>
    <rPh sb="11" eb="13">
      <t>ジテン</t>
    </rPh>
    <phoneticPr fontId="2"/>
  </si>
  <si>
    <t>シート引用</t>
    <rPh sb="3" eb="5">
      <t>インヨウ</t>
    </rPh>
    <phoneticPr fontId="2"/>
  </si>
  <si>
    <t>分類</t>
    <rPh sb="0" eb="2">
      <t>ブンルイ</t>
    </rPh>
    <phoneticPr fontId="2"/>
  </si>
  <si>
    <t>必要客室数</t>
    <rPh sb="0" eb="2">
      <t>ヒツヨウ</t>
    </rPh>
    <rPh sb="2" eb="5">
      <t>キャクシツスウ</t>
    </rPh>
    <phoneticPr fontId="2"/>
  </si>
  <si>
    <t>※大区分
必要数</t>
    <rPh sb="1" eb="4">
      <t>オオクブン</t>
    </rPh>
    <rPh sb="5" eb="8">
      <t>ヒツヨウスウ</t>
    </rPh>
    <phoneticPr fontId="2"/>
  </si>
  <si>
    <t>泊数</t>
    <rPh sb="0" eb="2">
      <t>ハクスウ</t>
    </rPh>
    <phoneticPr fontId="2"/>
  </si>
  <si>
    <t>施設</t>
    <rPh sb="0" eb="2">
      <t>シセツ</t>
    </rPh>
    <phoneticPr fontId="2"/>
  </si>
  <si>
    <t>配宿</t>
    <rPh sb="0" eb="2">
      <t>ハイシュク</t>
    </rPh>
    <phoneticPr fontId="2"/>
  </si>
  <si>
    <t>保有客室</t>
    <rPh sb="0" eb="2">
      <t>ホユウ</t>
    </rPh>
    <rPh sb="2" eb="4">
      <t>キャクシツ</t>
    </rPh>
    <phoneticPr fontId="59"/>
  </si>
  <si>
    <t>提供客室</t>
    <rPh sb="0" eb="2">
      <t>テイキョウ</t>
    </rPh>
    <rPh sb="2" eb="4">
      <t>キャクシツ</t>
    </rPh>
    <phoneticPr fontId="59"/>
  </si>
  <si>
    <t>貸切可否</t>
    <rPh sb="0" eb="2">
      <t>カシキリ</t>
    </rPh>
    <rPh sb="2" eb="4">
      <t>カヒ</t>
    </rPh>
    <phoneticPr fontId="59"/>
  </si>
  <si>
    <t>ファンクション</t>
    <phoneticPr fontId="59"/>
  </si>
  <si>
    <t>食事提供</t>
    <rPh sb="0" eb="4">
      <t>ショクジテイキョウ</t>
    </rPh>
    <phoneticPr fontId="59"/>
  </si>
  <si>
    <t>ジム</t>
    <phoneticPr fontId="59"/>
  </si>
  <si>
    <t>ワンストップ</t>
    <phoneticPr fontId="2"/>
  </si>
  <si>
    <t>名古屋ホテルズ会</t>
    <rPh sb="0" eb="3">
      <t>ナゴヤ</t>
    </rPh>
    <rPh sb="7" eb="8">
      <t>カイ</t>
    </rPh>
    <phoneticPr fontId="59"/>
  </si>
  <si>
    <t>予約担当者会議</t>
    <rPh sb="0" eb="7">
      <t>ヨヤクタントウシャカイギ</t>
    </rPh>
    <phoneticPr fontId="59"/>
  </si>
  <si>
    <t>中誘協</t>
    <rPh sb="0" eb="1">
      <t>ナカ</t>
    </rPh>
    <rPh sb="1" eb="2">
      <t>ユウ</t>
    </rPh>
    <rPh sb="2" eb="3">
      <t>キョウ</t>
    </rPh>
    <phoneticPr fontId="59"/>
  </si>
  <si>
    <t>名総会</t>
    <rPh sb="0" eb="1">
      <t>メイ</t>
    </rPh>
    <rPh sb="1" eb="2">
      <t>ソウ</t>
    </rPh>
    <phoneticPr fontId="59"/>
  </si>
  <si>
    <t>４大チェーンホテル</t>
    <rPh sb="1" eb="2">
      <t>ダイ</t>
    </rPh>
    <phoneticPr fontId="59"/>
  </si>
  <si>
    <t>配宿</t>
    <phoneticPr fontId="2"/>
  </si>
  <si>
    <t>番号</t>
    <phoneticPr fontId="2"/>
  </si>
  <si>
    <t>ホテル名</t>
    <phoneticPr fontId="2"/>
  </si>
  <si>
    <t>ｼﾝｸﾞﾙ</t>
    <phoneticPr fontId="2"/>
  </si>
  <si>
    <t>ﾀﾞﾌﾞﾙ
(ｾﾐ)</t>
    <phoneticPr fontId="2"/>
  </si>
  <si>
    <t>ﾂｲﾝ
1名</t>
    <phoneticPr fontId="2"/>
  </si>
  <si>
    <t>ﾂｲﾝ
2名可</t>
    <phoneticPr fontId="2"/>
  </si>
  <si>
    <t>ﾄﾘﾌﾟﾙ･ﾌｫｰｽ
2名</t>
    <phoneticPr fontId="2"/>
  </si>
  <si>
    <t>ﾄﾘﾌﾟﾙ･ﾌｫｰｽ
3名</t>
    <phoneticPr fontId="2"/>
  </si>
  <si>
    <t>ﾄﾘﾌﾟﾙ･ﾌｫｰｽ
4名</t>
    <phoneticPr fontId="2"/>
  </si>
  <si>
    <t>和室
1名</t>
    <phoneticPr fontId="2"/>
  </si>
  <si>
    <t>和室
2名</t>
    <phoneticPr fontId="2"/>
  </si>
  <si>
    <t>和室
3名</t>
    <phoneticPr fontId="2"/>
  </si>
  <si>
    <t>和室
4名</t>
    <phoneticPr fontId="2"/>
  </si>
  <si>
    <t>和洋室
2名</t>
    <phoneticPr fontId="2"/>
  </si>
  <si>
    <t>和洋室
3名</t>
    <phoneticPr fontId="2"/>
  </si>
  <si>
    <t>和洋室
4名</t>
    <phoneticPr fontId="2"/>
  </si>
  <si>
    <t>ｽｲｰﾄ</t>
    <phoneticPr fontId="2"/>
  </si>
  <si>
    <t>他</t>
    <phoneticPr fontId="2"/>
  </si>
  <si>
    <t>収容可能人数</t>
    <rPh sb="0" eb="2">
      <t>シュウヨウ</t>
    </rPh>
    <rPh sb="2" eb="4">
      <t>カノウ</t>
    </rPh>
    <rPh sb="4" eb="6">
      <t>ニンズウ</t>
    </rPh>
    <phoneticPr fontId="59"/>
  </si>
  <si>
    <t>室数
合計</t>
    <phoneticPr fontId="59"/>
  </si>
  <si>
    <t>収容可能人数</t>
    <phoneticPr fontId="59"/>
  </si>
  <si>
    <t>提供率</t>
    <rPh sb="0" eb="3">
      <t>テイキョウリツ</t>
    </rPh>
    <phoneticPr fontId="2"/>
  </si>
  <si>
    <t>全館</t>
    <rPh sb="0" eb="2">
      <t>ゼンカン</t>
    </rPh>
    <phoneticPr fontId="59"/>
  </si>
  <si>
    <t>フロア</t>
    <phoneticPr fontId="59"/>
  </si>
  <si>
    <t>保有数</t>
    <phoneticPr fontId="59"/>
  </si>
  <si>
    <t>提供数</t>
    <phoneticPr fontId="59"/>
  </si>
  <si>
    <t>朝</t>
    <phoneticPr fontId="59"/>
  </si>
  <si>
    <t>昼</t>
    <phoneticPr fontId="59"/>
  </si>
  <si>
    <t>夕</t>
    <phoneticPr fontId="59"/>
  </si>
  <si>
    <t>ジム
◎：施設内にあり
○：徒歩15分以内にあり
●：機器設置検討
△：運動場等はあり
-：なし</t>
    <rPh sb="5" eb="8">
      <t>シセツナイ</t>
    </rPh>
    <rPh sb="14" eb="16">
      <t>トホ</t>
    </rPh>
    <rPh sb="18" eb="21">
      <t>フンイナイ</t>
    </rPh>
    <rPh sb="27" eb="31">
      <t>キキセッチ</t>
    </rPh>
    <rPh sb="31" eb="33">
      <t>ケントウ</t>
    </rPh>
    <rPh sb="36" eb="39">
      <t>ウンドウジョウ</t>
    </rPh>
    <rPh sb="39" eb="40">
      <t>トウ</t>
    </rPh>
    <phoneticPr fontId="59"/>
  </si>
  <si>
    <t>定義内</t>
    <rPh sb="0" eb="3">
      <t>テイギナイ</t>
    </rPh>
    <phoneticPr fontId="2"/>
  </si>
  <si>
    <t>SH</t>
    <phoneticPr fontId="2"/>
  </si>
  <si>
    <t>分類別</t>
    <rPh sb="0" eb="3">
      <t>ブンルイベツ</t>
    </rPh>
    <phoneticPr fontId="2"/>
  </si>
  <si>
    <t>備考（メモ）</t>
    <phoneticPr fontId="2"/>
  </si>
  <si>
    <t>ヒルトン名古屋</t>
  </si>
  <si>
    <t>-</t>
  </si>
  <si>
    <t>242室
(242名)</t>
  </si>
  <si>
    <t>203室
(406名)</t>
  </si>
  <si>
    <t>15室
(30名)</t>
  </si>
  <si>
    <t>201室
(201名)</t>
  </si>
  <si>
    <t>160室
(320名)</t>
  </si>
  <si>
    <t>9室
(18名)</t>
  </si>
  <si>
    <t>不可</t>
  </si>
  <si>
    <t>可</t>
  </si>
  <si>
    <t>玄関前（屋根付）1台</t>
    <phoneticPr fontId="2"/>
  </si>
  <si>
    <t>◎</t>
  </si>
  <si>
    <t>選手NG</t>
  </si>
  <si>
    <t>OCAファミリー</t>
  </si>
  <si>
    <t>OCA、IOC</t>
    <phoneticPr fontId="2"/>
  </si>
  <si>
    <t>OF1</t>
    <phoneticPr fontId="2"/>
  </si>
  <si>
    <t>ヒルトンを本部とし栄エリア1580室。→1553室はOFS用。その他余剰分はマーケ配宿へ回したいです。</t>
    <rPh sb="24" eb="25">
      <t>シツ</t>
    </rPh>
    <rPh sb="29" eb="30">
      <t>ヨウ</t>
    </rPh>
    <rPh sb="33" eb="34">
      <t>タ</t>
    </rPh>
    <rPh sb="34" eb="37">
      <t>ヨジョウブン</t>
    </rPh>
    <rPh sb="41" eb="43">
      <t>ハイシュク</t>
    </rPh>
    <rPh sb="44" eb="45">
      <t>マワ</t>
    </rPh>
    <phoneticPr fontId="2"/>
  </si>
  <si>
    <t>コートヤードバイマリオット名古屋</t>
    <phoneticPr fontId="2"/>
  </si>
  <si>
    <t>210室
(210名)</t>
  </si>
  <si>
    <t>140室
(280名)</t>
  </si>
  <si>
    <t>130室
(130名)</t>
  </si>
  <si>
    <t>80室
(160名)</t>
  </si>
  <si>
    <t>5室
(5名)</t>
  </si>
  <si>
    <t>玄関前（屋根付）2台</t>
    <phoneticPr fontId="2"/>
  </si>
  <si>
    <t>NOC</t>
    <phoneticPr fontId="2"/>
  </si>
  <si>
    <t>OF2</t>
    <phoneticPr fontId="2"/>
  </si>
  <si>
    <t>選手を配宿中の為、選手を別のホテルに配宿する必要があります。 例：ストリングスに選手を配宿　等</t>
    <rPh sb="0" eb="2">
      <t>センシュ</t>
    </rPh>
    <rPh sb="3" eb="5">
      <t>ハイシュク</t>
    </rPh>
    <rPh sb="5" eb="6">
      <t>チュウ</t>
    </rPh>
    <rPh sb="7" eb="8">
      <t>タメ</t>
    </rPh>
    <rPh sb="9" eb="11">
      <t>センシュ</t>
    </rPh>
    <rPh sb="12" eb="13">
      <t>ベツ</t>
    </rPh>
    <rPh sb="18" eb="20">
      <t>ハイシュク</t>
    </rPh>
    <rPh sb="22" eb="24">
      <t>ヒツヨウ</t>
    </rPh>
    <rPh sb="31" eb="32">
      <t>タト</t>
    </rPh>
    <rPh sb="40" eb="42">
      <t>センシュ</t>
    </rPh>
    <rPh sb="43" eb="45">
      <t>ハイシュク</t>
    </rPh>
    <rPh sb="46" eb="47">
      <t>ナド</t>
    </rPh>
    <phoneticPr fontId="2"/>
  </si>
  <si>
    <t>名古屋観光ホテル</t>
    <rPh sb="0" eb="5">
      <t>ナゴヤカンコウ</t>
    </rPh>
    <phoneticPr fontId="2"/>
  </si>
  <si>
    <t>（極秘）行幸啓では86室を使用想定（2024年3月時点）</t>
    <rPh sb="1" eb="3">
      <t>ゴクヒ</t>
    </rPh>
    <rPh sb="11" eb="12">
      <t>シツ</t>
    </rPh>
    <rPh sb="13" eb="17">
      <t>シヨウソウテイ</t>
    </rPh>
    <rPh sb="22" eb="23">
      <t>ネン</t>
    </rPh>
    <rPh sb="24" eb="25">
      <t>ガツ</t>
    </rPh>
    <rPh sb="25" eb="27">
      <t>ジテン</t>
    </rPh>
    <phoneticPr fontId="3"/>
  </si>
  <si>
    <t>名古屋マリオットアソシアホテル</t>
  </si>
  <si>
    <t>432室
(432名)</t>
  </si>
  <si>
    <t>319室
(638名)</t>
  </si>
  <si>
    <t>3室
(9名)</t>
  </si>
  <si>
    <t>3室
(12名)</t>
  </si>
  <si>
    <t>1室
(0名)</t>
  </si>
  <si>
    <t>1室
(2名)</t>
  </si>
  <si>
    <t>290室
(290名)</t>
  </si>
  <si>
    <t>195室
(390名)</t>
  </si>
  <si>
    <t>専用乗降場所（屋根付）3台</t>
  </si>
  <si>
    <t>IF</t>
    <phoneticPr fontId="2"/>
  </si>
  <si>
    <t>OF3</t>
    <phoneticPr fontId="2"/>
  </si>
  <si>
    <t>マーケティングパートナーと同宿。ファミリー400室、マーケ350室。</t>
    <rPh sb="13" eb="15">
      <t>ドウシュク</t>
    </rPh>
    <phoneticPr fontId="3"/>
  </si>
  <si>
    <t>AF</t>
    <phoneticPr fontId="2"/>
  </si>
  <si>
    <t>WADA、ITA、CAS</t>
    <phoneticPr fontId="2"/>
  </si>
  <si>
    <t>WADA・ITA・CAS、オブザーバーの必要会議室はコートヤードバイマリオットに設置予定。</t>
    <rPh sb="20" eb="22">
      <t>ヒツヨウ</t>
    </rPh>
    <rPh sb="22" eb="25">
      <t>カイギシツ</t>
    </rPh>
    <rPh sb="40" eb="42">
      <t>セッチ</t>
    </rPh>
    <rPh sb="42" eb="44">
      <t>ヨテイ</t>
    </rPh>
    <phoneticPr fontId="2"/>
  </si>
  <si>
    <t>ASOIF/AIOWF/AGOC &amp; Other guest</t>
    <phoneticPr fontId="2"/>
  </si>
  <si>
    <t>ー</t>
  </si>
  <si>
    <t>（未）</t>
  </si>
  <si>
    <t>OF4</t>
    <phoneticPr fontId="2"/>
  </si>
  <si>
    <t>提供客室では不足するため、保有客室べースでカウントしています。増室交渉をお願いします。</t>
    <rPh sb="0" eb="4">
      <t>テイキョウキャクシツ</t>
    </rPh>
    <rPh sb="6" eb="8">
      <t>フソク</t>
    </rPh>
    <rPh sb="13" eb="17">
      <t>ホユウキャクシツ</t>
    </rPh>
    <rPh sb="31" eb="33">
      <t>ゾウシツ</t>
    </rPh>
    <rPh sb="33" eb="35">
      <t>コウショウ</t>
    </rPh>
    <rPh sb="37" eb="38">
      <t>ネガ</t>
    </rPh>
    <phoneticPr fontId="2"/>
  </si>
  <si>
    <t>OF5</t>
    <phoneticPr fontId="2"/>
  </si>
  <si>
    <t>※グランドニッコー東京台場</t>
    <phoneticPr fontId="2"/>
  </si>
  <si>
    <t>東京</t>
    <rPh sb="0" eb="2">
      <t>トウキョウ</t>
    </rPh>
    <phoneticPr fontId="2"/>
  </si>
  <si>
    <t>遠方競技会場周辺(東京)</t>
    <rPh sb="9" eb="11">
      <t>トウキョウ</t>
    </rPh>
    <phoneticPr fontId="2"/>
  </si>
  <si>
    <t>候補1　どれかに60室？</t>
    <rPh sb="0" eb="3">
      <t>エイリオ</t>
    </rPh>
    <phoneticPr fontId="2"/>
  </si>
  <si>
    <t>※東京プリンスホテル</t>
    <phoneticPr fontId="43"/>
  </si>
  <si>
    <t>？</t>
    <phoneticPr fontId="2"/>
  </si>
  <si>
    <t>候補2　どれかに60室？</t>
    <rPh sb="0" eb="2">
      <t>コウホ</t>
    </rPh>
    <rPh sb="10" eb="11">
      <t>シツ</t>
    </rPh>
    <phoneticPr fontId="2"/>
  </si>
  <si>
    <t>※相鉄グランドフレッサ 東京ベイ有明</t>
    <phoneticPr fontId="43"/>
  </si>
  <si>
    <t>候補3　どれかに60室？</t>
    <rPh sb="0" eb="2">
      <t>コウホ</t>
    </rPh>
    <phoneticPr fontId="2"/>
  </si>
  <si>
    <t>三島市</t>
    <rPh sb="0" eb="3">
      <t>ミシマシ</t>
    </rPh>
    <phoneticPr fontId="2"/>
  </si>
  <si>
    <t>27室
(27名)</t>
  </si>
  <si>
    <t>125室
(250名)</t>
  </si>
  <si>
    <t>2室
(8名)</t>
  </si>
  <si>
    <t>8室
(16名)</t>
  </si>
  <si>
    <t>2室
(4名)</t>
  </si>
  <si>
    <t>35室
(35名)</t>
  </si>
  <si>
    <t>63室
(126名)</t>
  </si>
  <si>
    <t>(1)</t>
  </si>
  <si>
    <t>④</t>
  </si>
  <si>
    <t>遠方競技会場周辺(伊豆)</t>
    <rPh sb="9" eb="11">
      <t>イズ</t>
    </rPh>
    <phoneticPr fontId="2"/>
  </si>
  <si>
    <t>名古屋プリンスホテル スカイタワー</t>
  </si>
  <si>
    <t>NOC本部</t>
    <rPh sb="3" eb="5">
      <t>ホンブ</t>
    </rPh>
    <phoneticPr fontId="2"/>
  </si>
  <si>
    <t>選手団長・NOCスタッフ</t>
    <rPh sb="0" eb="4">
      <t>センシュダンチョウ</t>
    </rPh>
    <phoneticPr fontId="2"/>
  </si>
  <si>
    <t>ストリングスホテル　名古屋</t>
  </si>
  <si>
    <t>26室
(26名)</t>
  </si>
  <si>
    <t>71室
(142名)</t>
  </si>
  <si>
    <t>61室
(122名)</t>
  </si>
  <si>
    <t>路上3台</t>
  </si>
  <si>
    <t>※大区分
必要数</t>
    <rPh sb="1" eb="4">
      <t>ダイクブン</t>
    </rPh>
    <rPh sb="5" eb="8">
      <t>ヒツヨウスウ</t>
    </rPh>
    <phoneticPr fontId="2"/>
  </si>
  <si>
    <t>三井ガーデンホテル名古屋プレミア</t>
  </si>
  <si>
    <t>226室
(226名)</t>
  </si>
  <si>
    <t>56室
(112名)</t>
  </si>
  <si>
    <t>12室
(24名)</t>
  </si>
  <si>
    <t>97室
(97名)</t>
  </si>
  <si>
    <t>27室
(54名)</t>
  </si>
  <si>
    <t>6室
(12名)</t>
  </si>
  <si>
    <t>×</t>
  </si>
  <si>
    <t>スポンサー</t>
    <phoneticPr fontId="2"/>
  </si>
  <si>
    <t xml:space="preserve">スポンサー </t>
  </si>
  <si>
    <t>保有室数でカウント</t>
    <rPh sb="0" eb="4">
      <t>ホユウシツスウ</t>
    </rPh>
    <phoneticPr fontId="2"/>
  </si>
  <si>
    <t>名古屋JRゲートタワーホテル</t>
  </si>
  <si>
    <t>(12)</t>
  </si>
  <si>
    <t>(6)</t>
  </si>
  <si>
    <t>スポンサー</t>
  </si>
  <si>
    <t>TIAD</t>
  </si>
  <si>
    <t>70室
(70名)</t>
  </si>
  <si>
    <t>65室
(130名)</t>
  </si>
  <si>
    <t>14室
(14名)</t>
  </si>
  <si>
    <t>(5)</t>
  </si>
  <si>
    <t>未定</t>
  </si>
  <si>
    <t>路上</t>
  </si>
  <si>
    <t>142室
(142名)</t>
  </si>
  <si>
    <t>102室
(204名)</t>
  </si>
  <si>
    <t>13室
(26名)</t>
  </si>
  <si>
    <t>105室
(105名)</t>
  </si>
  <si>
    <t>89室
(178名)</t>
  </si>
  <si>
    <t>行幸啓を考慮し100室提供想定</t>
    <rPh sb="10" eb="11">
      <t>シツ</t>
    </rPh>
    <phoneticPr fontId="2"/>
  </si>
  <si>
    <t>エスパシオ　ナゴヤキャッスル</t>
  </si>
  <si>
    <t>（交渉可能となった際には）可能な限り増室交渉をお願いします。</t>
    <rPh sb="1" eb="3">
      <t>コウショウ</t>
    </rPh>
    <rPh sb="3" eb="5">
      <t>カノウ</t>
    </rPh>
    <rPh sb="9" eb="10">
      <t>サイ</t>
    </rPh>
    <phoneticPr fontId="2"/>
  </si>
  <si>
    <t>ザサイプレスメルキュール名古屋</t>
    <rPh sb="12" eb="15">
      <t>ナゴヤ</t>
    </rPh>
    <phoneticPr fontId="2"/>
  </si>
  <si>
    <t>施設交渉中の為提供室数未定。一旦保有室数でカウント。</t>
    <rPh sb="0" eb="2">
      <t>シセツ</t>
    </rPh>
    <rPh sb="2" eb="5">
      <t>コウショウチュウ</t>
    </rPh>
    <rPh sb="6" eb="7">
      <t>タメ</t>
    </rPh>
    <rPh sb="7" eb="9">
      <t>テイキョウ</t>
    </rPh>
    <rPh sb="9" eb="11">
      <t>シツスウ</t>
    </rPh>
    <rPh sb="11" eb="13">
      <t>ミテイ</t>
    </rPh>
    <rPh sb="14" eb="16">
      <t>イッタン</t>
    </rPh>
    <rPh sb="16" eb="18">
      <t>ホユウ</t>
    </rPh>
    <rPh sb="18" eb="20">
      <t>シツスウ</t>
    </rPh>
    <phoneticPr fontId="2"/>
  </si>
  <si>
    <t>イビススタイルズ名古屋</t>
    <rPh sb="8" eb="11">
      <t>ナゴヤ</t>
    </rPh>
    <phoneticPr fontId="2"/>
  </si>
  <si>
    <t>99室
(99名)</t>
  </si>
  <si>
    <t>117室
(234名)</t>
  </si>
  <si>
    <t>JTBシミュ15,000verでは選手に配宿？</t>
    <rPh sb="17" eb="19">
      <t>センシュ</t>
    </rPh>
    <rPh sb="20" eb="22">
      <t>ハイシュク</t>
    </rPh>
    <phoneticPr fontId="2"/>
  </si>
  <si>
    <t>東京第一ホテル錦</t>
  </si>
  <si>
    <t>166室
(166名)</t>
  </si>
  <si>
    <t>41室
(82名)</t>
  </si>
  <si>
    <t>54室
(54名)</t>
  </si>
  <si>
    <t>8室
(8名)</t>
  </si>
  <si>
    <t>5室
(10名)</t>
  </si>
  <si>
    <t>定義外</t>
  </si>
  <si>
    <t>JTBシミュ15,000verでは選手に配宿？ 今後40室の増室を見込む。→宿泊渉外Gさんへ：107室としてカウントしてください。</t>
    <rPh sb="17" eb="19">
      <t>センシュ</t>
    </rPh>
    <rPh sb="20" eb="22">
      <t>ハイシュク</t>
    </rPh>
    <phoneticPr fontId="2"/>
  </si>
  <si>
    <t>リッチモンドホテル名古屋納屋橋</t>
  </si>
  <si>
    <t>11室
(33名)</t>
  </si>
  <si>
    <t>60室
(60名)</t>
  </si>
  <si>
    <t>付近に乗降場無し（路上不可）</t>
  </si>
  <si>
    <t>名古屋クレストンホテル</t>
  </si>
  <si>
    <t>34室
(34名)</t>
  </si>
  <si>
    <t>12室
(12名)</t>
  </si>
  <si>
    <t>14室
(28名)</t>
  </si>
  <si>
    <t>桑名市</t>
  </si>
  <si>
    <t>95室
(190名)</t>
  </si>
  <si>
    <t>⑤</t>
  </si>
  <si>
    <t>ホテルフォルツァ名古屋栄</t>
    <rPh sb="8" eb="11">
      <t>ナゴヤ</t>
    </rPh>
    <rPh sb="11" eb="12">
      <t>サカエ</t>
    </rPh>
    <phoneticPr fontId="1"/>
  </si>
  <si>
    <t>ベッセルイン栄駅前</t>
    <rPh sb="6" eb="8">
      <t>サカエエキ</t>
    </rPh>
    <rPh sb="8" eb="9">
      <t>マエ</t>
    </rPh>
    <phoneticPr fontId="1"/>
  </si>
  <si>
    <t>名古屋金山ホテル</t>
  </si>
  <si>
    <t>名古屋ガーデンパレス</t>
    <rPh sb="0" eb="3">
      <t>ナゴヤ</t>
    </rPh>
    <phoneticPr fontId="2"/>
  </si>
  <si>
    <t>ザロイヤルパークキャンバス名古屋</t>
    <rPh sb="13" eb="16">
      <t>ナゴヤ</t>
    </rPh>
    <phoneticPr fontId="2"/>
  </si>
  <si>
    <t>18泊？マーケティングパートナーの泊数を参照</t>
    <rPh sb="2" eb="3">
      <t>ハク</t>
    </rPh>
    <rPh sb="17" eb="19">
      <t>ハクスウ</t>
    </rPh>
    <rPh sb="20" eb="22">
      <t>サンショウ</t>
    </rPh>
    <phoneticPr fontId="2"/>
  </si>
  <si>
    <t>修正版</t>
    <rPh sb="0" eb="3">
      <t>シュウセイバン</t>
    </rPh>
    <phoneticPr fontId="2"/>
  </si>
  <si>
    <t>10/31版</t>
    <rPh sb="5" eb="6">
      <t>バン</t>
    </rPh>
    <phoneticPr fontId="2"/>
  </si>
  <si>
    <t>○各ホテル毎に１ベッド（収容客室数）あたりの平均単価を算出し、それに対し延べ人泊数を掛けて算出している</t>
    <rPh sb="1" eb="2">
      <t>カク</t>
    </rPh>
    <rPh sb="5" eb="6">
      <t>ゴト</t>
    </rPh>
    <rPh sb="12" eb="17">
      <t>シュウヨウキャクシツスウ</t>
    </rPh>
    <rPh sb="22" eb="26">
      <t>ヘイキンタンカ</t>
    </rPh>
    <rPh sb="27" eb="29">
      <t>サンシュツ</t>
    </rPh>
    <rPh sb="34" eb="35">
      <t>タイ</t>
    </rPh>
    <rPh sb="36" eb="37">
      <t>ノ</t>
    </rPh>
    <rPh sb="38" eb="41">
      <t>ニンハクスウ</t>
    </rPh>
    <rPh sb="42" eb="43">
      <t>カ</t>
    </rPh>
    <rPh sb="45" eb="47">
      <t>サンシュツ</t>
    </rPh>
    <phoneticPr fontId="2"/>
  </si>
  <si>
    <t>　※技術役員が日ごとに人数が変わるため、実際の数値に近づけるために均一の泊数でなく延べ人数で計算している</t>
    <rPh sb="2" eb="6">
      <t>ギジュツヤクイン</t>
    </rPh>
    <rPh sb="7" eb="8">
      <t>ヒ</t>
    </rPh>
    <rPh sb="11" eb="13">
      <t>ニンズウ</t>
    </rPh>
    <rPh sb="14" eb="15">
      <t>カ</t>
    </rPh>
    <rPh sb="20" eb="22">
      <t>ジッサイ</t>
    </rPh>
    <rPh sb="23" eb="25">
      <t>スウチ</t>
    </rPh>
    <rPh sb="26" eb="27">
      <t>チカ</t>
    </rPh>
    <rPh sb="33" eb="35">
      <t>キンイツ</t>
    </rPh>
    <rPh sb="36" eb="38">
      <t>ハクスウ</t>
    </rPh>
    <rPh sb="41" eb="42">
      <t>ノ</t>
    </rPh>
    <rPh sb="43" eb="45">
      <t>ニンズウ</t>
    </rPh>
    <rPh sb="46" eb="48">
      <t>ケイサン</t>
    </rPh>
    <phoneticPr fontId="2"/>
  </si>
  <si>
    <t>○各ホテルの客室数について、実際に提供してもらえる数ではなく単純に個票として積算してあるのみ。</t>
    <rPh sb="1" eb="2">
      <t>カク</t>
    </rPh>
    <rPh sb="6" eb="8">
      <t>キャクシツ</t>
    </rPh>
    <rPh sb="8" eb="9">
      <t>スウ</t>
    </rPh>
    <rPh sb="14" eb="16">
      <t>ジッサイ</t>
    </rPh>
    <rPh sb="17" eb="19">
      <t>テイキョウ</t>
    </rPh>
    <rPh sb="25" eb="26">
      <t>カズ</t>
    </rPh>
    <rPh sb="30" eb="32">
      <t>タンジュン</t>
    </rPh>
    <rPh sb="33" eb="35">
      <t>コヒョウ</t>
    </rPh>
    <rPh sb="38" eb="40">
      <t>セキサン</t>
    </rPh>
    <phoneticPr fontId="2"/>
  </si>
  <si>
    <t>○技術役員のみファンクションルームと食費を積んでいる。</t>
    <rPh sb="1" eb="3">
      <t>ギジュツ</t>
    </rPh>
    <rPh sb="3" eb="5">
      <t>ヤクイン</t>
    </rPh>
    <rPh sb="18" eb="20">
      <t>ショクヒ</t>
    </rPh>
    <rPh sb="21" eb="22">
      <t>ツ</t>
    </rPh>
    <phoneticPr fontId="2"/>
  </si>
  <si>
    <t>○個票が無いものについては他のホテルを参考にしたり、公式HPを参照して算出</t>
    <rPh sb="1" eb="3">
      <t>コヒョウ</t>
    </rPh>
    <rPh sb="4" eb="5">
      <t>ナ</t>
    </rPh>
    <rPh sb="13" eb="14">
      <t>ホカ</t>
    </rPh>
    <rPh sb="19" eb="21">
      <t>サンコウ</t>
    </rPh>
    <rPh sb="26" eb="28">
      <t>コウシキ</t>
    </rPh>
    <rPh sb="31" eb="33">
      <t>サンショウ</t>
    </rPh>
    <rPh sb="35" eb="37">
      <t>サンシュツ</t>
    </rPh>
    <phoneticPr fontId="2"/>
  </si>
  <si>
    <r>
      <t>○各宿泊施設で割り振られるSHを記載（</t>
    </r>
    <r>
      <rPr>
        <b/>
        <sz val="11"/>
        <color theme="1"/>
        <rFont val="ＭＳ Ｐゴシック"/>
        <family val="3"/>
        <charset val="128"/>
        <scheme val="minor"/>
      </rPr>
      <t>C列～H列</t>
    </r>
    <r>
      <rPr>
        <sz val="11"/>
        <color theme="1"/>
        <rFont val="ＭＳ Ｐゴシック"/>
        <family val="2"/>
        <charset val="128"/>
        <scheme val="minor"/>
      </rPr>
      <t>、被りの関係で列が分かれる）</t>
    </r>
    <rPh sb="1" eb="2">
      <t>カク</t>
    </rPh>
    <rPh sb="2" eb="6">
      <t>シュクハクシセツ</t>
    </rPh>
    <rPh sb="7" eb="8">
      <t>ワ</t>
    </rPh>
    <rPh sb="9" eb="10">
      <t>フ</t>
    </rPh>
    <rPh sb="16" eb="18">
      <t>キサイ</t>
    </rPh>
    <rPh sb="20" eb="21">
      <t>レツ</t>
    </rPh>
    <rPh sb="23" eb="24">
      <t>レツ</t>
    </rPh>
    <rPh sb="25" eb="26">
      <t>カブ</t>
    </rPh>
    <rPh sb="28" eb="30">
      <t>カンケイ</t>
    </rPh>
    <rPh sb="31" eb="32">
      <t>レツ</t>
    </rPh>
    <rPh sb="33" eb="34">
      <t>ワ</t>
    </rPh>
    <phoneticPr fontId="2"/>
  </si>
  <si>
    <r>
      <t>○</t>
    </r>
    <r>
      <rPr>
        <b/>
        <sz val="11"/>
        <color theme="1"/>
        <rFont val="ＭＳ Ｐゴシック"/>
        <family val="3"/>
        <charset val="128"/>
        <scheme val="minor"/>
      </rPr>
      <t>C列～H列</t>
    </r>
    <r>
      <rPr>
        <sz val="11"/>
        <color theme="1"/>
        <rFont val="ＭＳ Ｐゴシック"/>
        <family val="2"/>
        <charset val="128"/>
        <scheme val="minor"/>
      </rPr>
      <t>のSH毎の、シミュレーション上の利用客室数を</t>
    </r>
    <r>
      <rPr>
        <b/>
        <sz val="11"/>
        <color theme="1"/>
        <rFont val="ＭＳ Ｐゴシック"/>
        <family val="3"/>
        <charset val="128"/>
        <scheme val="minor"/>
      </rPr>
      <t>X列～AB列</t>
    </r>
    <r>
      <rPr>
        <sz val="11"/>
        <color theme="1"/>
        <rFont val="ＭＳ Ｐゴシック"/>
        <family val="2"/>
        <charset val="128"/>
        <scheme val="minor"/>
      </rPr>
      <t>に記載</t>
    </r>
    <rPh sb="2" eb="3">
      <t>レツ</t>
    </rPh>
    <rPh sb="5" eb="6">
      <t>レツ</t>
    </rPh>
    <rPh sb="9" eb="10">
      <t>ゴト</t>
    </rPh>
    <rPh sb="20" eb="21">
      <t>ジョウ</t>
    </rPh>
    <rPh sb="22" eb="27">
      <t>リヨウキャクシツスウ</t>
    </rPh>
    <rPh sb="29" eb="30">
      <t>レツ</t>
    </rPh>
    <rPh sb="33" eb="34">
      <t>レツ</t>
    </rPh>
    <rPh sb="35" eb="37">
      <t>キサイ</t>
    </rPh>
    <phoneticPr fontId="2"/>
  </si>
  <si>
    <r>
      <t>○</t>
    </r>
    <r>
      <rPr>
        <b/>
        <sz val="11"/>
        <color theme="1"/>
        <rFont val="ＭＳ Ｐゴシック"/>
        <family val="3"/>
        <charset val="128"/>
        <scheme val="minor"/>
      </rPr>
      <t>C列～H列</t>
    </r>
    <r>
      <rPr>
        <sz val="11"/>
        <color theme="1"/>
        <rFont val="ＭＳ Ｐゴシック"/>
        <family val="2"/>
        <charset val="128"/>
        <scheme val="minor"/>
      </rPr>
      <t>のSH毎を参照し、それぞれのSHの宿泊施設毎ののべ人泊数を拾ってきている（</t>
    </r>
    <r>
      <rPr>
        <b/>
        <sz val="11"/>
        <color theme="1"/>
        <rFont val="ＭＳ Ｐゴシック"/>
        <family val="3"/>
        <charset val="128"/>
        <scheme val="minor"/>
      </rPr>
      <t>AL列～AQ列</t>
    </r>
    <r>
      <rPr>
        <sz val="11"/>
        <color theme="1"/>
        <rFont val="ＭＳ Ｐゴシック"/>
        <family val="2"/>
        <charset val="128"/>
        <scheme val="minor"/>
      </rPr>
      <t>）</t>
    </r>
    <rPh sb="2" eb="3">
      <t>レツ</t>
    </rPh>
    <rPh sb="5" eb="6">
      <t>レツ</t>
    </rPh>
    <rPh sb="9" eb="10">
      <t>ゴト</t>
    </rPh>
    <rPh sb="11" eb="13">
      <t>サンショウ</t>
    </rPh>
    <rPh sb="23" eb="27">
      <t>シュクハクシセツ</t>
    </rPh>
    <rPh sb="27" eb="28">
      <t>ゴト</t>
    </rPh>
    <rPh sb="31" eb="32">
      <t>ニン</t>
    </rPh>
    <rPh sb="32" eb="33">
      <t>ハク</t>
    </rPh>
    <rPh sb="33" eb="34">
      <t>スウ</t>
    </rPh>
    <rPh sb="35" eb="36">
      <t>ヒロ</t>
    </rPh>
    <rPh sb="45" eb="46">
      <t>レツ</t>
    </rPh>
    <rPh sb="49" eb="50">
      <t>レツ</t>
    </rPh>
    <phoneticPr fontId="2"/>
  </si>
  <si>
    <r>
      <t>○各宿泊施設の客室単価は各シートの情報から収容客室数をマクロ計算（</t>
    </r>
    <r>
      <rPr>
        <b/>
        <sz val="11"/>
        <color theme="1"/>
        <rFont val="ＭＳ Ｐゴシック"/>
        <family val="3"/>
        <charset val="128"/>
        <scheme val="minor"/>
      </rPr>
      <t>AJ列</t>
    </r>
    <r>
      <rPr>
        <sz val="11"/>
        <color theme="1"/>
        <rFont val="ＭＳ Ｐゴシック"/>
        <family val="2"/>
        <charset val="128"/>
        <scheme val="minor"/>
      </rPr>
      <t>）、客室合計（</t>
    </r>
    <r>
      <rPr>
        <b/>
        <sz val="11"/>
        <color theme="1"/>
        <rFont val="ＭＳ Ｐゴシック"/>
        <family val="3"/>
        <charset val="128"/>
        <scheme val="minor"/>
      </rPr>
      <t>Y列</t>
    </r>
    <r>
      <rPr>
        <sz val="11"/>
        <color theme="1"/>
        <rFont val="ＭＳ Ｐゴシック"/>
        <family val="2"/>
        <charset val="128"/>
        <scheme val="minor"/>
      </rPr>
      <t>）をその数字で割って算出している（</t>
    </r>
    <r>
      <rPr>
        <b/>
        <sz val="11"/>
        <color theme="1"/>
        <rFont val="ＭＳ Ｐゴシック"/>
        <family val="3"/>
        <charset val="128"/>
        <scheme val="minor"/>
      </rPr>
      <t>AK列</t>
    </r>
    <r>
      <rPr>
        <sz val="11"/>
        <color theme="1"/>
        <rFont val="ＭＳ Ｐゴシック"/>
        <family val="2"/>
        <charset val="128"/>
        <scheme val="minor"/>
      </rPr>
      <t>）</t>
    </r>
    <rPh sb="1" eb="2">
      <t>カク</t>
    </rPh>
    <rPh sb="2" eb="6">
      <t>シュクハクシセツ</t>
    </rPh>
    <rPh sb="7" eb="9">
      <t>キャクシツ</t>
    </rPh>
    <rPh sb="9" eb="11">
      <t>タンカ</t>
    </rPh>
    <rPh sb="12" eb="13">
      <t>カク</t>
    </rPh>
    <rPh sb="17" eb="19">
      <t>ジョウホウ</t>
    </rPh>
    <rPh sb="21" eb="23">
      <t>シュウヨウ</t>
    </rPh>
    <rPh sb="23" eb="25">
      <t>キャクシツ</t>
    </rPh>
    <rPh sb="25" eb="26">
      <t>スウ</t>
    </rPh>
    <rPh sb="30" eb="32">
      <t>ケイサン</t>
    </rPh>
    <rPh sb="38" eb="40">
      <t>キャクシツ</t>
    </rPh>
    <rPh sb="40" eb="42">
      <t>ゴウケイ</t>
    </rPh>
    <rPh sb="44" eb="45">
      <t>レツ</t>
    </rPh>
    <rPh sb="49" eb="51">
      <t>スウジ</t>
    </rPh>
    <rPh sb="52" eb="53">
      <t>ワ</t>
    </rPh>
    <rPh sb="55" eb="57">
      <t>サンシュツ</t>
    </rPh>
    <rPh sb="64" eb="65">
      <t>レツ</t>
    </rPh>
    <phoneticPr fontId="2"/>
  </si>
  <si>
    <r>
      <t>○各宿泊施設のファンクションルーム単価は各シートにて積算、その合計を拾っている（</t>
    </r>
    <r>
      <rPr>
        <b/>
        <sz val="11"/>
        <color rgb="FFFF0000"/>
        <rFont val="ＭＳ Ｐゴシック"/>
        <family val="3"/>
        <charset val="128"/>
        <scheme val="minor"/>
      </rPr>
      <t>Q列※選手、ファミリー、本部ホテルのみ</t>
    </r>
    <r>
      <rPr>
        <sz val="11"/>
        <color rgb="FFFF0000"/>
        <rFont val="ＭＳ Ｐゴシック"/>
        <family val="3"/>
        <charset val="128"/>
        <scheme val="minor"/>
      </rPr>
      <t>）</t>
    </r>
    <rPh sb="1" eb="6">
      <t>カクシュクハクシセツ</t>
    </rPh>
    <rPh sb="17" eb="19">
      <t>タンカ</t>
    </rPh>
    <rPh sb="20" eb="21">
      <t>カク</t>
    </rPh>
    <rPh sb="26" eb="28">
      <t>セキサン</t>
    </rPh>
    <rPh sb="31" eb="33">
      <t>ゴウケイ</t>
    </rPh>
    <rPh sb="34" eb="35">
      <t>ヒロ</t>
    </rPh>
    <rPh sb="41" eb="42">
      <t>レツ</t>
    </rPh>
    <rPh sb="43" eb="45">
      <t>センシュ</t>
    </rPh>
    <rPh sb="52" eb="54">
      <t>ホンブ</t>
    </rPh>
    <phoneticPr fontId="2"/>
  </si>
  <si>
    <r>
      <t>○</t>
    </r>
    <r>
      <rPr>
        <b/>
        <sz val="11"/>
        <color rgb="FFFF0000"/>
        <rFont val="ＭＳ Ｐゴシック"/>
        <family val="3"/>
        <charset val="128"/>
        <scheme val="minor"/>
      </rPr>
      <t>Q列</t>
    </r>
    <r>
      <rPr>
        <sz val="11"/>
        <color rgb="FFFF0000"/>
        <rFont val="ＭＳ Ｐゴシック"/>
        <family val="3"/>
        <charset val="128"/>
        <scheme val="minor"/>
      </rPr>
      <t>を各シートのファンクション合計数（</t>
    </r>
    <r>
      <rPr>
        <b/>
        <sz val="11"/>
        <color rgb="FFFF0000"/>
        <rFont val="ＭＳ Ｐゴシック"/>
        <family val="3"/>
        <charset val="128"/>
        <scheme val="minor"/>
      </rPr>
      <t>I列</t>
    </r>
    <r>
      <rPr>
        <sz val="11"/>
        <color rgb="FFFF0000"/>
        <rFont val="ＭＳ Ｐゴシック"/>
        <family val="3"/>
        <charset val="128"/>
        <scheme val="minor"/>
      </rPr>
      <t>※現在諸事情によりH列）で割って、一室あたりの平均単価を算出（</t>
    </r>
    <r>
      <rPr>
        <b/>
        <sz val="11"/>
        <color rgb="FFFF0000"/>
        <rFont val="ＭＳ Ｐゴシック"/>
        <family val="3"/>
        <charset val="128"/>
        <scheme val="minor"/>
      </rPr>
      <t>R列</t>
    </r>
    <r>
      <rPr>
        <sz val="11"/>
        <color rgb="FFFF0000"/>
        <rFont val="ＭＳ Ｐゴシック"/>
        <family val="3"/>
        <charset val="128"/>
        <scheme val="minor"/>
      </rPr>
      <t>）</t>
    </r>
    <rPh sb="4" eb="5">
      <t>カク</t>
    </rPh>
    <rPh sb="16" eb="18">
      <t>ゴウケイ</t>
    </rPh>
    <rPh sb="18" eb="19">
      <t>スウ</t>
    </rPh>
    <rPh sb="23" eb="25">
      <t>ゲンザイ</t>
    </rPh>
    <rPh sb="25" eb="28">
      <t>ショジジョウ</t>
    </rPh>
    <rPh sb="32" eb="33">
      <t>レツ</t>
    </rPh>
    <phoneticPr fontId="2"/>
  </si>
  <si>
    <r>
      <t>○</t>
    </r>
    <r>
      <rPr>
        <b/>
        <sz val="11"/>
        <color rgb="FFFF0000"/>
        <rFont val="ＭＳ Ｐゴシック"/>
        <family val="3"/>
        <charset val="128"/>
        <scheme val="minor"/>
      </rPr>
      <t>宿泊施設毎</t>
    </r>
    <r>
      <rPr>
        <sz val="11"/>
        <color rgb="FFFF0000"/>
        <rFont val="ＭＳ Ｐゴシック"/>
        <family val="3"/>
        <charset val="128"/>
        <scheme val="minor"/>
      </rPr>
      <t>の客室の合計金額算出方法：</t>
    </r>
    <r>
      <rPr>
        <b/>
        <sz val="11"/>
        <color rgb="FFFF0000"/>
        <rFont val="ＭＳ Ｐゴシック"/>
        <family val="3"/>
        <charset val="128"/>
        <scheme val="minor"/>
      </rPr>
      <t>一室あたりの平均単価（T列）×利用室数（X列～AB列）×泊数（AK列～AU列）</t>
    </r>
    <rPh sb="1" eb="5">
      <t>シュクハクシセツ</t>
    </rPh>
    <rPh sb="5" eb="6">
      <t>ゴト</t>
    </rPh>
    <rPh sb="7" eb="9">
      <t>キャクシツ</t>
    </rPh>
    <rPh sb="10" eb="12">
      <t>ゴウケイ</t>
    </rPh>
    <rPh sb="12" eb="14">
      <t>キンガク</t>
    </rPh>
    <rPh sb="14" eb="18">
      <t>サンシュツホウホウ</t>
    </rPh>
    <rPh sb="19" eb="21">
      <t>イッシツ</t>
    </rPh>
    <rPh sb="25" eb="29">
      <t>ヘイキンタンカ</t>
    </rPh>
    <rPh sb="31" eb="32">
      <t>レツ</t>
    </rPh>
    <rPh sb="34" eb="38">
      <t>リヨウシツスウ</t>
    </rPh>
    <rPh sb="40" eb="41">
      <t>レツ</t>
    </rPh>
    <rPh sb="44" eb="45">
      <t>レツ</t>
    </rPh>
    <rPh sb="47" eb="49">
      <t>ハクスウ</t>
    </rPh>
    <rPh sb="52" eb="53">
      <t>レツ</t>
    </rPh>
    <rPh sb="56" eb="57">
      <t>レツ</t>
    </rPh>
    <phoneticPr fontId="2"/>
  </si>
  <si>
    <r>
      <t>○</t>
    </r>
    <r>
      <rPr>
        <b/>
        <sz val="11"/>
        <color rgb="FFFF0000"/>
        <rFont val="ＭＳ Ｐゴシック"/>
        <family val="3"/>
        <charset val="128"/>
        <scheme val="minor"/>
      </rPr>
      <t>宿泊施設毎</t>
    </r>
    <r>
      <rPr>
        <sz val="11"/>
        <color rgb="FFFF0000"/>
        <rFont val="ＭＳ Ｐゴシック"/>
        <family val="3"/>
        <charset val="128"/>
        <scheme val="minor"/>
      </rPr>
      <t>のファンクションルームの合計金額算出方法：</t>
    </r>
    <r>
      <rPr>
        <b/>
        <sz val="11"/>
        <color rgb="FFFF0000"/>
        <rFont val="ＭＳ Ｐゴシック"/>
        <family val="3"/>
        <charset val="128"/>
        <scheme val="minor"/>
      </rPr>
      <t>一室あたりの平均単価（R列）×利用室数（I列</t>
    </r>
    <r>
      <rPr>
        <sz val="11"/>
        <color rgb="FFFF0000"/>
        <rFont val="ＭＳ Ｐゴシック"/>
        <family val="3"/>
        <charset val="128"/>
        <scheme val="minor"/>
      </rPr>
      <t>※現在諸事情によりH列</t>
    </r>
    <r>
      <rPr>
        <b/>
        <sz val="11"/>
        <color rgb="FFFF0000"/>
        <rFont val="ＭＳ Ｐゴシック"/>
        <family val="3"/>
        <charset val="128"/>
        <scheme val="minor"/>
      </rPr>
      <t>）×泊数(AK列～AU列)</t>
    </r>
    <rPh sb="27" eb="29">
      <t>イッシツ</t>
    </rPh>
    <rPh sb="33" eb="37">
      <t>ヘイキンタンカ</t>
    </rPh>
    <rPh sb="39" eb="40">
      <t>レツ</t>
    </rPh>
    <rPh sb="42" eb="46">
      <t>リヨウシツスウ</t>
    </rPh>
    <rPh sb="48" eb="49">
      <t>レツ</t>
    </rPh>
    <rPh sb="50" eb="52">
      <t>ゲンザイ</t>
    </rPh>
    <rPh sb="52" eb="55">
      <t>ショジジョウ</t>
    </rPh>
    <rPh sb="59" eb="60">
      <t>レツ</t>
    </rPh>
    <rPh sb="62" eb="64">
      <t>ハクスウ</t>
    </rPh>
    <rPh sb="67" eb="68">
      <t>レツ</t>
    </rPh>
    <rPh sb="71" eb="72">
      <t>レツ</t>
    </rPh>
    <phoneticPr fontId="2"/>
  </si>
  <si>
    <t>○選手について、ホテルの入れ替えを実施。</t>
    <rPh sb="1" eb="3">
      <t>センシュ</t>
    </rPh>
    <rPh sb="12" eb="13">
      <t>イ</t>
    </rPh>
    <rPh sb="14" eb="15">
      <t>カ</t>
    </rPh>
    <rPh sb="17" eb="19">
      <t>ジッシ</t>
    </rPh>
    <phoneticPr fontId="2"/>
  </si>
  <si>
    <t>○選手以外について、ホテル毎の宿泊費合計÷総客室数（平均単価を算出）×シミュレーションの室数×泊数で計算している</t>
    <rPh sb="1" eb="3">
      <t>センシュ</t>
    </rPh>
    <rPh sb="3" eb="5">
      <t>イガイ</t>
    </rPh>
    <rPh sb="13" eb="14">
      <t>ゴト</t>
    </rPh>
    <rPh sb="15" eb="18">
      <t>シュクハクヒ</t>
    </rPh>
    <rPh sb="18" eb="20">
      <t>ゴウケイ</t>
    </rPh>
    <rPh sb="21" eb="25">
      <t>ソウキャクシツスウ</t>
    </rPh>
    <rPh sb="26" eb="30">
      <t>ヘイキンタンカ</t>
    </rPh>
    <rPh sb="31" eb="33">
      <t>サンシュツ</t>
    </rPh>
    <rPh sb="44" eb="46">
      <t>シツスウ</t>
    </rPh>
    <rPh sb="47" eb="49">
      <t>ハクスウ</t>
    </rPh>
    <rPh sb="50" eb="52">
      <t>ケイサン</t>
    </rPh>
    <phoneticPr fontId="2"/>
  </si>
  <si>
    <t>○選手について、ホテル毎の宿泊費合計×泊数で計算している（ホテル毎のシートで利用する客室数を調整しているため）</t>
    <rPh sb="1" eb="3">
      <t>センシュ</t>
    </rPh>
    <rPh sb="11" eb="12">
      <t>ゴト</t>
    </rPh>
    <rPh sb="13" eb="16">
      <t>シュクハクヒ</t>
    </rPh>
    <rPh sb="16" eb="18">
      <t>ゴウケイ</t>
    </rPh>
    <rPh sb="19" eb="21">
      <t>ハクスウ</t>
    </rPh>
    <rPh sb="22" eb="24">
      <t>ケイサン</t>
    </rPh>
    <rPh sb="32" eb="33">
      <t>ゴト</t>
    </rPh>
    <rPh sb="38" eb="40">
      <t>リヨウ</t>
    </rPh>
    <rPh sb="42" eb="44">
      <t>キャクシツ</t>
    </rPh>
    <rPh sb="44" eb="45">
      <t>スウ</t>
    </rPh>
    <rPh sb="46" eb="48">
      <t>チョウセイ</t>
    </rPh>
    <phoneticPr fontId="2"/>
  </si>
  <si>
    <t>○ファンクションルームについては、選手と同様の考え方</t>
    <rPh sb="17" eb="19">
      <t>センシュ</t>
    </rPh>
    <rPh sb="20" eb="22">
      <t>ドウヨウ</t>
    </rPh>
    <rPh sb="23" eb="24">
      <t>カンガ</t>
    </rPh>
    <rPh sb="25" eb="26">
      <t>カタ</t>
    </rPh>
    <phoneticPr fontId="2"/>
  </si>
  <si>
    <r>
      <t xml:space="preserve">食費合計
</t>
    </r>
    <r>
      <rPr>
        <b/>
        <sz val="10"/>
        <color theme="1"/>
        <rFont val="ＭＳ Ｐゴシック"/>
        <family val="3"/>
        <charset val="128"/>
        <scheme val="minor"/>
      </rPr>
      <t>選手の場合はｱｽﾘｰﾄﾐｰﾙ差額</t>
    </r>
    <rPh sb="0" eb="2">
      <t>ショクヒ</t>
    </rPh>
    <rPh sb="2" eb="4">
      <t>ゴウケイ</t>
    </rPh>
    <rPh sb="5" eb="7">
      <t>センシュ</t>
    </rPh>
    <rPh sb="8" eb="10">
      <t>バアイ</t>
    </rPh>
    <rPh sb="19" eb="21">
      <t>サガク</t>
    </rPh>
    <phoneticPr fontId="2"/>
  </si>
  <si>
    <t>その他（営業補償等）計</t>
    <rPh sb="2" eb="3">
      <t>タ</t>
    </rPh>
    <rPh sb="4" eb="8">
      <t>エイギョウホショウ</t>
    </rPh>
    <rPh sb="8" eb="9">
      <t>ナド</t>
    </rPh>
    <rPh sb="10" eb="11">
      <t>ケイ</t>
    </rPh>
    <phoneticPr fontId="2"/>
  </si>
  <si>
    <t>その他（営業補償等２）計
自販機</t>
    <rPh sb="2" eb="3">
      <t>タ</t>
    </rPh>
    <rPh sb="4" eb="8">
      <t>エイギョウホショウ</t>
    </rPh>
    <rPh sb="8" eb="9">
      <t>ナド</t>
    </rPh>
    <rPh sb="11" eb="12">
      <t>ケイ</t>
    </rPh>
    <rPh sb="13" eb="16">
      <t>ジハンキ</t>
    </rPh>
    <phoneticPr fontId="2"/>
  </si>
  <si>
    <t>その他（営業補償等２）計
テナント</t>
    <rPh sb="2" eb="3">
      <t>タ</t>
    </rPh>
    <rPh sb="4" eb="8">
      <t>エイギョウホショウ</t>
    </rPh>
    <rPh sb="8" eb="9">
      <t>ナド</t>
    </rPh>
    <rPh sb="11" eb="12">
      <t>ケイ</t>
    </rPh>
    <phoneticPr fontId="2"/>
  </si>
  <si>
    <t>ランドリーサービス費
（ファミリーのみ）</t>
    <rPh sb="9" eb="10">
      <t>ヒ</t>
    </rPh>
    <phoneticPr fontId="2"/>
  </si>
  <si>
    <t>差額</t>
    <rPh sb="0" eb="2">
      <t>サガク</t>
    </rPh>
    <phoneticPr fontId="2"/>
  </si>
  <si>
    <t>食費合計</t>
    <rPh sb="0" eb="2">
      <t>ショクヒ</t>
    </rPh>
    <rPh sb="2" eb="4">
      <t>ゴウケイ</t>
    </rPh>
    <phoneticPr fontId="2"/>
  </si>
  <si>
    <t>アジア　選手</t>
    <rPh sb="4" eb="6">
      <t>センシュ</t>
    </rPh>
    <phoneticPr fontId="2"/>
  </si>
  <si>
    <t>パラ　選手</t>
    <rPh sb="3" eb="5">
      <t>センシュ</t>
    </rPh>
    <phoneticPr fontId="2"/>
  </si>
  <si>
    <t>パラ　ファミリー</t>
    <phoneticPr fontId="2"/>
  </si>
  <si>
    <t>パラ　技術役員</t>
    <rPh sb="3" eb="7">
      <t>ギジュツヤクイン</t>
    </rPh>
    <phoneticPr fontId="2"/>
  </si>
  <si>
    <t>パラ　スポンサー</t>
    <phoneticPr fontId="2"/>
  </si>
  <si>
    <t>パラ　メディア</t>
    <phoneticPr fontId="2"/>
  </si>
  <si>
    <t>ランドリーサービス費計</t>
    <rPh sb="9" eb="10">
      <t>ヒ</t>
    </rPh>
    <rPh sb="10" eb="11">
      <t>ケイ</t>
    </rPh>
    <phoneticPr fontId="2"/>
  </si>
  <si>
    <t>アジア計</t>
    <rPh sb="3" eb="4">
      <t>ケイ</t>
    </rPh>
    <phoneticPr fontId="2"/>
  </si>
  <si>
    <t>パラ計</t>
    <rPh sb="2" eb="3">
      <t>ケイ</t>
    </rPh>
    <phoneticPr fontId="2"/>
  </si>
  <si>
    <t>ホテル独自見積</t>
    <rPh sb="3" eb="5">
      <t>ドクジ</t>
    </rPh>
    <rPh sb="5" eb="7">
      <t>ミツ</t>
    </rPh>
    <phoneticPr fontId="2"/>
  </si>
  <si>
    <t>1/20シミュ（射撃が豊田Ver.）</t>
    <phoneticPr fontId="2"/>
  </si>
  <si>
    <t>非表示</t>
    <rPh sb="0" eb="3">
      <t>ヒヒョウジ</t>
    </rPh>
    <phoneticPr fontId="2"/>
  </si>
  <si>
    <t>編集中</t>
    <rPh sb="0" eb="3">
      <t>ヘンシュウチュウ</t>
    </rPh>
    <phoneticPr fontId="2"/>
  </si>
  <si>
    <r>
      <rPr>
        <b/>
        <sz val="16"/>
        <color theme="1"/>
        <rFont val="Meiryo UI"/>
        <family val="3"/>
        <charset val="128"/>
      </rPr>
      <t>非表示</t>
    </r>
    <r>
      <rPr>
        <sz val="16"/>
        <color theme="1"/>
        <rFont val="Meiryo UI"/>
        <family val="3"/>
        <charset val="128"/>
      </rPr>
      <t>※全棟貸切：企業契約や長期滞在者を除く貸切をイメージ</t>
    </r>
    <rPh sb="0" eb="3">
      <t>ヒヒョウジ</t>
    </rPh>
    <rPh sb="4" eb="8">
      <t>ゼントウカシキリ</t>
    </rPh>
    <rPh sb="9" eb="11">
      <t>キギョウ</t>
    </rPh>
    <rPh sb="11" eb="13">
      <t>ケイヤク</t>
    </rPh>
    <rPh sb="14" eb="16">
      <t>チョウキ</t>
    </rPh>
    <rPh sb="16" eb="18">
      <t>タイザイ</t>
    </rPh>
    <rPh sb="18" eb="19">
      <t>シャ</t>
    </rPh>
    <rPh sb="20" eb="21">
      <t>ノゾ</t>
    </rPh>
    <rPh sb="22" eb="24">
      <t>カシキリ</t>
    </rPh>
    <phoneticPr fontId="2"/>
  </si>
  <si>
    <t>総長レク時非表示？</t>
    <rPh sb="0" eb="2">
      <t>ソウチョウ</t>
    </rPh>
    <rPh sb="4" eb="5">
      <t>ジ</t>
    </rPh>
    <rPh sb="5" eb="8">
      <t>ヒヒョウジ</t>
    </rPh>
    <phoneticPr fontId="2"/>
  </si>
  <si>
    <t>一日あたり
客室総額
（税込）</t>
    <rPh sb="0" eb="2">
      <t>イチニチ</t>
    </rPh>
    <rPh sb="6" eb="8">
      <t>キャクシツ</t>
    </rPh>
    <rPh sb="8" eb="10">
      <t>ソウガク</t>
    </rPh>
    <rPh sb="12" eb="14">
      <t>ゼイコ</t>
    </rPh>
    <phoneticPr fontId="2"/>
  </si>
  <si>
    <t>利用想定
客室数</t>
    <rPh sb="0" eb="4">
      <t>リヨウソウテイ</t>
    </rPh>
    <rPh sb="5" eb="7">
      <t>キャクシツ</t>
    </rPh>
    <rPh sb="7" eb="8">
      <t>スウ</t>
    </rPh>
    <phoneticPr fontId="2"/>
  </si>
  <si>
    <t>収容可能人数</t>
    <rPh sb="0" eb="2">
      <t>シュウヨウ</t>
    </rPh>
    <rPh sb="2" eb="4">
      <t>カノウ</t>
    </rPh>
    <rPh sb="4" eb="6">
      <t>ニンズウ</t>
    </rPh>
    <phoneticPr fontId="2"/>
  </si>
  <si>
    <t>平均宿泊人数</t>
    <rPh sb="0" eb="2">
      <t>ヘイキン</t>
    </rPh>
    <rPh sb="2" eb="4">
      <t>シュクハク</t>
    </rPh>
    <rPh sb="4" eb="6">
      <t>ニンズウ</t>
    </rPh>
    <phoneticPr fontId="2"/>
  </si>
  <si>
    <t>一日あたりﾌｧﾝｸｼｮﾝ総額
（税込）</t>
    <rPh sb="0" eb="2">
      <t>イチニチ</t>
    </rPh>
    <rPh sb="12" eb="14">
      <t>ソウガク</t>
    </rPh>
    <rPh sb="17" eb="18">
      <t>コミ</t>
    </rPh>
    <phoneticPr fontId="2"/>
  </si>
  <si>
    <t>ﾌｧﾝｸｼｮﾝ
利用想定数</t>
    <rPh sb="8" eb="10">
      <t>リヨウ</t>
    </rPh>
    <rPh sb="10" eb="12">
      <t>ソウテイ</t>
    </rPh>
    <rPh sb="12" eb="13">
      <t>スウ</t>
    </rPh>
    <phoneticPr fontId="2"/>
  </si>
  <si>
    <t>客室総計
（税込）</t>
    <rPh sb="0" eb="2">
      <t>キャクシツ</t>
    </rPh>
    <rPh sb="2" eb="4">
      <t>ソウケイ</t>
    </rPh>
    <rPh sb="7" eb="8">
      <t>コミ</t>
    </rPh>
    <phoneticPr fontId="2"/>
  </si>
  <si>
    <t>ﾌｧﾝｸｼｮﾝ
総計
（税込）</t>
    <rPh sb="8" eb="10">
      <t>ソウケイ</t>
    </rPh>
    <rPh sb="13" eb="14">
      <t>コミ</t>
    </rPh>
    <phoneticPr fontId="2"/>
  </si>
  <si>
    <t>入湯税or宿泊税</t>
    <rPh sb="0" eb="3">
      <t>ニュウトウゼイ</t>
    </rPh>
    <rPh sb="5" eb="8">
      <t>シュクハクゼイ</t>
    </rPh>
    <phoneticPr fontId="2"/>
  </si>
  <si>
    <t>その他</t>
    <rPh sb="2" eb="3">
      <t>タ</t>
    </rPh>
    <phoneticPr fontId="2"/>
  </si>
  <si>
    <t>終了日</t>
    <rPh sb="0" eb="3">
      <t>シュウリョウビ</t>
    </rPh>
    <phoneticPr fontId="2"/>
  </si>
  <si>
    <t>確保
泊数</t>
    <rPh sb="0" eb="2">
      <t>カクホ</t>
    </rPh>
    <rPh sb="3" eb="5">
      <t>ハクスウ</t>
    </rPh>
    <phoneticPr fontId="2"/>
  </si>
  <si>
    <t>練習会場①</t>
    <rPh sb="0" eb="4">
      <t>レンシュウカイジョウ</t>
    </rPh>
    <phoneticPr fontId="2"/>
  </si>
  <si>
    <t>練習会場②</t>
    <rPh sb="0" eb="4">
      <t>レンシュウカイジョウ</t>
    </rPh>
    <phoneticPr fontId="2"/>
  </si>
  <si>
    <t>練習会場③</t>
    <rPh sb="0" eb="4">
      <t>レンシュウカイジョウ</t>
    </rPh>
    <phoneticPr fontId="2"/>
  </si>
  <si>
    <t>練習会場④</t>
    <rPh sb="0" eb="4">
      <t>レンシュウカイジョウ</t>
    </rPh>
    <phoneticPr fontId="2"/>
  </si>
  <si>
    <t>契約交渉状況</t>
    <rPh sb="0" eb="4">
      <t>ケイヤクコウショウ</t>
    </rPh>
    <rPh sb="4" eb="6">
      <t>ジョウキョウ</t>
    </rPh>
    <phoneticPr fontId="2"/>
  </si>
  <si>
    <t>見積もり取得状況</t>
    <rPh sb="0" eb="2">
      <t>ミツ</t>
    </rPh>
    <rPh sb="4" eb="6">
      <t>シュトク</t>
    </rPh>
    <rPh sb="6" eb="8">
      <t>ジョウキョウ</t>
    </rPh>
    <phoneticPr fontId="2"/>
  </si>
  <si>
    <t>一人当たり
平均単価
（税込）</t>
    <rPh sb="0" eb="3">
      <t>ヒトリア</t>
    </rPh>
    <rPh sb="6" eb="10">
      <t>ヘイキンタンカ</t>
    </rPh>
    <rPh sb="12" eb="14">
      <t>ゼイコミ</t>
    </rPh>
    <phoneticPr fontId="2"/>
  </si>
  <si>
    <t>食費</t>
    <rPh sb="0" eb="2">
      <t>ショクヒ</t>
    </rPh>
    <phoneticPr fontId="2"/>
  </si>
  <si>
    <t>客室数</t>
    <rPh sb="0" eb="3">
      <t>キャクシツスウ</t>
    </rPh>
    <phoneticPr fontId="59"/>
  </si>
  <si>
    <t>通常食合計</t>
    <rPh sb="0" eb="3">
      <t>ツウジョウショク</t>
    </rPh>
    <rPh sb="3" eb="5">
      <t>ゴウケイ</t>
    </rPh>
    <phoneticPr fontId="2"/>
  </si>
  <si>
    <t>ハラルヴィーガン合計</t>
    <rPh sb="8" eb="10">
      <t>ゴウケイ</t>
    </rPh>
    <phoneticPr fontId="2"/>
  </si>
  <si>
    <t>営業補償等</t>
    <rPh sb="0" eb="4">
      <t>エイギョウホショウ</t>
    </rPh>
    <rPh sb="4" eb="5">
      <t>ナド</t>
    </rPh>
    <phoneticPr fontId="2"/>
  </si>
  <si>
    <t>クリーンベニュー
営業補償 自販機</t>
    <rPh sb="9" eb="13">
      <t>エイギョウホショウ</t>
    </rPh>
    <rPh sb="14" eb="17">
      <t>ジハンキ</t>
    </rPh>
    <phoneticPr fontId="2"/>
  </si>
  <si>
    <t>クリーンベニュー
営業補償 テナント</t>
    <rPh sb="9" eb="13">
      <t>エイギョウホショウ</t>
    </rPh>
    <phoneticPr fontId="2"/>
  </si>
  <si>
    <t>施設合計</t>
    <rPh sb="0" eb="2">
      <t>シセツ</t>
    </rPh>
    <rPh sb="2" eb="4">
      <t>ゴウケイ</t>
    </rPh>
    <phoneticPr fontId="2"/>
  </si>
  <si>
    <t>1031有無</t>
    <rPh sb="4" eb="6">
      <t>ウム</t>
    </rPh>
    <phoneticPr fontId="2"/>
  </si>
  <si>
    <t>火</t>
    <phoneticPr fontId="2"/>
  </si>
  <si>
    <t>のべ宿泊</t>
    <rPh sb="2" eb="4">
      <t>シュクハク</t>
    </rPh>
    <phoneticPr fontId="2"/>
  </si>
  <si>
    <t>積算金額確認用</t>
    <rPh sb="0" eb="4">
      <t>セキサンキンガク</t>
    </rPh>
    <rPh sb="4" eb="7">
      <t>カクニンヨウ</t>
    </rPh>
    <phoneticPr fontId="2"/>
  </si>
  <si>
    <t>有</t>
    <rPh sb="0" eb="1">
      <t>アリ</t>
    </rPh>
    <phoneticPr fontId="2"/>
  </si>
  <si>
    <t>ー</t>
    <phoneticPr fontId="2"/>
  </si>
  <si>
    <t>みよし市</t>
  </si>
  <si>
    <t>愛知国際アリーナ</t>
  </si>
  <si>
    <t>愛知県武道館</t>
  </si>
  <si>
    <t>名古屋市東山公園テニスセンター</t>
  </si>
  <si>
    <t>名古屋市中小企業振興会館</t>
  </si>
  <si>
    <t>総合格闘技</t>
    <rPh sb="0" eb="5">
      <t>ソウゴウカクトウギ</t>
    </rPh>
    <phoneticPr fontId="2"/>
  </si>
  <si>
    <t>移動式宿泊施設</t>
    <rPh sb="0" eb="7">
      <t>イドウシキシュクハクシセツ</t>
    </rPh>
    <phoneticPr fontId="2"/>
  </si>
  <si>
    <t>日進市</t>
  </si>
  <si>
    <t>名古屋東急ホテル</t>
    <rPh sb="0" eb="5">
      <t>ナゴヤトウキュウ</t>
    </rPh>
    <phoneticPr fontId="2"/>
  </si>
  <si>
    <t>0121_名古屋東急ホテル</t>
  </si>
  <si>
    <t>無</t>
    <rPh sb="0" eb="1">
      <t>ナシ</t>
    </rPh>
    <phoneticPr fontId="2"/>
  </si>
  <si>
    <t>見積取得済</t>
  </si>
  <si>
    <t>要</t>
    <rPh sb="0" eb="1">
      <t>ヨウ</t>
    </rPh>
    <phoneticPr fontId="2"/>
  </si>
  <si>
    <t>一宮市総合体育館</t>
  </si>
  <si>
    <t>無</t>
    <rPh sb="0" eb="1">
      <t>ナ</t>
    </rPh>
    <phoneticPr fontId="2"/>
  </si>
  <si>
    <t>0024_ホテルメルパルク名古屋</t>
  </si>
  <si>
    <t>ホテルJALシティ名古屋　錦</t>
  </si>
  <si>
    <t>グリーンリッチホテル名古屋錦</t>
  </si>
  <si>
    <t>アパホテル&lt;名古屋錦&gt; EXCELLENT</t>
  </si>
  <si>
    <t>契約書提示中</t>
  </si>
  <si>
    <t>ホテルミュースタイル犬山エクスペリエンス</t>
    <rPh sb="10" eb="12">
      <t>イヌヤマ</t>
    </rPh>
    <phoneticPr fontId="2"/>
  </si>
  <si>
    <t>1007_ホテルミュースタイル犬山エクスペリエンス</t>
  </si>
  <si>
    <t>0299_東横INN中部国際空港2</t>
  </si>
  <si>
    <t>名古屋市瑞穂公園陸上競技場</t>
  </si>
  <si>
    <t>0300_東横INN中部国際空港1</t>
  </si>
  <si>
    <t>中部国際空港セントレアホテル</t>
    <rPh sb="0" eb="6">
      <t>チュウブコクサイクウコウ</t>
    </rPh>
    <phoneticPr fontId="2"/>
  </si>
  <si>
    <t>宿泊施設</t>
    <phoneticPr fontId="2"/>
  </si>
  <si>
    <t>付近に乗降場無し（空港乗降場所）</t>
  </si>
  <si>
    <t>0298_フォーポイントバイシェラトン名古屋中部空港</t>
  </si>
  <si>
    <t>0304_J・ホテルりんくう</t>
  </si>
  <si>
    <t>0221_ホテルグランドティアラ南名古屋</t>
  </si>
  <si>
    <t>東横INN三河安城駅新幹線南口１</t>
    <rPh sb="0" eb="2">
      <t>トウヨコ</t>
    </rPh>
    <rPh sb="5" eb="9">
      <t>ミカワアンジョウ</t>
    </rPh>
    <rPh sb="9" eb="10">
      <t>エキ</t>
    </rPh>
    <rPh sb="10" eb="15">
      <t>シンカンセンミナミグチ</t>
    </rPh>
    <phoneticPr fontId="2"/>
  </si>
  <si>
    <t>0220_東横INN三河安城駅新幹線南口1</t>
  </si>
  <si>
    <t>東横INN三河安城駅新幹線南口２</t>
    <rPh sb="0" eb="2">
      <t>トウヨコ</t>
    </rPh>
    <rPh sb="5" eb="10">
      <t>ミカワアンジョウエキ</t>
    </rPh>
    <rPh sb="10" eb="13">
      <t>シンカンセン</t>
    </rPh>
    <rPh sb="13" eb="15">
      <t>ミナミグチ</t>
    </rPh>
    <phoneticPr fontId="2"/>
  </si>
  <si>
    <t>0219_東横INN三河安城駅新幹線南口2</t>
  </si>
  <si>
    <t>0223_天然温泉三州の湯ドーミーインEXPRESS三河安城</t>
  </si>
  <si>
    <t>HOTEL LiVEMAX三河安城駅前</t>
  </si>
  <si>
    <t>72</t>
  </si>
  <si>
    <t>0</t>
  </si>
  <si>
    <t>0201_全トヨタ労連研修センター つどいの丘</t>
  </si>
  <si>
    <t>0206_トヨタキャッスルホテル</t>
  </si>
  <si>
    <t>スカイホール豊田</t>
  </si>
  <si>
    <t>0210_名鉄トヨタホテル</t>
  </si>
  <si>
    <t>ホテル三河　海陽閣</t>
    <rPh sb="3" eb="5">
      <t>ミカワ</t>
    </rPh>
    <rPh sb="6" eb="8">
      <t>カイヨウ</t>
    </rPh>
    <rPh sb="8" eb="9">
      <t>カク</t>
    </rPh>
    <phoneticPr fontId="2"/>
  </si>
  <si>
    <t>1015_ホテル三河　海陽閣</t>
  </si>
  <si>
    <t>ホテル平野屋</t>
    <rPh sb="3" eb="6">
      <t>ヒラノヤ</t>
    </rPh>
    <phoneticPr fontId="2"/>
  </si>
  <si>
    <t>0252_株式会社平野屋</t>
  </si>
  <si>
    <t>0245_変なホテルラグーナテンボス</t>
  </si>
  <si>
    <t>不要</t>
    <rPh sb="0" eb="2">
      <t>フヨウ</t>
    </rPh>
    <phoneticPr fontId="2"/>
  </si>
  <si>
    <t>0261_ホテル竹島</t>
  </si>
  <si>
    <t>ホテル明山荘</t>
    <rPh sb="3" eb="4">
      <t>アカ</t>
    </rPh>
    <rPh sb="4" eb="5">
      <t>ヤマ</t>
    </rPh>
    <rPh sb="5" eb="6">
      <t>ソウ</t>
    </rPh>
    <phoneticPr fontId="2"/>
  </si>
  <si>
    <t>0249_ホテル明山荘</t>
  </si>
  <si>
    <t>1003_ホテルルートイン新城</t>
  </si>
  <si>
    <t>伊良湖オーシャンリゾート</t>
    <phoneticPr fontId="2"/>
  </si>
  <si>
    <t>1029_伊良湖オーシャンリゾート</t>
  </si>
  <si>
    <t>0281_ロワジール豊橋</t>
  </si>
  <si>
    <t>豊橋市総合体育館</t>
  </si>
  <si>
    <t>2026_岐阜グランドホテル</t>
  </si>
  <si>
    <t>各務原市</t>
  </si>
  <si>
    <t>2027_都ホテル岐阜長良川</t>
  </si>
  <si>
    <t>2032_大垣フォーラムホテル</t>
  </si>
  <si>
    <t>2045_クインテッサホテル大垣</t>
  </si>
  <si>
    <t>2022_ホテルラフォーレ修善寺</t>
  </si>
  <si>
    <t>伊豆ベロドローム</t>
  </si>
  <si>
    <t>2016_つま恋リゾート彩の郷</t>
  </si>
  <si>
    <t>掛川グランドホテル</t>
    <rPh sb="0" eb="2">
      <t>カケガワ</t>
    </rPh>
    <phoneticPr fontId="2"/>
  </si>
  <si>
    <t>2041_ホテルコンコルド浜松</t>
  </si>
  <si>
    <t>グランドメルキュール浜名湖リゾート＆スパ</t>
  </si>
  <si>
    <t>2008_ホテルアゴーラリージェンシー大阪堺</t>
  </si>
  <si>
    <t>日本青年館ホテル</t>
    <rPh sb="0" eb="5">
      <t>ニホンセイネンカン</t>
    </rPh>
    <phoneticPr fontId="2"/>
  </si>
  <si>
    <t>JRA馬事公苑</t>
  </si>
  <si>
    <t>愛知県内（名古屋市内）</t>
    <rPh sb="0" eb="2">
      <t>アイチ</t>
    </rPh>
    <rPh sb="2" eb="3">
      <t>ケン</t>
    </rPh>
    <rPh sb="3" eb="4">
      <t>ナイ</t>
    </rPh>
    <rPh sb="5" eb="8">
      <t>ナゴヤ</t>
    </rPh>
    <rPh sb="8" eb="10">
      <t>シナイ</t>
    </rPh>
    <phoneticPr fontId="59"/>
  </si>
  <si>
    <t>客室総計</t>
    <rPh sb="0" eb="2">
      <t>キャクシツ</t>
    </rPh>
    <rPh sb="2" eb="4">
      <t>ソウケイ</t>
    </rPh>
    <phoneticPr fontId="2"/>
  </si>
  <si>
    <t>ファンクション総計</t>
    <rPh sb="7" eb="9">
      <t>ソウケイ</t>
    </rPh>
    <phoneticPr fontId="2"/>
  </si>
  <si>
    <t>全体総計</t>
    <rPh sb="0" eb="2">
      <t>ゼンタイ</t>
    </rPh>
    <rPh sb="2" eb="4">
      <t>ソウケイ</t>
    </rPh>
    <phoneticPr fontId="2"/>
  </si>
  <si>
    <t>所在地
市</t>
    <rPh sb="0" eb="3">
      <t>ショザイチ</t>
    </rPh>
    <rPh sb="4" eb="5">
      <t>シ</t>
    </rPh>
    <phoneticPr fontId="59"/>
  </si>
  <si>
    <t>会場名</t>
    <rPh sb="0" eb="2">
      <t>カイジョウ</t>
    </rPh>
    <rPh sb="2" eb="3">
      <t>メイ</t>
    </rPh>
    <phoneticPr fontId="59"/>
  </si>
  <si>
    <t>建築年
・
改築年</t>
    <rPh sb="0" eb="2">
      <t>ケンチク</t>
    </rPh>
    <rPh sb="2" eb="3">
      <t>ドシ</t>
    </rPh>
    <phoneticPr fontId="2"/>
  </si>
  <si>
    <t>競技会場
までの
時間/
距離
※by google</t>
    <rPh sb="0" eb="2">
      <t>キョウギ</t>
    </rPh>
    <rPh sb="2" eb="4">
      <t>カイジョウ</t>
    </rPh>
    <rPh sb="9" eb="11">
      <t>ジカン</t>
    </rPh>
    <rPh sb="13" eb="15">
      <t>キョリ</t>
    </rPh>
    <phoneticPr fontId="59"/>
  </si>
  <si>
    <t>乗降場
有無</t>
    <rPh sb="0" eb="3">
      <t>ジョウコウジョウ</t>
    </rPh>
    <rPh sb="4" eb="6">
      <t>ウム</t>
    </rPh>
    <phoneticPr fontId="59"/>
  </si>
  <si>
    <t>バン
ケット
有無</t>
    <rPh sb="7" eb="9">
      <t>ウム</t>
    </rPh>
    <phoneticPr fontId="59"/>
  </si>
  <si>
    <t>ﾌｨｯﾄﾈｽ有無/想定し得る代案</t>
    <rPh sb="6" eb="8">
      <t>ウム</t>
    </rPh>
    <rPh sb="9" eb="11">
      <t>ソウテイ</t>
    </rPh>
    <rPh sb="12" eb="13">
      <t>ウ</t>
    </rPh>
    <rPh sb="14" eb="16">
      <t>ダイアン</t>
    </rPh>
    <phoneticPr fontId="59"/>
  </si>
  <si>
    <t>サウナ/
大浴場
有無</t>
    <rPh sb="5" eb="8">
      <t>ダイヨクジョウ</t>
    </rPh>
    <rPh sb="9" eb="11">
      <t>ウム</t>
    </rPh>
    <phoneticPr fontId="59"/>
  </si>
  <si>
    <t>レストラン席数</t>
    <rPh sb="5" eb="7">
      <t>セキスウ</t>
    </rPh>
    <phoneticPr fontId="59"/>
  </si>
  <si>
    <t>朝</t>
    <rPh sb="0" eb="1">
      <t>アサ</t>
    </rPh>
    <phoneticPr fontId="59"/>
  </si>
  <si>
    <t>昼</t>
    <rPh sb="0" eb="1">
      <t>ヒル</t>
    </rPh>
    <phoneticPr fontId="59"/>
  </si>
  <si>
    <t>夕</t>
    <rPh sb="0" eb="1">
      <t>ユウ</t>
    </rPh>
    <phoneticPr fontId="59"/>
  </si>
  <si>
    <t>23年度
調査
実施</t>
    <rPh sb="2" eb="4">
      <t>ネンド</t>
    </rPh>
    <rPh sb="5" eb="7">
      <t>チョウサ</t>
    </rPh>
    <rPh sb="8" eb="10">
      <t>ジッシ</t>
    </rPh>
    <phoneticPr fontId="59"/>
  </si>
  <si>
    <t>ユニット※※※</t>
    <phoneticPr fontId="59"/>
  </si>
  <si>
    <t>客室</t>
    <rPh sb="0" eb="2">
      <t>キャクシツ</t>
    </rPh>
    <phoneticPr fontId="59"/>
  </si>
  <si>
    <t>チーム役員数</t>
    <rPh sb="3" eb="5">
      <t>ヤクイン</t>
    </rPh>
    <rPh sb="5" eb="6">
      <t>スウ</t>
    </rPh>
    <phoneticPr fontId="59"/>
  </si>
  <si>
    <t>NPC
数</t>
    <phoneticPr fontId="59"/>
  </si>
  <si>
    <t>選手数
車いす</t>
    <phoneticPr fontId="2"/>
  </si>
  <si>
    <t>選手数
非車いす</t>
  </si>
  <si>
    <t>居室以外に確保客室</t>
    <rPh sb="0" eb="2">
      <t>キョシツ</t>
    </rPh>
    <rPh sb="2" eb="4">
      <t>イガイ</t>
    </rPh>
    <rPh sb="5" eb="7">
      <t>カクホ</t>
    </rPh>
    <rPh sb="7" eb="9">
      <t>キャクシツ</t>
    </rPh>
    <phoneticPr fontId="59"/>
  </si>
  <si>
    <t>所在地
市</t>
    <rPh sb="0" eb="3">
      <t>ショザイチ</t>
    </rPh>
    <rPh sb="4" eb="5">
      <t>シ</t>
    </rPh>
    <phoneticPr fontId="2"/>
  </si>
  <si>
    <t>バリアフリールーム数</t>
    <rPh sb="9" eb="10">
      <t>スウ</t>
    </rPh>
    <phoneticPr fontId="59"/>
  </si>
  <si>
    <t>バリアフリートイレ数</t>
    <rPh sb="9" eb="10">
      <t>カズ</t>
    </rPh>
    <phoneticPr fontId="59"/>
  </si>
  <si>
    <t>EV基数</t>
    <rPh sb="2" eb="4">
      <t>キスウ</t>
    </rPh>
    <phoneticPr fontId="59"/>
  </si>
  <si>
    <t>1基毎の定員</t>
    <rPh sb="1" eb="3">
      <t>キゴト</t>
    </rPh>
    <rPh sb="4" eb="6">
      <t>テイイン</t>
    </rPh>
    <phoneticPr fontId="59"/>
  </si>
  <si>
    <t>タイプ</t>
    <phoneticPr fontId="59"/>
  </si>
  <si>
    <t>ドア幅
（cm）
※※</t>
    <rPh sb="2" eb="3">
      <t>ハバ</t>
    </rPh>
    <phoneticPr fontId="59"/>
  </si>
  <si>
    <t>段差
（cm）
※※</t>
    <rPh sb="0" eb="2">
      <t>ダンサ</t>
    </rPh>
    <phoneticPr fontId="59"/>
  </si>
  <si>
    <t>手すり
有無
※※</t>
    <rPh sb="0" eb="1">
      <t>テ</t>
    </rPh>
    <rPh sb="4" eb="6">
      <t>ウム</t>
    </rPh>
    <phoneticPr fontId="59"/>
  </si>
  <si>
    <t>1日あたり客室総額（税込）</t>
    <rPh sb="1" eb="2">
      <t>ニチ</t>
    </rPh>
    <rPh sb="5" eb="7">
      <t>キャクシツ</t>
    </rPh>
    <rPh sb="7" eb="9">
      <t>ソウガク</t>
    </rPh>
    <rPh sb="10" eb="12">
      <t>ゼイコミ</t>
    </rPh>
    <phoneticPr fontId="2"/>
  </si>
  <si>
    <t>利用想定客室数</t>
    <rPh sb="0" eb="2">
      <t>リヨウ</t>
    </rPh>
    <rPh sb="2" eb="4">
      <t>ソウテイ</t>
    </rPh>
    <rPh sb="4" eb="7">
      <t>キャクシツスウ</t>
    </rPh>
    <phoneticPr fontId="2"/>
  </si>
  <si>
    <t>宿泊
可能人数</t>
    <rPh sb="0" eb="2">
      <t>シュクハク</t>
    </rPh>
    <rPh sb="3" eb="5">
      <t>カノウ</t>
    </rPh>
    <rPh sb="5" eb="7">
      <t>ニンズウ</t>
    </rPh>
    <phoneticPr fontId="2"/>
  </si>
  <si>
    <t>一日あたりﾌｧﾝｸｼｮﾝ総額（税込）</t>
    <rPh sb="0" eb="2">
      <t>イチニチ</t>
    </rPh>
    <rPh sb="12" eb="14">
      <t>ソウガク</t>
    </rPh>
    <rPh sb="15" eb="17">
      <t>ゼイコミ</t>
    </rPh>
    <phoneticPr fontId="2"/>
  </si>
  <si>
    <t>客室総計（税込）</t>
    <rPh sb="0" eb="2">
      <t>キャクシツ</t>
    </rPh>
    <rPh sb="2" eb="4">
      <t>ソウケイ</t>
    </rPh>
    <rPh sb="5" eb="7">
      <t>ゼイコミ</t>
    </rPh>
    <phoneticPr fontId="2"/>
  </si>
  <si>
    <t>ﾌｧﾝｸｼｮﾝ
総計（税込）</t>
    <rPh sb="8" eb="10">
      <t>ソウケイ</t>
    </rPh>
    <rPh sb="11" eb="13">
      <t>ゼイコミ</t>
    </rPh>
    <phoneticPr fontId="2"/>
  </si>
  <si>
    <t>扉外し</t>
    <rPh sb="0" eb="2">
      <t>トビラハズ</t>
    </rPh>
    <phoneticPr fontId="2"/>
  </si>
  <si>
    <t>確保
泊数</t>
    <rPh sb="0" eb="2">
      <t>カクホ</t>
    </rPh>
    <rPh sb="3" eb="4">
      <t>ハク</t>
    </rPh>
    <rPh sb="4" eb="5">
      <t>スウ</t>
    </rPh>
    <phoneticPr fontId="2"/>
  </si>
  <si>
    <t>延べ人数</t>
    <rPh sb="0" eb="1">
      <t>ノ</t>
    </rPh>
    <rPh sb="2" eb="4">
      <t>ニンズウ</t>
    </rPh>
    <phoneticPr fontId="2"/>
  </si>
  <si>
    <t>車いす
バスケット
ボール</t>
    <phoneticPr fontId="59"/>
  </si>
  <si>
    <t>下肢</t>
    <rPh sb="0" eb="2">
      <t>カシ</t>
    </rPh>
    <phoneticPr fontId="59"/>
  </si>
  <si>
    <t>愛知県
新体育館</t>
    <phoneticPr fontId="59"/>
  </si>
  <si>
    <t>リフト付バス
↓
低床バス</t>
    <rPh sb="3" eb="4">
      <t>ツ</t>
    </rPh>
    <rPh sb="9" eb="11">
      <t>テイショウ</t>
    </rPh>
    <phoneticPr fontId="59"/>
  </si>
  <si>
    <t>名古屋
市</t>
    <phoneticPr fontId="2"/>
  </si>
  <si>
    <t>移動式宿泊施設(ガーデンふ頭)</t>
    <rPh sb="0" eb="5">
      <t>イドウシキシュクハク</t>
    </rPh>
    <rPh sb="5" eb="7">
      <t>シセツ</t>
    </rPh>
    <rPh sb="13" eb="14">
      <t>トウ</t>
    </rPh>
    <phoneticPr fontId="59"/>
  </si>
  <si>
    <t>車いす
フェンシング</t>
    <phoneticPr fontId="59"/>
  </si>
  <si>
    <t>名古屋市
稲永
スポーツ
センター</t>
    <phoneticPr fontId="59"/>
  </si>
  <si>
    <t>リフト付バス</t>
    <rPh sb="3" eb="4">
      <t>ツ</t>
    </rPh>
    <phoneticPr fontId="59"/>
  </si>
  <si>
    <t>名古屋市稲永
スポーツセンター</t>
    <phoneticPr fontId="59"/>
  </si>
  <si>
    <t>車いす
テニス</t>
    <phoneticPr fontId="59"/>
  </si>
  <si>
    <t>名古屋市
東山公園
テニスセンター</t>
    <phoneticPr fontId="59"/>
  </si>
  <si>
    <t>名古屋市東山公園
テニスセンター</t>
    <phoneticPr fontId="59"/>
  </si>
  <si>
    <t>卓　　　球</t>
  </si>
  <si>
    <t>上肢
下肢
知的</t>
    <rPh sb="0" eb="2">
      <t>ジョウシ</t>
    </rPh>
    <rPh sb="3" eb="5">
      <t>カシ</t>
    </rPh>
    <rPh sb="6" eb="8">
      <t>チテキ</t>
    </rPh>
    <phoneticPr fontId="59"/>
  </si>
  <si>
    <t>豊田市</t>
    <rPh sb="0" eb="3">
      <t>トヨタシ</t>
    </rPh>
    <phoneticPr fontId="59"/>
  </si>
  <si>
    <t>スカイホール
豊田</t>
    <rPh sb="7" eb="9">
      <t>トヨタ</t>
    </rPh>
    <phoneticPr fontId="59"/>
  </si>
  <si>
    <t>大型観光バス
リフト付バス</t>
    <rPh sb="10" eb="11">
      <t>ツ</t>
    </rPh>
    <phoneticPr fontId="59"/>
  </si>
  <si>
    <t>2018
・
ー</t>
  </si>
  <si>
    <t>独立</t>
    <rPh sb="0" eb="2">
      <t>ドクリツ</t>
    </rPh>
    <phoneticPr fontId="2"/>
  </si>
  <si>
    <t>D-70-74
T-70-74</t>
    <phoneticPr fontId="59"/>
  </si>
  <si>
    <t>D-1-0
T-1-0</t>
    <phoneticPr fontId="59"/>
  </si>
  <si>
    <t>D-有-無
T-有-無</t>
    <rPh sb="2" eb="3">
      <t>アリ</t>
    </rPh>
    <rPh sb="4" eb="5">
      <t>ム</t>
    </rPh>
    <rPh sb="8" eb="9">
      <t>アリ</t>
    </rPh>
    <rPh sb="10" eb="11">
      <t>ム</t>
    </rPh>
    <phoneticPr fontId="59"/>
  </si>
  <si>
    <t>D-81
T-81</t>
    <phoneticPr fontId="59"/>
  </si>
  <si>
    <t>D-可
T-可</t>
    <rPh sb="2" eb="3">
      <t>カ</t>
    </rPh>
    <rPh sb="6" eb="7">
      <t>カ</t>
    </rPh>
    <phoneticPr fontId="59"/>
  </si>
  <si>
    <t>Ｄ-135
Ｔ-130</t>
    <phoneticPr fontId="59"/>
  </si>
  <si>
    <t>スカイホール豊田</t>
    <rPh sb="6" eb="8">
      <t>トヨタ</t>
    </rPh>
    <phoneticPr fontId="59"/>
  </si>
  <si>
    <t>パワー
リフティング</t>
    <phoneticPr fontId="59"/>
  </si>
  <si>
    <t>名古屋市
中小企業
振興会館</t>
    <phoneticPr fontId="59"/>
  </si>
  <si>
    <t>ホテルメルパルク名古屋</t>
    <rPh sb="8" eb="11">
      <t>ナゴヤ</t>
    </rPh>
    <phoneticPr fontId="59"/>
  </si>
  <si>
    <t>2001
・
ー</t>
  </si>
  <si>
    <t>あり</t>
  </si>
  <si>
    <t>なし</t>
  </si>
  <si>
    <t>なし/なし</t>
  </si>
  <si>
    <t>〇</t>
  </si>
  <si>
    <t>済み</t>
    <rPh sb="0" eb="1">
      <t>ス</t>
    </rPh>
    <phoneticPr fontId="59"/>
  </si>
  <si>
    <t>ユニット</t>
  </si>
  <si>
    <t>S-58
T-58</t>
  </si>
  <si>
    <t>S-2
T-1</t>
  </si>
  <si>
    <t>有</t>
    <rPh sb="0" eb="1">
      <t>アリ</t>
    </rPh>
    <phoneticPr fontId="59"/>
  </si>
  <si>
    <t>可</t>
    <rPh sb="0" eb="1">
      <t>カ</t>
    </rPh>
    <phoneticPr fontId="59"/>
  </si>
  <si>
    <t>名古屋市中小企業
振興会館</t>
    <phoneticPr fontId="59"/>
  </si>
  <si>
    <t>要</t>
  </si>
  <si>
    <t>ボッチャ</t>
  </si>
  <si>
    <t>上肢
下肢</t>
    <rPh sb="0" eb="2">
      <t>ジョウシ</t>
    </rPh>
    <rPh sb="3" eb="5">
      <t>カシ</t>
    </rPh>
    <phoneticPr fontId="59"/>
  </si>
  <si>
    <t>名古屋市
総合体育館
[レインボー
ホール]</t>
    <phoneticPr fontId="59"/>
  </si>
  <si>
    <t>リフト付バス
福祉車両</t>
    <rPh sb="7" eb="9">
      <t>フクシ</t>
    </rPh>
    <rPh sb="9" eb="11">
      <t>シャリョウ</t>
    </rPh>
    <phoneticPr fontId="59"/>
  </si>
  <si>
    <t>TIAD</t>
    <phoneticPr fontId="59"/>
  </si>
  <si>
    <t>あり
※バス不可</t>
    <rPh sb="6" eb="8">
      <t>フカ</t>
    </rPh>
    <phoneticPr fontId="59"/>
  </si>
  <si>
    <t>あり/あり</t>
    <phoneticPr fontId="59"/>
  </si>
  <si>
    <t>〇</t>
    <phoneticPr fontId="59"/>
  </si>
  <si>
    <t>独立</t>
    <rPh sb="0" eb="2">
      <t>ドクリツ</t>
    </rPh>
    <phoneticPr fontId="59"/>
  </si>
  <si>
    <t>D-60-57
T-60-57</t>
    <phoneticPr fontId="59"/>
  </si>
  <si>
    <t>D-0-0
T-0-0</t>
    <phoneticPr fontId="59"/>
  </si>
  <si>
    <t>有-無</t>
    <rPh sb="0" eb="1">
      <t>ア</t>
    </rPh>
    <rPh sb="2" eb="3">
      <t>ム</t>
    </rPh>
    <phoneticPr fontId="59"/>
  </si>
  <si>
    <t>D-82
T-82</t>
    <phoneticPr fontId="59"/>
  </si>
  <si>
    <t>130-134</t>
    <phoneticPr fontId="59"/>
  </si>
  <si>
    <t>ＡＮＡクラウンプラザホテル
グランコート名古屋</t>
    <rPh sb="20" eb="23">
      <t>ナゴヤ</t>
    </rPh>
    <phoneticPr fontId="59"/>
  </si>
  <si>
    <t>1999
・
ー</t>
    <phoneticPr fontId="59"/>
  </si>
  <si>
    <t>なし</t>
    <phoneticPr fontId="59"/>
  </si>
  <si>
    <t>あり</t>
    <phoneticPr fontId="59"/>
  </si>
  <si>
    <t>なし/なし</t>
    <phoneticPr fontId="59"/>
  </si>
  <si>
    <t>-</t>
    <phoneticPr fontId="59"/>
  </si>
  <si>
    <t>D・T-ユニット
SU-独立</t>
    <rPh sb="12" eb="14">
      <t>ドクリツ</t>
    </rPh>
    <phoneticPr fontId="59"/>
  </si>
  <si>
    <t>D-90
T-93
SU-60</t>
    <phoneticPr fontId="59"/>
  </si>
  <si>
    <t>D-1
T-1
SU-段差有</t>
    <rPh sb="11" eb="14">
      <t>ダンサアリ</t>
    </rPh>
    <phoneticPr fontId="59"/>
  </si>
  <si>
    <t>D-有
T-有
SU-無</t>
    <rPh sb="2" eb="3">
      <t>アリ</t>
    </rPh>
    <rPh sb="6" eb="7">
      <t>アリ</t>
    </rPh>
    <rPh sb="11" eb="12">
      <t>ム</t>
    </rPh>
    <phoneticPr fontId="59"/>
  </si>
  <si>
    <t>D-80
T-85
SU-80</t>
    <phoneticPr fontId="59"/>
  </si>
  <si>
    <t>125-135</t>
    <phoneticPr fontId="59"/>
  </si>
  <si>
    <t>陸上競技</t>
  </si>
  <si>
    <t>ALL</t>
    <phoneticPr fontId="59"/>
  </si>
  <si>
    <t>名古屋市
瑞穂公園
陸上競技場</t>
    <phoneticPr fontId="59"/>
  </si>
  <si>
    <t>・バスの場合、乗降が路上となる（恒常的・慣習的に路上での乗降を行っているようだが、県警等との調整が必要となる。）。
・ツインのシングルユースは原則認めない前提での計上</t>
    <rPh sb="71" eb="73">
      <t>ゲンソク</t>
    </rPh>
    <rPh sb="73" eb="74">
      <t>ミト</t>
    </rPh>
    <rPh sb="77" eb="79">
      <t>ゼンテイ</t>
    </rPh>
    <rPh sb="81" eb="83">
      <t>ケイジョウ</t>
    </rPh>
    <phoneticPr fontId="2"/>
  </si>
  <si>
    <t>名古屋市瑞穂公園
陸上競技場</t>
    <phoneticPr fontId="59"/>
  </si>
  <si>
    <t>名古屋マリオットアソシアホテル</t>
    <rPh sb="0" eb="3">
      <t>ナゴヤ</t>
    </rPh>
    <phoneticPr fontId="59"/>
  </si>
  <si>
    <t>2000
・
2023</t>
    <phoneticPr fontId="59"/>
  </si>
  <si>
    <t>22分
10.5km</t>
    <rPh sb="2" eb="3">
      <t>フン</t>
    </rPh>
    <phoneticPr fontId="59"/>
  </si>
  <si>
    <t>ユニット</t>
    <phoneticPr fontId="59"/>
  </si>
  <si>
    <t>D-70
T-63</t>
    <phoneticPr fontId="59"/>
  </si>
  <si>
    <t>D-1
T-1</t>
    <phoneticPr fontId="59"/>
  </si>
  <si>
    <t>D-83
T-86</t>
    <phoneticPr fontId="59"/>
  </si>
  <si>
    <t>名古屋プリンスホテル　スカイタワー</t>
    <phoneticPr fontId="2"/>
  </si>
  <si>
    <t>2017
・
ー</t>
  </si>
  <si>
    <r>
      <t xml:space="preserve">済み
</t>
    </r>
    <r>
      <rPr>
        <sz val="10"/>
        <rFont val="Meiryo UI"/>
        <family val="3"/>
        <charset val="128"/>
      </rPr>
      <t>再計測</t>
    </r>
    <rPh sb="0" eb="1">
      <t>スミ</t>
    </rPh>
    <rPh sb="3" eb="4">
      <t>サイ</t>
    </rPh>
    <rPh sb="4" eb="6">
      <t>ケイソク</t>
    </rPh>
    <phoneticPr fontId="59"/>
  </si>
  <si>
    <t>D-70-63
T-70-63
SU-68-63</t>
    <phoneticPr fontId="59"/>
  </si>
  <si>
    <t>ホテルJALシティ名古屋錦</t>
    <phoneticPr fontId="2"/>
  </si>
  <si>
    <t>・1階から2階フロントまでの移動EVが1基しかない。
・ファンクションルームがないため、食事会場を間仕切りして打合せスペース等を設ける必要がある。
・専用の乗降場がなく、県警等との調整が必要となる。</t>
    <rPh sb="2" eb="3">
      <t>カイ</t>
    </rPh>
    <rPh sb="6" eb="7">
      <t>カイ</t>
    </rPh>
    <rPh sb="14" eb="16">
      <t>イドウ</t>
    </rPh>
    <rPh sb="20" eb="21">
      <t>キ</t>
    </rPh>
    <rPh sb="44" eb="46">
      <t>ショクジ</t>
    </rPh>
    <rPh sb="46" eb="48">
      <t>カイジョウ</t>
    </rPh>
    <rPh sb="49" eb="52">
      <t>マジキ</t>
    </rPh>
    <rPh sb="55" eb="57">
      <t>ウチアワ</t>
    </rPh>
    <rPh sb="62" eb="63">
      <t>トウ</t>
    </rPh>
    <rPh sb="64" eb="65">
      <t>モウ</t>
    </rPh>
    <rPh sb="67" eb="69">
      <t>ヒツヨウ</t>
    </rPh>
    <phoneticPr fontId="2"/>
  </si>
  <si>
    <t>柔　　 道</t>
  </si>
  <si>
    <t>視覚</t>
    <rPh sb="0" eb="2">
      <t>シカク</t>
    </rPh>
    <phoneticPr fontId="59"/>
  </si>
  <si>
    <t>愛知県
武道館</t>
    <phoneticPr fontId="59"/>
  </si>
  <si>
    <t>大型観光バス</t>
    <rPh sb="0" eb="2">
      <t>オオガタ</t>
    </rPh>
    <rPh sb="2" eb="4">
      <t>カンコウ</t>
    </rPh>
    <phoneticPr fontId="59"/>
  </si>
  <si>
    <t>・乗降場の利便性が極めて高い。
・ファンクションルームが豊富。
・段差が難点であるため、車いす利用者がいない競技を配宿。</t>
    <rPh sb="1" eb="4">
      <t>ジョウコウジョウ</t>
    </rPh>
    <rPh sb="5" eb="8">
      <t>リベンセイ</t>
    </rPh>
    <rPh sb="9" eb="10">
      <t>キワ</t>
    </rPh>
    <rPh sb="12" eb="13">
      <t>タカ</t>
    </rPh>
    <rPh sb="28" eb="30">
      <t>ホウフ</t>
    </rPh>
    <rPh sb="33" eb="35">
      <t>ダンサ</t>
    </rPh>
    <rPh sb="36" eb="38">
      <t>ナンテン</t>
    </rPh>
    <rPh sb="44" eb="45">
      <t>クルマ</t>
    </rPh>
    <rPh sb="47" eb="50">
      <t>リヨウシャ</t>
    </rPh>
    <rPh sb="54" eb="56">
      <t>キョウギ</t>
    </rPh>
    <rPh sb="57" eb="59">
      <t>ハイシュク</t>
    </rPh>
    <phoneticPr fontId="2"/>
  </si>
  <si>
    <t>17分
10.3km</t>
    <rPh sb="2" eb="3">
      <t>フン</t>
    </rPh>
    <phoneticPr fontId="59"/>
  </si>
  <si>
    <t>有</t>
    <rPh sb="0" eb="1">
      <t>ア</t>
    </rPh>
    <phoneticPr fontId="59"/>
  </si>
  <si>
    <t>ブラインド
フットボール</t>
    <phoneticPr fontId="59"/>
  </si>
  <si>
    <t>名古屋市
鶴舞公園
多目的
グラウンド</t>
    <rPh sb="0" eb="4">
      <t>ナゴヤシ</t>
    </rPh>
    <phoneticPr fontId="59"/>
  </si>
  <si>
    <t>・乗降場の利便性が極めて高い。
・競技課の、「競技会場にシャワーがないため、競技会場に近い施設に配宿してほしい」という意向を反映した。
・ファンクションルームが豊富。
・段差が難点であるため、車いす利用者がいない競技を配宿。</t>
    <rPh sb="1" eb="4">
      <t>ジョウコウジョウ</t>
    </rPh>
    <rPh sb="5" eb="8">
      <t>リベンセイ</t>
    </rPh>
    <rPh sb="9" eb="10">
      <t>キワ</t>
    </rPh>
    <rPh sb="12" eb="13">
      <t>タカ</t>
    </rPh>
    <rPh sb="17" eb="20">
      <t>キョウギカ</t>
    </rPh>
    <rPh sb="23" eb="27">
      <t>キョウギカイジョウ</t>
    </rPh>
    <rPh sb="38" eb="42">
      <t>キョウギカイジョウ</t>
    </rPh>
    <rPh sb="43" eb="44">
      <t>チカ</t>
    </rPh>
    <rPh sb="45" eb="47">
      <t>シセツ</t>
    </rPh>
    <rPh sb="48" eb="50">
      <t>ハイシュク</t>
    </rPh>
    <rPh sb="59" eb="61">
      <t>イコウ</t>
    </rPh>
    <rPh sb="62" eb="64">
      <t>ハンエイ</t>
    </rPh>
    <rPh sb="85" eb="87">
      <t>ダンサ</t>
    </rPh>
    <rPh sb="88" eb="90">
      <t>ナンテン</t>
    </rPh>
    <rPh sb="96" eb="97">
      <t>クルマ</t>
    </rPh>
    <rPh sb="99" eb="102">
      <t>リヨウシャ</t>
    </rPh>
    <rPh sb="106" eb="108">
      <t>キョウギ</t>
    </rPh>
    <rPh sb="109" eb="111">
      <t>ハイシュク</t>
    </rPh>
    <phoneticPr fontId="2"/>
  </si>
  <si>
    <t>名古屋市鶴舞公園
多目的グラウンド</t>
    <rPh sb="0" eb="4">
      <t>ナゴヤシ</t>
    </rPh>
    <phoneticPr fontId="59"/>
  </si>
  <si>
    <t>上肢</t>
    <rPh sb="0" eb="2">
      <t>ジョウシ</t>
    </rPh>
    <phoneticPr fontId="59"/>
  </si>
  <si>
    <t>名古屋市
瑞穂公園
体育館
[パロマ瑞穂
アリーナ]</t>
    <phoneticPr fontId="59"/>
  </si>
  <si>
    <t>グリーンリッチホテル名古屋錦</t>
    <rPh sb="10" eb="14">
      <t>ナゴヤニシキ</t>
    </rPh>
    <phoneticPr fontId="2"/>
  </si>
  <si>
    <t>なし/あり</t>
    <phoneticPr fontId="59"/>
  </si>
  <si>
    <t>済み</t>
    <rPh sb="0" eb="1">
      <t>スミ</t>
    </rPh>
    <phoneticPr fontId="59"/>
  </si>
  <si>
    <t>ユニット</t>
    <phoneticPr fontId="2"/>
  </si>
  <si>
    <t>射　 　撃</t>
  </si>
  <si>
    <t>愛知県
総合射撃場</t>
    <phoneticPr fontId="59"/>
  </si>
  <si>
    <t>低床バス</t>
    <phoneticPr fontId="59"/>
  </si>
  <si>
    <t>ホテルトヨタキャッスル</t>
    <phoneticPr fontId="59"/>
  </si>
  <si>
    <t>・競技会場からの距離を考慮すると、他に選択肢がない。
・シングルルームのユニットバス出入口幅を除き、ユニットバス出入口幅、客室内スペース等の水準が高い。</t>
    <rPh sb="42" eb="46">
      <t>デイリグチハバ</t>
    </rPh>
    <rPh sb="47" eb="48">
      <t>ノゾ</t>
    </rPh>
    <phoneticPr fontId="2"/>
  </si>
  <si>
    <t>2006
・
ー</t>
  </si>
  <si>
    <t>53分
32.3㎞</t>
    <rPh sb="2" eb="3">
      <t>フン</t>
    </rPh>
    <phoneticPr fontId="59"/>
  </si>
  <si>
    <t>S-ユニット
T・SU-独立</t>
    <rPh sb="12" eb="14">
      <t>ドクリツ</t>
    </rPh>
    <phoneticPr fontId="59"/>
  </si>
  <si>
    <t>S-57
T-69-72
SU-66-70</t>
    <phoneticPr fontId="59"/>
  </si>
  <si>
    <t>S-有
T-無
SU-有</t>
    <rPh sb="2" eb="3">
      <t>アリ</t>
    </rPh>
    <rPh sb="6" eb="7">
      <t>ム</t>
    </rPh>
    <rPh sb="11" eb="12">
      <t>アリ</t>
    </rPh>
    <phoneticPr fontId="59"/>
  </si>
  <si>
    <t>S-150
T-130
SU-150</t>
    <phoneticPr fontId="59"/>
  </si>
  <si>
    <t>水　 　泳</t>
  </si>
  <si>
    <t>名古屋市
総合体育館
[レインボー
プール]</t>
    <phoneticPr fontId="59"/>
  </si>
  <si>
    <t>フォーポイント　バイ　シェラトン名古屋　中部国際空港</t>
    <phoneticPr fontId="59"/>
  </si>
  <si>
    <t>Jホテルりんくう</t>
    <phoneticPr fontId="2"/>
  </si>
  <si>
    <t>バレーボール
（座位）</t>
    <rPh sb="8" eb="10">
      <t>ザイ</t>
    </rPh>
    <phoneticPr fontId="59"/>
  </si>
  <si>
    <t>岡崎中央総合公園
総合体育館</t>
    <phoneticPr fontId="59"/>
  </si>
  <si>
    <t>岡崎中央
総合公園
総合体育館</t>
    <phoneticPr fontId="59"/>
  </si>
  <si>
    <t>三河</t>
    <rPh sb="0" eb="2">
      <t>ミカワ</t>
    </rPh>
    <phoneticPr fontId="2"/>
  </si>
  <si>
    <t>蒲郡ホテル</t>
    <rPh sb="0" eb="2">
      <t>ガマゴオリ</t>
    </rPh>
    <phoneticPr fontId="59"/>
  </si>
  <si>
    <t>・あくまでも日常生活での車いす利用者が少ないという前提での配宿。
・乗降場の利便性が高い。
・最近、バリアフリールーム増室改修を行った。
・改修していない部屋も、車いす利用者でなければ利用が見込める。</t>
    <rPh sb="6" eb="10">
      <t>ニチジョウセイカツ</t>
    </rPh>
    <rPh sb="12" eb="13">
      <t>クルマ</t>
    </rPh>
    <rPh sb="15" eb="18">
      <t>リヨウシャ</t>
    </rPh>
    <rPh sb="19" eb="20">
      <t>スク</t>
    </rPh>
    <rPh sb="25" eb="27">
      <t>ゼンテイ</t>
    </rPh>
    <rPh sb="29" eb="31">
      <t>ハイシュク</t>
    </rPh>
    <phoneticPr fontId="2"/>
  </si>
  <si>
    <t>2002
・
2014</t>
  </si>
  <si>
    <t>40分
28.7km</t>
    <rPh sb="2" eb="3">
      <t>フン</t>
    </rPh>
    <phoneticPr fontId="59"/>
  </si>
  <si>
    <t>なし/
BQT</t>
  </si>
  <si>
    <t>なし/あり</t>
  </si>
  <si>
    <t>本-1
新-1</t>
    <rPh sb="0" eb="1">
      <t>ホン</t>
    </rPh>
    <rPh sb="4" eb="5">
      <t>アラタ</t>
    </rPh>
    <phoneticPr fontId="59"/>
  </si>
  <si>
    <t>本-80
新-88</t>
    <rPh sb="0" eb="1">
      <t>ホン</t>
    </rPh>
    <rPh sb="5" eb="6">
      <t>アラタ</t>
    </rPh>
    <phoneticPr fontId="59"/>
  </si>
  <si>
    <t>本-9
新-15</t>
    <rPh sb="0" eb="1">
      <t>ホン</t>
    </rPh>
    <rPh sb="4" eb="5">
      <t>シン</t>
    </rPh>
    <phoneticPr fontId="59"/>
  </si>
  <si>
    <t>ｓ(本)-52
Ｔ(新)-59</t>
    <rPh sb="2" eb="3">
      <t>ホン</t>
    </rPh>
    <rPh sb="10" eb="11">
      <t>シン</t>
    </rPh>
    <phoneticPr fontId="59"/>
  </si>
  <si>
    <t>ｓ(本)-9
Ｔ(新)-14</t>
    <rPh sb="2" eb="3">
      <t>ホン</t>
    </rPh>
    <rPh sb="9" eb="10">
      <t>シン</t>
    </rPh>
    <phoneticPr fontId="59"/>
  </si>
  <si>
    <t>無</t>
    <rPh sb="0" eb="1">
      <t>ナシ</t>
    </rPh>
    <phoneticPr fontId="59"/>
  </si>
  <si>
    <t>ｓ(本)-77
Ｔ(新)-91</t>
  </si>
  <si>
    <t>変なホテルラグーナテンボス</t>
    <rPh sb="0" eb="1">
      <t>ヘン</t>
    </rPh>
    <phoneticPr fontId="2"/>
  </si>
  <si>
    <t>岡崎中央総合公園
多目的広場他</t>
    <phoneticPr fontId="59"/>
  </si>
  <si>
    <t>低床バス</t>
    <rPh sb="0" eb="2">
      <t>テイショウ</t>
    </rPh>
    <phoneticPr fontId="59"/>
  </si>
  <si>
    <t>車いす
ラグビー</t>
    <phoneticPr fontId="59"/>
  </si>
  <si>
    <t>刈谷市</t>
    <rPh sb="0" eb="2">
      <t>カリヤシ</t>
    </rPh>
    <phoneticPr fontId="59"/>
  </si>
  <si>
    <t>ウイング
アリーナ
刈谷</t>
    <rPh sb="10" eb="12">
      <t>カリヤ</t>
    </rPh>
    <phoneticPr fontId="59"/>
  </si>
  <si>
    <t>安城市</t>
    <rPh sb="0" eb="3">
      <t>アンジョウシ</t>
    </rPh>
    <phoneticPr fontId="2"/>
  </si>
  <si>
    <t>ホテルグランドティアラ南名古屋</t>
    <rPh sb="11" eb="15">
      <t>ミナミナゴヤ</t>
    </rPh>
    <phoneticPr fontId="59"/>
  </si>
  <si>
    <t>2001
・
2023</t>
    <phoneticPr fontId="59"/>
  </si>
  <si>
    <t>16分
8.3km</t>
    <rPh sb="2" eb="3">
      <t>フン</t>
    </rPh>
    <phoneticPr fontId="59"/>
  </si>
  <si>
    <t>ウイングアリーナ刈谷</t>
    <rPh sb="8" eb="10">
      <t>カリヤ</t>
    </rPh>
    <phoneticPr fontId="59"/>
  </si>
  <si>
    <t>ゴール
ボール</t>
    <phoneticPr fontId="59"/>
  </si>
  <si>
    <t>豊橋市
総合体育館</t>
    <phoneticPr fontId="59"/>
  </si>
  <si>
    <t>ロワジールホテル豊橋</t>
    <rPh sb="8" eb="10">
      <t>トヨハシ</t>
    </rPh>
    <phoneticPr fontId="59"/>
  </si>
  <si>
    <t>シーパレスリゾート豊橋（日本港湾福利厚生）</t>
    <phoneticPr fontId="2"/>
  </si>
  <si>
    <t>1990
・
ー</t>
  </si>
  <si>
    <t>D-78
T-78
FO-77</t>
    <phoneticPr fontId="59"/>
  </si>
  <si>
    <t>一宮市</t>
    <rPh sb="0" eb="3">
      <t>イチノミヤシ</t>
    </rPh>
    <phoneticPr fontId="59"/>
  </si>
  <si>
    <t>一宮市
総合体育館</t>
    <rPh sb="0" eb="3">
      <t>イチノミヤシ</t>
    </rPh>
    <rPh sb="4" eb="9">
      <t>ソウゴウタイイクカン</t>
    </rPh>
    <phoneticPr fontId="59"/>
  </si>
  <si>
    <t>岐阜県
岐阜市</t>
    <rPh sb="0" eb="3">
      <t>ギフケン</t>
    </rPh>
    <rPh sb="4" eb="7">
      <t>ギフシ</t>
    </rPh>
    <phoneticPr fontId="2"/>
  </si>
  <si>
    <t>都ホテル岐阜長良川</t>
    <rPh sb="0" eb="1">
      <t>ミヤコ</t>
    </rPh>
    <rPh sb="4" eb="6">
      <t>ギフ</t>
    </rPh>
    <rPh sb="6" eb="9">
      <t>ナガラガワ</t>
    </rPh>
    <phoneticPr fontId="59"/>
  </si>
  <si>
    <t>1995
・
ー</t>
  </si>
  <si>
    <t>あり/なし</t>
  </si>
  <si>
    <t>S-56
T-67
D-67</t>
  </si>
  <si>
    <t>S-２
T-0.5
D-0.5</t>
  </si>
  <si>
    <t>一宮市総合体育館</t>
    <rPh sb="0" eb="3">
      <t>イチノミヤシ</t>
    </rPh>
    <rPh sb="3" eb="8">
      <t>ソウゴウタイイクカン</t>
    </rPh>
    <phoneticPr fontId="59"/>
  </si>
  <si>
    <t>岐阜グランドホテル</t>
    <rPh sb="0" eb="2">
      <t>ギフ</t>
    </rPh>
    <phoneticPr fontId="2"/>
  </si>
  <si>
    <t>なし/
BQT</t>
    <phoneticPr fontId="59"/>
  </si>
  <si>
    <t>自転車（トラック・ロード）</t>
    <rPh sb="0" eb="3">
      <t>ジテンシャ</t>
    </rPh>
    <phoneticPr fontId="59"/>
  </si>
  <si>
    <t>上肢
下肢
視覚</t>
    <rPh sb="0" eb="2">
      <t>ジョウシ</t>
    </rPh>
    <rPh sb="3" eb="5">
      <t>カシ</t>
    </rPh>
    <rPh sb="6" eb="8">
      <t>シカク</t>
    </rPh>
    <phoneticPr fontId="59"/>
  </si>
  <si>
    <t>伊豆
ベロドローム</t>
    <phoneticPr fontId="59"/>
  </si>
  <si>
    <t>静岡</t>
    <rPh sb="0" eb="2">
      <t>シズオカ</t>
    </rPh>
    <phoneticPr fontId="2"/>
  </si>
  <si>
    <t>静岡県
伊豆市</t>
    <rPh sb="0" eb="3">
      <t>シズオカケン</t>
    </rPh>
    <rPh sb="4" eb="7">
      <t>イズシ</t>
    </rPh>
    <phoneticPr fontId="2"/>
  </si>
  <si>
    <t>ホテルラフォーレ修善寺</t>
    <rPh sb="8" eb="11">
      <t>シュゼンジ</t>
    </rPh>
    <phoneticPr fontId="59"/>
  </si>
  <si>
    <t>・競技会場からの距離及び浴室・トイレのアクセシビリティを考慮すると、この施設とマリオット以外の選択肢がない。
・東京2020大会で同競技の受入実績有り</t>
    <rPh sb="10" eb="11">
      <t>オヨ</t>
    </rPh>
    <rPh sb="12" eb="14">
      <t>ヨクシツ</t>
    </rPh>
    <rPh sb="36" eb="38">
      <t>シセツ</t>
    </rPh>
    <rPh sb="44" eb="46">
      <t>イガイ</t>
    </rPh>
    <rPh sb="56" eb="58">
      <t>トウキョウ</t>
    </rPh>
    <rPh sb="62" eb="64">
      <t>タイカイ</t>
    </rPh>
    <rPh sb="65" eb="66">
      <t>ドウ</t>
    </rPh>
    <rPh sb="66" eb="68">
      <t>キョウギ</t>
    </rPh>
    <rPh sb="69" eb="71">
      <t>ウケイ</t>
    </rPh>
    <rPh sb="71" eb="73">
      <t>ジッセキ</t>
    </rPh>
    <rPh sb="73" eb="74">
      <t>アリ</t>
    </rPh>
    <phoneticPr fontId="2"/>
  </si>
  <si>
    <t>1976
・
2023</t>
    <phoneticPr fontId="59"/>
  </si>
  <si>
    <t>28分
17.0㎞</t>
    <rPh sb="2" eb="3">
      <t>フン</t>
    </rPh>
    <phoneticPr fontId="59"/>
  </si>
  <si>
    <t xml:space="preserve">
あり/あり
</t>
    <phoneticPr fontId="59"/>
  </si>
  <si>
    <t>ー</t>
    <phoneticPr fontId="59"/>
  </si>
  <si>
    <t>73-81</t>
    <phoneticPr fontId="59"/>
  </si>
  <si>
    <t>T-78
特-72</t>
    <rPh sb="5" eb="6">
      <t>トク</t>
    </rPh>
    <phoneticPr fontId="59"/>
  </si>
  <si>
    <t>西鉄ホテルクルーム名古屋</t>
    <rPh sb="0" eb="2">
      <t>ニシテツ</t>
    </rPh>
    <rPh sb="9" eb="12">
      <t>ナゴヤ</t>
    </rPh>
    <phoneticPr fontId="2"/>
  </si>
  <si>
    <t>エスパシオ　ナゴヤキャッスル</t>
    <phoneticPr fontId="2"/>
  </si>
  <si>
    <t>仮配宿シミュレーションシート ver.19　【OCAファミリー】※あくまでも現状の考え方を表すものです。</t>
    <rPh sb="0" eb="3">
      <t>カリハイシュク</t>
    </rPh>
    <rPh sb="38" eb="40">
      <t>ゲンジョウ</t>
    </rPh>
    <rPh sb="41" eb="42">
      <t>カンガ</t>
    </rPh>
    <rPh sb="43" eb="44">
      <t>カタ</t>
    </rPh>
    <rPh sb="45" eb="46">
      <t>アラワ</t>
    </rPh>
    <phoneticPr fontId="2"/>
  </si>
  <si>
    <t>2025/3/27更新時点（時点更新部分は赤字）</t>
    <rPh sb="9" eb="11">
      <t>コウシン</t>
    </rPh>
    <rPh sb="11" eb="13">
      <t>ジテン</t>
    </rPh>
    <rPh sb="14" eb="16">
      <t>ジテン</t>
    </rPh>
    <rPh sb="16" eb="18">
      <t>コウシン</t>
    </rPh>
    <rPh sb="18" eb="20">
      <t>ブブン</t>
    </rPh>
    <rPh sb="21" eb="23">
      <t>アカジ</t>
    </rPh>
    <phoneticPr fontId="2"/>
  </si>
  <si>
    <t>ステークホルダー</t>
    <phoneticPr fontId="2"/>
  </si>
  <si>
    <t>必要部屋数</t>
    <rPh sb="0" eb="2">
      <t>ヒツヨウ</t>
    </rPh>
    <rPh sb="2" eb="4">
      <t>ヘヤ</t>
    </rPh>
    <rPh sb="4" eb="5">
      <t>スウ</t>
    </rPh>
    <phoneticPr fontId="2"/>
  </si>
  <si>
    <t>配宿ホテル</t>
    <rPh sb="0" eb="2">
      <t>ハイシュク</t>
    </rPh>
    <phoneticPr fontId="2"/>
  </si>
  <si>
    <t>宿泊税</t>
    <rPh sb="0" eb="3">
      <t>シュクハクゼイ</t>
    </rPh>
    <phoneticPr fontId="2"/>
  </si>
  <si>
    <t>営業補償等</t>
    <rPh sb="0" eb="4">
      <t>エイギョウホショウ</t>
    </rPh>
    <rPh sb="4" eb="5">
      <t>トウ</t>
    </rPh>
    <phoneticPr fontId="2"/>
  </si>
  <si>
    <t>ランドリー費用</t>
    <rPh sb="5" eb="7">
      <t>ヒヨウ</t>
    </rPh>
    <phoneticPr fontId="2"/>
  </si>
  <si>
    <t>OCAファミリー</t>
    <phoneticPr fontId="2"/>
  </si>
  <si>
    <t>栄</t>
    <rPh sb="0" eb="1">
      <t>サカエ</t>
    </rPh>
    <phoneticPr fontId="2"/>
  </si>
  <si>
    <t>無</t>
  </si>
  <si>
    <t>OFH県警職員（要警護者警備）</t>
    <rPh sb="3" eb="5">
      <t>ケンケイ</t>
    </rPh>
    <rPh sb="5" eb="7">
      <t>ショクイン</t>
    </rPh>
    <rPh sb="8" eb="12">
      <t>ヨウケイゴシャ</t>
    </rPh>
    <rPh sb="12" eb="14">
      <t>ケイビ</t>
    </rPh>
    <phoneticPr fontId="2"/>
  </si>
  <si>
    <t>県警</t>
    <rPh sb="0" eb="2">
      <t>ケンケイ</t>
    </rPh>
    <phoneticPr fontId="2"/>
  </si>
  <si>
    <t>必要数不明の為室数仮置き。県警との調整は4月中旬から可能。予算は県警。</t>
    <rPh sb="0" eb="3">
      <t>ヒツヨウスウ</t>
    </rPh>
    <rPh sb="3" eb="5">
      <t>フメイ</t>
    </rPh>
    <rPh sb="6" eb="7">
      <t>タメ</t>
    </rPh>
    <rPh sb="7" eb="9">
      <t>シツスウ</t>
    </rPh>
    <rPh sb="9" eb="11">
      <t>カリオ</t>
    </rPh>
    <rPh sb="13" eb="15">
      <t>ケンケイ</t>
    </rPh>
    <rPh sb="17" eb="19">
      <t>チョウセイ</t>
    </rPh>
    <rPh sb="21" eb="22">
      <t>ガツ</t>
    </rPh>
    <rPh sb="22" eb="24">
      <t>チュウジュン</t>
    </rPh>
    <rPh sb="26" eb="28">
      <t>カノウ</t>
    </rPh>
    <rPh sb="29" eb="31">
      <t>ヨサン</t>
    </rPh>
    <rPh sb="32" eb="34">
      <t>ケンケイ</t>
    </rPh>
    <phoneticPr fontId="2"/>
  </si>
  <si>
    <t>OCA、NOC,WADA,ITA,CAS</t>
    <phoneticPr fontId="2"/>
  </si>
  <si>
    <t>コートヤードバイマリオット名古屋</t>
  </si>
  <si>
    <t>OF2県警職員（要警護者警備）</t>
    <rPh sb="3" eb="5">
      <t>ケンケイ</t>
    </rPh>
    <rPh sb="5" eb="7">
      <t>ショクイン</t>
    </rPh>
    <rPh sb="8" eb="12">
      <t>ヨウケイゴシャ</t>
    </rPh>
    <rPh sb="12" eb="14">
      <t>ケイビ</t>
    </rPh>
    <phoneticPr fontId="2"/>
  </si>
  <si>
    <t>IF,AF</t>
    <phoneticPr fontId="2"/>
  </si>
  <si>
    <t>名古屋市</t>
    <phoneticPr fontId="2"/>
  </si>
  <si>
    <t>可</t>
    <rPh sb="0" eb="1">
      <t>カ</t>
    </rPh>
    <phoneticPr fontId="2"/>
  </si>
  <si>
    <t>可</t>
    <phoneticPr fontId="2"/>
  </si>
  <si>
    <t>路上2台</t>
    <rPh sb="0" eb="2">
      <t>ロジョウ</t>
    </rPh>
    <rPh sb="3" eb="4">
      <t>ダイ</t>
    </rPh>
    <phoneticPr fontId="2"/>
  </si>
  <si>
    <t>◎</t>
    <phoneticPr fontId="2"/>
  </si>
  <si>
    <t>スイート8室、ファンクションルーム19室、婚礼用客室の取り扱いについて今後協議</t>
    <rPh sb="5" eb="6">
      <t>シツ</t>
    </rPh>
    <rPh sb="19" eb="20">
      <t>シツ</t>
    </rPh>
    <rPh sb="21" eb="24">
      <t>コンレイヨウ</t>
    </rPh>
    <rPh sb="24" eb="26">
      <t>キャクシツ</t>
    </rPh>
    <rPh sb="27" eb="28">
      <t>ト</t>
    </rPh>
    <rPh sb="29" eb="30">
      <t>アツカ</t>
    </rPh>
    <rPh sb="35" eb="37">
      <t>コンゴ</t>
    </rPh>
    <rPh sb="37" eb="39">
      <t>キョウギ</t>
    </rPh>
    <phoneticPr fontId="2"/>
  </si>
  <si>
    <t>OF3県警職員（要警護者警備）</t>
    <rPh sb="3" eb="5">
      <t>ケンケイ</t>
    </rPh>
    <rPh sb="5" eb="7">
      <t>ショクイン</t>
    </rPh>
    <rPh sb="8" eb="12">
      <t>ヨウケイゴシャ</t>
    </rPh>
    <rPh sb="12" eb="14">
      <t>ケイビ</t>
    </rPh>
    <phoneticPr fontId="2"/>
  </si>
  <si>
    <t>遠方競技会場周辺</t>
    <phoneticPr fontId="2"/>
  </si>
  <si>
    <t>グランドニッコー東京 台場</t>
  </si>
  <si>
    <r>
      <rPr>
        <sz val="6"/>
        <color rgb="FFFF0000"/>
        <rFont val="Meiryo UI"/>
        <family val="3"/>
        <charset val="128"/>
      </rPr>
      <t>•9/18IN、26OUTで90室（内訳：馬術15室、水泳60室、メダル10室、WADA5室）
•9/26IN,10/1OUTで45室（内訳：馬術15室、飛込み15室、メダル10室、WADA5室）
※ 要注意：競技スケジュールの変更がある場合は必要数が変動する可能性あり</t>
    </r>
    <r>
      <rPr>
        <sz val="6"/>
        <color theme="1"/>
        <rFont val="Meiryo UI"/>
        <family val="3"/>
        <charset val="128"/>
      </rPr>
      <t xml:space="preserve">
国際課とも相談したうえで、ルームサービスがあること、夜遅くまでレストランが営業していることが決め手となった。</t>
    </r>
    <rPh sb="16" eb="17">
      <t>シツ</t>
    </rPh>
    <rPh sb="18" eb="20">
      <t>ウチワケ</t>
    </rPh>
    <rPh sb="66" eb="67">
      <t>シツ</t>
    </rPh>
    <rPh sb="68" eb="70">
      <t>ウチワケ</t>
    </rPh>
    <rPh sb="136" eb="139">
      <t>コクサイカ</t>
    </rPh>
    <rPh sb="141" eb="143">
      <t>ソウダン</t>
    </rPh>
    <rPh sb="182" eb="183">
      <t>キ</t>
    </rPh>
    <rPh sb="184" eb="185">
      <t>テ</t>
    </rPh>
    <phoneticPr fontId="2"/>
  </si>
  <si>
    <t>大阪</t>
    <rPh sb="0" eb="2">
      <t>オオサカ</t>
    </rPh>
    <phoneticPr fontId="2"/>
  </si>
  <si>
    <t>シェラトン都ホテル大阪</t>
    <rPh sb="5" eb="6">
      <t>ミヤコ</t>
    </rPh>
    <rPh sb="9" eb="11">
      <t>オオサカ</t>
    </rPh>
    <phoneticPr fontId="2"/>
  </si>
  <si>
    <t>9/13, 9/17, 9/20, 9/24, 9/29 計５泊分
第2試合　参加　2ケ国　(2NOC分）　計10室　x　５泊分　仮置き
国際課がOCAにホテルの手配要否、日程、客室数等を再度今月(6月末）確認予定
JTBへの相談はまだ行っておらず、ホテル名は仮のものです。</t>
    <phoneticPr fontId="2"/>
  </si>
  <si>
    <t>前回総計</t>
    <rPh sb="0" eb="2">
      <t>ゼンカイ</t>
    </rPh>
    <rPh sb="2" eb="4">
      <t>ソウケイ</t>
    </rPh>
    <phoneticPr fontId="2"/>
  </si>
  <si>
    <t>食事総計</t>
    <rPh sb="0" eb="4">
      <t>ショクジソウケイ</t>
    </rPh>
    <phoneticPr fontId="2"/>
  </si>
  <si>
    <t>営業補償等総計</t>
    <rPh sb="0" eb="4">
      <t>エイギョウホショウ</t>
    </rPh>
    <rPh sb="4" eb="5">
      <t>トウ</t>
    </rPh>
    <rPh sb="5" eb="7">
      <t>ソウケイ</t>
    </rPh>
    <phoneticPr fontId="2"/>
  </si>
  <si>
    <t>DIP用ホテル（大使館などからの直接予約を想定）とは？</t>
    <phoneticPr fontId="2"/>
  </si>
  <si>
    <t>分類</t>
    <phoneticPr fontId="2"/>
  </si>
  <si>
    <t>必要部屋数</t>
    <rPh sb="0" eb="2">
      <t>ヒツヨウ</t>
    </rPh>
    <rPh sb="2" eb="4">
      <t>ヘヤ</t>
    </rPh>
    <rPh sb="4" eb="5">
      <t>スウ</t>
    </rPh>
    <phoneticPr fontId="59"/>
  </si>
  <si>
    <t>APCﾌｧﾐﾘｰ
推計人数</t>
    <rPh sb="9" eb="11">
      <t>スイケイ</t>
    </rPh>
    <rPh sb="11" eb="13">
      <t>ニンズウ</t>
    </rPh>
    <phoneticPr fontId="59"/>
  </si>
  <si>
    <t>施設番号</t>
    <rPh sb="0" eb="4">
      <t>シセツバンゴウ</t>
    </rPh>
    <phoneticPr fontId="59"/>
  </si>
  <si>
    <t>ホテル名</t>
    <rPh sb="3" eb="4">
      <t>メイ</t>
    </rPh>
    <phoneticPr fontId="2"/>
  </si>
  <si>
    <t>人数</t>
    <rPh sb="0" eb="2">
      <t>ニンズウ</t>
    </rPh>
    <phoneticPr fontId="59"/>
  </si>
  <si>
    <t>うち
車いす</t>
  </si>
  <si>
    <t>APCファミリー</t>
    <phoneticPr fontId="2"/>
  </si>
  <si>
    <t>APC</t>
    <phoneticPr fontId="2"/>
  </si>
  <si>
    <t>本部</t>
    <rPh sb="0" eb="2">
      <t>ホンブ</t>
    </rPh>
    <phoneticPr fontId="2"/>
  </si>
  <si>
    <t>コートヤード・バイ・マリオット名古屋</t>
    <rPh sb="15" eb="18">
      <t>ナゴヤ</t>
    </rPh>
    <phoneticPr fontId="59"/>
  </si>
  <si>
    <t>うち　AINAGOC負担分</t>
    <rPh sb="10" eb="12">
      <t>フタン</t>
    </rPh>
    <rPh sb="12" eb="13">
      <t>ブン</t>
    </rPh>
    <phoneticPr fontId="2"/>
  </si>
  <si>
    <t>利用者負担分を除いた全て</t>
    <rPh sb="0" eb="6">
      <t>リヨウシャフタンブン</t>
    </rPh>
    <rPh sb="7" eb="8">
      <t>ノゾ</t>
    </rPh>
    <rPh sb="10" eb="11">
      <t>スベ</t>
    </rPh>
    <phoneticPr fontId="2"/>
  </si>
  <si>
    <t>うち　利用者負担分</t>
    <rPh sb="3" eb="9">
      <t>リヨウシャフタンブン</t>
    </rPh>
    <phoneticPr fontId="2"/>
  </si>
  <si>
    <t>確保は13泊分だが、請求できるのは11泊分となる。</t>
    <rPh sb="0" eb="2">
      <t>カクホ</t>
    </rPh>
    <rPh sb="5" eb="6">
      <t>ハク</t>
    </rPh>
    <rPh sb="6" eb="7">
      <t>ブン</t>
    </rPh>
    <rPh sb="10" eb="12">
      <t>セイキュウ</t>
    </rPh>
    <rPh sb="19" eb="20">
      <t>ハク</t>
    </rPh>
    <rPh sb="20" eb="21">
      <t>ブン</t>
    </rPh>
    <phoneticPr fontId="2"/>
  </si>
  <si>
    <t>※宿泊施設情報は、2025/3/27時点の内容です（今後の増室交渉等により内容が変更となる可能性もあります）。</t>
    <rPh sb="1" eb="3">
      <t>シュクハク</t>
    </rPh>
    <rPh sb="3" eb="5">
      <t>シセツ</t>
    </rPh>
    <rPh sb="5" eb="7">
      <t>ジョウホウ</t>
    </rPh>
    <phoneticPr fontId="2"/>
  </si>
  <si>
    <t>※宿泊施設名の「※印」は、調査・交渉前の宿泊施設です。</t>
    <rPh sb="1" eb="6">
      <t>シュクハクシセツメイ</t>
    </rPh>
    <rPh sb="9" eb="10">
      <t>シルシ</t>
    </rPh>
    <rPh sb="13" eb="15">
      <t>チョウサ</t>
    </rPh>
    <rPh sb="16" eb="18">
      <t>コウショウ</t>
    </rPh>
    <rPh sb="18" eb="19">
      <t>マエ</t>
    </rPh>
    <rPh sb="20" eb="22">
      <t>シュクハク</t>
    </rPh>
    <rPh sb="22" eb="24">
      <t>シセツ</t>
    </rPh>
    <phoneticPr fontId="2"/>
  </si>
  <si>
    <t>※室数計算の際は原則提供室数を採用していますが、場合によっては、今後の増室交渉を目標に、保有室数を採用している箇所があります。使用している数字は赤枠で囲っています。</t>
    <rPh sb="1" eb="3">
      <t>シツスウ</t>
    </rPh>
    <rPh sb="3" eb="5">
      <t>ケイサン</t>
    </rPh>
    <rPh sb="6" eb="7">
      <t>サイ</t>
    </rPh>
    <rPh sb="8" eb="10">
      <t>ゲンソク</t>
    </rPh>
    <rPh sb="10" eb="12">
      <t>テイキョウ</t>
    </rPh>
    <rPh sb="12" eb="14">
      <t>シツスウ</t>
    </rPh>
    <rPh sb="15" eb="17">
      <t>サイヨウ</t>
    </rPh>
    <rPh sb="24" eb="26">
      <t>バアイ</t>
    </rPh>
    <rPh sb="32" eb="34">
      <t>コンゴ</t>
    </rPh>
    <rPh sb="35" eb="37">
      <t>ゾウシツ</t>
    </rPh>
    <rPh sb="37" eb="39">
      <t>コウショウ</t>
    </rPh>
    <rPh sb="40" eb="42">
      <t>モクヒョウ</t>
    </rPh>
    <rPh sb="44" eb="48">
      <t>ホユウシツスウ</t>
    </rPh>
    <rPh sb="49" eb="51">
      <t>サイヨウ</t>
    </rPh>
    <rPh sb="55" eb="57">
      <t>カショ</t>
    </rPh>
    <rPh sb="63" eb="65">
      <t>シヨウ</t>
    </rPh>
    <phoneticPr fontId="2"/>
  </si>
  <si>
    <t>　なお、スポンサーについては、基本的に「保有客室×0.5」で計算していますが、「保有客室×0.5」が提供客室よりも多い場合は提供客室数を採用しています。</t>
    <rPh sb="15" eb="18">
      <t>キホンテキ</t>
    </rPh>
    <rPh sb="20" eb="22">
      <t>ホユウ</t>
    </rPh>
    <rPh sb="22" eb="24">
      <t>キャクシツ</t>
    </rPh>
    <rPh sb="30" eb="32">
      <t>ケイサン</t>
    </rPh>
    <rPh sb="40" eb="44">
      <t>ホユウキャクシツ</t>
    </rPh>
    <rPh sb="50" eb="54">
      <t>テイキョウキャクシツ</t>
    </rPh>
    <rPh sb="57" eb="58">
      <t>オオ</t>
    </rPh>
    <rPh sb="59" eb="61">
      <t>バアイ</t>
    </rPh>
    <rPh sb="62" eb="67">
      <t>テイキョウキャクシツスウ</t>
    </rPh>
    <rPh sb="68" eb="70">
      <t>サイヨウ</t>
    </rPh>
    <phoneticPr fontId="2"/>
  </si>
  <si>
    <t>※懸念点は赤字で記載しています。</t>
    <rPh sb="1" eb="3">
      <t>ケネン</t>
    </rPh>
    <rPh sb="3" eb="4">
      <t>テン</t>
    </rPh>
    <rPh sb="5" eb="7">
      <t>アカジ</t>
    </rPh>
    <rPh sb="8" eb="10">
      <t>キサイ</t>
    </rPh>
    <phoneticPr fontId="2"/>
  </si>
  <si>
    <t>施設No.</t>
  </si>
  <si>
    <t>配宿SH（アジア）
技術役員判別</t>
    <rPh sb="0" eb="2">
      <t>ハイシュク</t>
    </rPh>
    <rPh sb="10" eb="14">
      <t>ギジュツヤクイン</t>
    </rPh>
    <rPh sb="14" eb="16">
      <t>ハンベツ</t>
    </rPh>
    <phoneticPr fontId="2"/>
  </si>
  <si>
    <t>配宿SH（アジア）_2
スポンサー判別</t>
    <rPh sb="17" eb="19">
      <t>ハンベツ</t>
    </rPh>
    <phoneticPr fontId="2"/>
  </si>
  <si>
    <t>配宿SH（アジア）_3
メディア判別</t>
    <rPh sb="16" eb="18">
      <t>ハンベツ</t>
    </rPh>
    <phoneticPr fontId="2"/>
  </si>
  <si>
    <t>配宿SH（パラ）
技術役員判別</t>
    <rPh sb="0" eb="2">
      <t>ハイシュク</t>
    </rPh>
    <rPh sb="9" eb="13">
      <t>ギジュツヤクイン</t>
    </rPh>
    <rPh sb="13" eb="15">
      <t>ハンベツ</t>
    </rPh>
    <phoneticPr fontId="2"/>
  </si>
  <si>
    <t>配宿SH（パラ）_2
スポンサー判別</t>
    <rPh sb="16" eb="18">
      <t>ハンベツ</t>
    </rPh>
    <phoneticPr fontId="2"/>
  </si>
  <si>
    <t>配宿SH（パラ）_3
メディア判別</t>
    <rPh sb="15" eb="17">
      <t>ハンベツ</t>
    </rPh>
    <phoneticPr fontId="2"/>
  </si>
  <si>
    <t>施設保有Fn_部屋数</t>
    <rPh sb="0" eb="2">
      <t>シセツ</t>
    </rPh>
    <rPh sb="2" eb="4">
      <t>ホユウ</t>
    </rPh>
    <rPh sb="7" eb="10">
      <t>ヘヤスウ</t>
    </rPh>
    <phoneticPr fontId="2"/>
  </si>
  <si>
    <t>Fn情報（宿泊施設DBより）</t>
    <rPh sb="2" eb="4">
      <t>ジョウホウ</t>
    </rPh>
    <rPh sb="5" eb="7">
      <t>シュクハク</t>
    </rPh>
    <rPh sb="7" eb="9">
      <t>シセツ</t>
    </rPh>
    <phoneticPr fontId="2"/>
  </si>
  <si>
    <t>Fn_部屋数</t>
    <rPh sb="3" eb="6">
      <t>ヘヤスウ</t>
    </rPh>
    <phoneticPr fontId="2"/>
  </si>
  <si>
    <t>検証</t>
    <rPh sb="0" eb="2">
      <t>ケンショウ</t>
    </rPh>
    <phoneticPr fontId="2"/>
  </si>
  <si>
    <r>
      <rPr>
        <b/>
        <sz val="11"/>
        <color theme="0"/>
        <rFont val="ＭＳ Ｐゴシック"/>
        <family val="3"/>
        <charset val="128"/>
        <scheme val="minor"/>
      </rPr>
      <t>保有－現状積み上げ部屋数の差</t>
    </r>
    <r>
      <rPr>
        <sz val="11"/>
        <rFont val="ＭＳ Ｐゴシック"/>
        <family val="3"/>
        <charset val="128"/>
        <scheme val="minor"/>
      </rPr>
      <t xml:space="preserve">
</t>
    </r>
    <r>
      <rPr>
        <b/>
        <sz val="11"/>
        <color theme="0" tint="-0.14999847407452621"/>
        <rFont val="ＭＳ Ｐゴシック"/>
        <family val="3"/>
        <charset val="128"/>
        <scheme val="minor"/>
      </rPr>
      <t>選手ファミリー本部のみ</t>
    </r>
    <rPh sb="0" eb="2">
      <t>ホユウ</t>
    </rPh>
    <rPh sb="3" eb="5">
      <t>ゲンジョウ</t>
    </rPh>
    <rPh sb="5" eb="6">
      <t>ツ</t>
    </rPh>
    <rPh sb="7" eb="8">
      <t>ア</t>
    </rPh>
    <rPh sb="9" eb="12">
      <t>ヘヤスウ</t>
    </rPh>
    <rPh sb="13" eb="14">
      <t>サ</t>
    </rPh>
    <rPh sb="15" eb="17">
      <t>センシュ</t>
    </rPh>
    <rPh sb="22" eb="24">
      <t>ホンブ</t>
    </rPh>
    <phoneticPr fontId="2"/>
  </si>
  <si>
    <t>Fn_部屋額</t>
    <rPh sb="3" eb="5">
      <t>ヘヤ</t>
    </rPh>
    <rPh sb="5" eb="6">
      <t>ガク</t>
    </rPh>
    <phoneticPr fontId="2"/>
  </si>
  <si>
    <t>Fn_ネット額</t>
    <rPh sb="6" eb="7">
      <t>ガク</t>
    </rPh>
    <phoneticPr fontId="2"/>
  </si>
  <si>
    <t>輸送関連施設利用費</t>
    <phoneticPr fontId="2"/>
  </si>
  <si>
    <t>入湯税</t>
  </si>
  <si>
    <t>宿泊税</t>
  </si>
  <si>
    <t>K～O列計</t>
    <rPh sb="3" eb="4">
      <t>レツ</t>
    </rPh>
    <rPh sb="4" eb="5">
      <t>ケイ</t>
    </rPh>
    <phoneticPr fontId="2"/>
  </si>
  <si>
    <t>Fn_計
(1泊あたり)</t>
    <rPh sb="3" eb="4">
      <t>ケイ</t>
    </rPh>
    <rPh sb="7" eb="8">
      <t>ハク</t>
    </rPh>
    <phoneticPr fontId="2"/>
  </si>
  <si>
    <t>Fn
EXACT関数</t>
    <rPh sb="8" eb="10">
      <t>カンスウ</t>
    </rPh>
    <phoneticPr fontId="2"/>
  </si>
  <si>
    <r>
      <t xml:space="preserve">Fn_1室あたり平均単価
</t>
    </r>
    <r>
      <rPr>
        <b/>
        <sz val="11"/>
        <rFont val="ＭＳ Ｐゴシック"/>
        <family val="3"/>
        <charset val="128"/>
        <scheme val="minor"/>
      </rPr>
      <t>※宿泊税などひっくるめて計算</t>
    </r>
    <rPh sb="4" eb="5">
      <t>シツ</t>
    </rPh>
    <rPh sb="8" eb="10">
      <t>ヘイキン</t>
    </rPh>
    <rPh sb="10" eb="12">
      <t>タンカ</t>
    </rPh>
    <rPh sb="14" eb="17">
      <t>シュクハクゼイ</t>
    </rPh>
    <rPh sb="25" eb="27">
      <t>ケイサン</t>
    </rPh>
    <phoneticPr fontId="2"/>
  </si>
  <si>
    <t>宿泊費の合計
1泊あたり1007</t>
    <rPh sb="8" eb="9">
      <t>ハク</t>
    </rPh>
    <phoneticPr fontId="2"/>
  </si>
  <si>
    <t>宿泊費の合計
1泊あたり</t>
    <rPh sb="8" eb="9">
      <t>ハク</t>
    </rPh>
    <phoneticPr fontId="2"/>
  </si>
  <si>
    <t>客室
EXACT関数</t>
    <rPh sb="0" eb="2">
      <t>キャクシツ</t>
    </rPh>
    <rPh sb="8" eb="10">
      <t>カンスウ</t>
    </rPh>
    <phoneticPr fontId="2"/>
  </si>
  <si>
    <t>1室あたり平均単価</t>
    <rPh sb="1" eb="2">
      <t>シツ</t>
    </rPh>
    <rPh sb="5" eb="7">
      <t>ヘイキン</t>
    </rPh>
    <rPh sb="7" eb="9">
      <t>タンカ</t>
    </rPh>
    <phoneticPr fontId="2"/>
  </si>
  <si>
    <t>最小</t>
    <rPh sb="0" eb="2">
      <t>サイショウ</t>
    </rPh>
    <phoneticPr fontId="2"/>
  </si>
  <si>
    <t>最大</t>
    <rPh sb="0" eb="2">
      <t>サイダイ</t>
    </rPh>
    <phoneticPr fontId="2"/>
  </si>
  <si>
    <t>1名あたり平均単価（シミュレーション上の話、計算には使えない）</t>
    <rPh sb="1" eb="2">
      <t>メイ</t>
    </rPh>
    <rPh sb="5" eb="7">
      <t>ヘイキン</t>
    </rPh>
    <rPh sb="7" eb="9">
      <t>タンカ</t>
    </rPh>
    <rPh sb="18" eb="19">
      <t>ジョウ</t>
    </rPh>
    <rPh sb="20" eb="21">
      <t>ハナシ</t>
    </rPh>
    <rPh sb="22" eb="24">
      <t>ケイサン</t>
    </rPh>
    <rPh sb="26" eb="27">
      <t>ツカ</t>
    </rPh>
    <phoneticPr fontId="2"/>
  </si>
  <si>
    <t>朝食料金（税込）
※HPおよび宿泊プラン調べ</t>
    <rPh sb="0" eb="4">
      <t>チョウショクリョウキン</t>
    </rPh>
    <rPh sb="5" eb="7">
      <t>ゼイコ</t>
    </rPh>
    <rPh sb="15" eb="17">
      <t>シュクハク</t>
    </rPh>
    <rPh sb="20" eb="21">
      <t>シラ</t>
    </rPh>
    <phoneticPr fontId="2"/>
  </si>
  <si>
    <t>FNB積算朝食料金（税込）</t>
    <rPh sb="3" eb="5">
      <t>セキサン</t>
    </rPh>
    <rPh sb="5" eb="7">
      <t>チョウショク</t>
    </rPh>
    <rPh sb="7" eb="9">
      <t>リョウキン</t>
    </rPh>
    <rPh sb="10" eb="12">
      <t>ゼイコ</t>
    </rPh>
    <phoneticPr fontId="2"/>
  </si>
  <si>
    <r>
      <t xml:space="preserve">総客室数
</t>
    </r>
    <r>
      <rPr>
        <b/>
        <sz val="11"/>
        <color rgb="FFEE0000"/>
        <rFont val="ＭＳ Ｐゴシック"/>
        <family val="3"/>
        <charset val="128"/>
        <scheme val="minor"/>
      </rPr>
      <t>マクロ要</t>
    </r>
    <rPh sb="8" eb="9">
      <t>ヨウ</t>
    </rPh>
    <phoneticPr fontId="2"/>
  </si>
  <si>
    <t>現状の利用客室数</t>
    <rPh sb="3" eb="5">
      <t>リヨウ</t>
    </rPh>
    <rPh sb="7" eb="8">
      <t>スウ</t>
    </rPh>
    <phoneticPr fontId="2"/>
  </si>
  <si>
    <t>検証用</t>
    <rPh sb="0" eb="3">
      <t>ケンショウヨウ</t>
    </rPh>
    <phoneticPr fontId="2"/>
  </si>
  <si>
    <r>
      <t xml:space="preserve">収容可能人数
（ﾍﾞｯﾄﾞ数）
</t>
    </r>
    <r>
      <rPr>
        <b/>
        <sz val="11"/>
        <color rgb="FFEE0000"/>
        <rFont val="ＭＳ Ｐゴシック"/>
        <family val="3"/>
        <charset val="128"/>
        <scheme val="minor"/>
      </rPr>
      <t>マクロ要！</t>
    </r>
    <rPh sb="13" eb="14">
      <t>スウ</t>
    </rPh>
    <rPh sb="19" eb="20">
      <t>ヨウ</t>
    </rPh>
    <phoneticPr fontId="2"/>
  </si>
  <si>
    <t>シミュレーションの延べ人泊数
（アジア）</t>
    <rPh sb="9" eb="10">
      <t>ノ</t>
    </rPh>
    <rPh sb="11" eb="14">
      <t>ニンハクスウ</t>
    </rPh>
    <phoneticPr fontId="2"/>
  </si>
  <si>
    <t>シミュレーションの人泊
（アジア）_2</t>
    <rPh sb="9" eb="11">
      <t>ニンハク</t>
    </rPh>
    <phoneticPr fontId="2"/>
  </si>
  <si>
    <t>シミュレーションの人泊
（アジア）_DCO</t>
    <rPh sb="9" eb="11">
      <t>ニンハク</t>
    </rPh>
    <phoneticPr fontId="2"/>
  </si>
  <si>
    <t>シミュレーションの人泊
（パラ）</t>
    <rPh sb="9" eb="11">
      <t>ニンハク</t>
    </rPh>
    <phoneticPr fontId="2"/>
  </si>
  <si>
    <t>シミュレーションの人泊
（パラ）_2</t>
    <rPh sb="9" eb="11">
      <t>ニンハク</t>
    </rPh>
    <phoneticPr fontId="2"/>
  </si>
  <si>
    <t>シミュレーションの人泊
（パラ）_3</t>
    <rPh sb="9" eb="11">
      <t>ニンハク</t>
    </rPh>
    <phoneticPr fontId="2"/>
  </si>
  <si>
    <t>現状積上客室とシミュレーションとの差（アジア）</t>
    <rPh sb="0" eb="2">
      <t>ゲンジョウ</t>
    </rPh>
    <rPh sb="2" eb="4">
      <t>ツミア</t>
    </rPh>
    <rPh sb="4" eb="6">
      <t>キャクシツ</t>
    </rPh>
    <rPh sb="17" eb="18">
      <t>サ</t>
    </rPh>
    <phoneticPr fontId="2"/>
  </si>
  <si>
    <t>現状積上客室とシミュレーションとの差（アジア）_2</t>
    <rPh sb="0" eb="2">
      <t>ゲンジョウ</t>
    </rPh>
    <rPh sb="2" eb="4">
      <t>ツミア</t>
    </rPh>
    <rPh sb="4" eb="6">
      <t>キャクシツ</t>
    </rPh>
    <rPh sb="17" eb="18">
      <t>サ</t>
    </rPh>
    <phoneticPr fontId="2"/>
  </si>
  <si>
    <t>現状積上客室とシミュレーションとの差（アジア）_3</t>
    <rPh sb="0" eb="2">
      <t>ゲンジョウ</t>
    </rPh>
    <rPh sb="2" eb="4">
      <t>ツミア</t>
    </rPh>
    <rPh sb="4" eb="6">
      <t>キャクシツ</t>
    </rPh>
    <rPh sb="17" eb="18">
      <t>サ</t>
    </rPh>
    <phoneticPr fontId="2"/>
  </si>
  <si>
    <t>現状積み上げ客室とシミュレーションとの差（パラ）</t>
    <rPh sb="0" eb="2">
      <t>ゲンジョウ</t>
    </rPh>
    <rPh sb="2" eb="3">
      <t>ツ</t>
    </rPh>
    <rPh sb="4" eb="5">
      <t>ア</t>
    </rPh>
    <rPh sb="6" eb="8">
      <t>キャクシツ</t>
    </rPh>
    <rPh sb="19" eb="20">
      <t>サ</t>
    </rPh>
    <phoneticPr fontId="2"/>
  </si>
  <si>
    <t>現状積み上げ客室とシミュレーションとの差（パラ）_DCO</t>
    <rPh sb="0" eb="2">
      <t>ゲンジョウ</t>
    </rPh>
    <rPh sb="2" eb="3">
      <t>ツ</t>
    </rPh>
    <rPh sb="4" eb="5">
      <t>ア</t>
    </rPh>
    <rPh sb="6" eb="8">
      <t>キャクシツ</t>
    </rPh>
    <rPh sb="19" eb="20">
      <t>サ</t>
    </rPh>
    <phoneticPr fontId="2"/>
  </si>
  <si>
    <t>泊数（アジア技術役員）</t>
    <rPh sb="0" eb="2">
      <t>ハクスウ</t>
    </rPh>
    <rPh sb="6" eb="10">
      <t>ギジュツヤクイン</t>
    </rPh>
    <phoneticPr fontId="2"/>
  </si>
  <si>
    <t>泊数（アジアスポンサー）</t>
    <rPh sb="0" eb="2">
      <t>ハクスウ</t>
    </rPh>
    <phoneticPr fontId="2"/>
  </si>
  <si>
    <t>泊数（アジアメディア）</t>
    <rPh sb="0" eb="2">
      <t>ハクスウ</t>
    </rPh>
    <phoneticPr fontId="2"/>
  </si>
  <si>
    <t>泊数（パラ技術役員）</t>
    <rPh sb="0" eb="2">
      <t>ハクスウ</t>
    </rPh>
    <rPh sb="7" eb="9">
      <t>ヤクイン</t>
    </rPh>
    <phoneticPr fontId="2"/>
  </si>
  <si>
    <t>泊数（パラスポンサー）</t>
    <rPh sb="0" eb="2">
      <t>ハクスウ</t>
    </rPh>
    <phoneticPr fontId="2"/>
  </si>
  <si>
    <t>泊数（パラメディア）</t>
    <rPh sb="0" eb="2">
      <t>ハクスウ</t>
    </rPh>
    <phoneticPr fontId="2"/>
  </si>
  <si>
    <t>上昇前金額_アジア技術役員</t>
    <rPh sb="0" eb="3">
      <t>ジョウショウマエ</t>
    </rPh>
    <rPh sb="3" eb="5">
      <t>キンガク</t>
    </rPh>
    <rPh sb="9" eb="11">
      <t>ギジュツ</t>
    </rPh>
    <rPh sb="11" eb="13">
      <t>ヤクイン</t>
    </rPh>
    <phoneticPr fontId="2"/>
  </si>
  <si>
    <t>上昇前金額_アジアスポンサー</t>
    <rPh sb="0" eb="3">
      <t>ジョウショウマエ</t>
    </rPh>
    <rPh sb="3" eb="5">
      <t>キンガク</t>
    </rPh>
    <phoneticPr fontId="2"/>
  </si>
  <si>
    <t>上昇前金額_アジアメディア</t>
    <rPh sb="0" eb="3">
      <t>ジョウショウマエ</t>
    </rPh>
    <rPh sb="3" eb="5">
      <t>キンガク</t>
    </rPh>
    <phoneticPr fontId="2"/>
  </si>
  <si>
    <t>上昇前金額_パラ技術役員</t>
    <rPh sb="0" eb="3">
      <t>ジョウショウマエ</t>
    </rPh>
    <rPh sb="3" eb="5">
      <t>キンガク</t>
    </rPh>
    <rPh sb="8" eb="12">
      <t>ギジュツヤクイン</t>
    </rPh>
    <phoneticPr fontId="2"/>
  </si>
  <si>
    <t>上昇前金額_パラスポンサー</t>
    <rPh sb="0" eb="3">
      <t>ジョウショウマエ</t>
    </rPh>
    <rPh sb="3" eb="5">
      <t>キンガク</t>
    </rPh>
    <phoneticPr fontId="2"/>
  </si>
  <si>
    <t>上昇前金額_パラメディア</t>
    <rPh sb="0" eb="3">
      <t>ジョウショウマエ</t>
    </rPh>
    <rPh sb="3" eb="5">
      <t>キンガク</t>
    </rPh>
    <phoneticPr fontId="2"/>
  </si>
  <si>
    <t>Fn上昇前金額_アジア技術役員</t>
    <rPh sb="2" eb="5">
      <t>ジョウショウマエ</t>
    </rPh>
    <rPh sb="5" eb="7">
      <t>キンガク</t>
    </rPh>
    <rPh sb="11" eb="15">
      <t>ギジュツヤクイン</t>
    </rPh>
    <phoneticPr fontId="2"/>
  </si>
  <si>
    <t>Fn上昇前金額_アジアスポンサー</t>
    <rPh sb="2" eb="5">
      <t>ジョウショウマエ</t>
    </rPh>
    <rPh sb="5" eb="7">
      <t>キンガク</t>
    </rPh>
    <phoneticPr fontId="2"/>
  </si>
  <si>
    <t>Fn上昇前金額_アジアメディア</t>
    <rPh sb="2" eb="5">
      <t>ジョウショウマエ</t>
    </rPh>
    <rPh sb="5" eb="7">
      <t>キンガク</t>
    </rPh>
    <phoneticPr fontId="2"/>
  </si>
  <si>
    <t>Fn上昇前金額_パラ技術役員</t>
    <rPh sb="2" eb="5">
      <t>ジョウショウマエ</t>
    </rPh>
    <rPh sb="5" eb="7">
      <t>キンガク</t>
    </rPh>
    <rPh sb="10" eb="14">
      <t>ギジュツヤクイン</t>
    </rPh>
    <phoneticPr fontId="2"/>
  </si>
  <si>
    <t>Fn上昇前金額_パラスポンサー</t>
    <rPh sb="2" eb="5">
      <t>ジョウショウマエ</t>
    </rPh>
    <rPh sb="5" eb="7">
      <t>キンガク</t>
    </rPh>
    <phoneticPr fontId="2"/>
  </si>
  <si>
    <t>Fn上昇前金額_パラメディア</t>
    <rPh sb="2" eb="5">
      <t>ジョウショウマエ</t>
    </rPh>
    <rPh sb="5" eb="7">
      <t>キンガク</t>
    </rPh>
    <phoneticPr fontId="2"/>
  </si>
  <si>
    <t>食費_アジア技術役員</t>
    <rPh sb="0" eb="2">
      <t>ショクヒ</t>
    </rPh>
    <rPh sb="6" eb="10">
      <t>ギジュツヤクイン</t>
    </rPh>
    <phoneticPr fontId="2"/>
  </si>
  <si>
    <t>食費_パラ技術役員</t>
    <rPh sb="0" eb="2">
      <t>ショクヒ</t>
    </rPh>
    <rPh sb="5" eb="9">
      <t>ギジュツヤクイン</t>
    </rPh>
    <phoneticPr fontId="2"/>
  </si>
  <si>
    <t>入湯税or宿泊税_アジア技術役員</t>
    <rPh sb="0" eb="3">
      <t>ニュウトウゼイ</t>
    </rPh>
    <rPh sb="5" eb="8">
      <t>シュクハクゼイ</t>
    </rPh>
    <rPh sb="12" eb="16">
      <t>ギジュツヤクイン</t>
    </rPh>
    <phoneticPr fontId="2"/>
  </si>
  <si>
    <t>備考</t>
    <rPh sb="0" eb="2">
      <t>ビコウ</t>
    </rPh>
    <phoneticPr fontId="2"/>
  </si>
  <si>
    <t>0001_アパホテル&lt;尾張一宮駅&gt;</t>
  </si>
  <si>
    <t>0002_東横INN名古屋尾張一宮駅前</t>
    <phoneticPr fontId="2"/>
  </si>
  <si>
    <t>0004_ホテルルートイン一宮駅前</t>
  </si>
  <si>
    <t>0007_一宮グリーンホテル</t>
  </si>
  <si>
    <t>008_ホテルプラザ勝川</t>
  </si>
  <si>
    <t>0010_春日井中央ホテル</t>
  </si>
  <si>
    <t>0012_ルートイングランティア小牧</t>
    <phoneticPr fontId="2"/>
  </si>
  <si>
    <t>0015_名鉄小牧ホテル</t>
  </si>
  <si>
    <t>0020_あいち健康の森　健康科学総合センター</t>
  </si>
  <si>
    <t>0021_公立学校共済組合　名古屋宿泊所　ホテルルブラ王山</t>
  </si>
  <si>
    <t>0022_ホテルルートイン　名古屋今池駅前</t>
  </si>
  <si>
    <t>0023_第二富士ホテル</t>
    <phoneticPr fontId="2"/>
  </si>
  <si>
    <t>0026_名鉄イン名古屋駅前</t>
  </si>
  <si>
    <t>0027_HOTEL LiVEMAX名古屋桜通口</t>
  </si>
  <si>
    <t>0028_第一富士ホテル</t>
    <phoneticPr fontId="2"/>
  </si>
  <si>
    <t>0034_サイプレスホテル名古屋駅前</t>
  </si>
  <si>
    <t>0038_東横INN名古屋駅桜通口本館</t>
  </si>
  <si>
    <t>0039_ザサイプレスメルキュールホテル名古屋</t>
  </si>
  <si>
    <t>0040_名古屋マリオットアソシアホテル</t>
  </si>
  <si>
    <t>0041_三交イン名古屋新幹線口</t>
  </si>
  <si>
    <t>0042_スーパーホテル名古屋駅前</t>
  </si>
  <si>
    <t>0043_チサンイン名古屋</t>
  </si>
  <si>
    <t>0044_ホテルパレス名古屋</t>
  </si>
  <si>
    <t>0045_名古屋フラワーホテル</t>
    <phoneticPr fontId="2"/>
  </si>
  <si>
    <t>0046_名古屋フラワーホテル　別館PARTⅡ</t>
    <phoneticPr fontId="2"/>
  </si>
  <si>
    <t>0047_東横INN名古屋駅新幹線口</t>
  </si>
  <si>
    <t>0049_名鉄グランドホテル</t>
  </si>
  <si>
    <t>0050_ダイワロイネットホテル名古屋駅前</t>
  </si>
  <si>
    <t>0051_ダイワロイネットホテル名古屋新幹線口</t>
  </si>
  <si>
    <t>0052_名鉄イン名古屋桜通</t>
  </si>
  <si>
    <t>0053_ヴィアイン名古屋新幹線口</t>
  </si>
  <si>
    <t>0054_ザロイヤルパークキャンバス名古屋</t>
  </si>
  <si>
    <t>0055_ホテルリソル名古屋</t>
  </si>
  <si>
    <t>0056_ストリングスホテル 名古屋</t>
    <phoneticPr fontId="2"/>
  </si>
  <si>
    <t>0057_リッチモンドホテル名古屋新幹線口</t>
  </si>
  <si>
    <t>0058_ナゴヤエキアクセスホテル</t>
    <phoneticPr fontId="2"/>
  </si>
  <si>
    <t>0059_三井ガーデンホテル名古屋プレミア</t>
  </si>
  <si>
    <t>0060_ダイワロイネットホテル名古屋太閤通口</t>
  </si>
  <si>
    <t>0061_名鉄イン名古屋駅新幹線口</t>
  </si>
  <si>
    <t>0062_名古屋JRゲートタワーホテル</t>
  </si>
  <si>
    <t>0063_HOTEL LiVEMAX名駅</t>
  </si>
  <si>
    <t>0064_名古屋プリンスホテルスカイタワー</t>
  </si>
  <si>
    <t>0065_くれたけインプレミアム名古屋納屋橋</t>
  </si>
  <si>
    <t>0066_三交イン名古屋新幹線口ANNEX</t>
  </si>
  <si>
    <t>0067_東横INN名駅南</t>
  </si>
  <si>
    <t>0068_HOTELLiVEMAXBUDGET名古屋太閤通口</t>
  </si>
  <si>
    <t>0069_ヴィアイン名古屋駅前椿町</t>
  </si>
  <si>
    <t>0070_ベッセルホテルカンパーナ名古屋</t>
  </si>
  <si>
    <t>0071_アットインホテル名古屋駅</t>
  </si>
  <si>
    <t>0073_Hamilton Hotel-BLUE-名駅南</t>
  </si>
  <si>
    <t>0074_スマイルホテル名古屋新幹線口</t>
  </si>
  <si>
    <t>0075_R&amp;Bホテル名古屋新幹線口</t>
  </si>
  <si>
    <t>0076_コンフォートホテル名古屋新幹線口</t>
    <phoneticPr fontId="2"/>
  </si>
  <si>
    <t>0077_相鉄フレッサイン名古屋駅桜通口</t>
  </si>
  <si>
    <t>0078_三交インGrande名古屋-HOTEL＆SPA-</t>
  </si>
  <si>
    <t>0079_ニッコースタイル名古屋</t>
  </si>
  <si>
    <t>0080_アパホテル&lt;名古屋駅新幹線口北&gt;</t>
    <phoneticPr fontId="2"/>
  </si>
  <si>
    <t>0081_イビススタイルズ名古屋</t>
  </si>
  <si>
    <t>0082_アパホテル&lt;名古屋駅新幹線口南&gt;</t>
  </si>
  <si>
    <t>0083_R&amp;Bホテル名古屋駅前</t>
  </si>
  <si>
    <t>0084_コンフォートホテル名古屋名駅南</t>
  </si>
  <si>
    <t>0090_名古屋観光ホテル</t>
  </si>
  <si>
    <t>0092_国家公務員共済組合連合会名古屋共済会館</t>
  </si>
  <si>
    <t>0093_都心の天然温泉名古屋クラウンホテル</t>
  </si>
  <si>
    <t>0094_ヒルトン名古屋</t>
  </si>
  <si>
    <t>0096_アイリス愛知</t>
  </si>
  <si>
    <t>0099_名古屋ガーデンパレス</t>
  </si>
  <si>
    <t>0101_東京第一ホテル錦</t>
  </si>
  <si>
    <t>0105_ANAクラウンプラザホテルグランコート名古屋</t>
  </si>
  <si>
    <t>0111_アパホテル&lt;名古屋錦&gt; EXCELLENT</t>
    <phoneticPr fontId="2"/>
  </si>
  <si>
    <t>0114_リッチモンドホテル名古屋納屋橋</t>
  </si>
  <si>
    <t>0115_ザ・ビー名古屋</t>
    <phoneticPr fontId="2"/>
  </si>
  <si>
    <t>0117_ホテルウィングインターナショナル名古屋</t>
  </si>
  <si>
    <t>0127_名古屋クレストンホテル</t>
  </si>
  <si>
    <t>0130_ホテル シルク・トゥリー名古屋</t>
  </si>
  <si>
    <t>0133_アパホテル＜名古屋栄＞</t>
  </si>
  <si>
    <t>0139_ドーミーインPREMIUM名古屋栄</t>
  </si>
  <si>
    <t>0140_名古屋金山ホテル</t>
    <phoneticPr fontId="2"/>
  </si>
  <si>
    <t>Not Found</t>
  </si>
  <si>
    <t>0141_プリンセスガーデンホテル</t>
  </si>
  <si>
    <t xml:space="preserve">0146_ホテルビスタ名古屋〔錦〕 </t>
  </si>
  <si>
    <t>0154_ダイワロイネットホテル名古屋納屋橋</t>
  </si>
  <si>
    <t>0156_アパホテル&lt;名古屋栄北&gt;</t>
    <phoneticPr fontId="2"/>
  </si>
  <si>
    <t>0158_ベッセルイン栄駅前</t>
  </si>
  <si>
    <t>0159_ホテルJALシティ名古屋 錦</t>
  </si>
  <si>
    <t>0160_西鉄ホテルクルーム名古屋</t>
  </si>
  <si>
    <t>0161_ダイワロイネットホテル名古屋伏見</t>
  </si>
  <si>
    <t>0167_グリーンリッチホテル名古屋錦</t>
  </si>
  <si>
    <t>0168_ホテルフォルツァ栄</t>
    <phoneticPr fontId="2"/>
  </si>
  <si>
    <t>0172_サイプレスガーデンホテル</t>
  </si>
  <si>
    <t>0177_邦和セミナープラザ</t>
  </si>
  <si>
    <t>179_LEGOLAND Japan Hotel</t>
  </si>
  <si>
    <t>180_名古屋笠寺ホテル</t>
  </si>
  <si>
    <t>0184_犬山セントラルホテル</t>
  </si>
  <si>
    <t>0186_ホテルユニゾ名古屋駅前</t>
  </si>
  <si>
    <t>188_名鉄イン刈谷</t>
  </si>
  <si>
    <t>189_コンフォートホテル刈谷</t>
  </si>
  <si>
    <t>0192_パークホテル刈谷</t>
  </si>
  <si>
    <t>0193_アクセスイン刈谷</t>
  </si>
  <si>
    <t>0195_ロイヤルホテルうお八</t>
    <phoneticPr fontId="2"/>
  </si>
  <si>
    <t>0200_アットインホテル豊田市駅</t>
  </si>
  <si>
    <t>0207_豊田プレステージホテル</t>
  </si>
  <si>
    <t>0208_東横INN豊田駅前</t>
  </si>
  <si>
    <t>0211_ホテル松風</t>
  </si>
  <si>
    <t>記載なし</t>
  </si>
  <si>
    <t>0212_ホテルルートイン豊田陣中</t>
  </si>
  <si>
    <t>0213_ホテルルートイン豊田元町</t>
    <rPh sb="15" eb="17">
      <t>モトマチ</t>
    </rPh>
    <phoneticPr fontId="2"/>
  </si>
  <si>
    <t>0214_HOTEL LiVEMAX愛知豊田駅前</t>
  </si>
  <si>
    <t>0222_HOTEL LiVEMAX三河安城駅前</t>
    <phoneticPr fontId="2"/>
  </si>
  <si>
    <t>0227_ホテルクラウンパレス知立</t>
  </si>
  <si>
    <t>0228_東横INN名鉄知立駅前</t>
  </si>
  <si>
    <t>0229_岡崎オーワホテル</t>
  </si>
  <si>
    <t>0231_グランドイン東岡崎</t>
  </si>
  <si>
    <t>0232_HOTEL LiVEＭAX岡崎</t>
  </si>
  <si>
    <t>0234_MyHotelOkazaKi</t>
  </si>
  <si>
    <t>0238_岡崎ニューグランドホテル</t>
  </si>
  <si>
    <t>0239_アクセスイン西尾</t>
  </si>
  <si>
    <t>0240_株式会社竜宮ホテル</t>
  </si>
  <si>
    <t>0241_株式会社三河湾リゾート・リンクス</t>
  </si>
  <si>
    <t>0242_吉良かん</t>
  </si>
  <si>
    <t>0243_三河湾ヒルズ・ホテル</t>
  </si>
  <si>
    <t>0247_株式会社鈴岡</t>
  </si>
  <si>
    <t>0250_松風園</t>
  </si>
  <si>
    <t>0251_株式会社三谷温泉ひがきホテル</t>
  </si>
  <si>
    <t>0253_蒲郡ホテル</t>
  </si>
  <si>
    <t>0256_ホテル東海園</t>
    <phoneticPr fontId="2"/>
  </si>
  <si>
    <t>0257_和のリゾートはづ</t>
  </si>
  <si>
    <t>0260_蒲郡クラシックホテル</t>
  </si>
  <si>
    <t>0266_ウインドシティホテル</t>
    <phoneticPr fontId="2"/>
  </si>
  <si>
    <t>0269_ホテルルートイン豊川インター</t>
  </si>
  <si>
    <t>0275_シーパレスリゾート</t>
  </si>
  <si>
    <t>0278_ホテルアソシア豊橋</t>
  </si>
  <si>
    <t>0282_ホテルアークリッシュ豊橋</t>
  </si>
  <si>
    <t>0283_東横INN豊橋駅東口</t>
  </si>
  <si>
    <t>0287_コンフォートホテル豊橋</t>
    <phoneticPr fontId="2"/>
  </si>
  <si>
    <t>0288_ホテルルートイン豊橋駅前</t>
  </si>
  <si>
    <t>0290_ジャストインプレミアム豊橋駅新幹線口</t>
  </si>
  <si>
    <t>0292_マーレホテル東海</t>
  </si>
  <si>
    <t>0293_ザ・カトーホテル</t>
  </si>
  <si>
    <t>0295_東海シティホテル</t>
  </si>
  <si>
    <t>0301_コンフォートホテル中部国際空港</t>
    <phoneticPr fontId="2"/>
  </si>
  <si>
    <t>0302_中部国際空港セントレアホテル</t>
  </si>
  <si>
    <t>0303_J・HOTEL ANNEX</t>
  </si>
  <si>
    <t>0305_ホテルルートイン常滑駅前グランドアネックス</t>
  </si>
  <si>
    <t>0306_ホテルルートイン常滑駅前</t>
  </si>
  <si>
    <t>0307_スプリングサニーホテル名古屋常滑駅前</t>
  </si>
  <si>
    <t>0319_ホテルルートイン半田亀崎</t>
  </si>
  <si>
    <t>0320_アズイン半田インター</t>
  </si>
  <si>
    <t>0321_半田ステーションホテル</t>
  </si>
  <si>
    <t>0322_名鉄イン知多半田駅前</t>
  </si>
  <si>
    <t>0323_センターワンホテル半田</t>
  </si>
  <si>
    <t>0324_カンデオホテルズ半田</t>
  </si>
  <si>
    <t>1002ルートイングランティア東海Spa＆Relaxation</t>
  </si>
  <si>
    <t>1004_モンブランホテルラフィネ名古屋駅前</t>
  </si>
  <si>
    <t>1006_相鉄フレッサイン名古屋駅新幹線口</t>
    <phoneticPr fontId="2"/>
  </si>
  <si>
    <t>1008_ホテルインディゴ犬山有楽苑</t>
  </si>
  <si>
    <t>1010_天の丸</t>
  </si>
  <si>
    <t>1012_ホテルたつき</t>
  </si>
  <si>
    <t>1013_西浦グランドホテル吉慶</t>
  </si>
  <si>
    <t>1016_くれたけインプレミアム名駅南</t>
  </si>
  <si>
    <t>1017_HOTEL LiVEMAX名古屋桜通口</t>
  </si>
  <si>
    <t>1018_アパホテル&lt;名古屋駅前&gt;</t>
  </si>
  <si>
    <t>1021_コートヤードバイマリオット名古屋</t>
  </si>
  <si>
    <t>1027_TIAD</t>
  </si>
  <si>
    <t>1028_蒲郡ホテル＜別館＞</t>
  </si>
  <si>
    <t>1030_伊良湖シーパーク＆スパ</t>
  </si>
  <si>
    <t>1032_ザロイヤルパークアイコニック名古屋</t>
  </si>
  <si>
    <t>1033_エスパシオ　ナゴヤキャッスル</t>
  </si>
  <si>
    <t>1034_コンラッド名古屋</t>
  </si>
  <si>
    <t>1035_JICA中部</t>
  </si>
  <si>
    <t>1036_衣浦グランドホテル</t>
  </si>
  <si>
    <t>1037_ルートインGrand名古屋藤が丘駅前</t>
    <phoneticPr fontId="2"/>
  </si>
  <si>
    <t>1039_ベストウェスタンプラス名古屋栄</t>
    <phoneticPr fontId="2"/>
  </si>
  <si>
    <t>2001_アパホテル&lt;岐阜羽島駅前&gt;</t>
  </si>
  <si>
    <t>2007_シェラトン都ホテル大阪</t>
  </si>
  <si>
    <t>2009_帝国ホテル大阪</t>
  </si>
  <si>
    <t>2010_神戸西神オリエンタルホテル</t>
  </si>
  <si>
    <t>2011_ANAクラウンプラザホテル神戸</t>
  </si>
  <si>
    <t>2012_シーサイドホテル舞子ビラ神戸</t>
  </si>
  <si>
    <t>2013_ホテルオークラ神戸</t>
  </si>
  <si>
    <t xml:space="preserve">2015_京都ホテルオークラ </t>
  </si>
  <si>
    <t>2018_掛川グランドホテル</t>
  </si>
  <si>
    <t>2019_THE HAMANAKO</t>
  </si>
  <si>
    <t>2021_オークラアクトシティホテル浜松</t>
  </si>
  <si>
    <t>2024_富士山三島東急ホテル</t>
  </si>
  <si>
    <t>2025_伊豆マリオット修善寺</t>
  </si>
  <si>
    <t>2028_ホテルグランヴェール岐山（公立共済やすらぎの里）</t>
  </si>
  <si>
    <t>2030_ホテルリソル岐阜</t>
  </si>
  <si>
    <t>2034_ホテルルートイン各務原</t>
  </si>
  <si>
    <t>2036_ホテルルートイン羽島駅前</t>
  </si>
  <si>
    <t>2037_ホテルコーヨー</t>
  </si>
  <si>
    <t>2038_京都 東急ホテル</t>
  </si>
  <si>
    <t>2040_リーガロイヤルホテル京都</t>
  </si>
  <si>
    <t>2042_神戸ポートピアホテル</t>
  </si>
  <si>
    <t>2043_パレスホテル掛川</t>
  </si>
  <si>
    <t>2044_くれたけインプレミアム大垣駅前</t>
  </si>
  <si>
    <t>2046_ホテルナガシマ</t>
  </si>
  <si>
    <t>2048_東京イーストサイドホテル櫂会</t>
  </si>
  <si>
    <t>2050_二子玉川エクセルホテル東急</t>
  </si>
  <si>
    <t>2051_東京ベイ潮見プリンスホテル</t>
    <phoneticPr fontId="2"/>
  </si>
  <si>
    <t>3000_ホテルルートイン愛知東郷町</t>
    <phoneticPr fontId="2"/>
  </si>
  <si>
    <t>3001_グランドニッコー東京 台場</t>
    <phoneticPr fontId="2"/>
  </si>
  <si>
    <t>Not Found</t>
    <phoneticPr fontId="2"/>
  </si>
  <si>
    <t>3002_長島温泉ガーデンホテルオリーブ</t>
    <phoneticPr fontId="2"/>
  </si>
  <si>
    <t>3003_長島温泉 ホテル花水木</t>
    <phoneticPr fontId="2"/>
  </si>
  <si>
    <t>3004_東横イン富士山三島駅</t>
    <phoneticPr fontId="2"/>
  </si>
  <si>
    <t>3005_アパホテル新大阪駅前</t>
    <phoneticPr fontId="2"/>
  </si>
  <si>
    <t>3006_アパホテル＆リゾート東京ベイ潮見</t>
    <phoneticPr fontId="2"/>
  </si>
  <si>
    <t>3007_the b 三軒茶屋</t>
    <phoneticPr fontId="2"/>
  </si>
  <si>
    <t>3008_相鉄グランドフレッサ東京ベイ有明</t>
    <phoneticPr fontId="2"/>
  </si>
  <si>
    <t>3009_東横イン大阪なんば日本橋</t>
    <phoneticPr fontId="2"/>
  </si>
  <si>
    <t>3010_東横イン浜松駅北口</t>
    <phoneticPr fontId="2"/>
  </si>
  <si>
    <t>3011_東横イン神戸三ノ宮1</t>
    <phoneticPr fontId="2"/>
  </si>
  <si>
    <t>3012_東横イン熱海駅前</t>
    <phoneticPr fontId="2"/>
  </si>
  <si>
    <t>3013_ウインドシティホテル</t>
    <phoneticPr fontId="2"/>
  </si>
  <si>
    <t>3014_コンフォートホテル浜松</t>
    <phoneticPr fontId="2"/>
  </si>
  <si>
    <t>3015_アパホテル＜神戸三宮＞</t>
    <phoneticPr fontId="2"/>
  </si>
  <si>
    <t>3016_ホテルルートイン浜松駅東</t>
    <phoneticPr fontId="2"/>
  </si>
  <si>
    <t>3017_the b 神戸</t>
    <phoneticPr fontId="2"/>
  </si>
  <si>
    <t>3018_R＆B東京東陽町</t>
    <phoneticPr fontId="2"/>
  </si>
  <si>
    <t>3019_ヴィラフォンテーヌグランド東京有明</t>
    <phoneticPr fontId="2"/>
  </si>
  <si>
    <t>3025_トヨタスポーツセンター</t>
    <phoneticPr fontId="2"/>
  </si>
  <si>
    <t>国立オリンピック記念青少年総合センター</t>
    <rPh sb="0" eb="1">
      <t>コクリツ</t>
    </rPh>
    <rPh sb="7" eb="9">
      <t>キネン</t>
    </rPh>
    <rPh sb="9" eb="12">
      <t>セイショウネン</t>
    </rPh>
    <rPh sb="12" eb="14">
      <t>ソウゴウ</t>
    </rPh>
    <phoneticPr fontId="2"/>
  </si>
  <si>
    <t>a</t>
    <phoneticPr fontId="2"/>
  </si>
  <si>
    <t>ホテルイースト21東京</t>
    <phoneticPr fontId="2"/>
  </si>
  <si>
    <t>_オースタット国際ホテル多治見</t>
    <phoneticPr fontId="2"/>
  </si>
  <si>
    <t>THE OKURA TOKYO</t>
    <phoneticPr fontId="2"/>
  </si>
  <si>
    <t>帝国ホテル 東京</t>
    <phoneticPr fontId="2"/>
  </si>
  <si>
    <t>ルートイン愛知東郷町</t>
    <phoneticPr fontId="2"/>
  </si>
  <si>
    <t>東横イン浜松駅北口</t>
    <phoneticPr fontId="2"/>
  </si>
  <si>
    <t>東横イン京都四条烏丸</t>
    <phoneticPr fontId="2"/>
  </si>
  <si>
    <t>東横イン神戸三ノ宮1</t>
    <phoneticPr fontId="2"/>
  </si>
  <si>
    <t>東横イン大阪なんば日本橋</t>
    <phoneticPr fontId="2"/>
  </si>
  <si>
    <t>オリジナル</t>
  </si>
  <si>
    <t>アジア競技大会における技術役員（DCO含む）配宿シミュレーション</t>
    <rPh sb="3" eb="5">
      <t>キョウギ</t>
    </rPh>
    <rPh sb="5" eb="7">
      <t>タイカイ</t>
    </rPh>
    <rPh sb="11" eb="15">
      <t>ギジュツヤクイン</t>
    </rPh>
    <rPh sb="19" eb="20">
      <t>フク</t>
    </rPh>
    <rPh sb="22" eb="24">
      <t>ハイシュク</t>
    </rPh>
    <phoneticPr fontId="59"/>
  </si>
  <si>
    <t>提供客室数</t>
    <rPh sb="0" eb="2">
      <t>テイキョウ</t>
    </rPh>
    <rPh sb="2" eb="5">
      <t>キャクシツスウ</t>
    </rPh>
    <phoneticPr fontId="59"/>
  </si>
  <si>
    <t>最大瞬間風速</t>
    <rPh sb="0" eb="6">
      <t>サイダイシュンカンフウソク</t>
    </rPh>
    <phoneticPr fontId="2"/>
  </si>
  <si>
    <t>15,000人</t>
    <rPh sb="6" eb="7">
      <t>ニン</t>
    </rPh>
    <phoneticPr fontId="59"/>
  </si>
  <si>
    <t>名古屋</t>
    <rPh sb="0" eb="3">
      <t>ナゴヤ</t>
    </rPh>
    <phoneticPr fontId="2"/>
  </si>
  <si>
    <t>サイプレス　ガーデンホテル</t>
    <phoneticPr fontId="2"/>
  </si>
  <si>
    <t>204</t>
  </si>
  <si>
    <t>251</t>
  </si>
  <si>
    <t>129</t>
  </si>
  <si>
    <t>157</t>
  </si>
  <si>
    <t>9</t>
  </si>
  <si>
    <t>70</t>
  </si>
  <si>
    <t>水球➀</t>
    <rPh sb="0" eb="2">
      <t>スイキュウ</t>
    </rPh>
    <phoneticPr fontId="2"/>
  </si>
  <si>
    <t>名古屋笠寺ホテル</t>
    <rPh sb="0" eb="5">
      <t>ナゴヤカサデラ</t>
    </rPh>
    <phoneticPr fontId="2"/>
  </si>
  <si>
    <t>179</t>
  </si>
  <si>
    <t>193</t>
  </si>
  <si>
    <t>100</t>
  </si>
  <si>
    <t>2</t>
  </si>
  <si>
    <t>216</t>
  </si>
  <si>
    <t>水球➁</t>
    <rPh sb="0" eb="2">
      <t>スイキュウ</t>
    </rPh>
    <phoneticPr fontId="2"/>
  </si>
  <si>
    <t>242</t>
  </si>
  <si>
    <t>286</t>
  </si>
  <si>
    <t>35</t>
  </si>
  <si>
    <t>40</t>
  </si>
  <si>
    <t>58</t>
  </si>
  <si>
    <t>135</t>
  </si>
  <si>
    <t>153</t>
  </si>
  <si>
    <t>132</t>
  </si>
  <si>
    <t>150</t>
  </si>
  <si>
    <t>易</t>
  </si>
  <si>
    <t>50</t>
  </si>
  <si>
    <t>路上数台はいけそう</t>
  </si>
  <si>
    <t>アパホテル＜名古屋栄北＞</t>
    <phoneticPr fontId="2"/>
  </si>
  <si>
    <t>350</t>
  </si>
  <si>
    <t>国家公務員共済組合連合会 名古屋共済会館</t>
  </si>
  <si>
    <t>106</t>
  </si>
  <si>
    <t>146</t>
  </si>
  <si>
    <t>66</t>
  </si>
  <si>
    <t>92</t>
  </si>
  <si>
    <t>7</t>
  </si>
  <si>
    <t>48</t>
  </si>
  <si>
    <t>アパホテル＜名古屋栄＞</t>
  </si>
  <si>
    <t>400</t>
  </si>
  <si>
    <t>401</t>
  </si>
  <si>
    <t>396</t>
  </si>
  <si>
    <t>75</t>
  </si>
  <si>
    <t>143</t>
  </si>
  <si>
    <t>ラグビー</t>
  </si>
  <si>
    <t>ホテルルートイン　名古屋今池駅前</t>
  </si>
  <si>
    <t>アイリス 愛知</t>
  </si>
  <si>
    <t>34</t>
  </si>
  <si>
    <t>33</t>
  </si>
  <si>
    <t>17</t>
  </si>
  <si>
    <t>第二富士ホテル</t>
  </si>
  <si>
    <t>158</t>
  </si>
  <si>
    <t>65</t>
  </si>
  <si>
    <t>3</t>
  </si>
  <si>
    <t>26</t>
  </si>
  <si>
    <t>公立学校共済組合　名古屋宿泊所　ホテルルブラ王山</t>
  </si>
  <si>
    <t>56</t>
  </si>
  <si>
    <t>74</t>
  </si>
  <si>
    <t>15</t>
  </si>
  <si>
    <t>60</t>
  </si>
  <si>
    <t>ホテル　シルク・トゥリー名古屋</t>
  </si>
  <si>
    <t>208</t>
  </si>
  <si>
    <t>211</t>
  </si>
  <si>
    <t>クラッシュ</t>
    <phoneticPr fontId="2"/>
  </si>
  <si>
    <t>サッカー（名古屋）本部</t>
    <rPh sb="5" eb="8">
      <t>ナゴヤ</t>
    </rPh>
    <rPh sb="9" eb="11">
      <t>ホンブ</t>
    </rPh>
    <phoneticPr fontId="2"/>
  </si>
  <si>
    <t>ホテルルートインGrand名古屋藤が丘</t>
  </si>
  <si>
    <t>230</t>
  </si>
  <si>
    <t>291</t>
  </si>
  <si>
    <t>ホテル　ルートイン一宮駅前</t>
  </si>
  <si>
    <t>149</t>
  </si>
  <si>
    <t>43</t>
  </si>
  <si>
    <t>路上１台</t>
  </si>
  <si>
    <t>※確認中</t>
    <rPh sb="1" eb="4">
      <t>カクニンチュウ</t>
    </rPh>
    <phoneticPr fontId="2"/>
  </si>
  <si>
    <t>小牧市</t>
    <rPh sb="0" eb="3">
      <t>コマキシ</t>
    </rPh>
    <phoneticPr fontId="2"/>
  </si>
  <si>
    <t>名鉄小牧ホテル</t>
  </si>
  <si>
    <t>90</t>
  </si>
  <si>
    <t>63</t>
  </si>
  <si>
    <t>ホテルプラザ勝川</t>
  </si>
  <si>
    <t>102</t>
  </si>
  <si>
    <t>10</t>
  </si>
  <si>
    <t>ハンドボール</t>
  </si>
  <si>
    <t>ルートイングランティア東海Spa &amp; Relaxation</t>
  </si>
  <si>
    <t>212</t>
  </si>
  <si>
    <t>159</t>
  </si>
  <si>
    <t>カバディ</t>
  </si>
  <si>
    <t>スプリングサニーホテル名古屋常滑駅前</t>
  </si>
  <si>
    <t>194</t>
  </si>
  <si>
    <t>354</t>
  </si>
  <si>
    <t>52</t>
  </si>
  <si>
    <t>94</t>
  </si>
  <si>
    <t>.</t>
    <phoneticPr fontId="2"/>
  </si>
  <si>
    <t>コンフォートホテル中部国際空港</t>
  </si>
  <si>
    <t>347</t>
  </si>
  <si>
    <t>505</t>
  </si>
  <si>
    <t>177</t>
  </si>
  <si>
    <t>258</t>
  </si>
  <si>
    <t>衣浦グランドホテル</t>
    <rPh sb="0" eb="2">
      <t>キヌウラ</t>
    </rPh>
    <phoneticPr fontId="2"/>
  </si>
  <si>
    <t>ビーチバレーボール</t>
  </si>
  <si>
    <t>豊田プレステージホテル</t>
  </si>
  <si>
    <t>115</t>
  </si>
  <si>
    <t>119</t>
  </si>
  <si>
    <t>80</t>
  </si>
  <si>
    <t>108</t>
  </si>
  <si>
    <t>8</t>
  </si>
  <si>
    <t>岡崎ニューグランドホテル</t>
  </si>
  <si>
    <t>84</t>
  </si>
  <si>
    <t>岡崎オーワホテル</t>
  </si>
  <si>
    <t>107</t>
  </si>
  <si>
    <t>東三河</t>
    <rPh sb="0" eb="3">
      <t>ヒガシミカワ</t>
    </rPh>
    <phoneticPr fontId="59"/>
  </si>
  <si>
    <t>蒲郡ホテル</t>
  </si>
  <si>
    <t>111</t>
  </si>
  <si>
    <t>176</t>
  </si>
  <si>
    <t>64</t>
  </si>
  <si>
    <t>蒲郡クラシックホテル</t>
  </si>
  <si>
    <t>16</t>
  </si>
  <si>
    <t>12</t>
  </si>
  <si>
    <t>ホテルアークリッシュ豊橋</t>
  </si>
  <si>
    <t>91</t>
  </si>
  <si>
    <t>109</t>
  </si>
  <si>
    <t>30</t>
  </si>
  <si>
    <t>38</t>
  </si>
  <si>
    <t>DCO（豊橋）</t>
    <rPh sb="4" eb="6">
      <t>トヨハシ</t>
    </rPh>
    <phoneticPr fontId="2"/>
  </si>
  <si>
    <t>新城市</t>
    <rPh sb="0" eb="3">
      <t>シンシロシ</t>
    </rPh>
    <phoneticPr fontId="2"/>
  </si>
  <si>
    <t>田原市</t>
    <rPh sb="0" eb="3">
      <t>タハラシ</t>
    </rPh>
    <phoneticPr fontId="2"/>
  </si>
  <si>
    <t>ウインドシティホテル</t>
    <phoneticPr fontId="2"/>
  </si>
  <si>
    <t>1</t>
  </si>
  <si>
    <t>岐阜市</t>
    <rPh sb="0" eb="3">
      <t>ギフシ</t>
    </rPh>
    <phoneticPr fontId="2"/>
  </si>
  <si>
    <t>ホテルグランヴェール岐山（公立共済やすらぎの里）</t>
  </si>
  <si>
    <t>68</t>
  </si>
  <si>
    <t>サッカー（岐阜）トランジット</t>
    <rPh sb="5" eb="7">
      <t>ギフ</t>
    </rPh>
    <phoneticPr fontId="2"/>
  </si>
  <si>
    <t>ホテルルートイン各務原</t>
  </si>
  <si>
    <t>羽島市</t>
    <rPh sb="0" eb="3">
      <t>ハシマシ</t>
    </rPh>
    <phoneticPr fontId="2"/>
  </si>
  <si>
    <t>265</t>
  </si>
  <si>
    <t>297</t>
  </si>
  <si>
    <t>168</t>
  </si>
  <si>
    <t>110</t>
  </si>
  <si>
    <t>玄関前</t>
  </si>
  <si>
    <t>ローイング</t>
    <phoneticPr fontId="2"/>
  </si>
  <si>
    <t>伊豆市</t>
    <rPh sb="0" eb="3">
      <t>イズシ</t>
    </rPh>
    <phoneticPr fontId="2"/>
  </si>
  <si>
    <t>ホテルワイナリーヒル</t>
  </si>
  <si>
    <t>自転車競技（トラック）</t>
  </si>
  <si>
    <t>DCO（伊豆）</t>
    <rPh sb="4" eb="6">
      <t>イズ</t>
    </rPh>
    <phoneticPr fontId="2"/>
  </si>
  <si>
    <t>浜松市</t>
    <rPh sb="0" eb="3">
      <t>ハママツシ</t>
    </rPh>
    <phoneticPr fontId="2"/>
  </si>
  <si>
    <t>グランドホテル浜松</t>
    <rPh sb="7" eb="9">
      <t>ハママツ</t>
    </rPh>
    <phoneticPr fontId="2"/>
  </si>
  <si>
    <t>DCO（浜松）</t>
    <rPh sb="4" eb="6">
      <t>ハママツ</t>
    </rPh>
    <phoneticPr fontId="2"/>
  </si>
  <si>
    <t>掛川市</t>
    <rPh sb="0" eb="3">
      <t>カケガワシ</t>
    </rPh>
    <phoneticPr fontId="2"/>
  </si>
  <si>
    <t>パレスホテル掛川</t>
  </si>
  <si>
    <t>36</t>
  </si>
  <si>
    <t>11</t>
  </si>
  <si>
    <t>サッカー（静岡）トランジット</t>
    <rPh sb="5" eb="7">
      <t>シズオカ</t>
    </rPh>
    <phoneticPr fontId="2"/>
  </si>
  <si>
    <t>大阪府</t>
    <rPh sb="0" eb="3">
      <t>オオサカフ</t>
    </rPh>
    <phoneticPr fontId="2"/>
  </si>
  <si>
    <t>グランドプリンスホテル大阪ベイ</t>
    <rPh sb="11" eb="13">
      <t>オオサカ</t>
    </rPh>
    <phoneticPr fontId="2"/>
  </si>
  <si>
    <t>サッカー（大阪）トランジット</t>
    <rPh sb="5" eb="7">
      <t>オオサカ</t>
    </rPh>
    <phoneticPr fontId="2"/>
  </si>
  <si>
    <t>DCO（大阪）</t>
    <rPh sb="4" eb="6">
      <t>オオサカ</t>
    </rPh>
    <phoneticPr fontId="2"/>
  </si>
  <si>
    <t>東京都</t>
    <rPh sb="0" eb="3">
      <t>トウキョウト</t>
    </rPh>
    <phoneticPr fontId="2"/>
  </si>
  <si>
    <t>二子玉川エクセルホテル東急</t>
  </si>
  <si>
    <t>東京イーストサイドホテル櫂会</t>
  </si>
  <si>
    <t>DCO（東京）</t>
    <rPh sb="4" eb="6">
      <t>トウキョウ</t>
    </rPh>
    <phoneticPr fontId="2"/>
  </si>
  <si>
    <t>※【食事難易度】
　　高：もっとも難易度が高く、いわゆるコロナ病棟パターン
　　　　（箱貸しのみ）
　　中：ホテルの通常レベルなら対応できるが、
　　　　　〇種類追加やメニューを毎日変更する等は難しい
　　低：一応レストランとして外部からのお客様を受けている
　　－：3食提供できる想定</t>
    <phoneticPr fontId="2"/>
  </si>
  <si>
    <t>仮配宿シミュレーションシート ver.19　【マーケティングパートナー】※あくまでも現状の考え方を表すものです。</t>
    <rPh sb="0" eb="3">
      <t>カリハイシュク</t>
    </rPh>
    <rPh sb="42" eb="44">
      <t>ゲンジョウ</t>
    </rPh>
    <rPh sb="45" eb="46">
      <t>カンガ</t>
    </rPh>
    <rPh sb="47" eb="48">
      <t>カタ</t>
    </rPh>
    <rPh sb="49" eb="50">
      <t>アラワ</t>
    </rPh>
    <phoneticPr fontId="2"/>
  </si>
  <si>
    <t>泊数</t>
    <rPh sb="0" eb="1">
      <t>ハク</t>
    </rPh>
    <rPh sb="1" eb="2">
      <t>スウ</t>
    </rPh>
    <phoneticPr fontId="2"/>
  </si>
  <si>
    <t>必要数</t>
    <rPh sb="0" eb="3">
      <t>ヒツヨウスウ</t>
    </rPh>
    <phoneticPr fontId="2"/>
  </si>
  <si>
    <t>のべ人数</t>
    <rPh sb="2" eb="4">
      <t>ニンズウ</t>
    </rPh>
    <phoneticPr fontId="2"/>
  </si>
  <si>
    <t>ホテルランク</t>
    <phoneticPr fontId="2"/>
  </si>
  <si>
    <t>スポンサー
必要客室数1000～1500室
優先順位順に並んでいます</t>
    <rPh sb="6" eb="8">
      <t>ヒツヨウ</t>
    </rPh>
    <rPh sb="8" eb="10">
      <t>キャクシツ</t>
    </rPh>
    <rPh sb="10" eb="11">
      <t>スウ</t>
    </rPh>
    <rPh sb="20" eb="21">
      <t>シツ</t>
    </rPh>
    <rPh sb="22" eb="24">
      <t>ユウセン</t>
    </rPh>
    <rPh sb="24" eb="26">
      <t>ジュンイ</t>
    </rPh>
    <rPh sb="26" eb="27">
      <t>ジュン</t>
    </rPh>
    <rPh sb="28" eb="29">
      <t>ナラ</t>
    </rPh>
    <phoneticPr fontId="2"/>
  </si>
  <si>
    <t>未</t>
    <rPh sb="0" eb="1">
      <t>ミ</t>
    </rPh>
    <phoneticPr fontId="3"/>
  </si>
  <si>
    <t>路上1台</t>
    <rPh sb="0" eb="2">
      <t>ロジョウ</t>
    </rPh>
    <rPh sb="3" eb="4">
      <t>ダイ</t>
    </rPh>
    <phoneticPr fontId="3"/>
  </si>
  <si>
    <t>ミッドレンジ</t>
    <phoneticPr fontId="59"/>
  </si>
  <si>
    <t>75室
(75名)</t>
  </si>
  <si>
    <t>専用乗降場所（屋根付）1台</t>
  </si>
  <si>
    <t>ハイエンド</t>
    <phoneticPr fontId="2"/>
  </si>
  <si>
    <t>名古屋観光ホテル</t>
  </si>
  <si>
    <t>ハイエンド</t>
    <phoneticPr fontId="59"/>
  </si>
  <si>
    <t>ロイヤルパークアイコニック</t>
  </si>
  <si>
    <t>メイン玄関前2台</t>
    <rPh sb="3" eb="6">
      <t>ゲンカンマエ</t>
    </rPh>
    <rPh sb="7" eb="8">
      <t>ダイ</t>
    </rPh>
    <phoneticPr fontId="3"/>
  </si>
  <si>
    <t>ニッコースタイル名古屋</t>
  </si>
  <si>
    <t>ザロイヤルパークキャンバス名古屋</t>
  </si>
  <si>
    <t>名古屋ガーデンパレス</t>
  </si>
  <si>
    <t>ザサイプレスメルキュールホテル名古屋</t>
  </si>
  <si>
    <t>ホテルフォルツァ名古屋栄</t>
  </si>
  <si>
    <t>以下予備ホテル</t>
    <rPh sb="0" eb="2">
      <t>イカ</t>
    </rPh>
    <rPh sb="2" eb="4">
      <t>ヨビ</t>
    </rPh>
    <phoneticPr fontId="2"/>
  </si>
  <si>
    <t>イビススタイルズ名古屋</t>
  </si>
  <si>
    <t>（１）</t>
  </si>
  <si>
    <t>エコノミー</t>
    <phoneticPr fontId="59"/>
  </si>
  <si>
    <t>ダイワロイネットホテル名古屋新幹線口</t>
  </si>
  <si>
    <t>165</t>
  </si>
  <si>
    <t>207</t>
  </si>
  <si>
    <t>三交インGrande名古屋 -HOTEL&amp;SPA-</t>
  </si>
  <si>
    <t>128</t>
  </si>
  <si>
    <t>136</t>
  </si>
  <si>
    <t>45</t>
  </si>
  <si>
    <t>ダイワロイネットホテル名古屋納屋橋</t>
  </si>
  <si>
    <t>246</t>
  </si>
  <si>
    <t>342</t>
  </si>
  <si>
    <t>ダイワロイネットホテル名古屋伏見</t>
  </si>
  <si>
    <t>233</t>
  </si>
  <si>
    <t>303</t>
  </si>
  <si>
    <t>モンブランホテルラフィネ名古屋駅前</t>
  </si>
  <si>
    <t>239</t>
  </si>
  <si>
    <t>289</t>
  </si>
  <si>
    <t>103</t>
  </si>
  <si>
    <t>ダイワロイネットホテル名古屋駅前</t>
  </si>
  <si>
    <t>188</t>
  </si>
  <si>
    <t>210</t>
  </si>
  <si>
    <t>名鉄イン 名古屋桜通</t>
  </si>
  <si>
    <t>98</t>
  </si>
  <si>
    <t>99</t>
  </si>
  <si>
    <t>20</t>
  </si>
  <si>
    <t>三交イン名古屋新幹線口ANNEX</t>
  </si>
  <si>
    <t>118</t>
  </si>
  <si>
    <t>ヴィアイン名古屋駅前椿町</t>
  </si>
  <si>
    <t>249</t>
  </si>
  <si>
    <t>250</t>
  </si>
  <si>
    <t>相鉄フレッサイン名古屋駅桜通口</t>
  </si>
  <si>
    <t>コンフォートホテル名古屋名駅南</t>
  </si>
  <si>
    <t>178</t>
  </si>
  <si>
    <t>ベッセルイン栄駅前</t>
  </si>
  <si>
    <t>DIP用ホテル（大使館などからの直接予約を想定）</t>
    <rPh sb="3" eb="4">
      <t>ヨウ</t>
    </rPh>
    <rPh sb="8" eb="11">
      <t>タイシカン</t>
    </rPh>
    <rPh sb="16" eb="18">
      <t>チョクセツ</t>
    </rPh>
    <rPh sb="18" eb="20">
      <t>ヨヤク</t>
    </rPh>
    <rPh sb="21" eb="23">
      <t>ソウテイ</t>
    </rPh>
    <phoneticPr fontId="2"/>
  </si>
  <si>
    <t>配宿シミュレーションシート【メディア】</t>
    <rPh sb="0" eb="2">
      <t>ハイシュク</t>
    </rPh>
    <phoneticPr fontId="2"/>
  </si>
  <si>
    <t>2025/4/1時点</t>
    <rPh sb="8" eb="10">
      <t>ジテン</t>
    </rPh>
    <phoneticPr fontId="2"/>
  </si>
  <si>
    <t>仮配宿シミュレーションシート【メディア】</t>
    <rPh sb="0" eb="3">
      <t>カリハイシュク</t>
    </rPh>
    <phoneticPr fontId="2"/>
  </si>
  <si>
    <t>駅までの距離</t>
    <rPh sb="0" eb="1">
      <t>エキ</t>
    </rPh>
    <rPh sb="4" eb="6">
      <t>キョリ</t>
    </rPh>
    <phoneticPr fontId="2"/>
  </si>
  <si>
    <t>必要
ベッド数</t>
    <rPh sb="0" eb="2">
      <t>ヒツヨウ</t>
    </rPh>
    <rPh sb="6" eb="7">
      <t>スウ</t>
    </rPh>
    <phoneticPr fontId="2"/>
  </si>
  <si>
    <t>施設数</t>
    <rPh sb="0" eb="2">
      <t>シセツ</t>
    </rPh>
    <rPh sb="2" eb="3">
      <t>スウ</t>
    </rPh>
    <phoneticPr fontId="2"/>
  </si>
  <si>
    <t>配宿人数</t>
    <rPh sb="0" eb="2">
      <t>ハイシュク</t>
    </rPh>
    <rPh sb="2" eb="4">
      <t>ニンズウ</t>
    </rPh>
    <phoneticPr fontId="2"/>
  </si>
  <si>
    <t>分</t>
    <rPh sb="0" eb="1">
      <t>フン</t>
    </rPh>
    <phoneticPr fontId="2"/>
  </si>
  <si>
    <t>メディア</t>
    <phoneticPr fontId="2"/>
  </si>
  <si>
    <t>メディア</t>
  </si>
  <si>
    <t>名鉄イン名古屋駅新幹線口</t>
  </si>
  <si>
    <t>付近に乗降場無し（路上不可）</t>
    <rPh sb="0" eb="2">
      <t>フキン</t>
    </rPh>
    <rPh sb="3" eb="7">
      <t>ジョウコウジョウナ</t>
    </rPh>
    <rPh sb="9" eb="13">
      <t>ロジョウフカ</t>
    </rPh>
    <phoneticPr fontId="173"/>
  </si>
  <si>
    <t>ダイワロイネットホテル名古屋太閤通口</t>
  </si>
  <si>
    <t>202室
(202名)</t>
  </si>
  <si>
    <t>70室
(140名)</t>
  </si>
  <si>
    <t>90室
(90名)</t>
  </si>
  <si>
    <t>30室
(60名)</t>
  </si>
  <si>
    <t>三交イン名古屋新幹線口</t>
  </si>
  <si>
    <t>177室
(177名)</t>
  </si>
  <si>
    <t>スーパーホテル名古屋駅前</t>
  </si>
  <si>
    <t>73室
(73名)</t>
  </si>
  <si>
    <t>66室
(66名)</t>
  </si>
  <si>
    <t>50室
(50名)</t>
  </si>
  <si>
    <t>45室
(45名)</t>
  </si>
  <si>
    <t>チサンイン名古屋</t>
  </si>
  <si>
    <t>326室
(326名)</t>
  </si>
  <si>
    <t>9室
(9名)</t>
  </si>
  <si>
    <t>40室
(40名)</t>
  </si>
  <si>
    <t>190室
(190名)</t>
  </si>
  <si>
    <t>2室
(2名)</t>
  </si>
  <si>
    <t>20室
(20名)</t>
  </si>
  <si>
    <t>ホテル パレス名古屋</t>
  </si>
  <si>
    <t>87室
(87名)</t>
  </si>
  <si>
    <t>2室
(0名)</t>
  </si>
  <si>
    <t>56室
(56名)</t>
  </si>
  <si>
    <t>3室
(3名)</t>
  </si>
  <si>
    <t>4室
(4名)</t>
  </si>
  <si>
    <t>東横INN名古屋駅新幹線口</t>
  </si>
  <si>
    <t>116室
(116名)</t>
  </si>
  <si>
    <t>1室
(1名)</t>
  </si>
  <si>
    <t>18室
(36名)</t>
  </si>
  <si>
    <t>18室
(18名)</t>
  </si>
  <si>
    <t>スマイルホテル名古屋新幹線口</t>
  </si>
  <si>
    <t>108室
(108名)</t>
  </si>
  <si>
    <t>24室
(24名)</t>
  </si>
  <si>
    <t>R&amp;Bホテル名古屋新幹線口</t>
  </si>
  <si>
    <t>262室
(262名)</t>
  </si>
  <si>
    <t>80室
(80名)</t>
  </si>
  <si>
    <t>第一富士ホテル</t>
  </si>
  <si>
    <t>名古屋フラワーホテル</t>
  </si>
  <si>
    <t>不可</t>
    <rPh sb="0" eb="2">
      <t>フカ</t>
    </rPh>
    <phoneticPr fontId="173"/>
  </si>
  <si>
    <t>名古屋フラワーホテル　別館PARTⅡ</t>
  </si>
  <si>
    <t>ヴィアイン名古屋新幹線口</t>
  </si>
  <si>
    <t>リッチモンドホテル名古屋新幹線口</t>
  </si>
  <si>
    <t>コンフォートホテル名古屋新幹線口</t>
  </si>
  <si>
    <t>アパホテル&lt;名古屋駅新幹線口南&gt;</t>
  </si>
  <si>
    <t>相鉄フレッサイン名古屋駅新幹線口</t>
  </si>
  <si>
    <t>HOTEL LiVEMAX名古屋新幹線口</t>
  </si>
  <si>
    <t>付近に乗降場無し（路上不可）</t>
    <rPh sb="0" eb="2">
      <t>フキン</t>
    </rPh>
    <rPh sb="3" eb="7">
      <t>ジョウコウジョウナ</t>
    </rPh>
    <phoneticPr fontId="173"/>
  </si>
  <si>
    <t>豊橋</t>
    <rPh sb="0" eb="2">
      <t>トヨハシ</t>
    </rPh>
    <phoneticPr fontId="2"/>
  </si>
  <si>
    <t>東横INN豊橋駅東口</t>
  </si>
  <si>
    <t>ジャストインプレミアム豊橋駅新幹線口</t>
  </si>
  <si>
    <t>137室
(137名)</t>
  </si>
  <si>
    <t>28室
(28名)</t>
  </si>
  <si>
    <t>付近に乗降場無し</t>
  </si>
  <si>
    <t>〃</t>
    <phoneticPr fontId="2"/>
  </si>
  <si>
    <t>ホテルルートイン豊橋駅前</t>
  </si>
  <si>
    <t>浜松</t>
    <rPh sb="0" eb="2">
      <t>ハママツ</t>
    </rPh>
    <phoneticPr fontId="2"/>
  </si>
  <si>
    <t>愛知県外</t>
  </si>
  <si>
    <t>47室
(47名)</t>
  </si>
  <si>
    <t>48室
(96名)</t>
  </si>
  <si>
    <t>25室
(50名)</t>
  </si>
  <si>
    <t>調査中</t>
    <rPh sb="0" eb="3">
      <t>チョウサチュウ</t>
    </rPh>
    <phoneticPr fontId="2"/>
  </si>
  <si>
    <t>愛知県外</t>
    <rPh sb="0" eb="2">
      <t>アイチ</t>
    </rPh>
    <rPh sb="2" eb="4">
      <t>ケンガイ</t>
    </rPh>
    <phoneticPr fontId="2"/>
  </si>
  <si>
    <t>伊豆</t>
    <rPh sb="0" eb="2">
      <t>イズ</t>
    </rPh>
    <phoneticPr fontId="2"/>
  </si>
  <si>
    <t>東横イン富士山三島駅</t>
  </si>
  <si>
    <t>三島駅周辺</t>
    <rPh sb="0" eb="3">
      <t>ミシマエキ</t>
    </rPh>
    <rPh sb="3" eb="5">
      <t>シュウヘン</t>
    </rPh>
    <phoneticPr fontId="2"/>
  </si>
  <si>
    <t>アパホテル＆リゾート東京ベイ潮見</t>
  </si>
  <si>
    <t>競泳の競技会場近く</t>
    <rPh sb="0" eb="2">
      <t>キョウエイ</t>
    </rPh>
    <rPh sb="3" eb="8">
      <t>キョウギカイジョウチカ</t>
    </rPh>
    <phoneticPr fontId="2"/>
  </si>
  <si>
    <t>ホテルリブマックス東京潮見駅前</t>
    <rPh sb="9" eb="15">
      <t>トウキョウシオミエキマエ</t>
    </rPh>
    <phoneticPr fontId="83"/>
  </si>
  <si>
    <t>愛知県外</t>
    <rPh sb="0" eb="4">
      <t>アイチケンガイ</t>
    </rPh>
    <phoneticPr fontId="2"/>
  </si>
  <si>
    <t>計</t>
    <rPh sb="0" eb="1">
      <t>ケイ</t>
    </rPh>
    <phoneticPr fontId="2"/>
  </si>
  <si>
    <t>仮配宿シミュレーションシート（技術役員20240920）</t>
    <rPh sb="0" eb="3">
      <t>カリハイシュク</t>
    </rPh>
    <rPh sb="15" eb="19">
      <t>ギジュツヤクイン</t>
    </rPh>
    <phoneticPr fontId="2"/>
  </si>
  <si>
    <t>競技</t>
    <rPh sb="0" eb="2">
      <t>キョウギ</t>
    </rPh>
    <phoneticPr fontId="2"/>
  </si>
  <si>
    <t>種別</t>
    <rPh sb="0" eb="2">
      <t>シュベツ</t>
    </rPh>
    <phoneticPr fontId="2"/>
  </si>
  <si>
    <t>会場名</t>
    <rPh sb="0" eb="3">
      <t>カイジョウメイ</t>
    </rPh>
    <phoneticPr fontId="2"/>
  </si>
  <si>
    <t>市町村</t>
    <rPh sb="0" eb="3">
      <t>シチョウソン</t>
    </rPh>
    <phoneticPr fontId="59"/>
  </si>
  <si>
    <t>人数
（修正後）</t>
    <rPh sb="0" eb="2">
      <t>ニンズウ</t>
    </rPh>
    <rPh sb="4" eb="7">
      <t>シュウセイゴ</t>
    </rPh>
    <phoneticPr fontId="2"/>
  </si>
  <si>
    <t>施設毎人数</t>
    <rPh sb="0" eb="3">
      <t>シセツゴト</t>
    </rPh>
    <rPh sb="3" eb="5">
      <t>ニンズウ</t>
    </rPh>
    <phoneticPr fontId="2"/>
  </si>
  <si>
    <t>エリア</t>
  </si>
  <si>
    <t>NOC数</t>
    <rPh sb="3" eb="4">
      <t>カズ</t>
    </rPh>
    <phoneticPr fontId="2"/>
  </si>
  <si>
    <t>総客室数</t>
    <rPh sb="0" eb="4">
      <t>ソウキャクシツスウ</t>
    </rPh>
    <phoneticPr fontId="45"/>
  </si>
  <si>
    <t>収容可能人数</t>
    <rPh sb="0" eb="2">
      <t>シュウヨウ</t>
    </rPh>
    <rPh sb="2" eb="4">
      <t>カノウ</t>
    </rPh>
    <rPh sb="4" eb="6">
      <t>ニンズウ</t>
    </rPh>
    <phoneticPr fontId="45"/>
  </si>
  <si>
    <t>室数
合計</t>
  </si>
  <si>
    <t>収容可能人数</t>
  </si>
  <si>
    <t>全館</t>
    <rPh sb="0" eb="2">
      <t>ゼンカン</t>
    </rPh>
    <phoneticPr fontId="45"/>
  </si>
  <si>
    <t>保有数</t>
  </si>
  <si>
    <t>提供数</t>
  </si>
  <si>
    <t>朝</t>
  </si>
  <si>
    <t>昼</t>
  </si>
  <si>
    <t>夕</t>
  </si>
  <si>
    <t>乗降場詳細</t>
    <rPh sb="0" eb="5">
      <t>ジョウコウジョウショウサイ</t>
    </rPh>
    <phoneticPr fontId="45"/>
  </si>
  <si>
    <t>ジム
◎：施設内にあり
○：徒歩15分以内にあり
●：機器設置検討
△：運動場等はあり
-：なし</t>
    <rPh sb="5" eb="8">
      <t>シセツナイ</t>
    </rPh>
    <rPh sb="14" eb="16">
      <t>トホ</t>
    </rPh>
    <rPh sb="18" eb="21">
      <t>フンイナイ</t>
    </rPh>
    <rPh sb="27" eb="31">
      <t>キキセッチ</t>
    </rPh>
    <rPh sb="31" eb="33">
      <t>ケントウ</t>
    </rPh>
    <rPh sb="36" eb="39">
      <t>ウンドウジョウ</t>
    </rPh>
    <rPh sb="39" eb="40">
      <t>トウ</t>
    </rPh>
    <phoneticPr fontId="45"/>
  </si>
  <si>
    <t>中核</t>
    <phoneticPr fontId="2"/>
  </si>
  <si>
    <t>西尾市総合体育館</t>
    <rPh sb="0" eb="3">
      <t>ニシオシ</t>
    </rPh>
    <rPh sb="3" eb="8">
      <t>ソウゴウタイイクカン</t>
    </rPh>
    <phoneticPr fontId="2"/>
  </si>
  <si>
    <t>西尾市</t>
    <rPh sb="0" eb="3">
      <t>ニシオシ</t>
    </rPh>
    <phoneticPr fontId="59"/>
  </si>
  <si>
    <t>技術役員</t>
  </si>
  <si>
    <t>HOTEL LiVEMAX岡崎</t>
    <phoneticPr fontId="2"/>
  </si>
  <si>
    <t>中核</t>
  </si>
  <si>
    <t>近代五種</t>
    <rPh sb="0" eb="2">
      <t>キンダイ</t>
    </rPh>
    <rPh sb="2" eb="4">
      <t>ゴシュ</t>
    </rPh>
    <phoneticPr fontId="59"/>
  </si>
  <si>
    <t>（レーザーラン／障害物レース）</t>
  </si>
  <si>
    <t>安城市総合運動公園陸上競技場他</t>
    <phoneticPr fontId="2"/>
  </si>
  <si>
    <t>HOTEL LiVEMAX岡崎</t>
  </si>
  <si>
    <t>岡崎市</t>
    <phoneticPr fontId="2"/>
  </si>
  <si>
    <t>（フェンシング）</t>
  </si>
  <si>
    <t>（水泳）</t>
    <rPh sb="1" eb="3">
      <t>スイエイ</t>
    </rPh>
    <phoneticPr fontId="2"/>
  </si>
  <si>
    <t>安城市総合運動公園ソフトボール場</t>
    <rPh sb="0" eb="3">
      <t>アンジョウシ</t>
    </rPh>
    <rPh sb="3" eb="5">
      <t>ソウゴウ</t>
    </rPh>
    <rPh sb="5" eb="7">
      <t>ウンドウ</t>
    </rPh>
    <rPh sb="7" eb="9">
      <t>コウエン</t>
    </rPh>
    <rPh sb="15" eb="16">
      <t>ジョウ</t>
    </rPh>
    <phoneticPr fontId="2"/>
  </si>
  <si>
    <t>東京都</t>
    <rPh sb="0" eb="3">
      <t>トウキョウト</t>
    </rPh>
    <phoneticPr fontId="59"/>
  </si>
  <si>
    <t>the b 三軒茶屋</t>
    <rPh sb="6" eb="10">
      <t>サンゲンヂャヤ</t>
    </rPh>
    <phoneticPr fontId="2"/>
  </si>
  <si>
    <t>×</t>
    <phoneticPr fontId="2"/>
  </si>
  <si>
    <t>(確認前）</t>
  </si>
  <si>
    <t>サッカー</t>
  </si>
  <si>
    <t>（仮：男子）</t>
    <rPh sb="1" eb="2">
      <t>カリ</t>
    </rPh>
    <phoneticPr fontId="2"/>
  </si>
  <si>
    <t>豊田スタジアム</t>
    <rPh sb="0" eb="2">
      <t>トヨタ</t>
    </rPh>
    <phoneticPr fontId="2"/>
  </si>
  <si>
    <t>アットインホテル豊田市駅</t>
  </si>
  <si>
    <t>田原市赤羽根町大石海岸（ロングビーチ）他</t>
    <rPh sb="0" eb="3">
      <t>タハラシ</t>
    </rPh>
    <rPh sb="3" eb="7">
      <t>アカバネチョウ</t>
    </rPh>
    <rPh sb="7" eb="11">
      <t>オオイシカイガン</t>
    </rPh>
    <rPh sb="19" eb="20">
      <t>ホカ</t>
    </rPh>
    <phoneticPr fontId="2"/>
  </si>
  <si>
    <t>田原市</t>
    <rPh sb="0" eb="3">
      <t>タハラシ</t>
    </rPh>
    <phoneticPr fontId="59"/>
  </si>
  <si>
    <t>②</t>
  </si>
  <si>
    <t>野球</t>
    <rPh sb="0" eb="2">
      <t>ヤキュウ</t>
    </rPh>
    <phoneticPr fontId="2"/>
  </si>
  <si>
    <t>➀</t>
    <phoneticPr fontId="2"/>
  </si>
  <si>
    <t>岡崎中央総合公園野球場</t>
    <rPh sb="0" eb="2">
      <t>オカザキ</t>
    </rPh>
    <rPh sb="2" eb="4">
      <t>チュウオウ</t>
    </rPh>
    <rPh sb="4" eb="6">
      <t>ソウゴウ</t>
    </rPh>
    <rPh sb="6" eb="8">
      <t>コウエン</t>
    </rPh>
    <rPh sb="8" eb="11">
      <t>ヤキュウジョウ</t>
    </rPh>
    <phoneticPr fontId="2"/>
  </si>
  <si>
    <t>岡崎市</t>
    <rPh sb="0" eb="2">
      <t>オカザキ</t>
    </rPh>
    <rPh sb="2" eb="3">
      <t>シ</t>
    </rPh>
    <phoneticPr fontId="2"/>
  </si>
  <si>
    <t>岡崎ニューグランドホテル</t>
    <rPh sb="0" eb="2">
      <t>オカザキ</t>
    </rPh>
    <phoneticPr fontId="2"/>
  </si>
  <si>
    <t>蒲郡</t>
    <rPh sb="0" eb="2">
      <t>ガマゴオリ</t>
    </rPh>
    <phoneticPr fontId="2"/>
  </si>
  <si>
    <t>蒲郡市</t>
    <rPh sb="0" eb="2">
      <t>ガマゴオリ</t>
    </rPh>
    <rPh sb="2" eb="3">
      <t>シ</t>
    </rPh>
    <phoneticPr fontId="59"/>
  </si>
  <si>
    <t>株式会社鈴岡</t>
    <rPh sb="0" eb="2">
      <t>カブシキ</t>
    </rPh>
    <rPh sb="2" eb="4">
      <t>カイシャ</t>
    </rPh>
    <rPh sb="4" eb="6">
      <t>スズオカ</t>
    </rPh>
    <phoneticPr fontId="2"/>
  </si>
  <si>
    <t>蒲郡市</t>
    <phoneticPr fontId="2"/>
  </si>
  <si>
    <t>中核</t>
    <rPh sb="0" eb="2">
      <t>チュウカク</t>
    </rPh>
    <phoneticPr fontId="2"/>
  </si>
  <si>
    <t>アーチェリー</t>
    <phoneticPr fontId="2"/>
  </si>
  <si>
    <t>岡崎中央総合公園多目的広場他</t>
    <phoneticPr fontId="2"/>
  </si>
  <si>
    <t>グランドイン東岡崎</t>
  </si>
  <si>
    <t>付近に乗降場無し（東岡崎駅前ロータリー）</t>
  </si>
  <si>
    <t>バレーボール</t>
  </si>
  <si>
    <t>バレーボール（男子）</t>
    <rPh sb="7" eb="9">
      <t>ダンシ</t>
    </rPh>
    <phoneticPr fontId="59"/>
  </si>
  <si>
    <t>岡崎中央総合公園総合体育館</t>
    <rPh sb="0" eb="2">
      <t>オカザキ</t>
    </rPh>
    <rPh sb="2" eb="4">
      <t>チュウオウ</t>
    </rPh>
    <rPh sb="4" eb="6">
      <t>ソウゴウ</t>
    </rPh>
    <rPh sb="6" eb="8">
      <t>コウエン</t>
    </rPh>
    <rPh sb="8" eb="10">
      <t>ソウゴウ</t>
    </rPh>
    <rPh sb="10" eb="13">
      <t>タイイクカン</t>
    </rPh>
    <phoneticPr fontId="2"/>
  </si>
  <si>
    <t>岡崎市</t>
    <rPh sb="0" eb="3">
      <t>オカザキシ</t>
    </rPh>
    <phoneticPr fontId="59"/>
  </si>
  <si>
    <t>ローイング
（ボートから変更）</t>
    <phoneticPr fontId="2"/>
  </si>
  <si>
    <t>長良川国際レガッタコース</t>
    <rPh sb="0" eb="5">
      <t>ナガラガワコクサイ</t>
    </rPh>
    <phoneticPr fontId="2"/>
  </si>
  <si>
    <t>海津市</t>
    <rPh sb="0" eb="3">
      <t>カイヅシ</t>
    </rPh>
    <phoneticPr fontId="59"/>
  </si>
  <si>
    <t>くれたけインプレミアム大垣駅前</t>
  </si>
  <si>
    <t>バスケットボール</t>
    <phoneticPr fontId="2"/>
  </si>
  <si>
    <t>５×５</t>
    <phoneticPr fontId="2"/>
  </si>
  <si>
    <t>ウィングアリーナ刈谷</t>
    <rPh sb="8" eb="10">
      <t>カリヤ</t>
    </rPh>
    <phoneticPr fontId="2"/>
  </si>
  <si>
    <t>刈谷市</t>
    <rPh sb="0" eb="3">
      <t>カリヤシ</t>
    </rPh>
    <phoneticPr fontId="59"/>
  </si>
  <si>
    <t>コンフォートホテル刈谷</t>
  </si>
  <si>
    <t>愛知県武道館</t>
    <rPh sb="0" eb="3">
      <t>アイチケン</t>
    </rPh>
    <rPh sb="3" eb="6">
      <t>ブドウカン</t>
    </rPh>
    <phoneticPr fontId="57"/>
  </si>
  <si>
    <t>名古屋市</t>
    <rPh sb="0" eb="3">
      <t>ナゴヤ</t>
    </rPh>
    <rPh sb="3" eb="4">
      <t>シ</t>
    </rPh>
    <phoneticPr fontId="59"/>
  </si>
  <si>
    <t>不可</t>
    <rPh sb="0" eb="2">
      <t>フカ</t>
    </rPh>
    <phoneticPr fontId="168"/>
  </si>
  <si>
    <t>愛知県武道館</t>
    <rPh sb="0" eb="3">
      <t>アイチケン</t>
    </rPh>
    <rPh sb="3" eb="6">
      <t>ブドウカン</t>
    </rPh>
    <phoneticPr fontId="2"/>
  </si>
  <si>
    <t>水泳</t>
    <rPh sb="0" eb="2">
      <t>スイエイ</t>
    </rPh>
    <phoneticPr fontId="59"/>
  </si>
  <si>
    <t>東京アクアティクスセンター</t>
    <rPh sb="0" eb="2">
      <t>トウキョウ</t>
    </rPh>
    <phoneticPr fontId="2"/>
  </si>
  <si>
    <t>相鉄グランドフレッサ東京ベイ有明</t>
    <rPh sb="0" eb="2">
      <t>ソウテツ</t>
    </rPh>
    <rPh sb="10" eb="12">
      <t>トウキョウ</t>
    </rPh>
    <rPh sb="14" eb="16">
      <t>アリアケ</t>
    </rPh>
    <phoneticPr fontId="2"/>
  </si>
  <si>
    <t>長居陸上競技場</t>
    <rPh sb="0" eb="2">
      <t>ナガイ</t>
    </rPh>
    <rPh sb="2" eb="4">
      <t>リクジョウ</t>
    </rPh>
    <rPh sb="4" eb="7">
      <t>キョウギジョウ</t>
    </rPh>
    <phoneticPr fontId="2"/>
  </si>
  <si>
    <t>大阪市</t>
    <rPh sb="0" eb="3">
      <t>オオサカシ</t>
    </rPh>
    <phoneticPr fontId="59"/>
  </si>
  <si>
    <t>東横イン大阪なんば日本橋</t>
    <rPh sb="0" eb="2">
      <t>トウヨコ</t>
    </rPh>
    <rPh sb="4" eb="6">
      <t>オオサカ</t>
    </rPh>
    <rPh sb="9" eb="12">
      <t>ニホンバシ</t>
    </rPh>
    <phoneticPr fontId="2"/>
  </si>
  <si>
    <t>古橋廣之進記念浜松市総合水泳場［ToBiO］</t>
    <rPh sb="0" eb="2">
      <t>フルハシ</t>
    </rPh>
    <rPh sb="2" eb="3">
      <t>ヒロシ</t>
    </rPh>
    <rPh sb="3" eb="4">
      <t>ノ</t>
    </rPh>
    <rPh sb="4" eb="5">
      <t>シン</t>
    </rPh>
    <rPh sb="5" eb="7">
      <t>キネン</t>
    </rPh>
    <rPh sb="7" eb="9">
      <t>ハママツ</t>
    </rPh>
    <rPh sb="9" eb="10">
      <t>シ</t>
    </rPh>
    <rPh sb="10" eb="12">
      <t>ソウゴウ</t>
    </rPh>
    <rPh sb="12" eb="15">
      <t>スイエイジョウ</t>
    </rPh>
    <phoneticPr fontId="2"/>
  </si>
  <si>
    <t>浜松市</t>
    <rPh sb="0" eb="2">
      <t>ハママツ</t>
    </rPh>
    <rPh sb="2" eb="3">
      <t>シ</t>
    </rPh>
    <phoneticPr fontId="59"/>
  </si>
  <si>
    <t>東横イン浜松駅北口</t>
    <rPh sb="0" eb="2">
      <t>トウヨコ</t>
    </rPh>
    <rPh sb="4" eb="9">
      <t>ハママツエキキタグチ</t>
    </rPh>
    <phoneticPr fontId="2"/>
  </si>
  <si>
    <t>小笠山総合運動公園エコパスタジアム</t>
    <rPh sb="0" eb="3">
      <t>オガサヤマ</t>
    </rPh>
    <rPh sb="3" eb="5">
      <t>ソウゴウ</t>
    </rPh>
    <rPh sb="5" eb="7">
      <t>ウンドウ</t>
    </rPh>
    <rPh sb="7" eb="9">
      <t>コウエン</t>
    </rPh>
    <phoneticPr fontId="2"/>
  </si>
  <si>
    <t>袋井市</t>
    <rPh sb="0" eb="3">
      <t>フクロイシ</t>
    </rPh>
    <phoneticPr fontId="59"/>
  </si>
  <si>
    <t>要相談</t>
  </si>
  <si>
    <t>3×３</t>
    <phoneticPr fontId="2"/>
  </si>
  <si>
    <t>金城ふ頭駅前特設会場（ポートメッセから変更）</t>
    <rPh sb="0" eb="2">
      <t>キンジョウ</t>
    </rPh>
    <rPh sb="3" eb="4">
      <t>トウ</t>
    </rPh>
    <rPh sb="4" eb="5">
      <t>エキ</t>
    </rPh>
    <rPh sb="5" eb="6">
      <t>マエ</t>
    </rPh>
    <rPh sb="6" eb="8">
      <t>トクセツ</t>
    </rPh>
    <rPh sb="8" eb="10">
      <t>カイジョウ</t>
    </rPh>
    <phoneticPr fontId="2"/>
  </si>
  <si>
    <t>邦和セミナープラザ</t>
    <rPh sb="0" eb="2">
      <t>ホウワ</t>
    </rPh>
    <phoneticPr fontId="2"/>
  </si>
  <si>
    <t>（仮：女子）</t>
    <rPh sb="1" eb="2">
      <t>カリ</t>
    </rPh>
    <rPh sb="3" eb="5">
      <t>ジョシ</t>
    </rPh>
    <phoneticPr fontId="2"/>
  </si>
  <si>
    <t>名古屋市港サッカー場</t>
    <rPh sb="0" eb="4">
      <t>ナゴヤシ</t>
    </rPh>
    <rPh sb="4" eb="5">
      <t>ミナト</t>
    </rPh>
    <rPh sb="9" eb="10">
      <t>ジョウ</t>
    </rPh>
    <phoneticPr fontId="2"/>
  </si>
  <si>
    <t>長良川競技場</t>
    <rPh sb="0" eb="3">
      <t>ナガラガワ</t>
    </rPh>
    <rPh sb="3" eb="6">
      <t>キョウギジョウ</t>
    </rPh>
    <phoneticPr fontId="2"/>
  </si>
  <si>
    <t>岐阜市</t>
    <rPh sb="0" eb="3">
      <t>ギフシ</t>
    </rPh>
    <phoneticPr fontId="59"/>
  </si>
  <si>
    <t>ハンドボール</t>
    <phoneticPr fontId="2"/>
  </si>
  <si>
    <t>春日井市総合体育館</t>
    <rPh sb="0" eb="4">
      <t>カスガイシ</t>
    </rPh>
    <rPh sb="4" eb="9">
      <t>ソウゴウタイイクカン</t>
    </rPh>
    <phoneticPr fontId="2"/>
  </si>
  <si>
    <t>ホテルプラザ勝川</t>
    <rPh sb="6" eb="8">
      <t>カチガワ</t>
    </rPh>
    <phoneticPr fontId="2"/>
  </si>
  <si>
    <t>➁</t>
    <phoneticPr fontId="2"/>
  </si>
  <si>
    <t>豊田合成記念体育館【エントリオ】</t>
    <rPh sb="0" eb="2">
      <t>トヨタ</t>
    </rPh>
    <rPh sb="2" eb="4">
      <t>ゴウセイ</t>
    </rPh>
    <rPh sb="4" eb="9">
      <t>キネンタイイクカン</t>
    </rPh>
    <phoneticPr fontId="2"/>
  </si>
  <si>
    <t>稲沢市</t>
    <rPh sb="0" eb="3">
      <t>イナザワシ</t>
    </rPh>
    <phoneticPr fontId="2"/>
  </si>
  <si>
    <t>一宮市総合体育館</t>
    <rPh sb="0" eb="3">
      <t>イチノミヤシ</t>
    </rPh>
    <rPh sb="3" eb="5">
      <t>ソウゴウ</t>
    </rPh>
    <rPh sb="5" eb="8">
      <t>タイイクカン</t>
    </rPh>
    <phoneticPr fontId="2"/>
  </si>
  <si>
    <t>一宮市</t>
    <rPh sb="0" eb="2">
      <t>イチノミヤ</t>
    </rPh>
    <rPh sb="2" eb="3">
      <t>シ</t>
    </rPh>
    <phoneticPr fontId="59"/>
  </si>
  <si>
    <t>ホテルリソル岐阜</t>
  </si>
  <si>
    <t>付近に乗降場無し（岐阜駅バス駐車場）</t>
  </si>
  <si>
    <t>愛知カンツリー倶楽部</t>
    <rPh sb="0" eb="2">
      <t>アイチ</t>
    </rPh>
    <rPh sb="7" eb="10">
      <t>クラブ</t>
    </rPh>
    <phoneticPr fontId="2"/>
  </si>
  <si>
    <t>名古屋市</t>
    <rPh sb="0" eb="4">
      <t>ナゴヤシ</t>
    </rPh>
    <phoneticPr fontId="59"/>
  </si>
  <si>
    <t>東山公園テニスセンター</t>
    <rPh sb="0" eb="4">
      <t>ヒガシヤマコウエン</t>
    </rPh>
    <phoneticPr fontId="2"/>
  </si>
  <si>
    <t>名古屋市中小企業振興会館</t>
    <rPh sb="0" eb="4">
      <t>ナゴヤシ</t>
    </rPh>
    <rPh sb="4" eb="8">
      <t>チュウショウキギョウ</t>
    </rPh>
    <rPh sb="8" eb="12">
      <t>シンコウカイカン</t>
    </rPh>
    <phoneticPr fontId="2"/>
  </si>
  <si>
    <t>ホッケー</t>
  </si>
  <si>
    <t>岐阜県グリーンスタジアム</t>
    <rPh sb="0" eb="3">
      <t>ギフケン</t>
    </rPh>
    <phoneticPr fontId="2"/>
  </si>
  <si>
    <t>各務原</t>
    <rPh sb="0" eb="3">
      <t>カカミガハラ</t>
    </rPh>
    <phoneticPr fontId="59"/>
  </si>
  <si>
    <t>③</t>
  </si>
  <si>
    <t>新舞子マリンパーク（りんくうビーチから変更）</t>
    <rPh sb="0" eb="1">
      <t>シン</t>
    </rPh>
    <rPh sb="1" eb="3">
      <t>マイコ</t>
    </rPh>
    <phoneticPr fontId="2"/>
  </si>
  <si>
    <t>知多市</t>
    <rPh sb="0" eb="2">
      <t>チタ</t>
    </rPh>
    <rPh sb="2" eb="3">
      <t>シ</t>
    </rPh>
    <phoneticPr fontId="59"/>
  </si>
  <si>
    <t>ホテルルートイン常滑駅前</t>
  </si>
  <si>
    <t>碧南緑地ビーチコート</t>
    <rPh sb="0" eb="2">
      <t>ヘキナン</t>
    </rPh>
    <rPh sb="2" eb="4">
      <t>リョクチ</t>
    </rPh>
    <phoneticPr fontId="2"/>
  </si>
  <si>
    <t>碧南市</t>
    <rPh sb="0" eb="3">
      <t>ヘキナンシ</t>
    </rPh>
    <phoneticPr fontId="59"/>
  </si>
  <si>
    <t>ホテルルートイン常滑駅前</t>
    <phoneticPr fontId="2"/>
  </si>
  <si>
    <t>自転車競技</t>
    <rPh sb="0" eb="5">
      <t>ジテンシャキョウギ</t>
    </rPh>
    <phoneticPr fontId="2"/>
  </si>
  <si>
    <t>BMXフリースタイル</t>
    <phoneticPr fontId="2"/>
  </si>
  <si>
    <t>愛知県国際展示場［Aichi Sky Expo］</t>
    <rPh sb="0" eb="3">
      <t>アイチケン</t>
    </rPh>
    <rPh sb="3" eb="5">
      <t>コクサイ</t>
    </rPh>
    <rPh sb="5" eb="8">
      <t>テンジジョウ</t>
    </rPh>
    <phoneticPr fontId="2"/>
  </si>
  <si>
    <t>常滑市</t>
    <rPh sb="0" eb="2">
      <t>トコナメ</t>
    </rPh>
    <rPh sb="2" eb="3">
      <t>シ</t>
    </rPh>
    <phoneticPr fontId="59"/>
  </si>
  <si>
    <t>ホテルルートイン常滑駅前別館（グランドアネックス）</t>
    <rPh sb="12" eb="14">
      <t>ベッカン</t>
    </rPh>
    <phoneticPr fontId="2"/>
  </si>
  <si>
    <t>豊橋市総合体育館</t>
    <rPh sb="0" eb="3">
      <t>トヨハシシ</t>
    </rPh>
    <rPh sb="3" eb="5">
      <t>ソウゴウ</t>
    </rPh>
    <rPh sb="5" eb="8">
      <t>タイイクカン</t>
    </rPh>
    <phoneticPr fontId="2"/>
  </si>
  <si>
    <t>豊橋市</t>
    <rPh sb="0" eb="2">
      <t>トヨハシ</t>
    </rPh>
    <rPh sb="2" eb="3">
      <t>シ</t>
    </rPh>
    <phoneticPr fontId="59"/>
  </si>
  <si>
    <t>豊橋市民球場</t>
    <rPh sb="0" eb="2">
      <t>トヨハシ</t>
    </rPh>
    <rPh sb="2" eb="6">
      <t>シミンキュウジョウ</t>
    </rPh>
    <phoneticPr fontId="2"/>
  </si>
  <si>
    <t>ロードレース</t>
    <phoneticPr fontId="2"/>
  </si>
  <si>
    <t>新城市内発着コース</t>
    <rPh sb="0" eb="4">
      <t>シンシロシナイ</t>
    </rPh>
    <rPh sb="4" eb="6">
      <t>ハッチャク</t>
    </rPh>
    <phoneticPr fontId="2"/>
  </si>
  <si>
    <t>新城市</t>
    <rPh sb="0" eb="3">
      <t>シンシロシ</t>
    </rPh>
    <phoneticPr fontId="59"/>
  </si>
  <si>
    <t>ホテルルートイン豊川インター</t>
  </si>
  <si>
    <t>豊川市</t>
  </si>
  <si>
    <t>豊橋市総合体育館</t>
    <rPh sb="0" eb="3">
      <t>トヨハシシ</t>
    </rPh>
    <rPh sb="3" eb="8">
      <t>ソウゴウタイイクカン</t>
    </rPh>
    <phoneticPr fontId="57"/>
  </si>
  <si>
    <t>射撃</t>
    <rPh sb="0" eb="2">
      <t>シャゲキ</t>
    </rPh>
    <phoneticPr fontId="59"/>
  </si>
  <si>
    <t>ピストル／ライフル／クレー</t>
  </si>
  <si>
    <t>愛知県総合射撃場</t>
    <rPh sb="0" eb="3">
      <t>アイチケン</t>
    </rPh>
    <rPh sb="3" eb="5">
      <t>ソウゴウ</t>
    </rPh>
    <rPh sb="5" eb="8">
      <t>シャゲキジョウ</t>
    </rPh>
    <phoneticPr fontId="2"/>
  </si>
  <si>
    <t>ホテルルートイン豊田元町</t>
  </si>
  <si>
    <t>スカイホール豊田</t>
    <rPh sb="6" eb="8">
      <t>トヨタ</t>
    </rPh>
    <phoneticPr fontId="2"/>
  </si>
  <si>
    <t>カヌー・カヤック</t>
    <phoneticPr fontId="2"/>
  </si>
  <si>
    <t>スプリント</t>
    <phoneticPr fontId="2"/>
  </si>
  <si>
    <t>三好池（長良川から変更）</t>
    <rPh sb="0" eb="2">
      <t>ミヨシ</t>
    </rPh>
    <rPh sb="2" eb="3">
      <t>イケ</t>
    </rPh>
    <phoneticPr fontId="2"/>
  </si>
  <si>
    <t>三好市</t>
    <rPh sb="0" eb="2">
      <t>ミヨシ</t>
    </rPh>
    <rPh sb="2" eb="3">
      <t>シ</t>
    </rPh>
    <phoneticPr fontId="59"/>
  </si>
  <si>
    <t>ホテルルートイン豊田陣中</t>
  </si>
  <si>
    <t>スラローム</t>
    <phoneticPr fontId="2"/>
  </si>
  <si>
    <t>矢作川カヌースラロームコース</t>
    <rPh sb="0" eb="3">
      <t>ヤハギガワ</t>
    </rPh>
    <phoneticPr fontId="2"/>
  </si>
  <si>
    <t>海陽ヨットハーバー</t>
    <rPh sb="0" eb="2">
      <t>カイヨウ</t>
    </rPh>
    <phoneticPr fontId="2"/>
  </si>
  <si>
    <t>蒲郡市</t>
    <rPh sb="0" eb="3">
      <t>ガマゴオリシ</t>
    </rPh>
    <phoneticPr fontId="59"/>
  </si>
  <si>
    <t>①</t>
  </si>
  <si>
    <t>マウンテンバイク</t>
    <phoneticPr fontId="2"/>
  </si>
  <si>
    <t>小幡緑地</t>
    <rPh sb="0" eb="4">
      <t>オバタリョクチ</t>
    </rPh>
    <phoneticPr fontId="2"/>
  </si>
  <si>
    <t>東横INN名古屋名駅南</t>
  </si>
  <si>
    <t>BMXレース</t>
    <phoneticPr fontId="2"/>
  </si>
  <si>
    <t>名古屋競輪場</t>
    <rPh sb="0" eb="3">
      <t>ナゴヤ</t>
    </rPh>
    <rPh sb="3" eb="6">
      <t>ケイリンジョウ</t>
    </rPh>
    <phoneticPr fontId="2"/>
  </si>
  <si>
    <t>名古屋市瑞穂公園ラグビー場</t>
    <rPh sb="0" eb="4">
      <t>ナゴヤシ</t>
    </rPh>
    <rPh sb="4" eb="8">
      <t>ミズホコウエン</t>
    </rPh>
    <rPh sb="12" eb="13">
      <t>ジョウ</t>
    </rPh>
    <phoneticPr fontId="2"/>
  </si>
  <si>
    <t>愛知国際アリーナ</t>
    <phoneticPr fontId="2"/>
  </si>
  <si>
    <t>名古屋市国際展示場［ポートメッセなごや］</t>
    <rPh sb="0" eb="4">
      <t>ナゴヤシ</t>
    </rPh>
    <rPh sb="4" eb="6">
      <t>コクサイ</t>
    </rPh>
    <rPh sb="6" eb="9">
      <t>テンジジョウ</t>
    </rPh>
    <phoneticPr fontId="2"/>
  </si>
  <si>
    <t>名古屋金城ふ頭アリーナ
（旧武田テバオーシャンアリーナ）</t>
    <rPh sb="0" eb="3">
      <t>ナゴヤ</t>
    </rPh>
    <rPh sb="3" eb="5">
      <t>キンジョウ</t>
    </rPh>
    <rPh sb="6" eb="7">
      <t>トウ</t>
    </rPh>
    <rPh sb="13" eb="14">
      <t>キュウ</t>
    </rPh>
    <rPh sb="14" eb="16">
      <t>タケダ</t>
    </rPh>
    <phoneticPr fontId="2"/>
  </si>
  <si>
    <t>ユニバー記念競技場</t>
  </si>
  <si>
    <t>神戸市</t>
    <rPh sb="0" eb="3">
      <t>コウベシ</t>
    </rPh>
    <phoneticPr fontId="59"/>
  </si>
  <si>
    <t>トラックレース</t>
    <phoneticPr fontId="2"/>
  </si>
  <si>
    <t>伊豆ベロドローム</t>
    <rPh sb="0" eb="2">
      <t>イズ</t>
    </rPh>
    <phoneticPr fontId="2"/>
  </si>
  <si>
    <t>伊豆市</t>
    <rPh sb="0" eb="3">
      <t>イズシ</t>
    </rPh>
    <phoneticPr fontId="59"/>
  </si>
  <si>
    <t>東横イン熱海駅前</t>
    <phoneticPr fontId="2"/>
  </si>
  <si>
    <t>熱海市</t>
    <rPh sb="0" eb="3">
      <t>アタミシ</t>
    </rPh>
    <phoneticPr fontId="2"/>
  </si>
  <si>
    <t>東海市民体育館</t>
    <rPh sb="0" eb="4">
      <t>トウカイシミン</t>
    </rPh>
    <rPh sb="4" eb="7">
      <t>タイイクカン</t>
    </rPh>
    <phoneticPr fontId="2"/>
  </si>
  <si>
    <t>東海シティホテル</t>
  </si>
  <si>
    <t>水球</t>
    <rPh sb="0" eb="2">
      <t>スイキュウ</t>
    </rPh>
    <phoneticPr fontId="2"/>
  </si>
  <si>
    <t>名古屋市総合体育館［レインボープール］</t>
    <rPh sb="0" eb="4">
      <t>ナゴヤシ</t>
    </rPh>
    <rPh sb="4" eb="6">
      <t>ソウゴウ</t>
    </rPh>
    <rPh sb="6" eb="9">
      <t>タイイクカン</t>
    </rPh>
    <phoneticPr fontId="2"/>
  </si>
  <si>
    <t>名古屋笠寺ホテル</t>
  </si>
  <si>
    <t>体操</t>
    <rPh sb="0" eb="2">
      <t>タイソウ</t>
    </rPh>
    <phoneticPr fontId="59"/>
  </si>
  <si>
    <t>陸上</t>
    <rPh sb="0" eb="2">
      <t>リクジョウ</t>
    </rPh>
    <phoneticPr fontId="2"/>
  </si>
  <si>
    <t>トラック／フィールド</t>
  </si>
  <si>
    <t>名古屋市瑞穂公園陸上競技場</t>
    <rPh sb="0" eb="4">
      <t>ナゴヤシ</t>
    </rPh>
    <rPh sb="4" eb="8">
      <t>ミズホコウエン</t>
    </rPh>
    <rPh sb="8" eb="13">
      <t>リクジョウキョウギジョウ</t>
    </rPh>
    <phoneticPr fontId="2"/>
  </si>
  <si>
    <t>名鉄イン名古屋駅前</t>
    <rPh sb="4" eb="9">
      <t>ナゴヤエキマエ</t>
    </rPh>
    <phoneticPr fontId="2"/>
  </si>
  <si>
    <t>マラソン</t>
  </si>
  <si>
    <t>名古屋市瑞穂公園陸上競技場（都心コース）</t>
    <rPh sb="0" eb="4">
      <t>ナゴヤシ</t>
    </rPh>
    <rPh sb="4" eb="8">
      <t>ミズホコウエン</t>
    </rPh>
    <rPh sb="8" eb="13">
      <t>リクジョウキョウギジョウ</t>
    </rPh>
    <rPh sb="14" eb="16">
      <t>トシン</t>
    </rPh>
    <phoneticPr fontId="2"/>
  </si>
  <si>
    <t>競歩</t>
    <rPh sb="0" eb="2">
      <t>キョウホ</t>
    </rPh>
    <phoneticPr fontId="2"/>
  </si>
  <si>
    <t>愛知県庁・名古屋市役所周辺コース</t>
    <rPh sb="0" eb="4">
      <t>アイチケンチョウ</t>
    </rPh>
    <rPh sb="5" eb="11">
      <t>ナゴヤシヤクショ</t>
    </rPh>
    <rPh sb="11" eb="13">
      <t>シュウヘン</t>
    </rPh>
    <phoneticPr fontId="2"/>
  </si>
  <si>
    <t>瑞穂公園体育館</t>
    <rPh sb="0" eb="2">
      <t>ミズホ</t>
    </rPh>
    <rPh sb="2" eb="4">
      <t>コウエン</t>
    </rPh>
    <rPh sb="4" eb="7">
      <t>タイイクカン</t>
    </rPh>
    <phoneticPr fontId="2"/>
  </si>
  <si>
    <t>ウェーブスタジアム刈谷</t>
    <rPh sb="9" eb="11">
      <t>カリヤ</t>
    </rPh>
    <phoneticPr fontId="2"/>
  </si>
  <si>
    <t>名鉄イン刈谷</t>
  </si>
  <si>
    <t>バレーボール（女子）</t>
    <rPh sb="7" eb="9">
      <t>ジョシ</t>
    </rPh>
    <phoneticPr fontId="59"/>
  </si>
  <si>
    <t>小牧市スポーツ公園総合体育館</t>
    <rPh sb="0" eb="3">
      <t>コマキシ</t>
    </rPh>
    <rPh sb="7" eb="9">
      <t>コウエン</t>
    </rPh>
    <rPh sb="9" eb="11">
      <t>ソウゴウ</t>
    </rPh>
    <rPh sb="11" eb="14">
      <t>タイイクカン</t>
    </rPh>
    <phoneticPr fontId="2"/>
  </si>
  <si>
    <t>小牧市</t>
    <rPh sb="0" eb="2">
      <t>コマキ</t>
    </rPh>
    <rPh sb="2" eb="3">
      <t>シ</t>
    </rPh>
    <phoneticPr fontId="59"/>
  </si>
  <si>
    <t>付近に乗降場無し（小牧駅前ロータリー）</t>
    <rPh sb="0" eb="2">
      <t>フキン</t>
    </rPh>
    <rPh sb="3" eb="7">
      <t>ジョウコウジョウナ</t>
    </rPh>
    <phoneticPr fontId="168"/>
  </si>
  <si>
    <t>仮配宿シミュレーションシート（技術役員20240611）</t>
    <rPh sb="0" eb="3">
      <t>カリハイシュク</t>
    </rPh>
    <rPh sb="15" eb="19">
      <t>ギジュツヤクイン</t>
    </rPh>
    <phoneticPr fontId="2"/>
  </si>
  <si>
    <t>提供室数
合計</t>
    <rPh sb="0" eb="2">
      <t>テイキョウ</t>
    </rPh>
    <phoneticPr fontId="2"/>
  </si>
  <si>
    <t>提供室数収容可能人数</t>
    <rPh sb="0" eb="2">
      <t>テイキョウ</t>
    </rPh>
    <rPh sb="2" eb="4">
      <t>シツスウ</t>
    </rPh>
    <phoneticPr fontId="2"/>
  </si>
  <si>
    <t>貸切全館</t>
    <rPh sb="0" eb="2">
      <t>カシキリ</t>
    </rPh>
    <rPh sb="2" eb="4">
      <t>ゼンカン</t>
    </rPh>
    <phoneticPr fontId="45"/>
  </si>
  <si>
    <t>貸切フロア</t>
    <rPh sb="0" eb="2">
      <t>カシキリ</t>
    </rPh>
    <phoneticPr fontId="2"/>
  </si>
  <si>
    <t>ファンクション保有数</t>
    <phoneticPr fontId="2"/>
  </si>
  <si>
    <t>ファンクション提供数</t>
    <phoneticPr fontId="2"/>
  </si>
  <si>
    <t>配宿人数
（修正後）</t>
    <rPh sb="0" eb="2">
      <t>ハイシュク</t>
    </rPh>
    <rPh sb="2" eb="4">
      <t>ニンズウ</t>
    </rPh>
    <rPh sb="6" eb="9">
      <t>シュウセイゴ</t>
    </rPh>
    <phoneticPr fontId="2"/>
  </si>
  <si>
    <t>参考：練習会場（全て非公開）</t>
    <phoneticPr fontId="2"/>
  </si>
  <si>
    <t>58室
(58名)</t>
  </si>
  <si>
    <t>81室
(81名)</t>
  </si>
  <si>
    <t>13室
(13名)</t>
  </si>
  <si>
    <r>
      <t>ソフトテニス（技術役員）同宿、</t>
    </r>
    <r>
      <rPr>
        <sz val="11"/>
        <color rgb="FFFF0000"/>
        <rFont val="Meiryo UI"/>
        <family val="3"/>
        <charset val="128"/>
      </rPr>
      <t>増室交渉要</t>
    </r>
    <rPh sb="7" eb="11">
      <t>ギジュツヤクイン</t>
    </rPh>
    <rPh sb="12" eb="14">
      <t>ドウシュク</t>
    </rPh>
    <rPh sb="15" eb="20">
      <t>ゾウシツコウショウヨウ</t>
    </rPh>
    <phoneticPr fontId="2"/>
  </si>
  <si>
    <t>648室
(648名)</t>
  </si>
  <si>
    <t>メディアと同宿</t>
    <rPh sb="5" eb="7">
      <t>ドウシュク</t>
    </rPh>
    <phoneticPr fontId="2"/>
  </si>
  <si>
    <t>17種目同宿</t>
    <rPh sb="2" eb="4">
      <t>シュモク</t>
    </rPh>
    <rPh sb="4" eb="6">
      <t>ドウシュク</t>
    </rPh>
    <phoneticPr fontId="2"/>
  </si>
  <si>
    <t>バスケットボール</t>
  </si>
  <si>
    <t>ドーミーインPREMIUM名古屋栄</t>
  </si>
  <si>
    <t>172室
(172名)</t>
  </si>
  <si>
    <t>6室
(6名)</t>
  </si>
  <si>
    <t>23室
(46名)</t>
  </si>
  <si>
    <t>11室
(22名)</t>
  </si>
  <si>
    <t>(2)</t>
  </si>
  <si>
    <t>武術太極拳・セパタクロー（技術役員）同宿</t>
    <rPh sb="0" eb="2">
      <t>ブジュツ</t>
    </rPh>
    <rPh sb="2" eb="5">
      <t>タイキョクケン</t>
    </rPh>
    <rPh sb="13" eb="17">
      <t>ギジュツヤクイン</t>
    </rPh>
    <rPh sb="18" eb="20">
      <t>ドウシュク</t>
    </rPh>
    <phoneticPr fontId="2"/>
  </si>
  <si>
    <t>ウエイトリフティング・セパタクロー（技術役員）同宿</t>
    <rPh sb="18" eb="22">
      <t>ギジュツヤクイン</t>
    </rPh>
    <rPh sb="23" eb="25">
      <t>ドウシュク</t>
    </rPh>
    <phoneticPr fontId="2"/>
  </si>
  <si>
    <t>ウエイトリフティング・武術太極拳（技術役員）同宿</t>
    <rPh sb="11" eb="13">
      <t>ブジュツ</t>
    </rPh>
    <rPh sb="13" eb="16">
      <t>タイキョクケン</t>
    </rPh>
    <rPh sb="17" eb="21">
      <t>ギジュツヤクイン</t>
    </rPh>
    <rPh sb="22" eb="24">
      <t>ドウシュク</t>
    </rPh>
    <phoneticPr fontId="2"/>
  </si>
  <si>
    <t>106室
(106名)</t>
  </si>
  <si>
    <t>53室
(53名)</t>
  </si>
  <si>
    <t>7室
(14名)</t>
  </si>
  <si>
    <t>4室
(8名)</t>
  </si>
  <si>
    <t>3室
(0名)</t>
  </si>
  <si>
    <t>増室交渉要</t>
    <rPh sb="0" eb="5">
      <t>ゾウシツコウショウヨウ</t>
    </rPh>
    <phoneticPr fontId="2"/>
  </si>
  <si>
    <t>犬山セントラルホテル</t>
  </si>
  <si>
    <t>102室
(102名)</t>
  </si>
  <si>
    <t>65室
(65名)</t>
  </si>
  <si>
    <r>
      <t>近代五種（技術役員）同宿、</t>
    </r>
    <r>
      <rPr>
        <sz val="11"/>
        <color rgb="FFFF0000"/>
        <rFont val="Meiryo UI"/>
        <family val="3"/>
        <charset val="128"/>
      </rPr>
      <t>増室交渉要</t>
    </r>
    <rPh sb="0" eb="4">
      <t>キンダイゴシュ</t>
    </rPh>
    <rPh sb="5" eb="9">
      <t>ギジュツヤクイン</t>
    </rPh>
    <rPh sb="10" eb="12">
      <t>ドウシュク</t>
    </rPh>
    <rPh sb="13" eb="18">
      <t>ゾウシツコウショウヨウ</t>
    </rPh>
    <phoneticPr fontId="2"/>
  </si>
  <si>
    <r>
      <t>サッカー女子（技術役員）同宿、</t>
    </r>
    <r>
      <rPr>
        <sz val="11"/>
        <color rgb="FFFF0000"/>
        <rFont val="Meiryo UI"/>
        <family val="3"/>
        <charset val="128"/>
      </rPr>
      <t>増室交渉要</t>
    </r>
    <rPh sb="7" eb="11">
      <t>ギジュツヤクイン</t>
    </rPh>
    <rPh sb="12" eb="14">
      <t>ドウシュク</t>
    </rPh>
    <rPh sb="15" eb="20">
      <t>ゾウシツコウショウヨウ</t>
    </rPh>
    <phoneticPr fontId="2"/>
  </si>
  <si>
    <t>126室
(126名)</t>
  </si>
  <si>
    <t>110室
(110名)</t>
  </si>
  <si>
    <t>ホテル松風</t>
  </si>
  <si>
    <t>43室
(43名)</t>
  </si>
  <si>
    <t>16室
(16名)</t>
  </si>
  <si>
    <t>7室
(0名)</t>
  </si>
  <si>
    <t>和室も利用すると収容人数に収まる、増室交渉要</t>
    <rPh sb="0" eb="2">
      <t>ワシツ</t>
    </rPh>
    <rPh sb="3" eb="5">
      <t>リヨウ</t>
    </rPh>
    <rPh sb="8" eb="10">
      <t>シュウヨウ</t>
    </rPh>
    <rPh sb="10" eb="12">
      <t>ニンズウ</t>
    </rPh>
    <rPh sb="13" eb="14">
      <t>オサ</t>
    </rPh>
    <rPh sb="17" eb="22">
      <t>ゾウシツコウショウヨウ</t>
    </rPh>
    <phoneticPr fontId="2"/>
  </si>
  <si>
    <t>103室
(103名)</t>
  </si>
  <si>
    <t>25室
(25名)</t>
  </si>
  <si>
    <t>23室
(23名)</t>
  </si>
  <si>
    <t>11室
(11名)</t>
  </si>
  <si>
    <r>
      <t>カヌー（スラローム）（技術役員）同宿、</t>
    </r>
    <r>
      <rPr>
        <sz val="11"/>
        <color rgb="FFFF0000"/>
        <rFont val="Meiryo UI"/>
        <family val="3"/>
        <charset val="128"/>
      </rPr>
      <t>増室交渉要</t>
    </r>
    <rPh sb="11" eb="15">
      <t>ギジュツヤクイン</t>
    </rPh>
    <rPh sb="16" eb="18">
      <t>ドウシュク</t>
    </rPh>
    <rPh sb="19" eb="24">
      <t>ゾウシツコウショウヨウ</t>
    </rPh>
    <phoneticPr fontId="2"/>
  </si>
  <si>
    <t>カヌー・カヤック</t>
  </si>
  <si>
    <r>
      <t>カヌー（スプリント）（技術役員）同宿、</t>
    </r>
    <r>
      <rPr>
        <sz val="11"/>
        <color rgb="FFFF0000"/>
        <rFont val="Meiryo UI"/>
        <family val="3"/>
        <charset val="128"/>
      </rPr>
      <t>増室交渉要</t>
    </r>
    <rPh sb="11" eb="15">
      <t>ギジュツヤクイン</t>
    </rPh>
    <rPh sb="16" eb="18">
      <t>ドウシュク</t>
    </rPh>
    <rPh sb="19" eb="24">
      <t>ゾウシツコウショウヨウ</t>
    </rPh>
    <phoneticPr fontId="2"/>
  </si>
  <si>
    <t>153室
(153名)</t>
  </si>
  <si>
    <t>22室
(22名)</t>
  </si>
  <si>
    <t>HOTEL LiVEMAX三河安城駅前　←東横イン知立に変更</t>
    <rPh sb="21" eb="23">
      <t>トウヨコ</t>
    </rPh>
    <rPh sb="25" eb="27">
      <t>チリュウ</t>
    </rPh>
    <rPh sb="28" eb="30">
      <t>ヘンコウ</t>
    </rPh>
    <phoneticPr fontId="2"/>
  </si>
  <si>
    <t>64室
(64名)</t>
  </si>
  <si>
    <t>79室
(79名)</t>
  </si>
  <si>
    <t>39室
(39名)</t>
  </si>
  <si>
    <r>
      <t>バレー（男子）（技術役員）と同宿、</t>
    </r>
    <r>
      <rPr>
        <sz val="11"/>
        <color rgb="FFFF0000"/>
        <rFont val="Meiryo UI"/>
        <family val="3"/>
        <charset val="128"/>
      </rPr>
      <t>増室交渉要</t>
    </r>
    <rPh sb="4" eb="6">
      <t>ダンシ</t>
    </rPh>
    <rPh sb="8" eb="12">
      <t>ギジュツヤクイン</t>
    </rPh>
    <rPh sb="14" eb="16">
      <t>ドウシュク</t>
    </rPh>
    <rPh sb="17" eb="22">
      <t>ゾウシツコウショウヨウ</t>
    </rPh>
    <phoneticPr fontId="2"/>
  </si>
  <si>
    <r>
      <t>アーチェリー（技術役員）同宿、</t>
    </r>
    <r>
      <rPr>
        <sz val="11"/>
        <color rgb="FFFF0000"/>
        <rFont val="Meiryo UI"/>
        <family val="3"/>
        <charset val="128"/>
      </rPr>
      <t>増室交渉要</t>
    </r>
    <rPh sb="7" eb="11">
      <t>ギジュツヤクイン</t>
    </rPh>
    <rPh sb="12" eb="14">
      <t>ドウシュク</t>
    </rPh>
    <rPh sb="15" eb="20">
      <t>ゾウシツコウショウヨウ</t>
    </rPh>
    <phoneticPr fontId="2"/>
  </si>
  <si>
    <t>三河湾ヒルズ・ホテル</t>
  </si>
  <si>
    <t>31室
(31名)</t>
  </si>
  <si>
    <t>5室
(15名)</t>
  </si>
  <si>
    <t>1室
(3名)</t>
  </si>
  <si>
    <t>●</t>
  </si>
  <si>
    <t>洋室中心に配宿想定</t>
    <phoneticPr fontId="2"/>
  </si>
  <si>
    <t>3室
(6名)</t>
  </si>
  <si>
    <t>120室
(120名)</t>
  </si>
  <si>
    <t>30室
(30名)</t>
  </si>
  <si>
    <t>100室
(100名)</t>
  </si>
  <si>
    <t>空手（技術役員）と同宿</t>
    <rPh sb="0" eb="2">
      <t>カラテ</t>
    </rPh>
    <rPh sb="3" eb="7">
      <t>ギジュツヤクイン</t>
    </rPh>
    <rPh sb="9" eb="11">
      <t>ドウシュク</t>
    </rPh>
    <phoneticPr fontId="2"/>
  </si>
  <si>
    <t>自転車競技（ロードレース）（技術役員）と同宿</t>
    <rPh sb="0" eb="3">
      <t>ジテンシャ</t>
    </rPh>
    <rPh sb="3" eb="5">
      <t>キョウギ</t>
    </rPh>
    <rPh sb="14" eb="18">
      <t>ギジュツヤクイン</t>
    </rPh>
    <rPh sb="20" eb="22">
      <t>ドウシュク</t>
    </rPh>
    <phoneticPr fontId="2"/>
  </si>
  <si>
    <t>71室
(71名)</t>
  </si>
  <si>
    <r>
      <rPr>
        <sz val="11"/>
        <color theme="1"/>
        <rFont val="Meiryo UI"/>
        <family val="3"/>
        <charset val="128"/>
      </rPr>
      <t>メディアと同宿、</t>
    </r>
    <r>
      <rPr>
        <sz val="11"/>
        <color rgb="FFFF0000"/>
        <rFont val="Meiryo UI"/>
        <family val="3"/>
        <charset val="128"/>
      </rPr>
      <t>増室交渉要</t>
    </r>
    <rPh sb="5" eb="7">
      <t>ドウシュク</t>
    </rPh>
    <rPh sb="8" eb="13">
      <t>ゾウシツコウショウヨウ</t>
    </rPh>
    <phoneticPr fontId="2"/>
  </si>
  <si>
    <t>63室
(63名)</t>
  </si>
  <si>
    <t>2名収容人数オーバー</t>
    <rPh sb="1" eb="2">
      <t>メイ</t>
    </rPh>
    <rPh sb="2" eb="6">
      <t>シュウヨウニンズウ</t>
    </rPh>
    <phoneticPr fontId="2"/>
  </si>
  <si>
    <t>4室
(0名)</t>
  </si>
  <si>
    <t>中部国際空港セントレアホテル</t>
  </si>
  <si>
    <t>146室
(146名)</t>
  </si>
  <si>
    <t>68室
(68名)</t>
  </si>
  <si>
    <t>164室
(328名)</t>
  </si>
  <si>
    <t>100室
(200名)</t>
  </si>
  <si>
    <t>ホテルルートイン常滑駅前グランドアネックス</t>
  </si>
  <si>
    <t>74室
(74名)</t>
  </si>
  <si>
    <t>19室
(19名)</t>
  </si>
  <si>
    <t>10室
(10名)</t>
  </si>
  <si>
    <t>フェンシング・スケートボード（技術役員）同宿</t>
    <rPh sb="15" eb="19">
      <t>ギジュツヤクイン</t>
    </rPh>
    <rPh sb="20" eb="22">
      <t>ドウシュク</t>
    </rPh>
    <phoneticPr fontId="2"/>
  </si>
  <si>
    <t>自転車（BMXフリースタイル）・スケートボード（技術役員）同宿</t>
    <rPh sb="24" eb="28">
      <t>ギジュツヤクイン</t>
    </rPh>
    <rPh sb="29" eb="31">
      <t>ドウシュク</t>
    </rPh>
    <phoneticPr fontId="2"/>
  </si>
  <si>
    <t>自転車（BMXフリースタイル）・フェンシング（技術役員）同宿</t>
    <rPh sb="23" eb="27">
      <t>ギジュツヤクイン</t>
    </rPh>
    <rPh sb="28" eb="30">
      <t>ドウシュク</t>
    </rPh>
    <phoneticPr fontId="2"/>
  </si>
  <si>
    <t>112室
(112名)</t>
  </si>
  <si>
    <t>38室
(38名)</t>
  </si>
  <si>
    <t>24室
(48名)</t>
  </si>
  <si>
    <t>10室
(20名)</t>
  </si>
  <si>
    <t>伊良湖オーシャンリゾート</t>
  </si>
  <si>
    <t>20室
(40名)</t>
  </si>
  <si>
    <t>30室
(90名)</t>
  </si>
  <si>
    <t>8室
(32名)</t>
  </si>
  <si>
    <t>12室
(0名)</t>
  </si>
  <si>
    <t>16室
(32名)</t>
  </si>
  <si>
    <t>帝国ホテル 大阪</t>
  </si>
  <si>
    <t>136室
(136名)</t>
  </si>
  <si>
    <t>221室
(442名)</t>
  </si>
  <si>
    <t>21室
(42名)</t>
  </si>
  <si>
    <t>オークラアクトシティホテル浜松</t>
  </si>
  <si>
    <t>91室
(91名)</t>
  </si>
  <si>
    <t>32室
(32名)</t>
  </si>
  <si>
    <t>192室
(384名)</t>
  </si>
  <si>
    <t>99室
(198名)</t>
  </si>
  <si>
    <t>伊豆マリオットホテル修善寺</t>
  </si>
  <si>
    <t>58室
(116名)</t>
  </si>
  <si>
    <t>和室中心に配宿想定</t>
    <phoneticPr fontId="2"/>
  </si>
  <si>
    <t>33室
(33名)</t>
  </si>
  <si>
    <t>72室
(72名)</t>
  </si>
  <si>
    <t>43室
(86名)</t>
  </si>
  <si>
    <r>
      <t>バドミントン（技術役員）同宿、</t>
    </r>
    <r>
      <rPr>
        <sz val="11"/>
        <color rgb="FFFF0000"/>
        <rFont val="Meiryo UI"/>
        <family val="3"/>
        <charset val="128"/>
      </rPr>
      <t>増室交渉要</t>
    </r>
    <rPh sb="7" eb="11">
      <t>ギジュツヤクイン</t>
    </rPh>
    <rPh sb="12" eb="14">
      <t>ドウシュク</t>
    </rPh>
    <phoneticPr fontId="2"/>
  </si>
  <si>
    <t>141室
(141名)</t>
  </si>
  <si>
    <t>17室
(34名)</t>
  </si>
  <si>
    <t>東京イーストサイドホテル櫂会</t>
    <rPh sb="0" eb="2">
      <t>トウキョウ</t>
    </rPh>
    <rPh sb="12" eb="13">
      <t>カイ</t>
    </rPh>
    <rPh sb="13" eb="14">
      <t>カイ</t>
    </rPh>
    <phoneticPr fontId="2"/>
  </si>
  <si>
    <t>（未）</t>
    <rPh sb="1" eb="2">
      <t>ミ</t>
    </rPh>
    <phoneticPr fontId="2"/>
  </si>
  <si>
    <t>競泳・飛込同宿、未調査</t>
    <rPh sb="0" eb="2">
      <t>キョウエイ</t>
    </rPh>
    <rPh sb="3" eb="5">
      <t>トビコミ</t>
    </rPh>
    <rPh sb="5" eb="7">
      <t>ドウシュク</t>
    </rPh>
    <rPh sb="8" eb="11">
      <t>ミチョウサ</t>
    </rPh>
    <phoneticPr fontId="2"/>
  </si>
  <si>
    <t>二子玉川エクセルホテル東急</t>
    <rPh sb="0" eb="4">
      <t>フタゴタマガワ</t>
    </rPh>
    <rPh sb="11" eb="13">
      <t>トウキュウ</t>
    </rPh>
    <phoneticPr fontId="2"/>
  </si>
  <si>
    <t>未調査</t>
    <rPh sb="0" eb="3">
      <t>ミチョウサ</t>
    </rPh>
    <phoneticPr fontId="2"/>
  </si>
  <si>
    <t>施設数</t>
    <rPh sb="0" eb="3">
      <t>シセツスウ</t>
    </rPh>
    <phoneticPr fontId="2"/>
  </si>
  <si>
    <t>愛知県内（名古屋市内）</t>
    <rPh sb="0" eb="4">
      <t>アイチケンナイ</t>
    </rPh>
    <rPh sb="5" eb="10">
      <t>ナゴヤシナイ</t>
    </rPh>
    <phoneticPr fontId="2"/>
  </si>
  <si>
    <t>合計
人数</t>
    <rPh sb="0" eb="2">
      <t>ゴウケイ</t>
    </rPh>
    <rPh sb="3" eb="5">
      <t>ニンズウ</t>
    </rPh>
    <phoneticPr fontId="2"/>
  </si>
  <si>
    <t>愛知県内（名古屋市外）</t>
    <rPh sb="0" eb="4">
      <t>アイチケンナイ</t>
    </rPh>
    <rPh sb="5" eb="8">
      <t>ナゴヤ</t>
    </rPh>
    <rPh sb="8" eb="10">
      <t>シガイ</t>
    </rPh>
    <phoneticPr fontId="2"/>
  </si>
  <si>
    <t>愛知県外</t>
    <rPh sb="0" eb="2">
      <t>アイチ</t>
    </rPh>
    <rPh sb="2" eb="3">
      <t>ケン</t>
    </rPh>
    <rPh sb="3" eb="4">
      <t>ガイ</t>
    </rPh>
    <phoneticPr fontId="2"/>
  </si>
  <si>
    <t>※12/15時点の内容（今後の増室交渉等により内容が変更となる可能性もあります）</t>
    <phoneticPr fontId="2"/>
  </si>
  <si>
    <t>※ジム ◎：施設内にあり、○：徒歩15分以内にあり、●：機器設置検討、△：運動場等はあり、×：なし</t>
    <phoneticPr fontId="2"/>
  </si>
  <si>
    <t>※中誘協　○：加盟　、◎：23/12/21の商談会へ出席</t>
    <rPh sb="1" eb="2">
      <t>ナカ</t>
    </rPh>
    <rPh sb="2" eb="3">
      <t>サソ</t>
    </rPh>
    <rPh sb="3" eb="4">
      <t>キョウ</t>
    </rPh>
    <rPh sb="7" eb="9">
      <t>カメイ</t>
    </rPh>
    <rPh sb="22" eb="25">
      <t>ショウダンカイ</t>
    </rPh>
    <rPh sb="26" eb="28">
      <t>シュッセキ</t>
    </rPh>
    <phoneticPr fontId="2"/>
  </si>
  <si>
    <t>※４大チェーンホテルとは、東横イン・ルートイン・アパホテル・コンフォートホテルを指す</t>
    <rPh sb="13" eb="15">
      <t>トウヨコ</t>
    </rPh>
    <rPh sb="40" eb="41">
      <t>サ</t>
    </rPh>
    <phoneticPr fontId="2"/>
  </si>
  <si>
    <r>
      <t>仮配宿シミュレーションシート</t>
    </r>
    <r>
      <rPr>
        <b/>
        <sz val="18"/>
        <color theme="4"/>
        <rFont val="Meiryo UI"/>
        <family val="3"/>
        <charset val="128"/>
      </rPr>
      <t>　</t>
    </r>
    <r>
      <rPr>
        <b/>
        <sz val="18"/>
        <color theme="1"/>
        <rFont val="Meiryo UI"/>
        <family val="3"/>
        <charset val="128"/>
      </rPr>
      <t>【DCO】20240611</t>
    </r>
    <rPh sb="0" eb="3">
      <t>カリハイシュク</t>
    </rPh>
    <phoneticPr fontId="2"/>
  </si>
  <si>
    <t>2024/6時点</t>
    <rPh sb="6" eb="8">
      <t>ジテン</t>
    </rPh>
    <phoneticPr fontId="2"/>
  </si>
  <si>
    <t>施設番号</t>
    <rPh sb="0" eb="2">
      <t>シセツ</t>
    </rPh>
    <phoneticPr fontId="2"/>
  </si>
  <si>
    <t>提供室数
合計</t>
    <rPh sb="0" eb="2">
      <t>テイキョウ</t>
    </rPh>
    <phoneticPr fontId="59"/>
  </si>
  <si>
    <t>提供客室収容可能人数</t>
    <rPh sb="0" eb="2">
      <t>テイキョウ</t>
    </rPh>
    <rPh sb="2" eb="4">
      <t>キャクシツ</t>
    </rPh>
    <phoneticPr fontId="59"/>
  </si>
  <si>
    <t>全館貸切</t>
    <rPh sb="0" eb="2">
      <t>ゼンカン</t>
    </rPh>
    <rPh sb="2" eb="4">
      <t>カシキリ</t>
    </rPh>
    <phoneticPr fontId="59"/>
  </si>
  <si>
    <t>フロア貸切</t>
    <rPh sb="3" eb="5">
      <t>カシキリ</t>
    </rPh>
    <phoneticPr fontId="59"/>
  </si>
  <si>
    <t>ファンクション保有数</t>
    <phoneticPr fontId="59"/>
  </si>
  <si>
    <t>ファンクション提供数</t>
    <phoneticPr fontId="59"/>
  </si>
  <si>
    <t>配宿SH</t>
    <rPh sb="0" eb="2">
      <t>ハイシュク</t>
    </rPh>
    <phoneticPr fontId="2"/>
  </si>
  <si>
    <t>東横イン名古屋名駅南</t>
    <rPh sb="0" eb="2">
      <t>トウヨコ</t>
    </rPh>
    <rPh sb="4" eb="7">
      <t>ナゴヤ</t>
    </rPh>
    <rPh sb="7" eb="9">
      <t>メイエキ</t>
    </rPh>
    <rPh sb="9" eb="10">
      <t>ミナミ</t>
    </rPh>
    <phoneticPr fontId="2"/>
  </si>
  <si>
    <t>211室
(211名)</t>
  </si>
  <si>
    <t>DCO</t>
  </si>
  <si>
    <t>ホテルルートイン豊橋駅前</t>
    <rPh sb="8" eb="11">
      <t>トヨハシエキ</t>
    </rPh>
    <rPh sb="11" eb="12">
      <t>マエ</t>
    </rPh>
    <phoneticPr fontId="2"/>
  </si>
  <si>
    <t>176室
(176名)</t>
  </si>
  <si>
    <t>48室
(48名)</t>
  </si>
  <si>
    <t>東横イン浜松駅北口</t>
    <rPh sb="0" eb="2">
      <t>トウヨコ</t>
    </rPh>
    <rPh sb="4" eb="7">
      <t>ハママツエキ</t>
    </rPh>
    <rPh sb="7" eb="9">
      <t>キタグチ</t>
    </rPh>
    <phoneticPr fontId="2"/>
  </si>
  <si>
    <t>111室
(111名)</t>
  </si>
  <si>
    <t>東横イン熱海駅前</t>
    <rPh sb="0" eb="2">
      <t>トウヨコ</t>
    </rPh>
    <rPh sb="4" eb="8">
      <t>アタミエキマエ</t>
    </rPh>
    <phoneticPr fontId="2"/>
  </si>
  <si>
    <t>技術役員と同宿</t>
    <rPh sb="0" eb="2">
      <t>ギジュツ</t>
    </rPh>
    <rPh sb="2" eb="4">
      <t>ヤクイン</t>
    </rPh>
    <rPh sb="5" eb="7">
      <t>ドウシュク</t>
    </rPh>
    <phoneticPr fontId="2"/>
  </si>
  <si>
    <t>東横イン神戸三ノ宮１</t>
    <rPh sb="0" eb="2">
      <t>トウヨコ</t>
    </rPh>
    <rPh sb="4" eb="6">
      <t>コウベ</t>
    </rPh>
    <rPh sb="6" eb="7">
      <t>サン</t>
    </rPh>
    <rPh sb="8" eb="9">
      <t>ミヤ</t>
    </rPh>
    <phoneticPr fontId="2"/>
  </si>
  <si>
    <t>東京</t>
  </si>
  <si>
    <t>【アジア競技大会：食事対応難易度（JTB名古屋事業部提示）及び各種経費積算】</t>
    <rPh sb="4" eb="8">
      <t>キョウギタイカイ</t>
    </rPh>
    <rPh sb="9" eb="16">
      <t>ショクジタイオウナンイド</t>
    </rPh>
    <rPh sb="20" eb="26">
      <t>ナゴヤジギョウブ</t>
    </rPh>
    <rPh sb="26" eb="28">
      <t>テイジ</t>
    </rPh>
    <rPh sb="29" eb="30">
      <t>オヨ</t>
    </rPh>
    <rPh sb="31" eb="37">
      <t>カクシュケイヒセキサン</t>
    </rPh>
    <phoneticPr fontId="2"/>
  </si>
  <si>
    <t>（単位：円）</t>
    <rPh sb="1" eb="3">
      <t>タンイ</t>
    </rPh>
    <rPh sb="4" eb="5">
      <t>エン</t>
    </rPh>
    <phoneticPr fontId="2"/>
  </si>
  <si>
    <t>難易度</t>
    <rPh sb="0" eb="3">
      <t>ナンイド</t>
    </rPh>
    <phoneticPr fontId="2"/>
  </si>
  <si>
    <t>難易度のイメージ感</t>
    <rPh sb="0" eb="3">
      <t>ナンイド</t>
    </rPh>
    <rPh sb="8" eb="9">
      <t>カン</t>
    </rPh>
    <phoneticPr fontId="2"/>
  </si>
  <si>
    <t>提供方法</t>
    <rPh sb="0" eb="4">
      <t>テイキョウホウホウ</t>
    </rPh>
    <phoneticPr fontId="2"/>
  </si>
  <si>
    <t>１日３食あたり
飲食提供単価
(A)</t>
    <rPh sb="1" eb="2">
      <t>ニチ</t>
    </rPh>
    <rPh sb="3" eb="4">
      <t>ショク</t>
    </rPh>
    <rPh sb="8" eb="10">
      <t>インショク</t>
    </rPh>
    <rPh sb="10" eb="12">
      <t>テイキョウ</t>
    </rPh>
    <rPh sb="12" eb="14">
      <t>タンカ</t>
    </rPh>
    <phoneticPr fontId="2"/>
  </si>
  <si>
    <t>グラブアンドゴー
提供経費
(B)</t>
    <rPh sb="9" eb="11">
      <t>テイキョウ</t>
    </rPh>
    <rPh sb="11" eb="13">
      <t>ケイヒ</t>
    </rPh>
    <phoneticPr fontId="2"/>
  </si>
  <si>
    <t>その他経費
(C)</t>
    <rPh sb="2" eb="5">
      <t>タケイヒ</t>
    </rPh>
    <phoneticPr fontId="2"/>
  </si>
  <si>
    <t>高</t>
    <rPh sb="0" eb="1">
      <t>タカ</t>
    </rPh>
    <phoneticPr fontId="2"/>
  </si>
  <si>
    <t>もっとも難易度が高く、いわゆるコロナ病棟パターン
（箱貸しのみ）</t>
    <rPh sb="4" eb="7">
      <t>ナンイド</t>
    </rPh>
    <rPh sb="8" eb="9">
      <t>タカ</t>
    </rPh>
    <rPh sb="18" eb="20">
      <t>ビョウトウ</t>
    </rPh>
    <rPh sb="26" eb="27">
      <t>ハコ</t>
    </rPh>
    <rPh sb="27" eb="28">
      <t>カ</t>
    </rPh>
    <phoneticPr fontId="2"/>
  </si>
  <si>
    <t>【１日３食あたり飲食提供単価(A)】
　・食事契約単価（2022年ｴｱｹｰﾀﾘﾝｸﾞ見積）
　　※飲料代は含んでいない（VIK想定）
　　※@40,000円／人・日×消費税1.1
　　　×消費者物価指数上昇率　105.6/102.3
　　　　(全国総合：2022→2023)
【グラブアンドゴー提供経費(B)】
　・競技会場リフレッシュメント単価
　　※@800円／人・日×消費税1.1
【その他経費(C)】
　①臨時人件費（Indeed参考）
　　➡愛知県での飲食店の平均給与
　　　※@1,182円／人・時×８時間／シフト
　　　　×10人×３シフト×16日×管理料1.15
　　　　×消費税1.1
　②20フィート冷凍庫･冷蔵庫
　　（会場整備課聞き取り）
　　　※@3,050,000円／施設×1.35(設置費)
　　　　×1.1(消費税)＋1,300,000円(仮設電源等)
　　　　×２機（冷凍庫･冷蔵庫）
　③再加熱調理施設（別紙見積のとおり）
　　　※@17,182,000円／施設
　④サービス什器（事業者ヒアリング）
　　　※什器１式分　3,878,050円／施設</t>
    <rPh sb="32" eb="33">
      <t>ネン</t>
    </rPh>
    <rPh sb="42" eb="44">
      <t>ミツモリ</t>
    </rPh>
    <rPh sb="49" eb="52">
      <t>インリョウダイ</t>
    </rPh>
    <rPh sb="53" eb="54">
      <t>フク</t>
    </rPh>
    <rPh sb="63" eb="65">
      <t>ソウテイ</t>
    </rPh>
    <rPh sb="77" eb="78">
      <t>エン</t>
    </rPh>
    <rPh sb="79" eb="80">
      <t>ヒト</t>
    </rPh>
    <rPh sb="209" eb="211">
      <t>リンジ</t>
    </rPh>
    <rPh sb="211" eb="214">
      <t>ジンケンヒ</t>
    </rPh>
    <rPh sb="221" eb="223">
      <t>サンコウ</t>
    </rPh>
    <rPh sb="252" eb="253">
      <t>エン</t>
    </rPh>
    <rPh sb="256" eb="257">
      <t>ジ</t>
    </rPh>
    <rPh sb="273" eb="274">
      <t>ニン</t>
    </rPh>
    <rPh sb="284" eb="287">
      <t>カンリリョウ</t>
    </rPh>
    <rPh sb="297" eb="300">
      <t>ショウヒゼイ</t>
    </rPh>
    <phoneticPr fontId="2"/>
  </si>
  <si>
    <t>中</t>
    <rPh sb="0" eb="1">
      <t>チュウ</t>
    </rPh>
    <phoneticPr fontId="2"/>
  </si>
  <si>
    <t>ホテルの通常レベルなら対応できるが、
〇種類追加やメニューを毎日変更する等は難しい</t>
    <rPh sb="36" eb="37">
      <t>ナド</t>
    </rPh>
    <rPh sb="38" eb="39">
      <t>ムズカ</t>
    </rPh>
    <phoneticPr fontId="2"/>
  </si>
  <si>
    <t>低</t>
    <rPh sb="0" eb="1">
      <t>ヒク</t>
    </rPh>
    <phoneticPr fontId="2"/>
  </si>
  <si>
    <t>一応レストランとして外部からのお客様を受けている</t>
    <phoneticPr fontId="2"/>
  </si>
  <si>
    <t>宿泊施設対応</t>
    <rPh sb="0" eb="2">
      <t>シュクハク</t>
    </rPh>
    <rPh sb="2" eb="4">
      <t>シセツ</t>
    </rPh>
    <rPh sb="4" eb="6">
      <t>タイオウ</t>
    </rPh>
    <phoneticPr fontId="2"/>
  </si>
  <si>
    <t>【１日３食あたり飲食提供単価(A)】
　・食事契約単価（ラグビーW杯2018）
　　※飲料代は含んでいない（VIK想定）
　　※@17,280円／人・日×消費税1.1
　　　×消費者物価指数上昇率　105.6/99.5
　　　　(全国総合：2018→2023)
【グラブアンドゴー提供経費(B)】
　・競技会場リフレッシュメント単価
　　※@800円／人・日×消費税1.1
【その他経費(C)】
　・臨時人件費（Indeed参考）
　　➡愛知県での飲食店の平均給与
　　　※@1,182円／人・時×８時間／シフト
　　　　×５人×３シフト×16日××管理料1.15
　　　　×消費税1.1</t>
    <rPh sb="71" eb="72">
      <t>エン</t>
    </rPh>
    <rPh sb="73" eb="74">
      <t>ヒト</t>
    </rPh>
    <rPh sb="75" eb="76">
      <t>ニチ</t>
    </rPh>
    <rPh sb="88" eb="91">
      <t>ショウヒシャ</t>
    </rPh>
    <rPh sb="91" eb="95">
      <t>ブッカシスウ</t>
    </rPh>
    <rPh sb="95" eb="98">
      <t>ジョウショウリツ</t>
    </rPh>
    <rPh sb="115" eb="117">
      <t>ゼンコク</t>
    </rPh>
    <rPh sb="117" eb="119">
      <t>ソウゴウ</t>
    </rPh>
    <rPh sb="152" eb="156">
      <t>キョウギカイジョウ</t>
    </rPh>
    <rPh sb="165" eb="167">
      <t>タンカ</t>
    </rPh>
    <phoneticPr fontId="2"/>
  </si>
  <si>
    <t>3食提供できる想定</t>
    <rPh sb="1" eb="2">
      <t>ショク</t>
    </rPh>
    <rPh sb="2" eb="4">
      <t>テイキョウ</t>
    </rPh>
    <rPh sb="7" eb="9">
      <t>ソウテイ</t>
    </rPh>
    <phoneticPr fontId="2"/>
  </si>
  <si>
    <t>【アジア競技大会：宿泊施設別整理表】</t>
    <rPh sb="4" eb="8">
      <t>キョウギタイカイ</t>
    </rPh>
    <rPh sb="9" eb="11">
      <t>シュクハク</t>
    </rPh>
    <rPh sb="11" eb="13">
      <t>シセツ</t>
    </rPh>
    <rPh sb="13" eb="14">
      <t>ベツ</t>
    </rPh>
    <rPh sb="14" eb="16">
      <t>セイリ</t>
    </rPh>
    <rPh sb="16" eb="17">
      <t>ヒョウ</t>
    </rPh>
    <phoneticPr fontId="2"/>
  </si>
  <si>
    <t>配宿</t>
  </si>
  <si>
    <t>配宿ホテル</t>
    <rPh sb="0" eb="2">
      <t>ハイシュク</t>
    </rPh>
    <phoneticPr fontId="39"/>
  </si>
  <si>
    <t>食事対応
難易度</t>
    <rPh sb="0" eb="2">
      <t>ショクジ</t>
    </rPh>
    <rPh sb="2" eb="4">
      <t>タイオウ</t>
    </rPh>
    <rPh sb="5" eb="8">
      <t>ナンイド</t>
    </rPh>
    <phoneticPr fontId="2"/>
  </si>
  <si>
    <t>配宿人数
(D)</t>
    <rPh sb="0" eb="4">
      <t>ハイシュクニンズウ</t>
    </rPh>
    <phoneticPr fontId="2"/>
  </si>
  <si>
    <t>提供日数
(E)</t>
    <rPh sb="0" eb="4">
      <t>テイキョウニッスウ</t>
    </rPh>
    <phoneticPr fontId="46"/>
  </si>
  <si>
    <r>
      <t xml:space="preserve">飲食提供費
</t>
    </r>
    <r>
      <rPr>
        <sz val="10"/>
        <rFont val="Meiryo UI"/>
        <family val="3"/>
        <charset val="128"/>
      </rPr>
      <t>(A×D×E)</t>
    </r>
    <rPh sb="0" eb="5">
      <t>インショクテイキョウヒ</t>
    </rPh>
    <phoneticPr fontId="46"/>
  </si>
  <si>
    <t>グラブアンドゴー
提供経費
(B×D×E)</t>
    <rPh sb="9" eb="11">
      <t>テイキョウ</t>
    </rPh>
    <rPh sb="11" eb="13">
      <t>ケイヒ</t>
    </rPh>
    <phoneticPr fontId="2"/>
  </si>
  <si>
    <t>SH</t>
  </si>
  <si>
    <t>ホテル名</t>
  </si>
  <si>
    <t>選手</t>
    <rPh sb="0" eb="2">
      <t>センシュ</t>
    </rPh>
    <phoneticPr fontId="2"/>
  </si>
  <si>
    <t>宿泊施設_０１</t>
    <rPh sb="0" eb="4">
      <t>シュクハクシセツ</t>
    </rPh>
    <phoneticPr fontId="2"/>
  </si>
  <si>
    <t>宿泊施設_０２</t>
    <rPh sb="0" eb="4">
      <t>シュクハクシセツ</t>
    </rPh>
    <phoneticPr fontId="2"/>
  </si>
  <si>
    <t>宿泊施設_０３</t>
    <rPh sb="0" eb="4">
      <t>シュクハクシセツ</t>
    </rPh>
    <phoneticPr fontId="2"/>
  </si>
  <si>
    <t>宿泊施設_０４</t>
    <rPh sb="0" eb="4">
      <t>シュクハクシセツ</t>
    </rPh>
    <phoneticPr fontId="2"/>
  </si>
  <si>
    <t>宿泊施設_０５</t>
    <rPh sb="0" eb="4">
      <t>シュクハクシセツ</t>
    </rPh>
    <phoneticPr fontId="2"/>
  </si>
  <si>
    <t>宿泊施設_０６</t>
    <rPh sb="0" eb="4">
      <t>シュクハクシセツ</t>
    </rPh>
    <phoneticPr fontId="2"/>
  </si>
  <si>
    <t>宿泊施設_０７</t>
    <rPh sb="0" eb="4">
      <t>シュクハクシセツ</t>
    </rPh>
    <phoneticPr fontId="2"/>
  </si>
  <si>
    <t>宿泊施設_０８</t>
    <rPh sb="0" eb="4">
      <t>シュクハクシセツ</t>
    </rPh>
    <phoneticPr fontId="2"/>
  </si>
  <si>
    <t>宿泊施設_０９</t>
    <rPh sb="0" eb="4">
      <t>シュクハクシセツ</t>
    </rPh>
    <phoneticPr fontId="2"/>
  </si>
  <si>
    <t>宿泊施設_１０</t>
    <rPh sb="0" eb="4">
      <t>シュクハクシセツ</t>
    </rPh>
    <phoneticPr fontId="2"/>
  </si>
  <si>
    <t>宿泊施設_１１</t>
    <rPh sb="0" eb="4">
      <t>シュクハクシセツ</t>
    </rPh>
    <phoneticPr fontId="2"/>
  </si>
  <si>
    <t>宿泊施設_１２</t>
    <rPh sb="0" eb="4">
      <t>シュクハクシセツ</t>
    </rPh>
    <phoneticPr fontId="2"/>
  </si>
  <si>
    <t>宿泊施設_１３</t>
    <rPh sb="0" eb="4">
      <t>シュクハクシセツ</t>
    </rPh>
    <phoneticPr fontId="2"/>
  </si>
  <si>
    <t>宿泊施設_１４</t>
    <rPh sb="0" eb="4">
      <t>シュクハクシセツ</t>
    </rPh>
    <phoneticPr fontId="2"/>
  </si>
  <si>
    <t>宿泊施設_１５</t>
    <rPh sb="0" eb="4">
      <t>シュクハクシセツ</t>
    </rPh>
    <phoneticPr fontId="2"/>
  </si>
  <si>
    <t>宿泊施設_１６</t>
    <rPh sb="0" eb="4">
      <t>シュクハクシセツ</t>
    </rPh>
    <phoneticPr fontId="2"/>
  </si>
  <si>
    <t>宿泊施設_１７</t>
    <rPh sb="0" eb="4">
      <t>シュクハクシセツ</t>
    </rPh>
    <phoneticPr fontId="2"/>
  </si>
  <si>
    <t>宿泊施設_１８</t>
    <rPh sb="0" eb="4">
      <t>シュクハクシセツ</t>
    </rPh>
    <phoneticPr fontId="2"/>
  </si>
  <si>
    <t>宿泊施設_１９</t>
    <rPh sb="0" eb="4">
      <t>シュクハクシセツ</t>
    </rPh>
    <phoneticPr fontId="2"/>
  </si>
  <si>
    <t>宿泊施設_２０</t>
    <rPh sb="0" eb="4">
      <t>シュクハクシセツ</t>
    </rPh>
    <phoneticPr fontId="2"/>
  </si>
  <si>
    <t>宿泊施設_２１</t>
    <rPh sb="0" eb="4">
      <t>シュクハクシセツ</t>
    </rPh>
    <phoneticPr fontId="2"/>
  </si>
  <si>
    <t>宿泊施設_２２</t>
    <rPh sb="0" eb="4">
      <t>シュクハクシセツ</t>
    </rPh>
    <phoneticPr fontId="2"/>
  </si>
  <si>
    <t>宿泊施設_２３</t>
    <rPh sb="0" eb="4">
      <t>シュクハクシセツ</t>
    </rPh>
    <phoneticPr fontId="2"/>
  </si>
  <si>
    <t>宿泊施設_２４</t>
    <rPh sb="0" eb="4">
      <t>シュクハクシセツ</t>
    </rPh>
    <phoneticPr fontId="2"/>
  </si>
  <si>
    <t>宿泊施設_２５</t>
    <rPh sb="0" eb="4">
      <t>シュクハクシセツ</t>
    </rPh>
    <phoneticPr fontId="2"/>
  </si>
  <si>
    <t>宿泊施設_２６</t>
    <rPh sb="0" eb="4">
      <t>シュクハクシセツ</t>
    </rPh>
    <phoneticPr fontId="2"/>
  </si>
  <si>
    <t>宿泊施設_２７</t>
    <rPh sb="0" eb="4">
      <t>シュクハクシセツ</t>
    </rPh>
    <phoneticPr fontId="2"/>
  </si>
  <si>
    <t>宿泊施設_２８</t>
    <rPh sb="0" eb="4">
      <t>シュクハクシセツ</t>
    </rPh>
    <phoneticPr fontId="2"/>
  </si>
  <si>
    <t>宿泊施設_２９</t>
    <rPh sb="0" eb="4">
      <t>シュクハクシセツ</t>
    </rPh>
    <phoneticPr fontId="2"/>
  </si>
  <si>
    <t>宿泊施設_３０</t>
    <rPh sb="0" eb="4">
      <t>シュクハクシセツ</t>
    </rPh>
    <phoneticPr fontId="2"/>
  </si>
  <si>
    <t>宿泊施設_３１</t>
    <rPh sb="0" eb="4">
      <t>シュクハクシセツ</t>
    </rPh>
    <phoneticPr fontId="2"/>
  </si>
  <si>
    <t>宿泊施設_３２</t>
    <rPh sb="0" eb="4">
      <t>シュクハクシセツ</t>
    </rPh>
    <phoneticPr fontId="2"/>
  </si>
  <si>
    <t>宿泊施設_３３</t>
    <rPh sb="0" eb="4">
      <t>シュクハクシセツ</t>
    </rPh>
    <phoneticPr fontId="2"/>
  </si>
  <si>
    <t>宿泊施設_３４</t>
    <rPh sb="0" eb="4">
      <t>シュクハクシセツ</t>
    </rPh>
    <phoneticPr fontId="2"/>
  </si>
  <si>
    <t>宿泊施設_３５</t>
    <rPh sb="0" eb="4">
      <t>シュクハクシセツ</t>
    </rPh>
    <phoneticPr fontId="2"/>
  </si>
  <si>
    <t>宿泊施設_３６</t>
    <rPh sb="0" eb="4">
      <t>シュクハクシセツ</t>
    </rPh>
    <phoneticPr fontId="2"/>
  </si>
  <si>
    <t>宿泊施設_３７</t>
    <rPh sb="0" eb="4">
      <t>シュクハクシセツ</t>
    </rPh>
    <phoneticPr fontId="2"/>
  </si>
  <si>
    <t>宿泊施設_３８</t>
    <rPh sb="0" eb="4">
      <t>シュクハクシセツ</t>
    </rPh>
    <phoneticPr fontId="2"/>
  </si>
  <si>
    <t>宿泊施設_３９</t>
    <rPh sb="0" eb="4">
      <t>シュクハクシセツ</t>
    </rPh>
    <phoneticPr fontId="2"/>
  </si>
  <si>
    <t>宿泊施設_４０</t>
    <rPh sb="0" eb="4">
      <t>シュクハクシセツ</t>
    </rPh>
    <phoneticPr fontId="2"/>
  </si>
  <si>
    <t>宿泊施設_４１</t>
    <rPh sb="0" eb="4">
      <t>シュクハクシセツ</t>
    </rPh>
    <phoneticPr fontId="2"/>
  </si>
  <si>
    <t>宿泊施設_４２</t>
    <rPh sb="0" eb="4">
      <t>シュクハクシセツ</t>
    </rPh>
    <phoneticPr fontId="2"/>
  </si>
  <si>
    <t>宿泊施設_４３</t>
    <rPh sb="0" eb="4">
      <t>シュクハクシセツ</t>
    </rPh>
    <phoneticPr fontId="2"/>
  </si>
  <si>
    <t>宿泊施設_４４</t>
    <rPh sb="0" eb="4">
      <t>シュクハクシセツ</t>
    </rPh>
    <phoneticPr fontId="2"/>
  </si>
  <si>
    <t>宿泊施設_４５</t>
    <rPh sb="0" eb="4">
      <t>シュクハクシセツ</t>
    </rPh>
    <phoneticPr fontId="2"/>
  </si>
  <si>
    <t>宿泊施設_４６</t>
    <rPh sb="0" eb="4">
      <t>シュクハクシセツ</t>
    </rPh>
    <phoneticPr fontId="2"/>
  </si>
  <si>
    <t>宿泊施設_４７</t>
    <rPh sb="0" eb="4">
      <t>シュクハクシセツ</t>
    </rPh>
    <phoneticPr fontId="2"/>
  </si>
  <si>
    <t>宿泊施設_４８</t>
    <rPh sb="0" eb="4">
      <t>シュクハクシセツ</t>
    </rPh>
    <phoneticPr fontId="2"/>
  </si>
  <si>
    <t>宿泊施設_４９</t>
    <rPh sb="0" eb="4">
      <t>シュクハクシセツ</t>
    </rPh>
    <phoneticPr fontId="2"/>
  </si>
  <si>
    <t>宿泊施設_５０</t>
    <rPh sb="0" eb="4">
      <t>シュクハクシセツ</t>
    </rPh>
    <phoneticPr fontId="2"/>
  </si>
  <si>
    <t>宿泊施設_５１</t>
    <rPh sb="0" eb="4">
      <t>シュクハクシセツ</t>
    </rPh>
    <phoneticPr fontId="2"/>
  </si>
  <si>
    <t>宿泊施設_５２</t>
    <rPh sb="0" eb="4">
      <t>シュクハクシセツ</t>
    </rPh>
    <phoneticPr fontId="2"/>
  </si>
  <si>
    <t>宿泊施設_５３</t>
    <rPh sb="0" eb="4">
      <t>シュクハクシセツ</t>
    </rPh>
    <phoneticPr fontId="2"/>
  </si>
  <si>
    <t>宿泊施設_５４</t>
    <rPh sb="0" eb="4">
      <t>シュクハクシセツ</t>
    </rPh>
    <phoneticPr fontId="2"/>
  </si>
  <si>
    <t>宿泊施設_５５</t>
    <rPh sb="0" eb="4">
      <t>シュクハクシセツ</t>
    </rPh>
    <phoneticPr fontId="2"/>
  </si>
  <si>
    <t>宿泊施設_５６</t>
    <rPh sb="0" eb="4">
      <t>シュクハクシセツ</t>
    </rPh>
    <phoneticPr fontId="2"/>
  </si>
  <si>
    <t>宿泊施設_５７</t>
    <rPh sb="0" eb="4">
      <t>シュクハクシセツ</t>
    </rPh>
    <phoneticPr fontId="2"/>
  </si>
  <si>
    <t>宿泊施設_５８</t>
    <rPh sb="0" eb="4">
      <t>シュクハクシセツ</t>
    </rPh>
    <phoneticPr fontId="2"/>
  </si>
  <si>
    <t>宿泊施設_５９</t>
    <rPh sb="0" eb="4">
      <t>シュクハクシセツ</t>
    </rPh>
    <phoneticPr fontId="2"/>
  </si>
  <si>
    <t>宿泊施設_６０</t>
    <rPh sb="0" eb="4">
      <t>シュクハクシセツ</t>
    </rPh>
    <phoneticPr fontId="2"/>
  </si>
  <si>
    <t>宿泊施設_６１</t>
    <rPh sb="0" eb="4">
      <t>シュクハクシセツ</t>
    </rPh>
    <phoneticPr fontId="2"/>
  </si>
  <si>
    <t>宿泊施設_６２</t>
    <rPh sb="0" eb="4">
      <t>シュクハクシセツ</t>
    </rPh>
    <phoneticPr fontId="2"/>
  </si>
  <si>
    <t>宿泊施設_６３</t>
    <rPh sb="0" eb="4">
      <t>シュクハクシセツ</t>
    </rPh>
    <phoneticPr fontId="2"/>
  </si>
  <si>
    <t>宿泊施設_６４</t>
    <rPh sb="0" eb="4">
      <t>シュクハクシセツ</t>
    </rPh>
    <phoneticPr fontId="2"/>
  </si>
  <si>
    <t>宿泊施設_６５</t>
    <rPh sb="0" eb="4">
      <t>シュクハクシセツ</t>
    </rPh>
    <phoneticPr fontId="2"/>
  </si>
  <si>
    <t>宿泊施設_６６</t>
    <rPh sb="0" eb="4">
      <t>シュクハクシセツ</t>
    </rPh>
    <phoneticPr fontId="2"/>
  </si>
  <si>
    <t>宿泊施設_６７</t>
    <rPh sb="0" eb="4">
      <t>シュクハクシセツ</t>
    </rPh>
    <phoneticPr fontId="2"/>
  </si>
  <si>
    <t>宿泊施設_６８</t>
    <rPh sb="0" eb="4">
      <t>シュクハクシセツ</t>
    </rPh>
    <phoneticPr fontId="2"/>
  </si>
  <si>
    <t>宿泊施設_６９</t>
    <rPh sb="0" eb="4">
      <t>シュクハクシセツ</t>
    </rPh>
    <phoneticPr fontId="2"/>
  </si>
  <si>
    <t>宿泊施設_７０</t>
    <rPh sb="0" eb="4">
      <t>シュクハクシセツ</t>
    </rPh>
    <phoneticPr fontId="2"/>
  </si>
  <si>
    <t>宿泊施設_７１</t>
    <rPh sb="0" eb="4">
      <t>シュクハクシセツ</t>
    </rPh>
    <phoneticPr fontId="2"/>
  </si>
  <si>
    <t>宿泊施設_７２</t>
    <rPh sb="0" eb="4">
      <t>シュクハクシセツ</t>
    </rPh>
    <phoneticPr fontId="2"/>
  </si>
  <si>
    <t>宿泊施設_７３</t>
    <rPh sb="0" eb="4">
      <t>シュクハクシセツ</t>
    </rPh>
    <phoneticPr fontId="2"/>
  </si>
  <si>
    <t>宿泊施設_７４</t>
    <rPh sb="0" eb="4">
      <t>シュクハクシセツ</t>
    </rPh>
    <phoneticPr fontId="2"/>
  </si>
  <si>
    <t>宿泊施設_７５</t>
    <rPh sb="0" eb="4">
      <t>シュクハクシセツ</t>
    </rPh>
    <phoneticPr fontId="2"/>
  </si>
  <si>
    <t>宿泊施設_７６</t>
    <rPh sb="0" eb="4">
      <t>シュクハクシセツ</t>
    </rPh>
    <phoneticPr fontId="2"/>
  </si>
  <si>
    <t>宿泊施設_７７</t>
    <rPh sb="0" eb="4">
      <t>シュクハクシセツ</t>
    </rPh>
    <phoneticPr fontId="2"/>
  </si>
  <si>
    <t>宿泊施設_７８</t>
    <rPh sb="0" eb="4">
      <t>シュクハクシセツ</t>
    </rPh>
    <phoneticPr fontId="2"/>
  </si>
  <si>
    <t>宿泊施設_７９</t>
    <rPh sb="0" eb="4">
      <t>シュクハクシセツ</t>
    </rPh>
    <phoneticPr fontId="2"/>
  </si>
  <si>
    <t>宿泊施設_８０</t>
    <rPh sb="0" eb="4">
      <t>シュクハクシセツ</t>
    </rPh>
    <phoneticPr fontId="2"/>
  </si>
  <si>
    <t>宿泊施設_８１</t>
    <rPh sb="0" eb="4">
      <t>シュクハクシセツ</t>
    </rPh>
    <phoneticPr fontId="2"/>
  </si>
  <si>
    <t>宿泊施設_８２</t>
    <rPh sb="0" eb="4">
      <t>シュクハクシセツ</t>
    </rPh>
    <phoneticPr fontId="2"/>
  </si>
  <si>
    <t>宿泊施設_８３</t>
    <rPh sb="0" eb="4">
      <t>シュクハクシセツ</t>
    </rPh>
    <phoneticPr fontId="2"/>
  </si>
  <si>
    <t>宿泊施設_８４</t>
    <rPh sb="0" eb="4">
      <t>シュクハクシセツ</t>
    </rPh>
    <phoneticPr fontId="2"/>
  </si>
  <si>
    <t>宿泊施設_８５</t>
    <rPh sb="0" eb="4">
      <t>シュクハクシセツ</t>
    </rPh>
    <phoneticPr fontId="2"/>
  </si>
  <si>
    <t>宿泊施設_８６</t>
    <rPh sb="0" eb="4">
      <t>シュクハクシセツ</t>
    </rPh>
    <phoneticPr fontId="2"/>
  </si>
  <si>
    <t>宿泊施設_８７</t>
    <rPh sb="0" eb="4">
      <t>シュクハクシセツ</t>
    </rPh>
    <phoneticPr fontId="2"/>
  </si>
  <si>
    <t>宿泊施設_８８</t>
    <rPh sb="0" eb="4">
      <t>シュクハクシセツ</t>
    </rPh>
    <phoneticPr fontId="2"/>
  </si>
  <si>
    <t>宿泊施設_８９</t>
    <rPh sb="0" eb="4">
      <t>シュクハクシセツ</t>
    </rPh>
    <phoneticPr fontId="2"/>
  </si>
  <si>
    <t>宿泊施設_９０</t>
    <rPh sb="0" eb="4">
      <t>シュクハクシセツ</t>
    </rPh>
    <phoneticPr fontId="2"/>
  </si>
  <si>
    <t>宿泊施設_９１</t>
    <rPh sb="0" eb="4">
      <t>シュクハクシセツ</t>
    </rPh>
    <phoneticPr fontId="2"/>
  </si>
  <si>
    <t>宿泊施設_９２</t>
    <rPh sb="0" eb="4">
      <t>シュクハクシセツ</t>
    </rPh>
    <phoneticPr fontId="2"/>
  </si>
  <si>
    <t>宿泊施設_９３</t>
    <rPh sb="0" eb="4">
      <t>シュクハクシセツ</t>
    </rPh>
    <phoneticPr fontId="2"/>
  </si>
  <si>
    <t>宿泊施設_９４</t>
    <rPh sb="0" eb="4">
      <t>シュクハクシセツ</t>
    </rPh>
    <phoneticPr fontId="2"/>
  </si>
  <si>
    <t>宿泊施設_９５</t>
    <rPh sb="0" eb="4">
      <t>シュクハクシセツ</t>
    </rPh>
    <phoneticPr fontId="2"/>
  </si>
  <si>
    <t>宿泊施設_９６</t>
    <rPh sb="0" eb="4">
      <t>シュクハクシセツ</t>
    </rPh>
    <phoneticPr fontId="2"/>
  </si>
  <si>
    <t>丸め（千円単位）</t>
    <rPh sb="0" eb="1">
      <t>マル</t>
    </rPh>
    <phoneticPr fontId="2"/>
  </si>
  <si>
    <t>１人・１日あたり単価（千円単位）</t>
    <rPh sb="1" eb="2">
      <t>ヒト</t>
    </rPh>
    <rPh sb="4" eb="5">
      <t>ニチ</t>
    </rPh>
    <rPh sb="8" eb="10">
      <t>タンカ</t>
    </rPh>
    <phoneticPr fontId="2"/>
  </si>
  <si>
    <t>12,000人ベース／予備率10%（千円単位）</t>
    <rPh sb="6" eb="7">
      <t>ニン</t>
    </rPh>
    <rPh sb="11" eb="14">
      <t>ヨビリツ</t>
    </rPh>
    <phoneticPr fontId="2"/>
  </si>
  <si>
    <t>事項</t>
    <rPh sb="0" eb="2">
      <t>ジコウ</t>
    </rPh>
    <phoneticPr fontId="2"/>
  </si>
  <si>
    <t>積算金額
（単位：千円）</t>
    <rPh sb="0" eb="4">
      <t>セキサンキンガク</t>
    </rPh>
    <rPh sb="6" eb="8">
      <t>タンイ</t>
    </rPh>
    <rPh sb="9" eb="11">
      <t>センエン</t>
    </rPh>
    <phoneticPr fontId="2"/>
  </si>
  <si>
    <t>ACM-FA計上分（飲食提供経費）</t>
    <rPh sb="6" eb="9">
      <t>ケイジョウブン</t>
    </rPh>
    <rPh sb="10" eb="14">
      <t>インショクテイキョウ</t>
    </rPh>
    <rPh sb="14" eb="16">
      <t>ケイヒ</t>
    </rPh>
    <phoneticPr fontId="2"/>
  </si>
  <si>
    <t>VIL-FA計上分（飲食提供経費）</t>
    <rPh sb="6" eb="9">
      <t>ケイジョウブン</t>
    </rPh>
    <phoneticPr fontId="2"/>
  </si>
  <si>
    <t>VIL-FA計上分（グラブアンドゴー等提供経費）</t>
    <rPh sb="6" eb="9">
      <t>ケイジョウブン</t>
    </rPh>
    <rPh sb="18" eb="19">
      <t>トウ</t>
    </rPh>
    <phoneticPr fontId="2"/>
  </si>
  <si>
    <t>不足額</t>
    <rPh sb="0" eb="3">
      <t>フソクガク</t>
    </rPh>
    <phoneticPr fontId="2"/>
  </si>
  <si>
    <t>項目</t>
    <rPh sb="0" eb="2">
      <t>コウモク</t>
    </rPh>
    <phoneticPr fontId="2"/>
  </si>
  <si>
    <t>内容</t>
    <rPh sb="0" eb="2">
      <t>ナイヨウ</t>
    </rPh>
    <phoneticPr fontId="2"/>
  </si>
  <si>
    <t>添付シート</t>
    <rPh sb="0" eb="2">
      <t>テンプ</t>
    </rPh>
    <phoneticPr fontId="2"/>
  </si>
  <si>
    <t>・このエクセルには、過去にJTBより概算費用積算書を提出してもらった宿泊施設のシートを添付している。</t>
    <rPh sb="10" eb="12">
      <t>カコ</t>
    </rPh>
    <rPh sb="18" eb="20">
      <t>ガイサン</t>
    </rPh>
    <rPh sb="20" eb="22">
      <t>ヒヨウ</t>
    </rPh>
    <rPh sb="22" eb="25">
      <t>セキサンショ</t>
    </rPh>
    <rPh sb="26" eb="28">
      <t>テイシュツ</t>
    </rPh>
    <rPh sb="34" eb="36">
      <t>シュクハク</t>
    </rPh>
    <rPh sb="36" eb="38">
      <t>シセツ</t>
    </rPh>
    <rPh sb="43" eb="45">
      <t>テンプ</t>
    </rPh>
    <phoneticPr fontId="2"/>
  </si>
  <si>
    <t>・上記に加えて、JTBによる概算費用積算書の提出がないが、ver12・13のシミュレーションで登場する宿泊施設のシートを手作業で添付した。（金額の記載がないもの）</t>
    <rPh sb="1" eb="3">
      <t>ジョウキ</t>
    </rPh>
    <rPh sb="4" eb="5">
      <t>クワ</t>
    </rPh>
    <rPh sb="14" eb="16">
      <t>ガイサン</t>
    </rPh>
    <rPh sb="16" eb="18">
      <t>ヒヨウ</t>
    </rPh>
    <rPh sb="18" eb="20">
      <t>セキサン</t>
    </rPh>
    <rPh sb="20" eb="21">
      <t>ショ</t>
    </rPh>
    <rPh sb="22" eb="24">
      <t>テイシュツ</t>
    </rPh>
    <rPh sb="47" eb="49">
      <t>トウジョウ</t>
    </rPh>
    <rPh sb="51" eb="53">
      <t>シュクハク</t>
    </rPh>
    <rPh sb="53" eb="55">
      <t>シセツ</t>
    </rPh>
    <rPh sb="60" eb="63">
      <t>テサギョウ</t>
    </rPh>
    <rPh sb="64" eb="66">
      <t>テンプ</t>
    </rPh>
    <rPh sb="70" eb="72">
      <t>キンガク</t>
    </rPh>
    <rPh sb="73" eb="75">
      <t>キサイ</t>
    </rPh>
    <phoneticPr fontId="2"/>
  </si>
  <si>
    <t>・青色シート・・・選手　緑色シート・・・技術役員　紫シート・・・メディア　ピンク・・・ファミリー/スポンサー</t>
    <rPh sb="1" eb="3">
      <t>アオイロ</t>
    </rPh>
    <rPh sb="9" eb="11">
      <t>センシュ</t>
    </rPh>
    <rPh sb="12" eb="14">
      <t>ミドリイロ</t>
    </rPh>
    <rPh sb="20" eb="22">
      <t>ギジュツ</t>
    </rPh>
    <rPh sb="22" eb="24">
      <t>ヤクイン</t>
    </rPh>
    <rPh sb="25" eb="26">
      <t>ムラサキ</t>
    </rPh>
    <phoneticPr fontId="2"/>
  </si>
  <si>
    <t>・与条件（選手団規模/ホテルシップの人数等）によってシミュレーションは流動的であるため、シミュレーションに応じて使用宿泊施設は異なるが、色付のホテルについてがMAXで使用するホテル。</t>
    <rPh sb="1" eb="4">
      <t>ヨジョウケン</t>
    </rPh>
    <rPh sb="5" eb="8">
      <t>センシュダン</t>
    </rPh>
    <rPh sb="8" eb="10">
      <t>キボ</t>
    </rPh>
    <rPh sb="18" eb="20">
      <t>ニンズウ</t>
    </rPh>
    <rPh sb="20" eb="21">
      <t>トウ</t>
    </rPh>
    <rPh sb="35" eb="37">
      <t>リュウドウ</t>
    </rPh>
    <rPh sb="37" eb="38">
      <t>テキ</t>
    </rPh>
    <rPh sb="53" eb="54">
      <t>オウ</t>
    </rPh>
    <rPh sb="56" eb="58">
      <t>シヨウ</t>
    </rPh>
    <rPh sb="58" eb="60">
      <t>シュクハク</t>
    </rPh>
    <rPh sb="60" eb="62">
      <t>シセツ</t>
    </rPh>
    <rPh sb="63" eb="64">
      <t>コト</t>
    </rPh>
    <rPh sb="68" eb="70">
      <t>イロツキ</t>
    </rPh>
    <rPh sb="83" eb="85">
      <t>シヨウ</t>
    </rPh>
    <phoneticPr fontId="2"/>
  </si>
  <si>
    <t>・食事について、朝食2000円、昼食3000円、夕食4000円で積んでいるが、ラグビーW杯の実績より、その金額では受けてもらえないと思うため金額の再設定が必要</t>
    <rPh sb="1" eb="3">
      <t>ショクジ</t>
    </rPh>
    <rPh sb="8" eb="10">
      <t>チョウショク</t>
    </rPh>
    <rPh sb="14" eb="15">
      <t>エン</t>
    </rPh>
    <rPh sb="16" eb="18">
      <t>チュウショク</t>
    </rPh>
    <rPh sb="22" eb="23">
      <t>エン</t>
    </rPh>
    <rPh sb="24" eb="26">
      <t>ユウショク</t>
    </rPh>
    <rPh sb="30" eb="31">
      <t>エン</t>
    </rPh>
    <rPh sb="32" eb="33">
      <t>ツ</t>
    </rPh>
    <rPh sb="44" eb="45">
      <t>ハイ</t>
    </rPh>
    <rPh sb="46" eb="48">
      <t>ジッセキ</t>
    </rPh>
    <rPh sb="53" eb="55">
      <t>キンガク</t>
    </rPh>
    <rPh sb="57" eb="58">
      <t>ウ</t>
    </rPh>
    <rPh sb="66" eb="67">
      <t>オモ</t>
    </rPh>
    <rPh sb="70" eb="72">
      <t>キンガク</t>
    </rPh>
    <rPh sb="73" eb="76">
      <t>サイセッテイ</t>
    </rPh>
    <rPh sb="77" eb="79">
      <t>ヒツヨウ</t>
    </rPh>
    <phoneticPr fontId="2"/>
  </si>
  <si>
    <t>・ラグビーW杯　　※@17,280円／人・日×消費税1.1×消費者物価指数上昇率　112.4/99.5(全国総合：2018→2026)＝＠22,000円</t>
    <rPh sb="6" eb="7">
      <t>ハイ</t>
    </rPh>
    <rPh sb="75" eb="76">
      <t>エン</t>
    </rPh>
    <phoneticPr fontId="2"/>
  </si>
  <si>
    <t>昼食</t>
    <rPh sb="0" eb="2">
      <t>チュウショク</t>
    </rPh>
    <phoneticPr fontId="2"/>
  </si>
  <si>
    <t>夕食</t>
    <rPh sb="0" eb="2">
      <t>ユウショク</t>
    </rPh>
    <phoneticPr fontId="2"/>
  </si>
  <si>
    <t>宿泊費</t>
    <rPh sb="0" eb="3">
      <t>シュクハクヒ</t>
    </rPh>
    <phoneticPr fontId="2"/>
  </si>
  <si>
    <t>・「ヒアリングシート（＝個票のこと）」の金額を0.85した金額が記載されている。</t>
    <rPh sb="12" eb="14">
      <t>コヒョウ</t>
    </rPh>
    <rPh sb="20" eb="22">
      <t>キンガク</t>
    </rPh>
    <rPh sb="29" eb="31">
      <t>キンガク</t>
    </rPh>
    <rPh sb="32" eb="34">
      <t>キサイ</t>
    </rPh>
    <phoneticPr fontId="2"/>
  </si>
  <si>
    <t>・2021年度～の回答もあるため、値上がりを見越した積算をする必要があり、金額の再設定が必要（＝物価上昇率　2021→2026）</t>
    <rPh sb="5" eb="7">
      <t>ネンド</t>
    </rPh>
    <rPh sb="9" eb="11">
      <t>カイトウ</t>
    </rPh>
    <rPh sb="17" eb="19">
      <t>ネア</t>
    </rPh>
    <rPh sb="22" eb="24">
      <t>ミコ</t>
    </rPh>
    <rPh sb="26" eb="28">
      <t>セキサン</t>
    </rPh>
    <rPh sb="31" eb="33">
      <t>ヒツヨウ</t>
    </rPh>
    <rPh sb="37" eb="39">
      <t>キンガク</t>
    </rPh>
    <rPh sb="40" eb="43">
      <t>サイセッテイ</t>
    </rPh>
    <rPh sb="44" eb="46">
      <t>ヒツヨウ</t>
    </rPh>
    <rPh sb="48" eb="50">
      <t>ブッカ</t>
    </rPh>
    <rPh sb="50" eb="52">
      <t>ジョウショウ</t>
    </rPh>
    <rPh sb="52" eb="53">
      <t>リツ</t>
    </rPh>
    <phoneticPr fontId="2"/>
  </si>
  <si>
    <t>・金額の記載のないものは、JTBの調査がないもの。こちらで積算用に金額設定が必要</t>
    <rPh sb="1" eb="3">
      <t>キンガク</t>
    </rPh>
    <rPh sb="4" eb="6">
      <t>キサイ</t>
    </rPh>
    <rPh sb="17" eb="19">
      <t>チョウサ</t>
    </rPh>
    <rPh sb="29" eb="31">
      <t>セキサン</t>
    </rPh>
    <rPh sb="31" eb="32">
      <t>ヨウ</t>
    </rPh>
    <rPh sb="33" eb="35">
      <t>キンガク</t>
    </rPh>
    <rPh sb="35" eb="37">
      <t>セッテイ</t>
    </rPh>
    <rPh sb="38" eb="40">
      <t>ヒツヨウ</t>
    </rPh>
    <phoneticPr fontId="2"/>
  </si>
  <si>
    <t>・別途ファイルを作成して積算する必要がある。</t>
    <rPh sb="1" eb="3">
      <t>ベット</t>
    </rPh>
    <rPh sb="8" eb="10">
      <t>サクセイ</t>
    </rPh>
    <rPh sb="12" eb="14">
      <t>セキサン</t>
    </rPh>
    <rPh sb="16" eb="18">
      <t>ヒツヨウ</t>
    </rPh>
    <phoneticPr fontId="2"/>
  </si>
  <si>
    <t>2024/4/10時点</t>
    <rPh sb="9" eb="11">
      <t>ジテン</t>
    </rPh>
    <phoneticPr fontId="2"/>
  </si>
  <si>
    <t>確保予定ベッド数</t>
    <rPh sb="0" eb="4">
      <t>カクホヨテイ</t>
    </rPh>
    <rPh sb="7" eb="8">
      <t>スウ</t>
    </rPh>
    <phoneticPr fontId="2"/>
  </si>
  <si>
    <t>利用室数合計</t>
    <rPh sb="0" eb="4">
      <t>リヨウシツスウ</t>
    </rPh>
    <rPh sb="4" eb="6">
      <t>ゴウケイ</t>
    </rPh>
    <phoneticPr fontId="2"/>
  </si>
  <si>
    <t>ダイワロイネットホテル名古屋新幹線口</t>
    <phoneticPr fontId="2"/>
  </si>
  <si>
    <t>117室
(117名)</t>
  </si>
  <si>
    <t>42室
(84名)</t>
  </si>
  <si>
    <t>ダイワロイネットホテル名古屋太閤通口</t>
    <phoneticPr fontId="2"/>
  </si>
  <si>
    <t>139室
(139名)</t>
  </si>
  <si>
    <t>96室
(192名)</t>
  </si>
  <si>
    <t>186室
(186名)</t>
  </si>
  <si>
    <t>それ以外</t>
    <rPh sb="2" eb="4">
      <t>イガイ</t>
    </rPh>
    <phoneticPr fontId="2"/>
  </si>
  <si>
    <t>名鉄イン名古屋駅前</t>
  </si>
  <si>
    <t>264室
(264名)</t>
  </si>
  <si>
    <t>東横INN名古屋駅桜通口本館</t>
  </si>
  <si>
    <t>85室
(85名)</t>
  </si>
  <si>
    <t>83室
(83名)</t>
  </si>
  <si>
    <t>R&amp;Bホテル名古屋駅前</t>
  </si>
  <si>
    <t>221室
(221名)</t>
  </si>
  <si>
    <t>それ以外</t>
    <phoneticPr fontId="2"/>
  </si>
  <si>
    <t>東横INN豊橋駅東口</t>
    <rPh sb="0" eb="2">
      <t>トウヨコ</t>
    </rPh>
    <rPh sb="5" eb="8">
      <t>トヨハシエキ</t>
    </rPh>
    <rPh sb="8" eb="10">
      <t>ヒガシグチ</t>
    </rPh>
    <phoneticPr fontId="2"/>
  </si>
  <si>
    <t>ホテルルートイン豊橋駅前</t>
    <rPh sb="8" eb="12">
      <t>トヨハシエキマエ</t>
    </rPh>
    <phoneticPr fontId="2"/>
  </si>
  <si>
    <r>
      <rPr>
        <strike/>
        <sz val="9"/>
        <rFont val="Meiryo UI"/>
        <family val="3"/>
        <charset val="128"/>
      </rPr>
      <t>オークラアクトシティホテル浜松</t>
    </r>
    <r>
      <rPr>
        <b/>
        <sz val="9"/>
        <rFont val="Meiryo UI"/>
        <family val="3"/>
        <charset val="128"/>
      </rPr>
      <t xml:space="preserve">
コンフォートホテル浜松</t>
    </r>
    <phoneticPr fontId="2"/>
  </si>
  <si>
    <r>
      <rPr>
        <strike/>
        <sz val="9"/>
        <rFont val="Meiryo UI"/>
        <family val="3"/>
        <charset val="128"/>
      </rPr>
      <t>コンフォートホテル浜松</t>
    </r>
    <r>
      <rPr>
        <b/>
        <sz val="9"/>
        <rFont val="Meiryo UI"/>
        <family val="3"/>
        <charset val="128"/>
      </rPr>
      <t xml:space="preserve">
ホテルルートイン浜松駅東</t>
    </r>
    <rPh sb="9" eb="11">
      <t>ハママツ</t>
    </rPh>
    <rPh sb="20" eb="24">
      <t>ハママツエキヒガシ</t>
    </rPh>
    <phoneticPr fontId="2"/>
  </si>
  <si>
    <r>
      <rPr>
        <strike/>
        <sz val="9"/>
        <rFont val="Meiryo UI"/>
        <family val="3"/>
        <charset val="128"/>
      </rPr>
      <t>帝国ホテル 大阪</t>
    </r>
    <r>
      <rPr>
        <b/>
        <sz val="9"/>
        <rFont val="Meiryo UI"/>
        <family val="3"/>
        <charset val="128"/>
      </rPr>
      <t xml:space="preserve">
アパホテル新大阪駅前</t>
    </r>
    <rPh sb="14" eb="17">
      <t>シンオオサカ</t>
    </rPh>
    <rPh sb="17" eb="19">
      <t>エキマエ</t>
    </rPh>
    <phoneticPr fontId="2"/>
  </si>
  <si>
    <r>
      <rPr>
        <strike/>
        <sz val="9"/>
        <rFont val="Meiryo UI"/>
        <family val="3"/>
        <charset val="128"/>
      </rPr>
      <t>アパホテル新大阪駅前→</t>
    </r>
    <r>
      <rPr>
        <b/>
        <sz val="9"/>
        <rFont val="Meiryo UI"/>
        <family val="3"/>
        <charset val="128"/>
      </rPr>
      <t xml:space="preserve">
R＆B新大阪駅北口</t>
    </r>
    <rPh sb="15" eb="18">
      <t>シンオオサカ</t>
    </rPh>
    <rPh sb="18" eb="19">
      <t>エキ</t>
    </rPh>
    <rPh sb="19" eb="21">
      <t>キタグチ</t>
    </rPh>
    <phoneticPr fontId="2"/>
  </si>
  <si>
    <t>大阪市</t>
    <phoneticPr fontId="2"/>
  </si>
  <si>
    <t>神戸</t>
    <rPh sb="0" eb="2">
      <t>コウベ</t>
    </rPh>
    <phoneticPr fontId="2"/>
  </si>
  <si>
    <r>
      <rPr>
        <strike/>
        <sz val="9"/>
        <rFont val="Meiryo UI"/>
        <family val="3"/>
        <charset val="128"/>
      </rPr>
      <t>ホテルオークラ神戸</t>
    </r>
    <r>
      <rPr>
        <b/>
        <sz val="9"/>
        <rFont val="Meiryo UI"/>
        <family val="3"/>
        <charset val="128"/>
      </rPr>
      <t xml:space="preserve">
アパホテル神戸三宮</t>
    </r>
    <rPh sb="15" eb="17">
      <t>コウベ</t>
    </rPh>
    <rPh sb="17" eb="19">
      <t>サンノミヤ</t>
    </rPh>
    <phoneticPr fontId="2"/>
  </si>
  <si>
    <r>
      <rPr>
        <strike/>
        <sz val="8"/>
        <rFont val="Meiryo UI"/>
        <family val="3"/>
        <charset val="128"/>
      </rPr>
      <t>アパホテル＜神戸三宮＞→</t>
    </r>
    <r>
      <rPr>
        <b/>
        <sz val="8"/>
        <rFont val="Meiryo UI"/>
        <family val="3"/>
        <charset val="128"/>
      </rPr>
      <t xml:space="preserve">
the b 神戸</t>
    </r>
    <rPh sb="19" eb="21">
      <t>コウベ</t>
    </rPh>
    <phoneticPr fontId="2"/>
  </si>
  <si>
    <r>
      <rPr>
        <strike/>
        <sz val="9"/>
        <rFont val="Meiryo UI"/>
        <family val="3"/>
        <charset val="128"/>
      </rPr>
      <t>伊豆マリオットホテル修善寺</t>
    </r>
    <r>
      <rPr>
        <b/>
        <sz val="9"/>
        <rFont val="Meiryo UI"/>
        <family val="3"/>
        <charset val="128"/>
      </rPr>
      <t xml:space="preserve">
富士山三島東急ホテル</t>
    </r>
    <rPh sb="14" eb="17">
      <t>フジサン</t>
    </rPh>
    <rPh sb="17" eb="19">
      <t>ミシマ</t>
    </rPh>
    <rPh sb="19" eb="21">
      <t>トウキュウ</t>
    </rPh>
    <phoneticPr fontId="2"/>
  </si>
  <si>
    <t>東横イン富士山三島駅</t>
    <phoneticPr fontId="2"/>
  </si>
  <si>
    <r>
      <rPr>
        <strike/>
        <sz val="9"/>
        <rFont val="Meiryo UI"/>
        <family val="3"/>
        <charset val="128"/>
      </rPr>
      <t>グランドニッコー東京　台場</t>
    </r>
    <r>
      <rPr>
        <b/>
        <sz val="9"/>
        <rFont val="Meiryo UI"/>
        <family val="3"/>
        <charset val="128"/>
      </rPr>
      <t xml:space="preserve">
ヴィラフォンテーヌグランド東京有明</t>
    </r>
    <rPh sb="27" eb="31">
      <t>トウキョウアリアケ</t>
    </rPh>
    <phoneticPr fontId="2"/>
  </si>
  <si>
    <t>アパホテル＆リゾート東京ベイ潮見</t>
    <phoneticPr fontId="2"/>
  </si>
  <si>
    <t>東京</t>
    <phoneticPr fontId="2"/>
  </si>
  <si>
    <t>全体</t>
    <rPh sb="0" eb="2">
      <t>ゼンタイ</t>
    </rPh>
    <phoneticPr fontId="2"/>
  </si>
  <si>
    <t>※2024/4/10時点の内容（今後の増室交渉等により内容が変更となる可能性もあります）</t>
    <phoneticPr fontId="2"/>
  </si>
  <si>
    <t>※宿泊施設名の「※印」は、調査・交渉前の宿泊施設</t>
    <rPh sb="1" eb="6">
      <t>シュクハクシセツメイ</t>
    </rPh>
    <rPh sb="9" eb="10">
      <t>シルシ</t>
    </rPh>
    <rPh sb="13" eb="15">
      <t>チョウサ</t>
    </rPh>
    <rPh sb="16" eb="18">
      <t>コウショウ</t>
    </rPh>
    <rPh sb="18" eb="19">
      <t>マエ</t>
    </rPh>
    <rPh sb="20" eb="22">
      <t>シュクハク</t>
    </rPh>
    <rPh sb="22" eb="24">
      <t>シセツ</t>
    </rPh>
    <phoneticPr fontId="2"/>
  </si>
  <si>
    <t>※名古屋エリアは、ビジネスホテル上位クラスを優先し★5、4に配宿（通常の★5、4は他SHにて配宿済みのため）</t>
    <rPh sb="1" eb="4">
      <t>ナゴヤ</t>
    </rPh>
    <rPh sb="16" eb="18">
      <t>ジョウイ</t>
    </rPh>
    <rPh sb="22" eb="24">
      <t>ユウセン</t>
    </rPh>
    <rPh sb="30" eb="32">
      <t>ハイシュク</t>
    </rPh>
    <rPh sb="33" eb="35">
      <t>ツウジョウ</t>
    </rPh>
    <rPh sb="41" eb="42">
      <t>ホカ</t>
    </rPh>
    <rPh sb="46" eb="49">
      <t>ハイシュクス</t>
    </rPh>
    <phoneticPr fontId="2"/>
  </si>
  <si>
    <t>2024/8/5時点</t>
    <rPh sb="8" eb="10">
      <t>ジテン</t>
    </rPh>
    <phoneticPr fontId="2"/>
  </si>
  <si>
    <t xml:space="preserve">名古屋エリア：ビジホで朝食提供可のホテルのうち駅の西側にあるホテルを抽出・・・駅の西側にミーティングポイント設置予定のため
</t>
    <rPh sb="0" eb="3">
      <t>ナゴヤ</t>
    </rPh>
    <rPh sb="11" eb="13">
      <t>チョウショク</t>
    </rPh>
    <rPh sb="13" eb="15">
      <t>テイキョウ</t>
    </rPh>
    <rPh sb="15" eb="16">
      <t>カ</t>
    </rPh>
    <rPh sb="23" eb="24">
      <t>エキ</t>
    </rPh>
    <rPh sb="25" eb="27">
      <t>ニシガワ</t>
    </rPh>
    <rPh sb="34" eb="36">
      <t>チュウシュツ</t>
    </rPh>
    <rPh sb="39" eb="40">
      <t>エキ</t>
    </rPh>
    <rPh sb="41" eb="43">
      <t>ニシガワ</t>
    </rPh>
    <rPh sb="54" eb="58">
      <t>セッチヨテイ</t>
    </rPh>
    <phoneticPr fontId="2"/>
  </si>
  <si>
    <t>名古屋エリア以外：新幹線がある駅の近くに配宿・・・新幹線の主要駅⇔競技会場間の輸送有の想定　※東京は除く⇒条件に合致するホテル未調査のため</t>
    <rPh sb="0" eb="3">
      <t>ナゴヤ</t>
    </rPh>
    <rPh sb="6" eb="8">
      <t>イガイ</t>
    </rPh>
    <rPh sb="9" eb="12">
      <t>シンカンセン</t>
    </rPh>
    <rPh sb="15" eb="16">
      <t>エキ</t>
    </rPh>
    <rPh sb="17" eb="18">
      <t>チカ</t>
    </rPh>
    <rPh sb="20" eb="22">
      <t>ハイシュク</t>
    </rPh>
    <rPh sb="25" eb="28">
      <t>シンカンセン</t>
    </rPh>
    <rPh sb="29" eb="32">
      <t>シュヨウエキ</t>
    </rPh>
    <rPh sb="33" eb="38">
      <t>キョウギカイジョウカン</t>
    </rPh>
    <rPh sb="39" eb="42">
      <t>ユソウアリ</t>
    </rPh>
    <rPh sb="43" eb="45">
      <t>ソウテイ</t>
    </rPh>
    <rPh sb="47" eb="49">
      <t>トウキョウ</t>
    </rPh>
    <rPh sb="50" eb="51">
      <t>ノゾ</t>
    </rPh>
    <rPh sb="53" eb="55">
      <t>ジョウケン</t>
    </rPh>
    <rPh sb="56" eb="58">
      <t>ガッチ</t>
    </rPh>
    <rPh sb="63" eb="66">
      <t>ミチョウサ</t>
    </rPh>
    <phoneticPr fontId="2"/>
  </si>
  <si>
    <t>配宿人数：保有客室数に対して50％未満になるように配宿・・・キャンセルポリシーのランクを一番低いCランク（半年前からキャンセルポリシー発生）にするため</t>
    <rPh sb="0" eb="4">
      <t>ハイシュクニンズウ</t>
    </rPh>
    <rPh sb="5" eb="10">
      <t>ホユウキャクシツスウ</t>
    </rPh>
    <rPh sb="11" eb="12">
      <t>タイ</t>
    </rPh>
    <rPh sb="17" eb="19">
      <t>ミマン</t>
    </rPh>
    <rPh sb="25" eb="27">
      <t>ハイシュク</t>
    </rPh>
    <rPh sb="44" eb="46">
      <t>イチバン</t>
    </rPh>
    <rPh sb="46" eb="47">
      <t>ヒク</t>
    </rPh>
    <phoneticPr fontId="2"/>
  </si>
  <si>
    <t>配宿人数（必要室数）</t>
    <rPh sb="0" eb="2">
      <t>ハイシュク</t>
    </rPh>
    <rPh sb="2" eb="4">
      <t>ニンズウ</t>
    </rPh>
    <rPh sb="5" eb="9">
      <t>ヒツヨウシツスウ</t>
    </rPh>
    <phoneticPr fontId="2"/>
  </si>
  <si>
    <t>ナゴヤエキ　アクセスホテル</t>
    <phoneticPr fontId="2"/>
  </si>
  <si>
    <t>第一富士ホテル</t>
    <rPh sb="0" eb="2">
      <t>ダイイチ</t>
    </rPh>
    <rPh sb="2" eb="4">
      <t>フジ</t>
    </rPh>
    <phoneticPr fontId="2"/>
  </si>
  <si>
    <t>ヴィアイン名古屋新幹線口</t>
    <rPh sb="5" eb="12">
      <t>ナゴヤシンカンセングチ</t>
    </rPh>
    <phoneticPr fontId="2"/>
  </si>
  <si>
    <t>アパホテル＜名古屋駅前北＞</t>
  </si>
  <si>
    <t>アパホテル&lt;名古屋駅前南&gt;</t>
  </si>
  <si>
    <t>LEGOLAND Japan Hotel</t>
  </si>
  <si>
    <t>2,000室に合うように室数調整
高額だがMMCの目の前のため、一定数配宿</t>
    <rPh sb="1" eb="6">
      <t>000シツ</t>
    </rPh>
    <rPh sb="7" eb="8">
      <t>ア</t>
    </rPh>
    <rPh sb="12" eb="16">
      <t>シツスウチョウセイ</t>
    </rPh>
    <rPh sb="17" eb="19">
      <t>コウガク</t>
    </rPh>
    <rPh sb="25" eb="26">
      <t>メ</t>
    </rPh>
    <rPh sb="27" eb="28">
      <t>マエ</t>
    </rPh>
    <rPh sb="32" eb="37">
      <t>イッテイスウハイシュク</t>
    </rPh>
    <phoneticPr fontId="2"/>
  </si>
  <si>
    <t>豊橋市</t>
    <phoneticPr fontId="2"/>
  </si>
  <si>
    <t>コンフォートホテル浜松</t>
    <rPh sb="9" eb="11">
      <t>ハママツ</t>
    </rPh>
    <phoneticPr fontId="2"/>
  </si>
  <si>
    <t>アパホテル新大阪駅前</t>
    <phoneticPr fontId="2"/>
  </si>
  <si>
    <t>新幹線の駅がある　東京駅　又は　品川駅付近にする？
1施設当たりの提供数が多いので複数施設に分散する？</t>
    <rPh sb="27" eb="30">
      <t>シセツア</t>
    </rPh>
    <rPh sb="33" eb="36">
      <t>テイキョウスウ</t>
    </rPh>
    <rPh sb="37" eb="38">
      <t>オオ</t>
    </rPh>
    <rPh sb="41" eb="45">
      <t>フクスウシセツ</t>
    </rPh>
    <rPh sb="46" eb="48">
      <t>ブンサン</t>
    </rPh>
    <phoneticPr fontId="2"/>
  </si>
  <si>
    <t>◆競技別仮配宿表（案）_選手・チーム役員（財政見通し用）</t>
    <rPh sb="1" eb="3">
      <t>キョウギ</t>
    </rPh>
    <rPh sb="3" eb="4">
      <t>ベツ</t>
    </rPh>
    <rPh sb="4" eb="5">
      <t>カリ</t>
    </rPh>
    <rPh sb="5" eb="7">
      <t>ハイシュク</t>
    </rPh>
    <rPh sb="7" eb="8">
      <t>ヒョウ</t>
    </rPh>
    <rPh sb="9" eb="10">
      <t>アン</t>
    </rPh>
    <rPh sb="12" eb="14">
      <t>センシュ</t>
    </rPh>
    <rPh sb="18" eb="20">
      <t>ヤクイン</t>
    </rPh>
    <rPh sb="21" eb="25">
      <t>ザイセイミトオ</t>
    </rPh>
    <rPh sb="26" eb="27">
      <t>ヨウ</t>
    </rPh>
    <phoneticPr fontId="59"/>
  </si>
  <si>
    <t>作成日：2024年5月31日　</t>
    <phoneticPr fontId="59"/>
  </si>
  <si>
    <t>配宿施設</t>
    <rPh sb="0" eb="2">
      <t>ハイシュク</t>
    </rPh>
    <rPh sb="2" eb="4">
      <t>シセツ</t>
    </rPh>
    <phoneticPr fontId="59"/>
  </si>
  <si>
    <t>食事提供</t>
    <rPh sb="0" eb="2">
      <t>ショクジ</t>
    </rPh>
    <rPh sb="2" eb="4">
      <t>テイキョウ</t>
    </rPh>
    <phoneticPr fontId="59"/>
  </si>
  <si>
    <t>車いすアクセシビリティー数値</t>
  </si>
  <si>
    <t>代案</t>
    <rPh sb="0" eb="2">
      <t>ダイアン</t>
    </rPh>
    <phoneticPr fontId="59"/>
  </si>
  <si>
    <t>車いす</t>
  </si>
  <si>
    <t>競技会場</t>
    <rPh sb="0" eb="2">
      <t>キョウギ</t>
    </rPh>
    <rPh sb="2" eb="4">
      <t>カイジョウ</t>
    </rPh>
    <phoneticPr fontId="59"/>
  </si>
  <si>
    <t>4,000人配宿想定
施設毎の人数と居室以外に確保客室数</t>
    <rPh sb="5" eb="6">
      <t>ニン</t>
    </rPh>
    <rPh sb="6" eb="10">
      <t>ハイシュクソウテイ</t>
    </rPh>
    <rPh sb="11" eb="14">
      <t>シセツゴト</t>
    </rPh>
    <rPh sb="15" eb="17">
      <t>ニンズウ</t>
    </rPh>
    <rPh sb="18" eb="20">
      <t>キョシツ</t>
    </rPh>
    <rPh sb="20" eb="22">
      <t>イガイ</t>
    </rPh>
    <rPh sb="23" eb="25">
      <t>カクホ</t>
    </rPh>
    <rPh sb="25" eb="28">
      <t>キャクシツスウ</t>
    </rPh>
    <phoneticPr fontId="59"/>
  </si>
  <si>
    <t>3,600人配宿想定
施設毎の人数と居室以外に確保客室数</t>
    <rPh sb="5" eb="6">
      <t>ニン</t>
    </rPh>
    <rPh sb="6" eb="10">
      <t>ハイシュクソウテイ</t>
    </rPh>
    <rPh sb="11" eb="14">
      <t>シセツゴト</t>
    </rPh>
    <rPh sb="15" eb="17">
      <t>ニンズウ</t>
    </rPh>
    <rPh sb="18" eb="20">
      <t>キョシツ</t>
    </rPh>
    <rPh sb="20" eb="22">
      <t>イガイ</t>
    </rPh>
    <rPh sb="23" eb="25">
      <t>カクホ</t>
    </rPh>
    <rPh sb="25" eb="28">
      <t>キャクシツスウ</t>
    </rPh>
    <phoneticPr fontId="59"/>
  </si>
  <si>
    <t>想定確保期間</t>
    <rPh sb="0" eb="6">
      <t>ソウテイカクホキカン</t>
    </rPh>
    <phoneticPr fontId="2"/>
  </si>
  <si>
    <t>貸切
可否</t>
    <rPh sb="0" eb="2">
      <t>カシキリ</t>
    </rPh>
    <rPh sb="3" eb="5">
      <t>カヒ</t>
    </rPh>
    <phoneticPr fontId="59"/>
  </si>
  <si>
    <t>収容人数
＠提供
(　)希望数</t>
    <rPh sb="12" eb="15">
      <t>キボウスウ</t>
    </rPh>
    <phoneticPr fontId="59"/>
  </si>
  <si>
    <t>収容人数
＠保有</t>
  </si>
  <si>
    <t>提供室数
(　)希望数</t>
    <rPh sb="0" eb="2">
      <t>テイキョウ</t>
    </rPh>
    <rPh sb="2" eb="3">
      <t>シツ</t>
    </rPh>
    <rPh sb="3" eb="4">
      <t>スウ</t>
    </rPh>
    <phoneticPr fontId="59"/>
  </si>
  <si>
    <t>保有室数</t>
    <rPh sb="0" eb="2">
      <t>ホユウ</t>
    </rPh>
    <rPh sb="2" eb="3">
      <t>シツ</t>
    </rPh>
    <rPh sb="3" eb="4">
      <t>スウ</t>
    </rPh>
    <phoneticPr fontId="59"/>
  </si>
  <si>
    <t>バリアフリー</t>
    <phoneticPr fontId="59"/>
  </si>
  <si>
    <t>ＥV</t>
    <phoneticPr fontId="59"/>
  </si>
  <si>
    <t>競技</t>
    <rPh sb="0" eb="2">
      <t>キョウギ</t>
    </rPh>
    <phoneticPr fontId="59"/>
  </si>
  <si>
    <t>想定障害
特性</t>
    <rPh sb="0" eb="2">
      <t>ソウテイ</t>
    </rPh>
    <rPh sb="2" eb="4">
      <t>ショウガイ</t>
    </rPh>
    <phoneticPr fontId="59"/>
  </si>
  <si>
    <t>想定
輸送車両</t>
    <rPh sb="0" eb="2">
      <t>ソウテイ</t>
    </rPh>
    <rPh sb="3" eb="5">
      <t>ユソウ</t>
    </rPh>
    <rPh sb="5" eb="7">
      <t>シャリョウ</t>
    </rPh>
    <phoneticPr fontId="59"/>
  </si>
  <si>
    <t>総利用客室数</t>
    <rPh sb="0" eb="1">
      <t>ソウ</t>
    </rPh>
    <rPh sb="1" eb="3">
      <t>リヨウ</t>
    </rPh>
    <rPh sb="3" eb="5">
      <t>キャクシツ</t>
    </rPh>
    <rPh sb="5" eb="6">
      <t>スウ</t>
    </rPh>
    <phoneticPr fontId="2"/>
  </si>
  <si>
    <t>施設毎
総利用客室数</t>
    <rPh sb="0" eb="3">
      <t>シセツゴト</t>
    </rPh>
    <rPh sb="4" eb="5">
      <t>ソウ</t>
    </rPh>
    <rPh sb="5" eb="7">
      <t>リヨウ</t>
    </rPh>
    <rPh sb="7" eb="9">
      <t>キャクシツ</t>
    </rPh>
    <rPh sb="9" eb="10">
      <t>スウ</t>
    </rPh>
    <phoneticPr fontId="2"/>
  </si>
  <si>
    <t>アジア大会と異なり開会式閉会式ベース（あくまでも最大値であり、実際に必要な期間は将来的に精査が必要）</t>
    <rPh sb="3" eb="5">
      <t>タイカイ</t>
    </rPh>
    <rPh sb="6" eb="7">
      <t>コト</t>
    </rPh>
    <rPh sb="9" eb="12">
      <t>カイカイシキ</t>
    </rPh>
    <rPh sb="12" eb="15">
      <t>ヘイカイシキ</t>
    </rPh>
    <rPh sb="24" eb="27">
      <t>サイダイチ</t>
    </rPh>
    <rPh sb="31" eb="33">
      <t>ジッサイ</t>
    </rPh>
    <rPh sb="34" eb="36">
      <t>ヒツヨウ</t>
    </rPh>
    <rPh sb="37" eb="39">
      <t>キカン</t>
    </rPh>
    <rPh sb="40" eb="43">
      <t>ショウライテキ</t>
    </rPh>
    <rPh sb="44" eb="46">
      <t>セイサ</t>
    </rPh>
    <rPh sb="47" eb="49">
      <t>ヒツヨウ</t>
    </rPh>
    <phoneticPr fontId="2"/>
  </si>
  <si>
    <t>名古屋
市</t>
  </si>
  <si>
    <t>回答待</t>
    <rPh sb="0" eb="3">
      <t>カイトウマ</t>
    </rPh>
    <phoneticPr fontId="59"/>
  </si>
  <si>
    <t>(322)
交渉中</t>
    <rPh sb="5" eb="8">
      <t>コウショウチュウ</t>
    </rPh>
    <phoneticPr fontId="59"/>
  </si>
  <si>
    <t>(243)
交渉中</t>
    <rPh sb="6" eb="9">
      <t>コウショウチュウ</t>
    </rPh>
    <phoneticPr fontId="59"/>
  </si>
  <si>
    <t>37分
27.8km</t>
    <rPh sb="2" eb="3">
      <t>フン</t>
    </rPh>
    <phoneticPr fontId="59"/>
  </si>
  <si>
    <t>・建物は古いが、バリアフリールームが６室あり、ホイールチェアマラソン等、パラ大会を定期的に受け入れている実績あり。</t>
    <rPh sb="1" eb="3">
      <t>タテモノ</t>
    </rPh>
    <rPh sb="4" eb="5">
      <t>フル</t>
    </rPh>
    <rPh sb="19" eb="20">
      <t>シツ</t>
    </rPh>
    <phoneticPr fontId="2"/>
  </si>
  <si>
    <t>・一般客室のユニットバス出入口幅が58cmと狭いため、車いす利用者についてアクセシブルルーム共用の実現可能性を検討する必要がある。
・パワーリフティングが名古屋市内に配宿変更となった場合には、競技会場に近い都ホテル岐阜長良川に配宿
・岐阜エリアは、都ホテルを除き各ホテルのパラ選手利用可能客室数は少ないが、競技会場に近いホテルで分宿ができないが調査中</t>
    <rPh sb="1" eb="5">
      <t>イッパンキャクシツ</t>
    </rPh>
    <rPh sb="12" eb="15">
      <t>デイリグチ</t>
    </rPh>
    <rPh sb="15" eb="16">
      <t>ハバ</t>
    </rPh>
    <rPh sb="22" eb="23">
      <t>セマ</t>
    </rPh>
    <rPh sb="27" eb="28">
      <t>クルマ</t>
    </rPh>
    <rPh sb="30" eb="33">
      <t>リヨウシャ</t>
    </rPh>
    <rPh sb="46" eb="48">
      <t>キョウヨウ</t>
    </rPh>
    <rPh sb="49" eb="54">
      <t>ジツゲンカノウセイ</t>
    </rPh>
    <rPh sb="55" eb="57">
      <t>ケントウ</t>
    </rPh>
    <rPh sb="59" eb="61">
      <t>ヒツヨウ</t>
    </rPh>
    <rPh sb="77" eb="82">
      <t>ナゴヤシナイ</t>
    </rPh>
    <rPh sb="83" eb="85">
      <t>ハイシュク</t>
    </rPh>
    <rPh sb="85" eb="87">
      <t>ヘンコウ</t>
    </rPh>
    <rPh sb="91" eb="93">
      <t>バアイ</t>
    </rPh>
    <rPh sb="96" eb="100">
      <t>キョウギカイジョウ</t>
    </rPh>
    <rPh sb="101" eb="102">
      <t>チカ</t>
    </rPh>
    <rPh sb="103" eb="104">
      <t>ミヤコ</t>
    </rPh>
    <rPh sb="107" eb="112">
      <t>ギフナガラガワ</t>
    </rPh>
    <rPh sb="113" eb="115">
      <t>ハイシュク</t>
    </rPh>
    <rPh sb="117" eb="119">
      <t>ギフ</t>
    </rPh>
    <rPh sb="124" eb="125">
      <t>ミヤコ</t>
    </rPh>
    <rPh sb="129" eb="130">
      <t>ノゾ</t>
    </rPh>
    <rPh sb="131" eb="132">
      <t>カク</t>
    </rPh>
    <rPh sb="138" eb="142">
      <t>センシュリヨウ</t>
    </rPh>
    <rPh sb="142" eb="147">
      <t>カノウキャクシツスウ</t>
    </rPh>
    <rPh sb="148" eb="149">
      <t>スク</t>
    </rPh>
    <rPh sb="153" eb="157">
      <t>キョウギカイジョウ</t>
    </rPh>
    <rPh sb="158" eb="159">
      <t>チカ</t>
    </rPh>
    <rPh sb="164" eb="166">
      <t>ブンシュク</t>
    </rPh>
    <rPh sb="172" eb="175">
      <t>チョウサチュウ</t>
    </rPh>
    <phoneticPr fontId="2"/>
  </si>
  <si>
    <t>都ホテル岐阜長良川
リソル岐阜
グランヴェール岐山
キャッスルイン岐阜
ホテルインディゴ犬山有楽苑</t>
    <rPh sb="0" eb="1">
      <t>ミヤコ</t>
    </rPh>
    <rPh sb="4" eb="9">
      <t>ギフナガラガワ</t>
    </rPh>
    <rPh sb="13" eb="15">
      <t>ギフ</t>
    </rPh>
    <rPh sb="23" eb="25">
      <t>ギザン</t>
    </rPh>
    <rPh sb="33" eb="35">
      <t>ギフ</t>
    </rPh>
    <phoneticPr fontId="2"/>
  </si>
  <si>
    <t>●</t>
    <phoneticPr fontId="59"/>
  </si>
  <si>
    <t>10/9～10/27</t>
    <phoneticPr fontId="2"/>
  </si>
  <si>
    <t>不可</t>
    <rPh sb="0" eb="2">
      <t>フカ</t>
    </rPh>
    <phoneticPr fontId="59"/>
  </si>
  <si>
    <t>・同一競技内の競技会場への移動時間の公平性を担保（以下4施設同じ。）。
・客室の水準が高い。
・ダブルとツインがベースだが、バリアフリールームも4室保有し、他に料金は嵩むが広いスイートルーム等も数多く備える。</t>
    <rPh sb="1" eb="3">
      <t>ドウイツ</t>
    </rPh>
    <rPh sb="3" eb="6">
      <t>キョウギナイ</t>
    </rPh>
    <rPh sb="7" eb="11">
      <t>キョウギカイジョウ</t>
    </rPh>
    <rPh sb="13" eb="17">
      <t>イドウジカン</t>
    </rPh>
    <rPh sb="18" eb="21">
      <t>コウヘイセイ</t>
    </rPh>
    <rPh sb="22" eb="24">
      <t>タンポ</t>
    </rPh>
    <rPh sb="25" eb="27">
      <t>イカ</t>
    </rPh>
    <rPh sb="28" eb="30">
      <t>シセツ</t>
    </rPh>
    <rPh sb="30" eb="31">
      <t>オナ</t>
    </rPh>
    <phoneticPr fontId="2"/>
  </si>
  <si>
    <t>・乗降場の運用が相当難しいため、客室の水準が高く提供率も高いが、パラ選手団でのフル活用は難しい。
・警備の難易度が高い。
・会議室を含めコストが群を抜いて高く、一棟借上げできるような施設ではない。</t>
    <rPh sb="1" eb="4">
      <t>ジョウコウジョウ</t>
    </rPh>
    <rPh sb="5" eb="7">
      <t>ウンヨウ</t>
    </rPh>
    <rPh sb="8" eb="10">
      <t>ソウトウ</t>
    </rPh>
    <rPh sb="10" eb="11">
      <t>ムズカ</t>
    </rPh>
    <rPh sb="16" eb="18">
      <t>キャクシツ</t>
    </rPh>
    <rPh sb="19" eb="21">
      <t>スイジュン</t>
    </rPh>
    <rPh sb="22" eb="23">
      <t>タカ</t>
    </rPh>
    <rPh sb="24" eb="27">
      <t>テイキョウリツ</t>
    </rPh>
    <rPh sb="28" eb="29">
      <t>タカ</t>
    </rPh>
    <rPh sb="34" eb="37">
      <t>センシュダン</t>
    </rPh>
    <rPh sb="41" eb="43">
      <t>カツヨウ</t>
    </rPh>
    <rPh sb="44" eb="45">
      <t>ムズカ</t>
    </rPh>
    <rPh sb="50" eb="52">
      <t>ケイビ</t>
    </rPh>
    <rPh sb="53" eb="56">
      <t>ナンイド</t>
    </rPh>
    <rPh sb="57" eb="58">
      <t>タカ</t>
    </rPh>
    <rPh sb="62" eb="65">
      <t>カイギシツ</t>
    </rPh>
    <rPh sb="66" eb="67">
      <t>フク</t>
    </rPh>
    <rPh sb="72" eb="73">
      <t>グン</t>
    </rPh>
    <rPh sb="74" eb="75">
      <t>ヌ</t>
    </rPh>
    <rPh sb="77" eb="78">
      <t>タカ</t>
    </rPh>
    <rPh sb="80" eb="82">
      <t>イットウ</t>
    </rPh>
    <rPh sb="82" eb="84">
      <t>カリア</t>
    </rPh>
    <rPh sb="91" eb="93">
      <t>シセツ</t>
    </rPh>
    <phoneticPr fontId="2"/>
  </si>
  <si>
    <t>26分
16km</t>
    <rPh sb="2" eb="3">
      <t>フン</t>
    </rPh>
    <phoneticPr fontId="59"/>
  </si>
  <si>
    <t>・施設自体にファンクションルームはないが、必要に応じてコンベンションホールの活用が可能。
・小国についてはこのホテルにNPC単位で配宿検討。</t>
    <rPh sb="1" eb="5">
      <t>シセツジタイ</t>
    </rPh>
    <rPh sb="21" eb="23">
      <t>ヒツヨウ</t>
    </rPh>
    <rPh sb="24" eb="25">
      <t>オウ</t>
    </rPh>
    <rPh sb="38" eb="40">
      <t>カツヨウ</t>
    </rPh>
    <rPh sb="41" eb="43">
      <t>カノウ</t>
    </rPh>
    <rPh sb="46" eb="48">
      <t>ショウコク</t>
    </rPh>
    <rPh sb="62" eb="64">
      <t>タンイ</t>
    </rPh>
    <rPh sb="65" eb="67">
      <t>ハイシュク</t>
    </rPh>
    <rPh sb="67" eb="69">
      <t>ケントウ</t>
    </rPh>
    <phoneticPr fontId="2"/>
  </si>
  <si>
    <t>・NPCスタッフに利用させたいという国際課の意向有り、それが優先されてしまうのであれば他のホテルへ配宿検討となるが乗降場がない等の不便を被ることになる。
・アジア大会では、選手の受入に難色を示している。</t>
    <rPh sb="9" eb="11">
      <t>リヨウ</t>
    </rPh>
    <rPh sb="18" eb="20">
      <t>コクサイ</t>
    </rPh>
    <rPh sb="20" eb="21">
      <t>カ</t>
    </rPh>
    <rPh sb="22" eb="24">
      <t>イコウ</t>
    </rPh>
    <rPh sb="24" eb="25">
      <t>ア</t>
    </rPh>
    <rPh sb="30" eb="32">
      <t>ユウセン</t>
    </rPh>
    <rPh sb="43" eb="44">
      <t>ホカ</t>
    </rPh>
    <rPh sb="49" eb="51">
      <t>ハイシュク</t>
    </rPh>
    <rPh sb="51" eb="53">
      <t>ケントウ</t>
    </rPh>
    <rPh sb="57" eb="60">
      <t>ジョウコウジョウ</t>
    </rPh>
    <rPh sb="81" eb="83">
      <t>タイカイ</t>
    </rPh>
    <rPh sb="86" eb="88">
      <t>センシュ</t>
    </rPh>
    <rPh sb="89" eb="91">
      <t>ウケイ</t>
    </rPh>
    <rPh sb="92" eb="94">
      <t>ナンショク</t>
    </rPh>
    <rPh sb="95" eb="96">
      <t>シメ</t>
    </rPh>
    <phoneticPr fontId="2"/>
  </si>
  <si>
    <t>●
車いすテニス
同宿</t>
    <rPh sb="2" eb="3">
      <t>クルマ</t>
    </rPh>
    <rPh sb="9" eb="11">
      <t>ドウシュク</t>
    </rPh>
    <phoneticPr fontId="59"/>
  </si>
  <si>
    <t>●
車いすフェン
シング同宿</t>
    <rPh sb="2" eb="3">
      <t>クルマ</t>
    </rPh>
    <rPh sb="12" eb="14">
      <t>ドウシュク</t>
    </rPh>
    <phoneticPr fontId="59"/>
  </si>
  <si>
    <t>ニッコースタイル名古屋</t>
    <rPh sb="8" eb="11">
      <t>ナゴヤ</t>
    </rPh>
    <phoneticPr fontId="59"/>
  </si>
  <si>
    <t>2020
・
ー</t>
  </si>
  <si>
    <t>11分
4km</t>
    <rPh sb="2" eb="3">
      <t>フン</t>
    </rPh>
    <phoneticPr fontId="59"/>
  </si>
  <si>
    <t>69-59</t>
    <phoneticPr fontId="59"/>
  </si>
  <si>
    <t>130-135</t>
    <phoneticPr fontId="59"/>
  </si>
  <si>
    <t>・乗降場がなく、路上乗降を想定せざるを得ないことから、配宿人数を抑制
・同一競技内の競技会場への移動時間の公平性を担保。
・客室内がフローリングとなっている。</t>
    <rPh sb="1" eb="4">
      <t>ジョウコウジョウ</t>
    </rPh>
    <rPh sb="8" eb="12">
      <t>ロジョウジョウコウ</t>
    </rPh>
    <rPh sb="13" eb="15">
      <t>ソウテイ</t>
    </rPh>
    <rPh sb="19" eb="20">
      <t>エ</t>
    </rPh>
    <rPh sb="27" eb="29">
      <t>ハイシュク</t>
    </rPh>
    <rPh sb="29" eb="31">
      <t>ニンズウ</t>
    </rPh>
    <rPh sb="32" eb="34">
      <t>ヨクセイ</t>
    </rPh>
    <rPh sb="62" eb="64">
      <t>キャクシツ</t>
    </rPh>
    <rPh sb="64" eb="65">
      <t>ナイ</t>
    </rPh>
    <phoneticPr fontId="2"/>
  </si>
  <si>
    <t>・専用の乗降場がなく、県警等との調整が必要となる。</t>
    <rPh sb="1" eb="3">
      <t>センヨウ</t>
    </rPh>
    <rPh sb="4" eb="7">
      <t>ジョウコウジョウ</t>
    </rPh>
    <rPh sb="11" eb="13">
      <t>ケンケイ</t>
    </rPh>
    <rPh sb="13" eb="14">
      <t>トウ</t>
    </rPh>
    <rPh sb="16" eb="18">
      <t>チョウセイ</t>
    </rPh>
    <rPh sb="19" eb="21">
      <t>ヒツヨウ</t>
    </rPh>
    <phoneticPr fontId="2"/>
  </si>
  <si>
    <t>3
（女子）</t>
    <rPh sb="3" eb="5">
      <t>ジョシ</t>
    </rPh>
    <phoneticPr fontId="2"/>
  </si>
  <si>
    <t>2
（女子）</t>
    <rPh sb="3" eb="5">
      <t>ジョシ</t>
    </rPh>
    <phoneticPr fontId="2"/>
  </si>
  <si>
    <t>交渉中</t>
    <rPh sb="0" eb="3">
      <t>コウショウチュウ</t>
    </rPh>
    <phoneticPr fontId="59"/>
  </si>
  <si>
    <t>200(357)
交渉中</t>
    <rPh sb="9" eb="12">
      <t>コウショウチュウ</t>
    </rPh>
    <phoneticPr fontId="59"/>
  </si>
  <si>
    <t>150(245)
交渉中</t>
    <rPh sb="9" eb="12">
      <t>コウショウチュウ</t>
    </rPh>
    <phoneticPr fontId="59"/>
  </si>
  <si>
    <t>16分
6.5㎞</t>
    <rPh sb="2" eb="3">
      <t>フン</t>
    </rPh>
    <phoneticPr fontId="59"/>
  </si>
  <si>
    <t>・小国についてはこのホテルにNPC単位で配宿検討。
・ユニットバス出入口幅、客室内スペース等の水準が全ての候補施設の中で最も優れている。
・一般客室全てが他のホテルのバリアフリールームに近いレベルである。
・バス以外の車両であれば地下駐車場で乗降が可能。</t>
    <rPh sb="34" eb="37">
      <t>デイリグチ</t>
    </rPh>
    <rPh sb="37" eb="38">
      <t>ハバ</t>
    </rPh>
    <rPh sb="39" eb="42">
      <t>キャクシツナイ</t>
    </rPh>
    <rPh sb="46" eb="47">
      <t>トウ</t>
    </rPh>
    <rPh sb="48" eb="50">
      <t>スイジュン</t>
    </rPh>
    <rPh sb="51" eb="52">
      <t>スベ</t>
    </rPh>
    <rPh sb="54" eb="56">
      <t>コウホ</t>
    </rPh>
    <rPh sb="56" eb="58">
      <t>シセツ</t>
    </rPh>
    <rPh sb="59" eb="60">
      <t>ナカ</t>
    </rPh>
    <rPh sb="61" eb="62">
      <t>モット</t>
    </rPh>
    <rPh sb="63" eb="64">
      <t>スグ</t>
    </rPh>
    <rPh sb="71" eb="75">
      <t>イッパンキャクシツ</t>
    </rPh>
    <rPh sb="75" eb="76">
      <t>スベ</t>
    </rPh>
    <rPh sb="78" eb="79">
      <t>ホカ</t>
    </rPh>
    <rPh sb="94" eb="95">
      <t>チカ</t>
    </rPh>
    <phoneticPr fontId="2"/>
  </si>
  <si>
    <t>●
ボッチャ
同宿</t>
    <rPh sb="7" eb="9">
      <t>ドウシュク</t>
    </rPh>
    <phoneticPr fontId="59"/>
  </si>
  <si>
    <t>1999
・
ー</t>
  </si>
  <si>
    <t>・障害の程度が最も重い競技の一つであると認識しており、高機能ホテルを優先して仮配宿（以下2施設同じ。）。
・小国についてはこのホテルにNPC単位で配宿検討。
・ユニットバス出入口幅、客室内スペース等の水準が全ての候補施設の中で最も優れている。
・一般客室全てが他のホテルのバリアフリールームに近いレベルである。
・バス以外の車両であれば地下駐車場で乗降が可能。</t>
    <rPh sb="2" eb="4">
      <t>ショウガイ</t>
    </rPh>
    <rPh sb="5" eb="7">
      <t>テイド</t>
    </rPh>
    <rPh sb="8" eb="9">
      <t>モット</t>
    </rPh>
    <rPh sb="10" eb="11">
      <t>オモ</t>
    </rPh>
    <rPh sb="12" eb="14">
      <t>キョウギ</t>
    </rPh>
    <rPh sb="15" eb="16">
      <t>ヒト</t>
    </rPh>
    <rPh sb="21" eb="23">
      <t>ニンシキ</t>
    </rPh>
    <rPh sb="28" eb="31">
      <t>コウキノウ</t>
    </rPh>
    <rPh sb="35" eb="37">
      <t>ユウセン</t>
    </rPh>
    <rPh sb="39" eb="40">
      <t>カリ</t>
    </rPh>
    <rPh sb="40" eb="42">
      <t>ハイシュク</t>
    </rPh>
    <rPh sb="87" eb="90">
      <t>デイリグチ</t>
    </rPh>
    <rPh sb="90" eb="91">
      <t>ハバ</t>
    </rPh>
    <rPh sb="92" eb="95">
      <t>キャクシツナイ</t>
    </rPh>
    <rPh sb="99" eb="100">
      <t>トウ</t>
    </rPh>
    <rPh sb="101" eb="103">
      <t>スイジュン</t>
    </rPh>
    <rPh sb="104" eb="105">
      <t>スベ</t>
    </rPh>
    <rPh sb="107" eb="109">
      <t>コウホ</t>
    </rPh>
    <rPh sb="109" eb="111">
      <t>シセツ</t>
    </rPh>
    <rPh sb="112" eb="113">
      <t>ナカ</t>
    </rPh>
    <rPh sb="114" eb="115">
      <t>モット</t>
    </rPh>
    <rPh sb="116" eb="117">
      <t>スグ</t>
    </rPh>
    <rPh sb="124" eb="128">
      <t>イッパンキャクシツ</t>
    </rPh>
    <rPh sb="128" eb="129">
      <t>スベ</t>
    </rPh>
    <rPh sb="131" eb="132">
      <t>ホカ</t>
    </rPh>
    <rPh sb="147" eb="148">
      <t>チカ</t>
    </rPh>
    <phoneticPr fontId="2"/>
  </si>
  <si>
    <t>・バスの場合、乗降が路上となる（恒常的・慣習的に路上での乗降を行っているようだが、県警等との調整が必要となる。）。</t>
    <phoneticPr fontId="2"/>
  </si>
  <si>
    <t>●
陸上
同宿</t>
    <rPh sb="2" eb="4">
      <t>リクジョウ</t>
    </rPh>
    <rPh sb="5" eb="7">
      <t>ドウシュク</t>
    </rPh>
    <phoneticPr fontId="59"/>
  </si>
  <si>
    <t>名古屋東急ホテル</t>
  </si>
  <si>
    <t>395（776）
増室交渉中</t>
    <phoneticPr fontId="2"/>
  </si>
  <si>
    <t>284（565）
増室交渉中</t>
    <phoneticPr fontId="2"/>
  </si>
  <si>
    <t>7分
1.7km</t>
    <rPh sb="1" eb="2">
      <t>フン</t>
    </rPh>
    <phoneticPr fontId="59"/>
  </si>
  <si>
    <t>●
柔道/テコンドー
同宿</t>
    <rPh sb="2" eb="4">
      <t>ジュウドウ</t>
    </rPh>
    <rPh sb="11" eb="13">
      <t>ドウシュク</t>
    </rPh>
    <phoneticPr fontId="59"/>
  </si>
  <si>
    <t>395（776）
増室交渉中</t>
  </si>
  <si>
    <t>284（565）
増室交渉中</t>
  </si>
  <si>
    <t>・サウナが会員専用のため、一棟借上げでサウナを利用できるホテルへ変更の余地有り。</t>
    <rPh sb="5" eb="9">
      <t>カイインセンヨウ</t>
    </rPh>
    <rPh sb="13" eb="17">
      <t>イットウカリア</t>
    </rPh>
    <rPh sb="23" eb="25">
      <t>リヨウ</t>
    </rPh>
    <rPh sb="32" eb="34">
      <t>ヘンコウ</t>
    </rPh>
    <rPh sb="35" eb="37">
      <t>ヨチ</t>
    </rPh>
    <rPh sb="37" eb="38">
      <t>アリ</t>
    </rPh>
    <phoneticPr fontId="2"/>
  </si>
  <si>
    <t>ベッセルホテルカンパーナ名古屋</t>
    <rPh sb="12" eb="15">
      <t>ナゴヤ</t>
    </rPh>
    <phoneticPr fontId="2"/>
  </si>
  <si>
    <t>●
ブラインドフットボール/テコンドー同宿</t>
    <rPh sb="19" eb="21">
      <t>ドウシュク</t>
    </rPh>
    <phoneticPr fontId="59"/>
  </si>
  <si>
    <t>20分
6.7km</t>
    <rPh sb="2" eb="3">
      <t>フン</t>
    </rPh>
    <phoneticPr fontId="59"/>
  </si>
  <si>
    <t>●
ブラインドフットボール/柔道同宿</t>
    <rPh sb="14" eb="16">
      <t>ジュウドウ</t>
    </rPh>
    <rPh sb="16" eb="18">
      <t>ドウシュク</t>
    </rPh>
    <phoneticPr fontId="59"/>
  </si>
  <si>
    <t>ホテルJALシティ名古屋　錦</t>
    <rPh sb="9" eb="12">
      <t>ナゴヤ</t>
    </rPh>
    <rPh sb="13" eb="14">
      <t>ニシキ</t>
    </rPh>
    <phoneticPr fontId="59"/>
  </si>
  <si>
    <t>12分
3.7km</t>
    <rPh sb="2" eb="3">
      <t>フン</t>
    </rPh>
    <phoneticPr fontId="59"/>
  </si>
  <si>
    <t>D-59-68
T-59-78</t>
    <phoneticPr fontId="59"/>
  </si>
  <si>
    <t>・乗降場がなく、路上乗降を想定せざるを得ないことから、配宿人数を抑制
・車いすバスケ神保氏に実際に見ていただき一定の評価をいただいている。</t>
    <rPh sb="36" eb="37">
      <t>クルマ</t>
    </rPh>
    <rPh sb="42" eb="44">
      <t>ジンボ</t>
    </rPh>
    <rPh sb="44" eb="45">
      <t>ウジ</t>
    </rPh>
    <rPh sb="46" eb="48">
      <t>ジッサイ</t>
    </rPh>
    <rPh sb="49" eb="50">
      <t>ミ</t>
    </rPh>
    <rPh sb="55" eb="57">
      <t>イッテイ</t>
    </rPh>
    <rPh sb="58" eb="60">
      <t>ヒョウカ</t>
    </rPh>
    <phoneticPr fontId="2"/>
  </si>
  <si>
    <t>46(150)
増室交渉中</t>
    <rPh sb="8" eb="10">
      <t>ゾウシツ</t>
    </rPh>
    <rPh sb="10" eb="12">
      <t>コウショウ</t>
    </rPh>
    <rPh sb="12" eb="13">
      <t>チュウ</t>
    </rPh>
    <phoneticPr fontId="59"/>
  </si>
  <si>
    <t>39(120)
増室交渉中</t>
    <phoneticPr fontId="59"/>
  </si>
  <si>
    <t>・このエリアで車いす選手が宿泊可能な代替施設がないため、一棟貸し交渉を行っている。</t>
    <rPh sb="7" eb="8">
      <t>クルマ</t>
    </rPh>
    <rPh sb="10" eb="12">
      <t>センシュ</t>
    </rPh>
    <rPh sb="13" eb="17">
      <t>シュクハクカノウ</t>
    </rPh>
    <rPh sb="18" eb="20">
      <t>ダイタイ</t>
    </rPh>
    <rPh sb="20" eb="22">
      <t>シセツ</t>
    </rPh>
    <rPh sb="28" eb="30">
      <t>イットウ</t>
    </rPh>
    <rPh sb="30" eb="31">
      <t>カシ</t>
    </rPh>
    <rPh sb="32" eb="34">
      <t>コウショウ</t>
    </rPh>
    <rPh sb="35" eb="36">
      <t>オコナ</t>
    </rPh>
    <phoneticPr fontId="2"/>
  </si>
  <si>
    <t>●</t>
    <phoneticPr fontId="2"/>
  </si>
  <si>
    <t>名鉄トヨタホテル</t>
    <rPh sb="0" eb="2">
      <t>メイテツ</t>
    </rPh>
    <phoneticPr fontId="59"/>
  </si>
  <si>
    <t>1995
・
2004</t>
    <phoneticPr fontId="59"/>
  </si>
  <si>
    <t>53分
32.8㎞</t>
    <rPh sb="2" eb="3">
      <t>フン</t>
    </rPh>
    <phoneticPr fontId="59"/>
  </si>
  <si>
    <t>S・D・
T-ユニット
SU-独立</t>
    <rPh sb="15" eb="17">
      <t>ドクリツ</t>
    </rPh>
    <phoneticPr fontId="59"/>
  </si>
  <si>
    <t>S-58
D-58
T-59
SU-70-54</t>
    <phoneticPr fontId="59"/>
  </si>
  <si>
    <t>S-10
D-9
T-8.5
SU-2</t>
    <phoneticPr fontId="59"/>
  </si>
  <si>
    <t>79-80</t>
    <phoneticPr fontId="59"/>
  </si>
  <si>
    <t>S-130
D-133
T-135</t>
    <phoneticPr fontId="59"/>
  </si>
  <si>
    <t>・競技会場からの距離を考慮すると、他に選択肢がない。
・本大会に対する宿泊施設側の協力姿勢がトップクラスであり、ファンクションルームも豊富である。</t>
    <rPh sb="1" eb="5">
      <t>キョウギカイジョウ</t>
    </rPh>
    <rPh sb="8" eb="10">
      <t>キョリ</t>
    </rPh>
    <rPh sb="11" eb="13">
      <t>コウリョ</t>
    </rPh>
    <rPh sb="17" eb="18">
      <t>ホカ</t>
    </rPh>
    <rPh sb="19" eb="22">
      <t>センタクシ</t>
    </rPh>
    <rPh sb="28" eb="31">
      <t>ホンタイカイ</t>
    </rPh>
    <rPh sb="32" eb="33">
      <t>タイ</t>
    </rPh>
    <rPh sb="35" eb="37">
      <t>シュクハク</t>
    </rPh>
    <rPh sb="37" eb="39">
      <t>シセツ</t>
    </rPh>
    <rPh sb="39" eb="40">
      <t>ガワ</t>
    </rPh>
    <rPh sb="41" eb="45">
      <t>キョウリョクシセイ</t>
    </rPh>
    <rPh sb="67" eb="69">
      <t>ホウフ</t>
    </rPh>
    <phoneticPr fontId="2"/>
  </si>
  <si>
    <t>・バリアフリールーム及び８階の客室以外は、段差が大きい造りのため、できる限り事前に各国の車いす利用状況を把握し、車いす利用者はホテルトヨタキャッスルに配宿したい。
・競技会場に最も近いのが豊田エリアだが、豊田からでも50～60分かかる。</t>
    <rPh sb="36" eb="37">
      <t>カギ</t>
    </rPh>
    <rPh sb="38" eb="40">
      <t>ジゼン</t>
    </rPh>
    <rPh sb="41" eb="43">
      <t>カッコク</t>
    </rPh>
    <rPh sb="44" eb="45">
      <t>クルマ</t>
    </rPh>
    <rPh sb="47" eb="49">
      <t>リヨウ</t>
    </rPh>
    <rPh sb="49" eb="51">
      <t>ジョウキョウ</t>
    </rPh>
    <rPh sb="52" eb="54">
      <t>ハアク</t>
    </rPh>
    <rPh sb="56" eb="57">
      <t>クルマ</t>
    </rPh>
    <rPh sb="59" eb="62">
      <t>リヨウシャ</t>
    </rPh>
    <rPh sb="75" eb="77">
      <t>ハイシュク</t>
    </rPh>
    <phoneticPr fontId="2"/>
  </si>
  <si>
    <t>ホテルグランドティアラ南名古屋</t>
  </si>
  <si>
    <t>・乗降場の利便性が高い。
・ファンクションルームが充実しており、食事会場も複数ある。</t>
    <rPh sb="25" eb="27">
      <t>ジュウジツ</t>
    </rPh>
    <rPh sb="32" eb="36">
      <t>ショクジカイジョウ</t>
    </rPh>
    <rPh sb="37" eb="39">
      <t>フクスウ</t>
    </rPh>
    <phoneticPr fontId="2"/>
  </si>
  <si>
    <t>車いす可能客室⇒68（車いすラグビー選手がメインで利用）
車いす不可客室⇒40</t>
    <rPh sb="0" eb="1">
      <t>クルマ</t>
    </rPh>
    <rPh sb="3" eb="7">
      <t>カノウキャクシツ</t>
    </rPh>
    <rPh sb="11" eb="12">
      <t>クルマ</t>
    </rPh>
    <rPh sb="18" eb="20">
      <t>センシュ</t>
    </rPh>
    <rPh sb="25" eb="27">
      <t>リヨウ</t>
    </rPh>
    <rPh sb="29" eb="30">
      <t>クルマ</t>
    </rPh>
    <rPh sb="32" eb="34">
      <t>フカ</t>
    </rPh>
    <rPh sb="34" eb="36">
      <t>キャクシツ</t>
    </rPh>
    <phoneticPr fontId="2"/>
  </si>
  <si>
    <t>変なホテル　ラグーナテンボス</t>
    <rPh sb="0" eb="1">
      <t>ヘン</t>
    </rPh>
    <phoneticPr fontId="59"/>
  </si>
  <si>
    <t>蒲郡市</t>
    <rPh sb="0" eb="2">
      <t>ガマゴオリ</t>
    </rPh>
    <rPh sb="2" eb="3">
      <t>シ</t>
    </rPh>
    <phoneticPr fontId="2"/>
  </si>
  <si>
    <t>2017
・
ー</t>
    <phoneticPr fontId="59"/>
  </si>
  <si>
    <t>42分
24.0㎞</t>
    <rPh sb="2" eb="3">
      <t>フン</t>
    </rPh>
    <phoneticPr fontId="59"/>
  </si>
  <si>
    <t>なし/
ロビー</t>
    <phoneticPr fontId="59"/>
  </si>
  <si>
    <t>T-60
TR-63</t>
    <phoneticPr fontId="59"/>
  </si>
  <si>
    <t>T-1
TR-1</t>
    <phoneticPr fontId="59"/>
  </si>
  <si>
    <t>2階建で一階部分の客室が多く、ユニットバス段差も1cm未満のため、車いす選手が利用しやすい。</t>
    <rPh sb="1" eb="3">
      <t>カイダ</t>
    </rPh>
    <rPh sb="4" eb="8">
      <t>イッカイブブン</t>
    </rPh>
    <rPh sb="9" eb="11">
      <t>キャクシツ</t>
    </rPh>
    <rPh sb="12" eb="13">
      <t>オオ</t>
    </rPh>
    <rPh sb="21" eb="23">
      <t>ダンサ</t>
    </rPh>
    <rPh sb="27" eb="29">
      <t>ミマン</t>
    </rPh>
    <rPh sb="33" eb="34">
      <t>クルマ</t>
    </rPh>
    <rPh sb="36" eb="38">
      <t>センシュ</t>
    </rPh>
    <rPh sb="39" eb="41">
      <t>リヨウ</t>
    </rPh>
    <phoneticPr fontId="2"/>
  </si>
  <si>
    <t>ファンクションルームが館内にないため、徒歩２分くらいの運営会社の事務所の会議室まで移動する必要がある。</t>
    <rPh sb="11" eb="13">
      <t>カンナイ</t>
    </rPh>
    <rPh sb="19" eb="21">
      <t>トホ</t>
    </rPh>
    <rPh sb="22" eb="23">
      <t>フン</t>
    </rPh>
    <rPh sb="27" eb="31">
      <t>ウンエイカイシャ</t>
    </rPh>
    <rPh sb="32" eb="35">
      <t>ジムショ</t>
    </rPh>
    <rPh sb="36" eb="39">
      <t>カイギシツ</t>
    </rPh>
    <rPh sb="41" eb="43">
      <t>イドウ</t>
    </rPh>
    <rPh sb="45" eb="47">
      <t>ヒツヨウ</t>
    </rPh>
    <phoneticPr fontId="2"/>
  </si>
  <si>
    <t>8
（男子）</t>
    <rPh sb="3" eb="5">
      <t>ダンシ</t>
    </rPh>
    <phoneticPr fontId="2"/>
  </si>
  <si>
    <t>7
（男子）</t>
    <rPh sb="3" eb="5">
      <t>ダンシ</t>
    </rPh>
    <phoneticPr fontId="2"/>
  </si>
  <si>
    <t>・バレーボールの下肢障害の度合いがユニットバス出入口の段差や狭さを許容できないレベルであれば、右記のロワジールホテルの方がアクセシビリティ度合いが高いが競技会場からは更に遠い。</t>
    <rPh sb="8" eb="12">
      <t>カシショウガイ</t>
    </rPh>
    <rPh sb="13" eb="15">
      <t>ドア</t>
    </rPh>
    <rPh sb="23" eb="26">
      <t>デイリグチ</t>
    </rPh>
    <rPh sb="27" eb="29">
      <t>ダンサ</t>
    </rPh>
    <rPh sb="30" eb="31">
      <t>セマ</t>
    </rPh>
    <rPh sb="33" eb="35">
      <t>キョヨウ</t>
    </rPh>
    <rPh sb="47" eb="48">
      <t>ミギ</t>
    </rPh>
    <rPh sb="69" eb="71">
      <t>ドア</t>
    </rPh>
    <rPh sb="73" eb="74">
      <t>タカ</t>
    </rPh>
    <rPh sb="83" eb="84">
      <t>サラ</t>
    </rPh>
    <rPh sb="85" eb="86">
      <t>トオ</t>
    </rPh>
    <phoneticPr fontId="2"/>
  </si>
  <si>
    <t>ロワジールホテル豊橋
(54分)</t>
    <rPh sb="8" eb="10">
      <t>トヨハシ</t>
    </rPh>
    <rPh sb="14" eb="15">
      <t>フン</t>
    </rPh>
    <phoneticPr fontId="2"/>
  </si>
  <si>
    <t>６
（女子）</t>
    <rPh sb="3" eb="5">
      <t>ジョシ</t>
    </rPh>
    <phoneticPr fontId="2"/>
  </si>
  <si>
    <t>5
（女子）</t>
    <rPh sb="3" eb="5">
      <t>ジョシ</t>
    </rPh>
    <phoneticPr fontId="2"/>
  </si>
  <si>
    <t>ホテルアソシア豊橋</t>
    <rPh sb="7" eb="9">
      <t>トヨハシ</t>
    </rPh>
    <phoneticPr fontId="59"/>
  </si>
  <si>
    <t>1997
・
2019</t>
  </si>
  <si>
    <t>16分
6.0㎞</t>
    <rPh sb="2" eb="3">
      <t>フン</t>
    </rPh>
    <phoneticPr fontId="59"/>
  </si>
  <si>
    <t>D-82
T-82</t>
  </si>
  <si>
    <t>125-135</t>
  </si>
  <si>
    <t>・客室については浴室・トイレ段差以外の欠点が少ないため、ホテルの接遇能力を含め、視覚障害の方にとってはストレスが少ないホテルである。</t>
    <rPh sb="1" eb="3">
      <t>キャクシツ</t>
    </rPh>
    <rPh sb="8" eb="10">
      <t>ヨクシツ</t>
    </rPh>
    <rPh sb="14" eb="16">
      <t>ダンサ</t>
    </rPh>
    <rPh sb="16" eb="18">
      <t>イガイ</t>
    </rPh>
    <rPh sb="19" eb="21">
      <t>ケッテン</t>
    </rPh>
    <rPh sb="22" eb="23">
      <t>スク</t>
    </rPh>
    <rPh sb="32" eb="36">
      <t>セツグウノウリョク</t>
    </rPh>
    <rPh sb="37" eb="38">
      <t>フク</t>
    </rPh>
    <rPh sb="40" eb="44">
      <t>シカクショウガイ</t>
    </rPh>
    <rPh sb="45" eb="46">
      <t>ホウ</t>
    </rPh>
    <rPh sb="56" eb="57">
      <t>スク</t>
    </rPh>
    <phoneticPr fontId="2"/>
  </si>
  <si>
    <t>・豊橋駅直結のため、警備や乗降の課題が多い。
・ロワジールホテルの増室交渉次第ではロワジールホテルに変更も視野
・競技会場にシャワーがなく、できるだけ競技会場近くのホテルをという競技団体の要望がある。
※　但し、右記のシーパレス（競技会場から5分以内）では収容人数が不足するため、同一競技内で不公平が生じるおそれがある。
・一棟借上げの場合、死に部屋が多すぎるので、できれば他競技の技術役員も同宿としたい。</t>
    <rPh sb="1" eb="4">
      <t>トヨハシエキ</t>
    </rPh>
    <rPh sb="4" eb="6">
      <t>チョッケツ</t>
    </rPh>
    <rPh sb="10" eb="12">
      <t>ケイビ</t>
    </rPh>
    <rPh sb="13" eb="15">
      <t>ジョウコウ</t>
    </rPh>
    <rPh sb="16" eb="18">
      <t>カダイ</t>
    </rPh>
    <rPh sb="19" eb="20">
      <t>オオ</t>
    </rPh>
    <rPh sb="33" eb="37">
      <t>ゾウシツコウショウ</t>
    </rPh>
    <rPh sb="37" eb="39">
      <t>シダイ</t>
    </rPh>
    <rPh sb="50" eb="52">
      <t>ヘンコウ</t>
    </rPh>
    <rPh sb="53" eb="55">
      <t>シヤ</t>
    </rPh>
    <rPh sb="57" eb="61">
      <t>キョウギカイジョウ</t>
    </rPh>
    <rPh sb="75" eb="80">
      <t>キョウギカイジョウチカ</t>
    </rPh>
    <rPh sb="89" eb="93">
      <t>キョウギダンタイ</t>
    </rPh>
    <rPh sb="94" eb="96">
      <t>ヨウボウ</t>
    </rPh>
    <rPh sb="103" eb="104">
      <t>タダ</t>
    </rPh>
    <rPh sb="115" eb="119">
      <t>キョウギカイジョウ</t>
    </rPh>
    <rPh sb="122" eb="125">
      <t>フンイナイ</t>
    </rPh>
    <rPh sb="162" eb="164">
      <t>イットウ</t>
    </rPh>
    <rPh sb="164" eb="166">
      <t>カリア</t>
    </rPh>
    <rPh sb="168" eb="170">
      <t>バアイ</t>
    </rPh>
    <rPh sb="171" eb="172">
      <t>シ</t>
    </rPh>
    <rPh sb="173" eb="175">
      <t>ヘヤ</t>
    </rPh>
    <rPh sb="176" eb="177">
      <t>オオ</t>
    </rPh>
    <rPh sb="187" eb="190">
      <t>ホカキョウギ</t>
    </rPh>
    <rPh sb="191" eb="195">
      <t>ギジュツヤクイン</t>
    </rPh>
    <rPh sb="196" eb="198">
      <t>ドウシュク</t>
    </rPh>
    <phoneticPr fontId="2"/>
  </si>
  <si>
    <t>ロワジールホテル豊橋
シーパレスリゾート豊橋（日本港湾福利厚生）</t>
    <rPh sb="8" eb="10">
      <t>トヨハシ</t>
    </rPh>
    <phoneticPr fontId="2"/>
  </si>
  <si>
    <t>54分
40.1km</t>
    <rPh sb="2" eb="3">
      <t>フン</t>
    </rPh>
    <phoneticPr fontId="59"/>
  </si>
  <si>
    <t>・乗降場の利便性が極めて高い。
・三河地域の中では、ユニットバス出入口幅が広めで段差もないため、車いす利用者が使いやすい。</t>
    <rPh sb="17" eb="19">
      <t>ミカワ</t>
    </rPh>
    <rPh sb="19" eb="21">
      <t>チイキ</t>
    </rPh>
    <rPh sb="22" eb="23">
      <t>ナカ</t>
    </rPh>
    <rPh sb="48" eb="49">
      <t>クルマ</t>
    </rPh>
    <rPh sb="51" eb="54">
      <t>リヨウシャ</t>
    </rPh>
    <rPh sb="55" eb="56">
      <t>ツカ</t>
    </rPh>
    <phoneticPr fontId="2"/>
  </si>
  <si>
    <t>・競技会場までの距離・移動時間が長い。
・競技会場近辺には最低限のアクセシビリティ基準を満たすホテルがない。</t>
    <rPh sb="29" eb="32">
      <t>サイテイゲン</t>
    </rPh>
    <rPh sb="41" eb="43">
      <t>キジュン</t>
    </rPh>
    <rPh sb="44" eb="45">
      <t>ミ</t>
    </rPh>
    <phoneticPr fontId="2"/>
  </si>
  <si>
    <t>岡崎中央
総合公園
多目的広場
他</t>
    <phoneticPr fontId="59"/>
  </si>
  <si>
    <t>36分
35.8km</t>
    <rPh sb="2" eb="3">
      <t>フン</t>
    </rPh>
    <phoneticPr fontId="59"/>
  </si>
  <si>
    <t>・名古屋市内だけではパラ選手が利用可能な客室数が足りないため、知多の宿泊施設を活用。知多から最も近い競技会場が南区にある水泳のため仮配宿。
・浴室及びトイレ出入口幅が70cmある。
・エアラインで必要な40室以外は全て提供可能で、食事会場等動線分離も現実的に可能である。</t>
    <rPh sb="12" eb="14">
      <t>センシュ</t>
    </rPh>
    <rPh sb="15" eb="17">
      <t>リヨウ</t>
    </rPh>
    <rPh sb="17" eb="19">
      <t>カノウ</t>
    </rPh>
    <rPh sb="31" eb="33">
      <t>チタ</t>
    </rPh>
    <rPh sb="34" eb="36">
      <t>シュクハク</t>
    </rPh>
    <rPh sb="36" eb="38">
      <t>シセツ</t>
    </rPh>
    <rPh sb="39" eb="41">
      <t>カツヨウ</t>
    </rPh>
    <rPh sb="42" eb="44">
      <t>チタ</t>
    </rPh>
    <rPh sb="46" eb="47">
      <t>モット</t>
    </rPh>
    <rPh sb="48" eb="49">
      <t>チカ</t>
    </rPh>
    <rPh sb="65" eb="66">
      <t>カリ</t>
    </rPh>
    <rPh sb="66" eb="68">
      <t>ハイシュク</t>
    </rPh>
    <rPh sb="71" eb="73">
      <t>ヨクシツ</t>
    </rPh>
    <rPh sb="73" eb="74">
      <t>オヨ</t>
    </rPh>
    <rPh sb="78" eb="82">
      <t>デイリグチハバ</t>
    </rPh>
    <rPh sb="98" eb="100">
      <t>ヒツヨウ</t>
    </rPh>
    <rPh sb="103" eb="104">
      <t>シツ</t>
    </rPh>
    <rPh sb="104" eb="106">
      <t>イガイ</t>
    </rPh>
    <rPh sb="107" eb="108">
      <t>スベ</t>
    </rPh>
    <rPh sb="109" eb="111">
      <t>テイキョウ</t>
    </rPh>
    <rPh sb="111" eb="113">
      <t>カノウ</t>
    </rPh>
    <rPh sb="115" eb="120">
      <t>ショクジカイジョウトウ</t>
    </rPh>
    <rPh sb="120" eb="124">
      <t>ドウセンブンリ</t>
    </rPh>
    <rPh sb="125" eb="128">
      <t>ゲンジツテキ</t>
    </rPh>
    <rPh sb="129" eb="131">
      <t>カノウ</t>
    </rPh>
    <phoneticPr fontId="2"/>
  </si>
  <si>
    <t>・練習会場との距離が遠いとの情報を競技課から得ており、名古屋市内配宿競技との入替も引き続き検討。
・ファンクションルームがない（スカイエキスポ活用も検討。）。</t>
    <rPh sb="1" eb="5">
      <t>レンシュウカイジョウ</t>
    </rPh>
    <rPh sb="7" eb="9">
      <t>キョリ</t>
    </rPh>
    <rPh sb="10" eb="11">
      <t>トオ</t>
    </rPh>
    <rPh sb="14" eb="16">
      <t>ジョウホウ</t>
    </rPh>
    <rPh sb="17" eb="19">
      <t>キョウギ</t>
    </rPh>
    <rPh sb="19" eb="20">
      <t>カ</t>
    </rPh>
    <rPh sb="22" eb="23">
      <t>エ</t>
    </rPh>
    <rPh sb="27" eb="32">
      <t>ナゴヤシナイ</t>
    </rPh>
    <rPh sb="32" eb="34">
      <t>ハイシュク</t>
    </rPh>
    <rPh sb="34" eb="36">
      <t>キョウギ</t>
    </rPh>
    <rPh sb="38" eb="40">
      <t>イレカエ</t>
    </rPh>
    <rPh sb="41" eb="42">
      <t>ヒ</t>
    </rPh>
    <rPh sb="43" eb="44">
      <t>ツヅ</t>
    </rPh>
    <rPh sb="45" eb="47">
      <t>ケントウ</t>
    </rPh>
    <rPh sb="71" eb="73">
      <t>カツヨウ</t>
    </rPh>
    <rPh sb="74" eb="76">
      <t>ケントウ</t>
    </rPh>
    <phoneticPr fontId="2"/>
  </si>
  <si>
    <t>2005　　　・　2018</t>
  </si>
  <si>
    <t>S-60-60
D-70-70
ST(B)-70-69
ST(C)-68-54</t>
    <phoneticPr fontId="2"/>
  </si>
  <si>
    <t>無</t>
    <rPh sb="0" eb="1">
      <t>ム</t>
    </rPh>
    <phoneticPr fontId="2"/>
  </si>
  <si>
    <t>・名古屋市内だけではパラ選手が利用可能な客室数が足りないため、知多の宿泊施設を活用。豊田までは名古屋からでも45分程度は要することから居住性を優先し仮配宿。
・ダブル60室及びスーペリアツインタイプB37室は、浴室及びトイレの入口幅が70cmある。
・ファンクションルームがないが、40人程度が利用できる宿泊者専用ラウンジがある。</t>
    <rPh sb="12" eb="14">
      <t>センシュ</t>
    </rPh>
    <rPh sb="15" eb="17">
      <t>リヨウ</t>
    </rPh>
    <rPh sb="17" eb="19">
      <t>カノウ</t>
    </rPh>
    <rPh sb="31" eb="33">
      <t>チタ</t>
    </rPh>
    <rPh sb="34" eb="36">
      <t>シュクハク</t>
    </rPh>
    <rPh sb="36" eb="38">
      <t>シセツ</t>
    </rPh>
    <rPh sb="39" eb="41">
      <t>カツヨウ</t>
    </rPh>
    <rPh sb="42" eb="44">
      <t>トヨタ</t>
    </rPh>
    <rPh sb="47" eb="50">
      <t>ナゴヤ</t>
    </rPh>
    <rPh sb="56" eb="57">
      <t>ブ</t>
    </rPh>
    <rPh sb="57" eb="59">
      <t>テイド</t>
    </rPh>
    <rPh sb="60" eb="61">
      <t>ヨウ</t>
    </rPh>
    <rPh sb="67" eb="70">
      <t>キョジュウセイ</t>
    </rPh>
    <rPh sb="71" eb="73">
      <t>ユウセン</t>
    </rPh>
    <rPh sb="74" eb="75">
      <t>カリ</t>
    </rPh>
    <rPh sb="75" eb="77">
      <t>ハイシュク</t>
    </rPh>
    <rPh sb="85" eb="86">
      <t>シツ</t>
    </rPh>
    <rPh sb="86" eb="87">
      <t>オヨ</t>
    </rPh>
    <rPh sb="102" eb="103">
      <t>シツ</t>
    </rPh>
    <rPh sb="105" eb="107">
      <t>ヨクシツ</t>
    </rPh>
    <rPh sb="107" eb="108">
      <t>オヨ</t>
    </rPh>
    <rPh sb="113" eb="116">
      <t>イリグチハバ</t>
    </rPh>
    <phoneticPr fontId="2"/>
  </si>
  <si>
    <t xml:space="preserve">
・車いす利用が難しい客室タイプが相当数ある。
・パシフィックサイド（2018年新設）又は旧棟（アクセシビリティはこちらが上）のいずれかを一棟借上げする方向で交渉中であるが、食事会場が共通で一か所しかない。
・選手団人数次第では、右記のホテルに集約</t>
    <rPh sb="2" eb="3">
      <t>クルマ</t>
    </rPh>
    <rPh sb="5" eb="7">
      <t>リヨウ</t>
    </rPh>
    <rPh sb="8" eb="9">
      <t>ムズカ</t>
    </rPh>
    <rPh sb="11" eb="13">
      <t>キャクシツ</t>
    </rPh>
    <rPh sb="17" eb="20">
      <t>ソウトウスウ</t>
    </rPh>
    <rPh sb="39" eb="40">
      <t>ネン</t>
    </rPh>
    <rPh sb="40" eb="42">
      <t>シンセツ</t>
    </rPh>
    <rPh sb="43" eb="44">
      <t>マタ</t>
    </rPh>
    <rPh sb="45" eb="47">
      <t>キュウトウ</t>
    </rPh>
    <rPh sb="61" eb="62">
      <t>ウエ</t>
    </rPh>
    <rPh sb="69" eb="71">
      <t>イットウ</t>
    </rPh>
    <rPh sb="71" eb="73">
      <t>カリア</t>
    </rPh>
    <rPh sb="76" eb="78">
      <t>ホウコウ</t>
    </rPh>
    <rPh sb="79" eb="82">
      <t>コウショウチュウ</t>
    </rPh>
    <rPh sb="87" eb="91">
      <t>ショクジカイジョウ</t>
    </rPh>
    <rPh sb="92" eb="94">
      <t>キョウツウ</t>
    </rPh>
    <rPh sb="95" eb="96">
      <t>イッ</t>
    </rPh>
    <rPh sb="97" eb="98">
      <t>ショ</t>
    </rPh>
    <rPh sb="105" eb="110">
      <t>センシュダンニンズウ</t>
    </rPh>
    <rPh sb="110" eb="112">
      <t>シダイ</t>
    </rPh>
    <phoneticPr fontId="2"/>
  </si>
  <si>
    <t>フォーポイントバイシェラトン名古屋中部国際空港</t>
    <rPh sb="14" eb="17">
      <t>ナゴヤ</t>
    </rPh>
    <rPh sb="17" eb="23">
      <t>チュウブコクサイクウコウ</t>
    </rPh>
    <phoneticPr fontId="2"/>
  </si>
  <si>
    <t>2006　　　・　2023</t>
  </si>
  <si>
    <t>126(246)
増室交渉中</t>
    <rPh sb="9" eb="14">
      <t>ゾウシツコウショウチュウ</t>
    </rPh>
    <phoneticPr fontId="59"/>
  </si>
  <si>
    <t>86(180)
増室交渉中</t>
    <phoneticPr fontId="2"/>
  </si>
  <si>
    <t>49分
46.9km</t>
    <rPh sb="2" eb="3">
      <t>フン</t>
    </rPh>
    <phoneticPr fontId="59"/>
  </si>
  <si>
    <t>ユニット
独立</t>
    <rPh sb="5" eb="7">
      <t>ドクリツ</t>
    </rPh>
    <phoneticPr fontId="59"/>
  </si>
  <si>
    <t>60-64</t>
  </si>
  <si>
    <t>0-0</t>
  </si>
  <si>
    <t>・名古屋市内だけではパラ選手が利用可能な客室数が足りないため、知多の宿泊施設を活用。
・全ての客室について、客室内スペース等の水準が高い。</t>
    <rPh sb="44" eb="45">
      <t>スベ</t>
    </rPh>
    <rPh sb="47" eb="49">
      <t>キャクシツ</t>
    </rPh>
    <rPh sb="54" eb="57">
      <t>キャクシツナイ</t>
    </rPh>
    <rPh sb="61" eb="62">
      <t>トウ</t>
    </rPh>
    <rPh sb="63" eb="65">
      <t>スイジュン</t>
    </rPh>
    <rPh sb="66" eb="67">
      <t>タカ</t>
    </rPh>
    <phoneticPr fontId="2"/>
  </si>
  <si>
    <t>・段差はないが、ユニットバス内が狭めで車いす転回が難しい。
・受入れ可能な車いす人数を抑制せざるを得ない状況であれば、右記のホテルに一部分宿
・競技会場からの距離最優先でアクセシビリティをある程度度外視できるのであれば名古屋市内に分宿</t>
    <rPh sb="1" eb="3">
      <t>ダンサ</t>
    </rPh>
    <rPh sb="14" eb="15">
      <t>ウチ</t>
    </rPh>
    <rPh sb="16" eb="17">
      <t>セマ</t>
    </rPh>
    <rPh sb="25" eb="26">
      <t>ムズカ</t>
    </rPh>
    <rPh sb="31" eb="32">
      <t>ウ</t>
    </rPh>
    <rPh sb="32" eb="33">
      <t>イ</t>
    </rPh>
    <rPh sb="34" eb="36">
      <t>カノウ</t>
    </rPh>
    <rPh sb="37" eb="38">
      <t>クルマ</t>
    </rPh>
    <rPh sb="40" eb="42">
      <t>ニンズウ</t>
    </rPh>
    <rPh sb="43" eb="45">
      <t>ヨクセイ</t>
    </rPh>
    <rPh sb="49" eb="50">
      <t>エ</t>
    </rPh>
    <rPh sb="52" eb="54">
      <t>ジョウキョウ</t>
    </rPh>
    <rPh sb="59" eb="61">
      <t>ウキ</t>
    </rPh>
    <rPh sb="66" eb="68">
      <t>イチブ</t>
    </rPh>
    <rPh sb="68" eb="70">
      <t>ブンシュク</t>
    </rPh>
    <rPh sb="72" eb="76">
      <t>キョウギカイジョウ</t>
    </rPh>
    <rPh sb="79" eb="81">
      <t>キョリ</t>
    </rPh>
    <rPh sb="81" eb="84">
      <t>サイユウセン</t>
    </rPh>
    <rPh sb="96" eb="98">
      <t>テイド</t>
    </rPh>
    <rPh sb="98" eb="101">
      <t>ドガイシ</t>
    </rPh>
    <rPh sb="109" eb="114">
      <t>ナゴヤシナイ</t>
    </rPh>
    <rPh sb="115" eb="117">
      <t>ブンシュク</t>
    </rPh>
    <phoneticPr fontId="2"/>
  </si>
  <si>
    <t>フォーポイントバイシェラトン名古屋中部国際空港
中部国際空港セントレアホテル</t>
    <rPh sb="14" eb="23">
      <t>ナゴヤチュウブコクサイクウコウ</t>
    </rPh>
    <phoneticPr fontId="2"/>
  </si>
  <si>
    <t>10
（男子）</t>
    <rPh sb="4" eb="6">
      <t>ダンシ</t>
    </rPh>
    <phoneticPr fontId="2"/>
  </si>
  <si>
    <t>9
（男子）</t>
    <rPh sb="3" eb="5">
      <t>ダンシ</t>
    </rPh>
    <phoneticPr fontId="2"/>
  </si>
  <si>
    <t>2022
・
ー</t>
  </si>
  <si>
    <t>(500)
交渉中</t>
    <rPh sb="6" eb="9">
      <t>コウショウチュウ</t>
    </rPh>
    <phoneticPr fontId="59"/>
  </si>
  <si>
    <t>(360)
交渉中</t>
    <rPh sb="6" eb="9">
      <t>コウショウチュウ</t>
    </rPh>
    <phoneticPr fontId="59"/>
  </si>
  <si>
    <t>51分
39.2km</t>
    <rPh sb="2" eb="3">
      <t>フン</t>
    </rPh>
    <phoneticPr fontId="59"/>
  </si>
  <si>
    <t>D-63-70
T-73-63</t>
  </si>
  <si>
    <t>D-0
T-2-0</t>
  </si>
  <si>
    <t>D-無
T-有-無</t>
    <rPh sb="2" eb="3">
      <t>ム</t>
    </rPh>
    <rPh sb="6" eb="7">
      <t>アリ</t>
    </rPh>
    <rPh sb="8" eb="9">
      <t>ム</t>
    </rPh>
    <phoneticPr fontId="59"/>
  </si>
  <si>
    <t>D-81
T-81</t>
    <phoneticPr fontId="2"/>
  </si>
  <si>
    <t>D-可
T-▲</t>
    <rPh sb="2" eb="3">
      <t>カ</t>
    </rPh>
    <phoneticPr fontId="59"/>
  </si>
  <si>
    <t>D-120
T-120</t>
    <phoneticPr fontId="2"/>
  </si>
  <si>
    <t>・要求水準が高い競技団体のため、競技会場からの距離は妥協してもらうしかないが、高機能ホテルを配宿
・ユニットバス出入口幅、客室内スペース等の水準が高い。
・意図的にバスタブのない部屋を多く設けており、ニーズに対応できる。</t>
    <rPh sb="1" eb="5">
      <t>ヨウキュウスイジュン</t>
    </rPh>
    <rPh sb="6" eb="7">
      <t>タカ</t>
    </rPh>
    <rPh sb="8" eb="12">
      <t>キョウギダンタイ</t>
    </rPh>
    <rPh sb="16" eb="20">
      <t>キョウギカイジョウ</t>
    </rPh>
    <rPh sb="23" eb="25">
      <t>キョリ</t>
    </rPh>
    <rPh sb="26" eb="28">
      <t>ダキョウ</t>
    </rPh>
    <rPh sb="39" eb="42">
      <t>コウキノウ</t>
    </rPh>
    <rPh sb="46" eb="48">
      <t>ハイシュク</t>
    </rPh>
    <rPh sb="78" eb="81">
      <t>イトテキ</t>
    </rPh>
    <rPh sb="89" eb="91">
      <t>ヘヤ</t>
    </rPh>
    <rPh sb="92" eb="93">
      <t>オオ</t>
    </rPh>
    <rPh sb="94" eb="95">
      <t>モウ</t>
    </rPh>
    <rPh sb="104" eb="106">
      <t>タイオウ</t>
    </rPh>
    <phoneticPr fontId="2"/>
  </si>
  <si>
    <t>・施設前乗降場の高さ制限があるため、大型バスの場合乗降が路上となる。</t>
  </si>
  <si>
    <t>21分
7.2km</t>
    <rPh sb="2" eb="3">
      <t>フン</t>
    </rPh>
    <phoneticPr fontId="59"/>
  </si>
  <si>
    <t>・共用部、客室内スペース等の水準が高い。</t>
    <rPh sb="1" eb="4">
      <t>キョウヨウブ</t>
    </rPh>
    <rPh sb="5" eb="8">
      <t>キャクシツナイ</t>
    </rPh>
    <phoneticPr fontId="2"/>
  </si>
  <si>
    <t>・客室内が特殊な造りで段差があったりする部屋が多数有り、特に車いす選手にとってはグレードの割に使い勝手が悪い。
・一般車両であれば裏手での乗降が可能だが、大型バスの場合路上乗降となる。</t>
    <rPh sb="1" eb="4">
      <t>キャクシツナイ</t>
    </rPh>
    <rPh sb="5" eb="7">
      <t>トクシュ</t>
    </rPh>
    <rPh sb="8" eb="9">
      <t>ツク</t>
    </rPh>
    <rPh sb="11" eb="13">
      <t>ダンサ</t>
    </rPh>
    <rPh sb="20" eb="22">
      <t>ヘヤ</t>
    </rPh>
    <rPh sb="23" eb="25">
      <t>タスウ</t>
    </rPh>
    <rPh sb="25" eb="26">
      <t>ア</t>
    </rPh>
    <rPh sb="28" eb="29">
      <t>トク</t>
    </rPh>
    <rPh sb="30" eb="31">
      <t>クルマ</t>
    </rPh>
    <rPh sb="33" eb="35">
      <t>センシュ</t>
    </rPh>
    <rPh sb="45" eb="46">
      <t>ワリ</t>
    </rPh>
    <rPh sb="47" eb="48">
      <t>ツカ</t>
    </rPh>
    <rPh sb="49" eb="51">
      <t>ガッテ</t>
    </rPh>
    <rPh sb="52" eb="53">
      <t>ワル</t>
    </rPh>
    <phoneticPr fontId="2"/>
  </si>
  <si>
    <t>21分
8.1km</t>
    <rPh sb="2" eb="3">
      <t>フン</t>
    </rPh>
    <phoneticPr fontId="59"/>
  </si>
  <si>
    <t>・共用部、客室内スペース等の水準が高い。
・電動車いすの受入れ負荷を考慮し、２施設に分宿</t>
    <rPh sb="1" eb="4">
      <t>キョウヨウブ</t>
    </rPh>
    <rPh sb="5" eb="8">
      <t>キャクシツナイ</t>
    </rPh>
    <rPh sb="22" eb="25">
      <t>デンドウクルマ</t>
    </rPh>
    <rPh sb="28" eb="30">
      <t>ウケイ</t>
    </rPh>
    <rPh sb="31" eb="33">
      <t>フカ</t>
    </rPh>
    <rPh sb="34" eb="36">
      <t>コウリョ</t>
    </rPh>
    <rPh sb="39" eb="41">
      <t>シセツ</t>
    </rPh>
    <rPh sb="42" eb="44">
      <t>ブンシュク</t>
    </rPh>
    <phoneticPr fontId="2"/>
  </si>
  <si>
    <t>・客室内が特殊な造りで段差があったりする部屋が多数有り、特に車いす選手にとってはグレードの割に使い勝手が悪い。
・一般車両であれば裏手での乗降が可能だが、大型バスの場合路上乗降となる。</t>
    <rPh sb="1" eb="4">
      <t>キャクシツナイ</t>
    </rPh>
    <rPh sb="5" eb="7">
      <t>トクシュ</t>
    </rPh>
    <rPh sb="8" eb="9">
      <t>ツク</t>
    </rPh>
    <rPh sb="11" eb="13">
      <t>ダンサ</t>
    </rPh>
    <rPh sb="20" eb="22">
      <t>ヘヤ</t>
    </rPh>
    <rPh sb="23" eb="25">
      <t>タスウ</t>
    </rPh>
    <rPh sb="25" eb="26">
      <t>ア</t>
    </rPh>
    <rPh sb="28" eb="29">
      <t>トク</t>
    </rPh>
    <rPh sb="30" eb="31">
      <t>クルマ</t>
    </rPh>
    <rPh sb="33" eb="35">
      <t>センシュ</t>
    </rPh>
    <rPh sb="45" eb="46">
      <t>ワリ</t>
    </rPh>
    <rPh sb="47" eb="48">
      <t>ツカ</t>
    </rPh>
    <rPh sb="49" eb="51">
      <t>ガッテ</t>
    </rPh>
    <rPh sb="52" eb="53">
      <t>ワル</t>
    </rPh>
    <rPh sb="57" eb="61">
      <t>イッパンシャリョウ</t>
    </rPh>
    <rPh sb="65" eb="67">
      <t>ウラテ</t>
    </rPh>
    <rPh sb="69" eb="71">
      <t>ジョウコウ</t>
    </rPh>
    <rPh sb="72" eb="74">
      <t>カノウ</t>
    </rPh>
    <rPh sb="77" eb="79">
      <t>オオガタ</t>
    </rPh>
    <rPh sb="82" eb="84">
      <t>バアイ</t>
    </rPh>
    <rPh sb="84" eb="88">
      <t>ロジョウジョウコウ</t>
    </rPh>
    <phoneticPr fontId="2"/>
  </si>
  <si>
    <t>可
＊予定</t>
    <rPh sb="0" eb="1">
      <t>カ</t>
    </rPh>
    <rPh sb="3" eb="5">
      <t>ヨテイ</t>
    </rPh>
    <phoneticPr fontId="59"/>
  </si>
  <si>
    <t>開業前</t>
    <rPh sb="0" eb="3">
      <t>カイギョウマエ</t>
    </rPh>
    <phoneticPr fontId="2"/>
  </si>
  <si>
    <t>未</t>
    <rPh sb="0" eb="1">
      <t>ミ</t>
    </rPh>
    <phoneticPr fontId="59"/>
  </si>
  <si>
    <t>23分
10.8km</t>
    <rPh sb="2" eb="3">
      <t>フン</t>
    </rPh>
    <phoneticPr fontId="59"/>
  </si>
  <si>
    <t>・開業前のため未調査
・右記の開業間もないザロイヤルパークホテルアイコニック名古屋についても利用可能性を調査中</t>
    <rPh sb="1" eb="4">
      <t>カイギョウマエ</t>
    </rPh>
    <rPh sb="7" eb="10">
      <t>ミチョウサ</t>
    </rPh>
    <rPh sb="12" eb="14">
      <t>ウキ</t>
    </rPh>
    <rPh sb="15" eb="18">
      <t>カイギョウマ</t>
    </rPh>
    <rPh sb="46" eb="51">
      <t>リヨウカノウセイ</t>
    </rPh>
    <rPh sb="52" eb="55">
      <t>チョウサチュウ</t>
    </rPh>
    <phoneticPr fontId="2"/>
  </si>
  <si>
    <t>ザロイヤルパークホテルアイコニック名古屋</t>
    <rPh sb="17" eb="20">
      <t>ナゴヤ</t>
    </rPh>
    <phoneticPr fontId="2"/>
  </si>
  <si>
    <t>ホテルラフォーレ修善寺
（ゲストハウス棟）</t>
    <rPh sb="8" eb="11">
      <t>シュゼンジ</t>
    </rPh>
    <rPh sb="19" eb="20">
      <t>トウ</t>
    </rPh>
    <phoneticPr fontId="59"/>
  </si>
  <si>
    <t>121
内ゲスト
ハウス 40</t>
    <rPh sb="4" eb="5">
      <t>ウチ</t>
    </rPh>
    <phoneticPr fontId="59"/>
  </si>
  <si>
    <t>なし/
体育館
あり</t>
    <rPh sb="4" eb="7">
      <t>タイイクカン</t>
    </rPh>
    <phoneticPr fontId="59"/>
  </si>
  <si>
    <t>・ゲストハウス以外はアクセシビリティの確保が難しく、食事会場への動線等を工夫する必要がある。
・選手団人数と施設収容可能人数の乖離があまりにも大きいため、一棟貸しはできない。</t>
    <rPh sb="7" eb="9">
      <t>イガイ</t>
    </rPh>
    <rPh sb="19" eb="21">
      <t>カクホ</t>
    </rPh>
    <rPh sb="22" eb="23">
      <t>ムズカ</t>
    </rPh>
    <rPh sb="26" eb="30">
      <t>ショクジカイジョウ</t>
    </rPh>
    <rPh sb="32" eb="35">
      <t>ドウセントウ</t>
    </rPh>
    <rPh sb="36" eb="38">
      <t>クフウ</t>
    </rPh>
    <rPh sb="40" eb="42">
      <t>ヒツヨウ</t>
    </rPh>
    <rPh sb="48" eb="53">
      <t>センシュダンニンズウ</t>
    </rPh>
    <rPh sb="54" eb="56">
      <t>シセツ</t>
    </rPh>
    <rPh sb="56" eb="58">
      <t>シュウヨウ</t>
    </rPh>
    <rPh sb="58" eb="60">
      <t>カノウ</t>
    </rPh>
    <rPh sb="60" eb="62">
      <t>ニンズウ</t>
    </rPh>
    <rPh sb="63" eb="65">
      <t>カイリ</t>
    </rPh>
    <rPh sb="71" eb="72">
      <t>オオ</t>
    </rPh>
    <rPh sb="77" eb="79">
      <t>イットウ</t>
    </rPh>
    <rPh sb="79" eb="80">
      <t>カシ</t>
    </rPh>
    <phoneticPr fontId="2"/>
  </si>
  <si>
    <t>伊豆マリオットホテル修善寺</t>
    <rPh sb="0" eb="2">
      <t>イズ</t>
    </rPh>
    <rPh sb="10" eb="13">
      <t>シュゼンジ</t>
    </rPh>
    <phoneticPr fontId="2"/>
  </si>
  <si>
    <t>205(261)
増室交渉中</t>
    <rPh sb="9" eb="11">
      <t>ゾウシツ</t>
    </rPh>
    <rPh sb="11" eb="13">
      <t>コウショウ</t>
    </rPh>
    <rPh sb="13" eb="14">
      <t>チュウ</t>
    </rPh>
    <phoneticPr fontId="59"/>
  </si>
  <si>
    <t>110(138)
増室交渉中</t>
    <rPh sb="9" eb="14">
      <t>ゾウシツコウショウチュウ</t>
    </rPh>
    <phoneticPr fontId="59"/>
  </si>
  <si>
    <t>54分
51.1km</t>
    <rPh sb="2" eb="3">
      <t>フン</t>
    </rPh>
    <phoneticPr fontId="59"/>
  </si>
  <si>
    <t>・名古屋市内だけでは特に体格の大きなパラ選手が利用可能な客室数が足りないため、岐阜の宿泊施設を活用。
・パワーリフティング又はバドミントンを競技丸ごと受入意思有り。但し、一棟借上げは不可。
・乗降場の利便性が極めて高い。
・シングルルーム以外の一般客室について、ユニットバス出入口幅、客室内スペース等の水準が高い。</t>
    <rPh sb="10" eb="11">
      <t>トク</t>
    </rPh>
    <rPh sb="12" eb="14">
      <t>タイカク</t>
    </rPh>
    <rPh sb="15" eb="16">
      <t>オオ</t>
    </rPh>
    <rPh sb="39" eb="41">
      <t>ギフ</t>
    </rPh>
    <rPh sb="61" eb="62">
      <t>マタ</t>
    </rPh>
    <rPh sb="70" eb="72">
      <t>キョウギ</t>
    </rPh>
    <rPh sb="72" eb="73">
      <t>マル</t>
    </rPh>
    <rPh sb="119" eb="121">
      <t>イガイ</t>
    </rPh>
    <rPh sb="122" eb="126">
      <t>イッパンキャクシツ</t>
    </rPh>
    <rPh sb="137" eb="140">
      <t>デイリグチ</t>
    </rPh>
    <rPh sb="140" eb="141">
      <t>ハバ</t>
    </rPh>
    <rPh sb="142" eb="145">
      <t>キャクシツナイ</t>
    </rPh>
    <rPh sb="149" eb="150">
      <t>トウ</t>
    </rPh>
    <rPh sb="151" eb="153">
      <t>スイジュン</t>
    </rPh>
    <rPh sb="154" eb="155">
      <t>タカ</t>
    </rPh>
    <phoneticPr fontId="2"/>
  </si>
  <si>
    <t xml:space="preserve">・名古屋実施競技を岐阜に配宿しており、競技会場までの距離・移動時間が長い。
・競技会場（練習会場）までの移動時間最優先であれば、浴室出入口は狭い（58cm）が車で10分の右記のメルパルクへ配宿 ※競技課から競技団体に優先事項確認中。メルパルクはパラパワーリフティング受入実績有。
</t>
    <rPh sb="1" eb="4">
      <t>ナゴヤ</t>
    </rPh>
    <rPh sb="4" eb="8">
      <t>ジッシキョウギ</t>
    </rPh>
    <rPh sb="9" eb="11">
      <t>ギフ</t>
    </rPh>
    <rPh sb="12" eb="14">
      <t>ハイシュク</t>
    </rPh>
    <rPh sb="19" eb="23">
      <t>キョウギカイジョウ</t>
    </rPh>
    <rPh sb="26" eb="28">
      <t>キョリ</t>
    </rPh>
    <rPh sb="29" eb="33">
      <t>イドウジカン</t>
    </rPh>
    <rPh sb="34" eb="35">
      <t>ナガ</t>
    </rPh>
    <rPh sb="39" eb="43">
      <t>キョウギカイジョウ</t>
    </rPh>
    <rPh sb="44" eb="48">
      <t>レンシュウカイジョウ</t>
    </rPh>
    <rPh sb="52" eb="56">
      <t>イドウジカン</t>
    </rPh>
    <rPh sb="56" eb="59">
      <t>サイユウセン</t>
    </rPh>
    <rPh sb="133" eb="135">
      <t>ウケイ</t>
    </rPh>
    <rPh sb="135" eb="138">
      <t>ジッセキアリ</t>
    </rPh>
    <phoneticPr fontId="2"/>
  </si>
  <si>
    <t>ホテルメルパルク名古屋
（10分）</t>
    <rPh sb="8" eb="11">
      <t>ナゴヤ</t>
    </rPh>
    <rPh sb="15" eb="16">
      <t>フン</t>
    </rPh>
    <phoneticPr fontId="2"/>
  </si>
  <si>
    <t>利用想定宿泊施設一覧表
メディア</t>
    <rPh sb="0" eb="4">
      <t>リヨウソウテイ</t>
    </rPh>
    <rPh sb="4" eb="6">
      <t>シュクハク</t>
    </rPh>
    <rPh sb="6" eb="8">
      <t>シセツ</t>
    </rPh>
    <rPh sb="8" eb="10">
      <t>イチラン</t>
    </rPh>
    <rPh sb="10" eb="11">
      <t>ヒョウ</t>
    </rPh>
    <phoneticPr fontId="59"/>
  </si>
  <si>
    <t>SH</t>
    <phoneticPr fontId="59"/>
  </si>
  <si>
    <t>施設
NO.</t>
    <phoneticPr fontId="59"/>
  </si>
  <si>
    <t>市町
村郡</t>
    <phoneticPr fontId="59"/>
  </si>
  <si>
    <t>最寄駅</t>
  </si>
  <si>
    <t>全館
貸切
可否</t>
    <phoneticPr fontId="59"/>
  </si>
  <si>
    <t>保有客室数／収容人数</t>
    <rPh sb="0" eb="2">
      <t>ホユウ</t>
    </rPh>
    <phoneticPr fontId="2"/>
  </si>
  <si>
    <t>保有客室数／収容人数</t>
    <phoneticPr fontId="2"/>
  </si>
  <si>
    <t>提供客室数／収容人数</t>
    <rPh sb="0" eb="2">
      <t>テイキョウ</t>
    </rPh>
    <rPh sb="2" eb="4">
      <t>キャクシツ</t>
    </rPh>
    <rPh sb="6" eb="8">
      <t>シュウヨウ</t>
    </rPh>
    <phoneticPr fontId="2"/>
  </si>
  <si>
    <t>提供客室数／収容人数</t>
    <phoneticPr fontId="2"/>
  </si>
  <si>
    <t>食事</t>
  </si>
  <si>
    <t>ファンクション</t>
  </si>
  <si>
    <t>バス
乗降場</t>
    <phoneticPr fontId="59"/>
  </si>
  <si>
    <t>利用想定客室数</t>
    <rPh sb="0" eb="2">
      <t>リヨウ</t>
    </rPh>
    <rPh sb="2" eb="4">
      <t>ソウテイ</t>
    </rPh>
    <rPh sb="4" eb="6">
      <t>キャクシツ</t>
    </rPh>
    <rPh sb="6" eb="7">
      <t>スウ</t>
    </rPh>
    <phoneticPr fontId="2"/>
  </si>
  <si>
    <t>シングル</t>
  </si>
  <si>
    <t>ダブル（セミ）</t>
    <phoneticPr fontId="59"/>
  </si>
  <si>
    <t>ツイン
1名</t>
    <phoneticPr fontId="59"/>
  </si>
  <si>
    <t>ツイン
2名可</t>
  </si>
  <si>
    <t>トリプル
フォース
2名</t>
  </si>
  <si>
    <t>トリプル
フォース
3名</t>
  </si>
  <si>
    <t>トリプル
フォース
4名</t>
  </si>
  <si>
    <t>和室
1名</t>
  </si>
  <si>
    <t>和室
2名</t>
  </si>
  <si>
    <t>和室
3名</t>
  </si>
  <si>
    <t>和室
4名</t>
  </si>
  <si>
    <t>和洋室
2名</t>
  </si>
  <si>
    <t>和洋室
3名</t>
    <phoneticPr fontId="59"/>
  </si>
  <si>
    <t>和洋室
4名</t>
  </si>
  <si>
    <t>スイート</t>
  </si>
  <si>
    <t>他</t>
  </si>
  <si>
    <t>収容可能
人数</t>
    <phoneticPr fontId="59"/>
  </si>
  <si>
    <t>提供率</t>
  </si>
  <si>
    <t>名鉄イン名古屋駅前</t>
    <phoneticPr fontId="59"/>
  </si>
  <si>
    <t>室
(0名)</t>
  </si>
  <si>
    <t>○</t>
    <phoneticPr fontId="59"/>
  </si>
  <si>
    <t>×</t>
    <phoneticPr fontId="59"/>
  </si>
  <si>
    <t>HOTEL LiVEMAX名古屋桜通口</t>
    <phoneticPr fontId="59"/>
  </si>
  <si>
    <t>82室
(82名)</t>
  </si>
  <si>
    <t>東横INN名古屋駅桜通口本館</t>
    <phoneticPr fontId="59"/>
  </si>
  <si>
    <t>三交イン名古屋新幹線口</t>
    <phoneticPr fontId="59"/>
  </si>
  <si>
    <t>スーパーホテル名古屋駅前</t>
    <phoneticPr fontId="59"/>
  </si>
  <si>
    <t>チサンイン名古屋</t>
    <phoneticPr fontId="59"/>
  </si>
  <si>
    <t>東横INN名古屋駅新幹線口</t>
    <phoneticPr fontId="59"/>
  </si>
  <si>
    <t>ダイワロイネットホテル名古屋新幹線口</t>
    <phoneticPr fontId="59"/>
  </si>
  <si>
    <t>名鉄イン名古屋桜通</t>
    <phoneticPr fontId="59"/>
  </si>
  <si>
    <t>ダイワロイネットホテル名古屋太閤通口</t>
    <phoneticPr fontId="59"/>
  </si>
  <si>
    <t>名鉄イン名古屋駅新幹線口</t>
    <phoneticPr fontId="59"/>
  </si>
  <si>
    <t>293室
(293名)</t>
  </si>
  <si>
    <t>HOTEL LiVEMAX名駅</t>
    <phoneticPr fontId="59"/>
  </si>
  <si>
    <t>三交イン名古屋新幹線口　ANNEX</t>
    <phoneticPr fontId="59"/>
  </si>
  <si>
    <t>HOTEL LiVEMAXBUDGET名古屋太閤通口</t>
    <phoneticPr fontId="59"/>
  </si>
  <si>
    <t>合計を1,600にするために便宜的に35→34へ</t>
    <rPh sb="0" eb="2">
      <t>ゴウケイ</t>
    </rPh>
    <rPh sb="14" eb="17">
      <t>ベンギテキ</t>
    </rPh>
    <phoneticPr fontId="2"/>
  </si>
  <si>
    <t>アットインホテル名古屋駅</t>
    <phoneticPr fontId="59"/>
  </si>
  <si>
    <t>7室
(0名)</t>
    <phoneticPr fontId="59"/>
  </si>
  <si>
    <t>Hamilton Hotel -BLUE-名駅南</t>
    <phoneticPr fontId="59"/>
  </si>
  <si>
    <t>伏見</t>
    <rPh sb="0" eb="2">
      <t>フシミ</t>
    </rPh>
    <phoneticPr fontId="59"/>
  </si>
  <si>
    <t>10室
(0名)</t>
  </si>
  <si>
    <t>スマイルホテル名古屋新幹線口</t>
    <phoneticPr fontId="59"/>
  </si>
  <si>
    <t>R&amp;Bホテル名古屋新幹線口</t>
    <phoneticPr fontId="59"/>
  </si>
  <si>
    <t>コンフォートホテル名古屋新幹線口</t>
    <phoneticPr fontId="59"/>
  </si>
  <si>
    <t>相鉄フレッサイン名古屋駅桜通口</t>
    <phoneticPr fontId="59"/>
  </si>
  <si>
    <t>215室
(215名)</t>
  </si>
  <si>
    <t>アパホテル＜名古屋駅新幹線口北＞</t>
    <phoneticPr fontId="59"/>
  </si>
  <si>
    <t>61室
(61名)</t>
  </si>
  <si>
    <t>アパホテル&lt;名古屋駅新幹線口南&gt;</t>
    <phoneticPr fontId="59"/>
  </si>
  <si>
    <t>36室
(36名)</t>
  </si>
  <si>
    <t>95室
(95名)</t>
  </si>
  <si>
    <t>R&amp;Bホテル名古屋駅前</t>
    <phoneticPr fontId="59"/>
  </si>
  <si>
    <t>コンフォートホテル名古屋名駅南</t>
    <phoneticPr fontId="59"/>
  </si>
  <si>
    <t>52室
(104名)</t>
  </si>
  <si>
    <t>モンブランホテルラフィネ名古屋駅前</t>
    <phoneticPr fontId="59"/>
  </si>
  <si>
    <t>(1)</t>
    <phoneticPr fontId="59"/>
  </si>
  <si>
    <t>相鉄フレッサイン名古屋駅新幹線口</t>
    <phoneticPr fontId="59"/>
  </si>
  <si>
    <t>HOTEL LiVEMAX名古屋新幹線口</t>
    <phoneticPr fontId="59"/>
  </si>
  <si>
    <t>◆競技別仮配宿表（案）_技術役員</t>
    <rPh sb="1" eb="3">
      <t>キョウギ</t>
    </rPh>
    <rPh sb="3" eb="4">
      <t>ベツ</t>
    </rPh>
    <rPh sb="4" eb="5">
      <t>カリ</t>
    </rPh>
    <rPh sb="5" eb="7">
      <t>ハイシュク</t>
    </rPh>
    <rPh sb="7" eb="8">
      <t>ヒョウ</t>
    </rPh>
    <rPh sb="9" eb="10">
      <t>アン</t>
    </rPh>
    <rPh sb="12" eb="14">
      <t>ギジュツ</t>
    </rPh>
    <rPh sb="14" eb="16">
      <t>ヤクイン</t>
    </rPh>
    <phoneticPr fontId="59"/>
  </si>
  <si>
    <t>施設
番号</t>
    <rPh sb="0" eb="2">
      <t>シセツ</t>
    </rPh>
    <rPh sb="3" eb="5">
      <t>バンゴウ</t>
    </rPh>
    <phoneticPr fontId="59"/>
  </si>
  <si>
    <t>配宿施設名</t>
    <rPh sb="0" eb="2">
      <t>ハイシュク</t>
    </rPh>
    <rPh sb="2" eb="5">
      <t>シセツメイ</t>
    </rPh>
    <phoneticPr fontId="59"/>
  </si>
  <si>
    <t>提供
室数
(　)希望数</t>
    <rPh sb="0" eb="2">
      <t>テイキョウ</t>
    </rPh>
    <rPh sb="3" eb="4">
      <t>シツ</t>
    </rPh>
    <rPh sb="4" eb="5">
      <t>スウ</t>
    </rPh>
    <phoneticPr fontId="59"/>
  </si>
  <si>
    <t>保有
室数</t>
    <rPh sb="0" eb="2">
      <t>ホユウ</t>
    </rPh>
    <rPh sb="3" eb="4">
      <t>シツ</t>
    </rPh>
    <rPh sb="4" eb="5">
      <t>スウ</t>
    </rPh>
    <phoneticPr fontId="59"/>
  </si>
  <si>
    <t>競技会場
までの
時間/距離</t>
    <rPh sb="0" eb="2">
      <t>キョウギ</t>
    </rPh>
    <rPh sb="2" eb="4">
      <t>カイジョウ</t>
    </rPh>
    <rPh sb="9" eb="11">
      <t>ジカン</t>
    </rPh>
    <rPh sb="12" eb="14">
      <t>キョリ</t>
    </rPh>
    <phoneticPr fontId="59"/>
  </si>
  <si>
    <t>ﾌｨｯﾄﾈｽ有無</t>
    <rPh sb="6" eb="8">
      <t>ウム</t>
    </rPh>
    <phoneticPr fontId="59"/>
  </si>
  <si>
    <t>レストラン
席数</t>
    <rPh sb="6" eb="8">
      <t>セキスウ</t>
    </rPh>
    <phoneticPr fontId="59"/>
  </si>
  <si>
    <t>EV出入口
幅
(cm)</t>
    <rPh sb="2" eb="5">
      <t>デイリグチ</t>
    </rPh>
    <rPh sb="6" eb="7">
      <t>ハバ</t>
    </rPh>
    <phoneticPr fontId="59"/>
  </si>
  <si>
    <t>客室ドア幅
（cm）
※※</t>
    <rPh sb="0" eb="2">
      <t>キャクシツ</t>
    </rPh>
    <rPh sb="4" eb="5">
      <t>ハバ</t>
    </rPh>
    <phoneticPr fontId="59"/>
  </si>
  <si>
    <t>客室　転回
可否
※※</t>
    <rPh sb="0" eb="2">
      <t>キャクシツ</t>
    </rPh>
    <rPh sb="3" eb="5">
      <t>テンカイ</t>
    </rPh>
    <rPh sb="6" eb="8">
      <t>カヒ</t>
    </rPh>
    <phoneticPr fontId="59"/>
  </si>
  <si>
    <t>客室　パネル類
高さ
（cm）
※※</t>
    <rPh sb="0" eb="2">
      <t>キャクシツ</t>
    </rPh>
    <rPh sb="6" eb="7">
      <t>ルイ</t>
    </rPh>
    <rPh sb="8" eb="9">
      <t>タカ</t>
    </rPh>
    <phoneticPr fontId="59"/>
  </si>
  <si>
    <t>競技
番号</t>
    <rPh sb="0" eb="2">
      <t>キョウギ</t>
    </rPh>
    <rPh sb="3" eb="5">
      <t>バンゴウ</t>
    </rPh>
    <phoneticPr fontId="59"/>
  </si>
  <si>
    <t>障がい
特性</t>
    <phoneticPr fontId="59"/>
  </si>
  <si>
    <t>競技会場所在地
市</t>
    <rPh sb="0" eb="4">
      <t>キョウギカイジョウ</t>
    </rPh>
    <rPh sb="4" eb="7">
      <t>ショザイチ</t>
    </rPh>
    <rPh sb="8" eb="9">
      <t>シ</t>
    </rPh>
    <phoneticPr fontId="59"/>
  </si>
  <si>
    <t>輸送車両</t>
    <rPh sb="0" eb="2">
      <t>ユソウ</t>
    </rPh>
    <rPh sb="2" eb="4">
      <t>シャリョウ</t>
    </rPh>
    <phoneticPr fontId="59"/>
  </si>
  <si>
    <t>技術役員
推計人数</t>
    <rPh sb="0" eb="2">
      <t>ギジュツ</t>
    </rPh>
    <rPh sb="2" eb="4">
      <t>ヤクイン</t>
    </rPh>
    <rPh sb="5" eb="7">
      <t>スイケイ</t>
    </rPh>
    <rPh sb="7" eb="9">
      <t>ニンズウ</t>
    </rPh>
    <phoneticPr fontId="59"/>
  </si>
  <si>
    <t>施設毎</t>
    <rPh sb="0" eb="2">
      <t>シセツ</t>
    </rPh>
    <rPh sb="2" eb="3">
      <t>ゴト</t>
    </rPh>
    <phoneticPr fontId="2"/>
  </si>
  <si>
    <t>確保期間
アジア大会と異なり開会式閉会式ベース（あくまでも最大値であり、実際に必要な期間は将来的に精査が必要）</t>
    <rPh sb="0" eb="4">
      <t>カクホキカン</t>
    </rPh>
    <phoneticPr fontId="59"/>
  </si>
  <si>
    <t>備考</t>
    <rPh sb="0" eb="2">
      <t>ビコウ</t>
    </rPh>
    <phoneticPr fontId="59"/>
  </si>
  <si>
    <t>ホテルプラザ勝川</t>
    <rPh sb="6" eb="8">
      <t>カチガワ</t>
    </rPh>
    <phoneticPr fontId="59"/>
  </si>
  <si>
    <t>21分/8.0km</t>
    <phoneticPr fontId="2"/>
  </si>
  <si>
    <t>済み</t>
  </si>
  <si>
    <t>S・D・T-60
SU-60-54</t>
  </si>
  <si>
    <t>S-7
D・T-2.5
SU-7-0</t>
  </si>
  <si>
    <t>S-なし
D-あり-なし
T-あり-なし
SU-なし</t>
  </si>
  <si>
    <t>S-76
D-77
T-78
SU-75</t>
  </si>
  <si>
    <t>愛知県新体育館</t>
  </si>
  <si>
    <r>
      <t>10/15～10/25</t>
    </r>
    <r>
      <rPr>
        <b/>
        <i/>
        <sz val="12"/>
        <color rgb="FFFF0000"/>
        <rFont val="Meiryo UI"/>
        <family val="3"/>
        <charset val="128"/>
      </rPr>
      <t>（但し、クラシファイヤー用の数室は10/11～10/26）</t>
    </r>
    <rPh sb="12" eb="13">
      <t>タダ</t>
    </rPh>
    <rPh sb="23" eb="24">
      <t>ヨウ</t>
    </rPh>
    <rPh sb="25" eb="27">
      <t>スウシツ</t>
    </rPh>
    <phoneticPr fontId="2"/>
  </si>
  <si>
    <t>公立学校共済組合
名古屋宿泊所　ルブラ王山</t>
    <rPh sb="0" eb="2">
      <t>コウリツ</t>
    </rPh>
    <rPh sb="2" eb="4">
      <t>ガッコウ</t>
    </rPh>
    <rPh sb="4" eb="6">
      <t>キョウサイ</t>
    </rPh>
    <rPh sb="6" eb="8">
      <t>クミアイ</t>
    </rPh>
    <rPh sb="9" eb="12">
      <t>ナゴヤ</t>
    </rPh>
    <rPh sb="12" eb="14">
      <t>シュクハク</t>
    </rPh>
    <rPh sb="14" eb="15">
      <t>ジョ</t>
    </rPh>
    <rPh sb="19" eb="21">
      <t>オウザン</t>
    </rPh>
    <phoneticPr fontId="59"/>
  </si>
  <si>
    <t>1993
・
ー</t>
  </si>
  <si>
    <t>14分/4.6㎞</t>
    <rPh sb="2" eb="3">
      <t>フン</t>
    </rPh>
    <phoneticPr fontId="59"/>
  </si>
  <si>
    <t>S-58
T-58</t>
    <phoneticPr fontId="59"/>
  </si>
  <si>
    <t>S-7
T-7</t>
    <phoneticPr fontId="59"/>
  </si>
  <si>
    <t>S-なし
T-あり</t>
    <phoneticPr fontId="59"/>
  </si>
  <si>
    <t>小型観光バス</t>
    <rPh sb="0" eb="2">
      <t>コガタ</t>
    </rPh>
    <rPh sb="2" eb="4">
      <t>カンコウ</t>
    </rPh>
    <phoneticPr fontId="59"/>
  </si>
  <si>
    <t>10/15～10/25（但し、クラシファイヤー用の数室は10/11～10/26）</t>
    <rPh sb="12" eb="13">
      <t>タダ</t>
    </rPh>
    <rPh sb="23" eb="24">
      <t>ヨウ</t>
    </rPh>
    <rPh sb="25" eb="27">
      <t>スウシツ</t>
    </rPh>
    <phoneticPr fontId="2"/>
  </si>
  <si>
    <t>●
ロード同宿</t>
    <rPh sb="5" eb="7">
      <t>ドウシュク</t>
    </rPh>
    <phoneticPr fontId="59"/>
  </si>
  <si>
    <t>国家公務員共済組合連合会
名古屋共済会館</t>
    <rPh sb="0" eb="2">
      <t>コッカ</t>
    </rPh>
    <rPh sb="2" eb="5">
      <t>コウムイン</t>
    </rPh>
    <rPh sb="5" eb="7">
      <t>キョウサイ</t>
    </rPh>
    <rPh sb="7" eb="9">
      <t>クミアイ</t>
    </rPh>
    <rPh sb="9" eb="12">
      <t>レンゴウカイ</t>
    </rPh>
    <rPh sb="13" eb="16">
      <t>ナゴヤ</t>
    </rPh>
    <rPh sb="16" eb="18">
      <t>キョウサイ</t>
    </rPh>
    <rPh sb="18" eb="20">
      <t>カイカン</t>
    </rPh>
    <phoneticPr fontId="59"/>
  </si>
  <si>
    <t>1984
・
2018</t>
  </si>
  <si>
    <t>19分/11㎞</t>
  </si>
  <si>
    <t>S-58
T-59</t>
    <phoneticPr fontId="59"/>
  </si>
  <si>
    <t>S-29
T-25</t>
    <phoneticPr fontId="59"/>
  </si>
  <si>
    <t>S-不可
T-可</t>
    <rPh sb="2" eb="4">
      <t>フカ</t>
    </rPh>
    <rPh sb="7" eb="8">
      <t>カ</t>
    </rPh>
    <phoneticPr fontId="59"/>
  </si>
  <si>
    <t>●
パワーリフティング/テコンドー同宿</t>
    <rPh sb="17" eb="19">
      <t>ドウシュク</t>
    </rPh>
    <phoneticPr fontId="59"/>
  </si>
  <si>
    <t>14分/5.2㎞</t>
    <phoneticPr fontId="2"/>
  </si>
  <si>
    <t>●
柔道/テコンドー同宿</t>
    <rPh sb="2" eb="4">
      <t>ジュウドウ</t>
    </rPh>
    <rPh sb="10" eb="12">
      <t>ドウシュク</t>
    </rPh>
    <phoneticPr fontId="59"/>
  </si>
  <si>
    <t>18分/10.1㎞</t>
    <phoneticPr fontId="2"/>
  </si>
  <si>
    <t>名古屋市
瑞穂公園体育館
[パロマ瑞穂アリーナ]</t>
    <phoneticPr fontId="59"/>
  </si>
  <si>
    <t>中型観光バス</t>
    <rPh sb="0" eb="2">
      <t>チュウガタ</t>
    </rPh>
    <rPh sb="2" eb="4">
      <t>カンコウ</t>
    </rPh>
    <phoneticPr fontId="59"/>
  </si>
  <si>
    <t>●
パワーリフティング/柔道
同宿</t>
    <rPh sb="12" eb="14">
      <t>ジュウドウ</t>
    </rPh>
    <rPh sb="15" eb="17">
      <t>ドウシュク</t>
    </rPh>
    <phoneticPr fontId="59"/>
  </si>
  <si>
    <t>都心の天然温泉
名古屋クラウンホテル</t>
    <phoneticPr fontId="59"/>
  </si>
  <si>
    <t>1973
・
1990</t>
    <phoneticPr fontId="59"/>
  </si>
  <si>
    <t>150(185)
増室交渉中</t>
    <rPh sb="9" eb="14">
      <t>ゾウシツコウショウチュウ</t>
    </rPh>
    <phoneticPr fontId="59"/>
  </si>
  <si>
    <t>124(159)
増室交渉中</t>
    <rPh sb="8" eb="13">
      <t>ゾウシツコウショウチュウ</t>
    </rPh>
    <phoneticPr fontId="59"/>
  </si>
  <si>
    <t>25分/8.8km</t>
    <rPh sb="2" eb="3">
      <t>フン</t>
    </rPh>
    <phoneticPr fontId="59"/>
  </si>
  <si>
    <t>S-50
D-60
T-54</t>
    <phoneticPr fontId="59"/>
  </si>
  <si>
    <t>S-23
D-19
T-17</t>
    <phoneticPr fontId="59"/>
  </si>
  <si>
    <t>S-なし
D-なし
T-あり</t>
    <phoneticPr fontId="59"/>
  </si>
  <si>
    <t>S-75
D-71
T-72</t>
    <phoneticPr fontId="59"/>
  </si>
  <si>
    <t>S-135
D-135
T-130</t>
    <phoneticPr fontId="59"/>
  </si>
  <si>
    <t>●
車いすテニス/ボッチャ同宿</t>
  </si>
  <si>
    <t>都心の天然温泉
名古屋クラウンホテル</t>
  </si>
  <si>
    <t>1973
・
1990</t>
  </si>
  <si>
    <t>30分/9.3km</t>
    <rPh sb="2" eb="3">
      <t>フン</t>
    </rPh>
    <phoneticPr fontId="59"/>
  </si>
  <si>
    <t>名古屋市
総合体育館
[レインボーホール]</t>
    <phoneticPr fontId="59"/>
  </si>
  <si>
    <t>●
陸上競技/車いすテニス
同宿</t>
    <rPh sb="2" eb="4">
      <t>リクジョウ</t>
    </rPh>
    <rPh sb="4" eb="6">
      <t>キョウギ</t>
    </rPh>
    <rPh sb="7" eb="8">
      <t>クルマ</t>
    </rPh>
    <rPh sb="14" eb="16">
      <t>ドウシュク</t>
    </rPh>
    <phoneticPr fontId="59"/>
  </si>
  <si>
    <t>19分/8.7km</t>
    <rPh sb="2" eb="3">
      <t>フン</t>
    </rPh>
    <phoneticPr fontId="59"/>
  </si>
  <si>
    <t>●
陸上競技/ボッチャ同宿</t>
  </si>
  <si>
    <t>アイリス愛知</t>
    <rPh sb="4" eb="6">
      <t>アイチ</t>
    </rPh>
    <phoneticPr fontId="59"/>
  </si>
  <si>
    <t>29分/18.1㎞</t>
    <rPh sb="2" eb="3">
      <t>フン</t>
    </rPh>
    <phoneticPr fontId="59"/>
  </si>
  <si>
    <t>S・T-ユニット
和洋-独立</t>
    <rPh sb="9" eb="11">
      <t>ワヨウ</t>
    </rPh>
    <rPh sb="12" eb="14">
      <t>ドクリツ</t>
    </rPh>
    <phoneticPr fontId="59"/>
  </si>
  <si>
    <t>S-58
T-57
和洋-63⁻75</t>
    <rPh sb="10" eb="12">
      <t>ワヨウ</t>
    </rPh>
    <phoneticPr fontId="59"/>
  </si>
  <si>
    <t>S-26
T-27
和洋-1</t>
    <rPh sb="10" eb="12">
      <t>ワヨウ</t>
    </rPh>
    <phoneticPr fontId="59"/>
  </si>
  <si>
    <t>S-あり
T-あり
和洋-なし</t>
    <rPh sb="10" eb="12">
      <t>ワヨウ</t>
    </rPh>
    <phoneticPr fontId="59"/>
  </si>
  <si>
    <t>S-可
T-▲
和洋-▲</t>
    <rPh sb="2" eb="3">
      <t>カ</t>
    </rPh>
    <rPh sb="8" eb="10">
      <t>ワヨウ</t>
    </rPh>
    <phoneticPr fontId="59"/>
  </si>
  <si>
    <t>130-150</t>
    <phoneticPr fontId="59"/>
  </si>
  <si>
    <t>名古屋笠寺ホテル</t>
    <rPh sb="3" eb="5">
      <t>カサデラ</t>
    </rPh>
    <phoneticPr fontId="59"/>
  </si>
  <si>
    <t>3分/0.8㎞</t>
  </si>
  <si>
    <t>済み</t>
    <phoneticPr fontId="59"/>
  </si>
  <si>
    <t>可
本館10ⅿは不可</t>
    <rPh sb="0" eb="1">
      <t>カ</t>
    </rPh>
    <rPh sb="2" eb="4">
      <t>ホンカン</t>
    </rPh>
    <rPh sb="8" eb="10">
      <t>フカ</t>
    </rPh>
    <phoneticPr fontId="59"/>
  </si>
  <si>
    <t>全トヨタ労連研修センター
つどいの丘</t>
    <rPh sb="0" eb="1">
      <t>ゼン</t>
    </rPh>
    <rPh sb="4" eb="6">
      <t>ロウレン</t>
    </rPh>
    <rPh sb="6" eb="8">
      <t>ケンシュウ</t>
    </rPh>
    <rPh sb="17" eb="18">
      <t>オカ</t>
    </rPh>
    <phoneticPr fontId="59"/>
  </si>
  <si>
    <t>1962
・
ー</t>
  </si>
  <si>
    <t>47分/34.7㎞</t>
    <rPh sb="2" eb="3">
      <t>フン</t>
    </rPh>
    <phoneticPr fontId="59"/>
  </si>
  <si>
    <t>T-59</t>
    <phoneticPr fontId="59"/>
  </si>
  <si>
    <t>T-20</t>
    <phoneticPr fontId="59"/>
  </si>
  <si>
    <t>T-89</t>
    <phoneticPr fontId="59"/>
  </si>
  <si>
    <t>愛知県総合射撃場
（使用不可？）</t>
    <rPh sb="10" eb="12">
      <t>シヨウ</t>
    </rPh>
    <rPh sb="12" eb="14">
      <t>フカ</t>
    </rPh>
    <phoneticPr fontId="59"/>
  </si>
  <si>
    <t>ホテルクラウンパレス知立</t>
  </si>
  <si>
    <t>1998
・
ー</t>
  </si>
  <si>
    <t>35分/16.2㎞</t>
    <rPh sb="2" eb="3">
      <t>フン</t>
    </rPh>
    <phoneticPr fontId="59"/>
  </si>
  <si>
    <t xml:space="preserve">
S-61
D-53
T-54
</t>
    <phoneticPr fontId="59"/>
  </si>
  <si>
    <t xml:space="preserve">
S-75
D-80
T-81
</t>
    <phoneticPr fontId="59"/>
  </si>
  <si>
    <t>●
車いす
ラグビー
同宿</t>
    <rPh sb="2" eb="3">
      <t>クルマ</t>
    </rPh>
    <rPh sb="11" eb="13">
      <t>ドウシュク</t>
    </rPh>
    <phoneticPr fontId="59"/>
  </si>
  <si>
    <t>11分/3.7㎞</t>
    <rPh sb="2" eb="3">
      <t>フン</t>
    </rPh>
    <phoneticPr fontId="59"/>
  </si>
  <si>
    <t>●
卓球同宿</t>
    <rPh sb="2" eb="4">
      <t>タッキュウ</t>
    </rPh>
    <rPh sb="4" eb="6">
      <t>ドウシュク</t>
    </rPh>
    <phoneticPr fontId="59"/>
  </si>
  <si>
    <t>岡崎ニューグランドホテル</t>
    <phoneticPr fontId="59"/>
  </si>
  <si>
    <t>1982
・
1990</t>
  </si>
  <si>
    <t>13分/6.5㎞</t>
    <rPh sb="2" eb="3">
      <t>フン</t>
    </rPh>
    <phoneticPr fontId="59"/>
  </si>
  <si>
    <t>T-27</t>
    <phoneticPr fontId="59"/>
  </si>
  <si>
    <t>T-70</t>
    <phoneticPr fontId="59"/>
  </si>
  <si>
    <t>▲</t>
    <phoneticPr fontId="59"/>
  </si>
  <si>
    <t>T-135</t>
    <phoneticPr fontId="59"/>
  </si>
  <si>
    <t>●
バレーボール（座位）
同宿</t>
    <rPh sb="9" eb="11">
      <t>ザイ</t>
    </rPh>
    <rPh sb="13" eb="15">
      <t>ドウシュク</t>
    </rPh>
    <phoneticPr fontId="59"/>
  </si>
  <si>
    <t>●
アーチェリー
同宿</t>
    <rPh sb="9" eb="11">
      <t>ドウシュク</t>
    </rPh>
    <phoneticPr fontId="59"/>
  </si>
  <si>
    <r>
      <rPr>
        <strike/>
        <sz val="14"/>
        <rFont val="Meiryo UI"/>
        <family val="3"/>
        <charset val="128"/>
      </rPr>
      <t xml:space="preserve">ホテルアソシア豊橋
</t>
    </r>
    <r>
      <rPr>
        <sz val="14"/>
        <rFont val="Meiryo UI"/>
        <family val="3"/>
        <charset val="128"/>
      </rPr>
      <t>ホテルアークリッシュ豊橋</t>
    </r>
    <rPh sb="7" eb="9">
      <t>トヨハシ</t>
    </rPh>
    <rPh sb="20" eb="22">
      <t>トヨハシ</t>
    </rPh>
    <phoneticPr fontId="59"/>
  </si>
  <si>
    <t>16分/6.0㎞</t>
    <rPh sb="2" eb="3">
      <t>フン</t>
    </rPh>
    <phoneticPr fontId="59"/>
  </si>
  <si>
    <t>ゴールボール</t>
  </si>
  <si>
    <t>伊豆マリオットホテル修善寺</t>
    <rPh sb="0" eb="2">
      <t>イズ</t>
    </rPh>
    <rPh sb="10" eb="13">
      <t>シュゼンジ</t>
    </rPh>
    <phoneticPr fontId="59"/>
  </si>
  <si>
    <t>1988
・
2017</t>
  </si>
  <si>
    <t>25分/16.3㎞</t>
    <rPh sb="2" eb="3">
      <t>フン</t>
    </rPh>
    <phoneticPr fontId="59"/>
  </si>
  <si>
    <t>D-58
T-58
SU-64-70</t>
    <phoneticPr fontId="59"/>
  </si>
  <si>
    <t>D-１
T-１
SU-15</t>
    <phoneticPr fontId="59"/>
  </si>
  <si>
    <t>D-なし
T-なし
SU-あり</t>
    <phoneticPr fontId="59"/>
  </si>
  <si>
    <t>自転車競技（トラック）</t>
    <phoneticPr fontId="2"/>
  </si>
  <si>
    <t>自転車競技（ロード）</t>
    <phoneticPr fontId="2"/>
  </si>
  <si>
    <t>●
ブラインド
フットボール
同宿</t>
    <rPh sb="15" eb="17">
      <t>ドウシュク</t>
    </rPh>
    <phoneticPr fontId="59"/>
  </si>
  <si>
    <t>ホテルコーヨー</t>
    <phoneticPr fontId="59"/>
  </si>
  <si>
    <t>2002
・
ー</t>
  </si>
  <si>
    <t>29分
16.0㎞</t>
    <phoneticPr fontId="59"/>
  </si>
  <si>
    <t>なし/遊楽乃湯350ⅿ1分</t>
    <rPh sb="3" eb="4">
      <t>アソ</t>
    </rPh>
    <rPh sb="4" eb="5">
      <t>ラク</t>
    </rPh>
    <rPh sb="5" eb="6">
      <t>ノ</t>
    </rPh>
    <rPh sb="6" eb="7">
      <t>ユ</t>
    </rPh>
    <rPh sb="12" eb="13">
      <t>フン</t>
    </rPh>
    <phoneticPr fontId="59"/>
  </si>
  <si>
    <t>S-58
T-58
T-48-69
和洋-53-70</t>
    <phoneticPr fontId="59"/>
  </si>
  <si>
    <t>S-16
T-16
T-2
和洋-2-15</t>
    <rPh sb="14" eb="16">
      <t>ワヨウ</t>
    </rPh>
    <phoneticPr fontId="59"/>
  </si>
  <si>
    <t>※提供客室数（）内の室数：希望提供客室数</t>
  </si>
  <si>
    <t>※※S：シングル、D：ダブル、T：ツイン、DXT：デラックスツイン、TRP：トリプル、FO：フォース、SU：スイート、FML：ファミリー、和洋：和洋室、特：特別室、他：その他、記載なし：全タイプ</t>
    <rPh sb="76" eb="77">
      <t>トク</t>
    </rPh>
    <rPh sb="78" eb="81">
      <t>トクベツシツ</t>
    </rPh>
    <rPh sb="82" eb="83">
      <t>ホカ</t>
    </rPh>
    <rPh sb="86" eb="87">
      <t>タ</t>
    </rPh>
    <phoneticPr fontId="59"/>
  </si>
  <si>
    <t>※※※セパレートタイプの場合、「風呂－トイレ」の順にて数値を表記</t>
    <rPh sb="12" eb="14">
      <t>バアイ</t>
    </rPh>
    <rPh sb="16" eb="18">
      <t>フロ</t>
    </rPh>
    <rPh sb="24" eb="25">
      <t>ジュン</t>
    </rPh>
    <rPh sb="27" eb="29">
      <t>スウチ</t>
    </rPh>
    <rPh sb="30" eb="32">
      <t>ヒョウキ</t>
    </rPh>
    <phoneticPr fontId="59"/>
  </si>
  <si>
    <t>DCO</t>
    <phoneticPr fontId="2"/>
  </si>
  <si>
    <t>名古屋エリア</t>
    <rPh sb="0" eb="3">
      <t>ナゴヤ</t>
    </rPh>
    <phoneticPr fontId="2"/>
  </si>
  <si>
    <t>豊橋エリア</t>
    <phoneticPr fontId="2"/>
  </si>
  <si>
    <t>伊豆エリア</t>
    <phoneticPr fontId="2"/>
  </si>
  <si>
    <t>宿泊費（１泊朝食付：ただし、運営面を考慮した朝食費ではなく、ホテルで通常提供している朝食料金であるため、運営に係る追加費用は昼食夕食代とともに別途要求）</t>
    <rPh sb="0" eb="3">
      <t>シュクハクヒ</t>
    </rPh>
    <rPh sb="5" eb="6">
      <t>ハク</t>
    </rPh>
    <rPh sb="6" eb="8">
      <t>チョウショク</t>
    </rPh>
    <rPh sb="8" eb="9">
      <t>ツキ</t>
    </rPh>
    <rPh sb="14" eb="17">
      <t>ウンエイメン</t>
    </rPh>
    <rPh sb="18" eb="20">
      <t>コウリョ</t>
    </rPh>
    <rPh sb="22" eb="25">
      <t>チョウショクヒ</t>
    </rPh>
    <rPh sb="34" eb="36">
      <t>ツウジョウ</t>
    </rPh>
    <rPh sb="36" eb="38">
      <t>テイキョウ</t>
    </rPh>
    <rPh sb="42" eb="44">
      <t>チョウショク</t>
    </rPh>
    <rPh sb="44" eb="46">
      <t>リョウキン</t>
    </rPh>
    <rPh sb="52" eb="54">
      <t>ウンエイ</t>
    </rPh>
    <rPh sb="55" eb="56">
      <t>カカ</t>
    </rPh>
    <rPh sb="57" eb="59">
      <t>ツイカ</t>
    </rPh>
    <rPh sb="59" eb="61">
      <t>ヒヨウ</t>
    </rPh>
    <rPh sb="62" eb="64">
      <t>チュウショク</t>
    </rPh>
    <rPh sb="64" eb="66">
      <t>ユウショク</t>
    </rPh>
    <rPh sb="66" eb="67">
      <t>ダイ</t>
    </rPh>
    <rPh sb="71" eb="73">
      <t>ベット</t>
    </rPh>
    <rPh sb="73" eb="75">
      <t>ヨウキュウ</t>
    </rPh>
    <phoneticPr fontId="2"/>
  </si>
  <si>
    <t>１日あたりの合計
（物価上昇前）</t>
    <rPh sb="1" eb="2">
      <t>ニチ</t>
    </rPh>
    <rPh sb="6" eb="8">
      <t>ゴウケイ</t>
    </rPh>
    <rPh sb="10" eb="12">
      <t>ブッカ</t>
    </rPh>
    <rPh sb="12" eb="14">
      <t>ジョウショウ</t>
    </rPh>
    <rPh sb="14" eb="15">
      <t>マエ</t>
    </rPh>
    <phoneticPr fontId="2"/>
  </si>
  <si>
    <t>物価上昇率
2021→2026</t>
    <rPh sb="0" eb="2">
      <t>ブッカ</t>
    </rPh>
    <rPh sb="2" eb="4">
      <t>ジョウショウ</t>
    </rPh>
    <rPh sb="4" eb="5">
      <t>リツ</t>
    </rPh>
    <phoneticPr fontId="2"/>
  </si>
  <si>
    <t>１日あたりの合計
（物価上昇後）</t>
    <rPh sb="1" eb="2">
      <t>ニチ</t>
    </rPh>
    <rPh sb="6" eb="8">
      <t>ゴウケイ</t>
    </rPh>
    <rPh sb="10" eb="12">
      <t>ブッカ</t>
    </rPh>
    <rPh sb="12" eb="14">
      <t>ジョウショウ</t>
    </rPh>
    <rPh sb="14" eb="15">
      <t>ゴ</t>
    </rPh>
    <phoneticPr fontId="2"/>
  </si>
  <si>
    <t>契約期間</t>
    <rPh sb="0" eb="2">
      <t>ケイヤク</t>
    </rPh>
    <rPh sb="2" eb="4">
      <t>キカン</t>
    </rPh>
    <phoneticPr fontId="2"/>
  </si>
  <si>
    <t>〇泊〇日</t>
    <rPh sb="1" eb="2">
      <t>ハク</t>
    </rPh>
    <rPh sb="3" eb="4">
      <t>ニチ</t>
    </rPh>
    <phoneticPr fontId="2"/>
  </si>
  <si>
    <t>金額</t>
    <rPh sb="0" eb="2">
      <t>キンガク</t>
    </rPh>
    <phoneticPr fontId="2"/>
  </si>
  <si>
    <t>Aホテル</t>
    <phoneticPr fontId="2"/>
  </si>
  <si>
    <t>B2×C2セル</t>
    <phoneticPr fontId="2"/>
  </si>
  <si>
    <t>〇月〇日～〇月〇日</t>
    <rPh sb="1" eb="2">
      <t>ガツ</t>
    </rPh>
    <rPh sb="3" eb="4">
      <t>ニチ</t>
    </rPh>
    <rPh sb="6" eb="7">
      <t>ガツ</t>
    </rPh>
    <rPh sb="8" eb="9">
      <t>ニチ</t>
    </rPh>
    <phoneticPr fontId="2"/>
  </si>
  <si>
    <t>〇泊</t>
    <rPh sb="1" eb="2">
      <t>ハク</t>
    </rPh>
    <phoneticPr fontId="2"/>
  </si>
  <si>
    <t>D2セル×G2セル</t>
    <phoneticPr fontId="2"/>
  </si>
  <si>
    <t>Bホテル</t>
    <phoneticPr fontId="2"/>
  </si>
  <si>
    <t>Cホテル</t>
    <phoneticPr fontId="2"/>
  </si>
  <si>
    <t>Dホテル</t>
    <phoneticPr fontId="2"/>
  </si>
  <si>
    <t>〇〇円</t>
    <rPh sb="2" eb="3">
      <t>エン</t>
    </rPh>
    <phoneticPr fontId="2"/>
  </si>
  <si>
    <t>ファンクションルーム使用料</t>
    <rPh sb="10" eb="13">
      <t>シヨウリョウ</t>
    </rPh>
    <phoneticPr fontId="2"/>
  </si>
  <si>
    <t>使用日数</t>
    <rPh sb="0" eb="4">
      <t>シヨウニッスウ</t>
    </rPh>
    <phoneticPr fontId="2"/>
  </si>
  <si>
    <t>B×Cセル</t>
    <phoneticPr fontId="2"/>
  </si>
  <si>
    <t>〇日</t>
    <rPh sb="1" eb="2">
      <t>ニチ</t>
    </rPh>
    <phoneticPr fontId="2"/>
  </si>
  <si>
    <t>Dセル×Gセル</t>
    <phoneticPr fontId="2"/>
  </si>
  <si>
    <t>※食費（朝食追加＋昼食＋夕食）はFNBが積算→ACMで要求</t>
    <rPh sb="1" eb="3">
      <t>ショクヒ</t>
    </rPh>
    <rPh sb="4" eb="6">
      <t>チョウショク</t>
    </rPh>
    <rPh sb="6" eb="8">
      <t>ツイカ</t>
    </rPh>
    <rPh sb="9" eb="11">
      <t>チュウショク</t>
    </rPh>
    <rPh sb="12" eb="14">
      <t>ユウショク</t>
    </rPh>
    <rPh sb="20" eb="22">
      <t>セキサン</t>
    </rPh>
    <rPh sb="27" eb="29">
      <t>ヨウキュウ</t>
    </rPh>
    <phoneticPr fontId="2"/>
  </si>
  <si>
    <t>SH</t>
    <phoneticPr fontId="46"/>
  </si>
  <si>
    <t>担当FA</t>
    <rPh sb="0" eb="2">
      <t>タントウ</t>
    </rPh>
    <phoneticPr fontId="46"/>
  </si>
  <si>
    <r>
      <t>確保期間
9月19日～10月4日（16日）</t>
    </r>
    <r>
      <rPr>
        <b/>
        <sz val="12"/>
        <color rgb="FF9966FF"/>
        <rFont val="メイリオ"/>
        <family val="3"/>
        <charset val="128"/>
      </rPr>
      <t>＋バンプインアウト</t>
    </r>
    <rPh sb="0" eb="2">
      <t>カクホ</t>
    </rPh>
    <rPh sb="2" eb="4">
      <t>キカン</t>
    </rPh>
    <rPh sb="6" eb="7">
      <t>ガツ</t>
    </rPh>
    <rPh sb="9" eb="10">
      <t>ニチ</t>
    </rPh>
    <rPh sb="13" eb="14">
      <t>ガツ</t>
    </rPh>
    <rPh sb="15" eb="16">
      <t>ニチ</t>
    </rPh>
    <rPh sb="19" eb="20">
      <t>ニチ</t>
    </rPh>
    <phoneticPr fontId="46"/>
  </si>
  <si>
    <t>サービス提供期間
大会期間：9月19日～10月4日（16日）</t>
    <rPh sb="4" eb="6">
      <t>テイキョウ</t>
    </rPh>
    <rPh sb="6" eb="8">
      <t>キカン</t>
    </rPh>
    <rPh sb="9" eb="13">
      <t>タイカイキカン</t>
    </rPh>
    <rPh sb="15" eb="16">
      <t>ガツ</t>
    </rPh>
    <rPh sb="18" eb="19">
      <t>ニチ</t>
    </rPh>
    <rPh sb="22" eb="23">
      <t>ガツ</t>
    </rPh>
    <rPh sb="24" eb="25">
      <t>ニチ</t>
    </rPh>
    <rPh sb="28" eb="29">
      <t>ニチ</t>
    </rPh>
    <phoneticPr fontId="46"/>
  </si>
  <si>
    <t>FA記入欄</t>
    <rPh sb="2" eb="4">
      <t>キニュウ</t>
    </rPh>
    <rPh sb="4" eb="5">
      <t>ラン</t>
    </rPh>
    <phoneticPr fontId="46"/>
  </si>
  <si>
    <t>財政計画積算</t>
    <rPh sb="0" eb="4">
      <t>ザイセイケイカク</t>
    </rPh>
    <rPh sb="4" eb="6">
      <t>セキサン</t>
    </rPh>
    <phoneticPr fontId="46"/>
  </si>
  <si>
    <t>配宿基準照会時</t>
    <rPh sb="0" eb="2">
      <t>ハイシュク</t>
    </rPh>
    <rPh sb="2" eb="4">
      <t>キジュン</t>
    </rPh>
    <rPh sb="4" eb="6">
      <t>ショウカイ</t>
    </rPh>
    <rPh sb="6" eb="7">
      <t>ジ</t>
    </rPh>
    <phoneticPr fontId="46"/>
  </si>
  <si>
    <t>配宿基準根拠</t>
    <rPh sb="0" eb="2">
      <t>ハイシュク</t>
    </rPh>
    <rPh sb="2" eb="4">
      <t>キジュン</t>
    </rPh>
    <rPh sb="4" eb="6">
      <t>コンキョ</t>
    </rPh>
    <phoneticPr fontId="46"/>
  </si>
  <si>
    <t>杭州2023
アジア期間：9/23～10/8</t>
    <rPh sb="0" eb="2">
      <t>コウシュウ</t>
    </rPh>
    <rPh sb="10" eb="12">
      <t>キカン</t>
    </rPh>
    <phoneticPr fontId="46"/>
  </si>
  <si>
    <t>東京2020（延期前）
オリ：7/22～8/7</t>
    <rPh sb="0" eb="2">
      <t>トウキョウ</t>
    </rPh>
    <rPh sb="7" eb="10">
      <t>エンキマエ</t>
    </rPh>
    <phoneticPr fontId="46"/>
  </si>
  <si>
    <t>選手団/クルーズ船</t>
    <rPh sb="0" eb="3">
      <t>センシュダン</t>
    </rPh>
    <rPh sb="8" eb="9">
      <t>セン</t>
    </rPh>
    <phoneticPr fontId="46"/>
  </si>
  <si>
    <t>VIL</t>
    <phoneticPr fontId="46"/>
  </si>
  <si>
    <r>
      <rPr>
        <b/>
        <u/>
        <sz val="12"/>
        <color rgb="FF000000"/>
        <rFont val="メイリオ"/>
        <family val="3"/>
        <charset val="128"/>
      </rPr>
      <t>18泊19日（</t>
    </r>
    <r>
      <rPr>
        <b/>
        <u/>
        <sz val="12"/>
        <color rgb="FF9966FF"/>
        <rFont val="メイリオ"/>
        <family val="3"/>
        <charset val="128"/>
      </rPr>
      <t>3日</t>
    </r>
    <r>
      <rPr>
        <b/>
        <u/>
        <sz val="12"/>
        <color theme="1"/>
        <rFont val="メイリオ"/>
        <family val="3"/>
        <charset val="128"/>
      </rPr>
      <t>＋選</t>
    </r>
    <r>
      <rPr>
        <b/>
        <u/>
        <sz val="12"/>
        <color rgb="FF000000"/>
        <rFont val="メイリオ"/>
        <family val="3"/>
        <charset val="128"/>
      </rPr>
      <t>手滞在期間15日</t>
    </r>
    <r>
      <rPr>
        <b/>
        <u/>
        <sz val="12"/>
        <color rgb="FF9966FF"/>
        <rFont val="メイリオ"/>
        <family val="3"/>
        <charset val="128"/>
      </rPr>
      <t>＋1日後</t>
    </r>
    <r>
      <rPr>
        <b/>
        <u/>
        <sz val="12"/>
        <color rgb="FF000000"/>
        <rFont val="メイリオ"/>
        <family val="3"/>
        <charset val="128"/>
      </rPr>
      <t xml:space="preserve">）
</t>
    </r>
    <rPh sb="10" eb="12">
      <t>センシュ</t>
    </rPh>
    <rPh sb="12" eb="16">
      <t>タイザイキカン</t>
    </rPh>
    <phoneticPr fontId="46"/>
  </si>
  <si>
    <r>
      <t xml:space="preserve">14泊15日（選手滞在期間15日）
</t>
    </r>
    <r>
      <rPr>
        <sz val="12"/>
        <color rgb="FF000000"/>
        <rFont val="メイリオ"/>
        <family val="3"/>
        <charset val="128"/>
      </rPr>
      <t>※HCC（開会式2週間前～閉会式3日後）は無視
※ピリオドオブステイ（競技開始5日前～競技開始後2日後）を採用したすべての競技の平均日数
詳細競技日程に基づき、算出する場合は競技日程及び配宿シミュレーション参照</t>
    </r>
    <rPh sb="15" eb="16">
      <t>ニチ</t>
    </rPh>
    <rPh sb="39" eb="41">
      <t>ムシ</t>
    </rPh>
    <rPh sb="53" eb="55">
      <t>キョウギ</t>
    </rPh>
    <rPh sb="55" eb="57">
      <t>カイシ</t>
    </rPh>
    <rPh sb="58" eb="59">
      <t>ニチ</t>
    </rPh>
    <rPh sb="59" eb="60">
      <t>マエ</t>
    </rPh>
    <rPh sb="61" eb="63">
      <t>キョウギ</t>
    </rPh>
    <rPh sb="63" eb="66">
      <t>カイシゴ</t>
    </rPh>
    <rPh sb="67" eb="68">
      <t>ニチ</t>
    </rPh>
    <rPh sb="68" eb="69">
      <t>アト</t>
    </rPh>
    <rPh sb="79" eb="81">
      <t>キョウギ</t>
    </rPh>
    <rPh sb="82" eb="84">
      <t>ヘイキン</t>
    </rPh>
    <rPh sb="84" eb="86">
      <t>ニッスウ</t>
    </rPh>
    <rPh sb="88" eb="90">
      <t>ショウサイ</t>
    </rPh>
    <rPh sb="90" eb="92">
      <t>キョウギ</t>
    </rPh>
    <rPh sb="92" eb="94">
      <t>ニッテイ</t>
    </rPh>
    <rPh sb="95" eb="96">
      <t>モト</t>
    </rPh>
    <rPh sb="99" eb="101">
      <t>サンシュツ</t>
    </rPh>
    <rPh sb="103" eb="105">
      <t>バアイ</t>
    </rPh>
    <rPh sb="106" eb="111">
      <t>キョウギニッテイオヨ</t>
    </rPh>
    <rPh sb="112" eb="114">
      <t>ハイシュク</t>
    </rPh>
    <rPh sb="122" eb="124">
      <t>サンショウ</t>
    </rPh>
    <phoneticPr fontId="46"/>
  </si>
  <si>
    <t>要調整</t>
    <rPh sb="0" eb="3">
      <t>ヨウチョウセイ</t>
    </rPh>
    <phoneticPr fontId="46"/>
  </si>
  <si>
    <t>15泊16日
"競技開始５日前～競技終了２日後までを目安とした期間</t>
    <rPh sb="2" eb="3">
      <t>ハク</t>
    </rPh>
    <rPh sb="5" eb="6">
      <t>ニチ</t>
    </rPh>
    <phoneticPr fontId="46"/>
  </si>
  <si>
    <t xml:space="preserve">"競技開始５日前～競技終了２日後までを目安とした期間
（開会式の二週間前～閉会式の３日後まで　最大３３日間）
※競技日程によって宿泊期間の変更の可能性がある。							</t>
    <phoneticPr fontId="46"/>
  </si>
  <si>
    <t>【条文等根拠】アジアHCCに準拠</t>
    <phoneticPr fontId="46"/>
  </si>
  <si>
    <t>9月9日～9月15日：プレ
9月16日～10月10日：大会
10月11日：閉村
（32泊33日）
◆5分村についてはプレ期間なしで開会と同時にオープン、競技終了後2～5日でクローズ</t>
    <rPh sb="1" eb="2">
      <t>ガツ</t>
    </rPh>
    <rPh sb="3" eb="4">
      <t>ニチ</t>
    </rPh>
    <rPh sb="6" eb="7">
      <t>ガツ</t>
    </rPh>
    <rPh sb="9" eb="10">
      <t>ニチ</t>
    </rPh>
    <rPh sb="15" eb="16">
      <t>ガツ</t>
    </rPh>
    <rPh sb="18" eb="19">
      <t>ニチ</t>
    </rPh>
    <rPh sb="22" eb="23">
      <t>ガツ</t>
    </rPh>
    <rPh sb="25" eb="26">
      <t>ニチ</t>
    </rPh>
    <rPh sb="27" eb="29">
      <t>タイカイ</t>
    </rPh>
    <rPh sb="32" eb="33">
      <t>ガツ</t>
    </rPh>
    <rPh sb="35" eb="36">
      <t>ニチ</t>
    </rPh>
    <rPh sb="37" eb="39">
      <t>ヘイソン</t>
    </rPh>
    <rPh sb="43" eb="44">
      <t>ハク</t>
    </rPh>
    <rPh sb="46" eb="47">
      <t>ニチ</t>
    </rPh>
    <rPh sb="51" eb="53">
      <t>ブンムラ</t>
    </rPh>
    <rPh sb="60" eb="62">
      <t>キカン</t>
    </rPh>
    <rPh sb="65" eb="67">
      <t>カイカイ</t>
    </rPh>
    <rPh sb="68" eb="70">
      <t>ドウジ</t>
    </rPh>
    <rPh sb="76" eb="78">
      <t>キョウギ</t>
    </rPh>
    <rPh sb="78" eb="81">
      <t>シュウリョウゴ</t>
    </rPh>
    <rPh sb="84" eb="85">
      <t>ニチ</t>
    </rPh>
    <phoneticPr fontId="46"/>
  </si>
  <si>
    <t>選手村</t>
    <rPh sb="0" eb="3">
      <t>センシュムラ</t>
    </rPh>
    <phoneticPr fontId="46"/>
  </si>
  <si>
    <t>NOC本部/NPC本部
※NOC/NPC選手団長及びNOC/NPC本部スタッフ</t>
    <phoneticPr fontId="46"/>
  </si>
  <si>
    <t>VIL・NCS</t>
    <phoneticPr fontId="46"/>
  </si>
  <si>
    <r>
      <rPr>
        <b/>
        <u/>
        <sz val="12"/>
        <rFont val="メイリオ"/>
        <family val="3"/>
        <charset val="128"/>
      </rPr>
      <t>36泊37日（</t>
    </r>
    <r>
      <rPr>
        <b/>
        <u/>
        <sz val="12"/>
        <color rgb="FF9966FF"/>
        <rFont val="メイリオ"/>
        <family val="3"/>
        <charset val="128"/>
      </rPr>
      <t>3日前</t>
    </r>
    <r>
      <rPr>
        <b/>
        <u/>
        <sz val="12"/>
        <rFont val="メイリオ"/>
        <family val="3"/>
        <charset val="128"/>
      </rPr>
      <t>＋開会式2週間前～閉会式3日後</t>
    </r>
    <r>
      <rPr>
        <b/>
        <u/>
        <sz val="12"/>
        <color rgb="FF9966FF"/>
        <rFont val="メイリオ"/>
        <family val="3"/>
        <charset val="128"/>
      </rPr>
      <t>＋1日後</t>
    </r>
    <r>
      <rPr>
        <b/>
        <u/>
        <sz val="12"/>
        <rFont val="メイリオ"/>
        <family val="3"/>
        <charset val="128"/>
      </rPr>
      <t>）</t>
    </r>
    <r>
      <rPr>
        <sz val="12"/>
        <rFont val="メイリオ"/>
        <family val="3"/>
        <charset val="128"/>
      </rPr>
      <t xml:space="preserve">
</t>
    </r>
    <rPh sb="27" eb="28">
      <t>ニチ</t>
    </rPh>
    <rPh sb="28" eb="29">
      <t>アト</t>
    </rPh>
    <phoneticPr fontId="46"/>
  </si>
  <si>
    <r>
      <rPr>
        <b/>
        <u/>
        <sz val="12"/>
        <rFont val="メイリオ"/>
        <family val="3"/>
        <charset val="128"/>
      </rPr>
      <t>32泊33日（開会式2週間前～閉会式3日後）</t>
    </r>
    <r>
      <rPr>
        <sz val="12"/>
        <rFont val="メイリオ"/>
        <family val="3"/>
        <charset val="128"/>
      </rPr>
      <t xml:space="preserve">
※HCCにある選手村開村期間（32泊33日（開会式2週間前～閉会式3日後）の規定に準拠</t>
    </r>
    <rPh sb="30" eb="33">
      <t>センシュムラ</t>
    </rPh>
    <rPh sb="33" eb="35">
      <t>カイソン</t>
    </rPh>
    <rPh sb="35" eb="37">
      <t>キカン</t>
    </rPh>
    <rPh sb="40" eb="41">
      <t>ハク</t>
    </rPh>
    <rPh sb="43" eb="44">
      <t>ニチ</t>
    </rPh>
    <rPh sb="45" eb="47">
      <t>カイカイ</t>
    </rPh>
    <rPh sb="47" eb="48">
      <t>シキ</t>
    </rPh>
    <rPh sb="49" eb="52">
      <t>シュウカンマエ</t>
    </rPh>
    <rPh sb="53" eb="56">
      <t>ヘイカイシキ</t>
    </rPh>
    <rPh sb="57" eb="58">
      <t>ニチ</t>
    </rPh>
    <rPh sb="58" eb="59">
      <t>アト</t>
    </rPh>
    <rPh sb="61" eb="63">
      <t>キテイ</t>
    </rPh>
    <rPh sb="64" eb="66">
      <t>ジュンキョ</t>
    </rPh>
    <phoneticPr fontId="46"/>
  </si>
  <si>
    <t>32泊33日で仮設定
DRMのため選手団長及びスタッフは該当期間のほほとんどを滞在する可能性が高い。
また、準備期間のために数日前からコンベンションホールを借り上げる必要あり</t>
    <phoneticPr fontId="46"/>
  </si>
  <si>
    <t>今までカテゴリーがなかったため記載なし</t>
    <rPh sb="0" eb="1">
      <t>イマ</t>
    </rPh>
    <rPh sb="15" eb="17">
      <t>キサイ</t>
    </rPh>
    <phoneticPr fontId="46"/>
  </si>
  <si>
    <t>技術役員（競技役員）</t>
    <rPh sb="0" eb="2">
      <t>ギジュツ</t>
    </rPh>
    <rPh sb="2" eb="4">
      <t>ヤクイン</t>
    </rPh>
    <rPh sb="5" eb="7">
      <t>キョウギ</t>
    </rPh>
    <rPh sb="7" eb="9">
      <t>ヤクイン</t>
    </rPh>
    <phoneticPr fontId="46"/>
  </si>
  <si>
    <t>SPT</t>
    <phoneticPr fontId="46"/>
  </si>
  <si>
    <r>
      <rPr>
        <b/>
        <u/>
        <sz val="12"/>
        <rFont val="メイリオ"/>
        <family val="3"/>
        <charset val="128"/>
      </rPr>
      <t xml:space="preserve">11泊12日（滞在期間12日）
</t>
    </r>
    <r>
      <rPr>
        <sz val="12"/>
        <rFont val="メイリオ"/>
        <family val="3"/>
        <charset val="128"/>
      </rPr>
      <t>※SPTの財政計画に人数と泊の考え方を合わせる。
※SPTで整理している競技開始3日前、競技1日後まで）という整理を採用したすべての競技の平均日数
詳細競技日程に基づき、算出する場合は競技日程及び配宿シミュレーション参照</t>
    </r>
    <rPh sb="22" eb="24">
      <t>ザイセイ</t>
    </rPh>
    <rPh sb="24" eb="26">
      <t>ケイカク</t>
    </rPh>
    <rPh sb="27" eb="29">
      <t>ニンズウ</t>
    </rPh>
    <rPh sb="30" eb="31">
      <t>ハク</t>
    </rPh>
    <rPh sb="32" eb="33">
      <t>カンガ</t>
    </rPh>
    <rPh sb="34" eb="35">
      <t>カタ</t>
    </rPh>
    <rPh sb="36" eb="37">
      <t>ア</t>
    </rPh>
    <phoneticPr fontId="46"/>
  </si>
  <si>
    <t>競技3日前～競技翌日まで
※競技によってさらに前入りの場合が想定される</t>
    <rPh sb="0" eb="2">
      <t>キョウギ</t>
    </rPh>
    <rPh sb="3" eb="5">
      <t>ニチマエ</t>
    </rPh>
    <rPh sb="6" eb="8">
      <t>キョウギ</t>
    </rPh>
    <rPh sb="8" eb="10">
      <t>ヨクジツ</t>
    </rPh>
    <rPh sb="14" eb="16">
      <t>キョウギ</t>
    </rPh>
    <rPh sb="23" eb="24">
      <t>マエ</t>
    </rPh>
    <rPh sb="24" eb="25">
      <t>イ</t>
    </rPh>
    <rPh sb="27" eb="29">
      <t>バアイ</t>
    </rPh>
    <rPh sb="30" eb="32">
      <t>ソウテイ</t>
    </rPh>
    <phoneticPr fontId="46"/>
  </si>
  <si>
    <t xml:space="preserve">延べ日数：47,622日
（競技開始5日前、2日後）
</t>
    <rPh sb="0" eb="1">
      <t>ノ</t>
    </rPh>
    <rPh sb="2" eb="4">
      <t>ニッスウ</t>
    </rPh>
    <rPh sb="11" eb="12">
      <t>ニチ</t>
    </rPh>
    <rPh sb="14" eb="16">
      <t>キョウギ</t>
    </rPh>
    <rPh sb="16" eb="18">
      <t>カイシ</t>
    </rPh>
    <rPh sb="19" eb="20">
      <t>ニチ</t>
    </rPh>
    <rPh sb="20" eb="21">
      <t>マエ</t>
    </rPh>
    <rPh sb="23" eb="24">
      <t>ニチ</t>
    </rPh>
    <rPh sb="24" eb="25">
      <t>アト</t>
    </rPh>
    <phoneticPr fontId="46"/>
  </si>
  <si>
    <t xml:space="preserve">
２２日間（競技開始５日前～競技終了翌日までを目安とした期間）
TD：競技５日前～競技翌日まで							
ITO：競技４日前～競技翌日まで							
NTO：競技７日前～競技翌日まで	
※サッカー技術役員ホテルのみ：競技の７日前～競技の翌日までと回答有					</t>
    <rPh sb="104" eb="108">
      <t>ギジュツヤクイン</t>
    </rPh>
    <rPh sb="129" eb="131">
      <t>カイトウ</t>
    </rPh>
    <rPh sb="131" eb="132">
      <t>アリ</t>
    </rPh>
    <phoneticPr fontId="46"/>
  </si>
  <si>
    <t>TD：【条文等根拠】始期はOCA憲章2019に準拠
【運用上根拠】終期はジャカルタアジア大会ヒアリング
ITO：【条文等根拠】アジアHCCに準拠
【運用上根拠】ジャカルタアジア大会ヒアリング
NTO：【条文等根拠】アジアHCCに準拠
【運用上根拠】ジャカルタアジア大会ヒアリング
※サッカー：【運用上根拠】AFCヒアリング参考</t>
    <phoneticPr fontId="46"/>
  </si>
  <si>
    <t>？</t>
    <phoneticPr fontId="46"/>
  </si>
  <si>
    <t>7月10日～8月11日
（33泊34日）</t>
    <rPh sb="1" eb="2">
      <t>ガツ</t>
    </rPh>
    <rPh sb="4" eb="5">
      <t>ニチ</t>
    </rPh>
    <rPh sb="7" eb="8">
      <t>ガツ</t>
    </rPh>
    <rPh sb="10" eb="11">
      <t>ニチ</t>
    </rPh>
    <phoneticPr fontId="46"/>
  </si>
  <si>
    <t>技術役員（DCO等）</t>
    <rPh sb="0" eb="2">
      <t>ギジュツ</t>
    </rPh>
    <rPh sb="2" eb="4">
      <t>ヤクイン</t>
    </rPh>
    <rPh sb="8" eb="9">
      <t>トウ</t>
    </rPh>
    <phoneticPr fontId="46"/>
  </si>
  <si>
    <t>DOP</t>
    <phoneticPr fontId="46"/>
  </si>
  <si>
    <r>
      <rPr>
        <b/>
        <u/>
        <sz val="12"/>
        <color rgb="FF000000"/>
        <rFont val="メイリオ"/>
        <family val="3"/>
        <charset val="128"/>
      </rPr>
      <t xml:space="preserve">32泊33日（開会式2週間前～閉会式3日後）
</t>
    </r>
    <r>
      <rPr>
        <sz val="12"/>
        <color rgb="FF000000"/>
        <rFont val="メイリオ"/>
        <family val="3"/>
        <charset val="128"/>
      </rPr>
      <t>※過去大会より会期の倍を見込む
※選手・チーム役員と合わせる</t>
    </r>
  </si>
  <si>
    <r>
      <rPr>
        <b/>
        <u/>
        <sz val="12"/>
        <color rgb="FF000000"/>
        <rFont val="メイリオ"/>
        <family val="3"/>
        <charset val="128"/>
      </rPr>
      <t xml:space="preserve">32泊33日（開会式2週間前～閉会式3日後）
</t>
    </r>
    <r>
      <rPr>
        <sz val="12"/>
        <color rgb="FF000000"/>
        <rFont val="メイリオ"/>
        <family val="3"/>
        <charset val="128"/>
      </rPr>
      <t>※過去大会より会期の倍を見込む
※選手・チーム役員と合わせる</t>
    </r>
    <phoneticPr fontId="46"/>
  </si>
  <si>
    <t>32泊33日で仮設定
実際には33泊するDCOは少ないと思われるが、１人２週間以上宿泊するシフトになる可能性が高い。
（積算根拠）
札幌アジア→会期８日間で国際DCO19泊（予算上）
東京オリ→会期17日間で33泊？
会期の約２倍日数宿泊しているとの仮定。</t>
    <rPh sb="39" eb="41">
      <t>イジョウ</t>
    </rPh>
    <phoneticPr fontId="46"/>
  </si>
  <si>
    <t>OCAファミリー本部
※略称OFH</t>
    <phoneticPr fontId="46"/>
  </si>
  <si>
    <t>OFS</t>
    <phoneticPr fontId="46"/>
  </si>
  <si>
    <r>
      <t xml:space="preserve">
23泊24日（</t>
    </r>
    <r>
      <rPr>
        <b/>
        <u/>
        <sz val="12"/>
        <color rgb="FF9966FF"/>
        <rFont val="メイリオ"/>
        <family val="3"/>
        <charset val="128"/>
      </rPr>
      <t>2日</t>
    </r>
    <r>
      <rPr>
        <b/>
        <u/>
        <sz val="12"/>
        <color theme="1"/>
        <rFont val="メイリオ"/>
        <family val="3"/>
        <charset val="128"/>
      </rPr>
      <t>＋開会式３日前～閉会式２日後</t>
    </r>
    <r>
      <rPr>
        <b/>
        <u/>
        <sz val="12"/>
        <color rgb="FF9966FF"/>
        <rFont val="メイリオ"/>
        <family val="3"/>
        <charset val="128"/>
      </rPr>
      <t>＋1日</t>
    </r>
    <r>
      <rPr>
        <b/>
        <u/>
        <sz val="12"/>
        <color theme="1"/>
        <rFont val="メイリオ"/>
        <family val="3"/>
        <charset val="128"/>
      </rPr>
      <t xml:space="preserve">）
(9/14IN-10/7OUT)
</t>
    </r>
    <r>
      <rPr>
        <sz val="12"/>
        <color theme="1"/>
        <rFont val="メイリオ"/>
        <family val="3"/>
        <charset val="128"/>
      </rPr>
      <t>※この期間は全棟借り上げの想定。
Bump in/out、security sweepを含む。
14日機材搬入設営、15日からAPC使用。
※全棟借り上げでなかった場合は10/13IN
Bump in/out、security sweep含む
13日機材搬入、14日設営・金属探知開始
※９月14日の状態
13日宿泊者のcheckout後(14日）からバンプイン
※10月７日の状態
客室…12時checkuout。それ以降の時間で一般客がcheckin・宿泊できる
ファンクション：1日借りる（何時に出ようとも1日単位で借りることになるため）</t>
    </r>
    <rPh sb="9" eb="10">
      <t>ニチ</t>
    </rPh>
    <rPh sb="26" eb="27">
      <t>ニチ</t>
    </rPh>
    <rPh sb="49" eb="51">
      <t>キカン</t>
    </rPh>
    <rPh sb="79" eb="80">
      <t>フク</t>
    </rPh>
    <rPh sb="85" eb="86">
      <t>ニチ</t>
    </rPh>
    <rPh sb="86" eb="88">
      <t>キザイ</t>
    </rPh>
    <rPh sb="88" eb="90">
      <t>ハンニュウ</t>
    </rPh>
    <rPh sb="90" eb="92">
      <t>セツエイ</t>
    </rPh>
    <rPh sb="95" eb="96">
      <t>ニチ</t>
    </rPh>
    <rPh sb="101" eb="103">
      <t>シヨウ</t>
    </rPh>
    <rPh sb="106" eb="108">
      <t>ゼントウ</t>
    </rPh>
    <rPh sb="108" eb="109">
      <t>カ</t>
    </rPh>
    <rPh sb="110" eb="111">
      <t>ア</t>
    </rPh>
    <rPh sb="117" eb="119">
      <t>バアイ</t>
    </rPh>
    <rPh sb="154" eb="155">
      <t>フク</t>
    </rPh>
    <rPh sb="159" eb="160">
      <t>ニチ</t>
    </rPh>
    <rPh sb="160" eb="162">
      <t>キザイ</t>
    </rPh>
    <rPh sb="162" eb="164">
      <t>ハンニュウ</t>
    </rPh>
    <rPh sb="167" eb="168">
      <t>ニチ</t>
    </rPh>
    <rPh sb="168" eb="170">
      <t>セツエイ</t>
    </rPh>
    <rPh sb="171" eb="175">
      <t>キンゾクタンチ</t>
    </rPh>
    <rPh sb="175" eb="177">
      <t>カイシ</t>
    </rPh>
    <rPh sb="299" eb="300">
      <t>ハク</t>
    </rPh>
    <rPh sb="302" eb="303">
      <t>ニチ</t>
    </rPh>
    <phoneticPr fontId="46"/>
  </si>
  <si>
    <r>
      <rPr>
        <b/>
        <u/>
        <sz val="12"/>
        <color theme="1"/>
        <rFont val="メイリオ"/>
        <family val="3"/>
        <charset val="128"/>
      </rPr>
      <t>20泊21日（開会式3日前～閉会式2日後）</t>
    </r>
    <r>
      <rPr>
        <sz val="12"/>
        <color theme="1"/>
        <rFont val="メイリオ"/>
        <family val="3"/>
        <charset val="128"/>
      </rPr>
      <t xml:space="preserve">
</t>
    </r>
    <phoneticPr fontId="46"/>
  </si>
  <si>
    <t>20泊21日（開会式3日前～閉会式2日後）
※杭州大会の基準を適用。</t>
    <rPh sb="2" eb="3">
      <t>ハク</t>
    </rPh>
    <rPh sb="5" eb="6">
      <t>ヒ</t>
    </rPh>
    <rPh sb="7" eb="10">
      <t>カイカイシキ</t>
    </rPh>
    <rPh sb="11" eb="13">
      <t>カマエ</t>
    </rPh>
    <rPh sb="14" eb="17">
      <t>ヘイカイシキ</t>
    </rPh>
    <rPh sb="17" eb="20">
      <t>フツカゴ</t>
    </rPh>
    <rPh sb="23" eb="25">
      <t>コウシュウ</t>
    </rPh>
    <rPh sb="25" eb="27">
      <t>タイカイ</t>
    </rPh>
    <rPh sb="28" eb="30">
      <t>キジュン</t>
    </rPh>
    <rPh sb="31" eb="33">
      <t>テキヨウ</t>
    </rPh>
    <phoneticPr fontId="46"/>
  </si>
  <si>
    <t>15泊16日</t>
    <rPh sb="2" eb="3">
      <t>ハク</t>
    </rPh>
    <rPh sb="5" eb="6">
      <t>ニチ</t>
    </rPh>
    <phoneticPr fontId="46"/>
  </si>
  <si>
    <t>21日間（開会式3日前～閉会式二日後）</t>
    <phoneticPr fontId="46"/>
  </si>
  <si>
    <t>【条文等根拠】OCAガイドライン：宿泊に「競技大会期間中」と記載。＝15泊16日
【運用上根拠】ジャカルタ大会は21日間/開会式3日前～閉会式二日後であったため、念のため長めに確保。</t>
    <phoneticPr fontId="46"/>
  </si>
  <si>
    <t>9月20日～10月10日
（20泊21日）</t>
    <rPh sb="1" eb="2">
      <t>ガツ</t>
    </rPh>
    <rPh sb="4" eb="5">
      <t>ニチ</t>
    </rPh>
    <rPh sb="8" eb="9">
      <t>ガツ</t>
    </rPh>
    <rPh sb="11" eb="12">
      <t>ニチ</t>
    </rPh>
    <phoneticPr fontId="46"/>
  </si>
  <si>
    <t>OCAファミリー
※略称OF2,3‥‥</t>
    <phoneticPr fontId="46"/>
  </si>
  <si>
    <r>
      <t xml:space="preserve">20泊21日（開会式3日前～閉会式2日後）
(9/16IN-10/6OUT)
</t>
    </r>
    <r>
      <rPr>
        <sz val="12"/>
        <color theme="1"/>
        <rFont val="メイリオ"/>
        <family val="3"/>
        <charset val="128"/>
      </rPr>
      <t>・OFHではないため、OFHと同等レベルの警備体制を敷く必要はなく、セキュリティスイープやバンプインのための予備日は不要。
※セキュリティレベルについては、今後OCAに対して交渉予定。</t>
    </r>
    <phoneticPr fontId="46"/>
  </si>
  <si>
    <t>20泊21日（開会式3日前～閉会式2日後）</t>
    <phoneticPr fontId="46"/>
  </si>
  <si>
    <t>マーケティングパートナー</t>
    <phoneticPr fontId="46"/>
  </si>
  <si>
    <t>MPS</t>
    <phoneticPr fontId="46"/>
  </si>
  <si>
    <t>18泊19日（開会式２日前～閉会式翌朝まで）</t>
    <rPh sb="2" eb="3">
      <t>ハク</t>
    </rPh>
    <rPh sb="5" eb="6">
      <t>ニチ</t>
    </rPh>
    <phoneticPr fontId="46"/>
  </si>
  <si>
    <t>１９日間（開会式２日前～閉会式翌朝まで）</t>
    <phoneticPr fontId="46"/>
  </si>
  <si>
    <t>【運用上根拠】マーケティングGと相談し、ジャカルタアジア大会のスポンサー契約ひな形の配宿期間と設定。</t>
    <phoneticPr fontId="46"/>
  </si>
  <si>
    <t>メディア</t>
    <phoneticPr fontId="46"/>
  </si>
  <si>
    <t>PRS・BRS</t>
    <phoneticPr fontId="46"/>
  </si>
  <si>
    <r>
      <rPr>
        <b/>
        <u/>
        <sz val="12"/>
        <rFont val="メイリオ"/>
        <family val="3"/>
        <charset val="128"/>
      </rPr>
      <t>32泊33日（開会式2週間前～閉会式3日後）</t>
    </r>
    <r>
      <rPr>
        <sz val="12"/>
        <rFont val="メイリオ"/>
        <family val="3"/>
        <charset val="128"/>
      </rPr>
      <t xml:space="preserve">
</t>
    </r>
    <rPh sb="2" eb="3">
      <t>ハク</t>
    </rPh>
    <rPh sb="5" eb="6">
      <t>ニチ</t>
    </rPh>
    <phoneticPr fontId="46"/>
  </si>
  <si>
    <t>３２泊３３日（９月４日～１０月７日まで；開会式の２週間前～閉会式の３日後まで）
・愛知以外のエリアは競技初日の７日前～競技最終日の3日後まで</t>
    <rPh sb="2" eb="3">
      <t>ハク</t>
    </rPh>
    <rPh sb="41" eb="45">
      <t>アイチイガイ</t>
    </rPh>
    <rPh sb="50" eb="52">
      <t>キョウギ</t>
    </rPh>
    <rPh sb="52" eb="54">
      <t>ショニチ</t>
    </rPh>
    <rPh sb="59" eb="61">
      <t>キョウギ</t>
    </rPh>
    <rPh sb="61" eb="64">
      <t>サイシュウビ</t>
    </rPh>
    <rPh sb="66" eb="68">
      <t>ニチゴ</t>
    </rPh>
    <phoneticPr fontId="46"/>
  </si>
  <si>
    <t xml:space="preserve">３３日間（９月５日～１０月７日まで；開会式の２週間前～閉会式の３日後まで）
・浜松、京都、新神戸、新大阪エリアについては競技が実施されている期間のみ（2023メディアG)						</t>
    <phoneticPr fontId="46"/>
  </si>
  <si>
    <t>東京2020参考（WPB）</t>
    <phoneticPr fontId="46"/>
  </si>
  <si>
    <t>9月20日～10月10日
（20泊21日）
※メディア村
2023年9月13日から10月9日
26泊27日）</t>
    <rPh sb="1" eb="2">
      <t>ガツ</t>
    </rPh>
    <rPh sb="4" eb="5">
      <t>ニチ</t>
    </rPh>
    <rPh sb="8" eb="9">
      <t>ガツ</t>
    </rPh>
    <rPh sb="11" eb="12">
      <t>ニチ</t>
    </rPh>
    <rPh sb="28" eb="29">
      <t>ムラ</t>
    </rPh>
    <rPh sb="50" eb="51">
      <t>ハク</t>
    </rPh>
    <rPh sb="53" eb="54">
      <t>ニチ</t>
    </rPh>
    <phoneticPr fontId="46"/>
  </si>
  <si>
    <t>ACM財政計画（案）
10月18日～10月24日（7日間）</t>
    <rPh sb="13" eb="14">
      <t>ガツ</t>
    </rPh>
    <rPh sb="16" eb="17">
      <t>ニチ</t>
    </rPh>
    <rPh sb="20" eb="21">
      <t>ガツ</t>
    </rPh>
    <rPh sb="23" eb="24">
      <t>ニチ</t>
    </rPh>
    <rPh sb="26" eb="27">
      <t>ニチ</t>
    </rPh>
    <rPh sb="27" eb="28">
      <t>アイダ</t>
    </rPh>
    <phoneticPr fontId="46"/>
  </si>
  <si>
    <t>ACM財政計画（案）
大会期間：10月18日～10月24日（7日間）</t>
    <rPh sb="18" eb="19">
      <t>ガツ</t>
    </rPh>
    <rPh sb="21" eb="22">
      <t>ニチ</t>
    </rPh>
    <rPh sb="25" eb="26">
      <t>ガツ</t>
    </rPh>
    <rPh sb="28" eb="29">
      <t>ニチ</t>
    </rPh>
    <rPh sb="31" eb="32">
      <t>ニチ</t>
    </rPh>
    <rPh sb="32" eb="33">
      <t>アイダ</t>
    </rPh>
    <phoneticPr fontId="46"/>
  </si>
  <si>
    <t>杭州2023
パラ期間：10/22～10/28</t>
    <rPh sb="0" eb="2">
      <t>コウシュウ</t>
    </rPh>
    <rPh sb="9" eb="11">
      <t>キカン</t>
    </rPh>
    <phoneticPr fontId="46"/>
  </si>
  <si>
    <t>東京2020（延期前）
パラ：</t>
    <rPh sb="0" eb="2">
      <t>トウキョウ</t>
    </rPh>
    <rPh sb="7" eb="10">
      <t>エンキマエ</t>
    </rPh>
    <phoneticPr fontId="46"/>
  </si>
  <si>
    <t>選手団</t>
    <rPh sb="0" eb="3">
      <t>センシュダン</t>
    </rPh>
    <phoneticPr fontId="46"/>
  </si>
  <si>
    <r>
      <rPr>
        <b/>
        <u/>
        <sz val="12"/>
        <color rgb="FF000000"/>
        <rFont val="メイリオ"/>
        <family val="3"/>
        <charset val="128"/>
      </rPr>
      <t>18泊19日（</t>
    </r>
    <r>
      <rPr>
        <b/>
        <u/>
        <sz val="12"/>
        <color rgb="FF9966FF"/>
        <rFont val="メイリオ"/>
        <family val="3"/>
        <charset val="128"/>
      </rPr>
      <t>3日</t>
    </r>
    <r>
      <rPr>
        <b/>
        <u/>
        <sz val="12"/>
        <rFont val="メイリオ"/>
        <family val="3"/>
        <charset val="128"/>
      </rPr>
      <t>＋選手滞在期間（クラシフィケーション込みの前乗り6日間＋7日間＋2日）</t>
    </r>
    <r>
      <rPr>
        <b/>
        <u/>
        <sz val="12"/>
        <color rgb="FF9966FF"/>
        <rFont val="メイリオ"/>
        <family val="3"/>
        <charset val="128"/>
      </rPr>
      <t>＋1日</t>
    </r>
    <r>
      <rPr>
        <b/>
        <u/>
        <sz val="12"/>
        <color rgb="FF000000"/>
        <rFont val="メイリオ"/>
        <family val="3"/>
        <charset val="128"/>
      </rPr>
      <t xml:space="preserve">）
</t>
    </r>
    <r>
      <rPr>
        <sz val="12"/>
        <color rgb="FF000000"/>
        <rFont val="メイリオ"/>
        <family val="3"/>
        <charset val="128"/>
      </rPr>
      <t>※HCCにある選手村開村期間（15泊16日（開会式1週間前～閉会式2日後）の規定に準拠しているが、</t>
    </r>
    <r>
      <rPr>
        <b/>
        <sz val="12"/>
        <color rgb="FF000000"/>
        <rFont val="メイリオ"/>
        <family val="3"/>
        <charset val="128"/>
      </rPr>
      <t>開会前7日前のうち、1日は選手団長及びスタッフ用のプレ期間としてるため、開会前は</t>
    </r>
    <r>
      <rPr>
        <b/>
        <sz val="12"/>
        <color rgb="FFFF0000"/>
        <rFont val="メイリオ"/>
        <family val="3"/>
        <charset val="128"/>
      </rPr>
      <t>6日</t>
    </r>
    <r>
      <rPr>
        <b/>
        <sz val="12"/>
        <color rgb="FF000000"/>
        <rFont val="メイリオ"/>
        <family val="3"/>
        <charset val="128"/>
      </rPr>
      <t>で計算している。</t>
    </r>
    <rPh sb="10" eb="16">
      <t>センシュタイザイキカン</t>
    </rPh>
    <rPh sb="27" eb="28">
      <t>コ</t>
    </rPh>
    <rPh sb="30" eb="32">
      <t>マエノ</t>
    </rPh>
    <rPh sb="34" eb="35">
      <t>ニチ</t>
    </rPh>
    <rPh sb="35" eb="36">
      <t>アイダ</t>
    </rPh>
    <rPh sb="38" eb="39">
      <t>ニチ</t>
    </rPh>
    <rPh sb="39" eb="40">
      <t>アイダ</t>
    </rPh>
    <rPh sb="42" eb="43">
      <t>ニチ</t>
    </rPh>
    <phoneticPr fontId="46"/>
  </si>
  <si>
    <r>
      <rPr>
        <b/>
        <u/>
        <sz val="12"/>
        <color rgb="FF000000"/>
        <rFont val="メイリオ"/>
        <family val="3"/>
        <charset val="128"/>
      </rPr>
      <t xml:space="preserve">14泊15日（6日間＋7日間＋2日）
</t>
    </r>
    <r>
      <rPr>
        <sz val="12"/>
        <color rgb="FF000000"/>
        <rFont val="メイリオ"/>
        <family val="3"/>
        <charset val="128"/>
      </rPr>
      <t>※HCCにある選手村開村期間（15泊16日（開会式1週間前～閉会式2日後）の規定に準拠しているが、</t>
    </r>
    <r>
      <rPr>
        <b/>
        <sz val="12"/>
        <color rgb="FF000000"/>
        <rFont val="メイリオ"/>
        <family val="3"/>
        <charset val="128"/>
      </rPr>
      <t>開会前7日前のうち、1日は選手団長及びスタッフ用のプレ期間としてるため、開会前は</t>
    </r>
    <r>
      <rPr>
        <b/>
        <sz val="12"/>
        <color rgb="FFFF0000"/>
        <rFont val="メイリオ"/>
        <family val="3"/>
        <charset val="128"/>
      </rPr>
      <t>6日</t>
    </r>
    <r>
      <rPr>
        <b/>
        <sz val="12"/>
        <color rgb="FF000000"/>
        <rFont val="メイリオ"/>
        <family val="3"/>
        <charset val="128"/>
      </rPr>
      <t>で計算している。</t>
    </r>
    <rPh sb="8" eb="9">
      <t>ニチ</t>
    </rPh>
    <rPh sb="9" eb="10">
      <t>アイダ</t>
    </rPh>
    <rPh sb="12" eb="13">
      <t>ニチ</t>
    </rPh>
    <rPh sb="13" eb="14">
      <t>アイダ</t>
    </rPh>
    <rPh sb="16" eb="17">
      <t>ニチ</t>
    </rPh>
    <rPh sb="68" eb="70">
      <t>カイカイ</t>
    </rPh>
    <rPh sb="104" eb="106">
      <t>カイカイ</t>
    </rPh>
    <rPh sb="106" eb="107">
      <t>マエ</t>
    </rPh>
    <rPh sb="109" eb="110">
      <t>ニチ</t>
    </rPh>
    <rPh sb="111" eb="113">
      <t>ケイサン</t>
    </rPh>
    <phoneticPr fontId="46"/>
  </si>
  <si>
    <t>14泊15日
※昨年のHCC案にある選手村開村期間（14泊15日（開会式1週間前～閉会式１日後）の規定に準拠</t>
    <rPh sb="2" eb="3">
      <t>ハク</t>
    </rPh>
    <rPh sb="5" eb="6">
      <t>ニチ</t>
    </rPh>
    <rPh sb="8" eb="10">
      <t>サクネン</t>
    </rPh>
    <rPh sb="14" eb="15">
      <t>アン</t>
    </rPh>
    <phoneticPr fontId="46"/>
  </si>
  <si>
    <t>開会式の５～７日前～閉会式の１～２日後まで（最大15日間）（2023選手村運営G）</t>
    <phoneticPr fontId="46"/>
  </si>
  <si>
    <t>開閉会式の7日前～閉会式の２日後まで（16日間）を原則としつつ、競技日程を考慮して調整する。
※業務引継書　宿泊業務（パラ）P.9 参照
【運用上根拠】クラシフィケーションの期間を考慮（2023選手村運営G）</t>
    <phoneticPr fontId="46"/>
  </si>
  <si>
    <t>NPC選手団長及びNPCスタッフ</t>
    <rPh sb="3" eb="6">
      <t>センシュダン</t>
    </rPh>
    <rPh sb="6" eb="7">
      <t>チョウ</t>
    </rPh>
    <rPh sb="7" eb="8">
      <t>オヨ</t>
    </rPh>
    <phoneticPr fontId="46"/>
  </si>
  <si>
    <r>
      <rPr>
        <b/>
        <u/>
        <sz val="12"/>
        <color rgb="FF000000"/>
        <rFont val="メイリオ"/>
        <family val="3"/>
        <charset val="128"/>
      </rPr>
      <t>19泊20日（</t>
    </r>
    <r>
      <rPr>
        <b/>
        <u/>
        <sz val="12"/>
        <color rgb="FF9966FF"/>
        <rFont val="メイリオ"/>
        <family val="3"/>
        <charset val="128"/>
      </rPr>
      <t>3日</t>
    </r>
    <r>
      <rPr>
        <b/>
        <u/>
        <sz val="12"/>
        <color theme="1"/>
        <rFont val="メイリオ"/>
        <family val="3"/>
        <charset val="128"/>
      </rPr>
      <t>＋選手滞在期間（クラシフィケーション込みの前乗りとプレ開村</t>
    </r>
    <r>
      <rPr>
        <b/>
        <u/>
        <sz val="12"/>
        <rFont val="メイリオ"/>
        <family val="3"/>
        <charset val="128"/>
      </rPr>
      <t>7日間＋7日間＋2日）</t>
    </r>
    <r>
      <rPr>
        <b/>
        <u/>
        <sz val="12"/>
        <color rgb="FF9966FF"/>
        <rFont val="メイリオ"/>
        <family val="3"/>
        <charset val="128"/>
      </rPr>
      <t>＋1日</t>
    </r>
    <r>
      <rPr>
        <b/>
        <u/>
        <sz val="12"/>
        <color rgb="FF000000"/>
        <rFont val="メイリオ"/>
        <family val="3"/>
        <charset val="128"/>
      </rPr>
      <t xml:space="preserve">）
</t>
    </r>
    <r>
      <rPr>
        <sz val="12"/>
        <color rgb="FF000000"/>
        <rFont val="メイリオ"/>
        <family val="3"/>
        <charset val="128"/>
      </rPr>
      <t>※HCCにある選手村開村期間（15泊16日（開会式1週間前～閉会式2日後）の規定に準拠</t>
    </r>
    <rPh sb="36" eb="38">
      <t>カイソン</t>
    </rPh>
    <rPh sb="39" eb="40">
      <t>ニチ</t>
    </rPh>
    <rPh sb="40" eb="41">
      <t>アイダ</t>
    </rPh>
    <rPh sb="43" eb="44">
      <t>ニチ</t>
    </rPh>
    <rPh sb="44" eb="45">
      <t>アイダ</t>
    </rPh>
    <rPh sb="47" eb="48">
      <t>ニチ</t>
    </rPh>
    <phoneticPr fontId="46"/>
  </si>
  <si>
    <r>
      <rPr>
        <b/>
        <u/>
        <sz val="12"/>
        <color rgb="FF000000"/>
        <rFont val="メイリオ"/>
        <family val="3"/>
        <charset val="128"/>
      </rPr>
      <t xml:space="preserve">15泊16日（7日間＋7日間＋2日）
</t>
    </r>
    <r>
      <rPr>
        <sz val="12"/>
        <color rgb="FF000000"/>
        <rFont val="メイリオ"/>
        <family val="3"/>
        <charset val="128"/>
      </rPr>
      <t>※HCCにある選手村開村期間（15泊16日（開会式1週間前～閉会式2日後）の規定に準拠</t>
    </r>
    <rPh sb="8" eb="9">
      <t>ニチ</t>
    </rPh>
    <rPh sb="9" eb="10">
      <t>アイダ</t>
    </rPh>
    <rPh sb="12" eb="13">
      <t>ニチ</t>
    </rPh>
    <rPh sb="13" eb="14">
      <t>アイダ</t>
    </rPh>
    <rPh sb="16" eb="17">
      <t>ニチ</t>
    </rPh>
    <phoneticPr fontId="46"/>
  </si>
  <si>
    <t>２０泊21日間(10月9日～29日まで：アジアパラ競技開始7日前～閉会式の3日後まで)
DRMのために選手団長及びスタッフは該当期間のほほとんどを滞在する可能性が高い。
閉村後、撤収のために追加で１日コンベンションホールを確保する必要あり</t>
  </si>
  <si>
    <r>
      <rPr>
        <b/>
        <u/>
        <sz val="12"/>
        <rFont val="メイリオ"/>
        <family val="3"/>
        <charset val="128"/>
      </rPr>
      <t xml:space="preserve">延べ日数：6,761日
（競技開始3日前、競技1日後まで）
</t>
    </r>
    <r>
      <rPr>
        <sz val="12"/>
        <rFont val="メイリオ"/>
        <family val="3"/>
        <charset val="128"/>
      </rPr>
      <t>SPTの財政計画に人数と泊の考え方を合わせる。</t>
    </r>
    <rPh sb="0" eb="1">
      <t>ノ</t>
    </rPh>
    <rPh sb="2" eb="4">
      <t>ニッスウ</t>
    </rPh>
    <rPh sb="10" eb="11">
      <t>ニチ</t>
    </rPh>
    <rPh sb="13" eb="15">
      <t>キョウギ</t>
    </rPh>
    <rPh sb="15" eb="17">
      <t>カイシ</t>
    </rPh>
    <rPh sb="18" eb="19">
      <t>ニチ</t>
    </rPh>
    <rPh sb="19" eb="20">
      <t>マエ</t>
    </rPh>
    <rPh sb="21" eb="23">
      <t>キョウギ</t>
    </rPh>
    <rPh sb="24" eb="25">
      <t>ニチ</t>
    </rPh>
    <rPh sb="25" eb="26">
      <t>アト</t>
    </rPh>
    <rPh sb="34" eb="36">
      <t>ザイセイ</t>
    </rPh>
    <rPh sb="36" eb="38">
      <t>ケイカク</t>
    </rPh>
    <rPh sb="39" eb="41">
      <t>ニンズウ</t>
    </rPh>
    <rPh sb="42" eb="43">
      <t>ハク</t>
    </rPh>
    <rPh sb="44" eb="45">
      <t>カンガ</t>
    </rPh>
    <rPh sb="46" eb="47">
      <t>カタ</t>
    </rPh>
    <rPh sb="48" eb="49">
      <t>ア</t>
    </rPh>
    <phoneticPr fontId="46"/>
  </si>
  <si>
    <t xml:space="preserve">延べ日数：6,010日
（競技開始7日前）
</t>
    <rPh sb="0" eb="1">
      <t>ノ</t>
    </rPh>
    <rPh sb="2" eb="4">
      <t>ニッスウ</t>
    </rPh>
    <rPh sb="10" eb="11">
      <t>ニチ</t>
    </rPh>
    <rPh sb="13" eb="15">
      <t>キョウギ</t>
    </rPh>
    <rPh sb="15" eb="17">
      <t>カイシ</t>
    </rPh>
    <rPh sb="18" eb="19">
      <t>ニチ</t>
    </rPh>
    <rPh sb="19" eb="20">
      <t>マエ</t>
    </rPh>
    <phoneticPr fontId="46"/>
  </si>
  <si>
    <t>競技日程未定につき指定なし</t>
    <phoneticPr fontId="46"/>
  </si>
  <si>
    <t>※業務引継書　宿泊業務（パラ）P.9 参照
TD:※アジアパラHCCドラフト（2022年11月時点）に準拠：競技7日前～競技翌日まで
※アジア：競技5日前～競技翌日まで
ITO:※アジアパラHCCドラフト（2022年11月時点）に準拠：競技7日前～競技翌日まで
※アジア：競技４日前～競技翌日まで
NTO:※アジアパラHCCドラフト（2022年11月時点）に準拠：競技7日前～競技翌日まで
※アジア：競技７日前～競技翌日まで
CF:※アジアパラHCCドラフト（2022年11月時点）に準拠：競技7日前～競技翌日まで</t>
    <phoneticPr fontId="46"/>
  </si>
  <si>
    <t>8月18日～9月8日
（22泊23日）</t>
    <rPh sb="1" eb="2">
      <t>ガツ</t>
    </rPh>
    <rPh sb="4" eb="5">
      <t>ニチ</t>
    </rPh>
    <rPh sb="7" eb="8">
      <t>ガツ</t>
    </rPh>
    <rPh sb="9" eb="10">
      <t>ニチ</t>
    </rPh>
    <rPh sb="14" eb="15">
      <t>ハク</t>
    </rPh>
    <rPh sb="17" eb="18">
      <t>ニチ</t>
    </rPh>
    <phoneticPr fontId="46"/>
  </si>
  <si>
    <r>
      <rPr>
        <b/>
        <u/>
        <sz val="12"/>
        <color rgb="FF000000"/>
        <rFont val="メイリオ"/>
        <family val="3"/>
        <charset val="128"/>
      </rPr>
      <t xml:space="preserve">15泊16日(開会式7日前～閉会式2日後)
</t>
    </r>
    <r>
      <rPr>
        <sz val="12"/>
        <color rgb="FF000000"/>
        <rFont val="メイリオ"/>
        <family val="3"/>
        <charset val="128"/>
      </rPr>
      <t>※過去大会より会期の倍を見込む
※選手・チーム役員と合わせる</t>
    </r>
  </si>
  <si>
    <t>14泊15日？
（積算根拠）
アジアと同様。会期の倍日数。</t>
    <rPh sb="2" eb="3">
      <t>ハク</t>
    </rPh>
    <rPh sb="5" eb="6">
      <t>ニチ</t>
    </rPh>
    <rPh sb="19" eb="21">
      <t>ドウヨウ</t>
    </rPh>
    <rPh sb="22" eb="24">
      <t>カイキ</t>
    </rPh>
    <rPh sb="25" eb="26">
      <t>バイ</t>
    </rPh>
    <rPh sb="26" eb="28">
      <t>ニッスウ</t>
    </rPh>
    <phoneticPr fontId="46"/>
  </si>
  <si>
    <t>APCファミリー本部
※略称PFH</t>
    <phoneticPr fontId="46"/>
  </si>
  <si>
    <r>
      <t xml:space="preserve">
13泊14日（</t>
    </r>
    <r>
      <rPr>
        <b/>
        <u/>
        <sz val="12"/>
        <color rgb="FF9966FF"/>
        <rFont val="メイリオ"/>
        <family val="3"/>
        <charset val="128"/>
      </rPr>
      <t>2日＋</t>
    </r>
    <r>
      <rPr>
        <b/>
        <u/>
        <sz val="12"/>
        <rFont val="メイリオ"/>
        <family val="3"/>
        <charset val="128"/>
      </rPr>
      <t>開会式３日前～閉会式2日後</t>
    </r>
    <r>
      <rPr>
        <b/>
        <u/>
        <sz val="12"/>
        <color rgb="FF9966FF"/>
        <rFont val="メイリオ"/>
        <family val="3"/>
        <charset val="128"/>
      </rPr>
      <t>(うち1日バンプイン含む）</t>
    </r>
    <r>
      <rPr>
        <b/>
        <u/>
        <sz val="12"/>
        <color theme="1"/>
        <rFont val="メイリオ"/>
        <family val="3"/>
        <charset val="128"/>
      </rPr>
      <t>）</t>
    </r>
    <r>
      <rPr>
        <b/>
        <u/>
        <sz val="12"/>
        <rFont val="メイリオ"/>
        <family val="3"/>
        <charset val="128"/>
      </rPr>
      <t xml:space="preserve">
(10/13IN-10/26OUT)
※全棟借り上げの想定。
Bump in/out含む、security sweepは含まない。
13~14日機材搬入設営、15日からAPC使用。
※全棟借り上げでなかった場合は10/13IN
Bump in/out、security sweep含む
13日機材搬入、14日設営・金属探知開始
※10/13の状態
12日宿泊者のcheckout後(13日）からバンプイン
※10/26の状態：
客室…12時checkuout。それ以降の時間で一般客がcheckin・宿泊できる
ファンクション：1日借りる（何時に出ようとも1日単位で借りることになるため）</t>
    </r>
    <rPh sb="9" eb="10">
      <t>ニチ</t>
    </rPh>
    <rPh sb="28" eb="29">
      <t>ニチ</t>
    </rPh>
    <rPh sb="34" eb="35">
      <t>フク</t>
    </rPh>
    <rPh sb="81" eb="82">
      <t>フク</t>
    </rPh>
    <rPh sb="99" eb="100">
      <t>フク</t>
    </rPh>
    <rPh sb="110" eb="111">
      <t>ニチ</t>
    </rPh>
    <rPh sb="111" eb="113">
      <t>キザイ</t>
    </rPh>
    <rPh sb="113" eb="115">
      <t>ハンニュウ</t>
    </rPh>
    <rPh sb="115" eb="117">
      <t>セツエイ</t>
    </rPh>
    <rPh sb="120" eb="121">
      <t>ニチ</t>
    </rPh>
    <rPh sb="126" eb="128">
      <t>シヨウ</t>
    </rPh>
    <rPh sb="131" eb="133">
      <t>ゼントウ</t>
    </rPh>
    <rPh sb="133" eb="134">
      <t>カ</t>
    </rPh>
    <rPh sb="135" eb="136">
      <t>ア</t>
    </rPh>
    <rPh sb="142" eb="144">
      <t>バアイ</t>
    </rPh>
    <rPh sb="179" eb="180">
      <t>フク</t>
    </rPh>
    <rPh sb="184" eb="185">
      <t>ニチ</t>
    </rPh>
    <rPh sb="185" eb="187">
      <t>キザイ</t>
    </rPh>
    <rPh sb="187" eb="189">
      <t>ハンニュウ</t>
    </rPh>
    <rPh sb="192" eb="193">
      <t>ニチ</t>
    </rPh>
    <rPh sb="193" eb="195">
      <t>セツエイ</t>
    </rPh>
    <rPh sb="196" eb="200">
      <t>キンゾクタンチ</t>
    </rPh>
    <rPh sb="200" eb="202">
      <t>カイシ</t>
    </rPh>
    <rPh sb="325" eb="326">
      <t>ハク</t>
    </rPh>
    <rPh sb="328" eb="329">
      <t>ニチ</t>
    </rPh>
    <phoneticPr fontId="46"/>
  </si>
  <si>
    <t>11泊12日（開会式3日前～閉会式2日後）</t>
    <rPh sb="2" eb="3">
      <t>ハク</t>
    </rPh>
    <rPh sb="5" eb="6">
      <t>ニチ</t>
    </rPh>
    <phoneticPr fontId="46"/>
  </si>
  <si>
    <t>11泊12日（杭州大会同様）</t>
  </si>
  <si>
    <t>10泊11日</t>
    <rPh sb="2" eb="3">
      <t>ハク</t>
    </rPh>
    <rPh sb="5" eb="6">
      <t>ニチ</t>
    </rPh>
    <phoneticPr fontId="46"/>
  </si>
  <si>
    <t>約2週間（コアタイムは開会式前5日～閉会式後の2日の12日間とする）</t>
    <phoneticPr fontId="46"/>
  </si>
  <si>
    <t>約２週間（大会開会式の前５日間～閉会式の２日後まで）
開会式前の日付は過去大会を参考に5日を想定。閉会式後の日付はHCC6.1.7を参考に2日を想定。
客室はコアタイムの期間。会議室等、一部事務局が一ケ月にわたり利用する可能性がある。
※業務引継書　宿泊業務（パラ））P.9 参照</t>
    <phoneticPr fontId="46"/>
  </si>
  <si>
    <t>10月19日～10月30日
（11泊12日）</t>
    <phoneticPr fontId="46"/>
  </si>
  <si>
    <t>9泊10日（開会式２日前～閉会式翌朝まで）</t>
    <rPh sb="1" eb="2">
      <t>パク</t>
    </rPh>
    <rPh sb="4" eb="5">
      <t>ニチ</t>
    </rPh>
    <phoneticPr fontId="46"/>
  </si>
  <si>
    <t>（開会式２日前～閉会式翌朝まで）</t>
    <phoneticPr fontId="46"/>
  </si>
  <si>
    <t>14泊15日</t>
    <rPh sb="2" eb="3">
      <t>ハク</t>
    </rPh>
    <rPh sb="5" eb="6">
      <t>ニチ</t>
    </rPh>
    <phoneticPr fontId="46"/>
  </si>
  <si>
    <t>約10日間（開会式前２日～閉会式後１日（翌朝））</t>
    <phoneticPr fontId="46"/>
  </si>
  <si>
    <t>データなし
※アジア１９日間（開会式２日前～閉会式翌朝まで）
※業務引継書　宿泊業務（パラ））P.9 参照</t>
    <phoneticPr fontId="46"/>
  </si>
  <si>
    <r>
      <rPr>
        <b/>
        <u/>
        <sz val="12"/>
        <rFont val="メイリオ"/>
        <family val="3"/>
        <charset val="128"/>
      </rPr>
      <t>16泊17日（開会式1週間前～閉会式3日後）</t>
    </r>
    <r>
      <rPr>
        <sz val="12"/>
        <rFont val="メイリオ"/>
        <family val="3"/>
        <charset val="128"/>
      </rPr>
      <t xml:space="preserve">
</t>
    </r>
    <rPh sb="2" eb="3">
      <t>ハク</t>
    </rPh>
    <rPh sb="5" eb="6">
      <t>ニチ</t>
    </rPh>
    <phoneticPr fontId="46"/>
  </si>
  <si>
    <t>１６泊１７日（１０月１１日～１０月２７日まで；開会式の１週間前～閉会式の３日後まで）</t>
    <rPh sb="2" eb="3">
      <t>ハク</t>
    </rPh>
    <phoneticPr fontId="46"/>
  </si>
  <si>
    <t>21日間(10月9日～29日まで：アジアパラ競技開始7日前～閉会式の3日後まで)（2023メディアG）</t>
  </si>
  <si>
    <t>※業務引継書　宿泊業務（パラ）P.9 参照
【運用上根拠】愛知・名古屋MMC運営スケジュールを基に設定（2023メディアG）</t>
    <phoneticPr fontId="46"/>
  </si>
  <si>
    <t>2024年6月18日時点ver</t>
    <rPh sb="4" eb="5">
      <t>ネン</t>
    </rPh>
    <rPh sb="6" eb="7">
      <t>ガツ</t>
    </rPh>
    <rPh sb="9" eb="10">
      <t>ニチ</t>
    </rPh>
    <rPh sb="10" eb="12">
      <t>ジテン</t>
    </rPh>
    <phoneticPr fontId="46"/>
  </si>
  <si>
    <t>泊数に１と入れています</t>
    <rPh sb="0" eb="2">
      <t>ハクスウ</t>
    </rPh>
    <rPh sb="5" eb="6">
      <t>イ</t>
    </rPh>
    <phoneticPr fontId="46"/>
  </si>
  <si>
    <t>【アジア】</t>
    <phoneticPr fontId="46"/>
  </si>
  <si>
    <t>【パラ】</t>
    <phoneticPr fontId="46"/>
  </si>
  <si>
    <t>バンプイン・アウト期間</t>
    <rPh sb="9" eb="11">
      <t>キカン</t>
    </rPh>
    <phoneticPr fontId="46"/>
  </si>
  <si>
    <t>競技日程や大会会期前後の滞在期間</t>
    <rPh sb="0" eb="2">
      <t>キョウギ</t>
    </rPh>
    <rPh sb="2" eb="4">
      <t>ニッテイ</t>
    </rPh>
    <rPh sb="5" eb="7">
      <t>タイカイ</t>
    </rPh>
    <rPh sb="7" eb="9">
      <t>カイキ</t>
    </rPh>
    <rPh sb="9" eb="11">
      <t>ゼンゴ</t>
    </rPh>
    <rPh sb="12" eb="16">
      <t>タイザイキカン</t>
    </rPh>
    <phoneticPr fontId="46"/>
  </si>
  <si>
    <t>競技日程や大会会期</t>
    <phoneticPr fontId="46"/>
  </si>
  <si>
    <t>OC</t>
  </si>
  <si>
    <t>CC</t>
  </si>
  <si>
    <t>9月</t>
  </si>
  <si>
    <t>10月</t>
  </si>
  <si>
    <t>水</t>
    <rPh sb="0" eb="1">
      <t>スイ</t>
    </rPh>
    <phoneticPr fontId="1"/>
  </si>
  <si>
    <t>木</t>
    <rPh sb="0" eb="1">
      <t>モク</t>
    </rPh>
    <phoneticPr fontId="1"/>
  </si>
  <si>
    <t>アジア</t>
  </si>
  <si>
    <t>パラ</t>
  </si>
  <si>
    <t>全体</t>
  </si>
  <si>
    <t>泊</t>
  </si>
  <si>
    <t>選手団/クルーズ船（平均）
※期間詳細は配宿シミュレーションをご覧ください</t>
    <rPh sb="0" eb="3">
      <t>センシュダン</t>
    </rPh>
    <rPh sb="8" eb="9">
      <t>セン</t>
    </rPh>
    <rPh sb="10" eb="12">
      <t>ヘイキン</t>
    </rPh>
    <rPh sb="15" eb="17">
      <t>キカン</t>
    </rPh>
    <rPh sb="17" eb="19">
      <t>ショウサイ</t>
    </rPh>
    <rPh sb="20" eb="22">
      <t>ハイシュク</t>
    </rPh>
    <rPh sb="32" eb="33">
      <t>ラン</t>
    </rPh>
    <phoneticPr fontId="46"/>
  </si>
  <si>
    <t>NOC選手団長及びNOCスタッフ</t>
    <phoneticPr fontId="46"/>
  </si>
  <si>
    <t>NPC選手団長及びNPCスタッフ</t>
    <phoneticPr fontId="46"/>
  </si>
  <si>
    <t>OCA/APCファミリー本部
※略称OFH/PFH</t>
    <phoneticPr fontId="46"/>
  </si>
  <si>
    <t>ー</t>
    <phoneticPr fontId="46"/>
  </si>
  <si>
    <t>（参考）HCCに記載のVIL期間</t>
    <rPh sb="1" eb="3">
      <t>サンコウ</t>
    </rPh>
    <rPh sb="8" eb="10">
      <t>キサイ</t>
    </rPh>
    <rPh sb="14" eb="16">
      <t>キカン</t>
    </rPh>
    <phoneticPr fontId="46"/>
  </si>
  <si>
    <t>利用可能</t>
    <rPh sb="0" eb="2">
      <t>リヨウ</t>
    </rPh>
    <rPh sb="2" eb="4">
      <t>カノウ</t>
    </rPh>
    <phoneticPr fontId="46"/>
  </si>
  <si>
    <t>開会</t>
    <rPh sb="0" eb="2">
      <t>カイカイ</t>
    </rPh>
    <phoneticPr fontId="46"/>
  </si>
  <si>
    <t>閉会</t>
    <rPh sb="0" eb="2">
      <t>ヘイカイ</t>
    </rPh>
    <phoneticPr fontId="46"/>
  </si>
  <si>
    <t>プレ</t>
    <phoneticPr fontId="46"/>
  </si>
  <si>
    <t>オープン</t>
    <phoneticPr fontId="46"/>
  </si>
  <si>
    <t>アジアパラ競技大会における技術役員（DCO含む）配宿シミュレーション</t>
    <rPh sb="5" eb="7">
      <t>キョウギ</t>
    </rPh>
    <rPh sb="7" eb="9">
      <t>タイカイ</t>
    </rPh>
    <rPh sb="13" eb="17">
      <t>ギジュツヤクイン</t>
    </rPh>
    <rPh sb="21" eb="22">
      <t>フク</t>
    </rPh>
    <rPh sb="24" eb="26">
      <t>ハイシュク</t>
    </rPh>
    <phoneticPr fontId="59"/>
  </si>
  <si>
    <t>周辺レストラン</t>
    <rPh sb="0" eb="2">
      <t>シュウヘン</t>
    </rPh>
    <phoneticPr fontId="59"/>
  </si>
  <si>
    <t>障がい特性</t>
    <rPh sb="0" eb="1">
      <t>ショウ</t>
    </rPh>
    <rPh sb="3" eb="5">
      <t>トクセイ</t>
    </rPh>
    <phoneticPr fontId="2"/>
  </si>
  <si>
    <t>車いす</t>
    <rPh sb="0" eb="1">
      <t>クルマ</t>
    </rPh>
    <phoneticPr fontId="2"/>
  </si>
  <si>
    <t>金</t>
    <rPh sb="0" eb="1">
      <t>キン</t>
    </rPh>
    <phoneticPr fontId="2"/>
  </si>
  <si>
    <t>上肢 下肢</t>
  </si>
  <si>
    <t>名古屋市総合体育館[レインボーホール]</t>
  </si>
  <si>
    <t>ブラインドフットボール</t>
  </si>
  <si>
    <t>視覚</t>
  </si>
  <si>
    <t>名古屋市鶴舞公園多目的グラウンド</t>
  </si>
  <si>
    <t>パワーリフティング</t>
  </si>
  <si>
    <t>下肢</t>
  </si>
  <si>
    <t>車いすテニス</t>
  </si>
  <si>
    <t>パラ柔道</t>
  </si>
  <si>
    <t>上肢</t>
  </si>
  <si>
    <t>名古屋市瑞穂公園体育館[パロマ瑞穂アリーナ]</t>
  </si>
  <si>
    <t>△</t>
    <phoneticPr fontId="2"/>
  </si>
  <si>
    <t>車いすバスケットボール</t>
  </si>
  <si>
    <t>VI</t>
    <phoneticPr fontId="2"/>
  </si>
  <si>
    <t>アイリス愛知</t>
  </si>
  <si>
    <t>パラ陸上競技</t>
  </si>
  <si>
    <t>ALL</t>
  </si>
  <si>
    <t>パラフェンシング</t>
  </si>
  <si>
    <t>名古屋市稲永スポーツセンター</t>
  </si>
  <si>
    <t>都心の天然温泉　名古屋クラウンホテル</t>
  </si>
  <si>
    <t>4</t>
  </si>
  <si>
    <t>120</t>
  </si>
  <si>
    <r>
      <t>DCO</t>
    </r>
    <r>
      <rPr>
        <sz val="11"/>
        <rFont val="ＭＳ Ｐゴシック"/>
        <family val="2"/>
        <charset val="128"/>
      </rPr>
      <t>（名古屋）</t>
    </r>
    <rPh sb="4" eb="7">
      <t>ナゴヤ</t>
    </rPh>
    <phoneticPr fontId="2"/>
  </si>
  <si>
    <t>名古屋市総合体育館[レインボープール]</t>
  </si>
  <si>
    <t>アパホテル＜尾張一宮駅前＞</t>
  </si>
  <si>
    <t>87</t>
  </si>
  <si>
    <t>全トヨタ労連研修センター　つどいの丘</t>
  </si>
  <si>
    <t>69</t>
  </si>
  <si>
    <t>19</t>
  </si>
  <si>
    <t>パラ射撃</t>
  </si>
  <si>
    <t>愛知県総合射撃場（使用不可？）</t>
  </si>
  <si>
    <t>名鉄トヨタホテル</t>
  </si>
  <si>
    <t>6</t>
  </si>
  <si>
    <t>76</t>
  </si>
  <si>
    <t>パラ卓球</t>
  </si>
  <si>
    <t>上肢 下肢 知的</t>
  </si>
  <si>
    <t>あいち健康の森　健康科学総合センター</t>
  </si>
  <si>
    <t>車いすラグビー</t>
  </si>
  <si>
    <t>ウイングアリーナ刈谷</t>
  </si>
  <si>
    <t>パラアーチェリー</t>
  </si>
  <si>
    <t>岡崎中央総合公園多目的広場他</t>
  </si>
  <si>
    <t xml:space="preserve">座位バレーボール
</t>
    <rPh sb="0" eb="2">
      <t>ザイ</t>
    </rPh>
    <phoneticPr fontId="59"/>
  </si>
  <si>
    <t>岡崎中央総合公園総合体育館</t>
  </si>
  <si>
    <t>伊豆市</t>
    <rPh sb="0" eb="2">
      <t>イズ</t>
    </rPh>
    <rPh sb="2" eb="3">
      <t>シ</t>
    </rPh>
    <phoneticPr fontId="2"/>
  </si>
  <si>
    <t>上肢 下肢 視覚</t>
  </si>
  <si>
    <t>自転車競技（ロード）</t>
  </si>
  <si>
    <r>
      <t>DCO</t>
    </r>
    <r>
      <rPr>
        <sz val="11"/>
        <rFont val="ＭＳ Ｐゴシック"/>
        <family val="2"/>
        <charset val="128"/>
      </rPr>
      <t>（伊豆）</t>
    </r>
    <rPh sb="4" eb="6">
      <t>イズ</t>
    </rPh>
    <phoneticPr fontId="2"/>
  </si>
  <si>
    <t>ステーク
ホルダー</t>
    <phoneticPr fontId="59"/>
  </si>
  <si>
    <t>宿泊施設基本情報</t>
    <rPh sb="0" eb="2">
      <t>シュクハク</t>
    </rPh>
    <rPh sb="2" eb="4">
      <t>シセツ</t>
    </rPh>
    <rPh sb="4" eb="8">
      <t>キホンジョウホウ</t>
    </rPh>
    <phoneticPr fontId="59"/>
  </si>
  <si>
    <t>◆マーケティングパートナー配宿シミュレーション</t>
    <rPh sb="13" eb="15">
      <t>ハイシュク</t>
    </rPh>
    <phoneticPr fontId="2"/>
  </si>
  <si>
    <t>車いす</t>
    <phoneticPr fontId="59"/>
  </si>
  <si>
    <t>ステーク
ホルダー</t>
  </si>
  <si>
    <t>障がい
特性</t>
  </si>
  <si>
    <t>スポンサー
推計人数</t>
    <rPh sb="6" eb="10">
      <t>スイケイニンズウ</t>
    </rPh>
    <phoneticPr fontId="59"/>
  </si>
  <si>
    <t>必要部屋数（仮）※2
赤枠：
使用の希望ホテル
赤枠外：
予備として抽出したホテル</t>
    <rPh sb="0" eb="2">
      <t>ヒツヨウ</t>
    </rPh>
    <rPh sb="2" eb="4">
      <t>ヘヤ</t>
    </rPh>
    <rPh sb="4" eb="5">
      <t>スウ</t>
    </rPh>
    <rPh sb="6" eb="7">
      <t>カリ</t>
    </rPh>
    <phoneticPr fontId="59"/>
  </si>
  <si>
    <t>ホテルランク</t>
    <phoneticPr fontId="59"/>
  </si>
  <si>
    <t>瑞穂競技場
までの
時間/距離</t>
    <rPh sb="0" eb="5">
      <t>ミズホキョウギジョウ</t>
    </rPh>
    <rPh sb="10" eb="12">
      <t>ジカン</t>
    </rPh>
    <rPh sb="13" eb="15">
      <t>キョリ</t>
    </rPh>
    <phoneticPr fontId="59"/>
  </si>
  <si>
    <t>施設No.</t>
    <rPh sb="0" eb="2">
      <t>シセツ</t>
    </rPh>
    <phoneticPr fontId="59"/>
  </si>
  <si>
    <t>提供
室数</t>
    <rPh sb="0" eb="2">
      <t>テイキョウ</t>
    </rPh>
    <rPh sb="3" eb="4">
      <t>シツ</t>
    </rPh>
    <rPh sb="4" eb="5">
      <t>スウ</t>
    </rPh>
    <phoneticPr fontId="59"/>
  </si>
  <si>
    <t>保有数</t>
    <rPh sb="0" eb="2">
      <t>ホユウ</t>
    </rPh>
    <rPh sb="2" eb="3">
      <t>スウ</t>
    </rPh>
    <phoneticPr fontId="59"/>
  </si>
  <si>
    <t>提供数</t>
    <rPh sb="0" eb="2">
      <t>テイキョウ</t>
    </rPh>
    <rPh sb="2" eb="3">
      <t>スウ</t>
    </rPh>
    <phoneticPr fontId="59"/>
  </si>
  <si>
    <t>？</t>
  </si>
  <si>
    <t>Ｔカー
大型バス</t>
    <rPh sb="4" eb="6">
      <t>オオガタ</t>
    </rPh>
    <phoneticPr fontId="59"/>
  </si>
  <si>
    <t>1000～1500室</t>
    <rPh sb="9" eb="10">
      <t>シツ</t>
    </rPh>
    <phoneticPr fontId="59"/>
  </si>
  <si>
    <t>ヒルトン名古屋</t>
    <rPh sb="4" eb="7">
      <t>ナゴヤ</t>
    </rPh>
    <phoneticPr fontId="2"/>
  </si>
  <si>
    <t>370</t>
  </si>
  <si>
    <t>460</t>
  </si>
  <si>
    <t>17分/9.7㎞</t>
  </si>
  <si>
    <t>玄関前（屋根付）1台</t>
    <phoneticPr fontId="59"/>
  </si>
  <si>
    <t>ストリングスホテル　名古屋
※オブザーバープログラムと同宿</t>
    <rPh sb="27" eb="29">
      <t>ドウシュク</t>
    </rPh>
    <phoneticPr fontId="59"/>
  </si>
  <si>
    <t>116</t>
  </si>
  <si>
    <t>126</t>
  </si>
  <si>
    <t>(26分/9.1km)</t>
    <phoneticPr fontId="59"/>
  </si>
  <si>
    <t>路上３台</t>
    <phoneticPr fontId="59"/>
  </si>
  <si>
    <t>オブザーバープログラム　40室</t>
    <rPh sb="14" eb="15">
      <t>シツ</t>
    </rPh>
    <phoneticPr fontId="59"/>
  </si>
  <si>
    <t>17分/9.8㎞</t>
  </si>
  <si>
    <t>玄関前（屋根付）1台</t>
    <rPh sb="0" eb="3">
      <t>ゲンカンマエ</t>
    </rPh>
    <rPh sb="4" eb="7">
      <t>ヤネツキ</t>
    </rPh>
    <rPh sb="9" eb="10">
      <t>ダイ</t>
    </rPh>
    <phoneticPr fontId="59"/>
  </si>
  <si>
    <t>22</t>
  </si>
  <si>
    <t>130</t>
  </si>
  <si>
    <t>306</t>
  </si>
  <si>
    <t>18分/9.8㎞</t>
  </si>
  <si>
    <t>路上1台</t>
    <phoneticPr fontId="59"/>
  </si>
  <si>
    <t>21分/10.2㎞</t>
  </si>
  <si>
    <t>専用乗降場所（屋根付）3台</t>
    <phoneticPr fontId="59"/>
  </si>
  <si>
    <t>（19分/8.3km）</t>
    <rPh sb="3" eb="4">
      <t>フン</t>
    </rPh>
    <phoneticPr fontId="59"/>
  </si>
  <si>
    <t>メイン玄関前2台</t>
    <phoneticPr fontId="59"/>
  </si>
  <si>
    <t>191</t>
  </si>
  <si>
    <t>55分/37.4km</t>
    <rPh sb="2" eb="3">
      <t>フン</t>
    </rPh>
    <phoneticPr fontId="59"/>
  </si>
  <si>
    <t>（31分/22km）</t>
    <rPh sb="3" eb="4">
      <t>フン</t>
    </rPh>
    <phoneticPr fontId="59"/>
  </si>
  <si>
    <t>170</t>
  </si>
  <si>
    <t>（26分/13km）</t>
    <rPh sb="3" eb="4">
      <t>フン</t>
    </rPh>
    <phoneticPr fontId="59"/>
  </si>
  <si>
    <t>（23分/12km）</t>
    <rPh sb="3" eb="4">
      <t>ブン</t>
    </rPh>
    <phoneticPr fontId="59"/>
  </si>
  <si>
    <t>路上１台</t>
    <rPh sb="0" eb="2">
      <t>ロジョウ</t>
    </rPh>
    <rPh sb="3" eb="4">
      <t>ダイ</t>
    </rPh>
    <phoneticPr fontId="59"/>
  </si>
  <si>
    <t>97</t>
  </si>
  <si>
    <t>190</t>
  </si>
  <si>
    <t>(18分/5.6km)</t>
    <rPh sb="3" eb="4">
      <t>フン</t>
    </rPh>
    <phoneticPr fontId="2"/>
  </si>
  <si>
    <t>5</t>
  </si>
  <si>
    <t>(32分/11km)</t>
    <rPh sb="3" eb="4">
      <t>フン</t>
    </rPh>
    <phoneticPr fontId="59"/>
  </si>
  <si>
    <t>195</t>
  </si>
  <si>
    <t>（17分/5.8km）</t>
    <rPh sb="3" eb="4">
      <t>フン</t>
    </rPh>
    <phoneticPr fontId="59"/>
  </si>
  <si>
    <t>サイプレスホテル名古屋駅前</t>
    <rPh sb="8" eb="13">
      <t>ナゴヤエキマエ</t>
    </rPh>
    <phoneticPr fontId="59"/>
  </si>
  <si>
    <t>271</t>
  </si>
  <si>
    <t>DIP用ホテル</t>
    <rPh sb="3" eb="4">
      <t>ヨウ</t>
    </rPh>
    <phoneticPr fontId="59"/>
  </si>
  <si>
    <t>※1</t>
    <phoneticPr fontId="59"/>
  </si>
  <si>
    <t>:グーグルマップにて調べたものには（）が付いている。</t>
    <rPh sb="10" eb="11">
      <t>シラ</t>
    </rPh>
    <rPh sb="20" eb="21">
      <t>ツ</t>
    </rPh>
    <phoneticPr fontId="59"/>
  </si>
  <si>
    <t>※2</t>
    <phoneticPr fontId="59"/>
  </si>
  <si>
    <t>:マーケティングサーベイ実施前のため、「提供客室数×0.7」（ストリングスホテル名古屋を除く）を必要部屋数（仮）としている。</t>
    <rPh sb="12" eb="14">
      <t>ジッシ</t>
    </rPh>
    <rPh sb="14" eb="15">
      <t>マエ</t>
    </rPh>
    <rPh sb="20" eb="25">
      <t>テイキョウキャクシツスウ</t>
    </rPh>
    <rPh sb="40" eb="43">
      <t>ナゴヤ</t>
    </rPh>
    <rPh sb="44" eb="45">
      <t>ノゾ</t>
    </rPh>
    <rPh sb="48" eb="50">
      <t>ヒツヨウ</t>
    </rPh>
    <rPh sb="50" eb="52">
      <t>ヘヤ</t>
    </rPh>
    <rPh sb="52" eb="53">
      <t>スウ</t>
    </rPh>
    <rPh sb="54" eb="55">
      <t>カリ</t>
    </rPh>
    <phoneticPr fontId="59"/>
  </si>
  <si>
    <t>　なおストリングスホテル名古屋については、「提供客室数ーオブザーバープログラム」を必要部屋数（仮)としている。</t>
    <rPh sb="12" eb="15">
      <t>ナゴヤ</t>
    </rPh>
    <rPh sb="22" eb="27">
      <t>テイキョウキャクシツスウ</t>
    </rPh>
    <rPh sb="41" eb="43">
      <t>ヒツヨウ</t>
    </rPh>
    <rPh sb="43" eb="45">
      <t>ヘヤ</t>
    </rPh>
    <rPh sb="45" eb="46">
      <t>カズ</t>
    </rPh>
    <rPh sb="47" eb="48">
      <t>カリ</t>
    </rPh>
    <phoneticPr fontId="59"/>
  </si>
  <si>
    <t>◆競技別仮配宿表（案）_APCファミリー／本部ホテル</t>
    <rPh sb="21" eb="23">
      <t>ホンブ</t>
    </rPh>
    <phoneticPr fontId="59"/>
  </si>
  <si>
    <t>作成日：2024年5月30日　</t>
    <phoneticPr fontId="59"/>
  </si>
  <si>
    <t>APCファミリー推計人数</t>
    <phoneticPr fontId="59"/>
  </si>
  <si>
    <t>施設番号</t>
    <rPh sb="0" eb="2">
      <t>シセツ</t>
    </rPh>
    <rPh sb="2" eb="4">
      <t>バンゴウ</t>
    </rPh>
    <phoneticPr fontId="2"/>
  </si>
  <si>
    <t>提供客室数</t>
    <rPh sb="2" eb="5">
      <t>キャクシツスウ</t>
    </rPh>
    <phoneticPr fontId="2"/>
  </si>
  <si>
    <t>保有客室数</t>
    <rPh sb="2" eb="5">
      <t>キャクシツスウ</t>
    </rPh>
    <phoneticPr fontId="2"/>
  </si>
  <si>
    <t>乗降場
有無</t>
    <phoneticPr fontId="59"/>
  </si>
  <si>
    <t>バンケット
有無</t>
    <rPh sb="6" eb="8">
      <t>ウム</t>
    </rPh>
    <phoneticPr fontId="59"/>
  </si>
  <si>
    <t>ﾌｨｯﾄﾈｽ
有無</t>
    <rPh sb="7" eb="9">
      <t>ウム</t>
    </rPh>
    <phoneticPr fontId="59"/>
  </si>
  <si>
    <t>利用室数</t>
    <rPh sb="0" eb="4">
      <t>リヨウシツスウ</t>
    </rPh>
    <phoneticPr fontId="2"/>
  </si>
  <si>
    <t>ヒルトン名古屋</t>
    <rPh sb="4" eb="7">
      <t>ナゴヤ</t>
    </rPh>
    <phoneticPr fontId="59"/>
  </si>
  <si>
    <t>21分/10.0㎞</t>
    <phoneticPr fontId="59"/>
  </si>
  <si>
    <t>APCファミリー
本部ホテル</t>
    <rPh sb="9" eb="11">
      <t>ホンブ</t>
    </rPh>
    <phoneticPr fontId="59"/>
  </si>
  <si>
    <t>？</t>
    <phoneticPr fontId="59"/>
  </si>
  <si>
    <t>代案：コートヤード・バイ・マリオット名古屋</t>
    <rPh sb="0" eb="2">
      <t>ダイアン</t>
    </rPh>
    <phoneticPr fontId="2"/>
  </si>
  <si>
    <t>ストリングスホテル 名古屋</t>
    <phoneticPr fontId="2"/>
  </si>
  <si>
    <t>NPCファミリー
本部ホテル</t>
    <rPh sb="9" eb="11">
      <t>ホンブ</t>
    </rPh>
    <phoneticPr fontId="59"/>
  </si>
  <si>
    <t>！？</t>
    <phoneticPr fontId="2"/>
  </si>
  <si>
    <t>◆競技別仮配宿表（案）_スポンサー</t>
    <phoneticPr fontId="59"/>
  </si>
  <si>
    <t>推計人数</t>
    <phoneticPr fontId="59"/>
  </si>
  <si>
    <t>配宿室数</t>
    <rPh sb="0" eb="2">
      <t>ハイシュク</t>
    </rPh>
    <rPh sb="2" eb="3">
      <t>シツ</t>
    </rPh>
    <rPh sb="3" eb="4">
      <t>スウ</t>
    </rPh>
    <phoneticPr fontId="2"/>
  </si>
  <si>
    <t>17分/9.8㎞</t>
    <phoneticPr fontId="2"/>
  </si>
  <si>
    <t>あり/なし</t>
    <phoneticPr fontId="59"/>
  </si>
  <si>
    <t>スポンサー</t>
    <rPh sb="0" eb="5">
      <t>ホンブ</t>
    </rPh>
    <phoneticPr fontId="59"/>
  </si>
  <si>
    <t>1560
（室）</t>
    <rPh sb="6" eb="7">
      <t>シツ</t>
    </rPh>
    <phoneticPr fontId="2"/>
  </si>
  <si>
    <t>26
※元の数式に従って計算</t>
    <rPh sb="4" eb="5">
      <t>モト</t>
    </rPh>
    <rPh sb="6" eb="8">
      <t>スウシキ</t>
    </rPh>
    <rPh sb="9" eb="10">
      <t>シタガ</t>
    </rPh>
    <rPh sb="12" eb="14">
      <t>ケイサン</t>
    </rPh>
    <phoneticPr fontId="2"/>
  </si>
  <si>
    <t>18分/9.8㎞</t>
    <phoneticPr fontId="2"/>
  </si>
  <si>
    <t>21分/10.2㎞</t>
    <phoneticPr fontId="2"/>
  </si>
  <si>
    <t>あり
*条件付き</t>
    <rPh sb="4" eb="7">
      <t>ジョウケンツ</t>
    </rPh>
    <phoneticPr fontId="59"/>
  </si>
  <si>
    <t>ホテルインディゴ犬山有楽苑</t>
    <rPh sb="8" eb="10">
      <t>イヌヤマ</t>
    </rPh>
    <rPh sb="10" eb="11">
      <t>アリ</t>
    </rPh>
    <rPh sb="11" eb="12">
      <t>ラク</t>
    </rPh>
    <rPh sb="12" eb="13">
      <t>エン</t>
    </rPh>
    <phoneticPr fontId="59"/>
  </si>
  <si>
    <t>あり</t>
    <phoneticPr fontId="2"/>
  </si>
  <si>
    <t>あり/あり</t>
    <phoneticPr fontId="2"/>
  </si>
  <si>
    <t>コンラッド名古屋</t>
    <rPh sb="5" eb="8">
      <t>ナゴヤ</t>
    </rPh>
    <phoneticPr fontId="59"/>
  </si>
  <si>
    <t>ザロイヤルパークアイコニック名古屋</t>
    <phoneticPr fontId="59"/>
  </si>
  <si>
    <t>LEGOLAND Japan Hotel</t>
    <phoneticPr fontId="59"/>
  </si>
  <si>
    <t>不可</t>
    <rPh sb="0" eb="2">
      <t>フカ</t>
    </rPh>
    <phoneticPr fontId="2"/>
  </si>
  <si>
    <t>提供不可</t>
    <rPh sb="0" eb="2">
      <t>テイキョウ</t>
    </rPh>
    <rPh sb="2" eb="4">
      <t>フカ</t>
    </rPh>
    <phoneticPr fontId="59"/>
  </si>
  <si>
    <t>パルコの上にあって、選手等には使いにくいため、スポンサーやメディアに配宿したい。</t>
    <rPh sb="4" eb="5">
      <t>ウエ</t>
    </rPh>
    <rPh sb="10" eb="12">
      <t>センシュ</t>
    </rPh>
    <rPh sb="12" eb="13">
      <t>トウ</t>
    </rPh>
    <rPh sb="15" eb="16">
      <t>ツカ</t>
    </rPh>
    <rPh sb="34" eb="36">
      <t>ハイシュク</t>
    </rPh>
    <phoneticPr fontId="2"/>
  </si>
  <si>
    <t>サイプレスホテル名古屋駅前</t>
    <phoneticPr fontId="59"/>
  </si>
  <si>
    <t>チェーンホテルのため、マーケに受け入れられない恐れ</t>
    <rPh sb="15" eb="16">
      <t>ウ</t>
    </rPh>
    <rPh sb="17" eb="18">
      <t>イ</t>
    </rPh>
    <rPh sb="23" eb="24">
      <t>オソ</t>
    </rPh>
    <phoneticPr fontId="59"/>
  </si>
  <si>
    <t>ベッセルホテルカンパーナ名古屋</t>
    <rPh sb="12" eb="15">
      <t>ナゴヤ</t>
    </rPh>
    <phoneticPr fontId="59"/>
  </si>
  <si>
    <t>可</t>
    <phoneticPr fontId="59"/>
  </si>
  <si>
    <t>なし</t>
    <phoneticPr fontId="2"/>
  </si>
  <si>
    <t>審判で使う可能性有
ブラインドフットボール/テコンドーの代案</t>
    <rPh sb="0" eb="2">
      <t>シンパン</t>
    </rPh>
    <rPh sb="3" eb="4">
      <t>ツカ</t>
    </rPh>
    <rPh sb="5" eb="8">
      <t>カノウセイ</t>
    </rPh>
    <rPh sb="8" eb="9">
      <t>アリ</t>
    </rPh>
    <rPh sb="28" eb="30">
      <t>ダイアン</t>
    </rPh>
    <phoneticPr fontId="2"/>
  </si>
  <si>
    <t>提供客室</t>
    <rPh sb="0" eb="4">
      <t>テイキョウキャクシツ</t>
    </rPh>
    <phoneticPr fontId="2"/>
  </si>
  <si>
    <t>メディア配宿シミュレーション（パラ）</t>
    <rPh sb="4" eb="6">
      <t>ハイシュク</t>
    </rPh>
    <phoneticPr fontId="59"/>
  </si>
  <si>
    <t>保有</t>
    <rPh sb="0" eb="2">
      <t>ホユウ</t>
    </rPh>
    <phoneticPr fontId="59"/>
  </si>
  <si>
    <t>提供</t>
    <rPh sb="0" eb="2">
      <t>テイキョウ</t>
    </rPh>
    <phoneticPr fontId="59"/>
  </si>
  <si>
    <t>配宿人数</t>
    <rPh sb="0" eb="2">
      <t>ハイシュク</t>
    </rPh>
    <rPh sb="2" eb="4">
      <t>ニンズウ</t>
    </rPh>
    <phoneticPr fontId="59"/>
  </si>
  <si>
    <t>第一富士ホテル</t>
    <rPh sb="0" eb="4">
      <t>ダイイチフジ</t>
    </rPh>
    <phoneticPr fontId="59"/>
  </si>
  <si>
    <t>相鉄フレッサイン名古屋駅新幹線口</t>
    <rPh sb="0" eb="2">
      <t>ソウテツ</t>
    </rPh>
    <rPh sb="8" eb="12">
      <t>ナゴヤエキ</t>
    </rPh>
    <rPh sb="12" eb="16">
      <t>シンカンセングチ</t>
    </rPh>
    <phoneticPr fontId="59"/>
  </si>
  <si>
    <t>配宿SH（アジア）</t>
    <rPh sb="0" eb="2">
      <t>ハイシュク</t>
    </rPh>
    <phoneticPr fontId="2"/>
  </si>
  <si>
    <t>配宿SH（アジア）_2</t>
    <phoneticPr fontId="2"/>
  </si>
  <si>
    <t>配宿SH（アジア）_3</t>
    <phoneticPr fontId="2"/>
  </si>
  <si>
    <t>配宿SH（パラ）</t>
    <rPh sb="0" eb="2">
      <t>ハイシュク</t>
    </rPh>
    <phoneticPr fontId="2"/>
  </si>
  <si>
    <t>配宿SH（パラ）_2</t>
    <phoneticPr fontId="2"/>
  </si>
  <si>
    <t>施設名</t>
    <rPh sb="0" eb="2">
      <t>シセツ</t>
    </rPh>
    <rPh sb="2" eb="3">
      <t>メイ</t>
    </rPh>
    <phoneticPr fontId="2"/>
  </si>
  <si>
    <t>☆</t>
    <phoneticPr fontId="2"/>
  </si>
  <si>
    <t>必要室数 計</t>
    <rPh sb="5" eb="6">
      <t>ケイ</t>
    </rPh>
    <phoneticPr fontId="2"/>
  </si>
  <si>
    <t>必要室数</t>
    <phoneticPr fontId="2"/>
  </si>
  <si>
    <t>宿泊人数</t>
    <phoneticPr fontId="2"/>
  </si>
  <si>
    <t>宿泊人数 計</t>
    <rPh sb="5" eb="6">
      <t>ケイ</t>
    </rPh>
    <phoneticPr fontId="2"/>
  </si>
  <si>
    <t>宿泊関連費_宿泊費</t>
    <rPh sb="0" eb="2">
      <t>シュクハク</t>
    </rPh>
    <rPh sb="2" eb="5">
      <t>カンレンヒ</t>
    </rPh>
    <rPh sb="6" eb="8">
      <t>シュクハク</t>
    </rPh>
    <rPh sb="8" eb="9">
      <t>ヒ</t>
    </rPh>
    <phoneticPr fontId="2"/>
  </si>
  <si>
    <t>金額はここへ入力</t>
    <rPh sb="0" eb="2">
      <t>キンガク</t>
    </rPh>
    <rPh sb="6" eb="8">
      <t>ニュウリョク</t>
    </rPh>
    <phoneticPr fontId="2"/>
  </si>
  <si>
    <t>保有</t>
    <phoneticPr fontId="2"/>
  </si>
  <si>
    <t>提供</t>
    <phoneticPr fontId="2"/>
  </si>
  <si>
    <t>タイプ</t>
    <phoneticPr fontId="2"/>
  </si>
  <si>
    <t>価格</t>
    <phoneticPr fontId="2"/>
  </si>
  <si>
    <t>項目コード</t>
    <rPh sb="0" eb="2">
      <t>コウモク</t>
    </rPh>
    <phoneticPr fontId="2"/>
  </si>
  <si>
    <t>単価</t>
  </si>
  <si>
    <t>室数</t>
    <rPh sb="0" eb="2">
      <t>シツスウ</t>
    </rPh>
    <phoneticPr fontId="2"/>
  </si>
  <si>
    <t>金額</t>
  </si>
  <si>
    <t>備考</t>
  </si>
  <si>
    <t>ヒアリングシートの金額</t>
    <rPh sb="9" eb="11">
      <t>キンガク</t>
    </rPh>
    <phoneticPr fontId="2"/>
  </si>
  <si>
    <t>小   計</t>
  </si>
  <si>
    <t>消費税</t>
    <rPh sb="0" eb="3">
      <t>ショウヒゼイ</t>
    </rPh>
    <phoneticPr fontId="2"/>
  </si>
  <si>
    <t>合   計</t>
    <rPh sb="0" eb="1">
      <t>ゴウ</t>
    </rPh>
    <rPh sb="4" eb="5">
      <t>ケイ</t>
    </rPh>
    <phoneticPr fontId="2"/>
  </si>
  <si>
    <t>宿泊関連費_飲食費</t>
    <rPh sb="0" eb="2">
      <t>シュクハク</t>
    </rPh>
    <rPh sb="2" eb="4">
      <t>カンレン</t>
    </rPh>
    <rPh sb="4" eb="5">
      <t>ヒ</t>
    </rPh>
    <rPh sb="6" eb="9">
      <t>インショクヒ</t>
    </rPh>
    <phoneticPr fontId="2"/>
  </si>
  <si>
    <t>数量</t>
    <rPh sb="0" eb="2">
      <t>スウリョウ</t>
    </rPh>
    <phoneticPr fontId="2"/>
  </si>
  <si>
    <t>施設利用関連費</t>
    <rPh sb="0" eb="2">
      <t>シセツ</t>
    </rPh>
    <rPh sb="2" eb="4">
      <t>リヨウ</t>
    </rPh>
    <rPh sb="4" eb="7">
      <t>カンレンヒ</t>
    </rPh>
    <phoneticPr fontId="2"/>
  </si>
  <si>
    <t>有線LAN</t>
    <rPh sb="0" eb="2">
      <t>ユウセン</t>
    </rPh>
    <phoneticPr fontId="2"/>
  </si>
  <si>
    <t>1日当たり 合 計</t>
    <rPh sb="1" eb="3">
      <t>ニチア</t>
    </rPh>
    <rPh sb="6" eb="7">
      <t>ゴウ</t>
    </rPh>
    <rPh sb="8" eb="9">
      <t>ケイ</t>
    </rPh>
    <phoneticPr fontId="2"/>
  </si>
  <si>
    <t>＜備 考＞</t>
    <rPh sb="1" eb="2">
      <t>ビ</t>
    </rPh>
    <rPh sb="3" eb="4">
      <t>コウ</t>
    </rPh>
    <phoneticPr fontId="2"/>
  </si>
  <si>
    <t>ｺﾝﾌｫｰﾄﾂｲﾝ</t>
  </si>
  <si>
    <t>ツイン</t>
    <phoneticPr fontId="2"/>
  </si>
  <si>
    <t>ダブル</t>
    <phoneticPr fontId="2"/>
  </si>
  <si>
    <t>価格不明</t>
    <rPh sb="0" eb="4">
      <t>カカクフメイ</t>
    </rPh>
    <phoneticPr fontId="2"/>
  </si>
  <si>
    <t>バリアフリーツイン</t>
  </si>
  <si>
    <t>ジュニアスイート</t>
  </si>
  <si>
    <t>収容80、分割不可</t>
    <rPh sb="0" eb="2">
      <t>シュウヨウ</t>
    </rPh>
    <rPh sb="5" eb="9">
      <t>ブンカツフカ</t>
    </rPh>
    <phoneticPr fontId="2"/>
  </si>
  <si>
    <t>和室</t>
  </si>
  <si>
    <t>シングル</t>
    <phoneticPr fontId="2"/>
  </si>
  <si>
    <t>和室</t>
    <rPh sb="0" eb="2">
      <t>ワシツ</t>
    </rPh>
    <phoneticPr fontId="2"/>
  </si>
  <si>
    <t>トリプル</t>
    <phoneticPr fontId="2"/>
  </si>
  <si>
    <t>スイート</t>
    <phoneticPr fontId="2"/>
  </si>
  <si>
    <t>無線LAN</t>
    <rPh sb="0" eb="2">
      <t>ムセン</t>
    </rPh>
    <phoneticPr fontId="2"/>
  </si>
  <si>
    <t>孔雀の間</t>
  </si>
  <si>
    <t>和洋室</t>
  </si>
  <si>
    <t>カトレア</t>
  </si>
  <si>
    <t>ｺﾝﾌｫｰﾄﾀﾞﾌﾞﾙ</t>
  </si>
  <si>
    <t>昼食代</t>
    <rPh sb="0" eb="2">
      <t>チュウショク</t>
    </rPh>
    <rPh sb="2" eb="3">
      <t>ダイ</t>
    </rPh>
    <phoneticPr fontId="2"/>
  </si>
  <si>
    <t>シングルA</t>
  </si>
  <si>
    <t>シングルB</t>
  </si>
  <si>
    <t>ダブル</t>
  </si>
  <si>
    <t>名古屋マリオットアソシアホテル</t>
    <phoneticPr fontId="2"/>
  </si>
  <si>
    <t>スタンダードダブルルーム</t>
    <phoneticPr fontId="2"/>
  </si>
  <si>
    <t>スタンダードツインルーム</t>
    <phoneticPr fontId="2"/>
  </si>
  <si>
    <t>デラックスダブルルーム</t>
    <phoneticPr fontId="2"/>
  </si>
  <si>
    <t>デラックスツインルーム</t>
    <phoneticPr fontId="2"/>
  </si>
  <si>
    <t>アクセシブルルーム</t>
    <phoneticPr fontId="2"/>
  </si>
  <si>
    <t>和洋室</t>
    <rPh sb="0" eb="3">
      <t>ワヨウシツ</t>
    </rPh>
    <phoneticPr fontId="2"/>
  </si>
  <si>
    <t>ファミリーフォース</t>
    <phoneticPr fontId="2"/>
  </si>
  <si>
    <t>スタンダードシングル</t>
  </si>
  <si>
    <t>エグゼクティブシングル</t>
  </si>
  <si>
    <t>スタンダードツイン</t>
  </si>
  <si>
    <t>レディースルーム</t>
  </si>
  <si>
    <t>ユニバーサルツイン</t>
  </si>
  <si>
    <t>ツイン</t>
  </si>
  <si>
    <t>デラックスダブル</t>
  </si>
  <si>
    <t>スーペリアダブル</t>
  </si>
  <si>
    <t>スーペリアツイン</t>
  </si>
  <si>
    <t>収容110、分割不可</t>
    <rPh sb="0" eb="2">
      <t>シュウヨウ</t>
    </rPh>
    <rPh sb="6" eb="10">
      <t>ブンカツフカ</t>
    </rPh>
    <phoneticPr fontId="2"/>
  </si>
  <si>
    <t>モデレートツイン</t>
  </si>
  <si>
    <t>ファンクションルーム利用費（1）</t>
    <rPh sb="10" eb="13">
      <t>リヨウヒ</t>
    </rPh>
    <phoneticPr fontId="2"/>
  </si>
  <si>
    <t>ファンクションルーム利用費（2）</t>
    <rPh sb="10" eb="13">
      <t>リヨウヒ</t>
    </rPh>
    <phoneticPr fontId="2"/>
  </si>
  <si>
    <t>スカイキング</t>
  </si>
  <si>
    <t>スカイツイン・キング可変</t>
    <rPh sb="10" eb="12">
      <t>カヘン</t>
    </rPh>
    <phoneticPr fontId="2"/>
  </si>
  <si>
    <t>スカイツイン（TP可能）</t>
  </si>
  <si>
    <t>スカイツイン（コネクト可能）</t>
  </si>
  <si>
    <t>デラックスコーナーキング</t>
  </si>
  <si>
    <t>デラックスコーナーツイン</t>
  </si>
  <si>
    <t>プレミアムコーナーキング</t>
  </si>
  <si>
    <t>プレミアムコーナーツイン</t>
  </si>
  <si>
    <t>プレミアムコーナーユニバーサルツイン</t>
    <phoneticPr fontId="2"/>
  </si>
  <si>
    <t>ダブルルーム</t>
  </si>
  <si>
    <t>ツインルーム</t>
  </si>
  <si>
    <t>デラックスツインルーム</t>
  </si>
  <si>
    <t>デラックスツイン</t>
  </si>
  <si>
    <t>デラックスダブル</t>
    <phoneticPr fontId="2"/>
  </si>
  <si>
    <t>ユニバーサルルーム</t>
  </si>
  <si>
    <t>錦</t>
  </si>
  <si>
    <t>楓</t>
  </si>
  <si>
    <t>ヒルトンフロア</t>
  </si>
  <si>
    <t>デラックスフロア</t>
  </si>
  <si>
    <t>エグゼクティブフロア</t>
  </si>
  <si>
    <t>プレミアムエグゼクティブフロア</t>
  </si>
  <si>
    <t>ジャパニーズスイート</t>
  </si>
  <si>
    <t>エグゼクティブスイート</t>
  </si>
  <si>
    <t>デラックスエグゼクティブスイート</t>
  </si>
  <si>
    <t>ヒルトンルーム
【エアラインクルー用客室買取価格】</t>
    <rPh sb="17" eb="18">
      <t>ヨウ</t>
    </rPh>
    <rPh sb="18" eb="20">
      <t>キャクシツ</t>
    </rPh>
    <rPh sb="20" eb="22">
      <t>カイトリ</t>
    </rPh>
    <rPh sb="22" eb="24">
      <t>カカク</t>
    </rPh>
    <phoneticPr fontId="2"/>
  </si>
  <si>
    <t>プレミアムシングル</t>
  </si>
  <si>
    <t>スタンダードダブル</t>
  </si>
  <si>
    <t>プレミアムツイン</t>
  </si>
  <si>
    <t>バリアフリールーム</t>
  </si>
  <si>
    <t>使用室数 計</t>
    <rPh sb="0" eb="2">
      <t>シヨウ</t>
    </rPh>
    <rPh sb="2" eb="3">
      <t>シツ</t>
    </rPh>
    <rPh sb="3" eb="4">
      <t>スウ</t>
    </rPh>
    <rPh sb="5" eb="6">
      <t>ケイ</t>
    </rPh>
    <phoneticPr fontId="2"/>
  </si>
  <si>
    <t>使用室数</t>
    <rPh sb="0" eb="2">
      <t>シヨウ</t>
    </rPh>
    <rPh sb="2" eb="4">
      <t>シツスウ</t>
    </rPh>
    <phoneticPr fontId="2"/>
  </si>
  <si>
    <t>想定配宿人数 計</t>
    <rPh sb="0" eb="2">
      <t>ソウテイ</t>
    </rPh>
    <rPh sb="2" eb="4">
      <t>ハイシュク</t>
    </rPh>
    <rPh sb="4" eb="6">
      <t>ニンズウ</t>
    </rPh>
    <rPh sb="7" eb="8">
      <t>ケイ</t>
    </rPh>
    <phoneticPr fontId="2"/>
  </si>
  <si>
    <t>シングルルーム</t>
  </si>
  <si>
    <t>トリプルルーム（ベッド2＋ソファベッド)</t>
  </si>
  <si>
    <t>スイートルーム</t>
  </si>
  <si>
    <t>スーペリアシングル</t>
  </si>
  <si>
    <t>エグゼクティブダブルA・C</t>
  </si>
  <si>
    <t>スーペリアツインA・B</t>
  </si>
  <si>
    <t>スーペリアツインC</t>
  </si>
  <si>
    <t>エグゼクティブツインA・C</t>
  </si>
  <si>
    <t>コーナースイート</t>
  </si>
  <si>
    <t>プレジデンシャルスイート</t>
  </si>
  <si>
    <t>ロイヤルスイート</t>
  </si>
  <si>
    <t>ロイヤルスイート　メゾネット</t>
  </si>
  <si>
    <t>セミダブル</t>
    <phoneticPr fontId="2"/>
  </si>
  <si>
    <t>スタンダードツイン</t>
    <phoneticPr fontId="2"/>
  </si>
  <si>
    <t>デラックスツイン</t>
    <phoneticPr fontId="2"/>
  </si>
  <si>
    <t>シンプルクイーン</t>
  </si>
  <si>
    <t>スーペリアクイーン</t>
  </si>
  <si>
    <t>プレミアクイーン</t>
  </si>
  <si>
    <t>コンフォートツイン</t>
  </si>
  <si>
    <t>シンプルツイン</t>
  </si>
  <si>
    <t>プレミアツイン</t>
  </si>
  <si>
    <t>ユニバーサルデザインツイン</t>
  </si>
  <si>
    <t>エコノミーツイン</t>
  </si>
  <si>
    <t>ハリウッドツイン</t>
  </si>
  <si>
    <t>スーペリアツイン</t>
    <phoneticPr fontId="2"/>
  </si>
  <si>
    <t>トリプル</t>
  </si>
  <si>
    <t>ジャパニーズスイート</t>
    <phoneticPr fontId="2"/>
  </si>
  <si>
    <t>和室12畳</t>
  </si>
  <si>
    <t>和室8畳</t>
  </si>
  <si>
    <t>バリアフリー</t>
  </si>
  <si>
    <t>非課税</t>
    <rPh sb="0" eb="3">
      <t>ヒカゼイ</t>
    </rPh>
    <phoneticPr fontId="2"/>
  </si>
  <si>
    <t>ハリウッドツイン・スクエアツイン</t>
  </si>
  <si>
    <t>東館</t>
    <rPh sb="0" eb="2">
      <t>ヒガシカン</t>
    </rPh>
    <phoneticPr fontId="2"/>
  </si>
  <si>
    <t>ジュニアスイートツイン</t>
  </si>
  <si>
    <t>ジュニアスイートツインキング</t>
  </si>
  <si>
    <t>プレミアムキング</t>
  </si>
  <si>
    <t>スタンダードダブル（パシフィックサイド）</t>
  </si>
  <si>
    <t>スーペリアツインB（パシフィックサイド）</t>
  </si>
  <si>
    <t>スーペリアツインC（パシフィックサイド）</t>
  </si>
  <si>
    <t>ハローキティルーム（パシフィックサイド）</t>
  </si>
  <si>
    <t>ANAルーム（パシフィックサイド）</t>
  </si>
  <si>
    <t>ユニバーサルルーム
（セントラルサイド）</t>
  </si>
  <si>
    <t>スタンダードシングル
（セントラルサイド）</t>
  </si>
  <si>
    <t>スイート
（セントラルサイド）</t>
  </si>
  <si>
    <t>エコノミーシングル
（セントラルサイド）</t>
  </si>
  <si>
    <t>会議室</t>
  </si>
  <si>
    <t>和室(12.5畳+広縁5畳）</t>
  </si>
  <si>
    <t>和室【17.5畳（30平米）】</t>
  </si>
  <si>
    <t>和洋室【17.5畳（30平米）】</t>
  </si>
  <si>
    <t>ｺﾝﾌｫｰﾄﾌﾟﾚﾐｱﾑﾂｲﾝ</t>
  </si>
  <si>
    <t>プレミアムダブル</t>
  </si>
  <si>
    <t>プレミアムモデレートダブル</t>
  </si>
  <si>
    <t>プレミアムシェラトンスーパーキング</t>
    <phoneticPr fontId="2"/>
  </si>
  <si>
    <t>シェラトンジュニアスイート</t>
  </si>
  <si>
    <t>プレミアムスタンダードダブル</t>
  </si>
  <si>
    <t>プレミアムデラックスダブル</t>
  </si>
  <si>
    <t>プレミアムデラックスツイン</t>
  </si>
  <si>
    <t>ユニバーサルスイート</t>
  </si>
  <si>
    <t>プレミアムシェラトンスイート</t>
  </si>
  <si>
    <t>インペリアルスイート</t>
  </si>
  <si>
    <t>＜備 考＞全ファンクションルーム有線LANは同時刻1会場のみ接続可</t>
    <rPh sb="5" eb="6">
      <t>ゼン</t>
    </rPh>
    <rPh sb="16" eb="18">
      <t>ユウセン</t>
    </rPh>
    <rPh sb="22" eb="25">
      <t>ドウジコク</t>
    </rPh>
    <rPh sb="26" eb="28">
      <t>カイジョウ</t>
    </rPh>
    <rPh sb="30" eb="33">
      <t>セツゾクカ</t>
    </rPh>
    <phoneticPr fontId="2"/>
  </si>
  <si>
    <t xml:space="preserve">             全ファンクションルーム無線LANは利用費無料</t>
    <phoneticPr fontId="2"/>
  </si>
  <si>
    <t xml:space="preserve">             大阪府の宿泊税は、1人1泊あたりの宿泊料金20,000円以上を想定した場合の税額にて計上
</t>
    <rPh sb="15" eb="16">
      <t>フ</t>
    </rPh>
    <rPh sb="44" eb="46">
      <t>ソウテイ</t>
    </rPh>
    <rPh sb="48" eb="50">
      <t>バアイ</t>
    </rPh>
    <rPh sb="51" eb="53">
      <t>ゼイガク</t>
    </rPh>
    <phoneticPr fontId="2"/>
  </si>
  <si>
    <t>セミダブルルーム</t>
  </si>
  <si>
    <t>ノースウィングデラックスルーム</t>
    <phoneticPr fontId="2"/>
  </si>
  <si>
    <t>ファミリールーム</t>
  </si>
  <si>
    <t>ゲストハウス　デラックスルーム(ツイン)</t>
  </si>
  <si>
    <t>センターハウス</t>
  </si>
  <si>
    <t>ゲストハウス　特別室(ツイン)</t>
  </si>
  <si>
    <t>タウンビューツイン</t>
  </si>
  <si>
    <t>スタイリッシュツイン</t>
  </si>
  <si>
    <t>眺望風呂付特別和室</t>
  </si>
  <si>
    <t>岐阜モダン和室</t>
  </si>
  <si>
    <t>リバービューツイン</t>
  </si>
  <si>
    <t>パノラマスイート</t>
  </si>
  <si>
    <t>デラックスシングル</t>
  </si>
  <si>
    <t>スタンダードトリプル</t>
  </si>
  <si>
    <t>ホテルコンコルド浜松</t>
    <phoneticPr fontId="2"/>
  </si>
  <si>
    <t>宴会場</t>
    <rPh sb="0" eb="3">
      <t>エンカイジョウ</t>
    </rPh>
    <phoneticPr fontId="2"/>
  </si>
  <si>
    <t>コンフォートホテル浜松</t>
    <phoneticPr fontId="2"/>
  </si>
  <si>
    <t>東横INN名古屋尾張一宮駅前</t>
  </si>
  <si>
    <t>愛知県一宮市栄4-4-10</t>
  </si>
  <si>
    <t>愛知県一宮市新生1-2-11</t>
  </si>
  <si>
    <t>一宮グリーンホテル</t>
  </si>
  <si>
    <t>愛知県一宮市栄1-6-1</t>
  </si>
  <si>
    <t>愛知県春日井市松新町1-5</t>
  </si>
  <si>
    <t>ホテルテトラ春日井ステーションホテル</t>
  </si>
  <si>
    <t>愛知県春日井市上条町1-201</t>
  </si>
  <si>
    <t>春日井中央ホテル</t>
  </si>
  <si>
    <t>愛知県春日井市中央通1-71</t>
  </si>
  <si>
    <t>ビジネスホテルキャッスルイン小牧</t>
  </si>
  <si>
    <t>愛知県小牧市曙町127</t>
  </si>
  <si>
    <t>ルートイングランティア小牧</t>
  </si>
  <si>
    <t>選手</t>
  </si>
  <si>
    <t>小牧セントラルホテル</t>
  </si>
  <si>
    <t>愛知県小牧市外山730</t>
  </si>
  <si>
    <t>愛知県小牧市中央1-260</t>
  </si>
  <si>
    <t>アズイン大府</t>
  </si>
  <si>
    <t>愛知県大府市中央町3-96-1</t>
  </si>
  <si>
    <t>大府市</t>
  </si>
  <si>
    <t>知多郡</t>
  </si>
  <si>
    <t>愛知県名古屋市千種区覚王山通8-18</t>
  </si>
  <si>
    <t>愛知県名古屋市千種区内山3-31-7</t>
  </si>
  <si>
    <t>愛知県名古屋市東区東桜2-10-24</t>
  </si>
  <si>
    <t>くれたけイン名古屋久屋大通</t>
  </si>
  <si>
    <t>愛知県名古屋市東区泉1丁目12-32</t>
  </si>
  <si>
    <t>愛知県名古屋市西区名駅2丁目21-12</t>
  </si>
  <si>
    <t>HOTEL LiVEMAX名古屋桜通口</t>
  </si>
  <si>
    <t>愛知県名古屋市西区那古野2-26-4</t>
  </si>
  <si>
    <t>愛知県名古屋市中村区椿町13-17</t>
  </si>
  <si>
    <t>ビジネスホテル第三スター名古屋</t>
  </si>
  <si>
    <t>愛知県名古屋市中村区椿町11-4</t>
  </si>
  <si>
    <t>愛知県名古屋市中村区名駅2-35-24</t>
  </si>
  <si>
    <t>Station in Nagoya</t>
  </si>
  <si>
    <t>愛知県名古屋市中村区名駅3-11-18</t>
  </si>
  <si>
    <t>愛知県名古屋市中村区名駅3-16-1</t>
  </si>
  <si>
    <t>愛知県名古屋市中村区名駅2-43-6</t>
  </si>
  <si>
    <t>愛知県名古屋市中村区名駅1-1-4</t>
  </si>
  <si>
    <t>25</t>
  </si>
  <si>
    <t>愛知県名古屋市中村区椿町7-23</t>
  </si>
  <si>
    <t>愛知県名古屋市中村区亀島2-12-6</t>
  </si>
  <si>
    <t>愛知県名古屋市中村区則武1-12-8</t>
  </si>
  <si>
    <t>愛知県名古屋市中村区太閤3-10-6</t>
  </si>
  <si>
    <t>愛知県名古屋市中村区椿町15-4</t>
  </si>
  <si>
    <t xml:space="preserve">愛知県名古屋市中村区竹橋町5-6 </t>
  </si>
  <si>
    <t>名鉄グランドホテル</t>
  </si>
  <si>
    <t>愛知県名古屋市中村区名駅1-2-4</t>
  </si>
  <si>
    <t>愛知県名古屋市中村区名駅南１丁目23-20</t>
  </si>
  <si>
    <t>愛知県名古屋市中村区椿町1-23</t>
  </si>
  <si>
    <t>愛知県名古屋市中村区名駅3-17-21</t>
  </si>
  <si>
    <t>愛知県名古屋市中村区竹橋町4-5</t>
  </si>
  <si>
    <t>238</t>
  </si>
  <si>
    <t>愛知県名古屋市中村区名駅3丁目23-13</t>
  </si>
  <si>
    <t>ホテルリソル名古屋</t>
  </si>
  <si>
    <t>愛知県名古屋市中村区名駅3-25-6</t>
  </si>
  <si>
    <t>愛知県名古屋市中村区平池町4-60-7</t>
  </si>
  <si>
    <t>本部</t>
  </si>
  <si>
    <t>愛知県名古屋市中村区亀島2-12-3</t>
  </si>
  <si>
    <t>ナゴヤエキ アクセスホテル</t>
  </si>
  <si>
    <t>愛知県名古屋市中村区椿町11-15</t>
  </si>
  <si>
    <t>愛知県名古屋市中村区名駅4-11-27</t>
  </si>
  <si>
    <t>愛知県名古屋市中村区椿町18-10</t>
  </si>
  <si>
    <t>愛知県名古屋市中村区則武1丁目6番3号</t>
  </si>
  <si>
    <t>愛知県名古屋市中村区名駅1-1-3</t>
  </si>
  <si>
    <t>HOTEL LiVEMAX名駅</t>
  </si>
  <si>
    <t>愛知県名古屋市中村区名駅南1-11-5-1</t>
  </si>
  <si>
    <t>愛知県名古屋市中村区平池町4-60-12</t>
  </si>
  <si>
    <t>くれたけインプレミアム名古屋納屋橋</t>
  </si>
  <si>
    <t>愛知県名古屋市中村区名駅南1丁目2番12号</t>
  </si>
  <si>
    <t>愛知県名古屋市中村区椿町7-4</t>
  </si>
  <si>
    <t>愛知県名古屋市中村区名駅南2-3-30</t>
  </si>
  <si>
    <t>HOTEL LiVEMAXBUDGET名古屋太閤通口</t>
  </si>
  <si>
    <t>愛知県名古屋市中村区太閤4-9-25</t>
  </si>
  <si>
    <t>愛知県名古屋市中村区椿町9-13</t>
  </si>
  <si>
    <t>ベッセルホテルカンパーナ名古屋</t>
  </si>
  <si>
    <t>愛知県名古屋市中村区名駅2-30-7</t>
  </si>
  <si>
    <t>アットインホテル名古屋駅</t>
  </si>
  <si>
    <t>愛知県名古屋市中村区名駅4-22-21</t>
  </si>
  <si>
    <t>Hamilton Hotel -BLUE-名駅南</t>
  </si>
  <si>
    <t>愛知県名古屋市中村区名駅南1-11-8</t>
  </si>
  <si>
    <t>愛知県名古屋市中村区椿町21-20</t>
  </si>
  <si>
    <t>愛知県名古屋市中村区則武2-2-13</t>
  </si>
  <si>
    <t>愛知県名古屋市中村区則武1-13-7</t>
  </si>
  <si>
    <t>愛知県名古屋市中村区名駅4-4-15</t>
  </si>
  <si>
    <t>愛知県名古屋市中村区名駅3-21-7</t>
  </si>
  <si>
    <t>愛知県名古屋市中村区名駅5-20-13</t>
  </si>
  <si>
    <t>愛知県名古屋市中村区則武1-2-4</t>
  </si>
  <si>
    <t>142</t>
  </si>
  <si>
    <t>愛知県名古屋市中村区名駅4-22-24</t>
  </si>
  <si>
    <t>284</t>
  </si>
  <si>
    <t>愛知県名古屋市中村区椿町22-10</t>
  </si>
  <si>
    <t>愛知県名古屋市中村区名駅南1-19-19</t>
  </si>
  <si>
    <t>愛知県名古屋市中村区名駅南1-14-16</t>
  </si>
  <si>
    <t>名古屋伏見モンブランホテル</t>
  </si>
  <si>
    <t>愛知県名古屋市中区栄2-2-26</t>
  </si>
  <si>
    <t>名古屋栄グリーンホテル</t>
  </si>
  <si>
    <t>愛知県名古屋市中区錦3丁目17-26</t>
  </si>
  <si>
    <t>愛知県名古屋市中区錦1-19-30</t>
  </si>
  <si>
    <t>愛知県名古屋市中区三の丸1-5-1</t>
  </si>
  <si>
    <t>愛知県名古屋市中区栄1-8-33</t>
  </si>
  <si>
    <t>愛知県名古屋市中区栄1-3-3</t>
  </si>
  <si>
    <t>ファミリー</t>
  </si>
  <si>
    <t>ホテルトラスティ名古屋白川</t>
  </si>
  <si>
    <t>愛知県名古屋市中区栄2-7-13 ヴィア白川内</t>
  </si>
  <si>
    <t>愛知県名古屋市中区丸の内2丁目5-10</t>
  </si>
  <si>
    <t>東横INN名古屋錦</t>
  </si>
  <si>
    <t>愛知県名古屋市中区錦3-9-3</t>
  </si>
  <si>
    <t>愛知県名古屋市中区錦3丁目11-13</t>
  </si>
  <si>
    <t>名古屋ガーランドホテル</t>
  </si>
  <si>
    <t>愛知県名古屋市中区栄3-9-6</t>
  </si>
  <si>
    <t>愛知県名古屋市中区錦3-18-21</t>
  </si>
  <si>
    <t>愛知県名古屋市中区丸の内1-4-20</t>
  </si>
  <si>
    <t>愛知県名古屋市中区錦1-16-2</t>
  </si>
  <si>
    <t>愛知県名古屋市中区栄3-1-32</t>
  </si>
  <si>
    <t>愛知県名古屋市中区金山町1-1-1</t>
  </si>
  <si>
    <t>愛知県名古屋市中区錦3-2-13</t>
  </si>
  <si>
    <t>愛知県名古屋市中区錦三丁目18番25号</t>
  </si>
  <si>
    <t>愛知県名古屋市中区栄4-3-5</t>
  </si>
  <si>
    <t>愛知県名古屋市中区錦3-15-30</t>
  </si>
  <si>
    <t>グレイスイン名古屋</t>
  </si>
  <si>
    <t>愛知県名古屋市中区錦2-6-30</t>
  </si>
  <si>
    <t>愛知県名古屋市中区栄1-2-7</t>
  </si>
  <si>
    <t>ザ・ビー名古屋</t>
  </si>
  <si>
    <t>愛知県名古屋市中区栄4-15-23</t>
  </si>
  <si>
    <t>アパヴィラホテル＜名古屋丸の内駅前＞</t>
  </si>
  <si>
    <t>愛知県名古屋市中区丸の内2-17-28</t>
  </si>
  <si>
    <t>ホテルウィングインターナショナル名古屋</t>
  </si>
  <si>
    <t>愛知県名古屋市中区錦1-4-11</t>
  </si>
  <si>
    <t>ホテルルートイン名古屋東別院</t>
  </si>
  <si>
    <t>愛知県名古屋市中区富士見町1-26</t>
  </si>
  <si>
    <t>ラグナスイート名古屋 ホテル&amp;ウエディング</t>
  </si>
  <si>
    <t>愛知県名古屋市中区錦3-12-13</t>
  </si>
  <si>
    <t>名鉄イン名古屋金山</t>
  </si>
  <si>
    <t>愛知県名古屋市中区金山1-11-7</t>
  </si>
  <si>
    <t>愛知県名古屋市中区栄4-6-8</t>
  </si>
  <si>
    <t>名鉄イン名古屋錦</t>
  </si>
  <si>
    <t>愛知県名古屋市中区錦3-3-22</t>
  </si>
  <si>
    <t>三交イン名古屋伏見</t>
  </si>
  <si>
    <t>愛知県名古屋市中区栄1-7-7</t>
  </si>
  <si>
    <t>ホテルルートイン名古屋栄</t>
  </si>
  <si>
    <t>愛知県名古屋市中区栄4-7-12</t>
  </si>
  <si>
    <t>ハミルトンホテル-ブラック-</t>
  </si>
  <si>
    <t>愛知県名古屋市中区栄1丁目11番17号</t>
  </si>
  <si>
    <t>ハミルトンホテル-レッド-</t>
  </si>
  <si>
    <t>愛知県名古屋市中区栄2丁目7番5号</t>
  </si>
  <si>
    <t>ホテルナチュレ名古屋栄紀州鉄道グループ</t>
  </si>
  <si>
    <t>愛知県名古屋市中区錦3-7-13栄錦ビル</t>
  </si>
  <si>
    <t>東横INN名古屋栄</t>
  </si>
  <si>
    <t>愛知県名古屋市中区東桜2-22-21</t>
  </si>
  <si>
    <t>愛知県名古屋市中区錦2-20-5</t>
  </si>
  <si>
    <t>愛知県名古屋市中区栄4-10-16</t>
  </si>
  <si>
    <t>三交イン名古屋錦 ～四季乃湯～</t>
  </si>
  <si>
    <t>愛知県名古屋市中区錦3-7-23</t>
  </si>
  <si>
    <t>愛知県名古屋市中区錦2-20-1</t>
  </si>
  <si>
    <t>愛知県名古屋市中区金山4-6-25</t>
  </si>
  <si>
    <t>ホテルアベスト大須観音駅前</t>
  </si>
  <si>
    <t>愛知県名古屋市中区大須2丁目24-45</t>
  </si>
  <si>
    <t>スマイルホテル名古屋栄</t>
  </si>
  <si>
    <t>愛知県名古屋市中区栄4-10-5</t>
  </si>
  <si>
    <t>ジャストインプレミアム名古屋駅</t>
  </si>
  <si>
    <t>愛知県名古屋市中区丸の内1-13-9</t>
  </si>
  <si>
    <t>アパホテル&lt;名古屋栄東&gt;</t>
  </si>
  <si>
    <t>愛知県名古屋市中区栄4丁目9-20</t>
  </si>
  <si>
    <t>ホテルビスタ名古屋[錦]</t>
  </si>
  <si>
    <t>愛知県名古屋市中区錦3-3-15</t>
  </si>
  <si>
    <t>HOTEL LiVEMAX名古屋栄EAST</t>
  </si>
  <si>
    <t>愛知県名古屋市中区栄4-7-15</t>
  </si>
  <si>
    <t>ホテルウィングインターナショナルセレクト名古屋栄</t>
  </si>
  <si>
    <t>愛知県名古屋市中区栄3-12-23-2</t>
  </si>
  <si>
    <t>ランプライトブックスホテル名古屋</t>
  </si>
  <si>
    <t>愛知県名古屋市中区錦1-13-18</t>
  </si>
  <si>
    <t>コンフォートホテル名古屋伏見</t>
  </si>
  <si>
    <t>愛知県名古屋市中区錦2-19-14</t>
  </si>
  <si>
    <t>ホテル・アンドルームス名古屋栄</t>
  </si>
  <si>
    <t>愛知県名古屋市中区丸の内3-6-8</t>
  </si>
  <si>
    <t>愛知県名古屋市中区栄1-2-27</t>
  </si>
  <si>
    <t>ホテルアクテル名古屋錦</t>
  </si>
  <si>
    <t>愛知県名古屋市中区錦3-17-26</t>
  </si>
  <si>
    <t>アパホテル＜名古屋栄北＞</t>
  </si>
  <si>
    <t>愛知県名古屋市中区丸の内3丁目18-30</t>
  </si>
  <si>
    <t>名鉄イン名古屋金山アネックス</t>
  </si>
  <si>
    <t>愛知県名古屋市中区金山1-11-13</t>
  </si>
  <si>
    <t>愛知県名古屋市中区錦3-14-13</t>
  </si>
  <si>
    <t>225</t>
  </si>
  <si>
    <t>愛知県名古屋市中区錦1-16-36</t>
  </si>
  <si>
    <t>西鉄ホテルクルーム名古屋</t>
  </si>
  <si>
    <t>愛知県名古屋市中区錦3-4-3</t>
  </si>
  <si>
    <t>愛知県名古屋市中区栄1-5-21</t>
  </si>
  <si>
    <t>ホテル・アンドルームス名古屋伏見</t>
  </si>
  <si>
    <t>愛知県名古屋市中区錦2-8-28</t>
  </si>
  <si>
    <t>ホテルエスプル名古屋栄</t>
  </si>
  <si>
    <t>愛知県名古屋市中区新栄町3-2</t>
  </si>
  <si>
    <t>HOTEL LiVEMAX名古屋金山</t>
  </si>
  <si>
    <t>愛知県名古屋市中区正木4-8-19</t>
  </si>
  <si>
    <t>ホテル京阪　名古屋</t>
  </si>
  <si>
    <t>愛知県名古屋市中区錦3-2-1</t>
  </si>
  <si>
    <t>東横INN名古屋金山</t>
  </si>
  <si>
    <t>愛知県名古屋市中区正木3-9-28</t>
  </si>
  <si>
    <t>愛知県名古屋市中区錦2-7-4</t>
  </si>
  <si>
    <t>愛知県名古屋市中区栄3-17-25</t>
  </si>
  <si>
    <t>瑞穂アーバンホテル</t>
  </si>
  <si>
    <t>愛知県名古屋市瑞穂区弥富通5-46-1</t>
  </si>
  <si>
    <t>愛知県名古屋市熱田区金山町1-9-8</t>
  </si>
  <si>
    <t>エクセルイン名古屋熱田</t>
  </si>
  <si>
    <t>愛知県名古屋市熱田区伝馬2-4-17</t>
  </si>
  <si>
    <t>熱田の杜ホテル深翠苑</t>
  </si>
  <si>
    <t>愛知県名古屋市熱田区玉の井町11-6</t>
  </si>
  <si>
    <t>割烹・ホテルいろは</t>
  </si>
  <si>
    <t>愛知県名古屋市中川区柳川町4-28</t>
  </si>
  <si>
    <t>HOTEL LiVEMAXBUDGET名古屋</t>
  </si>
  <si>
    <t>愛知県名古屋市中川区尾頭橋3-1-22</t>
  </si>
  <si>
    <t>邦和セミナープラザ</t>
  </si>
  <si>
    <t xml:space="preserve">愛知県名古屋市港区港栄 1-8-23 </t>
  </si>
  <si>
    <t>18</t>
  </si>
  <si>
    <t>愛知県名古屋市港区金城ふ頭2-7-1</t>
  </si>
  <si>
    <t>愛知県名古屋市南区前浜通1-9</t>
  </si>
  <si>
    <t>ビジネスホテル･サンクロック</t>
  </si>
  <si>
    <t>愛知県名古屋市南区柴田町6-1</t>
  </si>
  <si>
    <t>アクセス・バイ・ロワジールホテル名古屋</t>
  </si>
  <si>
    <t>愛知県名古屋市東区東桜1-9-22</t>
  </si>
  <si>
    <t>天然温泉ホテルリブマックスPREMIUM名古屋丸の内</t>
  </si>
  <si>
    <t>愛知県名古屋市中区丸の内3-16-22</t>
  </si>
  <si>
    <t>愛知県犬山市犬山高見町13-2</t>
  </si>
  <si>
    <t>ホテルユニゾ名古屋駅前</t>
  </si>
  <si>
    <t>愛知県名古屋市中村区名駅3-16-8</t>
  </si>
  <si>
    <t>エースイン刈谷</t>
  </si>
  <si>
    <t>愛知県刈谷市若松町2-54</t>
  </si>
  <si>
    <t>愛知県刈谷市若松町一丁目72番</t>
  </si>
  <si>
    <t>愛知県刈谷市相生町1-8-1</t>
  </si>
  <si>
    <t>パークホテル刈谷QS</t>
  </si>
  <si>
    <t>愛知県刈谷市相生町2-20</t>
  </si>
  <si>
    <t>パークホテル刈谷</t>
  </si>
  <si>
    <t>愛知県刈谷市相生町2-8</t>
  </si>
  <si>
    <t>アクセスイン刈谷</t>
  </si>
  <si>
    <t>愛知県刈谷市中山町3-36</t>
  </si>
  <si>
    <t>ホテル東洋イン刈谷</t>
  </si>
  <si>
    <t>愛知県刈谷市南桜町1-28</t>
  </si>
  <si>
    <t>愛知県豊田市美山町2丁目14-1</t>
  </si>
  <si>
    <t>シティホテルアンティーズ</t>
  </si>
  <si>
    <t>愛知県豊田市神明町1-30</t>
  </si>
  <si>
    <t>愛知県豊田市喜多町2-97</t>
  </si>
  <si>
    <t>愛知県豊田市西中山町清水口133</t>
  </si>
  <si>
    <t>ビジネスホテルこさなぎ</t>
  </si>
  <si>
    <t>愛知県豊田市曙町5-18</t>
  </si>
  <si>
    <t>センターホテルトヨタ</t>
  </si>
  <si>
    <t xml:space="preserve">愛知県豊田市西町4-26-8										</t>
  </si>
  <si>
    <t>ホテル新永</t>
  </si>
  <si>
    <t>三交イン豊田  ～四季乃湯～</t>
  </si>
  <si>
    <t>愛知県豊田市下市場町5丁目90番地2</t>
  </si>
  <si>
    <t>ホテルトヨタキャッスル</t>
  </si>
  <si>
    <t>愛知県豊田市喜多町2丁目160番地コモ・スクエアウェスト</t>
  </si>
  <si>
    <t>愛知県豊田市喜多町4-28</t>
  </si>
  <si>
    <t>東横INN豊田市駅前</t>
  </si>
  <si>
    <t>愛知県豊田市西町6-7-2</t>
  </si>
  <si>
    <t>愛知県豊田市喜多町1-140</t>
  </si>
  <si>
    <t>愛知県豊田市緑ｹ丘5-11</t>
  </si>
  <si>
    <t>愛知県豊田市陣中町2丁目18-13</t>
  </si>
  <si>
    <t>愛知県豊田市朝日ヶ丘2-48-2</t>
  </si>
  <si>
    <t>HOTEL LiVEMAX愛知豊田駅前</t>
  </si>
  <si>
    <t>愛知県豊田市神田町1-2-5</t>
  </si>
  <si>
    <t>ホテルトレンド岡崎駅前</t>
  </si>
  <si>
    <t>愛知県岡崎市羽根西新町7-6</t>
  </si>
  <si>
    <t>東横INN三河安城駅新幹線南口2</t>
  </si>
  <si>
    <t>愛知県安城市三河安城南町1-15-2</t>
  </si>
  <si>
    <t>東横INN三河安城駅新幹線南口1</t>
  </si>
  <si>
    <t>愛知県安城市三河安城南町1-15-12</t>
  </si>
  <si>
    <t>愛知県安城市三河安城南町1-8-11</t>
  </si>
  <si>
    <t>愛知県安城市三河安城南町1-1-20</t>
  </si>
  <si>
    <t>愛知県安城市三河安城本町1-1-3</t>
  </si>
  <si>
    <t>ホテルアベスト新安城駅前</t>
  </si>
  <si>
    <t>愛知県安城市東栄町1-7-3</t>
  </si>
  <si>
    <t>天然温泉安祥の湯スーパーホテル安城駅前</t>
  </si>
  <si>
    <t>愛知県安城市明治本町2-2</t>
  </si>
  <si>
    <t>ホテルルートイン知立</t>
  </si>
  <si>
    <t>愛知県知立市山町小林５</t>
  </si>
  <si>
    <t>知立市</t>
  </si>
  <si>
    <t>愛知県知立市中町中128</t>
  </si>
  <si>
    <t>東横INN名鉄知立駅前</t>
  </si>
  <si>
    <t>愛知県岡崎市中岡崎町3-7</t>
  </si>
  <si>
    <t>ホテルトレンド三河安城</t>
  </si>
  <si>
    <t>愛知県安城市三河安城町1-9-9</t>
  </si>
  <si>
    <t>愛知県岡崎市上明大寺町2-14-10</t>
  </si>
  <si>
    <t>愛知県岡崎市島町25</t>
  </si>
  <si>
    <t>MyHotelOkazaKi</t>
  </si>
  <si>
    <t>愛知県岡崎市柱１丁目5-10</t>
  </si>
  <si>
    <t>岡崎サンホテル</t>
  </si>
  <si>
    <t>愛知県岡崎市伝馬通2-22</t>
  </si>
  <si>
    <t>愛知県岡崎市康生町515-33</t>
  </si>
  <si>
    <t>アクセスイン西尾</t>
  </si>
  <si>
    <t>愛知県西尾市花ノ木町4-64</t>
  </si>
  <si>
    <t>株式会社竜宮ホテル</t>
  </si>
  <si>
    <t>愛知県西尾市吉良町宮崎宮前12</t>
  </si>
  <si>
    <t>株式会社三河湾リゾート・リンクス</t>
  </si>
  <si>
    <t>愛知県西尾市吉良町宮崎中道下15</t>
  </si>
  <si>
    <t>吉良かん</t>
  </si>
  <si>
    <t>愛知県西尾市吉良町宮崎田ノ上15</t>
  </si>
  <si>
    <t>愛知県西尾市東幡豆町入会山1-287</t>
  </si>
  <si>
    <t>ホテル西尾</t>
  </si>
  <si>
    <t>愛知県西尾市八ッ面町猿待74-4</t>
  </si>
  <si>
    <t>変なホテル　ラグーナテンボス</t>
  </si>
  <si>
    <t>愛知県蒲郡市海陽町1丁目4番1号</t>
  </si>
  <si>
    <t>株式会社鈴岡</t>
  </si>
  <si>
    <t>愛知県蒲郡市金平町遊名田3-14</t>
  </si>
  <si>
    <t>ホテル明山荘</t>
  </si>
  <si>
    <t>愛知県蒲郡市三谷町鳶欠14-1</t>
  </si>
  <si>
    <t>松風園</t>
  </si>
  <si>
    <t>愛知県蒲郡市三谷町鳶欠14-4</t>
  </si>
  <si>
    <t>株式会社三谷温泉ひがきホテル</t>
  </si>
  <si>
    <t>愛知県蒲郡市三谷町南山1-59</t>
  </si>
  <si>
    <t>13</t>
  </si>
  <si>
    <t>株式会社平野屋</t>
  </si>
  <si>
    <t>愛知県蒲郡市三谷町南山1-21</t>
  </si>
  <si>
    <t>14</t>
  </si>
  <si>
    <t>愛知県蒲郡市三谷北通2-82</t>
  </si>
  <si>
    <t>姫宿　花かざし</t>
  </si>
  <si>
    <t>愛知県蒲郡市西浦町大山17-1</t>
  </si>
  <si>
    <t>和のリゾートはづ</t>
  </si>
  <si>
    <t>愛知県蒲郡市竹島町15-1</t>
  </si>
  <si>
    <t>ホテル竹島</t>
  </si>
  <si>
    <t>愛知県蒲郡市竹島町１-6</t>
  </si>
  <si>
    <t>田原シティホテル</t>
  </si>
  <si>
    <t>愛知県田原市神戸町後申34-2</t>
  </si>
  <si>
    <t>休暇村伊良湖</t>
  </si>
  <si>
    <t>愛知県田原市中山町大松上1</t>
  </si>
  <si>
    <t>ウインドシティホテル</t>
  </si>
  <si>
    <t>愛知県田原市片西3-51</t>
  </si>
  <si>
    <t>キャッスルイン豊川</t>
  </si>
  <si>
    <t>愛知県豊川市下長山町上アライ14-1</t>
  </si>
  <si>
    <t>豊川グランドホテル</t>
  </si>
  <si>
    <t>愛知県豊川市市田町東堤上1-66</t>
  </si>
  <si>
    <t>愛知県豊川市上野2丁目20</t>
  </si>
  <si>
    <t>チサンイン豊川インター</t>
  </si>
  <si>
    <t>愛知県豊川市上野2-22</t>
  </si>
  <si>
    <t>コンフォートホテル豊川</t>
  </si>
  <si>
    <t>愛知県豊川市諏訪3-301</t>
  </si>
  <si>
    <t>ホテルクラウンヒルズ豊川駅前</t>
  </si>
  <si>
    <t>愛知県豊川市豊川町仁保通79-1</t>
  </si>
  <si>
    <t>豊川ビジネスホテル</t>
  </si>
  <si>
    <t>愛知県豊川市緑町28</t>
  </si>
  <si>
    <t>シーパレスリゾート</t>
  </si>
  <si>
    <t>愛知県豊橋市神野新田町ミノ割１－３</t>
  </si>
  <si>
    <t>ニュー東洋ホテル2</t>
  </si>
  <si>
    <t>アパホテル＜豊橋駅前＞</t>
  </si>
  <si>
    <t>愛知県豊橋市広小路1丁目1</t>
  </si>
  <si>
    <t>愛知県豊橋市花田町西宿無番地</t>
  </si>
  <si>
    <t>ビジネスホテルおかだ家 豊橋店</t>
  </si>
  <si>
    <t>愛知県豊橋市堂坂町34-1</t>
  </si>
  <si>
    <t>ビジネスホテルおかだ家ベイサイド</t>
  </si>
  <si>
    <t>愛知県豊橋市神野新田町沖ノ島176-1</t>
  </si>
  <si>
    <t>愛知県豊橋市藤沢町141</t>
  </si>
  <si>
    <t>愛知県豊橋市駅前大通1-55</t>
  </si>
  <si>
    <t>豊橋ステーションホテル</t>
  </si>
  <si>
    <t>愛知県豊橋市西小田原町103</t>
  </si>
  <si>
    <t>ニュー東洋ホテル１</t>
  </si>
  <si>
    <t>コンフォートホテル豊橋</t>
  </si>
  <si>
    <t>愛知県豊橋市大橋通1-98</t>
  </si>
  <si>
    <t>愛知県豊橋市大橋通2-139</t>
  </si>
  <si>
    <t>ホテルプラザイン豊橋</t>
  </si>
  <si>
    <t>愛知県豊橋市札木町66-1</t>
  </si>
  <si>
    <t>愛知県豊橋市白河町31番2</t>
  </si>
  <si>
    <t>マーレホテル東海</t>
  </si>
  <si>
    <t>愛知県東海市高横須賀町御洲浜17-1</t>
  </si>
  <si>
    <t>ザ・カトーホテル</t>
  </si>
  <si>
    <t>愛知県東海市高横須賀町御洲浜18-1</t>
  </si>
  <si>
    <t>愛知県東海市富木島町前田面5</t>
  </si>
  <si>
    <t>名和プラザホテル</t>
  </si>
  <si>
    <t>愛知県東海市名和町1-51</t>
  </si>
  <si>
    <t>ビジネスホテル寺本</t>
  </si>
  <si>
    <t>愛知県知多市八幡字堀切67-1</t>
  </si>
  <si>
    <t>愛知県常滑市セントレア4-10-5</t>
  </si>
  <si>
    <t>愛知県常滑市セントレア4-2-5</t>
  </si>
  <si>
    <t>愛知県常滑市セントレア4-2-3</t>
  </si>
  <si>
    <t>愛知県常滑市セントレア一丁目1番地</t>
  </si>
  <si>
    <t>J･HOTEL ANNEX</t>
  </si>
  <si>
    <t>愛知県常滑市りんくう町3-2-1</t>
  </si>
  <si>
    <t>愛知県常滑市鯉江本町2-102</t>
  </si>
  <si>
    <t>愛知県常滑市鯉江本町2-73</t>
  </si>
  <si>
    <t>愛知県常滑市新開町3-174-1</t>
  </si>
  <si>
    <t>ロディソンホテル中部国際空港パラディア</t>
  </si>
  <si>
    <t>愛知県常滑市瀬木町1-80</t>
  </si>
  <si>
    <t>南知多温泉　源氏香</t>
  </si>
  <si>
    <t>愛知県知多郡南知多町山海海岸</t>
  </si>
  <si>
    <t>グランドホテル山海館</t>
  </si>
  <si>
    <t>愛知県知多郡南知多町山海橋爪29-5</t>
  </si>
  <si>
    <t>イイネ！ホテルレシーア南知多</t>
  </si>
  <si>
    <t>愛知県知多郡南知多町山海字高座41-35</t>
  </si>
  <si>
    <t>和風旅館　粛 海風</t>
  </si>
  <si>
    <t>愛知県知多郡南知多町大字山海字高峯3-1</t>
  </si>
  <si>
    <t>オテル・ド・マロニエ内海温泉</t>
  </si>
  <si>
    <t>愛知県知多郡南知多町内海小桝40</t>
  </si>
  <si>
    <t>水軍伝説の風薫る宿 花乃丸</t>
  </si>
  <si>
    <t>愛知県知多郡南知多町大字豊浜字廻間17-18</t>
  </si>
  <si>
    <t xml:space="preserve">愛知県美浜自然の家  </t>
  </si>
  <si>
    <t>愛知県知多郡美浜町小野浦宮後1-1</t>
  </si>
  <si>
    <t>ホテルルートイン半田亀崎</t>
  </si>
  <si>
    <t>愛知県半田市亀崎町9-141-2</t>
  </si>
  <si>
    <t>半田市</t>
  </si>
  <si>
    <t>アズイン半田インター</t>
  </si>
  <si>
    <t>愛知県半田市宮本町6-216-1</t>
  </si>
  <si>
    <t>半田ステーションホテル</t>
  </si>
  <si>
    <t xml:space="preserve">愛知県半田市宮路町511 </t>
  </si>
  <si>
    <t>名鉄イン知多半田駅前</t>
  </si>
  <si>
    <t>愛知県半田市更生町1丁目120番地2</t>
  </si>
  <si>
    <t>センターワンホテル半田</t>
  </si>
  <si>
    <t>愛知県半田市更生町1-124-2</t>
  </si>
  <si>
    <t>カンデオホテルズ半田</t>
  </si>
  <si>
    <t>愛知県半田市天王町1-50-8</t>
  </si>
  <si>
    <t>天然温泉　葵の湯　スーパーホテル岡崎</t>
  </si>
  <si>
    <t>愛知県岡崎市祐金町113-1</t>
  </si>
  <si>
    <t>愛知県東海市荒尾町丸根1-21</t>
  </si>
  <si>
    <t>ホテルルートイン新城</t>
  </si>
  <si>
    <t>愛知県新城市字的場25-12</t>
  </si>
  <si>
    <t>愛知県名古屋市中村区名駅3-13-27</t>
  </si>
  <si>
    <t>愛知県名古屋市中村区椿町19-16</t>
  </si>
  <si>
    <t>ホテルミュースタイル犬山エクスペリエンス</t>
  </si>
  <si>
    <t>愛知県犬山市犬山富士見町16-2</t>
  </si>
  <si>
    <t>灯屋　迎帆楼</t>
  </si>
  <si>
    <t>愛知県犬山市犬山北古券41-6</t>
  </si>
  <si>
    <t>天の丸</t>
  </si>
  <si>
    <t>愛知県額田郡幸田町大字荻字遠峰10</t>
  </si>
  <si>
    <t>コンフォートホテル名古屋金山</t>
  </si>
  <si>
    <t>愛知県名古屋市熱田区波寄町24-14</t>
  </si>
  <si>
    <t>ホテルたつき</t>
  </si>
  <si>
    <t>愛知県蒲郡市西浦町大山25</t>
  </si>
  <si>
    <t>西浦グランドホテル吉慶</t>
  </si>
  <si>
    <t>愛知県蒲郡市西浦町塩柄３</t>
  </si>
  <si>
    <t>ホテル三河　海陽閣</t>
  </si>
  <si>
    <t>愛知県蒲郡市三谷町南山1-69</t>
  </si>
  <si>
    <t>くれたけインプレミアム名駅南</t>
  </si>
  <si>
    <t>愛知県名古屋市中村区名駅南1-23-9</t>
  </si>
  <si>
    <t>愛知県名古屋市中村区則武1-8-3</t>
  </si>
  <si>
    <t>アパホテル＜名古屋駅前＞</t>
  </si>
  <si>
    <t>愛知県名古屋市中村区則武1-5-3</t>
  </si>
  <si>
    <t>一宮シティホテルbyREIAH HOTELS</t>
  </si>
  <si>
    <t>愛知県一宮市泉2-21-1</t>
  </si>
  <si>
    <t>小牧シティホテルbyREIAH HOTELS</t>
  </si>
  <si>
    <t>愛知県小牧市中央1-341</t>
  </si>
  <si>
    <t>蒲郡ホテル＜別館＞</t>
  </si>
  <si>
    <t>愛知県蒲郡市金平町開戸29</t>
  </si>
  <si>
    <t>愛知県田原市日出町字骨山1460-36</t>
  </si>
  <si>
    <t>東横イン名古屋駅桜通口新館</t>
  </si>
  <si>
    <t>愛知県名古屋市中区錦3-15-21</t>
  </si>
  <si>
    <t>アパホテル＜岐阜羽島駅前＞</t>
  </si>
  <si>
    <t>岐阜県羽島市福寿町浅平1-72</t>
  </si>
  <si>
    <t>アパホテル&lt;大垣駅前&gt;</t>
  </si>
  <si>
    <t>岐阜県大垣市高屋町1-150</t>
  </si>
  <si>
    <t>アパホテル＜静岡駅北＞</t>
  </si>
  <si>
    <t>静岡県静岡市葵区昭和町4-5</t>
  </si>
  <si>
    <t>静岡市</t>
  </si>
  <si>
    <t>アパホテル＜浜松駅南＞</t>
  </si>
  <si>
    <t>静岡県浜松市中区海老塚2-3-1</t>
  </si>
  <si>
    <t>コンフォートイン大垣</t>
  </si>
  <si>
    <t>岐阜県大垣市林町5-11-3</t>
  </si>
  <si>
    <t>コンフォートホテル岐阜</t>
  </si>
  <si>
    <t>岐阜県岐阜市吉野町6-6</t>
  </si>
  <si>
    <t>シェラトン都ホテル大阪</t>
  </si>
  <si>
    <t>大阪府大阪市天王寺区上本町6-1-55</t>
  </si>
  <si>
    <t>ホテルアゴーラリージェンシー大阪堺</t>
  </si>
  <si>
    <t>大阪府堺市堺区戒島長4-45-1</t>
  </si>
  <si>
    <t>大阪府大阪市北区天満橋1-8-50</t>
  </si>
  <si>
    <t>神戸西神オリエンタルホテル</t>
  </si>
  <si>
    <t>兵庫県神戸市西区糀台5-6-3</t>
  </si>
  <si>
    <t>神戸市</t>
  </si>
  <si>
    <t>ANAクラウンプラザホテル　神戸</t>
  </si>
  <si>
    <t>兵庫県神戸市中央区北野町1丁目</t>
  </si>
  <si>
    <t>シーサイドホテル舞子ビラ神戸</t>
  </si>
  <si>
    <t>兵庫県神戸市垂水区東舞子町18-11</t>
  </si>
  <si>
    <t>ホテルオークラ神戸</t>
  </si>
  <si>
    <t>兵庫県神戸市中央区波止場町2-1</t>
  </si>
  <si>
    <t>（仮称）　アゴーラ　プレイス　大阪堺</t>
  </si>
  <si>
    <t>大阪府堺市堺区大浜北町3丁目2-27</t>
  </si>
  <si>
    <t>京都ホテルオークラ</t>
  </si>
  <si>
    <t>京都府京都市中京区河原町御池</t>
  </si>
  <si>
    <t>京都市</t>
  </si>
  <si>
    <t>つま恋リゾート　彩の郷</t>
  </si>
  <si>
    <t>静岡県掛川市満水2000</t>
  </si>
  <si>
    <t>葛城 北の丸</t>
  </si>
  <si>
    <t>掛川グランドホテル</t>
  </si>
  <si>
    <t>静岡県掛川市亀の甲1丁目3-1</t>
  </si>
  <si>
    <t>浜名湖リゾート＆スパTHE OCEAN</t>
  </si>
  <si>
    <t>静岡県浜松市西区舞阪町弁天島3285-88</t>
  </si>
  <si>
    <t>静岡県浜松市中区板屋町111-2</t>
  </si>
  <si>
    <t>ホテルラフォーレ修善寺</t>
  </si>
  <si>
    <t>静岡県伊豆市大平１５２９</t>
  </si>
  <si>
    <t>伊豆温泉村　ホテルオリーブの木</t>
  </si>
  <si>
    <t>静岡県伊豆市瓜生野322-1</t>
  </si>
  <si>
    <t>富士山三島東急ホテル</t>
  </si>
  <si>
    <t>静岡県三島市一番町17-1</t>
  </si>
  <si>
    <t>三島市</t>
  </si>
  <si>
    <t>静岡県伊豆市大平1529</t>
  </si>
  <si>
    <t>岐阜グランドホテル</t>
  </si>
  <si>
    <t>岐阜県岐阜市長良648番地</t>
  </si>
  <si>
    <t>都ホテル岐阜長良川</t>
  </si>
  <si>
    <t>岐阜県岐阜市長良福光2695-2</t>
  </si>
  <si>
    <t>岐阜県岐阜市柳ヶ瀬通6-14</t>
  </si>
  <si>
    <t>岐阜キャッスルイン</t>
  </si>
  <si>
    <t>岐阜県岐阜市県町2丁目8番地</t>
  </si>
  <si>
    <t>岐阜県岐阜市長住町5-8</t>
  </si>
  <si>
    <t>岐阜ワシントンホテルプラザ</t>
  </si>
  <si>
    <t>岐阜県岐阜市神田町7-7-4</t>
  </si>
  <si>
    <t>大垣フォーラムホテル</t>
  </si>
  <si>
    <t>岐阜県大垣市万石2丁目31番地</t>
  </si>
  <si>
    <t>ホテルルートイン大垣インター</t>
  </si>
  <si>
    <t>岐阜県大垣市築捨町4丁目115-1</t>
  </si>
  <si>
    <t>岐阜県各務原市蘇原新栄町1-97-1</t>
  </si>
  <si>
    <t>ホテルルートイン岐阜県庁南</t>
  </si>
  <si>
    <t>岐阜県岐阜市須賀2-1-8</t>
  </si>
  <si>
    <t>ホテルルートイン岐阜羽島駅前</t>
  </si>
  <si>
    <t>岐阜県羽島市福寿町浅平1丁目71番地</t>
  </si>
  <si>
    <t>ホテルコーヨー</t>
  </si>
  <si>
    <t>岐阜県羽島市舟橋町出須賀1-45</t>
  </si>
  <si>
    <t>京都　東急ホテル</t>
  </si>
  <si>
    <t>京都府京都市下京区堀川通五条下ル</t>
  </si>
  <si>
    <t>ホテル日航プリンセス京都</t>
  </si>
  <si>
    <t>京都府京都市下京区烏丸高辻東入ル高橋町630番地</t>
  </si>
  <si>
    <t>施設様名</t>
    <rPh sb="0" eb="2">
      <t>シセツ</t>
    </rPh>
    <rPh sb="2" eb="3">
      <t>サマ</t>
    </rPh>
    <rPh sb="3" eb="4">
      <t>ナ</t>
    </rPh>
    <phoneticPr fontId="59"/>
  </si>
  <si>
    <t>ルートイングランティア小牧</t>
    <rPh sb="11" eb="13">
      <t>コマキ</t>
    </rPh>
    <phoneticPr fontId="2"/>
  </si>
  <si>
    <t>様</t>
    <rPh sb="0" eb="1">
      <t>サマ</t>
    </rPh>
    <phoneticPr fontId="59"/>
  </si>
  <si>
    <t>別紙１－１</t>
    <rPh sb="0" eb="2">
      <t>ベッシ</t>
    </rPh>
    <phoneticPr fontId="2"/>
  </si>
  <si>
    <t>◆アジア競技大会提供客室　</t>
    <rPh sb="4" eb="6">
      <t>キョウギ</t>
    </rPh>
    <rPh sb="6" eb="8">
      <t>タイカイ</t>
    </rPh>
    <rPh sb="8" eb="10">
      <t>テイキョウ</t>
    </rPh>
    <rPh sb="10" eb="12">
      <t>キャクシツ</t>
    </rPh>
    <phoneticPr fontId="59"/>
  </si>
  <si>
    <r>
      <t>削除しない</t>
    </r>
    <r>
      <rPr>
        <sz val="11"/>
        <color theme="1"/>
        <rFont val="游ゴシック Regular"/>
        <family val="1"/>
        <charset val="128"/>
      </rPr>
      <t>↓</t>
    </r>
    <rPh sb="0" eb="2">
      <t>サクジョ</t>
    </rPh>
    <phoneticPr fontId="2"/>
  </si>
  <si>
    <t>No.</t>
    <phoneticPr fontId="59"/>
  </si>
  <si>
    <t>チェックイン日
（準備期間開始日）</t>
    <phoneticPr fontId="2"/>
  </si>
  <si>
    <t>本番期間開始日</t>
    <rPh sb="0" eb="2">
      <t>ホンバン</t>
    </rPh>
    <rPh sb="2" eb="4">
      <t>キカン</t>
    </rPh>
    <rPh sb="4" eb="7">
      <t>カイシビ</t>
    </rPh>
    <phoneticPr fontId="2"/>
  </si>
  <si>
    <t>準備泊数</t>
    <rPh sb="0" eb="2">
      <t>ジュンビ</t>
    </rPh>
    <rPh sb="2" eb="3">
      <t>ハク</t>
    </rPh>
    <rPh sb="3" eb="4">
      <t>スウ</t>
    </rPh>
    <phoneticPr fontId="2"/>
  </si>
  <si>
    <t>本番期間終了日</t>
    <rPh sb="0" eb="2">
      <t>ホンバン</t>
    </rPh>
    <rPh sb="2" eb="4">
      <t>キカン</t>
    </rPh>
    <rPh sb="4" eb="6">
      <t>シュウリョウ</t>
    </rPh>
    <rPh sb="6" eb="7">
      <t>ビ</t>
    </rPh>
    <phoneticPr fontId="2"/>
  </si>
  <si>
    <t>本番泊数</t>
    <rPh sb="2" eb="4">
      <t>ハクスウ</t>
    </rPh>
    <phoneticPr fontId="2"/>
  </si>
  <si>
    <t>チェックアウト日</t>
    <phoneticPr fontId="2"/>
  </si>
  <si>
    <t>撤去泊数</t>
    <rPh sb="0" eb="2">
      <t>テッキョ</t>
    </rPh>
    <rPh sb="2" eb="3">
      <t>ハク</t>
    </rPh>
    <rPh sb="3" eb="4">
      <t>スウ</t>
    </rPh>
    <phoneticPr fontId="2"/>
  </si>
  <si>
    <t>客室タイプ</t>
    <rPh sb="0" eb="2">
      <t>キャクシツ</t>
    </rPh>
    <phoneticPr fontId="2"/>
  </si>
  <si>
    <t>総客室数</t>
    <rPh sb="0" eb="3">
      <t>ソウキャクシツ</t>
    </rPh>
    <rPh sb="3" eb="4">
      <t>スウ</t>
    </rPh>
    <phoneticPr fontId="2"/>
  </si>
  <si>
    <t>提供客室</t>
    <rPh sb="0" eb="2">
      <t>テイキョウ</t>
    </rPh>
    <rPh sb="2" eb="4">
      <t>キャクシツ</t>
    </rPh>
    <phoneticPr fontId="2"/>
  </si>
  <si>
    <r>
      <t xml:space="preserve">準備期間客室単価/室
</t>
    </r>
    <r>
      <rPr>
        <sz val="11"/>
        <color theme="1"/>
        <rFont val="游ゴシック Regular"/>
        <family val="3"/>
        <charset val="128"/>
      </rPr>
      <t>※素泊り
（利用人数分）/サ込</t>
    </r>
    <r>
      <rPr>
        <sz val="11"/>
        <color rgb="FFFF0000"/>
        <rFont val="游ゴシック Regular"/>
        <family val="3"/>
        <charset val="128"/>
      </rPr>
      <t>税込</t>
    </r>
    <rPh sb="0" eb="4">
      <t>ジュンビキカン</t>
    </rPh>
    <rPh sb="12" eb="14">
      <t>スドマ</t>
    </rPh>
    <rPh sb="17" eb="19">
      <t>リヨウ</t>
    </rPh>
    <rPh sb="19" eb="21">
      <t>ニンズウ</t>
    </rPh>
    <rPh sb="20" eb="21">
      <t>スウ</t>
    </rPh>
    <rPh sb="21" eb="22">
      <t>ブン</t>
    </rPh>
    <rPh sb="26" eb="28">
      <t>ゼイコミ</t>
    </rPh>
    <phoneticPr fontId="2"/>
  </si>
  <si>
    <r>
      <t xml:space="preserve">本番期間客室単価/室
</t>
    </r>
    <r>
      <rPr>
        <sz val="11"/>
        <color theme="1"/>
        <rFont val="游ゴシック Regular"/>
        <family val="3"/>
        <charset val="128"/>
      </rPr>
      <t>※</t>
    </r>
    <r>
      <rPr>
        <sz val="11"/>
        <rFont val="游ゴシック Regular"/>
        <family val="3"/>
        <charset val="128"/>
      </rPr>
      <t>1泊朝食付</t>
    </r>
    <r>
      <rPr>
        <sz val="11"/>
        <color theme="1"/>
        <rFont val="游ゴシック Regular"/>
        <family val="3"/>
        <charset val="128"/>
      </rPr>
      <t xml:space="preserve">
（利用人数分）/サ込</t>
    </r>
    <r>
      <rPr>
        <sz val="11"/>
        <color rgb="FFFF0000"/>
        <rFont val="游ゴシック Regular"/>
        <family val="3"/>
        <charset val="128"/>
      </rPr>
      <t>税込</t>
    </r>
    <rPh sb="0" eb="2">
      <t>ホンバン</t>
    </rPh>
    <rPh sb="2" eb="4">
      <t>キカン</t>
    </rPh>
    <rPh sb="14" eb="16">
      <t>チョウショク</t>
    </rPh>
    <rPh sb="19" eb="21">
      <t>リヨウ</t>
    </rPh>
    <rPh sb="21" eb="23">
      <t>ニンズウ</t>
    </rPh>
    <rPh sb="22" eb="23">
      <t>スウ</t>
    </rPh>
    <rPh sb="23" eb="24">
      <t>ブン</t>
    </rPh>
    <phoneticPr fontId="2"/>
  </si>
  <si>
    <t>内部データ</t>
    <rPh sb="0" eb="2">
      <t>ナイブ</t>
    </rPh>
    <phoneticPr fontId="2"/>
  </si>
  <si>
    <r>
      <t xml:space="preserve">撤去期間客室単価/室
</t>
    </r>
    <r>
      <rPr>
        <sz val="11"/>
        <color theme="1"/>
        <rFont val="游ゴシック Regular"/>
        <family val="3"/>
        <charset val="128"/>
      </rPr>
      <t>※素泊り
（利用人数分）/サ込</t>
    </r>
    <r>
      <rPr>
        <sz val="11"/>
        <color rgb="FFFF0000"/>
        <rFont val="游ゴシック Regular"/>
        <family val="3"/>
        <charset val="128"/>
      </rPr>
      <t>税込</t>
    </r>
    <rPh sb="0" eb="2">
      <t>テッキョ</t>
    </rPh>
    <rPh sb="2" eb="4">
      <t>キカン</t>
    </rPh>
    <rPh sb="4" eb="6">
      <t>キャクシツ</t>
    </rPh>
    <rPh sb="12" eb="14">
      <t>スドマ</t>
    </rPh>
    <rPh sb="17" eb="19">
      <t>リヨウ</t>
    </rPh>
    <rPh sb="19" eb="21">
      <t>ニンズウ</t>
    </rPh>
    <rPh sb="20" eb="21">
      <t>スウ</t>
    </rPh>
    <rPh sb="21" eb="22">
      <t>ブン</t>
    </rPh>
    <phoneticPr fontId="2"/>
  </si>
  <si>
    <t>広さ
（㎡）</t>
    <rPh sb="0" eb="1">
      <t>ヒロ</t>
    </rPh>
    <phoneticPr fontId="2"/>
  </si>
  <si>
    <r>
      <t xml:space="preserve">利用人数
</t>
    </r>
    <r>
      <rPr>
        <sz val="11"/>
        <color theme="1"/>
        <rFont val="游ゴシック Regular"/>
        <family val="3"/>
        <charset val="128"/>
      </rPr>
      <t>※以下配宿目安参照</t>
    </r>
    <rPh sb="0" eb="4">
      <t>リヨウニンズウ</t>
    </rPh>
    <rPh sb="6" eb="8">
      <t>イカ</t>
    </rPh>
    <rPh sb="10" eb="12">
      <t>メヤス</t>
    </rPh>
    <rPh sb="12" eb="14">
      <t>サンショウ</t>
    </rPh>
    <phoneticPr fontId="2"/>
  </si>
  <si>
    <t>ベッドサイズ
（cm）</t>
    <phoneticPr fontId="2"/>
  </si>
  <si>
    <t>ベッド数
（台）</t>
    <rPh sb="3" eb="4">
      <t>スウ</t>
    </rPh>
    <rPh sb="6" eb="7">
      <t>ダイ</t>
    </rPh>
    <phoneticPr fontId="2"/>
  </si>
  <si>
    <t>浴室</t>
    <rPh sb="0" eb="2">
      <t>ヨクシツ</t>
    </rPh>
    <phoneticPr fontId="2"/>
  </si>
  <si>
    <t>インターネット環境</t>
    <rPh sb="7" eb="9">
      <t>カンキョウ</t>
    </rPh>
    <phoneticPr fontId="2"/>
  </si>
  <si>
    <t>人数（１日あたり）
参考</t>
    <rPh sb="0" eb="2">
      <t>ニンズウ</t>
    </rPh>
    <rPh sb="4" eb="5">
      <t>ニチ</t>
    </rPh>
    <rPh sb="10" eb="12">
      <t>サンコウ</t>
    </rPh>
    <phoneticPr fontId="2"/>
  </si>
  <si>
    <t>ルームナイツ</t>
    <phoneticPr fontId="2"/>
  </si>
  <si>
    <t>宿泊料金</t>
    <rPh sb="0" eb="2">
      <t>シュクハク</t>
    </rPh>
    <rPh sb="2" eb="4">
      <t>リョウキン</t>
    </rPh>
    <phoneticPr fontId="2"/>
  </si>
  <si>
    <t>記入例</t>
    <rPh sb="0" eb="2">
      <t>キニュウ</t>
    </rPh>
    <rPh sb="2" eb="3">
      <t>レイ</t>
    </rPh>
    <phoneticPr fontId="2"/>
  </si>
  <si>
    <t>シングル（基本）</t>
    <rPh sb="5" eb="7">
      <t>キホン</t>
    </rPh>
    <phoneticPr fontId="2"/>
  </si>
  <si>
    <t>～</t>
    <phoneticPr fontId="59"/>
  </si>
  <si>
    <t>ユニットバス</t>
    <phoneticPr fontId="2"/>
  </si>
  <si>
    <t>有</t>
    <rPh sb="0" eb="1">
      <t>ア</t>
    </rPh>
    <phoneticPr fontId="2"/>
  </si>
  <si>
    <t>～</t>
  </si>
  <si>
    <t>ユニットバス</t>
  </si>
  <si>
    <t>43室が13㎡　140㎝幅のベッドも一部有</t>
    <rPh sb="2" eb="3">
      <t>シツ</t>
    </rPh>
    <rPh sb="12" eb="13">
      <t>ハバ</t>
    </rPh>
    <rPh sb="18" eb="20">
      <t>イチブ</t>
    </rPh>
    <rPh sb="20" eb="21">
      <t>アリ</t>
    </rPh>
    <phoneticPr fontId="2"/>
  </si>
  <si>
    <t>26室が17㎡</t>
    <rPh sb="2" eb="3">
      <t>シツ</t>
    </rPh>
    <phoneticPr fontId="2"/>
  </si>
  <si>
    <t>7室が13㎡</t>
    <rPh sb="1" eb="2">
      <t>シツ</t>
    </rPh>
    <phoneticPr fontId="2"/>
  </si>
  <si>
    <t>120㎝幅×3台か、120㎝幅×2台-110㎝幅1台</t>
    <rPh sb="4" eb="5">
      <t>ハバ</t>
    </rPh>
    <rPh sb="7" eb="8">
      <t>ダイ</t>
    </rPh>
    <rPh sb="14" eb="15">
      <t>ハバ</t>
    </rPh>
    <rPh sb="17" eb="18">
      <t>ダイ</t>
    </rPh>
    <rPh sb="23" eb="24">
      <t>ハバ</t>
    </rPh>
    <rPh sb="25" eb="26">
      <t>ダイ</t>
    </rPh>
    <phoneticPr fontId="2"/>
  </si>
  <si>
    <t>1日あたり</t>
    <rPh sb="1" eb="2">
      <t>ニチ</t>
    </rPh>
    <phoneticPr fontId="2"/>
  </si>
  <si>
    <t>総ルームナイツ</t>
    <rPh sb="0" eb="1">
      <t>ソウ</t>
    </rPh>
    <phoneticPr fontId="2"/>
  </si>
  <si>
    <t>税込</t>
    <rPh sb="0" eb="2">
      <t>ゼイコミ</t>
    </rPh>
    <phoneticPr fontId="2"/>
  </si>
  <si>
    <t>総宿泊料金（税サ込）</t>
    <rPh sb="0" eb="1">
      <t>ソウ</t>
    </rPh>
    <rPh sb="1" eb="3">
      <t>シュクハク</t>
    </rPh>
    <rPh sb="3" eb="5">
      <t>リョウキン</t>
    </rPh>
    <rPh sb="6" eb="7">
      <t>ゼイ</t>
    </rPh>
    <rPh sb="8" eb="9">
      <t>コミ</t>
    </rPh>
    <phoneticPr fontId="2"/>
  </si>
  <si>
    <t>※料金については、2026年度に提供することを前提に提示するものである。</t>
    <rPh sb="1" eb="3">
      <t>リョウキン</t>
    </rPh>
    <rPh sb="13" eb="15">
      <t>ネンド</t>
    </rPh>
    <rPh sb="16" eb="18">
      <t>テイキョウ</t>
    </rPh>
    <rPh sb="23" eb="25">
      <t>ゼンテイ</t>
    </rPh>
    <rPh sb="26" eb="28">
      <t>テイジ</t>
    </rPh>
    <phoneticPr fontId="2"/>
  </si>
  <si>
    <r>
      <t>※客室単価（１泊）には、甲が以下の目安により設定した利用人数分の</t>
    </r>
    <r>
      <rPr>
        <sz val="20"/>
        <color theme="1"/>
        <rFont val="游ゴシック Regular"/>
        <family val="3"/>
        <charset val="128"/>
      </rPr>
      <t>朝食、インターネット接続料金、サービス料が含まれる。</t>
    </r>
    <rPh sb="1" eb="3">
      <t>キャクシツ</t>
    </rPh>
    <rPh sb="3" eb="5">
      <t>タンカ</t>
    </rPh>
    <rPh sb="7" eb="8">
      <t>ハク</t>
    </rPh>
    <rPh sb="12" eb="13">
      <t>コウ</t>
    </rPh>
    <rPh sb="14" eb="16">
      <t>イカ</t>
    </rPh>
    <rPh sb="17" eb="19">
      <t>メヤス</t>
    </rPh>
    <rPh sb="22" eb="24">
      <t>セッテイ</t>
    </rPh>
    <rPh sb="26" eb="31">
      <t>リヨウニンズウブン</t>
    </rPh>
    <rPh sb="32" eb="34">
      <t>チョウショク</t>
    </rPh>
    <rPh sb="42" eb="44">
      <t>セツゾク</t>
    </rPh>
    <rPh sb="44" eb="46">
      <t>リョウキン</t>
    </rPh>
    <rPh sb="51" eb="52">
      <t>リョウ</t>
    </rPh>
    <rPh sb="53" eb="54">
      <t>フク</t>
    </rPh>
    <phoneticPr fontId="2"/>
  </si>
  <si>
    <t>　選手団配宿目安：1名につき1ベッドを割り当てるものとする。和室または和洋室がある場合、4畳あたり1名、最大4名とする。</t>
    <rPh sb="1" eb="4">
      <t>センシュダン</t>
    </rPh>
    <rPh sb="4" eb="6">
      <t>ハイシュク</t>
    </rPh>
    <rPh sb="6" eb="8">
      <t>メヤス</t>
    </rPh>
    <rPh sb="10" eb="11">
      <t>メイ</t>
    </rPh>
    <rPh sb="19" eb="20">
      <t>ワ</t>
    </rPh>
    <rPh sb="21" eb="22">
      <t>ア</t>
    </rPh>
    <rPh sb="30" eb="32">
      <t>ワシツ</t>
    </rPh>
    <rPh sb="35" eb="38">
      <t>ワヨウシツ</t>
    </rPh>
    <rPh sb="41" eb="43">
      <t>バアイ</t>
    </rPh>
    <rPh sb="45" eb="46">
      <t>ジョウ</t>
    </rPh>
    <rPh sb="50" eb="51">
      <t>メイ</t>
    </rPh>
    <rPh sb="52" eb="54">
      <t>サイダイ</t>
    </rPh>
    <rPh sb="55" eb="56">
      <t>メイ</t>
    </rPh>
    <phoneticPr fontId="2"/>
  </si>
  <si>
    <t>別紙１－２</t>
    <rPh sb="0" eb="2">
      <t>ベッシ</t>
    </rPh>
    <phoneticPr fontId="2"/>
  </si>
  <si>
    <t>◆アジア競技大会提供ファンクションルーム（宴会場・会議室）</t>
    <rPh sb="4" eb="6">
      <t>キョウギ</t>
    </rPh>
    <rPh sb="6" eb="8">
      <t>タイカイ</t>
    </rPh>
    <rPh sb="8" eb="10">
      <t>テイキョウ</t>
    </rPh>
    <phoneticPr fontId="59"/>
  </si>
  <si>
    <t>利用開始日</t>
    <rPh sb="0" eb="5">
      <t>リヨウカイシビ</t>
    </rPh>
    <phoneticPr fontId="2"/>
  </si>
  <si>
    <t>利用終了日</t>
    <rPh sb="0" eb="5">
      <t>リヨウシュウリョウビ</t>
    </rPh>
    <phoneticPr fontId="2"/>
  </si>
  <si>
    <t>利用開始時間</t>
    <rPh sb="0" eb="2">
      <t>リヨウ</t>
    </rPh>
    <rPh sb="2" eb="4">
      <t>カイシ</t>
    </rPh>
    <rPh sb="4" eb="6">
      <t>ジカン</t>
    </rPh>
    <phoneticPr fontId="2"/>
  </si>
  <si>
    <t>利用終了時間</t>
    <rPh sb="0" eb="2">
      <t>リヨウ</t>
    </rPh>
    <rPh sb="2" eb="4">
      <t>シュウリョウ</t>
    </rPh>
    <rPh sb="4" eb="6">
      <t>ジカン</t>
    </rPh>
    <phoneticPr fontId="59"/>
  </si>
  <si>
    <t>利用日数</t>
    <rPh sb="0" eb="4">
      <t>リヨウニッスウ</t>
    </rPh>
    <phoneticPr fontId="2"/>
  </si>
  <si>
    <t>会場名</t>
    <phoneticPr fontId="59"/>
  </si>
  <si>
    <t>階数</t>
    <rPh sb="0" eb="2">
      <t>カイスウ</t>
    </rPh>
    <phoneticPr fontId="59"/>
  </si>
  <si>
    <r>
      <t xml:space="preserve">会場形態
</t>
    </r>
    <r>
      <rPr>
        <sz val="11"/>
        <rFont val="游ゴシック Regular"/>
        <family val="3"/>
        <charset val="128"/>
      </rPr>
      <t>（宴会場 ・会議室）</t>
    </r>
    <phoneticPr fontId="59"/>
  </si>
  <si>
    <r>
      <t xml:space="preserve">たて
</t>
    </r>
    <r>
      <rPr>
        <sz val="11"/>
        <rFont val="游ゴシック Regular"/>
        <family val="3"/>
        <charset val="128"/>
      </rPr>
      <t>(m)</t>
    </r>
    <phoneticPr fontId="59"/>
  </si>
  <si>
    <r>
      <t xml:space="preserve">よこ
</t>
    </r>
    <r>
      <rPr>
        <sz val="11"/>
        <rFont val="游ゴシック Regular"/>
        <family val="3"/>
        <charset val="128"/>
      </rPr>
      <t>(m)</t>
    </r>
    <phoneticPr fontId="59"/>
  </si>
  <si>
    <r>
      <t xml:space="preserve">広さ
</t>
    </r>
    <r>
      <rPr>
        <sz val="11"/>
        <rFont val="游ゴシック Regular"/>
        <family val="3"/>
        <charset val="128"/>
      </rPr>
      <t>(㎡)</t>
    </r>
    <rPh sb="0" eb="1">
      <t>ヒロ</t>
    </rPh>
    <phoneticPr fontId="59"/>
  </si>
  <si>
    <r>
      <t xml:space="preserve">天井高
</t>
    </r>
    <r>
      <rPr>
        <sz val="11"/>
        <rFont val="游ゴシック Regular"/>
        <family val="3"/>
        <charset val="128"/>
      </rPr>
      <t>(m)</t>
    </r>
    <rPh sb="0" eb="2">
      <t>テンジョウ</t>
    </rPh>
    <rPh sb="2" eb="3">
      <t>タカ</t>
    </rPh>
    <phoneticPr fontId="59"/>
  </si>
  <si>
    <r>
      <t xml:space="preserve">料金
</t>
    </r>
    <r>
      <rPr>
        <sz val="11"/>
        <rFont val="游ゴシック Regular"/>
        <family val="3"/>
        <charset val="128"/>
      </rPr>
      <t>※サ込</t>
    </r>
    <r>
      <rPr>
        <sz val="11"/>
        <color rgb="FFFF0000"/>
        <rFont val="游ゴシック Regular"/>
        <family val="3"/>
        <charset val="128"/>
      </rPr>
      <t>税込</t>
    </r>
    <rPh sb="0" eb="2">
      <t>リョウキン</t>
    </rPh>
    <rPh sb="5" eb="6">
      <t>コミ</t>
    </rPh>
    <rPh sb="6" eb="8">
      <t>ゼイコミ</t>
    </rPh>
    <phoneticPr fontId="59"/>
  </si>
  <si>
    <r>
      <t xml:space="preserve">料金計
</t>
    </r>
    <r>
      <rPr>
        <sz val="11"/>
        <rFont val="游ゴシック Regular"/>
        <family val="3"/>
        <charset val="128"/>
      </rPr>
      <t>※サ込</t>
    </r>
    <r>
      <rPr>
        <sz val="11"/>
        <color rgb="FFFF0000"/>
        <rFont val="游ゴシック Regular"/>
        <family val="3"/>
        <charset val="128"/>
      </rPr>
      <t>税込</t>
    </r>
    <rPh sb="0" eb="2">
      <t>リョウキン</t>
    </rPh>
    <rPh sb="2" eb="3">
      <t>ケイ</t>
    </rPh>
    <rPh sb="7" eb="9">
      <t>ゼイコミ</t>
    </rPh>
    <phoneticPr fontId="2"/>
  </si>
  <si>
    <t>分割</t>
    <rPh sb="0" eb="2">
      <t>ブンカツ</t>
    </rPh>
    <phoneticPr fontId="59"/>
  </si>
  <si>
    <t>インターネット環境</t>
    <phoneticPr fontId="59"/>
  </si>
  <si>
    <t>可否</t>
    <phoneticPr fontId="59"/>
  </si>
  <si>
    <t>数</t>
    <rPh sb="0" eb="1">
      <t>カズ</t>
    </rPh>
    <phoneticPr fontId="59"/>
  </si>
  <si>
    <t>有線LAN</t>
    <rPh sb="0" eb="2">
      <t>ユウセン</t>
    </rPh>
    <phoneticPr fontId="59"/>
  </si>
  <si>
    <t>料金</t>
    <rPh sb="0" eb="2">
      <t>リョウキｎ</t>
    </rPh>
    <phoneticPr fontId="59"/>
  </si>
  <si>
    <t>無線LAN</t>
    <rPh sb="0" eb="2">
      <t>ムセン</t>
    </rPh>
    <phoneticPr fontId="59"/>
  </si>
  <si>
    <t>料金</t>
    <rPh sb="0" eb="1">
      <t>リョウ</t>
    </rPh>
    <phoneticPr fontId="59"/>
  </si>
  <si>
    <t>記入例</t>
    <phoneticPr fontId="59"/>
  </si>
  <si>
    <t>さくらルーム</t>
    <phoneticPr fontId="59"/>
  </si>
  <si>
    <t>宴会場</t>
    <rPh sb="0" eb="3">
      <t>エンカイジョウ</t>
    </rPh>
    <phoneticPr fontId="59"/>
  </si>
  <si>
    <t>◯</t>
    <phoneticPr fontId="2"/>
  </si>
  <si>
    <t>オパール</t>
    <phoneticPr fontId="2"/>
  </si>
  <si>
    <t>会議室</t>
    <rPh sb="0" eb="3">
      <t>カイギシツ</t>
    </rPh>
    <phoneticPr fontId="2"/>
  </si>
  <si>
    <r>
      <rPr>
        <sz val="11"/>
        <rFont val="Segoe UI Symbol"/>
        <family val="3"/>
      </rPr>
      <t>✕</t>
    </r>
    <phoneticPr fontId="2"/>
  </si>
  <si>
    <r>
      <rPr>
        <sz val="11"/>
        <rFont val="游ゴシック Regular"/>
        <family val="3"/>
        <charset val="128"/>
      </rPr>
      <t>〇</t>
    </r>
    <phoneticPr fontId="2"/>
  </si>
  <si>
    <t>サファイア</t>
    <phoneticPr fontId="2"/>
  </si>
  <si>
    <t>ルビー</t>
    <phoneticPr fontId="2"/>
  </si>
  <si>
    <t>ロイヤルホール</t>
    <phoneticPr fontId="2"/>
  </si>
  <si>
    <t>プルメリア</t>
    <phoneticPr fontId="2"/>
  </si>
  <si>
    <r>
      <t xml:space="preserve">合計
</t>
    </r>
    <r>
      <rPr>
        <sz val="9"/>
        <color theme="1"/>
        <rFont val="游ゴシック Regular"/>
        <family val="3"/>
        <charset val="128"/>
      </rPr>
      <t>（サ込税込）</t>
    </r>
    <rPh sb="0" eb="2">
      <t>ゴウケイ</t>
    </rPh>
    <rPh sb="5" eb="6">
      <t>コミ</t>
    </rPh>
    <rPh sb="6" eb="8">
      <t>ゼイコミ</t>
    </rPh>
    <phoneticPr fontId="2"/>
  </si>
  <si>
    <r>
      <rPr>
        <b/>
        <sz val="11"/>
        <color theme="1"/>
        <rFont val="游ゴシック Regular"/>
        <family val="3"/>
        <charset val="128"/>
      </rPr>
      <t>合計</t>
    </r>
    <r>
      <rPr>
        <b/>
        <sz val="10"/>
        <color theme="1"/>
        <rFont val="游ゴシック Regular"/>
        <family val="3"/>
        <charset val="128"/>
      </rPr>
      <t xml:space="preserve">
（税サ込）</t>
    </r>
    <rPh sb="0" eb="2">
      <t>ゴウケイ</t>
    </rPh>
    <rPh sb="4" eb="5">
      <t>ゼイ</t>
    </rPh>
    <rPh sb="6" eb="7">
      <t>コミ</t>
    </rPh>
    <phoneticPr fontId="2"/>
  </si>
  <si>
    <t>3Fプルメリアは隣のライラック34㎡とつなげてフラワーホールとして利用する場合は、72㎡です。</t>
    <rPh sb="8" eb="9">
      <t>トナリ</t>
    </rPh>
    <rPh sb="33" eb="35">
      <t>リヨウ</t>
    </rPh>
    <rPh sb="37" eb="39">
      <t>バアイ</t>
    </rPh>
    <phoneticPr fontId="2"/>
  </si>
  <si>
    <t>フラワーホールの料金は\94,000税込/日です。</t>
    <rPh sb="8" eb="10">
      <t>リョウキン</t>
    </rPh>
    <rPh sb="18" eb="20">
      <t>ゼイコミ</t>
    </rPh>
    <rPh sb="21" eb="22">
      <t>ニチ</t>
    </rPh>
    <phoneticPr fontId="2"/>
  </si>
  <si>
    <t>アジアはサッカー日程変更に伴いずれる（7/25）</t>
    <rPh sb="8" eb="10">
      <t>ニッテイ</t>
    </rPh>
    <rPh sb="10" eb="12">
      <t>ヘンコウ</t>
    </rPh>
    <rPh sb="13" eb="14">
      <t>トモナ</t>
    </rPh>
    <phoneticPr fontId="2"/>
  </si>
  <si>
    <r>
      <t xml:space="preserve">準備期間客室単価/室
</t>
    </r>
    <r>
      <rPr>
        <sz val="11"/>
        <color theme="1"/>
        <rFont val="游ゴシック Regular"/>
        <family val="3"/>
        <charset val="128"/>
      </rPr>
      <t>※素泊り
（利用人数分）/サ込税別</t>
    </r>
    <rPh sb="0" eb="4">
      <t>ジュンビキカン</t>
    </rPh>
    <rPh sb="12" eb="14">
      <t>スドマ</t>
    </rPh>
    <rPh sb="17" eb="19">
      <t>リヨウ</t>
    </rPh>
    <rPh sb="19" eb="21">
      <t>ニンズウ</t>
    </rPh>
    <rPh sb="20" eb="21">
      <t>スウ</t>
    </rPh>
    <rPh sb="21" eb="22">
      <t>ブン</t>
    </rPh>
    <phoneticPr fontId="2"/>
  </si>
  <si>
    <r>
      <t xml:space="preserve">本番期間客室単価/室
</t>
    </r>
    <r>
      <rPr>
        <sz val="11"/>
        <color theme="1"/>
        <rFont val="游ゴシック Regular"/>
        <family val="3"/>
        <charset val="128"/>
      </rPr>
      <t>※1泊朝食付
（利用人数分）/サ込税別</t>
    </r>
    <rPh sb="0" eb="2">
      <t>ホンバン</t>
    </rPh>
    <rPh sb="2" eb="4">
      <t>キカン</t>
    </rPh>
    <rPh sb="19" eb="21">
      <t>リヨウ</t>
    </rPh>
    <rPh sb="21" eb="23">
      <t>ニンズウ</t>
    </rPh>
    <rPh sb="22" eb="23">
      <t>スウ</t>
    </rPh>
    <rPh sb="23" eb="24">
      <t>ブン</t>
    </rPh>
    <phoneticPr fontId="2"/>
  </si>
  <si>
    <r>
      <t xml:space="preserve">撤去期間客室単価/室
</t>
    </r>
    <r>
      <rPr>
        <sz val="11"/>
        <color theme="1"/>
        <rFont val="游ゴシック Regular"/>
        <family val="3"/>
        <charset val="128"/>
      </rPr>
      <t>※素泊り
（利用人数分）/サ込税別</t>
    </r>
    <rPh sb="0" eb="2">
      <t>テッキョ</t>
    </rPh>
    <rPh sb="2" eb="4">
      <t>キカン</t>
    </rPh>
    <rPh sb="4" eb="6">
      <t>キャクシツ</t>
    </rPh>
    <rPh sb="12" eb="14">
      <t>スドマ</t>
    </rPh>
    <rPh sb="17" eb="19">
      <t>リヨウ</t>
    </rPh>
    <rPh sb="19" eb="21">
      <t>ニンズウ</t>
    </rPh>
    <rPh sb="20" eb="21">
      <t>スウ</t>
    </rPh>
    <rPh sb="21" eb="22">
      <t>ブン</t>
    </rPh>
    <phoneticPr fontId="2"/>
  </si>
  <si>
    <t>ダブルA.B</t>
  </si>
  <si>
    <t>ツインA</t>
  </si>
  <si>
    <t>ツインA　(
EXTRA BEDを使って3人利用可)</t>
    <phoneticPr fontId="2"/>
  </si>
  <si>
    <t>ツインB　</t>
    <phoneticPr fontId="2"/>
  </si>
  <si>
    <t>ユニバーサルツイン　(3人利用はEXTRA BED使用)</t>
  </si>
  <si>
    <t>（12畳）</t>
  </si>
  <si>
    <t>総宿泊料金</t>
    <rPh sb="0" eb="1">
      <t>ソウ</t>
    </rPh>
    <rPh sb="1" eb="3">
      <t>シュクハク</t>
    </rPh>
    <rPh sb="3" eb="5">
      <t>リョウキン</t>
    </rPh>
    <phoneticPr fontId="2"/>
  </si>
  <si>
    <t>総宿泊料金（税込）</t>
    <rPh sb="0" eb="1">
      <t>ソウ</t>
    </rPh>
    <rPh sb="1" eb="3">
      <t>シュクハク</t>
    </rPh>
    <rPh sb="3" eb="5">
      <t>リョウキン</t>
    </rPh>
    <rPh sb="6" eb="8">
      <t>ゼイコミ</t>
    </rPh>
    <phoneticPr fontId="2"/>
  </si>
  <si>
    <t>◆アジアパラ競技大会提供客室　</t>
    <rPh sb="6" eb="8">
      <t>キョウギ</t>
    </rPh>
    <rPh sb="8" eb="10">
      <t>タイカイ</t>
    </rPh>
    <rPh sb="10" eb="12">
      <t>テイキョウ</t>
    </rPh>
    <rPh sb="12" eb="14">
      <t>キャクシツ</t>
    </rPh>
    <phoneticPr fontId="59"/>
  </si>
  <si>
    <t>ツインA　(EXTRA BEDを使って3人利用可)</t>
    <phoneticPr fontId="2"/>
  </si>
  <si>
    <r>
      <t>※客室単価（１泊）には、甲が以下の目安により設定した利用人数分の</t>
    </r>
    <r>
      <rPr>
        <sz val="20"/>
        <color theme="1"/>
        <rFont val="游ゴシック Regular"/>
        <family val="3"/>
        <charset val="128"/>
      </rPr>
      <t>朝食、インターネット接続料金、サービス料、諸税が含まれる。</t>
    </r>
    <rPh sb="1" eb="3">
      <t>キャクシツ</t>
    </rPh>
    <rPh sb="3" eb="5">
      <t>タンカ</t>
    </rPh>
    <rPh sb="7" eb="8">
      <t>ハク</t>
    </rPh>
    <rPh sb="12" eb="13">
      <t>コウ</t>
    </rPh>
    <rPh sb="14" eb="16">
      <t>イカ</t>
    </rPh>
    <rPh sb="17" eb="19">
      <t>メヤス</t>
    </rPh>
    <rPh sb="22" eb="24">
      <t>セッテイ</t>
    </rPh>
    <rPh sb="26" eb="31">
      <t>リヨウニンズウブン</t>
    </rPh>
    <rPh sb="32" eb="34">
      <t>チョウショク</t>
    </rPh>
    <rPh sb="42" eb="44">
      <t>セツゾク</t>
    </rPh>
    <rPh sb="44" eb="46">
      <t>リョウキン</t>
    </rPh>
    <rPh sb="51" eb="52">
      <t>リョウ</t>
    </rPh>
    <rPh sb="53" eb="55">
      <t>ショゼイ</t>
    </rPh>
    <rPh sb="56" eb="57">
      <t>フク</t>
    </rPh>
    <phoneticPr fontId="2"/>
  </si>
  <si>
    <t>アジアはサッカー日程変更に伴い1日後ろに増（7/25）、ファンクションルームは返却不可</t>
    <rPh sb="8" eb="10">
      <t>ニッテイ</t>
    </rPh>
    <rPh sb="10" eb="12">
      <t>ヘンコウ</t>
    </rPh>
    <rPh sb="13" eb="14">
      <t>トモナ</t>
    </rPh>
    <rPh sb="16" eb="17">
      <t>ニチ</t>
    </rPh>
    <rPh sb="17" eb="18">
      <t>ウシ</t>
    </rPh>
    <rPh sb="20" eb="21">
      <t>ゾウ</t>
    </rPh>
    <rPh sb="39" eb="41">
      <t>ヘンキャク</t>
    </rPh>
    <rPh sb="41" eb="43">
      <t>フカ</t>
    </rPh>
    <phoneticPr fontId="2"/>
  </si>
  <si>
    <r>
      <t xml:space="preserve">料金
</t>
    </r>
    <r>
      <rPr>
        <sz val="11"/>
        <rFont val="游ゴシック Regular"/>
        <family val="3"/>
        <charset val="128"/>
      </rPr>
      <t>※サ込税別</t>
    </r>
    <rPh sb="0" eb="2">
      <t>リョウキン</t>
    </rPh>
    <rPh sb="5" eb="6">
      <t>コミ</t>
    </rPh>
    <rPh sb="6" eb="8">
      <t>ゼイベツ</t>
    </rPh>
    <phoneticPr fontId="59"/>
  </si>
  <si>
    <r>
      <t xml:space="preserve">料金計
</t>
    </r>
    <r>
      <rPr>
        <sz val="11"/>
        <rFont val="游ゴシック Regular"/>
        <family val="3"/>
        <charset val="128"/>
      </rPr>
      <t>※サ込税別</t>
    </r>
    <rPh sb="0" eb="2">
      <t>リョウキン</t>
    </rPh>
    <rPh sb="2" eb="3">
      <t>ケイ</t>
    </rPh>
    <phoneticPr fontId="2"/>
  </si>
  <si>
    <t>瑞雲</t>
  </si>
  <si>
    <t>ホール</t>
  </si>
  <si>
    <t>〇</t>
    <phoneticPr fontId="2"/>
  </si>
  <si>
    <t>〇</t>
    <phoneticPr fontId="57"/>
  </si>
  <si>
    <t>平安</t>
  </si>
  <si>
    <t>宴会場</t>
    <rPh sb="0" eb="3">
      <t>エンカイジョウ</t>
    </rPh>
    <phoneticPr fontId="57"/>
  </si>
  <si>
    <t>羽衣</t>
  </si>
  <si>
    <t>白鳥</t>
  </si>
  <si>
    <t>サルビア</t>
  </si>
  <si>
    <t>シリウス</t>
  </si>
  <si>
    <t>ダリア</t>
  </si>
  <si>
    <t>銀杏</t>
  </si>
  <si>
    <t>若葉</t>
  </si>
  <si>
    <t>桔梗</t>
  </si>
  <si>
    <t>B1</t>
  </si>
  <si>
    <t>×</t>
    <phoneticPr fontId="57"/>
  </si>
  <si>
    <t>桜/錦/泉/葵</t>
  </si>
  <si>
    <t>会議室</t>
    <rPh sb="0" eb="3">
      <t>カイギシツ</t>
    </rPh>
    <phoneticPr fontId="57"/>
  </si>
  <si>
    <t>百合</t>
  </si>
  <si>
    <t>座敷</t>
    <rPh sb="0" eb="2">
      <t>ザシキ</t>
    </rPh>
    <phoneticPr fontId="57"/>
  </si>
  <si>
    <t>ｰ</t>
  </si>
  <si>
    <t>オリオン</t>
  </si>
  <si>
    <t>輝</t>
  </si>
  <si>
    <t>◆アジアパラ競技大会提供ファンクションルーム（宴会場・会議室）</t>
    <rPh sb="6" eb="8">
      <t>キョウギ</t>
    </rPh>
    <rPh sb="8" eb="10">
      <t>タイカイ</t>
    </rPh>
    <rPh sb="10" eb="12">
      <t>テイキョウ</t>
    </rPh>
    <phoneticPr fontId="59"/>
  </si>
  <si>
    <t>別紙１－３</t>
    <rPh sb="0" eb="2">
      <t>ベッシ</t>
    </rPh>
    <phoneticPr fontId="2"/>
  </si>
  <si>
    <t>◆アジア競技大会提供附属契約（食事等）</t>
    <rPh sb="4" eb="6">
      <t>キョウギ</t>
    </rPh>
    <rPh sb="6" eb="8">
      <t>タイカイ</t>
    </rPh>
    <rPh sb="8" eb="10">
      <t>テイキョウ</t>
    </rPh>
    <rPh sb="10" eb="14">
      <t>フゾクケイヤク</t>
    </rPh>
    <rPh sb="15" eb="18">
      <t>ショクジトウ</t>
    </rPh>
    <phoneticPr fontId="59"/>
  </si>
  <si>
    <t>※ANAクラウンを参考</t>
    <rPh sb="9" eb="11">
      <t>サンコウ</t>
    </rPh>
    <phoneticPr fontId="2"/>
  </si>
  <si>
    <t>写真スタジオ</t>
    <rPh sb="0" eb="2">
      <t>シャシン</t>
    </rPh>
    <phoneticPr fontId="2"/>
  </si>
  <si>
    <t>テナント営業補償</t>
    <rPh sb="4" eb="8">
      <t>エイギョウホショウ</t>
    </rPh>
    <phoneticPr fontId="2"/>
  </si>
  <si>
    <t>美容室</t>
    <rPh sb="0" eb="3">
      <t>ビヨウシツ</t>
    </rPh>
    <phoneticPr fontId="2"/>
  </si>
  <si>
    <t>衣裳室</t>
    <rPh sb="0" eb="3">
      <t>イショウシツ</t>
    </rPh>
    <phoneticPr fontId="2"/>
  </si>
  <si>
    <t>B1</t>
    <phoneticPr fontId="2"/>
  </si>
  <si>
    <r>
      <t xml:space="preserve">合計
</t>
    </r>
    <r>
      <rPr>
        <sz val="9"/>
        <color theme="1"/>
        <rFont val="游ゴシック Regular"/>
        <family val="3"/>
        <charset val="128"/>
      </rPr>
      <t>（サ込税別）</t>
    </r>
    <rPh sb="0" eb="2">
      <t>ゴウケイ</t>
    </rPh>
    <rPh sb="5" eb="6">
      <t>コミ</t>
    </rPh>
    <rPh sb="6" eb="8">
      <t>ゼイベツ</t>
    </rPh>
    <phoneticPr fontId="2"/>
  </si>
  <si>
    <t>食費（税サ込）</t>
    <rPh sb="0" eb="2">
      <t>ショクヒ</t>
    </rPh>
    <rPh sb="3" eb="4">
      <t>ゼイ</t>
    </rPh>
    <rPh sb="5" eb="6">
      <t>コミ</t>
    </rPh>
    <phoneticPr fontId="2"/>
  </si>
  <si>
    <t>食費は別で積算</t>
    <rPh sb="0" eb="2">
      <t>ショクヒ</t>
    </rPh>
    <rPh sb="3" eb="4">
      <t>ベツ</t>
    </rPh>
    <rPh sb="5" eb="7">
      <t>セキサン</t>
    </rPh>
    <phoneticPr fontId="2"/>
  </si>
  <si>
    <t>営業補償（税サ込）</t>
    <rPh sb="0" eb="4">
      <t>エイギョウホショウ</t>
    </rPh>
    <rPh sb="5" eb="6">
      <t>ゼイ</t>
    </rPh>
    <rPh sb="7" eb="8">
      <t>コミ</t>
    </rPh>
    <phoneticPr fontId="2"/>
  </si>
  <si>
    <t>◆アジアパラ競技大会提供附属契約（食事等）</t>
    <rPh sb="6" eb="8">
      <t>キョウギ</t>
    </rPh>
    <rPh sb="8" eb="10">
      <t>タイカイ</t>
    </rPh>
    <rPh sb="10" eb="12">
      <t>テイキョウ</t>
    </rPh>
    <rPh sb="12" eb="16">
      <t>フゾクケイヤク</t>
    </rPh>
    <rPh sb="17" eb="20">
      <t>ショクジトウ</t>
    </rPh>
    <phoneticPr fontId="59"/>
  </si>
  <si>
    <t>名古屋マリオットアソシアホテル</t>
    <rPh sb="0" eb="3">
      <t>ナゴヤ</t>
    </rPh>
    <phoneticPr fontId="2"/>
  </si>
  <si>
    <r>
      <t xml:space="preserve">準備期間客室単価/室
</t>
    </r>
    <r>
      <rPr>
        <sz val="11"/>
        <color theme="1"/>
        <rFont val="游ゴシック Regular"/>
        <family val="3"/>
        <charset val="128"/>
      </rPr>
      <t xml:space="preserve">※素泊り
</t>
    </r>
    <r>
      <rPr>
        <sz val="11"/>
        <color rgb="FFFF0000"/>
        <rFont val="游ゴシック Regular"/>
        <family val="3"/>
        <charset val="128"/>
      </rPr>
      <t>（利用人数分）/サ税込</t>
    </r>
    <rPh sb="0" eb="4">
      <t>ジュンビキカン</t>
    </rPh>
    <rPh sb="12" eb="14">
      <t>スドマ</t>
    </rPh>
    <rPh sb="17" eb="19">
      <t>リヨウ</t>
    </rPh>
    <rPh sb="19" eb="21">
      <t>ニンズウ</t>
    </rPh>
    <rPh sb="20" eb="21">
      <t>スウ</t>
    </rPh>
    <rPh sb="21" eb="22">
      <t>ブン</t>
    </rPh>
    <rPh sb="26" eb="27">
      <t>コ</t>
    </rPh>
    <phoneticPr fontId="2"/>
  </si>
  <si>
    <r>
      <t xml:space="preserve">本番期間客室単価/室
</t>
    </r>
    <r>
      <rPr>
        <sz val="11"/>
        <color theme="1"/>
        <rFont val="游ゴシック Regular"/>
        <family val="3"/>
        <charset val="128"/>
      </rPr>
      <t xml:space="preserve">※1泊朝食付
</t>
    </r>
    <r>
      <rPr>
        <sz val="11"/>
        <color rgb="FFFF0000"/>
        <rFont val="游ゴシック Regular"/>
        <family val="3"/>
        <charset val="128"/>
      </rPr>
      <t>（利用人数分）/サ税込</t>
    </r>
    <rPh sb="0" eb="2">
      <t>ホンバン</t>
    </rPh>
    <rPh sb="2" eb="4">
      <t>キカン</t>
    </rPh>
    <rPh sb="19" eb="21">
      <t>リヨウ</t>
    </rPh>
    <rPh sb="21" eb="23">
      <t>ニンズウ</t>
    </rPh>
    <rPh sb="22" eb="23">
      <t>スウ</t>
    </rPh>
    <rPh sb="23" eb="24">
      <t>ブン</t>
    </rPh>
    <rPh sb="28" eb="29">
      <t>コ</t>
    </rPh>
    <phoneticPr fontId="2"/>
  </si>
  <si>
    <r>
      <t xml:space="preserve">撤去期間客室単価/室
</t>
    </r>
    <r>
      <rPr>
        <sz val="11"/>
        <color theme="1"/>
        <rFont val="游ゴシック Regular"/>
        <family val="3"/>
        <charset val="128"/>
      </rPr>
      <t xml:space="preserve">※素泊り
</t>
    </r>
    <r>
      <rPr>
        <sz val="11"/>
        <color rgb="FFFF0000"/>
        <rFont val="游ゴシック Regular"/>
        <family val="3"/>
        <charset val="128"/>
      </rPr>
      <t>（利用人数分）/サ税込</t>
    </r>
    <rPh sb="0" eb="2">
      <t>テッキョ</t>
    </rPh>
    <rPh sb="2" eb="4">
      <t>キカン</t>
    </rPh>
    <rPh sb="4" eb="6">
      <t>キャクシツ</t>
    </rPh>
    <rPh sb="12" eb="14">
      <t>スドマ</t>
    </rPh>
    <rPh sb="17" eb="19">
      <t>リヨウ</t>
    </rPh>
    <rPh sb="19" eb="21">
      <t>ニンズウ</t>
    </rPh>
    <rPh sb="20" eb="21">
      <t>スウ</t>
    </rPh>
    <rPh sb="21" eb="22">
      <t>ブン</t>
    </rPh>
    <rPh sb="26" eb="27">
      <t>コ</t>
    </rPh>
    <phoneticPr fontId="2"/>
  </si>
  <si>
    <t>税込（元々）</t>
    <rPh sb="0" eb="2">
      <t>ゼイコミ</t>
    </rPh>
    <rPh sb="3" eb="5">
      <t>モトモト</t>
    </rPh>
    <phoneticPr fontId="2"/>
  </si>
  <si>
    <t>※</t>
    <phoneticPr fontId="2"/>
  </si>
  <si>
    <t>客室タイプについては施設お任せ（想定8フロアー貸切）宿泊人員数２２０名想定</t>
    <rPh sb="0" eb="2">
      <t>キャクシツ</t>
    </rPh>
    <rPh sb="10" eb="12">
      <t>シセツ</t>
    </rPh>
    <rPh sb="13" eb="14">
      <t>マカ</t>
    </rPh>
    <rPh sb="16" eb="18">
      <t>ソウテイ</t>
    </rPh>
    <rPh sb="23" eb="25">
      <t>カシキリ</t>
    </rPh>
    <rPh sb="26" eb="28">
      <t>シュクハク</t>
    </rPh>
    <rPh sb="28" eb="31">
      <t>ジンインスウ</t>
    </rPh>
    <rPh sb="34" eb="35">
      <t>メイ</t>
    </rPh>
    <rPh sb="35" eb="37">
      <t>ソウテイ</t>
    </rPh>
    <phoneticPr fontId="2"/>
  </si>
  <si>
    <t>現状、提供フロアーが指定できないため想定フロアーで算出しています。フロアー変更の場合は料金帯が変更となる場合がございます。</t>
    <rPh sb="0" eb="2">
      <t>ゲンジョウ</t>
    </rPh>
    <rPh sb="3" eb="5">
      <t>テイキョウ</t>
    </rPh>
    <rPh sb="10" eb="12">
      <t>シテイ</t>
    </rPh>
    <rPh sb="18" eb="20">
      <t>ソウテイ</t>
    </rPh>
    <rPh sb="25" eb="27">
      <t>サンシュツ</t>
    </rPh>
    <rPh sb="37" eb="39">
      <t>ヘンコウ</t>
    </rPh>
    <rPh sb="40" eb="42">
      <t>バアイ</t>
    </rPh>
    <rPh sb="43" eb="46">
      <t>リョウキンタイ</t>
    </rPh>
    <rPh sb="47" eb="49">
      <t>ヘンコウ</t>
    </rPh>
    <rPh sb="52" eb="54">
      <t>バアイ</t>
    </rPh>
    <phoneticPr fontId="2"/>
  </si>
  <si>
    <r>
      <t xml:space="preserve">料金
</t>
    </r>
    <r>
      <rPr>
        <sz val="11"/>
        <color rgb="FFFF0000"/>
        <rFont val="游ゴシック Regular"/>
        <family val="3"/>
        <charset val="128"/>
      </rPr>
      <t>※サ税込</t>
    </r>
    <rPh sb="0" eb="2">
      <t>リョウキン</t>
    </rPh>
    <rPh sb="5" eb="7">
      <t>ゼイコミ</t>
    </rPh>
    <phoneticPr fontId="59"/>
  </si>
  <si>
    <r>
      <t xml:space="preserve">料金計
</t>
    </r>
    <r>
      <rPr>
        <sz val="11"/>
        <color rgb="FFFF0000"/>
        <rFont val="游ゴシック Regular"/>
        <family val="3"/>
        <charset val="128"/>
      </rPr>
      <t>※サ税込</t>
    </r>
    <rPh sb="0" eb="2">
      <t>リョウキン</t>
    </rPh>
    <rPh sb="2" eb="3">
      <t>ケイ</t>
    </rPh>
    <rPh sb="7" eb="8">
      <t>コ</t>
    </rPh>
    <phoneticPr fontId="2"/>
  </si>
  <si>
    <t>ジュピター</t>
  </si>
  <si>
    <t>マーキュリー</t>
  </si>
  <si>
    <t>合計
(サ税込)</t>
    <rPh sb="0" eb="2">
      <t>ゴウケイ</t>
    </rPh>
    <rPh sb="5" eb="7">
      <t>ゼイコミ</t>
    </rPh>
    <phoneticPr fontId="2"/>
  </si>
  <si>
    <t>※「ジュピター」2026年10月12日～10月26日提供可能</t>
    <rPh sb="12" eb="13">
      <t>ネン</t>
    </rPh>
    <rPh sb="15" eb="16">
      <t>ガツ</t>
    </rPh>
    <rPh sb="18" eb="19">
      <t>ヒ</t>
    </rPh>
    <rPh sb="22" eb="23">
      <t>ガツ</t>
    </rPh>
    <rPh sb="25" eb="26">
      <t>ヒ</t>
    </rPh>
    <rPh sb="26" eb="28">
      <t>テイキョウ</t>
    </rPh>
    <rPh sb="28" eb="30">
      <t>カノウ</t>
    </rPh>
    <phoneticPr fontId="2"/>
  </si>
  <si>
    <t>※「シリウス」、「マーキュリー」2026年10月10日～10月26日提供可能</t>
    <rPh sb="20" eb="21">
      <t>ネン</t>
    </rPh>
    <rPh sb="23" eb="24">
      <t>ガツ</t>
    </rPh>
    <rPh sb="26" eb="27">
      <t>ヒ</t>
    </rPh>
    <rPh sb="30" eb="31">
      <t>ガツ</t>
    </rPh>
    <rPh sb="33" eb="34">
      <t>ヒ</t>
    </rPh>
    <rPh sb="34" eb="38">
      <t>テイキョウカノウ</t>
    </rPh>
    <phoneticPr fontId="2"/>
  </si>
  <si>
    <t>名古屋プリンスホテル　スカイタワー</t>
    <rPh sb="0" eb="3">
      <t>ナゴヤ</t>
    </rPh>
    <phoneticPr fontId="2"/>
  </si>
  <si>
    <r>
      <t xml:space="preserve">準備期間客室単価/室
</t>
    </r>
    <r>
      <rPr>
        <sz val="11"/>
        <color theme="1"/>
        <rFont val="游ゴシック Regular"/>
        <family val="3"/>
        <charset val="128"/>
      </rPr>
      <t>※素泊り
（利用人数分）/サ込税</t>
    </r>
    <r>
      <rPr>
        <sz val="11"/>
        <color rgb="FFFF0000"/>
        <rFont val="游ゴシック Regular"/>
        <family val="3"/>
        <charset val="128"/>
      </rPr>
      <t>込</t>
    </r>
    <rPh sb="0" eb="4">
      <t>ジュンビキカン</t>
    </rPh>
    <rPh sb="12" eb="14">
      <t>スドマ</t>
    </rPh>
    <rPh sb="17" eb="19">
      <t>リヨウ</t>
    </rPh>
    <rPh sb="19" eb="21">
      <t>ニンズウ</t>
    </rPh>
    <rPh sb="20" eb="21">
      <t>スウ</t>
    </rPh>
    <rPh sb="21" eb="22">
      <t>ブン</t>
    </rPh>
    <rPh sb="27" eb="28">
      <t>コミ</t>
    </rPh>
    <phoneticPr fontId="2"/>
  </si>
  <si>
    <r>
      <t xml:space="preserve">本番期間客室単価/室
</t>
    </r>
    <r>
      <rPr>
        <sz val="11"/>
        <color theme="1"/>
        <rFont val="游ゴシック Regular"/>
        <family val="3"/>
        <charset val="128"/>
      </rPr>
      <t>※1泊朝食付
（利用人数分）/サ込税</t>
    </r>
    <r>
      <rPr>
        <sz val="11"/>
        <color rgb="FFFF0000"/>
        <rFont val="游ゴシック Regular"/>
        <family val="3"/>
        <charset val="128"/>
      </rPr>
      <t>込</t>
    </r>
    <rPh sb="0" eb="2">
      <t>ホンバン</t>
    </rPh>
    <rPh sb="2" eb="4">
      <t>キカン</t>
    </rPh>
    <rPh sb="19" eb="21">
      <t>リヨウ</t>
    </rPh>
    <rPh sb="21" eb="23">
      <t>ニンズウ</t>
    </rPh>
    <rPh sb="22" eb="23">
      <t>スウ</t>
    </rPh>
    <rPh sb="23" eb="24">
      <t>ブン</t>
    </rPh>
    <rPh sb="29" eb="30">
      <t>コ</t>
    </rPh>
    <phoneticPr fontId="2"/>
  </si>
  <si>
    <r>
      <t xml:space="preserve">撤去期間客室単価/室
</t>
    </r>
    <r>
      <rPr>
        <sz val="11"/>
        <color theme="1"/>
        <rFont val="游ゴシック Regular"/>
        <family val="3"/>
        <charset val="128"/>
      </rPr>
      <t>※素泊り
（利用人数分）/サ込税</t>
    </r>
    <r>
      <rPr>
        <sz val="11"/>
        <color rgb="FFFF0000"/>
        <rFont val="游ゴシック Regular"/>
        <family val="3"/>
        <charset val="128"/>
      </rPr>
      <t>込</t>
    </r>
    <rPh sb="0" eb="2">
      <t>テッキョ</t>
    </rPh>
    <rPh sb="2" eb="4">
      <t>キカン</t>
    </rPh>
    <rPh sb="4" eb="6">
      <t>キャクシツ</t>
    </rPh>
    <rPh sb="12" eb="14">
      <t>スドマ</t>
    </rPh>
    <rPh sb="17" eb="19">
      <t>リヨウ</t>
    </rPh>
    <rPh sb="19" eb="21">
      <t>ニンズウ</t>
    </rPh>
    <rPh sb="20" eb="21">
      <t>スウ</t>
    </rPh>
    <rPh sb="21" eb="22">
      <t>ブン</t>
    </rPh>
    <rPh sb="27" eb="28">
      <t>コミ</t>
    </rPh>
    <phoneticPr fontId="2"/>
  </si>
  <si>
    <t>1室1名利用時
室料　65,824円
1泊朝食付　69,624円</t>
    <rPh sb="1" eb="2">
      <t>シツ</t>
    </rPh>
    <rPh sb="3" eb="6">
      <t>メイリヨウ</t>
    </rPh>
    <rPh sb="6" eb="7">
      <t>ジ</t>
    </rPh>
    <rPh sb="8" eb="10">
      <t>シツリョウ</t>
    </rPh>
    <rPh sb="17" eb="18">
      <t>エン</t>
    </rPh>
    <rPh sb="20" eb="21">
      <t>ハク</t>
    </rPh>
    <rPh sb="21" eb="24">
      <t>チョウショクツキ</t>
    </rPh>
    <rPh sb="31" eb="32">
      <t>エン</t>
    </rPh>
    <phoneticPr fontId="2"/>
  </si>
  <si>
    <t>1室1名利用時
室料　193,652円
1泊朝食付　193,652円</t>
    <rPh sb="1" eb="2">
      <t>シツ</t>
    </rPh>
    <rPh sb="3" eb="6">
      <t>メイリヨウ</t>
    </rPh>
    <rPh sb="6" eb="7">
      <t>ジ</t>
    </rPh>
    <rPh sb="8" eb="10">
      <t>シツリョウ</t>
    </rPh>
    <rPh sb="18" eb="19">
      <t>エン</t>
    </rPh>
    <rPh sb="21" eb="22">
      <t>ハク</t>
    </rPh>
    <rPh sb="22" eb="25">
      <t>チョウショクツキ</t>
    </rPh>
    <rPh sb="33" eb="34">
      <t>エン</t>
    </rPh>
    <phoneticPr fontId="2"/>
  </si>
  <si>
    <t>1室1名利用時
室料　286,788円
1泊朝食付　286,788円</t>
    <rPh sb="1" eb="2">
      <t>シツ</t>
    </rPh>
    <rPh sb="3" eb="6">
      <t>メイリヨウ</t>
    </rPh>
    <rPh sb="6" eb="7">
      <t>ジ</t>
    </rPh>
    <rPh sb="8" eb="10">
      <t>シツリョウ</t>
    </rPh>
    <rPh sb="18" eb="19">
      <t>エン</t>
    </rPh>
    <rPh sb="21" eb="22">
      <t>ハク</t>
    </rPh>
    <rPh sb="22" eb="25">
      <t>チョウショクツキ</t>
    </rPh>
    <rPh sb="33" eb="34">
      <t>エン</t>
    </rPh>
    <phoneticPr fontId="2"/>
  </si>
  <si>
    <t>（1）デラックスコーナー、プレミアムコーナーの客室は朝食無料で販売しているため、室料と朝食付は同料金となります。</t>
    <rPh sb="23" eb="25">
      <t>キャクシツ</t>
    </rPh>
    <rPh sb="26" eb="28">
      <t>チョウショク</t>
    </rPh>
    <rPh sb="28" eb="30">
      <t>ムリョウ</t>
    </rPh>
    <rPh sb="31" eb="33">
      <t>ハンバイ</t>
    </rPh>
    <rPh sb="40" eb="42">
      <t>シツリョウ</t>
    </rPh>
    <rPh sb="43" eb="45">
      <t>チョウショク</t>
    </rPh>
    <rPh sb="45" eb="46">
      <t>ツキ</t>
    </rPh>
    <rPh sb="47" eb="48">
      <t>ドウ</t>
    </rPh>
    <rPh sb="48" eb="50">
      <t>リョウキン</t>
    </rPh>
    <phoneticPr fontId="2"/>
  </si>
  <si>
    <t>（2）現状、料金変動制で客室販売しており、10月繁忙時期の販売予定料金を提示しております。</t>
    <rPh sb="3" eb="5">
      <t>ゲンジョウ</t>
    </rPh>
    <rPh sb="6" eb="8">
      <t>リョウキン</t>
    </rPh>
    <rPh sb="8" eb="11">
      <t>ヘンドウセイ</t>
    </rPh>
    <rPh sb="12" eb="14">
      <t>キャクシツ</t>
    </rPh>
    <rPh sb="14" eb="16">
      <t>ハンバイ</t>
    </rPh>
    <rPh sb="23" eb="24">
      <t>ガツ</t>
    </rPh>
    <rPh sb="24" eb="26">
      <t>ハンボウ</t>
    </rPh>
    <rPh sb="26" eb="28">
      <t>ジキ</t>
    </rPh>
    <rPh sb="29" eb="31">
      <t>ハンバイ</t>
    </rPh>
    <rPh sb="31" eb="33">
      <t>ヨテイ</t>
    </rPh>
    <rPh sb="33" eb="35">
      <t>リョウキン</t>
    </rPh>
    <rPh sb="36" eb="38">
      <t>テイジ</t>
    </rPh>
    <phoneticPr fontId="2"/>
  </si>
  <si>
    <t>名古屋プリンスホテルスカイタワー</t>
    <rPh sb="0" eb="3">
      <t>ナゴヤ</t>
    </rPh>
    <phoneticPr fontId="2"/>
  </si>
  <si>
    <t>ボードルーム</t>
  </si>
  <si>
    <t>クラブラウンジ</t>
  </si>
  <si>
    <t>スカイダイニング天空</t>
    <rPh sb="8" eb="10">
      <t>テンクウ</t>
    </rPh>
    <phoneticPr fontId="2"/>
  </si>
  <si>
    <t>レストラン</t>
  </si>
  <si>
    <r>
      <t xml:space="preserve">準備期間客室単価/室
</t>
    </r>
    <r>
      <rPr>
        <sz val="11"/>
        <color theme="1"/>
        <rFont val="游ゴシック Regular"/>
        <family val="3"/>
        <charset val="128"/>
      </rPr>
      <t>※素泊り
（利用人数分）/サ込税別</t>
    </r>
    <rPh sb="0" eb="4">
      <t>ジュンビキカン</t>
    </rPh>
    <rPh sb="12" eb="14">
      <t>スドマ</t>
    </rPh>
    <rPh sb="17" eb="19">
      <t>リヨウ</t>
    </rPh>
    <rPh sb="19" eb="21">
      <t>ニンズウ</t>
    </rPh>
    <rPh sb="20" eb="21">
      <t>スウ</t>
    </rPh>
    <rPh sb="21" eb="22">
      <t>ブン</t>
    </rPh>
    <rPh sb="27" eb="28">
      <t>ベツ</t>
    </rPh>
    <phoneticPr fontId="2"/>
  </si>
  <si>
    <r>
      <t xml:space="preserve">本番期間客室単価/室
</t>
    </r>
    <r>
      <rPr>
        <sz val="11"/>
        <color theme="1"/>
        <rFont val="游ゴシック Regular"/>
        <family val="3"/>
        <charset val="128"/>
      </rPr>
      <t>※1泊朝食付
（利用人数分）/サ込税別</t>
    </r>
    <rPh sb="0" eb="2">
      <t>ホンバン</t>
    </rPh>
    <rPh sb="2" eb="4">
      <t>キカン</t>
    </rPh>
    <rPh sb="19" eb="21">
      <t>リヨウ</t>
    </rPh>
    <rPh sb="21" eb="23">
      <t>ニンズウ</t>
    </rPh>
    <rPh sb="22" eb="23">
      <t>スウ</t>
    </rPh>
    <rPh sb="23" eb="24">
      <t>ブン</t>
    </rPh>
    <rPh sb="29" eb="30">
      <t>ベツ</t>
    </rPh>
    <phoneticPr fontId="2"/>
  </si>
  <si>
    <r>
      <t xml:space="preserve">撤去期間客室単価/室
</t>
    </r>
    <r>
      <rPr>
        <sz val="11"/>
        <color theme="1"/>
        <rFont val="游ゴシック Regular"/>
        <family val="3"/>
        <charset val="128"/>
      </rPr>
      <t>※素泊り
（利用人数分）/サ込税別</t>
    </r>
    <rPh sb="0" eb="2">
      <t>テッキョ</t>
    </rPh>
    <rPh sb="2" eb="4">
      <t>キカン</t>
    </rPh>
    <rPh sb="4" eb="6">
      <t>キャクシツ</t>
    </rPh>
    <rPh sb="12" eb="14">
      <t>スドマ</t>
    </rPh>
    <rPh sb="17" eb="19">
      <t>リヨウ</t>
    </rPh>
    <rPh sb="19" eb="21">
      <t>ニンズウ</t>
    </rPh>
    <rPh sb="20" eb="21">
      <t>スウ</t>
    </rPh>
    <rPh sb="21" eb="22">
      <t>ブン</t>
    </rPh>
    <rPh sb="27" eb="28">
      <t>ベツ</t>
    </rPh>
    <phoneticPr fontId="2"/>
  </si>
  <si>
    <t>ジャパニーズスイート
【エアラインクルー用客室買取価格】</t>
    <phoneticPr fontId="2"/>
  </si>
  <si>
    <t>総宿泊料金（サ込税別）</t>
    <rPh sb="0" eb="1">
      <t>ソウ</t>
    </rPh>
    <rPh sb="1" eb="3">
      <t>シュクハク</t>
    </rPh>
    <rPh sb="3" eb="5">
      <t>リョウキン</t>
    </rPh>
    <rPh sb="7" eb="8">
      <t>コミ</t>
    </rPh>
    <rPh sb="8" eb="10">
      <t>ゼイベツ</t>
    </rPh>
    <phoneticPr fontId="2"/>
  </si>
  <si>
    <t>4F 梅の間</t>
  </si>
  <si>
    <t>4F 藤の間</t>
  </si>
  <si>
    <t>4F 杉の間 　清杉の間</t>
    <rPh sb="8" eb="9">
      <t>キヨ</t>
    </rPh>
    <rPh sb="9" eb="10">
      <t>スギ</t>
    </rPh>
    <rPh sb="11" eb="12">
      <t>マ</t>
    </rPh>
    <phoneticPr fontId="2"/>
  </si>
  <si>
    <t>4F 杉の間 　美杉の間</t>
    <rPh sb="8" eb="9">
      <t>ビ</t>
    </rPh>
    <rPh sb="9" eb="10">
      <t>スギ</t>
    </rPh>
    <rPh sb="11" eb="12">
      <t>マ</t>
    </rPh>
    <phoneticPr fontId="2"/>
  </si>
  <si>
    <t>4F 竹の間 　竹園の間 1/2</t>
    <rPh sb="8" eb="10">
      <t>タケソノ</t>
    </rPh>
    <rPh sb="11" eb="12">
      <t>マ</t>
    </rPh>
    <phoneticPr fontId="2"/>
  </si>
  <si>
    <t xml:space="preserve">4F 竹の間 　竹林の間 </t>
    <rPh sb="8" eb="10">
      <t>チクリン</t>
    </rPh>
    <rPh sb="11" eb="12">
      <t>マ</t>
    </rPh>
    <phoneticPr fontId="2"/>
  </si>
  <si>
    <t>4F 欅の間</t>
  </si>
  <si>
    <t>4F 桜の間     桜花の間</t>
    <rPh sb="11" eb="12">
      <t>サクラ</t>
    </rPh>
    <rPh sb="12" eb="13">
      <t>ハナ</t>
    </rPh>
    <rPh sb="14" eb="15">
      <t>マ</t>
    </rPh>
    <phoneticPr fontId="2"/>
  </si>
  <si>
    <t>4F 桜の間　 桜園の間</t>
    <rPh sb="8" eb="9">
      <t>サクラ</t>
    </rPh>
    <rPh sb="9" eb="10">
      <t>エン</t>
    </rPh>
    <rPh sb="11" eb="12">
      <t>マ</t>
    </rPh>
    <phoneticPr fontId="2"/>
  </si>
  <si>
    <t>5F 扇の間</t>
  </si>
  <si>
    <t>5F 桐の間</t>
  </si>
  <si>
    <t>28F One O Five</t>
  </si>
  <si>
    <t>28F Blue</t>
  </si>
  <si>
    <t>28F White</t>
  </si>
  <si>
    <t xml:space="preserve">1F ポーターズルーム（30㎡） </t>
  </si>
  <si>
    <t xml:space="preserve">4F クルーラウンジ（18㎡） </t>
  </si>
  <si>
    <t xml:space="preserve">4F クローク　（8㎡） </t>
  </si>
  <si>
    <t xml:space="preserve">5F クローク　（30㎡） </t>
  </si>
  <si>
    <t>26F ミーティングルーム西　 (90㎡)</t>
    <rPh sb="13" eb="14">
      <t>ニシ</t>
    </rPh>
    <phoneticPr fontId="20"/>
  </si>
  <si>
    <t>4F サンライズ   (48.6㎡)</t>
  </si>
  <si>
    <t>26F ミーティングルーム東　 (90㎡)</t>
    <rPh sb="13" eb="14">
      <t>ヒガシ</t>
    </rPh>
    <phoneticPr fontId="20"/>
  </si>
  <si>
    <t>9F 客室   メディカルルーム用</t>
    <rPh sb="3" eb="5">
      <t>キャクシツ</t>
    </rPh>
    <rPh sb="16" eb="17">
      <t>ヨウ</t>
    </rPh>
    <phoneticPr fontId="20"/>
  </si>
  <si>
    <t>9F 客室　ドクタールーム用</t>
    <rPh sb="3" eb="5">
      <t>キャクシツ</t>
    </rPh>
    <rPh sb="13" eb="14">
      <t>ヨウ</t>
    </rPh>
    <phoneticPr fontId="20"/>
  </si>
  <si>
    <t>4Fフロア</t>
    <phoneticPr fontId="2"/>
  </si>
  <si>
    <r>
      <t xml:space="preserve">料金計
</t>
    </r>
    <r>
      <rPr>
        <sz val="11"/>
        <rFont val="游ゴシック Regular"/>
        <family val="3"/>
        <charset val="128"/>
      </rPr>
      <t>※サ込税別</t>
    </r>
    <rPh sb="0" eb="2">
      <t>リョウキン</t>
    </rPh>
    <rPh sb="2" eb="3">
      <t>ケイ</t>
    </rPh>
    <rPh sb="7" eb="9">
      <t>ゼイベツ</t>
    </rPh>
    <phoneticPr fontId="2"/>
  </si>
  <si>
    <t>フィットネス営業補償</t>
    <rPh sb="6" eb="10">
      <t>エイギョウホショウ</t>
    </rPh>
    <phoneticPr fontId="2"/>
  </si>
  <si>
    <t>坪井花苑</t>
    <rPh sb="0" eb="2">
      <t>ツボイ</t>
    </rPh>
    <rPh sb="2" eb="3">
      <t>ハナ</t>
    </rPh>
    <rPh sb="3" eb="4">
      <t>エン</t>
    </rPh>
    <phoneticPr fontId="2"/>
  </si>
  <si>
    <t>アビステ</t>
    <phoneticPr fontId="2"/>
  </si>
  <si>
    <t>HGV</t>
    <phoneticPr fontId="2"/>
  </si>
  <si>
    <t>松枝衣裳店</t>
    <rPh sb="0" eb="2">
      <t>マツエダ</t>
    </rPh>
    <rPh sb="2" eb="4">
      <t>イショウ</t>
    </rPh>
    <rPh sb="4" eb="5">
      <t>テン</t>
    </rPh>
    <phoneticPr fontId="2"/>
  </si>
  <si>
    <t>オクムラ写真館</t>
    <rPh sb="4" eb="7">
      <t>シャシンカン</t>
    </rPh>
    <phoneticPr fontId="2"/>
  </si>
  <si>
    <t>マリエー</t>
    <phoneticPr fontId="2"/>
  </si>
  <si>
    <t>大会期間中</t>
    <rPh sb="0" eb="5">
      <t>タイカイキカンチュウ</t>
    </rPh>
    <phoneticPr fontId="2"/>
  </si>
  <si>
    <t>元から税込</t>
    <rPh sb="0" eb="1">
      <t>モト</t>
    </rPh>
    <rPh sb="3" eb="5">
      <t>ゼイコミ</t>
    </rPh>
    <phoneticPr fontId="2"/>
  </si>
  <si>
    <t>ANAクラウンプラザグランコート名古屋</t>
    <rPh sb="16" eb="19">
      <t>ナゴヤ</t>
    </rPh>
    <phoneticPr fontId="2"/>
  </si>
  <si>
    <t>スタンダードダブル</t>
    <phoneticPr fontId="2"/>
  </si>
  <si>
    <t>有</t>
    <rPh sb="0" eb="1">
      <t>ユウ</t>
    </rPh>
    <phoneticPr fontId="2"/>
  </si>
  <si>
    <t>ファミリークワッド</t>
    <phoneticPr fontId="2"/>
  </si>
  <si>
    <t>バストイレ別
シャワーブース有</t>
    <rPh sb="5" eb="6">
      <t>ベツ</t>
    </rPh>
    <rPh sb="14" eb="15">
      <t>アリ</t>
    </rPh>
    <phoneticPr fontId="2"/>
  </si>
  <si>
    <t>ベッド2台ずつのハリウッド仕様</t>
    <rPh sb="4" eb="5">
      <t>ダイ</t>
    </rPh>
    <rPh sb="13" eb="15">
      <t>シヨウ</t>
    </rPh>
    <phoneticPr fontId="2"/>
  </si>
  <si>
    <t>エグゼクティブダブル</t>
    <phoneticPr fontId="2"/>
  </si>
  <si>
    <t>ガバナースイート</t>
    <phoneticPr fontId="2"/>
  </si>
  <si>
    <t>アンバサダースイート</t>
    <phoneticPr fontId="2"/>
  </si>
  <si>
    <t>ロイヤルスイート</t>
    <phoneticPr fontId="2"/>
  </si>
  <si>
    <t>バストイレ別
シャワーブース有</t>
    <rPh sb="5" eb="6">
      <t>ベツ</t>
    </rPh>
    <rPh sb="14" eb="15">
      <t>ユウ</t>
    </rPh>
    <phoneticPr fontId="2"/>
  </si>
  <si>
    <t>バストイレ別</t>
    <rPh sb="5" eb="6">
      <t>ベツ</t>
    </rPh>
    <phoneticPr fontId="2"/>
  </si>
  <si>
    <t>バストイレ別
シャワーブース有</t>
    <rPh sb="5" eb="6">
      <t>ベツ</t>
    </rPh>
    <phoneticPr fontId="2"/>
  </si>
  <si>
    <t>インターネット環境 ※</t>
    <phoneticPr fontId="59"/>
  </si>
  <si>
    <t>ローズルーム</t>
    <phoneticPr fontId="2"/>
  </si>
  <si>
    <t>しらさぎ</t>
    <phoneticPr fontId="2"/>
  </si>
  <si>
    <t>ちどり</t>
    <phoneticPr fontId="2"/>
  </si>
  <si>
    <t>くじゃく</t>
    <phoneticPr fontId="2"/>
  </si>
  <si>
    <t>地下1階ミーティングルーム</t>
    <rPh sb="0" eb="2">
      <t>チカ</t>
    </rPh>
    <rPh sb="3" eb="4">
      <t>カイ</t>
    </rPh>
    <phoneticPr fontId="2"/>
  </si>
  <si>
    <t>※特別割引料金にて</t>
    <rPh sb="1" eb="3">
      <t>トクベツ</t>
    </rPh>
    <rPh sb="3" eb="5">
      <t>ワリビキ</t>
    </rPh>
    <rPh sb="5" eb="7">
      <t>リョウキン</t>
    </rPh>
    <phoneticPr fontId="2"/>
  </si>
  <si>
    <t>上記に含む</t>
    <rPh sb="0" eb="2">
      <t>ジョウキ</t>
    </rPh>
    <rPh sb="3" eb="4">
      <t>フク</t>
    </rPh>
    <phoneticPr fontId="2"/>
  </si>
  <si>
    <t>合計
(サ込税別)</t>
    <rPh sb="0" eb="2">
      <t>ゴウケイ</t>
    </rPh>
    <rPh sb="5" eb="6">
      <t>コミ</t>
    </rPh>
    <rPh sb="6" eb="8">
      <t>ゼイベツ</t>
    </rPh>
    <phoneticPr fontId="2"/>
  </si>
  <si>
    <t>ANAクラウンプラザグランコート名古屋</t>
  </si>
  <si>
    <t>フォーシス＆カンパニー</t>
    <phoneticPr fontId="2"/>
  </si>
  <si>
    <t>トニーズコレクション</t>
    <phoneticPr fontId="2"/>
  </si>
  <si>
    <t>写真のみくに</t>
    <rPh sb="0" eb="2">
      <t>シャシン</t>
    </rPh>
    <phoneticPr fontId="2"/>
  </si>
  <si>
    <t>ベストアニバーサリー</t>
    <phoneticPr fontId="2"/>
  </si>
  <si>
    <t>伊藤新聞店</t>
    <rPh sb="0" eb="2">
      <t>イトウ</t>
    </rPh>
    <rPh sb="2" eb="5">
      <t>シンブンテン</t>
    </rPh>
    <phoneticPr fontId="2"/>
  </si>
  <si>
    <t>マッサージ</t>
    <phoneticPr fontId="2"/>
  </si>
  <si>
    <t>クラッシイ</t>
    <phoneticPr fontId="2"/>
  </si>
  <si>
    <t>レストラン営業補償</t>
    <rPh sb="5" eb="7">
      <t>エイギョウ</t>
    </rPh>
    <rPh sb="7" eb="9">
      <t>ホショウ</t>
    </rPh>
    <phoneticPr fontId="2"/>
  </si>
  <si>
    <t>とニーズコレクション</t>
    <phoneticPr fontId="2"/>
  </si>
  <si>
    <t>アパホテル＜名古屋栄駅前＞EXCELLENT</t>
    <rPh sb="6" eb="9">
      <t>ナゴヤ</t>
    </rPh>
    <rPh sb="9" eb="12">
      <t>サカエエキマエ</t>
    </rPh>
    <phoneticPr fontId="2"/>
  </si>
  <si>
    <t>1名利用のため、シングルルームとしてカウント</t>
    <rPh sb="1" eb="2">
      <t>メイ</t>
    </rPh>
    <rPh sb="2" eb="4">
      <t>リヨウ</t>
    </rPh>
    <phoneticPr fontId="2"/>
  </si>
  <si>
    <t>‐</t>
    <phoneticPr fontId="2"/>
  </si>
  <si>
    <t>セパレート</t>
  </si>
  <si>
    <t>SSコネクト</t>
    <phoneticPr fontId="2"/>
  </si>
  <si>
    <t>コネクトツインルーム</t>
    <phoneticPr fontId="2"/>
  </si>
  <si>
    <t>ビルゴ</t>
  </si>
  <si>
    <t>宴会場</t>
  </si>
  <si>
    <t>旭</t>
  </si>
  <si>
    <t>御岳</t>
  </si>
  <si>
    <r>
      <t xml:space="preserve">本番期間客室単価/室
</t>
    </r>
    <r>
      <rPr>
        <sz val="11"/>
        <color theme="1"/>
        <rFont val="游ゴシック Regular"/>
        <family val="3"/>
        <charset val="128"/>
      </rPr>
      <t>※素泊まり
（利用人数分）/サ込税別</t>
    </r>
    <rPh sb="0" eb="2">
      <t>ホンバン</t>
    </rPh>
    <rPh sb="2" eb="4">
      <t>キカン</t>
    </rPh>
    <rPh sb="12" eb="14">
      <t>スド</t>
    </rPh>
    <rPh sb="18" eb="20">
      <t>リヨウ</t>
    </rPh>
    <rPh sb="20" eb="22">
      <t>ニンズウ</t>
    </rPh>
    <rPh sb="21" eb="22">
      <t>スウ</t>
    </rPh>
    <rPh sb="22" eb="23">
      <t>ブン</t>
    </rPh>
    <phoneticPr fontId="2"/>
  </si>
  <si>
    <t>スタンダードツインA・B</t>
    <phoneticPr fontId="2"/>
  </si>
  <si>
    <t>スタンダードダブルB</t>
    <phoneticPr fontId="2"/>
  </si>
  <si>
    <t>スタンダードダブルA</t>
    <phoneticPr fontId="2"/>
  </si>
  <si>
    <t>プルミエスイート</t>
  </si>
  <si>
    <t>※素泊まり料金！</t>
    <rPh sb="1" eb="3">
      <t>スド</t>
    </rPh>
    <rPh sb="5" eb="7">
      <t>リョウキン</t>
    </rPh>
    <phoneticPr fontId="2"/>
  </si>
  <si>
    <r>
      <t>※</t>
    </r>
    <r>
      <rPr>
        <b/>
        <strike/>
        <sz val="20"/>
        <color theme="1"/>
        <rFont val="游ゴシック Regular"/>
        <family val="3"/>
        <charset val="128"/>
      </rPr>
      <t>客室単価（１泊）には、甲が以下の目安により設定した利用人数分の朝食、</t>
    </r>
    <r>
      <rPr>
        <sz val="20"/>
        <color theme="1"/>
        <rFont val="游ゴシック Regular"/>
        <family val="3"/>
        <charset val="128"/>
      </rPr>
      <t>インターネット接続料金、サービス料、諸税が含まれる。</t>
    </r>
    <rPh sb="1" eb="3">
      <t>キャクシツ</t>
    </rPh>
    <rPh sb="3" eb="5">
      <t>タンカ</t>
    </rPh>
    <rPh sb="7" eb="8">
      <t>ハク</t>
    </rPh>
    <rPh sb="12" eb="13">
      <t>コウ</t>
    </rPh>
    <rPh sb="14" eb="16">
      <t>イカ</t>
    </rPh>
    <rPh sb="17" eb="19">
      <t>メヤス</t>
    </rPh>
    <rPh sb="22" eb="24">
      <t>セッテイ</t>
    </rPh>
    <rPh sb="26" eb="31">
      <t>リヨウニンズウブン</t>
    </rPh>
    <rPh sb="32" eb="34">
      <t>チョウショク</t>
    </rPh>
    <rPh sb="42" eb="44">
      <t>セツゾク</t>
    </rPh>
    <rPh sb="44" eb="46">
      <t>リョウキン</t>
    </rPh>
    <rPh sb="51" eb="52">
      <t>リョウ</t>
    </rPh>
    <rPh sb="53" eb="55">
      <t>ショゼイ</t>
    </rPh>
    <rPh sb="56" eb="57">
      <t>フク</t>
    </rPh>
    <phoneticPr fontId="2"/>
  </si>
  <si>
    <t>料金※税別</t>
    <rPh sb="0" eb="2">
      <t>リョウキｎ</t>
    </rPh>
    <rPh sb="3" eb="4">
      <t>ゼイ</t>
    </rPh>
    <rPh sb="4" eb="5">
      <t>ベツ</t>
    </rPh>
    <phoneticPr fontId="59"/>
  </si>
  <si>
    <t>雅</t>
  </si>
  <si>
    <t>栄</t>
  </si>
  <si>
    <t>桐</t>
  </si>
  <si>
    <t>桂</t>
  </si>
  <si>
    <t>※インターネット料金積んでない</t>
    <rPh sb="8" eb="10">
      <t>リョウキン</t>
    </rPh>
    <rPh sb="10" eb="11">
      <t>ツ</t>
    </rPh>
    <phoneticPr fontId="2"/>
  </si>
  <si>
    <t>栄</t>
    <phoneticPr fontId="2"/>
  </si>
  <si>
    <t>ホテルJALシティ名古屋　錦</t>
    <rPh sb="9" eb="12">
      <t>ナゴヤ</t>
    </rPh>
    <rPh sb="13" eb="14">
      <t>ニシキ</t>
    </rPh>
    <phoneticPr fontId="2"/>
  </si>
  <si>
    <t>1名料金</t>
    <rPh sb="1" eb="2">
      <t>メイ</t>
    </rPh>
    <rPh sb="2" eb="4">
      <t>リョウキン</t>
    </rPh>
    <phoneticPr fontId="2"/>
  </si>
  <si>
    <t>税サ込</t>
    <rPh sb="0" eb="1">
      <t>ゼイ</t>
    </rPh>
    <rPh sb="2" eb="3">
      <t>コミ</t>
    </rPh>
    <phoneticPr fontId="2"/>
  </si>
  <si>
    <r>
      <t xml:space="preserve">準備期間客室単価/室
</t>
    </r>
    <r>
      <rPr>
        <sz val="11"/>
        <color theme="1"/>
        <rFont val="游ゴシック Regular"/>
        <family val="3"/>
        <charset val="128"/>
      </rPr>
      <t>※素泊り
（利用人数分）/</t>
    </r>
    <r>
      <rPr>
        <sz val="11"/>
        <color rgb="FFFF0000"/>
        <rFont val="游ゴシック Regular"/>
        <family val="3"/>
        <charset val="128"/>
      </rPr>
      <t>税サ込</t>
    </r>
    <rPh sb="0" eb="4">
      <t>ジュンビキカン</t>
    </rPh>
    <rPh sb="12" eb="14">
      <t>スドマ</t>
    </rPh>
    <rPh sb="17" eb="19">
      <t>リヨウ</t>
    </rPh>
    <rPh sb="19" eb="21">
      <t>ニンズウ</t>
    </rPh>
    <rPh sb="20" eb="21">
      <t>スウ</t>
    </rPh>
    <rPh sb="21" eb="22">
      <t>ブン</t>
    </rPh>
    <rPh sb="24" eb="25">
      <t>ゼイ</t>
    </rPh>
    <rPh sb="26" eb="27">
      <t>コミ</t>
    </rPh>
    <phoneticPr fontId="2"/>
  </si>
  <si>
    <r>
      <t xml:space="preserve">本番期間客室単価/室
</t>
    </r>
    <r>
      <rPr>
        <sz val="11"/>
        <color theme="1"/>
        <rFont val="游ゴシック Regular"/>
        <family val="3"/>
        <charset val="128"/>
      </rPr>
      <t>※1泊朝食付
（利用人数分）/</t>
    </r>
    <r>
      <rPr>
        <sz val="11"/>
        <color rgb="FFFF0000"/>
        <rFont val="游ゴシック Regular"/>
        <family val="3"/>
        <charset val="128"/>
      </rPr>
      <t>税サ込</t>
    </r>
    <rPh sb="0" eb="2">
      <t>ホンバン</t>
    </rPh>
    <rPh sb="2" eb="4">
      <t>キカン</t>
    </rPh>
    <rPh sb="19" eb="21">
      <t>リヨウ</t>
    </rPh>
    <rPh sb="21" eb="23">
      <t>ニンズウ</t>
    </rPh>
    <rPh sb="22" eb="23">
      <t>スウ</t>
    </rPh>
    <rPh sb="23" eb="24">
      <t>ブン</t>
    </rPh>
    <rPh sb="26" eb="27">
      <t>ゼイ</t>
    </rPh>
    <rPh sb="28" eb="29">
      <t>コミ</t>
    </rPh>
    <phoneticPr fontId="2"/>
  </si>
  <si>
    <r>
      <t xml:space="preserve">撤去期間客室単価/室
</t>
    </r>
    <r>
      <rPr>
        <sz val="11"/>
        <color theme="1"/>
        <rFont val="游ゴシック Regular"/>
        <family val="3"/>
        <charset val="128"/>
      </rPr>
      <t>※素泊り
（利用人数分）/</t>
    </r>
    <r>
      <rPr>
        <sz val="11"/>
        <color rgb="FFFF0000"/>
        <rFont val="游ゴシック Regular"/>
        <family val="3"/>
        <charset val="128"/>
      </rPr>
      <t>税サ込</t>
    </r>
    <rPh sb="0" eb="2">
      <t>テッキョ</t>
    </rPh>
    <rPh sb="2" eb="4">
      <t>キカン</t>
    </rPh>
    <rPh sb="4" eb="6">
      <t>キャクシツ</t>
    </rPh>
    <rPh sb="12" eb="14">
      <t>スドマ</t>
    </rPh>
    <rPh sb="17" eb="19">
      <t>リヨウ</t>
    </rPh>
    <rPh sb="19" eb="21">
      <t>ニンズウ</t>
    </rPh>
    <rPh sb="20" eb="21">
      <t>スウ</t>
    </rPh>
    <rPh sb="21" eb="22">
      <t>ブン</t>
    </rPh>
    <rPh sb="24" eb="25">
      <t>ゼイ</t>
    </rPh>
    <rPh sb="26" eb="27">
      <t>コミ</t>
    </rPh>
    <phoneticPr fontId="2"/>
  </si>
  <si>
    <r>
      <t>その他</t>
    </r>
    <r>
      <rPr>
        <b/>
        <sz val="12"/>
        <color rgb="FFFF0000"/>
        <rFont val="游ゴシック Regular"/>
        <family val="3"/>
        <charset val="128"/>
      </rPr>
      <t>（税サ込）</t>
    </r>
    <rPh sb="2" eb="3">
      <t>タ</t>
    </rPh>
    <rPh sb="4" eb="5">
      <t>ゼイ</t>
    </rPh>
    <rPh sb="6" eb="7">
      <t>コミ</t>
    </rPh>
    <phoneticPr fontId="2"/>
  </si>
  <si>
    <t>2名利用時は3,000円＋朝食代2,400円</t>
    <rPh sb="1" eb="2">
      <t>メイ</t>
    </rPh>
    <rPh sb="2" eb="5">
      <t>リヨウジ</t>
    </rPh>
    <rPh sb="11" eb="12">
      <t>エン</t>
    </rPh>
    <rPh sb="13" eb="15">
      <t>チョウショク</t>
    </rPh>
    <rPh sb="15" eb="16">
      <t>ダイ</t>
    </rPh>
    <rPh sb="21" eb="22">
      <t>エン</t>
    </rPh>
    <phoneticPr fontId="2"/>
  </si>
  <si>
    <r>
      <t>　選手団配宿</t>
    </r>
    <r>
      <rPr>
        <b/>
        <sz val="20"/>
        <color theme="1"/>
        <rFont val="游ゴシック Regular"/>
        <family val="3"/>
        <charset val="128"/>
      </rPr>
      <t>目安</t>
    </r>
    <r>
      <rPr>
        <sz val="20"/>
        <color theme="1"/>
        <rFont val="游ゴシック Regular"/>
        <family val="3"/>
        <charset val="128"/>
      </rPr>
      <t>：1名につき1ベッドを割り当てるものとする。和室または和洋室がある場合、4畳あたり1名、最大4名とする。</t>
    </r>
    <rPh sb="1" eb="4">
      <t>センシュダン</t>
    </rPh>
    <rPh sb="4" eb="6">
      <t>ハイシュク</t>
    </rPh>
    <rPh sb="6" eb="8">
      <t>メヤス</t>
    </rPh>
    <rPh sb="10" eb="11">
      <t>メイ</t>
    </rPh>
    <rPh sb="19" eb="20">
      <t>ワ</t>
    </rPh>
    <rPh sb="21" eb="22">
      <t>ア</t>
    </rPh>
    <rPh sb="30" eb="32">
      <t>ワシツ</t>
    </rPh>
    <rPh sb="35" eb="38">
      <t>ワヨウシツ</t>
    </rPh>
    <rPh sb="41" eb="43">
      <t>バアイ</t>
    </rPh>
    <rPh sb="45" eb="46">
      <t>ジョウ</t>
    </rPh>
    <rPh sb="50" eb="51">
      <t>メイ</t>
    </rPh>
    <rPh sb="52" eb="54">
      <t>サイダイ</t>
    </rPh>
    <rPh sb="55" eb="56">
      <t>メイ</t>
    </rPh>
    <phoneticPr fontId="2"/>
  </si>
  <si>
    <t>グリーンリッチホテル名古屋錦</t>
    <rPh sb="10" eb="13">
      <t>ナゴヤ</t>
    </rPh>
    <rPh sb="13" eb="14">
      <t>ニシキ</t>
    </rPh>
    <phoneticPr fontId="2"/>
  </si>
  <si>
    <t>セパレート</t>
    <phoneticPr fontId="2"/>
  </si>
  <si>
    <t>全トヨタ労連研修センター　つどいの丘</t>
    <rPh sb="0" eb="1">
      <t>ゼン</t>
    </rPh>
    <rPh sb="4" eb="6">
      <t>ロウレン</t>
    </rPh>
    <rPh sb="6" eb="8">
      <t>ケンシュウ</t>
    </rPh>
    <rPh sb="17" eb="18">
      <t>オカ</t>
    </rPh>
    <phoneticPr fontId="2"/>
  </si>
  <si>
    <t>連泊扱い：3日毎に部屋清掃に入ります。以降3日目毎に清掃</t>
    <rPh sb="0" eb="2">
      <t>レンパク</t>
    </rPh>
    <rPh sb="2" eb="3">
      <t>アツカ</t>
    </rPh>
    <rPh sb="6" eb="7">
      <t>ニチ</t>
    </rPh>
    <rPh sb="7" eb="8">
      <t>ゴト</t>
    </rPh>
    <rPh sb="9" eb="13">
      <t>ヘヤセイソウ</t>
    </rPh>
    <rPh sb="14" eb="15">
      <t>ハイ</t>
    </rPh>
    <rPh sb="19" eb="21">
      <t>イコウ</t>
    </rPh>
    <rPh sb="21" eb="24">
      <t>ミッカメ</t>
    </rPh>
    <rPh sb="24" eb="25">
      <t>ゴト</t>
    </rPh>
    <rPh sb="26" eb="28">
      <t>セイソウ</t>
    </rPh>
    <phoneticPr fontId="2"/>
  </si>
  <si>
    <t>和室6名</t>
  </si>
  <si>
    <t>風呂なし</t>
  </si>
  <si>
    <t>和室(4名)　トイレなし</t>
  </si>
  <si>
    <t>G館 シングル</t>
  </si>
  <si>
    <t>G館 ツイン</t>
  </si>
  <si>
    <t>✕</t>
    <phoneticPr fontId="2"/>
  </si>
  <si>
    <t>会議室A-1</t>
  </si>
  <si>
    <t>会議室B-1</t>
  </si>
  <si>
    <t>会議室B-2</t>
    <phoneticPr fontId="2"/>
  </si>
  <si>
    <t>会議室C-1</t>
  </si>
  <si>
    <t>会議室C-2</t>
  </si>
  <si>
    <t>会議室D-1</t>
  </si>
  <si>
    <t>会議室D-2</t>
  </si>
  <si>
    <t>会議室E-1</t>
  </si>
  <si>
    <t>会議室E-2</t>
  </si>
  <si>
    <t>会議室E-3</t>
  </si>
  <si>
    <t>会議室E-4</t>
  </si>
  <si>
    <t>もみじ　南</t>
  </si>
  <si>
    <t>もみじ　北</t>
  </si>
  <si>
    <t>むく</t>
  </si>
  <si>
    <t>まつ(東)</t>
  </si>
  <si>
    <t>まつ(西)</t>
    <rPh sb="3" eb="4">
      <t>ニシ</t>
    </rPh>
    <phoneticPr fontId="57"/>
  </si>
  <si>
    <t>さくら</t>
  </si>
  <si>
    <t>もも</t>
  </si>
  <si>
    <t>サッカーの日程変更により変動</t>
  </si>
  <si>
    <t>シングルS1</t>
  </si>
  <si>
    <t>シングルS2</t>
  </si>
  <si>
    <t>キャッスルスイート</t>
  </si>
  <si>
    <t>華の間(西)</t>
  </si>
  <si>
    <t>華の間(中東)</t>
  </si>
  <si>
    <t>山吹</t>
  </si>
  <si>
    <r>
      <t xml:space="preserve">
名鉄豊田市駅スタッフ</t>
    </r>
    <r>
      <rPr>
        <sz val="11"/>
        <color rgb="FFFF0000"/>
        <rFont val="游ゴシック Regular"/>
        <family val="3"/>
        <charset val="128"/>
      </rPr>
      <t>8名</t>
    </r>
    <r>
      <rPr>
        <sz val="11"/>
        <color theme="1"/>
        <rFont val="游ゴシック Regular"/>
        <family val="3"/>
        <charset val="128"/>
      </rPr>
      <t>受入
上記の使用があるため</t>
    </r>
    <r>
      <rPr>
        <sz val="11"/>
        <color rgb="FFFF0000"/>
        <rFont val="游ゴシック Regular"/>
        <family val="3"/>
        <charset val="128"/>
      </rPr>
      <t>8室</t>
    </r>
    <r>
      <rPr>
        <sz val="11"/>
        <color theme="1"/>
        <rFont val="游ゴシック Regular"/>
        <family val="3"/>
        <charset val="128"/>
      </rPr>
      <t>は提供不可
部屋タイプは応相談</t>
    </r>
    <rPh sb="1" eb="3">
      <t>メイテツ</t>
    </rPh>
    <rPh sb="3" eb="7">
      <t>トヨタシエキ</t>
    </rPh>
    <rPh sb="12" eb="13">
      <t>メイ</t>
    </rPh>
    <rPh sb="13" eb="15">
      <t>ウケイレ</t>
    </rPh>
    <rPh sb="18" eb="20">
      <t>ジョウキ</t>
    </rPh>
    <rPh sb="21" eb="23">
      <t>シヨウ</t>
    </rPh>
    <rPh sb="29" eb="30">
      <t>シツ</t>
    </rPh>
    <rPh sb="31" eb="33">
      <t>テイキョウ</t>
    </rPh>
    <rPh sb="33" eb="35">
      <t>フカ</t>
    </rPh>
    <rPh sb="36" eb="38">
      <t>ヘヤ</t>
    </rPh>
    <rPh sb="42" eb="45">
      <t>オウソウダン</t>
    </rPh>
    <phoneticPr fontId="2"/>
  </si>
  <si>
    <t>モデレートシングルルーム</t>
  </si>
  <si>
    <t>シングルルーム(8F)</t>
  </si>
  <si>
    <t>ツインルーム(8F)</t>
  </si>
  <si>
    <t>マルチパーパスルーム</t>
  </si>
  <si>
    <t>金扇の間</t>
  </si>
  <si>
    <t>✕</t>
  </si>
  <si>
    <t>33,000
使用回線数により
別途相談</t>
    <rPh sb="7" eb="9">
      <t>シヨウ</t>
    </rPh>
    <rPh sb="9" eb="12">
      <t>カイセンスウ</t>
    </rPh>
    <rPh sb="16" eb="18">
      <t>ベット</t>
    </rPh>
    <rPh sb="18" eb="20">
      <t>ソウダン</t>
    </rPh>
    <phoneticPr fontId="2"/>
  </si>
  <si>
    <t>伏見の間</t>
  </si>
  <si>
    <t>東横INN三河安城駅新幹線南口2</t>
    <rPh sb="0" eb="2">
      <t>トウヨコ</t>
    </rPh>
    <rPh sb="5" eb="10">
      <t>ミカワアンジョウエキ</t>
    </rPh>
    <rPh sb="10" eb="13">
      <t>シンカンセン</t>
    </rPh>
    <rPh sb="13" eb="15">
      <t>ミナミグチ</t>
    </rPh>
    <phoneticPr fontId="2"/>
  </si>
  <si>
    <r>
      <t xml:space="preserve">本番期間客室単価/室
</t>
    </r>
    <r>
      <rPr>
        <sz val="11"/>
        <color theme="1"/>
        <rFont val="游ゴシック Regular"/>
        <family val="3"/>
        <charset val="128"/>
      </rPr>
      <t>※素泊り
（利用人数分）/サ込税別</t>
    </r>
    <rPh sb="0" eb="2">
      <t>ホンバン</t>
    </rPh>
    <rPh sb="2" eb="4">
      <t>キカン</t>
    </rPh>
    <rPh sb="12" eb="14">
      <t>スドマ</t>
    </rPh>
    <rPh sb="17" eb="19">
      <t>リヨウ</t>
    </rPh>
    <rPh sb="19" eb="21">
      <t>ニンズウ</t>
    </rPh>
    <rPh sb="20" eb="21">
      <t>スウ</t>
    </rPh>
    <rPh sb="21" eb="22">
      <t>ブン</t>
    </rPh>
    <phoneticPr fontId="2"/>
  </si>
  <si>
    <t>プレミアムプラスルームシングル</t>
    <phoneticPr fontId="2"/>
  </si>
  <si>
    <t>エコノミーダブル</t>
  </si>
  <si>
    <t>ハートフル</t>
  </si>
  <si>
    <t>ベッド2：110cm</t>
    <phoneticPr fontId="2"/>
  </si>
  <si>
    <t>1日あたり（税込）</t>
    <rPh sb="1" eb="2">
      <t>ニチ</t>
    </rPh>
    <rPh sb="6" eb="8">
      <t>ゼイコミ</t>
    </rPh>
    <phoneticPr fontId="2"/>
  </si>
  <si>
    <t>1室あたり</t>
    <rPh sb="1" eb="2">
      <t>シツ</t>
    </rPh>
    <phoneticPr fontId="2"/>
  </si>
  <si>
    <t>個票部屋数</t>
    <rPh sb="0" eb="5">
      <t>コヒョウヘヤスウ</t>
    </rPh>
    <phoneticPr fontId="2"/>
  </si>
  <si>
    <t>個票単価</t>
    <rPh sb="0" eb="4">
      <t>コヒョウタンカ</t>
    </rPh>
    <phoneticPr fontId="2"/>
  </si>
  <si>
    <r>
      <t>※客室単価（１泊）には、甲が以下の目安により設定した利用人数分の</t>
    </r>
    <r>
      <rPr>
        <sz val="20"/>
        <color theme="1"/>
        <rFont val="游ゴシック Regular"/>
        <family val="3"/>
        <charset val="128"/>
      </rPr>
      <t>インターネット接続料金、サービス料が含まれる。</t>
    </r>
    <rPh sb="1" eb="3">
      <t>キャクシツ</t>
    </rPh>
    <rPh sb="3" eb="5">
      <t>タンカ</t>
    </rPh>
    <rPh sb="7" eb="8">
      <t>ハク</t>
    </rPh>
    <rPh sb="12" eb="13">
      <t>コウ</t>
    </rPh>
    <rPh sb="14" eb="16">
      <t>イカ</t>
    </rPh>
    <rPh sb="17" eb="19">
      <t>メヤス</t>
    </rPh>
    <rPh sb="22" eb="24">
      <t>セッテイ</t>
    </rPh>
    <rPh sb="26" eb="31">
      <t>リヨウニンズウブン</t>
    </rPh>
    <rPh sb="38" eb="40">
      <t>セツゾク</t>
    </rPh>
    <rPh sb="40" eb="42">
      <t>リョウキン</t>
    </rPh>
    <rPh sb="47" eb="48">
      <t>リョウ</t>
    </rPh>
    <rPh sb="49" eb="50">
      <t>フク</t>
    </rPh>
    <phoneticPr fontId="2"/>
  </si>
  <si>
    <t>倍率</t>
    <rPh sb="0" eb="2">
      <t>バイリツ</t>
    </rPh>
    <phoneticPr fontId="2"/>
  </si>
  <si>
    <t>東横INN三河安城駅新幹線南口1</t>
    <rPh sb="0" eb="2">
      <t>トウヨコ</t>
    </rPh>
    <rPh sb="5" eb="10">
      <t>ミカワアンジョウエキ</t>
    </rPh>
    <rPh sb="10" eb="13">
      <t>シンカンセン</t>
    </rPh>
    <rPh sb="13" eb="15">
      <t>ミナミグチ</t>
    </rPh>
    <phoneticPr fontId="2"/>
  </si>
  <si>
    <r>
      <t xml:space="preserve">準備期間客室単価/室
</t>
    </r>
    <r>
      <rPr>
        <sz val="11"/>
        <color theme="1"/>
        <rFont val="游ゴシック Regular"/>
        <family val="3"/>
        <charset val="128"/>
      </rPr>
      <t>※素泊り
（利用人数分）/サ込税込</t>
    </r>
    <rPh sb="0" eb="4">
      <t>ジュンビキカン</t>
    </rPh>
    <rPh sb="12" eb="14">
      <t>スドマ</t>
    </rPh>
    <rPh sb="17" eb="19">
      <t>リヨウ</t>
    </rPh>
    <rPh sb="19" eb="21">
      <t>ニンズウ</t>
    </rPh>
    <rPh sb="20" eb="21">
      <t>スウ</t>
    </rPh>
    <rPh sb="21" eb="22">
      <t>ブン</t>
    </rPh>
    <rPh sb="27" eb="28">
      <t>コミ</t>
    </rPh>
    <phoneticPr fontId="2"/>
  </si>
  <si>
    <r>
      <t xml:space="preserve">本番期間客室単価/室
</t>
    </r>
    <r>
      <rPr>
        <sz val="11"/>
        <color theme="1"/>
        <rFont val="游ゴシック Regular"/>
        <family val="3"/>
        <charset val="128"/>
      </rPr>
      <t>※素泊り
（利用人数分）/サ込税込</t>
    </r>
    <rPh sb="0" eb="2">
      <t>ホンバン</t>
    </rPh>
    <rPh sb="2" eb="4">
      <t>キカン</t>
    </rPh>
    <rPh sb="12" eb="14">
      <t>スドマ</t>
    </rPh>
    <rPh sb="17" eb="19">
      <t>リヨウ</t>
    </rPh>
    <rPh sb="19" eb="21">
      <t>ニンズウ</t>
    </rPh>
    <rPh sb="20" eb="21">
      <t>スウ</t>
    </rPh>
    <rPh sb="21" eb="22">
      <t>ブン</t>
    </rPh>
    <phoneticPr fontId="2"/>
  </si>
  <si>
    <r>
      <t xml:space="preserve">撤去期間客室単価/室
</t>
    </r>
    <r>
      <rPr>
        <sz val="11"/>
        <color theme="1"/>
        <rFont val="游ゴシック Regular"/>
        <family val="3"/>
        <charset val="128"/>
      </rPr>
      <t>※素泊り
（利用人数分）/サ込税込</t>
    </r>
    <rPh sb="0" eb="2">
      <t>テッキョ</t>
    </rPh>
    <rPh sb="2" eb="4">
      <t>キカン</t>
    </rPh>
    <rPh sb="4" eb="6">
      <t>キャクシツ</t>
    </rPh>
    <rPh sb="12" eb="14">
      <t>スドマ</t>
    </rPh>
    <rPh sb="17" eb="19">
      <t>リヨウ</t>
    </rPh>
    <rPh sb="19" eb="21">
      <t>ニンズウ</t>
    </rPh>
    <rPh sb="20" eb="21">
      <t>スウ</t>
    </rPh>
    <rPh sb="21" eb="22">
      <t>ブン</t>
    </rPh>
    <phoneticPr fontId="2"/>
  </si>
  <si>
    <t>エコノミーダブル</t>
    <phoneticPr fontId="2"/>
  </si>
  <si>
    <t>ホテルグランドティアラ南名古屋</t>
    <rPh sb="11" eb="15">
      <t>ミナミナゴヤ</t>
    </rPh>
    <phoneticPr fontId="2"/>
  </si>
  <si>
    <t>チェックイン日</t>
    <rPh sb="6" eb="7">
      <t>ビ</t>
    </rPh>
    <phoneticPr fontId="2"/>
  </si>
  <si>
    <t>チェックアウト日</t>
    <rPh sb="7" eb="8">
      <t>ビ</t>
    </rPh>
    <phoneticPr fontId="2"/>
  </si>
  <si>
    <r>
      <t xml:space="preserve">客室単価/室
</t>
    </r>
    <r>
      <rPr>
        <sz val="11"/>
        <rFont val="游ゴシック Regular"/>
        <family val="3"/>
        <charset val="128"/>
      </rPr>
      <t>※1泊素泊り
（利用人数分）/サ込税別</t>
    </r>
    <rPh sb="10" eb="12">
      <t>スドマ</t>
    </rPh>
    <rPh sb="15" eb="17">
      <t>リヨウ</t>
    </rPh>
    <rPh sb="17" eb="19">
      <t>ニンズウ</t>
    </rPh>
    <rPh sb="18" eb="19">
      <t>スウ</t>
    </rPh>
    <rPh sb="19" eb="20">
      <t>ブン</t>
    </rPh>
    <phoneticPr fontId="2"/>
  </si>
  <si>
    <r>
      <t xml:space="preserve">利用人数
</t>
    </r>
    <r>
      <rPr>
        <sz val="11"/>
        <rFont val="游ゴシック Regular"/>
        <family val="3"/>
        <charset val="128"/>
      </rPr>
      <t>※以下配宿基準参照</t>
    </r>
    <rPh sb="0" eb="4">
      <t>リヨウニンズウ</t>
    </rPh>
    <rPh sb="6" eb="8">
      <t>イカ</t>
    </rPh>
    <rPh sb="12" eb="14">
      <t>サンショウ</t>
    </rPh>
    <phoneticPr fontId="2"/>
  </si>
  <si>
    <t>ツインルーム　新築</t>
    <rPh sb="7" eb="9">
      <t>シンチク</t>
    </rPh>
    <phoneticPr fontId="57"/>
  </si>
  <si>
    <t>和室（2名利用）</t>
    <rPh sb="4" eb="5">
      <t>メイ</t>
    </rPh>
    <rPh sb="5" eb="7">
      <t>リヨウ</t>
    </rPh>
    <phoneticPr fontId="244"/>
  </si>
  <si>
    <t>キング</t>
  </si>
  <si>
    <t>ツインルーム＋ソファ</t>
  </si>
  <si>
    <t>フォース</t>
  </si>
  <si>
    <t>和モダンコンセプト　２名</t>
    <rPh sb="11" eb="12">
      <t>メイ</t>
    </rPh>
    <phoneticPr fontId="244"/>
  </si>
  <si>
    <t>和モダンコンセプト　４名</t>
    <rPh sb="0" eb="1">
      <t>ワ</t>
    </rPh>
    <rPh sb="11" eb="12">
      <t>メイ</t>
    </rPh>
    <phoneticPr fontId="57"/>
  </si>
  <si>
    <t>スーペリア</t>
  </si>
  <si>
    <t>キングサイズ＋</t>
  </si>
  <si>
    <t>ツインルーム　新築　車いすNG</t>
    <rPh sb="7" eb="9">
      <t>シンチク</t>
    </rPh>
    <rPh sb="10" eb="11">
      <t>クルマ</t>
    </rPh>
    <phoneticPr fontId="57"/>
  </si>
  <si>
    <t>和室（2名利用）</t>
    <rPh sb="4" eb="5">
      <t>メイ</t>
    </rPh>
    <rPh sb="5" eb="7">
      <t>リヨウ</t>
    </rPh>
    <phoneticPr fontId="258"/>
  </si>
  <si>
    <t>和モダンコンセプト　２名</t>
    <rPh sb="11" eb="12">
      <t>メイ</t>
    </rPh>
    <phoneticPr fontId="258"/>
  </si>
  <si>
    <r>
      <t>※客室単価（１泊）には、甲が以下の目安により設定した利用人数分の</t>
    </r>
    <r>
      <rPr>
        <sz val="20"/>
        <rFont val="游ゴシック Regular"/>
        <family val="3"/>
        <charset val="128"/>
      </rPr>
      <t>インターネット接続料金、サービス料、諸税が含まれる。</t>
    </r>
    <rPh sb="1" eb="3">
      <t>キャクシツ</t>
    </rPh>
    <rPh sb="3" eb="5">
      <t>タンカ</t>
    </rPh>
    <rPh sb="7" eb="8">
      <t>ハク</t>
    </rPh>
    <rPh sb="12" eb="13">
      <t>コウ</t>
    </rPh>
    <rPh sb="14" eb="16">
      <t>イカ</t>
    </rPh>
    <rPh sb="17" eb="19">
      <t>メヤス</t>
    </rPh>
    <rPh sb="22" eb="24">
      <t>セッテイ</t>
    </rPh>
    <rPh sb="26" eb="31">
      <t>リヨウニンズウブン</t>
    </rPh>
    <rPh sb="39" eb="41">
      <t>セツゾク</t>
    </rPh>
    <rPh sb="41" eb="43">
      <t>リョウキン</t>
    </rPh>
    <rPh sb="48" eb="49">
      <t>リョウ</t>
    </rPh>
    <rPh sb="50" eb="52">
      <t>ショゼイ</t>
    </rPh>
    <rPh sb="53" eb="54">
      <t>フク</t>
    </rPh>
    <phoneticPr fontId="2"/>
  </si>
  <si>
    <t>施設様名</t>
    <rPh sb="0" eb="2">
      <t>シセツ</t>
    </rPh>
    <rPh sb="2" eb="3">
      <t>サマ</t>
    </rPh>
    <rPh sb="3" eb="4">
      <t>ナ</t>
    </rPh>
    <phoneticPr fontId="299"/>
  </si>
  <si>
    <t>ホテルグランドティアラ南名古屋</t>
    <rPh sb="11" eb="15">
      <t>ミナミナゴヤ</t>
    </rPh>
    <phoneticPr fontId="299"/>
  </si>
  <si>
    <t>様</t>
    <rPh sb="0" eb="1">
      <t>サマ</t>
    </rPh>
    <phoneticPr fontId="299"/>
  </si>
  <si>
    <t>別紙１－１</t>
    <rPh sb="0" eb="2">
      <t>ベッシ</t>
    </rPh>
    <phoneticPr fontId="299"/>
  </si>
  <si>
    <t>◆アジア競技大会提供ファンクションルーム（宴会場・会議室）</t>
    <rPh sb="4" eb="6">
      <t>キョウギ</t>
    </rPh>
    <rPh sb="6" eb="8">
      <t>タイカイ</t>
    </rPh>
    <rPh sb="8" eb="10">
      <t>テイキョウ</t>
    </rPh>
    <phoneticPr fontId="299"/>
  </si>
  <si>
    <t>No.</t>
    <phoneticPr fontId="299"/>
  </si>
  <si>
    <t>利用開始日</t>
    <rPh sb="0" eb="5">
      <t>リヨウカイシビ</t>
    </rPh>
    <phoneticPr fontId="299"/>
  </si>
  <si>
    <t>利用終了日</t>
    <rPh sb="0" eb="5">
      <t>リヨウシュウリョウビ</t>
    </rPh>
    <phoneticPr fontId="299"/>
  </si>
  <si>
    <t>利用開始時間</t>
    <rPh sb="0" eb="2">
      <t>リヨウ</t>
    </rPh>
    <rPh sb="2" eb="4">
      <t>カイシ</t>
    </rPh>
    <rPh sb="4" eb="6">
      <t>ジカン</t>
    </rPh>
    <phoneticPr fontId="299"/>
  </si>
  <si>
    <t>利用終了時間</t>
    <rPh sb="0" eb="2">
      <t>リヨウ</t>
    </rPh>
    <rPh sb="2" eb="4">
      <t>シュウリョウ</t>
    </rPh>
    <rPh sb="4" eb="6">
      <t>ジカン</t>
    </rPh>
    <phoneticPr fontId="299"/>
  </si>
  <si>
    <t>利用日数</t>
    <rPh sb="0" eb="4">
      <t>リヨウニッスウ</t>
    </rPh>
    <phoneticPr fontId="299"/>
  </si>
  <si>
    <t>会場名</t>
    <phoneticPr fontId="299"/>
  </si>
  <si>
    <t>階数</t>
    <rPh sb="0" eb="2">
      <t>カイスウ</t>
    </rPh>
    <phoneticPr fontId="299"/>
  </si>
  <si>
    <r>
      <t xml:space="preserve">会場形態
</t>
    </r>
    <r>
      <rPr>
        <sz val="11"/>
        <rFont val="游ゴシック Regular"/>
        <family val="3"/>
        <charset val="128"/>
      </rPr>
      <t>（宴会場 ・会議室）</t>
    </r>
    <phoneticPr fontId="299"/>
  </si>
  <si>
    <r>
      <t xml:space="preserve">たて
</t>
    </r>
    <r>
      <rPr>
        <sz val="11"/>
        <rFont val="游ゴシック Regular"/>
        <family val="3"/>
        <charset val="128"/>
      </rPr>
      <t>(m)</t>
    </r>
    <phoneticPr fontId="299"/>
  </si>
  <si>
    <r>
      <t xml:space="preserve">よこ
</t>
    </r>
    <r>
      <rPr>
        <sz val="11"/>
        <rFont val="游ゴシック Regular"/>
        <family val="3"/>
        <charset val="128"/>
      </rPr>
      <t>(m)</t>
    </r>
    <phoneticPr fontId="299"/>
  </si>
  <si>
    <r>
      <t xml:space="preserve">広さ
</t>
    </r>
    <r>
      <rPr>
        <sz val="11"/>
        <rFont val="游ゴシック Regular"/>
        <family val="3"/>
        <charset val="128"/>
      </rPr>
      <t>(㎡)</t>
    </r>
    <rPh sb="0" eb="1">
      <t>ヒロ</t>
    </rPh>
    <phoneticPr fontId="299"/>
  </si>
  <si>
    <r>
      <t xml:space="preserve">天井高
</t>
    </r>
    <r>
      <rPr>
        <sz val="11"/>
        <rFont val="游ゴシック Regular"/>
        <family val="3"/>
        <charset val="128"/>
      </rPr>
      <t>(m)</t>
    </r>
    <rPh sb="0" eb="2">
      <t>テンジョウ</t>
    </rPh>
    <rPh sb="2" eb="3">
      <t>タカ</t>
    </rPh>
    <phoneticPr fontId="299"/>
  </si>
  <si>
    <t>分割</t>
    <rPh sb="0" eb="2">
      <t>ブンカツ</t>
    </rPh>
    <phoneticPr fontId="299"/>
  </si>
  <si>
    <t>インターネット環境</t>
    <phoneticPr fontId="299"/>
  </si>
  <si>
    <t>可否</t>
    <phoneticPr fontId="299"/>
  </si>
  <si>
    <t>数</t>
    <rPh sb="0" eb="1">
      <t>カズ</t>
    </rPh>
    <phoneticPr fontId="299"/>
  </si>
  <si>
    <t>有線LAN</t>
    <rPh sb="0" eb="2">
      <t>ユウセン</t>
    </rPh>
    <phoneticPr fontId="299"/>
  </si>
  <si>
    <t>料金</t>
    <rPh sb="0" eb="2">
      <t>リョウキｎ</t>
    </rPh>
    <phoneticPr fontId="299"/>
  </si>
  <si>
    <t>無線LAN</t>
    <rPh sb="0" eb="2">
      <t>ムセン</t>
    </rPh>
    <phoneticPr fontId="299"/>
  </si>
  <si>
    <t>料金</t>
    <rPh sb="0" eb="1">
      <t>リョウ</t>
    </rPh>
    <phoneticPr fontId="299"/>
  </si>
  <si>
    <t>記入例</t>
    <phoneticPr fontId="299"/>
  </si>
  <si>
    <t>さくらルーム</t>
    <phoneticPr fontId="299"/>
  </si>
  <si>
    <t>宴会場</t>
    <rPh sb="0" eb="3">
      <t>エンカイジョウ</t>
    </rPh>
    <phoneticPr fontId="299"/>
  </si>
  <si>
    <t>◯</t>
    <phoneticPr fontId="299"/>
  </si>
  <si>
    <t>×</t>
    <phoneticPr fontId="299"/>
  </si>
  <si>
    <t>-</t>
    <phoneticPr fontId="299"/>
  </si>
  <si>
    <t>○</t>
    <phoneticPr fontId="299"/>
  </si>
  <si>
    <t>MA or GJ</t>
    <phoneticPr fontId="299"/>
  </si>
  <si>
    <t>427or424</t>
  </si>
  <si>
    <t>〇</t>
    <phoneticPr fontId="299"/>
  </si>
  <si>
    <t>MA or GJ</t>
  </si>
  <si>
    <t>MA GJ</t>
    <phoneticPr fontId="299"/>
  </si>
  <si>
    <t>ラウンジ</t>
    <phoneticPr fontId="299"/>
  </si>
  <si>
    <t>宴会ロビー</t>
    <rPh sb="0" eb="2">
      <t>エンカイ</t>
    </rPh>
    <phoneticPr fontId="299"/>
  </si>
  <si>
    <t>大聖堂</t>
    <rPh sb="0" eb="3">
      <t>ダイセイドウ</t>
    </rPh>
    <phoneticPr fontId="299"/>
  </si>
  <si>
    <t>KDW</t>
    <phoneticPr fontId="299"/>
  </si>
  <si>
    <t>合計</t>
    <rPh sb="0" eb="2">
      <t>ゴウケイ</t>
    </rPh>
    <phoneticPr fontId="299"/>
  </si>
  <si>
    <t>◆アジアパラ競技大会提供ファンクションルーム（宴会場・会議室）</t>
    <rPh sb="6" eb="8">
      <t>キョウギ</t>
    </rPh>
    <rPh sb="8" eb="10">
      <t>タイカイ</t>
    </rPh>
    <rPh sb="10" eb="12">
      <t>テイキョウ</t>
    </rPh>
    <phoneticPr fontId="299"/>
  </si>
  <si>
    <t>２Fレストラン</t>
    <phoneticPr fontId="2"/>
  </si>
  <si>
    <t>１Fショップ</t>
    <phoneticPr fontId="2"/>
  </si>
  <si>
    <t>天然温泉 三州の湯　ドーミーインEXPRESS三河安城</t>
    <rPh sb="0" eb="4">
      <t>テンネンオンセン</t>
    </rPh>
    <rPh sb="5" eb="7">
      <t>サンシュウ</t>
    </rPh>
    <rPh sb="8" eb="9">
      <t>ユ</t>
    </rPh>
    <rPh sb="23" eb="27">
      <t>ミカワアンジョウ</t>
    </rPh>
    <phoneticPr fontId="2"/>
  </si>
  <si>
    <t>和風シングルルーム</t>
    <phoneticPr fontId="2"/>
  </si>
  <si>
    <t>クイーンルーム</t>
  </si>
  <si>
    <t>和風ツインルーム</t>
  </si>
  <si>
    <t>和風クイーンルーム</t>
  </si>
  <si>
    <t>禁煙</t>
    <rPh sb="0" eb="2">
      <t>キンエン</t>
    </rPh>
    <phoneticPr fontId="2"/>
  </si>
  <si>
    <t>喫煙</t>
    <rPh sb="0" eb="2">
      <t>キツエン</t>
    </rPh>
    <phoneticPr fontId="2"/>
  </si>
  <si>
    <t>スタンダードツイン（2-3名利用）</t>
  </si>
  <si>
    <t>スタンダードツイン（4名利用）</t>
  </si>
  <si>
    <t>総宿泊料金（サ込税別）</t>
  </si>
  <si>
    <t>総宿泊料金（サ税込）</t>
  </si>
  <si>
    <t>①従業員食堂</t>
    <rPh sb="1" eb="4">
      <t>ジュウギョウイン</t>
    </rPh>
    <rPh sb="4" eb="6">
      <t>ショクドウ</t>
    </rPh>
    <phoneticPr fontId="2"/>
  </si>
  <si>
    <t>ｰ</t>
    <phoneticPr fontId="2"/>
  </si>
  <si>
    <t>②大会議室１F</t>
    <rPh sb="1" eb="5">
      <t>ダイカイギシツ</t>
    </rPh>
    <phoneticPr fontId="2"/>
  </si>
  <si>
    <t>③大会議室2F</t>
    <rPh sb="1" eb="5">
      <t>ダイカイギシツ</t>
    </rPh>
    <phoneticPr fontId="2"/>
  </si>
  <si>
    <t>④会議室１</t>
    <rPh sb="1" eb="4">
      <t>カイギシツ</t>
    </rPh>
    <phoneticPr fontId="2"/>
  </si>
  <si>
    <t>⑤会議室２</t>
    <rPh sb="1" eb="4">
      <t>カイギシツ</t>
    </rPh>
    <phoneticPr fontId="2"/>
  </si>
  <si>
    <t>⑥会議室３</t>
    <rPh sb="1" eb="4">
      <t>カイギシツ</t>
    </rPh>
    <phoneticPr fontId="2"/>
  </si>
  <si>
    <t>消費税（10％）込金額</t>
  </si>
  <si>
    <t>ホテル明山荘</t>
    <rPh sb="3" eb="4">
      <t>アキラ</t>
    </rPh>
    <rPh sb="4" eb="6">
      <t>サンソウ</t>
    </rPh>
    <phoneticPr fontId="2"/>
  </si>
  <si>
    <t>10畳</t>
    <rPh sb="2" eb="3">
      <t>ジョウ</t>
    </rPh>
    <phoneticPr fontId="2"/>
  </si>
  <si>
    <t>東館　大部屋</t>
    <rPh sb="0" eb="2">
      <t>ヒガシカン</t>
    </rPh>
    <rPh sb="3" eb="6">
      <t>オオベヤ</t>
    </rPh>
    <phoneticPr fontId="2"/>
  </si>
  <si>
    <t>10畳＋10.5畳</t>
    <rPh sb="2" eb="3">
      <t>ジョウ</t>
    </rPh>
    <rPh sb="8" eb="9">
      <t>ジョウ</t>
    </rPh>
    <phoneticPr fontId="2"/>
  </si>
  <si>
    <t>西館（14畳）</t>
    <rPh sb="0" eb="2">
      <t>ニシカン</t>
    </rPh>
    <rPh sb="5" eb="6">
      <t>ジョウ</t>
    </rPh>
    <phoneticPr fontId="2"/>
  </si>
  <si>
    <t>14畳</t>
    <rPh sb="2" eb="3">
      <t>ジョウ</t>
    </rPh>
    <phoneticPr fontId="2"/>
  </si>
  <si>
    <t>洋室</t>
    <rPh sb="0" eb="2">
      <t>ヨウシツ</t>
    </rPh>
    <phoneticPr fontId="2"/>
  </si>
  <si>
    <t>西館</t>
    <rPh sb="0" eb="2">
      <t>ニシカン</t>
    </rPh>
    <phoneticPr fontId="2"/>
  </si>
  <si>
    <t>豊寿亭</t>
    <rPh sb="0" eb="1">
      <t>ユタカ</t>
    </rPh>
    <rPh sb="1" eb="2">
      <t>コトブキ</t>
    </rPh>
    <rPh sb="2" eb="3">
      <t>テイ</t>
    </rPh>
    <phoneticPr fontId="2"/>
  </si>
  <si>
    <t>12.5畳</t>
    <rPh sb="4" eb="5">
      <t>ジョウ</t>
    </rPh>
    <phoneticPr fontId="2"/>
  </si>
  <si>
    <t>12.5畳＋TW</t>
    <rPh sb="4" eb="5">
      <t>ジョウ</t>
    </rPh>
    <phoneticPr fontId="2"/>
  </si>
  <si>
    <t>12.5畳＋6畳</t>
    <rPh sb="4" eb="5">
      <t>ジョウ</t>
    </rPh>
    <rPh sb="7" eb="8">
      <t>ジョウ</t>
    </rPh>
    <phoneticPr fontId="2"/>
  </si>
  <si>
    <t>雲の波</t>
    <rPh sb="0" eb="1">
      <t>クモ</t>
    </rPh>
    <rPh sb="2" eb="3">
      <t>ナミ</t>
    </rPh>
    <phoneticPr fontId="2"/>
  </si>
  <si>
    <t>月の舟</t>
    <rPh sb="0" eb="1">
      <t>ツキ</t>
    </rPh>
    <rPh sb="2" eb="3">
      <t>フネ</t>
    </rPh>
    <phoneticPr fontId="2"/>
  </si>
  <si>
    <t>天の海</t>
    <rPh sb="0" eb="1">
      <t>テン</t>
    </rPh>
    <rPh sb="2" eb="3">
      <t>ウミ</t>
    </rPh>
    <phoneticPr fontId="2"/>
  </si>
  <si>
    <t>星の林</t>
    <rPh sb="0" eb="1">
      <t>ホシ</t>
    </rPh>
    <rPh sb="2" eb="3">
      <t>ハヤシ</t>
    </rPh>
    <phoneticPr fontId="2"/>
  </si>
  <si>
    <t>ビューコンフォートツイン</t>
    <phoneticPr fontId="2"/>
  </si>
  <si>
    <t>ビューコンフォートツイン</t>
  </si>
  <si>
    <t>フロントビュー和スイート</t>
    <rPh sb="7" eb="8">
      <t>ワ</t>
    </rPh>
    <phoneticPr fontId="2"/>
  </si>
  <si>
    <t>ユニバーサルビュースイート</t>
    <phoneticPr fontId="2"/>
  </si>
  <si>
    <t>小会議室　鶫の間</t>
    <rPh sb="0" eb="1">
      <t>ショウ</t>
    </rPh>
    <rPh sb="1" eb="4">
      <t>カイギシツ</t>
    </rPh>
    <rPh sb="5" eb="6">
      <t>ツグミ</t>
    </rPh>
    <rPh sb="7" eb="8">
      <t>マ</t>
    </rPh>
    <phoneticPr fontId="2"/>
  </si>
  <si>
    <t>小会議室　鶫の間</t>
  </si>
  <si>
    <t>コンベンションホール鳳凰</t>
    <rPh sb="10" eb="12">
      <t>ホウオウ</t>
    </rPh>
    <phoneticPr fontId="2"/>
  </si>
  <si>
    <t>コンベンションホール鳳凰</t>
    <phoneticPr fontId="2"/>
  </si>
  <si>
    <t>◯</t>
  </si>
  <si>
    <t>大広間　源氏の間</t>
    <rPh sb="0" eb="3">
      <t>オオヒロマ</t>
    </rPh>
    <rPh sb="4" eb="6">
      <t>ゲンジ</t>
    </rPh>
    <rPh sb="7" eb="8">
      <t>マ</t>
    </rPh>
    <phoneticPr fontId="2"/>
  </si>
  <si>
    <t>大広間　源氏の間</t>
    <phoneticPr fontId="2"/>
  </si>
  <si>
    <t>中広間　梅の間</t>
    <rPh sb="0" eb="3">
      <t>チュウヒロマ</t>
    </rPh>
    <rPh sb="4" eb="5">
      <t>ウメ</t>
    </rPh>
    <rPh sb="6" eb="7">
      <t>マ</t>
    </rPh>
    <phoneticPr fontId="2"/>
  </si>
  <si>
    <t>中広間　梅の間</t>
    <phoneticPr fontId="2"/>
  </si>
  <si>
    <t>中広間　桜の間</t>
    <phoneticPr fontId="2"/>
  </si>
  <si>
    <t>平野屋</t>
    <rPh sb="0" eb="3">
      <t>ヒラノヤ</t>
    </rPh>
    <phoneticPr fontId="2"/>
  </si>
  <si>
    <t>入湯税</t>
    <rPh sb="0" eb="3">
      <t>ニュウトウゼイ</t>
    </rPh>
    <phoneticPr fontId="2"/>
  </si>
  <si>
    <t>本館　</t>
    <rPh sb="0" eb="2">
      <t>ホンカン</t>
    </rPh>
    <phoneticPr fontId="2"/>
  </si>
  <si>
    <t>緑粋亭</t>
    <phoneticPr fontId="2"/>
  </si>
  <si>
    <t>6畳＋ツイン</t>
    <rPh sb="1" eb="2">
      <t>ジョウ</t>
    </rPh>
    <phoneticPr fontId="2"/>
  </si>
  <si>
    <t>ツイン(半露天客室)</t>
    <rPh sb="4" eb="7">
      <t>ハンロテン</t>
    </rPh>
    <rPh sb="7" eb="9">
      <t>キャクシツ</t>
    </rPh>
    <phoneticPr fontId="2"/>
  </si>
  <si>
    <t>緑翠亭</t>
    <rPh sb="0" eb="3">
      <t>リョクスイテイ</t>
    </rPh>
    <phoneticPr fontId="2"/>
  </si>
  <si>
    <t>10畳+ツイン</t>
    <rPh sb="2" eb="3">
      <t>ジョウ</t>
    </rPh>
    <phoneticPr fontId="2"/>
  </si>
  <si>
    <t>10畳＋3畳</t>
    <rPh sb="2" eb="3">
      <t>ジョウ</t>
    </rPh>
    <rPh sb="5" eb="6">
      <t>ジョウ</t>
    </rPh>
    <phoneticPr fontId="2"/>
  </si>
  <si>
    <t>12.5畳＋4.5畳</t>
    <rPh sb="4" eb="5">
      <t>ジョウ</t>
    </rPh>
    <rPh sb="9" eb="10">
      <t>ジョウ</t>
    </rPh>
    <phoneticPr fontId="2"/>
  </si>
  <si>
    <t xml:space="preserve">有楽亭  </t>
    <rPh sb="0" eb="3">
      <t>ウラクテイ</t>
    </rPh>
    <phoneticPr fontId="2"/>
  </si>
  <si>
    <t>12.5＋ツイン</t>
    <phoneticPr fontId="2"/>
  </si>
  <si>
    <t>15畳＋4.5畳</t>
    <rPh sb="2" eb="3">
      <t>ジョウ</t>
    </rPh>
    <rPh sb="7" eb="8">
      <t>ジョウ</t>
    </rPh>
    <phoneticPr fontId="2"/>
  </si>
  <si>
    <t>有楽亭</t>
    <rPh sb="0" eb="3">
      <t>ウラクテイ</t>
    </rPh>
    <phoneticPr fontId="2"/>
  </si>
  <si>
    <t>神楽囃(かぐらばやし）</t>
  </si>
  <si>
    <t>X</t>
    <phoneticPr fontId="2"/>
  </si>
  <si>
    <t>遠望峰（とぼね）</t>
  </si>
  <si>
    <t>雅楽囃(うたばやし）</t>
  </si>
  <si>
    <t>葵(あおい)</t>
  </si>
  <si>
    <t>蓬生(あいおい)</t>
  </si>
  <si>
    <t>薄雲(うすぐも)</t>
  </si>
  <si>
    <t>早蕨(さわらび)</t>
  </si>
  <si>
    <t>浮舟(うきぶね)</t>
  </si>
  <si>
    <t>横笛(よこぶえ)</t>
  </si>
  <si>
    <t>蒲郡ホテル</t>
    <rPh sb="0" eb="2">
      <t>ガマゴオリ</t>
    </rPh>
    <phoneticPr fontId="2"/>
  </si>
  <si>
    <t>シングルA（本館）</t>
    <rPh sb="6" eb="8">
      <t>ホンカン</t>
    </rPh>
    <phoneticPr fontId="2"/>
  </si>
  <si>
    <t>シングルA喫煙（本館）</t>
    <rPh sb="5" eb="7">
      <t>キツエン</t>
    </rPh>
    <rPh sb="8" eb="10">
      <t>ホンカン</t>
    </rPh>
    <phoneticPr fontId="2"/>
  </si>
  <si>
    <t>シングルB（本館）</t>
    <rPh sb="6" eb="8">
      <t>ホンカン</t>
    </rPh>
    <phoneticPr fontId="2"/>
  </si>
  <si>
    <t>ダブル（本館）</t>
    <rPh sb="4" eb="6">
      <t>ホンカン</t>
    </rPh>
    <phoneticPr fontId="2"/>
  </si>
  <si>
    <t>ダブル喫煙（本館）</t>
    <rPh sb="3" eb="5">
      <t>キツエン</t>
    </rPh>
    <rPh sb="6" eb="8">
      <t>ホンカン</t>
    </rPh>
    <phoneticPr fontId="2"/>
  </si>
  <si>
    <t>ツインA（本館）</t>
    <rPh sb="5" eb="7">
      <t>ホンカン</t>
    </rPh>
    <phoneticPr fontId="57"/>
  </si>
  <si>
    <t>ツインA喫煙（本館）</t>
    <rPh sb="4" eb="6">
      <t>キツエン</t>
    </rPh>
    <rPh sb="7" eb="9">
      <t>ホンカン</t>
    </rPh>
    <phoneticPr fontId="57"/>
  </si>
  <si>
    <t>ツインM（本館）</t>
    <rPh sb="5" eb="7">
      <t>ホンカン</t>
    </rPh>
    <phoneticPr fontId="2"/>
  </si>
  <si>
    <t>ツインB（新館）</t>
    <rPh sb="5" eb="7">
      <t>シンカン</t>
    </rPh>
    <phoneticPr fontId="2"/>
  </si>
  <si>
    <t>ツインB喫煙（新館）</t>
    <rPh sb="4" eb="6">
      <t>キツエン</t>
    </rPh>
    <rPh sb="7" eb="9">
      <t>シンカン</t>
    </rPh>
    <phoneticPr fontId="2"/>
  </si>
  <si>
    <t>ツインS（新館）</t>
    <rPh sb="5" eb="7">
      <t>シンカン</t>
    </rPh>
    <phoneticPr fontId="2"/>
  </si>
  <si>
    <t>トリプル（新館）</t>
    <rPh sb="5" eb="7">
      <t>シンカン</t>
    </rPh>
    <phoneticPr fontId="2"/>
  </si>
  <si>
    <t>バリアフリールーム（新館）</t>
    <rPh sb="10" eb="12">
      <t>シンカン</t>
    </rPh>
    <phoneticPr fontId="2"/>
  </si>
  <si>
    <t>和室（本館）</t>
    <rPh sb="0" eb="2">
      <t>ワシツ</t>
    </rPh>
    <rPh sb="3" eb="5">
      <t>ホンカン</t>
    </rPh>
    <phoneticPr fontId="2"/>
  </si>
  <si>
    <t>12畳</t>
    <rPh sb="2" eb="3">
      <t>ジョウ</t>
    </rPh>
    <phoneticPr fontId="2"/>
  </si>
  <si>
    <t>大島</t>
    <phoneticPr fontId="2"/>
  </si>
  <si>
    <t>※原状復帰して頂くこととなっており、会場のセッティング等ホテル側でする場合は、税サ別となります。</t>
    <phoneticPr fontId="2"/>
  </si>
  <si>
    <t>ホテル竹島</t>
    <rPh sb="3" eb="5">
      <t>タケシマ</t>
    </rPh>
    <phoneticPr fontId="2"/>
  </si>
  <si>
    <t>2026年9月16日(水)</t>
  </si>
  <si>
    <t>2026年9月27日(日)</t>
  </si>
  <si>
    <t>半露天風呂付客室フロア（2名）</t>
  </si>
  <si>
    <t>2026年9月14日(月)</t>
  </si>
  <si>
    <t>2026年9月29日(火)</t>
  </si>
  <si>
    <t>特別室（４名）</t>
  </si>
  <si>
    <t>和洋室（４名）</t>
  </si>
  <si>
    <t>和室（２間タイプ）（３名）</t>
  </si>
  <si>
    <t>和室（１間タイプ）（２名）</t>
  </si>
  <si>
    <t>洋室ツイン（２名）</t>
  </si>
  <si>
    <t>洋室シングル（１名）</t>
  </si>
  <si>
    <t>露天風呂付客室（２名）</t>
  </si>
  <si>
    <t>和室（１間タイプ）（3名）</t>
  </si>
  <si>
    <t>2026年9月28日(月)</t>
  </si>
  <si>
    <t>コンベンションホール　海皇</t>
  </si>
  <si>
    <t>大宴会場　竹島</t>
  </si>
  <si>
    <t>宴会場　松風</t>
  </si>
  <si>
    <t>ロワジールホテル豊橋</t>
    <rPh sb="8" eb="10">
      <t>トヨハシ</t>
    </rPh>
    <phoneticPr fontId="2"/>
  </si>
  <si>
    <t>◆アジア競技大会提供客室（競技①）</t>
    <rPh sb="4" eb="6">
      <t>キョウギ</t>
    </rPh>
    <rPh sb="6" eb="8">
      <t>タイカイ</t>
    </rPh>
    <rPh sb="8" eb="10">
      <t>テイキョウ</t>
    </rPh>
    <rPh sb="10" eb="12">
      <t>キャクシツ</t>
    </rPh>
    <rPh sb="13" eb="15">
      <t>キョウギ</t>
    </rPh>
    <phoneticPr fontId="59"/>
  </si>
  <si>
    <r>
      <t xml:space="preserve">準備期間客室単価/室
</t>
    </r>
    <r>
      <rPr>
        <sz val="11"/>
        <rFont val="游ゴシック Regular"/>
        <family val="3"/>
        <charset val="128"/>
      </rPr>
      <t>※素泊り
（利用人数分）/サ込税別</t>
    </r>
    <rPh sb="0" eb="4">
      <t>ジュンビキカン</t>
    </rPh>
    <rPh sb="12" eb="14">
      <t>スドマ</t>
    </rPh>
    <rPh sb="17" eb="19">
      <t>リヨウ</t>
    </rPh>
    <rPh sb="19" eb="21">
      <t>ニンズウ</t>
    </rPh>
    <rPh sb="20" eb="21">
      <t>スウ</t>
    </rPh>
    <rPh sb="21" eb="22">
      <t>ブン</t>
    </rPh>
    <phoneticPr fontId="2"/>
  </si>
  <si>
    <r>
      <t xml:space="preserve">本番期間客室単価/室
</t>
    </r>
    <r>
      <rPr>
        <sz val="11"/>
        <rFont val="游ゴシック Regular"/>
        <family val="3"/>
        <charset val="128"/>
      </rPr>
      <t>※1泊朝食付
（利用人数分）/サ込税別</t>
    </r>
    <rPh sb="0" eb="2">
      <t>ホンバン</t>
    </rPh>
    <rPh sb="2" eb="4">
      <t>キカン</t>
    </rPh>
    <rPh sb="19" eb="21">
      <t>リヨウ</t>
    </rPh>
    <rPh sb="21" eb="23">
      <t>ニンズウ</t>
    </rPh>
    <rPh sb="22" eb="23">
      <t>スウ</t>
    </rPh>
    <rPh sb="23" eb="24">
      <t>ブン</t>
    </rPh>
    <phoneticPr fontId="2"/>
  </si>
  <si>
    <r>
      <t xml:space="preserve">撤去期間客室単価/室
</t>
    </r>
    <r>
      <rPr>
        <sz val="11"/>
        <rFont val="游ゴシック Regular"/>
        <family val="3"/>
        <charset val="128"/>
      </rPr>
      <t>※素泊り
（利用人数分）/サ込税別</t>
    </r>
    <rPh sb="0" eb="2">
      <t>テッキョ</t>
    </rPh>
    <rPh sb="2" eb="4">
      <t>キカン</t>
    </rPh>
    <rPh sb="4" eb="6">
      <t>キャクシツ</t>
    </rPh>
    <rPh sb="12" eb="14">
      <t>スドマ</t>
    </rPh>
    <rPh sb="17" eb="19">
      <t>リヨウ</t>
    </rPh>
    <rPh sb="19" eb="21">
      <t>ニンズウ</t>
    </rPh>
    <rPh sb="20" eb="21">
      <t>スウ</t>
    </rPh>
    <rPh sb="21" eb="22">
      <t>ブン</t>
    </rPh>
    <phoneticPr fontId="2"/>
  </si>
  <si>
    <t>禁煙室・喫煙室</t>
    <rPh sb="0" eb="2">
      <t>キンエン</t>
    </rPh>
    <rPh sb="2" eb="3">
      <t>シツ</t>
    </rPh>
    <rPh sb="4" eb="6">
      <t>キツエン</t>
    </rPh>
    <rPh sb="6" eb="7">
      <t>シツ</t>
    </rPh>
    <phoneticPr fontId="2"/>
  </si>
  <si>
    <t>スーペリアツイン
(トリプル・フォース対応型)</t>
    <rPh sb="19" eb="21">
      <t>タイオウ</t>
    </rPh>
    <rPh sb="21" eb="22">
      <t>ガタ</t>
    </rPh>
    <phoneticPr fontId="2"/>
  </si>
  <si>
    <t>◆アジア競技大会提供客室（競技②）</t>
    <rPh sb="4" eb="6">
      <t>キョウギ</t>
    </rPh>
    <rPh sb="6" eb="8">
      <t>タイカイ</t>
    </rPh>
    <rPh sb="8" eb="10">
      <t>テイキョウ</t>
    </rPh>
    <rPh sb="10" eb="12">
      <t>キャクシツ</t>
    </rPh>
    <rPh sb="13" eb="15">
      <t>キョウギ</t>
    </rPh>
    <phoneticPr fontId="59"/>
  </si>
  <si>
    <r>
      <t>※客室単価（１泊）には、甲が以下の目安により設定した利用人数分の</t>
    </r>
    <r>
      <rPr>
        <sz val="20"/>
        <rFont val="游ゴシック Regular"/>
        <family val="3"/>
        <charset val="128"/>
      </rPr>
      <t>朝食、インターネット接続料金、サービス料が含まれる。</t>
    </r>
    <rPh sb="1" eb="3">
      <t>キャクシツ</t>
    </rPh>
    <rPh sb="3" eb="5">
      <t>タンカ</t>
    </rPh>
    <rPh sb="7" eb="8">
      <t>ハク</t>
    </rPh>
    <rPh sb="12" eb="13">
      <t>コウ</t>
    </rPh>
    <rPh sb="14" eb="16">
      <t>イカ</t>
    </rPh>
    <rPh sb="17" eb="19">
      <t>メヤス</t>
    </rPh>
    <rPh sb="22" eb="24">
      <t>セッテイ</t>
    </rPh>
    <rPh sb="26" eb="31">
      <t>リヨウニンズウブン</t>
    </rPh>
    <rPh sb="32" eb="34">
      <t>チョウショク</t>
    </rPh>
    <rPh sb="42" eb="44">
      <t>セツゾク</t>
    </rPh>
    <rPh sb="44" eb="46">
      <t>リョウキン</t>
    </rPh>
    <rPh sb="51" eb="52">
      <t>リョウ</t>
    </rPh>
    <rPh sb="53" eb="54">
      <t>フク</t>
    </rPh>
    <phoneticPr fontId="2"/>
  </si>
  <si>
    <t>ホリデイホールCDのみ</t>
    <phoneticPr fontId="2"/>
  </si>
  <si>
    <t>応接室</t>
    <rPh sb="0" eb="3">
      <t>オウセツシツ</t>
    </rPh>
    <phoneticPr fontId="2"/>
  </si>
  <si>
    <t>桜</t>
  </si>
  <si>
    <t>会議室　本館301</t>
  </si>
  <si>
    <t>会議室　本館302</t>
  </si>
  <si>
    <t>会議室　本館303</t>
  </si>
  <si>
    <t>会議室　本館304</t>
  </si>
  <si>
    <t>会議室　本館305</t>
  </si>
  <si>
    <t>会議室　本館306</t>
  </si>
  <si>
    <t>タワー館　椿</t>
  </si>
  <si>
    <t>タワー館　桐</t>
  </si>
  <si>
    <t>タワー館　菊　※藤と一括可</t>
  </si>
  <si>
    <t>タワー館　藤　※菊と一括可</t>
  </si>
  <si>
    <t>タワー館　松　※竹・梅と一括可</t>
  </si>
  <si>
    <t>タワー館　竹　※松・梅と一括可</t>
  </si>
  <si>
    <t>タワー館　梅　※松・竹と一括可</t>
    <rPh sb="3" eb="4">
      <t>カン</t>
    </rPh>
    <rPh sb="5" eb="6">
      <t>ウメ</t>
    </rPh>
    <rPh sb="8" eb="9">
      <t>マツ</t>
    </rPh>
    <rPh sb="10" eb="11">
      <t>タケ</t>
    </rPh>
    <rPh sb="12" eb="14">
      <t>イッカツ</t>
    </rPh>
    <rPh sb="14" eb="15">
      <t>カ</t>
    </rPh>
    <phoneticPr fontId="222"/>
  </si>
  <si>
    <t>税込（元々税込）</t>
    <rPh sb="0" eb="2">
      <t>ゼイコミ</t>
    </rPh>
    <rPh sb="3" eb="5">
      <t>モトモト</t>
    </rPh>
    <rPh sb="5" eb="7">
      <t>ゼイコミ</t>
    </rPh>
    <phoneticPr fontId="2"/>
  </si>
  <si>
    <t>フォーポイントバイシェラトン名古屋　中部国際空港　</t>
    <rPh sb="14" eb="17">
      <t>ナゴヤ</t>
    </rPh>
    <rPh sb="18" eb="24">
      <t>チュウブコクサイクウコウ</t>
    </rPh>
    <phoneticPr fontId="2"/>
  </si>
  <si>
    <t>スタンダードキング（シングル）</t>
  </si>
  <si>
    <t>スタンダードツインに変更</t>
  </si>
  <si>
    <t xml:space="preserve">スタンダードツイン </t>
  </si>
  <si>
    <t>プレミアムキング（シングル）</t>
  </si>
  <si>
    <t xml:space="preserve">ジュニアスイート（シングル） </t>
  </si>
  <si>
    <t>フォーポイントスイート（シングル）</t>
  </si>
  <si>
    <t>フォーポイントバイシェラトン名古屋　中部国際空港</t>
    <rPh sb="14" eb="17">
      <t>ナゴヤ</t>
    </rPh>
    <rPh sb="18" eb="24">
      <t>チュウブコクサイクウコウ</t>
    </rPh>
    <phoneticPr fontId="2"/>
  </si>
  <si>
    <t>スタンダードキング（キングベッド保管用）</t>
    <phoneticPr fontId="2"/>
  </si>
  <si>
    <t>利用人数</t>
    <rPh sb="0" eb="4">
      <t>リヨウニンズウ</t>
    </rPh>
    <phoneticPr fontId="2"/>
  </si>
  <si>
    <t>内容</t>
    <rPh sb="0" eb="2">
      <t>ナイヨウ</t>
    </rPh>
    <phoneticPr fontId="59"/>
  </si>
  <si>
    <r>
      <t xml:space="preserve">料金
</t>
    </r>
    <r>
      <rPr>
        <sz val="11"/>
        <rFont val="游ゴシック Regular"/>
        <family val="3"/>
        <charset val="128"/>
      </rPr>
      <t>※サ込税別</t>
    </r>
    <r>
      <rPr>
        <b/>
        <sz val="12"/>
        <rFont val="游ゴシック Regular"/>
        <family val="3"/>
        <charset val="128"/>
      </rPr>
      <t xml:space="preserve">
サ10％</t>
    </r>
    <rPh sb="0" eb="2">
      <t>リョウキン</t>
    </rPh>
    <rPh sb="5" eb="6">
      <t>コミ</t>
    </rPh>
    <rPh sb="6" eb="8">
      <t>ゼイベツ</t>
    </rPh>
    <phoneticPr fontId="59"/>
  </si>
  <si>
    <t>東横INN中部国際空港Ⅱ</t>
    <phoneticPr fontId="2"/>
  </si>
  <si>
    <r>
      <t xml:space="preserve">準備期間客室単価/室
</t>
    </r>
    <r>
      <rPr>
        <sz val="11"/>
        <color theme="1"/>
        <rFont val="游ゴシック Regular"/>
        <family val="3"/>
        <charset val="128"/>
      </rPr>
      <t>※素泊り
（利用人数分）/</t>
    </r>
    <r>
      <rPr>
        <b/>
        <sz val="11"/>
        <color theme="1"/>
        <rFont val="游ゴシック Regular"/>
        <family val="3"/>
        <charset val="128"/>
      </rPr>
      <t>サ込税込</t>
    </r>
    <rPh sb="0" eb="4">
      <t>ジュンビキカン</t>
    </rPh>
    <rPh sb="12" eb="14">
      <t>スドマ</t>
    </rPh>
    <rPh sb="17" eb="19">
      <t>リヨウ</t>
    </rPh>
    <rPh sb="19" eb="21">
      <t>ニンズウ</t>
    </rPh>
    <rPh sb="20" eb="21">
      <t>スウ</t>
    </rPh>
    <rPh sb="21" eb="22">
      <t>ブン</t>
    </rPh>
    <rPh sb="27" eb="28">
      <t>コミ</t>
    </rPh>
    <phoneticPr fontId="2"/>
  </si>
  <si>
    <r>
      <t xml:space="preserve">本番期間客室単価/室
</t>
    </r>
    <r>
      <rPr>
        <sz val="11"/>
        <color theme="1"/>
        <rFont val="游ゴシック Regular"/>
        <family val="3"/>
        <charset val="128"/>
      </rPr>
      <t>※素泊り
（利用人数分）/</t>
    </r>
    <r>
      <rPr>
        <b/>
        <sz val="11"/>
        <color theme="1"/>
        <rFont val="游ゴシック Regular"/>
        <family val="3"/>
        <charset val="128"/>
      </rPr>
      <t>サ込税込</t>
    </r>
    <rPh sb="0" eb="2">
      <t>ホンバン</t>
    </rPh>
    <rPh sb="2" eb="4">
      <t>キカン</t>
    </rPh>
    <rPh sb="12" eb="14">
      <t>スドマ</t>
    </rPh>
    <rPh sb="17" eb="19">
      <t>リヨウ</t>
    </rPh>
    <rPh sb="19" eb="21">
      <t>ニンズウ</t>
    </rPh>
    <rPh sb="20" eb="21">
      <t>スウ</t>
    </rPh>
    <rPh sb="21" eb="22">
      <t>ブン</t>
    </rPh>
    <phoneticPr fontId="2"/>
  </si>
  <si>
    <r>
      <t xml:space="preserve">撤去期間客室単価/室
</t>
    </r>
    <r>
      <rPr>
        <sz val="11"/>
        <color theme="1"/>
        <rFont val="游ゴシック Regular"/>
        <family val="3"/>
        <charset val="128"/>
      </rPr>
      <t>※素泊り
（利用人数分）/</t>
    </r>
    <r>
      <rPr>
        <b/>
        <sz val="11"/>
        <color theme="1"/>
        <rFont val="游ゴシック Regular"/>
        <family val="3"/>
        <charset val="128"/>
      </rPr>
      <t>サ込税込</t>
    </r>
    <rPh sb="0" eb="2">
      <t>テッキョ</t>
    </rPh>
    <rPh sb="2" eb="4">
      <t>キカン</t>
    </rPh>
    <rPh sb="4" eb="6">
      <t>キャクシツ</t>
    </rPh>
    <rPh sb="12" eb="14">
      <t>スドマ</t>
    </rPh>
    <rPh sb="17" eb="19">
      <t>リヨウ</t>
    </rPh>
    <rPh sb="19" eb="21">
      <t>ニンズウ</t>
    </rPh>
    <rPh sb="20" eb="21">
      <t>スウ</t>
    </rPh>
    <rPh sb="21" eb="22">
      <t>ブン</t>
    </rPh>
    <phoneticPr fontId="2"/>
  </si>
  <si>
    <t>ハートフルツイン</t>
    <phoneticPr fontId="2"/>
  </si>
  <si>
    <t>清掃業務練習期間</t>
    <rPh sb="0" eb="2">
      <t>セイソウ</t>
    </rPh>
    <rPh sb="2" eb="4">
      <t>ギョウム</t>
    </rPh>
    <rPh sb="4" eb="8">
      <t>レンシュウキカン</t>
    </rPh>
    <phoneticPr fontId="2"/>
  </si>
  <si>
    <r>
      <t>※客室単価（１泊）には、甲が以下の目安により設定した利用人数分の</t>
    </r>
    <r>
      <rPr>
        <sz val="20"/>
        <color theme="1"/>
        <rFont val="游ゴシック Regular"/>
        <family val="3"/>
        <charset val="128"/>
      </rPr>
      <t>インターネット接続料金、サービス料が含まれる。</t>
    </r>
    <rPh sb="1" eb="3">
      <t>キャクシツ</t>
    </rPh>
    <rPh sb="3" eb="5">
      <t>タンカ</t>
    </rPh>
    <rPh sb="7" eb="8">
      <t>ハク</t>
    </rPh>
    <rPh sb="12" eb="13">
      <t>コウ</t>
    </rPh>
    <rPh sb="14" eb="16">
      <t>イカ</t>
    </rPh>
    <rPh sb="17" eb="19">
      <t>メヤス</t>
    </rPh>
    <rPh sb="22" eb="24">
      <t>セッテイ</t>
    </rPh>
    <rPh sb="26" eb="31">
      <t>リヨウニンズウブン</t>
    </rPh>
    <rPh sb="39" eb="41">
      <t>セツゾク</t>
    </rPh>
    <rPh sb="41" eb="43">
      <t>リョウキン</t>
    </rPh>
    <rPh sb="48" eb="49">
      <t>リョウ</t>
    </rPh>
    <rPh sb="50" eb="51">
      <t>フク</t>
    </rPh>
    <phoneticPr fontId="2"/>
  </si>
  <si>
    <t>東横INN中部国際空港Ⅱ</t>
  </si>
  <si>
    <t>清掃費用はガーデンふ頭を参考、タクシー料金は概算</t>
    <rPh sb="0" eb="4">
      <t>セイソウヒヨウ</t>
    </rPh>
    <rPh sb="10" eb="11">
      <t>トウ</t>
    </rPh>
    <rPh sb="12" eb="14">
      <t>サンコウ</t>
    </rPh>
    <rPh sb="19" eb="21">
      <t>リョウキン</t>
    </rPh>
    <rPh sb="22" eb="24">
      <t>ガイサン</t>
    </rPh>
    <phoneticPr fontId="2"/>
  </si>
  <si>
    <t>個数</t>
    <rPh sb="0" eb="2">
      <t>コスウ</t>
    </rPh>
    <phoneticPr fontId="59"/>
  </si>
  <si>
    <t>清掃費用</t>
    <rPh sb="0" eb="4">
      <t>セイソウヒヨウ</t>
    </rPh>
    <phoneticPr fontId="2"/>
  </si>
  <si>
    <t>廃棄物対応費用</t>
    <rPh sb="0" eb="3">
      <t>ハイキブツ</t>
    </rPh>
    <rPh sb="3" eb="5">
      <t>タイオウ</t>
    </rPh>
    <rPh sb="5" eb="7">
      <t>ヒヨウ</t>
    </rPh>
    <phoneticPr fontId="2"/>
  </si>
  <si>
    <t>タクシー1台/日</t>
    <rPh sb="5" eb="6">
      <t>ダイ</t>
    </rPh>
    <rPh sb="7" eb="8">
      <t>ニチ</t>
    </rPh>
    <phoneticPr fontId="2"/>
  </si>
  <si>
    <t>工事期間中乗務員輸送手段費用</t>
    <rPh sb="0" eb="5">
      <t>コウジキカンチュウ</t>
    </rPh>
    <rPh sb="5" eb="8">
      <t>ジョウムイン</t>
    </rPh>
    <rPh sb="8" eb="12">
      <t>ユソウシュダン</t>
    </rPh>
    <rPh sb="12" eb="14">
      <t>ヒヨウ</t>
    </rPh>
    <phoneticPr fontId="2"/>
  </si>
  <si>
    <t>営業補償等（税サ込）</t>
    <rPh sb="0" eb="4">
      <t>エイギョウホショウ</t>
    </rPh>
    <rPh sb="4" eb="5">
      <t>トウ</t>
    </rPh>
    <rPh sb="6" eb="7">
      <t>ゼイ</t>
    </rPh>
    <rPh sb="8" eb="9">
      <t>コミ</t>
    </rPh>
    <phoneticPr fontId="2"/>
  </si>
  <si>
    <t>東横INN中部国際空港Ⅰ</t>
    <phoneticPr fontId="2"/>
  </si>
  <si>
    <r>
      <t xml:space="preserve">準備期間客室単価/室
</t>
    </r>
    <r>
      <rPr>
        <sz val="11"/>
        <color theme="1"/>
        <rFont val="游ゴシック Regular"/>
        <family val="3"/>
        <charset val="128"/>
      </rPr>
      <t>※素泊り
（利用人数分）/税込</t>
    </r>
    <rPh sb="0" eb="4">
      <t>ジュンビキカン</t>
    </rPh>
    <rPh sb="12" eb="14">
      <t>スドマ</t>
    </rPh>
    <rPh sb="17" eb="19">
      <t>リヨウ</t>
    </rPh>
    <rPh sb="19" eb="21">
      <t>ニンズウ</t>
    </rPh>
    <rPh sb="20" eb="21">
      <t>スウ</t>
    </rPh>
    <rPh sb="21" eb="22">
      <t>ブン</t>
    </rPh>
    <rPh sb="24" eb="25">
      <t>ゼイ</t>
    </rPh>
    <rPh sb="25" eb="26">
      <t>コミ</t>
    </rPh>
    <phoneticPr fontId="2"/>
  </si>
  <si>
    <r>
      <t xml:space="preserve">本番期間客室単価/室
</t>
    </r>
    <r>
      <rPr>
        <sz val="11"/>
        <color theme="1"/>
        <rFont val="游ゴシック Regular"/>
        <family val="3"/>
        <charset val="128"/>
      </rPr>
      <t>※素泊り
（利用人数分）/税込</t>
    </r>
    <rPh sb="0" eb="2">
      <t>ホンバン</t>
    </rPh>
    <rPh sb="2" eb="4">
      <t>キカン</t>
    </rPh>
    <rPh sb="12" eb="14">
      <t>スドマ</t>
    </rPh>
    <rPh sb="17" eb="19">
      <t>リヨウ</t>
    </rPh>
    <rPh sb="19" eb="21">
      <t>ニンズウ</t>
    </rPh>
    <rPh sb="20" eb="21">
      <t>スウ</t>
    </rPh>
    <rPh sb="21" eb="22">
      <t>ブン</t>
    </rPh>
    <rPh sb="25" eb="26">
      <t>コミ</t>
    </rPh>
    <phoneticPr fontId="2"/>
  </si>
  <si>
    <r>
      <t xml:space="preserve">撤去期間客室単価/室
</t>
    </r>
    <r>
      <rPr>
        <sz val="11"/>
        <color theme="1"/>
        <rFont val="游ゴシック Regular"/>
        <family val="3"/>
        <charset val="128"/>
      </rPr>
      <t>※素泊り
（利用人数分）/税込</t>
    </r>
    <rPh sb="0" eb="2">
      <t>テッキョ</t>
    </rPh>
    <rPh sb="2" eb="4">
      <t>キカン</t>
    </rPh>
    <rPh sb="4" eb="6">
      <t>キャクシツ</t>
    </rPh>
    <rPh sb="12" eb="14">
      <t>スドマ</t>
    </rPh>
    <rPh sb="17" eb="19">
      <t>リヨウ</t>
    </rPh>
    <rPh sb="19" eb="21">
      <t>ニンズウ</t>
    </rPh>
    <rPh sb="20" eb="21">
      <t>スウ</t>
    </rPh>
    <rPh sb="21" eb="22">
      <t>ブン</t>
    </rPh>
    <rPh sb="25" eb="26">
      <t>コミ</t>
    </rPh>
    <phoneticPr fontId="2"/>
  </si>
  <si>
    <t>総宿泊料金（税込）</t>
    <rPh sb="0" eb="1">
      <t>ソウ</t>
    </rPh>
    <rPh sb="1" eb="3">
      <t>シュクハク</t>
    </rPh>
    <rPh sb="3" eb="5">
      <t>リョウキン</t>
    </rPh>
    <rPh sb="6" eb="7">
      <t>ゼイ</t>
    </rPh>
    <rPh sb="7" eb="8">
      <t>コミ</t>
    </rPh>
    <phoneticPr fontId="2"/>
  </si>
  <si>
    <t>シングル 5Fフロア貸切</t>
    <rPh sb="10" eb="12">
      <t>カシキリ</t>
    </rPh>
    <phoneticPr fontId="2"/>
  </si>
  <si>
    <t>スーペリアツイン　　　　　　　　5Fフロア貸切</t>
    <rPh sb="21" eb="23">
      <t>カシキリ</t>
    </rPh>
    <phoneticPr fontId="2"/>
  </si>
  <si>
    <t>デラックスツイン　　　　　　　　　　　　　　　　　　5Fフロア貸切</t>
    <rPh sb="31" eb="33">
      <t>カシキリ</t>
    </rPh>
    <phoneticPr fontId="2"/>
  </si>
  <si>
    <t>クイーンダブル　　　　　　　　　　　　　　　　　　　　5Fフロア貸切</t>
    <rPh sb="32" eb="34">
      <t>カシキリ</t>
    </rPh>
    <phoneticPr fontId="2"/>
  </si>
  <si>
    <t>ANNEXツイン　2F-5F貸切</t>
    <rPh sb="14" eb="16">
      <t>カシキリ</t>
    </rPh>
    <phoneticPr fontId="2"/>
  </si>
  <si>
    <t>スタンダードツイン　　　　　　3Fフロア貸切</t>
    <rPh sb="20" eb="22">
      <t>カシキリ</t>
    </rPh>
    <phoneticPr fontId="2"/>
  </si>
  <si>
    <t>スーペリアツイン　　　　　　　　3Fフロア貸切</t>
    <rPh sb="21" eb="23">
      <t>カシキリ</t>
    </rPh>
    <phoneticPr fontId="2"/>
  </si>
  <si>
    <t>デラックスツイン　　　　　　　　　　　　　　　　　　3Fフロア貸切</t>
    <rPh sb="31" eb="33">
      <t>カシキリ</t>
    </rPh>
    <phoneticPr fontId="2"/>
  </si>
  <si>
    <t>クイーンダブル　　　　　　　　　　　　　　　　　　　　3Fフロア貸切</t>
    <rPh sb="32" eb="34">
      <t>カシキリ</t>
    </rPh>
    <phoneticPr fontId="2"/>
  </si>
  <si>
    <t>※200円/泊</t>
    <rPh sb="4" eb="5">
      <t>エン</t>
    </rPh>
    <rPh sb="6" eb="7">
      <t>ハク</t>
    </rPh>
    <phoneticPr fontId="2"/>
  </si>
  <si>
    <t>※宿泊税込</t>
    <rPh sb="1" eb="4">
      <t>シュクハクゼイ</t>
    </rPh>
    <rPh sb="4" eb="5">
      <t>コミ</t>
    </rPh>
    <phoneticPr fontId="2"/>
  </si>
  <si>
    <t>MR1</t>
  </si>
  <si>
    <t>MR2</t>
  </si>
  <si>
    <t>MR3</t>
  </si>
  <si>
    <t>ANNEXテナント</t>
    <phoneticPr fontId="2"/>
  </si>
  <si>
    <t>ANNEXテナント
（空調工事）</t>
    <rPh sb="11" eb="15">
      <t>クウチョウコウジ</t>
    </rPh>
    <phoneticPr fontId="2"/>
  </si>
  <si>
    <t>セントレアホテル</t>
    <phoneticPr fontId="2"/>
  </si>
  <si>
    <t>その他客室（セントラルサイド）</t>
    <rPh sb="2" eb="3">
      <t>タ</t>
    </rPh>
    <rPh sb="3" eb="5">
      <t>キャクシツ</t>
    </rPh>
    <phoneticPr fontId="57"/>
  </si>
  <si>
    <t>ホテルルートイン新城</t>
    <rPh sb="8" eb="10">
      <t>シンシロ</t>
    </rPh>
    <phoneticPr fontId="2"/>
  </si>
  <si>
    <r>
      <t xml:space="preserve">準備期間客室単価/室
</t>
    </r>
    <r>
      <rPr>
        <sz val="11"/>
        <color theme="1"/>
        <rFont val="游ゴシック Regular"/>
        <family val="3"/>
        <charset val="128"/>
      </rPr>
      <t>※素泊り
（利用人数分）/サ込</t>
    </r>
    <r>
      <rPr>
        <sz val="11"/>
        <color rgb="FFFF0000"/>
        <rFont val="游ゴシック Regular"/>
        <family val="3"/>
        <charset val="128"/>
      </rPr>
      <t>税込</t>
    </r>
    <rPh sb="0" eb="4">
      <t>ジュンビキカン</t>
    </rPh>
    <rPh sb="12" eb="14">
      <t>スドマ</t>
    </rPh>
    <rPh sb="17" eb="19">
      <t>リヨウ</t>
    </rPh>
    <rPh sb="19" eb="21">
      <t>ニンズウ</t>
    </rPh>
    <rPh sb="20" eb="21">
      <t>スウ</t>
    </rPh>
    <rPh sb="21" eb="22">
      <t>ブン</t>
    </rPh>
    <rPh sb="27" eb="28">
      <t>コミ</t>
    </rPh>
    <phoneticPr fontId="2"/>
  </si>
  <si>
    <r>
      <t xml:space="preserve">本番期間客室単価/室
</t>
    </r>
    <r>
      <rPr>
        <sz val="11"/>
        <color theme="1"/>
        <rFont val="游ゴシック Regular"/>
        <family val="3"/>
        <charset val="128"/>
      </rPr>
      <t>※1泊朝食付
（利用人数分）/サ込</t>
    </r>
    <r>
      <rPr>
        <sz val="11"/>
        <color rgb="FFFF0000"/>
        <rFont val="游ゴシック Regular"/>
        <family val="3"/>
        <charset val="128"/>
      </rPr>
      <t>税込</t>
    </r>
    <rPh sb="0" eb="2">
      <t>ホンバン</t>
    </rPh>
    <rPh sb="2" eb="4">
      <t>キカン</t>
    </rPh>
    <rPh sb="14" eb="16">
      <t>チョウショク</t>
    </rPh>
    <rPh sb="19" eb="21">
      <t>リヨウ</t>
    </rPh>
    <rPh sb="21" eb="23">
      <t>ニンズウ</t>
    </rPh>
    <rPh sb="22" eb="23">
      <t>スウ</t>
    </rPh>
    <rPh sb="23" eb="24">
      <t>ブン</t>
    </rPh>
    <phoneticPr fontId="2"/>
  </si>
  <si>
    <t>コンフォートシングル</t>
    <phoneticPr fontId="2"/>
  </si>
  <si>
    <t>コンフォートセミダブル</t>
    <phoneticPr fontId="2"/>
  </si>
  <si>
    <t>コンフォートツイン</t>
    <phoneticPr fontId="2"/>
  </si>
  <si>
    <t>バリアフリー</t>
    <phoneticPr fontId="2"/>
  </si>
  <si>
    <t>総宿泊料金（サ込税込）</t>
    <rPh sb="0" eb="1">
      <t>ソウ</t>
    </rPh>
    <rPh sb="1" eb="3">
      <t>シュクハク</t>
    </rPh>
    <rPh sb="3" eb="5">
      <t>リョウキン</t>
    </rPh>
    <rPh sb="7" eb="8">
      <t>コミ</t>
    </rPh>
    <rPh sb="8" eb="9">
      <t>ゼイ</t>
    </rPh>
    <rPh sb="9" eb="10">
      <t>コ</t>
    </rPh>
    <phoneticPr fontId="2"/>
  </si>
  <si>
    <t>美蔵R新城店</t>
    <rPh sb="0" eb="2">
      <t>ビクラ</t>
    </rPh>
    <rPh sb="3" eb="6">
      <t>シンシロテン</t>
    </rPh>
    <phoneticPr fontId="2"/>
  </si>
  <si>
    <t>無料</t>
    <rPh sb="0" eb="2">
      <t>ムリョウ</t>
    </rPh>
    <phoneticPr fontId="2"/>
  </si>
  <si>
    <r>
      <t xml:space="preserve">合計
</t>
    </r>
    <r>
      <rPr>
        <b/>
        <sz val="9"/>
        <color rgb="FFFF0000"/>
        <rFont val="游ゴシック Regular"/>
        <family val="3"/>
        <charset val="128"/>
      </rPr>
      <t>（税サ込）</t>
    </r>
    <rPh sb="0" eb="2">
      <t>ゴウケイ</t>
    </rPh>
    <rPh sb="4" eb="5">
      <t>ゼイ</t>
    </rPh>
    <rPh sb="6" eb="7">
      <t>コミ</t>
    </rPh>
    <phoneticPr fontId="2"/>
  </si>
  <si>
    <t>モデレートダブルB</t>
    <phoneticPr fontId="2"/>
  </si>
  <si>
    <t>シャワーブース</t>
    <phoneticPr fontId="2"/>
  </si>
  <si>
    <t>モデレートダブルA</t>
    <phoneticPr fontId="2"/>
  </si>
  <si>
    <t>コンフォートダブルB</t>
    <phoneticPr fontId="2"/>
  </si>
  <si>
    <t>バスタブ付</t>
    <rPh sb="4" eb="5">
      <t>ツキ</t>
    </rPh>
    <phoneticPr fontId="2"/>
  </si>
  <si>
    <t>コンフォートダブルA</t>
    <phoneticPr fontId="2"/>
  </si>
  <si>
    <t>モデレートツイン</t>
    <phoneticPr fontId="2"/>
  </si>
  <si>
    <t>プレミアムツインB</t>
    <phoneticPr fontId="2"/>
  </si>
  <si>
    <t>2+2</t>
    <phoneticPr fontId="2"/>
  </si>
  <si>
    <t>エキストラベッド×2あり</t>
    <phoneticPr fontId="2"/>
  </si>
  <si>
    <t>プレミアムツインA</t>
    <phoneticPr fontId="2"/>
  </si>
  <si>
    <t>アクシブルルーム</t>
    <phoneticPr fontId="2"/>
  </si>
  <si>
    <t>バリアフリー対応</t>
    <rPh sb="6" eb="8">
      <t>タイオウ</t>
    </rPh>
    <phoneticPr fontId="2"/>
  </si>
  <si>
    <t>ゲストラウンジ</t>
    <phoneticPr fontId="2"/>
  </si>
  <si>
    <t>湯上りサロン</t>
    <rPh sb="0" eb="2">
      <t>ユアガ</t>
    </rPh>
    <phoneticPr fontId="2"/>
  </si>
  <si>
    <t>ホテル海陽閣</t>
    <rPh sb="3" eb="4">
      <t>ウミ</t>
    </rPh>
    <rPh sb="4" eb="5">
      <t>ヨウ</t>
    </rPh>
    <rPh sb="5" eb="6">
      <t>カク</t>
    </rPh>
    <phoneticPr fontId="2"/>
  </si>
  <si>
    <t>大宴会場</t>
  </si>
  <si>
    <t>グランピングドーム利用無の保証料</t>
    <rPh sb="9" eb="12">
      <t>リヨウナ</t>
    </rPh>
    <rPh sb="13" eb="15">
      <t>ホショウ</t>
    </rPh>
    <rPh sb="15" eb="16">
      <t>リョウ</t>
    </rPh>
    <phoneticPr fontId="2"/>
  </si>
  <si>
    <t>P</t>
  </si>
  <si>
    <t>コートヤードバイマリオット</t>
    <phoneticPr fontId="2"/>
  </si>
  <si>
    <t>デラックスルームキング</t>
    <phoneticPr fontId="2"/>
  </si>
  <si>
    <t>デラックスルームツイン</t>
    <phoneticPr fontId="2"/>
  </si>
  <si>
    <t>プレミアルームキング</t>
    <phoneticPr fontId="2"/>
  </si>
  <si>
    <t>プレミアルームツイン</t>
    <phoneticPr fontId="2"/>
  </si>
  <si>
    <t>コートヤードスイート</t>
    <phoneticPr fontId="2"/>
  </si>
  <si>
    <t>バリアフリールーム　デラックスキング</t>
    <phoneticPr fontId="2"/>
  </si>
  <si>
    <t>※利用者負担257室は以下から計算（単価が安い部屋から積算）</t>
    <rPh sb="1" eb="4">
      <t>リヨウシャ</t>
    </rPh>
    <rPh sb="4" eb="6">
      <t>フタン</t>
    </rPh>
    <rPh sb="9" eb="10">
      <t>シツ</t>
    </rPh>
    <rPh sb="11" eb="13">
      <t>イカ</t>
    </rPh>
    <rPh sb="15" eb="17">
      <t>ケイサン</t>
    </rPh>
    <rPh sb="18" eb="20">
      <t>タンカ</t>
    </rPh>
    <rPh sb="21" eb="22">
      <t>ヤス</t>
    </rPh>
    <rPh sb="23" eb="25">
      <t>ヘヤ</t>
    </rPh>
    <rPh sb="27" eb="29">
      <t>セキサン</t>
    </rPh>
    <phoneticPr fontId="2"/>
  </si>
  <si>
    <t>セントラルボールルーム</t>
    <phoneticPr fontId="2"/>
  </si>
  <si>
    <t>クリスタルルーム</t>
    <phoneticPr fontId="2"/>
  </si>
  <si>
    <t>オアシスルーム</t>
    <phoneticPr fontId="2"/>
  </si>
  <si>
    <t>オークルーム</t>
    <phoneticPr fontId="2"/>
  </si>
  <si>
    <t>セントラルボールルーム
前乗り隊</t>
    <rPh sb="12" eb="14">
      <t>マエノ</t>
    </rPh>
    <rPh sb="15" eb="16">
      <t>タイ</t>
    </rPh>
    <phoneticPr fontId="2"/>
  </si>
  <si>
    <t>※利用者負担257室分は以下から計算（朝食は客室単価のほうに入っている）</t>
    <rPh sb="1" eb="4">
      <t>リヨウシャ</t>
    </rPh>
    <rPh sb="4" eb="6">
      <t>フタン</t>
    </rPh>
    <rPh sb="9" eb="10">
      <t>シツ</t>
    </rPh>
    <rPh sb="10" eb="11">
      <t>ブン</t>
    </rPh>
    <rPh sb="12" eb="14">
      <t>イカ</t>
    </rPh>
    <rPh sb="16" eb="18">
      <t>ケイサン</t>
    </rPh>
    <rPh sb="19" eb="21">
      <t>チョウショク</t>
    </rPh>
    <rPh sb="22" eb="24">
      <t>キャクシツ</t>
    </rPh>
    <rPh sb="24" eb="26">
      <t>タンカ</t>
    </rPh>
    <rPh sb="30" eb="31">
      <t>ハイ</t>
    </rPh>
    <phoneticPr fontId="2"/>
  </si>
  <si>
    <t>※サ込税別</t>
    <rPh sb="2" eb="3">
      <t>コミ</t>
    </rPh>
    <rPh sb="3" eb="5">
      <t>ゼイベツ</t>
    </rPh>
    <phoneticPr fontId="2"/>
  </si>
  <si>
    <t>※税サ込</t>
    <rPh sb="1" eb="2">
      <t>ゼイ</t>
    </rPh>
    <rPh sb="3" eb="4">
      <t>コミ</t>
    </rPh>
    <phoneticPr fontId="2"/>
  </si>
  <si>
    <t>ユーフォリアデラックスツイン</t>
    <phoneticPr fontId="2"/>
  </si>
  <si>
    <t>ユーフォリアデラックスキング</t>
    <phoneticPr fontId="2"/>
  </si>
  <si>
    <t>ユーフォリアデラックスツイン
パークビュー</t>
    <phoneticPr fontId="2"/>
  </si>
  <si>
    <t>ユーフォリアモダンジャパニーズ</t>
    <phoneticPr fontId="2"/>
  </si>
  <si>
    <t>ユーフォリアプレミアコーナーキングバトラーボックス</t>
    <phoneticPr fontId="2"/>
  </si>
  <si>
    <t>ユーフォリアプレミアキング</t>
    <phoneticPr fontId="2"/>
  </si>
  <si>
    <t>ユーフォリアプレミアツイン</t>
    <phoneticPr fontId="2"/>
  </si>
  <si>
    <t>ユーフォリアプレミアコーナーキングパークビュー</t>
    <phoneticPr fontId="2"/>
  </si>
  <si>
    <t>ユーフォリアプレミアキング
パークビュー バルコニー</t>
    <phoneticPr fontId="2"/>
  </si>
  <si>
    <t>ユーフォリアプレミアコーナーツインパークビュー</t>
    <phoneticPr fontId="2"/>
  </si>
  <si>
    <t>プレミアジャパニーズモダン</t>
    <phoneticPr fontId="2"/>
  </si>
  <si>
    <t>ジュニアスイート</t>
    <phoneticPr fontId="2"/>
  </si>
  <si>
    <t>ルーフトップスイート</t>
    <phoneticPr fontId="2"/>
  </si>
  <si>
    <t>プレジデンシャルスイート</t>
    <phoneticPr fontId="2"/>
  </si>
  <si>
    <t>ＴＩＡＤ</t>
  </si>
  <si>
    <t>Queens Room</t>
    <phoneticPr fontId="2"/>
  </si>
  <si>
    <t>Wellness Lounge</t>
    <phoneticPr fontId="2"/>
  </si>
  <si>
    <t>伊良湖オーシャンリゾート</t>
    <rPh sb="0" eb="3">
      <t>イラゴ</t>
    </rPh>
    <phoneticPr fontId="2"/>
  </si>
  <si>
    <t>4F,5Fの貸切指定</t>
    <rPh sb="6" eb="8">
      <t>カシキリ</t>
    </rPh>
    <rPh sb="8" eb="10">
      <t>シテイ</t>
    </rPh>
    <phoneticPr fontId="2"/>
  </si>
  <si>
    <t>プレミアラージツイン</t>
  </si>
  <si>
    <t>プレミアファミリーツイン</t>
  </si>
  <si>
    <t>プレミアファミリートリプル</t>
  </si>
  <si>
    <t>スーペリア和洋室</t>
  </si>
  <si>
    <t>デラックス和洋室</t>
  </si>
  <si>
    <t>デラックスワイドビューツイン</t>
  </si>
  <si>
    <t>スーペリアワイドビューフォース</t>
  </si>
  <si>
    <t>アクアオーラ</t>
    <phoneticPr fontId="2"/>
  </si>
  <si>
    <t>否</t>
    <rPh sb="0" eb="1">
      <t>ヒ</t>
    </rPh>
    <phoneticPr fontId="2"/>
  </si>
  <si>
    <t>シェル</t>
    <phoneticPr fontId="2"/>
  </si>
  <si>
    <t>パール</t>
    <phoneticPr fontId="2"/>
  </si>
  <si>
    <t>コーラル</t>
    <phoneticPr fontId="2"/>
  </si>
  <si>
    <t>アクアマリン</t>
    <phoneticPr fontId="2"/>
  </si>
  <si>
    <t>オーシャン</t>
    <phoneticPr fontId="2"/>
  </si>
  <si>
    <t>※無線LANはホテル共用回線の為、占有は不可</t>
    <rPh sb="1" eb="3">
      <t>ムセン</t>
    </rPh>
    <rPh sb="10" eb="12">
      <t>キョウヨウ</t>
    </rPh>
    <rPh sb="12" eb="14">
      <t>カイセン</t>
    </rPh>
    <rPh sb="15" eb="16">
      <t>タメ</t>
    </rPh>
    <rPh sb="17" eb="19">
      <t>センユウ</t>
    </rPh>
    <rPh sb="20" eb="22">
      <t>フカ</t>
    </rPh>
    <phoneticPr fontId="2"/>
  </si>
  <si>
    <t>ヒルトン参考</t>
    <rPh sb="4" eb="6">
      <t>サンコウ</t>
    </rPh>
    <phoneticPr fontId="2"/>
  </si>
  <si>
    <t>9/13, 9/17, 9/20, 9/24, 9/29</t>
    <phoneticPr fontId="2"/>
  </si>
  <si>
    <t>ホテルアゴーラリージェンシー大阪堺</t>
    <rPh sb="14" eb="17">
      <t>オオサカサカイ</t>
    </rPh>
    <phoneticPr fontId="2"/>
  </si>
  <si>
    <t>サッカー日程変更に伴い1日後ろにずれる（7/25）</t>
    <rPh sb="4" eb="6">
      <t>ニッテイ</t>
    </rPh>
    <rPh sb="6" eb="8">
      <t>ヘンコウ</t>
    </rPh>
    <rPh sb="9" eb="10">
      <t>トモナ</t>
    </rPh>
    <rPh sb="12" eb="13">
      <t>ニチ</t>
    </rPh>
    <rPh sb="13" eb="14">
      <t>ウシ</t>
    </rPh>
    <phoneticPr fontId="2"/>
  </si>
  <si>
    <t>スタンダードツイン
シティービュー</t>
    <phoneticPr fontId="2"/>
  </si>
  <si>
    <t>スタンダードツイン
ベイサイドビュー</t>
    <phoneticPr fontId="2"/>
  </si>
  <si>
    <t>サッカー日程変更に伴い1日後ろに増（7/25）、ファンクションルームは返却できないためそのまま</t>
    <rPh sb="4" eb="6">
      <t>ニッテイ</t>
    </rPh>
    <rPh sb="6" eb="8">
      <t>ヘンコウ</t>
    </rPh>
    <rPh sb="9" eb="10">
      <t>トモナ</t>
    </rPh>
    <rPh sb="12" eb="13">
      <t>ニチ</t>
    </rPh>
    <rPh sb="13" eb="14">
      <t>ウシ</t>
    </rPh>
    <rPh sb="16" eb="17">
      <t>ゾウ</t>
    </rPh>
    <rPh sb="35" eb="37">
      <t>ヘンキャク</t>
    </rPh>
    <phoneticPr fontId="2"/>
  </si>
  <si>
    <t>春慶</t>
    <rPh sb="0" eb="1">
      <t>ハル</t>
    </rPh>
    <rPh sb="1" eb="2">
      <t>ケイ</t>
    </rPh>
    <phoneticPr fontId="2"/>
  </si>
  <si>
    <t>利用なし</t>
    <rPh sb="0" eb="2">
      <t>リヨウ</t>
    </rPh>
    <phoneticPr fontId="2"/>
  </si>
  <si>
    <t>利休</t>
    <rPh sb="0" eb="2">
      <t>リキュウ</t>
    </rPh>
    <phoneticPr fontId="2"/>
  </si>
  <si>
    <t>葵</t>
    <rPh sb="0" eb="1">
      <t>アオイ</t>
    </rPh>
    <phoneticPr fontId="2"/>
  </si>
  <si>
    <t>蘭</t>
    <rPh sb="0" eb="1">
      <t>ラン</t>
    </rPh>
    <phoneticPr fontId="2"/>
  </si>
  <si>
    <t>橘</t>
    <rPh sb="0" eb="1">
      <t>タチバナ</t>
    </rPh>
    <phoneticPr fontId="2"/>
  </si>
  <si>
    <t>つま恋リゾート　彩の郷</t>
    <rPh sb="2" eb="3">
      <t>コイ</t>
    </rPh>
    <rPh sb="8" eb="9">
      <t>イロドリ</t>
    </rPh>
    <rPh sb="10" eb="11">
      <t>サト</t>
    </rPh>
    <phoneticPr fontId="2"/>
  </si>
  <si>
    <r>
      <t xml:space="preserve">準備期間客室単価/室
</t>
    </r>
    <r>
      <rPr>
        <sz val="11"/>
        <color theme="1"/>
        <rFont val="游ゴシック Regular"/>
        <family val="3"/>
        <charset val="128"/>
      </rPr>
      <t>※素泊り/サ込税別</t>
    </r>
    <rPh sb="0" eb="4">
      <t>ジュンビキカン</t>
    </rPh>
    <rPh sb="12" eb="14">
      <t>スドマ</t>
    </rPh>
    <phoneticPr fontId="2"/>
  </si>
  <si>
    <r>
      <t xml:space="preserve">本番期間客室単価/室
</t>
    </r>
    <r>
      <rPr>
        <sz val="11"/>
        <color theme="1"/>
        <rFont val="游ゴシック Regular"/>
        <family val="3"/>
        <charset val="128"/>
      </rPr>
      <t>※1泊朝食付/サ込税別</t>
    </r>
    <rPh sb="0" eb="2">
      <t>ホンバン</t>
    </rPh>
    <rPh sb="2" eb="4">
      <t>キカン</t>
    </rPh>
    <phoneticPr fontId="2"/>
  </si>
  <si>
    <r>
      <t xml:space="preserve">撤去期間客室単価/室
</t>
    </r>
    <r>
      <rPr>
        <sz val="11"/>
        <color theme="1"/>
        <rFont val="游ゴシック Regular"/>
        <family val="3"/>
        <charset val="128"/>
      </rPr>
      <t>※素泊り/サ込税別</t>
    </r>
    <rPh sb="0" eb="2">
      <t>テッキョ</t>
    </rPh>
    <rPh sb="2" eb="4">
      <t>キカン</t>
    </rPh>
    <rPh sb="4" eb="6">
      <t>キャクシツ</t>
    </rPh>
    <rPh sb="12" eb="14">
      <t>スドマ</t>
    </rPh>
    <phoneticPr fontId="2"/>
  </si>
  <si>
    <t>シングル（1名利用）</t>
    <rPh sb="6" eb="7">
      <t>メイ</t>
    </rPh>
    <rPh sb="7" eb="9">
      <t>リヨウ</t>
    </rPh>
    <phoneticPr fontId="2"/>
  </si>
  <si>
    <t>ダブル（1名利用）</t>
    <rPh sb="5" eb="6">
      <t>メイ</t>
    </rPh>
    <rPh sb="6" eb="8">
      <t>リヨウ</t>
    </rPh>
    <phoneticPr fontId="2"/>
  </si>
  <si>
    <t>スタンダードツイン（2名利用）</t>
    <rPh sb="11" eb="12">
      <t>メイ</t>
    </rPh>
    <rPh sb="12" eb="14">
      <t>リヨウ</t>
    </rPh>
    <phoneticPr fontId="2"/>
  </si>
  <si>
    <t>デラックスツイン（2名利用）</t>
    <rPh sb="10" eb="11">
      <t>メイ</t>
    </rPh>
    <rPh sb="11" eb="13">
      <t>リヨウ</t>
    </rPh>
    <phoneticPr fontId="2"/>
  </si>
  <si>
    <t>シャングリラスイート</t>
    <phoneticPr fontId="2"/>
  </si>
  <si>
    <t>大正三色</t>
  </si>
  <si>
    <t>四季花鳥</t>
    <rPh sb="0" eb="4">
      <t>シキカチョウ</t>
    </rPh>
    <phoneticPr fontId="2"/>
  </si>
  <si>
    <t>グランドメルキュール浜名湖リゾート &amp; スパ</t>
    <phoneticPr fontId="2"/>
  </si>
  <si>
    <t>シングル（基本）
　※ツインシングルユース</t>
    <rPh sb="5" eb="7">
      <t>キホン</t>
    </rPh>
    <phoneticPr fontId="2"/>
  </si>
  <si>
    <t>Main Hall 1</t>
    <phoneticPr fontId="2"/>
  </si>
  <si>
    <t>Main Hall 2</t>
    <phoneticPr fontId="2"/>
  </si>
  <si>
    <t>MeetingRoom３</t>
    <phoneticPr fontId="2"/>
  </si>
  <si>
    <t>MeetingRoom4</t>
    <phoneticPr fontId="2"/>
  </si>
  <si>
    <t>MeetingRoom５</t>
    <phoneticPr fontId="2"/>
  </si>
  <si>
    <r>
      <t xml:space="preserve">同じ大きさの会場が
</t>
    </r>
    <r>
      <rPr>
        <b/>
        <sz val="16"/>
        <color theme="1"/>
        <rFont val="游ゴシック Regular"/>
        <family val="3"/>
        <charset val="128"/>
      </rPr>
      <t>２室</t>
    </r>
    <r>
      <rPr>
        <b/>
        <sz val="11"/>
        <color theme="1"/>
        <rFont val="游ゴシック Regular"/>
        <charset val="128"/>
      </rPr>
      <t>あり
※左記は１室利用にて算出</t>
    </r>
    <rPh sb="0" eb="1">
      <t>オナ</t>
    </rPh>
    <rPh sb="2" eb="3">
      <t>オオ</t>
    </rPh>
    <rPh sb="6" eb="8">
      <t>カイジョウ</t>
    </rPh>
    <rPh sb="11" eb="12">
      <t>シツ</t>
    </rPh>
    <rPh sb="16" eb="18">
      <t>サキ</t>
    </rPh>
    <rPh sb="20" eb="21">
      <t>シツ</t>
    </rPh>
    <rPh sb="21" eb="23">
      <t>リヨウ</t>
    </rPh>
    <rPh sb="25" eb="27">
      <t>サンシュツ</t>
    </rPh>
    <phoneticPr fontId="2"/>
  </si>
  <si>
    <t>MeetingRoom７</t>
    <phoneticPr fontId="2"/>
  </si>
  <si>
    <r>
      <t xml:space="preserve">同じ大きさの会場が
</t>
    </r>
    <r>
      <rPr>
        <b/>
        <sz val="16"/>
        <color theme="1"/>
        <rFont val="游ゴシック Regular"/>
        <family val="3"/>
        <charset val="128"/>
      </rPr>
      <t>４室</t>
    </r>
    <r>
      <rPr>
        <b/>
        <sz val="11"/>
        <color theme="1"/>
        <rFont val="游ゴシック Regular"/>
        <charset val="128"/>
      </rPr>
      <t>あり
※左記は１室利用にて算出</t>
    </r>
    <rPh sb="0" eb="1">
      <t>オナ</t>
    </rPh>
    <rPh sb="2" eb="3">
      <t>オオ</t>
    </rPh>
    <rPh sb="6" eb="8">
      <t>カイジョウ</t>
    </rPh>
    <rPh sb="11" eb="12">
      <t>シツ</t>
    </rPh>
    <rPh sb="21" eb="23">
      <t>リヨウ</t>
    </rPh>
    <phoneticPr fontId="2"/>
  </si>
  <si>
    <t>MeetingRoom 6</t>
    <phoneticPr fontId="2"/>
  </si>
  <si>
    <t>MeetingRoom8</t>
    <phoneticPr fontId="2"/>
  </si>
  <si>
    <t>MeetingRoom9</t>
    <phoneticPr fontId="2"/>
  </si>
  <si>
    <t>MeetingRoom10</t>
    <phoneticPr fontId="2"/>
  </si>
  <si>
    <t>13階　BanquetRoom</t>
    <rPh sb="2" eb="3">
      <t>カイ</t>
    </rPh>
    <phoneticPr fontId="2"/>
  </si>
  <si>
    <t>13階　BanquetRoom</t>
    <phoneticPr fontId="2"/>
  </si>
  <si>
    <t>ホテルラフォーレ修善寺</t>
    <rPh sb="8" eb="11">
      <t>シュゼンジ</t>
    </rPh>
    <phoneticPr fontId="2"/>
  </si>
  <si>
    <t>共有Wifiのみ</t>
    <rPh sb="0" eb="2">
      <t>キョウユウ</t>
    </rPh>
    <phoneticPr fontId="2"/>
  </si>
  <si>
    <t>センターハウス（前乗り隊）</t>
    <rPh sb="8" eb="10">
      <t>マエノ</t>
    </rPh>
    <rPh sb="11" eb="12">
      <t>タイ</t>
    </rPh>
    <phoneticPr fontId="2"/>
  </si>
  <si>
    <t>№11(センターハウス)</t>
  </si>
  <si>
    <t>№12(センターハウス)</t>
  </si>
  <si>
    <t>№13(センターハウス)</t>
  </si>
  <si>
    <t>№14(センターハウス)</t>
  </si>
  <si>
    <t>蒼海(サンパティックホール)</t>
  </si>
  <si>
    <t>コンベンションセンター</t>
  </si>
  <si>
    <t>会議室・宴会場</t>
  </si>
  <si>
    <t>写真室</t>
    <rPh sb="0" eb="3">
      <t>シャシンシツ</t>
    </rPh>
    <phoneticPr fontId="2"/>
  </si>
  <si>
    <t>‐</t>
  </si>
  <si>
    <t>タクシー料金（ジャンボタクシーorマイクロバス）は概算</t>
    <rPh sb="4" eb="6">
      <t>リョウキン</t>
    </rPh>
    <rPh sb="25" eb="27">
      <t>ガイサン</t>
    </rPh>
    <phoneticPr fontId="2"/>
  </si>
  <si>
    <t>ゲストハウス⇔車いす輸送手段費用</t>
    <rPh sb="7" eb="8">
      <t>クルマ</t>
    </rPh>
    <rPh sb="10" eb="14">
      <t>ユソウシュダン</t>
    </rPh>
    <rPh sb="14" eb="16">
      <t>ヒヨウ</t>
    </rPh>
    <phoneticPr fontId="2"/>
  </si>
  <si>
    <t>入湯税150円別途（2026年に宿泊税導入予定あり［200円］）</t>
    <rPh sb="0" eb="3">
      <t>ニュウトウゼイ</t>
    </rPh>
    <rPh sb="6" eb="7">
      <t>エン</t>
    </rPh>
    <rPh sb="7" eb="9">
      <t>ベット</t>
    </rPh>
    <rPh sb="14" eb="15">
      <t>ネン</t>
    </rPh>
    <rPh sb="16" eb="19">
      <t>シュクハクゼイ</t>
    </rPh>
    <rPh sb="19" eb="21">
      <t>ドウニュウ</t>
    </rPh>
    <rPh sb="21" eb="23">
      <t>ヨテイ</t>
    </rPh>
    <rPh sb="29" eb="30">
      <t>エン</t>
    </rPh>
    <phoneticPr fontId="2"/>
  </si>
  <si>
    <t>川側和室12畳</t>
    <rPh sb="0" eb="2">
      <t>カワガワ</t>
    </rPh>
    <phoneticPr fontId="2"/>
  </si>
  <si>
    <t>町側和室12畳</t>
  </si>
  <si>
    <t>町側和室8畳</t>
  </si>
  <si>
    <t>金華山岐阜城長良川
眺望風呂付和室</t>
  </si>
  <si>
    <t>◆アジアパラ競技大会提供客室　（東館）</t>
    <rPh sb="6" eb="8">
      <t>キョウギ</t>
    </rPh>
    <rPh sb="8" eb="10">
      <t>タイカイ</t>
    </rPh>
    <rPh sb="10" eb="12">
      <t>テイキョウ</t>
    </rPh>
    <rPh sb="12" eb="14">
      <t>キャクシツ</t>
    </rPh>
    <rPh sb="16" eb="18">
      <t>ヒガシカン</t>
    </rPh>
    <phoneticPr fontId="59"/>
  </si>
  <si>
    <r>
      <t>※客室単価（１泊）には、甲が以下の目安により設定した</t>
    </r>
    <r>
      <rPr>
        <sz val="20"/>
        <color rgb="FFFF0000"/>
        <rFont val="游ゴシック Regular"/>
        <family val="3"/>
        <charset val="128"/>
      </rPr>
      <t>利用人数分の朝食</t>
    </r>
    <r>
      <rPr>
        <sz val="20"/>
        <color theme="1"/>
        <rFont val="游ゴシック Regular"/>
        <family val="3"/>
        <charset val="128"/>
      </rPr>
      <t>、インターネット接続料金、サービス料が含まれる。</t>
    </r>
    <rPh sb="1" eb="3">
      <t>キャクシツ</t>
    </rPh>
    <rPh sb="3" eb="5">
      <t>タンカ</t>
    </rPh>
    <rPh sb="7" eb="8">
      <t>ハク</t>
    </rPh>
    <rPh sb="12" eb="13">
      <t>コウ</t>
    </rPh>
    <rPh sb="14" eb="16">
      <t>イカ</t>
    </rPh>
    <rPh sb="17" eb="19">
      <t>メヤス</t>
    </rPh>
    <rPh sb="22" eb="24">
      <t>セッテイ</t>
    </rPh>
    <rPh sb="26" eb="31">
      <t>リヨウニンズウブン</t>
    </rPh>
    <rPh sb="32" eb="34">
      <t>チョウショク</t>
    </rPh>
    <rPh sb="42" eb="44">
      <t>セツゾク</t>
    </rPh>
    <rPh sb="44" eb="46">
      <t>リョウキン</t>
    </rPh>
    <rPh sb="51" eb="52">
      <t>リョウ</t>
    </rPh>
    <rPh sb="53" eb="54">
      <t>フク</t>
    </rPh>
    <phoneticPr fontId="2"/>
  </si>
  <si>
    <t>【ご案内（ご注意）】</t>
    <rPh sb="2" eb="4">
      <t>アンナイ</t>
    </rPh>
    <rPh sb="6" eb="8">
      <t>チュウイ</t>
    </rPh>
    <phoneticPr fontId="2"/>
  </si>
  <si>
    <t>　上記提示の「一泊朝食付宿泊料金」は、『一般宿泊客メニュー』でのご朝食を提供した場合の宿泊料金であり、</t>
    <rPh sb="1" eb="3">
      <t>ジョウキ</t>
    </rPh>
    <rPh sb="3" eb="5">
      <t>テイジ</t>
    </rPh>
    <rPh sb="7" eb="9">
      <t>イッパク</t>
    </rPh>
    <rPh sb="9" eb="11">
      <t>チョウショク</t>
    </rPh>
    <rPh sb="11" eb="12">
      <t>ツキ</t>
    </rPh>
    <rPh sb="12" eb="14">
      <t>シュクハク</t>
    </rPh>
    <rPh sb="14" eb="16">
      <t>リョウキン</t>
    </rPh>
    <rPh sb="20" eb="22">
      <t>イッパン</t>
    </rPh>
    <rPh sb="22" eb="24">
      <t>シュクハク</t>
    </rPh>
    <rPh sb="24" eb="25">
      <t>キャク</t>
    </rPh>
    <rPh sb="33" eb="35">
      <t>チョウショク</t>
    </rPh>
    <rPh sb="36" eb="38">
      <t>テイキョウ</t>
    </rPh>
    <rPh sb="40" eb="42">
      <t>バアイ</t>
    </rPh>
    <rPh sb="43" eb="45">
      <t>シュクハク</t>
    </rPh>
    <rPh sb="45" eb="47">
      <t>リョウキン</t>
    </rPh>
    <phoneticPr fontId="2"/>
  </si>
  <si>
    <t>　大会組織委員会が求める《 選手宿泊施設で提供される食品構成及び参考メニュー》に準じた朝食の提供はできません。</t>
    <rPh sb="1" eb="3">
      <t>タイカイ</t>
    </rPh>
    <rPh sb="3" eb="5">
      <t>ソシキ</t>
    </rPh>
    <rPh sb="5" eb="8">
      <t>イインカイ</t>
    </rPh>
    <rPh sb="9" eb="10">
      <t>モト</t>
    </rPh>
    <rPh sb="14" eb="16">
      <t>センシュ</t>
    </rPh>
    <rPh sb="16" eb="18">
      <t>シュクハク</t>
    </rPh>
    <rPh sb="18" eb="20">
      <t>シセツ</t>
    </rPh>
    <rPh sb="21" eb="23">
      <t>テイキョウ</t>
    </rPh>
    <rPh sb="26" eb="28">
      <t>ショクヒン</t>
    </rPh>
    <rPh sb="28" eb="30">
      <t>コウセイ</t>
    </rPh>
    <rPh sb="30" eb="31">
      <t>オヨ</t>
    </rPh>
    <rPh sb="32" eb="34">
      <t>サンコウ</t>
    </rPh>
    <rPh sb="40" eb="41">
      <t>ジュン</t>
    </rPh>
    <rPh sb="43" eb="45">
      <t>チョウショク</t>
    </rPh>
    <rPh sb="46" eb="48">
      <t>テイキョウ</t>
    </rPh>
    <phoneticPr fontId="2"/>
  </si>
  <si>
    <t>　「追加料金の発生」 又は 「”素泊り+食事代” で再計算」を改めてご提示させて頂く場合がございます。</t>
    <rPh sb="2" eb="6">
      <t>ツイカリョウキン</t>
    </rPh>
    <rPh sb="7" eb="9">
      <t>ハッセイ</t>
    </rPh>
    <rPh sb="11" eb="12">
      <t>マタ</t>
    </rPh>
    <rPh sb="16" eb="18">
      <t>スド</t>
    </rPh>
    <rPh sb="20" eb="23">
      <t>ショクジダイ</t>
    </rPh>
    <rPh sb="26" eb="29">
      <t>サイケイサン</t>
    </rPh>
    <rPh sb="31" eb="32">
      <t>アラタ</t>
    </rPh>
    <rPh sb="35" eb="37">
      <t>テイジ</t>
    </rPh>
    <rPh sb="40" eb="41">
      <t>イタダ</t>
    </rPh>
    <rPh sb="42" eb="44">
      <t>バアイ</t>
    </rPh>
    <phoneticPr fontId="2"/>
  </si>
  <si>
    <t>◆別表【甲が乙に大会運営にあたり特別に依頼する事項】内、『大会関係者への飲食提供について』に記載の一文、</t>
    <rPh sb="1" eb="3">
      <t>ベツヒョウ</t>
    </rPh>
    <rPh sb="26" eb="27">
      <t>ナイ</t>
    </rPh>
    <rPh sb="46" eb="48">
      <t>キサイ</t>
    </rPh>
    <rPh sb="49" eb="51">
      <t>イチブン</t>
    </rPh>
    <phoneticPr fontId="2"/>
  </si>
  <si>
    <r>
      <t>〇昼食の提供、夕食の提供、朝食の提供内容に伴い発生する追加の料金並びにその他飲食提供に関連する事項については、別途甲乙間で誠実に協議し合意（附属書作成を含む）するものとする。</t>
    </r>
    <r>
      <rPr>
        <u/>
        <sz val="11"/>
        <color rgb="FFFF0000"/>
        <rFont val="游ゴシック Regular"/>
        <family val="3"/>
        <charset val="128"/>
      </rPr>
      <t>（通常の朝食提供は基本契約（1泊朝食）に含む）</t>
    </r>
    <r>
      <rPr>
        <b/>
        <sz val="14"/>
        <rFont val="游ゴシック Regular"/>
        <family val="3"/>
        <charset val="128"/>
      </rPr>
      <t>の、</t>
    </r>
    <phoneticPr fontId="2"/>
  </si>
  <si>
    <r>
      <t>『</t>
    </r>
    <r>
      <rPr>
        <sz val="11"/>
        <color rgb="FFFF0000"/>
        <rFont val="游ゴシック Regular"/>
        <family val="3"/>
        <charset val="128"/>
      </rPr>
      <t>（通常の朝食提供は基本契約（1泊朝食）に含む）</t>
    </r>
    <r>
      <rPr>
        <sz val="11"/>
        <color theme="1"/>
        <rFont val="游ゴシック Regular"/>
        <charset val="128"/>
      </rPr>
      <t>』は、期間中 一般の方が利用する通常朝食のご準備はございませんので、ご注意ください。（大会関係者専用朝食会場のご準備しかございません（一般客の宿泊がない想定での回答）</t>
    </r>
    <rPh sb="27" eb="30">
      <t>キカンチュウ</t>
    </rPh>
    <rPh sb="31" eb="33">
      <t>イッパン</t>
    </rPh>
    <rPh sb="34" eb="35">
      <t>カタ</t>
    </rPh>
    <rPh sb="36" eb="38">
      <t>リヨウ</t>
    </rPh>
    <rPh sb="40" eb="44">
      <t>ツウジョウチョウショク</t>
    </rPh>
    <rPh sb="46" eb="48">
      <t>ジュンビ</t>
    </rPh>
    <rPh sb="59" eb="61">
      <t>チュウイ</t>
    </rPh>
    <rPh sb="67" eb="72">
      <t>タイカイカンケイシャ</t>
    </rPh>
    <rPh sb="72" eb="74">
      <t>センヨウ</t>
    </rPh>
    <rPh sb="74" eb="78">
      <t>チョウショクカイジョウ</t>
    </rPh>
    <rPh sb="80" eb="82">
      <t>ジュンビ</t>
    </rPh>
    <rPh sb="91" eb="94">
      <t>イッパンキャク</t>
    </rPh>
    <rPh sb="95" eb="97">
      <t>シュクハク</t>
    </rPh>
    <rPh sb="100" eb="102">
      <t>ソウテイ</t>
    </rPh>
    <rPh sb="104" eb="106">
      <t>カイトウ</t>
    </rPh>
    <phoneticPr fontId="2"/>
  </si>
  <si>
    <t>ロイヤルホール</t>
  </si>
  <si>
    <t>西2</t>
  </si>
  <si>
    <t>ロイヤルシアター</t>
  </si>
  <si>
    <t>西B1</t>
  </si>
  <si>
    <t>本2</t>
  </si>
  <si>
    <t>ルミエール</t>
  </si>
  <si>
    <t>東1</t>
  </si>
  <si>
    <t>ソレイユ</t>
  </si>
  <si>
    <t>ローズルーム</t>
  </si>
  <si>
    <t>本12</t>
  </si>
  <si>
    <t>長良・金華</t>
  </si>
  <si>
    <t>座敷</t>
    <rPh sb="0" eb="2">
      <t>ザシキ</t>
    </rPh>
    <phoneticPr fontId="2"/>
  </si>
  <si>
    <t>宴会場（小）</t>
  </si>
  <si>
    <t>本館5</t>
    <rPh sb="0" eb="2">
      <t>ホンカン</t>
    </rPh>
    <phoneticPr fontId="57"/>
  </si>
  <si>
    <t>鳳凰の間</t>
    <rPh sb="0" eb="2">
      <t>ホウオウ</t>
    </rPh>
    <rPh sb="3" eb="4">
      <t>マ</t>
    </rPh>
    <phoneticPr fontId="2"/>
  </si>
  <si>
    <t>東2</t>
    <rPh sb="0" eb="1">
      <t>ヒガシ</t>
    </rPh>
    <phoneticPr fontId="57"/>
  </si>
  <si>
    <t>雅の間</t>
    <rPh sb="0" eb="1">
      <t>ミヤビ</t>
    </rPh>
    <rPh sb="2" eb="3">
      <t>マ</t>
    </rPh>
    <phoneticPr fontId="2"/>
  </si>
  <si>
    <t>翆玉の間</t>
    <rPh sb="0" eb="2">
      <t>スイギョク</t>
    </rPh>
    <rPh sb="3" eb="4">
      <t>マ</t>
    </rPh>
    <phoneticPr fontId="2"/>
  </si>
  <si>
    <t>花梨の間</t>
    <rPh sb="0" eb="1">
      <t>ハナ</t>
    </rPh>
    <rPh sb="1" eb="2">
      <t>ナシ</t>
    </rPh>
    <rPh sb="3" eb="4">
      <t>マ</t>
    </rPh>
    <phoneticPr fontId="2"/>
  </si>
  <si>
    <t>紅林の間</t>
    <rPh sb="0" eb="1">
      <t>ベニ</t>
    </rPh>
    <rPh sb="1" eb="2">
      <t>ハヤシ</t>
    </rPh>
    <rPh sb="3" eb="4">
      <t>マ</t>
    </rPh>
    <phoneticPr fontId="2"/>
  </si>
  <si>
    <t>白亜の間</t>
    <rPh sb="0" eb="2">
      <t>ハクア</t>
    </rPh>
    <rPh sb="3" eb="4">
      <t>マ</t>
    </rPh>
    <phoneticPr fontId="2"/>
  </si>
  <si>
    <t>青雲の間</t>
    <rPh sb="0" eb="2">
      <t>セイウン</t>
    </rPh>
    <rPh sb="3" eb="4">
      <t>マ</t>
    </rPh>
    <phoneticPr fontId="2"/>
  </si>
  <si>
    <t>紫水の間</t>
    <rPh sb="0" eb="2">
      <t>シスイ</t>
    </rPh>
    <rPh sb="3" eb="4">
      <t>マ</t>
    </rPh>
    <phoneticPr fontId="2"/>
  </si>
  <si>
    <t>シフォン</t>
    <phoneticPr fontId="2"/>
  </si>
  <si>
    <t>桂の間</t>
    <rPh sb="0" eb="1">
      <t>カツラ</t>
    </rPh>
    <rPh sb="2" eb="3">
      <t>マ</t>
    </rPh>
    <phoneticPr fontId="2"/>
  </si>
  <si>
    <t>プライベートバー「フルフル」</t>
    <phoneticPr fontId="2"/>
  </si>
  <si>
    <t>東B2</t>
  </si>
  <si>
    <t>花の間　1/2</t>
    <rPh sb="0" eb="1">
      <t>ハナ</t>
    </rPh>
    <rPh sb="2" eb="3">
      <t>マ</t>
    </rPh>
    <phoneticPr fontId="2"/>
  </si>
  <si>
    <t>西2</t>
    <rPh sb="0" eb="1">
      <t>ニシ</t>
    </rPh>
    <phoneticPr fontId="2"/>
  </si>
  <si>
    <t>都ホテル 岐阜長良川</t>
    <rPh sb="0" eb="1">
      <t>ミヤコ</t>
    </rPh>
    <rPh sb="5" eb="7">
      <t>ギフ</t>
    </rPh>
    <rPh sb="7" eb="10">
      <t>ナガラガワ</t>
    </rPh>
    <phoneticPr fontId="2"/>
  </si>
  <si>
    <t>本番期間終了日</t>
    <rPh sb="0" eb="2">
      <t>ホンバン</t>
    </rPh>
    <rPh sb="2" eb="4">
      <t>キカン</t>
    </rPh>
    <rPh sb="4" eb="6">
      <t>シュウリョウ</t>
    </rPh>
    <phoneticPr fontId="2"/>
  </si>
  <si>
    <t>リバービューツイン　　　　　　（バリアフリー1室含む）</t>
    <rPh sb="23" eb="24">
      <t>シツ</t>
    </rPh>
    <rPh sb="24" eb="25">
      <t>フク</t>
    </rPh>
    <phoneticPr fontId="2"/>
  </si>
  <si>
    <t>バスルーム</t>
    <phoneticPr fontId="2"/>
  </si>
  <si>
    <t>DOGスタンダードツイン</t>
    <phoneticPr fontId="2"/>
  </si>
  <si>
    <t>DOGリバービューツイン</t>
    <phoneticPr fontId="2"/>
  </si>
  <si>
    <t>DOGパノラマスイート</t>
    <phoneticPr fontId="2"/>
  </si>
  <si>
    <t>桜の間</t>
    <rPh sb="0" eb="1">
      <t>サクラ</t>
    </rPh>
    <rPh sb="2" eb="3">
      <t>マ</t>
    </rPh>
    <phoneticPr fontId="2"/>
  </si>
  <si>
    <t>桃の間</t>
    <rPh sb="0" eb="1">
      <t>モモ</t>
    </rPh>
    <rPh sb="2" eb="3">
      <t>マ</t>
    </rPh>
    <phoneticPr fontId="2"/>
  </si>
  <si>
    <t>錦の間</t>
    <rPh sb="0" eb="1">
      <t>ニシキ</t>
    </rPh>
    <rPh sb="2" eb="3">
      <t>マ</t>
    </rPh>
    <phoneticPr fontId="2"/>
  </si>
  <si>
    <t>漣全</t>
    <rPh sb="0" eb="1">
      <t>レン</t>
    </rPh>
    <rPh sb="1" eb="2">
      <t>ゼン</t>
    </rPh>
    <phoneticPr fontId="2"/>
  </si>
  <si>
    <t>スカイバンケット</t>
    <phoneticPr fontId="2"/>
  </si>
  <si>
    <t>青葉の間</t>
    <rPh sb="0" eb="2">
      <t>アオバ</t>
    </rPh>
    <rPh sb="3" eb="4">
      <t>マ</t>
    </rPh>
    <phoneticPr fontId="2"/>
  </si>
  <si>
    <t>ルビーの間</t>
    <rPh sb="4" eb="5">
      <t>マ</t>
    </rPh>
    <phoneticPr fontId="2"/>
  </si>
  <si>
    <t>梅の間</t>
    <rPh sb="0" eb="1">
      <t>ウメ</t>
    </rPh>
    <rPh sb="2" eb="3">
      <t>マ</t>
    </rPh>
    <phoneticPr fontId="2"/>
  </si>
  <si>
    <t>無</t>
    <phoneticPr fontId="2"/>
  </si>
  <si>
    <t>ダブルルーム</t>
    <phoneticPr fontId="2"/>
  </si>
  <si>
    <t>雲海の間</t>
  </si>
  <si>
    <t>旭光の間</t>
    <phoneticPr fontId="2"/>
  </si>
  <si>
    <t>旭光の間</t>
  </si>
  <si>
    <t>IBUKI</t>
  </si>
  <si>
    <t>天の間</t>
  </si>
  <si>
    <t>松竹の間</t>
  </si>
  <si>
    <t>金生の間</t>
  </si>
  <si>
    <t>大日の間</t>
  </si>
  <si>
    <t>養老の間</t>
  </si>
  <si>
    <t>花房の間</t>
  </si>
  <si>
    <t>バイオレット</t>
  </si>
  <si>
    <t>サフラン</t>
  </si>
  <si>
    <t>ジャスミン</t>
  </si>
  <si>
    <t>スリーキャッスル</t>
  </si>
  <si>
    <t>はぎ</t>
  </si>
  <si>
    <t>ぼたん</t>
  </si>
  <si>
    <t>ホテルコンコルド浜松</t>
    <rPh sb="8" eb="10">
      <t>ハママツ</t>
    </rPh>
    <phoneticPr fontId="2"/>
  </si>
  <si>
    <r>
      <t>削除しない</t>
    </r>
    <r>
      <rPr>
        <sz val="11"/>
        <rFont val="游ゴシック Regular"/>
        <family val="1"/>
        <charset val="128"/>
      </rPr>
      <t>↓</t>
    </r>
    <rPh sb="0" eb="2">
      <t>サクジョ</t>
    </rPh>
    <phoneticPr fontId="2"/>
  </si>
  <si>
    <r>
      <t xml:space="preserve">利用人数
</t>
    </r>
    <r>
      <rPr>
        <sz val="11"/>
        <rFont val="游ゴシック Regular"/>
        <family val="3"/>
        <charset val="128"/>
      </rPr>
      <t>※以下配宿目安参照</t>
    </r>
    <rPh sb="0" eb="4">
      <t>リヨウニンズウ</t>
    </rPh>
    <rPh sb="6" eb="8">
      <t>イカ</t>
    </rPh>
    <rPh sb="10" eb="12">
      <t>メヤス</t>
    </rPh>
    <rPh sb="12" eb="14">
      <t>サンショウ</t>
    </rPh>
    <phoneticPr fontId="2"/>
  </si>
  <si>
    <t>シングルルーム</t>
    <phoneticPr fontId="2"/>
  </si>
  <si>
    <t>ツインルームAタイプ</t>
    <phoneticPr fontId="2"/>
  </si>
  <si>
    <t>ツインルームBタイプ</t>
    <phoneticPr fontId="2"/>
  </si>
  <si>
    <t>トリプルルーム</t>
    <phoneticPr fontId="2"/>
  </si>
  <si>
    <t>スイートルーム</t>
    <phoneticPr fontId="2"/>
  </si>
  <si>
    <t>税込み</t>
    <rPh sb="0" eb="2">
      <t>ゼイコ</t>
    </rPh>
    <phoneticPr fontId="2"/>
  </si>
  <si>
    <r>
      <t>※客室単価（１泊）には、甲が以下の目安により設定した利用人数分の</t>
    </r>
    <r>
      <rPr>
        <sz val="20"/>
        <rFont val="游ゴシック Regular"/>
        <family val="3"/>
        <charset val="128"/>
      </rPr>
      <t>朝食、インターネット接続料金、サービス料、諸税が含まれる。</t>
    </r>
    <rPh sb="1" eb="3">
      <t>キャクシツ</t>
    </rPh>
    <rPh sb="3" eb="5">
      <t>タンカ</t>
    </rPh>
    <rPh sb="7" eb="8">
      <t>ハク</t>
    </rPh>
    <rPh sb="12" eb="13">
      <t>コウ</t>
    </rPh>
    <rPh sb="14" eb="16">
      <t>イカ</t>
    </rPh>
    <rPh sb="17" eb="19">
      <t>メヤス</t>
    </rPh>
    <rPh sb="22" eb="24">
      <t>セッテイ</t>
    </rPh>
    <rPh sb="26" eb="31">
      <t>リヨウニンズウブン</t>
    </rPh>
    <rPh sb="32" eb="34">
      <t>チョウショク</t>
    </rPh>
    <rPh sb="42" eb="44">
      <t>セツゾク</t>
    </rPh>
    <rPh sb="44" eb="46">
      <t>リョウキン</t>
    </rPh>
    <rPh sb="51" eb="52">
      <t>リョウ</t>
    </rPh>
    <rPh sb="53" eb="55">
      <t>ショゼイ</t>
    </rPh>
    <rPh sb="56" eb="57">
      <t>フク</t>
    </rPh>
    <phoneticPr fontId="2"/>
  </si>
  <si>
    <t>大宴会　会議場&lt;雲海＞</t>
  </si>
  <si>
    <t>中宴会　会議場＜全葵＞</t>
  </si>
  <si>
    <t>中宴会　会議場＜萩園＞</t>
  </si>
  <si>
    <t>宴会　会議場＜銀木犀＞</t>
    <phoneticPr fontId="2"/>
  </si>
  <si>
    <t>中宴会　会議場＜花菖蒲＞</t>
    <rPh sb="0" eb="1">
      <t>チュウ</t>
    </rPh>
    <phoneticPr fontId="57"/>
  </si>
  <si>
    <t>小宴会　会議場＜白百合＞</t>
  </si>
  <si>
    <t>小宴会　会議場＜桔梗＞</t>
    <rPh sb="8" eb="10">
      <t>キキョウ</t>
    </rPh>
    <phoneticPr fontId="57"/>
  </si>
  <si>
    <t>小宴会　会議場＜秋桜＞</t>
    <rPh sb="8" eb="10">
      <t>アキサクラ</t>
    </rPh>
    <phoneticPr fontId="57"/>
  </si>
  <si>
    <t>スカイバンケット　改装予定</t>
  </si>
  <si>
    <t>クインテッサホテル　大垣</t>
    <rPh sb="10" eb="12">
      <t>オオガキ</t>
    </rPh>
    <phoneticPr fontId="2"/>
  </si>
  <si>
    <t>NAGARA</t>
  </si>
  <si>
    <t>MARE</t>
  </si>
  <si>
    <t>LUNA</t>
  </si>
  <si>
    <t>STELA</t>
  </si>
  <si>
    <t>Photo Studio</t>
    <phoneticPr fontId="2"/>
  </si>
  <si>
    <t>SORE　A・B</t>
  </si>
  <si>
    <t>シングル（18㎡）</t>
    <phoneticPr fontId="2"/>
  </si>
  <si>
    <t>シングル（27㎡）</t>
    <phoneticPr fontId="2"/>
  </si>
  <si>
    <t>ツイン(27㎡）</t>
    <phoneticPr fontId="2"/>
  </si>
  <si>
    <t>シングル（18㎡）追加</t>
    <rPh sb="9" eb="11">
      <t>ツイカ</t>
    </rPh>
    <phoneticPr fontId="2"/>
  </si>
  <si>
    <t>ツイン(27㎡）追加</t>
    <phoneticPr fontId="2"/>
  </si>
  <si>
    <t>ミーティングルーム（12階）</t>
    <rPh sb="12" eb="13">
      <t>カイ</t>
    </rPh>
    <phoneticPr fontId="2"/>
  </si>
  <si>
    <t>ミーティングルーム（13階）</t>
    <rPh sb="12" eb="13">
      <t>カイ</t>
    </rPh>
    <phoneticPr fontId="2"/>
  </si>
  <si>
    <t>ミーティングルーム（14階）</t>
    <rPh sb="12" eb="13">
      <t>カイ</t>
    </rPh>
    <phoneticPr fontId="2"/>
  </si>
  <si>
    <t>バンケット</t>
    <phoneticPr fontId="2"/>
  </si>
  <si>
    <t>ルームイエロー</t>
    <phoneticPr fontId="2"/>
  </si>
  <si>
    <t>ルームオレンジ</t>
    <phoneticPr fontId="2"/>
  </si>
  <si>
    <t>ルームグリーン</t>
    <phoneticPr fontId="2"/>
  </si>
  <si>
    <t>ルームブルー</t>
    <phoneticPr fontId="2"/>
  </si>
  <si>
    <t>途中で借りる部屋数が変動するので単純計算は出来ない</t>
    <rPh sb="0" eb="2">
      <t>トチュウ</t>
    </rPh>
    <rPh sb="3" eb="4">
      <t>カ</t>
    </rPh>
    <rPh sb="6" eb="9">
      <t>ヘヤスウ</t>
    </rPh>
    <rPh sb="10" eb="12">
      <t>ヘンドウ</t>
    </rPh>
    <rPh sb="16" eb="20">
      <t>タンジュンケイサン</t>
    </rPh>
    <rPh sb="21" eb="23">
      <t>デキ</t>
    </rPh>
    <phoneticPr fontId="2"/>
  </si>
  <si>
    <t>ツインルーム（2～４名）３F</t>
    <rPh sb="10" eb="11">
      <t>メイ</t>
    </rPh>
    <phoneticPr fontId="2"/>
  </si>
  <si>
    <t>ツインルーム（2～４名）４F</t>
    <rPh sb="10" eb="11">
      <t>メイ</t>
    </rPh>
    <phoneticPr fontId="2"/>
  </si>
  <si>
    <t>ツインルーム（2～４名）５F</t>
    <rPh sb="10" eb="11">
      <t>メイ</t>
    </rPh>
    <phoneticPr fontId="2"/>
  </si>
  <si>
    <t>ツインルーム（2～４名）６F</t>
    <rPh sb="10" eb="11">
      <t>メイ</t>
    </rPh>
    <phoneticPr fontId="2"/>
  </si>
  <si>
    <t>ツインルーム（2～４名）７F</t>
    <rPh sb="10" eb="11">
      <t>メイ</t>
    </rPh>
    <phoneticPr fontId="2"/>
  </si>
  <si>
    <t>ファミリールーム2段ベッドルーム（2～４名）６F</t>
    <rPh sb="9" eb="10">
      <t>ダン</t>
    </rPh>
    <rPh sb="20" eb="21">
      <t>メイ</t>
    </rPh>
    <phoneticPr fontId="2"/>
  </si>
  <si>
    <t>ファミリールーム2段ベッドルーム（2～４名）７F</t>
    <rPh sb="9" eb="10">
      <t>ダン</t>
    </rPh>
    <rPh sb="20" eb="21">
      <t>メイ</t>
    </rPh>
    <phoneticPr fontId="2"/>
  </si>
  <si>
    <t>※診療所用の部屋（フロア）を借りる※通しで借りる必要があるため</t>
    <rPh sb="1" eb="4">
      <t>シンリョウジョ</t>
    </rPh>
    <rPh sb="4" eb="5">
      <t>ヨウ</t>
    </rPh>
    <rPh sb="6" eb="8">
      <t>ヘヤ</t>
    </rPh>
    <rPh sb="14" eb="15">
      <t>カ</t>
    </rPh>
    <rPh sb="18" eb="19">
      <t>トオ</t>
    </rPh>
    <rPh sb="21" eb="22">
      <t>カ</t>
    </rPh>
    <rPh sb="24" eb="26">
      <t>ヒツヨウ</t>
    </rPh>
    <phoneticPr fontId="2"/>
  </si>
  <si>
    <t>1日あたり（3～6F）</t>
    <rPh sb="1" eb="2">
      <t>ニチ</t>
    </rPh>
    <phoneticPr fontId="2"/>
  </si>
  <si>
    <t>3～6F</t>
    <phoneticPr fontId="2"/>
  </si>
  <si>
    <t>7F</t>
    <phoneticPr fontId="2"/>
  </si>
  <si>
    <t>1日あたり（7F）</t>
    <rPh sb="1" eb="2">
      <t>ニチ</t>
    </rPh>
    <phoneticPr fontId="2"/>
  </si>
  <si>
    <t>ファンクションルーム</t>
    <phoneticPr fontId="2"/>
  </si>
  <si>
    <t>ホテルグランドニッコー東京 台場</t>
    <phoneticPr fontId="2"/>
  </si>
  <si>
    <r>
      <t xml:space="preserve">客室単価/室
</t>
    </r>
    <r>
      <rPr>
        <sz val="11"/>
        <rFont val="游ゴシック Regular"/>
        <family val="3"/>
        <charset val="128"/>
      </rPr>
      <t>※1泊朝食付
（利用人数分）/サ込税別</t>
    </r>
    <rPh sb="15" eb="17">
      <t>リヨウ</t>
    </rPh>
    <rPh sb="17" eb="19">
      <t>ニンズウ</t>
    </rPh>
    <rPh sb="18" eb="19">
      <t>スウ</t>
    </rPh>
    <rPh sb="19" eb="20">
      <t>ブン</t>
    </rPh>
    <phoneticPr fontId="2"/>
  </si>
  <si>
    <t>エグゼクティブフロアシングルユース</t>
    <phoneticPr fontId="2"/>
  </si>
  <si>
    <t>総宿泊料金（宿泊税込み）</t>
    <rPh sb="0" eb="1">
      <t>ソウ</t>
    </rPh>
    <rPh sb="1" eb="3">
      <t>シュクハク</t>
    </rPh>
    <rPh sb="3" eb="5">
      <t>リョウキン</t>
    </rPh>
    <rPh sb="6" eb="9">
      <t>シュクハクゼイ</t>
    </rPh>
    <rPh sb="9" eb="10">
      <t>コ</t>
    </rPh>
    <phoneticPr fontId="2"/>
  </si>
  <si>
    <t>ホテルグランドニッコー東京 台場</t>
    <rPh sb="11" eb="13">
      <t>トウキョウ</t>
    </rPh>
    <rPh sb="14" eb="16">
      <t>ダイバ</t>
    </rPh>
    <phoneticPr fontId="2"/>
  </si>
  <si>
    <t>総客室数</t>
    <phoneticPr fontId="2"/>
  </si>
  <si>
    <t>シミュレーションの人数
（アジア）</t>
    <rPh sb="9" eb="10">
      <t>ニン</t>
    </rPh>
    <phoneticPr fontId="2"/>
  </si>
  <si>
    <t>シミュレーションの客室数
（アジア）_2</t>
    <rPh sb="9" eb="12">
      <t>キャクシツスウ</t>
    </rPh>
    <phoneticPr fontId="2"/>
  </si>
  <si>
    <t>シミュレーションの客室数
（アジア）_DCO</t>
    <rPh sb="9" eb="12">
      <t>キャクシツスウ</t>
    </rPh>
    <phoneticPr fontId="2"/>
  </si>
  <si>
    <t>シミュレーションの客室数
（パラ）</t>
    <phoneticPr fontId="2"/>
  </si>
  <si>
    <t>シミュレーションの客室数
（パラ）_DCO</t>
    <phoneticPr fontId="2"/>
  </si>
  <si>
    <t>泊数（アジア選手（修正案））</t>
    <rPh sb="0" eb="2">
      <t>ハクスウ</t>
    </rPh>
    <rPh sb="6" eb="8">
      <t>センシュ</t>
    </rPh>
    <phoneticPr fontId="2"/>
  </si>
  <si>
    <t>泊数（アジア12000）</t>
    <rPh sb="0" eb="2">
      <t>ハクスウ</t>
    </rPh>
    <phoneticPr fontId="2"/>
  </si>
  <si>
    <t>泊数（アジアスポンサー本部）</t>
    <rPh sb="0" eb="2">
      <t>ハクスウ</t>
    </rPh>
    <rPh sb="11" eb="13">
      <t>ホンブ</t>
    </rPh>
    <phoneticPr fontId="2"/>
  </si>
  <si>
    <t>泊数（アジアファミリー）</t>
    <rPh sb="0" eb="2">
      <t>ハクスウ</t>
    </rPh>
    <phoneticPr fontId="2"/>
  </si>
  <si>
    <t>泊数（アジア技術DCO以外）</t>
    <rPh sb="11" eb="13">
      <t>イガイ</t>
    </rPh>
    <phoneticPr fontId="2"/>
  </si>
  <si>
    <t>泊数（アジア技術DCO）</t>
    <phoneticPr fontId="2"/>
  </si>
  <si>
    <t>泊数（パラ選手）</t>
    <rPh sb="0" eb="2">
      <t>ハクスウ</t>
    </rPh>
    <rPh sb="5" eb="7">
      <t>センシュ</t>
    </rPh>
    <phoneticPr fontId="2"/>
  </si>
  <si>
    <t>泊数（パラファミスポ）</t>
    <rPh sb="0" eb="2">
      <t>ハクスウ</t>
    </rPh>
    <phoneticPr fontId="2"/>
  </si>
  <si>
    <t>泊数（パラ技術DCO以外）</t>
    <rPh sb="0" eb="2">
      <t>ハクスウ</t>
    </rPh>
    <rPh sb="10" eb="12">
      <t>イガイ</t>
    </rPh>
    <phoneticPr fontId="2"/>
  </si>
  <si>
    <t>泊数（パラ技術DCO）</t>
    <rPh sb="0" eb="2">
      <t>ハクスウ</t>
    </rPh>
    <phoneticPr fontId="2"/>
  </si>
  <si>
    <t>上昇前金額_アジア選手（修正案）</t>
    <rPh sb="0" eb="3">
      <t>ジョウショウマエ</t>
    </rPh>
    <rPh sb="3" eb="5">
      <t>キンガク</t>
    </rPh>
    <rPh sb="12" eb="15">
      <t>シュウセイアン</t>
    </rPh>
    <phoneticPr fontId="2"/>
  </si>
  <si>
    <t>上昇前金額_アジア12000</t>
    <rPh sb="0" eb="3">
      <t>ジョウショウマエ</t>
    </rPh>
    <rPh sb="3" eb="5">
      <t>キンガク</t>
    </rPh>
    <phoneticPr fontId="2"/>
  </si>
  <si>
    <t>上昇前金額_アジアファミリー</t>
    <rPh sb="0" eb="3">
      <t>ジョウショウマエ</t>
    </rPh>
    <rPh sb="3" eb="5">
      <t>キンガク</t>
    </rPh>
    <phoneticPr fontId="2"/>
  </si>
  <si>
    <t>上昇前金額_アジア本部</t>
    <rPh sb="0" eb="3">
      <t>ジョウショウマエ</t>
    </rPh>
    <rPh sb="3" eb="5">
      <t>キンガク</t>
    </rPh>
    <rPh sb="9" eb="11">
      <t>ホンブ</t>
    </rPh>
    <phoneticPr fontId="2"/>
  </si>
  <si>
    <t>上昇前金額_アジア技術役員</t>
    <rPh sb="0" eb="3">
      <t>ジョウショウマエ</t>
    </rPh>
    <rPh sb="3" eb="5">
      <t>キンガク</t>
    </rPh>
    <rPh sb="9" eb="13">
      <t>ギジュツヤクイン</t>
    </rPh>
    <phoneticPr fontId="2"/>
  </si>
  <si>
    <t>上昇前金額_アジアDCO</t>
    <rPh sb="0" eb="3">
      <t>ジョウショウマエ</t>
    </rPh>
    <rPh sb="3" eb="5">
      <t>キンガク</t>
    </rPh>
    <phoneticPr fontId="2"/>
  </si>
  <si>
    <t>上昇前金額_パラ選手4000</t>
    <rPh sb="0" eb="3">
      <t>ジョウショウマエ</t>
    </rPh>
    <rPh sb="3" eb="5">
      <t>キンガク</t>
    </rPh>
    <rPh sb="8" eb="10">
      <t>センシュ</t>
    </rPh>
    <phoneticPr fontId="2"/>
  </si>
  <si>
    <t>上昇前金額_パラ選手3600</t>
    <rPh sb="0" eb="3">
      <t>ジョウショウマエ</t>
    </rPh>
    <rPh sb="3" eb="5">
      <t>キンガク</t>
    </rPh>
    <rPh sb="8" eb="10">
      <t>センシュ</t>
    </rPh>
    <phoneticPr fontId="2"/>
  </si>
  <si>
    <t>上昇前金額_パラファミリー</t>
    <rPh sb="0" eb="3">
      <t>ジョウショウマエ</t>
    </rPh>
    <rPh sb="3" eb="5">
      <t>キンガク</t>
    </rPh>
    <phoneticPr fontId="2"/>
  </si>
  <si>
    <t>上昇前金額_パラ本部</t>
    <rPh sb="0" eb="3">
      <t>ジョウショウマエ</t>
    </rPh>
    <rPh sb="3" eb="5">
      <t>キンガク</t>
    </rPh>
    <rPh sb="8" eb="10">
      <t>ホンブ</t>
    </rPh>
    <phoneticPr fontId="2"/>
  </si>
  <si>
    <t>上昇前金額_パラDCO</t>
    <rPh sb="0" eb="3">
      <t>ジョウショウマエ</t>
    </rPh>
    <rPh sb="3" eb="5">
      <t>キンガク</t>
    </rPh>
    <phoneticPr fontId="2"/>
  </si>
  <si>
    <t>Fn上昇前金額_アジア選手（修正案）</t>
    <rPh sb="2" eb="5">
      <t>ジョウショウマエ</t>
    </rPh>
    <rPh sb="5" eb="7">
      <t>キンガク</t>
    </rPh>
    <phoneticPr fontId="2"/>
  </si>
  <si>
    <t>Fn上昇前金額_アジア12000</t>
    <rPh sb="2" eb="5">
      <t>ジョウショウマエ</t>
    </rPh>
    <rPh sb="5" eb="7">
      <t>キンガク</t>
    </rPh>
    <phoneticPr fontId="2"/>
  </si>
  <si>
    <t>Fn上昇前金額_アジアファミリー</t>
    <rPh sb="2" eb="5">
      <t>ジョウショウマエ</t>
    </rPh>
    <rPh sb="5" eb="7">
      <t>キンガク</t>
    </rPh>
    <phoneticPr fontId="2"/>
  </si>
  <si>
    <t>Fn上昇前金額_アジア本部</t>
    <rPh sb="2" eb="5">
      <t>ジョウショウマエ</t>
    </rPh>
    <rPh sb="5" eb="7">
      <t>キンガク</t>
    </rPh>
    <rPh sb="11" eb="13">
      <t>ホンブ</t>
    </rPh>
    <phoneticPr fontId="2"/>
  </si>
  <si>
    <t>Fn上昇前金額_アジア技術役員
※一律？</t>
    <rPh sb="2" eb="5">
      <t>ジョウショウマエ</t>
    </rPh>
    <rPh sb="5" eb="7">
      <t>キンガク</t>
    </rPh>
    <rPh sb="11" eb="15">
      <t>ギジュツヤクイン</t>
    </rPh>
    <rPh sb="17" eb="19">
      <t>イチリツ</t>
    </rPh>
    <phoneticPr fontId="2"/>
  </si>
  <si>
    <t>Fn上昇前金額_パラ4000</t>
    <rPh sb="2" eb="5">
      <t>ジョウショウマエ</t>
    </rPh>
    <rPh sb="5" eb="7">
      <t>キンガク</t>
    </rPh>
    <phoneticPr fontId="2"/>
  </si>
  <si>
    <t>Fn上昇前金額_パラ3600</t>
    <rPh sb="2" eb="5">
      <t>ジョウショウマエ</t>
    </rPh>
    <rPh sb="5" eb="7">
      <t>キンガク</t>
    </rPh>
    <phoneticPr fontId="2"/>
  </si>
  <si>
    <t>Fn上昇前金額_パラファミリー</t>
    <rPh sb="2" eb="5">
      <t>ジョウショウマエ</t>
    </rPh>
    <rPh sb="5" eb="7">
      <t>キンガク</t>
    </rPh>
    <phoneticPr fontId="2"/>
  </si>
  <si>
    <t>Fn上昇前金額_パラ本部</t>
    <rPh sb="2" eb="5">
      <t>ジョウショウマエ</t>
    </rPh>
    <rPh sb="5" eb="7">
      <t>キンガク</t>
    </rPh>
    <rPh sb="10" eb="12">
      <t>ホンブ</t>
    </rPh>
    <phoneticPr fontId="2"/>
  </si>
  <si>
    <t>Fn上昇前金額_パラ技術役員
※一律？</t>
    <rPh sb="2" eb="5">
      <t>ジョウショウマエ</t>
    </rPh>
    <rPh sb="5" eb="7">
      <t>キンガク</t>
    </rPh>
    <rPh sb="10" eb="14">
      <t>ギジュツヤクイン</t>
    </rPh>
    <rPh sb="16" eb="18">
      <t>イチリツ</t>
    </rPh>
    <phoneticPr fontId="2"/>
  </si>
  <si>
    <t>選手（修正案）</t>
  </si>
  <si>
    <t>選手12000</t>
  </si>
  <si>
    <t>NOC本部、NPC本部</t>
    <rPh sb="3" eb="5">
      <t>ホンブ</t>
    </rPh>
    <rPh sb="9" eb="11">
      <t>ホンブ</t>
    </rPh>
    <phoneticPr fontId="2"/>
  </si>
  <si>
    <t>OCAファミリー本部、APC本部</t>
    <rPh sb="14" eb="16">
      <t>ホンブ</t>
    </rPh>
    <phoneticPr fontId="2"/>
  </si>
  <si>
    <t>棟が分かれており、アジアは主にセンターハウス(49室)、パラはゲストハウス（40室）を想定</t>
    <rPh sb="0" eb="1">
      <t>トウ</t>
    </rPh>
    <rPh sb="2" eb="3">
      <t>ワ</t>
    </rPh>
    <rPh sb="13" eb="14">
      <t>オモ</t>
    </rPh>
    <rPh sb="25" eb="26">
      <t>シツ</t>
    </rPh>
    <rPh sb="40" eb="41">
      <t>シツ</t>
    </rPh>
    <rPh sb="43" eb="45">
      <t>ソウテイ</t>
    </rPh>
    <phoneticPr fontId="2"/>
  </si>
  <si>
    <t>不明</t>
    <rPh sb="0" eb="2">
      <t>フメイ</t>
    </rPh>
    <phoneticPr fontId="2"/>
  </si>
  <si>
    <t>1名あたり平均単価</t>
    <rPh sb="1" eb="2">
      <t>メイ</t>
    </rPh>
    <rPh sb="5" eb="7">
      <t>ヘイキン</t>
    </rPh>
    <rPh sb="7" eb="9">
      <t>タンカ</t>
    </rPh>
    <phoneticPr fontId="2"/>
  </si>
  <si>
    <t>現状の客室
E列の最初小計</t>
    <rPh sb="7" eb="8">
      <t>レツ</t>
    </rPh>
    <rPh sb="9" eb="11">
      <t>サイショ</t>
    </rPh>
    <rPh sb="11" eb="13">
      <t>ショウケイ</t>
    </rPh>
    <phoneticPr fontId="2"/>
  </si>
  <si>
    <t>計算結果</t>
    <rPh sb="0" eb="4">
      <t>ケイサンケッカ</t>
    </rPh>
    <phoneticPr fontId="2"/>
  </si>
  <si>
    <t>シミュレーションの客室数
（アジア）</t>
    <phoneticPr fontId="2"/>
  </si>
  <si>
    <t>シミュレーションの室数
（パラ）</t>
    <rPh sb="9" eb="11">
      <t>シツスウ</t>
    </rPh>
    <phoneticPr fontId="2"/>
  </si>
  <si>
    <t>シミュレーションの室数
（パラ）_DCO</t>
    <rPh sb="9" eb="11">
      <t>シツスウ</t>
    </rPh>
    <phoneticPr fontId="2"/>
  </si>
  <si>
    <t>泊数（アジア15000）</t>
    <rPh sb="0" eb="2">
      <t>ハクスウ</t>
    </rPh>
    <phoneticPr fontId="2"/>
  </si>
  <si>
    <t>泊数（アジアファミスポ本部）</t>
    <rPh sb="0" eb="2">
      <t>ハクスウ</t>
    </rPh>
    <rPh sb="11" eb="13">
      <t>ホンブ</t>
    </rPh>
    <phoneticPr fontId="2"/>
  </si>
  <si>
    <t>上昇前金額_アジア15000</t>
    <rPh sb="0" eb="3">
      <t>ジョウショウマエ</t>
    </rPh>
    <rPh sb="3" eb="5">
      <t>キンガク</t>
    </rPh>
    <phoneticPr fontId="2"/>
  </si>
  <si>
    <t>Fn上昇前金額_アジア15000</t>
    <rPh sb="2" eb="5">
      <t>ジョウショウマエ</t>
    </rPh>
    <rPh sb="5" eb="7">
      <t>キンガク</t>
    </rPh>
    <phoneticPr fontId="2"/>
  </si>
  <si>
    <t>0002_東横INN名古屋尾張一宮駅前</t>
  </si>
  <si>
    <t>0012_ルートイングランディア小牧</t>
  </si>
  <si>
    <t>選手15000</t>
  </si>
  <si>
    <t>ファンクションルームについてはNOC本部として利用</t>
    <rPh sb="18" eb="20">
      <t>ホンブ</t>
    </rPh>
    <rPh sb="23" eb="25">
      <t>リヨウ</t>
    </rPh>
    <phoneticPr fontId="2"/>
  </si>
  <si>
    <t>0076_コンフォートホテル名古屋新幹線口</t>
  </si>
  <si>
    <t>0080_アパホテル&lt;名古屋駅新幹線口北&gt;</t>
  </si>
  <si>
    <t>0115_ザ・ビー名古屋</t>
  </si>
  <si>
    <t>0222_HOTEL LiVEMAX三河安城駅前</t>
  </si>
  <si>
    <t>0256_ホテル東海園</t>
  </si>
  <si>
    <t>0287_コンフォートホテル豊橋</t>
  </si>
  <si>
    <t>1006_相鉄フレッサイン名古屋駅新幹線口</t>
  </si>
  <si>
    <t>1039_ベストウェスタンプラス名古屋栄</t>
  </si>
  <si>
    <t>3005-_アパホテル新大阪駅前</t>
    <phoneticPr fontId="2"/>
  </si>
  <si>
    <t>Sheet not found</t>
  </si>
  <si>
    <t>3006-_アパホテル＆リゾート東京ベイ潮見</t>
    <phoneticPr fontId="2"/>
  </si>
  <si>
    <t>Sheet not found</t>
    <phoneticPr fontId="2"/>
  </si>
  <si>
    <t>■概算費用の積算マスター</t>
    <rPh sb="1" eb="3">
      <t>ガイサン</t>
    </rPh>
    <rPh sb="3" eb="5">
      <t>ヒヨウ</t>
    </rPh>
    <rPh sb="6" eb="8">
      <t>セキサン</t>
    </rPh>
    <phoneticPr fontId="2"/>
  </si>
  <si>
    <t>マスタNO.</t>
    <phoneticPr fontId="2"/>
  </si>
  <si>
    <t>客室関連費</t>
    <rPh sb="0" eb="2">
      <t>キャクシツ</t>
    </rPh>
    <rPh sb="2" eb="5">
      <t>カンレンヒ</t>
    </rPh>
    <phoneticPr fontId="2"/>
  </si>
  <si>
    <t>［1］シングル</t>
    <phoneticPr fontId="2"/>
  </si>
  <si>
    <t>［2］ダブル</t>
    <phoneticPr fontId="2"/>
  </si>
  <si>
    <t>［3］ツイン1名</t>
    <rPh sb="7" eb="8">
      <t>メイ</t>
    </rPh>
    <phoneticPr fontId="2"/>
  </si>
  <si>
    <t>［4］ツイン2名</t>
    <rPh sb="7" eb="8">
      <t>メイ</t>
    </rPh>
    <phoneticPr fontId="2"/>
  </si>
  <si>
    <t>［5］トリプル1名</t>
    <rPh sb="8" eb="9">
      <t>メイ</t>
    </rPh>
    <phoneticPr fontId="2"/>
  </si>
  <si>
    <t>［6］トリプル2名</t>
    <rPh sb="8" eb="9">
      <t>メイ</t>
    </rPh>
    <phoneticPr fontId="2"/>
  </si>
  <si>
    <t>［7］トリプル3名</t>
    <rPh sb="8" eb="9">
      <t>メイ</t>
    </rPh>
    <phoneticPr fontId="2"/>
  </si>
  <si>
    <t>［8］フォース2名</t>
    <rPh sb="8" eb="9">
      <t>メイ</t>
    </rPh>
    <phoneticPr fontId="2"/>
  </si>
  <si>
    <t>［9］フォース3名</t>
    <rPh sb="8" eb="9">
      <t>メイ</t>
    </rPh>
    <phoneticPr fontId="2"/>
  </si>
  <si>
    <t>［10］フォース4名</t>
    <rPh sb="9" eb="10">
      <t>メイ</t>
    </rPh>
    <phoneticPr fontId="2"/>
  </si>
  <si>
    <t>［11］和室1名</t>
    <rPh sb="4" eb="6">
      <t>ワシツ</t>
    </rPh>
    <rPh sb="7" eb="8">
      <t>メイ</t>
    </rPh>
    <phoneticPr fontId="2"/>
  </si>
  <si>
    <t>［12］和室2名</t>
    <rPh sb="4" eb="6">
      <t>ワシツ</t>
    </rPh>
    <rPh sb="7" eb="8">
      <t>メイ</t>
    </rPh>
    <phoneticPr fontId="2"/>
  </si>
  <si>
    <t>［13］和室3名</t>
    <rPh sb="4" eb="6">
      <t>ワシツ</t>
    </rPh>
    <rPh sb="7" eb="8">
      <t>メイ</t>
    </rPh>
    <phoneticPr fontId="2"/>
  </si>
  <si>
    <t>［14］和室4名</t>
    <rPh sb="4" eb="6">
      <t>ワシツ</t>
    </rPh>
    <rPh sb="7" eb="8">
      <t>メイ</t>
    </rPh>
    <phoneticPr fontId="2"/>
  </si>
  <si>
    <t>［15］和洋室1名</t>
    <rPh sb="4" eb="7">
      <t>ワヨウシツ</t>
    </rPh>
    <rPh sb="8" eb="9">
      <t>メイ</t>
    </rPh>
    <phoneticPr fontId="2"/>
  </si>
  <si>
    <t>［16］和洋室2名</t>
    <rPh sb="4" eb="7">
      <t>ワヨウシツ</t>
    </rPh>
    <rPh sb="8" eb="9">
      <t>メイ</t>
    </rPh>
    <phoneticPr fontId="2"/>
  </si>
  <si>
    <t>［17］和洋室3名</t>
    <rPh sb="4" eb="7">
      <t>ワヨウシツ</t>
    </rPh>
    <rPh sb="8" eb="9">
      <t>メイ</t>
    </rPh>
    <phoneticPr fontId="2"/>
  </si>
  <si>
    <t>［18］和洋室4名</t>
    <rPh sb="4" eb="7">
      <t>ワヨウシツ</t>
    </rPh>
    <rPh sb="8" eb="9">
      <t>メイ</t>
    </rPh>
    <phoneticPr fontId="2"/>
  </si>
  <si>
    <t>［19］スイート1名</t>
    <rPh sb="9" eb="10">
      <t>メイ</t>
    </rPh>
    <phoneticPr fontId="2"/>
  </si>
  <si>
    <t>［20］スイート2名</t>
    <rPh sb="9" eb="10">
      <t>メイ</t>
    </rPh>
    <phoneticPr fontId="2"/>
  </si>
  <si>
    <t>［21］スイート3名</t>
    <rPh sb="9" eb="10">
      <t>メイ</t>
    </rPh>
    <phoneticPr fontId="2"/>
  </si>
  <si>
    <t>［22］スイート4名</t>
    <rPh sb="9" eb="10">
      <t>メイ</t>
    </rPh>
    <phoneticPr fontId="2"/>
  </si>
  <si>
    <t>［23］その他</t>
    <rPh sb="6" eb="7">
      <t>タ</t>
    </rPh>
    <phoneticPr fontId="2"/>
  </si>
  <si>
    <t>宿泊サービス費</t>
    <rPh sb="0" eb="2">
      <t>シュクハク</t>
    </rPh>
    <rPh sb="6" eb="7">
      <t>ヒ</t>
    </rPh>
    <phoneticPr fontId="2"/>
  </si>
  <si>
    <t>宿泊諸税</t>
    <rPh sb="0" eb="2">
      <t>シュクハク</t>
    </rPh>
    <rPh sb="2" eb="4">
      <t>ショゼイ</t>
    </rPh>
    <phoneticPr fontId="2"/>
  </si>
  <si>
    <t>食事費</t>
    <rPh sb="0" eb="2">
      <t>ショクジ</t>
    </rPh>
    <rPh sb="2" eb="3">
      <t>ヒ</t>
    </rPh>
    <phoneticPr fontId="2"/>
  </si>
  <si>
    <t>朝食代（1室2名以上の場合の追加分）</t>
    <rPh sb="0" eb="2">
      <t>チョウショク</t>
    </rPh>
    <rPh sb="2" eb="3">
      <t>ダイ</t>
    </rPh>
    <rPh sb="5" eb="6">
      <t>シツ</t>
    </rPh>
    <rPh sb="7" eb="8">
      <t>メイ</t>
    </rPh>
    <rPh sb="8" eb="10">
      <t>イジョウ</t>
    </rPh>
    <rPh sb="11" eb="13">
      <t>バアイ</t>
    </rPh>
    <rPh sb="14" eb="16">
      <t>ツイカ</t>
    </rPh>
    <rPh sb="16" eb="17">
      <t>ブン</t>
    </rPh>
    <phoneticPr fontId="2"/>
  </si>
  <si>
    <t>夕食代</t>
    <rPh sb="0" eb="2">
      <t>ユウショク</t>
    </rPh>
    <rPh sb="2" eb="3">
      <t>ダイ</t>
    </rPh>
    <phoneticPr fontId="2"/>
  </si>
  <si>
    <t>飲食サービス費</t>
    <rPh sb="0" eb="2">
      <t>インショク</t>
    </rPh>
    <rPh sb="6" eb="7">
      <t>ヒ</t>
    </rPh>
    <phoneticPr fontId="2"/>
  </si>
  <si>
    <t>飲食諸税</t>
    <rPh sb="0" eb="2">
      <t>インショク</t>
    </rPh>
    <rPh sb="2" eb="4">
      <t>ショゼイ</t>
    </rPh>
    <phoneticPr fontId="2"/>
  </si>
  <si>
    <t>施設利用関連費　①</t>
    <phoneticPr fontId="2"/>
  </si>
  <si>
    <t>ファンクションルーム利用費（3）</t>
    <rPh sb="10" eb="13">
      <t>リヨウヒ</t>
    </rPh>
    <phoneticPr fontId="2"/>
  </si>
  <si>
    <t>ファンクションルーム利用費（4）</t>
    <rPh sb="10" eb="13">
      <t>リヨウヒ</t>
    </rPh>
    <phoneticPr fontId="2"/>
  </si>
  <si>
    <t>ファンクションルーム利用費（5）</t>
    <rPh sb="10" eb="13">
      <t>リヨウヒ</t>
    </rPh>
    <phoneticPr fontId="2"/>
  </si>
  <si>
    <t>ファンクションルーム利用費（6）</t>
    <rPh sb="10" eb="13">
      <t>リヨウヒ</t>
    </rPh>
    <phoneticPr fontId="2"/>
  </si>
  <si>
    <t>ファンクションルーム利用費（7）</t>
    <rPh sb="10" eb="13">
      <t>リヨウヒ</t>
    </rPh>
    <phoneticPr fontId="2"/>
  </si>
  <si>
    <t>ファンクションルーム利用費（8）</t>
    <rPh sb="10" eb="13">
      <t>リヨウヒ</t>
    </rPh>
    <phoneticPr fontId="2"/>
  </si>
  <si>
    <t>ファンクションルーム利用費（9）</t>
    <rPh sb="10" eb="13">
      <t>リヨウヒ</t>
    </rPh>
    <phoneticPr fontId="2"/>
  </si>
  <si>
    <t>ファンクションルーム利用費（10）</t>
    <rPh sb="10" eb="13">
      <t>リヨウヒ</t>
    </rPh>
    <phoneticPr fontId="2"/>
  </si>
  <si>
    <t>ファンクションルーム利用費（11）</t>
    <rPh sb="10" eb="13">
      <t>リヨウヒ</t>
    </rPh>
    <phoneticPr fontId="2"/>
  </si>
  <si>
    <t>ファンクションルーム利用費（12）</t>
    <rPh sb="10" eb="13">
      <t>リヨウヒ</t>
    </rPh>
    <phoneticPr fontId="2"/>
  </si>
  <si>
    <t>ファンクションルーム利用費（13）</t>
    <rPh sb="10" eb="13">
      <t>リヨウヒ</t>
    </rPh>
    <phoneticPr fontId="2"/>
  </si>
  <si>
    <t>ファンクションルーム利用費（14）</t>
    <rPh sb="10" eb="13">
      <t>リヨウヒ</t>
    </rPh>
    <phoneticPr fontId="2"/>
  </si>
  <si>
    <t>ファンクションルーム利用費（15）</t>
    <rPh sb="10" eb="13">
      <t>リヨウヒ</t>
    </rPh>
    <phoneticPr fontId="2"/>
  </si>
  <si>
    <t>ファンクションルーム利用費（16）</t>
    <rPh sb="10" eb="13">
      <t>リヨウヒ</t>
    </rPh>
    <phoneticPr fontId="2"/>
  </si>
  <si>
    <t>ファンクションルーム利用費（17）</t>
    <rPh sb="10" eb="13">
      <t>リヨウヒ</t>
    </rPh>
    <phoneticPr fontId="2"/>
  </si>
  <si>
    <t>ファンクションルーム利用費（18）</t>
    <rPh sb="10" eb="13">
      <t>リヨウヒ</t>
    </rPh>
    <phoneticPr fontId="2"/>
  </si>
  <si>
    <t>ファンクションルーム利用費（19）</t>
    <rPh sb="10" eb="13">
      <t>リヨウヒ</t>
    </rPh>
    <phoneticPr fontId="2"/>
  </si>
  <si>
    <t>ファンクションルーム利用費（20）</t>
    <rPh sb="10" eb="13">
      <t>リヨウヒ</t>
    </rPh>
    <phoneticPr fontId="2"/>
  </si>
  <si>
    <t>ファンクションルーム利用費（21）</t>
    <rPh sb="10" eb="13">
      <t>リヨウヒ</t>
    </rPh>
    <phoneticPr fontId="2"/>
  </si>
  <si>
    <t>ファンクションルーム利用費（22）</t>
    <rPh sb="10" eb="13">
      <t>リヨウヒ</t>
    </rPh>
    <phoneticPr fontId="2"/>
  </si>
  <si>
    <t>ファンクションルーム利用費（23）</t>
    <rPh sb="10" eb="13">
      <t>リヨウヒ</t>
    </rPh>
    <phoneticPr fontId="2"/>
  </si>
  <si>
    <t>ファンクションルーム利用費（24）</t>
    <rPh sb="10" eb="13">
      <t>リヨウヒ</t>
    </rPh>
    <phoneticPr fontId="2"/>
  </si>
  <si>
    <t>ファンクションルーム利用費（25）</t>
    <rPh sb="10" eb="13">
      <t>リヨウヒ</t>
    </rPh>
    <phoneticPr fontId="2"/>
  </si>
  <si>
    <t>ファンクションルーム利用費（26）</t>
    <rPh sb="10" eb="13">
      <t>リヨウヒ</t>
    </rPh>
    <phoneticPr fontId="2"/>
  </si>
  <si>
    <t>ファンクションルーム利用費（27）</t>
    <rPh sb="10" eb="13">
      <t>リヨウヒ</t>
    </rPh>
    <phoneticPr fontId="2"/>
  </si>
  <si>
    <t>ファンクションルーム利用費（28）</t>
    <rPh sb="10" eb="13">
      <t>リヨウヒ</t>
    </rPh>
    <phoneticPr fontId="2"/>
  </si>
  <si>
    <t>ファンクションルーム利用費（29）</t>
    <rPh sb="10" eb="13">
      <t>リヨウヒ</t>
    </rPh>
    <phoneticPr fontId="2"/>
  </si>
  <si>
    <t>ファンクションルーム利用費（30）</t>
    <rPh sb="10" eb="13">
      <t>リヨウヒ</t>
    </rPh>
    <phoneticPr fontId="2"/>
  </si>
  <si>
    <t>インターネット使用料金</t>
    <rPh sb="7" eb="11">
      <t>シヨウリョウキン</t>
    </rPh>
    <phoneticPr fontId="2"/>
  </si>
  <si>
    <t>施設利用関連費　②</t>
    <phoneticPr fontId="2"/>
  </si>
  <si>
    <t>輸送関連施設利用費</t>
    <rPh sb="0" eb="2">
      <t>ユソウ</t>
    </rPh>
    <rPh sb="2" eb="4">
      <t>カンレン</t>
    </rPh>
    <rPh sb="4" eb="6">
      <t>シセツ</t>
    </rPh>
    <rPh sb="6" eb="9">
      <t>リヨウヒ</t>
    </rPh>
    <phoneticPr fontId="2"/>
  </si>
  <si>
    <t>施設利用関連費　③</t>
    <phoneticPr fontId="2"/>
  </si>
  <si>
    <t>宿泊費の貸切利用にかかる特別費用</t>
    <rPh sb="0" eb="2">
      <t>シュクハク</t>
    </rPh>
    <rPh sb="2" eb="3">
      <t>ヒ</t>
    </rPh>
    <rPh sb="4" eb="6">
      <t>カシキリ</t>
    </rPh>
    <rPh sb="6" eb="8">
      <t>リヨウ</t>
    </rPh>
    <rPh sb="12" eb="14">
      <t>トクベツ</t>
    </rPh>
    <rPh sb="14" eb="16">
      <t>ヒヨウ</t>
    </rPh>
    <phoneticPr fontId="2"/>
  </si>
  <si>
    <t>その他、客室を除く宿泊施設の利用に係る費用</t>
    <rPh sb="2" eb="3">
      <t>ホカ</t>
    </rPh>
    <rPh sb="4" eb="6">
      <t>キャクシツ</t>
    </rPh>
    <rPh sb="7" eb="8">
      <t>ノゾ</t>
    </rPh>
    <rPh sb="9" eb="11">
      <t>シュクハク</t>
    </rPh>
    <rPh sb="11" eb="13">
      <t>シセツ</t>
    </rPh>
    <rPh sb="14" eb="16">
      <t>リヨウ</t>
    </rPh>
    <rPh sb="17" eb="18">
      <t>カカ</t>
    </rPh>
    <rPh sb="19" eb="21">
      <t>ヒヨウ</t>
    </rPh>
    <phoneticPr fontId="2"/>
  </si>
  <si>
    <t>調査対象宿泊施設一覧表</t>
    <rPh sb="0" eb="4">
      <t>チョウサタイショウ</t>
    </rPh>
    <rPh sb="4" eb="8">
      <t>シュクハクシセツ</t>
    </rPh>
    <rPh sb="8" eb="11">
      <t>イチランヒョウ</t>
    </rPh>
    <phoneticPr fontId="2"/>
  </si>
  <si>
    <t>基本情報</t>
    <rPh sb="0" eb="2">
      <t>キホン</t>
    </rPh>
    <rPh sb="2" eb="4">
      <t>ジョウホウ</t>
    </rPh>
    <phoneticPr fontId="2"/>
  </si>
  <si>
    <t>客　室</t>
    <rPh sb="0" eb="1">
      <t>キャク</t>
    </rPh>
    <rPh sb="2" eb="3">
      <t>シツ</t>
    </rPh>
    <phoneticPr fontId="2"/>
  </si>
  <si>
    <t>食　事</t>
    <rPh sb="0" eb="1">
      <t>ショク</t>
    </rPh>
    <rPh sb="2" eb="3">
      <t>コト</t>
    </rPh>
    <phoneticPr fontId="2"/>
  </si>
  <si>
    <t>乗降場</t>
    <rPh sb="0" eb="3">
      <t>ジョウコウバ</t>
    </rPh>
    <phoneticPr fontId="2"/>
  </si>
  <si>
    <t>管理番号</t>
    <rPh sb="0" eb="4">
      <t>カンリバンゴウ</t>
    </rPh>
    <phoneticPr fontId="2"/>
  </si>
  <si>
    <t>市町村郡</t>
    <rPh sb="0" eb="3">
      <t>シチョウソン</t>
    </rPh>
    <rPh sb="3" eb="4">
      <t>グン</t>
    </rPh>
    <phoneticPr fontId="2"/>
  </si>
  <si>
    <t>施　設　名</t>
    <rPh sb="0" eb="1">
      <t>セ</t>
    </rPh>
    <rPh sb="2" eb="3">
      <t>セツ</t>
    </rPh>
    <rPh sb="4" eb="5">
      <t>メイ</t>
    </rPh>
    <phoneticPr fontId="2"/>
  </si>
  <si>
    <t>住　所</t>
    <rPh sb="0" eb="1">
      <t>ジュウ</t>
    </rPh>
    <rPh sb="2" eb="3">
      <t>ショ</t>
    </rPh>
    <phoneticPr fontId="2"/>
  </si>
  <si>
    <t>想定ステークホルダー</t>
    <rPh sb="0" eb="2">
      <t>ソウテイ</t>
    </rPh>
    <phoneticPr fontId="2"/>
  </si>
  <si>
    <t>全館貸切可否</t>
    <rPh sb="0" eb="2">
      <t>ゼンカン</t>
    </rPh>
    <rPh sb="2" eb="4">
      <t>カシキリ</t>
    </rPh>
    <rPh sb="4" eb="6">
      <t>カヒ</t>
    </rPh>
    <phoneticPr fontId="2"/>
  </si>
  <si>
    <t>フロア貸切可否</t>
    <rPh sb="3" eb="5">
      <t>カシキリ</t>
    </rPh>
    <rPh sb="5" eb="7">
      <t>カヒ</t>
    </rPh>
    <phoneticPr fontId="2"/>
  </si>
  <si>
    <t>総客室数</t>
    <rPh sb="0" eb="4">
      <t>ソウキャクシツスウ</t>
    </rPh>
    <phoneticPr fontId="2"/>
  </si>
  <si>
    <t>提供可能
客室数</t>
    <rPh sb="0" eb="2">
      <t>テイキョウ</t>
    </rPh>
    <rPh sb="2" eb="4">
      <t>カノウ</t>
    </rPh>
    <rPh sb="5" eb="8">
      <t>キャクシツスウ</t>
    </rPh>
    <phoneticPr fontId="2"/>
  </si>
  <si>
    <t>提供率</t>
    <rPh sb="0" eb="2">
      <t>テイキョウ</t>
    </rPh>
    <rPh sb="2" eb="3">
      <t>リツ</t>
    </rPh>
    <phoneticPr fontId="2"/>
  </si>
  <si>
    <t>朝　食</t>
    <rPh sb="0" eb="1">
      <t>アサ</t>
    </rPh>
    <rPh sb="2" eb="3">
      <t>ショク</t>
    </rPh>
    <phoneticPr fontId="2"/>
  </si>
  <si>
    <t>昼　食</t>
    <rPh sb="0" eb="1">
      <t>ヒル</t>
    </rPh>
    <rPh sb="2" eb="3">
      <t>ショク</t>
    </rPh>
    <phoneticPr fontId="2"/>
  </si>
  <si>
    <t>夕　食</t>
    <rPh sb="0" eb="1">
      <t>ユウ</t>
    </rPh>
    <rPh sb="2" eb="3">
      <t>ショク</t>
    </rPh>
    <phoneticPr fontId="2"/>
  </si>
  <si>
    <t>朝食会場
座席数</t>
    <rPh sb="0" eb="4">
      <t>チョウショクカイジョウ</t>
    </rPh>
    <rPh sb="5" eb="7">
      <t>ザセキ</t>
    </rPh>
    <rPh sb="7" eb="8">
      <t>スウ</t>
    </rPh>
    <phoneticPr fontId="2"/>
  </si>
  <si>
    <t>レストラン
保有数</t>
    <rPh sb="6" eb="9">
      <t>ホユウスウ</t>
    </rPh>
    <phoneticPr fontId="2"/>
  </si>
  <si>
    <t>保有数</t>
    <rPh sb="0" eb="3">
      <t>ホユウスウ</t>
    </rPh>
    <phoneticPr fontId="2"/>
  </si>
  <si>
    <t>提供可能数</t>
    <rPh sb="0" eb="2">
      <t>テイキョウ</t>
    </rPh>
    <rPh sb="2" eb="5">
      <t>カノウスウ</t>
    </rPh>
    <phoneticPr fontId="2"/>
  </si>
  <si>
    <t>バス乗降場の有無</t>
    <rPh sb="2" eb="5">
      <t>ジョウコウバ</t>
    </rPh>
    <rPh sb="6" eb="8">
      <t>ウム</t>
    </rPh>
    <phoneticPr fontId="2"/>
  </si>
  <si>
    <t>名古屋</t>
  </si>
  <si>
    <t>愛知県一宮市栄3丁目3番地10号</t>
    <phoneticPr fontId="2"/>
  </si>
  <si>
    <t>選手・役員または技術役員</t>
  </si>
  <si>
    <t>シルクホテル</t>
    <phoneticPr fontId="2"/>
  </si>
  <si>
    <t>愛知県一宮市新生2-5-32</t>
    <phoneticPr fontId="2"/>
  </si>
  <si>
    <t>その他 ※1</t>
    <rPh sb="2" eb="3">
      <t>タ</t>
    </rPh>
    <phoneticPr fontId="2"/>
  </si>
  <si>
    <t>選手・役員</t>
  </si>
  <si>
    <t>愛知県小牧市新小木2-33</t>
    <phoneticPr fontId="2"/>
  </si>
  <si>
    <t>技術役員（TD/ITO/NTO）</t>
  </si>
  <si>
    <t>知多</t>
  </si>
  <si>
    <t>提供未定</t>
    <rPh sb="0" eb="2">
      <t>テイキョウ</t>
    </rPh>
    <rPh sb="2" eb="4">
      <t>ミテイ</t>
    </rPh>
    <phoneticPr fontId="2"/>
  </si>
  <si>
    <t>ホテルサンルートプラザ名古屋</t>
  </si>
  <si>
    <t>NOC</t>
  </si>
  <si>
    <t>IF/AF</t>
  </si>
  <si>
    <t>OCAファミリー・スポンサー</t>
  </si>
  <si>
    <t xml:space="preserve"> 愛知県名古屋市中村区椿町7-16</t>
  </si>
  <si>
    <t>ストリングスホテル　名古屋</t>
    <phoneticPr fontId="2"/>
  </si>
  <si>
    <t>不可</t>
    <rPh sb="0" eb="2">
      <t>フカ</t>
    </rPh>
    <phoneticPr fontId="1"/>
  </si>
  <si>
    <t>名古屋プリンスホテル スカイタワー</t>
    <phoneticPr fontId="2"/>
  </si>
  <si>
    <t>東横INN名古屋名駅南</t>
    <phoneticPr fontId="2"/>
  </si>
  <si>
    <t>アパホテル＜名古屋駅新幹線口北＞</t>
  </si>
  <si>
    <t>名古屋観光ホテル</t>
    <phoneticPr fontId="2"/>
  </si>
  <si>
    <t>提供不可</t>
    <rPh sb="0" eb="4">
      <t>テイキョウフカ</t>
    </rPh>
    <phoneticPr fontId="2"/>
  </si>
  <si>
    <t>東京第一ホテル錦</t>
    <phoneticPr fontId="2"/>
  </si>
  <si>
    <t>東横INN名古屋丸の内</t>
    <phoneticPr fontId="2"/>
  </si>
  <si>
    <t>名古屋ビーズホテル</t>
    <phoneticPr fontId="2"/>
  </si>
  <si>
    <t>名古屋栄ワシントンホテルプラザ</t>
    <phoneticPr fontId="2"/>
  </si>
  <si>
    <t>ANAクラウンプラザホテル　グランコート名古屋</t>
    <phoneticPr fontId="2"/>
  </si>
  <si>
    <t>R&amp;Bホテル名古屋錦</t>
    <phoneticPr fontId="2"/>
  </si>
  <si>
    <t>ホテルランドマーク名古屋</t>
    <phoneticPr fontId="2"/>
  </si>
  <si>
    <t>R&amp;Bホテル名古屋栄東</t>
    <phoneticPr fontId="2"/>
  </si>
  <si>
    <t>ホテルトラスティ名古屋栄</t>
    <phoneticPr fontId="2"/>
  </si>
  <si>
    <t>別会社の為提供不明</t>
    <rPh sb="0" eb="3">
      <t>ベツガイシャ</t>
    </rPh>
    <rPh sb="4" eb="5">
      <t>タメ</t>
    </rPh>
    <rPh sb="5" eb="7">
      <t>テイキョウ</t>
    </rPh>
    <rPh sb="7" eb="9">
      <t>フメイ</t>
    </rPh>
    <phoneticPr fontId="2"/>
  </si>
  <si>
    <t>メディア　※2</t>
    <phoneticPr fontId="2"/>
  </si>
  <si>
    <t>提供不可</t>
    <rPh sb="0" eb="2">
      <t>テイキョウ</t>
    </rPh>
    <rPh sb="2" eb="4">
      <t>フカ</t>
    </rPh>
    <phoneticPr fontId="2"/>
  </si>
  <si>
    <t>愛知県名古屋市中区栄3-29-1 名古屋パルコ西館9～11階</t>
    <phoneticPr fontId="2"/>
  </si>
  <si>
    <t>ドーミーインPREMIU名古屋栄</t>
  </si>
  <si>
    <t>プリンセスガーデンホテル</t>
  </si>
  <si>
    <t xml:space="preserve"> 愛知県名古屋市中区栄３丁目13-31</t>
  </si>
  <si>
    <t>ストリングスホテル八事NAGOYA</t>
  </si>
  <si>
    <t>愛知県名古屋市昭和区八事本町100-36</t>
  </si>
  <si>
    <t>技術役員（TD/ITO/NTO）</t>
    <phoneticPr fontId="2"/>
  </si>
  <si>
    <t>技術役員（TD/ITO/NTO）</t>
    <rPh sb="0" eb="4">
      <t>ギジュツヤクイン</t>
    </rPh>
    <phoneticPr fontId="122"/>
  </si>
  <si>
    <t>ハーバーロッジ名古屋（名古屋船員会館）</t>
  </si>
  <si>
    <t>愛知県名古屋市港区港町1番3号</t>
  </si>
  <si>
    <t>岡崎</t>
  </si>
  <si>
    <t>選手・役員または技術役員 ※2</t>
    <phoneticPr fontId="2"/>
  </si>
  <si>
    <t xml:space="preserve"> 全トヨタ労連研修センター　つどいの丘</t>
  </si>
  <si>
    <t>豊田市</t>
    <phoneticPr fontId="2"/>
  </si>
  <si>
    <t>豊田市永覚町4-202-5</t>
  </si>
  <si>
    <t>パレスイン豊田</t>
  </si>
  <si>
    <t>愛知県豊田市司町1-9-1</t>
  </si>
  <si>
    <t>ホテルグランドティアラ安城</t>
  </si>
  <si>
    <t xml:space="preserve"> 愛知県知立市本町本87-1</t>
  </si>
  <si>
    <t>選手・役員または技術役員</t>
    <rPh sb="3" eb="5">
      <t>ヤクイン</t>
    </rPh>
    <rPh sb="8" eb="12">
      <t>ギジュツヤクイン</t>
    </rPh>
    <phoneticPr fontId="122"/>
  </si>
  <si>
    <t>東三河</t>
    <phoneticPr fontId="2"/>
  </si>
  <si>
    <t>東三河</t>
  </si>
  <si>
    <t>伊良湖ビューホテル</t>
  </si>
  <si>
    <t>豊橋市野外教育センター</t>
  </si>
  <si>
    <t>愛知県豊橋市伊古部町枇杷ケ谷57-12</t>
    <phoneticPr fontId="2"/>
  </si>
  <si>
    <t>不可</t>
    <phoneticPr fontId="2"/>
  </si>
  <si>
    <t xml:space="preserve"> 愛知県豊橋市八通町98-1</t>
  </si>
  <si>
    <t xml:space="preserve"> 愛知県豊橋市大橋通2-135</t>
  </si>
  <si>
    <t xml:space="preserve"> 愛知県豊橋市白河町2</t>
  </si>
  <si>
    <t>ジャストプレミアム豊橋駅新幹線口</t>
  </si>
  <si>
    <t>愛知県常滑市りんくう町3-2-1（J・ホテルりんくう隣）</t>
    <phoneticPr fontId="2"/>
  </si>
  <si>
    <t>愛知県知多郡東浦町大字森岡字源吾山1-1</t>
    <phoneticPr fontId="2"/>
  </si>
  <si>
    <t>知多郡</t>
    <phoneticPr fontId="2"/>
  </si>
  <si>
    <t>ホテルオリエンタルエクスプレス名古屋栄</t>
  </si>
  <si>
    <t>愛知県名古屋市中区錦3-16-30</t>
  </si>
  <si>
    <t>犬山市</t>
    <phoneticPr fontId="2"/>
  </si>
  <si>
    <t>開業前のため調査未実施</t>
    <rPh sb="0" eb="3">
      <t>カイギョウマエ</t>
    </rPh>
    <rPh sb="6" eb="8">
      <t>チョウサ</t>
    </rPh>
    <rPh sb="8" eb="11">
      <t>ミジッシ</t>
    </rPh>
    <phoneticPr fontId="2"/>
  </si>
  <si>
    <t>幸田郡</t>
    <rPh sb="0" eb="3">
      <t>コウダグン</t>
    </rPh>
    <phoneticPr fontId="2"/>
  </si>
  <si>
    <t>2ND by hotel androoms 名古屋</t>
    <phoneticPr fontId="2"/>
  </si>
  <si>
    <t>岐阜</t>
  </si>
  <si>
    <t>静岡</t>
  </si>
  <si>
    <t>大阪</t>
  </si>
  <si>
    <t>神戸</t>
  </si>
  <si>
    <t>京都</t>
  </si>
  <si>
    <t xml:space="preserve"> 静岡県袋井市宇刈2505番地の2</t>
  </si>
  <si>
    <t>浜松</t>
  </si>
  <si>
    <t>THE HAMANAKO</t>
  </si>
  <si>
    <t>静岡県浜松市西区雄踏町山崎4396-1</t>
  </si>
  <si>
    <t>伊豆</t>
  </si>
  <si>
    <t>京都</t>
    <phoneticPr fontId="2"/>
  </si>
  <si>
    <t>京都市</t>
    <phoneticPr fontId="2"/>
  </si>
  <si>
    <t>リーガロイヤル京都</t>
    <phoneticPr fontId="2"/>
  </si>
  <si>
    <t>浜松</t>
    <phoneticPr fontId="2"/>
  </si>
  <si>
    <t>浜松市</t>
    <phoneticPr fontId="2"/>
  </si>
  <si>
    <t>神戸</t>
    <phoneticPr fontId="2"/>
  </si>
  <si>
    <t>神戸市</t>
    <phoneticPr fontId="2"/>
  </si>
  <si>
    <t>掛川</t>
    <rPh sb="0" eb="2">
      <t>カケガワ</t>
    </rPh>
    <phoneticPr fontId="2"/>
  </si>
  <si>
    <t>掛川市</t>
    <phoneticPr fontId="2"/>
  </si>
  <si>
    <t>パレスホテル掛川</t>
    <phoneticPr fontId="2"/>
  </si>
  <si>
    <t>岐阜</t>
    <phoneticPr fontId="2"/>
  </si>
  <si>
    <t>くれたけプレミアム大垣駅前</t>
    <phoneticPr fontId="2"/>
  </si>
  <si>
    <t>クインテッサホテル大垣</t>
    <phoneticPr fontId="2"/>
  </si>
  <si>
    <t>債務負担行為</t>
    <rPh sb="0" eb="2">
      <t>サイム</t>
    </rPh>
    <rPh sb="2" eb="4">
      <t>フタン</t>
    </rPh>
    <rPh sb="4" eb="6">
      <t>コウイ</t>
    </rPh>
    <phoneticPr fontId="2"/>
  </si>
  <si>
    <t>宿泊料（１泊朝食付）</t>
    <rPh sb="0" eb="2">
      <t>シュクハク</t>
    </rPh>
    <rPh sb="2" eb="3">
      <t>リョウ</t>
    </rPh>
    <rPh sb="5" eb="6">
      <t>ハク</t>
    </rPh>
    <rPh sb="6" eb="8">
      <t>チョウショク</t>
    </rPh>
    <rPh sb="8" eb="9">
      <t>ツキ</t>
    </rPh>
    <phoneticPr fontId="59"/>
  </si>
  <si>
    <t>※企画Gにてヒルトン及びコートヤードの見積の物価上昇率を算出いただけないでしょうか。</t>
    <rPh sb="1" eb="3">
      <t>キカク</t>
    </rPh>
    <rPh sb="10" eb="11">
      <t>オヨ</t>
    </rPh>
    <rPh sb="19" eb="21">
      <t>ミツ</t>
    </rPh>
    <rPh sb="22" eb="24">
      <t>ブッカ</t>
    </rPh>
    <rPh sb="24" eb="26">
      <t>ジョウショウ</t>
    </rPh>
    <rPh sb="26" eb="27">
      <t>リツ</t>
    </rPh>
    <rPh sb="28" eb="30">
      <t>サンシュツ</t>
    </rPh>
    <phoneticPr fontId="2"/>
  </si>
  <si>
    <t>１室あたりの
平均単価
（１泊朝食付）</t>
    <rPh sb="1" eb="2">
      <t>シツ</t>
    </rPh>
    <rPh sb="7" eb="9">
      <t>ヘイキン</t>
    </rPh>
    <rPh sb="9" eb="11">
      <t>タンカ</t>
    </rPh>
    <rPh sb="14" eb="15">
      <t>ハク</t>
    </rPh>
    <rPh sb="15" eb="17">
      <t>チョウショク</t>
    </rPh>
    <rPh sb="17" eb="18">
      <t>ツキ</t>
    </rPh>
    <phoneticPr fontId="59"/>
  </si>
  <si>
    <t>室数
※契約上の室数（≠必要室数）</t>
    <rPh sb="0" eb="1">
      <t>シツ</t>
    </rPh>
    <rPh sb="1" eb="2">
      <t>スウ</t>
    </rPh>
    <rPh sb="4" eb="7">
      <t>ケイヤクジョウ</t>
    </rPh>
    <rPh sb="8" eb="9">
      <t>シツ</t>
    </rPh>
    <rPh sb="9" eb="10">
      <t>スウ</t>
    </rPh>
    <rPh sb="12" eb="14">
      <t>ヒツヨウ</t>
    </rPh>
    <rPh sb="14" eb="15">
      <t>シツ</t>
    </rPh>
    <rPh sb="15" eb="16">
      <t>スウ</t>
    </rPh>
    <phoneticPr fontId="59"/>
  </si>
  <si>
    <t>契約泊数
（≠利用期間）</t>
    <rPh sb="0" eb="2">
      <t>ケイヤク</t>
    </rPh>
    <rPh sb="2" eb="4">
      <t>ハクスウ</t>
    </rPh>
    <rPh sb="7" eb="9">
      <t>リヨウ</t>
    </rPh>
    <rPh sb="9" eb="11">
      <t>キカン</t>
    </rPh>
    <phoneticPr fontId="59"/>
  </si>
  <si>
    <t>金額
物価上昇前</t>
    <rPh sb="0" eb="2">
      <t>キンガク</t>
    </rPh>
    <rPh sb="3" eb="5">
      <t>ブッカ</t>
    </rPh>
    <rPh sb="5" eb="7">
      <t>ジョウショウ</t>
    </rPh>
    <rPh sb="7" eb="8">
      <t>マエ</t>
    </rPh>
    <phoneticPr fontId="59"/>
  </si>
  <si>
    <t>金額
物価上昇後</t>
    <rPh sb="0" eb="2">
      <t>キンガク</t>
    </rPh>
    <rPh sb="3" eb="5">
      <t>ブッカ</t>
    </rPh>
    <rPh sb="5" eb="8">
      <t>ジョウショウゴ</t>
    </rPh>
    <phoneticPr fontId="59"/>
  </si>
  <si>
    <t>総計</t>
    <rPh sb="0" eb="2">
      <t>ソウケイ</t>
    </rPh>
    <phoneticPr fontId="59"/>
  </si>
  <si>
    <t>国際要人？</t>
    <rPh sb="0" eb="2">
      <t>コクサイ</t>
    </rPh>
    <rPh sb="2" eb="4">
      <t>ヨウジン</t>
    </rPh>
    <phoneticPr fontId="2"/>
  </si>
  <si>
    <t>TIAD （想定）</t>
    <rPh sb="6" eb="8">
      <t>ソウテイ</t>
    </rPh>
    <phoneticPr fontId="2"/>
  </si>
  <si>
    <t>名古屋マリオットアソシアホテル（想定）</t>
    <rPh sb="16" eb="18">
      <t>ソウテイ</t>
    </rPh>
    <phoneticPr fontId="2"/>
  </si>
  <si>
    <t>陸上競技①</t>
    <rPh sb="0" eb="4">
      <t>リクジョウキョウギ</t>
    </rPh>
    <phoneticPr fontId="2"/>
  </si>
  <si>
    <t>名古屋市</t>
    <phoneticPr fontId="2"/>
  </si>
  <si>
    <t>陸上競技②</t>
    <rPh sb="0" eb="2">
      <t>リクジョウ</t>
    </rPh>
    <rPh sb="2" eb="4">
      <t>キョウギ</t>
    </rPh>
    <phoneticPr fontId="2"/>
  </si>
  <si>
    <t>ソフトテニス</t>
    <phoneticPr fontId="2"/>
  </si>
  <si>
    <t>セパタクロー</t>
    <phoneticPr fontId="2"/>
  </si>
  <si>
    <t>スポーツクライミング</t>
    <phoneticPr fontId="2"/>
  </si>
  <si>
    <t>名古屋金山ホテル</t>
    <rPh sb="0" eb="3">
      <t>ナゴヤ</t>
    </rPh>
    <rPh sb="3" eb="5">
      <t>カナヤマ</t>
    </rPh>
    <phoneticPr fontId="2"/>
  </si>
  <si>
    <t>ウエイトリフティング</t>
    <phoneticPr fontId="2"/>
  </si>
  <si>
    <t>バスケットボール（５×５）</t>
    <phoneticPr fontId="2"/>
  </si>
  <si>
    <t>自転車競技（BMXレース）</t>
    <rPh sb="0" eb="3">
      <t>ジテンシャ</t>
    </rPh>
    <rPh sb="3" eb="5">
      <t>キョウギ</t>
    </rPh>
    <phoneticPr fontId="2"/>
  </si>
  <si>
    <t>自転車競技（マウンテンバイク）</t>
    <rPh sb="0" eb="3">
      <t>ジテンシャ</t>
    </rPh>
    <rPh sb="3" eb="5">
      <t>キョウギ</t>
    </rPh>
    <phoneticPr fontId="2"/>
  </si>
  <si>
    <t>体操</t>
    <rPh sb="0" eb="2">
      <t>タイソウ</t>
    </rPh>
    <phoneticPr fontId="2"/>
  </si>
  <si>
    <t>柔道</t>
    <rPh sb="0" eb="2">
      <t>ジュウドウ</t>
    </rPh>
    <phoneticPr fontId="2"/>
  </si>
  <si>
    <t>JICA中部</t>
    <rPh sb="4" eb="6">
      <t>チュウブ</t>
    </rPh>
    <phoneticPr fontId="2"/>
  </si>
  <si>
    <t>東横INN名古屋名駅南</t>
    <rPh sb="0" eb="2">
      <t>トウヨコ</t>
    </rPh>
    <rPh sb="5" eb="8">
      <t>ナゴヤ</t>
    </rPh>
    <rPh sb="8" eb="10">
      <t>メイエキ</t>
    </rPh>
    <rPh sb="10" eb="11">
      <t>ミナミ</t>
    </rPh>
    <phoneticPr fontId="2"/>
  </si>
  <si>
    <t>東横INN名古屋金山</t>
    <rPh sb="0" eb="2">
      <t>トウヨコ</t>
    </rPh>
    <rPh sb="5" eb="8">
      <t>ナゴヤ</t>
    </rPh>
    <rPh sb="8" eb="10">
      <t>カナヤマ</t>
    </rPh>
    <phoneticPr fontId="2"/>
  </si>
  <si>
    <t>スカッシュ</t>
    <phoneticPr fontId="2"/>
  </si>
  <si>
    <t>DCO（名古屋）①</t>
    <rPh sb="4" eb="7">
      <t>ナゴヤ</t>
    </rPh>
    <phoneticPr fontId="2"/>
  </si>
  <si>
    <t>DCO（名古屋）②</t>
    <rPh sb="4" eb="7">
      <t>ナゴヤ</t>
    </rPh>
    <phoneticPr fontId="2"/>
  </si>
  <si>
    <t>ラグビー</t>
    <phoneticPr fontId="2"/>
  </si>
  <si>
    <t>名古屋プリンスホテル　スカイタワー</t>
    <rPh sb="0" eb="3">
      <t>ナゴヤ</t>
    </rPh>
    <phoneticPr fontId="2"/>
  </si>
  <si>
    <t>クリケット</t>
  </si>
  <si>
    <t>小牧市</t>
    <rPh sb="0" eb="3">
      <t>コマキシ</t>
    </rPh>
    <phoneticPr fontId="2"/>
  </si>
  <si>
    <t>バレーボール（女子）</t>
    <rPh sb="7" eb="9">
      <t>ジョシ</t>
    </rPh>
    <phoneticPr fontId="2"/>
  </si>
  <si>
    <t>犬山市</t>
    <rPh sb="0" eb="3">
      <t>イヌヤマシ</t>
    </rPh>
    <phoneticPr fontId="2"/>
  </si>
  <si>
    <t>ホテルミュースタイル犬山エクスペリエンス</t>
    <rPh sb="10" eb="12">
      <t>イヌヤマ</t>
    </rPh>
    <phoneticPr fontId="2"/>
  </si>
  <si>
    <t>ホテルインディゴ犬山有楽苑</t>
    <rPh sb="8" eb="10">
      <t>イヌヤマ</t>
    </rPh>
    <rPh sb="10" eb="12">
      <t>ユウラク</t>
    </rPh>
    <rPh sb="12" eb="13">
      <t>エン</t>
    </rPh>
    <phoneticPr fontId="2"/>
  </si>
  <si>
    <t>ゴルフ</t>
    <phoneticPr fontId="2"/>
  </si>
  <si>
    <t>春日井市</t>
    <rPh sb="0" eb="4">
      <t>カスガイシ</t>
    </rPh>
    <phoneticPr fontId="2"/>
  </si>
  <si>
    <t>ホッケー</t>
    <phoneticPr fontId="2"/>
  </si>
  <si>
    <t>各務原市</t>
    <rPh sb="0" eb="4">
      <t>カガミハラシ</t>
    </rPh>
    <phoneticPr fontId="2"/>
  </si>
  <si>
    <t>3×3バスケットボール</t>
    <phoneticPr fontId="2"/>
  </si>
  <si>
    <t>名古屋市</t>
    <rPh sb="0" eb="4">
      <t>ナゴヤシ</t>
    </rPh>
    <phoneticPr fontId="2"/>
  </si>
  <si>
    <t>海津市/愛西市</t>
    <rPh sb="4" eb="7">
      <t>アイサイシ</t>
    </rPh>
    <phoneticPr fontId="2"/>
  </si>
  <si>
    <t>東横INN豊田市駅前</t>
    <rPh sb="0" eb="2">
      <t>トウヨコ</t>
    </rPh>
    <rPh sb="5" eb="8">
      <t>トヨタシ</t>
    </rPh>
    <rPh sb="8" eb="9">
      <t>エキ</t>
    </rPh>
    <rPh sb="9" eb="10">
      <t>マエ</t>
    </rPh>
    <phoneticPr fontId="2"/>
  </si>
  <si>
    <t>DCO（豊田）</t>
    <rPh sb="4" eb="6">
      <t>トヨタ</t>
    </rPh>
    <phoneticPr fontId="2"/>
  </si>
  <si>
    <t>ホテルルートイン豐田陣中</t>
    <rPh sb="8" eb="10">
      <t>トヨタ</t>
    </rPh>
    <rPh sb="10" eb="12">
      <t>ジンナカ</t>
    </rPh>
    <phoneticPr fontId="2"/>
  </si>
  <si>
    <t>ホテルルートイン豐田元町</t>
    <rPh sb="8" eb="10">
      <t>トヨタ</t>
    </rPh>
    <rPh sb="10" eb="12">
      <t>モトマチ</t>
    </rPh>
    <phoneticPr fontId="2"/>
  </si>
  <si>
    <t>豊田市</t>
    <rPh sb="0" eb="3">
      <t>トヨタシ</t>
    </rPh>
    <phoneticPr fontId="2"/>
  </si>
  <si>
    <t>岡崎市</t>
    <rPh sb="0" eb="3">
      <t>オカザキシ</t>
    </rPh>
    <phoneticPr fontId="2"/>
  </si>
  <si>
    <t>トライアスロン①</t>
    <phoneticPr fontId="2"/>
  </si>
  <si>
    <t>トライアスロン②</t>
    <phoneticPr fontId="2"/>
  </si>
  <si>
    <t>蒲郡市</t>
    <phoneticPr fontId="2"/>
  </si>
  <si>
    <t>豊川市</t>
    <rPh sb="0" eb="3">
      <t>トヨカワシ</t>
    </rPh>
    <phoneticPr fontId="2"/>
  </si>
  <si>
    <t>ホテルルートイン豊川インター</t>
    <rPh sb="8" eb="10">
      <t>トヨカワ</t>
    </rPh>
    <phoneticPr fontId="2"/>
  </si>
  <si>
    <t>コンフォートホテル豊川</t>
    <rPh sb="9" eb="11">
      <t>トヨカワ</t>
    </rPh>
    <phoneticPr fontId="2"/>
  </si>
  <si>
    <t>セーリング①</t>
    <phoneticPr fontId="2"/>
  </si>
  <si>
    <t>セーリング②</t>
    <phoneticPr fontId="2"/>
  </si>
  <si>
    <t>蒲郡市</t>
    <rPh sb="0" eb="3">
      <t>ガマゴオリシ</t>
    </rPh>
    <phoneticPr fontId="2"/>
  </si>
  <si>
    <t>東横INN豊橋駅東口</t>
    <rPh sb="0" eb="2">
      <t>トウヨコ</t>
    </rPh>
    <rPh sb="5" eb="8">
      <t>トヨハシエキ</t>
    </rPh>
    <rPh sb="8" eb="10">
      <t>ヒガシグチ</t>
    </rPh>
    <phoneticPr fontId="2"/>
  </si>
  <si>
    <t>ホテルルートイン新城</t>
    <rPh sb="8" eb="10">
      <t>シンシロ</t>
    </rPh>
    <phoneticPr fontId="2"/>
  </si>
  <si>
    <t>自転車競技（ロードレース）</t>
    <rPh sb="0" eb="3">
      <t>ジテンシャ</t>
    </rPh>
    <rPh sb="3" eb="5">
      <t>キョウギ</t>
    </rPh>
    <phoneticPr fontId="2"/>
  </si>
  <si>
    <t>新城市</t>
    <rPh sb="0" eb="3">
      <t>シンシロシ</t>
    </rPh>
    <phoneticPr fontId="2"/>
  </si>
  <si>
    <t>伊良湖リゾート＆コンベンションホテル（旧伊良湖シーパーク＆スパ）</t>
    <rPh sb="0" eb="3">
      <t>イラゴ</t>
    </rPh>
    <rPh sb="19" eb="20">
      <t>キュウ</t>
    </rPh>
    <rPh sb="20" eb="23">
      <t>イラゴ</t>
    </rPh>
    <phoneticPr fontId="2"/>
  </si>
  <si>
    <t>田原市</t>
    <rPh sb="0" eb="3">
      <t>タハラシ</t>
    </rPh>
    <phoneticPr fontId="2"/>
  </si>
  <si>
    <t>グランドメルキュール浜名湖リゾート＆スパ</t>
    <rPh sb="10" eb="13">
      <t>ハマナコ</t>
    </rPh>
    <phoneticPr fontId="2"/>
  </si>
  <si>
    <t>野球①</t>
    <rPh sb="0" eb="2">
      <t>ヤキュウ</t>
    </rPh>
    <phoneticPr fontId="2"/>
  </si>
  <si>
    <t>野球②</t>
    <rPh sb="0" eb="2">
      <t>ヤキュウ</t>
    </rPh>
    <phoneticPr fontId="2"/>
  </si>
  <si>
    <t>岡崎/豊橋</t>
    <rPh sb="0" eb="2">
      <t>オカザキ</t>
    </rPh>
    <rPh sb="3" eb="5">
      <t>トヨハシ</t>
    </rPh>
    <phoneticPr fontId="2"/>
  </si>
  <si>
    <t>アパホテル新大阪駅前</t>
    <rPh sb="5" eb="8">
      <t>シンオオサカ</t>
    </rPh>
    <rPh sb="8" eb="10">
      <t>エキマエ</t>
    </rPh>
    <phoneticPr fontId="2"/>
  </si>
  <si>
    <t>馬術①</t>
    <rPh sb="0" eb="2">
      <t>バジュツ</t>
    </rPh>
    <phoneticPr fontId="2"/>
  </si>
  <si>
    <t>吉祥寺東急REIホテル</t>
    <rPh sb="0" eb="3">
      <t>キチジョウジ</t>
    </rPh>
    <rPh sb="3" eb="5">
      <t>トウキュウ</t>
    </rPh>
    <phoneticPr fontId="2"/>
  </si>
  <si>
    <t>馬術②</t>
    <rPh sb="0" eb="2">
      <t>バジュツ</t>
    </rPh>
    <phoneticPr fontId="2"/>
  </si>
  <si>
    <t>パラバドミントン①</t>
    <phoneticPr fontId="2"/>
  </si>
  <si>
    <t>パラ水泳②</t>
    <phoneticPr fontId="2"/>
  </si>
  <si>
    <t>パラテコンドー</t>
  </si>
  <si>
    <t>アパホテル＜名古屋栄駅前＞ECCELLENT</t>
    <rPh sb="6" eb="9">
      <t>ナゴヤ</t>
    </rPh>
    <rPh sb="9" eb="10">
      <t>サカエ</t>
    </rPh>
    <rPh sb="10" eb="12">
      <t>エキマエ</t>
    </rPh>
    <phoneticPr fontId="2"/>
  </si>
  <si>
    <t>アパホテル＜名古屋栄北＞</t>
    <rPh sb="6" eb="9">
      <t>ナゴヤ</t>
    </rPh>
    <rPh sb="9" eb="10">
      <t>サカエ</t>
    </rPh>
    <rPh sb="10" eb="11">
      <t>キタ</t>
    </rPh>
    <phoneticPr fontId="2"/>
  </si>
  <si>
    <t>西鉄ホテルクルーム名古屋</t>
    <rPh sb="0" eb="2">
      <t>ニシテツ</t>
    </rPh>
    <rPh sb="9" eb="12">
      <t>ナゴヤ</t>
    </rPh>
    <phoneticPr fontId="2"/>
  </si>
  <si>
    <t>パラ水泳①</t>
    <phoneticPr fontId="2"/>
  </si>
  <si>
    <t>アパホテル名古屋伏見駅北</t>
    <rPh sb="5" eb="8">
      <t>ナゴヤ</t>
    </rPh>
    <rPh sb="8" eb="10">
      <t>フシミ</t>
    </rPh>
    <rPh sb="10" eb="11">
      <t>エキ</t>
    </rPh>
    <rPh sb="11" eb="12">
      <t>キタ</t>
    </rPh>
    <phoneticPr fontId="2"/>
  </si>
  <si>
    <t>JADA（名古屋）</t>
    <rPh sb="5" eb="8">
      <t>ナゴヤ</t>
    </rPh>
    <phoneticPr fontId="2"/>
  </si>
  <si>
    <t>ホテルルートイン一宮駅前</t>
    <rPh sb="8" eb="10">
      <t>イチノミヤ</t>
    </rPh>
    <rPh sb="10" eb="12">
      <t>エキマエ</t>
    </rPh>
    <phoneticPr fontId="2"/>
  </si>
  <si>
    <t>パラバドミントン②</t>
    <phoneticPr fontId="2"/>
  </si>
  <si>
    <t>東横INN豊田市駅前</t>
    <rPh sb="0" eb="2">
      <t>トウヨコ</t>
    </rPh>
    <rPh sb="5" eb="9">
      <t>トヨタシエキ</t>
    </rPh>
    <rPh sb="9" eb="10">
      <t>マエ</t>
    </rPh>
    <phoneticPr fontId="2"/>
  </si>
  <si>
    <t>DCO（豊田）</t>
    <rPh sb="4" eb="6">
      <t>トヨタ</t>
    </rPh>
    <phoneticPr fontId="2"/>
  </si>
  <si>
    <t>ー</t>
    <phoneticPr fontId="2"/>
  </si>
  <si>
    <t>知立市</t>
    <rPh sb="0" eb="3">
      <t>チリュウシ</t>
    </rPh>
    <phoneticPr fontId="2"/>
  </si>
  <si>
    <t>ホテルクラウンパレス知立</t>
    <rPh sb="10" eb="12">
      <t>チリュウ</t>
    </rPh>
    <phoneticPr fontId="2"/>
  </si>
  <si>
    <t>東横INN豊橋駅東口</t>
    <rPh sb="0" eb="2">
      <t>トウヨコ</t>
    </rPh>
    <rPh sb="5" eb="7">
      <t>トヨハシ</t>
    </rPh>
    <rPh sb="7" eb="8">
      <t>エキ</t>
    </rPh>
    <rPh sb="8" eb="10">
      <t>ヒガシグチ</t>
    </rPh>
    <phoneticPr fontId="2"/>
  </si>
  <si>
    <t>DCO（豊橋）</t>
    <rPh sb="4" eb="6">
      <t>トヨハシ</t>
    </rPh>
    <phoneticPr fontId="2"/>
  </si>
  <si>
    <t>ゴルフ選手団と在庫共有</t>
    <rPh sb="3" eb="6">
      <t>センシュダン</t>
    </rPh>
    <rPh sb="7" eb="11">
      <t>ザイコキョウユウ</t>
    </rPh>
    <phoneticPr fontId="2"/>
  </si>
  <si>
    <t>サッカー技術役員と在庫共有</t>
  </si>
  <si>
    <t>国際要人ホテルと在庫共有</t>
    <rPh sb="0" eb="2">
      <t>コクサイ</t>
    </rPh>
    <rPh sb="2" eb="4">
      <t>ヨウジン</t>
    </rPh>
    <rPh sb="8" eb="10">
      <t>ザイコ</t>
    </rPh>
    <rPh sb="10" eb="12">
      <t>キョウユウ</t>
    </rPh>
    <phoneticPr fontId="3"/>
  </si>
  <si>
    <t>県秘書課と在庫共有</t>
  </si>
  <si>
    <t>オブザーバープログラム（50室）と在庫共有</t>
    <rPh sb="17" eb="19">
      <t>ザイコ</t>
    </rPh>
    <rPh sb="19" eb="21">
      <t>キョウユウ</t>
    </rPh>
    <phoneticPr fontId="3"/>
  </si>
  <si>
    <t>ベッセルイン栄駅前</t>
    <rPh sb="6" eb="7">
      <t>サカエ</t>
    </rPh>
    <rPh sb="7" eb="9">
      <t>エキマエ</t>
    </rPh>
    <phoneticPr fontId="4"/>
  </si>
  <si>
    <t>（27分/13km）</t>
    <rPh sb="3" eb="4">
      <t>フン</t>
    </rPh>
    <phoneticPr fontId="4"/>
  </si>
  <si>
    <t>エコノミー</t>
  </si>
  <si>
    <t>（24分/9.9km）</t>
    <rPh sb="3" eb="4">
      <t>フン</t>
    </rPh>
    <phoneticPr fontId="4"/>
  </si>
  <si>
    <t>（23分/11km）</t>
    <rPh sb="3" eb="4">
      <t>フン</t>
    </rPh>
    <phoneticPr fontId="4"/>
  </si>
  <si>
    <t>（40分/38km）</t>
    <rPh sb="3" eb="4">
      <t>フン</t>
    </rPh>
    <phoneticPr fontId="4"/>
  </si>
  <si>
    <t>行幸啓で使用する可能性あり</t>
    <rPh sb="0" eb="3">
      <t>ギョウコウケイ</t>
    </rPh>
    <rPh sb="4" eb="6">
      <t>シヨウ</t>
    </rPh>
    <rPh sb="8" eb="11">
      <t>カノウセイ</t>
    </rPh>
    <phoneticPr fontId="4"/>
  </si>
  <si>
    <t>くれたけイン浜松駅南口 プレミアム</t>
    <phoneticPr fontId="2"/>
  </si>
  <si>
    <t>愛知県外</t>
    <rPh sb="0" eb="3">
      <t>アイチケン</t>
    </rPh>
    <rPh sb="3" eb="4">
      <t>ガイ</t>
    </rPh>
    <phoneticPr fontId="2"/>
  </si>
  <si>
    <t>浜松ステーションホテル</t>
    <phoneticPr fontId="2"/>
  </si>
  <si>
    <t>ホテル ソリッソ 浜松</t>
    <phoneticPr fontId="2"/>
  </si>
  <si>
    <t>ヴィアインあべの天王寺</t>
    <rPh sb="8" eb="11">
      <t>テンノウジ</t>
    </rPh>
    <phoneticPr fontId="4"/>
  </si>
  <si>
    <t>アパホテル〈天王寺駅前〉</t>
  </si>
  <si>
    <t>東横INNあべの天王寺</t>
  </si>
  <si>
    <t>コンフォートホテル大阪心斎橋</t>
  </si>
  <si>
    <t>ナゴヤグランドホテル</t>
  </si>
  <si>
    <t>アパホテル&lt;名古屋駅前&gt;</t>
  </si>
  <si>
    <t xml:space="preserve"> 名鉄イン名古屋駅前</t>
  </si>
  <si>
    <t>ツイン</t>
    <phoneticPr fontId="2"/>
  </si>
  <si>
    <t>シングル、ツイン</t>
    <phoneticPr fontId="2"/>
  </si>
  <si>
    <t>アパホテル＜名古屋駅前＞</t>
    <rPh sb="6" eb="10">
      <t>ナゴヤエキ</t>
    </rPh>
    <rPh sb="10" eb="11">
      <t>マエ</t>
    </rPh>
    <phoneticPr fontId="2"/>
  </si>
  <si>
    <t>◆アジア競技大会提供客室　(ソフトテニス選手）</t>
    <rPh sb="4" eb="6">
      <t>キョウギ</t>
    </rPh>
    <rPh sb="6" eb="8">
      <t>タイカイ</t>
    </rPh>
    <rPh sb="8" eb="10">
      <t>テイキョウ</t>
    </rPh>
    <rPh sb="10" eb="12">
      <t>キャクシツ</t>
    </rPh>
    <rPh sb="20" eb="22">
      <t>センシュ</t>
    </rPh>
    <phoneticPr fontId="59"/>
  </si>
  <si>
    <r>
      <t xml:space="preserve">本番期間客室単価/室
</t>
    </r>
    <r>
      <rPr>
        <sz val="11"/>
        <color theme="1"/>
        <rFont val="游ゴシック Regular"/>
        <family val="3"/>
        <charset val="128"/>
      </rPr>
      <t>※1泊朝食
（利用人数分）/</t>
    </r>
    <r>
      <rPr>
        <sz val="11"/>
        <color rgb="FFFF0000"/>
        <rFont val="游ゴシック Regular"/>
        <family val="3"/>
        <charset val="128"/>
      </rPr>
      <t>税サ込</t>
    </r>
    <rPh sb="0" eb="2">
      <t>ホンバン</t>
    </rPh>
    <rPh sb="2" eb="4">
      <t>キカン</t>
    </rPh>
    <rPh sb="13" eb="14">
      <t>ハク</t>
    </rPh>
    <rPh sb="14" eb="16">
      <t>チョウショク</t>
    </rPh>
    <rPh sb="18" eb="20">
      <t>リヨウ</t>
    </rPh>
    <rPh sb="20" eb="22">
      <t>ニンズウ</t>
    </rPh>
    <rPh sb="21" eb="22">
      <t>スウ</t>
    </rPh>
    <rPh sb="22" eb="23">
      <t>ブン</t>
    </rPh>
    <rPh sb="25" eb="26">
      <t>ゼイ</t>
    </rPh>
    <rPh sb="27" eb="28">
      <t>コミ</t>
    </rPh>
    <phoneticPr fontId="2"/>
  </si>
  <si>
    <t>2名利用時は＋3,000円</t>
    <rPh sb="1" eb="2">
      <t>メイ</t>
    </rPh>
    <rPh sb="2" eb="5">
      <t>リヨウジ</t>
    </rPh>
    <rPh sb="12" eb="13">
      <t>エン</t>
    </rPh>
    <phoneticPr fontId="2"/>
  </si>
  <si>
    <t>プレミアツイン</t>
    <phoneticPr fontId="2"/>
  </si>
  <si>
    <t>ポプラ</t>
  </si>
  <si>
    <t>ベルフィユ</t>
  </si>
  <si>
    <t>ビジネスセンター1</t>
  </si>
  <si>
    <t>ビジネスセンター2</t>
  </si>
  <si>
    <t>ビジネスセンター3</t>
  </si>
  <si>
    <t>ビジネスセンター４</t>
  </si>
  <si>
    <t>ビジネスセンター５</t>
  </si>
  <si>
    <t>ビジネスセンター６</t>
  </si>
  <si>
    <t>期間を変更：9/12-10/2→9/13-10/5</t>
  </si>
  <si>
    <t>期間を変更：9/12-10/2→9/12-10/5</t>
  </si>
  <si>
    <t>期間を変更：10/3→10/6</t>
  </si>
  <si>
    <t>別紙</t>
    <rPh sb="0" eb="2">
      <t>ベッシ</t>
    </rPh>
    <phoneticPr fontId="2"/>
  </si>
  <si>
    <t>見積</t>
    <rPh sb="0" eb="2">
      <t>ミツモリ</t>
    </rPh>
    <phoneticPr fontId="2"/>
  </si>
  <si>
    <t>有無</t>
    <rPh sb="0" eb="2">
      <t>ウム</t>
    </rPh>
    <phoneticPr fontId="2"/>
  </si>
  <si>
    <t>あり</t>
    <phoneticPr fontId="2"/>
  </si>
  <si>
    <r>
      <t xml:space="preserve">料金
</t>
    </r>
    <r>
      <rPr>
        <b/>
        <sz val="11"/>
        <color indexed="10"/>
        <rFont val="游ゴシック Regular"/>
        <family val="3"/>
        <charset val="128"/>
      </rPr>
      <t>※サ込税込</t>
    </r>
    <rPh sb="0" eb="2">
      <t>リョウキン</t>
    </rPh>
    <rPh sb="5" eb="6">
      <t>コミ</t>
    </rPh>
    <rPh sb="6" eb="8">
      <t>ゼイコミ</t>
    </rPh>
    <phoneticPr fontId="299"/>
  </si>
  <si>
    <r>
      <t xml:space="preserve">料金計
</t>
    </r>
    <r>
      <rPr>
        <b/>
        <sz val="11"/>
        <color indexed="10"/>
        <rFont val="游ゴシック Regular"/>
        <family val="3"/>
        <charset val="128"/>
      </rPr>
      <t>※サ込税込</t>
    </r>
    <rPh sb="0" eb="2">
      <t>リョウキン</t>
    </rPh>
    <rPh sb="2" eb="3">
      <t>ケイ</t>
    </rPh>
    <rPh sb="8" eb="9">
      <t>コミ</t>
    </rPh>
    <phoneticPr fontId="299"/>
  </si>
  <si>
    <t>※元から税込</t>
    <rPh sb="1" eb="2">
      <t>モト</t>
    </rPh>
    <rPh sb="4" eb="6">
      <t>ゼイコミ</t>
    </rPh>
    <phoneticPr fontId="2"/>
  </si>
  <si>
    <t>2019_グランドメルキュール浜名湖リゾート＆スパ</t>
    <rPh sb="15" eb="18">
      <t>ハマナコ</t>
    </rPh>
    <phoneticPr fontId="2"/>
  </si>
  <si>
    <t>0067_東横INN名古屋名駅南</t>
    <rPh sb="10" eb="13">
      <t>ナゴヤ</t>
    </rPh>
    <phoneticPr fontId="2"/>
  </si>
  <si>
    <t>あり</t>
    <phoneticPr fontId="2"/>
  </si>
  <si>
    <t>見積</t>
    <rPh sb="0" eb="2">
      <t>ミツモリ</t>
    </rPh>
    <phoneticPr fontId="2"/>
  </si>
  <si>
    <t>有無</t>
    <rPh sb="0" eb="2">
      <t>ウム</t>
    </rPh>
    <phoneticPr fontId="2"/>
  </si>
  <si>
    <t>あり</t>
    <phoneticPr fontId="2"/>
  </si>
  <si>
    <t>見積</t>
    <rPh sb="0" eb="2">
      <t>ミツモリ</t>
    </rPh>
    <phoneticPr fontId="2"/>
  </si>
  <si>
    <t>有無</t>
    <rPh sb="0" eb="2">
      <t>ウム</t>
    </rPh>
    <phoneticPr fontId="2"/>
  </si>
  <si>
    <t>HOTEL LiVEMAXBUDGET名古屋太閤通口</t>
    <phoneticPr fontId="2"/>
  </si>
  <si>
    <t>くれたけインプレミアム名古屋納屋橋</t>
    <phoneticPr fontId="2"/>
  </si>
  <si>
    <t>Hamilton Hotel -BLUE-名駅南</t>
    <phoneticPr fontId="2"/>
  </si>
  <si>
    <t>フォーポイント フレックス by シェラトン 名古屋駅前</t>
    <phoneticPr fontId="2"/>
  </si>
  <si>
    <t>HOTEL LiVEMAX名古屋桜通口</t>
    <phoneticPr fontId="2"/>
  </si>
  <si>
    <t>HOTEL LiVEMAX名駅</t>
    <phoneticPr fontId="2"/>
  </si>
  <si>
    <t>サイプレス　ガーデンホテル</t>
    <phoneticPr fontId="59"/>
  </si>
  <si>
    <t>フォーポイント フレックス by シェラトン 名古屋駅前</t>
    <phoneticPr fontId="2"/>
  </si>
  <si>
    <t>188_名鉄イン刈谷</t>
    <phoneticPr fontId="2"/>
  </si>
  <si>
    <t>0186_フォーポイントフレックスbyシェラトン名古屋駅</t>
    <rPh sb="24" eb="27">
      <t>ナゴヤ</t>
    </rPh>
    <rPh sb="27" eb="28">
      <t>エキ</t>
    </rPh>
    <phoneticPr fontId="2"/>
  </si>
  <si>
    <t>HOTEL LiVEMAXBUDGET名古屋太閤通口</t>
    <phoneticPr fontId="2"/>
  </si>
  <si>
    <t>3034_グランドプリンスホテル大阪ベイ</t>
    <phoneticPr fontId="2"/>
  </si>
  <si>
    <t>3030_多治見天然温泉 ホテルルートイン多治見インター</t>
    <phoneticPr fontId="2"/>
  </si>
  <si>
    <t>3028_愛知県野外教育センター</t>
    <phoneticPr fontId="2"/>
  </si>
  <si>
    <t>3029_カントリーハウス　ル・シュール</t>
    <phoneticPr fontId="2"/>
  </si>
  <si>
    <t>3031_ホテルワイナリーヒル</t>
    <phoneticPr fontId="2"/>
  </si>
  <si>
    <t>チサンスタンダード大阪新今宮</t>
    <phoneticPr fontId="2"/>
  </si>
  <si>
    <t>3033_グランドホテル浜松</t>
    <phoneticPr fontId="2"/>
  </si>
  <si>
    <t>3036_吉祥寺東急REIホテル</t>
    <phoneticPr fontId="2"/>
  </si>
  <si>
    <t>3037_アパホテル名古屋伏見駅北</t>
    <phoneticPr fontId="2"/>
  </si>
  <si>
    <t>3038_ナゴヤグランドホテル</t>
    <phoneticPr fontId="2"/>
  </si>
  <si>
    <t>3039_くれたけイン浜松駅南口プレミアム</t>
    <phoneticPr fontId="2"/>
  </si>
  <si>
    <t>3040_浜松ステーションホテル</t>
    <phoneticPr fontId="2"/>
  </si>
  <si>
    <t>3041_ホテルソリッソ浜松</t>
    <phoneticPr fontId="2"/>
  </si>
  <si>
    <t>3042_ヴィアインあべの天王寺</t>
    <phoneticPr fontId="2"/>
  </si>
  <si>
    <t>3043_アパホテル〈天王寺駅前〉</t>
    <phoneticPr fontId="2"/>
  </si>
  <si>
    <t>3044_東横インあべの天王寺</t>
    <phoneticPr fontId="2"/>
  </si>
  <si>
    <t>3045_コンフォートホテル大阪心斎橋</t>
    <phoneticPr fontId="2"/>
  </si>
  <si>
    <t>3046_ホテルリブマックス東京潮見駅前</t>
    <phoneticPr fontId="2"/>
  </si>
  <si>
    <t>1038_東横イン名古屋駅桜通口新館</t>
    <phoneticPr fontId="2"/>
  </si>
  <si>
    <t>0271_コンフォートホテル豊川</t>
    <rPh sb="14" eb="16">
      <t>トヨカワ</t>
    </rPh>
    <phoneticPr fontId="2"/>
  </si>
  <si>
    <t>0166_東横INN名古屋金山</t>
    <phoneticPr fontId="2"/>
  </si>
  <si>
    <t>1ベッドあたり平均単価
マクロ連動</t>
    <rPh sb="7" eb="11">
      <t>ヘイキンタンカ</t>
    </rPh>
    <rPh sb="15" eb="17">
      <t>レンドウ</t>
    </rPh>
    <phoneticPr fontId="2"/>
  </si>
  <si>
    <t>7/30版</t>
    <rPh sb="4" eb="5">
      <t>バン</t>
    </rPh>
    <phoneticPr fontId="2"/>
  </si>
  <si>
    <t>差額（足りないとマイナス）</t>
    <rPh sb="0" eb="2">
      <t>サガク</t>
    </rPh>
    <rPh sb="3" eb="4">
      <t>タ</t>
    </rPh>
    <phoneticPr fontId="2"/>
  </si>
  <si>
    <t>差額（足りないとプラス）</t>
    <rPh sb="0" eb="2">
      <t>サガク</t>
    </rPh>
    <rPh sb="3" eb="4">
      <t>タ</t>
    </rPh>
    <phoneticPr fontId="2"/>
  </si>
  <si>
    <t>内示金額（7/31枠要求）</t>
    <rPh sb="0" eb="2">
      <t>ナイジ</t>
    </rPh>
    <rPh sb="2" eb="4">
      <t>キンガク</t>
    </rPh>
    <rPh sb="9" eb="12">
      <t>ワクヨウキュウ</t>
    </rPh>
    <phoneticPr fontId="46"/>
  </si>
  <si>
    <t>25/10時点</t>
    <rPh sb="5" eb="7">
      <t>ジテン</t>
    </rPh>
    <phoneticPr fontId="46"/>
  </si>
  <si>
    <t>　※クリーンベニューの営業補償については、査定が入ったため、各ホテル1日あたり1,496千円の範囲内で対応可</t>
    <rPh sb="11" eb="13">
      <t>エイギョウ</t>
    </rPh>
    <rPh sb="13" eb="15">
      <t>ホショウ</t>
    </rPh>
    <rPh sb="21" eb="23">
      <t>サテイ</t>
    </rPh>
    <rPh sb="24" eb="25">
      <t>ハイ</t>
    </rPh>
    <rPh sb="30" eb="31">
      <t>カク</t>
    </rPh>
    <rPh sb="35" eb="36">
      <t>ニチ</t>
    </rPh>
    <rPh sb="44" eb="45">
      <t>チ</t>
    </rPh>
    <rPh sb="45" eb="46">
      <t>エン</t>
    </rPh>
    <rPh sb="47" eb="50">
      <t>ハンイナイ</t>
    </rPh>
    <rPh sb="51" eb="53">
      <t>タイオウ</t>
    </rPh>
    <rPh sb="53" eb="54">
      <t>カ</t>
    </rPh>
    <phoneticPr fontId="2"/>
  </si>
  <si>
    <t>7月要求時との差額</t>
    <rPh sb="1" eb="2">
      <t>ガツ</t>
    </rPh>
    <rPh sb="2" eb="5">
      <t>ヨウキュウジ</t>
    </rPh>
    <rPh sb="7" eb="9">
      <t>サガク</t>
    </rPh>
    <phoneticPr fontId="46"/>
  </si>
  <si>
    <t>↑要求額　※32,594,602千円</t>
    <rPh sb="1" eb="3">
      <t>ヨウキュウ</t>
    </rPh>
    <rPh sb="3" eb="4">
      <t>ガク</t>
    </rPh>
    <rPh sb="16" eb="18">
      <t>センエン</t>
    </rPh>
    <phoneticPr fontId="2"/>
  </si>
  <si>
    <t>これ分からん、なんで？</t>
    <rPh sb="2" eb="3">
      <t>ワ</t>
    </rPh>
    <phoneticPr fontId="2"/>
  </si>
  <si>
    <t>営業補償の査定の関係かなあ</t>
    <rPh sb="0" eb="4">
      <t>エイギョウホショウ</t>
    </rPh>
    <rPh sb="5" eb="7">
      <t>サテイ</t>
    </rPh>
    <rPh sb="8" eb="10">
      <t>カンケイ</t>
    </rPh>
    <phoneticPr fontId="2"/>
  </si>
  <si>
    <t>10/17版</t>
    <rPh sb="5" eb="6">
      <t>バン</t>
    </rPh>
    <phoneticPr fontId="2"/>
  </si>
  <si>
    <t>（完調品調達費用）</t>
    <rPh sb="1" eb="4">
      <t>カンチョウヒン</t>
    </rPh>
    <rPh sb="4" eb="8">
      <t>チョウタツヒヨウ</t>
    </rPh>
    <phoneticPr fontId="46"/>
  </si>
  <si>
    <t>（ホテル経費）</t>
    <rPh sb="4" eb="6">
      <t>ケイヒ</t>
    </rPh>
    <phoneticPr fontId="46"/>
  </si>
  <si>
    <t>　※飲食費（通常食対応）</t>
    <rPh sb="2" eb="5">
      <t>インショクヒ</t>
    </rPh>
    <rPh sb="6" eb="9">
      <t>ツウジョウショク</t>
    </rPh>
    <rPh sb="9" eb="11">
      <t>タイオウ</t>
    </rPh>
    <phoneticPr fontId="2"/>
  </si>
  <si>
    <t>入湯税or宿泊税_アジアメディア</t>
    <rPh sb="0" eb="3">
      <t>ニュウトウゼイ</t>
    </rPh>
    <rPh sb="5" eb="8">
      <t>シュクハクゼイ</t>
    </rPh>
    <phoneticPr fontId="2"/>
  </si>
  <si>
    <t>　※スポンサー・メディアのホテルについては、積算単価が2021年時点のものであるため、客室単価に1.34（宿泊料物価上昇率）を掛けている</t>
    <rPh sb="22" eb="24">
      <t>セキサン</t>
    </rPh>
    <rPh sb="24" eb="26">
      <t>タンカ</t>
    </rPh>
    <rPh sb="31" eb="32">
      <t>ネン</t>
    </rPh>
    <rPh sb="32" eb="34">
      <t>ジテン</t>
    </rPh>
    <rPh sb="43" eb="47">
      <t>キャクシツタンカ</t>
    </rPh>
    <rPh sb="53" eb="56">
      <t>シュクハクリョウ</t>
    </rPh>
    <rPh sb="56" eb="61">
      <t>ブッカジョウショウリツ</t>
    </rPh>
    <rPh sb="63" eb="64">
      <t>カ</t>
    </rPh>
    <phoneticPr fontId="2"/>
  </si>
  <si>
    <t>ACM積算分差し引き</t>
    <phoneticPr fontId="2"/>
  </si>
  <si>
    <t>FNB積算分差し引き</t>
    <rPh sb="3" eb="5">
      <t>セキサン</t>
    </rPh>
    <rPh sb="5" eb="6">
      <t>ブン</t>
    </rPh>
    <rPh sb="6" eb="7">
      <t>サ</t>
    </rPh>
    <rPh sb="8" eb="9">
      <t>ヒ</t>
    </rPh>
    <phoneticPr fontId="2"/>
  </si>
  <si>
    <t>★ハラルヴィーガン　昨年度要求時</t>
    <rPh sb="10" eb="13">
      <t>サクネンド</t>
    </rPh>
    <rPh sb="13" eb="15">
      <t>ヨウキュウ</t>
    </rPh>
    <rPh sb="15" eb="16">
      <t>ジ</t>
    </rPh>
    <phoneticPr fontId="2"/>
  </si>
  <si>
    <t>★ハラルヴィーガン　昨年度査定時（現実的には破綻）</t>
    <rPh sb="10" eb="13">
      <t>サクネンド</t>
    </rPh>
    <rPh sb="13" eb="15">
      <t>サテイ</t>
    </rPh>
    <rPh sb="15" eb="16">
      <t>ジ</t>
    </rPh>
    <rPh sb="17" eb="20">
      <t>ゲンジツテキ</t>
    </rPh>
    <rPh sb="22" eb="24">
      <t>ハタン</t>
    </rPh>
    <phoneticPr fontId="2"/>
  </si>
  <si>
    <t>★ハラルヴィーガン　今回要求時</t>
    <rPh sb="10" eb="12">
      <t>コンカイ</t>
    </rPh>
    <rPh sb="12" eb="14">
      <t>ヨウキュウ</t>
    </rPh>
    <rPh sb="14" eb="15">
      <t>ジ</t>
    </rPh>
    <phoneticPr fontId="2"/>
  </si>
  <si>
    <t>変動理由列記（宿泊費および会議室）</t>
    <rPh sb="0" eb="2">
      <t>ヘンドウ</t>
    </rPh>
    <rPh sb="2" eb="4">
      <t>リユウ</t>
    </rPh>
    <rPh sb="4" eb="6">
      <t>レッキ</t>
    </rPh>
    <rPh sb="7" eb="10">
      <t>シュクハクヒ</t>
    </rPh>
    <rPh sb="13" eb="16">
      <t>カイギシツ</t>
    </rPh>
    <phoneticPr fontId="46"/>
  </si>
  <si>
    <t>変動理由列記（飲食費）</t>
    <rPh sb="0" eb="2">
      <t>ヘンドウ</t>
    </rPh>
    <rPh sb="2" eb="4">
      <t>リユウ</t>
    </rPh>
    <rPh sb="4" eb="6">
      <t>レッキ</t>
    </rPh>
    <rPh sb="7" eb="10">
      <t>インショクヒ</t>
    </rPh>
    <phoneticPr fontId="46"/>
  </si>
  <si>
    <r>
      <t>※実際のところ、</t>
    </r>
    <r>
      <rPr>
        <b/>
        <sz val="11"/>
        <color rgb="FFFF0000"/>
        <rFont val="ＭＳ Ｐゴシック"/>
        <family val="3"/>
        <charset val="128"/>
        <scheme val="minor"/>
      </rPr>
      <t>ハラルサポート分を除いても普通にそこそこ食事単価がかかる（人件費はかかる。共通メニューに関しては当然食材費などもかかる）</t>
    </r>
    <r>
      <rPr>
        <sz val="11"/>
        <color theme="1"/>
        <rFont val="ＭＳ Ｐゴシック"/>
        <family val="3"/>
        <charset val="128"/>
        <scheme val="minor"/>
      </rPr>
      <t>ため、今回要求</t>
    </r>
    <rPh sb="1" eb="3">
      <t>ジッサイ</t>
    </rPh>
    <rPh sb="71" eb="73">
      <t>コンカイ</t>
    </rPh>
    <rPh sb="73" eb="75">
      <t>ヨウキュウ</t>
    </rPh>
    <phoneticPr fontId="2"/>
  </si>
  <si>
    <t>円</t>
    <rPh sb="0" eb="1">
      <t>エン</t>
    </rPh>
    <phoneticPr fontId="2"/>
  </si>
  <si>
    <t>22,164円　※枠要求の段階でこの単価に修正済</t>
    <rPh sb="6" eb="7">
      <t>エン</t>
    </rPh>
    <rPh sb="9" eb="12">
      <t>ワクヨウキュウ</t>
    </rPh>
    <rPh sb="13" eb="15">
      <t>ダンカイ</t>
    </rPh>
    <rPh sb="18" eb="20">
      <t>タンカ</t>
    </rPh>
    <rPh sb="21" eb="23">
      <t>シュウセイ</t>
    </rPh>
    <rPh sb="23" eb="24">
      <t>ズ</t>
    </rPh>
    <phoneticPr fontId="2"/>
  </si>
  <si>
    <t>追加</t>
    <rPh sb="0" eb="2">
      <t>ツイカ</t>
    </rPh>
    <phoneticPr fontId="2"/>
  </si>
  <si>
    <t>3,164円</t>
    <rPh sb="5" eb="6">
      <t>エン</t>
    </rPh>
    <phoneticPr fontId="2"/>
  </si>
  <si>
    <t>19,000円</t>
    <phoneticPr fontId="2"/>
  </si>
  <si>
    <t>ハラル完調品費用当初</t>
    <rPh sb="3" eb="6">
      <t>カンチョウヒン</t>
    </rPh>
    <rPh sb="6" eb="8">
      <t>ヒヨウ</t>
    </rPh>
    <rPh sb="8" eb="10">
      <t>トウショ</t>
    </rPh>
    <phoneticPr fontId="2"/>
  </si>
  <si>
    <r>
      <t>　アジア：空港島運営経費については経営からの査定に基づき減額
　共通：昼食および夕食について、ホテルからの見積もりを基に金額を更新していくと、</t>
    </r>
    <r>
      <rPr>
        <b/>
        <sz val="18"/>
        <color rgb="FFFF0000"/>
        <rFont val="メイリオ"/>
        <family val="3"/>
        <charset val="128"/>
      </rPr>
      <t>食費が16,900円では足りないことが見込まれるため平均単価を22,104円と設定</t>
    </r>
    <r>
      <rPr>
        <b/>
        <sz val="18"/>
        <color theme="1"/>
        <rFont val="メイリオ"/>
        <family val="3"/>
        <charset val="128"/>
      </rPr>
      <t>　
　　　　　※各施設の見積もりの平均（見積もりが来ているホテルの平均）
　共通：アスリートミール差額については、ホテルの変動に伴い増加
　共通：選手団以外のホテルについて、ホテル変動に伴い変動（減少）
　共通：ハラルヴィーガンについて、ホテル自前の金額については先述の通り平均単価を22,104円と設定
　共通：ハラルヴィーガンについて、完調品対応の中で、</t>
    </r>
    <r>
      <rPr>
        <b/>
        <sz val="18"/>
        <color rgb="FFFF0000"/>
        <rFont val="メイリオ"/>
        <family val="3"/>
        <charset val="128"/>
      </rPr>
      <t>完調品調達費用以外の部分（共通する食材の調達費、人件費）について積算がされていなかった（昨年度経営から査定で切られた）</t>
    </r>
    <r>
      <rPr>
        <b/>
        <sz val="18"/>
        <color theme="1"/>
        <rFont val="メイリオ"/>
        <family val="3"/>
        <charset val="128"/>
      </rPr>
      <t>が、
　　　　ホテルからの見積もりを基に金額を更新していくと</t>
    </r>
    <r>
      <rPr>
        <b/>
        <sz val="18"/>
        <color rgb="FFFF0000"/>
        <rFont val="メイリオ"/>
        <family val="3"/>
        <charset val="128"/>
      </rPr>
      <t>足りないことが判明したため、平均額を20,590円と定めた上で積算</t>
    </r>
    <r>
      <rPr>
        <b/>
        <sz val="18"/>
        <color theme="1"/>
        <rFont val="メイリオ"/>
        <family val="3"/>
        <charset val="128"/>
      </rPr>
      <t xml:space="preserve">
　共通：平均単価に対しての係数（のべ人数）が変動しているため、それに伴い金額も変動
　共通：移動式宿泊施設やクルーズ船の定員問題に伴う配宿変更は考慮していない</t>
    </r>
    <rPh sb="5" eb="8">
      <t>クウコウジマ</t>
    </rPh>
    <rPh sb="8" eb="10">
      <t>ウンエイ</t>
    </rPh>
    <rPh sb="10" eb="12">
      <t>ケイヒ</t>
    </rPh>
    <rPh sb="17" eb="19">
      <t>ケイエイ</t>
    </rPh>
    <rPh sb="22" eb="24">
      <t>サテイ</t>
    </rPh>
    <rPh sb="25" eb="26">
      <t>モト</t>
    </rPh>
    <rPh sb="28" eb="30">
      <t>ゲンガク</t>
    </rPh>
    <rPh sb="151" eb="153">
      <t>キョウツウ</t>
    </rPh>
    <rPh sb="183" eb="185">
      <t>キョウツウ</t>
    </rPh>
    <rPh sb="216" eb="218">
      <t>キョウツウ</t>
    </rPh>
    <rPh sb="267" eb="269">
      <t>キョウツウ</t>
    </rPh>
    <rPh sb="416" eb="418">
      <t>キョウツウ</t>
    </rPh>
    <rPh sb="419" eb="423">
      <t>ヘイキンタンカ</t>
    </rPh>
    <rPh sb="424" eb="425">
      <t>タイ</t>
    </rPh>
    <rPh sb="428" eb="430">
      <t>ケイスウ</t>
    </rPh>
    <rPh sb="433" eb="435">
      <t>ニンズウ</t>
    </rPh>
    <rPh sb="437" eb="439">
      <t>ヘンドウ</t>
    </rPh>
    <rPh sb="449" eb="450">
      <t>トモナ</t>
    </rPh>
    <rPh sb="451" eb="453">
      <t>キンガク</t>
    </rPh>
    <rPh sb="454" eb="456">
      <t>ヘンドウ</t>
    </rPh>
    <phoneticPr fontId="46"/>
  </si>
  <si>
    <r>
      <t>　アジア：選手団について、</t>
    </r>
    <r>
      <rPr>
        <b/>
        <sz val="18"/>
        <color rgb="FFFF0000"/>
        <rFont val="メイリオ"/>
        <family val="3"/>
        <charset val="128"/>
      </rPr>
      <t>ホテル事情（Jホテルりんくう）</t>
    </r>
    <r>
      <rPr>
        <b/>
        <sz val="18"/>
        <rFont val="メイリオ"/>
        <family val="3"/>
        <charset val="128"/>
      </rPr>
      <t>や</t>
    </r>
    <r>
      <rPr>
        <b/>
        <sz val="18"/>
        <color rgb="FFFF0000"/>
        <rFont val="メイリオ"/>
        <family val="3"/>
        <charset val="128"/>
      </rPr>
      <t>選手団人数の変動、選手団配宿前提条件（ゴルフ、ソフトテニス、野球）の変動</t>
    </r>
    <r>
      <rPr>
        <b/>
        <sz val="18"/>
        <color theme="1"/>
        <rFont val="メイリオ"/>
        <family val="3"/>
        <charset val="128"/>
      </rPr>
      <t>による配宿計画の変更により人泊数の内訳変動、加えて宿泊施設増加
　アジア：技術役員について、2025年版の客室料金見積が多くのホテルで存在するため、金額を更新するとともに、</t>
    </r>
    <r>
      <rPr>
        <b/>
        <sz val="18"/>
        <color rgb="FFFF0000"/>
        <rFont val="メイリオ"/>
        <family val="3"/>
        <charset val="128"/>
      </rPr>
      <t>1.34倍を解除</t>
    </r>
    <r>
      <rPr>
        <b/>
        <sz val="18"/>
        <color theme="1"/>
        <rFont val="メイリオ"/>
        <family val="3"/>
        <charset val="128"/>
      </rPr>
      <t xml:space="preserve">
　アジア：選手団以外のホテルにおいて、</t>
    </r>
    <r>
      <rPr>
        <b/>
        <sz val="18"/>
        <color rgb="FFFF0000"/>
        <rFont val="メイリオ"/>
        <family val="3"/>
        <charset val="128"/>
      </rPr>
      <t>人数増加以外の理由による配宿計画変動（ホテル仕入状況や人数、日程変更）</t>
    </r>
    <r>
      <rPr>
        <b/>
        <sz val="18"/>
        <color theme="1"/>
        <rFont val="メイリオ"/>
        <family val="3"/>
        <charset val="128"/>
      </rPr>
      <t>により金額が変動
　アジア：トヨタスポーツセンターは交渉を進めるにつれ金額が固まってきたが、当初想定から大幅に増加している</t>
    </r>
    <r>
      <rPr>
        <b/>
        <sz val="18"/>
        <color rgb="FFFF0000"/>
        <rFont val="メイリオ"/>
        <family val="3"/>
        <charset val="128"/>
      </rPr>
      <t>（1名３食込で30,000円程度➡45,000円程度）</t>
    </r>
    <r>
      <rPr>
        <b/>
        <sz val="18"/>
        <color theme="1"/>
        <rFont val="メイリオ"/>
        <family val="3"/>
        <charset val="128"/>
      </rPr>
      <t xml:space="preserve">
　アジア：技術役員・メディア・スポンサーの配宿計画変更により金額変動
　アジア：選手団に</t>
    </r>
    <r>
      <rPr>
        <b/>
        <sz val="18"/>
        <color rgb="FFFF0000"/>
        <rFont val="メイリオ"/>
        <family val="3"/>
        <charset val="128"/>
      </rPr>
      <t>健康の森ホテルプラザを積算</t>
    </r>
    <r>
      <rPr>
        <b/>
        <sz val="18"/>
        <color theme="1"/>
        <rFont val="メイリオ"/>
        <family val="3"/>
        <charset val="128"/>
      </rPr>
      <t>（客室確保費、アスリートミール差額、会議室確保費にそれぞれ加算）
　パラ：選手団はほぼ変動なし</t>
    </r>
    <r>
      <rPr>
        <b/>
        <sz val="18"/>
        <color rgb="FFFF0000"/>
        <rFont val="メイリオ"/>
        <family val="3"/>
        <charset val="128"/>
      </rPr>
      <t>（Jホテルりんくう分減額、メルパルク（82,475,789円）を契約額ベースで減額）</t>
    </r>
    <r>
      <rPr>
        <b/>
        <sz val="18"/>
        <color theme="1"/>
        <rFont val="メイリオ"/>
        <family val="3"/>
        <charset val="128"/>
      </rPr>
      <t xml:space="preserve">
　パラ：技術役員について、2025年版の客室料金見積が多くのホテルで存在するため、金額を更新するとともに、</t>
    </r>
    <r>
      <rPr>
        <b/>
        <sz val="18"/>
        <color rgb="FFFF0000"/>
        <rFont val="メイリオ"/>
        <family val="3"/>
        <charset val="128"/>
      </rPr>
      <t>1.34倍を解除</t>
    </r>
    <r>
      <rPr>
        <b/>
        <sz val="18"/>
        <color theme="1"/>
        <rFont val="メイリオ"/>
        <family val="3"/>
        <charset val="128"/>
      </rPr>
      <t>。加えて</t>
    </r>
    <r>
      <rPr>
        <b/>
        <sz val="18"/>
        <color rgb="FFFF0000"/>
        <rFont val="メイリオ"/>
        <family val="3"/>
        <charset val="128"/>
      </rPr>
      <t>アイリス開催都市負担分（53,344,500円）を減額</t>
    </r>
    <r>
      <rPr>
        <b/>
        <sz val="18"/>
        <color theme="1"/>
        <rFont val="メイリオ"/>
        <family val="3"/>
        <charset val="128"/>
      </rPr>
      <t xml:space="preserve">
　パラ：選手団以外のホテルにおいて、</t>
    </r>
    <r>
      <rPr>
        <b/>
        <sz val="18"/>
        <color rgb="FFFF0000"/>
        <rFont val="メイリオ"/>
        <family val="3"/>
        <charset val="128"/>
      </rPr>
      <t>人数増加以外の理由による配宿計画変動（ホテル仕入状況や人数、日程変更）</t>
    </r>
    <r>
      <rPr>
        <b/>
        <sz val="18"/>
        <color theme="1"/>
        <rFont val="メイリオ"/>
        <family val="3"/>
        <charset val="128"/>
      </rPr>
      <t>により金額が変動
　パラ：技術役員・メディア・スポンサーの配宿計画変動により金額が変動
　共通：移動式宿泊施設やクルーズ船の定員問題に伴う配宿変更は考慮していない</t>
    </r>
    <rPh sb="5" eb="8">
      <t>センシュダン</t>
    </rPh>
    <rPh sb="16" eb="18">
      <t>ジジョウ</t>
    </rPh>
    <rPh sb="29" eb="32">
      <t>センシュダン</t>
    </rPh>
    <rPh sb="32" eb="34">
      <t>ニンズウ</t>
    </rPh>
    <rPh sb="35" eb="37">
      <t>ヘンドウ</t>
    </rPh>
    <rPh sb="38" eb="41">
      <t>センシュダン</t>
    </rPh>
    <rPh sb="41" eb="43">
      <t>ハイシュク</t>
    </rPh>
    <rPh sb="43" eb="47">
      <t>ゼンテイジョウケン</t>
    </rPh>
    <rPh sb="59" eb="61">
      <t>ヤキュウ</t>
    </rPh>
    <rPh sb="63" eb="65">
      <t>ヘンドウ</t>
    </rPh>
    <rPh sb="73" eb="75">
      <t>ヘンコウ</t>
    </rPh>
    <rPh sb="87" eb="88">
      <t>クワ</t>
    </rPh>
    <rPh sb="90" eb="94">
      <t>シュクハクシセツ</t>
    </rPh>
    <rPh sb="94" eb="96">
      <t>ゾウカ</t>
    </rPh>
    <rPh sb="102" eb="106">
      <t>ギジュツヤクイン</t>
    </rPh>
    <rPh sb="115" eb="116">
      <t>ネン</t>
    </rPh>
    <rPh sb="116" eb="117">
      <t>バン</t>
    </rPh>
    <rPh sb="118" eb="120">
      <t>キャクシツ</t>
    </rPh>
    <rPh sb="120" eb="122">
      <t>リョウキン</t>
    </rPh>
    <rPh sb="122" eb="124">
      <t>ミツモリ</t>
    </rPh>
    <rPh sb="125" eb="126">
      <t>オオ</t>
    </rPh>
    <rPh sb="132" eb="134">
      <t>ソンザイ</t>
    </rPh>
    <rPh sb="139" eb="141">
      <t>キンガク</t>
    </rPh>
    <rPh sb="142" eb="144">
      <t>コウシン</t>
    </rPh>
    <rPh sb="155" eb="156">
      <t>バイ</t>
    </rPh>
    <rPh sb="157" eb="159">
      <t>カイジョ</t>
    </rPh>
    <rPh sb="165" eb="168">
      <t>センシュダン</t>
    </rPh>
    <rPh sb="168" eb="170">
      <t>イガイ</t>
    </rPh>
    <rPh sb="201" eb="203">
      <t>シイレ</t>
    </rPh>
    <rPh sb="203" eb="205">
      <t>ジョウキョウ</t>
    </rPh>
    <rPh sb="206" eb="208">
      <t>ニンズウ</t>
    </rPh>
    <rPh sb="209" eb="211">
      <t>ニッテイ</t>
    </rPh>
    <rPh sb="211" eb="213">
      <t>ヘンコウ</t>
    </rPh>
    <rPh sb="240" eb="242">
      <t>コウショウ</t>
    </rPh>
    <rPh sb="243" eb="244">
      <t>スス</t>
    </rPh>
    <rPh sb="249" eb="251">
      <t>キンガク</t>
    </rPh>
    <rPh sb="252" eb="253">
      <t>カタ</t>
    </rPh>
    <rPh sb="260" eb="262">
      <t>トウショ</t>
    </rPh>
    <rPh sb="262" eb="264">
      <t>ソウテイ</t>
    </rPh>
    <rPh sb="266" eb="268">
      <t>オオハバ</t>
    </rPh>
    <rPh sb="269" eb="271">
      <t>ゾウカ</t>
    </rPh>
    <rPh sb="279" eb="280">
      <t>ショク</t>
    </rPh>
    <rPh sb="280" eb="281">
      <t>コミ</t>
    </rPh>
    <rPh sb="298" eb="299">
      <t>エン</t>
    </rPh>
    <rPh sb="299" eb="301">
      <t>テイド</t>
    </rPh>
    <rPh sb="324" eb="326">
      <t>ハイシュク</t>
    </rPh>
    <rPh sb="326" eb="328">
      <t>ケイカク</t>
    </rPh>
    <rPh sb="328" eb="330">
      <t>ヘンコウ</t>
    </rPh>
    <rPh sb="333" eb="335">
      <t>キンガク</t>
    </rPh>
    <rPh sb="335" eb="337">
      <t>ヘンドウ</t>
    </rPh>
    <rPh sb="343" eb="346">
      <t>センシュダン</t>
    </rPh>
    <rPh sb="347" eb="349">
      <t>ケンコウ</t>
    </rPh>
    <rPh sb="350" eb="351">
      <t>モリ</t>
    </rPh>
    <rPh sb="358" eb="360">
      <t>セキサン</t>
    </rPh>
    <rPh sb="361" eb="363">
      <t>キャクシツ</t>
    </rPh>
    <rPh sb="363" eb="366">
      <t>カクホヒ</t>
    </rPh>
    <rPh sb="375" eb="377">
      <t>サガク</t>
    </rPh>
    <rPh sb="378" eb="381">
      <t>カイギシツ</t>
    </rPh>
    <rPh sb="381" eb="384">
      <t>カクホヒ</t>
    </rPh>
    <rPh sb="389" eb="391">
      <t>カサン</t>
    </rPh>
    <rPh sb="398" eb="401">
      <t>センシュダン</t>
    </rPh>
    <rPh sb="404" eb="406">
      <t>ヘンドウ</t>
    </rPh>
    <rPh sb="417" eb="418">
      <t>ブン</t>
    </rPh>
    <rPh sb="418" eb="420">
      <t>ゲンガク</t>
    </rPh>
    <rPh sb="440" eb="443">
      <t>ケイヤクガク</t>
    </rPh>
    <rPh sb="447" eb="449">
      <t>ゲンガク</t>
    </rPh>
    <rPh sb="513" eb="514">
      <t>クワ</t>
    </rPh>
    <rPh sb="541" eb="543">
      <t>ゲンガク</t>
    </rPh>
    <rPh sb="610" eb="614">
      <t>ギジュツヤクイン</t>
    </rPh>
    <rPh sb="646" eb="653">
      <t>イドウシキシュクハクシセツ</t>
    </rPh>
    <rPh sb="658" eb="659">
      <t>セン</t>
    </rPh>
    <rPh sb="660" eb="662">
      <t>テイイン</t>
    </rPh>
    <rPh sb="662" eb="664">
      <t>モンダイ</t>
    </rPh>
    <phoneticPr fontId="46"/>
  </si>
  <si>
    <t>●通常対応食事　財政見通し時（24年10月）</t>
    <rPh sb="1" eb="5">
      <t>ツウジョウタイオウ</t>
    </rPh>
    <rPh sb="5" eb="7">
      <t>ショクジ</t>
    </rPh>
    <rPh sb="8" eb="10">
      <t>ザイセイ</t>
    </rPh>
    <rPh sb="10" eb="12">
      <t>ミトオ</t>
    </rPh>
    <rPh sb="13" eb="14">
      <t>ジ</t>
    </rPh>
    <rPh sb="17" eb="18">
      <t>ネン</t>
    </rPh>
    <rPh sb="20" eb="21">
      <t>ガツ</t>
    </rPh>
    <phoneticPr fontId="2"/>
  </si>
  <si>
    <t>●通常対応食事　査定</t>
    <rPh sb="8" eb="10">
      <t>サテイ</t>
    </rPh>
    <phoneticPr fontId="2"/>
  </si>
  <si>
    <t>●通常対応食事　昨年度の立てつけ（現実的には破綻）</t>
    <rPh sb="8" eb="11">
      <t>サクネンド</t>
    </rPh>
    <rPh sb="12" eb="13">
      <t>タ</t>
    </rPh>
    <rPh sb="17" eb="20">
      <t>ゲンジツテキ</t>
    </rPh>
    <rPh sb="22" eb="24">
      <t>ハタン</t>
    </rPh>
    <phoneticPr fontId="2"/>
  </si>
  <si>
    <t>●通常対応食事　今回枠要求時</t>
    <rPh sb="1" eb="3">
      <t>ツウジョウ</t>
    </rPh>
    <rPh sb="3" eb="5">
      <t>タイオウ</t>
    </rPh>
    <rPh sb="5" eb="7">
      <t>ショクジ</t>
    </rPh>
    <rPh sb="8" eb="10">
      <t>コンカイ</t>
    </rPh>
    <rPh sb="10" eb="13">
      <t>ワクヨウキュウ</t>
    </rPh>
    <rPh sb="13" eb="14">
      <t>ジ</t>
    </rPh>
    <phoneticPr fontId="2"/>
  </si>
  <si>
    <t>●通常対応食事　今回本要求時</t>
    <rPh sb="8" eb="10">
      <t>コンカイ</t>
    </rPh>
    <rPh sb="10" eb="11">
      <t>ホン</t>
    </rPh>
    <rPh sb="11" eb="13">
      <t>ヨウキュウ</t>
    </rPh>
    <rPh sb="13" eb="14">
      <t>ジ</t>
    </rPh>
    <phoneticPr fontId="2"/>
  </si>
  <si>
    <t>※通常対応食事（全体の6割対応）とハラルヴィーガン対応食事（全体の4割対応）は別軸で考えている</t>
    <rPh sb="1" eb="7">
      <t>ツウジョウタイオウショクジ</t>
    </rPh>
    <rPh sb="8" eb="10">
      <t>ゼンタイ</t>
    </rPh>
    <rPh sb="12" eb="13">
      <t>ワリ</t>
    </rPh>
    <rPh sb="13" eb="15">
      <t>タイオウ</t>
    </rPh>
    <rPh sb="25" eb="27">
      <t>タイオウ</t>
    </rPh>
    <rPh sb="27" eb="29">
      <t>ショクジ</t>
    </rPh>
    <rPh sb="30" eb="32">
      <t>ゼンタイ</t>
    </rPh>
    <rPh sb="34" eb="35">
      <t>ワリ</t>
    </rPh>
    <rPh sb="35" eb="37">
      <t>タイオウ</t>
    </rPh>
    <rPh sb="39" eb="40">
      <t>ベツ</t>
    </rPh>
    <rPh sb="40" eb="41">
      <t>ジク</t>
    </rPh>
    <rPh sb="42" eb="43">
      <t>カンガ</t>
    </rPh>
    <phoneticPr fontId="2"/>
  </si>
  <si>
    <t>※ホテルへとの交渉が進み、見積もりを確認すると、やはり以前の要求金額では不可能であることが判明</t>
    <rPh sb="7" eb="9">
      <t>コウショウ</t>
    </rPh>
    <rPh sb="10" eb="11">
      <t>スス</t>
    </rPh>
    <rPh sb="13" eb="15">
      <t>ミツ</t>
    </rPh>
    <rPh sb="18" eb="20">
      <t>カクニン</t>
    </rPh>
    <rPh sb="27" eb="29">
      <t>イゼン</t>
    </rPh>
    <rPh sb="30" eb="34">
      <t>ヨウキュウキンガク</t>
    </rPh>
    <rPh sb="36" eb="39">
      <t>フカノウ</t>
    </rPh>
    <rPh sb="45" eb="47">
      <t>ハンメイ</t>
    </rPh>
    <phoneticPr fontId="2"/>
  </si>
  <si>
    <r>
      <t>※まだ見積もりが来ていないホテルもあるが、平均すると３食で</t>
    </r>
    <r>
      <rPr>
        <b/>
        <sz val="11"/>
        <rFont val="ＭＳ Ｐゴシック"/>
        <family val="3"/>
        <charset val="128"/>
        <scheme val="minor"/>
      </rPr>
      <t>26,204円</t>
    </r>
    <r>
      <rPr>
        <sz val="11"/>
        <color theme="1"/>
        <rFont val="ＭＳ Ｐゴシック"/>
        <family val="3"/>
        <charset val="128"/>
        <scheme val="minor"/>
      </rPr>
      <t>のため、その金額にて要求（厳密には朝食代4,100円は別で要求しているので</t>
    </r>
    <r>
      <rPr>
        <b/>
        <sz val="11"/>
        <color rgb="FFFF0000"/>
        <rFont val="ＭＳ Ｐゴシック"/>
        <family val="3"/>
        <charset val="128"/>
        <scheme val="minor"/>
      </rPr>
      <t>22,104円</t>
    </r>
    <r>
      <rPr>
        <sz val="11"/>
        <color theme="1"/>
        <rFont val="ＭＳ Ｐゴシック"/>
        <family val="3"/>
        <charset val="128"/>
        <scheme val="minor"/>
      </rPr>
      <t>を要求）</t>
    </r>
    <rPh sb="3" eb="5">
      <t>ミツ</t>
    </rPh>
    <rPh sb="8" eb="9">
      <t>キ</t>
    </rPh>
    <rPh sb="21" eb="23">
      <t>ヘイキン</t>
    </rPh>
    <rPh sb="27" eb="28">
      <t>ショク</t>
    </rPh>
    <rPh sb="35" eb="36">
      <t>エン</t>
    </rPh>
    <rPh sb="42" eb="44">
      <t>キンガク</t>
    </rPh>
    <rPh sb="46" eb="48">
      <t>ヨウキュウ</t>
    </rPh>
    <rPh sb="49" eb="51">
      <t>ゲンミツ</t>
    </rPh>
    <rPh sb="53" eb="55">
      <t>チョウショク</t>
    </rPh>
    <rPh sb="55" eb="56">
      <t>ダイ</t>
    </rPh>
    <rPh sb="61" eb="62">
      <t>エン</t>
    </rPh>
    <rPh sb="63" eb="64">
      <t>ベツ</t>
    </rPh>
    <rPh sb="65" eb="67">
      <t>ヨウキュウ</t>
    </rPh>
    <rPh sb="79" eb="80">
      <t>エン</t>
    </rPh>
    <rPh sb="81" eb="83">
      <t>ヨウキュウ</t>
    </rPh>
    <phoneticPr fontId="2"/>
  </si>
  <si>
    <t>　　　　　　　夕食</t>
    <rPh sb="7" eb="8">
      <t>ユウ</t>
    </rPh>
    <phoneticPr fontId="2"/>
  </si>
  <si>
    <t>※アスリート差額は枠要求時に要求済み</t>
    <rPh sb="6" eb="8">
      <t>サガク</t>
    </rPh>
    <rPh sb="9" eb="13">
      <t>ワクヨウキュウジ</t>
    </rPh>
    <rPh sb="14" eb="17">
      <t>ヨウキュウズ</t>
    </rPh>
    <phoneticPr fontId="2"/>
  </si>
  <si>
    <t>※アスリートミール朝食と通常朝食との差額を要求</t>
    <rPh sb="9" eb="11">
      <t>チョウショク</t>
    </rPh>
    <rPh sb="12" eb="14">
      <t>ツウジョウ</t>
    </rPh>
    <rPh sb="14" eb="16">
      <t>チョウショク</t>
    </rPh>
    <rPh sb="18" eb="20">
      <t>サガク</t>
    </rPh>
    <rPh sb="21" eb="23">
      <t>ヨウキュウ</t>
    </rPh>
    <phoneticPr fontId="2"/>
  </si>
  <si>
    <t>※アスリートミール朝食と通常朝食との差額およびハラル完調品費用の差額は枠要求時に要求</t>
    <rPh sb="9" eb="11">
      <t>チョウショク</t>
    </rPh>
    <rPh sb="12" eb="14">
      <t>ツウジョウ</t>
    </rPh>
    <rPh sb="14" eb="16">
      <t>チョウショク</t>
    </rPh>
    <rPh sb="18" eb="20">
      <t>サガク</t>
    </rPh>
    <rPh sb="26" eb="29">
      <t>カンチョウヒン</t>
    </rPh>
    <rPh sb="29" eb="31">
      <t>ヒヨウ</t>
    </rPh>
    <rPh sb="32" eb="34">
      <t>サガク</t>
    </rPh>
    <rPh sb="35" eb="39">
      <t>ワクヨウキュウジ</t>
    </rPh>
    <rPh sb="40" eb="42">
      <t>ヨウキュウ</t>
    </rPh>
    <phoneticPr fontId="2"/>
  </si>
  <si>
    <t>　　　　　夕食</t>
    <rPh sb="5" eb="7">
      <t>ユウショク</t>
    </rPh>
    <phoneticPr fontId="2"/>
  </si>
  <si>
    <t>26/01内示額</t>
    <rPh sb="5" eb="8">
      <t>ナイジガク</t>
    </rPh>
    <phoneticPr fontId="46"/>
  </si>
  <si>
    <t>単価4,400円</t>
    <rPh sb="0" eb="2">
      <t>タンカ</t>
    </rPh>
    <rPh sb="7" eb="8">
      <t>エン</t>
    </rPh>
    <phoneticPr fontId="2"/>
  </si>
  <si>
    <t>入湯税込料金</t>
    <rPh sb="0" eb="3">
      <t>ニュウトウゼイ</t>
    </rPh>
    <rPh sb="3" eb="4">
      <t>コミ</t>
    </rPh>
    <rPh sb="4" eb="6">
      <t>リョウキン</t>
    </rPh>
    <phoneticPr fontId="2"/>
  </si>
  <si>
    <t>入湯税・宿泊税概算額計算</t>
    <rPh sb="0" eb="2">
      <t>ニュウトウ</t>
    </rPh>
    <rPh sb="2" eb="3">
      <t>ゼイ</t>
    </rPh>
    <rPh sb="4" eb="6">
      <t>シュクハク</t>
    </rPh>
    <rPh sb="6" eb="7">
      <t>ゼイ</t>
    </rPh>
    <rPh sb="7" eb="9">
      <t>ガイサン</t>
    </rPh>
    <rPh sb="9" eb="10">
      <t>ガク</t>
    </rPh>
    <rPh sb="10" eb="12">
      <t>ケイサン</t>
    </rPh>
    <phoneticPr fontId="2"/>
  </si>
  <si>
    <t>↓入湯税記載</t>
    <rPh sb="1" eb="3">
      <t>ニュウトウ</t>
    </rPh>
    <rPh sb="3" eb="4">
      <t>ゼイ</t>
    </rPh>
    <rPh sb="4" eb="6">
      <t>キサイ</t>
    </rPh>
    <phoneticPr fontId="2"/>
  </si>
  <si>
    <t>↓宿泊税記載</t>
    <rPh sb="1" eb="3">
      <t>シュクハク</t>
    </rPh>
    <rPh sb="3" eb="4">
      <t>ゼイ</t>
    </rPh>
    <rPh sb="4" eb="6">
      <t>キサイ</t>
    </rPh>
    <phoneticPr fontId="2"/>
  </si>
  <si>
    <t>\\^\</t>
    <phoneticPr fontId="2"/>
  </si>
  <si>
    <t>通し番号</t>
    <rPh sb="0" eb="1">
      <t>トオ</t>
    </rPh>
    <rPh sb="2" eb="4">
      <t>バンゴウ</t>
    </rPh>
    <phoneticPr fontId="2"/>
  </si>
  <si>
    <t>宿泊施設名</t>
    <rPh sb="0" eb="4">
      <t>シュクハクシセツ</t>
    </rPh>
    <rPh sb="4" eb="5">
      <t>メイ</t>
    </rPh>
    <phoneticPr fontId="2"/>
  </si>
  <si>
    <t>附属契約受領見積単価
（ハラルヴィーガン）</t>
    <rPh sb="0" eb="4">
      <t>フゾクケイヤク</t>
    </rPh>
    <phoneticPr fontId="2"/>
  </si>
  <si>
    <t>附属契約受領見積単価（通常@）</t>
    <rPh sb="0" eb="4">
      <t>フゾクケイヤク</t>
    </rPh>
    <rPh sb="11" eb="14">
      <t>ツウジョウタンカ</t>
    </rPh>
    <phoneticPr fontId="2"/>
  </si>
  <si>
    <t>ハラル支援</t>
    <rPh sb="3" eb="5">
      <t>シエン</t>
    </rPh>
    <phoneticPr fontId="2"/>
  </si>
  <si>
    <t>附属契受領見積単価
（グラブ＆ゴー）約</t>
    <rPh sb="0" eb="2">
      <t>フゾク</t>
    </rPh>
    <rPh sb="2" eb="3">
      <t>ケイ</t>
    </rPh>
    <rPh sb="3" eb="5">
      <t>ズリョウ</t>
    </rPh>
    <rPh sb="5" eb="7">
      <t>ミツモリ</t>
    </rPh>
    <rPh sb="7" eb="9">
      <t>タンカ</t>
    </rPh>
    <rPh sb="18" eb="19">
      <t>ヤク</t>
    </rPh>
    <phoneticPr fontId="2"/>
  </si>
  <si>
    <t>附属契約アスリートミール差額の朝食加算</t>
    <rPh sb="0" eb="4">
      <t>フゾクケイヤク</t>
    </rPh>
    <phoneticPr fontId="2"/>
  </si>
  <si>
    <t>附属契約通常食合計</t>
    <rPh sb="0" eb="4">
      <t>フゾクケイヤク</t>
    </rPh>
    <phoneticPr fontId="2"/>
  </si>
  <si>
    <t>附属契約ハラルヴィーガン合計</t>
    <rPh sb="0" eb="4">
      <t>フゾクケイヤク</t>
    </rPh>
    <phoneticPr fontId="2"/>
  </si>
  <si>
    <t>附属契約グラブアンドゴー合計</t>
    <rPh sb="0" eb="4">
      <t>フゾクケイヤク</t>
    </rPh>
    <phoneticPr fontId="2"/>
  </si>
  <si>
    <t>その他扉外し</t>
    <rPh sb="2" eb="3">
      <t>タ</t>
    </rPh>
    <phoneticPr fontId="2"/>
  </si>
  <si>
    <t>その他営業補償等</t>
    <rPh sb="2" eb="3">
      <t>タ</t>
    </rPh>
    <phoneticPr fontId="2"/>
  </si>
  <si>
    <t>その他クリーンベニュー
営業補償 自販機</t>
    <rPh sb="2" eb="3">
      <t>タ</t>
    </rPh>
    <phoneticPr fontId="2"/>
  </si>
  <si>
    <t>その他クリーンベニュー
営業補償 テナント</t>
    <rPh sb="2" eb="3">
      <t>タ</t>
    </rPh>
    <phoneticPr fontId="2"/>
  </si>
  <si>
    <t>キャンセルポリシーにより返せなかった分</t>
    <phoneticPr fontId="2"/>
  </si>
  <si>
    <r>
      <t xml:space="preserve">附属契約受領見積単価
</t>
    </r>
    <r>
      <rPr>
        <b/>
        <sz val="14"/>
        <rFont val="ＭＳ Ｐゴシック"/>
        <family val="3"/>
        <charset val="128"/>
        <scheme val="minor"/>
      </rPr>
      <t>（ハラルヴィーガン）</t>
    </r>
    <rPh sb="4" eb="6">
      <t>ズリョウ</t>
    </rPh>
    <rPh sb="6" eb="8">
      <t>ミツモリ</t>
    </rPh>
    <rPh sb="8" eb="10">
      <t>タンカ</t>
    </rPh>
    <phoneticPr fontId="2"/>
  </si>
  <si>
    <t>附属ハラル
支援</t>
    <rPh sb="6" eb="8">
      <t>シエン</t>
    </rPh>
    <phoneticPr fontId="2"/>
  </si>
  <si>
    <t>附属受領見積単価
（通常）</t>
    <rPh sb="2" eb="4">
      <t>ズリョウ</t>
    </rPh>
    <rPh sb="4" eb="6">
      <t>ミツモリ</t>
    </rPh>
    <rPh sb="6" eb="8">
      <t>タンカ</t>
    </rPh>
    <rPh sb="10" eb="12">
      <t>ツウジョウ</t>
    </rPh>
    <phoneticPr fontId="2"/>
  </si>
  <si>
    <r>
      <t xml:space="preserve">附属契約受領見積単価
</t>
    </r>
    <r>
      <rPr>
        <b/>
        <sz val="14"/>
        <rFont val="ＭＳ Ｐゴシック"/>
        <family val="3"/>
        <charset val="128"/>
        <scheme val="minor"/>
      </rPr>
      <t>（グラブ＆ゴー）</t>
    </r>
    <rPh sb="4" eb="6">
      <t>ズリョウ</t>
    </rPh>
    <rPh sb="6" eb="8">
      <t>ミツモリ</t>
    </rPh>
    <rPh sb="8" eb="10">
      <t>タンカ</t>
    </rPh>
    <phoneticPr fontId="2"/>
  </si>
  <si>
    <t>附属契約アスリートミール差額の朝食加算</t>
    <rPh sb="12" eb="14">
      <t>サガク</t>
    </rPh>
    <rPh sb="15" eb="17">
      <t>チョウショク</t>
    </rPh>
    <rPh sb="17" eb="19">
      <t>カサン</t>
    </rPh>
    <phoneticPr fontId="2"/>
  </si>
  <si>
    <t>附属契約通常食合計</t>
    <rPh sb="4" eb="7">
      <t>ツウジョウショク</t>
    </rPh>
    <rPh sb="7" eb="9">
      <t>ゴウケイ</t>
    </rPh>
    <phoneticPr fontId="2"/>
  </si>
  <si>
    <t>附属契約ハラルヴィーガン合計</t>
    <rPh sb="12" eb="14">
      <t>ゴウケイ</t>
    </rPh>
    <phoneticPr fontId="2"/>
  </si>
  <si>
    <t>附属契約グラブアンドゴー合計</t>
    <rPh sb="12" eb="14">
      <t>ゴウケイ</t>
    </rPh>
    <phoneticPr fontId="2"/>
  </si>
  <si>
    <t>キャンセルポリシーにより返せなかった分</t>
    <rPh sb="12" eb="13">
      <t>カエ</t>
    </rPh>
    <rPh sb="18" eb="19">
      <t>ブン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</si>
</sst>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1">
    <numFmt numFmtId="41" formatCode="_ * #,##0_ ;_ * \-#,##0_ ;_ * &quot;-&quot;_ ;_ @_ "/>
    <numFmt numFmtId="43" formatCode="_ * #,##0.00_ ;_ * \-#,##0.00_ ;_ * &quot;-&quot;??_ ;_ @_ "/>
    <numFmt numFmtId="176" formatCode="m&quot;月&quot;d&quot;日&quot;;@"/>
    <numFmt numFmtId="177" formatCode="#,##0\ &quot;室&quot;"/>
    <numFmt numFmtId="178" formatCode="#,##0\ &quot;人&quot;"/>
    <numFmt numFmtId="179" formatCode="General;\ General;"/>
    <numFmt numFmtId="180" formatCode="#,##0_ ;[Red]\-#,##0\ "/>
    <numFmt numFmtId="181" formatCode="#,##0_ "/>
    <numFmt numFmtId="182" formatCode="#,##0\ &quot;名&quot;"/>
    <numFmt numFmtId="184" formatCode="_ * #,##0_ ;_ * \-#,##0_ ;_ * &quot;－&quot;_ ;_ @_ "/>
    <numFmt numFmtId="185" formatCode="_ * #,##0.0_ ;_ * \-#,##0.0_ ;_ * &quot;－&quot;_ ;_ @_ "/>
    <numFmt numFmtId="186" formatCode="#,##0&quot;円へ修正&quot;"/>
    <numFmt numFmtId="187" formatCode="#"/>
    <numFmt numFmtId="188" formatCode="m/d"/>
    <numFmt numFmtId="189" formatCode="d"/>
    <numFmt numFmtId="190" formatCode="_ * #,##0_ ;_ * \-#,##0_ ;_ * &quot;ー&quot;_ ;_ @_ "/>
    <numFmt numFmtId="191" formatCode="#,##0&quot;km&quot;"/>
    <numFmt numFmtId="192" formatCode="#,##0&quot;分&quot;"/>
    <numFmt numFmtId="193" formatCode=";;&quot;入港&quot;"/>
    <numFmt numFmtId="194" formatCode=";;&quot;準備&quot;"/>
    <numFmt numFmtId="195" formatCode=";;&quot;撤去&quot;"/>
    <numFmt numFmtId="196" formatCode=";;&quot;出港&quot;"/>
    <numFmt numFmtId="197" formatCode="0&quot;施&quot;&quot;設&quot;"/>
    <numFmt numFmtId="198" formatCode="#,##0&quot;施&quot;&quot;設&quot;_ "/>
    <numFmt numFmtId="199" formatCode="#,##0&quot;室&quot;"/>
    <numFmt numFmtId="200" formatCode="0_);[Red]\(0\)"/>
    <numFmt numFmtId="201" formatCode="0_ "/>
    <numFmt numFmtId="202" formatCode="\(0\)"/>
    <numFmt numFmtId="203" formatCode="#,##0&quot;ベッド&quot;"/>
    <numFmt numFmtId="204" formatCode="yyyy&quot;年&quot;m&quot;月&quot;;@"/>
    <numFmt numFmtId="205" formatCode="&quot;+&quot;#"/>
    <numFmt numFmtId="206" formatCode="#,##0_);[Red]\(#,##0\)"/>
    <numFmt numFmtId="207" formatCode="#,##0.00_ "/>
    <numFmt numFmtId="208" formatCode="_ * #,##0_ ;_ * \-#,##0_ ;_ * &quot;準備&quot;_ ;_ @_ "/>
    <numFmt numFmtId="209" formatCode="_ * #,##0_ ;_ * \-#,##0_ ;_ * &quot;撤去&quot;_ ;_ @_ "/>
    <numFmt numFmtId="210" formatCode="#,##0&quot;人&quot;"/>
    <numFmt numFmtId="211" formatCode="#,##0_);\(#,##0\)"/>
    <numFmt numFmtId="213" formatCode="yyyy&quot;年&quot;m&quot;月&quot;d&quot;日&quot;\(aaa\)"/>
    <numFmt numFmtId="214" formatCode="#,##0&quot;泊&quot;"/>
    <numFmt numFmtId="215" formatCode="#,##0&quot;円&quot;"/>
    <numFmt numFmtId="216" formatCode="[h]:mm;@"/>
    <numFmt numFmtId="217" formatCode="#,##0.0_ ;[Red]\-#,##0.0\ "/>
    <numFmt numFmtId="218" formatCode="#,##0.00_ ;[Red]\-#,##0.00\ "/>
    <numFmt numFmtId="219" formatCode="_ * #,##0.00000_ ;_ * \-#,##0.00000_ ;_ * &quot;-&quot;_ ;_ @_ "/>
    <numFmt numFmtId="220" formatCode="&quot;施設様名:&quot;@&quot; 様&quot;"/>
    <numFmt numFmtId="221" formatCode="#,##0;&quot;▲ &quot;#,##0"/>
    <numFmt numFmtId="222" formatCode="#,##0.0;[Red]\-#,##0.0"/>
    <numFmt numFmtId="223" formatCode="0.0_);[Red]\(0.0\)"/>
    <numFmt numFmtId="224" formatCode="0.000_);[Red]\(0.000\)"/>
    <numFmt numFmtId="227" formatCode="#,##0.0000;[Red]\-#,##0.0000"/>
    <numFmt numFmtId="231" formatCode="0&quot;円&quot;"/>
  </numFmts>
  <fonts count="345">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sz val="10"/>
      <color theme="1"/>
      <name val="Arial"/>
      <family val="2"/>
    </font>
    <font>
      <b/>
      <sz val="10"/>
      <color theme="1"/>
      <name val="ＭＳ Ｐゴシック"/>
      <family val="3"/>
      <charset val="128"/>
      <scheme val="minor"/>
    </font>
    <font>
      <b/>
      <sz val="10"/>
      <name val="ＭＳ Ｐゴシック"/>
      <family val="3"/>
      <charset val="128"/>
      <scheme val="minor"/>
    </font>
    <font>
      <sz val="10"/>
      <name val="ＭＳ Ｐゴシック"/>
      <family val="3"/>
      <charset val="128"/>
      <scheme val="minor"/>
    </font>
    <font>
      <sz val="10"/>
      <name val="Arial"/>
      <family val="2"/>
    </font>
    <font>
      <sz val="10"/>
      <name val="ＭＳ Ｐゴシック"/>
      <family val="2"/>
      <charset val="128"/>
      <scheme val="minor"/>
    </font>
    <font>
      <b/>
      <sz val="10"/>
      <color theme="0"/>
      <name val="ＭＳ Ｐゴシック"/>
      <family val="3"/>
      <charset val="128"/>
      <scheme val="minor"/>
    </font>
    <font>
      <b/>
      <sz val="16"/>
      <name val="ＭＳ Ｐゴシック"/>
      <family val="3"/>
      <charset val="128"/>
      <scheme val="minor"/>
    </font>
    <font>
      <b/>
      <sz val="10"/>
      <color theme="0"/>
      <name val="Arial"/>
      <family val="2"/>
    </font>
    <font>
      <sz val="10"/>
      <name val="ＭＳ Ｐゴシック"/>
      <family val="2"/>
      <charset val="128"/>
    </font>
    <font>
      <b/>
      <sz val="11"/>
      <color theme="0"/>
      <name val="ＭＳ Ｐゴシック"/>
      <family val="3"/>
      <charset val="128"/>
      <scheme val="minor"/>
    </font>
    <font>
      <b/>
      <sz val="11"/>
      <color theme="0"/>
      <name val="Arial"/>
      <family val="2"/>
    </font>
    <font>
      <sz val="10"/>
      <color rgb="FFFF0000"/>
      <name val="ＭＳ Ｐゴシック"/>
      <family val="2"/>
      <charset val="128"/>
      <scheme val="minor"/>
    </font>
    <font>
      <b/>
      <sz val="10"/>
      <color theme="1"/>
      <name val="Arial"/>
      <family val="2"/>
    </font>
    <font>
      <b/>
      <sz val="16"/>
      <color rgb="FF1607DB"/>
      <name val="Arial"/>
      <family val="2"/>
    </font>
    <font>
      <sz val="12"/>
      <color theme="1"/>
      <name val="ＭＳ Ｐゴシック"/>
      <family val="2"/>
      <charset val="128"/>
      <scheme val="minor"/>
    </font>
    <font>
      <b/>
      <sz val="16"/>
      <color rgb="FF1607DB"/>
      <name val="ＭＳ Ｐゴシック"/>
      <family val="3"/>
      <charset val="128"/>
      <scheme val="minor"/>
    </font>
    <font>
      <b/>
      <sz val="10"/>
      <name val="Arial"/>
      <family val="2"/>
    </font>
    <font>
      <b/>
      <sz val="16"/>
      <color rgb="FF1607DB"/>
      <name val="Meiryo UI"/>
      <family val="3"/>
      <charset val="128"/>
    </font>
    <font>
      <b/>
      <sz val="16"/>
      <name val="Meiryo UI"/>
      <family val="3"/>
      <charset val="128"/>
    </font>
    <font>
      <sz val="10"/>
      <color theme="1"/>
      <name val="Meiryo UI"/>
      <family val="3"/>
      <charset val="128"/>
    </font>
    <font>
      <b/>
      <sz val="10"/>
      <color theme="1"/>
      <name val="Meiryo UI"/>
      <family val="3"/>
      <charset val="128"/>
    </font>
    <font>
      <b/>
      <sz val="10"/>
      <color theme="0"/>
      <name val="Meiryo UI"/>
      <family val="3"/>
      <charset val="128"/>
    </font>
    <font>
      <sz val="10"/>
      <name val="Meiryo UI"/>
      <family val="3"/>
      <charset val="128"/>
    </font>
    <font>
      <b/>
      <sz val="10"/>
      <name val="Meiryo UI"/>
      <family val="3"/>
      <charset val="128"/>
    </font>
    <font>
      <b/>
      <sz val="11"/>
      <color theme="0"/>
      <name val="Meiryo UI"/>
      <family val="3"/>
      <charset val="128"/>
    </font>
    <font>
      <sz val="10"/>
      <name val="游ゴシック Regular"/>
      <charset val="128"/>
    </font>
    <font>
      <sz val="10"/>
      <color rgb="FFFF0000"/>
      <name val="Meiryo UI"/>
      <family val="3"/>
      <charset val="128"/>
    </font>
    <font>
      <b/>
      <sz val="8"/>
      <color theme="1"/>
      <name val="Meiryo UI"/>
      <family val="3"/>
      <charset val="128"/>
    </font>
    <font>
      <b/>
      <sz val="10"/>
      <color rgb="FFFF0000"/>
      <name val="Meiryo UI"/>
      <family val="3"/>
      <charset val="128"/>
    </font>
    <font>
      <sz val="9"/>
      <name val="Meiryo UI"/>
      <family val="3"/>
      <charset val="128"/>
    </font>
    <font>
      <sz val="8"/>
      <name val="Meiryo UI"/>
      <family val="3"/>
      <charset val="128"/>
    </font>
    <font>
      <b/>
      <sz val="11"/>
      <color rgb="FFFF0000"/>
      <name val="ＭＳ Ｐゴシック"/>
      <family val="3"/>
      <charset val="128"/>
      <scheme val="minor"/>
    </font>
    <font>
      <b/>
      <sz val="9"/>
      <color indexed="81"/>
      <name val="MS P ゴシック"/>
      <family val="3"/>
      <charset val="128"/>
    </font>
    <font>
      <sz val="18"/>
      <color theme="3"/>
      <name val="ＭＳ Ｐゴシック"/>
      <family val="2"/>
      <charset val="128"/>
      <scheme val="major"/>
    </font>
    <font>
      <sz val="11"/>
      <color rgb="FFFF0000"/>
      <name val="ＭＳ Ｐゴシック"/>
      <family val="2"/>
      <charset val="128"/>
      <scheme val="minor"/>
    </font>
    <font>
      <b/>
      <sz val="11"/>
      <color theme="1"/>
      <name val="ＭＳ Ｐゴシック"/>
      <family val="3"/>
      <charset val="128"/>
      <scheme val="minor"/>
    </font>
    <font>
      <b/>
      <sz val="14"/>
      <name val="Meiryo UI"/>
      <family val="3"/>
      <charset val="128"/>
    </font>
    <font>
      <sz val="11"/>
      <name val="Meiryo UI"/>
      <family val="3"/>
      <charset val="128"/>
    </font>
    <font>
      <b/>
      <sz val="11"/>
      <name val="Meiryo UI"/>
      <family val="3"/>
      <charset val="128"/>
    </font>
    <font>
      <sz val="11"/>
      <color theme="1"/>
      <name val="Meiryo UI"/>
      <family val="3"/>
      <charset val="128"/>
    </font>
    <font>
      <sz val="6"/>
      <name val="メイリオ"/>
      <family val="2"/>
      <charset val="128"/>
    </font>
    <font>
      <sz val="11"/>
      <name val="Meiryo UI"/>
      <family val="3"/>
    </font>
    <font>
      <b/>
      <sz val="16"/>
      <color theme="1"/>
      <name val="ＭＳ Ｐゴシック"/>
      <family val="3"/>
      <charset val="128"/>
      <scheme val="minor"/>
    </font>
    <font>
      <sz val="12"/>
      <name val="Meiryo UI"/>
      <family val="3"/>
      <charset val="128"/>
    </font>
    <font>
      <b/>
      <sz val="12"/>
      <name val="Meiryo UI"/>
      <family val="3"/>
      <charset val="128"/>
    </font>
    <font>
      <sz val="10"/>
      <name val="游ゴシック Regular"/>
      <family val="3"/>
      <charset val="128"/>
    </font>
    <font>
      <sz val="11"/>
      <color rgb="FFFF0000"/>
      <name val="ＭＳ Ｐゴシック"/>
      <family val="3"/>
      <charset val="128"/>
      <scheme val="minor"/>
    </font>
    <font>
      <b/>
      <sz val="11"/>
      <name val="ＭＳ Ｐゴシック"/>
      <family val="3"/>
      <charset val="128"/>
      <scheme val="minor"/>
    </font>
    <font>
      <b/>
      <sz val="16"/>
      <name val="Meiryo UI"/>
      <family val="3"/>
    </font>
    <font>
      <sz val="12"/>
      <name val="Meiryo UI"/>
      <family val="3"/>
    </font>
    <font>
      <u/>
      <sz val="11"/>
      <color theme="10"/>
      <name val="ＭＳ Ｐゴシック"/>
      <family val="2"/>
      <charset val="128"/>
      <scheme val="minor"/>
    </font>
    <font>
      <sz val="11"/>
      <color theme="1"/>
      <name val="ＭＳ Ｐゴシック"/>
      <family val="2"/>
      <scheme val="minor"/>
    </font>
    <font>
      <sz val="10"/>
      <color rgb="FFFF0000"/>
      <name val="Meiryo UI"/>
      <family val="3"/>
    </font>
    <font>
      <sz val="6"/>
      <name val="ＭＳ Ｐゴシック"/>
      <family val="3"/>
      <charset val="128"/>
      <scheme val="minor"/>
    </font>
    <font>
      <sz val="12"/>
      <color theme="1"/>
      <name val="Meiryo UI"/>
      <family val="3"/>
      <charset val="128"/>
    </font>
    <font>
      <sz val="16"/>
      <name val="Meiryo UI"/>
      <family val="3"/>
      <charset val="128"/>
    </font>
    <font>
      <b/>
      <sz val="12"/>
      <color theme="1"/>
      <name val="Meiryo UI"/>
      <family val="3"/>
      <charset val="128"/>
    </font>
    <font>
      <b/>
      <sz val="12"/>
      <color rgb="FFFF0000"/>
      <name val="Meiryo UI"/>
      <family val="3"/>
      <charset val="128"/>
    </font>
    <font>
      <sz val="16"/>
      <color theme="1"/>
      <name val="Meiryo UI"/>
      <family val="3"/>
      <charset val="128"/>
    </font>
    <font>
      <b/>
      <sz val="14"/>
      <color theme="1"/>
      <name val="Meiryo UI"/>
      <family val="3"/>
      <charset val="128"/>
    </font>
    <font>
      <b/>
      <sz val="12"/>
      <color theme="1"/>
      <name val="ＭＳ Ｐゴシック"/>
      <family val="3"/>
      <charset val="128"/>
      <scheme val="minor"/>
    </font>
    <font>
      <b/>
      <sz val="18"/>
      <color theme="1"/>
      <name val="ＭＳ Ｐゴシック"/>
      <family val="3"/>
      <charset val="128"/>
      <scheme val="minor"/>
    </font>
    <font>
      <b/>
      <sz val="18"/>
      <color rgb="FFFF0000"/>
      <name val="ＭＳ Ｐゴシック"/>
      <family val="3"/>
      <charset val="128"/>
      <scheme val="minor"/>
    </font>
    <font>
      <b/>
      <sz val="18"/>
      <name val="ＭＳ Ｐゴシック"/>
      <family val="3"/>
      <charset val="128"/>
      <scheme val="minor"/>
    </font>
    <font>
      <b/>
      <sz val="12"/>
      <name val="ＭＳ Ｐゴシック"/>
      <family val="3"/>
      <charset val="128"/>
      <scheme val="minor"/>
    </font>
    <font>
      <sz val="16"/>
      <color theme="1"/>
      <name val="Meiryo UI"/>
      <family val="3"/>
    </font>
    <font>
      <b/>
      <sz val="16"/>
      <color theme="1"/>
      <name val="Meiryo UI"/>
      <family val="3"/>
      <charset val="128"/>
    </font>
    <font>
      <sz val="16"/>
      <name val="Meiryo UI"/>
      <family val="3"/>
    </font>
    <font>
      <sz val="14"/>
      <color theme="1"/>
      <name val="Meiryo UI"/>
      <family val="3"/>
      <charset val="128"/>
    </font>
    <font>
      <b/>
      <sz val="16"/>
      <color rgb="FFFF0000"/>
      <name val="Meiryo UI"/>
      <family val="3"/>
      <charset val="128"/>
    </font>
    <font>
      <b/>
      <sz val="12"/>
      <color theme="2" tint="-9.9978637043366805E-2"/>
      <name val="Meiryo UI"/>
      <family val="3"/>
      <charset val="128"/>
    </font>
    <font>
      <sz val="12"/>
      <color theme="2" tint="-9.9978637043366805E-2"/>
      <name val="Meiryo UI"/>
      <family val="3"/>
      <charset val="128"/>
    </font>
    <font>
      <sz val="11"/>
      <name val="ＭＳ Ｐゴシック"/>
      <family val="3"/>
      <charset val="128"/>
      <scheme val="minor"/>
    </font>
    <font>
      <b/>
      <sz val="14"/>
      <color rgb="FFFF0000"/>
      <name val="Meiryo UI"/>
      <family val="3"/>
      <charset val="128"/>
    </font>
    <font>
      <sz val="16"/>
      <color rgb="FFFF0000"/>
      <name val="Meiryo UI"/>
      <family val="3"/>
      <charset val="128"/>
    </font>
    <font>
      <sz val="12"/>
      <color rgb="FFFF0000"/>
      <name val="Meiryo UI"/>
      <family val="3"/>
      <charset val="128"/>
    </font>
    <font>
      <b/>
      <sz val="14"/>
      <color rgb="FFFF0000"/>
      <name val="Meiryo UI"/>
      <family val="3"/>
    </font>
    <font>
      <b/>
      <sz val="18"/>
      <color theme="1"/>
      <name val="Meiryo UI"/>
      <family val="3"/>
      <charset val="128"/>
    </font>
    <font>
      <sz val="6"/>
      <name val="Meiryo UI"/>
      <family val="3"/>
      <charset val="128"/>
    </font>
    <font>
      <sz val="14"/>
      <name val="Meiryo UI"/>
      <family val="3"/>
      <charset val="128"/>
    </font>
    <font>
      <sz val="9"/>
      <color indexed="81"/>
      <name val="MS P ゴシック"/>
      <family val="3"/>
      <charset val="128"/>
    </font>
    <font>
      <b/>
      <sz val="11"/>
      <color theme="1"/>
      <name val="Meiryo UI"/>
      <family val="3"/>
      <charset val="128"/>
    </font>
    <font>
      <sz val="11"/>
      <color rgb="FFFF0000"/>
      <name val="Meiryo UI"/>
      <family val="3"/>
      <charset val="128"/>
    </font>
    <font>
      <b/>
      <sz val="11"/>
      <color rgb="FFFF0000"/>
      <name val="Meiryo UI"/>
      <family val="3"/>
      <charset val="128"/>
    </font>
    <font>
      <sz val="18"/>
      <color theme="1"/>
      <name val="Meiryo UI"/>
      <family val="3"/>
      <charset val="128"/>
    </font>
    <font>
      <sz val="18"/>
      <name val="Meiryo UI"/>
      <family val="3"/>
      <charset val="128"/>
    </font>
    <font>
      <sz val="14"/>
      <color rgb="FF000000"/>
      <name val="Meiryo UI"/>
      <family val="3"/>
      <charset val="128"/>
    </font>
    <font>
      <strike/>
      <sz val="14"/>
      <name val="Meiryo UI"/>
      <family val="3"/>
      <charset val="128"/>
    </font>
    <font>
      <sz val="14"/>
      <color rgb="FFFF0000"/>
      <name val="Meiryo UI"/>
      <family val="3"/>
      <charset val="128"/>
    </font>
    <font>
      <sz val="10"/>
      <color rgb="FF000000"/>
      <name val="Meiryo UI"/>
      <family val="3"/>
      <charset val="128"/>
    </font>
    <font>
      <sz val="8"/>
      <color theme="1"/>
      <name val="Meiryo UI"/>
      <family val="3"/>
      <charset val="128"/>
    </font>
    <font>
      <sz val="12"/>
      <color rgb="FF000000"/>
      <name val="Meiryo UI"/>
      <family val="3"/>
      <charset val="128"/>
    </font>
    <font>
      <sz val="11"/>
      <name val="ＭＳ Ｐゴシック"/>
      <family val="2"/>
      <scheme val="minor"/>
    </font>
    <font>
      <sz val="12"/>
      <color theme="1"/>
      <name val="ＭＳ Ｐゴシック"/>
      <family val="2"/>
      <scheme val="minor"/>
    </font>
    <font>
      <b/>
      <sz val="36"/>
      <color theme="1"/>
      <name val="Meiryo UI"/>
      <family val="3"/>
      <charset val="128"/>
    </font>
    <font>
      <b/>
      <sz val="12"/>
      <color theme="4"/>
      <name val="Meiryo UI"/>
      <family val="3"/>
      <charset val="128"/>
    </font>
    <font>
      <b/>
      <sz val="11"/>
      <color theme="4"/>
      <name val="Meiryo UI"/>
      <family val="3"/>
      <charset val="128"/>
    </font>
    <font>
      <b/>
      <sz val="24"/>
      <color theme="1"/>
      <name val="Meiryo UI"/>
      <family val="3"/>
      <charset val="128"/>
    </font>
    <font>
      <b/>
      <sz val="18"/>
      <color rgb="FFFF0000"/>
      <name val="Meiryo UI"/>
      <family val="3"/>
      <charset val="128"/>
    </font>
    <font>
      <sz val="11"/>
      <color rgb="FFFF0000"/>
      <name val="Meiryo UI"/>
      <family val="3"/>
    </font>
    <font>
      <sz val="18"/>
      <color rgb="FFFF0000"/>
      <name val="Meiryo UI"/>
      <family val="3"/>
      <charset val="128"/>
    </font>
    <font>
      <sz val="11"/>
      <color rgb="FFFF0000"/>
      <name val="ＭＳ Ｐゴシック"/>
      <family val="2"/>
      <scheme val="minor"/>
    </font>
    <font>
      <b/>
      <sz val="24"/>
      <color rgb="FFFF0000"/>
      <name val="Meiryo UI"/>
      <family val="3"/>
      <charset val="128"/>
    </font>
    <font>
      <sz val="10"/>
      <color rgb="FF1607DB"/>
      <name val="ＭＳ Ｐゴシック"/>
      <family val="3"/>
      <charset val="128"/>
      <scheme val="minor"/>
    </font>
    <font>
      <sz val="10"/>
      <color rgb="FFFF0000"/>
      <name val="ＭＳ Ｐゴシック"/>
      <family val="3"/>
      <charset val="128"/>
      <scheme val="minor"/>
    </font>
    <font>
      <sz val="8"/>
      <color theme="1"/>
      <name val="ＭＳ Ｐゴシック"/>
      <family val="3"/>
      <charset val="128"/>
      <scheme val="minor"/>
    </font>
    <font>
      <sz val="12"/>
      <color theme="1"/>
      <name val="游ゴシック"/>
      <family val="3"/>
    </font>
    <font>
      <sz val="10.5"/>
      <color theme="1"/>
      <name val="游ゴシック"/>
      <family val="3"/>
    </font>
    <font>
      <sz val="10.5"/>
      <name val="游ゴシック"/>
      <family val="3"/>
    </font>
    <font>
      <sz val="12"/>
      <name val="游ゴシック"/>
      <family val="3"/>
    </font>
    <font>
      <sz val="36"/>
      <color theme="1"/>
      <name val="游ゴシック"/>
      <family val="3"/>
    </font>
    <font>
      <sz val="9"/>
      <color theme="1"/>
      <name val="游ゴシック"/>
      <family val="3"/>
    </font>
    <font>
      <sz val="11"/>
      <color theme="1"/>
      <name val="游ゴシック"/>
      <family val="3"/>
    </font>
    <font>
      <sz val="11"/>
      <name val="游ゴシック"/>
      <family val="3"/>
    </font>
    <font>
      <sz val="11"/>
      <color rgb="FFFF0000"/>
      <name val="游ゴシック"/>
      <family val="3"/>
    </font>
    <font>
      <sz val="10"/>
      <color theme="1"/>
      <name val="游ゴシック"/>
      <family val="3"/>
    </font>
    <font>
      <sz val="11"/>
      <color rgb="FF9C6500"/>
      <name val="ＭＳ Ｐゴシック"/>
      <family val="2"/>
      <charset val="128"/>
      <scheme val="minor"/>
    </font>
    <font>
      <strike/>
      <sz val="11"/>
      <color rgb="FFFF0000"/>
      <name val="Meiryo UI"/>
      <family val="3"/>
      <charset val="128"/>
    </font>
    <font>
      <strike/>
      <sz val="8"/>
      <color rgb="FFFF0000"/>
      <name val="Meiryo UI"/>
      <family val="3"/>
      <charset val="128"/>
    </font>
    <font>
      <b/>
      <i/>
      <sz val="12"/>
      <color rgb="FFFF0000"/>
      <name val="Meiryo UI"/>
      <family val="3"/>
      <charset val="128"/>
    </font>
    <font>
      <sz val="14"/>
      <color theme="0"/>
      <name val="Meiryo UI"/>
      <family val="3"/>
      <charset val="128"/>
    </font>
    <font>
      <sz val="12"/>
      <color theme="0"/>
      <name val="Meiryo UI"/>
      <family val="3"/>
      <charset val="128"/>
    </font>
    <font>
      <b/>
      <sz val="12"/>
      <color theme="0"/>
      <name val="Meiryo UI"/>
      <family val="3"/>
      <charset val="128"/>
    </font>
    <font>
      <sz val="11"/>
      <color theme="0"/>
      <name val="Meiryo UI"/>
      <family val="3"/>
      <charset val="128"/>
    </font>
    <font>
      <u/>
      <sz val="11"/>
      <name val="Meiryo UI"/>
      <family val="3"/>
      <charset val="128"/>
    </font>
    <font>
      <sz val="8"/>
      <color theme="0"/>
      <name val="Meiryo UI"/>
      <family val="3"/>
      <charset val="128"/>
    </font>
    <font>
      <sz val="6"/>
      <color rgb="FF000000"/>
      <name val="Meiryo UI"/>
      <family val="3"/>
      <charset val="128"/>
    </font>
    <font>
      <b/>
      <sz val="18"/>
      <color theme="4"/>
      <name val="Meiryo UI"/>
      <family val="3"/>
      <charset val="128"/>
    </font>
    <font>
      <sz val="12"/>
      <color theme="1"/>
      <name val="メイリオ"/>
      <family val="2"/>
      <charset val="128"/>
    </font>
    <font>
      <sz val="12"/>
      <name val="メイリオ"/>
      <family val="3"/>
      <charset val="128"/>
    </font>
    <font>
      <b/>
      <sz val="12"/>
      <color rgb="FF9966FF"/>
      <name val="メイリオ"/>
      <family val="3"/>
      <charset val="128"/>
    </font>
    <font>
      <b/>
      <u/>
      <sz val="12"/>
      <name val="メイリオ"/>
      <family val="3"/>
      <charset val="128"/>
    </font>
    <font>
      <b/>
      <u/>
      <sz val="12"/>
      <color rgb="FF000000"/>
      <name val="メイリオ"/>
      <family val="3"/>
      <charset val="128"/>
    </font>
    <font>
      <b/>
      <u/>
      <sz val="12"/>
      <color rgb="FF9966FF"/>
      <name val="メイリオ"/>
      <family val="3"/>
      <charset val="128"/>
    </font>
    <font>
      <b/>
      <u/>
      <sz val="12"/>
      <color theme="1"/>
      <name val="メイリオ"/>
      <family val="3"/>
      <charset val="128"/>
    </font>
    <font>
      <sz val="12"/>
      <color rgb="FF000000"/>
      <name val="メイリオ"/>
      <family val="3"/>
      <charset val="128"/>
    </font>
    <font>
      <sz val="12"/>
      <color rgb="FFFF0000"/>
      <name val="メイリオ"/>
      <family val="2"/>
      <charset val="128"/>
    </font>
    <font>
      <sz val="12"/>
      <color theme="1"/>
      <name val="メイリオ"/>
      <family val="3"/>
      <charset val="128"/>
    </font>
    <font>
      <b/>
      <sz val="12"/>
      <color rgb="FF000000"/>
      <name val="メイリオ"/>
      <family val="3"/>
      <charset val="128"/>
    </font>
    <font>
      <b/>
      <sz val="12"/>
      <color rgb="FFFF0000"/>
      <name val="メイリオ"/>
      <family val="3"/>
      <charset val="128"/>
    </font>
    <font>
      <b/>
      <sz val="12"/>
      <color theme="1"/>
      <name val="メイリオ"/>
      <family val="3"/>
      <charset val="128"/>
    </font>
    <font>
      <b/>
      <sz val="12"/>
      <color theme="1"/>
      <name val="メイリオ"/>
      <family val="2"/>
      <charset val="128"/>
    </font>
    <font>
      <strike/>
      <sz val="12"/>
      <color rgb="FFFF0000"/>
      <name val="メイリオ"/>
      <family val="2"/>
      <charset val="128"/>
    </font>
    <font>
      <u/>
      <sz val="11"/>
      <color theme="10"/>
      <name val="ＭＳ Ｐゴシック"/>
      <family val="3"/>
      <charset val="128"/>
      <scheme val="minor"/>
    </font>
    <font>
      <sz val="12"/>
      <color theme="1"/>
      <name val="Meiryo UI"/>
      <family val="3"/>
    </font>
    <font>
      <sz val="16"/>
      <color rgb="FFFF0000"/>
      <name val="Meiryo UI"/>
      <family val="3"/>
    </font>
    <font>
      <b/>
      <sz val="14"/>
      <color theme="1"/>
      <name val="ＭＳ Ｐゴシック"/>
      <family val="3"/>
      <charset val="128"/>
      <scheme val="minor"/>
    </font>
    <font>
      <b/>
      <sz val="11"/>
      <color theme="0" tint="-0.14999847407452621"/>
      <name val="ＭＳ Ｐゴシック"/>
      <family val="3"/>
      <charset val="128"/>
      <scheme val="minor"/>
    </font>
    <font>
      <b/>
      <sz val="12"/>
      <color rgb="FFFF0000"/>
      <name val="Meiryo UI"/>
      <family val="3"/>
    </font>
    <font>
      <sz val="18"/>
      <color rgb="FFFF0000"/>
      <name val="Meiryo UI"/>
      <family val="3"/>
    </font>
    <font>
      <sz val="11"/>
      <color theme="1"/>
      <name val="ＭＳ Ｐゴシック"/>
      <family val="3"/>
      <charset val="128"/>
      <scheme val="minor"/>
    </font>
    <font>
      <sz val="11"/>
      <name val="ＭＳ Ｐゴシック"/>
      <family val="2"/>
      <charset val="128"/>
      <scheme val="minor"/>
    </font>
    <font>
      <b/>
      <sz val="20"/>
      <name val="Meiryo UI"/>
      <family val="3"/>
      <charset val="128"/>
    </font>
    <font>
      <sz val="20"/>
      <name val="Meiryo UI"/>
      <family val="3"/>
      <charset val="128"/>
    </font>
    <font>
      <b/>
      <sz val="22"/>
      <color rgb="FFFF0000"/>
      <name val="Meiryo UI"/>
      <family val="3"/>
      <charset val="128"/>
    </font>
    <font>
      <b/>
      <sz val="26"/>
      <color rgb="FFFF0000"/>
      <name val="Meiryo UI"/>
      <family val="3"/>
      <charset val="128"/>
    </font>
    <font>
      <sz val="20"/>
      <color theme="1"/>
      <name val="Meiryo UI"/>
      <family val="3"/>
      <charset val="128"/>
    </font>
    <font>
      <b/>
      <sz val="12"/>
      <color theme="1"/>
      <name val="ＭＳ Ｐゴシック"/>
      <family val="2"/>
      <charset val="128"/>
      <scheme val="minor"/>
    </font>
    <font>
      <b/>
      <sz val="9"/>
      <color theme="1"/>
      <name val="ＭＳ Ｐゴシック"/>
      <family val="3"/>
      <charset val="128"/>
      <scheme val="minor"/>
    </font>
    <font>
      <sz val="8"/>
      <name val="ＭＳ Ｐゴシック"/>
      <family val="3"/>
      <charset val="128"/>
      <scheme val="minor"/>
    </font>
    <font>
      <strike/>
      <sz val="16"/>
      <name val="Meiryo UI"/>
      <family val="3"/>
      <charset val="128"/>
    </font>
    <font>
      <b/>
      <sz val="10"/>
      <color rgb="FFFF0000"/>
      <name val="ＭＳ Ｐゴシック"/>
      <family val="3"/>
      <charset val="128"/>
      <scheme val="minor"/>
    </font>
    <font>
      <sz val="11"/>
      <color rgb="FF006100"/>
      <name val="ＭＳ Ｐゴシック"/>
      <family val="2"/>
      <charset val="128"/>
      <scheme val="minor"/>
    </font>
    <font>
      <b/>
      <sz val="9"/>
      <name val="Meiryo UI"/>
      <family val="3"/>
      <charset val="128"/>
    </font>
    <font>
      <b/>
      <sz val="8"/>
      <name val="Meiryo UI"/>
      <family val="3"/>
      <charset val="128"/>
    </font>
    <font>
      <strike/>
      <sz val="9"/>
      <name val="Meiryo UI"/>
      <family val="3"/>
      <charset val="128"/>
    </font>
    <font>
      <strike/>
      <sz val="8"/>
      <name val="Meiryo UI"/>
      <family val="3"/>
      <charset val="128"/>
    </font>
    <font>
      <b/>
      <sz val="11"/>
      <color theme="0"/>
      <name val="ＭＳ Ｐゴシック"/>
      <family val="2"/>
      <charset val="128"/>
      <scheme val="minor"/>
    </font>
    <font>
      <sz val="8"/>
      <color rgb="FFFF0000"/>
      <name val="Meiryo UI"/>
      <family val="3"/>
      <charset val="128"/>
    </font>
    <font>
      <b/>
      <sz val="12"/>
      <name val="Meiryo UI"/>
      <family val="3"/>
    </font>
    <font>
      <b/>
      <sz val="16"/>
      <color theme="1"/>
      <name val="Meiryo UI"/>
      <family val="3"/>
    </font>
    <font>
      <b/>
      <sz val="26"/>
      <color theme="1"/>
      <name val="ＭＳ Ｐゴシック"/>
      <family val="2"/>
      <charset val="128"/>
      <scheme val="minor"/>
    </font>
    <font>
      <b/>
      <sz val="26"/>
      <name val="ＭＳ Ｐゴシック"/>
      <family val="3"/>
      <charset val="128"/>
      <scheme val="minor"/>
    </font>
    <font>
      <b/>
      <sz val="26"/>
      <name val="Meiryo UI"/>
      <family val="3"/>
      <charset val="128"/>
    </font>
    <font>
      <b/>
      <sz val="26"/>
      <name val="Meiryo UI"/>
      <family val="3"/>
    </font>
    <font>
      <b/>
      <sz val="26"/>
      <color theme="1"/>
      <name val="Meiryo UI"/>
      <family val="3"/>
      <charset val="128"/>
    </font>
    <font>
      <b/>
      <sz val="26"/>
      <color theme="2" tint="-9.9978637043366805E-2"/>
      <name val="Meiryo UI"/>
      <family val="3"/>
      <charset val="128"/>
    </font>
    <font>
      <b/>
      <sz val="22"/>
      <name val="ＭＳ Ｐゴシック"/>
      <family val="3"/>
      <charset val="128"/>
      <scheme val="minor"/>
    </font>
    <font>
      <sz val="24"/>
      <name val="Meiryo UI"/>
      <family val="3"/>
      <charset val="128"/>
    </font>
    <font>
      <sz val="26"/>
      <name val="Meiryo UI"/>
      <family val="3"/>
      <charset val="128"/>
    </font>
    <font>
      <b/>
      <sz val="24"/>
      <name val="Meiryo UI"/>
      <family val="3"/>
      <charset val="128"/>
    </font>
    <font>
      <sz val="16"/>
      <color theme="1"/>
      <name val="ＭＳ Ｐゴシック"/>
      <family val="2"/>
      <scheme val="minor"/>
    </font>
    <font>
      <sz val="11"/>
      <name val="ＭＳ Ｐゴシック"/>
      <family val="2"/>
      <charset val="128"/>
    </font>
    <font>
      <b/>
      <sz val="11"/>
      <color rgb="FFEE0000"/>
      <name val="ＭＳ Ｐゴシック"/>
      <family val="3"/>
      <charset val="128"/>
      <scheme val="minor"/>
    </font>
    <font>
      <u/>
      <sz val="11"/>
      <color rgb="FF1607DB"/>
      <name val="ＭＳ Ｐゴシック"/>
      <family val="2"/>
      <charset val="128"/>
      <scheme val="minor"/>
    </font>
    <font>
      <u/>
      <sz val="11"/>
      <color rgb="FFEE0000"/>
      <name val="ＭＳ Ｐゴシック"/>
      <family val="2"/>
      <charset val="128"/>
      <scheme val="minor"/>
    </font>
    <font>
      <sz val="12"/>
      <color theme="0"/>
      <name val="メイリオ"/>
      <family val="2"/>
      <charset val="128"/>
    </font>
    <font>
      <sz val="12"/>
      <name val="メイリオ"/>
      <family val="2"/>
      <charset val="128"/>
    </font>
    <font>
      <sz val="12"/>
      <color theme="0" tint="-4.9989318521683403E-2"/>
      <name val="メイリオ"/>
      <family val="2"/>
      <charset val="128"/>
    </font>
    <font>
      <b/>
      <sz val="14"/>
      <color theme="1"/>
      <name val="メイリオ"/>
      <family val="3"/>
      <charset val="128"/>
    </font>
    <font>
      <sz val="12"/>
      <color theme="1" tint="0.34998626667073579"/>
      <name val="メイリオ"/>
      <family val="3"/>
      <charset val="128"/>
    </font>
    <font>
      <i/>
      <sz val="12"/>
      <color theme="1" tint="0.34998626667073579"/>
      <name val="メイリオ"/>
      <family val="3"/>
      <charset val="128"/>
    </font>
    <font>
      <i/>
      <sz val="11"/>
      <color theme="1" tint="0.34998626667073579"/>
      <name val="メイリオ"/>
      <family val="3"/>
      <charset val="128"/>
    </font>
    <font>
      <sz val="14"/>
      <color rgb="FFEE0000"/>
      <name val="Meiryo UI"/>
      <family val="3"/>
      <charset val="128"/>
    </font>
    <font>
      <b/>
      <sz val="12"/>
      <name val="メイリオ"/>
      <family val="3"/>
      <charset val="128"/>
    </font>
    <font>
      <sz val="11"/>
      <name val="メイリオ"/>
      <family val="3"/>
      <charset val="128"/>
    </font>
    <font>
      <b/>
      <sz val="16"/>
      <color theme="1"/>
      <name val="メイリオ"/>
      <family val="3"/>
      <charset val="128"/>
    </font>
    <font>
      <i/>
      <sz val="12"/>
      <name val="メイリオ"/>
      <family val="3"/>
      <charset val="128"/>
    </font>
    <font>
      <b/>
      <i/>
      <sz val="12"/>
      <name val="メイリオ"/>
      <family val="3"/>
      <charset val="128"/>
    </font>
    <font>
      <sz val="6"/>
      <color theme="1"/>
      <name val="ＭＳ Ｐゴシック"/>
      <family val="3"/>
      <charset val="128"/>
      <scheme val="minor"/>
    </font>
    <font>
      <b/>
      <sz val="8"/>
      <color rgb="FFEE0000"/>
      <name val="ＭＳ Ｐゴシック"/>
      <family val="3"/>
      <charset val="128"/>
      <scheme val="minor"/>
    </font>
    <font>
      <b/>
      <sz val="10"/>
      <color rgb="FFEE0000"/>
      <name val="ＭＳ Ｐゴシック"/>
      <family val="3"/>
      <charset val="128"/>
      <scheme val="minor"/>
    </font>
    <font>
      <i/>
      <sz val="12"/>
      <color rgb="FFFF0000"/>
      <name val="メイリオ"/>
      <family val="3"/>
      <charset val="128"/>
    </font>
    <font>
      <sz val="12"/>
      <color rgb="FFEE0000"/>
      <name val="メイリオ"/>
      <family val="3"/>
      <charset val="128"/>
    </font>
    <font>
      <i/>
      <sz val="12"/>
      <color rgb="FFEE0000"/>
      <name val="メイリオ"/>
      <family val="3"/>
      <charset val="128"/>
    </font>
    <font>
      <b/>
      <sz val="14"/>
      <color rgb="FFEE0000"/>
      <name val="メイリオ"/>
      <family val="3"/>
      <charset val="128"/>
    </font>
    <font>
      <sz val="11"/>
      <color rgb="FF9C0006"/>
      <name val="ＭＳ Ｐゴシック"/>
      <family val="2"/>
      <charset val="128"/>
      <scheme val="minor"/>
    </font>
    <font>
      <b/>
      <sz val="14"/>
      <name val="ＭＳ Ｐゴシック"/>
      <family val="3"/>
      <charset val="128"/>
      <scheme val="minor"/>
    </font>
    <font>
      <b/>
      <sz val="20"/>
      <color theme="1"/>
      <name val="Meiryo UI"/>
      <family val="3"/>
      <charset val="128"/>
    </font>
    <font>
      <sz val="14"/>
      <name val="Meiryo UI"/>
      <family val="3"/>
    </font>
    <font>
      <sz val="11"/>
      <color theme="1"/>
      <name val="Meiryo UI"/>
      <family val="3"/>
    </font>
    <font>
      <sz val="6"/>
      <color theme="1"/>
      <name val="Meiryo UI"/>
      <family val="3"/>
      <charset val="128"/>
    </font>
    <font>
      <sz val="6"/>
      <color rgb="FFFF0000"/>
      <name val="Meiryo UI"/>
      <family val="3"/>
      <charset val="128"/>
    </font>
    <font>
      <sz val="11"/>
      <color theme="1"/>
      <name val="游ゴシック Regular"/>
      <charset val="128"/>
    </font>
    <font>
      <b/>
      <sz val="16"/>
      <color theme="1"/>
      <name val="游ゴシック Regular"/>
      <charset val="128"/>
    </font>
    <font>
      <b/>
      <sz val="16"/>
      <name val="游ゴシック Regular"/>
      <family val="3"/>
      <charset val="128"/>
    </font>
    <font>
      <b/>
      <sz val="16"/>
      <color theme="1"/>
      <name val="游ゴシック Regular"/>
      <family val="3"/>
      <charset val="128"/>
    </font>
    <font>
      <sz val="18"/>
      <color theme="1"/>
      <name val="游ゴシック Regular"/>
      <charset val="128"/>
    </font>
    <font>
      <b/>
      <sz val="14"/>
      <color theme="1"/>
      <name val="游ゴシック Regular"/>
      <charset val="128"/>
    </font>
    <font>
      <sz val="11"/>
      <color theme="1"/>
      <name val="游ゴシック Regular"/>
      <family val="1"/>
      <charset val="128"/>
    </font>
    <font>
      <b/>
      <sz val="12"/>
      <color theme="1"/>
      <name val="游ゴシック Regular"/>
      <charset val="128"/>
    </font>
    <font>
      <b/>
      <sz val="12"/>
      <color theme="1"/>
      <name val="游ゴシック Regular"/>
      <family val="3"/>
      <charset val="128"/>
    </font>
    <font>
      <sz val="11"/>
      <color theme="1"/>
      <name val="游ゴシック Regular"/>
      <family val="3"/>
      <charset val="128"/>
    </font>
    <font>
      <sz val="11"/>
      <color rgb="FFFF0000"/>
      <name val="游ゴシック Regular"/>
      <family val="3"/>
      <charset val="128"/>
    </font>
    <font>
      <sz val="11"/>
      <name val="游ゴシック Regular"/>
      <family val="3"/>
      <charset val="128"/>
    </font>
    <font>
      <b/>
      <sz val="11"/>
      <color theme="1"/>
      <name val="游ゴシック Regular"/>
      <charset val="128"/>
    </font>
    <font>
      <i/>
      <sz val="11"/>
      <color theme="1"/>
      <name val="游ゴシック Regular"/>
      <charset val="128"/>
    </font>
    <font>
      <i/>
      <sz val="11"/>
      <color theme="1"/>
      <name val="游ゴシック Regular"/>
      <family val="3"/>
      <charset val="128"/>
    </font>
    <font>
      <sz val="11"/>
      <color rgb="FF000000"/>
      <name val="游ゴシック Regular"/>
      <family val="3"/>
      <charset val="128"/>
    </font>
    <font>
      <i/>
      <sz val="11"/>
      <color rgb="FF000000"/>
      <name val="游ゴシック Regular"/>
      <family val="3"/>
      <charset val="128"/>
    </font>
    <font>
      <sz val="10"/>
      <color theme="1"/>
      <name val="游ゴシック Regular"/>
      <charset val="128"/>
    </font>
    <font>
      <b/>
      <sz val="11"/>
      <color theme="1"/>
      <name val="游ゴシック Regular"/>
      <family val="3"/>
      <charset val="128"/>
    </font>
    <font>
      <b/>
      <sz val="14"/>
      <color theme="1"/>
      <name val="游ゴシック Regular"/>
      <family val="3"/>
      <charset val="128"/>
    </font>
    <font>
      <b/>
      <sz val="14"/>
      <color theme="1"/>
      <name val="游ゴシック Regular"/>
      <family val="3"/>
    </font>
    <font>
      <sz val="20"/>
      <color theme="1"/>
      <name val="游ゴシック Regular"/>
      <charset val="128"/>
    </font>
    <font>
      <sz val="20"/>
      <color theme="1"/>
      <name val="游ゴシック Regular"/>
      <family val="3"/>
      <charset val="128"/>
    </font>
    <font>
      <sz val="16"/>
      <color theme="1"/>
      <name val="游ゴシック Regular"/>
      <charset val="128"/>
    </font>
    <font>
      <sz val="20"/>
      <name val="ＭＳ Ｐゴシック"/>
      <family val="3"/>
      <charset val="128"/>
      <scheme val="minor"/>
    </font>
    <font>
      <b/>
      <sz val="14"/>
      <name val="游ゴシック Regular"/>
      <charset val="128"/>
    </font>
    <font>
      <b/>
      <sz val="12"/>
      <name val="游ゴシック Regular"/>
      <charset val="128"/>
    </font>
    <font>
      <b/>
      <sz val="12"/>
      <name val="游ゴシック Regular"/>
      <family val="3"/>
      <charset val="128"/>
    </font>
    <font>
      <b/>
      <sz val="11"/>
      <name val="游ゴシック Regular"/>
      <family val="3"/>
      <charset val="128"/>
    </font>
    <font>
      <i/>
      <sz val="11"/>
      <color theme="0" tint="-0.499984740745262"/>
      <name val="游ゴシック Regular"/>
      <charset val="128"/>
    </font>
    <font>
      <i/>
      <sz val="11"/>
      <color theme="6"/>
      <name val="游ゴシック Regular"/>
      <family val="3"/>
      <charset val="128"/>
    </font>
    <font>
      <i/>
      <sz val="11"/>
      <color theme="0" tint="-0.499984740745262"/>
      <name val="游ゴシック Regular"/>
      <family val="3"/>
      <charset val="128"/>
    </font>
    <font>
      <sz val="11"/>
      <name val="Segoe UI Symbol"/>
      <family val="2"/>
    </font>
    <font>
      <sz val="11"/>
      <name val="Segoe UI Symbol"/>
      <family val="3"/>
    </font>
    <font>
      <sz val="9"/>
      <color theme="1"/>
      <name val="游ゴシック Regular"/>
      <family val="3"/>
      <charset val="128"/>
    </font>
    <font>
      <sz val="11"/>
      <color theme="6"/>
      <name val="游ゴシック Regular"/>
      <family val="3"/>
      <charset val="128"/>
    </font>
    <font>
      <sz val="11"/>
      <color theme="6"/>
      <name val="游ゴシック Regular"/>
      <charset val="128"/>
    </font>
    <font>
      <b/>
      <sz val="10"/>
      <color theme="1"/>
      <name val="游ゴシック Regular"/>
      <family val="3"/>
      <charset val="128"/>
    </font>
    <font>
      <b/>
      <sz val="11"/>
      <color rgb="FFFF0000"/>
      <name val="游ゴシック Regular"/>
      <family val="3"/>
      <charset val="128"/>
    </font>
    <font>
      <sz val="20"/>
      <name val="游ゴシック Regular"/>
      <family val="3"/>
      <charset val="128"/>
    </font>
    <font>
      <sz val="11"/>
      <name val="游ゴシック Regular"/>
      <charset val="128"/>
    </font>
    <font>
      <i/>
      <sz val="11"/>
      <name val="游ゴシック Regular"/>
      <family val="3"/>
      <charset val="128"/>
    </font>
    <font>
      <sz val="16"/>
      <color theme="1"/>
      <name val="游ゴシック Regular"/>
      <family val="3"/>
      <charset val="128"/>
    </font>
    <font>
      <b/>
      <sz val="20"/>
      <color theme="1"/>
      <name val="游ゴシック Regular"/>
      <family val="3"/>
      <charset val="128"/>
    </font>
    <font>
      <sz val="12"/>
      <color theme="1"/>
      <name val="游ゴシック Regular"/>
      <family val="3"/>
      <charset val="128"/>
    </font>
    <font>
      <b/>
      <i/>
      <sz val="11"/>
      <color rgb="FFEE0000"/>
      <name val="游ゴシック Regular"/>
      <family val="3"/>
      <charset val="128"/>
    </font>
    <font>
      <sz val="14"/>
      <color theme="1"/>
      <name val="游ゴシック Regular"/>
      <charset val="128"/>
    </font>
    <font>
      <sz val="14"/>
      <color theme="1"/>
      <name val="游ゴシック Regular"/>
      <family val="3"/>
      <charset val="128"/>
    </font>
    <font>
      <b/>
      <sz val="18"/>
      <color theme="1"/>
      <name val="游ゴシック Regular"/>
      <family val="3"/>
      <charset val="128"/>
    </font>
    <font>
      <sz val="11"/>
      <color rgb="FFEE0000"/>
      <name val="游ゴシック Regular"/>
      <family val="3"/>
      <charset val="128"/>
    </font>
    <font>
      <sz val="12"/>
      <name val="游ゴシック Regular"/>
      <family val="3"/>
      <charset val="128"/>
    </font>
    <font>
      <i/>
      <sz val="11"/>
      <color theme="4"/>
      <name val="游ゴシック Regular"/>
      <charset val="128"/>
    </font>
    <font>
      <i/>
      <sz val="11"/>
      <color theme="4"/>
      <name val="游ゴシック Regular"/>
      <family val="3"/>
      <charset val="128"/>
    </font>
    <font>
      <sz val="11"/>
      <color theme="4"/>
      <name val="游ゴシック Regular"/>
      <family val="3"/>
      <charset val="128"/>
    </font>
    <font>
      <b/>
      <sz val="16"/>
      <color theme="1"/>
      <name val="游ゴシック Regular"/>
      <family val="3"/>
    </font>
    <font>
      <b/>
      <sz val="11"/>
      <color rgb="FFEE0000"/>
      <name val="游ゴシック Regular"/>
      <family val="3"/>
      <charset val="128"/>
    </font>
    <font>
      <sz val="11"/>
      <color theme="6"/>
      <name val="游ゴシック Regular"/>
      <family val="3"/>
    </font>
    <font>
      <sz val="11"/>
      <name val="游ゴシック Regular"/>
      <family val="3"/>
    </font>
    <font>
      <b/>
      <sz val="12"/>
      <name val="游ゴシック Regular"/>
      <family val="3"/>
    </font>
    <font>
      <sz val="11"/>
      <name val="ＭＳ Ｐゴシック"/>
      <family val="3"/>
      <charset val="128"/>
    </font>
    <font>
      <i/>
      <sz val="11"/>
      <color rgb="FFFF0000"/>
      <name val="游ゴシック Regular"/>
      <family val="3"/>
      <charset val="128"/>
    </font>
    <font>
      <sz val="11"/>
      <name val="游ゴシック"/>
      <family val="3"/>
      <charset val="128"/>
    </font>
    <font>
      <strike/>
      <sz val="11"/>
      <color theme="1"/>
      <name val="Meiryo UI"/>
      <family val="3"/>
      <charset val="128"/>
    </font>
    <font>
      <strike/>
      <sz val="11"/>
      <name val="Meiryo UI"/>
      <family val="3"/>
      <charset val="128"/>
    </font>
    <font>
      <b/>
      <strike/>
      <sz val="20"/>
      <color theme="1"/>
      <name val="游ゴシック Regular"/>
      <family val="3"/>
      <charset val="128"/>
    </font>
    <font>
      <b/>
      <sz val="12"/>
      <color rgb="FFFF0000"/>
      <name val="游ゴシック Regular"/>
      <family val="3"/>
      <charset val="128"/>
    </font>
    <font>
      <sz val="12"/>
      <color rgb="FFFF0000"/>
      <name val="游ゴシック Regular"/>
      <family val="3"/>
      <charset val="128"/>
    </font>
    <font>
      <sz val="18"/>
      <color theme="1"/>
      <name val="游ゴシック Regular"/>
      <family val="3"/>
      <charset val="128"/>
    </font>
    <font>
      <b/>
      <sz val="14"/>
      <name val="游ゴシック Regular"/>
      <family val="3"/>
      <charset val="128"/>
    </font>
    <font>
      <b/>
      <u/>
      <sz val="16"/>
      <color theme="1"/>
      <name val="游ゴシック Regular"/>
      <charset val="128"/>
    </font>
    <font>
      <b/>
      <u/>
      <sz val="16"/>
      <color theme="1"/>
      <name val="游ゴシック Regular"/>
      <family val="3"/>
      <charset val="128"/>
    </font>
    <font>
      <i/>
      <sz val="11"/>
      <color theme="0" tint="-0.499984740745262"/>
      <name val="游ゴシック Regular"/>
      <family val="3"/>
    </font>
    <font>
      <b/>
      <i/>
      <sz val="11"/>
      <color theme="0" tint="-0.499984740745262"/>
      <name val="游ゴシック Regular"/>
      <family val="3"/>
      <charset val="128"/>
    </font>
    <font>
      <b/>
      <sz val="14"/>
      <color rgb="FFFF0000"/>
      <name val="游ゴシック Regular"/>
      <family val="3"/>
    </font>
    <font>
      <sz val="10"/>
      <color theme="1"/>
      <name val="游ゴシック Regular"/>
      <family val="3"/>
      <charset val="128"/>
    </font>
    <font>
      <b/>
      <sz val="11"/>
      <name val="游ゴシック Regular"/>
      <charset val="128"/>
    </font>
    <font>
      <i/>
      <sz val="11"/>
      <color theme="6"/>
      <name val="游ゴシック Regular"/>
      <charset val="128"/>
    </font>
    <font>
      <i/>
      <sz val="12"/>
      <color theme="6"/>
      <name val="游ゴシック Regular"/>
      <charset val="128"/>
    </font>
    <font>
      <i/>
      <sz val="12"/>
      <color theme="6"/>
      <name val="游ゴシック Regular"/>
      <family val="3"/>
      <charset val="128"/>
    </font>
    <font>
      <sz val="20"/>
      <name val="游ゴシック Regular"/>
      <charset val="128"/>
    </font>
    <font>
      <sz val="6"/>
      <name val="游ゴシック"/>
      <family val="3"/>
      <charset val="128"/>
    </font>
    <font>
      <sz val="9"/>
      <name val="游ゴシック Regular"/>
      <family val="3"/>
      <charset val="128"/>
    </font>
    <font>
      <sz val="14"/>
      <name val="游ゴシック Regular"/>
      <family val="3"/>
      <charset val="128"/>
    </font>
    <font>
      <sz val="11"/>
      <color theme="0" tint="-0.499984740745262"/>
      <name val="游ゴシック Regular"/>
      <family val="3"/>
      <charset val="128"/>
    </font>
    <font>
      <b/>
      <sz val="9"/>
      <color rgb="FFFF0000"/>
      <name val="游ゴシック Regular"/>
      <family val="3"/>
      <charset val="128"/>
    </font>
    <font>
      <strike/>
      <sz val="11"/>
      <color rgb="FFFF0000"/>
      <name val="游ゴシック Regular"/>
      <family val="3"/>
      <charset val="128"/>
    </font>
    <font>
      <b/>
      <sz val="10"/>
      <color rgb="FFFF0000"/>
      <name val="游ゴシック Regular"/>
      <family val="3"/>
      <charset val="128"/>
    </font>
    <font>
      <b/>
      <sz val="10"/>
      <name val="游ゴシック Regular"/>
      <family val="3"/>
      <charset val="128"/>
    </font>
    <font>
      <sz val="11"/>
      <color rgb="FF00B0F0"/>
      <name val="游ゴシック Regular"/>
      <family val="3"/>
      <charset val="128"/>
    </font>
    <font>
      <sz val="11"/>
      <color rgb="FFFF0000"/>
      <name val="游ゴシック Regular"/>
      <charset val="128"/>
    </font>
    <font>
      <sz val="11"/>
      <color rgb="FFAC0468"/>
      <name val="游ゴシック Regular"/>
      <charset val="128"/>
    </font>
    <font>
      <sz val="11"/>
      <color rgb="FFAC0468"/>
      <name val="游ゴシック Regular"/>
      <family val="3"/>
      <charset val="128"/>
    </font>
    <font>
      <sz val="11"/>
      <color rgb="FF00B050"/>
      <name val="游ゴシック Regular"/>
      <family val="3"/>
      <charset val="128"/>
    </font>
    <font>
      <sz val="20"/>
      <color rgb="FFFF0000"/>
      <name val="游ゴシック Regular"/>
      <family val="3"/>
      <charset val="128"/>
    </font>
    <font>
      <sz val="20"/>
      <color rgb="FFFF0000"/>
      <name val="游ゴシック Regular"/>
      <charset val="128"/>
    </font>
    <font>
      <u/>
      <sz val="11"/>
      <color theme="1"/>
      <name val="游ゴシック Regular"/>
      <family val="3"/>
      <charset val="128"/>
    </font>
    <font>
      <u/>
      <sz val="11"/>
      <color rgb="FFFF0000"/>
      <name val="游ゴシック Regular"/>
      <family val="3"/>
      <charset val="128"/>
    </font>
    <font>
      <sz val="11"/>
      <color rgb="FF00B050"/>
      <name val="游ゴシック Regular"/>
      <charset val="128"/>
    </font>
    <font>
      <b/>
      <u/>
      <sz val="16"/>
      <name val="游ゴシック Regular"/>
      <charset val="128"/>
    </font>
    <font>
      <b/>
      <u/>
      <sz val="16"/>
      <name val="游ゴシック Regular"/>
      <family val="3"/>
      <charset val="128"/>
    </font>
    <font>
      <sz val="18"/>
      <name val="游ゴシック Regular"/>
      <charset val="128"/>
    </font>
    <font>
      <sz val="11"/>
      <name val="游ゴシック Regular"/>
      <family val="1"/>
      <charset val="128"/>
    </font>
    <font>
      <i/>
      <sz val="11"/>
      <name val="游ゴシック Regular"/>
      <charset val="128"/>
    </font>
    <font>
      <sz val="14"/>
      <name val="游ゴシック Regular"/>
      <charset val="128"/>
    </font>
    <font>
      <sz val="16"/>
      <name val="游ゴシック Regular"/>
      <charset val="128"/>
    </font>
    <font>
      <b/>
      <sz val="16"/>
      <name val="游ゴシック Regular"/>
      <charset val="128"/>
    </font>
    <font>
      <b/>
      <sz val="16"/>
      <color rgb="FFFF0000"/>
      <name val="游ゴシック Regular"/>
      <family val="3"/>
      <charset val="128"/>
    </font>
    <font>
      <i/>
      <sz val="11"/>
      <color rgb="FFFF0000"/>
      <name val="游ゴシック Regular"/>
      <charset val="128"/>
    </font>
    <font>
      <b/>
      <sz val="12"/>
      <color theme="1"/>
      <name val="游ゴシック Regular"/>
      <family val="3"/>
    </font>
    <font>
      <u/>
      <sz val="11"/>
      <color rgb="FFFF0000"/>
      <name val="ＭＳ Ｐゴシック"/>
      <family val="2"/>
      <charset val="128"/>
      <scheme val="minor"/>
    </font>
    <font>
      <b/>
      <sz val="14"/>
      <name val="メイリオ"/>
      <family val="3"/>
      <charset val="128"/>
    </font>
    <font>
      <sz val="12"/>
      <color theme="0"/>
      <name val="メイリオ"/>
      <family val="3"/>
      <charset val="128"/>
    </font>
    <font>
      <b/>
      <sz val="12"/>
      <color theme="0"/>
      <name val="メイリオ"/>
      <family val="3"/>
      <charset val="128"/>
    </font>
    <font>
      <b/>
      <sz val="12"/>
      <color theme="1" tint="0.34998626667073579"/>
      <name val="メイリオ"/>
      <family val="3"/>
      <charset val="128"/>
    </font>
    <font>
      <sz val="12"/>
      <color rgb="FFFF0000"/>
      <name val="メイリオ"/>
      <family val="3"/>
      <charset val="128"/>
    </font>
    <font>
      <sz val="11"/>
      <color rgb="FF0070C0"/>
      <name val="游ゴシック Regular"/>
      <charset val="128"/>
    </font>
    <font>
      <sz val="11"/>
      <color rgb="FF0070C0"/>
      <name val="游ゴシック Regular"/>
      <family val="3"/>
      <charset val="128"/>
    </font>
    <font>
      <sz val="11"/>
      <color theme="8" tint="-0.249977111117893"/>
      <name val="游ゴシック Regular"/>
      <family val="3"/>
      <charset val="128"/>
    </font>
    <font>
      <sz val="11"/>
      <color theme="8" tint="-0.249977111117893"/>
      <name val="ＭＳ Ｐゴシック"/>
      <family val="3"/>
      <charset val="128"/>
    </font>
    <font>
      <i/>
      <sz val="11"/>
      <color theme="8" tint="-0.249977111117893"/>
      <name val="游ゴシック Regular"/>
      <charset val="128"/>
    </font>
    <font>
      <sz val="11"/>
      <color theme="8" tint="-0.249977111117893"/>
      <name val="游ゴシック Regular"/>
      <charset val="128"/>
    </font>
    <font>
      <b/>
      <sz val="11"/>
      <color indexed="10"/>
      <name val="游ゴシック Regular"/>
      <family val="3"/>
      <charset val="128"/>
    </font>
    <font>
      <i/>
      <sz val="12"/>
      <color theme="1" tint="0.499984740745262"/>
      <name val="メイリオ"/>
      <family val="3"/>
      <charset val="128"/>
    </font>
    <font>
      <b/>
      <sz val="18"/>
      <color theme="1"/>
      <name val="メイリオ"/>
      <family val="3"/>
      <charset val="128"/>
    </font>
    <font>
      <b/>
      <sz val="18"/>
      <color rgb="FFFF0000"/>
      <name val="メイリオ"/>
      <family val="3"/>
      <charset val="128"/>
    </font>
    <font>
      <b/>
      <sz val="18"/>
      <name val="メイリオ"/>
      <family val="3"/>
      <charset val="128"/>
    </font>
  </fonts>
  <fills count="66">
    <fill>
      <patternFill patternType="none"/>
    </fill>
    <fill>
      <patternFill patternType="gray125"/>
    </fill>
    <fill>
      <patternFill patternType="solid">
        <fgColor theme="9" tint="0.59999389629810485"/>
        <bgColor indexed="64"/>
      </patternFill>
    </fill>
    <fill>
      <patternFill patternType="solid">
        <fgColor theme="9" tint="0.59999389629810485"/>
        <bgColor auto="1"/>
      </patternFill>
    </fill>
    <fill>
      <patternFill patternType="solid">
        <fgColor rgb="FFFFFF99"/>
        <bgColor indexed="64"/>
      </patternFill>
    </fill>
    <fill>
      <patternFill patternType="solid">
        <fgColor rgb="FF1607DB"/>
        <bgColor indexed="64"/>
      </patternFill>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FF66FF"/>
        <bgColor indexed="64"/>
      </patternFill>
    </fill>
    <fill>
      <patternFill patternType="solid">
        <fgColor theme="8" tint="0.59999389629810485"/>
        <bgColor indexed="64"/>
      </patternFill>
    </fill>
    <fill>
      <patternFill patternType="solid">
        <fgColor rgb="FFFFCCFF"/>
        <bgColor indexed="64"/>
      </patternFill>
    </fill>
    <fill>
      <patternFill patternType="solid">
        <fgColor theme="2" tint="-9.9978637043366805E-2"/>
        <bgColor indexed="64"/>
      </patternFill>
    </fill>
    <fill>
      <patternFill patternType="solid">
        <fgColor rgb="FFFFCCCC"/>
        <bgColor indexed="64"/>
      </patternFill>
    </fill>
    <fill>
      <patternFill patternType="solid">
        <fgColor rgb="FFCCECFF"/>
        <bgColor indexed="64"/>
      </patternFill>
    </fill>
    <fill>
      <patternFill patternType="solid">
        <fgColor theme="0" tint="-0.249977111117893"/>
        <bgColor indexed="64"/>
      </patternFill>
    </fill>
    <fill>
      <patternFill patternType="solid">
        <fgColor rgb="FFFFC000"/>
        <bgColor indexed="64"/>
      </patternFill>
    </fill>
    <fill>
      <patternFill patternType="solid">
        <fgColor theme="3" tint="0.89999084444715716"/>
        <bgColor indexed="64"/>
      </patternFill>
    </fill>
    <fill>
      <patternFill patternType="solid">
        <fgColor rgb="FFD9E1F2"/>
        <bgColor indexed="64"/>
      </patternFill>
    </fill>
    <fill>
      <patternFill patternType="solid">
        <fgColor rgb="FFFF0000"/>
        <bgColor indexed="64"/>
      </patternFill>
    </fill>
    <fill>
      <patternFill patternType="solid">
        <fgColor rgb="FF92D050"/>
        <bgColor indexed="64"/>
      </patternFill>
    </fill>
    <fill>
      <patternFill patternType="solid">
        <fgColor rgb="FFDEEAF6"/>
        <bgColor rgb="FFDEEAF6"/>
      </patternFill>
    </fill>
    <fill>
      <patternFill patternType="solid">
        <fgColor theme="8" tint="0.79998168889431442"/>
        <bgColor rgb="FFDEEAF6"/>
      </patternFill>
    </fill>
    <fill>
      <patternFill patternType="solid">
        <fgColor rgb="FFFEF2CB"/>
        <bgColor rgb="FFFEF2CB"/>
      </patternFill>
    </fill>
    <fill>
      <patternFill patternType="solid">
        <fgColor rgb="FFFFFF00"/>
        <bgColor rgb="FFDEEAF6"/>
      </patternFill>
    </fill>
    <fill>
      <patternFill patternType="solid">
        <fgColor theme="3"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33CC"/>
        <bgColor indexed="64"/>
      </patternFill>
    </fill>
    <fill>
      <patternFill patternType="solid">
        <fgColor theme="2"/>
        <bgColor indexed="64"/>
      </patternFill>
    </fill>
    <fill>
      <patternFill patternType="solid">
        <fgColor rgb="FF00B0F0"/>
        <bgColor indexed="64"/>
      </patternFill>
    </fill>
    <fill>
      <patternFill patternType="solid">
        <fgColor theme="4"/>
        <bgColor indexed="64"/>
      </patternFill>
    </fill>
    <fill>
      <patternFill patternType="solid">
        <fgColor rgb="FF0070C0"/>
        <bgColor indexed="64"/>
      </patternFill>
    </fill>
    <fill>
      <patternFill patternType="solid">
        <fgColor rgb="FF002060"/>
        <bgColor indexed="64"/>
      </patternFill>
    </fill>
    <fill>
      <patternFill patternType="solid">
        <fgColor theme="1" tint="0.34998626667073579"/>
        <bgColor indexed="64"/>
      </patternFill>
    </fill>
    <fill>
      <patternFill patternType="solid">
        <fgColor rgb="FFCC99FF"/>
        <bgColor indexed="64"/>
      </patternFill>
    </fill>
    <fill>
      <patternFill patternType="solid">
        <fgColor theme="2" tint="-0.499984740745262"/>
        <bgColor indexed="64"/>
      </patternFill>
    </fill>
    <fill>
      <patternFill patternType="solid">
        <fgColor rgb="FFCCCCFF"/>
        <bgColor indexed="64"/>
      </patternFill>
    </fill>
    <fill>
      <patternFill patternType="solid">
        <fgColor theme="8"/>
        <bgColor indexed="64"/>
      </patternFill>
    </fill>
    <fill>
      <patternFill patternType="solid">
        <fgColor rgb="FFFEF2CB"/>
        <bgColor indexed="64"/>
      </patternFill>
    </fill>
    <fill>
      <patternFill patternType="solid">
        <fgColor theme="6" tint="0.79998168889431442"/>
        <bgColor indexed="64"/>
      </patternFill>
    </fill>
    <fill>
      <patternFill patternType="solid">
        <fgColor rgb="FFFFC7CE"/>
      </patternFill>
    </fill>
    <fill>
      <patternFill patternType="solid">
        <fgColor rgb="FF99FF99"/>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1"/>
        <bgColor indexed="64"/>
      </patternFill>
    </fill>
    <fill>
      <patternFill patternType="solid">
        <fgColor rgb="FFFFFFCC"/>
        <bgColor indexed="64"/>
      </patternFill>
    </fill>
    <fill>
      <patternFill patternType="solid">
        <fgColor rgb="FFFFFF99"/>
        <bgColor rgb="FF000000"/>
      </patternFill>
    </fill>
    <fill>
      <gradientFill degree="45">
        <stop position="0">
          <color theme="9" tint="0.59999389629810485"/>
        </stop>
        <stop position="1">
          <color theme="6" tint="0.40000610370189521"/>
        </stop>
      </gradientFill>
    </fill>
    <fill>
      <patternFill patternType="solid">
        <fgColor theme="9" tint="0.59996337778862885"/>
        <bgColor indexed="64"/>
      </patternFill>
    </fill>
    <fill>
      <gradientFill degree="45">
        <stop position="0">
          <color theme="9" tint="0.59999389629810485"/>
        </stop>
        <stop position="1">
          <color theme="7" tint="0.59999389629810485"/>
        </stop>
      </gradientFill>
    </fill>
    <fill>
      <patternFill patternType="solid">
        <fgColor theme="1" tint="0.249977111117893"/>
        <bgColor indexed="64"/>
      </patternFill>
    </fill>
  </fills>
  <borders count="1131">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rgb="FFFF0000"/>
      </left>
      <right style="double">
        <color rgb="FFFF0000"/>
      </right>
      <top style="double">
        <color rgb="FFFF0000"/>
      </top>
      <bottom/>
      <diagonal/>
    </border>
    <border>
      <left/>
      <right/>
      <top/>
      <bottom style="double">
        <color auto="1"/>
      </bottom>
      <diagonal/>
    </border>
    <border>
      <left style="double">
        <color rgb="FFFF0000"/>
      </left>
      <right style="double">
        <color rgb="FFFF0000"/>
      </right>
      <top style="thin">
        <color theme="0" tint="-0.34998626667073579"/>
      </top>
      <bottom style="thin">
        <color theme="0" tint="-0.34998626667073579"/>
      </bottom>
      <diagonal/>
    </border>
    <border>
      <left style="thin">
        <color theme="0" tint="-0.499984740745262"/>
      </left>
      <right style="thin">
        <color theme="0" tint="-0.499984740745262"/>
      </right>
      <top style="double">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double">
        <color theme="0" tint="-0.499984740745262"/>
      </top>
      <bottom style="thin">
        <color theme="0" tint="-0.499984740745262"/>
      </bottom>
      <diagonal/>
    </border>
    <border>
      <left/>
      <right/>
      <top style="double">
        <color theme="0" tint="-0.499984740745262"/>
      </top>
      <bottom style="thin">
        <color theme="0" tint="-0.499984740745262"/>
      </bottom>
      <diagonal/>
    </border>
    <border>
      <left/>
      <right style="thin">
        <color theme="0" tint="-0.499984740745262"/>
      </right>
      <top style="double">
        <color theme="0" tint="-0.499984740745262"/>
      </top>
      <bottom style="thin">
        <color theme="0" tint="-0.499984740745262"/>
      </bottom>
      <diagonal/>
    </border>
    <border>
      <left/>
      <right/>
      <top style="thin">
        <color theme="0" tint="-0.499984740745262"/>
      </top>
      <bottom/>
      <diagonal/>
    </border>
    <border>
      <left style="double">
        <color rgb="FFFF0000"/>
      </left>
      <right style="double">
        <color rgb="FFFF0000"/>
      </right>
      <top style="thin">
        <color theme="0" tint="-0.34998626667073579"/>
      </top>
      <bottom style="double">
        <color rgb="FFFF0000"/>
      </bottom>
      <diagonal/>
    </border>
    <border>
      <left/>
      <right/>
      <top style="double">
        <color rgb="FFFF0000"/>
      </top>
      <bottom/>
      <diagonal/>
    </border>
    <border>
      <left style="double">
        <color rgb="FFFF0000"/>
      </left>
      <right style="double">
        <color rgb="FFFF0000"/>
      </right>
      <top style="thin">
        <color theme="0" tint="-0.34998626667073579"/>
      </top>
      <bottom/>
      <diagonal/>
    </border>
    <border>
      <left style="thin">
        <color theme="0" tint="-0.499984740745262"/>
      </left>
      <right/>
      <top style="thin">
        <color theme="0" tint="-0.499984740745262"/>
      </top>
      <bottom style="double">
        <color theme="0" tint="-0.499984740745262"/>
      </bottom>
      <diagonal/>
    </border>
    <border>
      <left/>
      <right style="thin">
        <color theme="0" tint="-0.499984740745262"/>
      </right>
      <top style="thin">
        <color theme="0" tint="-0.499984740745262"/>
      </top>
      <bottom style="double">
        <color theme="0" tint="-0.499984740745262"/>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ck">
        <color indexed="64"/>
      </left>
      <right/>
      <top style="thick">
        <color indexed="64"/>
      </top>
      <bottom style="thin">
        <color theme="1"/>
      </bottom>
      <diagonal/>
    </border>
    <border>
      <left/>
      <right style="dotted">
        <color theme="1"/>
      </right>
      <top style="thick">
        <color indexed="64"/>
      </top>
      <bottom style="thin">
        <color theme="1"/>
      </bottom>
      <diagonal/>
    </border>
    <border>
      <left style="dotted">
        <color theme="1"/>
      </left>
      <right/>
      <top style="thick">
        <color indexed="64"/>
      </top>
      <bottom/>
      <diagonal/>
    </border>
    <border>
      <left style="thin">
        <color auto="1"/>
      </left>
      <right style="thick">
        <color auto="1"/>
      </right>
      <top style="thick">
        <color indexed="64"/>
      </top>
      <bottom/>
      <diagonal/>
    </border>
    <border>
      <left style="thick">
        <color indexed="64"/>
      </left>
      <right style="dotted">
        <color theme="1"/>
      </right>
      <top style="thin">
        <color theme="1"/>
      </top>
      <bottom style="thin">
        <color theme="1"/>
      </bottom>
      <diagonal/>
    </border>
    <border>
      <left style="dotted">
        <color theme="1"/>
      </left>
      <right style="dotted">
        <color theme="1"/>
      </right>
      <top style="thin">
        <color theme="1"/>
      </top>
      <bottom style="thin">
        <color theme="1"/>
      </bottom>
      <diagonal/>
    </border>
    <border>
      <left style="dotted">
        <color theme="1"/>
      </left>
      <right/>
      <top style="thin">
        <color theme="1"/>
      </top>
      <bottom style="thin">
        <color theme="1"/>
      </bottom>
      <diagonal/>
    </border>
    <border>
      <left style="thin">
        <color indexed="64"/>
      </left>
      <right style="thick">
        <color indexed="64"/>
      </right>
      <top style="thin">
        <color theme="1"/>
      </top>
      <bottom style="thin">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auto="1"/>
      </bottom>
      <diagonal/>
    </border>
    <border>
      <left/>
      <right/>
      <top/>
      <bottom style="thin">
        <color indexed="64"/>
      </bottom>
      <diagonal/>
    </border>
    <border>
      <left/>
      <right style="thin">
        <color auto="1"/>
      </right>
      <top/>
      <bottom style="thin">
        <color indexed="64"/>
      </bottom>
      <diagonal/>
    </border>
    <border>
      <left style="thick">
        <color indexed="64"/>
      </left>
      <right style="dotted">
        <color theme="1"/>
      </right>
      <top style="thin">
        <color theme="1"/>
      </top>
      <bottom style="thick">
        <color indexed="64"/>
      </bottom>
      <diagonal/>
    </border>
    <border>
      <left style="dotted">
        <color theme="1"/>
      </left>
      <right style="dotted">
        <color theme="1"/>
      </right>
      <top style="thin">
        <color theme="1"/>
      </top>
      <bottom style="thick">
        <color indexed="64"/>
      </bottom>
      <diagonal/>
    </border>
    <border>
      <left style="dotted">
        <color theme="1"/>
      </left>
      <right/>
      <top style="thin">
        <color theme="1"/>
      </top>
      <bottom style="thick">
        <color indexed="64"/>
      </bottom>
      <diagonal/>
    </border>
    <border>
      <left style="thin">
        <color indexed="64"/>
      </left>
      <right style="thick">
        <color indexed="64"/>
      </right>
      <top style="thin">
        <color theme="1"/>
      </top>
      <bottom style="thick">
        <color indexed="64"/>
      </bottom>
      <diagonal/>
    </border>
    <border>
      <left style="medium">
        <color indexed="64"/>
      </left>
      <right style="thin">
        <color theme="0" tint="-0.34998626667073579"/>
      </right>
      <top style="medium">
        <color indexed="64"/>
      </top>
      <bottom/>
      <diagonal/>
    </border>
    <border>
      <left/>
      <right style="thin">
        <color indexed="64"/>
      </right>
      <top style="medium">
        <color indexed="64"/>
      </top>
      <bottom/>
      <diagonal/>
    </border>
    <border>
      <left/>
      <right/>
      <top style="medium">
        <color indexed="64"/>
      </top>
      <bottom style="hair">
        <color theme="0" tint="-0.34998626667073579"/>
      </bottom>
      <diagonal/>
    </border>
    <border>
      <left style="thin">
        <color indexed="64"/>
      </left>
      <right style="thin">
        <color auto="1"/>
      </right>
      <top style="medium">
        <color indexed="64"/>
      </top>
      <bottom/>
      <diagonal/>
    </border>
    <border>
      <left style="thin">
        <color indexed="64"/>
      </left>
      <right style="medium">
        <color indexed="64"/>
      </right>
      <top style="medium">
        <color auto="1"/>
      </top>
      <bottom/>
      <diagonal/>
    </border>
    <border>
      <left style="medium">
        <color indexed="64"/>
      </left>
      <right style="thin">
        <color theme="0" tint="-0.34998626667073579"/>
      </right>
      <top/>
      <bottom style="thin">
        <color indexed="64"/>
      </bottom>
      <diagonal/>
    </border>
    <border>
      <left style="thin">
        <color auto="1"/>
      </left>
      <right style="medium">
        <color indexed="64"/>
      </right>
      <top/>
      <bottom style="thin">
        <color auto="1"/>
      </bottom>
      <diagonal/>
    </border>
    <border>
      <left style="medium">
        <color indexed="64"/>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indexed="64"/>
      </top>
      <bottom style="hair">
        <color auto="1"/>
      </bottom>
      <diagonal/>
    </border>
    <border>
      <left style="thin">
        <color auto="1"/>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thin">
        <color auto="1"/>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auto="1"/>
      </left>
      <right style="medium">
        <color indexed="64"/>
      </right>
      <top style="hair">
        <color indexed="64"/>
      </top>
      <bottom style="hair">
        <color indexed="64"/>
      </bottom>
      <diagonal/>
    </border>
    <border>
      <left style="medium">
        <color indexed="64"/>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thin">
        <color auto="1"/>
      </left>
      <right style="thin">
        <color auto="1"/>
      </right>
      <top style="hair">
        <color auto="1"/>
      </top>
      <bottom style="double">
        <color auto="1"/>
      </bottom>
      <diagonal/>
    </border>
    <border>
      <left style="thin">
        <color auto="1"/>
      </left>
      <right style="medium">
        <color indexed="64"/>
      </right>
      <top style="hair">
        <color auto="1"/>
      </top>
      <bottom style="double">
        <color indexed="64"/>
      </bottom>
      <diagonal/>
    </border>
    <border>
      <left style="medium">
        <color indexed="64"/>
      </left>
      <right/>
      <top style="double">
        <color auto="1"/>
      </top>
      <bottom style="thin">
        <color indexed="64"/>
      </bottom>
      <diagonal/>
    </border>
    <border>
      <left/>
      <right/>
      <top style="double">
        <color auto="1"/>
      </top>
      <bottom style="thin">
        <color indexed="64"/>
      </bottom>
      <diagonal/>
    </border>
    <border>
      <left/>
      <right style="thin">
        <color indexed="64"/>
      </right>
      <top style="double">
        <color auto="1"/>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auto="1"/>
      </top>
      <bottom style="thin">
        <color indexed="64"/>
      </bottom>
      <diagonal/>
    </border>
    <border>
      <left style="medium">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auto="1"/>
      </left>
      <right style="medium">
        <color indexed="64"/>
      </right>
      <top style="thin">
        <color indexed="64"/>
      </top>
      <bottom style="dotted">
        <color indexed="64"/>
      </bottom>
      <diagonal/>
    </border>
    <border>
      <left style="medium">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auto="1"/>
      </left>
      <right style="medium">
        <color indexed="64"/>
      </right>
      <top style="dotted">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indexed="64"/>
      </left>
      <right style="thin">
        <color indexed="64"/>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ck">
        <color rgb="FFFF0000"/>
      </right>
      <top style="thick">
        <color rgb="FFFF0000"/>
      </top>
      <bottom style="thick">
        <color rgb="FFFF0000"/>
      </bottom>
      <diagonal/>
    </border>
    <border>
      <left/>
      <right/>
      <top/>
      <bottom style="medium">
        <color indexed="64"/>
      </bottom>
      <diagonal/>
    </border>
    <border>
      <left style="thick">
        <color indexed="64"/>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n">
        <color indexed="64"/>
      </left>
      <right style="thin">
        <color auto="1"/>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right style="thin">
        <color auto="1"/>
      </right>
      <top style="thick">
        <color indexed="64"/>
      </top>
      <bottom/>
      <diagonal/>
    </border>
    <border>
      <left style="thin">
        <color indexed="64"/>
      </left>
      <right/>
      <top style="thick">
        <color indexed="64"/>
      </top>
      <bottom/>
      <diagonal/>
    </border>
    <border>
      <left style="thick">
        <color indexed="64"/>
      </left>
      <right style="thin">
        <color indexed="64"/>
      </right>
      <top style="thick">
        <color indexed="64"/>
      </top>
      <bottom/>
      <diagonal/>
    </border>
    <border>
      <left style="medium">
        <color indexed="64"/>
      </left>
      <right style="medium">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medium">
        <color indexed="64"/>
      </left>
      <right style="thin">
        <color indexed="64"/>
      </right>
      <top style="medium">
        <color indexed="64"/>
      </top>
      <bottom/>
      <diagonal/>
    </border>
    <border>
      <left style="thick">
        <color indexed="64"/>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ck">
        <color indexed="64"/>
      </left>
      <right/>
      <top style="medium">
        <color indexed="64"/>
      </top>
      <bottom/>
      <diagonal/>
    </border>
    <border>
      <left style="medium">
        <color indexed="64"/>
      </left>
      <right/>
      <top style="medium">
        <color indexed="64"/>
      </top>
      <bottom/>
      <diagonal/>
    </border>
    <border>
      <left style="thin">
        <color auto="1"/>
      </left>
      <right style="thin">
        <color auto="1"/>
      </right>
      <top style="medium">
        <color indexed="64"/>
      </top>
      <bottom style="dotted">
        <color auto="1"/>
      </bottom>
      <diagonal/>
    </border>
    <border>
      <left style="thin">
        <color auto="1"/>
      </left>
      <right style="thick">
        <color indexed="64"/>
      </right>
      <top style="medium">
        <color indexed="64"/>
      </top>
      <bottom style="dotted">
        <color auto="1"/>
      </bottom>
      <diagonal/>
    </border>
    <border>
      <left style="thin">
        <color auto="1"/>
      </left>
      <right/>
      <top style="medium">
        <color indexed="64"/>
      </top>
      <bottom style="dotted">
        <color auto="1"/>
      </bottom>
      <diagonal/>
    </border>
    <border>
      <left style="thick">
        <color indexed="64"/>
      </left>
      <right style="thin">
        <color indexed="64"/>
      </right>
      <top style="medium">
        <color indexed="64"/>
      </top>
      <bottom style="dotted">
        <color indexed="64"/>
      </bottom>
      <diagonal/>
    </border>
    <border>
      <left/>
      <right style="thin">
        <color auto="1"/>
      </right>
      <top style="medium">
        <color indexed="64"/>
      </top>
      <bottom style="dotted">
        <color auto="1"/>
      </bottom>
      <diagonal/>
    </border>
    <border>
      <left style="thick">
        <color rgb="FFFF0000"/>
      </left>
      <right/>
      <top style="thick">
        <color rgb="FFFF0000"/>
      </top>
      <bottom/>
      <diagonal/>
    </border>
    <border>
      <left style="thin">
        <color auto="1"/>
      </left>
      <right style="thin">
        <color auto="1"/>
      </right>
      <top style="thick">
        <color rgb="FFFF0000"/>
      </top>
      <bottom style="dotted">
        <color auto="1"/>
      </bottom>
      <diagonal/>
    </border>
    <border>
      <left style="thin">
        <color auto="1"/>
      </left>
      <right/>
      <top style="thick">
        <color rgb="FFFF0000"/>
      </top>
      <bottom style="dotted">
        <color auto="1"/>
      </bottom>
      <diagonal/>
    </border>
    <border>
      <left style="medium">
        <color indexed="64"/>
      </left>
      <right style="medium">
        <color indexed="64"/>
      </right>
      <top style="thick">
        <color rgb="FFFF0000"/>
      </top>
      <bottom style="dotted">
        <color auto="1"/>
      </bottom>
      <diagonal/>
    </border>
    <border>
      <left/>
      <right style="thin">
        <color auto="1"/>
      </right>
      <top style="thick">
        <color rgb="FFFF0000"/>
      </top>
      <bottom style="dotted">
        <color auto="1"/>
      </bottom>
      <diagonal/>
    </border>
    <border>
      <left style="thin">
        <color indexed="64"/>
      </left>
      <right/>
      <top style="thick">
        <color rgb="FFFF0000"/>
      </top>
      <bottom/>
      <diagonal/>
    </border>
    <border>
      <left style="thin">
        <color indexed="64"/>
      </left>
      <right style="thick">
        <color rgb="FFFF0000"/>
      </right>
      <top style="thick">
        <color rgb="FFFF0000"/>
      </top>
      <bottom/>
      <diagonal/>
    </border>
    <border>
      <left/>
      <right style="thick">
        <color indexed="64"/>
      </right>
      <top style="medium">
        <color indexed="64"/>
      </top>
      <bottom style="dotted">
        <color indexed="64"/>
      </bottom>
      <diagonal/>
    </border>
    <border>
      <left/>
      <right/>
      <top style="thick">
        <color rgb="FFFF0000"/>
      </top>
      <bottom/>
      <diagonal/>
    </border>
    <border>
      <left style="thick">
        <color indexed="64"/>
      </left>
      <right/>
      <top/>
      <bottom/>
      <diagonal/>
    </border>
    <border>
      <left style="medium">
        <color indexed="64"/>
      </left>
      <right/>
      <top/>
      <bottom/>
      <diagonal/>
    </border>
    <border>
      <left style="thin">
        <color auto="1"/>
      </left>
      <right style="thin">
        <color auto="1"/>
      </right>
      <top style="dotted">
        <color auto="1"/>
      </top>
      <bottom style="dotted">
        <color auto="1"/>
      </bottom>
      <diagonal/>
    </border>
    <border>
      <left style="thin">
        <color indexed="64"/>
      </left>
      <right style="thick">
        <color indexed="64"/>
      </right>
      <top style="dotted">
        <color indexed="64"/>
      </top>
      <bottom style="dotted">
        <color indexed="64"/>
      </bottom>
      <diagonal/>
    </border>
    <border>
      <left/>
      <right style="thin">
        <color indexed="64"/>
      </right>
      <top/>
      <bottom/>
      <diagonal/>
    </border>
    <border>
      <left style="thin">
        <color auto="1"/>
      </left>
      <right/>
      <top style="dotted">
        <color auto="1"/>
      </top>
      <bottom/>
      <diagonal/>
    </border>
    <border>
      <left style="thick">
        <color indexed="64"/>
      </left>
      <right style="thin">
        <color auto="1"/>
      </right>
      <top style="dotted">
        <color auto="1"/>
      </top>
      <bottom/>
      <diagonal/>
    </border>
    <border>
      <left style="thin">
        <color auto="1"/>
      </left>
      <right style="thin">
        <color auto="1"/>
      </right>
      <top style="dotted">
        <color auto="1"/>
      </top>
      <bottom/>
      <diagonal/>
    </border>
    <border>
      <left style="thick">
        <color rgb="FFFF0000"/>
      </left>
      <right style="thin">
        <color auto="1"/>
      </right>
      <top style="dotted">
        <color auto="1"/>
      </top>
      <bottom style="thick">
        <color rgb="FFFF0000"/>
      </bottom>
      <diagonal/>
    </border>
    <border>
      <left style="thin">
        <color indexed="64"/>
      </left>
      <right style="thin">
        <color indexed="64"/>
      </right>
      <top/>
      <bottom style="thick">
        <color rgb="FFFF0000"/>
      </bottom>
      <diagonal/>
    </border>
    <border>
      <left style="thin">
        <color auto="1"/>
      </left>
      <right/>
      <top style="dotted">
        <color auto="1"/>
      </top>
      <bottom style="thick">
        <color rgb="FFFF0000"/>
      </bottom>
      <diagonal/>
    </border>
    <border>
      <left style="medium">
        <color indexed="64"/>
      </left>
      <right style="medium">
        <color indexed="64"/>
      </right>
      <top style="dotted">
        <color auto="1"/>
      </top>
      <bottom style="thick">
        <color rgb="FFFF0000"/>
      </bottom>
      <diagonal/>
    </border>
    <border>
      <left/>
      <right style="thin">
        <color indexed="64"/>
      </right>
      <top style="dotted">
        <color auto="1"/>
      </top>
      <bottom style="thick">
        <color rgb="FFFF0000"/>
      </bottom>
      <diagonal/>
    </border>
    <border>
      <left style="thin">
        <color auto="1"/>
      </left>
      <right style="thin">
        <color auto="1"/>
      </right>
      <top style="dotted">
        <color auto="1"/>
      </top>
      <bottom style="thick">
        <color rgb="FFFF0000"/>
      </bottom>
      <diagonal/>
    </border>
    <border>
      <left style="thin">
        <color auto="1"/>
      </left>
      <right style="thick">
        <color rgb="FFFF0000"/>
      </right>
      <top style="dotted">
        <color auto="1"/>
      </top>
      <bottom style="thick">
        <color rgb="FFFF0000"/>
      </bottom>
      <diagonal/>
    </border>
    <border>
      <left/>
      <right style="thick">
        <color indexed="64"/>
      </right>
      <top style="dotted">
        <color indexed="64"/>
      </top>
      <bottom/>
      <diagonal/>
    </border>
    <border>
      <left style="medium">
        <color indexed="64"/>
      </left>
      <right style="thin">
        <color indexed="64"/>
      </right>
      <top/>
      <bottom/>
      <diagonal/>
    </border>
    <border>
      <left style="thin">
        <color auto="1"/>
      </left>
      <right style="medium">
        <color indexed="64"/>
      </right>
      <top/>
      <bottom/>
      <diagonal/>
    </border>
    <border>
      <left style="thick">
        <color indexed="64"/>
      </left>
      <right style="thin">
        <color indexed="64"/>
      </right>
      <top/>
      <bottom/>
      <diagonal/>
    </border>
    <border>
      <left style="medium">
        <color indexed="64"/>
      </left>
      <right style="medium">
        <color indexed="64"/>
      </right>
      <top/>
      <bottom/>
      <diagonal/>
    </border>
    <border>
      <left style="thin">
        <color indexed="64"/>
      </left>
      <right style="thick">
        <color indexed="64"/>
      </right>
      <top/>
      <bottom/>
      <diagonal/>
    </border>
    <border>
      <left/>
      <right/>
      <top style="medium">
        <color indexed="64"/>
      </top>
      <bottom/>
      <diagonal/>
    </border>
    <border>
      <left style="medium">
        <color indexed="64"/>
      </left>
      <right/>
      <top/>
      <bottom style="medium">
        <color indexed="64"/>
      </bottom>
      <diagonal/>
    </border>
    <border>
      <left style="thin">
        <color auto="1"/>
      </left>
      <right style="thin">
        <color auto="1"/>
      </right>
      <top style="dotted">
        <color auto="1"/>
      </top>
      <bottom style="medium">
        <color indexed="64"/>
      </bottom>
      <diagonal/>
    </border>
    <border>
      <left style="thin">
        <color indexed="64"/>
      </left>
      <right style="thick">
        <color indexed="64"/>
      </right>
      <top style="dotted">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ck">
        <color indexed="64"/>
      </left>
      <right style="thin">
        <color indexed="64"/>
      </right>
      <top/>
      <bottom style="medium">
        <color indexed="64"/>
      </bottom>
      <diagonal/>
    </border>
    <border>
      <left style="thin">
        <color indexed="64"/>
      </left>
      <right style="thick">
        <color indexed="64"/>
      </right>
      <top/>
      <bottom style="medium">
        <color indexed="64"/>
      </bottom>
      <diagonal/>
    </border>
    <border>
      <left style="thin">
        <color auto="1"/>
      </left>
      <right style="thin">
        <color auto="1"/>
      </right>
      <top style="thin">
        <color auto="1"/>
      </top>
      <bottom style="dotted">
        <color auto="1"/>
      </bottom>
      <diagonal/>
    </border>
    <border>
      <left style="thin">
        <color auto="1"/>
      </left>
      <right style="thick">
        <color indexed="64"/>
      </right>
      <top style="thin">
        <color auto="1"/>
      </top>
      <bottom style="dotted">
        <color auto="1"/>
      </bottom>
      <diagonal/>
    </border>
    <border>
      <left style="thick">
        <color indexed="64"/>
      </left>
      <right style="thin">
        <color auto="1"/>
      </right>
      <top style="thin">
        <color auto="1"/>
      </top>
      <bottom style="dotted">
        <color auto="1"/>
      </bottom>
      <diagonal/>
    </border>
    <border>
      <left style="thin">
        <color auto="1"/>
      </left>
      <right/>
      <top style="thin">
        <color auto="1"/>
      </top>
      <bottom style="dotted">
        <color auto="1"/>
      </bottom>
      <diagonal/>
    </border>
    <border>
      <left style="thick">
        <color rgb="FFFF0000"/>
      </left>
      <right style="thin">
        <color indexed="64"/>
      </right>
      <top style="thick">
        <color rgb="FFFF0000"/>
      </top>
      <bottom/>
      <diagonal/>
    </border>
    <border>
      <left style="thin">
        <color indexed="64"/>
      </left>
      <right style="thin">
        <color auto="1"/>
      </right>
      <top style="thick">
        <color rgb="FFFF0000"/>
      </top>
      <bottom/>
      <diagonal/>
    </border>
    <border>
      <left/>
      <right style="thick">
        <color indexed="64"/>
      </right>
      <top style="thin">
        <color auto="1"/>
      </top>
      <bottom style="dotted">
        <color auto="1"/>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thin">
        <color auto="1"/>
      </left>
      <right style="thin">
        <color auto="1"/>
      </right>
      <top style="dotted">
        <color auto="1"/>
      </top>
      <bottom style="thin">
        <color auto="1"/>
      </bottom>
      <diagonal/>
    </border>
    <border>
      <left style="thin">
        <color indexed="64"/>
      </left>
      <right style="thick">
        <color indexed="64"/>
      </right>
      <top style="dotted">
        <color indexed="64"/>
      </top>
      <bottom style="thin">
        <color indexed="64"/>
      </bottom>
      <diagonal/>
    </border>
    <border>
      <left style="thick">
        <color indexed="64"/>
      </left>
      <right style="thin">
        <color auto="1"/>
      </right>
      <top/>
      <bottom style="thin">
        <color auto="1"/>
      </bottom>
      <diagonal/>
    </border>
    <border>
      <left style="medium">
        <color indexed="64"/>
      </left>
      <right style="medium">
        <color indexed="64"/>
      </right>
      <top/>
      <bottom style="thin">
        <color indexed="64"/>
      </bottom>
      <diagonal/>
    </border>
    <border>
      <left style="thin">
        <color indexed="64"/>
      </left>
      <right style="thick">
        <color indexed="64"/>
      </right>
      <top/>
      <bottom style="thin">
        <color auto="1"/>
      </bottom>
      <diagonal/>
    </border>
    <border>
      <left style="medium">
        <color indexed="64"/>
      </left>
      <right style="thin">
        <color indexed="64"/>
      </right>
      <top/>
      <bottom style="thin">
        <color auto="1"/>
      </bottom>
      <diagonal/>
    </border>
    <border>
      <left style="thin">
        <color indexed="64"/>
      </left>
      <right style="thick">
        <color indexed="64"/>
      </right>
      <top style="dotted">
        <color indexed="64"/>
      </top>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top style="thick">
        <color rgb="FFFF0000"/>
      </top>
      <bottom style="thick">
        <color rgb="FFFF0000"/>
      </bottom>
      <diagonal/>
    </border>
    <border>
      <left style="medium">
        <color indexed="64"/>
      </left>
      <right style="medium">
        <color indexed="64"/>
      </right>
      <top style="thick">
        <color rgb="FFFF0000"/>
      </top>
      <bottom style="thick">
        <color rgb="FFFF0000"/>
      </bottom>
      <diagonal/>
    </border>
    <border>
      <left/>
      <right style="thin">
        <color auto="1"/>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
      <left style="medium">
        <color indexed="64"/>
      </left>
      <right style="medium">
        <color indexed="64"/>
      </right>
      <top style="thin">
        <color auto="1"/>
      </top>
      <bottom style="dotted">
        <color auto="1"/>
      </bottom>
      <diagonal/>
    </border>
    <border>
      <left style="thin">
        <color auto="1"/>
      </left>
      <right/>
      <top/>
      <bottom style="dotted">
        <color auto="1"/>
      </bottom>
      <diagonal/>
    </border>
    <border>
      <left style="thick">
        <color indexed="64"/>
      </left>
      <right style="thin">
        <color auto="1"/>
      </right>
      <top/>
      <bottom style="dotted">
        <color auto="1"/>
      </bottom>
      <diagonal/>
    </border>
    <border>
      <left style="thin">
        <color auto="1"/>
      </left>
      <right style="thin">
        <color auto="1"/>
      </right>
      <top/>
      <bottom style="dotted">
        <color auto="1"/>
      </bottom>
      <diagonal/>
    </border>
    <border>
      <left style="thick">
        <color rgb="FFFF0000"/>
      </left>
      <right style="thin">
        <color auto="1"/>
      </right>
      <top style="thick">
        <color rgb="FFFF0000"/>
      </top>
      <bottom style="dotted">
        <color auto="1"/>
      </bottom>
      <diagonal/>
    </border>
    <border>
      <left/>
      <right/>
      <top/>
      <bottom style="dotted">
        <color auto="1"/>
      </bottom>
      <diagonal/>
    </border>
    <border>
      <left style="medium">
        <color indexed="64"/>
      </left>
      <right style="medium">
        <color indexed="64"/>
      </right>
      <top/>
      <bottom style="dotted">
        <color auto="1"/>
      </bottom>
      <diagonal/>
    </border>
    <border>
      <left/>
      <right style="thin">
        <color auto="1"/>
      </right>
      <top/>
      <bottom style="dotted">
        <color auto="1"/>
      </bottom>
      <diagonal/>
    </border>
    <border>
      <left style="thin">
        <color indexed="64"/>
      </left>
      <right style="thick">
        <color indexed="64"/>
      </right>
      <top/>
      <bottom style="dotted">
        <color indexed="64"/>
      </bottom>
      <diagonal/>
    </border>
    <border>
      <left style="thick">
        <color rgb="FFFF0000"/>
      </left>
      <right style="thin">
        <color auto="1"/>
      </right>
      <top style="dotted">
        <color auto="1"/>
      </top>
      <bottom/>
      <diagonal/>
    </border>
    <border>
      <left style="medium">
        <color indexed="64"/>
      </left>
      <right style="medium">
        <color indexed="64"/>
      </right>
      <top style="dotted">
        <color auto="1"/>
      </top>
      <bottom/>
      <diagonal/>
    </border>
    <border>
      <left style="thin">
        <color auto="1"/>
      </left>
      <right style="thick">
        <color rgb="FFFF0000"/>
      </right>
      <top style="dotted">
        <color auto="1"/>
      </top>
      <bottom/>
      <diagonal/>
    </border>
    <border>
      <left style="thin">
        <color auto="1"/>
      </left>
      <right/>
      <top style="dotted">
        <color auto="1"/>
      </top>
      <bottom style="thin">
        <color auto="1"/>
      </bottom>
      <diagonal/>
    </border>
    <border>
      <left style="thick">
        <color indexed="64"/>
      </left>
      <right style="thin">
        <color auto="1"/>
      </right>
      <top style="dotted">
        <color auto="1"/>
      </top>
      <bottom style="thin">
        <color auto="1"/>
      </bottom>
      <diagonal/>
    </border>
    <border>
      <left/>
      <right style="thick">
        <color indexed="64"/>
      </right>
      <top/>
      <bottom style="dotted">
        <color indexed="64"/>
      </bottom>
      <diagonal/>
    </border>
    <border>
      <left style="thick">
        <color rgb="FFFF0000"/>
      </left>
      <right style="thin">
        <color auto="1"/>
      </right>
      <top/>
      <bottom style="thick">
        <color rgb="FFFF0000"/>
      </bottom>
      <diagonal/>
    </border>
    <border>
      <left style="medium">
        <color indexed="64"/>
      </left>
      <right style="medium">
        <color indexed="64"/>
      </right>
      <top style="thick">
        <color rgb="FFFF0000"/>
      </top>
      <bottom/>
      <diagonal/>
    </border>
    <border>
      <left style="thin">
        <color indexed="64"/>
      </left>
      <right style="thick">
        <color rgb="FFFF0000"/>
      </right>
      <top style="thick">
        <color rgb="FFFF0000"/>
      </top>
      <bottom style="dotted">
        <color auto="1"/>
      </bottom>
      <diagonal/>
    </border>
    <border>
      <left style="thin">
        <color auto="1"/>
      </left>
      <right/>
      <top style="dotted">
        <color auto="1"/>
      </top>
      <bottom style="dotted">
        <color auto="1"/>
      </bottom>
      <diagonal/>
    </border>
    <border>
      <left style="thick">
        <color indexed="64"/>
      </left>
      <right/>
      <top/>
      <bottom style="thin">
        <color auto="1"/>
      </bottom>
      <diagonal/>
    </border>
    <border>
      <left style="medium">
        <color indexed="64"/>
      </left>
      <right/>
      <top/>
      <bottom style="thin">
        <color indexed="64"/>
      </bottom>
      <diagonal/>
    </border>
    <border>
      <left style="thick">
        <color indexed="64"/>
      </left>
      <right/>
      <top style="thin">
        <color indexed="64"/>
      </top>
      <bottom/>
      <diagonal/>
    </border>
    <border>
      <left style="medium">
        <color indexed="64"/>
      </left>
      <right/>
      <top style="thin">
        <color auto="1"/>
      </top>
      <bottom/>
      <diagonal/>
    </border>
    <border>
      <left style="thick">
        <color indexed="64"/>
      </left>
      <right/>
      <top/>
      <bottom style="medium">
        <color indexed="64"/>
      </bottom>
      <diagonal/>
    </border>
    <border>
      <left style="thin">
        <color auto="1"/>
      </left>
      <right/>
      <top style="dotted">
        <color auto="1"/>
      </top>
      <bottom style="medium">
        <color indexed="64"/>
      </bottom>
      <diagonal/>
    </border>
    <border>
      <left style="thick">
        <color indexed="64"/>
      </left>
      <right style="thin">
        <color auto="1"/>
      </right>
      <top style="dotted">
        <color auto="1"/>
      </top>
      <bottom style="medium">
        <color indexed="64"/>
      </bottom>
      <diagonal/>
    </border>
    <border>
      <left style="thin">
        <color auto="1"/>
      </left>
      <right style="thick">
        <color auto="1"/>
      </right>
      <top style="medium">
        <color indexed="64"/>
      </top>
      <bottom/>
      <diagonal/>
    </border>
    <border>
      <left/>
      <right style="thin">
        <color auto="1"/>
      </right>
      <top style="dotted">
        <color auto="1"/>
      </top>
      <bottom style="thin">
        <color auto="1"/>
      </bottom>
      <diagonal/>
    </border>
    <border>
      <left style="thick">
        <color indexed="64"/>
      </left>
      <right style="medium">
        <color indexed="64"/>
      </right>
      <top/>
      <bottom/>
      <diagonal/>
    </border>
    <border>
      <left/>
      <right style="thick">
        <color rgb="FFFF0000"/>
      </right>
      <top style="dotted">
        <color auto="1"/>
      </top>
      <bottom style="thick">
        <color rgb="FFFF0000"/>
      </bottom>
      <diagonal/>
    </border>
    <border>
      <left/>
      <right style="medium">
        <color indexed="64"/>
      </right>
      <top/>
      <bottom style="dotted">
        <color auto="1"/>
      </bottom>
      <diagonal/>
    </border>
    <border>
      <left/>
      <right style="thick">
        <color rgb="FFFF0000"/>
      </right>
      <top style="thick">
        <color rgb="FFFF0000"/>
      </top>
      <bottom/>
      <diagonal/>
    </border>
    <border>
      <left style="thick">
        <color rgb="FFFF0000"/>
      </left>
      <right style="thin">
        <color auto="1"/>
      </right>
      <top/>
      <bottom/>
      <diagonal/>
    </border>
    <border>
      <left style="thin">
        <color auto="1"/>
      </left>
      <right style="thick">
        <color rgb="FFFF0000"/>
      </right>
      <top/>
      <bottom style="thick">
        <color rgb="FFFF0000"/>
      </bottom>
      <diagonal/>
    </border>
    <border>
      <left/>
      <right style="medium">
        <color indexed="64"/>
      </right>
      <top style="dotted">
        <color auto="1"/>
      </top>
      <bottom style="thin">
        <color auto="1"/>
      </bottom>
      <diagonal/>
    </border>
    <border>
      <left/>
      <right style="medium">
        <color indexed="64"/>
      </right>
      <top style="thin">
        <color auto="1"/>
      </top>
      <bottom style="dotted">
        <color auto="1"/>
      </bottom>
      <diagonal/>
    </border>
    <border>
      <left/>
      <right style="medium">
        <color indexed="64"/>
      </right>
      <top style="dotted">
        <color auto="1"/>
      </top>
      <bottom/>
      <diagonal/>
    </border>
    <border>
      <left style="thick">
        <color indexed="64"/>
      </left>
      <right/>
      <top/>
      <bottom style="dotted">
        <color indexed="64"/>
      </bottom>
      <diagonal/>
    </border>
    <border>
      <left style="thick">
        <color indexed="64"/>
      </left>
      <right/>
      <top style="dotted">
        <color indexed="64"/>
      </top>
      <bottom/>
      <diagonal/>
    </border>
    <border>
      <left style="thick">
        <color rgb="FFFF0000"/>
      </left>
      <right style="medium">
        <color indexed="64"/>
      </right>
      <top style="thick">
        <color rgb="FFFF0000"/>
      </top>
      <bottom style="dotted">
        <color auto="1"/>
      </bottom>
      <diagonal/>
    </border>
    <border>
      <left style="thick">
        <color rgb="FFFF0000"/>
      </left>
      <right style="medium">
        <color indexed="64"/>
      </right>
      <top style="dotted">
        <color auto="1"/>
      </top>
      <bottom style="thick">
        <color rgb="FFFF0000"/>
      </bottom>
      <diagonal/>
    </border>
    <border>
      <left/>
      <right style="thick">
        <color indexed="64"/>
      </right>
      <top style="dotted">
        <color indexed="64"/>
      </top>
      <bottom style="thin">
        <color indexed="64"/>
      </bottom>
      <diagonal/>
    </border>
    <border>
      <left style="medium">
        <color indexed="64"/>
      </left>
      <right style="thin">
        <color auto="1"/>
      </right>
      <top style="dotted">
        <color auto="1"/>
      </top>
      <bottom style="thick">
        <color rgb="FFFF0000"/>
      </bottom>
      <diagonal/>
    </border>
    <border>
      <left style="thick">
        <color rgb="FFFF0000"/>
      </left>
      <right style="medium">
        <color indexed="64"/>
      </right>
      <top style="thick">
        <color rgb="FFFF0000"/>
      </top>
      <bottom style="thick">
        <color rgb="FFFF0000"/>
      </bottom>
      <diagonal/>
    </border>
    <border>
      <left style="medium">
        <color indexed="64"/>
      </left>
      <right style="medium">
        <color indexed="64"/>
      </right>
      <top style="dotted">
        <color auto="1"/>
      </top>
      <bottom style="thin">
        <color auto="1"/>
      </bottom>
      <diagonal/>
    </border>
    <border>
      <left/>
      <right style="thin">
        <color indexed="64"/>
      </right>
      <top style="dotted">
        <color indexed="64"/>
      </top>
      <bottom style="medium">
        <color indexed="64"/>
      </bottom>
      <diagonal/>
    </border>
    <border>
      <left style="thick">
        <color rgb="FFFF0000"/>
      </left>
      <right/>
      <top style="thick">
        <color rgb="FFFF0000"/>
      </top>
      <bottom style="dotted">
        <color auto="1"/>
      </bottom>
      <diagonal/>
    </border>
    <border>
      <left style="thick">
        <color rgb="FFFF0000"/>
      </left>
      <right/>
      <top style="dotted">
        <color auto="1"/>
      </top>
      <bottom style="thick">
        <color rgb="FFFF0000"/>
      </bottom>
      <diagonal/>
    </border>
    <border>
      <left/>
      <right style="thick">
        <color rgb="FFFF0000"/>
      </right>
      <top style="dotted">
        <color auto="1"/>
      </top>
      <bottom/>
      <diagonal/>
    </border>
    <border>
      <left style="thick">
        <color rgb="FFFF0000"/>
      </left>
      <right/>
      <top style="dotted">
        <color auto="1"/>
      </top>
      <bottom/>
      <diagonal/>
    </border>
    <border>
      <left style="thick">
        <color indexed="64"/>
      </left>
      <right/>
      <top/>
      <bottom style="thick">
        <color indexed="64"/>
      </bottom>
      <diagonal/>
    </border>
    <border>
      <left style="medium">
        <color indexed="64"/>
      </left>
      <right/>
      <top/>
      <bottom style="thick">
        <color indexed="64"/>
      </bottom>
      <diagonal/>
    </border>
    <border>
      <left style="thin">
        <color indexed="64"/>
      </left>
      <right style="thin">
        <color indexed="64"/>
      </right>
      <top/>
      <bottom style="thick">
        <color indexed="64"/>
      </bottom>
      <diagonal/>
    </border>
    <border>
      <left style="thin">
        <color auto="1"/>
      </left>
      <right style="thin">
        <color auto="1"/>
      </right>
      <top style="dotted">
        <color auto="1"/>
      </top>
      <bottom style="thick">
        <color indexed="64"/>
      </bottom>
      <diagonal/>
    </border>
    <border>
      <left style="thin">
        <color auto="1"/>
      </left>
      <right/>
      <top style="dotted">
        <color auto="1"/>
      </top>
      <bottom style="thick">
        <color indexed="64"/>
      </bottom>
      <diagonal/>
    </border>
    <border>
      <left style="thin">
        <color indexed="64"/>
      </left>
      <right style="thick">
        <color indexed="64"/>
      </right>
      <top style="dotted">
        <color auto="1"/>
      </top>
      <bottom style="thick">
        <color indexed="64"/>
      </bottom>
      <diagonal/>
    </border>
    <border>
      <left/>
      <right style="thin">
        <color indexed="64"/>
      </right>
      <top/>
      <bottom style="thick">
        <color indexed="64"/>
      </bottom>
      <diagonal/>
    </border>
    <border>
      <left style="thin">
        <color indexed="64"/>
      </left>
      <right/>
      <top/>
      <bottom style="thick">
        <color indexed="64"/>
      </bottom>
      <diagonal/>
    </border>
    <border>
      <left style="thick">
        <color auto="1"/>
      </left>
      <right style="thin">
        <color auto="1"/>
      </right>
      <top/>
      <bottom style="thick">
        <color auto="1"/>
      </bottom>
      <diagonal/>
    </border>
    <border>
      <left style="medium">
        <color indexed="64"/>
      </left>
      <right style="medium">
        <color indexed="64"/>
      </right>
      <top/>
      <bottom style="thick">
        <color indexed="64"/>
      </bottom>
      <diagonal/>
    </border>
    <border>
      <left style="thin">
        <color auto="1"/>
      </left>
      <right style="thick">
        <color auto="1"/>
      </right>
      <top/>
      <bottom style="thick">
        <color auto="1"/>
      </bottom>
      <diagonal/>
    </border>
    <border>
      <left/>
      <right/>
      <top style="thick">
        <color indexed="64"/>
      </top>
      <bottom/>
      <diagonal/>
    </border>
    <border>
      <left/>
      <right style="thick">
        <color indexed="64"/>
      </right>
      <top style="thick">
        <color indexed="64"/>
      </top>
      <bottom/>
      <diagonal/>
    </border>
    <border>
      <left style="thin">
        <color indexed="64"/>
      </left>
      <right/>
      <top style="thick">
        <color indexed="64"/>
      </top>
      <bottom style="dotted">
        <color indexed="64"/>
      </bottom>
      <diagonal/>
    </border>
    <border>
      <left style="thick">
        <color indexed="64"/>
      </left>
      <right style="thin">
        <color indexed="64"/>
      </right>
      <top style="thick">
        <color indexed="64"/>
      </top>
      <bottom style="dotted">
        <color auto="1"/>
      </bottom>
      <diagonal/>
    </border>
    <border>
      <left/>
      <right style="thin">
        <color auto="1"/>
      </right>
      <top style="thick">
        <color indexed="64"/>
      </top>
      <bottom style="dotted">
        <color indexed="64"/>
      </bottom>
      <diagonal/>
    </border>
    <border>
      <left style="thin">
        <color indexed="64"/>
      </left>
      <right style="thin">
        <color indexed="64"/>
      </right>
      <top style="thick">
        <color indexed="64"/>
      </top>
      <bottom style="dotted">
        <color auto="1"/>
      </bottom>
      <diagonal/>
    </border>
    <border>
      <left style="medium">
        <color indexed="64"/>
      </left>
      <right style="medium">
        <color indexed="64"/>
      </right>
      <top style="thick">
        <color indexed="64"/>
      </top>
      <bottom style="dotted">
        <color auto="1"/>
      </bottom>
      <diagonal/>
    </border>
    <border>
      <left style="thin">
        <color auto="1"/>
      </left>
      <right style="thick">
        <color indexed="64"/>
      </right>
      <top style="thick">
        <color indexed="64"/>
      </top>
      <bottom style="dotted">
        <color auto="1"/>
      </bottom>
      <diagonal/>
    </border>
    <border>
      <left/>
      <right style="thick">
        <color indexed="64"/>
      </right>
      <top/>
      <bottom/>
      <diagonal/>
    </border>
    <border>
      <left style="thick">
        <color indexed="64"/>
      </left>
      <right/>
      <top style="thin">
        <color indexed="64"/>
      </top>
      <bottom style="thin">
        <color indexed="64"/>
      </bottom>
      <diagonal/>
    </border>
    <border>
      <left style="thin">
        <color auto="1"/>
      </left>
      <right style="thick">
        <color auto="1"/>
      </right>
      <top style="thin">
        <color indexed="64"/>
      </top>
      <bottom style="thin">
        <color indexed="64"/>
      </bottom>
      <diagonal/>
    </border>
    <border>
      <left/>
      <right style="thick">
        <color auto="1"/>
      </right>
      <top style="thin">
        <color indexed="64"/>
      </top>
      <bottom style="thin">
        <color indexed="64"/>
      </bottom>
      <diagonal/>
    </border>
    <border>
      <left style="thick">
        <color indexed="64"/>
      </left>
      <right style="thin">
        <color auto="1"/>
      </right>
      <top style="dotted">
        <color auto="1"/>
      </top>
      <bottom style="thick">
        <color indexed="64"/>
      </bottom>
      <diagonal/>
    </border>
    <border>
      <left/>
      <right style="thin">
        <color auto="1"/>
      </right>
      <top style="dotted">
        <color auto="1"/>
      </top>
      <bottom style="thick">
        <color indexed="64"/>
      </bottom>
      <diagonal/>
    </border>
    <border>
      <left style="medium">
        <color indexed="64"/>
      </left>
      <right style="medium">
        <color indexed="64"/>
      </right>
      <top style="dotted">
        <color auto="1"/>
      </top>
      <bottom style="thick">
        <color indexed="64"/>
      </bottom>
      <diagonal/>
    </border>
    <border>
      <left style="thick">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auto="1"/>
      </left>
      <right style="thick">
        <color auto="1"/>
      </right>
      <top style="thin">
        <color indexed="64"/>
      </top>
      <bottom style="double">
        <color indexed="64"/>
      </bottom>
      <diagonal/>
    </border>
    <border>
      <left/>
      <right style="thick">
        <color auto="1"/>
      </right>
      <top style="thin">
        <color indexed="64"/>
      </top>
      <bottom style="double">
        <color indexed="64"/>
      </bottom>
      <diagonal/>
    </border>
    <border>
      <left style="thick">
        <color indexed="64"/>
      </left>
      <right/>
      <top style="double">
        <color indexed="64"/>
      </top>
      <bottom style="thick">
        <color indexed="64"/>
      </bottom>
      <diagonal/>
    </border>
    <border>
      <left/>
      <right/>
      <top style="double">
        <color indexed="64"/>
      </top>
      <bottom style="thick">
        <color indexed="64"/>
      </bottom>
      <diagonal/>
    </border>
    <border>
      <left/>
      <right style="thin">
        <color auto="1"/>
      </right>
      <top style="double">
        <color indexed="64"/>
      </top>
      <bottom style="thick">
        <color indexed="64"/>
      </bottom>
      <diagonal/>
    </border>
    <border>
      <left/>
      <right style="thick">
        <color indexed="64"/>
      </right>
      <top/>
      <bottom style="thick">
        <color indexed="64"/>
      </bottom>
      <diagonal/>
    </border>
    <border>
      <left style="thin">
        <color indexed="64"/>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auto="1"/>
      </right>
      <top style="thin">
        <color indexed="64"/>
      </top>
      <bottom/>
      <diagonal/>
    </border>
    <border>
      <left style="thin">
        <color indexed="64"/>
      </left>
      <right/>
      <top style="thin">
        <color indexed="64"/>
      </top>
      <bottom style="hair">
        <color theme="0" tint="-0.34998626667073579"/>
      </bottom>
      <diagonal/>
    </border>
    <border>
      <left/>
      <right/>
      <top style="thin">
        <color indexed="64"/>
      </top>
      <bottom style="hair">
        <color theme="0" tint="-0.34998626667073579"/>
      </bottom>
      <diagonal/>
    </border>
    <border>
      <left/>
      <right style="thin">
        <color indexed="64"/>
      </right>
      <top style="thin">
        <color indexed="64"/>
      </top>
      <bottom style="hair">
        <color theme="0" tint="-0.34998626667073579"/>
      </bottom>
      <diagonal/>
    </border>
    <border>
      <left style="thin">
        <color indexed="64"/>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style="thin">
        <color auto="1"/>
      </right>
      <top/>
      <bottom/>
      <diagonal/>
    </border>
    <border>
      <left style="thin">
        <color auto="1"/>
      </left>
      <right style="thin">
        <color theme="0" tint="-0.34998626667073579"/>
      </right>
      <top style="hair">
        <color theme="0" tint="-0.34998626667073579"/>
      </top>
      <bottom/>
      <diagonal/>
    </border>
    <border>
      <left/>
      <right/>
      <top style="hair">
        <color theme="0" tint="-0.34998626667073579"/>
      </top>
      <bottom/>
      <diagonal/>
    </border>
    <border>
      <left style="thin">
        <color theme="0" tint="-0.34998626667073579"/>
      </left>
      <right style="thin">
        <color theme="0" tint="-0.34998626667073579"/>
      </right>
      <top style="hair">
        <color theme="0" tint="-0.34998626667073579"/>
      </top>
      <bottom/>
      <diagonal/>
    </border>
    <border>
      <left style="thin">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diagonal/>
    </border>
    <border>
      <left style="thin">
        <color theme="0" tint="-0.34998626667073579"/>
      </left>
      <right style="dotted">
        <color theme="0" tint="-0.34998626667073579"/>
      </right>
      <top style="hair">
        <color theme="0" tint="-0.34998626667073579"/>
      </top>
      <bottom/>
      <diagonal/>
    </border>
    <border>
      <left style="dotted">
        <color theme="0" tint="-0.34998626667073579"/>
      </left>
      <right style="dotted">
        <color theme="0" tint="-0.34998626667073579"/>
      </right>
      <top style="hair">
        <color theme="0" tint="-0.34998626667073579"/>
      </top>
      <bottom/>
      <diagonal/>
    </border>
    <border>
      <left style="dotted">
        <color theme="0" tint="-0.34998626667073579"/>
      </left>
      <right style="thin">
        <color indexed="64"/>
      </right>
      <top style="hair">
        <color theme="0" tint="-0.34998626667073579"/>
      </top>
      <bottom/>
      <diagonal/>
    </border>
    <border>
      <left style="thin">
        <color indexed="64"/>
      </left>
      <right style="thin">
        <color theme="0" tint="-0.34998626667073579"/>
      </right>
      <top/>
      <bottom style="thin">
        <color indexed="64"/>
      </bottom>
      <diagonal/>
    </border>
    <border>
      <left style="thin">
        <color theme="0" tint="-0.34998626667073579"/>
      </left>
      <right style="thin">
        <color theme="0" tint="-0.34998626667073579"/>
      </right>
      <top/>
      <bottom style="thin">
        <color indexed="64"/>
      </bottom>
      <diagonal/>
    </border>
    <border>
      <left style="thin">
        <color theme="0" tint="-0.34998626667073579"/>
      </left>
      <right style="thin">
        <color auto="1"/>
      </right>
      <top/>
      <bottom style="thin">
        <color indexed="64"/>
      </bottom>
      <diagonal/>
    </border>
    <border>
      <left style="thin">
        <color indexed="64"/>
      </left>
      <right style="thin">
        <color theme="0" tint="-0.24994659260841701"/>
      </right>
      <top/>
      <bottom/>
      <diagonal/>
    </border>
    <border>
      <left style="thin">
        <color theme="0" tint="-0.34998626667073579"/>
      </left>
      <right style="hair">
        <color theme="0" tint="-0.34998626667073579"/>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right style="thin">
        <color theme="0" tint="-0.34998626667073579"/>
      </right>
      <top style="hair">
        <color theme="0" tint="-0.34998626667073579"/>
      </top>
      <bottom/>
      <diagonal/>
    </border>
    <border>
      <left style="thin">
        <color theme="0" tint="-0.34998626667073579"/>
      </left>
      <right/>
      <top/>
      <bottom/>
      <diagonal/>
    </border>
    <border>
      <left style="thin">
        <color theme="0" tint="-0.34998626667073579"/>
      </left>
      <right style="dotted">
        <color theme="0" tint="-0.34998626667073579"/>
      </right>
      <top/>
      <bottom/>
      <diagonal/>
    </border>
    <border>
      <left style="dotted">
        <color theme="0" tint="-0.34998626667073579"/>
      </left>
      <right style="dotted">
        <color theme="0" tint="-0.34998626667073579"/>
      </right>
      <top/>
      <bottom/>
      <diagonal/>
    </border>
    <border>
      <left style="dotted">
        <color theme="0" tint="-0.34998626667073579"/>
      </left>
      <right style="thin">
        <color indexed="64"/>
      </right>
      <top/>
      <bottom/>
      <diagonal/>
    </border>
    <border>
      <left style="thin">
        <color auto="1"/>
      </left>
      <right style="thin">
        <color theme="0" tint="-0.34998626667073579"/>
      </right>
      <top style="thin">
        <color indexed="64"/>
      </top>
      <bottom style="dotted">
        <color theme="0" tint="-0.34998626667073579"/>
      </bottom>
      <diagonal/>
    </border>
    <border>
      <left/>
      <right/>
      <top style="thin">
        <color indexed="64"/>
      </top>
      <bottom style="dotted">
        <color theme="0" tint="-0.34998626667073579"/>
      </bottom>
      <diagonal/>
    </border>
    <border>
      <left/>
      <right style="thin">
        <color theme="0" tint="-0.34998626667073579"/>
      </right>
      <top style="thin">
        <color indexed="64"/>
      </top>
      <bottom style="dotted">
        <color theme="0" tint="-0.34998626667073579"/>
      </bottom>
      <diagonal/>
    </border>
    <border>
      <left style="thin">
        <color theme="0" tint="-0.34998626667073579"/>
      </left>
      <right style="hair">
        <color theme="0" tint="-0.34998626667073579"/>
      </right>
      <top style="thin">
        <color indexed="64"/>
      </top>
      <bottom style="dotted">
        <color theme="0" tint="-0.34998626667073579"/>
      </bottom>
      <diagonal/>
    </border>
    <border>
      <left style="hair">
        <color theme="0" tint="-0.34998626667073579"/>
      </left>
      <right style="hair">
        <color theme="0" tint="-0.34998626667073579"/>
      </right>
      <top style="thin">
        <color indexed="64"/>
      </top>
      <bottom style="dotted">
        <color theme="0" tint="-0.34998626667073579"/>
      </bottom>
      <diagonal/>
    </border>
    <border>
      <left style="hair">
        <color theme="0" tint="-0.34998626667073579"/>
      </left>
      <right style="thin">
        <color theme="0" tint="-0.34998626667073579"/>
      </right>
      <top style="thin">
        <color indexed="64"/>
      </top>
      <bottom style="dotted">
        <color theme="0" tint="-0.34998626667073579"/>
      </bottom>
      <diagonal/>
    </border>
    <border>
      <left style="thin">
        <color theme="0" tint="-0.34998626667073579"/>
      </left>
      <right/>
      <top style="thin">
        <color indexed="64"/>
      </top>
      <bottom style="dotted">
        <color theme="0" tint="-0.34998626667073579"/>
      </bottom>
      <diagonal/>
    </border>
    <border>
      <left style="thin">
        <color theme="0" tint="-0.34998626667073579"/>
      </left>
      <right style="thin">
        <color theme="0" tint="-0.34998626667073579"/>
      </right>
      <top style="thin">
        <color indexed="64"/>
      </top>
      <bottom style="dotted">
        <color theme="0" tint="-0.34998626667073579"/>
      </bottom>
      <diagonal/>
    </border>
    <border>
      <left style="thin">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thin">
        <color indexed="64"/>
      </right>
      <top style="thin">
        <color indexed="64"/>
      </top>
      <bottom style="dotted">
        <color theme="0" tint="-0.34998626667073579"/>
      </bottom>
      <diagonal/>
    </border>
    <border>
      <left style="thin">
        <color auto="1"/>
      </left>
      <right style="thin">
        <color theme="0" tint="-0.34998626667073579"/>
      </right>
      <top style="dotted">
        <color theme="0" tint="-0.34998626667073579"/>
      </top>
      <bottom style="dotted">
        <color theme="0" tint="-0.34998626667073579"/>
      </bottom>
      <diagonal/>
    </border>
    <border>
      <left/>
      <right/>
      <top/>
      <bottom style="dotted">
        <color theme="0" tint="-0.34998626667073579"/>
      </bottom>
      <diagonal/>
    </border>
    <border>
      <left/>
      <right style="thin">
        <color theme="0" tint="-0.34998626667073579"/>
      </right>
      <top/>
      <bottom style="dotted">
        <color theme="0" tint="-0.34998626667073579"/>
      </bottom>
      <diagonal/>
    </border>
    <border>
      <left style="thin">
        <color theme="0" tint="-0.34998626667073579"/>
      </left>
      <right style="hair">
        <color theme="0" tint="-0.34998626667073579"/>
      </right>
      <top/>
      <bottom style="dotted">
        <color theme="0" tint="-0.34998626667073579"/>
      </bottom>
      <diagonal/>
    </border>
    <border>
      <left style="hair">
        <color theme="0" tint="-0.34998626667073579"/>
      </left>
      <right style="hair">
        <color theme="0" tint="-0.34998626667073579"/>
      </right>
      <top/>
      <bottom style="dotted">
        <color theme="0" tint="-0.34998626667073579"/>
      </bottom>
      <diagonal/>
    </border>
    <border>
      <left style="hair">
        <color theme="0" tint="-0.34998626667073579"/>
      </left>
      <right style="thin">
        <color theme="0" tint="-0.34998626667073579"/>
      </right>
      <top/>
      <bottom style="dotted">
        <color theme="0" tint="-0.34998626667073579"/>
      </bottom>
      <diagonal/>
    </border>
    <border>
      <left style="thin">
        <color theme="0" tint="-0.34998626667073579"/>
      </left>
      <right/>
      <top/>
      <bottom style="dotted">
        <color theme="0" tint="-0.34998626667073579"/>
      </bottom>
      <diagonal/>
    </border>
    <border>
      <left style="thin">
        <color theme="0" tint="-0.34998626667073579"/>
      </left>
      <right style="thin">
        <color theme="0" tint="-0.34998626667073579"/>
      </right>
      <top/>
      <bottom style="dotted">
        <color theme="0" tint="-0.34998626667073579"/>
      </bottom>
      <diagonal/>
    </border>
    <border>
      <left style="thin">
        <color theme="0" tint="-0.34998626667073579"/>
      </left>
      <right style="dotted">
        <color theme="0" tint="-0.34998626667073579"/>
      </right>
      <top/>
      <bottom style="dotted">
        <color theme="0" tint="-0.34998626667073579"/>
      </bottom>
      <diagonal/>
    </border>
    <border>
      <left style="dotted">
        <color theme="0" tint="-0.34998626667073579"/>
      </left>
      <right style="dotted">
        <color theme="0" tint="-0.34998626667073579"/>
      </right>
      <top/>
      <bottom style="dotted">
        <color theme="0" tint="-0.34998626667073579"/>
      </bottom>
      <diagonal/>
    </border>
    <border>
      <left style="dotted">
        <color theme="0" tint="-0.34998626667073579"/>
      </left>
      <right style="thin">
        <color indexed="64"/>
      </right>
      <top/>
      <bottom style="dotted">
        <color theme="0" tint="-0.34998626667073579"/>
      </bottom>
      <diagonal/>
    </border>
    <border>
      <left style="thin">
        <color indexed="64"/>
      </left>
      <right style="thin">
        <color indexed="64"/>
      </right>
      <top/>
      <bottom style="dotted">
        <color theme="0" tint="-0.34998626667073579"/>
      </bottom>
      <diagonal/>
    </border>
    <border>
      <left style="thin">
        <color auto="1"/>
      </left>
      <right style="thin">
        <color theme="0" tint="-0.34998626667073579"/>
      </right>
      <top style="dotted">
        <color theme="0" tint="-0.34998626667073579"/>
      </top>
      <bottom style="thin">
        <color indexed="64"/>
      </bottom>
      <diagonal/>
    </border>
    <border>
      <left/>
      <right style="thin">
        <color theme="0" tint="-0.34998626667073579"/>
      </right>
      <top/>
      <bottom style="thin">
        <color indexed="64"/>
      </bottom>
      <diagonal/>
    </border>
    <border>
      <left style="thin">
        <color theme="0" tint="-0.34998626667073579"/>
      </left>
      <right style="hair">
        <color theme="0" tint="-0.34998626667073579"/>
      </right>
      <top/>
      <bottom style="thin">
        <color indexed="64"/>
      </bottom>
      <diagonal/>
    </border>
    <border>
      <left style="hair">
        <color theme="0" tint="-0.34998626667073579"/>
      </left>
      <right style="hair">
        <color theme="0" tint="-0.34998626667073579"/>
      </right>
      <top/>
      <bottom style="thin">
        <color indexed="64"/>
      </bottom>
      <diagonal/>
    </border>
    <border>
      <left style="hair">
        <color theme="0" tint="-0.34998626667073579"/>
      </left>
      <right style="thin">
        <color theme="0" tint="-0.34998626667073579"/>
      </right>
      <top/>
      <bottom style="thin">
        <color indexed="64"/>
      </bottom>
      <diagonal/>
    </border>
    <border>
      <left style="thin">
        <color theme="0" tint="-0.34998626667073579"/>
      </left>
      <right/>
      <top/>
      <bottom style="thin">
        <color indexed="64"/>
      </bottom>
      <diagonal/>
    </border>
    <border>
      <left style="thin">
        <color theme="0" tint="-0.34998626667073579"/>
      </left>
      <right style="dotted">
        <color theme="0" tint="-0.34998626667073579"/>
      </right>
      <top/>
      <bottom style="thin">
        <color indexed="64"/>
      </bottom>
      <diagonal/>
    </border>
    <border>
      <left style="dotted">
        <color theme="0" tint="-0.34998626667073579"/>
      </left>
      <right style="dotted">
        <color theme="0" tint="-0.34998626667073579"/>
      </right>
      <top/>
      <bottom style="thin">
        <color indexed="64"/>
      </bottom>
      <diagonal/>
    </border>
    <border>
      <left style="dotted">
        <color theme="0" tint="-0.34998626667073579"/>
      </left>
      <right style="thin">
        <color indexed="64"/>
      </right>
      <top/>
      <bottom style="thin">
        <color indexed="64"/>
      </bottom>
      <diagonal/>
    </border>
    <border>
      <left style="thin">
        <color auto="1"/>
      </left>
      <right style="thin">
        <color theme="0" tint="-0.34998626667073579"/>
      </right>
      <top/>
      <bottom style="dotted">
        <color theme="0" tint="-0.34998626667073579"/>
      </bottom>
      <diagonal/>
    </border>
    <border>
      <left/>
      <right style="thin">
        <color auto="1"/>
      </right>
      <top style="thin">
        <color indexed="64"/>
      </top>
      <bottom style="thin">
        <color theme="0" tint="-0.499984740745262"/>
      </bottom>
      <diagonal/>
    </border>
    <border>
      <left style="thin">
        <color indexed="64"/>
      </left>
      <right/>
      <top style="thin">
        <color indexed="64"/>
      </top>
      <bottom style="thin">
        <color theme="0" tint="-0.499984740745262"/>
      </bottom>
      <diagonal/>
    </border>
    <border>
      <left style="thin">
        <color auto="1"/>
      </left>
      <right style="thin">
        <color theme="0" tint="-0.34998626667073579"/>
      </right>
      <top style="thin">
        <color indexed="64"/>
      </top>
      <bottom style="thin">
        <color theme="0" tint="-0.499984740745262"/>
      </bottom>
      <diagonal/>
    </border>
    <border>
      <left/>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right style="thin">
        <color theme="0" tint="-0.34998626667073579"/>
      </right>
      <top style="thin">
        <color indexed="64"/>
      </top>
      <bottom style="thin">
        <color theme="0" tint="-0.499984740745262"/>
      </bottom>
      <diagonal/>
    </border>
    <border>
      <left style="thin">
        <color theme="0" tint="-0.34998626667073579"/>
      </left>
      <right style="hair">
        <color theme="0" tint="-0.34998626667073579"/>
      </right>
      <top style="thin">
        <color indexed="64"/>
      </top>
      <bottom style="thin">
        <color theme="0" tint="-0.499984740745262"/>
      </bottom>
      <diagonal/>
    </border>
    <border>
      <left style="hair">
        <color theme="0" tint="-0.34998626667073579"/>
      </left>
      <right style="hair">
        <color theme="0" tint="-0.34998626667073579"/>
      </right>
      <top style="thin">
        <color indexed="64"/>
      </top>
      <bottom style="thin">
        <color theme="0" tint="-0.499984740745262"/>
      </bottom>
      <diagonal/>
    </border>
    <border>
      <left style="hair">
        <color theme="0" tint="-0.34998626667073579"/>
      </left>
      <right style="thin">
        <color theme="0" tint="-0.34998626667073579"/>
      </right>
      <top style="thin">
        <color indexed="64"/>
      </top>
      <bottom style="thin">
        <color theme="0" tint="-0.499984740745262"/>
      </bottom>
      <diagonal/>
    </border>
    <border>
      <left style="thin">
        <color theme="0" tint="-0.34998626667073579"/>
      </left>
      <right/>
      <top style="thin">
        <color indexed="64"/>
      </top>
      <bottom style="thin">
        <color theme="0" tint="-0.499984740745262"/>
      </bottom>
      <diagonal/>
    </border>
    <border>
      <left style="thin">
        <color theme="0" tint="-0.34998626667073579"/>
      </left>
      <right style="thin">
        <color theme="0" tint="-0.34998626667073579"/>
      </right>
      <top style="thin">
        <color indexed="64"/>
      </top>
      <bottom style="thin">
        <color theme="0" tint="-0.499984740745262"/>
      </bottom>
      <diagonal/>
    </border>
    <border>
      <left style="thin">
        <color theme="0" tint="-0.34998626667073579"/>
      </left>
      <right style="dotted">
        <color theme="0" tint="-0.34998626667073579"/>
      </right>
      <top style="thin">
        <color indexed="64"/>
      </top>
      <bottom style="thin">
        <color theme="0" tint="-0.499984740745262"/>
      </bottom>
      <diagonal/>
    </border>
    <border>
      <left style="dotted">
        <color theme="0" tint="-0.34998626667073579"/>
      </left>
      <right style="dotted">
        <color theme="0" tint="-0.34998626667073579"/>
      </right>
      <top style="thin">
        <color indexed="64"/>
      </top>
      <bottom style="thin">
        <color theme="0" tint="-0.499984740745262"/>
      </bottom>
      <diagonal/>
    </border>
    <border>
      <left style="dotted">
        <color theme="0" tint="-0.34998626667073579"/>
      </left>
      <right style="thin">
        <color indexed="64"/>
      </right>
      <top style="thin">
        <color indexed="64"/>
      </top>
      <bottom style="thin">
        <color theme="0" tint="-0.499984740745262"/>
      </bottom>
      <diagonal/>
    </border>
    <border>
      <left style="thin">
        <color indexed="64"/>
      </left>
      <right style="thin">
        <color indexed="64"/>
      </right>
      <top style="thin">
        <color theme="0" tint="-0.499984740745262"/>
      </top>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thin">
        <color theme="0" tint="-0.34998626667073579"/>
      </left>
      <right style="hair">
        <color theme="0" tint="-0.34998626667073579"/>
      </right>
      <top style="thin">
        <color indexed="64"/>
      </top>
      <bottom/>
      <diagonal/>
    </border>
    <border>
      <left style="hair">
        <color theme="0" tint="-0.34998626667073579"/>
      </left>
      <right style="hair">
        <color theme="0" tint="-0.34998626667073579"/>
      </right>
      <top style="thin">
        <color indexed="64"/>
      </top>
      <bottom/>
      <diagonal/>
    </border>
    <border>
      <left style="hair">
        <color theme="0" tint="-0.34998626667073579"/>
      </left>
      <right style="thin">
        <color theme="0" tint="-0.34998626667073579"/>
      </right>
      <top style="thin">
        <color indexed="64"/>
      </top>
      <bottom/>
      <diagonal/>
    </border>
    <border>
      <left style="thin">
        <color theme="0" tint="-0.34998626667073579"/>
      </left>
      <right style="dotted">
        <color theme="0" tint="-0.34998626667073579"/>
      </right>
      <top style="thin">
        <color indexed="64"/>
      </top>
      <bottom/>
      <diagonal/>
    </border>
    <border>
      <left style="dotted">
        <color theme="0" tint="-0.34998626667073579"/>
      </left>
      <right style="dotted">
        <color theme="0" tint="-0.34998626667073579"/>
      </right>
      <top style="thin">
        <color indexed="64"/>
      </top>
      <bottom/>
      <diagonal/>
    </border>
    <border>
      <left style="dotted">
        <color theme="0" tint="-0.34998626667073579"/>
      </left>
      <right style="thin">
        <color indexed="64"/>
      </right>
      <top style="thin">
        <color indexed="64"/>
      </top>
      <bottom/>
      <diagonal/>
    </border>
    <border>
      <left style="thin">
        <color theme="0" tint="-0.34998626667073579"/>
      </left>
      <right style="thin">
        <color theme="0" tint="-0.34998626667073579"/>
      </right>
      <top/>
      <bottom style="double">
        <color indexed="64"/>
      </bottom>
      <diagonal/>
    </border>
    <border>
      <left style="thin">
        <color indexed="64"/>
      </left>
      <right/>
      <top/>
      <bottom style="double">
        <color indexed="64"/>
      </bottom>
      <diagonal/>
    </border>
    <border>
      <left style="thin">
        <color theme="0" tint="-0.34998626667073579"/>
      </left>
      <right style="thin">
        <color auto="1"/>
      </right>
      <top/>
      <bottom style="double">
        <color indexed="64"/>
      </bottom>
      <diagonal/>
    </border>
    <border>
      <left style="thin">
        <color auto="1"/>
      </left>
      <right style="thin">
        <color theme="0" tint="-0.34998626667073579"/>
      </right>
      <top/>
      <bottom style="double">
        <color indexed="64"/>
      </bottom>
      <diagonal/>
    </border>
    <border>
      <left/>
      <right style="thin">
        <color theme="0" tint="-0.34998626667073579"/>
      </right>
      <top/>
      <bottom style="double">
        <color indexed="64"/>
      </bottom>
      <diagonal/>
    </border>
    <border>
      <left style="thin">
        <color theme="0" tint="-0.34998626667073579"/>
      </left>
      <right/>
      <top style="thin">
        <color indexed="64"/>
      </top>
      <bottom style="double">
        <color indexed="64"/>
      </bottom>
      <diagonal/>
    </border>
    <border>
      <left/>
      <right style="thin">
        <color theme="0" tint="-0.34998626667073579"/>
      </right>
      <top style="thin">
        <color indexed="64"/>
      </top>
      <bottom style="double">
        <color indexed="64"/>
      </bottom>
      <diagonal/>
    </border>
    <border>
      <left style="thin">
        <color theme="0" tint="-0.34998626667073579"/>
      </left>
      <right style="hair">
        <color theme="0" tint="-0.34998626667073579"/>
      </right>
      <top style="thin">
        <color indexed="64"/>
      </top>
      <bottom style="double">
        <color indexed="64"/>
      </bottom>
      <diagonal/>
    </border>
    <border>
      <left style="hair">
        <color theme="0" tint="-0.34998626667073579"/>
      </left>
      <right style="hair">
        <color theme="0" tint="-0.34998626667073579"/>
      </right>
      <top style="thin">
        <color indexed="64"/>
      </top>
      <bottom style="double">
        <color indexed="64"/>
      </bottom>
      <diagonal/>
    </border>
    <border>
      <left style="hair">
        <color theme="0" tint="-0.34998626667073579"/>
      </left>
      <right style="thin">
        <color theme="0" tint="-0.34998626667073579"/>
      </right>
      <top style="thin">
        <color indexed="64"/>
      </top>
      <bottom style="double">
        <color indexed="64"/>
      </bottom>
      <diagonal/>
    </border>
    <border>
      <left style="thin">
        <color theme="0" tint="-0.34998626667073579"/>
      </left>
      <right style="thin">
        <color theme="0" tint="-0.34998626667073579"/>
      </right>
      <top style="thin">
        <color indexed="64"/>
      </top>
      <bottom style="double">
        <color indexed="64"/>
      </bottom>
      <diagonal/>
    </border>
    <border>
      <left style="thin">
        <color theme="0" tint="-0.34998626667073579"/>
      </left>
      <right style="dotted">
        <color theme="0" tint="-0.34998626667073579"/>
      </right>
      <top style="thin">
        <color indexed="64"/>
      </top>
      <bottom style="double">
        <color indexed="64"/>
      </bottom>
      <diagonal/>
    </border>
    <border>
      <left style="dotted">
        <color theme="0" tint="-0.34998626667073579"/>
      </left>
      <right style="dotted">
        <color theme="0" tint="-0.34998626667073579"/>
      </right>
      <top style="thin">
        <color indexed="64"/>
      </top>
      <bottom style="double">
        <color indexed="64"/>
      </bottom>
      <diagonal/>
    </border>
    <border>
      <left style="dotted">
        <color theme="0" tint="-0.34998626667073579"/>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34998626667073579"/>
      </right>
      <top style="dotted">
        <color theme="0" tint="-0.34998626667073579"/>
      </top>
      <bottom style="thin">
        <color indexed="64"/>
      </bottom>
      <diagonal/>
    </border>
    <border>
      <left style="thin">
        <color theme="0" tint="-0.34998626667073579"/>
      </left>
      <right/>
      <top style="dotted">
        <color theme="0" tint="-0.34998626667073579"/>
      </top>
      <bottom style="thin">
        <color indexed="64"/>
      </bottom>
      <diagonal/>
    </border>
    <border>
      <left/>
      <right/>
      <top style="dotted">
        <color theme="0" tint="-0.34998626667073579"/>
      </top>
      <bottom style="thin">
        <color indexed="64"/>
      </bottom>
      <diagonal/>
    </border>
    <border>
      <left/>
      <right style="thin">
        <color auto="1"/>
      </right>
      <top style="dotted">
        <color theme="0" tint="-0.34998626667073579"/>
      </top>
      <bottom style="thin">
        <color indexed="64"/>
      </bottom>
      <diagonal/>
    </border>
    <border>
      <left style="thin">
        <color theme="0" tint="-0.34998626667073579"/>
      </left>
      <right style="thin">
        <color theme="0" tint="-0.34998626667073579"/>
      </right>
      <top style="dotted">
        <color theme="0" tint="-0.34998626667073579"/>
      </top>
      <bottom style="thin">
        <color indexed="64"/>
      </bottom>
      <diagonal/>
    </border>
    <border>
      <left style="thin">
        <color theme="0" tint="-0.34998626667073579"/>
      </left>
      <right style="hair">
        <color theme="0" tint="-0.34998626667073579"/>
      </right>
      <top style="dotted">
        <color theme="0" tint="-0.34998626667073579"/>
      </top>
      <bottom style="thin">
        <color indexed="64"/>
      </bottom>
      <diagonal/>
    </border>
    <border>
      <left style="hair">
        <color theme="0" tint="-0.34998626667073579"/>
      </left>
      <right style="hair">
        <color theme="0" tint="-0.34998626667073579"/>
      </right>
      <top style="dotted">
        <color theme="0" tint="-0.34998626667073579"/>
      </top>
      <bottom style="thin">
        <color indexed="64"/>
      </bottom>
      <diagonal/>
    </border>
    <border>
      <left style="hair">
        <color theme="0" tint="-0.34998626667073579"/>
      </left>
      <right style="thin">
        <color theme="0" tint="-0.34998626667073579"/>
      </right>
      <top style="dotted">
        <color theme="0" tint="-0.34998626667073579"/>
      </top>
      <bottom style="thin">
        <color indexed="64"/>
      </bottom>
      <diagonal/>
    </border>
    <border>
      <left style="thin">
        <color theme="0" tint="-0.34998626667073579"/>
      </left>
      <right/>
      <top style="thin">
        <color indexed="64"/>
      </top>
      <bottom style="thin">
        <color indexed="64"/>
      </bottom>
      <diagonal/>
    </border>
    <border>
      <left style="thin">
        <color auto="1"/>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right style="thin">
        <color theme="0" tint="-0.34998626667073579"/>
      </right>
      <top style="thin">
        <color indexed="64"/>
      </top>
      <bottom style="thin">
        <color indexed="64"/>
      </bottom>
      <diagonal/>
    </border>
    <border>
      <left style="thin">
        <color theme="0" tint="-0.34998626667073579"/>
      </left>
      <right style="hair">
        <color theme="0" tint="-0.34998626667073579"/>
      </right>
      <top style="thin">
        <color indexed="64"/>
      </top>
      <bottom style="thin">
        <color indexed="64"/>
      </bottom>
      <diagonal/>
    </border>
    <border>
      <left style="hair">
        <color theme="0" tint="-0.34998626667073579"/>
      </left>
      <right style="hair">
        <color theme="0" tint="-0.34998626667073579"/>
      </right>
      <top style="thin">
        <color indexed="64"/>
      </top>
      <bottom style="thin">
        <color indexed="64"/>
      </bottom>
      <diagonal/>
    </border>
    <border>
      <left style="hair">
        <color theme="0" tint="-0.34998626667073579"/>
      </left>
      <right style="thin">
        <color theme="0" tint="-0.34998626667073579"/>
      </right>
      <top style="thin">
        <color indexed="64"/>
      </top>
      <bottom style="thin">
        <color indexed="64"/>
      </bottom>
      <diagonal/>
    </border>
    <border>
      <left style="thin">
        <color theme="0" tint="-0.34998626667073579"/>
      </left>
      <right style="dotted">
        <color theme="0" tint="-0.34998626667073579"/>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hair">
        <color theme="0" tint="-0.34998626667073579"/>
      </top>
      <bottom/>
      <diagonal/>
    </border>
    <border>
      <left style="thin">
        <color indexed="64"/>
      </left>
      <right/>
      <top/>
      <bottom style="dotted">
        <color theme="0" tint="-0.34998626667073579"/>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theme="0" tint="-0.34998626667073579"/>
      </left>
      <right style="thin">
        <color theme="0" tint="-0.34998626667073579"/>
      </right>
      <top style="thin">
        <color indexed="64"/>
      </top>
      <bottom style="hair">
        <color indexed="64"/>
      </bottom>
      <diagonal/>
    </border>
    <border>
      <left style="thin">
        <color indexed="64"/>
      </left>
      <right style="thin">
        <color theme="0" tint="-0.34998626667073579"/>
      </right>
      <top style="thin">
        <color indexed="64"/>
      </top>
      <bottom style="hair">
        <color indexed="64"/>
      </bottom>
      <diagonal/>
    </border>
    <border>
      <left style="thin">
        <color theme="0" tint="-0.34998626667073579"/>
      </left>
      <right style="hair">
        <color theme="0" tint="-0.34998626667073579"/>
      </right>
      <top style="thin">
        <color indexed="64"/>
      </top>
      <bottom style="hair">
        <color indexed="64"/>
      </bottom>
      <diagonal/>
    </border>
    <border>
      <left style="hair">
        <color theme="0" tint="-0.34998626667073579"/>
      </left>
      <right style="hair">
        <color theme="0" tint="-0.34998626667073579"/>
      </right>
      <top style="thin">
        <color indexed="64"/>
      </top>
      <bottom style="hair">
        <color indexed="64"/>
      </bottom>
      <diagonal/>
    </border>
    <border>
      <left style="hair">
        <color theme="0" tint="-0.34998626667073579"/>
      </left>
      <right style="thin">
        <color theme="0" tint="-0.34998626667073579"/>
      </right>
      <top style="thin">
        <color indexed="64"/>
      </top>
      <bottom style="hair">
        <color indexed="64"/>
      </bottom>
      <diagonal/>
    </border>
    <border>
      <left style="thin">
        <color theme="0" tint="-0.34998626667073579"/>
      </left>
      <right/>
      <top style="thin">
        <color indexed="64"/>
      </top>
      <bottom style="hair">
        <color indexed="64"/>
      </bottom>
      <diagonal/>
    </border>
    <border>
      <left/>
      <right style="thin">
        <color theme="0" tint="-0.34998626667073579"/>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theme="0" tint="-0.34998626667073579"/>
      </left>
      <right style="thin">
        <color theme="0" tint="-0.34998626667073579"/>
      </right>
      <top style="hair">
        <color indexed="64"/>
      </top>
      <bottom style="hair">
        <color indexed="64"/>
      </bottom>
      <diagonal/>
    </border>
    <border>
      <left style="thin">
        <color indexed="64"/>
      </left>
      <right style="thin">
        <color theme="0" tint="-0.34998626667073579"/>
      </right>
      <top style="hair">
        <color indexed="64"/>
      </top>
      <bottom style="hair">
        <color indexed="64"/>
      </bottom>
      <diagonal/>
    </border>
    <border>
      <left style="thin">
        <color theme="0" tint="-0.34998626667073579"/>
      </left>
      <right style="hair">
        <color theme="0" tint="-0.34998626667073579"/>
      </right>
      <top style="hair">
        <color indexed="64"/>
      </top>
      <bottom style="hair">
        <color indexed="64"/>
      </bottom>
      <diagonal/>
    </border>
    <border>
      <left style="hair">
        <color theme="0" tint="-0.34998626667073579"/>
      </left>
      <right style="hair">
        <color theme="0" tint="-0.34998626667073579"/>
      </right>
      <top style="hair">
        <color indexed="64"/>
      </top>
      <bottom style="hair">
        <color indexed="64"/>
      </bottom>
      <diagonal/>
    </border>
    <border>
      <left style="hair">
        <color theme="0" tint="-0.34998626667073579"/>
      </left>
      <right style="thin">
        <color theme="0" tint="-0.34998626667073579"/>
      </right>
      <top style="hair">
        <color indexed="64"/>
      </top>
      <bottom style="hair">
        <color indexed="64"/>
      </bottom>
      <diagonal/>
    </border>
    <border>
      <left style="thin">
        <color theme="0" tint="-0.34998626667073579"/>
      </left>
      <right/>
      <top style="hair">
        <color indexed="64"/>
      </top>
      <bottom style="hair">
        <color indexed="64"/>
      </bottom>
      <diagonal/>
    </border>
    <border>
      <left/>
      <right style="thin">
        <color theme="0" tint="-0.34998626667073579"/>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theme="0" tint="-0.34998626667073579"/>
      </left>
      <right style="thin">
        <color theme="0" tint="-0.34998626667073579"/>
      </right>
      <top style="hair">
        <color indexed="64"/>
      </top>
      <bottom style="thin">
        <color indexed="64"/>
      </bottom>
      <diagonal/>
    </border>
    <border>
      <left style="thin">
        <color indexed="64"/>
      </left>
      <right style="thin">
        <color theme="0" tint="-0.34998626667073579"/>
      </right>
      <top style="hair">
        <color indexed="64"/>
      </top>
      <bottom style="thin">
        <color indexed="64"/>
      </bottom>
      <diagonal/>
    </border>
    <border>
      <left style="thin">
        <color theme="0" tint="-0.34998626667073579"/>
      </left>
      <right style="hair">
        <color theme="0" tint="-0.34998626667073579"/>
      </right>
      <top style="hair">
        <color indexed="64"/>
      </top>
      <bottom style="thin">
        <color indexed="64"/>
      </bottom>
      <diagonal/>
    </border>
    <border>
      <left style="hair">
        <color theme="0" tint="-0.34998626667073579"/>
      </left>
      <right style="hair">
        <color theme="0" tint="-0.34998626667073579"/>
      </right>
      <top style="hair">
        <color indexed="64"/>
      </top>
      <bottom style="thin">
        <color indexed="64"/>
      </bottom>
      <diagonal/>
    </border>
    <border>
      <left style="hair">
        <color theme="0" tint="-0.34998626667073579"/>
      </left>
      <right style="thin">
        <color theme="0" tint="-0.34998626667073579"/>
      </right>
      <top style="hair">
        <color indexed="64"/>
      </top>
      <bottom style="thin">
        <color indexed="64"/>
      </bottom>
      <diagonal/>
    </border>
    <border>
      <left style="thin">
        <color theme="0" tint="-0.34998626667073579"/>
      </left>
      <right/>
      <top style="hair">
        <color indexed="64"/>
      </top>
      <bottom style="thin">
        <color indexed="64"/>
      </bottom>
      <diagonal/>
    </border>
    <border>
      <left/>
      <right style="thin">
        <color theme="0" tint="-0.34998626667073579"/>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auto="1"/>
      </left>
      <right style="thin">
        <color indexed="64"/>
      </right>
      <top style="hair">
        <color auto="1"/>
      </top>
      <bottom style="thin">
        <color indexed="64"/>
      </bottom>
      <diagonal/>
    </border>
    <border>
      <left/>
      <right style="thin">
        <color indexed="64"/>
      </right>
      <top style="thin">
        <color indexed="64"/>
      </top>
      <bottom style="hair">
        <color indexed="64"/>
      </bottom>
      <diagonal/>
    </border>
    <border>
      <left style="hair">
        <color theme="0" tint="-0.34998626667073579"/>
      </left>
      <right/>
      <top style="thin">
        <color indexed="64"/>
      </top>
      <bottom style="dotted">
        <color theme="0" tint="-0.34998626667073579"/>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bottom style="thin">
        <color indexed="64"/>
      </bottom>
      <diagonal/>
    </border>
    <border>
      <left style="thick">
        <color auto="1"/>
      </left>
      <right style="thick">
        <color auto="1"/>
      </right>
      <top style="thick">
        <color auto="1"/>
      </top>
      <bottom style="thick">
        <color auto="1"/>
      </bottom>
      <diagonal/>
    </border>
    <border>
      <left style="thin">
        <color indexed="64"/>
      </left>
      <right style="medium">
        <color indexed="64"/>
      </right>
      <top style="thin">
        <color indexed="64"/>
      </top>
      <bottom style="double">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hair">
        <color indexed="64"/>
      </right>
      <top style="hair">
        <color indexed="64"/>
      </top>
      <bottom style="thin">
        <color auto="1"/>
      </bottom>
      <diagonal/>
    </border>
    <border>
      <left style="hair">
        <color indexed="64"/>
      </left>
      <right style="thin">
        <color indexed="64"/>
      </right>
      <top style="hair">
        <color indexed="64"/>
      </top>
      <bottom style="thin">
        <color auto="1"/>
      </bottom>
      <diagonal/>
    </border>
    <border>
      <left style="hair">
        <color indexed="64"/>
      </left>
      <right style="hair">
        <color indexed="64"/>
      </right>
      <top style="hair">
        <color indexed="64"/>
      </top>
      <bottom style="thin">
        <color auto="1"/>
      </bottom>
      <diagonal/>
    </border>
    <border>
      <left/>
      <right style="hair">
        <color indexed="64"/>
      </right>
      <top style="hair">
        <color indexed="64"/>
      </top>
      <bottom style="thin">
        <color auto="1"/>
      </bottom>
      <diagonal/>
    </border>
    <border>
      <left style="hair">
        <color indexed="64"/>
      </left>
      <right/>
      <top style="hair">
        <color indexed="64"/>
      </top>
      <bottom style="thin">
        <color auto="1"/>
      </bottom>
      <diagonal/>
    </border>
    <border>
      <left style="medium">
        <color indexed="64"/>
      </left>
      <right style="medium">
        <color indexed="64"/>
      </right>
      <top style="hair">
        <color indexed="64"/>
      </top>
      <bottom style="thin">
        <color auto="1"/>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thick">
        <color rgb="FFFF0000"/>
      </left>
      <right style="thick">
        <color rgb="FFFF0000"/>
      </right>
      <top style="thick">
        <color rgb="FFFF0000"/>
      </top>
      <bottom/>
      <diagonal/>
    </border>
    <border>
      <left style="thick">
        <color rgb="FFFF0000"/>
      </left>
      <right style="thick">
        <color rgb="FFFF0000"/>
      </right>
      <top style="thick">
        <color rgb="FFFF0000"/>
      </top>
      <bottom style="thick">
        <color rgb="FFFF0000"/>
      </bottom>
      <diagonal/>
    </border>
    <border>
      <left style="thin">
        <color theme="0" tint="-0.34998626667073579"/>
      </left>
      <right/>
      <top/>
      <bottom style="dashed">
        <color theme="1"/>
      </bottom>
      <diagonal/>
    </border>
    <border>
      <left style="thin">
        <color theme="1"/>
      </left>
      <right/>
      <top style="dashed">
        <color theme="1"/>
      </top>
      <bottom style="dashed">
        <color theme="1"/>
      </bottom>
      <diagonal/>
    </border>
    <border>
      <left/>
      <right style="thin">
        <color indexed="64"/>
      </right>
      <top style="dashed">
        <color theme="1"/>
      </top>
      <bottom style="dashed">
        <color theme="1"/>
      </bottom>
      <diagonal/>
    </border>
    <border>
      <left style="thin">
        <color auto="1"/>
      </left>
      <right style="thin">
        <color theme="0" tint="-0.34998626667073579"/>
      </right>
      <top style="dashed">
        <color theme="1"/>
      </top>
      <bottom style="dashed">
        <color theme="1"/>
      </bottom>
      <diagonal/>
    </border>
    <border>
      <left/>
      <right/>
      <top style="dashed">
        <color theme="1"/>
      </top>
      <bottom style="dashed">
        <color theme="1"/>
      </bottom>
      <diagonal/>
    </border>
    <border>
      <left style="thin">
        <color theme="0" tint="-0.34998626667073579"/>
      </left>
      <right style="thin">
        <color theme="0" tint="-0.34998626667073579"/>
      </right>
      <top style="dashed">
        <color theme="1"/>
      </top>
      <bottom style="dashed">
        <color theme="1"/>
      </bottom>
      <diagonal/>
    </border>
    <border>
      <left style="thin">
        <color theme="0" tint="-0.34998626667073579"/>
      </left>
      <right style="hair">
        <color theme="0" tint="-0.34998626667073579"/>
      </right>
      <top style="dashed">
        <color theme="1"/>
      </top>
      <bottom style="dashed">
        <color theme="1"/>
      </bottom>
      <diagonal/>
    </border>
    <border>
      <left style="hair">
        <color theme="0" tint="-0.34998626667073579"/>
      </left>
      <right style="hair">
        <color theme="0" tint="-0.34998626667073579"/>
      </right>
      <top style="dashed">
        <color theme="1"/>
      </top>
      <bottom style="dashed">
        <color theme="1"/>
      </bottom>
      <diagonal/>
    </border>
    <border>
      <left style="hair">
        <color theme="0" tint="-0.34998626667073579"/>
      </left>
      <right/>
      <top style="dashed">
        <color theme="1"/>
      </top>
      <bottom style="dashed">
        <color theme="1"/>
      </bottom>
      <diagonal/>
    </border>
    <border>
      <left style="thin">
        <color theme="0" tint="-0.34998626667073579"/>
      </left>
      <right/>
      <top style="dashed">
        <color theme="1"/>
      </top>
      <bottom style="dashed">
        <color theme="1"/>
      </bottom>
      <diagonal/>
    </border>
    <border>
      <left/>
      <right style="thin">
        <color theme="0" tint="-0.34998626667073579"/>
      </right>
      <top style="dashed">
        <color theme="1"/>
      </top>
      <bottom style="dashed">
        <color theme="1"/>
      </bottom>
      <diagonal/>
    </border>
    <border>
      <left style="hair">
        <color theme="0" tint="-0.34998626667073579"/>
      </left>
      <right style="thin">
        <color theme="0" tint="-0.34998626667073579"/>
      </right>
      <top style="dashed">
        <color theme="1"/>
      </top>
      <bottom style="dashed">
        <color theme="1"/>
      </bottom>
      <diagonal/>
    </border>
    <border>
      <left style="thin">
        <color theme="0" tint="-0.34998626667073579"/>
      </left>
      <right style="dotted">
        <color theme="0" tint="-0.34998626667073579"/>
      </right>
      <top style="dashed">
        <color theme="1"/>
      </top>
      <bottom style="dashed">
        <color theme="1"/>
      </bottom>
      <diagonal/>
    </border>
    <border>
      <left style="dotted">
        <color theme="0" tint="-0.34998626667073579"/>
      </left>
      <right style="dotted">
        <color theme="0" tint="-0.34998626667073579"/>
      </right>
      <top style="dashed">
        <color theme="1"/>
      </top>
      <bottom style="dashed">
        <color theme="1"/>
      </bottom>
      <diagonal/>
    </border>
    <border>
      <left style="dotted">
        <color theme="0" tint="-0.34998626667073579"/>
      </left>
      <right style="thin">
        <color indexed="64"/>
      </right>
      <top style="dashed">
        <color theme="1"/>
      </top>
      <bottom style="dashed">
        <color theme="1"/>
      </bottom>
      <diagonal/>
    </border>
    <border>
      <left style="thin">
        <color indexed="64"/>
      </left>
      <right style="thin">
        <color indexed="64"/>
      </right>
      <top style="dashed">
        <color theme="1"/>
      </top>
      <bottom style="dashed">
        <color theme="1"/>
      </bottom>
      <diagonal/>
    </border>
    <border>
      <left style="thin">
        <color theme="1"/>
      </left>
      <right/>
      <top style="dashed">
        <color theme="1"/>
      </top>
      <bottom style="thin">
        <color theme="1"/>
      </bottom>
      <diagonal/>
    </border>
    <border>
      <left/>
      <right style="thin">
        <color indexed="64"/>
      </right>
      <top style="dashed">
        <color theme="1"/>
      </top>
      <bottom style="thin">
        <color theme="1"/>
      </bottom>
      <diagonal/>
    </border>
    <border>
      <left style="thin">
        <color auto="1"/>
      </left>
      <right style="thin">
        <color theme="0" tint="-0.34998626667073579"/>
      </right>
      <top style="dashed">
        <color theme="1"/>
      </top>
      <bottom style="thin">
        <color theme="1"/>
      </bottom>
      <diagonal/>
    </border>
    <border>
      <left/>
      <right/>
      <top style="dashed">
        <color theme="1"/>
      </top>
      <bottom style="thin">
        <color theme="1"/>
      </bottom>
      <diagonal/>
    </border>
    <border>
      <left style="thin">
        <color theme="0" tint="-0.34998626667073579"/>
      </left>
      <right style="thin">
        <color theme="0" tint="-0.34998626667073579"/>
      </right>
      <top style="dashed">
        <color theme="1"/>
      </top>
      <bottom style="thin">
        <color theme="1"/>
      </bottom>
      <diagonal/>
    </border>
    <border>
      <left style="thin">
        <color theme="0" tint="-0.34998626667073579"/>
      </left>
      <right style="hair">
        <color theme="0" tint="-0.34998626667073579"/>
      </right>
      <top style="dashed">
        <color theme="1"/>
      </top>
      <bottom style="thin">
        <color theme="1"/>
      </bottom>
      <diagonal/>
    </border>
    <border>
      <left style="hair">
        <color theme="0" tint="-0.34998626667073579"/>
      </left>
      <right style="hair">
        <color theme="0" tint="-0.34998626667073579"/>
      </right>
      <top style="dashed">
        <color theme="1"/>
      </top>
      <bottom style="thin">
        <color theme="1"/>
      </bottom>
      <diagonal/>
    </border>
    <border>
      <left style="hair">
        <color theme="0" tint="-0.34998626667073579"/>
      </left>
      <right style="thin">
        <color theme="0" tint="-0.34998626667073579"/>
      </right>
      <top style="dashed">
        <color theme="1"/>
      </top>
      <bottom style="thin">
        <color theme="1"/>
      </bottom>
      <diagonal/>
    </border>
    <border>
      <left style="thin">
        <color theme="0" tint="-0.34998626667073579"/>
      </left>
      <right/>
      <top style="dashed">
        <color theme="1"/>
      </top>
      <bottom/>
      <diagonal/>
    </border>
    <border>
      <left/>
      <right style="thin">
        <color theme="0" tint="-0.34998626667073579"/>
      </right>
      <top style="dashed">
        <color theme="1"/>
      </top>
      <bottom style="thin">
        <color theme="1"/>
      </bottom>
      <diagonal/>
    </border>
    <border>
      <left style="hair">
        <color theme="0" tint="-0.34998626667073579"/>
      </left>
      <right/>
      <top style="dashed">
        <color theme="1"/>
      </top>
      <bottom style="thin">
        <color theme="1"/>
      </bottom>
      <diagonal/>
    </border>
    <border>
      <left style="thin">
        <color theme="0" tint="-0.34998626667073579"/>
      </left>
      <right/>
      <top style="dashed">
        <color theme="1"/>
      </top>
      <bottom style="thin">
        <color theme="1"/>
      </bottom>
      <diagonal/>
    </border>
    <border>
      <left style="thin">
        <color theme="0" tint="-0.34998626667073579"/>
      </left>
      <right style="dotted">
        <color theme="0" tint="-0.34998626667073579"/>
      </right>
      <top style="dashed">
        <color theme="1"/>
      </top>
      <bottom style="thin">
        <color theme="1"/>
      </bottom>
      <diagonal/>
    </border>
    <border>
      <left style="dotted">
        <color theme="0" tint="-0.34998626667073579"/>
      </left>
      <right style="dotted">
        <color theme="0" tint="-0.34998626667073579"/>
      </right>
      <top style="dashed">
        <color theme="1"/>
      </top>
      <bottom style="thin">
        <color theme="1"/>
      </bottom>
      <diagonal/>
    </border>
    <border>
      <left style="dotted">
        <color theme="0" tint="-0.34998626667073579"/>
      </left>
      <right style="thin">
        <color indexed="64"/>
      </right>
      <top style="dashed">
        <color theme="1"/>
      </top>
      <bottom style="thin">
        <color theme="1"/>
      </bottom>
      <diagonal/>
    </border>
    <border>
      <left style="thin">
        <color theme="0" tint="-0.34998626667073579"/>
      </left>
      <right/>
      <top style="thin">
        <color theme="1"/>
      </top>
      <bottom/>
      <diagonal/>
    </border>
    <border>
      <left style="thin">
        <color auto="1"/>
      </left>
      <right style="thin">
        <color theme="0" tint="-0.34998626667073579"/>
      </right>
      <top/>
      <bottom style="dashed">
        <color auto="1"/>
      </bottom>
      <diagonal/>
    </border>
    <border>
      <left/>
      <right/>
      <top/>
      <bottom style="dashed">
        <color auto="1"/>
      </bottom>
      <diagonal/>
    </border>
    <border>
      <left style="thin">
        <color theme="0" tint="-0.34998626667073579"/>
      </left>
      <right style="thin">
        <color theme="0" tint="-0.34998626667073579"/>
      </right>
      <top/>
      <bottom style="dashed">
        <color auto="1"/>
      </bottom>
      <diagonal/>
    </border>
    <border>
      <left style="thin">
        <color theme="0" tint="-0.34998626667073579"/>
      </left>
      <right/>
      <top/>
      <bottom style="dashed">
        <color auto="1"/>
      </bottom>
      <diagonal/>
    </border>
    <border>
      <left style="thin">
        <color theme="0" tint="-0.34998626667073579"/>
      </left>
      <right style="hair">
        <color theme="0" tint="-0.34998626667073579"/>
      </right>
      <top/>
      <bottom style="dashed">
        <color auto="1"/>
      </bottom>
      <diagonal/>
    </border>
    <border>
      <left style="hair">
        <color theme="0" tint="-0.34998626667073579"/>
      </left>
      <right style="hair">
        <color theme="0" tint="-0.34998626667073579"/>
      </right>
      <top/>
      <bottom style="dashed">
        <color auto="1"/>
      </bottom>
      <diagonal/>
    </border>
    <border>
      <left style="hair">
        <color theme="0" tint="-0.34998626667073579"/>
      </left>
      <right style="thin">
        <color theme="0" tint="-0.34998626667073579"/>
      </right>
      <top/>
      <bottom style="dashed">
        <color auto="1"/>
      </bottom>
      <diagonal/>
    </border>
    <border>
      <left/>
      <right style="thin">
        <color theme="0" tint="-0.34998626667073579"/>
      </right>
      <top/>
      <bottom style="dashed">
        <color auto="1"/>
      </bottom>
      <diagonal/>
    </border>
    <border>
      <left style="thin">
        <color theme="0" tint="-0.34998626667073579"/>
      </left>
      <right style="dotted">
        <color theme="0" tint="-0.34998626667073579"/>
      </right>
      <top/>
      <bottom style="dashed">
        <color auto="1"/>
      </bottom>
      <diagonal/>
    </border>
    <border>
      <left style="dotted">
        <color theme="0" tint="-0.34998626667073579"/>
      </left>
      <right style="dotted">
        <color theme="0" tint="-0.34998626667073579"/>
      </right>
      <top/>
      <bottom style="dashed">
        <color auto="1"/>
      </bottom>
      <diagonal/>
    </border>
    <border>
      <left style="dotted">
        <color theme="0" tint="-0.34998626667073579"/>
      </left>
      <right style="thin">
        <color indexed="64"/>
      </right>
      <top/>
      <bottom style="dashed">
        <color auto="1"/>
      </bottom>
      <diagonal/>
    </border>
    <border>
      <left style="thin">
        <color indexed="64"/>
      </left>
      <right style="thin">
        <color indexed="64"/>
      </right>
      <top style="thin">
        <color theme="1"/>
      </top>
      <bottom style="dashed">
        <color auto="1"/>
      </bottom>
      <diagonal/>
    </border>
    <border>
      <left style="thin">
        <color auto="1"/>
      </left>
      <right style="thin">
        <color theme="0" tint="-0.34998626667073579"/>
      </right>
      <top style="dashed">
        <color auto="1"/>
      </top>
      <bottom style="dashed">
        <color auto="1"/>
      </bottom>
      <diagonal/>
    </border>
    <border>
      <left/>
      <right/>
      <top style="dashed">
        <color auto="1"/>
      </top>
      <bottom style="dashed">
        <color auto="1"/>
      </bottom>
      <diagonal/>
    </border>
    <border>
      <left style="thin">
        <color theme="0" tint="-0.34998626667073579"/>
      </left>
      <right style="thin">
        <color theme="0" tint="-0.34998626667073579"/>
      </right>
      <top style="dashed">
        <color auto="1"/>
      </top>
      <bottom style="dashed">
        <color auto="1"/>
      </bottom>
      <diagonal/>
    </border>
    <border>
      <left style="thin">
        <color theme="0" tint="-0.34998626667073579"/>
      </left>
      <right/>
      <top style="dashed">
        <color auto="1"/>
      </top>
      <bottom style="dashed">
        <color auto="1"/>
      </bottom>
      <diagonal/>
    </border>
    <border>
      <left style="thin">
        <color theme="0" tint="-0.34998626667073579"/>
      </left>
      <right style="hair">
        <color theme="0" tint="-0.34998626667073579"/>
      </right>
      <top style="dashed">
        <color auto="1"/>
      </top>
      <bottom style="dashed">
        <color auto="1"/>
      </bottom>
      <diagonal/>
    </border>
    <border>
      <left style="hair">
        <color theme="0" tint="-0.34998626667073579"/>
      </left>
      <right style="hair">
        <color theme="0" tint="-0.34998626667073579"/>
      </right>
      <top style="dashed">
        <color auto="1"/>
      </top>
      <bottom style="dashed">
        <color auto="1"/>
      </bottom>
      <diagonal/>
    </border>
    <border>
      <left style="hair">
        <color theme="0" tint="-0.34998626667073579"/>
      </left>
      <right style="thin">
        <color theme="0" tint="-0.34998626667073579"/>
      </right>
      <top style="dashed">
        <color auto="1"/>
      </top>
      <bottom style="dashed">
        <color auto="1"/>
      </bottom>
      <diagonal/>
    </border>
    <border>
      <left/>
      <right style="thin">
        <color theme="0" tint="-0.34998626667073579"/>
      </right>
      <top style="dashed">
        <color auto="1"/>
      </top>
      <bottom style="dashed">
        <color auto="1"/>
      </bottom>
      <diagonal/>
    </border>
    <border>
      <left style="thin">
        <color theme="0" tint="-0.34998626667073579"/>
      </left>
      <right style="dotted">
        <color theme="0" tint="-0.34998626667073579"/>
      </right>
      <top style="dashed">
        <color auto="1"/>
      </top>
      <bottom style="dashed">
        <color auto="1"/>
      </bottom>
      <diagonal/>
    </border>
    <border>
      <left style="dotted">
        <color theme="0" tint="-0.34998626667073579"/>
      </left>
      <right style="dotted">
        <color theme="0" tint="-0.34998626667073579"/>
      </right>
      <top style="dashed">
        <color auto="1"/>
      </top>
      <bottom style="dashed">
        <color auto="1"/>
      </bottom>
      <diagonal/>
    </border>
    <border>
      <left style="dotted">
        <color theme="0" tint="-0.34998626667073579"/>
      </left>
      <right style="thin">
        <color indexed="64"/>
      </right>
      <top style="dashed">
        <color auto="1"/>
      </top>
      <bottom style="dashed">
        <color auto="1"/>
      </bottom>
      <diagonal/>
    </border>
    <border>
      <left style="thin">
        <color indexed="64"/>
      </left>
      <right style="thin">
        <color auto="1"/>
      </right>
      <top style="dashed">
        <color auto="1"/>
      </top>
      <bottom style="dashed">
        <color auto="1"/>
      </bottom>
      <diagonal/>
    </border>
    <border>
      <left style="thin">
        <color auto="1"/>
      </left>
      <right style="thin">
        <color theme="0" tint="-0.34998626667073579"/>
      </right>
      <top style="dashed">
        <color auto="1"/>
      </top>
      <bottom style="thin">
        <color auto="1"/>
      </bottom>
      <diagonal/>
    </border>
    <border>
      <left/>
      <right/>
      <top style="dashed">
        <color auto="1"/>
      </top>
      <bottom style="thin">
        <color auto="1"/>
      </bottom>
      <diagonal/>
    </border>
    <border>
      <left style="thin">
        <color theme="0" tint="-0.34998626667073579"/>
      </left>
      <right style="thin">
        <color theme="0" tint="-0.34998626667073579"/>
      </right>
      <top style="dashed">
        <color auto="1"/>
      </top>
      <bottom style="thin">
        <color auto="1"/>
      </bottom>
      <diagonal/>
    </border>
    <border>
      <left style="thin">
        <color theme="0" tint="-0.34998626667073579"/>
      </left>
      <right/>
      <top style="dashed">
        <color auto="1"/>
      </top>
      <bottom style="thin">
        <color auto="1"/>
      </bottom>
      <diagonal/>
    </border>
    <border>
      <left style="thin">
        <color theme="0" tint="-0.34998626667073579"/>
      </left>
      <right style="hair">
        <color theme="0" tint="-0.34998626667073579"/>
      </right>
      <top style="dashed">
        <color auto="1"/>
      </top>
      <bottom style="thin">
        <color auto="1"/>
      </bottom>
      <diagonal/>
    </border>
    <border>
      <left style="hair">
        <color theme="0" tint="-0.34998626667073579"/>
      </left>
      <right style="hair">
        <color theme="0" tint="-0.34998626667073579"/>
      </right>
      <top style="dashed">
        <color auto="1"/>
      </top>
      <bottom style="thin">
        <color auto="1"/>
      </bottom>
      <diagonal/>
    </border>
    <border>
      <left style="hair">
        <color theme="0" tint="-0.34998626667073579"/>
      </left>
      <right style="thin">
        <color theme="0" tint="-0.34998626667073579"/>
      </right>
      <top style="dashed">
        <color auto="1"/>
      </top>
      <bottom style="thin">
        <color auto="1"/>
      </bottom>
      <diagonal/>
    </border>
    <border>
      <left/>
      <right style="thin">
        <color theme="0" tint="-0.34998626667073579"/>
      </right>
      <top style="dashed">
        <color auto="1"/>
      </top>
      <bottom style="thin">
        <color auto="1"/>
      </bottom>
      <diagonal/>
    </border>
    <border>
      <left style="thin">
        <color theme="0" tint="-0.34998626667073579"/>
      </left>
      <right style="dotted">
        <color theme="0" tint="-0.34998626667073579"/>
      </right>
      <top style="dashed">
        <color auto="1"/>
      </top>
      <bottom style="thin">
        <color auto="1"/>
      </bottom>
      <diagonal/>
    </border>
    <border>
      <left style="dotted">
        <color theme="0" tint="-0.34998626667073579"/>
      </left>
      <right style="dotted">
        <color theme="0" tint="-0.34998626667073579"/>
      </right>
      <top style="dashed">
        <color auto="1"/>
      </top>
      <bottom style="thin">
        <color auto="1"/>
      </bottom>
      <diagonal/>
    </border>
    <border>
      <left style="dotted">
        <color theme="0" tint="-0.34998626667073579"/>
      </left>
      <right style="thin">
        <color indexed="64"/>
      </right>
      <top style="dashed">
        <color auto="1"/>
      </top>
      <bottom style="thin">
        <color auto="1"/>
      </bottom>
      <diagonal/>
    </border>
    <border>
      <left style="dotted">
        <color theme="0" tint="-0.34998626667073579"/>
      </left>
      <right style="thin">
        <color indexed="64"/>
      </right>
      <top style="thin">
        <color indexed="64"/>
      </top>
      <bottom style="thin">
        <color indexed="64"/>
      </bottom>
      <diagonal/>
    </border>
    <border>
      <left/>
      <right/>
      <top style="thin">
        <color indexed="64"/>
      </top>
      <bottom style="thin">
        <color theme="1"/>
      </bottom>
      <diagonal/>
    </border>
    <border>
      <left style="thin">
        <color theme="1"/>
      </left>
      <right/>
      <top style="thin">
        <color indexed="64"/>
      </top>
      <bottom style="thin">
        <color theme="1"/>
      </bottom>
      <diagonal/>
    </border>
    <border>
      <left/>
      <right style="thin">
        <color auto="1"/>
      </right>
      <top style="thin">
        <color indexed="64"/>
      </top>
      <bottom style="thin">
        <color theme="1"/>
      </bottom>
      <diagonal/>
    </border>
    <border>
      <left style="thin">
        <color auto="1"/>
      </left>
      <right style="thin">
        <color theme="0" tint="-0.34998626667073579"/>
      </right>
      <top style="thin">
        <color theme="1"/>
      </top>
      <bottom style="thin">
        <color indexed="64"/>
      </bottom>
      <diagonal/>
    </border>
    <border>
      <left style="thin">
        <color theme="0" tint="-0.34998626667073579"/>
      </left>
      <right/>
      <top style="thin">
        <color indexed="64"/>
      </top>
      <bottom style="thin">
        <color theme="1"/>
      </bottom>
      <diagonal/>
    </border>
    <border>
      <left style="thin">
        <color theme="0" tint="-0.34998626667073579"/>
      </left>
      <right style="thin">
        <color theme="0" tint="-0.34998626667073579"/>
      </right>
      <top style="thin">
        <color theme="1"/>
      </top>
      <bottom style="thin">
        <color indexed="64"/>
      </bottom>
      <diagonal/>
    </border>
    <border>
      <left/>
      <right style="thin">
        <color theme="0" tint="-0.34998626667073579"/>
      </right>
      <top style="thin">
        <color indexed="64"/>
      </top>
      <bottom style="thin">
        <color theme="1"/>
      </bottom>
      <diagonal/>
    </border>
    <border>
      <left style="thin">
        <color theme="0" tint="-0.34998626667073579"/>
      </left>
      <right style="thin">
        <color theme="0" tint="-0.34998626667073579"/>
      </right>
      <top style="thin">
        <color indexed="64"/>
      </top>
      <bottom style="thin">
        <color theme="1"/>
      </bottom>
      <diagonal/>
    </border>
    <border>
      <left style="thin">
        <color theme="0" tint="-0.34998626667073579"/>
      </left>
      <right style="hair">
        <color theme="0" tint="-0.34998626667073579"/>
      </right>
      <top style="thin">
        <color indexed="64"/>
      </top>
      <bottom style="thin">
        <color theme="1"/>
      </bottom>
      <diagonal/>
    </border>
    <border>
      <left style="hair">
        <color theme="0" tint="-0.34998626667073579"/>
      </left>
      <right style="hair">
        <color theme="0" tint="-0.34998626667073579"/>
      </right>
      <top style="thin">
        <color indexed="64"/>
      </top>
      <bottom style="thin">
        <color theme="1"/>
      </bottom>
      <diagonal/>
    </border>
    <border>
      <left style="hair">
        <color theme="0" tint="-0.34998626667073579"/>
      </left>
      <right/>
      <top style="thin">
        <color indexed="64"/>
      </top>
      <bottom style="thin">
        <color theme="1"/>
      </bottom>
      <diagonal/>
    </border>
    <border>
      <left style="hair">
        <color theme="0" tint="-0.34998626667073579"/>
      </left>
      <right style="thin">
        <color theme="0" tint="-0.34998626667073579"/>
      </right>
      <top style="thin">
        <color indexed="64"/>
      </top>
      <bottom style="thin">
        <color theme="1"/>
      </bottom>
      <diagonal/>
    </border>
    <border>
      <left style="thick">
        <color rgb="FFFF0000"/>
      </left>
      <right style="thick">
        <color rgb="FFFF0000"/>
      </right>
      <top style="thick">
        <color rgb="FFFF0000"/>
      </top>
      <bottom style="thin">
        <color theme="1"/>
      </bottom>
      <diagonal/>
    </border>
    <border>
      <left style="thick">
        <color rgb="FFFF0000"/>
      </left>
      <right style="thin">
        <color theme="0" tint="-0.34998626667073579"/>
      </right>
      <top style="thin">
        <color indexed="64"/>
      </top>
      <bottom style="thin">
        <color theme="1"/>
      </bottom>
      <diagonal/>
    </border>
    <border>
      <left style="thin">
        <color theme="0" tint="-0.34998626667073579"/>
      </left>
      <right style="dotted">
        <color theme="0" tint="-0.34998626667073579"/>
      </right>
      <top style="thin">
        <color indexed="64"/>
      </top>
      <bottom style="thin">
        <color theme="1"/>
      </bottom>
      <diagonal/>
    </border>
    <border>
      <left style="dotted">
        <color theme="0" tint="-0.34998626667073579"/>
      </left>
      <right style="dotted">
        <color theme="0" tint="-0.34998626667073579"/>
      </right>
      <top style="thin">
        <color indexed="64"/>
      </top>
      <bottom style="thin">
        <color theme="1"/>
      </bottom>
      <diagonal/>
    </border>
    <border>
      <left style="dotted">
        <color theme="0" tint="-0.34998626667073579"/>
      </left>
      <right style="thin">
        <color indexed="64"/>
      </right>
      <top style="thin">
        <color indexed="64"/>
      </top>
      <bottom style="thin">
        <color theme="1"/>
      </bottom>
      <diagonal/>
    </border>
    <border>
      <left/>
      <right/>
      <top style="thin">
        <color theme="1"/>
      </top>
      <bottom style="thin">
        <color indexed="64"/>
      </bottom>
      <diagonal/>
    </border>
    <border>
      <left/>
      <right style="thin">
        <color auto="1"/>
      </right>
      <top style="thin">
        <color theme="1"/>
      </top>
      <bottom style="thin">
        <color indexed="64"/>
      </bottom>
      <diagonal/>
    </border>
    <border>
      <left style="thin">
        <color theme="0" tint="-0.34998626667073579"/>
      </left>
      <right style="hair">
        <color theme="0" tint="-0.34998626667073579"/>
      </right>
      <top style="thin">
        <color theme="1"/>
      </top>
      <bottom style="thin">
        <color indexed="64"/>
      </bottom>
      <diagonal/>
    </border>
    <border>
      <left style="hair">
        <color theme="0" tint="-0.34998626667073579"/>
      </left>
      <right style="hair">
        <color theme="0" tint="-0.34998626667073579"/>
      </right>
      <top style="thin">
        <color theme="1"/>
      </top>
      <bottom style="thin">
        <color indexed="64"/>
      </bottom>
      <diagonal/>
    </border>
    <border>
      <left style="hair">
        <color theme="0" tint="-0.34998626667073579"/>
      </left>
      <right style="thin">
        <color theme="0" tint="-0.34998626667073579"/>
      </right>
      <top style="thin">
        <color theme="1"/>
      </top>
      <bottom style="thin">
        <color indexed="64"/>
      </bottom>
      <diagonal/>
    </border>
    <border>
      <left style="thin">
        <color theme="0" tint="-0.34998626667073579"/>
      </left>
      <right/>
      <top style="thin">
        <color theme="1"/>
      </top>
      <bottom style="thin">
        <color indexed="64"/>
      </bottom>
      <diagonal/>
    </border>
    <border>
      <left/>
      <right style="thin">
        <color theme="0" tint="-0.34998626667073579"/>
      </right>
      <top style="thin">
        <color theme="1"/>
      </top>
      <bottom style="thin">
        <color indexed="64"/>
      </bottom>
      <diagonal/>
    </border>
    <border>
      <left style="hair">
        <color theme="0" tint="-0.34998626667073579"/>
      </left>
      <right/>
      <top style="thin">
        <color theme="1"/>
      </top>
      <bottom style="thin">
        <color indexed="64"/>
      </bottom>
      <diagonal/>
    </border>
    <border>
      <left style="thin">
        <color theme="0" tint="-0.34998626667073579"/>
      </left>
      <right style="dotted">
        <color theme="0" tint="-0.34998626667073579"/>
      </right>
      <top style="thin">
        <color theme="1"/>
      </top>
      <bottom style="thin">
        <color indexed="64"/>
      </bottom>
      <diagonal/>
    </border>
    <border>
      <left style="dotted">
        <color theme="0" tint="-0.34998626667073579"/>
      </left>
      <right style="dotted">
        <color theme="0" tint="-0.34998626667073579"/>
      </right>
      <top style="thin">
        <color theme="1"/>
      </top>
      <bottom style="thin">
        <color indexed="64"/>
      </bottom>
      <diagonal/>
    </border>
    <border>
      <left style="dotted">
        <color theme="0" tint="-0.34998626667073579"/>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dotted">
        <color theme="0" tint="-0.34998626667073579"/>
      </left>
      <right/>
      <top style="hair">
        <color theme="0" tint="-0.34998626667073579"/>
      </top>
      <bottom/>
      <diagonal/>
    </border>
    <border>
      <left style="dotted">
        <color theme="0" tint="-0.34998626667073579"/>
      </left>
      <right/>
      <top/>
      <bottom/>
      <diagonal/>
    </border>
    <border>
      <left style="thin">
        <color rgb="FF000000"/>
      </left>
      <right style="thin">
        <color rgb="FF000000"/>
      </right>
      <top/>
      <bottom style="thin">
        <color rgb="FF000000"/>
      </bottom>
      <diagonal/>
    </border>
    <border>
      <left style="thin">
        <color indexed="64"/>
      </left>
      <right style="dashed">
        <color indexed="64"/>
      </right>
      <top style="thin">
        <color indexed="64"/>
      </top>
      <bottom style="thin">
        <color indexed="64"/>
      </bottom>
      <diagonal/>
    </border>
    <border>
      <left style="medium">
        <color rgb="FFFF0000"/>
      </left>
      <right style="medium">
        <color rgb="FFFF0000"/>
      </right>
      <top style="medium">
        <color rgb="FFFF0000"/>
      </top>
      <bottom style="medium">
        <color rgb="FFFF0000"/>
      </bottom>
      <diagonal/>
    </border>
    <border>
      <left/>
      <right style="dashed">
        <color indexed="64"/>
      </right>
      <top/>
      <bottom/>
      <diagonal/>
    </border>
    <border>
      <left style="thin">
        <color auto="1"/>
      </left>
      <right style="hair">
        <color indexed="64"/>
      </right>
      <top style="thin">
        <color auto="1"/>
      </top>
      <bottom style="hair">
        <color indexed="64"/>
      </bottom>
      <diagonal/>
    </border>
    <border>
      <left/>
      <right style="hair">
        <color indexed="64"/>
      </right>
      <top style="thin">
        <color auto="1"/>
      </top>
      <bottom style="hair">
        <color indexed="64"/>
      </bottom>
      <diagonal/>
    </border>
    <border>
      <left/>
      <right/>
      <top style="thin">
        <color theme="1"/>
      </top>
      <bottom/>
      <diagonal/>
    </border>
    <border>
      <left style="thin">
        <color auto="1"/>
      </left>
      <right/>
      <top style="dashed">
        <color theme="1"/>
      </top>
      <bottom style="dashed">
        <color theme="1"/>
      </bottom>
      <diagonal/>
    </border>
    <border>
      <left style="thin">
        <color auto="1"/>
      </left>
      <right/>
      <top/>
      <bottom style="dashed">
        <color auto="1"/>
      </bottom>
      <diagonal/>
    </border>
    <border>
      <left style="thin">
        <color auto="1"/>
      </left>
      <right/>
      <top style="dashed">
        <color auto="1"/>
      </top>
      <bottom style="dashed">
        <color auto="1"/>
      </bottom>
      <diagonal/>
    </border>
    <border>
      <left style="thin">
        <color auto="1"/>
      </left>
      <right/>
      <top style="thin">
        <color theme="1"/>
      </top>
      <bottom style="thin">
        <color indexed="64"/>
      </bottom>
      <diagonal/>
    </border>
    <border>
      <left style="thin">
        <color auto="1"/>
      </left>
      <right/>
      <top style="thin">
        <color theme="1"/>
      </top>
      <bottom/>
      <diagonal/>
    </border>
    <border>
      <left/>
      <right style="thin">
        <color auto="1"/>
      </right>
      <top style="thin">
        <color theme="1"/>
      </top>
      <bottom/>
      <diagonal/>
    </border>
    <border>
      <left style="thin">
        <color auto="1"/>
      </left>
      <right/>
      <top style="dashed">
        <color theme="1"/>
      </top>
      <bottom style="thin">
        <color theme="1"/>
      </bottom>
      <diagonal/>
    </border>
    <border>
      <left style="thin">
        <color auto="1"/>
      </left>
      <right/>
      <top style="dashed">
        <color auto="1"/>
      </top>
      <bottom style="thin">
        <color auto="1"/>
      </bottom>
      <diagonal/>
    </border>
    <border>
      <left style="thin">
        <color auto="1"/>
      </left>
      <right/>
      <top style="thin">
        <color indexed="64"/>
      </top>
      <bottom style="thin">
        <color theme="1"/>
      </bottom>
      <diagonal/>
    </border>
    <border>
      <left style="thin">
        <color theme="1"/>
      </left>
      <right style="thin">
        <color auto="1"/>
      </right>
      <top style="thin">
        <color theme="1"/>
      </top>
      <bottom style="thin">
        <color indexed="64"/>
      </bottom>
      <diagonal/>
    </border>
    <border>
      <left style="thin">
        <color theme="1"/>
      </left>
      <right style="thin">
        <color auto="1"/>
      </right>
      <top style="thin">
        <color theme="1"/>
      </top>
      <bottom/>
      <diagonal/>
    </border>
    <border>
      <left style="thin">
        <color theme="1"/>
      </left>
      <right style="thin">
        <color auto="1"/>
      </right>
      <top/>
      <bottom/>
      <diagonal/>
    </border>
    <border>
      <left style="thin">
        <color theme="1"/>
      </left>
      <right style="thin">
        <color auto="1"/>
      </right>
      <top/>
      <bottom style="thin">
        <color indexed="64"/>
      </bottom>
      <diagonal/>
    </border>
    <border>
      <left style="thin">
        <color auto="1"/>
      </left>
      <right style="thin">
        <color theme="1"/>
      </right>
      <top style="thin">
        <color auto="1"/>
      </top>
      <bottom/>
      <diagonal/>
    </border>
    <border>
      <left style="thin">
        <color theme="0" tint="-0.34998626667073579"/>
      </left>
      <right style="thin">
        <color theme="0" tint="-0.34998626667073579"/>
      </right>
      <top style="thin">
        <color theme="1"/>
      </top>
      <bottom/>
      <diagonal/>
    </border>
    <border>
      <left style="thin">
        <color theme="0" tint="-0.34998626667073579"/>
      </left>
      <right style="hair">
        <color theme="0" tint="-0.34998626667073579"/>
      </right>
      <top style="thin">
        <color theme="1"/>
      </top>
      <bottom/>
      <diagonal/>
    </border>
    <border>
      <left style="hair">
        <color theme="0" tint="-0.34998626667073579"/>
      </left>
      <right style="hair">
        <color theme="0" tint="-0.34998626667073579"/>
      </right>
      <top style="thin">
        <color theme="1"/>
      </top>
      <bottom/>
      <diagonal/>
    </border>
    <border>
      <left style="hair">
        <color theme="0" tint="-0.34998626667073579"/>
      </left>
      <right style="thin">
        <color theme="0" tint="-0.34998626667073579"/>
      </right>
      <top style="thin">
        <color theme="1"/>
      </top>
      <bottom/>
      <diagonal/>
    </border>
    <border>
      <left/>
      <right style="thin">
        <color theme="0" tint="-0.34998626667073579"/>
      </right>
      <top style="thin">
        <color theme="1"/>
      </top>
      <bottom/>
      <diagonal/>
    </border>
    <border>
      <left style="hair">
        <color theme="0" tint="-0.34998626667073579"/>
      </left>
      <right/>
      <top style="thin">
        <color theme="1"/>
      </top>
      <bottom/>
      <diagonal/>
    </border>
    <border>
      <left style="thick">
        <color rgb="FFFF0000"/>
      </left>
      <right style="thin">
        <color theme="0" tint="-0.34998626667073579"/>
      </right>
      <top style="thin">
        <color theme="1"/>
      </top>
      <bottom/>
      <diagonal/>
    </border>
    <border>
      <left style="thin">
        <color theme="0" tint="-0.34998626667073579"/>
      </left>
      <right style="dotted">
        <color theme="0" tint="-0.34998626667073579"/>
      </right>
      <top style="thin">
        <color theme="1"/>
      </top>
      <bottom/>
      <diagonal/>
    </border>
    <border>
      <left style="dotted">
        <color theme="0" tint="-0.34998626667073579"/>
      </left>
      <right style="dotted">
        <color theme="0" tint="-0.34998626667073579"/>
      </right>
      <top style="thin">
        <color theme="1"/>
      </top>
      <bottom/>
      <diagonal/>
    </border>
    <border>
      <left style="dotted">
        <color theme="0" tint="-0.34998626667073579"/>
      </left>
      <right style="thin">
        <color indexed="64"/>
      </right>
      <top style="thin">
        <color theme="1"/>
      </top>
      <bottom/>
      <diagonal/>
    </border>
    <border>
      <left style="thin">
        <color auto="1"/>
      </left>
      <right style="thin">
        <color theme="0" tint="-0.34998626667073579"/>
      </right>
      <top style="thin">
        <color theme="1"/>
      </top>
      <bottom/>
      <diagonal/>
    </border>
    <border>
      <left style="thin">
        <color theme="1"/>
      </left>
      <right/>
      <top style="thin">
        <color theme="1"/>
      </top>
      <bottom/>
      <diagonal/>
    </border>
    <border>
      <left style="thin">
        <color indexed="64"/>
      </left>
      <right style="thin">
        <color theme="1"/>
      </right>
      <top style="thin">
        <color theme="1"/>
      </top>
      <bottom/>
      <diagonal/>
    </border>
    <border>
      <left style="hair">
        <color theme="0" tint="-0.34998626667073579"/>
      </left>
      <right/>
      <top style="thin">
        <color auto="1"/>
      </top>
      <bottom/>
      <diagonal/>
    </border>
    <border>
      <left style="thick">
        <color rgb="FFFF0000"/>
      </left>
      <right style="thick">
        <color rgb="FFFF0000"/>
      </right>
      <top style="thin">
        <color auto="1"/>
      </top>
      <bottom style="thick">
        <color rgb="FFFF0000"/>
      </bottom>
      <diagonal/>
    </border>
    <border>
      <left style="thick">
        <color rgb="FFFF0000"/>
      </left>
      <right style="thin">
        <color theme="0" tint="-0.34998626667073579"/>
      </right>
      <top style="thin">
        <color auto="1"/>
      </top>
      <bottom/>
      <diagonal/>
    </border>
    <border>
      <left style="thin">
        <color theme="1"/>
      </left>
      <right/>
      <top style="thin">
        <color auto="1"/>
      </top>
      <bottom/>
      <diagonal/>
    </border>
    <border>
      <left style="thick">
        <color rgb="FFFF0000"/>
      </left>
      <right style="thick">
        <color rgb="FFFF0000"/>
      </right>
      <top style="thick">
        <color rgb="FFFF0000"/>
      </top>
      <bottom style="thin">
        <color auto="1"/>
      </bottom>
      <diagonal/>
    </border>
    <border>
      <left style="thin">
        <color theme="1"/>
      </left>
      <right/>
      <top style="thin">
        <color theme="1"/>
      </top>
      <bottom style="thin">
        <color auto="1"/>
      </bottom>
      <diagonal/>
    </border>
    <border>
      <left style="thin">
        <color auto="1"/>
      </left>
      <right style="thin">
        <color theme="0" tint="-0.34998626667073579"/>
      </right>
      <top style="thin">
        <color auto="1"/>
      </top>
      <bottom style="thin">
        <color theme="1"/>
      </bottom>
      <diagonal/>
    </border>
    <border>
      <left style="thin">
        <color theme="1"/>
      </left>
      <right/>
      <top style="thin">
        <color indexed="64"/>
      </top>
      <bottom style="thin">
        <color auto="1"/>
      </bottom>
      <diagonal/>
    </border>
    <border>
      <left style="thin">
        <color theme="1"/>
      </left>
      <right style="thin">
        <color auto="1"/>
      </right>
      <top style="thin">
        <color indexed="64"/>
      </top>
      <bottom/>
      <diagonal/>
    </border>
    <border>
      <left style="thin">
        <color theme="1"/>
      </left>
      <right style="thin">
        <color auto="1"/>
      </right>
      <top/>
      <bottom style="thin">
        <color theme="1"/>
      </bottom>
      <diagonal/>
    </border>
    <border>
      <left style="thin">
        <color theme="1"/>
      </left>
      <right style="thin">
        <color auto="1"/>
      </right>
      <top style="thin">
        <color auto="1"/>
      </top>
      <bottom style="thin">
        <color theme="1"/>
      </bottom>
      <diagonal/>
    </border>
    <border>
      <left style="thin">
        <color auto="1"/>
      </left>
      <right/>
      <top/>
      <bottom style="thin">
        <color theme="1"/>
      </bottom>
      <diagonal/>
    </border>
    <border>
      <left style="thin">
        <color auto="1"/>
      </left>
      <right style="thin">
        <color auto="1"/>
      </right>
      <top/>
      <bottom style="thin">
        <color theme="1"/>
      </bottom>
      <diagonal/>
    </border>
    <border>
      <left style="thin">
        <color theme="1"/>
      </left>
      <right style="thin">
        <color auto="1"/>
      </right>
      <top style="thin">
        <color auto="1"/>
      </top>
      <bottom style="thin">
        <color auto="1"/>
      </bottom>
      <diagonal/>
    </border>
    <border>
      <left style="thin">
        <color theme="0" tint="-0.34998626667073579"/>
      </left>
      <right style="dashed">
        <color theme="0" tint="-0.34998626667073579"/>
      </right>
      <top style="thin">
        <color indexed="64"/>
      </top>
      <bottom style="thin">
        <color indexed="64"/>
      </bottom>
      <diagonal/>
    </border>
    <border>
      <left style="dashed">
        <color theme="0" tint="-0.34998626667073579"/>
      </left>
      <right style="dashed">
        <color theme="0" tint="-0.34998626667073579"/>
      </right>
      <top style="thin">
        <color indexed="64"/>
      </top>
      <bottom style="thin">
        <color indexed="64"/>
      </bottom>
      <diagonal/>
    </border>
    <border>
      <left style="dashed">
        <color theme="0" tint="-0.34998626667073579"/>
      </left>
      <right/>
      <top style="thin">
        <color indexed="64"/>
      </top>
      <bottom style="thin">
        <color indexed="64"/>
      </bottom>
      <diagonal/>
    </border>
    <border>
      <left style="thin">
        <color indexed="64"/>
      </left>
      <right style="thin">
        <color indexed="64"/>
      </right>
      <top style="hair">
        <color theme="0" tint="-0.34998626667073579"/>
      </top>
      <bottom/>
      <diagonal/>
    </border>
    <border>
      <left style="thin">
        <color rgb="FF000000"/>
      </left>
      <right style="thin">
        <color rgb="FF000000"/>
      </right>
      <top style="thin">
        <color rgb="FF000000"/>
      </top>
      <bottom style="thin">
        <color rgb="FF000000"/>
      </bottom>
      <diagonal/>
    </border>
    <border>
      <left/>
      <right style="dashed">
        <color theme="0" tint="-0.34998626667073579"/>
      </right>
      <top style="thin">
        <color indexed="64"/>
      </top>
      <bottom style="dashed">
        <color theme="0" tint="-0.34998626667073579"/>
      </bottom>
      <diagonal/>
    </border>
    <border>
      <left style="dashed">
        <color theme="0" tint="-0.34998626667073579"/>
      </left>
      <right style="dashed">
        <color theme="0" tint="-0.34998626667073579"/>
      </right>
      <top style="thin">
        <color indexed="64"/>
      </top>
      <bottom style="dashed">
        <color theme="0" tint="-0.34998626667073579"/>
      </bottom>
      <diagonal/>
    </border>
    <border>
      <left style="dashed">
        <color theme="0" tint="-0.34998626667073579"/>
      </left>
      <right/>
      <top style="thin">
        <color indexed="64"/>
      </top>
      <bottom style="dashed">
        <color theme="0" tint="-0.34998626667073579"/>
      </bottom>
      <diagonal/>
    </border>
    <border>
      <left style="dashed">
        <color theme="0" tint="-0.34998626667073579"/>
      </left>
      <right style="dashed">
        <color theme="0" tint="-0.34998626667073579"/>
      </right>
      <top style="thin">
        <color theme="1"/>
      </top>
      <bottom style="thick">
        <color rgb="FFFF0000"/>
      </bottom>
      <diagonal/>
    </border>
    <border>
      <left style="dashed">
        <color theme="0" tint="-0.34998626667073579"/>
      </left>
      <right style="dashed">
        <color theme="0" tint="-0.34998626667073579"/>
      </right>
      <top/>
      <bottom style="dashed">
        <color theme="0" tint="-0.34998626667073579"/>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top style="dashed">
        <color theme="0" tint="-0.34998626667073579"/>
      </top>
      <bottom style="dashed">
        <color theme="0" tint="-0.34998626667073579"/>
      </bottom>
      <diagonal/>
    </border>
    <border>
      <left style="thick">
        <color rgb="FFFF0000"/>
      </left>
      <right style="thick">
        <color rgb="FFFF0000"/>
      </right>
      <top/>
      <bottom style="dashed">
        <color theme="0" tint="-0.499984740745262"/>
      </bottom>
      <diagonal/>
    </border>
    <border>
      <left/>
      <right style="dashed">
        <color theme="0" tint="-0.34998626667073579"/>
      </right>
      <top style="dashed">
        <color theme="0" tint="-0.34998626667073579"/>
      </top>
      <bottom style="dashed">
        <color theme="0" tint="-0.34998626667073579"/>
      </bottom>
      <diagonal/>
    </border>
    <border>
      <left style="thick">
        <color rgb="FFFF0000"/>
      </left>
      <right style="thick">
        <color rgb="FFFF0000"/>
      </right>
      <top style="dashed">
        <color theme="0" tint="-0.499984740745262"/>
      </top>
      <bottom style="dashed">
        <color theme="0" tint="-0.499984740745262"/>
      </bottom>
      <diagonal/>
    </border>
    <border>
      <left style="dashed">
        <color theme="0" tint="-0.34998626667073579"/>
      </left>
      <right style="dashed">
        <color theme="0" tint="-0.34998626667073579"/>
      </right>
      <top style="dashed">
        <color theme="0" tint="-0.34998626667073579"/>
      </top>
      <bottom/>
      <diagonal/>
    </border>
    <border>
      <left style="dashed">
        <color theme="0" tint="-0.34998626667073579"/>
      </left>
      <right/>
      <top style="dashed">
        <color theme="0" tint="-0.34998626667073579"/>
      </top>
      <bottom/>
      <diagonal/>
    </border>
    <border>
      <left style="thick">
        <color rgb="FFFF0000"/>
      </left>
      <right style="thick">
        <color rgb="FFFF0000"/>
      </right>
      <top style="dashed">
        <color theme="0" tint="-0.499984740745262"/>
      </top>
      <bottom style="thick">
        <color rgb="FFFF0000"/>
      </bottom>
      <diagonal/>
    </border>
    <border>
      <left/>
      <right style="dashed">
        <color theme="0" tint="-0.34998626667073579"/>
      </right>
      <top style="dashed">
        <color theme="0" tint="-0.34998626667073579"/>
      </top>
      <bottom/>
      <diagonal/>
    </border>
    <border>
      <left style="thick">
        <color rgb="FFFF0000"/>
      </left>
      <right style="thick">
        <color rgb="FFFF0000"/>
      </right>
      <top style="thick">
        <color rgb="FFFF0000"/>
      </top>
      <bottom style="dashed">
        <color theme="0" tint="-0.34998626667073579"/>
      </bottom>
      <diagonal/>
    </border>
    <border>
      <left style="thick">
        <color rgb="FFFF0000"/>
      </left>
      <right style="thick">
        <color rgb="FFFF0000"/>
      </right>
      <top style="dashed">
        <color theme="0" tint="-0.34998626667073579"/>
      </top>
      <bottom style="thick">
        <color rgb="FFFF0000"/>
      </bottom>
      <diagonal/>
    </border>
    <border>
      <left style="thick">
        <color rgb="FFFF0000"/>
      </left>
      <right style="thick">
        <color rgb="FFFF0000"/>
      </right>
      <top style="dashed">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thin">
        <color auto="1"/>
      </bottom>
      <diagonal/>
    </border>
    <border>
      <left style="dashed">
        <color theme="0" tint="-0.34998626667073579"/>
      </left>
      <right/>
      <top style="dashed">
        <color theme="0" tint="-0.34998626667073579"/>
      </top>
      <bottom style="thin">
        <color auto="1"/>
      </bottom>
      <diagonal/>
    </border>
    <border>
      <left/>
      <right style="dashed">
        <color theme="0" tint="-0.34998626667073579"/>
      </right>
      <top style="dashed">
        <color theme="0" tint="-0.34998626667073579"/>
      </top>
      <bottom style="thin">
        <color indexed="64"/>
      </bottom>
      <diagonal/>
    </border>
    <border>
      <left style="hair">
        <color indexed="64"/>
      </left>
      <right/>
      <top style="thin">
        <color indexed="64"/>
      </top>
      <bottom style="double">
        <color indexed="64"/>
      </bottom>
      <diagonal/>
    </border>
    <border>
      <left style="hair">
        <color indexed="64"/>
      </left>
      <right/>
      <top style="thin">
        <color indexed="64"/>
      </top>
      <bottom style="hair">
        <color indexed="64"/>
      </bottom>
      <diagonal/>
    </border>
    <border>
      <left style="medium">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hair">
        <color indexed="64"/>
      </top>
      <bottom style="hair">
        <color indexed="64"/>
      </bottom>
      <diagonal/>
    </border>
    <border>
      <left style="medium">
        <color indexed="64"/>
      </left>
      <right style="medium">
        <color indexed="64"/>
      </right>
      <top/>
      <bottom style="medium">
        <color indexed="64"/>
      </bottom>
      <diagonal/>
    </border>
    <border>
      <left style="thin">
        <color theme="0" tint="-0.34998626667073579"/>
      </left>
      <right style="dotted">
        <color theme="0" tint="-0.34998626667073579"/>
      </right>
      <top style="thin">
        <color indexed="64"/>
      </top>
      <bottom style="hair">
        <color auto="1"/>
      </bottom>
      <diagonal/>
    </border>
    <border>
      <left style="dotted">
        <color theme="0" tint="-0.34998626667073579"/>
      </left>
      <right style="dotted">
        <color theme="0" tint="-0.34998626667073579"/>
      </right>
      <top style="thin">
        <color indexed="64"/>
      </top>
      <bottom style="hair">
        <color auto="1"/>
      </bottom>
      <diagonal/>
    </border>
    <border>
      <left style="thin">
        <color theme="0" tint="-0.34998626667073579"/>
      </left>
      <right style="dotted">
        <color theme="0" tint="-0.34998626667073579"/>
      </right>
      <top style="hair">
        <color auto="1"/>
      </top>
      <bottom style="hair">
        <color auto="1"/>
      </bottom>
      <diagonal/>
    </border>
    <border>
      <left style="dotted">
        <color theme="0" tint="-0.34998626667073579"/>
      </left>
      <right style="dotted">
        <color theme="0" tint="-0.34998626667073579"/>
      </right>
      <top style="hair">
        <color auto="1"/>
      </top>
      <bottom style="hair">
        <color auto="1"/>
      </bottom>
      <diagonal/>
    </border>
    <border>
      <left style="thin">
        <color theme="0" tint="-0.34998626667073579"/>
      </left>
      <right style="dotted">
        <color theme="0" tint="-0.34998626667073579"/>
      </right>
      <top style="hair">
        <color auto="1"/>
      </top>
      <bottom style="thin">
        <color indexed="64"/>
      </bottom>
      <diagonal/>
    </border>
    <border>
      <left style="dotted">
        <color theme="0" tint="-0.34998626667073579"/>
      </left>
      <right style="dotted">
        <color theme="0" tint="-0.34998626667073579"/>
      </right>
      <top style="hair">
        <color auto="1"/>
      </top>
      <bottom style="thin">
        <color indexed="64"/>
      </bottom>
      <diagonal/>
    </border>
    <border>
      <left style="thin">
        <color theme="0" tint="-0.34998626667073579"/>
      </left>
      <right style="dotted">
        <color theme="0" tint="-0.34998626667073579"/>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style="thin">
        <color indexed="64"/>
      </left>
      <right style="thin">
        <color indexed="64"/>
      </right>
      <top style="dotted">
        <color theme="0" tint="-0.34998626667073579"/>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double">
        <color indexed="64"/>
      </bottom>
      <diagonal/>
    </border>
    <border>
      <left/>
      <right style="medium">
        <color indexed="64"/>
      </right>
      <top/>
      <bottom style="medium">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style="thin">
        <color indexed="64"/>
      </right>
      <top/>
      <bottom style="dotted">
        <color theme="0" tint="-0.34998626667073579"/>
      </bottom>
      <diagonal/>
    </border>
    <border>
      <left style="thin">
        <color theme="0" tint="-0.34998626667073579"/>
      </left>
      <right style="thin">
        <color indexed="64"/>
      </right>
      <top style="thin">
        <color indexed="64"/>
      </top>
      <bottom style="thin">
        <color theme="0" tint="-0.499984740745262"/>
      </bottom>
      <diagonal/>
    </border>
    <border diagonalDown="1">
      <left/>
      <right style="thin">
        <color indexed="64"/>
      </right>
      <top style="thin">
        <color indexed="64"/>
      </top>
      <bottom style="thin">
        <color indexed="64"/>
      </bottom>
      <diagonal style="thin">
        <color indexed="64"/>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dashed">
        <color rgb="FF000000"/>
      </right>
      <top style="thin">
        <color rgb="FF000000"/>
      </top>
      <bottom style="dashed">
        <color rgb="FF000000"/>
      </bottom>
      <diagonal/>
    </border>
    <border>
      <left style="dashed">
        <color rgb="FF000000"/>
      </left>
      <right style="dashed">
        <color rgb="FF000000"/>
      </right>
      <top style="thin">
        <color rgb="FF000000"/>
      </top>
      <bottom style="dashed">
        <color rgb="FF000000"/>
      </bottom>
      <diagonal/>
    </border>
    <border>
      <left style="dashed">
        <color rgb="FF000000"/>
      </left>
      <right/>
      <top style="thin">
        <color rgb="FF000000"/>
      </top>
      <bottom style="dashed">
        <color rgb="FF000000"/>
      </bottom>
      <diagonal/>
    </border>
    <border>
      <left style="thin">
        <color rgb="FF000000"/>
      </left>
      <right style="dashed">
        <color rgb="FF000000"/>
      </right>
      <top/>
      <bottom style="dashed">
        <color rgb="FF000000"/>
      </bottom>
      <diagonal/>
    </border>
    <border>
      <left style="dashed">
        <color rgb="FF000000"/>
      </left>
      <right style="dashed">
        <color rgb="FF000000"/>
      </right>
      <top/>
      <bottom style="dashed">
        <color rgb="FF000000"/>
      </bottom>
      <diagonal/>
    </border>
    <border>
      <left style="dashed">
        <color rgb="FF000000"/>
      </left>
      <right style="thin">
        <color rgb="FF000000"/>
      </right>
      <top/>
      <bottom style="dashed">
        <color rgb="FF000000"/>
      </bottom>
      <diagonal/>
    </border>
    <border>
      <left style="thin">
        <color rgb="FF000000"/>
      </left>
      <right style="dashed">
        <color rgb="FF000000"/>
      </right>
      <top style="dashed">
        <color rgb="FF000000"/>
      </top>
      <bottom/>
      <diagonal/>
    </border>
    <border>
      <left style="dashed">
        <color rgb="FF000000"/>
      </left>
      <right style="dashed">
        <color rgb="FF000000"/>
      </right>
      <top style="dashed">
        <color rgb="FF000000"/>
      </top>
      <bottom/>
      <diagonal/>
    </border>
    <border>
      <left style="dashed">
        <color rgb="FF000000"/>
      </left>
      <right/>
      <top style="dashed">
        <color rgb="FF000000"/>
      </top>
      <bottom/>
      <diagonal/>
    </border>
    <border>
      <left style="dashed">
        <color rgb="FF000000"/>
      </left>
      <right style="thin">
        <color rgb="FF000000"/>
      </right>
      <top style="dashed">
        <color rgb="FF000000"/>
      </top>
      <bottom/>
      <diagonal/>
    </border>
    <border>
      <left style="thin">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dashed">
        <color rgb="FF000000"/>
      </right>
      <top/>
      <bottom style="thin">
        <color rgb="FF000000"/>
      </bottom>
      <diagonal/>
    </border>
    <border>
      <left style="dashed">
        <color rgb="FF000000"/>
      </left>
      <right style="dashed">
        <color rgb="FF000000"/>
      </right>
      <top/>
      <bottom style="thin">
        <color rgb="FF000000"/>
      </bottom>
      <diagonal/>
    </border>
    <border>
      <left style="dashed">
        <color rgb="FF000000"/>
      </left>
      <right/>
      <top/>
      <bottom style="thin">
        <color rgb="FF000000"/>
      </bottom>
      <diagonal/>
    </border>
    <border>
      <left style="dashed">
        <color rgb="FF000000"/>
      </left>
      <right style="thin">
        <color rgb="FF000000"/>
      </right>
      <top style="thin">
        <color rgb="FF000000"/>
      </top>
      <bottom style="thin">
        <color rgb="FF000000"/>
      </bottom>
      <diagonal/>
    </border>
    <border>
      <left style="thin">
        <color rgb="FF000000"/>
      </left>
      <right style="dashed">
        <color rgb="FF000000"/>
      </right>
      <top style="dashed">
        <color rgb="FF000000"/>
      </top>
      <bottom style="dashed">
        <color rgb="FF000000"/>
      </bottom>
      <diagonal/>
    </border>
    <border>
      <left style="dashed">
        <color rgb="FF000000"/>
      </left>
      <right style="dashed">
        <color rgb="FF000000"/>
      </right>
      <top style="dashed">
        <color rgb="FF000000"/>
      </top>
      <bottom style="dashed">
        <color rgb="FF000000"/>
      </bottom>
      <diagonal/>
    </border>
    <border>
      <left style="dashed">
        <color rgb="FF000000"/>
      </left>
      <right/>
      <top style="dashed">
        <color rgb="FF000000"/>
      </top>
      <bottom style="dashed">
        <color rgb="FF000000"/>
      </bottom>
      <diagonal/>
    </border>
    <border>
      <left style="dashed">
        <color rgb="FF000000"/>
      </left>
      <right style="thin">
        <color rgb="FF000000"/>
      </right>
      <top style="dashed">
        <color rgb="FF000000"/>
      </top>
      <bottom style="dashed">
        <color rgb="FF000000"/>
      </bottom>
      <diagonal/>
    </border>
    <border>
      <left style="thin">
        <color rgb="FF000000"/>
      </left>
      <right style="dashed">
        <color rgb="FF000000"/>
      </right>
      <top style="dashed">
        <color rgb="FF000000"/>
      </top>
      <bottom style="thin">
        <color rgb="FF000000"/>
      </bottom>
      <diagonal/>
    </border>
    <border>
      <left style="dashed">
        <color rgb="FF000000"/>
      </left>
      <right style="dashed">
        <color rgb="FF000000"/>
      </right>
      <top style="dashed">
        <color rgb="FF000000"/>
      </top>
      <bottom style="thin">
        <color rgb="FF000000"/>
      </bottom>
      <diagonal/>
    </border>
    <border>
      <left/>
      <right style="dashed">
        <color rgb="FF000000"/>
      </right>
      <top style="dashed">
        <color rgb="FF000000"/>
      </top>
      <bottom style="thin">
        <color rgb="FF000000"/>
      </bottom>
      <diagonal/>
    </border>
    <border>
      <left style="dashed">
        <color rgb="FF000000"/>
      </left>
      <right/>
      <top style="dashed">
        <color rgb="FF000000"/>
      </top>
      <bottom style="thin">
        <color rgb="FF000000"/>
      </bottom>
      <diagonal/>
    </border>
    <border>
      <left style="dashed">
        <color rgb="FF000000"/>
      </left>
      <right style="dashed">
        <color rgb="FF000000"/>
      </right>
      <top style="dashed">
        <color rgb="FF000000"/>
      </top>
      <bottom style="thin">
        <color indexed="64"/>
      </bottom>
      <diagonal/>
    </border>
    <border>
      <left style="dashed">
        <color rgb="FF000000"/>
      </left>
      <right style="thin">
        <color rgb="FF000000"/>
      </right>
      <top style="dashed">
        <color rgb="FF000000"/>
      </top>
      <bottom style="thin">
        <color rgb="FF000000"/>
      </bottom>
      <diagonal/>
    </border>
    <border>
      <left/>
      <right style="dashed">
        <color rgb="FF000000"/>
      </right>
      <top/>
      <bottom style="dashed">
        <color rgb="FF000000"/>
      </bottom>
      <diagonal/>
    </border>
    <border>
      <left style="dashed">
        <color rgb="FF000000"/>
      </left>
      <right/>
      <top/>
      <bottom style="dashed">
        <color rgb="FF000000"/>
      </bottom>
      <diagonal/>
    </border>
    <border>
      <left/>
      <right style="dashed">
        <color rgb="FF000000"/>
      </right>
      <top style="dashed">
        <color rgb="FF000000"/>
      </top>
      <bottom style="dashed">
        <color rgb="FF000000"/>
      </bottom>
      <diagonal/>
    </border>
    <border>
      <left style="thin">
        <color auto="1"/>
      </left>
      <right style="thin">
        <color auto="1"/>
      </right>
      <top style="dashed">
        <color auto="1"/>
      </top>
      <bottom style="thin">
        <color auto="1"/>
      </bottom>
      <diagonal/>
    </border>
    <border>
      <left/>
      <right style="thin">
        <color auto="1"/>
      </right>
      <top style="dashed">
        <color auto="1"/>
      </top>
      <bottom style="thin">
        <color auto="1"/>
      </bottom>
      <diagonal/>
    </border>
    <border>
      <left style="thin">
        <color theme="0" tint="-0.499984740745262"/>
      </left>
      <right style="thin">
        <color theme="0" tint="-0.499984740745262"/>
      </right>
      <top/>
      <bottom/>
      <diagonal/>
    </border>
    <border>
      <left style="thin">
        <color theme="0" tint="-0.499984740745262"/>
      </left>
      <right/>
      <top/>
      <bottom/>
      <diagonal/>
    </border>
    <border>
      <left/>
      <right/>
      <top/>
      <bottom style="thin">
        <color theme="0" tint="-0.499984740745262"/>
      </bottom>
      <diagonal/>
    </border>
    <border>
      <left style="medium">
        <color auto="1"/>
      </left>
      <right style="medium">
        <color auto="1"/>
      </right>
      <top style="medium">
        <color auto="1"/>
      </top>
      <bottom style="medium">
        <color auto="1"/>
      </bottom>
      <diagonal/>
    </border>
    <border>
      <left style="medium">
        <color indexed="64"/>
      </left>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style="thin">
        <color indexed="64"/>
      </right>
      <top style="medium">
        <color indexed="64"/>
      </top>
      <bottom/>
      <diagonal/>
    </border>
    <border>
      <left/>
      <right/>
      <top style="dotted">
        <color auto="1"/>
      </top>
      <bottom style="thin">
        <color auto="1"/>
      </bottom>
      <diagonal/>
    </border>
    <border>
      <left style="thin">
        <color indexed="64"/>
      </left>
      <right style="thick">
        <color indexed="64"/>
      </right>
      <top style="hair">
        <color indexed="64"/>
      </top>
      <bottom style="thin">
        <color indexed="64"/>
      </bottom>
      <diagonal/>
    </border>
    <border>
      <left/>
      <right/>
      <top style="medium">
        <color indexed="64"/>
      </top>
      <bottom style="dotted">
        <color auto="1"/>
      </bottom>
      <diagonal/>
    </border>
    <border>
      <left style="thin">
        <color indexed="64"/>
      </left>
      <right/>
      <top style="medium">
        <color indexed="64"/>
      </top>
      <bottom/>
      <diagonal/>
    </border>
    <border>
      <left/>
      <right/>
      <top/>
      <bottom style="thick">
        <color indexed="64"/>
      </bottom>
      <diagonal/>
    </border>
    <border>
      <left/>
      <right style="thin">
        <color theme="0" tint="-0.34998626667073579"/>
      </right>
      <top/>
      <bottom/>
      <diagonal/>
    </border>
    <border>
      <left style="thin">
        <color theme="0" tint="-0.34998626667073579"/>
      </left>
      <right style="hair">
        <color theme="0" tint="-0.34998626667073579"/>
      </right>
      <top/>
      <bottom/>
      <diagonal/>
    </border>
    <border>
      <left style="hair">
        <color theme="0" tint="-0.34998626667073579"/>
      </left>
      <right style="hair">
        <color theme="0" tint="-0.34998626667073579"/>
      </right>
      <top/>
      <bottom/>
      <diagonal/>
    </border>
    <border>
      <left style="hair">
        <color theme="0" tint="-0.34998626667073579"/>
      </left>
      <right style="thin">
        <color theme="0" tint="-0.34998626667073579"/>
      </right>
      <top/>
      <bottom/>
      <diagonal/>
    </border>
    <border>
      <left style="thick">
        <color rgb="FFFF0000"/>
      </left>
      <right style="thick">
        <color rgb="FFFF0000"/>
      </right>
      <top style="thin">
        <color auto="1"/>
      </top>
      <bottom/>
      <diagonal/>
    </border>
    <border>
      <left style="thin">
        <color auto="1"/>
      </left>
      <right/>
      <top/>
      <bottom style="dashed">
        <color theme="1"/>
      </bottom>
      <diagonal/>
    </border>
    <border>
      <left/>
      <right/>
      <top/>
      <bottom style="dashed">
        <color theme="1"/>
      </bottom>
      <diagonal/>
    </border>
    <border>
      <left style="thin">
        <color theme="0" tint="-0.34998626667073579"/>
      </left>
      <right style="thin">
        <color theme="0" tint="-0.34998626667073579"/>
      </right>
      <top/>
      <bottom style="dashed">
        <color theme="1"/>
      </bottom>
      <diagonal/>
    </border>
    <border>
      <left style="thin">
        <color theme="0" tint="-0.34998626667073579"/>
      </left>
      <right style="hair">
        <color theme="0" tint="-0.34998626667073579"/>
      </right>
      <top/>
      <bottom style="dashed">
        <color theme="1"/>
      </bottom>
      <diagonal/>
    </border>
    <border>
      <left style="hair">
        <color theme="0" tint="-0.34998626667073579"/>
      </left>
      <right style="hair">
        <color theme="0" tint="-0.34998626667073579"/>
      </right>
      <top/>
      <bottom style="dashed">
        <color theme="1"/>
      </bottom>
      <diagonal/>
    </border>
    <border>
      <left style="hair">
        <color theme="0" tint="-0.34998626667073579"/>
      </left>
      <right style="thin">
        <color theme="0" tint="-0.34998626667073579"/>
      </right>
      <top/>
      <bottom style="dashed">
        <color theme="1"/>
      </bottom>
      <diagonal/>
    </border>
    <border>
      <left/>
      <right style="thin">
        <color theme="0" tint="-0.34998626667073579"/>
      </right>
      <top/>
      <bottom style="dashed">
        <color theme="1"/>
      </bottom>
      <diagonal/>
    </border>
    <border>
      <left style="hair">
        <color theme="0" tint="-0.34998626667073579"/>
      </left>
      <right/>
      <top/>
      <bottom style="dashed">
        <color theme="1"/>
      </bottom>
      <diagonal/>
    </border>
    <border>
      <left style="thick">
        <color rgb="FFFF0000"/>
      </left>
      <right style="thick">
        <color rgb="FFFF0000"/>
      </right>
      <top/>
      <bottom style="thick">
        <color rgb="FFFF0000"/>
      </bottom>
      <diagonal/>
    </border>
    <border>
      <left style="thin">
        <color theme="0" tint="-0.34998626667073579"/>
      </left>
      <right style="dotted">
        <color theme="0" tint="-0.34998626667073579"/>
      </right>
      <top/>
      <bottom style="dashed">
        <color theme="1"/>
      </bottom>
      <diagonal/>
    </border>
    <border>
      <left style="dotted">
        <color theme="0" tint="-0.34998626667073579"/>
      </left>
      <right style="dotted">
        <color theme="0" tint="-0.34998626667073579"/>
      </right>
      <top/>
      <bottom style="dashed">
        <color theme="1"/>
      </bottom>
      <diagonal/>
    </border>
    <border>
      <left style="dotted">
        <color theme="0" tint="-0.34998626667073579"/>
      </left>
      <right style="thin">
        <color indexed="64"/>
      </right>
      <top/>
      <bottom style="dashed">
        <color theme="1"/>
      </bottom>
      <diagonal/>
    </border>
    <border>
      <left style="thin">
        <color auto="1"/>
      </left>
      <right style="thin">
        <color theme="0" tint="-0.34998626667073579"/>
      </right>
      <top/>
      <bottom style="dashed">
        <color theme="1"/>
      </bottom>
      <diagonal/>
    </border>
    <border>
      <left style="thin">
        <color theme="1"/>
      </left>
      <right/>
      <top/>
      <bottom style="dashed">
        <color theme="1"/>
      </bottom>
      <diagonal/>
    </border>
    <border>
      <left/>
      <right style="thin">
        <color indexed="64"/>
      </right>
      <top/>
      <bottom style="dashed">
        <color theme="1"/>
      </bottom>
      <diagonal/>
    </border>
    <border>
      <left/>
      <right style="hair">
        <color theme="0" tint="-0.34998626667073579"/>
      </right>
      <top style="thin">
        <color auto="1"/>
      </top>
      <bottom style="thin">
        <color auto="1"/>
      </bottom>
      <diagonal/>
    </border>
    <border>
      <left style="hair">
        <color theme="0" tint="-0.34998626667073579"/>
      </left>
      <right/>
      <top style="thin">
        <color auto="1"/>
      </top>
      <bottom style="thin">
        <color auto="1"/>
      </bottom>
      <diagonal/>
    </border>
    <border>
      <left style="thin">
        <color auto="1"/>
      </left>
      <right/>
      <top style="thin">
        <color auto="1"/>
      </top>
      <bottom style="dashed">
        <color theme="1"/>
      </bottom>
      <diagonal/>
    </border>
    <border>
      <left style="thin">
        <color indexed="64"/>
      </left>
      <right/>
      <top style="hair">
        <color theme="0" tint="-0.34998626667073579"/>
      </top>
      <bottom style="thin">
        <color indexed="64"/>
      </bottom>
      <diagonal/>
    </border>
    <border>
      <left style="thin">
        <color theme="0" tint="-0.34998626667073579"/>
      </left>
      <right/>
      <top style="hair">
        <color theme="0" tint="-0.34998626667073579"/>
      </top>
      <bottom style="thin">
        <color indexed="64"/>
      </bottom>
      <diagonal/>
    </border>
    <border>
      <left/>
      <right style="thin">
        <color theme="0" tint="-0.34998626667073579"/>
      </right>
      <top style="hair">
        <color theme="0" tint="-0.34998626667073579"/>
      </top>
      <bottom style="thin">
        <color indexed="64"/>
      </bottom>
      <diagonal/>
    </border>
    <border>
      <left/>
      <right/>
      <top style="hair">
        <color theme="0" tint="-0.34998626667073579"/>
      </top>
      <bottom style="thin">
        <color indexed="64"/>
      </bottom>
      <diagonal/>
    </border>
    <border>
      <left style="thin">
        <color theme="0" tint="-0.34998626667073579"/>
      </left>
      <right style="thin">
        <color theme="0" tint="-0.34998626667073579"/>
      </right>
      <top style="hair">
        <color theme="0" tint="-0.34998626667073579"/>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auto="1"/>
      </left>
      <right style="thin">
        <color auto="1"/>
      </right>
      <top style="thin">
        <color indexed="64"/>
      </top>
      <bottom style="dashed">
        <color indexed="64"/>
      </bottom>
      <diagonal/>
    </border>
    <border>
      <left/>
      <right style="thin">
        <color indexed="64"/>
      </right>
      <top style="thin">
        <color indexed="64"/>
      </top>
      <bottom style="dashed">
        <color indexed="64"/>
      </bottom>
      <diagonal/>
    </border>
    <border>
      <left/>
      <right/>
      <top style="dotted">
        <color theme="0" tint="-0.34998626667073579"/>
      </top>
      <bottom style="dotted">
        <color theme="0" tint="-0.34998626667073579"/>
      </bottom>
      <diagonal/>
    </border>
    <border>
      <left style="thin">
        <color indexed="64"/>
      </left>
      <right style="thin">
        <color indexed="64"/>
      </right>
      <top style="dotted">
        <color theme="0" tint="-0.34998626667073579"/>
      </top>
      <bottom style="dotted">
        <color theme="0" tint="-0.34998626667073579"/>
      </bottom>
      <diagonal/>
    </border>
    <border>
      <left/>
      <right style="thin">
        <color auto="1"/>
      </right>
      <top style="dotted">
        <color theme="0" tint="-0.34998626667073579"/>
      </top>
      <bottom style="dotted">
        <color theme="0" tint="-0.34998626667073579"/>
      </bottom>
      <diagonal/>
    </border>
    <border>
      <left/>
      <right style="thin">
        <color indexed="64"/>
      </right>
      <top style="dashed">
        <color indexed="64"/>
      </top>
      <bottom style="dashed">
        <color indexed="64"/>
      </bottom>
      <diagonal/>
    </border>
    <border>
      <left style="thin">
        <color indexed="64"/>
      </left>
      <right style="thin">
        <color theme="0" tint="-0.34998626667073579"/>
      </right>
      <top style="thin">
        <color indexed="64"/>
      </top>
      <bottom style="dotted">
        <color indexed="64"/>
      </bottom>
      <diagonal/>
    </border>
    <border>
      <left style="thin">
        <color theme="0" tint="-0.34998626667073579"/>
      </left>
      <right/>
      <top style="thin">
        <color indexed="64"/>
      </top>
      <bottom style="dotted">
        <color indexed="64"/>
      </bottom>
      <diagonal/>
    </border>
    <border>
      <left/>
      <right style="thin">
        <color theme="0" tint="-0.34998626667073579"/>
      </right>
      <top style="thin">
        <color indexed="64"/>
      </top>
      <bottom style="dotted">
        <color indexed="64"/>
      </bottom>
      <diagonal/>
    </border>
    <border>
      <left style="thin">
        <color theme="0" tint="-0.34998626667073579"/>
      </left>
      <right style="thin">
        <color theme="0" tint="-0.34998626667073579"/>
      </right>
      <top style="thin">
        <color indexed="64"/>
      </top>
      <bottom style="dotted">
        <color indexed="64"/>
      </bottom>
      <diagonal/>
    </border>
    <border>
      <left style="thin">
        <color indexed="64"/>
      </left>
      <right style="thin">
        <color theme="0" tint="-0.34998626667073579"/>
      </right>
      <top style="dotted">
        <color indexed="64"/>
      </top>
      <bottom style="thin">
        <color indexed="64"/>
      </bottom>
      <diagonal/>
    </border>
    <border>
      <left style="thin">
        <color theme="0" tint="-0.34998626667073579"/>
      </left>
      <right/>
      <top style="dotted">
        <color indexed="64"/>
      </top>
      <bottom style="thin">
        <color indexed="64"/>
      </bottom>
      <diagonal/>
    </border>
    <border>
      <left/>
      <right style="thin">
        <color theme="0" tint="-0.34998626667073579"/>
      </right>
      <top style="dotted">
        <color indexed="64"/>
      </top>
      <bottom style="thin">
        <color indexed="64"/>
      </bottom>
      <diagonal/>
    </border>
    <border>
      <left style="thin">
        <color theme="0" tint="-0.34998626667073579"/>
      </left>
      <right style="thin">
        <color theme="0" tint="-0.34998626667073579"/>
      </right>
      <top style="dotted">
        <color indexed="64"/>
      </top>
      <bottom style="thin">
        <color indexed="64"/>
      </bottom>
      <diagonal/>
    </border>
    <border>
      <left style="thin">
        <color indexed="64"/>
      </left>
      <right style="thin">
        <color theme="0" tint="-0.34998626667073579"/>
      </right>
      <top style="dotted">
        <color indexed="64"/>
      </top>
      <bottom style="dotted">
        <color indexed="64"/>
      </bottom>
      <diagonal/>
    </border>
    <border>
      <left style="thin">
        <color theme="0" tint="-0.34998626667073579"/>
      </left>
      <right/>
      <top style="dotted">
        <color indexed="64"/>
      </top>
      <bottom style="dotted">
        <color indexed="64"/>
      </bottom>
      <diagonal/>
    </border>
    <border>
      <left/>
      <right style="thin">
        <color theme="0" tint="-0.34998626667073579"/>
      </right>
      <top style="dotted">
        <color indexed="64"/>
      </top>
      <bottom style="dotted">
        <color indexed="64"/>
      </bottom>
      <diagonal/>
    </border>
    <border>
      <left/>
      <right/>
      <top style="dotted">
        <color indexed="64"/>
      </top>
      <bottom style="dotted">
        <color indexed="64"/>
      </bottom>
      <diagonal/>
    </border>
    <border>
      <left style="thin">
        <color theme="0" tint="-0.34998626667073579"/>
      </left>
      <right style="thin">
        <color theme="0" tint="-0.34998626667073579"/>
      </right>
      <top style="dotted">
        <color indexed="64"/>
      </top>
      <bottom style="dotted">
        <color indexed="64"/>
      </bottom>
      <diagonal/>
    </border>
    <border>
      <left style="thin">
        <color indexed="64"/>
      </left>
      <right style="thin">
        <color indexed="64"/>
      </right>
      <top style="dotted">
        <color theme="0" tint="-0.34998626667073579"/>
      </top>
      <bottom/>
      <diagonal/>
    </border>
    <border>
      <left/>
      <right/>
      <top style="dotted">
        <color theme="0" tint="-0.34998626667073579"/>
      </top>
      <bottom/>
      <diagonal/>
    </border>
    <border>
      <left/>
      <right style="thin">
        <color theme="0" tint="-0.34998626667073579"/>
      </right>
      <top style="dotted">
        <color theme="0" tint="-0.34998626667073579"/>
      </top>
      <bottom/>
      <diagonal/>
    </border>
    <border>
      <left style="thin">
        <color theme="0" tint="-0.34998626667073579"/>
      </left>
      <right style="thin">
        <color theme="0" tint="-0.34998626667073579"/>
      </right>
      <top style="dotted">
        <color theme="0" tint="-0.34998626667073579"/>
      </top>
      <bottom style="dotted">
        <color theme="0" tint="-0.34998626667073579"/>
      </bottom>
      <diagonal/>
    </border>
    <border>
      <left style="thin">
        <color theme="0" tint="-0.34998626667073579"/>
      </left>
      <right/>
      <top style="dotted">
        <color theme="0" tint="-0.34998626667073579"/>
      </top>
      <bottom style="dotted">
        <color theme="0" tint="-0.34998626667073579"/>
      </bottom>
      <diagonal/>
    </border>
    <border>
      <left/>
      <right style="thin">
        <color theme="0" tint="-0.34998626667073579"/>
      </right>
      <top style="dotted">
        <color theme="0" tint="-0.34998626667073579"/>
      </top>
      <bottom style="dotted">
        <color theme="0" tint="-0.34998626667073579"/>
      </bottom>
      <diagonal/>
    </border>
    <border>
      <left style="thin">
        <color theme="0" tint="-0.34998626667073579"/>
      </left>
      <right/>
      <top/>
      <bottom style="hair">
        <color indexed="64"/>
      </bottom>
      <diagonal/>
    </border>
    <border>
      <left style="thin">
        <color indexed="64"/>
      </left>
      <right style="thin">
        <color indexed="64"/>
      </right>
      <top/>
      <bottom style="thin">
        <color theme="0" tint="-0.499984740745262"/>
      </bottom>
      <diagonal/>
    </border>
    <border>
      <left style="thin">
        <color indexed="64"/>
      </left>
      <right style="dotted">
        <color indexed="64"/>
      </right>
      <top style="thin">
        <color indexed="64"/>
      </top>
      <bottom/>
      <diagonal/>
    </border>
    <border>
      <left style="dotted">
        <color indexed="64"/>
      </left>
      <right style="thin">
        <color auto="1"/>
      </right>
      <top style="thin">
        <color indexed="64"/>
      </top>
      <bottom/>
      <diagonal/>
    </border>
    <border>
      <left style="thin">
        <color indexed="64"/>
      </left>
      <right style="dotted">
        <color indexed="64"/>
      </right>
      <top style="medium">
        <color indexed="64"/>
      </top>
      <bottom style="dotted">
        <color auto="1"/>
      </bottom>
      <diagonal/>
    </border>
    <border>
      <left style="dotted">
        <color indexed="64"/>
      </left>
      <right style="thin">
        <color auto="1"/>
      </right>
      <top style="medium">
        <color indexed="64"/>
      </top>
      <bottom style="dotted">
        <color auto="1"/>
      </bottom>
      <diagonal/>
    </border>
    <border>
      <left style="thin">
        <color indexed="64"/>
      </left>
      <right style="dotted">
        <color indexed="64"/>
      </right>
      <top style="dotted">
        <color auto="1"/>
      </top>
      <bottom style="dotted">
        <color auto="1"/>
      </bottom>
      <diagonal/>
    </border>
    <border>
      <left style="dotted">
        <color indexed="64"/>
      </left>
      <right style="thin">
        <color auto="1"/>
      </right>
      <top style="dotted">
        <color auto="1"/>
      </top>
      <bottom style="dotted">
        <color auto="1"/>
      </bottom>
      <diagonal/>
    </border>
    <border>
      <left style="thin">
        <color indexed="64"/>
      </left>
      <right style="dotted">
        <color indexed="64"/>
      </right>
      <top style="dotted">
        <color auto="1"/>
      </top>
      <bottom/>
      <diagonal/>
    </border>
    <border>
      <left style="dotted">
        <color indexed="64"/>
      </left>
      <right style="thin">
        <color auto="1"/>
      </right>
      <top style="dotted">
        <color auto="1"/>
      </top>
      <bottom/>
      <diagonal/>
    </border>
    <border>
      <left style="thin">
        <color indexed="64"/>
      </left>
      <right style="dotted">
        <color indexed="64"/>
      </right>
      <top style="thin">
        <color auto="1"/>
      </top>
      <bottom style="dotted">
        <color auto="1"/>
      </bottom>
      <diagonal/>
    </border>
    <border>
      <left style="dotted">
        <color indexed="64"/>
      </left>
      <right style="thin">
        <color auto="1"/>
      </right>
      <top style="thin">
        <color auto="1"/>
      </top>
      <bottom style="dotted">
        <color auto="1"/>
      </bottom>
      <diagonal/>
    </border>
    <border>
      <left style="thin">
        <color indexed="64"/>
      </left>
      <right style="dotted">
        <color indexed="64"/>
      </right>
      <top style="dotted">
        <color auto="1"/>
      </top>
      <bottom style="medium">
        <color indexed="64"/>
      </bottom>
      <diagonal/>
    </border>
    <border>
      <left style="dotted">
        <color indexed="64"/>
      </left>
      <right style="thin">
        <color auto="1"/>
      </right>
      <top style="dotted">
        <color auto="1"/>
      </top>
      <bottom style="medium">
        <color indexed="64"/>
      </bottom>
      <diagonal/>
    </border>
    <border diagonalDown="1">
      <left style="thin">
        <color indexed="64"/>
      </left>
      <right style="dotted">
        <color indexed="64"/>
      </right>
      <top style="dotted">
        <color auto="1"/>
      </top>
      <bottom style="thin">
        <color auto="1"/>
      </bottom>
      <diagonal style="hair">
        <color auto="1"/>
      </diagonal>
    </border>
    <border diagonalDown="1">
      <left style="dotted">
        <color indexed="64"/>
      </left>
      <right style="thin">
        <color auto="1"/>
      </right>
      <top style="dotted">
        <color auto="1"/>
      </top>
      <bottom style="thin">
        <color auto="1"/>
      </bottom>
      <diagonal style="hair">
        <color auto="1"/>
      </diagonal>
    </border>
    <border>
      <left style="thin">
        <color indexed="64"/>
      </left>
      <right style="dotted">
        <color indexed="64"/>
      </right>
      <top/>
      <bottom style="dotted">
        <color auto="1"/>
      </bottom>
      <diagonal/>
    </border>
    <border>
      <left style="dotted">
        <color indexed="64"/>
      </left>
      <right style="thin">
        <color auto="1"/>
      </right>
      <top/>
      <bottom style="dotted">
        <color auto="1"/>
      </bottom>
      <diagonal/>
    </border>
    <border>
      <left style="thin">
        <color indexed="64"/>
      </left>
      <right style="dotted">
        <color indexed="64"/>
      </right>
      <top style="dotted">
        <color auto="1"/>
      </top>
      <bottom style="thin">
        <color auto="1"/>
      </bottom>
      <diagonal/>
    </border>
    <border>
      <left style="dotted">
        <color indexed="64"/>
      </left>
      <right style="thin">
        <color auto="1"/>
      </right>
      <top style="dotted">
        <color auto="1"/>
      </top>
      <bottom style="thin">
        <color auto="1"/>
      </bottom>
      <diagonal/>
    </border>
    <border>
      <left style="thin">
        <color indexed="64"/>
      </left>
      <right style="dotted">
        <color indexed="64"/>
      </right>
      <top/>
      <bottom style="thin">
        <color auto="1"/>
      </bottom>
      <diagonal/>
    </border>
    <border>
      <left style="dotted">
        <color indexed="64"/>
      </left>
      <right style="thin">
        <color auto="1"/>
      </right>
      <top/>
      <bottom style="thin">
        <color auto="1"/>
      </bottom>
      <diagonal/>
    </border>
    <border diagonalDown="1">
      <left style="thin">
        <color indexed="64"/>
      </left>
      <right style="dotted">
        <color indexed="64"/>
      </right>
      <top style="dotted">
        <color auto="1"/>
      </top>
      <bottom/>
      <diagonal style="hair">
        <color auto="1"/>
      </diagonal>
    </border>
    <border diagonalDown="1">
      <left style="dotted">
        <color indexed="64"/>
      </left>
      <right style="thin">
        <color auto="1"/>
      </right>
      <top style="dotted">
        <color auto="1"/>
      </top>
      <bottom/>
      <diagonal style="hair">
        <color auto="1"/>
      </diagonal>
    </border>
    <border>
      <left style="thin">
        <color indexed="64"/>
      </left>
      <right style="dotted">
        <color indexed="64"/>
      </right>
      <top style="thick">
        <color indexed="64"/>
      </top>
      <bottom style="dotted">
        <color auto="1"/>
      </bottom>
      <diagonal/>
    </border>
    <border>
      <left style="dotted">
        <color indexed="64"/>
      </left>
      <right style="thin">
        <color auto="1"/>
      </right>
      <top style="thick">
        <color indexed="64"/>
      </top>
      <bottom style="dotted">
        <color auto="1"/>
      </bottom>
      <diagonal/>
    </border>
    <border>
      <left style="thin">
        <color indexed="64"/>
      </left>
      <right style="dotted">
        <color indexed="64"/>
      </right>
      <top style="dotted">
        <color auto="1"/>
      </top>
      <bottom style="thick">
        <color indexed="64"/>
      </bottom>
      <diagonal/>
    </border>
    <border>
      <left style="dotted">
        <color indexed="64"/>
      </left>
      <right style="thin">
        <color auto="1"/>
      </right>
      <top style="dotted">
        <color auto="1"/>
      </top>
      <bottom style="thick">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bottom style="thick">
        <color indexed="64"/>
      </bottom>
      <diagonal/>
    </border>
    <border>
      <left/>
      <right style="thick">
        <color rgb="FFFF0000"/>
      </right>
      <top style="thin">
        <color theme="0" tint="-0.499984740745262"/>
      </top>
      <bottom/>
      <diagonal/>
    </border>
    <border>
      <left/>
      <right style="dashed">
        <color theme="0" tint="-0.499984740745262"/>
      </right>
      <top style="dashed">
        <color theme="0" tint="-0.499984740745262"/>
      </top>
      <bottom style="dashed">
        <color theme="0" tint="-0.499984740745262"/>
      </bottom>
      <diagonal/>
    </border>
    <border>
      <left style="dashed">
        <color theme="0" tint="-0.499984740745262"/>
      </left>
      <right/>
      <top style="dashed">
        <color theme="0" tint="-0.499984740745262"/>
      </top>
      <bottom style="dashed">
        <color theme="0" tint="-0.499984740745262"/>
      </bottom>
      <diagonal/>
    </border>
    <border>
      <left/>
      <right/>
      <top style="dashed">
        <color theme="0" tint="-0.499984740745262"/>
      </top>
      <bottom style="dashed">
        <color theme="0" tint="-0.499984740745262"/>
      </bottom>
      <diagonal/>
    </border>
    <border>
      <left style="dashed">
        <color theme="0" tint="-0.34998626667073579"/>
      </left>
      <right style="dashed">
        <color theme="0" tint="-0.34998626667073579"/>
      </right>
      <top style="thin">
        <color theme="0" tint="-0.34998626667073579"/>
      </top>
      <bottom style="dashed">
        <color theme="0" tint="-0.34998626667073579"/>
      </bottom>
      <diagonal/>
    </border>
    <border>
      <left style="dashed">
        <color theme="0" tint="-0.499984740745262"/>
      </left>
      <right style="thin">
        <color theme="0" tint="-0.499984740745262"/>
      </right>
      <top style="dashed">
        <color theme="0" tint="-0.499984740745262"/>
      </top>
      <bottom style="dashed">
        <color theme="0" tint="-0.499984740745262"/>
      </bottom>
      <diagonal/>
    </border>
    <border>
      <left style="thick">
        <color rgb="FFFF0000"/>
      </left>
      <right style="thick">
        <color rgb="FFFF0000"/>
      </right>
      <top/>
      <bottom/>
      <diagonal/>
    </border>
    <border>
      <left/>
      <right style="dashed">
        <color theme="0" tint="-0.499984740745262"/>
      </right>
      <top style="thin">
        <color theme="0" tint="-0.499984740745262"/>
      </top>
      <bottom style="dashed">
        <color theme="0" tint="-0.499984740745262"/>
      </bottom>
      <diagonal/>
    </border>
    <border>
      <left/>
      <right style="dashed">
        <color theme="0" tint="-0.499984740745262"/>
      </right>
      <top style="dashed">
        <color theme="0" tint="-0.499984740745262"/>
      </top>
      <bottom/>
      <diagonal/>
    </border>
    <border>
      <left/>
      <right/>
      <top/>
      <bottom style="dashed">
        <color theme="0" tint="-0.499984740745262"/>
      </bottom>
      <diagonal/>
    </border>
    <border>
      <left/>
      <right style="dashed">
        <color theme="0" tint="-0.499984740745262"/>
      </right>
      <top style="dashed">
        <color theme="0" tint="-0.34998626667073579"/>
      </top>
      <bottom style="dashed">
        <color theme="0" tint="-0.499984740745262"/>
      </bottom>
      <diagonal/>
    </border>
    <border>
      <left style="dashed">
        <color theme="0" tint="-0.499984740745262"/>
      </left>
      <right/>
      <top style="dashed">
        <color theme="0" tint="-0.34998626667073579"/>
      </top>
      <bottom style="dashed">
        <color theme="0" tint="-0.499984740745262"/>
      </bottom>
      <diagonal/>
    </border>
    <border>
      <left/>
      <right/>
      <top style="dashed">
        <color theme="0" tint="-0.34998626667073579"/>
      </top>
      <bottom style="dashed">
        <color theme="0" tint="-0.499984740745262"/>
      </bottom>
      <diagonal/>
    </border>
    <border>
      <left style="dashed">
        <color theme="0" tint="-0.499984740745262"/>
      </left>
      <right style="thin">
        <color theme="0" tint="-0.34998626667073579"/>
      </right>
      <top style="thin">
        <color theme="0" tint="-0.34998626667073579"/>
      </top>
      <bottom style="dashed">
        <color theme="0" tint="-0.499984740745262"/>
      </bottom>
      <diagonal/>
    </border>
    <border>
      <left/>
      <right style="dashed">
        <color theme="0" tint="-0.499984740745262"/>
      </right>
      <top style="dashed">
        <color theme="0" tint="-0.499984740745262"/>
      </top>
      <bottom style="dashed">
        <color theme="0" tint="-0.34998626667073579"/>
      </bottom>
      <diagonal/>
    </border>
    <border>
      <left/>
      <right/>
      <top style="dashed">
        <color theme="0" tint="-0.499984740745262"/>
      </top>
      <bottom style="dashed">
        <color theme="0" tint="-0.34998626667073579"/>
      </bottom>
      <diagonal/>
    </border>
    <border>
      <left/>
      <right style="thin">
        <color theme="0" tint="-0.34998626667073579"/>
      </right>
      <top style="dashed">
        <color theme="0" tint="-0.499984740745262"/>
      </top>
      <bottom style="dashed">
        <color theme="0" tint="-0.34998626667073579"/>
      </bottom>
      <diagonal/>
    </border>
    <border>
      <left style="dashed">
        <color theme="0" tint="-0.499984740745262"/>
      </left>
      <right/>
      <top style="dashed">
        <color theme="0" tint="-0.499984740745262"/>
      </top>
      <bottom/>
      <diagonal/>
    </border>
    <border>
      <left/>
      <right/>
      <top style="dashed">
        <color theme="0" tint="-0.499984740745262"/>
      </top>
      <bottom/>
      <diagonal/>
    </border>
    <border>
      <left style="thin">
        <color theme="0" tint="-0.499984740745262"/>
      </left>
      <right/>
      <top/>
      <bottom style="dashed">
        <color theme="0" tint="-0.499984740745262"/>
      </bottom>
      <diagonal/>
    </border>
    <border>
      <left/>
      <right style="thick">
        <color rgb="FFFF0000"/>
      </right>
      <top/>
      <bottom style="dashed">
        <color theme="0" tint="-0.499984740745262"/>
      </bottom>
      <diagonal/>
    </border>
    <border>
      <left style="thin">
        <color theme="0" tint="-0.499984740745262"/>
      </left>
      <right/>
      <top style="dashed">
        <color theme="0" tint="-0.499984740745262"/>
      </top>
      <bottom style="dashed">
        <color theme="0" tint="-0.499984740745262"/>
      </bottom>
      <diagonal/>
    </border>
    <border>
      <left style="thick">
        <color rgb="FFFF0000"/>
      </left>
      <right style="thick">
        <color rgb="FFFF0000"/>
      </right>
      <top/>
      <bottom style="dashed">
        <color theme="0" tint="-0.34998626667073579"/>
      </bottom>
      <diagonal/>
    </border>
    <border>
      <left style="dashed">
        <color theme="0" tint="-0.499984740745262"/>
      </left>
      <right style="dashed">
        <color theme="0" tint="-0.499984740745262"/>
      </right>
      <top/>
      <bottom style="dashed">
        <color theme="0" tint="-0.499984740745262"/>
      </bottom>
      <diagonal/>
    </border>
    <border>
      <left style="dashed">
        <color theme="0" tint="-0.499984740745262"/>
      </left>
      <right style="dashed">
        <color theme="0" tint="-0.499984740745262"/>
      </right>
      <top style="dashed">
        <color theme="0" tint="-0.499984740745262"/>
      </top>
      <bottom style="dashed">
        <color theme="0" tint="-0.499984740745262"/>
      </bottom>
      <diagonal/>
    </border>
    <border>
      <left style="thin">
        <color theme="0" tint="-0.499984740745262"/>
      </left>
      <right/>
      <top style="dashed">
        <color theme="0" tint="-0.499984740745262"/>
      </top>
      <bottom style="thin">
        <color theme="0" tint="-0.499984740745262"/>
      </bottom>
      <diagonal/>
    </border>
    <border>
      <left/>
      <right/>
      <top style="dashed">
        <color theme="0" tint="-0.499984740745262"/>
      </top>
      <bottom style="thin">
        <color theme="0" tint="-0.499984740745262"/>
      </bottom>
      <diagonal/>
    </border>
    <border>
      <left/>
      <right style="dashed">
        <color theme="0" tint="-0.499984740745262"/>
      </right>
      <top style="dashed">
        <color theme="0" tint="-0.499984740745262"/>
      </top>
      <bottom style="thin">
        <color theme="0" tint="-0.499984740745262"/>
      </bottom>
      <diagonal/>
    </border>
    <border>
      <left style="dashed">
        <color theme="0" tint="-0.499984740745262"/>
      </left>
      <right/>
      <top style="dashed">
        <color theme="0" tint="-0.499984740745262"/>
      </top>
      <bottom style="thin">
        <color theme="0" tint="-0.499984740745262"/>
      </bottom>
      <diagonal/>
    </border>
    <border>
      <left style="dashed">
        <color theme="0" tint="-0.34998626667073579"/>
      </left>
      <right style="dashed">
        <color theme="0" tint="-0.34998626667073579"/>
      </right>
      <top style="dashed">
        <color theme="0" tint="-0.34998626667073579"/>
      </top>
      <bottom style="thin">
        <color theme="0" tint="-0.34998626667073579"/>
      </bottom>
      <diagonal/>
    </border>
    <border>
      <left style="dashed">
        <color theme="0" tint="-0.499984740745262"/>
      </left>
      <right style="thin">
        <color theme="0" tint="-0.499984740745262"/>
      </right>
      <top style="dashed">
        <color theme="0" tint="-0.499984740745262"/>
      </top>
      <bottom style="thin">
        <color theme="0" tint="-0.499984740745262"/>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dashed">
        <color theme="0" tint="-0.499984740745262"/>
      </right>
      <top style="thin">
        <color theme="0" tint="-0.34998626667073579"/>
      </top>
      <bottom style="thin">
        <color theme="0" tint="-0.34998626667073579"/>
      </bottom>
      <diagonal/>
    </border>
    <border>
      <left style="dashed">
        <color theme="0" tint="-0.499984740745262"/>
      </left>
      <right style="dashed">
        <color theme="0" tint="-0.499984740745262"/>
      </right>
      <top style="dashed">
        <color theme="0" tint="-0.499984740745262"/>
      </top>
      <bottom style="thin">
        <color theme="0" tint="-0.34998626667073579"/>
      </bottom>
      <diagonal/>
    </border>
    <border>
      <left style="dashed">
        <color theme="0" tint="-0.499984740745262"/>
      </left>
      <right style="dashed">
        <color theme="0" tint="-0.499984740745262"/>
      </right>
      <top style="thin">
        <color theme="0" tint="-0.34998626667073579"/>
      </top>
      <bottom style="thin">
        <color theme="0" tint="-0.34998626667073579"/>
      </bottom>
      <diagonal/>
    </border>
    <border>
      <left style="dashed">
        <color theme="0" tint="-0.499984740745262"/>
      </left>
      <right/>
      <top style="dashed">
        <color theme="0" tint="-0.499984740745262"/>
      </top>
      <bottom style="thin">
        <color theme="0" tint="-0.34998626667073579"/>
      </bottom>
      <diagonal/>
    </border>
    <border>
      <left/>
      <right style="dashed">
        <color theme="0" tint="-0.499984740745262"/>
      </right>
      <top style="dashed">
        <color theme="0" tint="-0.499984740745262"/>
      </top>
      <bottom style="thin">
        <color theme="0" tint="-0.34998626667073579"/>
      </bottom>
      <diagonal/>
    </border>
    <border>
      <left style="dashed">
        <color theme="0" tint="-0.499984740745262"/>
      </left>
      <right style="thin">
        <color theme="0" tint="-0.34998626667073579"/>
      </right>
      <top style="dashed">
        <color theme="0" tint="-0.499984740745262"/>
      </top>
      <bottom style="thin">
        <color theme="0" tint="-0.34998626667073579"/>
      </bottom>
      <diagonal/>
    </border>
    <border>
      <left style="thick">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thin">
        <color auto="1"/>
      </right>
      <top style="thin">
        <color indexed="64"/>
      </top>
      <bottom style="medium">
        <color indexed="64"/>
      </bottom>
      <diagonal/>
    </border>
    <border>
      <left/>
      <right style="thin">
        <color indexed="64"/>
      </right>
      <top style="thin">
        <color indexed="64"/>
      </top>
      <bottom style="medium">
        <color indexed="64"/>
      </bottom>
      <diagonal/>
    </border>
    <border>
      <left style="dotted">
        <color indexed="64"/>
      </left>
      <right style="thick">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dotted">
        <color indexed="64"/>
      </left>
      <right/>
      <top style="thin">
        <color auto="1"/>
      </top>
      <bottom style="dotted">
        <color auto="1"/>
      </bottom>
      <diagonal/>
    </border>
    <border>
      <left style="dotted">
        <color indexed="64"/>
      </left>
      <right/>
      <top style="dotted">
        <color auto="1"/>
      </top>
      <bottom style="thin">
        <color auto="1"/>
      </bottom>
      <diagonal/>
    </border>
    <border>
      <left style="thin">
        <color auto="1"/>
      </left>
      <right style="medium">
        <color indexed="64"/>
      </right>
      <top style="dotted">
        <color auto="1"/>
      </top>
      <bottom style="thin">
        <color auto="1"/>
      </bottom>
      <diagonal/>
    </border>
    <border>
      <left/>
      <right style="thin">
        <color indexed="64"/>
      </right>
      <top style="dotted">
        <color indexed="64"/>
      </top>
      <bottom style="dotted">
        <color indexed="64"/>
      </bottom>
      <diagonal/>
    </border>
    <border>
      <left style="dotted">
        <color indexed="64"/>
      </left>
      <right/>
      <top style="dotted">
        <color auto="1"/>
      </top>
      <bottom style="dotted">
        <color auto="1"/>
      </bottom>
      <diagonal/>
    </border>
    <border>
      <left style="dotted">
        <color indexed="64"/>
      </left>
      <right/>
      <top/>
      <bottom style="dotted">
        <color auto="1"/>
      </bottom>
      <diagonal/>
    </border>
    <border>
      <left style="thin">
        <color indexed="64"/>
      </left>
      <right style="medium">
        <color indexed="64"/>
      </right>
      <top/>
      <bottom style="dotted">
        <color indexed="64"/>
      </bottom>
      <diagonal/>
    </border>
    <border>
      <left style="dotted">
        <color indexed="64"/>
      </left>
      <right/>
      <top/>
      <bottom style="thin">
        <color auto="1"/>
      </bottom>
      <diagonal/>
    </border>
    <border>
      <left style="thin">
        <color indexed="64"/>
      </left>
      <right style="dotted">
        <color indexed="64"/>
      </right>
      <top/>
      <bottom/>
      <diagonal/>
    </border>
    <border>
      <left style="dotted">
        <color indexed="64"/>
      </left>
      <right style="thin">
        <color auto="1"/>
      </right>
      <top/>
      <bottom/>
      <diagonal/>
    </border>
    <border>
      <left style="dotted">
        <color indexed="64"/>
      </left>
      <right/>
      <top/>
      <bottom/>
      <diagonal/>
    </border>
    <border>
      <left style="thin">
        <color auto="1"/>
      </left>
      <right style="medium">
        <color indexed="64"/>
      </right>
      <top style="dotted">
        <color auto="1"/>
      </top>
      <bottom style="dotted">
        <color auto="1"/>
      </bottom>
      <diagonal/>
    </border>
    <border>
      <left style="thin">
        <color indexed="64"/>
      </left>
      <right style="dotted">
        <color indexed="64"/>
      </right>
      <top/>
      <bottom style="medium">
        <color indexed="64"/>
      </bottom>
      <diagonal/>
    </border>
    <border>
      <left style="dotted">
        <color indexed="64"/>
      </left>
      <right style="thin">
        <color auto="1"/>
      </right>
      <top/>
      <bottom style="medium">
        <color indexed="64"/>
      </bottom>
      <diagonal/>
    </border>
    <border>
      <left style="dotted">
        <color indexed="64"/>
      </left>
      <right/>
      <top/>
      <bottom style="medium">
        <color indexed="64"/>
      </bottom>
      <diagonal/>
    </border>
    <border>
      <left style="thin">
        <color auto="1"/>
      </left>
      <right style="medium">
        <color indexed="64"/>
      </right>
      <top style="dotted">
        <color auto="1"/>
      </top>
      <bottom style="medium">
        <color indexed="64"/>
      </bottom>
      <diagonal/>
    </border>
    <border>
      <left style="dotted">
        <color indexed="64"/>
      </left>
      <right/>
      <top style="medium">
        <color indexed="64"/>
      </top>
      <bottom style="dotted">
        <color auto="1"/>
      </bottom>
      <diagonal/>
    </border>
    <border>
      <left style="thin">
        <color auto="1"/>
      </left>
      <right style="medium">
        <color indexed="64"/>
      </right>
      <top style="medium">
        <color indexed="64"/>
      </top>
      <bottom style="dotted">
        <color auto="1"/>
      </bottom>
      <diagonal/>
    </border>
    <border>
      <left style="medium">
        <color indexed="64"/>
      </left>
      <right style="thin">
        <color indexed="64"/>
      </right>
      <top/>
      <bottom style="dotted">
        <color indexed="64"/>
      </bottom>
      <diagonal/>
    </border>
    <border>
      <left style="dotted">
        <color indexed="64"/>
      </left>
      <right/>
      <top style="dotted">
        <color auto="1"/>
      </top>
      <bottom style="medium">
        <color indexed="64"/>
      </bottom>
      <diagonal/>
    </border>
    <border>
      <left style="thin">
        <color auto="1"/>
      </left>
      <right style="thin">
        <color auto="1"/>
      </right>
      <top style="double">
        <color indexed="64"/>
      </top>
      <bottom style="thick">
        <color indexed="64"/>
      </bottom>
      <diagonal/>
    </border>
    <border>
      <left/>
      <right/>
      <top/>
      <bottom style="hair">
        <color auto="1"/>
      </bottom>
      <diagonal/>
    </border>
    <border>
      <left style="thin">
        <color auto="1"/>
      </left>
      <right style="thin">
        <color theme="0" tint="-0.34998626667073579"/>
      </right>
      <top style="hair">
        <color indexed="64"/>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theme="0" tint="-0.34998626667073579"/>
      </left>
      <right/>
      <top/>
      <bottom style="double">
        <color indexed="64"/>
      </bottom>
      <diagonal/>
    </border>
    <border>
      <left style="thin">
        <color theme="0" tint="-0.34998626667073579"/>
      </left>
      <right style="hair">
        <color theme="0" tint="-0.34998626667073579"/>
      </right>
      <top/>
      <bottom style="double">
        <color indexed="64"/>
      </bottom>
      <diagonal/>
    </border>
    <border>
      <left style="hair">
        <color theme="0" tint="-0.34998626667073579"/>
      </left>
      <right style="hair">
        <color theme="0" tint="-0.34998626667073579"/>
      </right>
      <top/>
      <bottom style="double">
        <color indexed="64"/>
      </bottom>
      <diagonal/>
    </border>
    <border>
      <left style="hair">
        <color theme="0" tint="-0.34998626667073579"/>
      </left>
      <right style="thin">
        <color theme="0" tint="-0.34998626667073579"/>
      </right>
      <top/>
      <bottom style="double">
        <color indexed="64"/>
      </bottom>
      <diagonal/>
    </border>
    <border>
      <left/>
      <right style="dashed">
        <color theme="0" tint="-0.499984740745262"/>
      </right>
      <top/>
      <bottom style="thin">
        <color theme="0" tint="-0.34998626667073579"/>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ck">
        <color rgb="FFFF0000"/>
      </right>
      <top style="double">
        <color indexed="64"/>
      </top>
      <bottom/>
      <diagonal/>
    </border>
    <border>
      <left style="thin">
        <color indexed="64"/>
      </left>
      <right style="thick">
        <color rgb="FFFF0000"/>
      </right>
      <top/>
      <bottom/>
      <diagonal/>
    </border>
    <border>
      <left style="thick">
        <color rgb="FFFF0000"/>
      </left>
      <right style="thick">
        <color rgb="FFFF0000"/>
      </right>
      <top style="thin">
        <color indexed="64"/>
      </top>
      <bottom style="thin">
        <color indexed="64"/>
      </bottom>
      <diagonal/>
    </border>
    <border>
      <left style="hair">
        <color indexed="64"/>
      </left>
      <right style="thin">
        <color indexed="64"/>
      </right>
      <top/>
      <bottom/>
      <diagonal/>
    </border>
    <border>
      <left style="thin">
        <color indexed="64"/>
      </left>
      <right style="thick">
        <color rgb="FFFF0000"/>
      </right>
      <top/>
      <bottom style="thin">
        <color indexed="64"/>
      </bottom>
      <diagonal/>
    </border>
    <border>
      <left/>
      <right/>
      <top style="dotted">
        <color auto="1"/>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dotted">
        <color auto="1"/>
      </top>
      <bottom style="dotted">
        <color indexed="64"/>
      </bottom>
      <diagonal/>
    </border>
    <border>
      <left style="thick">
        <color auto="1"/>
      </left>
      <right style="thick">
        <color auto="1"/>
      </right>
      <top/>
      <bottom/>
      <diagonal/>
    </border>
    <border>
      <left style="hair">
        <color auto="1"/>
      </left>
      <right style="thick">
        <color auto="1"/>
      </right>
      <top/>
      <bottom/>
      <diagonal/>
    </border>
    <border>
      <left style="hair">
        <color auto="1"/>
      </left>
      <right style="hair">
        <color auto="1"/>
      </right>
      <top/>
      <bottom/>
      <diagonal/>
    </border>
    <border>
      <left style="hair">
        <color auto="1"/>
      </left>
      <right style="thick">
        <color auto="1"/>
      </right>
      <top style="medium">
        <color auto="1"/>
      </top>
      <bottom/>
      <diagonal/>
    </border>
    <border>
      <left style="hair">
        <color auto="1"/>
      </left>
      <right style="hair">
        <color auto="1"/>
      </right>
      <top style="medium">
        <color auto="1"/>
      </top>
      <bottom/>
      <diagonal/>
    </border>
    <border>
      <left/>
      <right style="thick">
        <color auto="1"/>
      </right>
      <top style="medium">
        <color auto="1"/>
      </top>
      <bottom/>
      <diagonal/>
    </border>
    <border>
      <left style="thick">
        <color auto="1"/>
      </left>
      <right style="thick">
        <color auto="1"/>
      </right>
      <top style="medium">
        <color auto="1"/>
      </top>
      <bottom/>
      <diagonal/>
    </border>
    <border>
      <left style="hair">
        <color auto="1"/>
      </left>
      <right style="thick">
        <color auto="1"/>
      </right>
      <top style="thin">
        <color auto="1"/>
      </top>
      <bottom/>
      <diagonal/>
    </border>
    <border>
      <left/>
      <right style="thick">
        <color auto="1"/>
      </right>
      <top style="thin">
        <color auto="1"/>
      </top>
      <bottom/>
      <diagonal/>
    </border>
    <border>
      <left style="thick">
        <color auto="1"/>
      </left>
      <right style="thick">
        <color auto="1"/>
      </right>
      <top style="thin">
        <color auto="1"/>
      </top>
      <bottom/>
      <diagonal/>
    </border>
    <border>
      <left style="thick">
        <color auto="1"/>
      </left>
      <right style="thick">
        <color auto="1"/>
      </right>
      <top/>
      <bottom style="thin">
        <color auto="1"/>
      </bottom>
      <diagonal/>
    </border>
    <border>
      <left style="hair">
        <color auto="1"/>
      </left>
      <right style="thick">
        <color auto="1"/>
      </right>
      <top/>
      <bottom style="thin">
        <color auto="1"/>
      </bottom>
      <diagonal/>
    </border>
    <border>
      <left/>
      <right style="thick">
        <color auto="1"/>
      </right>
      <top/>
      <bottom style="thin">
        <color auto="1"/>
      </bottom>
      <diagonal/>
    </border>
    <border>
      <left style="hair">
        <color auto="1"/>
      </left>
      <right style="thick">
        <color auto="1"/>
      </right>
      <top style="thin">
        <color indexed="64"/>
      </top>
      <bottom style="thin">
        <color indexed="64"/>
      </bottom>
      <diagonal/>
    </border>
    <border>
      <left style="hair">
        <color auto="1"/>
      </left>
      <right style="thick">
        <color auto="1"/>
      </right>
      <top style="thin">
        <color auto="1"/>
      </top>
      <bottom style="double">
        <color auto="1"/>
      </bottom>
      <diagonal/>
    </border>
    <border>
      <left/>
      <right/>
      <top style="double">
        <color auto="1"/>
      </top>
      <bottom/>
      <diagonal/>
    </border>
    <border>
      <left style="thick">
        <color auto="1"/>
      </left>
      <right/>
      <top style="double">
        <color auto="1"/>
      </top>
      <bottom/>
      <diagonal/>
    </border>
    <border>
      <left/>
      <right style="thick">
        <color auto="1"/>
      </right>
      <top style="double">
        <color auto="1"/>
      </top>
      <bottom/>
      <diagonal/>
    </border>
    <border>
      <left style="thick">
        <color auto="1"/>
      </left>
      <right style="thick">
        <color auto="1"/>
      </right>
      <top style="double">
        <color auto="1"/>
      </top>
      <bottom/>
      <diagonal/>
    </border>
    <border>
      <left style="thick">
        <color indexed="64"/>
      </left>
      <right style="hair">
        <color indexed="64"/>
      </right>
      <top style="thin">
        <color indexed="64"/>
      </top>
      <bottom style="double">
        <color auto="1"/>
      </bottom>
      <diagonal/>
    </border>
    <border>
      <left style="thick">
        <color auto="1"/>
      </left>
      <right style="thick">
        <color auto="1"/>
      </right>
      <top style="thin">
        <color auto="1"/>
      </top>
      <bottom style="thin">
        <color auto="1"/>
      </bottom>
      <diagonal/>
    </border>
    <border>
      <left style="thick">
        <color auto="1"/>
      </left>
      <right style="thick">
        <color auto="1"/>
      </right>
      <top/>
      <bottom style="thick">
        <color indexed="64"/>
      </bottom>
      <diagonal/>
    </border>
    <border>
      <left style="thick">
        <color indexed="64"/>
      </left>
      <right/>
      <top style="thick">
        <color indexed="64"/>
      </top>
      <bottom/>
      <diagonal/>
    </border>
    <border>
      <left style="thick">
        <color auto="1"/>
      </left>
      <right style="thick">
        <color indexed="64"/>
      </right>
      <top style="thick">
        <color indexed="64"/>
      </top>
      <bottom/>
      <diagonal/>
    </border>
    <border>
      <left style="hair">
        <color indexed="64"/>
      </left>
      <right style="hair">
        <color indexed="64"/>
      </right>
      <top/>
      <bottom style="thick">
        <color indexed="64"/>
      </bottom>
      <diagonal/>
    </border>
    <border>
      <left/>
      <right/>
      <top style="hair">
        <color auto="1"/>
      </top>
      <bottom/>
      <diagonal/>
    </border>
    <border>
      <left style="medium">
        <color indexed="64"/>
      </left>
      <right/>
      <top style="hair">
        <color auto="1"/>
      </top>
      <bottom/>
      <diagonal/>
    </border>
    <border>
      <left/>
      <right style="medium">
        <color indexed="64"/>
      </right>
      <top style="hair">
        <color auto="1"/>
      </top>
      <bottom/>
      <diagonal/>
    </border>
    <border>
      <left style="medium">
        <color indexed="64"/>
      </left>
      <right/>
      <top/>
      <bottom style="hair">
        <color auto="1"/>
      </bottom>
      <diagonal/>
    </border>
    <border>
      <left/>
      <right style="medium">
        <color indexed="64"/>
      </right>
      <top/>
      <bottom style="hair">
        <color auto="1"/>
      </bottom>
      <diagonal/>
    </border>
    <border>
      <left style="medium">
        <color indexed="64"/>
      </left>
      <right style="medium">
        <color indexed="64"/>
      </right>
      <top style="hair">
        <color auto="1"/>
      </top>
      <bottom/>
      <diagonal/>
    </border>
    <border>
      <left style="medium">
        <color indexed="64"/>
      </left>
      <right style="medium">
        <color indexed="64"/>
      </right>
      <top/>
      <bottom style="hair">
        <color auto="1"/>
      </bottom>
      <diagonal/>
    </border>
    <border>
      <left style="dotted">
        <color indexed="64"/>
      </left>
      <right style="dotted">
        <color indexed="64"/>
      </right>
      <top style="medium">
        <color indexed="64"/>
      </top>
      <bottom/>
      <diagonal/>
    </border>
    <border>
      <left style="dotted">
        <color indexed="64"/>
      </left>
      <right style="medium">
        <color indexed="64"/>
      </right>
      <top style="medium">
        <color indexed="64"/>
      </top>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dotted">
        <color indexed="64"/>
      </right>
      <top style="medium">
        <color indexed="64"/>
      </top>
      <bottom/>
      <diagonal/>
    </border>
    <border>
      <left/>
      <right style="dotted">
        <color indexed="64"/>
      </right>
      <top/>
      <bottom style="medium">
        <color indexed="64"/>
      </bottom>
      <diagonal/>
    </border>
    <border>
      <left/>
      <right style="dotted">
        <color indexed="64"/>
      </right>
      <top style="dotted">
        <color indexed="64"/>
      </top>
      <bottom/>
      <diagonal/>
    </border>
    <border>
      <left/>
      <right style="dotted">
        <color indexed="64"/>
      </right>
      <top/>
      <bottom style="dotted">
        <color indexed="64"/>
      </bottom>
      <diagonal/>
    </border>
    <border>
      <left style="thick">
        <color indexed="64"/>
      </left>
      <right style="thick">
        <color indexed="64"/>
      </right>
      <top style="dashed">
        <color indexed="64"/>
      </top>
      <bottom style="thick">
        <color indexed="64"/>
      </bottom>
      <diagonal/>
    </border>
    <border>
      <left style="thick">
        <color indexed="64"/>
      </left>
      <right/>
      <top style="dashed">
        <color indexed="64"/>
      </top>
      <bottom style="thick">
        <color indexed="64"/>
      </bottom>
      <diagonal/>
    </border>
    <border>
      <left/>
      <right/>
      <top style="dashed">
        <color indexed="64"/>
      </top>
      <bottom style="thick">
        <color indexed="64"/>
      </bottom>
      <diagonal/>
    </border>
    <border>
      <left/>
      <right style="thick">
        <color indexed="64"/>
      </right>
      <top style="dashed">
        <color indexed="64"/>
      </top>
      <bottom style="thick">
        <color indexed="64"/>
      </bottom>
      <diagonal/>
    </border>
    <border>
      <left/>
      <right/>
      <top/>
      <bottom style="double">
        <color rgb="FFEE0000"/>
      </bottom>
      <diagonal/>
    </border>
    <border>
      <left style="thin">
        <color indexed="64"/>
      </left>
      <right style="medium">
        <color indexed="64"/>
      </right>
      <top style="thin">
        <color indexed="64"/>
      </top>
      <bottom style="medium">
        <color indexed="64"/>
      </bottom>
      <diagonal/>
    </border>
    <border>
      <left style="hair">
        <color indexed="64"/>
      </left>
      <right/>
      <top/>
      <bottom/>
      <diagonal/>
    </border>
    <border>
      <left/>
      <right style="hair">
        <color indexed="64"/>
      </right>
      <top/>
      <bottom/>
      <diagonal/>
    </border>
    <border>
      <left style="hair">
        <color auto="1"/>
      </left>
      <right style="medium">
        <color auto="1"/>
      </right>
      <top/>
      <bottom/>
      <diagonal/>
    </border>
    <border>
      <left style="hair">
        <color auto="1"/>
      </left>
      <right style="medium">
        <color auto="1"/>
      </right>
      <top style="thin">
        <color indexed="64"/>
      </top>
      <bottom/>
      <diagonal/>
    </border>
    <border>
      <left style="hair">
        <color indexed="64"/>
      </left>
      <right/>
      <top/>
      <bottom style="medium">
        <color indexed="64"/>
      </bottom>
      <diagonal/>
    </border>
    <border>
      <left style="hair">
        <color auto="1"/>
      </left>
      <right/>
      <top style="medium">
        <color indexed="64"/>
      </top>
      <bottom/>
      <diagonal/>
    </border>
    <border>
      <left/>
      <right style="hair">
        <color indexed="64"/>
      </right>
      <top style="medium">
        <color indexed="64"/>
      </top>
      <bottom/>
      <diagonal/>
    </border>
    <border>
      <left style="hair">
        <color auto="1"/>
      </left>
      <right style="medium">
        <color auto="1"/>
      </right>
      <top style="medium">
        <color indexed="64"/>
      </top>
      <bottom/>
      <diagonal/>
    </border>
    <border>
      <left style="medium">
        <color indexed="64"/>
      </left>
      <right style="thin">
        <color auto="1"/>
      </right>
      <top style="thin">
        <color auto="1"/>
      </top>
      <bottom style="dotted">
        <color auto="1"/>
      </bottom>
      <diagonal/>
    </border>
    <border>
      <left style="dotted">
        <color indexed="64"/>
      </left>
      <right/>
      <top style="thin">
        <color indexed="64"/>
      </top>
      <bottom/>
      <diagonal/>
    </border>
    <border>
      <left style="thin">
        <color indexed="64"/>
      </left>
      <right/>
      <top style="medium">
        <color auto="1"/>
      </top>
      <bottom style="thin">
        <color auto="1"/>
      </bottom>
      <diagonal/>
    </border>
    <border>
      <left/>
      <right/>
      <top style="medium">
        <color auto="1"/>
      </top>
      <bottom style="thin">
        <color indexed="64"/>
      </bottom>
      <diagonal/>
    </border>
    <border>
      <left/>
      <right style="thin">
        <color auto="1"/>
      </right>
      <top style="medium">
        <color auto="1"/>
      </top>
      <bottom style="thin">
        <color indexed="64"/>
      </bottom>
      <diagonal/>
    </border>
    <border>
      <left style="thin">
        <color indexed="64"/>
      </left>
      <right style="hair">
        <color indexed="64"/>
      </right>
      <top style="medium">
        <color auto="1"/>
      </top>
      <bottom style="thin">
        <color indexed="64"/>
      </bottom>
      <diagonal/>
    </border>
    <border>
      <left style="hair">
        <color indexed="64"/>
      </left>
      <right style="hair">
        <color indexed="64"/>
      </right>
      <top style="medium">
        <color auto="1"/>
      </top>
      <bottom style="thin">
        <color indexed="64"/>
      </bottom>
      <diagonal/>
    </border>
    <border>
      <left style="hair">
        <color indexed="64"/>
      </left>
      <right style="thin">
        <color indexed="64"/>
      </right>
      <top style="medium">
        <color auto="1"/>
      </top>
      <bottom style="thin">
        <color indexed="64"/>
      </bottom>
      <diagonal/>
    </border>
    <border>
      <left style="medium">
        <color indexed="64"/>
      </left>
      <right/>
      <top style="medium">
        <color auto="1"/>
      </top>
      <bottom style="thin">
        <color indexed="64"/>
      </bottom>
      <diagonal/>
    </border>
    <border>
      <left/>
      <right style="medium">
        <color indexed="64"/>
      </right>
      <top style="medium">
        <color auto="1"/>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hair">
        <color indexed="64"/>
      </right>
      <top/>
      <bottom style="medium">
        <color indexed="64"/>
      </bottom>
      <diagonal/>
    </border>
    <border>
      <left style="hair">
        <color indexed="64"/>
      </left>
      <right style="hair">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theme="0" tint="-0.499984740745262"/>
      </right>
      <top style="medium">
        <color auto="1"/>
      </top>
      <bottom style="thin">
        <color theme="0" tint="-0.499984740745262"/>
      </bottom>
      <diagonal/>
    </border>
    <border>
      <left style="thin">
        <color theme="0" tint="-0.499984740745262"/>
      </left>
      <right style="thin">
        <color theme="0" tint="-0.499984740745262"/>
      </right>
      <top style="medium">
        <color auto="1"/>
      </top>
      <bottom style="thin">
        <color theme="0" tint="-0.499984740745262"/>
      </bottom>
      <diagonal/>
    </border>
    <border>
      <left style="thin">
        <color theme="0" tint="-0.499984740745262"/>
      </left>
      <right style="thin">
        <color theme="0" tint="-0.499984740745262"/>
      </right>
      <top style="medium">
        <color auto="1"/>
      </top>
      <bottom/>
      <diagonal/>
    </border>
    <border>
      <left style="thin">
        <color theme="0" tint="-0.499984740745262"/>
      </left>
      <right/>
      <top style="medium">
        <color auto="1"/>
      </top>
      <bottom style="thin">
        <color theme="0" tint="-0.499984740745262"/>
      </bottom>
      <diagonal/>
    </border>
    <border>
      <left style="thin">
        <color auto="1"/>
      </left>
      <right style="medium">
        <color auto="1"/>
      </right>
      <top style="medium">
        <color auto="1"/>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auto="1"/>
      </left>
      <right style="medium">
        <color auto="1"/>
      </right>
      <top style="thin">
        <color theme="0" tint="-0.499984740745262"/>
      </top>
      <bottom/>
      <diagonal/>
    </border>
    <border>
      <left style="medium">
        <color indexed="64"/>
      </left>
      <right style="thin">
        <color theme="0" tint="-0.499984740745262"/>
      </right>
      <top style="thin">
        <color theme="0" tint="-0.499984740745262"/>
      </top>
      <bottom/>
      <diagonal/>
    </border>
    <border>
      <left style="medium">
        <color auto="1"/>
      </left>
      <right style="dashed">
        <color theme="0" tint="-0.499984740745262"/>
      </right>
      <top style="medium">
        <color auto="1"/>
      </top>
      <bottom style="dashed">
        <color theme="0" tint="-0.499984740745262"/>
      </bottom>
      <diagonal/>
    </border>
    <border>
      <left style="dashed">
        <color theme="0" tint="-0.499984740745262"/>
      </left>
      <right style="dashed">
        <color theme="0" tint="-0.499984740745262"/>
      </right>
      <top style="medium">
        <color auto="1"/>
      </top>
      <bottom style="dashed">
        <color theme="0" tint="-0.499984740745262"/>
      </bottom>
      <diagonal/>
    </border>
    <border>
      <left style="dashed">
        <color theme="0" tint="-0.499984740745262"/>
      </left>
      <right style="dashed">
        <color theme="0" tint="-0.499984740745262"/>
      </right>
      <top style="medium">
        <color auto="1"/>
      </top>
      <bottom/>
      <diagonal/>
    </border>
    <border>
      <left style="dashed">
        <color theme="0" tint="-0.499984740745262"/>
      </left>
      <right/>
      <top style="medium">
        <color auto="1"/>
      </top>
      <bottom/>
      <diagonal/>
    </border>
    <border>
      <left style="thin">
        <color auto="1"/>
      </left>
      <right style="dashed">
        <color theme="0" tint="-0.499984740745262"/>
      </right>
      <top style="medium">
        <color auto="1"/>
      </top>
      <bottom style="dashed">
        <color theme="0" tint="-0.499984740745262"/>
      </bottom>
      <diagonal/>
    </border>
    <border>
      <left style="dashed">
        <color theme="0" tint="-0.499984740745262"/>
      </left>
      <right/>
      <top style="medium">
        <color auto="1"/>
      </top>
      <bottom style="dashed">
        <color theme="0" tint="-0.499984740745262"/>
      </bottom>
      <diagonal/>
    </border>
    <border>
      <left/>
      <right style="thin">
        <color auto="1"/>
      </right>
      <top style="medium">
        <color auto="1"/>
      </top>
      <bottom style="dashed">
        <color theme="0" tint="-0.499984740745262"/>
      </bottom>
      <diagonal/>
    </border>
    <border>
      <left/>
      <right style="dashed">
        <color theme="0" tint="-0.499984740745262"/>
      </right>
      <top style="medium">
        <color auto="1"/>
      </top>
      <bottom style="dashed">
        <color theme="0" tint="-0.499984740745262"/>
      </bottom>
      <diagonal/>
    </border>
    <border>
      <left style="dashed">
        <color theme="0" tint="-0.34998626667073579"/>
      </left>
      <right style="dashed">
        <color theme="0" tint="-0.34998626667073579"/>
      </right>
      <top style="medium">
        <color auto="1"/>
      </top>
      <bottom style="dashed">
        <color theme="0" tint="-0.34998626667073579"/>
      </bottom>
      <diagonal/>
    </border>
    <border>
      <left/>
      <right style="dashed">
        <color theme="0" tint="-0.499984740745262"/>
      </right>
      <top style="medium">
        <color auto="1"/>
      </top>
      <bottom/>
      <diagonal/>
    </border>
    <border>
      <left style="thin">
        <color auto="1"/>
      </left>
      <right style="medium">
        <color auto="1"/>
      </right>
      <top style="medium">
        <color auto="1"/>
      </top>
      <bottom style="dashed">
        <color theme="0" tint="-0.499984740745262"/>
      </bottom>
      <diagonal/>
    </border>
    <border>
      <left style="medium">
        <color auto="1"/>
      </left>
      <right style="dashed">
        <color theme="0" tint="-0.499984740745262"/>
      </right>
      <top/>
      <bottom style="medium">
        <color auto="1"/>
      </bottom>
      <diagonal/>
    </border>
    <border>
      <left style="dashed">
        <color theme="0" tint="-0.499984740745262"/>
      </left>
      <right style="dashed">
        <color theme="0" tint="-0.499984740745262"/>
      </right>
      <top/>
      <bottom style="medium">
        <color auto="1"/>
      </bottom>
      <diagonal/>
    </border>
    <border>
      <left style="dashed">
        <color theme="0" tint="-0.499984740745262"/>
      </left>
      <right/>
      <top/>
      <bottom style="medium">
        <color auto="1"/>
      </bottom>
      <diagonal/>
    </border>
    <border>
      <left style="thin">
        <color auto="1"/>
      </left>
      <right style="dashed">
        <color theme="0" tint="-0.499984740745262"/>
      </right>
      <top style="dashed">
        <color theme="0" tint="-0.499984740745262"/>
      </top>
      <bottom style="medium">
        <color auto="1"/>
      </bottom>
      <diagonal/>
    </border>
    <border>
      <left/>
      <right style="dashed">
        <color theme="0" tint="-0.499984740745262"/>
      </right>
      <top/>
      <bottom style="medium">
        <color auto="1"/>
      </bottom>
      <diagonal/>
    </border>
    <border>
      <left style="dashed">
        <color theme="0" tint="-0.34998626667073579"/>
      </left>
      <right style="dashed">
        <color theme="0" tint="-0.34998626667073579"/>
      </right>
      <top style="dashed">
        <color theme="0" tint="-0.34998626667073579"/>
      </top>
      <bottom style="medium">
        <color auto="1"/>
      </bottom>
      <diagonal/>
    </border>
    <border>
      <left style="thin">
        <color auto="1"/>
      </left>
      <right style="dashed">
        <color theme="0" tint="-0.499984740745262"/>
      </right>
      <top/>
      <bottom style="medium">
        <color auto="1"/>
      </bottom>
      <diagonal/>
    </border>
    <border>
      <left style="thin">
        <color auto="1"/>
      </left>
      <right style="medium">
        <color auto="1"/>
      </right>
      <top style="thin">
        <color theme="0" tint="-0.499984740745262"/>
      </top>
      <bottom style="medium">
        <color auto="1"/>
      </bottom>
      <diagonal/>
    </border>
    <border>
      <left style="medium">
        <color auto="1"/>
      </left>
      <right style="dashed">
        <color theme="0" tint="-0.499984740745262"/>
      </right>
      <top/>
      <bottom style="dashed">
        <color theme="0" tint="-0.499984740745262"/>
      </bottom>
      <diagonal/>
    </border>
    <border>
      <left style="dashed">
        <color theme="0" tint="-0.499984740745262"/>
      </left>
      <right style="dashed">
        <color theme="0" tint="-0.499984740745262"/>
      </right>
      <top/>
      <bottom/>
      <diagonal/>
    </border>
    <border>
      <left style="dashed">
        <color theme="0" tint="-0.499984740745262"/>
      </left>
      <right/>
      <top/>
      <bottom/>
      <diagonal/>
    </border>
    <border>
      <left style="thin">
        <color auto="1"/>
      </left>
      <right style="dashed">
        <color theme="0" tint="-0.499984740745262"/>
      </right>
      <top/>
      <bottom style="dashed">
        <color theme="0" tint="-0.499984740745262"/>
      </bottom>
      <diagonal/>
    </border>
    <border>
      <left style="dashed">
        <color theme="0" tint="-0.499984740745262"/>
      </left>
      <right/>
      <top/>
      <bottom style="dashed">
        <color theme="0" tint="-0.499984740745262"/>
      </bottom>
      <diagonal/>
    </border>
    <border>
      <left/>
      <right style="thin">
        <color auto="1"/>
      </right>
      <top/>
      <bottom style="dashed">
        <color theme="0" tint="-0.499984740745262"/>
      </bottom>
      <diagonal/>
    </border>
    <border>
      <left/>
      <right style="dashed">
        <color theme="0" tint="-0.499984740745262"/>
      </right>
      <top/>
      <bottom style="dashed">
        <color theme="0" tint="-0.499984740745262"/>
      </bottom>
      <diagonal/>
    </border>
    <border>
      <left/>
      <right style="dashed">
        <color theme="0" tint="-0.499984740745262"/>
      </right>
      <top/>
      <bottom/>
      <diagonal/>
    </border>
    <border>
      <left style="thin">
        <color auto="1"/>
      </left>
      <right style="medium">
        <color auto="1"/>
      </right>
      <top/>
      <bottom style="dashed">
        <color theme="0" tint="-0.499984740745262"/>
      </bottom>
      <diagonal/>
    </border>
    <border>
      <left style="medium">
        <color auto="1"/>
      </left>
      <right style="dashed">
        <color theme="0" tint="-0.499984740745262"/>
      </right>
      <top/>
      <bottom/>
      <diagonal/>
    </border>
    <border>
      <left style="dashed">
        <color theme="0" tint="-0.499984740745262"/>
      </left>
      <right style="dashed">
        <color theme="0" tint="-0.499984740745262"/>
      </right>
      <top style="dashed">
        <color theme="0" tint="-0.499984740745262"/>
      </top>
      <bottom/>
      <diagonal/>
    </border>
    <border>
      <left style="thin">
        <color auto="1"/>
      </left>
      <right style="dashed">
        <color theme="0" tint="-0.499984740745262"/>
      </right>
      <top style="dashed">
        <color theme="0" tint="-0.499984740745262"/>
      </top>
      <bottom/>
      <diagonal/>
    </border>
    <border>
      <left style="thin">
        <color auto="1"/>
      </left>
      <right style="dashed">
        <color theme="0" tint="-0.499984740745262"/>
      </right>
      <top/>
      <bottom/>
      <diagonal/>
    </border>
    <border>
      <left style="dashed">
        <color theme="0" tint="-0.499984740745262"/>
      </left>
      <right style="dashed">
        <color theme="0" tint="-0.499984740745262"/>
      </right>
      <top style="dashed">
        <color theme="0" tint="-0.499984740745262"/>
      </top>
      <bottom style="medium">
        <color auto="1"/>
      </bottom>
      <diagonal/>
    </border>
    <border>
      <left style="dashed">
        <color theme="0" tint="-0.499984740745262"/>
      </left>
      <right/>
      <top style="dashed">
        <color theme="0" tint="-0.499984740745262"/>
      </top>
      <bottom style="medium">
        <color auto="1"/>
      </bottom>
      <diagonal/>
    </border>
    <border>
      <left/>
      <right style="dashed">
        <color theme="0" tint="-0.499984740745262"/>
      </right>
      <top style="dashed">
        <color theme="0" tint="-0.499984740745262"/>
      </top>
      <bottom style="medium">
        <color auto="1"/>
      </bottom>
      <diagonal/>
    </border>
    <border>
      <left style="medium">
        <color auto="1"/>
      </left>
      <right style="thin">
        <color theme="0" tint="-0.499984740745262"/>
      </right>
      <top style="medium">
        <color auto="1"/>
      </top>
      <bottom/>
      <diagonal/>
    </border>
    <border>
      <left style="thin">
        <color theme="0" tint="-0.499984740745262"/>
      </left>
      <right/>
      <top style="medium">
        <color auto="1"/>
      </top>
      <bottom/>
      <diagonal/>
    </border>
    <border>
      <left style="thin">
        <color theme="0" tint="-0.499984740745262"/>
      </left>
      <right style="medium">
        <color auto="1"/>
      </right>
      <top style="medium">
        <color auto="1"/>
      </top>
      <bottom style="thin">
        <color theme="0" tint="-0.499984740745262"/>
      </bottom>
      <diagonal/>
    </border>
    <border>
      <left style="medium">
        <color auto="1"/>
      </left>
      <right style="thin">
        <color theme="0" tint="-0.499984740745262"/>
      </right>
      <top/>
      <bottom style="medium">
        <color indexed="64"/>
      </bottom>
      <diagonal/>
    </border>
    <border>
      <left style="thin">
        <color theme="0" tint="-0.499984740745262"/>
      </left>
      <right/>
      <top/>
      <bottom style="medium">
        <color indexed="64"/>
      </bottom>
      <diagonal/>
    </border>
    <border>
      <left style="thin">
        <color theme="0" tint="-0.499984740745262"/>
      </left>
      <right style="medium">
        <color auto="1"/>
      </right>
      <top style="thin">
        <color theme="0" tint="-0.499984740745262"/>
      </top>
      <bottom/>
      <diagonal/>
    </border>
    <border>
      <left style="thin">
        <color indexed="64"/>
      </left>
      <right/>
      <top style="medium">
        <color indexed="64"/>
      </top>
      <bottom style="medium">
        <color indexed="64"/>
      </bottom>
      <diagonal/>
    </border>
    <border>
      <left style="thin">
        <color auto="1"/>
      </left>
      <right style="thin">
        <color rgb="FF000000"/>
      </right>
      <top style="medium">
        <color auto="1"/>
      </top>
      <bottom style="medium">
        <color auto="1"/>
      </bottom>
      <diagonal/>
    </border>
    <border>
      <left style="thin">
        <color rgb="FF000000"/>
      </left>
      <right style="thin">
        <color auto="1"/>
      </right>
      <top style="medium">
        <color auto="1"/>
      </top>
      <bottom style="medium">
        <color auto="1"/>
      </bottom>
      <diagonal/>
    </border>
    <border>
      <left/>
      <right style="thin">
        <color indexed="64"/>
      </right>
      <top style="medium">
        <color indexed="64"/>
      </top>
      <bottom style="medium">
        <color indexed="64"/>
      </bottom>
      <diagonal/>
    </border>
    <border>
      <left/>
      <right style="dashed">
        <color theme="0" tint="-0.499984740745262"/>
      </right>
      <top style="medium">
        <color auto="1"/>
      </top>
      <bottom style="medium">
        <color auto="1"/>
      </bottom>
      <diagonal/>
    </border>
    <border>
      <left style="dashed">
        <color theme="0" tint="-0.499984740745262"/>
      </left>
      <right style="dashed">
        <color theme="0" tint="-0.499984740745262"/>
      </right>
      <top style="medium">
        <color auto="1"/>
      </top>
      <bottom style="medium">
        <color auto="1"/>
      </bottom>
      <diagonal/>
    </border>
    <border>
      <left style="dashed">
        <color theme="0" tint="-0.499984740745262"/>
      </left>
      <right/>
      <top style="medium">
        <color auto="1"/>
      </top>
      <bottom style="medium">
        <color auto="1"/>
      </bottom>
      <diagonal/>
    </border>
    <border>
      <left style="dashed">
        <color theme="0" tint="-0.34998626667073579"/>
      </left>
      <right style="dashed">
        <color theme="0" tint="-0.34998626667073579"/>
      </right>
      <top style="medium">
        <color auto="1"/>
      </top>
      <bottom style="medium">
        <color auto="1"/>
      </bottom>
      <diagonal/>
    </border>
    <border>
      <left style="dashed">
        <color theme="0" tint="-0.499984740745262"/>
      </left>
      <right style="medium">
        <color auto="1"/>
      </right>
      <top style="medium">
        <color auto="1"/>
      </top>
      <bottom style="medium">
        <color auto="1"/>
      </bottom>
      <diagonal/>
    </border>
    <border>
      <left style="thick">
        <color indexed="64"/>
      </left>
      <right/>
      <top style="medium">
        <color indexed="64"/>
      </top>
      <bottom style="medium">
        <color indexed="64"/>
      </bottom>
      <diagonal/>
    </border>
    <border>
      <left style="thin">
        <color auto="1"/>
      </left>
      <right style="medium">
        <color auto="1"/>
      </right>
      <top style="medium">
        <color auto="1"/>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thin">
        <color indexed="64"/>
      </left>
      <right style="thin">
        <color auto="1"/>
      </right>
      <top style="medium">
        <color indexed="64"/>
      </top>
      <bottom style="hair">
        <color indexed="64"/>
      </bottom>
      <diagonal/>
    </border>
    <border>
      <left style="dotted">
        <color indexed="64"/>
      </left>
      <right style="dotted">
        <color indexed="64"/>
      </right>
      <top style="hair">
        <color indexed="64"/>
      </top>
      <bottom style="thin">
        <color indexed="64"/>
      </bottom>
      <diagonal/>
    </border>
    <border>
      <left style="medium">
        <color indexed="64"/>
      </left>
      <right style="thin">
        <color indexed="64"/>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top style="thin">
        <color indexed="64"/>
      </top>
      <bottom style="medium">
        <color indexed="64"/>
      </bottom>
      <diagonal/>
    </border>
    <border>
      <left style="thin">
        <color indexed="64"/>
      </left>
      <right style="hair">
        <color indexed="64"/>
      </right>
      <top style="medium">
        <color indexed="64"/>
      </top>
      <bottom/>
      <diagonal/>
    </border>
    <border>
      <left style="thin">
        <color indexed="64"/>
      </left>
      <right style="double">
        <color indexed="64"/>
      </right>
      <top style="medium">
        <color indexed="64"/>
      </top>
      <bottom/>
      <diagonal/>
    </border>
    <border>
      <left/>
      <right style="hair">
        <color indexed="64"/>
      </right>
      <top style="medium">
        <color indexed="64"/>
      </top>
      <bottom style="hair">
        <color indexed="64"/>
      </bottom>
      <diagonal/>
    </border>
    <border>
      <left style="thin">
        <color indexed="64"/>
      </left>
      <right style="double">
        <color indexed="64"/>
      </right>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diagonal/>
    </border>
    <border>
      <left style="medium">
        <color indexed="64"/>
      </left>
      <right/>
      <top style="double">
        <color indexed="64"/>
      </top>
      <bottom/>
      <diagonal/>
    </border>
    <border>
      <left style="thin">
        <color indexed="64"/>
      </left>
      <right style="hair">
        <color indexed="64"/>
      </right>
      <top style="double">
        <color indexed="64"/>
      </top>
      <bottom/>
      <diagonal/>
    </border>
    <border>
      <left style="hair">
        <color indexed="64"/>
      </left>
      <right/>
      <top style="double">
        <color indexed="64"/>
      </top>
      <bottom/>
      <diagonal/>
    </border>
    <border>
      <left style="thin">
        <color indexed="64"/>
      </left>
      <right style="double">
        <color indexed="64"/>
      </right>
      <top style="double">
        <color indexed="64"/>
      </top>
      <bottom/>
      <diagonal/>
    </border>
    <border>
      <left/>
      <right style="hair">
        <color indexed="64"/>
      </right>
      <top style="double">
        <color indexed="64"/>
      </top>
      <bottom/>
      <diagonal/>
    </border>
    <border>
      <left style="hair">
        <color indexed="64"/>
      </left>
      <right style="hair">
        <color indexed="64"/>
      </right>
      <top style="double">
        <color indexed="64"/>
      </top>
      <bottom/>
      <diagonal/>
    </border>
    <border>
      <left style="hair">
        <color indexed="64"/>
      </left>
      <right style="medium">
        <color indexed="64"/>
      </right>
      <top style="double">
        <color indexed="64"/>
      </top>
      <bottom/>
      <diagonal/>
    </border>
    <border>
      <left style="double">
        <color indexed="64"/>
      </left>
      <right/>
      <top style="medium">
        <color indexed="64"/>
      </top>
      <bottom style="medium">
        <color indexed="64"/>
      </bottom>
      <diagonal/>
    </border>
    <border>
      <left style="medium">
        <color indexed="64"/>
      </left>
      <right/>
      <top style="double">
        <color indexed="64"/>
      </top>
      <bottom style="medium">
        <color indexed="64"/>
      </bottom>
      <diagonal/>
    </border>
    <border>
      <left style="thin">
        <color indexed="64"/>
      </left>
      <right style="hair">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right style="hair">
        <color indexed="64"/>
      </right>
      <top style="double">
        <color indexed="64"/>
      </top>
      <bottom style="medium">
        <color indexed="64"/>
      </bottom>
      <diagonal/>
    </border>
    <border>
      <left style="hair">
        <color indexed="64"/>
      </left>
      <right style="hair">
        <color indexed="64"/>
      </right>
      <top style="double">
        <color indexed="64"/>
      </top>
      <bottom style="medium">
        <color indexed="64"/>
      </bottom>
      <diagonal/>
    </border>
    <border>
      <left style="hair">
        <color indexed="64"/>
      </left>
      <right style="medium">
        <color indexed="64"/>
      </right>
      <top style="double">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double">
        <color indexed="64"/>
      </right>
      <top style="thin">
        <color indexed="64"/>
      </top>
      <bottom style="double">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top style="thin">
        <color rgb="FF000000"/>
      </top>
      <bottom style="medium">
        <color rgb="FF000000"/>
      </bottom>
      <diagonal/>
    </border>
    <border>
      <left/>
      <right style="thin">
        <color indexed="64"/>
      </right>
      <top style="thin">
        <color rgb="FF000000"/>
      </top>
      <bottom style="medium">
        <color rgb="FF000000"/>
      </bottom>
      <diagonal/>
    </border>
    <border>
      <left style="thin">
        <color indexed="64"/>
      </left>
      <right style="medium">
        <color rgb="FF000000"/>
      </right>
      <top style="thin">
        <color rgb="FF000000"/>
      </top>
      <bottom style="medium">
        <color rgb="FF000000"/>
      </bottom>
      <diagonal/>
    </border>
    <border>
      <left style="medium">
        <color auto="1"/>
      </left>
      <right/>
      <top style="thin">
        <color auto="1"/>
      </top>
      <bottom style="thin">
        <color auto="1"/>
      </bottom>
      <diagonal/>
    </border>
    <border>
      <left style="double">
        <color indexed="64"/>
      </left>
      <right style="hair">
        <color indexed="64"/>
      </right>
      <top/>
      <bottom style="thin">
        <color indexed="64"/>
      </bottom>
      <diagonal/>
    </border>
    <border>
      <left/>
      <right style="double">
        <color indexed="64"/>
      </right>
      <top style="thin">
        <color indexed="64"/>
      </top>
      <bottom style="thin">
        <color indexed="64"/>
      </bottom>
      <diagonal/>
    </border>
    <border>
      <left/>
      <right style="double">
        <color indexed="64"/>
      </right>
      <top/>
      <bottom/>
      <diagonal/>
    </border>
    <border>
      <left style="thick">
        <color auto="1"/>
      </left>
      <right style="thick">
        <color auto="1"/>
      </right>
      <top style="thin">
        <color auto="1"/>
      </top>
      <bottom style="double">
        <color auto="1"/>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style="thin">
        <color indexed="64"/>
      </top>
      <bottom style="medium">
        <color indexed="64"/>
      </bottom>
      <diagonal/>
    </border>
    <border>
      <left style="double">
        <color indexed="64"/>
      </left>
      <right style="hair">
        <color indexed="64"/>
      </right>
      <top style="thin">
        <color indexed="64"/>
      </top>
      <bottom style="medium">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diagonal/>
    </border>
    <border>
      <left/>
      <right style="dashed">
        <color theme="0" tint="-0.499984740745262"/>
      </right>
      <top style="thin">
        <color indexed="64"/>
      </top>
      <bottom style="thin">
        <color theme="0" tint="-0.34998626667073579"/>
      </bottom>
      <diagonal/>
    </border>
    <border>
      <left/>
      <right style="dashed">
        <color theme="0" tint="-0.499984740745262"/>
      </right>
      <top style="dashed">
        <color theme="0" tint="-0.499984740745262"/>
      </top>
      <bottom style="thin">
        <color indexed="64"/>
      </bottom>
      <diagonal/>
    </border>
    <border>
      <left style="dotted">
        <color indexed="64"/>
      </left>
      <right/>
      <top style="thick">
        <color indexed="64"/>
      </top>
      <bottom style="dotted">
        <color auto="1"/>
      </bottom>
      <diagonal/>
    </border>
    <border>
      <left style="thin">
        <color auto="1"/>
      </left>
      <right style="medium">
        <color indexed="64"/>
      </right>
      <top style="thick">
        <color indexed="64"/>
      </top>
      <bottom/>
      <diagonal/>
    </border>
    <border>
      <left style="medium">
        <color indexed="64"/>
      </left>
      <right style="thin">
        <color indexed="64"/>
      </right>
      <top style="thick">
        <color indexed="64"/>
      </top>
      <bottom/>
      <diagonal/>
    </border>
    <border>
      <left style="thin">
        <color indexed="64"/>
      </left>
      <right style="medium">
        <color indexed="64"/>
      </right>
      <top style="thick">
        <color indexed="64"/>
      </top>
      <bottom style="dotted">
        <color indexed="64"/>
      </bottom>
      <diagonal/>
    </border>
    <border>
      <left/>
      <right/>
      <top style="thick">
        <color indexed="64"/>
      </top>
      <bottom style="dotted">
        <color auto="1"/>
      </bottom>
      <diagonal/>
    </border>
    <border>
      <left/>
      <right/>
      <top style="dotted">
        <color theme="2" tint="-0.249977111117893"/>
      </top>
      <bottom style="dotted">
        <color theme="2" tint="-0.249977111117893"/>
      </bottom>
      <diagonal/>
    </border>
    <border>
      <left style="thin">
        <color theme="2" tint="-0.249977111117893"/>
      </left>
      <right/>
      <top style="dotted">
        <color theme="2" tint="-0.249977111117893"/>
      </top>
      <bottom style="dotted">
        <color theme="2" tint="-0.249977111117893"/>
      </bottom>
      <diagonal/>
    </border>
    <border>
      <left style="thin">
        <color theme="0" tint="-0.34998626667073579"/>
      </left>
      <right/>
      <top style="dotted">
        <color theme="2" tint="-0.249977111117893"/>
      </top>
      <bottom style="dotted">
        <color theme="2" tint="-0.249977111117893"/>
      </bottom>
      <diagonal/>
    </border>
    <border>
      <left style="thin">
        <color theme="0" tint="-0.34998626667073579"/>
      </left>
      <right/>
      <top style="dotted">
        <color theme="2" tint="-0.249977111117893"/>
      </top>
      <bottom/>
      <diagonal/>
    </border>
    <border>
      <left style="thin">
        <color theme="0" tint="-0.34998626667073579"/>
      </left>
      <right/>
      <top style="dotted">
        <color theme="0" tint="-0.34998626667073579"/>
      </top>
      <bottom/>
      <diagonal/>
    </border>
    <border>
      <left style="thin">
        <color theme="0" tint="-0.34998626667073579"/>
      </left>
      <right/>
      <top style="dotted">
        <color theme="2" tint="-0.249977111117893"/>
      </top>
      <bottom style="thin">
        <color theme="1"/>
      </bottom>
      <diagonal/>
    </border>
    <border>
      <left style="thin">
        <color theme="2" tint="-0.249977111117893"/>
      </left>
      <right style="thin">
        <color indexed="64"/>
      </right>
      <top style="dotted">
        <color indexed="64"/>
      </top>
      <bottom style="dotted">
        <color indexed="64"/>
      </bottom>
      <diagonal/>
    </border>
    <border>
      <left style="thin">
        <color theme="0" tint="-0.34998626667073579"/>
      </left>
      <right style="hair">
        <color theme="0" tint="-0.34998626667073579"/>
      </right>
      <top style="dotted">
        <color auto="1"/>
      </top>
      <bottom style="dotted">
        <color auto="1"/>
      </bottom>
      <diagonal/>
    </border>
    <border>
      <left style="hair">
        <color theme="0" tint="-0.34998626667073579"/>
      </left>
      <right style="hair">
        <color theme="0" tint="-0.34998626667073579"/>
      </right>
      <top style="dotted">
        <color auto="1"/>
      </top>
      <bottom style="dotted">
        <color auto="1"/>
      </bottom>
      <diagonal/>
    </border>
    <border>
      <left style="hair">
        <color theme="0" tint="-0.34998626667073579"/>
      </left>
      <right style="thin">
        <color theme="0" tint="-0.34998626667073579"/>
      </right>
      <top style="dotted">
        <color auto="1"/>
      </top>
      <bottom style="dotted">
        <color auto="1"/>
      </bottom>
      <diagonal/>
    </border>
    <border>
      <left style="thin">
        <color theme="0" tint="-0.24994659260841701"/>
      </left>
      <right style="thin">
        <color theme="0" tint="-0.34998626667073579"/>
      </right>
      <top/>
      <bottom style="thin">
        <color indexed="64"/>
      </bottom>
      <diagonal/>
    </border>
    <border>
      <left style="thin">
        <color theme="0" tint="-0.24994659260841701"/>
      </left>
      <right style="thin">
        <color theme="0" tint="-0.34998626667073579"/>
      </right>
      <top/>
      <bottom/>
      <diagonal/>
    </border>
    <border>
      <left style="thin">
        <color auto="1"/>
      </left>
      <right style="thin">
        <color theme="0" tint="-0.34998626667073579"/>
      </right>
      <top style="dotted">
        <color theme="0" tint="-0.34998626667073579"/>
      </top>
      <bottom/>
      <diagonal/>
    </border>
    <border>
      <left style="thin">
        <color theme="0" tint="-0.34998626667073579"/>
      </left>
      <right style="hair">
        <color theme="0" tint="-0.34998626667073579"/>
      </right>
      <top style="dotted">
        <color theme="0" tint="-0.34998626667073579"/>
      </top>
      <bottom style="dotted">
        <color theme="0" tint="-0.34998626667073579"/>
      </bottom>
      <diagonal/>
    </border>
    <border>
      <left style="hair">
        <color theme="0" tint="-0.34998626667073579"/>
      </left>
      <right style="hair">
        <color theme="0" tint="-0.34998626667073579"/>
      </right>
      <top style="dotted">
        <color theme="0" tint="-0.34998626667073579"/>
      </top>
      <bottom style="dotted">
        <color theme="0" tint="-0.34998626667073579"/>
      </bottom>
      <diagonal/>
    </border>
    <border>
      <left style="hair">
        <color theme="0" tint="-0.34998626667073579"/>
      </left>
      <right style="thin">
        <color theme="0" tint="-0.34998626667073579"/>
      </right>
      <top style="dotted">
        <color theme="0" tint="-0.34998626667073579"/>
      </top>
      <bottom style="dotted">
        <color theme="0" tint="-0.34998626667073579"/>
      </bottom>
      <diagonal/>
    </border>
    <border>
      <left style="thin">
        <color theme="2" tint="-0.249977111117893"/>
      </left>
      <right style="thin">
        <color indexed="64"/>
      </right>
      <top style="thin">
        <color auto="1"/>
      </top>
      <bottom/>
      <diagonal/>
    </border>
    <border>
      <left style="thin">
        <color theme="0" tint="-0.24994659260841701"/>
      </left>
      <right style="thin">
        <color theme="0" tint="-0.34998626667073579"/>
      </right>
      <top style="thin">
        <color auto="1"/>
      </top>
      <bottom/>
      <diagonal/>
    </border>
    <border>
      <left style="thin">
        <color theme="0" tint="-0.34998626667073579"/>
      </left>
      <right/>
      <top style="thin">
        <color auto="1"/>
      </top>
      <bottom style="dotted">
        <color theme="2" tint="-0.249977111117893"/>
      </bottom>
      <diagonal/>
    </border>
    <border>
      <left style="thin">
        <color theme="2" tint="-0.249977111117893"/>
      </left>
      <right/>
      <top style="thin">
        <color auto="1"/>
      </top>
      <bottom style="dotted">
        <color theme="2" tint="-0.249977111117893"/>
      </bottom>
      <diagonal/>
    </border>
    <border>
      <left/>
      <right/>
      <top style="thin">
        <color auto="1"/>
      </top>
      <bottom style="dotted">
        <color theme="2" tint="-0.249977111117893"/>
      </bottom>
      <diagonal/>
    </border>
    <border>
      <left style="thin">
        <color theme="2" tint="-0.249977111117893"/>
      </left>
      <right style="thin">
        <color indexed="64"/>
      </right>
      <top/>
      <bottom style="thin">
        <color auto="1"/>
      </bottom>
      <diagonal/>
    </border>
    <border>
      <left style="thin">
        <color theme="0" tint="-0.34998626667073579"/>
      </left>
      <right style="thin">
        <color theme="2" tint="-0.249977111117893"/>
      </right>
      <top style="dotted">
        <color theme="2" tint="-0.249977111117893"/>
      </top>
      <bottom style="thin">
        <color auto="1"/>
      </bottom>
      <diagonal/>
    </border>
    <border>
      <left style="thin">
        <color theme="2" tint="-0.249977111117893"/>
      </left>
      <right/>
      <top style="dotted">
        <color theme="2" tint="-0.249977111117893"/>
      </top>
      <bottom style="thin">
        <color auto="1"/>
      </bottom>
      <diagonal/>
    </border>
    <border>
      <left/>
      <right style="hair">
        <color indexed="64"/>
      </right>
      <top style="hair">
        <color indexed="64"/>
      </top>
      <bottom/>
      <diagonal/>
    </border>
    <border>
      <left style="hair">
        <color auto="1"/>
      </left>
      <right style="thin">
        <color auto="1"/>
      </right>
      <top style="hair">
        <color auto="1"/>
      </top>
      <bottom/>
      <diagonal/>
    </border>
    <border>
      <left/>
      <right/>
      <top style="medium">
        <color auto="1"/>
      </top>
      <bottom style="dashed">
        <color theme="0" tint="-0.499984740745262"/>
      </bottom>
      <diagonal/>
    </border>
    <border>
      <left/>
      <right/>
      <top style="dashed">
        <color theme="0" tint="-0.499984740745262"/>
      </top>
      <bottom style="thin">
        <color theme="0" tint="-0.34998626667073579"/>
      </bottom>
      <diagonal/>
    </border>
    <border>
      <left style="thick">
        <color indexed="64"/>
      </left>
      <right style="hair">
        <color auto="1"/>
      </right>
      <top style="thin">
        <color indexed="64"/>
      </top>
      <bottom style="thin">
        <color indexed="64"/>
      </bottom>
      <diagonal/>
    </border>
    <border>
      <left style="dotted">
        <color indexed="64"/>
      </left>
      <right/>
      <top style="medium">
        <color indexed="64"/>
      </top>
      <bottom/>
      <diagonal/>
    </border>
    <border>
      <left style="medium">
        <color indexed="64"/>
      </left>
      <right style="thin">
        <color indexed="64"/>
      </right>
      <top style="medium">
        <color indexed="64"/>
      </top>
      <bottom style="medium">
        <color indexed="64"/>
      </bottom>
      <diagonal/>
    </border>
  </borders>
  <cellStyleXfs count="28">
    <xf numFmtId="0" fontId="0" fillId="0" borderId="0">
      <alignment vertical="center"/>
    </xf>
    <xf numFmtId="38" fontId="1" fillId="0" borderId="0" applyFont="0" applyFill="0" applyBorder="0" applyAlignment="0" applyProtection="0">
      <alignment vertical="center"/>
    </xf>
    <xf numFmtId="0" fontId="20" fillId="0" borderId="0">
      <alignment vertical="center"/>
    </xf>
    <xf numFmtId="0" fontId="1" fillId="0" borderId="0">
      <alignment vertical="center"/>
    </xf>
    <xf numFmtId="9" fontId="20"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56" fillId="0" borderId="0" applyNumberFormat="0" applyFill="0" applyBorder="0" applyAlignment="0" applyProtection="0">
      <alignment vertical="center"/>
    </xf>
    <xf numFmtId="9" fontId="1" fillId="0" borderId="0" applyFont="0" applyFill="0" applyBorder="0" applyAlignment="0" applyProtection="0">
      <alignment vertical="center"/>
    </xf>
    <xf numFmtId="0" fontId="57" fillId="0" borderId="0"/>
    <xf numFmtId="0" fontId="57" fillId="0" borderId="0"/>
    <xf numFmtId="0" fontId="1" fillId="0" borderId="0">
      <alignment vertical="center"/>
    </xf>
    <xf numFmtId="0" fontId="1" fillId="0" borderId="0">
      <alignment vertical="center"/>
    </xf>
    <xf numFmtId="38" fontId="57" fillId="0" borderId="0" applyFont="0" applyFill="0" applyBorder="0" applyAlignment="0" applyProtection="0">
      <alignment vertical="center"/>
    </xf>
    <xf numFmtId="0" fontId="57" fillId="0" borderId="0"/>
    <xf numFmtId="0" fontId="134" fillId="0" borderId="0">
      <alignment vertical="center"/>
    </xf>
    <xf numFmtId="0" fontId="134"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212" fillId="54" borderId="0" applyNumberFormat="0" applyBorder="0" applyAlignment="0" applyProtection="0">
      <alignment vertical="center"/>
    </xf>
    <xf numFmtId="38" fontId="57" fillId="0" borderId="0" applyFont="0" applyFill="0" applyBorder="0" applyAlignment="0" applyProtection="0">
      <alignment vertical="center"/>
    </xf>
    <xf numFmtId="0" fontId="156" fillId="0" borderId="0"/>
    <xf numFmtId="38" fontId="156" fillId="0" borderId="0" applyFont="0" applyFill="0" applyBorder="0" applyAlignment="0" applyProtection="0">
      <alignment vertical="center"/>
    </xf>
    <xf numFmtId="0" fontId="156" fillId="0" borderId="0">
      <alignment vertical="center"/>
    </xf>
  </cellStyleXfs>
  <cellXfs count="7126">
    <xf numFmtId="0" fontId="0" fillId="0" borderId="0" xfId="0">
      <alignment vertical="center"/>
    </xf>
    <xf numFmtId="0" fontId="3" fillId="0" borderId="0" xfId="0" applyFont="1">
      <alignment vertical="center"/>
    </xf>
    <xf numFmtId="0" fontId="6" fillId="0" borderId="0" xfId="0" applyFont="1">
      <alignment vertical="center"/>
    </xf>
    <xf numFmtId="0" fontId="8" fillId="0" borderId="0" xfId="0" applyFont="1">
      <alignment vertical="center"/>
    </xf>
    <xf numFmtId="38" fontId="9" fillId="0" borderId="1" xfId="1" applyFont="1" applyBorder="1">
      <alignment vertical="center"/>
    </xf>
    <xf numFmtId="0" fontId="9" fillId="0" borderId="1" xfId="0" applyFont="1" applyBorder="1">
      <alignment vertical="center"/>
    </xf>
    <xf numFmtId="0" fontId="10" fillId="0" borderId="0" xfId="0" applyFont="1">
      <alignment vertical="center"/>
    </xf>
    <xf numFmtId="0" fontId="8" fillId="2" borderId="1" xfId="0" applyFont="1" applyFill="1" applyBorder="1" applyAlignment="1">
      <alignment horizontal="center" vertical="center"/>
    </xf>
    <xf numFmtId="0" fontId="6" fillId="4" borderId="5" xfId="0" applyFont="1" applyFill="1" applyBorder="1" applyAlignment="1">
      <alignment horizontal="center" vertical="center"/>
    </xf>
    <xf numFmtId="0" fontId="7" fillId="2" borderId="1" xfId="0"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xf>
    <xf numFmtId="0" fontId="6" fillId="0" borderId="0" xfId="0" applyFont="1" applyAlignment="1">
      <alignment horizontal="center" vertical="center"/>
    </xf>
    <xf numFmtId="0" fontId="6" fillId="0" borderId="6" xfId="0" applyFont="1" applyBorder="1">
      <alignment vertical="center"/>
    </xf>
    <xf numFmtId="176" fontId="4" fillId="0" borderId="6" xfId="0" applyNumberFormat="1" applyFont="1" applyBorder="1">
      <alignment vertical="center"/>
    </xf>
    <xf numFmtId="0" fontId="11" fillId="0" borderId="0" xfId="0" applyFont="1" applyAlignment="1">
      <alignment horizontal="center" vertical="center"/>
    </xf>
    <xf numFmtId="177" fontId="11" fillId="0" borderId="0" xfId="0" applyNumberFormat="1" applyFont="1">
      <alignment vertical="center"/>
    </xf>
    <xf numFmtId="178" fontId="11" fillId="0" borderId="0" xfId="0" applyNumberFormat="1" applyFont="1">
      <alignment vertical="center"/>
    </xf>
    <xf numFmtId="0" fontId="17" fillId="6" borderId="0" xfId="0" applyFont="1" applyFill="1" applyAlignment="1">
      <alignment horizontal="center" vertical="center"/>
    </xf>
    <xf numFmtId="3" fontId="5" fillId="0" borderId="12" xfId="0" applyNumberFormat="1" applyFont="1" applyBorder="1">
      <alignment vertical="center"/>
    </xf>
    <xf numFmtId="178" fontId="18" fillId="0" borderId="5" xfId="0" applyNumberFormat="1" applyFont="1" applyBorder="1">
      <alignment vertical="center"/>
    </xf>
    <xf numFmtId="177" fontId="18" fillId="0" borderId="5" xfId="0" applyNumberFormat="1" applyFont="1" applyBorder="1" applyAlignment="1">
      <alignment horizontal="center" vertical="center"/>
    </xf>
    <xf numFmtId="177" fontId="13" fillId="5" borderId="5" xfId="0" applyNumberFormat="1" applyFont="1" applyFill="1" applyBorder="1">
      <alignment vertical="center"/>
    </xf>
    <xf numFmtId="178" fontId="13" fillId="5" borderId="7" xfId="0" applyNumberFormat="1" applyFont="1" applyFill="1" applyBorder="1">
      <alignment vertical="center"/>
    </xf>
    <xf numFmtId="0" fontId="9" fillId="0" borderId="1" xfId="0" applyFont="1" applyBorder="1" applyAlignment="1">
      <alignment horizontal="center" vertical="center"/>
    </xf>
    <xf numFmtId="0" fontId="19" fillId="0" borderId="11" xfId="0" applyFont="1" applyBorder="1" applyAlignment="1">
      <alignment horizontal="center" vertical="center"/>
    </xf>
    <xf numFmtId="0" fontId="12" fillId="0" borderId="11" xfId="0" applyFont="1" applyBorder="1" applyAlignment="1">
      <alignment horizontal="right" vertical="center"/>
    </xf>
    <xf numFmtId="0" fontId="9" fillId="0" borderId="14" xfId="0" applyFont="1" applyBorder="1" applyAlignment="1">
      <alignment horizontal="center" vertical="center"/>
    </xf>
    <xf numFmtId="38" fontId="9" fillId="0" borderId="14" xfId="1" applyFont="1" applyBorder="1">
      <alignment vertical="center"/>
    </xf>
    <xf numFmtId="0" fontId="22" fillId="0" borderId="13" xfId="0" applyFont="1" applyBorder="1" applyAlignment="1">
      <alignment horizontal="right" vertical="center"/>
    </xf>
    <xf numFmtId="0" fontId="7" fillId="0" borderId="15" xfId="0" applyFont="1" applyBorder="1" applyAlignment="1">
      <alignment horizontal="right" vertical="center"/>
    </xf>
    <xf numFmtId="0" fontId="7" fillId="0" borderId="20" xfId="0" applyFont="1" applyBorder="1" applyAlignment="1">
      <alignment horizontal="right" vertical="center"/>
    </xf>
    <xf numFmtId="0" fontId="7" fillId="0" borderId="16" xfId="0" applyFont="1" applyBorder="1" applyAlignment="1">
      <alignment horizontal="right" vertical="center"/>
    </xf>
    <xf numFmtId="0" fontId="22" fillId="0" borderId="14" xfId="0" applyFont="1" applyBorder="1" applyAlignment="1">
      <alignment horizontal="right" vertical="center"/>
    </xf>
    <xf numFmtId="38" fontId="22" fillId="0" borderId="14" xfId="1" applyFont="1" applyFill="1" applyBorder="1">
      <alignment vertical="center"/>
    </xf>
    <xf numFmtId="38" fontId="22" fillId="0" borderId="15" xfId="1" applyFont="1" applyFill="1" applyBorder="1">
      <alignment vertical="center"/>
    </xf>
    <xf numFmtId="38" fontId="22" fillId="0" borderId="16" xfId="1" applyFont="1" applyFill="1" applyBorder="1">
      <alignment vertical="center"/>
    </xf>
    <xf numFmtId="0" fontId="11" fillId="5" borderId="17" xfId="0" applyFont="1" applyFill="1" applyBorder="1" applyAlignment="1">
      <alignment horizontal="right" vertical="center"/>
    </xf>
    <xf numFmtId="0" fontId="11" fillId="5" borderId="18" xfId="0" applyFont="1" applyFill="1" applyBorder="1" applyAlignment="1">
      <alignment horizontal="right" vertical="center"/>
    </xf>
    <xf numFmtId="0" fontId="11" fillId="5" borderId="19" xfId="0" applyFont="1" applyFill="1" applyBorder="1" applyAlignment="1">
      <alignment horizontal="right" vertical="center"/>
    </xf>
    <xf numFmtId="0" fontId="13" fillId="5" borderId="13" xfId="0" applyFont="1" applyFill="1" applyBorder="1" applyAlignment="1">
      <alignment horizontal="right" vertical="center"/>
    </xf>
    <xf numFmtId="38" fontId="13" fillId="5" borderId="13" xfId="1" applyFont="1" applyFill="1" applyBorder="1">
      <alignment vertical="center"/>
    </xf>
    <xf numFmtId="38" fontId="13" fillId="5" borderId="17" xfId="1" applyFont="1" applyFill="1" applyBorder="1">
      <alignment vertical="center"/>
    </xf>
    <xf numFmtId="38" fontId="13" fillId="5" borderId="19" xfId="1" applyFont="1" applyFill="1" applyBorder="1">
      <alignment vertical="center"/>
    </xf>
    <xf numFmtId="0" fontId="9" fillId="0" borderId="14" xfId="0" applyFont="1" applyBorder="1">
      <alignment vertical="center"/>
    </xf>
    <xf numFmtId="0" fontId="22" fillId="0" borderId="13" xfId="0" applyFont="1" applyBorder="1">
      <alignment vertical="center"/>
    </xf>
    <xf numFmtId="0" fontId="3" fillId="7" borderId="0" xfId="0" applyFont="1" applyFill="1">
      <alignment vertical="center"/>
    </xf>
    <xf numFmtId="0" fontId="15" fillId="7" borderId="0" xfId="0" applyFont="1" applyFill="1" applyAlignment="1">
      <alignment horizontal="right" vertical="center"/>
    </xf>
    <xf numFmtId="38" fontId="16" fillId="7" borderId="0" xfId="0" applyNumberFormat="1" applyFont="1" applyFill="1">
      <alignment vertical="center"/>
    </xf>
    <xf numFmtId="0" fontId="11" fillId="5" borderId="5" xfId="0" applyFont="1" applyFill="1" applyBorder="1" applyAlignment="1">
      <alignment horizontal="center" vertical="center" shrinkToFit="1"/>
    </xf>
    <xf numFmtId="3" fontId="5" fillId="0" borderId="21" xfId="0" applyNumberFormat="1" applyFont="1" applyBorder="1">
      <alignment vertical="center"/>
    </xf>
    <xf numFmtId="3" fontId="5" fillId="0" borderId="23" xfId="0" applyNumberFormat="1" applyFont="1" applyBorder="1">
      <alignment vertical="center"/>
    </xf>
    <xf numFmtId="0" fontId="3" fillId="0" borderId="22" xfId="0" applyFont="1" applyBorder="1">
      <alignment vertical="center"/>
    </xf>
    <xf numFmtId="38" fontId="9" fillId="0" borderId="2" xfId="1" applyFont="1" applyBorder="1">
      <alignment vertical="center"/>
    </xf>
    <xf numFmtId="38" fontId="9" fillId="0" borderId="4" xfId="1" applyFont="1" applyBorder="1">
      <alignment vertical="center"/>
    </xf>
    <xf numFmtId="38" fontId="22" fillId="0" borderId="13" xfId="1" applyFont="1" applyFill="1" applyBorder="1">
      <alignment vertical="center"/>
    </xf>
    <xf numFmtId="3" fontId="5" fillId="0" borderId="0" xfId="0" applyNumberFormat="1" applyFont="1">
      <alignment vertical="center"/>
    </xf>
    <xf numFmtId="3" fontId="5" fillId="0" borderId="22" xfId="0" applyNumberFormat="1" applyFont="1" applyBorder="1">
      <alignment vertical="center"/>
    </xf>
    <xf numFmtId="0" fontId="3" fillId="0" borderId="10" xfId="0" applyFont="1" applyBorder="1" applyAlignment="1">
      <alignment horizontal="center" vertical="center"/>
    </xf>
    <xf numFmtId="0" fontId="23" fillId="0" borderId="11" xfId="0" applyFont="1" applyBorder="1" applyAlignment="1">
      <alignment horizontal="center" vertical="center"/>
    </xf>
    <xf numFmtId="0" fontId="24" fillId="0" borderId="11" xfId="0" applyFont="1" applyBorder="1" applyAlignment="1">
      <alignment horizontal="right" vertical="center"/>
    </xf>
    <xf numFmtId="0" fontId="25" fillId="0" borderId="0" xfId="0" applyFont="1">
      <alignment vertical="center"/>
    </xf>
    <xf numFmtId="0" fontId="26" fillId="4" borderId="5" xfId="0" applyFont="1" applyFill="1" applyBorder="1" applyAlignment="1">
      <alignment horizontal="center" vertical="center"/>
    </xf>
    <xf numFmtId="0" fontId="27" fillId="5" borderId="5" xfId="0" applyFont="1" applyFill="1" applyBorder="1" applyAlignment="1">
      <alignment horizontal="center" vertical="center" shrinkToFit="1"/>
    </xf>
    <xf numFmtId="177" fontId="27" fillId="0" borderId="0" xfId="0" applyNumberFormat="1" applyFont="1">
      <alignment vertical="center"/>
    </xf>
    <xf numFmtId="0" fontId="26" fillId="0" borderId="0" xfId="0" applyFont="1" applyAlignment="1">
      <alignment horizontal="center" vertical="center"/>
    </xf>
    <xf numFmtId="0" fontId="26" fillId="0" borderId="0" xfId="0" applyFont="1">
      <alignment vertical="center"/>
    </xf>
    <xf numFmtId="0" fontId="28" fillId="0" borderId="0" xfId="0" applyFont="1">
      <alignment vertical="center"/>
    </xf>
    <xf numFmtId="178" fontId="27" fillId="0" borderId="0" xfId="0" applyNumberFormat="1" applyFont="1">
      <alignment vertical="center"/>
    </xf>
    <xf numFmtId="0" fontId="27" fillId="0" borderId="0" xfId="0" applyFont="1" applyAlignment="1">
      <alignment horizontal="center" vertical="center"/>
    </xf>
    <xf numFmtId="0" fontId="28" fillId="2" borderId="1" xfId="0" applyFont="1" applyFill="1" applyBorder="1" applyAlignment="1">
      <alignment horizontal="center" vertical="center"/>
    </xf>
    <xf numFmtId="0" fontId="29" fillId="2" borderId="1" xfId="0" applyFont="1" applyFill="1" applyBorder="1" applyAlignment="1">
      <alignment horizontal="center" vertical="center"/>
    </xf>
    <xf numFmtId="0" fontId="28" fillId="0" borderId="1" xfId="0" applyFont="1" applyBorder="1" applyAlignment="1">
      <alignment horizontal="center" vertical="center"/>
    </xf>
    <xf numFmtId="38" fontId="28" fillId="0" borderId="1" xfId="1" applyFont="1" applyBorder="1">
      <alignment vertical="center"/>
    </xf>
    <xf numFmtId="0" fontId="28" fillId="0" borderId="14" xfId="0" applyFont="1" applyBorder="1" applyAlignment="1">
      <alignment horizontal="center" vertical="center"/>
    </xf>
    <xf numFmtId="38" fontId="29" fillId="0" borderId="13" xfId="1" applyFont="1" applyFill="1" applyBorder="1">
      <alignment vertical="center"/>
    </xf>
    <xf numFmtId="0" fontId="29" fillId="0" borderId="15" xfId="0" applyFont="1" applyBorder="1" applyAlignment="1">
      <alignment horizontal="right" vertical="center"/>
    </xf>
    <xf numFmtId="0" fontId="29" fillId="0" borderId="20" xfId="0" applyFont="1" applyBorder="1" applyAlignment="1">
      <alignment horizontal="right" vertical="center"/>
    </xf>
    <xf numFmtId="0" fontId="29" fillId="0" borderId="16" xfId="0" applyFont="1" applyBorder="1" applyAlignment="1">
      <alignment horizontal="right" vertical="center"/>
    </xf>
    <xf numFmtId="38" fontId="29" fillId="0" borderId="14" xfId="1" applyFont="1" applyFill="1" applyBorder="1">
      <alignment vertical="center"/>
    </xf>
    <xf numFmtId="0" fontId="27" fillId="5" borderId="17" xfId="0" applyFont="1" applyFill="1" applyBorder="1" applyAlignment="1">
      <alignment horizontal="right" vertical="center"/>
    </xf>
    <xf numFmtId="0" fontId="27" fillId="5" borderId="18" xfId="0" applyFont="1" applyFill="1" applyBorder="1" applyAlignment="1">
      <alignment horizontal="right" vertical="center"/>
    </xf>
    <xf numFmtId="0" fontId="27" fillId="5" borderId="19" xfId="0" applyFont="1" applyFill="1" applyBorder="1" applyAlignment="1">
      <alignment horizontal="right" vertical="center"/>
    </xf>
    <xf numFmtId="38" fontId="27" fillId="5" borderId="13" xfId="1" applyFont="1" applyFill="1" applyBorder="1">
      <alignment vertical="center"/>
    </xf>
    <xf numFmtId="0" fontId="25" fillId="7" borderId="0" xfId="0" applyFont="1" applyFill="1">
      <alignment vertical="center"/>
    </xf>
    <xf numFmtId="38" fontId="30" fillId="7" borderId="0" xfId="0" applyNumberFormat="1" applyFont="1" applyFill="1">
      <alignment vertical="center"/>
    </xf>
    <xf numFmtId="178" fontId="26" fillId="0" borderId="5" xfId="0" applyNumberFormat="1" applyFont="1" applyBorder="1" applyAlignment="1">
      <alignment horizontal="right" vertical="center"/>
    </xf>
    <xf numFmtId="177" fontId="26" fillId="0" borderId="5" xfId="0" applyNumberFormat="1" applyFont="1" applyBorder="1" applyAlignment="1">
      <alignment horizontal="right" vertical="center"/>
    </xf>
    <xf numFmtId="177" fontId="27" fillId="5" borderId="5" xfId="0" applyNumberFormat="1" applyFont="1" applyFill="1" applyBorder="1" applyAlignment="1">
      <alignment horizontal="right" vertical="center"/>
    </xf>
    <xf numFmtId="38" fontId="3" fillId="0" borderId="0" xfId="0" applyNumberFormat="1" applyFont="1">
      <alignment vertical="center"/>
    </xf>
    <xf numFmtId="179" fontId="28" fillId="0" borderId="1" xfId="1" applyNumberFormat="1" applyFont="1" applyBorder="1">
      <alignment vertical="center"/>
    </xf>
    <xf numFmtId="38" fontId="28" fillId="0" borderId="14" xfId="0" applyNumberFormat="1" applyFont="1" applyBorder="1">
      <alignment vertical="center"/>
    </xf>
    <xf numFmtId="38" fontId="28" fillId="0" borderId="1" xfId="0" applyNumberFormat="1" applyFont="1" applyBorder="1">
      <alignment vertical="center"/>
    </xf>
    <xf numFmtId="38" fontId="25" fillId="0" borderId="0" xfId="0" applyNumberFormat="1" applyFont="1">
      <alignment vertical="center"/>
    </xf>
    <xf numFmtId="38" fontId="30" fillId="7" borderId="0" xfId="0" applyNumberFormat="1" applyFont="1" applyFill="1" applyAlignment="1">
      <alignment horizontal="right" vertical="center"/>
    </xf>
    <xf numFmtId="38" fontId="27" fillId="5" borderId="13" xfId="0" applyNumberFormat="1" applyFont="1" applyFill="1" applyBorder="1" applyAlignment="1">
      <alignment horizontal="right" vertical="center"/>
    </xf>
    <xf numFmtId="38" fontId="29" fillId="0" borderId="14" xfId="0" applyNumberFormat="1" applyFont="1" applyBorder="1" applyAlignment="1">
      <alignment horizontal="right" vertical="center"/>
    </xf>
    <xf numFmtId="38" fontId="29" fillId="0" borderId="13" xfId="0" applyNumberFormat="1" applyFont="1" applyBorder="1" applyAlignment="1">
      <alignment horizontal="right" vertical="center"/>
    </xf>
    <xf numFmtId="38" fontId="29" fillId="2" borderId="1" xfId="0" applyNumberFormat="1" applyFont="1" applyFill="1" applyBorder="1" applyAlignment="1">
      <alignment horizontal="center" vertical="center"/>
    </xf>
    <xf numFmtId="38" fontId="28" fillId="0" borderId="0" xfId="0" applyNumberFormat="1" applyFont="1">
      <alignment vertical="center"/>
    </xf>
    <xf numFmtId="38" fontId="29" fillId="0" borderId="13" xfId="0" applyNumberFormat="1" applyFont="1" applyBorder="1">
      <alignment vertical="center"/>
    </xf>
    <xf numFmtId="38" fontId="26" fillId="0" borderId="0" xfId="0" applyNumberFormat="1" applyFont="1">
      <alignment vertical="center"/>
    </xf>
    <xf numFmtId="38" fontId="26" fillId="0" borderId="6" xfId="0" applyNumberFormat="1" applyFont="1" applyBorder="1">
      <alignment vertical="center"/>
    </xf>
    <xf numFmtId="38" fontId="25" fillId="0" borderId="6" xfId="0" applyNumberFormat="1" applyFont="1" applyBorder="1">
      <alignment vertical="center"/>
    </xf>
    <xf numFmtId="182" fontId="27" fillId="5" borderId="5" xfId="0" applyNumberFormat="1" applyFont="1" applyFill="1" applyBorder="1">
      <alignment vertical="center"/>
    </xf>
    <xf numFmtId="182" fontId="26" fillId="0" borderId="5" xfId="0" applyNumberFormat="1" applyFont="1" applyBorder="1">
      <alignment vertical="center"/>
    </xf>
    <xf numFmtId="0" fontId="3" fillId="0" borderId="0" xfId="0" applyFont="1" applyAlignment="1">
      <alignment horizontal="right" vertical="center"/>
    </xf>
    <xf numFmtId="0" fontId="3" fillId="0" borderId="0" xfId="0" applyFont="1" applyAlignment="1">
      <alignment vertical="center" wrapText="1"/>
    </xf>
    <xf numFmtId="0" fontId="0" fillId="0" borderId="5" xfId="0" applyBorder="1">
      <alignment vertical="center"/>
    </xf>
    <xf numFmtId="0" fontId="0" fillId="9" borderId="5" xfId="0" applyFill="1" applyBorder="1">
      <alignment vertical="center"/>
    </xf>
    <xf numFmtId="0" fontId="37" fillId="6" borderId="26" xfId="0" applyFont="1" applyFill="1" applyBorder="1">
      <alignment vertical="center"/>
    </xf>
    <xf numFmtId="0" fontId="0" fillId="0" borderId="27" xfId="0" applyBorder="1" applyAlignment="1">
      <alignment horizontal="left" vertical="center"/>
    </xf>
    <xf numFmtId="0" fontId="41" fillId="0" borderId="0" xfId="0" applyFont="1">
      <alignment vertical="center"/>
    </xf>
    <xf numFmtId="0" fontId="42" fillId="0" borderId="0" xfId="5" applyFont="1">
      <alignment vertical="center"/>
    </xf>
    <xf numFmtId="0" fontId="43" fillId="0" borderId="0" xfId="6" applyNumberFormat="1" applyFont="1" applyFill="1" applyBorder="1" applyAlignment="1">
      <alignment horizontal="center" vertical="center"/>
    </xf>
    <xf numFmtId="0" fontId="44" fillId="0" borderId="0" xfId="6" applyNumberFormat="1" applyFont="1" applyFill="1" applyBorder="1" applyAlignment="1">
      <alignment horizontal="center" vertical="center" wrapText="1"/>
    </xf>
    <xf numFmtId="0" fontId="1" fillId="0" borderId="0" xfId="5">
      <alignment vertical="center"/>
    </xf>
    <xf numFmtId="0" fontId="1" fillId="0" borderId="0" xfId="7">
      <alignment vertical="center"/>
    </xf>
    <xf numFmtId="0" fontId="0" fillId="0" borderId="0" xfId="5" applyFont="1" applyAlignment="1">
      <alignment horizontal="right" vertical="center"/>
    </xf>
    <xf numFmtId="0" fontId="45" fillId="9" borderId="31" xfId="5" applyFont="1" applyFill="1" applyBorder="1" applyAlignment="1">
      <alignment horizontal="center" vertical="center" wrapText="1"/>
    </xf>
    <xf numFmtId="0" fontId="45" fillId="9" borderId="32" xfId="5" applyFont="1" applyFill="1" applyBorder="1" applyAlignment="1">
      <alignment horizontal="center" vertical="center"/>
    </xf>
    <xf numFmtId="0" fontId="45" fillId="9" borderId="9" xfId="5" applyFont="1" applyFill="1" applyBorder="1" applyAlignment="1">
      <alignment horizontal="center" vertical="center"/>
    </xf>
    <xf numFmtId="0" fontId="45" fillId="9" borderId="5" xfId="5" applyFont="1" applyFill="1" applyBorder="1" applyAlignment="1">
      <alignment horizontal="center" vertical="center" wrapText="1"/>
    </xf>
    <xf numFmtId="0" fontId="45" fillId="0" borderId="33" xfId="5" applyFont="1" applyBorder="1" applyAlignment="1">
      <alignment horizontal="center" vertical="center"/>
    </xf>
    <xf numFmtId="0" fontId="45" fillId="0" borderId="34" xfId="5" applyFont="1" applyBorder="1" applyAlignment="1">
      <alignment horizontal="center" vertical="center"/>
    </xf>
    <xf numFmtId="0" fontId="45" fillId="0" borderId="35" xfId="5" applyFont="1" applyBorder="1" applyAlignment="1">
      <alignment vertical="center" wrapText="1"/>
    </xf>
    <xf numFmtId="0" fontId="45" fillId="0" borderId="36" xfId="5" applyFont="1" applyBorder="1">
      <alignment vertical="center"/>
    </xf>
    <xf numFmtId="0" fontId="0" fillId="0" borderId="9" xfId="7" applyFont="1" applyBorder="1" applyAlignment="1">
      <alignment horizontal="center" vertical="center"/>
    </xf>
    <xf numFmtId="38" fontId="0" fillId="0" borderId="5" xfId="1" applyFont="1" applyBorder="1">
      <alignment vertical="center"/>
    </xf>
    <xf numFmtId="0" fontId="1" fillId="0" borderId="5" xfId="7" applyBorder="1">
      <alignment vertical="center"/>
    </xf>
    <xf numFmtId="38" fontId="1" fillId="0" borderId="5" xfId="1" applyBorder="1">
      <alignment vertical="center"/>
    </xf>
    <xf numFmtId="0" fontId="45" fillId="0" borderId="43" xfId="5" applyFont="1" applyBorder="1" applyAlignment="1">
      <alignment horizontal="center" vertical="center"/>
    </xf>
    <xf numFmtId="0" fontId="45" fillId="0" borderId="44" xfId="5" applyFont="1" applyBorder="1" applyAlignment="1">
      <alignment horizontal="center" vertical="center"/>
    </xf>
    <xf numFmtId="0" fontId="45" fillId="0" borderId="45" xfId="5" applyFont="1" applyBorder="1" applyAlignment="1">
      <alignment vertical="center" wrapText="1"/>
    </xf>
    <xf numFmtId="0" fontId="45" fillId="0" borderId="46" xfId="5" applyFont="1" applyBorder="1">
      <alignment vertical="center"/>
    </xf>
    <xf numFmtId="0" fontId="43" fillId="0" borderId="0" xfId="5" applyFont="1">
      <alignment vertical="center"/>
    </xf>
    <xf numFmtId="0" fontId="0" fillId="0" borderId="0" xfId="7" applyFont="1">
      <alignment vertical="center"/>
    </xf>
    <xf numFmtId="0" fontId="43" fillId="9" borderId="47" xfId="5" applyFont="1" applyFill="1" applyBorder="1" applyAlignment="1">
      <alignment horizontal="center" vertical="center" shrinkToFit="1"/>
    </xf>
    <xf numFmtId="0" fontId="43" fillId="9" borderId="48" xfId="6" applyNumberFormat="1" applyFont="1" applyFill="1" applyBorder="1" applyAlignment="1">
      <alignment horizontal="center" vertical="center" shrinkToFit="1"/>
    </xf>
    <xf numFmtId="0" fontId="45" fillId="9" borderId="49" xfId="5" applyFont="1" applyFill="1" applyBorder="1" applyAlignment="1">
      <alignment horizontal="center" vertical="center"/>
    </xf>
    <xf numFmtId="0" fontId="43" fillId="9" borderId="52" xfId="5" applyFont="1" applyFill="1" applyBorder="1" applyAlignment="1">
      <alignment horizontal="center" vertical="center" shrinkToFit="1"/>
    </xf>
    <xf numFmtId="0" fontId="43" fillId="9" borderId="42" xfId="6" applyNumberFormat="1" applyFont="1" applyFill="1" applyBorder="1" applyAlignment="1">
      <alignment horizontal="center" vertical="center" shrinkToFit="1"/>
    </xf>
    <xf numFmtId="38" fontId="43" fillId="9" borderId="41" xfId="6" applyFont="1" applyFill="1" applyBorder="1" applyAlignment="1">
      <alignment horizontal="center" vertical="center" wrapText="1" shrinkToFit="1"/>
    </xf>
    <xf numFmtId="0" fontId="43" fillId="0" borderId="54" xfId="5" applyFont="1" applyBorder="1" applyAlignment="1">
      <alignment horizontal="center" vertical="center" shrinkToFit="1"/>
    </xf>
    <xf numFmtId="38" fontId="44" fillId="0" borderId="55" xfId="6" applyFont="1" applyFill="1" applyBorder="1" applyAlignment="1">
      <alignment horizontal="center" vertical="center" shrinkToFit="1"/>
    </xf>
    <xf numFmtId="38" fontId="44" fillId="0" borderId="56" xfId="6" applyFont="1" applyFill="1" applyBorder="1" applyAlignment="1">
      <alignment horizontal="center" vertical="center" wrapText="1" shrinkToFit="1"/>
    </xf>
    <xf numFmtId="38" fontId="44" fillId="0" borderId="57" xfId="6" applyFont="1" applyFill="1" applyBorder="1" applyAlignment="1">
      <alignment horizontal="center" vertical="center" shrinkToFit="1"/>
    </xf>
    <xf numFmtId="184" fontId="44" fillId="0" borderId="57" xfId="6" applyNumberFormat="1" applyFont="1" applyFill="1" applyBorder="1" applyAlignment="1">
      <alignment horizontal="right" vertical="center" shrinkToFit="1"/>
    </xf>
    <xf numFmtId="184" fontId="44" fillId="0" borderId="57" xfId="8" applyNumberFormat="1" applyFont="1" applyFill="1" applyBorder="1" applyAlignment="1">
      <alignment horizontal="right" vertical="center" shrinkToFit="1"/>
    </xf>
    <xf numFmtId="184" fontId="44" fillId="9" borderId="57" xfId="8" applyNumberFormat="1" applyFont="1" applyFill="1" applyBorder="1" applyAlignment="1">
      <alignment horizontal="right" vertical="center" shrinkToFit="1"/>
    </xf>
    <xf numFmtId="184" fontId="44" fillId="12" borderId="58" xfId="8" applyNumberFormat="1" applyFont="1" applyFill="1" applyBorder="1" applyAlignment="1">
      <alignment horizontal="right" vertical="center" shrinkToFit="1"/>
    </xf>
    <xf numFmtId="0" fontId="43" fillId="0" borderId="59" xfId="5" applyFont="1" applyBorder="1" applyAlignment="1">
      <alignment horizontal="center" vertical="center" shrinkToFit="1"/>
    </xf>
    <xf numFmtId="38" fontId="44" fillId="0" borderId="60" xfId="6" applyFont="1" applyFill="1" applyBorder="1" applyAlignment="1">
      <alignment horizontal="center" vertical="center" shrinkToFit="1"/>
    </xf>
    <xf numFmtId="38" fontId="44" fillId="0" borderId="61" xfId="6" applyFont="1" applyFill="1" applyBorder="1" applyAlignment="1">
      <alignment horizontal="center" vertical="center" wrapText="1" shrinkToFit="1"/>
    </xf>
    <xf numFmtId="38" fontId="44" fillId="0" borderId="62" xfId="6" applyFont="1" applyFill="1" applyBorder="1" applyAlignment="1">
      <alignment horizontal="center" vertical="center" shrinkToFit="1"/>
    </xf>
    <xf numFmtId="184" fontId="44" fillId="0" borderId="62" xfId="6" applyNumberFormat="1" applyFont="1" applyFill="1" applyBorder="1" applyAlignment="1">
      <alignment horizontal="right" vertical="center" shrinkToFit="1"/>
    </xf>
    <xf numFmtId="184" fontId="44" fillId="0" borderId="62" xfId="8" applyNumberFormat="1" applyFont="1" applyFill="1" applyBorder="1" applyAlignment="1">
      <alignment horizontal="right" vertical="center" shrinkToFit="1"/>
    </xf>
    <xf numFmtId="184" fontId="44" fillId="9" borderId="62" xfId="8" applyNumberFormat="1" applyFont="1" applyFill="1" applyBorder="1" applyAlignment="1">
      <alignment horizontal="right" vertical="center" shrinkToFit="1"/>
    </xf>
    <xf numFmtId="184" fontId="44" fillId="12" borderId="63" xfId="8" applyNumberFormat="1" applyFont="1" applyFill="1" applyBorder="1" applyAlignment="1">
      <alignment horizontal="right" vertical="center" shrinkToFit="1"/>
    </xf>
    <xf numFmtId="0" fontId="44" fillId="0" borderId="62" xfId="6" applyNumberFormat="1" applyFont="1" applyFill="1" applyBorder="1" applyAlignment="1">
      <alignment horizontal="center" vertical="center" shrinkToFit="1"/>
    </xf>
    <xf numFmtId="0" fontId="43" fillId="0" borderId="64" xfId="5" applyFont="1" applyBorder="1" applyAlignment="1">
      <alignment horizontal="center" vertical="center" shrinkToFit="1"/>
    </xf>
    <xf numFmtId="38" fontId="44" fillId="0" borderId="65" xfId="6" applyFont="1" applyFill="1" applyBorder="1" applyAlignment="1">
      <alignment horizontal="center" vertical="center" wrapText="1" shrinkToFit="1"/>
    </xf>
    <xf numFmtId="0" fontId="44" fillId="0" borderId="66" xfId="6" applyNumberFormat="1" applyFont="1" applyFill="1" applyBorder="1" applyAlignment="1">
      <alignment horizontal="center" vertical="center" shrinkToFit="1"/>
    </xf>
    <xf numFmtId="184" fontId="44" fillId="0" borderId="66" xfId="6" applyNumberFormat="1" applyFont="1" applyFill="1" applyBorder="1" applyAlignment="1">
      <alignment horizontal="right" vertical="center" shrinkToFit="1"/>
    </xf>
    <xf numFmtId="184" fontId="44" fillId="0" borderId="66" xfId="8" applyNumberFormat="1" applyFont="1" applyFill="1" applyBorder="1" applyAlignment="1">
      <alignment horizontal="right" vertical="center" shrinkToFit="1"/>
    </xf>
    <xf numFmtId="184" fontId="44" fillId="9" borderId="66" xfId="8" applyNumberFormat="1" applyFont="1" applyFill="1" applyBorder="1" applyAlignment="1">
      <alignment horizontal="right" vertical="center" shrinkToFit="1"/>
    </xf>
    <xf numFmtId="184" fontId="44" fillId="12" borderId="67" xfId="8" applyNumberFormat="1" applyFont="1" applyFill="1" applyBorder="1" applyAlignment="1">
      <alignment horizontal="right" vertical="center" shrinkToFit="1"/>
    </xf>
    <xf numFmtId="184" fontId="44" fillId="13" borderId="71" xfId="8" applyNumberFormat="1" applyFont="1" applyFill="1" applyBorder="1" applyAlignment="1">
      <alignment horizontal="center" vertical="center" shrinkToFit="1"/>
    </xf>
    <xf numFmtId="184" fontId="44" fillId="13" borderId="72" xfId="8" applyNumberFormat="1" applyFont="1" applyFill="1" applyBorder="1" applyAlignment="1">
      <alignment horizontal="center" vertical="center" shrinkToFit="1"/>
    </xf>
    <xf numFmtId="184" fontId="44" fillId="13" borderId="76" xfId="8" applyNumberFormat="1" applyFont="1" applyFill="1" applyBorder="1" applyAlignment="1">
      <alignment horizontal="center" vertical="center" shrinkToFit="1"/>
    </xf>
    <xf numFmtId="185" fontId="44" fillId="13" borderId="80" xfId="8" applyNumberFormat="1" applyFont="1" applyFill="1" applyBorder="1" applyAlignment="1">
      <alignment horizontal="center" vertical="center" shrinkToFit="1"/>
    </xf>
    <xf numFmtId="184" fontId="44" fillId="14" borderId="84" xfId="8" applyNumberFormat="1" applyFont="1" applyFill="1" applyBorder="1" applyAlignment="1">
      <alignment horizontal="center" vertical="center" shrinkToFit="1"/>
    </xf>
    <xf numFmtId="0" fontId="0" fillId="15" borderId="87" xfId="0" applyFill="1" applyBorder="1" applyAlignment="1">
      <alignment horizontal="center" vertical="center" wrapText="1"/>
    </xf>
    <xf numFmtId="0" fontId="43" fillId="0" borderId="0" xfId="5" applyFont="1" applyAlignment="1">
      <alignment vertical="center" shrinkToFit="1"/>
    </xf>
    <xf numFmtId="38" fontId="1" fillId="0" borderId="0" xfId="1">
      <alignment vertical="center"/>
    </xf>
    <xf numFmtId="184" fontId="0" fillId="12" borderId="89" xfId="1" applyNumberFormat="1" applyFont="1" applyFill="1" applyBorder="1">
      <alignment vertical="center"/>
    </xf>
    <xf numFmtId="38" fontId="43" fillId="0" borderId="0" xfId="6" applyFont="1" applyFill="1" applyBorder="1" applyAlignment="1">
      <alignment horizontal="center" vertical="center"/>
    </xf>
    <xf numFmtId="38" fontId="44" fillId="0" borderId="0" xfId="6" applyFont="1" applyFill="1" applyBorder="1" applyAlignment="1">
      <alignment horizontal="center" vertical="center" wrapText="1"/>
    </xf>
    <xf numFmtId="38" fontId="1" fillId="0" borderId="0" xfId="5" applyNumberFormat="1">
      <alignment vertical="center"/>
    </xf>
    <xf numFmtId="184" fontId="0" fillId="12" borderId="92" xfId="0" applyNumberFormat="1" applyFill="1" applyBorder="1">
      <alignment vertical="center"/>
    </xf>
    <xf numFmtId="38" fontId="48" fillId="13" borderId="84" xfId="0" applyNumberFormat="1" applyFont="1" applyFill="1" applyBorder="1">
      <alignment vertical="center"/>
    </xf>
    <xf numFmtId="0" fontId="43" fillId="0" borderId="0" xfId="6" applyNumberFormat="1" applyFont="1" applyFill="1" applyBorder="1" applyAlignment="1">
      <alignment horizontal="center" vertical="center" shrinkToFit="1"/>
    </xf>
    <xf numFmtId="0" fontId="44" fillId="0" borderId="0" xfId="6" applyNumberFormat="1" applyFont="1" applyFill="1" applyBorder="1" applyAlignment="1">
      <alignment horizontal="center" vertical="center" wrapText="1" shrinkToFit="1"/>
    </xf>
    <xf numFmtId="0" fontId="37" fillId="0" borderId="0" xfId="0" applyFont="1" applyAlignment="1">
      <alignment horizontal="right" vertical="center"/>
    </xf>
    <xf numFmtId="186" fontId="40" fillId="0" borderId="0" xfId="0" applyNumberFormat="1" applyFont="1" applyAlignment="1">
      <alignment horizontal="left" vertical="center"/>
    </xf>
    <xf numFmtId="0" fontId="52" fillId="12" borderId="0" xfId="0" applyFont="1" applyFill="1" applyAlignment="1">
      <alignment horizontal="center" vertical="center"/>
    </xf>
    <xf numFmtId="0" fontId="40" fillId="12" borderId="0" xfId="0" applyFont="1" applyFill="1" applyAlignment="1">
      <alignment horizontal="center" vertical="center"/>
    </xf>
    <xf numFmtId="0" fontId="0" fillId="0" borderId="8" xfId="0" applyBorder="1">
      <alignment vertical="center"/>
    </xf>
    <xf numFmtId="10" fontId="0" fillId="0" borderId="8" xfId="0" applyNumberFormat="1" applyBorder="1">
      <alignment vertical="center"/>
    </xf>
    <xf numFmtId="10" fontId="0" fillId="6" borderId="8" xfId="0" applyNumberFormat="1" applyFill="1" applyBorder="1">
      <alignment vertical="center"/>
    </xf>
    <xf numFmtId="0" fontId="0" fillId="6" borderId="8" xfId="0" applyFill="1" applyBorder="1">
      <alignment vertical="center"/>
    </xf>
    <xf numFmtId="0" fontId="0" fillId="6" borderId="0" xfId="0" applyFill="1">
      <alignment vertical="center"/>
    </xf>
    <xf numFmtId="0" fontId="37" fillId="0" borderId="26" xfId="0" applyFont="1" applyBorder="1">
      <alignment vertical="center"/>
    </xf>
    <xf numFmtId="0" fontId="53" fillId="0" borderId="26" xfId="0" applyFont="1" applyBorder="1">
      <alignment vertical="center"/>
    </xf>
    <xf numFmtId="0" fontId="0" fillId="17" borderId="5" xfId="0" applyFill="1" applyBorder="1" applyAlignment="1">
      <alignment vertical="center" wrapText="1"/>
    </xf>
    <xf numFmtId="0" fontId="0" fillId="16" borderId="5" xfId="0" applyFill="1" applyBorder="1">
      <alignment vertical="center"/>
    </xf>
    <xf numFmtId="0" fontId="56" fillId="0" borderId="0" xfId="9">
      <alignment vertical="center"/>
    </xf>
    <xf numFmtId="0" fontId="60" fillId="0" borderId="0" xfId="0" applyFont="1" applyAlignment="1">
      <alignment horizontal="center" vertical="center" shrinkToFit="1"/>
    </xf>
    <xf numFmtId="187" fontId="60" fillId="0" borderId="0" xfId="0" applyNumberFormat="1" applyFont="1" applyAlignment="1">
      <alignment horizontal="right" vertical="center" shrinkToFit="1"/>
    </xf>
    <xf numFmtId="187" fontId="60" fillId="0" borderId="0" xfId="0" applyNumberFormat="1" applyFont="1" applyAlignment="1">
      <alignment horizontal="center" vertical="center" shrinkToFit="1"/>
    </xf>
    <xf numFmtId="0" fontId="60" fillId="0" borderId="0" xfId="0" applyFont="1" applyAlignment="1">
      <alignment horizontal="right" vertical="center" shrinkToFit="1"/>
    </xf>
    <xf numFmtId="0" fontId="63" fillId="0" borderId="0" xfId="0" applyFont="1" applyAlignment="1">
      <alignment horizontal="right" vertical="center" shrinkToFit="1"/>
    </xf>
    <xf numFmtId="0" fontId="60" fillId="0" borderId="0" xfId="0" applyFont="1" applyAlignment="1">
      <alignment vertical="center" shrinkToFit="1"/>
    </xf>
    <xf numFmtId="0" fontId="42" fillId="19" borderId="105" xfId="1" applyNumberFormat="1" applyFont="1" applyFill="1" applyBorder="1" applyAlignment="1">
      <alignment horizontal="center" vertical="center"/>
    </xf>
    <xf numFmtId="187" fontId="65" fillId="19" borderId="105" xfId="0" applyNumberFormat="1" applyFont="1" applyFill="1" applyBorder="1" applyAlignment="1">
      <alignment horizontal="center" vertical="center" shrinkToFit="1"/>
    </xf>
    <xf numFmtId="188" fontId="67" fillId="23" borderId="105" xfId="13" applyNumberFormat="1" applyFont="1" applyFill="1" applyBorder="1" applyAlignment="1">
      <alignment horizontal="center" vertical="center" shrinkToFit="1"/>
    </xf>
    <xf numFmtId="188" fontId="68" fillId="23" borderId="105" xfId="13" applyNumberFormat="1" applyFont="1" applyFill="1" applyBorder="1" applyAlignment="1">
      <alignment horizontal="center" vertical="center" shrinkToFit="1"/>
    </xf>
    <xf numFmtId="188" fontId="67" fillId="23" borderId="106" xfId="13" applyNumberFormat="1" applyFont="1" applyFill="1" applyBorder="1" applyAlignment="1">
      <alignment horizontal="center" vertical="center" shrinkToFit="1"/>
    </xf>
    <xf numFmtId="188" fontId="68" fillId="13" borderId="113" xfId="13" applyNumberFormat="1" applyFont="1" applyFill="1" applyBorder="1" applyAlignment="1">
      <alignment horizontal="center" vertical="center" shrinkToFit="1"/>
    </xf>
    <xf numFmtId="188" fontId="68" fillId="23" borderId="108" xfId="13" applyNumberFormat="1" applyFont="1" applyFill="1" applyBorder="1" applyAlignment="1">
      <alignment horizontal="center" vertical="center" shrinkToFit="1"/>
    </xf>
    <xf numFmtId="188" fontId="68" fillId="23" borderId="106" xfId="13" applyNumberFormat="1" applyFont="1" applyFill="1" applyBorder="1" applyAlignment="1">
      <alignment horizontal="center" vertical="center" shrinkToFit="1"/>
    </xf>
    <xf numFmtId="188" fontId="67" fillId="23" borderId="108" xfId="13" applyNumberFormat="1" applyFont="1" applyFill="1" applyBorder="1" applyAlignment="1">
      <alignment horizontal="center" vertical="center" shrinkToFit="1"/>
    </xf>
    <xf numFmtId="188" fontId="69" fillId="23" borderId="114" xfId="13" applyNumberFormat="1" applyFont="1" applyFill="1" applyBorder="1" applyAlignment="1">
      <alignment horizontal="center" vertical="center" shrinkToFit="1"/>
    </xf>
    <xf numFmtId="188" fontId="70" fillId="0" borderId="0" xfId="13" applyNumberFormat="1" applyFont="1" applyAlignment="1">
      <alignment horizontal="center" vertical="center" shrinkToFit="1"/>
    </xf>
    <xf numFmtId="0" fontId="62" fillId="0" borderId="0" xfId="0" applyFont="1" applyAlignment="1">
      <alignment vertical="center" shrinkToFit="1"/>
    </xf>
    <xf numFmtId="0" fontId="65" fillId="19" borderId="116" xfId="11" applyFont="1" applyFill="1" applyBorder="1" applyAlignment="1">
      <alignment horizontal="center" vertical="center" shrinkToFit="1"/>
    </xf>
    <xf numFmtId="0" fontId="65" fillId="19" borderId="37" xfId="11" applyFont="1" applyFill="1" applyBorder="1" applyAlignment="1">
      <alignment horizontal="center" vertical="center" shrinkToFit="1"/>
    </xf>
    <xf numFmtId="0" fontId="65" fillId="19" borderId="27" xfId="11" applyFont="1" applyFill="1" applyBorder="1" applyAlignment="1">
      <alignment horizontal="center" vertical="center" shrinkToFit="1"/>
    </xf>
    <xf numFmtId="187" fontId="65" fillId="19" borderId="27" xfId="1" applyNumberFormat="1" applyFont="1" applyFill="1" applyBorder="1" applyAlignment="1">
      <alignment horizontal="center" vertical="center" shrinkToFit="1"/>
    </xf>
    <xf numFmtId="187" fontId="65" fillId="19" borderId="26" xfId="0" applyNumberFormat="1" applyFont="1" applyFill="1" applyBorder="1" applyAlignment="1">
      <alignment horizontal="center" vertical="center" shrinkToFit="1"/>
    </xf>
    <xf numFmtId="187" fontId="65" fillId="19" borderId="26" xfId="11" applyNumberFormat="1" applyFont="1" applyFill="1" applyBorder="1" applyAlignment="1">
      <alignment horizontal="center" vertical="center" shrinkToFit="1"/>
    </xf>
    <xf numFmtId="187" fontId="65" fillId="19" borderId="26" xfId="11" applyNumberFormat="1" applyFont="1" applyFill="1" applyBorder="1" applyAlignment="1">
      <alignment horizontal="center" vertical="center" wrapText="1" shrinkToFit="1"/>
    </xf>
    <xf numFmtId="187" fontId="65" fillId="19" borderId="27" xfId="0" applyNumberFormat="1" applyFont="1" applyFill="1" applyBorder="1" applyAlignment="1">
      <alignment horizontal="center" vertical="center" shrinkToFit="1"/>
    </xf>
    <xf numFmtId="38" fontId="62" fillId="19" borderId="27" xfId="1" applyFont="1" applyFill="1" applyBorder="1" applyAlignment="1">
      <alignment horizontal="center" vertical="center" shrinkToFit="1"/>
    </xf>
    <xf numFmtId="38" fontId="62" fillId="20" borderId="27" xfId="1" applyFont="1" applyFill="1" applyBorder="1" applyAlignment="1">
      <alignment horizontal="center" vertical="center" shrinkToFit="1"/>
    </xf>
    <xf numFmtId="0" fontId="50" fillId="17" borderId="27" xfId="13" applyFont="1" applyFill="1" applyBorder="1" applyAlignment="1">
      <alignment horizontal="center" vertical="center"/>
    </xf>
    <xf numFmtId="0" fontId="62" fillId="17" borderId="27" xfId="13" applyFont="1" applyFill="1" applyBorder="1" applyAlignment="1">
      <alignment horizontal="center" vertical="center"/>
    </xf>
    <xf numFmtId="0" fontId="62" fillId="17" borderId="27" xfId="13" applyFont="1" applyFill="1" applyBorder="1" applyAlignment="1">
      <alignment horizontal="center" vertical="center" wrapText="1"/>
    </xf>
    <xf numFmtId="0" fontId="62" fillId="24" borderId="27" xfId="0" applyFont="1" applyFill="1" applyBorder="1" applyAlignment="1">
      <alignment horizontal="center" vertical="center" shrinkToFit="1"/>
    </xf>
    <xf numFmtId="0" fontId="62" fillId="24" borderId="27" xfId="13" applyFont="1" applyFill="1" applyBorder="1" applyAlignment="1">
      <alignment horizontal="center" vertical="center"/>
    </xf>
    <xf numFmtId="0" fontId="50" fillId="24" borderId="27" xfId="13" applyFont="1" applyFill="1" applyBorder="1" applyAlignment="1">
      <alignment horizontal="center" vertical="center"/>
    </xf>
    <xf numFmtId="0" fontId="62" fillId="24" borderId="27" xfId="13" applyFont="1" applyFill="1" applyBorder="1" applyAlignment="1">
      <alignment horizontal="center" vertical="center" wrapText="1"/>
    </xf>
    <xf numFmtId="0" fontId="50" fillId="24" borderId="27" xfId="13" applyFont="1" applyFill="1" applyBorder="1" applyAlignment="1">
      <alignment horizontal="center" vertical="center" wrapText="1"/>
    </xf>
    <xf numFmtId="0" fontId="50" fillId="24" borderId="117" xfId="13" applyFont="1" applyFill="1" applyBorder="1" applyAlignment="1">
      <alignment horizontal="center" vertical="center" wrapText="1"/>
    </xf>
    <xf numFmtId="0" fontId="69" fillId="23" borderId="27" xfId="13" applyFont="1" applyFill="1" applyBorder="1" applyAlignment="1">
      <alignment horizontal="center" vertical="center"/>
    </xf>
    <xf numFmtId="0" fontId="68" fillId="23" borderId="27" xfId="13" applyFont="1" applyFill="1" applyBorder="1" applyAlignment="1">
      <alignment horizontal="center" vertical="center"/>
    </xf>
    <xf numFmtId="189" fontId="67" fillId="23" borderId="27" xfId="13" applyNumberFormat="1" applyFont="1" applyFill="1" applyBorder="1" applyAlignment="1">
      <alignment horizontal="center" vertical="center"/>
    </xf>
    <xf numFmtId="189" fontId="68" fillId="23" borderId="27" xfId="13" applyNumberFormat="1" applyFont="1" applyFill="1" applyBorder="1" applyAlignment="1">
      <alignment horizontal="center" vertical="center"/>
    </xf>
    <xf numFmtId="189" fontId="67" fillId="23" borderId="37" xfId="13" applyNumberFormat="1" applyFont="1" applyFill="1" applyBorder="1" applyAlignment="1">
      <alignment horizontal="center" vertical="center"/>
    </xf>
    <xf numFmtId="189" fontId="68" fillId="13" borderId="119" xfId="13" applyNumberFormat="1" applyFont="1" applyFill="1" applyBorder="1" applyAlignment="1">
      <alignment horizontal="center" vertical="center"/>
    </xf>
    <xf numFmtId="189" fontId="68" fillId="23" borderId="39" xfId="13" applyNumberFormat="1" applyFont="1" applyFill="1" applyBorder="1" applyAlignment="1">
      <alignment horizontal="center" vertical="center"/>
    </xf>
    <xf numFmtId="189" fontId="68" fillId="23" borderId="37" xfId="13" applyNumberFormat="1" applyFont="1" applyFill="1" applyBorder="1" applyAlignment="1">
      <alignment horizontal="center" vertical="center"/>
    </xf>
    <xf numFmtId="189" fontId="67" fillId="23" borderId="39" xfId="13" applyNumberFormat="1" applyFont="1" applyFill="1" applyBorder="1" applyAlignment="1">
      <alignment horizontal="center" vertical="center"/>
    </xf>
    <xf numFmtId="189" fontId="69" fillId="23" borderId="117" xfId="13" applyNumberFormat="1" applyFont="1" applyFill="1" applyBorder="1" applyAlignment="1">
      <alignment horizontal="center" vertical="center"/>
    </xf>
    <xf numFmtId="189" fontId="70" fillId="0" borderId="0" xfId="13" applyNumberFormat="1" applyFont="1" applyAlignment="1">
      <alignment horizontal="center" vertical="center"/>
    </xf>
    <xf numFmtId="0" fontId="62" fillId="0" borderId="0" xfId="0" applyFont="1" applyAlignment="1">
      <alignment horizontal="center" vertical="center" shrinkToFit="1"/>
    </xf>
    <xf numFmtId="0" fontId="71" fillId="0" borderId="122" xfId="11" applyFont="1" applyBorder="1" applyAlignment="1">
      <alignment horizontal="center" vertical="center" shrinkToFit="1"/>
    </xf>
    <xf numFmtId="0" fontId="64" fillId="0" borderId="123" xfId="11" applyFont="1" applyBorder="1" applyAlignment="1">
      <alignment horizontal="center" vertical="center" shrinkToFit="1"/>
    </xf>
    <xf numFmtId="0" fontId="64" fillId="0" borderId="50" xfId="11" applyFont="1" applyBorder="1" applyAlignment="1">
      <alignment horizontal="center" vertical="center" shrinkToFit="1"/>
    </xf>
    <xf numFmtId="0" fontId="61" fillId="20" borderId="50" xfId="1" applyNumberFormat="1" applyFont="1" applyFill="1" applyBorder="1" applyAlignment="1">
      <alignment horizontal="center" vertical="center" shrinkToFit="1"/>
    </xf>
    <xf numFmtId="0" fontId="61" fillId="0" borderId="50" xfId="1" applyNumberFormat="1" applyFont="1" applyFill="1" applyBorder="1" applyAlignment="1">
      <alignment vertical="center" shrinkToFit="1"/>
    </xf>
    <xf numFmtId="38" fontId="71" fillId="0" borderId="50" xfId="1" applyFont="1" applyBorder="1" applyAlignment="1">
      <alignment horizontal="right" vertical="center" shrinkToFit="1"/>
    </xf>
    <xf numFmtId="187" fontId="71" fillId="0" borderId="50" xfId="1" applyNumberFormat="1" applyFont="1" applyBorder="1" applyAlignment="1">
      <alignment horizontal="right" vertical="center" shrinkToFit="1"/>
    </xf>
    <xf numFmtId="187" fontId="64" fillId="0" borderId="50" xfId="1" applyNumberFormat="1" applyFont="1" applyFill="1" applyBorder="1" applyAlignment="1">
      <alignment horizontal="center" vertical="center" shrinkToFit="1"/>
    </xf>
    <xf numFmtId="187" fontId="71" fillId="0" borderId="50" xfId="1" applyNumberFormat="1" applyFont="1" applyBorder="1" applyAlignment="1">
      <alignment horizontal="center" vertical="center" shrinkToFit="1"/>
    </xf>
    <xf numFmtId="187" fontId="64" fillId="0" borderId="50" xfId="1" applyNumberFormat="1" applyFont="1" applyFill="1" applyBorder="1" applyAlignment="1">
      <alignment horizontal="right" vertical="center" shrinkToFit="1"/>
    </xf>
    <xf numFmtId="38" fontId="71" fillId="0" borderId="50" xfId="1" applyFont="1" applyBorder="1" applyAlignment="1">
      <alignment horizontal="center" vertical="center" shrinkToFit="1"/>
    </xf>
    <xf numFmtId="187" fontId="71" fillId="0" borderId="50" xfId="11" applyNumberFormat="1" applyFont="1" applyBorder="1" applyAlignment="1">
      <alignment horizontal="center" vertical="center" shrinkToFit="1"/>
    </xf>
    <xf numFmtId="0" fontId="61" fillId="0" borderId="50" xfId="1" applyNumberFormat="1" applyFont="1" applyFill="1" applyBorder="1" applyAlignment="1">
      <alignment horizontal="center" vertical="center" shrinkToFit="1"/>
    </xf>
    <xf numFmtId="0" fontId="71" fillId="0" borderId="50" xfId="0" applyFont="1" applyBorder="1" applyAlignment="1">
      <alignment horizontal="center" vertical="center"/>
    </xf>
    <xf numFmtId="0" fontId="71" fillId="0" borderId="50" xfId="11" applyFont="1" applyBorder="1" applyAlignment="1">
      <alignment horizontal="center" vertical="center" shrinkToFit="1"/>
    </xf>
    <xf numFmtId="41" fontId="64" fillId="17" borderId="124" xfId="0" applyNumberFormat="1" applyFont="1" applyFill="1" applyBorder="1" applyAlignment="1">
      <alignment horizontal="center" vertical="center" shrinkToFit="1"/>
    </xf>
    <xf numFmtId="190" fontId="64" fillId="17" borderId="124" xfId="0" applyNumberFormat="1" applyFont="1" applyFill="1" applyBorder="1" applyAlignment="1">
      <alignment horizontal="right" vertical="center" shrinkToFit="1"/>
    </xf>
    <xf numFmtId="190" fontId="72" fillId="17" borderId="50" xfId="0" applyNumberFormat="1" applyFont="1" applyFill="1" applyBorder="1" applyAlignment="1">
      <alignment vertical="center" shrinkToFit="1"/>
    </xf>
    <xf numFmtId="191" fontId="64" fillId="17" borderId="124" xfId="0" applyNumberFormat="1" applyFont="1" applyFill="1" applyBorder="1" applyAlignment="1">
      <alignment horizontal="right" vertical="center" shrinkToFit="1"/>
    </xf>
    <xf numFmtId="192" fontId="64" fillId="17" borderId="124" xfId="0" applyNumberFormat="1" applyFont="1" applyFill="1" applyBorder="1" applyAlignment="1">
      <alignment horizontal="right" vertical="center" shrinkToFit="1"/>
    </xf>
    <xf numFmtId="180" fontId="72" fillId="25" borderId="50" xfId="0" applyNumberFormat="1" applyFont="1" applyFill="1" applyBorder="1" applyAlignment="1">
      <alignment vertical="center" shrinkToFit="1"/>
    </xf>
    <xf numFmtId="9" fontId="72" fillId="25" borderId="50" xfId="10" applyFont="1" applyFill="1" applyBorder="1" applyAlignment="1">
      <alignment vertical="center" shrinkToFit="1"/>
    </xf>
    <xf numFmtId="0" fontId="64" fillId="24" borderId="124" xfId="0" applyFont="1" applyFill="1" applyBorder="1" applyAlignment="1">
      <alignment horizontal="center" vertical="center" shrinkToFit="1"/>
    </xf>
    <xf numFmtId="41" fontId="64" fillId="24" borderId="124" xfId="0" applyNumberFormat="1" applyFont="1" applyFill="1" applyBorder="1" applyAlignment="1">
      <alignment horizontal="center" vertical="center" shrinkToFit="1"/>
    </xf>
    <xf numFmtId="190" fontId="64" fillId="24" borderId="124" xfId="0" applyNumberFormat="1" applyFont="1" applyFill="1" applyBorder="1" applyAlignment="1">
      <alignment horizontal="right" vertical="center" shrinkToFit="1"/>
    </xf>
    <xf numFmtId="190" fontId="72" fillId="24" borderId="50" xfId="0" applyNumberFormat="1" applyFont="1" applyFill="1" applyBorder="1" applyAlignment="1">
      <alignment vertical="center" shrinkToFit="1"/>
    </xf>
    <xf numFmtId="191" fontId="64" fillId="24" borderId="124" xfId="0" applyNumberFormat="1" applyFont="1" applyFill="1" applyBorder="1" applyAlignment="1">
      <alignment horizontal="right" vertical="center" shrinkToFit="1"/>
    </xf>
    <xf numFmtId="192" fontId="64" fillId="24" borderId="125" xfId="0" applyNumberFormat="1" applyFont="1" applyFill="1" applyBorder="1" applyAlignment="1">
      <alignment horizontal="right" vertical="center" shrinkToFit="1"/>
    </xf>
    <xf numFmtId="180" fontId="72" fillId="25" borderId="48" xfId="0" applyNumberFormat="1" applyFont="1" applyFill="1" applyBorder="1" applyAlignment="1">
      <alignment vertical="center" shrinkToFit="1"/>
    </xf>
    <xf numFmtId="41" fontId="64" fillId="20" borderId="126" xfId="0" applyNumberFormat="1" applyFont="1" applyFill="1" applyBorder="1" applyAlignment="1">
      <alignment horizontal="center" vertical="center" shrinkToFit="1"/>
    </xf>
    <xf numFmtId="41" fontId="24" fillId="0" borderId="127" xfId="0" applyNumberFormat="1" applyFont="1" applyBorder="1" applyAlignment="1">
      <alignment horizontal="center" vertical="center" shrinkToFit="1"/>
    </xf>
    <xf numFmtId="14" fontId="24" fillId="0" borderId="128" xfId="0" applyNumberFormat="1" applyFont="1" applyBorder="1" applyAlignment="1">
      <alignment horizontal="center" vertical="center" shrinkToFit="1"/>
    </xf>
    <xf numFmtId="41" fontId="24" fillId="0" borderId="128" xfId="0" applyNumberFormat="1" applyFont="1" applyBorder="1" applyAlignment="1">
      <alignment horizontal="center" vertical="center" shrinkToFit="1"/>
    </xf>
    <xf numFmtId="41" fontId="24" fillId="0" borderId="124" xfId="0" applyNumberFormat="1" applyFont="1" applyBorder="1" applyAlignment="1">
      <alignment vertical="center" shrinkToFit="1"/>
    </xf>
    <xf numFmtId="41" fontId="24" fillId="0" borderId="126" xfId="0" applyNumberFormat="1" applyFont="1" applyBorder="1" applyAlignment="1">
      <alignment vertical="center" shrinkToFit="1"/>
    </xf>
    <xf numFmtId="193" fontId="24" fillId="26" borderId="129" xfId="14" applyNumberFormat="1" applyFont="1" applyFill="1" applyBorder="1" applyAlignment="1">
      <alignment horizontal="center" vertical="center" shrinkToFit="1"/>
    </xf>
    <xf numFmtId="194" fontId="24" fillId="2" borderId="130" xfId="14" applyNumberFormat="1" applyFont="1" applyFill="1" applyBorder="1" applyAlignment="1">
      <alignment horizontal="center" vertical="center" shrinkToFit="1"/>
    </xf>
    <xf numFmtId="41" fontId="24" fillId="0" borderId="131" xfId="0" applyNumberFormat="1" applyFont="1" applyBorder="1" applyAlignment="1">
      <alignment vertical="center" shrinkToFit="1"/>
    </xf>
    <xf numFmtId="41" fontId="24" fillId="12" borderId="132" xfId="0" applyNumberFormat="1" applyFont="1" applyFill="1" applyBorder="1" applyAlignment="1">
      <alignment vertical="center" shrinkToFit="1"/>
    </xf>
    <xf numFmtId="41" fontId="24" fillId="0" borderId="133" xfId="0" applyNumberFormat="1" applyFont="1" applyBorder="1" applyAlignment="1">
      <alignment vertical="center" shrinkToFit="1"/>
    </xf>
    <xf numFmtId="41" fontId="24" fillId="0" borderId="130" xfId="0" applyNumberFormat="1" applyFont="1" applyBorder="1" applyAlignment="1">
      <alignment vertical="center" shrinkToFit="1"/>
    </xf>
    <xf numFmtId="195" fontId="24" fillId="2" borderId="134" xfId="14" applyNumberFormat="1" applyFont="1" applyFill="1" applyBorder="1" applyAlignment="1">
      <alignment horizontal="center" vertical="center" shrinkToFit="1"/>
    </xf>
    <xf numFmtId="196" fontId="24" fillId="26" borderId="135" xfId="14" applyNumberFormat="1" applyFont="1" applyFill="1" applyBorder="1" applyAlignment="1">
      <alignment horizontal="center" vertical="center" shrinkToFit="1"/>
    </xf>
    <xf numFmtId="41" fontId="24" fillId="0" borderId="136" xfId="0" applyNumberFormat="1" applyFont="1" applyBorder="1" applyAlignment="1">
      <alignment vertical="center" shrinkToFit="1"/>
    </xf>
    <xf numFmtId="41" fontId="64" fillId="0" borderId="0" xfId="0" applyNumberFormat="1" applyFont="1" applyAlignment="1">
      <alignment vertical="center" shrinkToFit="1"/>
    </xf>
    <xf numFmtId="0" fontId="61" fillId="0" borderId="115" xfId="1" applyNumberFormat="1" applyFont="1" applyFill="1" applyBorder="1" applyAlignment="1">
      <alignment vertical="center" shrinkToFit="1"/>
    </xf>
    <xf numFmtId="0" fontId="61" fillId="0" borderId="51" xfId="1" applyNumberFormat="1" applyFont="1" applyFill="1" applyBorder="1" applyAlignment="1">
      <alignment vertical="center" shrinkToFit="1"/>
    </xf>
    <xf numFmtId="0" fontId="60" fillId="0" borderId="137" xfId="0" applyFont="1" applyBorder="1" applyAlignment="1">
      <alignment vertical="center" shrinkToFit="1"/>
    </xf>
    <xf numFmtId="0" fontId="64" fillId="0" borderId="138" xfId="11" applyFont="1" applyBorder="1" applyAlignment="1">
      <alignment horizontal="center" vertical="center" shrinkToFit="1"/>
    </xf>
    <xf numFmtId="0" fontId="64" fillId="0" borderId="139" xfId="11" applyFont="1" applyBorder="1" applyAlignment="1">
      <alignment horizontal="center" vertical="center" shrinkToFit="1"/>
    </xf>
    <xf numFmtId="0" fontId="64" fillId="0" borderId="26" xfId="11" applyFont="1" applyBorder="1" applyAlignment="1">
      <alignment horizontal="center" vertical="center" shrinkToFit="1"/>
    </xf>
    <xf numFmtId="0" fontId="61" fillId="20" borderId="26" xfId="1" applyNumberFormat="1" applyFont="1" applyFill="1" applyBorder="1" applyAlignment="1">
      <alignment horizontal="center" vertical="center" shrinkToFit="1"/>
    </xf>
    <xf numFmtId="0" fontId="61" fillId="0" borderId="26" xfId="1" applyNumberFormat="1" applyFont="1" applyFill="1" applyBorder="1" applyAlignment="1">
      <alignment vertical="center" shrinkToFit="1"/>
    </xf>
    <xf numFmtId="187" fontId="71" fillId="0" borderId="26" xfId="1" applyNumberFormat="1" applyFont="1" applyBorder="1" applyAlignment="1">
      <alignment horizontal="right" vertical="center" shrinkToFit="1"/>
    </xf>
    <xf numFmtId="187" fontId="71" fillId="0" borderId="26" xfId="11" applyNumberFormat="1" applyFont="1" applyBorder="1" applyAlignment="1">
      <alignment horizontal="right" vertical="center" shrinkToFit="1"/>
    </xf>
    <xf numFmtId="187" fontId="71" fillId="0" borderId="26" xfId="11" applyNumberFormat="1" applyFont="1" applyBorder="1" applyAlignment="1">
      <alignment horizontal="center" vertical="center" shrinkToFit="1"/>
    </xf>
    <xf numFmtId="0" fontId="61" fillId="0" borderId="26" xfId="1" applyNumberFormat="1" applyFont="1" applyFill="1" applyBorder="1" applyAlignment="1">
      <alignment horizontal="center" vertical="center" shrinkToFit="1"/>
    </xf>
    <xf numFmtId="0" fontId="73" fillId="25" borderId="26" xfId="1" applyNumberFormat="1" applyFont="1" applyFill="1" applyBorder="1" applyAlignment="1">
      <alignment horizontal="center" vertical="center" shrinkToFit="1"/>
    </xf>
    <xf numFmtId="0" fontId="71" fillId="0" borderId="26" xfId="11" applyFont="1" applyBorder="1" applyAlignment="1">
      <alignment horizontal="center" vertical="center" shrinkToFit="1"/>
    </xf>
    <xf numFmtId="41" fontId="64" fillId="17" borderId="140" xfId="0" applyNumberFormat="1" applyFont="1" applyFill="1" applyBorder="1" applyAlignment="1">
      <alignment horizontal="center" vertical="center" shrinkToFit="1"/>
    </xf>
    <xf numFmtId="190" fontId="64" fillId="17" borderId="140" xfId="0" applyNumberFormat="1" applyFont="1" applyFill="1" applyBorder="1" applyAlignment="1">
      <alignment horizontal="right" vertical="center" shrinkToFit="1"/>
    </xf>
    <xf numFmtId="190" fontId="72" fillId="17" borderId="26" xfId="0" applyNumberFormat="1" applyFont="1" applyFill="1" applyBorder="1" applyAlignment="1">
      <alignment vertical="center" shrinkToFit="1"/>
    </xf>
    <xf numFmtId="191" fontId="64" fillId="17" borderId="140" xfId="0" applyNumberFormat="1" applyFont="1" applyFill="1" applyBorder="1" applyAlignment="1">
      <alignment horizontal="right" vertical="center" shrinkToFit="1"/>
    </xf>
    <xf numFmtId="192" fontId="64" fillId="17" borderId="140" xfId="0" applyNumberFormat="1" applyFont="1" applyFill="1" applyBorder="1" applyAlignment="1">
      <alignment horizontal="right" vertical="center" shrinkToFit="1"/>
    </xf>
    <xf numFmtId="180" fontId="72" fillId="25" borderId="26" xfId="0" applyNumberFormat="1" applyFont="1" applyFill="1" applyBorder="1" applyAlignment="1">
      <alignment vertical="center" shrinkToFit="1"/>
    </xf>
    <xf numFmtId="9" fontId="72" fillId="25" borderId="26" xfId="10" applyFont="1" applyFill="1" applyBorder="1" applyAlignment="1">
      <alignment vertical="center" shrinkToFit="1"/>
    </xf>
    <xf numFmtId="0" fontId="64" fillId="24" borderId="140" xfId="0" applyFont="1" applyFill="1" applyBorder="1" applyAlignment="1">
      <alignment horizontal="center" vertical="center" shrinkToFit="1"/>
    </xf>
    <xf numFmtId="41" fontId="64" fillId="24" borderId="140" xfId="0" applyNumberFormat="1" applyFont="1" applyFill="1" applyBorder="1" applyAlignment="1">
      <alignment horizontal="center" vertical="center" shrinkToFit="1"/>
    </xf>
    <xf numFmtId="190" fontId="64" fillId="24" borderId="140" xfId="0" applyNumberFormat="1" applyFont="1" applyFill="1" applyBorder="1" applyAlignment="1">
      <alignment horizontal="right" vertical="center" shrinkToFit="1"/>
    </xf>
    <xf numFmtId="190" fontId="72" fillId="24" borderId="26" xfId="0" applyNumberFormat="1" applyFont="1" applyFill="1" applyBorder="1" applyAlignment="1">
      <alignment vertical="center" shrinkToFit="1"/>
    </xf>
    <xf numFmtId="191" fontId="64" fillId="24" borderId="140" xfId="0" applyNumberFormat="1" applyFont="1" applyFill="1" applyBorder="1" applyAlignment="1">
      <alignment horizontal="right" vertical="center" shrinkToFit="1"/>
    </xf>
    <xf numFmtId="192" fontId="64" fillId="24" borderId="141" xfId="0" applyNumberFormat="1" applyFont="1" applyFill="1" applyBorder="1" applyAlignment="1">
      <alignment horizontal="right" vertical="center" shrinkToFit="1"/>
    </xf>
    <xf numFmtId="180" fontId="72" fillId="25" borderId="142" xfId="0" applyNumberFormat="1" applyFont="1" applyFill="1" applyBorder="1" applyAlignment="1">
      <alignment vertical="center" shrinkToFit="1"/>
    </xf>
    <xf numFmtId="41" fontId="64" fillId="20" borderId="143" xfId="0" applyNumberFormat="1" applyFont="1" applyFill="1" applyBorder="1" applyAlignment="1">
      <alignment horizontal="center" vertical="center" shrinkToFit="1"/>
    </xf>
    <xf numFmtId="41" fontId="24" fillId="0" borderId="144" xfId="0" applyNumberFormat="1" applyFont="1" applyBorder="1" applyAlignment="1">
      <alignment horizontal="center" vertical="center" shrinkToFit="1"/>
    </xf>
    <xf numFmtId="41" fontId="24" fillId="0" borderId="145" xfId="0" applyNumberFormat="1" applyFont="1" applyBorder="1" applyAlignment="1">
      <alignment vertical="center" shrinkToFit="1"/>
    </xf>
    <xf numFmtId="41" fontId="24" fillId="0" borderId="143" xfId="0" applyNumberFormat="1" applyFont="1" applyBorder="1" applyAlignment="1">
      <alignment vertical="center" shrinkToFit="1"/>
    </xf>
    <xf numFmtId="193" fontId="24" fillId="26" borderId="146" xfId="14" applyNumberFormat="1" applyFont="1" applyFill="1" applyBorder="1" applyAlignment="1">
      <alignment horizontal="center" vertical="center" shrinkToFit="1"/>
    </xf>
    <xf numFmtId="41" fontId="24" fillId="2" borderId="147" xfId="0" applyNumberFormat="1" applyFont="1" applyFill="1" applyBorder="1" applyAlignment="1">
      <alignment vertical="center" shrinkToFit="1"/>
    </xf>
    <xf numFmtId="41" fontId="24" fillId="0" borderId="148" xfId="0" applyNumberFormat="1" applyFont="1" applyBorder="1" applyAlignment="1">
      <alignment vertical="center" shrinkToFit="1"/>
    </xf>
    <xf numFmtId="41" fontId="24" fillId="12" borderId="149" xfId="0" applyNumberFormat="1" applyFont="1" applyFill="1" applyBorder="1" applyAlignment="1">
      <alignment vertical="center" shrinkToFit="1"/>
    </xf>
    <xf numFmtId="41" fontId="24" fillId="0" borderId="150" xfId="0" applyNumberFormat="1" applyFont="1" applyBorder="1" applyAlignment="1">
      <alignment vertical="center" shrinkToFit="1"/>
    </xf>
    <xf numFmtId="41" fontId="24" fillId="0" borderId="151" xfId="0" applyNumberFormat="1" applyFont="1" applyBorder="1" applyAlignment="1">
      <alignment vertical="center" shrinkToFit="1"/>
    </xf>
    <xf numFmtId="195" fontId="24" fillId="2" borderId="151" xfId="14" applyNumberFormat="1" applyFont="1" applyFill="1" applyBorder="1" applyAlignment="1">
      <alignment horizontal="center" vertical="center" shrinkToFit="1"/>
    </xf>
    <xf numFmtId="196" fontId="24" fillId="26" borderId="152" xfId="14" applyNumberFormat="1" applyFont="1" applyFill="1" applyBorder="1" applyAlignment="1">
      <alignment horizontal="center" vertical="center" shrinkToFit="1"/>
    </xf>
    <xf numFmtId="41" fontId="24" fillId="0" borderId="153" xfId="0" applyNumberFormat="1" applyFont="1" applyBorder="1" applyAlignment="1">
      <alignment vertical="center" shrinkToFit="1"/>
    </xf>
    <xf numFmtId="0" fontId="61" fillId="0" borderId="154" xfId="1" applyNumberFormat="1" applyFont="1" applyFill="1" applyBorder="1" applyAlignment="1">
      <alignment vertical="center" shrinkToFit="1"/>
    </xf>
    <xf numFmtId="0" fontId="61" fillId="0" borderId="155" xfId="1" applyNumberFormat="1" applyFont="1" applyFill="1" applyBorder="1" applyAlignment="1">
      <alignment vertical="center" shrinkToFit="1"/>
    </xf>
    <xf numFmtId="41" fontId="64" fillId="20" borderId="6" xfId="0" applyNumberFormat="1" applyFont="1" applyFill="1" applyBorder="1" applyAlignment="1">
      <alignment horizontal="center" vertical="center" shrinkToFit="1"/>
    </xf>
    <xf numFmtId="41" fontId="24" fillId="0" borderId="156" xfId="0" applyNumberFormat="1" applyFont="1" applyBorder="1" applyAlignment="1">
      <alignment horizontal="center" vertical="center" shrinkToFit="1"/>
    </xf>
    <xf numFmtId="41" fontId="24" fillId="0" borderId="26" xfId="0" applyNumberFormat="1" applyFont="1" applyBorder="1" applyAlignment="1">
      <alignment vertical="center" shrinkToFit="1"/>
    </xf>
    <xf numFmtId="41" fontId="24" fillId="0" borderId="6" xfId="0" applyNumberFormat="1" applyFont="1" applyBorder="1" applyAlignment="1">
      <alignment vertical="center" shrinkToFit="1"/>
    </xf>
    <xf numFmtId="41" fontId="24" fillId="12" borderId="157" xfId="0" applyNumberFormat="1" applyFont="1" applyFill="1" applyBorder="1" applyAlignment="1">
      <alignment vertical="center" shrinkToFit="1"/>
    </xf>
    <xf numFmtId="41" fontId="24" fillId="0" borderId="142" xfId="0" applyNumberFormat="1" applyFont="1" applyBorder="1" applyAlignment="1">
      <alignment vertical="center" shrinkToFit="1"/>
    </xf>
    <xf numFmtId="41" fontId="24" fillId="0" borderId="158" xfId="0" applyNumberFormat="1" applyFont="1" applyBorder="1" applyAlignment="1">
      <alignment vertical="center" shrinkToFit="1"/>
    </xf>
    <xf numFmtId="0" fontId="60" fillId="0" borderId="159" xfId="0" applyFont="1" applyBorder="1" applyAlignment="1">
      <alignment vertical="center" shrinkToFit="1"/>
    </xf>
    <xf numFmtId="0" fontId="64" fillId="0" borderId="160" xfId="11" applyFont="1" applyBorder="1" applyAlignment="1">
      <alignment horizontal="center" vertical="center" shrinkToFit="1"/>
    </xf>
    <xf numFmtId="0" fontId="64" fillId="0" borderId="118" xfId="11" applyFont="1" applyBorder="1" applyAlignment="1">
      <alignment horizontal="center" vertical="center" shrinkToFit="1"/>
    </xf>
    <xf numFmtId="0" fontId="61" fillId="20" borderId="118" xfId="1" applyNumberFormat="1" applyFont="1" applyFill="1" applyBorder="1" applyAlignment="1">
      <alignment horizontal="center" vertical="center" shrinkToFit="1"/>
    </xf>
    <xf numFmtId="0" fontId="61" fillId="0" borderId="118" xfId="1" applyNumberFormat="1" applyFont="1" applyFill="1" applyBorder="1" applyAlignment="1">
      <alignment vertical="center" shrinkToFit="1"/>
    </xf>
    <xf numFmtId="187" fontId="71" fillId="0" borderId="118" xfId="1" applyNumberFormat="1" applyFont="1" applyBorder="1" applyAlignment="1">
      <alignment horizontal="right" vertical="center" shrinkToFit="1"/>
    </xf>
    <xf numFmtId="187" fontId="71" fillId="0" borderId="118" xfId="11" applyNumberFormat="1" applyFont="1" applyBorder="1" applyAlignment="1">
      <alignment horizontal="right" vertical="center" shrinkToFit="1"/>
    </xf>
    <xf numFmtId="187" fontId="71" fillId="0" borderId="118" xfId="11" applyNumberFormat="1" applyFont="1" applyBorder="1" applyAlignment="1">
      <alignment horizontal="center" vertical="center" shrinkToFit="1"/>
    </xf>
    <xf numFmtId="0" fontId="61" fillId="0" borderId="118" xfId="1" applyNumberFormat="1" applyFont="1" applyFill="1" applyBorder="1" applyAlignment="1">
      <alignment horizontal="center" vertical="center" shrinkToFit="1"/>
    </xf>
    <xf numFmtId="0" fontId="73" fillId="25" borderId="118" xfId="1" applyNumberFormat="1" applyFont="1" applyFill="1" applyBorder="1" applyAlignment="1">
      <alignment horizontal="center" vertical="center" shrinkToFit="1"/>
    </xf>
    <xf numFmtId="0" fontId="71" fillId="0" borderId="118" xfId="11" applyFont="1" applyBorder="1" applyAlignment="1">
      <alignment horizontal="center" vertical="center" shrinkToFit="1"/>
    </xf>
    <xf numFmtId="41" fontId="64" fillId="17" borderId="161" xfId="0" applyNumberFormat="1" applyFont="1" applyFill="1" applyBorder="1" applyAlignment="1">
      <alignment horizontal="center" vertical="center" shrinkToFit="1"/>
    </xf>
    <xf numFmtId="190" fontId="64" fillId="17" borderId="161" xfId="0" applyNumberFormat="1" applyFont="1" applyFill="1" applyBorder="1" applyAlignment="1">
      <alignment horizontal="right" vertical="center" shrinkToFit="1"/>
    </xf>
    <xf numFmtId="190" fontId="72" fillId="17" borderId="118" xfId="0" applyNumberFormat="1" applyFont="1" applyFill="1" applyBorder="1" applyAlignment="1">
      <alignment vertical="center" shrinkToFit="1"/>
    </xf>
    <xf numFmtId="191" fontId="64" fillId="17" borderId="161" xfId="0" applyNumberFormat="1" applyFont="1" applyFill="1" applyBorder="1" applyAlignment="1">
      <alignment horizontal="right" vertical="center" shrinkToFit="1"/>
    </xf>
    <xf numFmtId="192" fontId="64" fillId="17" borderId="161" xfId="0" applyNumberFormat="1" applyFont="1" applyFill="1" applyBorder="1" applyAlignment="1">
      <alignment horizontal="right" vertical="center" shrinkToFit="1"/>
    </xf>
    <xf numFmtId="180" fontId="72" fillId="25" borderId="118" xfId="0" applyNumberFormat="1" applyFont="1" applyFill="1" applyBorder="1" applyAlignment="1">
      <alignment vertical="center" shrinkToFit="1"/>
    </xf>
    <xf numFmtId="9" fontId="72" fillId="25" borderId="118" xfId="10" applyFont="1" applyFill="1" applyBorder="1" applyAlignment="1">
      <alignment vertical="center" shrinkToFit="1"/>
    </xf>
    <xf numFmtId="0" fontId="64" fillId="24" borderId="161" xfId="0" applyFont="1" applyFill="1" applyBorder="1" applyAlignment="1">
      <alignment horizontal="center" vertical="center" shrinkToFit="1"/>
    </xf>
    <xf numFmtId="41" fontId="71" fillId="24" borderId="161" xfId="0" applyNumberFormat="1" applyFont="1" applyFill="1" applyBorder="1" applyAlignment="1">
      <alignment horizontal="center" vertical="center" shrinkToFit="1"/>
    </xf>
    <xf numFmtId="190" fontId="64" fillId="24" borderId="161" xfId="0" applyNumberFormat="1" applyFont="1" applyFill="1" applyBorder="1" applyAlignment="1">
      <alignment horizontal="right" vertical="center" shrinkToFit="1"/>
    </xf>
    <xf numFmtId="190" fontId="72" fillId="24" borderId="118" xfId="0" applyNumberFormat="1" applyFont="1" applyFill="1" applyBorder="1" applyAlignment="1">
      <alignment vertical="center" shrinkToFit="1"/>
    </xf>
    <xf numFmtId="191" fontId="64" fillId="24" borderId="161" xfId="0" applyNumberFormat="1" applyFont="1" applyFill="1" applyBorder="1" applyAlignment="1">
      <alignment horizontal="right" vertical="center" shrinkToFit="1"/>
    </xf>
    <xf numFmtId="192" fontId="64" fillId="24" borderId="162" xfId="0" applyNumberFormat="1" applyFont="1" applyFill="1" applyBorder="1" applyAlignment="1">
      <alignment horizontal="right" vertical="center" shrinkToFit="1"/>
    </xf>
    <xf numFmtId="180" fontId="72" fillId="25" borderId="163" xfId="0" applyNumberFormat="1" applyFont="1" applyFill="1" applyBorder="1" applyAlignment="1">
      <alignment vertical="center" shrinkToFit="1"/>
    </xf>
    <xf numFmtId="41" fontId="64" fillId="20" borderId="164" xfId="0" applyNumberFormat="1" applyFont="1" applyFill="1" applyBorder="1" applyAlignment="1">
      <alignment horizontal="center" vertical="center" shrinkToFit="1"/>
    </xf>
    <xf numFmtId="41" fontId="24" fillId="0" borderId="165" xfId="0" applyNumberFormat="1" applyFont="1" applyBorder="1" applyAlignment="1">
      <alignment horizontal="center" vertical="center" shrinkToFit="1"/>
    </xf>
    <xf numFmtId="41" fontId="24" fillId="0" borderId="118" xfId="0" applyNumberFormat="1" applyFont="1" applyBorder="1" applyAlignment="1">
      <alignment vertical="center" shrinkToFit="1"/>
    </xf>
    <xf numFmtId="41" fontId="24" fillId="0" borderId="166" xfId="0" applyNumberFormat="1" applyFont="1" applyBorder="1" applyAlignment="1">
      <alignment vertical="center" shrinkToFit="1"/>
    </xf>
    <xf numFmtId="0" fontId="61" fillId="0" borderId="120" xfId="1" applyNumberFormat="1" applyFont="1" applyFill="1" applyBorder="1" applyAlignment="1">
      <alignment vertical="center" shrinkToFit="1"/>
    </xf>
    <xf numFmtId="0" fontId="61" fillId="0" borderId="121" xfId="1" applyNumberFormat="1" applyFont="1" applyFill="1" applyBorder="1" applyAlignment="1">
      <alignment vertical="center" shrinkToFit="1"/>
    </xf>
    <xf numFmtId="0" fontId="64" fillId="0" borderId="27" xfId="11" applyFont="1" applyBorder="1" applyAlignment="1">
      <alignment horizontal="center" vertical="center" shrinkToFit="1"/>
    </xf>
    <xf numFmtId="0" fontId="61" fillId="0" borderId="27" xfId="1" applyNumberFormat="1" applyFont="1" applyFill="1" applyBorder="1" applyAlignment="1">
      <alignment vertical="center" shrinkToFit="1"/>
    </xf>
    <xf numFmtId="187" fontId="71" fillId="0" borderId="27" xfId="1" applyNumberFormat="1" applyFont="1" applyBorder="1" applyAlignment="1">
      <alignment horizontal="right" vertical="center" shrinkToFit="1"/>
    </xf>
    <xf numFmtId="187" fontId="71" fillId="0" borderId="27" xfId="11" applyNumberFormat="1" applyFont="1" applyBorder="1" applyAlignment="1">
      <alignment horizontal="right" vertical="center" shrinkToFit="1"/>
    </xf>
    <xf numFmtId="187" fontId="71" fillId="0" borderId="27" xfId="11" applyNumberFormat="1" applyFont="1" applyBorder="1" applyAlignment="1">
      <alignment horizontal="center" vertical="center" shrinkToFit="1"/>
    </xf>
    <xf numFmtId="0" fontId="61" fillId="0" borderId="27" xfId="1" applyNumberFormat="1" applyFont="1" applyFill="1" applyBorder="1" applyAlignment="1">
      <alignment horizontal="center" vertical="center" shrinkToFit="1"/>
    </xf>
    <xf numFmtId="0" fontId="73" fillId="25" borderId="27" xfId="1" applyNumberFormat="1" applyFont="1" applyFill="1" applyBorder="1" applyAlignment="1">
      <alignment horizontal="center" vertical="center" shrinkToFit="1"/>
    </xf>
    <xf numFmtId="0" fontId="71" fillId="0" borderId="27" xfId="11" applyFont="1" applyBorder="1" applyAlignment="1">
      <alignment horizontal="center" vertical="center" shrinkToFit="1"/>
    </xf>
    <xf numFmtId="41" fontId="61" fillId="17" borderId="167" xfId="0" applyNumberFormat="1" applyFont="1" applyFill="1" applyBorder="1" applyAlignment="1">
      <alignment horizontal="center" vertical="center" shrinkToFit="1"/>
    </xf>
    <xf numFmtId="190" fontId="61" fillId="17" borderId="167" xfId="0" applyNumberFormat="1" applyFont="1" applyFill="1" applyBorder="1" applyAlignment="1">
      <alignment horizontal="right" vertical="center" shrinkToFit="1"/>
    </xf>
    <xf numFmtId="190" fontId="61" fillId="17" borderId="27" xfId="0" applyNumberFormat="1" applyFont="1" applyFill="1" applyBorder="1" applyAlignment="1">
      <alignment vertical="center" shrinkToFit="1"/>
    </xf>
    <xf numFmtId="191" fontId="61" fillId="17" borderId="167" xfId="0" applyNumberFormat="1" applyFont="1" applyFill="1" applyBorder="1" applyAlignment="1">
      <alignment horizontal="right" vertical="center" shrinkToFit="1"/>
    </xf>
    <xf numFmtId="192" fontId="61" fillId="17" borderId="167" xfId="0" applyNumberFormat="1" applyFont="1" applyFill="1" applyBorder="1" applyAlignment="1">
      <alignment horizontal="right" vertical="center" shrinkToFit="1"/>
    </xf>
    <xf numFmtId="180" fontId="61" fillId="25" borderId="27" xfId="0" applyNumberFormat="1" applyFont="1" applyFill="1" applyBorder="1" applyAlignment="1">
      <alignment vertical="center" shrinkToFit="1"/>
    </xf>
    <xf numFmtId="9" fontId="61" fillId="25" borderId="27" xfId="10" applyFont="1" applyFill="1" applyBorder="1" applyAlignment="1">
      <alignment vertical="center" shrinkToFit="1"/>
    </xf>
    <xf numFmtId="0" fontId="61" fillId="24" borderId="167" xfId="0" applyFont="1" applyFill="1" applyBorder="1" applyAlignment="1">
      <alignment horizontal="center" vertical="center" shrinkToFit="1"/>
    </xf>
    <xf numFmtId="41" fontId="64" fillId="24" borderId="167" xfId="0" applyNumberFormat="1" applyFont="1" applyFill="1" applyBorder="1" applyAlignment="1">
      <alignment horizontal="center" vertical="center" shrinkToFit="1"/>
    </xf>
    <xf numFmtId="190" fontId="64" fillId="24" borderId="167" xfId="0" applyNumberFormat="1" applyFont="1" applyFill="1" applyBorder="1" applyAlignment="1">
      <alignment horizontal="right" vertical="center" shrinkToFit="1"/>
    </xf>
    <xf numFmtId="190" fontId="72" fillId="24" borderId="27" xfId="0" applyNumberFormat="1" applyFont="1" applyFill="1" applyBorder="1" applyAlignment="1">
      <alignment vertical="center" shrinkToFit="1"/>
    </xf>
    <xf numFmtId="191" fontId="61" fillId="24" borderId="167" xfId="0" applyNumberFormat="1" applyFont="1" applyFill="1" applyBorder="1" applyAlignment="1">
      <alignment horizontal="right" vertical="center" shrinkToFit="1"/>
    </xf>
    <xf numFmtId="192" fontId="61" fillId="24" borderId="168" xfId="0" applyNumberFormat="1" applyFont="1" applyFill="1" applyBorder="1" applyAlignment="1">
      <alignment horizontal="right" vertical="center" shrinkToFit="1"/>
    </xf>
    <xf numFmtId="180" fontId="72" fillId="25" borderId="39" xfId="0" applyNumberFormat="1" applyFont="1" applyFill="1" applyBorder="1" applyAlignment="1">
      <alignment vertical="center" shrinkToFit="1"/>
    </xf>
    <xf numFmtId="9" fontId="72" fillId="25" borderId="27" xfId="10" applyFont="1" applyFill="1" applyBorder="1" applyAlignment="1">
      <alignment vertical="center" shrinkToFit="1"/>
    </xf>
    <xf numFmtId="41" fontId="64" fillId="20" borderId="74" xfId="0" applyNumberFormat="1" applyFont="1" applyFill="1" applyBorder="1" applyAlignment="1">
      <alignment horizontal="center" vertical="center" shrinkToFit="1"/>
    </xf>
    <xf numFmtId="41" fontId="24" fillId="0" borderId="169" xfId="0" applyNumberFormat="1" applyFont="1" applyBorder="1" applyAlignment="1">
      <alignment horizontal="center" vertical="center" shrinkToFit="1"/>
    </xf>
    <xf numFmtId="41" fontId="24" fillId="0" borderId="167" xfId="0" applyNumberFormat="1" applyFont="1" applyBorder="1" applyAlignment="1">
      <alignment vertical="center" shrinkToFit="1"/>
    </xf>
    <xf numFmtId="41" fontId="24" fillId="0" borderId="170" xfId="0" applyNumberFormat="1" applyFont="1" applyBorder="1" applyAlignment="1">
      <alignment vertical="center" shrinkToFit="1"/>
    </xf>
    <xf numFmtId="194" fontId="24" fillId="2" borderId="171" xfId="14" applyNumberFormat="1" applyFont="1" applyFill="1" applyBorder="1" applyAlignment="1">
      <alignment horizontal="center" vertical="center" shrinkToFit="1"/>
    </xf>
    <xf numFmtId="194" fontId="24" fillId="2" borderId="172" xfId="14" applyNumberFormat="1" applyFont="1" applyFill="1" applyBorder="1" applyAlignment="1">
      <alignment horizontal="center" vertical="center" shrinkToFit="1"/>
    </xf>
    <xf numFmtId="41" fontId="24" fillId="0" borderId="172" xfId="0" applyNumberFormat="1" applyFont="1" applyBorder="1" applyAlignment="1">
      <alignment vertical="center" shrinkToFit="1"/>
    </xf>
    <xf numFmtId="195" fontId="24" fillId="2" borderId="135" xfId="14" applyNumberFormat="1" applyFont="1" applyFill="1" applyBorder="1" applyAlignment="1">
      <alignment horizontal="center" vertical="center" shrinkToFit="1"/>
    </xf>
    <xf numFmtId="41" fontId="24" fillId="0" borderId="173" xfId="0" applyNumberFormat="1" applyFont="1" applyBorder="1" applyAlignment="1">
      <alignment vertical="center" shrinkToFit="1"/>
    </xf>
    <xf numFmtId="0" fontId="61" fillId="0" borderId="174" xfId="1" applyNumberFormat="1" applyFont="1" applyFill="1" applyBorder="1" applyAlignment="1">
      <alignment vertical="center" shrinkToFit="1"/>
    </xf>
    <xf numFmtId="0" fontId="61" fillId="0" borderId="175" xfId="1" applyNumberFormat="1" applyFont="1" applyFill="1" applyBorder="1" applyAlignment="1">
      <alignment vertical="center" shrinkToFit="1"/>
    </xf>
    <xf numFmtId="41" fontId="61" fillId="17" borderId="140" xfId="0" applyNumberFormat="1" applyFont="1" applyFill="1" applyBorder="1" applyAlignment="1">
      <alignment horizontal="center" vertical="center" shrinkToFit="1"/>
    </xf>
    <xf numFmtId="190" fontId="61" fillId="17" borderId="140" xfId="0" applyNumberFormat="1" applyFont="1" applyFill="1" applyBorder="1" applyAlignment="1">
      <alignment horizontal="right" vertical="center" shrinkToFit="1"/>
    </xf>
    <xf numFmtId="190" fontId="61" fillId="17" borderId="26" xfId="0" applyNumberFormat="1" applyFont="1" applyFill="1" applyBorder="1" applyAlignment="1">
      <alignment vertical="center" shrinkToFit="1"/>
    </xf>
    <xf numFmtId="191" fontId="61" fillId="17" borderId="140" xfId="0" applyNumberFormat="1" applyFont="1" applyFill="1" applyBorder="1" applyAlignment="1">
      <alignment horizontal="right" vertical="center" shrinkToFit="1"/>
    </xf>
    <xf numFmtId="192" fontId="61" fillId="17" borderId="140" xfId="0" applyNumberFormat="1" applyFont="1" applyFill="1" applyBorder="1" applyAlignment="1">
      <alignment horizontal="right" vertical="center" shrinkToFit="1"/>
    </xf>
    <xf numFmtId="180" fontId="61" fillId="25" borderId="26" xfId="0" applyNumberFormat="1" applyFont="1" applyFill="1" applyBorder="1" applyAlignment="1">
      <alignment vertical="center" shrinkToFit="1"/>
    </xf>
    <xf numFmtId="9" fontId="61" fillId="25" borderId="26" xfId="10" applyFont="1" applyFill="1" applyBorder="1" applyAlignment="1">
      <alignment vertical="center" shrinkToFit="1"/>
    </xf>
    <xf numFmtId="0" fontId="61" fillId="24" borderId="140" xfId="0" applyFont="1" applyFill="1" applyBorder="1" applyAlignment="1">
      <alignment horizontal="center" vertical="center" shrinkToFit="1"/>
    </xf>
    <xf numFmtId="191" fontId="61" fillId="24" borderId="140" xfId="0" applyNumberFormat="1" applyFont="1" applyFill="1" applyBorder="1" applyAlignment="1">
      <alignment horizontal="right" vertical="center" shrinkToFit="1"/>
    </xf>
    <xf numFmtId="192" fontId="61" fillId="24" borderId="141" xfId="0" applyNumberFormat="1" applyFont="1" applyFill="1" applyBorder="1" applyAlignment="1">
      <alignment horizontal="right" vertical="center" shrinkToFit="1"/>
    </xf>
    <xf numFmtId="41" fontId="64" fillId="20" borderId="78" xfId="0" applyNumberFormat="1" applyFont="1" applyFill="1" applyBorder="1" applyAlignment="1">
      <alignment horizontal="center" vertical="center" shrinkToFit="1"/>
    </xf>
    <xf numFmtId="194" fontId="24" fillId="2" borderId="146" xfId="14" applyNumberFormat="1" applyFont="1" applyFill="1" applyBorder="1" applyAlignment="1">
      <alignment horizontal="center" vertical="center" shrinkToFit="1"/>
    </xf>
    <xf numFmtId="194" fontId="24" fillId="2" borderId="151" xfId="14" applyNumberFormat="1" applyFont="1" applyFill="1" applyBorder="1" applyAlignment="1">
      <alignment horizontal="center" vertical="center" shrinkToFit="1"/>
    </xf>
    <xf numFmtId="195" fontId="24" fillId="2" borderId="152" xfId="14" applyNumberFormat="1" applyFont="1" applyFill="1" applyBorder="1" applyAlignment="1">
      <alignment horizontal="center" vertical="center" shrinkToFit="1"/>
    </xf>
    <xf numFmtId="0" fontId="64" fillId="0" borderId="28" xfId="11" applyFont="1" applyBorder="1" applyAlignment="1">
      <alignment horizontal="center" vertical="center" shrinkToFit="1"/>
    </xf>
    <xf numFmtId="0" fontId="61" fillId="20" borderId="28" xfId="1" applyNumberFormat="1" applyFont="1" applyFill="1" applyBorder="1" applyAlignment="1">
      <alignment horizontal="center" vertical="center" shrinkToFit="1"/>
    </xf>
    <xf numFmtId="0" fontId="61" fillId="0" borderId="28" xfId="1" applyNumberFormat="1" applyFont="1" applyFill="1" applyBorder="1" applyAlignment="1">
      <alignment vertical="center" shrinkToFit="1"/>
    </xf>
    <xf numFmtId="187" fontId="71" fillId="0" borderId="28" xfId="1" applyNumberFormat="1" applyFont="1" applyBorder="1" applyAlignment="1">
      <alignment horizontal="right" vertical="center" shrinkToFit="1"/>
    </xf>
    <xf numFmtId="187" fontId="71" fillId="0" borderId="28" xfId="11" applyNumberFormat="1" applyFont="1" applyBorder="1" applyAlignment="1">
      <alignment horizontal="right" vertical="center" shrinkToFit="1"/>
    </xf>
    <xf numFmtId="187" fontId="71" fillId="0" borderId="28" xfId="11" applyNumberFormat="1" applyFont="1" applyBorder="1" applyAlignment="1">
      <alignment horizontal="center" vertical="center" shrinkToFit="1"/>
    </xf>
    <xf numFmtId="0" fontId="61" fillId="0" borderId="28" xfId="1" applyNumberFormat="1" applyFont="1" applyFill="1" applyBorder="1" applyAlignment="1">
      <alignment horizontal="center" vertical="center" shrinkToFit="1"/>
    </xf>
    <xf numFmtId="0" fontId="73" fillId="25" borderId="28" xfId="1" applyNumberFormat="1" applyFont="1" applyFill="1" applyBorder="1" applyAlignment="1">
      <alignment horizontal="center" vertical="center" shrinkToFit="1"/>
    </xf>
    <xf numFmtId="0" fontId="71" fillId="0" borderId="28" xfId="11" applyFont="1" applyBorder="1" applyAlignment="1">
      <alignment horizontal="center" vertical="center" shrinkToFit="1"/>
    </xf>
    <xf numFmtId="41" fontId="64" fillId="17" borderId="176" xfId="0" applyNumberFormat="1" applyFont="1" applyFill="1" applyBorder="1" applyAlignment="1">
      <alignment horizontal="center" vertical="center" shrinkToFit="1"/>
    </xf>
    <xf numFmtId="190" fontId="64" fillId="17" borderId="176" xfId="0" applyNumberFormat="1" applyFont="1" applyFill="1" applyBorder="1" applyAlignment="1">
      <alignment horizontal="right" vertical="center" shrinkToFit="1"/>
    </xf>
    <xf numFmtId="190" fontId="72" fillId="17" borderId="28" xfId="0" applyNumberFormat="1" applyFont="1" applyFill="1" applyBorder="1" applyAlignment="1">
      <alignment vertical="center" shrinkToFit="1"/>
    </xf>
    <xf numFmtId="191" fontId="64" fillId="17" borderId="176" xfId="0" applyNumberFormat="1" applyFont="1" applyFill="1" applyBorder="1" applyAlignment="1">
      <alignment horizontal="right" vertical="center" shrinkToFit="1"/>
    </xf>
    <xf numFmtId="192" fontId="64" fillId="17" borderId="176" xfId="0" applyNumberFormat="1" applyFont="1" applyFill="1" applyBorder="1" applyAlignment="1">
      <alignment horizontal="right" vertical="center" shrinkToFit="1"/>
    </xf>
    <xf numFmtId="180" fontId="72" fillId="25" borderId="28" xfId="0" applyNumberFormat="1" applyFont="1" applyFill="1" applyBorder="1" applyAlignment="1">
      <alignment vertical="center" shrinkToFit="1"/>
    </xf>
    <xf numFmtId="9" fontId="72" fillId="25" borderId="28" xfId="10" applyFont="1" applyFill="1" applyBorder="1" applyAlignment="1">
      <alignment vertical="center" shrinkToFit="1"/>
    </xf>
    <xf numFmtId="0" fontId="64" fillId="24" borderId="176" xfId="0" applyFont="1" applyFill="1" applyBorder="1" applyAlignment="1">
      <alignment horizontal="center" vertical="center" shrinkToFit="1"/>
    </xf>
    <xf numFmtId="41" fontId="64" fillId="24" borderId="176" xfId="0" applyNumberFormat="1" applyFont="1" applyFill="1" applyBorder="1" applyAlignment="1">
      <alignment horizontal="center" vertical="center" shrinkToFit="1"/>
    </xf>
    <xf numFmtId="190" fontId="64" fillId="24" borderId="176" xfId="0" applyNumberFormat="1" applyFont="1" applyFill="1" applyBorder="1" applyAlignment="1">
      <alignment horizontal="right" vertical="center" shrinkToFit="1"/>
    </xf>
    <xf numFmtId="190" fontId="72" fillId="24" borderId="28" xfId="0" applyNumberFormat="1" applyFont="1" applyFill="1" applyBorder="1" applyAlignment="1">
      <alignment vertical="center" shrinkToFit="1"/>
    </xf>
    <xf numFmtId="191" fontId="64" fillId="24" borderId="176" xfId="0" applyNumberFormat="1" applyFont="1" applyFill="1" applyBorder="1" applyAlignment="1">
      <alignment horizontal="right" vertical="center" shrinkToFit="1"/>
    </xf>
    <xf numFmtId="192" fontId="64" fillId="24" borderId="177" xfId="0" applyNumberFormat="1" applyFont="1" applyFill="1" applyBorder="1" applyAlignment="1">
      <alignment horizontal="right" vertical="center" shrinkToFit="1"/>
    </xf>
    <xf numFmtId="180" fontId="72" fillId="25" borderId="42" xfId="0" applyNumberFormat="1" applyFont="1" applyFill="1" applyBorder="1" applyAlignment="1">
      <alignment vertical="center" shrinkToFit="1"/>
    </xf>
    <xf numFmtId="41" fontId="64" fillId="20" borderId="41" xfId="0" applyNumberFormat="1" applyFont="1" applyFill="1" applyBorder="1" applyAlignment="1">
      <alignment horizontal="center" vertical="center" shrinkToFit="1"/>
    </xf>
    <xf numFmtId="41" fontId="24" fillId="0" borderId="178" xfId="0" applyNumberFormat="1" applyFont="1" applyBorder="1" applyAlignment="1">
      <alignment horizontal="center" vertical="center" shrinkToFit="1"/>
    </xf>
    <xf numFmtId="41" fontId="24" fillId="0" borderId="28" xfId="0" applyNumberFormat="1" applyFont="1" applyBorder="1" applyAlignment="1">
      <alignment vertical="center" shrinkToFit="1"/>
    </xf>
    <xf numFmtId="41" fontId="24" fillId="0" borderId="40" xfId="0" applyNumberFormat="1" applyFont="1" applyBorder="1" applyAlignment="1">
      <alignment vertical="center" shrinkToFit="1"/>
    </xf>
    <xf numFmtId="41" fontId="24" fillId="12" borderId="179" xfId="0" applyNumberFormat="1" applyFont="1" applyFill="1" applyBorder="1" applyAlignment="1">
      <alignment vertical="center" shrinkToFit="1"/>
    </xf>
    <xf numFmtId="41" fontId="24" fillId="0" borderId="42" xfId="0" applyNumberFormat="1" applyFont="1" applyBorder="1" applyAlignment="1">
      <alignment vertical="center" shrinkToFit="1"/>
    </xf>
    <xf numFmtId="41" fontId="24" fillId="0" borderId="180" xfId="0" applyNumberFormat="1" applyFont="1" applyBorder="1" applyAlignment="1">
      <alignment vertical="center" shrinkToFit="1"/>
    </xf>
    <xf numFmtId="0" fontId="61" fillId="0" borderId="181" xfId="1" applyNumberFormat="1" applyFont="1" applyFill="1" applyBorder="1" applyAlignment="1">
      <alignment vertical="center" shrinkToFit="1"/>
    </xf>
    <xf numFmtId="0" fontId="61" fillId="0" borderId="53" xfId="1" applyNumberFormat="1" applyFont="1" applyFill="1" applyBorder="1" applyAlignment="1">
      <alignment vertical="center" shrinkToFit="1"/>
    </xf>
    <xf numFmtId="41" fontId="64" fillId="17" borderId="145" xfId="0" applyNumberFormat="1" applyFont="1" applyFill="1" applyBorder="1" applyAlignment="1">
      <alignment horizontal="center" vertical="center" shrinkToFit="1"/>
    </xf>
    <xf numFmtId="190" fontId="64" fillId="17" borderId="145" xfId="0" applyNumberFormat="1" applyFont="1" applyFill="1" applyBorder="1" applyAlignment="1">
      <alignment horizontal="right" vertical="center" shrinkToFit="1"/>
    </xf>
    <xf numFmtId="190" fontId="72" fillId="17" borderId="27" xfId="0" applyNumberFormat="1" applyFont="1" applyFill="1" applyBorder="1" applyAlignment="1">
      <alignment vertical="center" shrinkToFit="1"/>
    </xf>
    <xf numFmtId="191" fontId="64" fillId="17" borderId="145" xfId="0" applyNumberFormat="1" applyFont="1" applyFill="1" applyBorder="1" applyAlignment="1">
      <alignment horizontal="right" vertical="center" shrinkToFit="1"/>
    </xf>
    <xf numFmtId="192" fontId="64" fillId="17" borderId="145" xfId="0" applyNumberFormat="1" applyFont="1" applyFill="1" applyBorder="1" applyAlignment="1">
      <alignment horizontal="right" vertical="center" shrinkToFit="1"/>
    </xf>
    <xf numFmtId="180" fontId="72" fillId="25" borderId="27" xfId="0" applyNumberFormat="1" applyFont="1" applyFill="1" applyBorder="1" applyAlignment="1">
      <alignment vertical="center" shrinkToFit="1"/>
    </xf>
    <xf numFmtId="0" fontId="64" fillId="24" borderId="145" xfId="0" applyFont="1" applyFill="1" applyBorder="1" applyAlignment="1">
      <alignment horizontal="center" vertical="center" shrinkToFit="1"/>
    </xf>
    <xf numFmtId="41" fontId="64" fillId="24" borderId="145" xfId="0" applyNumberFormat="1" applyFont="1" applyFill="1" applyBorder="1" applyAlignment="1">
      <alignment horizontal="center" vertical="center" shrinkToFit="1"/>
    </xf>
    <xf numFmtId="190" fontId="64" fillId="24" borderId="145" xfId="0" applyNumberFormat="1" applyFont="1" applyFill="1" applyBorder="1" applyAlignment="1">
      <alignment horizontal="right" vertical="center" shrinkToFit="1"/>
    </xf>
    <xf numFmtId="191" fontId="64" fillId="24" borderId="145" xfId="0" applyNumberFormat="1" applyFont="1" applyFill="1" applyBorder="1" applyAlignment="1">
      <alignment horizontal="right" vertical="center" shrinkToFit="1"/>
    </xf>
    <xf numFmtId="192" fontId="64" fillId="24" borderId="182" xfId="0" applyNumberFormat="1" applyFont="1" applyFill="1" applyBorder="1" applyAlignment="1">
      <alignment horizontal="right" vertical="center" shrinkToFit="1"/>
    </xf>
    <xf numFmtId="194" fontId="24" fillId="2" borderId="183" xfId="14" applyNumberFormat="1" applyFont="1" applyFill="1" applyBorder="1" applyAlignment="1">
      <alignment horizontal="center" vertical="center" shrinkToFit="1"/>
    </xf>
    <xf numFmtId="194" fontId="24" fillId="2" borderId="184" xfId="14" applyNumberFormat="1" applyFont="1" applyFill="1" applyBorder="1" applyAlignment="1">
      <alignment horizontal="center" vertical="center" shrinkToFit="1"/>
    </xf>
    <xf numFmtId="41" fontId="24" fillId="0" borderId="184" xfId="0" applyNumberFormat="1" applyFont="1" applyBorder="1" applyAlignment="1">
      <alignment vertical="center" shrinkToFit="1"/>
    </xf>
    <xf numFmtId="41" fontId="24" fillId="0" borderId="185" xfId="0" applyNumberFormat="1" applyFont="1" applyBorder="1" applyAlignment="1">
      <alignment vertical="center" shrinkToFit="1"/>
    </xf>
    <xf numFmtId="41" fontId="24" fillId="12" borderId="186" xfId="0" applyNumberFormat="1" applyFont="1" applyFill="1" applyBorder="1" applyAlignment="1">
      <alignment vertical="center" shrinkToFit="1"/>
    </xf>
    <xf numFmtId="41" fontId="24" fillId="0" borderId="187" xfId="0" applyNumberFormat="1" applyFont="1" applyBorder="1" applyAlignment="1">
      <alignment vertical="center" shrinkToFit="1"/>
    </xf>
    <xf numFmtId="195" fontId="24" fillId="2" borderId="188" xfId="14" applyNumberFormat="1" applyFont="1" applyFill="1" applyBorder="1" applyAlignment="1">
      <alignment horizontal="center" vertical="center" shrinkToFit="1"/>
    </xf>
    <xf numFmtId="41" fontId="24" fillId="0" borderId="75" xfId="0" applyNumberFormat="1" applyFont="1" applyBorder="1" applyAlignment="1">
      <alignment vertical="center" shrinkToFit="1"/>
    </xf>
    <xf numFmtId="41" fontId="24" fillId="12" borderId="189" xfId="0" applyNumberFormat="1" applyFont="1" applyFill="1" applyBorder="1" applyAlignment="1">
      <alignment vertical="center" shrinkToFit="1"/>
    </xf>
    <xf numFmtId="41" fontId="24" fillId="0" borderId="168" xfId="0" applyNumberFormat="1" applyFont="1" applyBorder="1" applyAlignment="1">
      <alignment vertical="center" shrinkToFit="1"/>
    </xf>
    <xf numFmtId="41" fontId="64" fillId="17" borderId="28" xfId="0" applyNumberFormat="1" applyFont="1" applyFill="1" applyBorder="1" applyAlignment="1">
      <alignment horizontal="center" vertical="center" shrinkToFit="1"/>
    </xf>
    <xf numFmtId="190" fontId="64" fillId="17" borderId="28" xfId="0" applyNumberFormat="1" applyFont="1" applyFill="1" applyBorder="1" applyAlignment="1">
      <alignment horizontal="right" vertical="center" shrinkToFit="1"/>
    </xf>
    <xf numFmtId="191" fontId="64" fillId="17" borderId="28" xfId="0" applyNumberFormat="1" applyFont="1" applyFill="1" applyBorder="1" applyAlignment="1">
      <alignment horizontal="right" vertical="center" shrinkToFit="1"/>
    </xf>
    <xf numFmtId="192" fontId="64" fillId="17" borderId="28" xfId="0" applyNumberFormat="1" applyFont="1" applyFill="1" applyBorder="1" applyAlignment="1">
      <alignment horizontal="right" vertical="center" shrinkToFit="1"/>
    </xf>
    <xf numFmtId="0" fontId="64" fillId="24" borderId="28" xfId="0" applyFont="1" applyFill="1" applyBorder="1" applyAlignment="1">
      <alignment horizontal="center" vertical="center" shrinkToFit="1"/>
    </xf>
    <xf numFmtId="41" fontId="64" fillId="24" borderId="28" xfId="0" applyNumberFormat="1" applyFont="1" applyFill="1" applyBorder="1" applyAlignment="1">
      <alignment horizontal="center" vertical="center" shrinkToFit="1"/>
    </xf>
    <xf numFmtId="190" fontId="64" fillId="24" borderId="28" xfId="0" applyNumberFormat="1" applyFont="1" applyFill="1" applyBorder="1" applyAlignment="1">
      <alignment horizontal="right" vertical="center" shrinkToFit="1"/>
    </xf>
    <xf numFmtId="191" fontId="64" fillId="24" borderId="28" xfId="0" applyNumberFormat="1" applyFont="1" applyFill="1" applyBorder="1" applyAlignment="1">
      <alignment horizontal="right" vertical="center" shrinkToFit="1"/>
    </xf>
    <xf numFmtId="192" fontId="64" fillId="24" borderId="180" xfId="0" applyNumberFormat="1" applyFont="1" applyFill="1" applyBorder="1" applyAlignment="1">
      <alignment horizontal="right" vertical="center" shrinkToFit="1"/>
    </xf>
    <xf numFmtId="41" fontId="64" fillId="17" borderId="26" xfId="0" applyNumberFormat="1" applyFont="1" applyFill="1" applyBorder="1" applyAlignment="1">
      <alignment horizontal="center" vertical="center" shrinkToFit="1"/>
    </xf>
    <xf numFmtId="190" fontId="64" fillId="17" borderId="26" xfId="0" applyNumberFormat="1" applyFont="1" applyFill="1" applyBorder="1" applyAlignment="1">
      <alignment horizontal="right" vertical="center" shrinkToFit="1"/>
    </xf>
    <xf numFmtId="191" fontId="64" fillId="17" borderId="26" xfId="0" applyNumberFormat="1" applyFont="1" applyFill="1" applyBorder="1" applyAlignment="1">
      <alignment horizontal="right" vertical="center" shrinkToFit="1"/>
    </xf>
    <xf numFmtId="192" fontId="64" fillId="17" borderId="26" xfId="0" applyNumberFormat="1" applyFont="1" applyFill="1" applyBorder="1" applyAlignment="1">
      <alignment horizontal="right" vertical="center" shrinkToFit="1"/>
    </xf>
    <xf numFmtId="0" fontId="64" fillId="24" borderId="26" xfId="0" applyFont="1" applyFill="1" applyBorder="1" applyAlignment="1">
      <alignment horizontal="center" vertical="center" shrinkToFit="1"/>
    </xf>
    <xf numFmtId="41" fontId="64" fillId="24" borderId="26" xfId="0" applyNumberFormat="1" applyFont="1" applyFill="1" applyBorder="1" applyAlignment="1">
      <alignment horizontal="center" vertical="center" shrinkToFit="1"/>
    </xf>
    <xf numFmtId="190" fontId="64" fillId="24" borderId="26" xfId="0" applyNumberFormat="1" applyFont="1" applyFill="1" applyBorder="1" applyAlignment="1">
      <alignment horizontal="right" vertical="center" shrinkToFit="1"/>
    </xf>
    <xf numFmtId="191" fontId="64" fillId="24" borderId="26" xfId="0" applyNumberFormat="1" applyFont="1" applyFill="1" applyBorder="1" applyAlignment="1">
      <alignment horizontal="right" vertical="center" shrinkToFit="1"/>
    </xf>
    <xf numFmtId="192" fontId="71" fillId="24" borderId="158" xfId="0" applyNumberFormat="1" applyFont="1" applyFill="1" applyBorder="1" applyAlignment="1">
      <alignment horizontal="right" vertical="center" shrinkToFit="1"/>
    </xf>
    <xf numFmtId="41" fontId="64" fillId="20" borderId="190" xfId="0" applyNumberFormat="1" applyFont="1" applyFill="1" applyBorder="1" applyAlignment="1">
      <alignment horizontal="center" vertical="center" shrinkToFit="1"/>
    </xf>
    <xf numFmtId="41" fontId="24" fillId="0" borderId="191" xfId="0" applyNumberFormat="1" applyFont="1" applyBorder="1" applyAlignment="1">
      <alignment horizontal="center" vertical="center" shrinkToFit="1"/>
    </xf>
    <xf numFmtId="41" fontId="24" fillId="0" borderId="192" xfId="0" applyNumberFormat="1" applyFont="1" applyBorder="1" applyAlignment="1">
      <alignment vertical="center" shrinkToFit="1"/>
    </xf>
    <xf numFmtId="41" fontId="24" fillId="0" borderId="190" xfId="0" applyNumberFormat="1" applyFont="1" applyBorder="1" applyAlignment="1">
      <alignment vertical="center" shrinkToFit="1"/>
    </xf>
    <xf numFmtId="194" fontId="24" fillId="2" borderId="193" xfId="14" applyNumberFormat="1" applyFont="1" applyFill="1" applyBorder="1" applyAlignment="1">
      <alignment horizontal="center" vertical="center" shrinkToFit="1"/>
    </xf>
    <xf numFmtId="41" fontId="24" fillId="0" borderId="194" xfId="0" applyNumberFormat="1" applyFont="1" applyBorder="1" applyAlignment="1">
      <alignment vertical="center" shrinkToFit="1"/>
    </xf>
    <xf numFmtId="41" fontId="24" fillId="12" borderId="195" xfId="0" applyNumberFormat="1" applyFont="1" applyFill="1" applyBorder="1" applyAlignment="1">
      <alignment vertical="center" shrinkToFit="1"/>
    </xf>
    <xf numFmtId="41" fontId="24" fillId="0" borderId="196" xfId="0" applyNumberFormat="1" applyFont="1" applyBorder="1" applyAlignment="1">
      <alignment vertical="center" shrinkToFit="1"/>
    </xf>
    <xf numFmtId="41" fontId="24" fillId="0" borderId="197" xfId="0" applyNumberFormat="1" applyFont="1" applyBorder="1" applyAlignment="1">
      <alignment vertical="center" shrinkToFit="1"/>
    </xf>
    <xf numFmtId="194" fontId="24" fillId="2" borderId="198" xfId="14" applyNumberFormat="1" applyFont="1" applyFill="1" applyBorder="1" applyAlignment="1">
      <alignment horizontal="center" vertical="center" shrinkToFit="1"/>
    </xf>
    <xf numFmtId="194" fontId="24" fillId="2" borderId="145" xfId="14" applyNumberFormat="1" applyFont="1" applyFill="1" applyBorder="1" applyAlignment="1">
      <alignment horizontal="center" vertical="center" shrinkToFit="1"/>
    </xf>
    <xf numFmtId="41" fontId="24" fillId="12" borderId="199" xfId="0" applyNumberFormat="1" applyFont="1" applyFill="1" applyBorder="1" applyAlignment="1">
      <alignment vertical="center" shrinkToFit="1"/>
    </xf>
    <xf numFmtId="41" fontId="24" fillId="0" borderId="79" xfId="0" applyNumberFormat="1" applyFont="1" applyBorder="1" applyAlignment="1">
      <alignment vertical="center" shrinkToFit="1"/>
    </xf>
    <xf numFmtId="195" fontId="24" fillId="2" borderId="200" xfId="14" applyNumberFormat="1" applyFont="1" applyFill="1" applyBorder="1" applyAlignment="1">
      <alignment horizontal="center" vertical="center" shrinkToFit="1"/>
    </xf>
    <xf numFmtId="41" fontId="24" fillId="0" borderId="78" xfId="0" applyNumberFormat="1" applyFont="1" applyBorder="1" applyAlignment="1">
      <alignment vertical="center" shrinkToFit="1"/>
    </xf>
    <xf numFmtId="41" fontId="24" fillId="0" borderId="176" xfId="0" applyNumberFormat="1" applyFont="1" applyBorder="1" applyAlignment="1">
      <alignment vertical="center" shrinkToFit="1"/>
    </xf>
    <xf numFmtId="41" fontId="24" fillId="0" borderId="182" xfId="0" applyNumberFormat="1" applyFont="1" applyBorder="1" applyAlignment="1">
      <alignment vertical="center" shrinkToFit="1"/>
    </xf>
    <xf numFmtId="41" fontId="64" fillId="17" borderId="167" xfId="0" applyNumberFormat="1" applyFont="1" applyFill="1" applyBorder="1" applyAlignment="1">
      <alignment horizontal="center" vertical="center" shrinkToFit="1"/>
    </xf>
    <xf numFmtId="190" fontId="64" fillId="17" borderId="167" xfId="0" applyNumberFormat="1" applyFont="1" applyFill="1" applyBorder="1" applyAlignment="1">
      <alignment horizontal="right" vertical="center" shrinkToFit="1"/>
    </xf>
    <xf numFmtId="191" fontId="64" fillId="17" borderId="167" xfId="0" applyNumberFormat="1" applyFont="1" applyFill="1" applyBorder="1" applyAlignment="1">
      <alignment horizontal="right" vertical="center" shrinkToFit="1"/>
    </xf>
    <xf numFmtId="192" fontId="64" fillId="17" borderId="167" xfId="0" applyNumberFormat="1" applyFont="1" applyFill="1" applyBorder="1" applyAlignment="1">
      <alignment horizontal="right" vertical="center" shrinkToFit="1"/>
    </xf>
    <xf numFmtId="0" fontId="64" fillId="24" borderId="167" xfId="0" applyFont="1" applyFill="1" applyBorder="1" applyAlignment="1">
      <alignment horizontal="center" vertical="center" shrinkToFit="1"/>
    </xf>
    <xf numFmtId="191" fontId="64" fillId="24" borderId="167" xfId="0" applyNumberFormat="1" applyFont="1" applyFill="1" applyBorder="1" applyAlignment="1">
      <alignment horizontal="right" vertical="center" shrinkToFit="1"/>
    </xf>
    <xf numFmtId="192" fontId="71" fillId="24" borderId="168" xfId="0" applyNumberFormat="1" applyFont="1" applyFill="1" applyBorder="1" applyAlignment="1">
      <alignment horizontal="right" vertical="center" shrinkToFit="1"/>
    </xf>
    <xf numFmtId="41" fontId="64" fillId="20" borderId="170" xfId="0" applyNumberFormat="1" applyFont="1" applyFill="1" applyBorder="1" applyAlignment="1">
      <alignment horizontal="center" vertical="center" shrinkToFit="1"/>
    </xf>
    <xf numFmtId="192" fontId="71" fillId="24" borderId="177" xfId="0" applyNumberFormat="1" applyFont="1" applyFill="1" applyBorder="1" applyAlignment="1">
      <alignment horizontal="right" vertical="center" shrinkToFit="1"/>
    </xf>
    <xf numFmtId="41" fontId="64" fillId="20" borderId="201" xfId="0" applyNumberFormat="1" applyFont="1" applyFill="1" applyBorder="1" applyAlignment="1">
      <alignment horizontal="center" vertical="center" shrinkToFit="1"/>
    </xf>
    <xf numFmtId="41" fontId="24" fillId="0" borderId="202" xfId="0" applyNumberFormat="1" applyFont="1" applyBorder="1" applyAlignment="1">
      <alignment horizontal="center" vertical="center" shrinkToFit="1"/>
    </xf>
    <xf numFmtId="41" fontId="24" fillId="0" borderId="201" xfId="0" applyNumberFormat="1" applyFont="1" applyBorder="1" applyAlignment="1">
      <alignment vertical="center" shrinkToFit="1"/>
    </xf>
    <xf numFmtId="41" fontId="24" fillId="0" borderId="177" xfId="0" applyNumberFormat="1" applyFont="1" applyBorder="1" applyAlignment="1">
      <alignment vertical="center" shrinkToFit="1"/>
    </xf>
    <xf numFmtId="0" fontId="60" fillId="0" borderId="101" xfId="0" applyFont="1" applyBorder="1" applyAlignment="1">
      <alignment vertical="center" shrinkToFit="1"/>
    </xf>
    <xf numFmtId="187" fontId="71" fillId="27" borderId="26" xfId="11" applyNumberFormat="1" applyFont="1" applyFill="1" applyBorder="1" applyAlignment="1">
      <alignment horizontal="center" vertical="center" shrinkToFit="1"/>
    </xf>
    <xf numFmtId="41" fontId="64" fillId="17" borderId="192" xfId="0" applyNumberFormat="1" applyFont="1" applyFill="1" applyBorder="1" applyAlignment="1">
      <alignment horizontal="center" vertical="center" shrinkToFit="1"/>
    </xf>
    <xf numFmtId="190" fontId="64" fillId="17" borderId="192" xfId="0" applyNumberFormat="1" applyFont="1" applyFill="1" applyBorder="1" applyAlignment="1">
      <alignment horizontal="right" vertical="center" shrinkToFit="1"/>
    </xf>
    <xf numFmtId="191" fontId="64" fillId="17" borderId="192" xfId="0" applyNumberFormat="1" applyFont="1" applyFill="1" applyBorder="1" applyAlignment="1">
      <alignment horizontal="right" vertical="center" shrinkToFit="1"/>
    </xf>
    <xf numFmtId="192" fontId="64" fillId="17" borderId="192" xfId="0" applyNumberFormat="1" applyFont="1" applyFill="1" applyBorder="1" applyAlignment="1">
      <alignment horizontal="right" vertical="center" shrinkToFit="1"/>
    </xf>
    <xf numFmtId="0" fontId="64" fillId="24" borderId="192" xfId="0" applyFont="1" applyFill="1" applyBorder="1" applyAlignment="1">
      <alignment horizontal="center" vertical="center" shrinkToFit="1"/>
    </xf>
    <xf numFmtId="41" fontId="64" fillId="24" borderId="192" xfId="0" applyNumberFormat="1" applyFont="1" applyFill="1" applyBorder="1" applyAlignment="1">
      <alignment horizontal="center" vertical="center" shrinkToFit="1"/>
    </xf>
    <xf numFmtId="190" fontId="64" fillId="24" borderId="192" xfId="0" applyNumberFormat="1" applyFont="1" applyFill="1" applyBorder="1" applyAlignment="1">
      <alignment horizontal="right" vertical="center" shrinkToFit="1"/>
    </xf>
    <xf numFmtId="191" fontId="64" fillId="24" borderId="192" xfId="0" applyNumberFormat="1" applyFont="1" applyFill="1" applyBorder="1" applyAlignment="1">
      <alignment horizontal="right" vertical="center" shrinkToFit="1"/>
    </xf>
    <xf numFmtId="192" fontId="64" fillId="24" borderId="197" xfId="0" applyNumberFormat="1" applyFont="1" applyFill="1" applyBorder="1" applyAlignment="1">
      <alignment horizontal="right" vertical="center" shrinkToFit="1"/>
    </xf>
    <xf numFmtId="41" fontId="24" fillId="0" borderId="203" xfId="0" applyNumberFormat="1" applyFont="1" applyBorder="1" applyAlignment="1">
      <alignment vertical="center" shrinkToFit="1"/>
    </xf>
    <xf numFmtId="41" fontId="24" fillId="0" borderId="152" xfId="0" applyNumberFormat="1" applyFont="1" applyBorder="1" applyAlignment="1">
      <alignment vertical="center" shrinkToFit="1"/>
    </xf>
    <xf numFmtId="41" fontId="64" fillId="20" borderId="40" xfId="0" applyNumberFormat="1" applyFont="1" applyFill="1" applyBorder="1" applyAlignment="1">
      <alignment horizontal="center" vertical="center" shrinkToFit="1"/>
    </xf>
    <xf numFmtId="41" fontId="64" fillId="17" borderId="27" xfId="0" applyNumberFormat="1" applyFont="1" applyFill="1" applyBorder="1" applyAlignment="1">
      <alignment horizontal="center" vertical="center" shrinkToFit="1"/>
    </xf>
    <xf numFmtId="190" fontId="64" fillId="17" borderId="27" xfId="0" applyNumberFormat="1" applyFont="1" applyFill="1" applyBorder="1" applyAlignment="1">
      <alignment horizontal="right" vertical="center" shrinkToFit="1"/>
    </xf>
    <xf numFmtId="191" fontId="64" fillId="17" borderId="27" xfId="0" applyNumberFormat="1" applyFont="1" applyFill="1" applyBorder="1" applyAlignment="1">
      <alignment horizontal="right" vertical="center" shrinkToFit="1"/>
    </xf>
    <xf numFmtId="192" fontId="64" fillId="17" borderId="27" xfId="0" applyNumberFormat="1" applyFont="1" applyFill="1" applyBorder="1" applyAlignment="1">
      <alignment horizontal="right" vertical="center" shrinkToFit="1"/>
    </xf>
    <xf numFmtId="0" fontId="64" fillId="24" borderId="27" xfId="0" applyFont="1" applyFill="1" applyBorder="1" applyAlignment="1">
      <alignment horizontal="center" vertical="center" shrinkToFit="1"/>
    </xf>
    <xf numFmtId="41" fontId="64" fillId="24" borderId="27" xfId="0" applyNumberFormat="1" applyFont="1" applyFill="1" applyBorder="1" applyAlignment="1">
      <alignment horizontal="center" vertical="center" shrinkToFit="1"/>
    </xf>
    <xf numFmtId="190" fontId="64" fillId="24" borderId="27" xfId="0" applyNumberFormat="1" applyFont="1" applyFill="1" applyBorder="1" applyAlignment="1">
      <alignment horizontal="right" vertical="center" shrinkToFit="1"/>
    </xf>
    <xf numFmtId="191" fontId="64" fillId="24" borderId="27" xfId="0" applyNumberFormat="1" applyFont="1" applyFill="1" applyBorder="1" applyAlignment="1">
      <alignment horizontal="right" vertical="center" shrinkToFit="1"/>
    </xf>
    <xf numFmtId="192" fontId="71" fillId="24" borderId="117" xfId="0" applyNumberFormat="1" applyFont="1" applyFill="1" applyBorder="1" applyAlignment="1">
      <alignment horizontal="right" vertical="center" shrinkToFit="1"/>
    </xf>
    <xf numFmtId="194" fontId="24" fillId="2" borderId="204" xfId="14" applyNumberFormat="1" applyFont="1" applyFill="1" applyBorder="1" applyAlignment="1">
      <alignment horizontal="center" vertical="center" shrinkToFit="1"/>
    </xf>
    <xf numFmtId="194" fontId="24" fillId="2" borderId="147" xfId="14" applyNumberFormat="1" applyFont="1" applyFill="1" applyBorder="1" applyAlignment="1">
      <alignment horizontal="center" vertical="center" shrinkToFit="1"/>
    </xf>
    <xf numFmtId="41" fontId="24" fillId="0" borderId="80" xfId="0" applyNumberFormat="1" applyFont="1" applyBorder="1" applyAlignment="1">
      <alignment vertical="center" shrinkToFit="1"/>
    </xf>
    <xf numFmtId="192" fontId="71" fillId="24" borderId="197" xfId="0" applyNumberFormat="1" applyFont="1" applyFill="1" applyBorder="1" applyAlignment="1">
      <alignment horizontal="right" vertical="center" shrinkToFit="1"/>
    </xf>
    <xf numFmtId="192" fontId="71" fillId="24" borderId="141" xfId="0" applyNumberFormat="1" applyFont="1" applyFill="1" applyBorder="1" applyAlignment="1">
      <alignment horizontal="right" vertical="center" shrinkToFit="1"/>
    </xf>
    <xf numFmtId="192" fontId="71" fillId="24" borderId="182" xfId="0" applyNumberFormat="1" applyFont="1" applyFill="1" applyBorder="1" applyAlignment="1">
      <alignment horizontal="right" vertical="center" shrinkToFit="1"/>
    </xf>
    <xf numFmtId="187" fontId="71" fillId="0" borderId="27" xfId="0" applyNumberFormat="1" applyFont="1" applyBorder="1" applyAlignment="1">
      <alignment horizontal="right" vertical="center" shrinkToFit="1"/>
    </xf>
    <xf numFmtId="187" fontId="71" fillId="0" borderId="27" xfId="0" applyNumberFormat="1" applyFont="1" applyBorder="1" applyAlignment="1">
      <alignment horizontal="center" vertical="center" shrinkToFit="1"/>
    </xf>
    <xf numFmtId="41" fontId="71" fillId="0" borderId="27" xfId="0" applyNumberFormat="1" applyFont="1" applyBorder="1" applyAlignment="1">
      <alignment horizontal="center" vertical="center" shrinkToFit="1"/>
    </xf>
    <xf numFmtId="41" fontId="24" fillId="0" borderId="193" xfId="0" applyNumberFormat="1" applyFont="1" applyBorder="1" applyAlignment="1">
      <alignment vertical="center" shrinkToFit="1"/>
    </xf>
    <xf numFmtId="187" fontId="71" fillId="0" borderId="26" xfId="0" applyNumberFormat="1" applyFont="1" applyBorder="1" applyAlignment="1">
      <alignment horizontal="right" vertical="center" shrinkToFit="1"/>
    </xf>
    <xf numFmtId="187" fontId="71" fillId="0" borderId="26" xfId="0" applyNumberFormat="1" applyFont="1" applyBorder="1" applyAlignment="1">
      <alignment horizontal="center" vertical="center" shrinkToFit="1"/>
    </xf>
    <xf numFmtId="41" fontId="71" fillId="0" borderId="26" xfId="0" applyNumberFormat="1" applyFont="1" applyBorder="1" applyAlignment="1">
      <alignment horizontal="center" vertical="center" shrinkToFit="1"/>
    </xf>
    <xf numFmtId="191" fontId="71" fillId="24" borderId="167" xfId="0" applyNumberFormat="1" applyFont="1" applyFill="1" applyBorder="1" applyAlignment="1">
      <alignment horizontal="right" vertical="center" shrinkToFit="1"/>
    </xf>
    <xf numFmtId="187" fontId="71" fillId="0" borderId="28" xfId="0" applyNumberFormat="1" applyFont="1" applyBorder="1" applyAlignment="1">
      <alignment horizontal="right" vertical="center" shrinkToFit="1"/>
    </xf>
    <xf numFmtId="187" fontId="71" fillId="0" borderId="28" xfId="0" applyNumberFormat="1" applyFont="1" applyBorder="1" applyAlignment="1">
      <alignment horizontal="center" vertical="center" shrinkToFit="1"/>
    </xf>
    <xf numFmtId="41" fontId="71" fillId="0" borderId="28" xfId="0" applyNumberFormat="1" applyFont="1" applyBorder="1" applyAlignment="1">
      <alignment horizontal="center" vertical="center" shrinkToFit="1"/>
    </xf>
    <xf numFmtId="0" fontId="60" fillId="0" borderId="41" xfId="0" applyFont="1" applyBorder="1" applyAlignment="1">
      <alignment vertical="center" shrinkToFit="1"/>
    </xf>
    <xf numFmtId="195" fontId="24" fillId="2" borderId="205" xfId="14" applyNumberFormat="1" applyFont="1" applyFill="1" applyBorder="1" applyAlignment="1">
      <alignment horizontal="center" vertical="center" shrinkToFit="1"/>
    </xf>
    <xf numFmtId="41" fontId="24" fillId="0" borderId="206" xfId="0" applyNumberFormat="1" applyFont="1" applyBorder="1" applyAlignment="1">
      <alignment vertical="center" shrinkToFit="1"/>
    </xf>
    <xf numFmtId="0" fontId="60" fillId="0" borderId="38" xfId="0" applyFont="1" applyBorder="1" applyAlignment="1">
      <alignment vertical="center" shrinkToFit="1"/>
    </xf>
    <xf numFmtId="41" fontId="64" fillId="20" borderId="207" xfId="0" applyNumberFormat="1" applyFont="1" applyFill="1" applyBorder="1" applyAlignment="1">
      <alignment horizontal="center" vertical="center" shrinkToFit="1"/>
    </xf>
    <xf numFmtId="0" fontId="64" fillId="0" borderId="208" xfId="11" applyFont="1" applyBorder="1" applyAlignment="1">
      <alignment horizontal="center" vertical="center" shrinkToFit="1"/>
    </xf>
    <xf numFmtId="0" fontId="64" fillId="0" borderId="209" xfId="11" applyFont="1" applyBorder="1" applyAlignment="1">
      <alignment horizontal="center" vertical="center" shrinkToFit="1"/>
    </xf>
    <xf numFmtId="191" fontId="71" fillId="24" borderId="176" xfId="0" applyNumberFormat="1" applyFont="1" applyFill="1" applyBorder="1" applyAlignment="1">
      <alignment horizontal="right" vertical="center" shrinkToFit="1"/>
    </xf>
    <xf numFmtId="0" fontId="64" fillId="0" borderId="210" xfId="11" applyFont="1" applyBorder="1" applyAlignment="1">
      <alignment horizontal="center" vertical="center" shrinkToFit="1"/>
    </xf>
    <xf numFmtId="0" fontId="64" fillId="0" borderId="211" xfId="11" applyFont="1" applyBorder="1" applyAlignment="1">
      <alignment horizontal="center" vertical="center" shrinkToFit="1"/>
    </xf>
    <xf numFmtId="192" fontId="64" fillId="24" borderId="117" xfId="0" applyNumberFormat="1" applyFont="1" applyFill="1" applyBorder="1" applyAlignment="1">
      <alignment horizontal="right" vertical="center" shrinkToFit="1"/>
    </xf>
    <xf numFmtId="0" fontId="61" fillId="0" borderId="27" xfId="1" applyNumberFormat="1" applyFont="1" applyFill="1" applyBorder="1" applyAlignment="1">
      <alignment horizontal="left" vertical="center" shrinkToFit="1"/>
    </xf>
    <xf numFmtId="41" fontId="64" fillId="0" borderId="0" xfId="0" applyNumberFormat="1" applyFont="1" applyAlignment="1">
      <alignment horizontal="right" vertical="center" shrinkToFit="1"/>
    </xf>
    <xf numFmtId="0" fontId="61" fillId="0" borderId="174" xfId="1" applyNumberFormat="1" applyFont="1" applyFill="1" applyBorder="1" applyAlignment="1">
      <alignment horizontal="left" vertical="center" shrinkToFit="1"/>
    </xf>
    <xf numFmtId="0" fontId="61" fillId="0" borderId="175" xfId="1" applyNumberFormat="1" applyFont="1" applyFill="1" applyBorder="1" applyAlignment="1">
      <alignment horizontal="left" vertical="center" shrinkToFit="1"/>
    </xf>
    <xf numFmtId="0" fontId="64" fillId="0" borderId="212" xfId="11" applyFont="1" applyBorder="1" applyAlignment="1">
      <alignment horizontal="center" vertical="center" shrinkToFit="1"/>
    </xf>
    <xf numFmtId="0" fontId="61" fillId="0" borderId="118" xfId="1" applyNumberFormat="1" applyFont="1" applyFill="1" applyBorder="1" applyAlignment="1">
      <alignment horizontal="left" vertical="center" shrinkToFit="1"/>
    </xf>
    <xf numFmtId="41" fontId="64" fillId="17" borderId="118" xfId="0" applyNumberFormat="1" applyFont="1" applyFill="1" applyBorder="1" applyAlignment="1">
      <alignment horizontal="center" vertical="center" shrinkToFit="1"/>
    </xf>
    <xf numFmtId="190" fontId="64" fillId="17" borderId="164" xfId="0" applyNumberFormat="1" applyFont="1" applyFill="1" applyBorder="1" applyAlignment="1">
      <alignment horizontal="right" vertical="center" shrinkToFit="1"/>
    </xf>
    <xf numFmtId="191" fontId="64" fillId="17" borderId="164" xfId="0" applyNumberFormat="1" applyFont="1" applyFill="1" applyBorder="1" applyAlignment="1">
      <alignment horizontal="right" vertical="center" shrinkToFit="1"/>
    </xf>
    <xf numFmtId="192" fontId="64" fillId="17" borderId="164" xfId="0" applyNumberFormat="1" applyFont="1" applyFill="1" applyBorder="1" applyAlignment="1">
      <alignment horizontal="right" vertical="center" shrinkToFit="1"/>
    </xf>
    <xf numFmtId="0" fontId="64" fillId="24" borderId="118" xfId="0" applyFont="1" applyFill="1" applyBorder="1" applyAlignment="1">
      <alignment horizontal="center" vertical="center" shrinkToFit="1"/>
    </xf>
    <xf numFmtId="41" fontId="64" fillId="24" borderId="118" xfId="0" applyNumberFormat="1" applyFont="1" applyFill="1" applyBorder="1" applyAlignment="1">
      <alignment horizontal="center" vertical="center" shrinkToFit="1"/>
    </xf>
    <xf numFmtId="190" fontId="64" fillId="24" borderId="118" xfId="0" applyNumberFormat="1" applyFont="1" applyFill="1" applyBorder="1" applyAlignment="1">
      <alignment horizontal="right" vertical="center" shrinkToFit="1"/>
    </xf>
    <xf numFmtId="191" fontId="64" fillId="24" borderId="164" xfId="0" applyNumberFormat="1" applyFont="1" applyFill="1" applyBorder="1" applyAlignment="1">
      <alignment horizontal="right" vertical="center" shrinkToFit="1"/>
    </xf>
    <xf numFmtId="192" fontId="64" fillId="24" borderId="166" xfId="0" applyNumberFormat="1" applyFont="1" applyFill="1" applyBorder="1" applyAlignment="1">
      <alignment horizontal="right" vertical="center" shrinkToFit="1"/>
    </xf>
    <xf numFmtId="41" fontId="64" fillId="20" borderId="213" xfId="0" applyNumberFormat="1" applyFont="1" applyFill="1" applyBorder="1" applyAlignment="1">
      <alignment horizontal="center" vertical="center" shrinkToFit="1"/>
    </xf>
    <xf numFmtId="41" fontId="24" fillId="0" borderId="214" xfId="0" applyNumberFormat="1" applyFont="1" applyBorder="1" applyAlignment="1">
      <alignment horizontal="center" vertical="center" shrinkToFit="1"/>
    </xf>
    <xf numFmtId="41" fontId="24" fillId="0" borderId="161" xfId="0" applyNumberFormat="1" applyFont="1" applyBorder="1" applyAlignment="1">
      <alignment vertical="center" shrinkToFit="1"/>
    </xf>
    <xf numFmtId="41" fontId="24" fillId="0" borderId="162" xfId="0" applyNumberFormat="1" applyFont="1" applyBorder="1" applyAlignment="1">
      <alignment vertical="center" shrinkToFit="1"/>
    </xf>
    <xf numFmtId="0" fontId="61" fillId="0" borderId="120" xfId="1" applyNumberFormat="1" applyFont="1" applyFill="1" applyBorder="1" applyAlignment="1">
      <alignment horizontal="left" vertical="center" shrinkToFit="1"/>
    </xf>
    <xf numFmtId="0" fontId="61" fillId="0" borderId="121" xfId="1" applyNumberFormat="1" applyFont="1" applyFill="1" applyBorder="1" applyAlignment="1">
      <alignment horizontal="left" vertical="center" shrinkToFit="1"/>
    </xf>
    <xf numFmtId="0" fontId="61" fillId="0" borderId="50" xfId="1" applyNumberFormat="1" applyFont="1" applyFill="1" applyBorder="1" applyAlignment="1">
      <alignment horizontal="left" vertical="center" shrinkToFit="1"/>
    </xf>
    <xf numFmtId="187" fontId="71" fillId="0" borderId="50" xfId="11" applyNumberFormat="1" applyFont="1" applyBorder="1" applyAlignment="1">
      <alignment horizontal="right" vertical="center" shrinkToFit="1"/>
    </xf>
    <xf numFmtId="0" fontId="73" fillId="25" borderId="50" xfId="1" applyNumberFormat="1" applyFont="1" applyFill="1" applyBorder="1" applyAlignment="1">
      <alignment horizontal="center" vertical="center" shrinkToFit="1"/>
    </xf>
    <xf numFmtId="41" fontId="64" fillId="17" borderId="50" xfId="0" applyNumberFormat="1" applyFont="1" applyFill="1" applyBorder="1" applyAlignment="1">
      <alignment horizontal="center" vertical="center" shrinkToFit="1"/>
    </xf>
    <xf numFmtId="190" fontId="64" fillId="17" borderId="50" xfId="0" applyNumberFormat="1" applyFont="1" applyFill="1" applyBorder="1" applyAlignment="1">
      <alignment horizontal="right" vertical="center" shrinkToFit="1"/>
    </xf>
    <xf numFmtId="191" fontId="64" fillId="17" borderId="50" xfId="0" applyNumberFormat="1" applyFont="1" applyFill="1" applyBorder="1" applyAlignment="1">
      <alignment horizontal="right" vertical="center" shrinkToFit="1"/>
    </xf>
    <xf numFmtId="192" fontId="64" fillId="17" borderId="50" xfId="0" applyNumberFormat="1" applyFont="1" applyFill="1" applyBorder="1" applyAlignment="1">
      <alignment horizontal="right" vertical="center" shrinkToFit="1"/>
    </xf>
    <xf numFmtId="0" fontId="64" fillId="24" borderId="50" xfId="0" applyFont="1" applyFill="1" applyBorder="1" applyAlignment="1">
      <alignment horizontal="center" vertical="center" shrinkToFit="1"/>
    </xf>
    <xf numFmtId="41" fontId="64" fillId="24" borderId="50" xfId="0" applyNumberFormat="1" applyFont="1" applyFill="1" applyBorder="1" applyAlignment="1">
      <alignment horizontal="center" vertical="center" shrinkToFit="1"/>
    </xf>
    <xf numFmtId="190" fontId="64" fillId="24" borderId="50" xfId="0" applyNumberFormat="1" applyFont="1" applyFill="1" applyBorder="1" applyAlignment="1">
      <alignment horizontal="right" vertical="center" shrinkToFit="1"/>
    </xf>
    <xf numFmtId="191" fontId="64" fillId="24" borderId="50" xfId="0" applyNumberFormat="1" applyFont="1" applyFill="1" applyBorder="1" applyAlignment="1">
      <alignment horizontal="right" vertical="center" shrinkToFit="1"/>
    </xf>
    <xf numFmtId="192" fontId="71" fillId="24" borderId="215" xfId="0" applyNumberFormat="1" applyFont="1" applyFill="1" applyBorder="1" applyAlignment="1">
      <alignment horizontal="right" vertical="center" shrinkToFit="1"/>
    </xf>
    <xf numFmtId="41" fontId="24" fillId="0" borderId="128" xfId="0" applyNumberFormat="1" applyFont="1" applyBorder="1" applyAlignment="1">
      <alignment vertical="center" shrinkToFit="1"/>
    </xf>
    <xf numFmtId="41" fontId="24" fillId="0" borderId="125" xfId="0" applyNumberFormat="1" applyFont="1" applyBorder="1" applyAlignment="1">
      <alignment vertical="center" shrinkToFit="1"/>
    </xf>
    <xf numFmtId="0" fontId="61" fillId="0" borderId="115" xfId="1" applyNumberFormat="1" applyFont="1" applyFill="1" applyBorder="1" applyAlignment="1">
      <alignment horizontal="left" vertical="center" shrinkToFit="1"/>
    </xf>
    <xf numFmtId="0" fontId="61" fillId="0" borderId="51" xfId="1" applyNumberFormat="1" applyFont="1" applyFill="1" applyBorder="1" applyAlignment="1">
      <alignment horizontal="left" vertical="center" shrinkToFit="1"/>
    </xf>
    <xf numFmtId="0" fontId="61" fillId="0" borderId="26" xfId="1" applyNumberFormat="1" applyFont="1" applyFill="1" applyBorder="1" applyAlignment="1">
      <alignment horizontal="left" vertical="center" shrinkToFit="1"/>
    </xf>
    <xf numFmtId="0" fontId="61" fillId="0" borderId="154" xfId="1" applyNumberFormat="1" applyFont="1" applyFill="1" applyBorder="1" applyAlignment="1">
      <alignment horizontal="left" vertical="center" shrinkToFit="1"/>
    </xf>
    <xf numFmtId="0" fontId="61" fillId="0" borderId="155" xfId="1" applyNumberFormat="1" applyFont="1" applyFill="1" applyBorder="1" applyAlignment="1">
      <alignment horizontal="left" vertical="center" shrinkToFit="1"/>
    </xf>
    <xf numFmtId="0" fontId="61" fillId="0" borderId="28" xfId="1" applyNumberFormat="1" applyFont="1" applyFill="1" applyBorder="1" applyAlignment="1">
      <alignment horizontal="left" vertical="center" shrinkToFit="1"/>
    </xf>
    <xf numFmtId="41" fontId="24" fillId="0" borderId="216" xfId="0" applyNumberFormat="1" applyFont="1" applyBorder="1" applyAlignment="1">
      <alignment vertical="center" shrinkToFit="1"/>
    </xf>
    <xf numFmtId="0" fontId="61" fillId="0" borderId="181" xfId="1" applyNumberFormat="1" applyFont="1" applyFill="1" applyBorder="1" applyAlignment="1">
      <alignment horizontal="left" vertical="center" shrinkToFit="1"/>
    </xf>
    <xf numFmtId="0" fontId="61" fillId="0" borderId="53" xfId="1" applyNumberFormat="1" applyFont="1" applyFill="1" applyBorder="1" applyAlignment="1">
      <alignment horizontal="left" vertical="center" shrinkToFit="1"/>
    </xf>
    <xf numFmtId="190" fontId="64" fillId="17" borderId="40" xfId="0" applyNumberFormat="1" applyFont="1" applyFill="1" applyBorder="1" applyAlignment="1">
      <alignment horizontal="right" vertical="center" shrinkToFit="1"/>
    </xf>
    <xf numFmtId="191" fontId="64" fillId="17" borderId="40" xfId="0" applyNumberFormat="1" applyFont="1" applyFill="1" applyBorder="1" applyAlignment="1">
      <alignment horizontal="right" vertical="center" shrinkToFit="1"/>
    </xf>
    <xf numFmtId="192" fontId="64" fillId="17" borderId="40" xfId="0" applyNumberFormat="1" applyFont="1" applyFill="1" applyBorder="1" applyAlignment="1">
      <alignment horizontal="right" vertical="center" shrinkToFit="1"/>
    </xf>
    <xf numFmtId="191" fontId="64" fillId="24" borderId="40" xfId="0" applyNumberFormat="1" applyFont="1" applyFill="1" applyBorder="1" applyAlignment="1">
      <alignment horizontal="right" vertical="center" shrinkToFit="1"/>
    </xf>
    <xf numFmtId="0" fontId="64" fillId="0" borderId="217" xfId="11" applyFont="1" applyBorder="1" applyAlignment="1">
      <alignment horizontal="center" vertical="center" shrinkToFit="1"/>
    </xf>
    <xf numFmtId="190" fontId="72" fillId="17" borderId="167" xfId="0" applyNumberFormat="1" applyFont="1" applyFill="1" applyBorder="1" applyAlignment="1">
      <alignment vertical="center" shrinkToFit="1"/>
    </xf>
    <xf numFmtId="0" fontId="72" fillId="25" borderId="167" xfId="0" applyFont="1" applyFill="1" applyBorder="1" applyAlignment="1">
      <alignment vertical="center" shrinkToFit="1"/>
    </xf>
    <xf numFmtId="9" fontId="72" fillId="25" borderId="167" xfId="10" applyFont="1" applyFill="1" applyBorder="1" applyAlignment="1">
      <alignment vertical="center" shrinkToFit="1"/>
    </xf>
    <xf numFmtId="190" fontId="72" fillId="24" borderId="167" xfId="0" applyNumberFormat="1" applyFont="1" applyFill="1" applyBorder="1" applyAlignment="1">
      <alignment vertical="center" shrinkToFit="1"/>
    </xf>
    <xf numFmtId="41" fontId="64" fillId="17" borderId="26" xfId="0" applyNumberFormat="1" applyFont="1" applyFill="1" applyBorder="1" applyAlignment="1">
      <alignment horizontal="right" vertical="center" shrinkToFit="1"/>
    </xf>
    <xf numFmtId="0" fontId="64" fillId="24" borderId="26" xfId="0" applyFont="1" applyFill="1" applyBorder="1" applyAlignment="1">
      <alignment horizontal="right" vertical="center" shrinkToFit="1"/>
    </xf>
    <xf numFmtId="0" fontId="64" fillId="0" borderId="122" xfId="11" applyFont="1" applyBorder="1" applyAlignment="1">
      <alignment horizontal="center" vertical="center" shrinkToFit="1"/>
    </xf>
    <xf numFmtId="192" fontId="71" fillId="24" borderId="125" xfId="0" applyNumberFormat="1" applyFont="1" applyFill="1" applyBorder="1" applyAlignment="1">
      <alignment horizontal="right" vertical="center" shrinkToFit="1"/>
    </xf>
    <xf numFmtId="41" fontId="24" fillId="0" borderId="146" xfId="0" applyNumberFormat="1" applyFont="1" applyBorder="1" applyAlignment="1">
      <alignment vertical="center" shrinkToFit="1"/>
    </xf>
    <xf numFmtId="195" fontId="24" fillId="2" borderId="218" xfId="14" applyNumberFormat="1" applyFont="1" applyFill="1" applyBorder="1" applyAlignment="1">
      <alignment horizontal="center" vertical="center" shrinkToFit="1"/>
    </xf>
    <xf numFmtId="38" fontId="71" fillId="0" borderId="26" xfId="1" applyFont="1" applyBorder="1" applyAlignment="1">
      <alignment horizontal="right" vertical="center" shrinkToFit="1"/>
    </xf>
    <xf numFmtId="41" fontId="24" fillId="0" borderId="154" xfId="0" applyNumberFormat="1" applyFont="1" applyBorder="1" applyAlignment="1">
      <alignment vertical="center" shrinkToFit="1"/>
    </xf>
    <xf numFmtId="41" fontId="24" fillId="12" borderId="73" xfId="0" applyNumberFormat="1" applyFont="1" applyFill="1" applyBorder="1" applyAlignment="1">
      <alignment vertical="center" shrinkToFit="1"/>
    </xf>
    <xf numFmtId="41" fontId="24" fillId="12" borderId="77" xfId="0" applyNumberFormat="1" applyFont="1" applyFill="1" applyBorder="1" applyAlignment="1">
      <alignment vertical="center" shrinkToFit="1"/>
    </xf>
    <xf numFmtId="192" fontId="64" fillId="24" borderId="158" xfId="0" applyNumberFormat="1" applyFont="1" applyFill="1" applyBorder="1" applyAlignment="1">
      <alignment horizontal="right" vertical="center" shrinkToFit="1"/>
    </xf>
    <xf numFmtId="41" fontId="24" fillId="12" borderId="219" xfId="0" applyNumberFormat="1" applyFont="1" applyFill="1" applyBorder="1" applyAlignment="1">
      <alignment vertical="center" shrinkToFit="1"/>
    </xf>
    <xf numFmtId="190" fontId="64" fillId="17" borderId="118" xfId="0" applyNumberFormat="1" applyFont="1" applyFill="1" applyBorder="1" applyAlignment="1">
      <alignment horizontal="right" vertical="center" shrinkToFit="1"/>
    </xf>
    <xf numFmtId="191" fontId="64" fillId="17" borderId="118" xfId="0" applyNumberFormat="1" applyFont="1" applyFill="1" applyBorder="1" applyAlignment="1">
      <alignment horizontal="right" vertical="center" shrinkToFit="1"/>
    </xf>
    <xf numFmtId="192" fontId="64" fillId="17" borderId="118" xfId="0" applyNumberFormat="1" applyFont="1" applyFill="1" applyBorder="1" applyAlignment="1">
      <alignment horizontal="right" vertical="center" shrinkToFit="1"/>
    </xf>
    <xf numFmtId="191" fontId="64" fillId="24" borderId="118" xfId="0" applyNumberFormat="1" applyFont="1" applyFill="1" applyBorder="1" applyAlignment="1">
      <alignment horizontal="right" vertical="center" shrinkToFit="1"/>
    </xf>
    <xf numFmtId="0" fontId="71" fillId="0" borderId="138" xfId="11" applyFont="1" applyBorder="1" applyAlignment="1">
      <alignment horizontal="center" vertical="center" shrinkToFit="1"/>
    </xf>
    <xf numFmtId="0" fontId="72" fillId="25" borderId="26" xfId="0" applyFont="1" applyFill="1" applyBorder="1" applyAlignment="1">
      <alignment vertical="center" shrinkToFit="1"/>
    </xf>
    <xf numFmtId="191" fontId="71" fillId="17" borderId="192" xfId="0" applyNumberFormat="1" applyFont="1" applyFill="1" applyBorder="1" applyAlignment="1">
      <alignment horizontal="right" vertical="center" shrinkToFit="1"/>
    </xf>
    <xf numFmtId="192" fontId="71" fillId="17" borderId="192" xfId="0" applyNumberFormat="1" applyFont="1" applyFill="1" applyBorder="1" applyAlignment="1">
      <alignment horizontal="right" vertical="center" shrinkToFit="1"/>
    </xf>
    <xf numFmtId="191" fontId="71" fillId="24" borderId="192" xfId="0" applyNumberFormat="1" applyFont="1" applyFill="1" applyBorder="1" applyAlignment="1">
      <alignment horizontal="right" vertical="center" shrinkToFit="1"/>
    </xf>
    <xf numFmtId="190" fontId="72" fillId="17" borderId="27" xfId="0" applyNumberFormat="1" applyFont="1" applyFill="1" applyBorder="1" applyAlignment="1">
      <alignment horizontal="right" vertical="center" shrinkToFit="1"/>
    </xf>
    <xf numFmtId="9" fontId="72" fillId="25" borderId="27" xfId="10" applyFont="1" applyFill="1" applyBorder="1" applyAlignment="1">
      <alignment horizontal="right" vertical="center" shrinkToFit="1"/>
    </xf>
    <xf numFmtId="190" fontId="72" fillId="24" borderId="27" xfId="0" applyNumberFormat="1" applyFont="1" applyFill="1" applyBorder="1" applyAlignment="1">
      <alignment horizontal="right" vertical="center" shrinkToFit="1"/>
    </xf>
    <xf numFmtId="195" fontId="24" fillId="2" borderId="220" xfId="14" applyNumberFormat="1" applyFont="1" applyFill="1" applyBorder="1" applyAlignment="1">
      <alignment horizontal="center" vertical="center" shrinkToFit="1"/>
    </xf>
    <xf numFmtId="190" fontId="72" fillId="17" borderId="28" xfId="0" applyNumberFormat="1" applyFont="1" applyFill="1" applyBorder="1" applyAlignment="1">
      <alignment horizontal="right" vertical="center" shrinkToFit="1"/>
    </xf>
    <xf numFmtId="180" fontId="72" fillId="25" borderId="28" xfId="0" applyNumberFormat="1" applyFont="1" applyFill="1" applyBorder="1" applyAlignment="1">
      <alignment horizontal="right" vertical="center" shrinkToFit="1"/>
    </xf>
    <xf numFmtId="9" fontId="72" fillId="25" borderId="28" xfId="10" applyFont="1" applyFill="1" applyBorder="1" applyAlignment="1">
      <alignment horizontal="right" vertical="center" shrinkToFit="1"/>
    </xf>
    <xf numFmtId="190" fontId="72" fillId="24" borderId="28" xfId="0" applyNumberFormat="1" applyFont="1" applyFill="1" applyBorder="1" applyAlignment="1">
      <alignment horizontal="right" vertical="center" shrinkToFit="1"/>
    </xf>
    <xf numFmtId="192" fontId="71" fillId="24" borderId="180" xfId="0" applyNumberFormat="1" applyFont="1" applyFill="1" applyBorder="1" applyAlignment="1">
      <alignment horizontal="right" vertical="center" shrinkToFit="1"/>
    </xf>
    <xf numFmtId="190" fontId="72" fillId="17" borderId="26" xfId="0" applyNumberFormat="1" applyFont="1" applyFill="1" applyBorder="1" applyAlignment="1">
      <alignment horizontal="right" vertical="center" shrinkToFit="1"/>
    </xf>
    <xf numFmtId="9" fontId="72" fillId="25" borderId="26" xfId="10" applyFont="1" applyFill="1" applyBorder="1" applyAlignment="1">
      <alignment horizontal="right" vertical="center" shrinkToFit="1"/>
    </xf>
    <xf numFmtId="190" fontId="72" fillId="24" borderId="26" xfId="0" applyNumberFormat="1" applyFont="1" applyFill="1" applyBorder="1" applyAlignment="1">
      <alignment horizontal="right" vertical="center" shrinkToFit="1"/>
    </xf>
    <xf numFmtId="180" fontId="72" fillId="25" borderId="26" xfId="0" applyNumberFormat="1" applyFont="1" applyFill="1" applyBorder="1" applyAlignment="1">
      <alignment horizontal="right" vertical="center" shrinkToFit="1"/>
    </xf>
    <xf numFmtId="191" fontId="71" fillId="17" borderId="26" xfId="0" applyNumberFormat="1" applyFont="1" applyFill="1" applyBorder="1" applyAlignment="1">
      <alignment horizontal="right" vertical="center" shrinkToFit="1"/>
    </xf>
    <xf numFmtId="192" fontId="71" fillId="17" borderId="26" xfId="0" applyNumberFormat="1" applyFont="1" applyFill="1" applyBorder="1" applyAlignment="1">
      <alignment horizontal="right" vertical="center" shrinkToFit="1"/>
    </xf>
    <xf numFmtId="191" fontId="71" fillId="24" borderId="26" xfId="0" applyNumberFormat="1" applyFont="1" applyFill="1" applyBorder="1" applyAlignment="1">
      <alignment horizontal="right" vertical="center" shrinkToFit="1"/>
    </xf>
    <xf numFmtId="195" fontId="24" fillId="2" borderId="100" xfId="14" applyNumberFormat="1" applyFont="1" applyFill="1" applyBorder="1" applyAlignment="1">
      <alignment horizontal="center" vertical="center" shrinkToFit="1"/>
    </xf>
    <xf numFmtId="194" fontId="24" fillId="2" borderId="221" xfId="14" applyNumberFormat="1" applyFont="1" applyFill="1" applyBorder="1" applyAlignment="1">
      <alignment horizontal="center" vertical="center" shrinkToFit="1"/>
    </xf>
    <xf numFmtId="194" fontId="24" fillId="2" borderId="26" xfId="14" applyNumberFormat="1" applyFont="1" applyFill="1" applyBorder="1" applyAlignment="1">
      <alignment horizontal="center" vertical="center" shrinkToFit="1"/>
    </xf>
    <xf numFmtId="192" fontId="64" fillId="24" borderId="168" xfId="0" applyNumberFormat="1" applyFont="1" applyFill="1" applyBorder="1" applyAlignment="1">
      <alignment horizontal="right" vertical="center" shrinkToFit="1"/>
    </xf>
    <xf numFmtId="195" fontId="24" fillId="2" borderId="206" xfId="14" applyNumberFormat="1" applyFont="1" applyFill="1" applyBorder="1" applyAlignment="1">
      <alignment horizontal="center" vertical="center" shrinkToFit="1"/>
    </xf>
    <xf numFmtId="195" fontId="24" fillId="2" borderId="222" xfId="14" applyNumberFormat="1" applyFont="1" applyFill="1" applyBorder="1" applyAlignment="1">
      <alignment horizontal="center" vertical="center" shrinkToFit="1"/>
    </xf>
    <xf numFmtId="41" fontId="24" fillId="12" borderId="223" xfId="0" applyNumberFormat="1" applyFont="1" applyFill="1" applyBorder="1" applyAlignment="1">
      <alignment vertical="center" shrinkToFit="1"/>
    </xf>
    <xf numFmtId="187" fontId="71" fillId="0" borderId="27" xfId="0" applyNumberFormat="1" applyFont="1" applyBorder="1" applyAlignment="1">
      <alignment horizontal="center" vertical="center" wrapText="1" shrinkToFit="1"/>
    </xf>
    <xf numFmtId="41" fontId="24" fillId="12" borderId="224" xfId="0" applyNumberFormat="1" applyFont="1" applyFill="1" applyBorder="1" applyAlignment="1">
      <alignment vertical="center" shrinkToFit="1"/>
    </xf>
    <xf numFmtId="187" fontId="71" fillId="0" borderId="26" xfId="0" applyNumberFormat="1" applyFont="1" applyBorder="1" applyAlignment="1">
      <alignment horizontal="center" vertical="center" wrapText="1" shrinkToFit="1"/>
    </xf>
    <xf numFmtId="41" fontId="24" fillId="12" borderId="225" xfId="0" applyNumberFormat="1" applyFont="1" applyFill="1" applyBorder="1" applyAlignment="1">
      <alignment vertical="center" shrinkToFit="1"/>
    </xf>
    <xf numFmtId="187" fontId="71" fillId="0" borderId="28" xfId="0" applyNumberFormat="1" applyFont="1" applyBorder="1" applyAlignment="1">
      <alignment horizontal="center" vertical="center" wrapText="1" shrinkToFit="1"/>
    </xf>
    <xf numFmtId="180" fontId="72" fillId="25" borderId="167" xfId="0" applyNumberFormat="1" applyFont="1" applyFill="1" applyBorder="1" applyAlignment="1">
      <alignment vertical="center" shrinkToFit="1"/>
    </xf>
    <xf numFmtId="41" fontId="24" fillId="0" borderId="226" xfId="0" applyNumberFormat="1" applyFont="1" applyBorder="1" applyAlignment="1">
      <alignment horizontal="center" vertical="center" shrinkToFit="1"/>
    </xf>
    <xf numFmtId="41" fontId="24" fillId="0" borderId="227" xfId="0" applyNumberFormat="1" applyFont="1" applyBorder="1" applyAlignment="1">
      <alignment horizontal="center" vertical="center" shrinkToFit="1"/>
    </xf>
    <xf numFmtId="187" fontId="71" fillId="0" borderId="50" xfId="0" applyNumberFormat="1" applyFont="1" applyBorder="1" applyAlignment="1">
      <alignment horizontal="center" vertical="center" wrapText="1" shrinkToFit="1"/>
    </xf>
    <xf numFmtId="190" fontId="72" fillId="17" borderId="50" xfId="0" applyNumberFormat="1" applyFont="1" applyFill="1" applyBorder="1" applyAlignment="1">
      <alignment horizontal="right" vertical="center" shrinkToFit="1"/>
    </xf>
    <xf numFmtId="180" fontId="72" fillId="25" borderId="50" xfId="0" applyNumberFormat="1" applyFont="1" applyFill="1" applyBorder="1" applyAlignment="1">
      <alignment horizontal="right" vertical="center" shrinkToFit="1"/>
    </xf>
    <xf numFmtId="9" fontId="72" fillId="25" borderId="50" xfId="10" applyFont="1" applyFill="1" applyBorder="1" applyAlignment="1">
      <alignment horizontal="right" vertical="center" shrinkToFit="1"/>
    </xf>
    <xf numFmtId="190" fontId="72" fillId="24" borderId="50" xfId="0" applyNumberFormat="1" applyFont="1" applyFill="1" applyBorder="1" applyAlignment="1">
      <alignment horizontal="right" vertical="center" shrinkToFit="1"/>
    </xf>
    <xf numFmtId="192" fontId="64" fillId="24" borderId="215" xfId="0" applyNumberFormat="1" applyFont="1" applyFill="1" applyBorder="1" applyAlignment="1">
      <alignment horizontal="right" vertical="center" shrinkToFit="1"/>
    </xf>
    <xf numFmtId="194" fontId="24" fillId="2" borderId="228" xfId="14" applyNumberFormat="1" applyFont="1" applyFill="1" applyBorder="1" applyAlignment="1">
      <alignment horizontal="center" vertical="center" shrinkToFit="1"/>
    </xf>
    <xf numFmtId="194" fontId="24" fillId="2" borderId="133" xfId="14" applyNumberFormat="1" applyFont="1" applyFill="1" applyBorder="1" applyAlignment="1">
      <alignment horizontal="center" vertical="center" shrinkToFit="1"/>
    </xf>
    <xf numFmtId="194" fontId="24" fillId="2" borderId="229" xfId="14" applyNumberFormat="1" applyFont="1" applyFill="1" applyBorder="1" applyAlignment="1">
      <alignment horizontal="center" vertical="center" shrinkToFit="1"/>
    </xf>
    <xf numFmtId="194" fontId="24" fillId="2" borderId="150" xfId="14" applyNumberFormat="1" applyFont="1" applyFill="1" applyBorder="1" applyAlignment="1">
      <alignment horizontal="center" vertical="center" shrinkToFit="1"/>
    </xf>
    <xf numFmtId="41" fontId="24" fillId="0" borderId="230" xfId="0" applyNumberFormat="1" applyFont="1" applyBorder="1" applyAlignment="1">
      <alignment vertical="center" shrinkToFit="1"/>
    </xf>
    <xf numFmtId="0" fontId="71" fillId="24" borderId="27" xfId="0" applyFont="1" applyFill="1" applyBorder="1" applyAlignment="1">
      <alignment horizontal="right" vertical="center" wrapText="1" shrinkToFit="1"/>
    </xf>
    <xf numFmtId="41" fontId="24" fillId="0" borderId="231" xfId="0" applyNumberFormat="1" applyFont="1" applyBorder="1" applyAlignment="1">
      <alignment vertical="center" shrinkToFit="1"/>
    </xf>
    <xf numFmtId="0" fontId="71" fillId="27" borderId="27" xfId="11" applyFont="1" applyFill="1" applyBorder="1" applyAlignment="1">
      <alignment horizontal="center" vertical="center" shrinkToFit="1"/>
    </xf>
    <xf numFmtId="194" fontId="24" fillId="2" borderId="232" xfId="14" applyNumberFormat="1" applyFont="1" applyFill="1" applyBorder="1" applyAlignment="1">
      <alignment horizontal="center" vertical="center" shrinkToFit="1"/>
    </xf>
    <xf numFmtId="194" fontId="24" fillId="2" borderId="187" xfId="14" applyNumberFormat="1" applyFont="1" applyFill="1" applyBorder="1" applyAlignment="1">
      <alignment horizontal="center" vertical="center" shrinkToFit="1"/>
    </xf>
    <xf numFmtId="41" fontId="24" fillId="12" borderId="233" xfId="0" applyNumberFormat="1" applyFont="1" applyFill="1" applyBorder="1" applyAlignment="1">
      <alignment vertical="center" shrinkToFit="1"/>
    </xf>
    <xf numFmtId="194" fontId="24" fillId="2" borderId="131" xfId="14" applyNumberFormat="1" applyFont="1" applyFill="1" applyBorder="1" applyAlignment="1">
      <alignment horizontal="center" vertical="center" shrinkToFit="1"/>
    </xf>
    <xf numFmtId="194" fontId="24" fillId="2" borderId="132" xfId="14" applyNumberFormat="1" applyFont="1" applyFill="1" applyBorder="1" applyAlignment="1">
      <alignment horizontal="center" vertical="center" shrinkToFit="1"/>
    </xf>
    <xf numFmtId="41" fontId="24" fillId="0" borderId="74" xfId="0" applyNumberFormat="1" applyFont="1" applyBorder="1" applyAlignment="1">
      <alignment vertical="center" shrinkToFit="1"/>
    </xf>
    <xf numFmtId="194" fontId="24" fillId="2" borderId="143" xfId="14" applyNumberFormat="1" applyFont="1" applyFill="1" applyBorder="1" applyAlignment="1">
      <alignment horizontal="center" vertical="center" shrinkToFit="1"/>
    </xf>
    <xf numFmtId="194" fontId="24" fillId="2" borderId="199" xfId="14" applyNumberFormat="1" applyFont="1" applyFill="1" applyBorder="1" applyAlignment="1">
      <alignment horizontal="center" vertical="center" shrinkToFit="1"/>
    </xf>
    <xf numFmtId="41" fontId="61" fillId="17" borderId="192" xfId="0" applyNumberFormat="1" applyFont="1" applyFill="1" applyBorder="1" applyAlignment="1">
      <alignment horizontal="center" vertical="center" shrinkToFit="1"/>
    </xf>
    <xf numFmtId="190" fontId="61" fillId="17" borderId="192" xfId="0" applyNumberFormat="1" applyFont="1" applyFill="1" applyBorder="1" applyAlignment="1">
      <alignment horizontal="right" vertical="center" shrinkToFit="1"/>
    </xf>
    <xf numFmtId="191" fontId="61" fillId="17" borderId="192" xfId="0" applyNumberFormat="1" applyFont="1" applyFill="1" applyBorder="1" applyAlignment="1">
      <alignment horizontal="right" vertical="center" shrinkToFit="1"/>
    </xf>
    <xf numFmtId="192" fontId="61" fillId="17" borderId="192" xfId="0" applyNumberFormat="1" applyFont="1" applyFill="1" applyBorder="1" applyAlignment="1">
      <alignment horizontal="right" vertical="center" shrinkToFit="1"/>
    </xf>
    <xf numFmtId="0" fontId="61" fillId="24" borderId="192" xfId="0" applyFont="1" applyFill="1" applyBorder="1" applyAlignment="1">
      <alignment horizontal="center" vertical="center" shrinkToFit="1"/>
    </xf>
    <xf numFmtId="191" fontId="61" fillId="24" borderId="192" xfId="0" applyNumberFormat="1" applyFont="1" applyFill="1" applyBorder="1" applyAlignment="1">
      <alignment horizontal="right" vertical="center" shrinkToFit="1"/>
    </xf>
    <xf numFmtId="192" fontId="73" fillId="24" borderId="197" xfId="0" applyNumberFormat="1" applyFont="1" applyFill="1" applyBorder="1" applyAlignment="1">
      <alignment horizontal="right" vertical="center" shrinkToFit="1"/>
    </xf>
    <xf numFmtId="192" fontId="73" fillId="24" borderId="141" xfId="0" applyNumberFormat="1" applyFont="1" applyFill="1" applyBorder="1" applyAlignment="1">
      <alignment horizontal="right" vertical="center" shrinkToFit="1"/>
    </xf>
    <xf numFmtId="41" fontId="61" fillId="17" borderId="176" xfId="0" applyNumberFormat="1" applyFont="1" applyFill="1" applyBorder="1" applyAlignment="1">
      <alignment horizontal="center" vertical="center" shrinkToFit="1"/>
    </xf>
    <xf numFmtId="190" fontId="61" fillId="17" borderId="176" xfId="0" applyNumberFormat="1" applyFont="1" applyFill="1" applyBorder="1" applyAlignment="1">
      <alignment horizontal="right" vertical="center" shrinkToFit="1"/>
    </xf>
    <xf numFmtId="190" fontId="61" fillId="17" borderId="28" xfId="0" applyNumberFormat="1" applyFont="1" applyFill="1" applyBorder="1" applyAlignment="1">
      <alignment vertical="center" shrinkToFit="1"/>
    </xf>
    <xf numFmtId="191" fontId="61" fillId="17" borderId="176" xfId="0" applyNumberFormat="1" applyFont="1" applyFill="1" applyBorder="1" applyAlignment="1">
      <alignment horizontal="right" vertical="center" shrinkToFit="1"/>
    </xf>
    <xf numFmtId="192" fontId="61" fillId="17" borderId="176" xfId="0" applyNumberFormat="1" applyFont="1" applyFill="1" applyBorder="1" applyAlignment="1">
      <alignment horizontal="right" vertical="center" shrinkToFit="1"/>
    </xf>
    <xf numFmtId="180" fontId="61" fillId="25" borderId="28" xfId="0" applyNumberFormat="1" applyFont="1" applyFill="1" applyBorder="1" applyAlignment="1">
      <alignment vertical="center" shrinkToFit="1"/>
    </xf>
    <xf numFmtId="9" fontId="61" fillId="25" borderId="28" xfId="10" applyFont="1" applyFill="1" applyBorder="1" applyAlignment="1">
      <alignment vertical="center" shrinkToFit="1"/>
    </xf>
    <xf numFmtId="0" fontId="61" fillId="24" borderId="176" xfId="0" applyFont="1" applyFill="1" applyBorder="1" applyAlignment="1">
      <alignment horizontal="center" vertical="center" shrinkToFit="1"/>
    </xf>
    <xf numFmtId="191" fontId="61" fillId="24" borderId="176" xfId="0" applyNumberFormat="1" applyFont="1" applyFill="1" applyBorder="1" applyAlignment="1">
      <alignment horizontal="right" vertical="center" shrinkToFit="1"/>
    </xf>
    <xf numFmtId="192" fontId="61" fillId="24" borderId="177" xfId="0" applyNumberFormat="1" applyFont="1" applyFill="1" applyBorder="1" applyAlignment="1">
      <alignment horizontal="right" vertical="center" shrinkToFit="1"/>
    </xf>
    <xf numFmtId="187" fontId="64" fillId="0" borderId="26" xfId="1" applyNumberFormat="1" applyFont="1" applyFill="1" applyBorder="1" applyAlignment="1">
      <alignment horizontal="right" vertical="center" shrinkToFit="1"/>
    </xf>
    <xf numFmtId="187" fontId="64" fillId="0" borderId="118" xfId="1" applyNumberFormat="1" applyFont="1" applyFill="1" applyBorder="1" applyAlignment="1">
      <alignment horizontal="right" vertical="center" shrinkToFit="1"/>
    </xf>
    <xf numFmtId="41" fontId="24" fillId="0" borderId="234" xfId="0" applyNumberFormat="1" applyFont="1" applyBorder="1" applyAlignment="1">
      <alignment vertical="center" shrinkToFit="1"/>
    </xf>
    <xf numFmtId="194" fontId="24" fillId="2" borderId="235" xfId="14" applyNumberFormat="1" applyFont="1" applyFill="1" applyBorder="1" applyAlignment="1">
      <alignment horizontal="center" vertical="center" shrinkToFit="1"/>
    </xf>
    <xf numFmtId="194" fontId="24" fillId="2" borderId="236" xfId="14" applyNumberFormat="1" applyFont="1" applyFill="1" applyBorder="1" applyAlignment="1">
      <alignment horizontal="center" vertical="center" shrinkToFit="1"/>
    </xf>
    <xf numFmtId="194" fontId="24" fillId="2" borderId="149" xfId="14" applyNumberFormat="1" applyFont="1" applyFill="1" applyBorder="1" applyAlignment="1">
      <alignment horizontal="center" vertical="center" shrinkToFit="1"/>
    </xf>
    <xf numFmtId="190" fontId="72" fillId="17" borderId="167" xfId="0" applyNumberFormat="1" applyFont="1" applyFill="1" applyBorder="1" applyAlignment="1">
      <alignment horizontal="right" vertical="center" shrinkToFit="1"/>
    </xf>
    <xf numFmtId="9" fontId="72" fillId="25" borderId="167" xfId="10" applyFont="1" applyFill="1" applyBorder="1" applyAlignment="1">
      <alignment horizontal="right" vertical="center" shrinkToFit="1"/>
    </xf>
    <xf numFmtId="190" fontId="72" fillId="24" borderId="167" xfId="0" applyNumberFormat="1" applyFont="1" applyFill="1" applyBorder="1" applyAlignment="1">
      <alignment horizontal="right" vertical="center" shrinkToFit="1"/>
    </xf>
    <xf numFmtId="195" fontId="24" fillId="2" borderId="237" xfId="14" applyNumberFormat="1" applyFont="1" applyFill="1" applyBorder="1" applyAlignment="1">
      <alignment horizontal="center" vertical="center" shrinkToFit="1"/>
    </xf>
    <xf numFmtId="194" fontId="24" fillId="2" borderId="238" xfId="14" applyNumberFormat="1" applyFont="1" applyFill="1" applyBorder="1" applyAlignment="1">
      <alignment horizontal="center" vertical="center" shrinkToFit="1"/>
    </xf>
    <xf numFmtId="194" fontId="24" fillId="2" borderId="79" xfId="14" applyNumberFormat="1" applyFont="1" applyFill="1" applyBorder="1" applyAlignment="1">
      <alignment horizontal="center" vertical="center" shrinkToFit="1"/>
    </xf>
    <xf numFmtId="190" fontId="64" fillId="17" borderId="37" xfId="0" applyNumberFormat="1" applyFont="1" applyFill="1" applyBorder="1" applyAlignment="1">
      <alignment horizontal="right" vertical="center" shrinkToFit="1"/>
    </xf>
    <xf numFmtId="191" fontId="64" fillId="17" borderId="37" xfId="0" applyNumberFormat="1" applyFont="1" applyFill="1" applyBorder="1" applyAlignment="1">
      <alignment horizontal="right" vertical="center" shrinkToFit="1"/>
    </xf>
    <xf numFmtId="192" fontId="64" fillId="17" borderId="37" xfId="0" applyNumberFormat="1" applyFont="1" applyFill="1" applyBorder="1" applyAlignment="1">
      <alignment horizontal="right" vertical="center" shrinkToFit="1"/>
    </xf>
    <xf numFmtId="191" fontId="64" fillId="24" borderId="37" xfId="0" applyNumberFormat="1" applyFont="1" applyFill="1" applyBorder="1" applyAlignment="1">
      <alignment horizontal="right" vertical="center" shrinkToFit="1"/>
    </xf>
    <xf numFmtId="187" fontId="64" fillId="0" borderId="27" xfId="1" applyNumberFormat="1" applyFont="1" applyFill="1" applyBorder="1" applyAlignment="1">
      <alignment horizontal="right" vertical="center" shrinkToFit="1"/>
    </xf>
    <xf numFmtId="190" fontId="64" fillId="17" borderId="170" xfId="0" applyNumberFormat="1" applyFont="1" applyFill="1" applyBorder="1" applyAlignment="1">
      <alignment horizontal="right" vertical="center" shrinkToFit="1"/>
    </xf>
    <xf numFmtId="191" fontId="64" fillId="17" borderId="170" xfId="0" applyNumberFormat="1" applyFont="1" applyFill="1" applyBorder="1" applyAlignment="1">
      <alignment horizontal="right" vertical="center" shrinkToFit="1"/>
    </xf>
    <xf numFmtId="192" fontId="64" fillId="17" borderId="170" xfId="0" applyNumberFormat="1" applyFont="1" applyFill="1" applyBorder="1" applyAlignment="1">
      <alignment horizontal="right" vertical="center" shrinkToFit="1"/>
    </xf>
    <xf numFmtId="191" fontId="64" fillId="24" borderId="170" xfId="0" applyNumberFormat="1" applyFont="1" applyFill="1" applyBorder="1" applyAlignment="1">
      <alignment horizontal="right" vertical="center" shrinkToFit="1"/>
    </xf>
    <xf numFmtId="190" fontId="64" fillId="17" borderId="207" xfId="0" applyNumberFormat="1" applyFont="1" applyFill="1" applyBorder="1" applyAlignment="1">
      <alignment horizontal="right" vertical="center" shrinkToFit="1"/>
    </xf>
    <xf numFmtId="191" fontId="64" fillId="17" borderId="207" xfId="0" applyNumberFormat="1" applyFont="1" applyFill="1" applyBorder="1" applyAlignment="1">
      <alignment horizontal="right" vertical="center" shrinkToFit="1"/>
    </xf>
    <xf numFmtId="192" fontId="64" fillId="17" borderId="207" xfId="0" applyNumberFormat="1" applyFont="1" applyFill="1" applyBorder="1" applyAlignment="1">
      <alignment horizontal="right" vertical="center" shrinkToFit="1"/>
    </xf>
    <xf numFmtId="191" fontId="64" fillId="24" borderId="207" xfId="0" applyNumberFormat="1" applyFont="1" applyFill="1" applyBorder="1" applyAlignment="1">
      <alignment horizontal="right" vertical="center" shrinkToFit="1"/>
    </xf>
    <xf numFmtId="0" fontId="64" fillId="0" borderId="239" xfId="11" applyFont="1" applyBorder="1" applyAlignment="1">
      <alignment horizontal="center" vertical="center" shrinkToFit="1"/>
    </xf>
    <xf numFmtId="0" fontId="64" fillId="0" borderId="240" xfId="11" applyFont="1" applyBorder="1" applyAlignment="1">
      <alignment horizontal="center" vertical="center" shrinkToFit="1"/>
    </xf>
    <xf numFmtId="0" fontId="64" fillId="0" borderId="241" xfId="11" applyFont="1" applyBorder="1" applyAlignment="1">
      <alignment horizontal="center" vertical="center" shrinkToFit="1"/>
    </xf>
    <xf numFmtId="0" fontId="61" fillId="20" borderId="241" xfId="1" applyNumberFormat="1" applyFont="1" applyFill="1" applyBorder="1" applyAlignment="1">
      <alignment horizontal="center" vertical="center" shrinkToFit="1"/>
    </xf>
    <xf numFmtId="0" fontId="61" fillId="0" borderId="241" xfId="1" applyNumberFormat="1" applyFont="1" applyFill="1" applyBorder="1" applyAlignment="1">
      <alignment vertical="center" shrinkToFit="1"/>
    </xf>
    <xf numFmtId="187" fontId="71" fillId="0" borderId="241" xfId="1" applyNumberFormat="1" applyFont="1" applyBorder="1" applyAlignment="1">
      <alignment horizontal="right" vertical="center" shrinkToFit="1"/>
    </xf>
    <xf numFmtId="187" fontId="71" fillId="0" borderId="241" xfId="11" applyNumberFormat="1" applyFont="1" applyBorder="1" applyAlignment="1">
      <alignment horizontal="right" vertical="center" shrinkToFit="1"/>
    </xf>
    <xf numFmtId="187" fontId="71" fillId="0" borderId="241" xfId="11" applyNumberFormat="1" applyFont="1" applyBorder="1" applyAlignment="1">
      <alignment horizontal="center" vertical="center" shrinkToFit="1"/>
    </xf>
    <xf numFmtId="0" fontId="61" fillId="0" borderId="241" xfId="1" applyNumberFormat="1" applyFont="1" applyFill="1" applyBorder="1" applyAlignment="1">
      <alignment horizontal="center" vertical="center" shrinkToFit="1"/>
    </xf>
    <xf numFmtId="0" fontId="73" fillId="25" borderId="241" xfId="1" applyNumberFormat="1" applyFont="1" applyFill="1" applyBorder="1" applyAlignment="1">
      <alignment horizontal="center" vertical="center" shrinkToFit="1"/>
    </xf>
    <xf numFmtId="0" fontId="71" fillId="0" borderId="241" xfId="11" applyFont="1" applyBorder="1" applyAlignment="1">
      <alignment horizontal="center" vertical="center" shrinkToFit="1"/>
    </xf>
    <xf numFmtId="41" fontId="64" fillId="17" borderId="242" xfId="0" applyNumberFormat="1" applyFont="1" applyFill="1" applyBorder="1" applyAlignment="1">
      <alignment horizontal="center" vertical="center" shrinkToFit="1"/>
    </xf>
    <xf numFmtId="190" fontId="64" fillId="17" borderId="243" xfId="0" applyNumberFormat="1" applyFont="1" applyFill="1" applyBorder="1" applyAlignment="1">
      <alignment horizontal="right" vertical="center" shrinkToFit="1"/>
    </xf>
    <xf numFmtId="190" fontId="72" fillId="17" borderId="241" xfId="0" applyNumberFormat="1" applyFont="1" applyFill="1" applyBorder="1" applyAlignment="1">
      <alignment vertical="center" shrinkToFit="1"/>
    </xf>
    <xf numFmtId="191" fontId="64" fillId="17" borderId="243" xfId="0" applyNumberFormat="1" applyFont="1" applyFill="1" applyBorder="1" applyAlignment="1">
      <alignment horizontal="right" vertical="center" shrinkToFit="1"/>
    </xf>
    <xf numFmtId="192" fontId="64" fillId="17" borderId="243" xfId="0" applyNumberFormat="1" applyFont="1" applyFill="1" applyBorder="1" applyAlignment="1">
      <alignment horizontal="right" vertical="center" shrinkToFit="1"/>
    </xf>
    <xf numFmtId="180" fontId="72" fillId="25" borderId="241" xfId="0" applyNumberFormat="1" applyFont="1" applyFill="1" applyBorder="1" applyAlignment="1">
      <alignment vertical="center" shrinkToFit="1"/>
    </xf>
    <xf numFmtId="9" fontId="72" fillId="25" borderId="241" xfId="10" applyFont="1" applyFill="1" applyBorder="1" applyAlignment="1">
      <alignment vertical="center" shrinkToFit="1"/>
    </xf>
    <xf numFmtId="0" fontId="64" fillId="24" borderId="242" xfId="0" applyFont="1" applyFill="1" applyBorder="1" applyAlignment="1">
      <alignment horizontal="center" vertical="center" shrinkToFit="1"/>
    </xf>
    <xf numFmtId="41" fontId="64" fillId="24" borderId="242" xfId="0" applyNumberFormat="1" applyFont="1" applyFill="1" applyBorder="1" applyAlignment="1">
      <alignment horizontal="center" vertical="center" shrinkToFit="1"/>
    </xf>
    <xf numFmtId="190" fontId="64" fillId="24" borderId="242" xfId="0" applyNumberFormat="1" applyFont="1" applyFill="1" applyBorder="1" applyAlignment="1">
      <alignment horizontal="right" vertical="center" shrinkToFit="1"/>
    </xf>
    <xf numFmtId="190" fontId="72" fillId="24" borderId="241" xfId="0" applyNumberFormat="1" applyFont="1" applyFill="1" applyBorder="1" applyAlignment="1">
      <alignment vertical="center" shrinkToFit="1"/>
    </xf>
    <xf numFmtId="191" fontId="64" fillId="24" borderId="243" xfId="0" applyNumberFormat="1" applyFont="1" applyFill="1" applyBorder="1" applyAlignment="1">
      <alignment horizontal="right" vertical="center" shrinkToFit="1"/>
    </xf>
    <xf numFmtId="192" fontId="64" fillId="24" borderId="244" xfId="0" applyNumberFormat="1" applyFont="1" applyFill="1" applyBorder="1" applyAlignment="1">
      <alignment horizontal="right" vertical="center" shrinkToFit="1"/>
    </xf>
    <xf numFmtId="180" fontId="72" fillId="25" borderId="245" xfId="0" applyNumberFormat="1" applyFont="1" applyFill="1" applyBorder="1" applyAlignment="1">
      <alignment vertical="center" shrinkToFit="1"/>
    </xf>
    <xf numFmtId="41" fontId="64" fillId="20" borderId="246" xfId="0" applyNumberFormat="1" applyFont="1" applyFill="1" applyBorder="1" applyAlignment="1">
      <alignment horizontal="center" vertical="center" shrinkToFit="1"/>
    </xf>
    <xf numFmtId="41" fontId="24" fillId="0" borderId="247" xfId="0" applyNumberFormat="1" applyFont="1" applyBorder="1" applyAlignment="1">
      <alignment horizontal="center" vertical="center" shrinkToFit="1"/>
    </xf>
    <xf numFmtId="41" fontId="24" fillId="0" borderId="245" xfId="0" applyNumberFormat="1" applyFont="1" applyBorder="1" applyAlignment="1">
      <alignment horizontal="center" vertical="center" shrinkToFit="1"/>
    </xf>
    <xf numFmtId="41" fontId="24" fillId="0" borderId="241" xfId="0" applyNumberFormat="1" applyFont="1" applyBorder="1" applyAlignment="1">
      <alignment vertical="center" shrinkToFit="1"/>
    </xf>
    <xf numFmtId="41" fontId="24" fillId="0" borderId="246" xfId="0" applyNumberFormat="1" applyFont="1" applyBorder="1" applyAlignment="1">
      <alignment vertical="center" shrinkToFit="1"/>
    </xf>
    <xf numFmtId="41" fontId="24" fillId="12" borderId="248" xfId="0" applyNumberFormat="1" applyFont="1" applyFill="1" applyBorder="1" applyAlignment="1">
      <alignment vertical="center" shrinkToFit="1"/>
    </xf>
    <xf numFmtId="41" fontId="24" fillId="0" borderId="245" xfId="0" applyNumberFormat="1" applyFont="1" applyBorder="1" applyAlignment="1">
      <alignment vertical="center" shrinkToFit="1"/>
    </xf>
    <xf numFmtId="41" fontId="24" fillId="0" borderId="249" xfId="0" applyNumberFormat="1" applyFont="1" applyBorder="1" applyAlignment="1">
      <alignment vertical="center" shrinkToFit="1"/>
    </xf>
    <xf numFmtId="0" fontId="74" fillId="0" borderId="0" xfId="12" applyFont="1" applyAlignment="1">
      <alignment vertical="top" wrapText="1"/>
    </xf>
    <xf numFmtId="0" fontId="64" fillId="0" borderId="0" xfId="12" applyFont="1" applyAlignment="1">
      <alignment vertical="top" wrapText="1"/>
    </xf>
    <xf numFmtId="0" fontId="64" fillId="0" borderId="250" xfId="12" applyFont="1" applyBorder="1" applyAlignment="1">
      <alignment vertical="top" wrapText="1"/>
    </xf>
    <xf numFmtId="197" fontId="65" fillId="12" borderId="105" xfId="12" applyNumberFormat="1" applyFont="1" applyFill="1" applyBorder="1" applyAlignment="1">
      <alignment horizontal="right" vertical="center"/>
    </xf>
    <xf numFmtId="197" fontId="65" fillId="12" borderId="114" xfId="12" applyNumberFormat="1" applyFont="1" applyFill="1" applyBorder="1" applyAlignment="1">
      <alignment horizontal="right" vertical="center"/>
    </xf>
    <xf numFmtId="197" fontId="65" fillId="25" borderId="109" xfId="12" applyNumberFormat="1" applyFont="1" applyFill="1" applyBorder="1" applyAlignment="1">
      <alignment horizontal="right" vertical="center"/>
    </xf>
    <xf numFmtId="0" fontId="64" fillId="0" borderId="0" xfId="0" applyFont="1" applyAlignment="1">
      <alignment vertical="center" shrinkToFit="1"/>
    </xf>
    <xf numFmtId="0" fontId="64" fillId="0" borderId="0" xfId="0" applyFont="1" applyAlignment="1">
      <alignment horizontal="right" vertical="center" shrinkToFit="1"/>
    </xf>
    <xf numFmtId="0" fontId="72" fillId="0" borderId="0" xfId="0" applyFont="1" applyAlignment="1">
      <alignment horizontal="right" vertical="center" shrinkToFit="1"/>
    </xf>
    <xf numFmtId="180" fontId="72" fillId="0" borderId="0" xfId="0" applyNumberFormat="1" applyFont="1" applyAlignment="1">
      <alignment horizontal="right" vertical="center" shrinkToFit="1"/>
    </xf>
    <xf numFmtId="0" fontId="64" fillId="0" borderId="0" xfId="0" applyFont="1" applyAlignment="1">
      <alignment horizontal="center" vertical="center" shrinkToFit="1"/>
    </xf>
    <xf numFmtId="0" fontId="60" fillId="0" borderId="0" xfId="0" applyFont="1" applyAlignment="1">
      <alignment vertical="top" shrinkToFit="1"/>
    </xf>
    <xf numFmtId="41" fontId="72" fillId="20" borderId="252" xfId="0" applyNumberFormat="1" applyFont="1" applyFill="1" applyBorder="1" applyAlignment="1">
      <alignment horizontal="center" vertical="center" shrinkToFit="1"/>
    </xf>
    <xf numFmtId="41" fontId="72" fillId="12" borderId="253" xfId="0" applyNumberFormat="1" applyFont="1" applyFill="1" applyBorder="1" applyAlignment="1">
      <alignment horizontal="center" vertical="center" shrinkToFit="1"/>
    </xf>
    <xf numFmtId="41" fontId="72" fillId="12" borderId="254" xfId="0" applyNumberFormat="1" applyFont="1" applyFill="1" applyBorder="1" applyAlignment="1">
      <alignment horizontal="center" vertical="center" shrinkToFit="1"/>
    </xf>
    <xf numFmtId="41" fontId="24" fillId="12" borderId="255" xfId="0" applyNumberFormat="1" applyFont="1" applyFill="1" applyBorder="1" applyAlignment="1">
      <alignment vertical="center" shrinkToFit="1"/>
    </xf>
    <xf numFmtId="41" fontId="24" fillId="12" borderId="252" xfId="0" applyNumberFormat="1" applyFont="1" applyFill="1" applyBorder="1" applyAlignment="1">
      <alignment vertical="center" shrinkToFit="1"/>
    </xf>
    <xf numFmtId="41" fontId="24" fillId="12" borderId="256" xfId="0" applyNumberFormat="1" applyFont="1" applyFill="1" applyBorder="1" applyAlignment="1">
      <alignment vertical="center" shrinkToFit="1"/>
    </xf>
    <xf numFmtId="41" fontId="24" fillId="12" borderId="254" xfId="0" applyNumberFormat="1" applyFont="1" applyFill="1" applyBorder="1" applyAlignment="1">
      <alignment vertical="center" shrinkToFit="1"/>
    </xf>
    <xf numFmtId="41" fontId="24" fillId="12" borderId="257" xfId="0" applyNumberFormat="1" applyFont="1" applyFill="1" applyBorder="1" applyAlignment="1">
      <alignment vertical="center" shrinkToFit="1"/>
    </xf>
    <xf numFmtId="197" fontId="65" fillId="12" borderId="5" xfId="12" applyNumberFormat="1" applyFont="1" applyFill="1" applyBorder="1" applyAlignment="1">
      <alignment horizontal="right" vertical="center"/>
    </xf>
    <xf numFmtId="197" fontId="65" fillId="12" borderId="260" xfId="12" applyNumberFormat="1" applyFont="1" applyFill="1" applyBorder="1" applyAlignment="1">
      <alignment horizontal="right" vertical="center"/>
    </xf>
    <xf numFmtId="197" fontId="65" fillId="25" borderId="261" xfId="12" applyNumberFormat="1" applyFont="1" applyFill="1" applyBorder="1" applyAlignment="1">
      <alignment horizontal="right" vertical="center"/>
    </xf>
    <xf numFmtId="41" fontId="72" fillId="20" borderId="243" xfId="0" applyNumberFormat="1" applyFont="1" applyFill="1" applyBorder="1" applyAlignment="1">
      <alignment horizontal="center" vertical="center" shrinkToFit="1"/>
    </xf>
    <xf numFmtId="41" fontId="72" fillId="12" borderId="262" xfId="0" applyNumberFormat="1" applyFont="1" applyFill="1" applyBorder="1" applyAlignment="1">
      <alignment horizontal="center" vertical="center" shrinkToFit="1"/>
    </xf>
    <xf numFmtId="41" fontId="72" fillId="12" borderId="263" xfId="0" applyNumberFormat="1" applyFont="1" applyFill="1" applyBorder="1" applyAlignment="1">
      <alignment horizontal="center" vertical="center" shrinkToFit="1"/>
    </xf>
    <xf numFmtId="41" fontId="24" fillId="12" borderId="242" xfId="0" applyNumberFormat="1" applyFont="1" applyFill="1" applyBorder="1" applyAlignment="1">
      <alignment vertical="center" shrinkToFit="1"/>
    </xf>
    <xf numFmtId="41" fontId="24" fillId="12" borderId="243" xfId="0" applyNumberFormat="1" applyFont="1" applyFill="1" applyBorder="1" applyAlignment="1">
      <alignment vertical="center" shrinkToFit="1"/>
    </xf>
    <xf numFmtId="41" fontId="24" fillId="12" borderId="264" xfId="0" applyNumberFormat="1" applyFont="1" applyFill="1" applyBorder="1" applyAlignment="1">
      <alignment vertical="center" shrinkToFit="1"/>
    </xf>
    <xf numFmtId="41" fontId="24" fillId="12" borderId="263" xfId="0" applyNumberFormat="1" applyFont="1" applyFill="1" applyBorder="1" applyAlignment="1">
      <alignment vertical="center" shrinkToFit="1"/>
    </xf>
    <xf numFmtId="41" fontId="24" fillId="12" borderId="244" xfId="0" applyNumberFormat="1" applyFont="1" applyFill="1" applyBorder="1" applyAlignment="1">
      <alignment vertical="center" shrinkToFit="1"/>
    </xf>
    <xf numFmtId="197" fontId="65" fillId="12" borderId="97" xfId="12" applyNumberFormat="1" applyFont="1" applyFill="1" applyBorder="1" applyAlignment="1">
      <alignment horizontal="right" vertical="center"/>
    </xf>
    <xf numFmtId="197" fontId="65" fillId="12" borderId="267" xfId="12" applyNumberFormat="1" applyFont="1" applyFill="1" applyBorder="1" applyAlignment="1">
      <alignment horizontal="right" vertical="center"/>
    </xf>
    <xf numFmtId="197" fontId="65" fillId="25" borderId="268" xfId="12" applyNumberFormat="1" applyFont="1" applyFill="1" applyBorder="1" applyAlignment="1">
      <alignment horizontal="right" vertical="center"/>
    </xf>
    <xf numFmtId="0" fontId="72" fillId="0" borderId="0" xfId="0" applyFont="1" applyAlignment="1">
      <alignment horizontal="center" vertical="center" shrinkToFit="1"/>
    </xf>
    <xf numFmtId="0" fontId="75" fillId="0" borderId="0" xfId="0" applyFont="1" applyAlignment="1">
      <alignment horizontal="right" vertical="center" shrinkToFit="1"/>
    </xf>
    <xf numFmtId="0" fontId="72" fillId="0" borderId="0" xfId="0" applyFont="1" applyAlignment="1">
      <alignment horizontal="right" vertical="center"/>
    </xf>
    <xf numFmtId="0" fontId="64" fillId="0" borderId="0" xfId="0" applyFont="1" applyAlignment="1">
      <alignment horizontal="right" vertical="center"/>
    </xf>
    <xf numFmtId="197" fontId="65" fillId="12" borderId="241" xfId="12" applyNumberFormat="1" applyFont="1" applyFill="1" applyBorder="1" applyAlignment="1">
      <alignment horizontal="right" vertical="center"/>
    </xf>
    <xf numFmtId="197" fontId="65" fillId="12" borderId="249" xfId="12" applyNumberFormat="1" applyFont="1" applyFill="1" applyBorder="1" applyAlignment="1">
      <alignment horizontal="right" vertical="center"/>
    </xf>
    <xf numFmtId="197" fontId="65" fillId="25" borderId="272" xfId="12" applyNumberFormat="1" applyFont="1" applyFill="1" applyBorder="1" applyAlignment="1">
      <alignment horizontal="right" vertical="center"/>
    </xf>
    <xf numFmtId="0" fontId="60" fillId="0" borderId="0" xfId="0" applyFont="1" applyAlignment="1">
      <alignment horizontal="center" vertical="top" shrinkToFit="1"/>
    </xf>
    <xf numFmtId="198" fontId="72" fillId="20" borderId="0" xfId="0" applyNumberFormat="1" applyFont="1" applyFill="1" applyAlignment="1">
      <alignment horizontal="center" vertical="center" shrinkToFit="1"/>
    </xf>
    <xf numFmtId="187" fontId="64" fillId="0" borderId="0" xfId="1" applyNumberFormat="1" applyFont="1" applyBorder="1" applyAlignment="1">
      <alignment horizontal="right" vertical="center" shrinkToFit="1"/>
    </xf>
    <xf numFmtId="187" fontId="64" fillId="0" borderId="0" xfId="0" applyNumberFormat="1" applyFont="1" applyAlignment="1">
      <alignment horizontal="right" vertical="center" shrinkToFit="1"/>
    </xf>
    <xf numFmtId="187" fontId="64" fillId="0" borderId="0" xfId="0" applyNumberFormat="1" applyFont="1" applyAlignment="1">
      <alignment horizontal="center" vertical="center" shrinkToFit="1"/>
    </xf>
    <xf numFmtId="198" fontId="72" fillId="0" borderId="0" xfId="0" applyNumberFormat="1" applyFont="1" applyAlignment="1">
      <alignment horizontal="center" vertical="center" shrinkToFit="1"/>
    </xf>
    <xf numFmtId="0" fontId="64" fillId="6" borderId="0" xfId="0" applyFont="1" applyFill="1" applyAlignment="1">
      <alignment horizontal="center" vertical="center" shrinkToFit="1"/>
    </xf>
    <xf numFmtId="0" fontId="64" fillId="16" borderId="0" xfId="0" applyFont="1" applyFill="1" applyAlignment="1">
      <alignment horizontal="left" vertical="center" shrinkToFit="1"/>
    </xf>
    <xf numFmtId="0" fontId="64" fillId="16" borderId="0" xfId="0" applyFont="1" applyFill="1" applyAlignment="1">
      <alignment vertical="center" shrinkToFit="1"/>
    </xf>
    <xf numFmtId="190" fontId="64" fillId="16" borderId="0" xfId="0" applyNumberFormat="1" applyFont="1" applyFill="1" applyAlignment="1">
      <alignment horizontal="right" vertical="center" shrinkToFit="1"/>
    </xf>
    <xf numFmtId="190" fontId="72" fillId="16" borderId="0" xfId="0" applyNumberFormat="1" applyFont="1" applyFill="1" applyAlignment="1">
      <alignment horizontal="right" vertical="center" shrinkToFit="1"/>
    </xf>
    <xf numFmtId="0" fontId="64" fillId="24" borderId="0" xfId="0" applyFont="1" applyFill="1" applyAlignment="1">
      <alignment horizontal="center" vertical="center" shrinkToFit="1"/>
    </xf>
    <xf numFmtId="0" fontId="64" fillId="24" borderId="0" xfId="0" applyFont="1" applyFill="1" applyAlignment="1">
      <alignment vertical="center" shrinkToFit="1"/>
    </xf>
    <xf numFmtId="0" fontId="64" fillId="24" borderId="0" xfId="0" applyFont="1" applyFill="1" applyAlignment="1">
      <alignment horizontal="right" vertical="center" shrinkToFit="1"/>
    </xf>
    <xf numFmtId="0" fontId="72" fillId="24" borderId="0" xfId="0" applyFont="1" applyFill="1" applyAlignment="1">
      <alignment horizontal="right" vertical="center" shrinkToFit="1"/>
    </xf>
    <xf numFmtId="0" fontId="64" fillId="20" borderId="0" xfId="0" applyFont="1" applyFill="1" applyAlignment="1">
      <alignment horizontal="center" vertical="center" shrinkToFit="1"/>
    </xf>
    <xf numFmtId="0" fontId="72" fillId="24" borderId="0" xfId="0" applyFont="1" applyFill="1" applyAlignment="1">
      <alignment horizontal="center" vertical="center" shrinkToFit="1"/>
    </xf>
    <xf numFmtId="0" fontId="75" fillId="24" borderId="0" xfId="0" applyFont="1" applyFill="1" applyAlignment="1">
      <alignment horizontal="right" vertical="center" shrinkToFit="1"/>
    </xf>
    <xf numFmtId="190" fontId="72" fillId="0" borderId="0" xfId="0" applyNumberFormat="1" applyFont="1" applyAlignment="1">
      <alignment horizontal="center" vertical="center" shrinkToFit="1"/>
    </xf>
    <xf numFmtId="180" fontId="72" fillId="20" borderId="0" xfId="0" applyNumberFormat="1" applyFont="1" applyFill="1" applyAlignment="1">
      <alignment horizontal="right" vertical="center" shrinkToFit="1"/>
    </xf>
    <xf numFmtId="190" fontId="72" fillId="24" borderId="0" xfId="0" applyNumberFormat="1" applyFont="1" applyFill="1" applyAlignment="1">
      <alignment horizontal="right" vertical="center" shrinkToFit="1"/>
    </xf>
    <xf numFmtId="190" fontId="75" fillId="24" borderId="0" xfId="0" applyNumberFormat="1" applyFont="1" applyFill="1" applyAlignment="1">
      <alignment horizontal="right" vertical="center" shrinkToFit="1"/>
    </xf>
    <xf numFmtId="0" fontId="64" fillId="16" borderId="0" xfId="0" applyFont="1" applyFill="1" applyAlignment="1">
      <alignment horizontal="right" vertical="center" shrinkToFit="1"/>
    </xf>
    <xf numFmtId="0" fontId="72" fillId="16" borderId="0" xfId="0" applyFont="1" applyFill="1" applyAlignment="1">
      <alignment horizontal="right" vertical="center" shrinkToFit="1"/>
    </xf>
    <xf numFmtId="38" fontId="64" fillId="24" borderId="0" xfId="0" applyNumberFormat="1" applyFont="1" applyFill="1" applyAlignment="1">
      <alignment horizontal="right" vertical="center" shrinkToFit="1"/>
    </xf>
    <xf numFmtId="0" fontId="64" fillId="28" borderId="0" xfId="0" applyFont="1" applyFill="1" applyAlignment="1">
      <alignment horizontal="right" vertical="center" shrinkToFit="1"/>
    </xf>
    <xf numFmtId="187" fontId="60" fillId="0" borderId="0" xfId="1" applyNumberFormat="1" applyFont="1" applyAlignment="1">
      <alignment horizontal="right" vertical="center" shrinkToFit="1"/>
    </xf>
    <xf numFmtId="0" fontId="76" fillId="0" borderId="0" xfId="0" applyFont="1" applyAlignment="1">
      <alignment horizontal="center" vertical="center" shrinkToFit="1"/>
    </xf>
    <xf numFmtId="0" fontId="60" fillId="6" borderId="0" xfId="0" applyFont="1" applyFill="1" applyAlignment="1">
      <alignment horizontal="center" vertical="center" shrinkToFit="1"/>
    </xf>
    <xf numFmtId="0" fontId="77" fillId="0" borderId="0" xfId="0" applyFont="1" applyAlignment="1">
      <alignment horizontal="left" vertical="center" shrinkToFit="1"/>
    </xf>
    <xf numFmtId="0" fontId="77" fillId="0" borderId="0" xfId="0" applyFont="1" applyAlignment="1">
      <alignment horizontal="center" vertical="center" shrinkToFit="1"/>
    </xf>
    <xf numFmtId="0" fontId="77" fillId="0" borderId="0" xfId="0" applyFont="1" applyAlignment="1">
      <alignment horizontal="right" vertical="center" shrinkToFit="1"/>
    </xf>
    <xf numFmtId="0" fontId="76" fillId="0" borderId="0" xfId="0" applyFont="1" applyAlignment="1">
      <alignment horizontal="right" vertical="center" shrinkToFit="1"/>
    </xf>
    <xf numFmtId="180" fontId="76" fillId="20" borderId="0" xfId="0" applyNumberFormat="1" applyFont="1" applyFill="1" applyAlignment="1">
      <alignment horizontal="right" vertical="center" shrinkToFit="1"/>
    </xf>
    <xf numFmtId="0" fontId="77" fillId="20" borderId="0" xfId="0" applyFont="1" applyFill="1" applyAlignment="1">
      <alignment horizontal="center" vertical="center" shrinkToFit="1"/>
    </xf>
    <xf numFmtId="0" fontId="77" fillId="28" borderId="0" xfId="0" applyFont="1" applyFill="1" applyAlignment="1">
      <alignment horizontal="right" vertical="center" shrinkToFit="1"/>
    </xf>
    <xf numFmtId="187" fontId="62" fillId="0" borderId="0" xfId="0" applyNumberFormat="1" applyFont="1" applyAlignment="1">
      <alignment horizontal="center" vertical="center" shrinkToFit="1"/>
    </xf>
    <xf numFmtId="187" fontId="62" fillId="0" borderId="0" xfId="0" applyNumberFormat="1" applyFont="1" applyAlignment="1">
      <alignment horizontal="right" vertical="center" shrinkToFit="1"/>
    </xf>
    <xf numFmtId="0" fontId="60" fillId="20" borderId="0" xfId="0" applyFont="1" applyFill="1" applyAlignment="1">
      <alignment horizontal="center" vertical="center" shrinkToFit="1"/>
    </xf>
    <xf numFmtId="0" fontId="60" fillId="0" borderId="0" xfId="0" applyFont="1" applyAlignment="1">
      <alignment horizontal="center" vertical="center" wrapText="1" shrinkToFit="1"/>
    </xf>
    <xf numFmtId="0" fontId="60" fillId="16" borderId="0" xfId="0" applyFont="1" applyFill="1" applyAlignment="1">
      <alignment horizontal="left" vertical="center" shrinkToFit="1"/>
    </xf>
    <xf numFmtId="0" fontId="60" fillId="23" borderId="0" xfId="0" applyFont="1" applyFill="1" applyAlignment="1">
      <alignment horizontal="right" vertical="center" shrinkToFit="1"/>
    </xf>
    <xf numFmtId="0" fontId="62" fillId="23" borderId="0" xfId="0" applyFont="1" applyFill="1" applyAlignment="1">
      <alignment horizontal="right" vertical="center" shrinkToFit="1"/>
    </xf>
    <xf numFmtId="180" fontId="62" fillId="20" borderId="0" xfId="0" applyNumberFormat="1" applyFont="1" applyFill="1" applyAlignment="1">
      <alignment horizontal="right" vertical="center" shrinkToFit="1"/>
    </xf>
    <xf numFmtId="0" fontId="62" fillId="23" borderId="0" xfId="0" applyFont="1" applyFill="1" applyAlignment="1">
      <alignment horizontal="center" vertical="center" shrinkToFit="1"/>
    </xf>
    <xf numFmtId="0" fontId="63" fillId="23" borderId="0" xfId="0" applyFont="1" applyFill="1" applyAlignment="1">
      <alignment horizontal="right" vertical="center" shrinkToFit="1"/>
    </xf>
    <xf numFmtId="0" fontId="60" fillId="28" borderId="0" xfId="0" applyFont="1" applyFill="1" applyAlignment="1">
      <alignment horizontal="right" vertical="center" shrinkToFit="1"/>
    </xf>
    <xf numFmtId="38" fontId="0" fillId="0" borderId="0" xfId="1" applyFont="1">
      <alignment vertical="center"/>
    </xf>
    <xf numFmtId="0" fontId="78" fillId="0" borderId="0" xfId="0" applyFont="1">
      <alignment vertical="center"/>
    </xf>
    <xf numFmtId="14" fontId="75" fillId="6" borderId="128" xfId="0" applyNumberFormat="1" applyFont="1" applyFill="1" applyBorder="1" applyAlignment="1">
      <alignment horizontal="center" vertical="center" shrinkToFit="1"/>
    </xf>
    <xf numFmtId="41" fontId="75" fillId="6" borderId="128" xfId="0" applyNumberFormat="1" applyFont="1" applyFill="1" applyBorder="1" applyAlignment="1">
      <alignment horizontal="center" vertical="center" shrinkToFit="1"/>
    </xf>
    <xf numFmtId="0" fontId="75" fillId="6" borderId="0" xfId="0" applyFont="1" applyFill="1" applyAlignment="1">
      <alignment horizontal="center" vertical="center" shrinkToFit="1"/>
    </xf>
    <xf numFmtId="0" fontId="63" fillId="6" borderId="0" xfId="0" applyFont="1" applyFill="1" applyAlignment="1">
      <alignment horizontal="center" vertical="center" shrinkToFit="1"/>
    </xf>
    <xf numFmtId="0" fontId="80" fillId="6" borderId="50" xfId="1" applyNumberFormat="1" applyFont="1" applyFill="1" applyBorder="1" applyAlignment="1">
      <alignment horizontal="center" vertical="center" shrinkToFit="1"/>
    </xf>
    <xf numFmtId="0" fontId="80" fillId="6" borderId="26" xfId="1" applyNumberFormat="1" applyFont="1" applyFill="1" applyBorder="1" applyAlignment="1">
      <alignment horizontal="center" vertical="center" shrinkToFit="1"/>
    </xf>
    <xf numFmtId="0" fontId="80" fillId="6" borderId="27" xfId="1" applyNumberFormat="1" applyFont="1" applyFill="1" applyBorder="1" applyAlignment="1">
      <alignment horizontal="center" vertical="center" shrinkToFit="1"/>
    </xf>
    <xf numFmtId="198" fontId="75" fillId="6" borderId="0" xfId="0" applyNumberFormat="1" applyFont="1" applyFill="1" applyAlignment="1">
      <alignment horizontal="center" vertical="center" shrinkToFit="1"/>
    </xf>
    <xf numFmtId="0" fontId="81" fillId="6" borderId="0" xfId="0" applyFont="1" applyFill="1" applyAlignment="1">
      <alignment horizontal="center" vertical="center" shrinkToFit="1"/>
    </xf>
    <xf numFmtId="38" fontId="80" fillId="6" borderId="50" xfId="1" applyFont="1" applyFill="1" applyBorder="1" applyAlignment="1">
      <alignment horizontal="right" vertical="center" shrinkToFit="1"/>
    </xf>
    <xf numFmtId="187" fontId="80" fillId="6" borderId="26" xfId="1" applyNumberFormat="1" applyFont="1" applyFill="1" applyBorder="1" applyAlignment="1">
      <alignment horizontal="right" vertical="center" shrinkToFit="1"/>
    </xf>
    <xf numFmtId="187" fontId="80" fillId="6" borderId="27" xfId="1" applyNumberFormat="1" applyFont="1" applyFill="1" applyBorder="1" applyAlignment="1">
      <alignment horizontal="right" vertical="center" shrinkToFit="1"/>
    </xf>
    <xf numFmtId="187" fontId="80" fillId="6" borderId="50" xfId="1" applyNumberFormat="1" applyFont="1" applyFill="1" applyBorder="1" applyAlignment="1">
      <alignment horizontal="right" vertical="center" shrinkToFit="1"/>
    </xf>
    <xf numFmtId="0" fontId="80" fillId="6" borderId="27" xfId="0" applyFont="1" applyFill="1" applyBorder="1" applyAlignment="1">
      <alignment horizontal="right" vertical="center" wrapText="1" shrinkToFit="1"/>
    </xf>
    <xf numFmtId="187" fontId="80" fillId="6" borderId="0" xfId="1" applyNumberFormat="1" applyFont="1" applyFill="1" applyBorder="1" applyAlignment="1">
      <alignment horizontal="right" vertical="center" shrinkToFit="1"/>
    </xf>
    <xf numFmtId="187" fontId="81" fillId="6" borderId="0" xfId="1" applyNumberFormat="1" applyFont="1" applyFill="1" applyAlignment="1">
      <alignment horizontal="right" vertical="center" shrinkToFit="1"/>
    </xf>
    <xf numFmtId="187" fontId="79" fillId="6" borderId="27" xfId="1" applyNumberFormat="1" applyFont="1" applyFill="1" applyBorder="1" applyAlignment="1">
      <alignment horizontal="center" vertical="center" shrinkToFit="1"/>
    </xf>
    <xf numFmtId="38" fontId="0" fillId="29" borderId="0" xfId="1" applyFont="1" applyFill="1" applyAlignment="1">
      <alignment vertical="center" wrapText="1"/>
    </xf>
    <xf numFmtId="0" fontId="83" fillId="0" borderId="0" xfId="13" applyFont="1">
      <alignment vertical="center"/>
    </xf>
    <xf numFmtId="0" fontId="45" fillId="0" borderId="0" xfId="13" applyFont="1" applyAlignment="1">
      <alignment horizontal="left" vertical="center"/>
    </xf>
    <xf numFmtId="0" fontId="45" fillId="0" borderId="0" xfId="13" applyFont="1">
      <alignment vertical="center"/>
    </xf>
    <xf numFmtId="38" fontId="36" fillId="0" borderId="0" xfId="1" applyFont="1" applyFill="1" applyBorder="1" applyAlignment="1">
      <alignment horizontal="center" vertical="center" wrapText="1"/>
    </xf>
    <xf numFmtId="38" fontId="43" fillId="0" borderId="0" xfId="1" applyFont="1" applyFill="1" applyBorder="1" applyAlignment="1">
      <alignment horizontal="center" vertical="center"/>
    </xf>
    <xf numFmtId="9" fontId="43" fillId="0" borderId="0" xfId="10" applyFont="1" applyFill="1" applyBorder="1" applyAlignment="1">
      <alignment horizontal="center" vertical="center"/>
    </xf>
    <xf numFmtId="0" fontId="43" fillId="0" borderId="0" xfId="1" applyNumberFormat="1" applyFont="1" applyFill="1" applyBorder="1" applyAlignment="1">
      <alignment horizontal="center" vertical="center"/>
    </xf>
    <xf numFmtId="0" fontId="60" fillId="0" borderId="0" xfId="0" applyFont="1" applyAlignment="1">
      <alignment horizontal="right" vertical="center"/>
    </xf>
    <xf numFmtId="0" fontId="43" fillId="8" borderId="0" xfId="0" applyFont="1" applyFill="1" applyAlignment="1">
      <alignment horizontal="left" vertical="center"/>
    </xf>
    <xf numFmtId="0" fontId="43" fillId="0" borderId="0" xfId="0" applyFont="1" applyAlignment="1">
      <alignment vertical="center" shrinkToFit="1"/>
    </xf>
    <xf numFmtId="0" fontId="43" fillId="0" borderId="0" xfId="0" applyFont="1" applyAlignment="1">
      <alignment horizontal="center" vertical="center"/>
    </xf>
    <xf numFmtId="0" fontId="43" fillId="8" borderId="0" xfId="0" applyFont="1" applyFill="1" applyAlignment="1">
      <alignment horizontal="center" vertical="center" shrinkToFit="1"/>
    </xf>
    <xf numFmtId="0" fontId="43" fillId="0" borderId="0" xfId="0" applyFont="1" applyAlignment="1">
      <alignment horizontal="center" vertical="center" shrinkToFit="1"/>
    </xf>
    <xf numFmtId="22" fontId="45" fillId="0" borderId="0" xfId="0" applyNumberFormat="1" applyFont="1" applyAlignment="1">
      <alignment horizontal="right" vertical="center" wrapText="1"/>
    </xf>
    <xf numFmtId="0" fontId="43" fillId="0" borderId="0" xfId="0" applyFont="1">
      <alignment vertical="center"/>
    </xf>
    <xf numFmtId="0" fontId="43" fillId="9" borderId="27" xfId="0" applyFont="1" applyFill="1" applyBorder="1" applyAlignment="1">
      <alignment horizontal="center" vertical="center" shrinkToFit="1"/>
    </xf>
    <xf numFmtId="0" fontId="49" fillId="0" borderId="0" xfId="0" applyFont="1">
      <alignment vertical="center"/>
    </xf>
    <xf numFmtId="0" fontId="43" fillId="2" borderId="142" xfId="0" applyFont="1" applyFill="1" applyBorder="1" applyAlignment="1">
      <alignment horizontal="center" vertical="center" shrinkToFit="1"/>
    </xf>
    <xf numFmtId="0" fontId="43" fillId="9" borderId="282" xfId="0" applyFont="1" applyFill="1" applyBorder="1" applyAlignment="1">
      <alignment horizontal="center" vertical="center" shrinkToFit="1"/>
    </xf>
    <xf numFmtId="38" fontId="44" fillId="9" borderId="283" xfId="1" applyFont="1" applyFill="1" applyBorder="1" applyAlignment="1">
      <alignment horizontal="center" vertical="center" shrinkToFit="1"/>
    </xf>
    <xf numFmtId="38" fontId="43" fillId="9" borderId="284" xfId="1" applyFont="1" applyFill="1" applyBorder="1" applyAlignment="1">
      <alignment horizontal="center" vertical="center" shrinkToFit="1"/>
    </xf>
    <xf numFmtId="38" fontId="43" fillId="9" borderId="285" xfId="1" applyFont="1" applyFill="1" applyBorder="1" applyAlignment="1">
      <alignment horizontal="center" vertical="center" shrinkToFit="1"/>
    </xf>
    <xf numFmtId="38" fontId="43" fillId="9" borderId="289" xfId="1" applyFont="1" applyFill="1" applyBorder="1" applyAlignment="1">
      <alignment horizontal="center" vertical="center" shrinkToFit="1"/>
    </xf>
    <xf numFmtId="38" fontId="43" fillId="9" borderId="26" xfId="1" applyFont="1" applyFill="1" applyBorder="1" applyAlignment="1">
      <alignment horizontal="center" vertical="center" shrinkToFit="1"/>
    </xf>
    <xf numFmtId="0" fontId="43" fillId="2" borderId="296" xfId="0" applyFont="1" applyFill="1" applyBorder="1" applyAlignment="1">
      <alignment horizontal="center" vertical="center" shrinkToFit="1"/>
    </xf>
    <xf numFmtId="0" fontId="43" fillId="9" borderId="279" xfId="0" applyFont="1" applyFill="1" applyBorder="1" applyAlignment="1">
      <alignment horizontal="center" vertical="center" shrinkToFit="1"/>
    </xf>
    <xf numFmtId="38" fontId="43" fillId="9" borderId="0" xfId="1" applyFont="1" applyFill="1" applyBorder="1" applyAlignment="1">
      <alignment horizontal="center" vertical="center" shrinkToFit="1"/>
    </xf>
    <xf numFmtId="38" fontId="43" fillId="9" borderId="280" xfId="1" applyFont="1" applyFill="1" applyBorder="1" applyAlignment="1">
      <alignment horizontal="center" vertical="center" shrinkToFit="1"/>
    </xf>
    <xf numFmtId="38" fontId="36" fillId="9" borderId="297" xfId="1" applyFont="1" applyFill="1" applyBorder="1" applyAlignment="1">
      <alignment horizontal="center" vertical="center" wrapText="1" shrinkToFit="1"/>
    </xf>
    <xf numFmtId="38" fontId="36" fillId="9" borderId="298" xfId="1" applyFont="1" applyFill="1" applyBorder="1" applyAlignment="1">
      <alignment horizontal="center" vertical="center" wrapText="1" shrinkToFit="1"/>
    </xf>
    <xf numFmtId="38" fontId="36" fillId="19" borderId="298" xfId="1" applyFont="1" applyFill="1" applyBorder="1" applyAlignment="1">
      <alignment horizontal="center" vertical="center" wrapText="1" shrinkToFit="1"/>
    </xf>
    <xf numFmtId="38" fontId="36" fillId="9" borderId="299" xfId="1" applyFont="1" applyFill="1" applyBorder="1" applyAlignment="1">
      <alignment horizontal="center" vertical="center" wrapText="1" shrinkToFit="1"/>
    </xf>
    <xf numFmtId="38" fontId="43" fillId="9" borderId="300" xfId="1" applyFont="1" applyFill="1" applyBorder="1" applyAlignment="1">
      <alignment horizontal="center" vertical="center" shrinkToFit="1"/>
    </xf>
    <xf numFmtId="9" fontId="43" fillId="9" borderId="283" xfId="10" applyFont="1" applyFill="1" applyBorder="1" applyAlignment="1">
      <alignment horizontal="center" vertical="center" shrinkToFit="1"/>
    </xf>
    <xf numFmtId="38" fontId="43" fillId="9" borderId="283" xfId="1" applyFont="1" applyFill="1" applyBorder="1" applyAlignment="1">
      <alignment horizontal="center" vertical="center" shrinkToFit="1"/>
    </xf>
    <xf numFmtId="38" fontId="43" fillId="9" borderId="284" xfId="1" applyFont="1" applyFill="1" applyBorder="1" applyAlignment="1">
      <alignment horizontal="center" vertical="center" wrapText="1" shrinkToFit="1"/>
    </xf>
    <xf numFmtId="38" fontId="43" fillId="9" borderId="301" xfId="1" applyFont="1" applyFill="1" applyBorder="1" applyAlignment="1">
      <alignment horizontal="center" vertical="center" shrinkToFit="1"/>
    </xf>
    <xf numFmtId="38" fontId="43" fillId="9" borderId="26" xfId="1" applyFont="1" applyFill="1" applyBorder="1" applyAlignment="1">
      <alignment horizontal="center" vertical="center" wrapText="1" shrinkToFit="1"/>
    </xf>
    <xf numFmtId="0" fontId="43" fillId="0" borderId="305" xfId="0" applyFont="1" applyBorder="1" applyAlignment="1">
      <alignment horizontal="center" vertical="center" shrinkToFit="1"/>
    </xf>
    <xf numFmtId="0" fontId="44" fillId="0" borderId="306" xfId="1" applyNumberFormat="1" applyFont="1" applyFill="1" applyBorder="1" applyAlignment="1">
      <alignment horizontal="center" vertical="center" shrinkToFit="1"/>
    </xf>
    <xf numFmtId="38" fontId="43" fillId="0" borderId="307" xfId="1" applyFont="1" applyFill="1" applyBorder="1" applyAlignment="1">
      <alignment horizontal="center" vertical="center" shrinkToFit="1"/>
    </xf>
    <xf numFmtId="38" fontId="36" fillId="0" borderId="308" xfId="1" applyFont="1" applyFill="1" applyBorder="1" applyAlignment="1">
      <alignment horizontal="center" vertical="center" wrapText="1" shrinkToFit="1"/>
    </xf>
    <xf numFmtId="38" fontId="36" fillId="0" borderId="309" xfId="1" applyFont="1" applyFill="1" applyBorder="1" applyAlignment="1">
      <alignment horizontal="center" vertical="center" wrapText="1" shrinkToFit="1"/>
    </xf>
    <xf numFmtId="38" fontId="36" fillId="19" borderId="309" xfId="1" applyFont="1" applyFill="1" applyBorder="1" applyAlignment="1">
      <alignment horizontal="center" vertical="center" wrapText="1" shrinkToFit="1"/>
    </xf>
    <xf numFmtId="38" fontId="36" fillId="0" borderId="310" xfId="1" applyFont="1" applyFill="1" applyBorder="1" applyAlignment="1">
      <alignment horizontal="center" vertical="center" wrapText="1" shrinkToFit="1"/>
    </xf>
    <xf numFmtId="38" fontId="43" fillId="9" borderId="311" xfId="1" applyFont="1" applyFill="1" applyBorder="1" applyAlignment="1">
      <alignment horizontal="center" vertical="center" shrinkToFit="1"/>
    </xf>
    <xf numFmtId="9" fontId="43" fillId="0" borderId="306" xfId="10" applyFont="1" applyFill="1" applyBorder="1" applyAlignment="1">
      <alignment horizontal="center" vertical="center" shrinkToFit="1"/>
    </xf>
    <xf numFmtId="38" fontId="43" fillId="0" borderId="306" xfId="1" applyFont="1" applyFill="1" applyBorder="1" applyAlignment="1">
      <alignment horizontal="center" vertical="center" shrinkToFit="1"/>
    </xf>
    <xf numFmtId="38" fontId="43" fillId="0" borderId="311" xfId="1" applyFont="1" applyFill="1" applyBorder="1" applyAlignment="1">
      <alignment horizontal="center" vertical="center" shrinkToFit="1"/>
    </xf>
    <xf numFmtId="38" fontId="43" fillId="0" borderId="312" xfId="1" applyFont="1" applyFill="1" applyBorder="1" applyAlignment="1">
      <alignment horizontal="center" vertical="center" shrinkToFit="1"/>
    </xf>
    <xf numFmtId="0" fontId="43" fillId="0" borderId="313" xfId="1" applyNumberFormat="1" applyFont="1" applyFill="1" applyBorder="1" applyAlignment="1">
      <alignment horizontal="center" vertical="center" shrinkToFit="1"/>
    </xf>
    <xf numFmtId="0" fontId="43" fillId="0" borderId="314" xfId="1" applyNumberFormat="1" applyFont="1" applyFill="1" applyBorder="1" applyAlignment="1">
      <alignment horizontal="center" vertical="center" shrinkToFit="1"/>
    </xf>
    <xf numFmtId="0" fontId="43" fillId="0" borderId="315" xfId="1" applyNumberFormat="1" applyFont="1" applyFill="1" applyBorder="1" applyAlignment="1">
      <alignment horizontal="center" vertical="center" shrinkToFit="1"/>
    </xf>
    <xf numFmtId="38" fontId="43" fillId="0" borderId="316" xfId="1" applyFont="1" applyFill="1" applyBorder="1" applyAlignment="1">
      <alignment horizontal="left" vertical="center" shrinkToFit="1"/>
    </xf>
    <xf numFmtId="0" fontId="45" fillId="0" borderId="142" xfId="13" applyFont="1" applyBorder="1" applyAlignment="1">
      <alignment horizontal="center" vertical="center" shrinkToFit="1"/>
    </xf>
    <xf numFmtId="38" fontId="44" fillId="0" borderId="6" xfId="1" applyFont="1" applyBorder="1" applyAlignment="1">
      <alignment horizontal="center" vertical="center" shrinkToFit="1"/>
    </xf>
    <xf numFmtId="0" fontId="43" fillId="0" borderId="317" xfId="0" applyFont="1" applyBorder="1" applyAlignment="1">
      <alignment horizontal="center" vertical="center" shrinkToFit="1"/>
    </xf>
    <xf numFmtId="0" fontId="44" fillId="0" borderId="318" xfId="1" applyNumberFormat="1" applyFont="1" applyFill="1" applyBorder="1" applyAlignment="1">
      <alignment horizontal="center" vertical="center" shrinkToFit="1"/>
    </xf>
    <xf numFmtId="38" fontId="43" fillId="0" borderId="319" xfId="1" applyFont="1" applyFill="1" applyBorder="1" applyAlignment="1">
      <alignment horizontal="center" vertical="center" shrinkToFit="1"/>
    </xf>
    <xf numFmtId="38" fontId="36" fillId="0" borderId="320" xfId="1" applyFont="1" applyFill="1" applyBorder="1" applyAlignment="1">
      <alignment horizontal="center" vertical="center" wrapText="1" shrinkToFit="1"/>
    </xf>
    <xf numFmtId="38" fontId="36" fillId="0" borderId="321" xfId="1" applyFont="1" applyFill="1" applyBorder="1" applyAlignment="1">
      <alignment horizontal="center" vertical="center" wrapText="1" shrinkToFit="1"/>
    </xf>
    <xf numFmtId="38" fontId="36" fillId="19" borderId="321" xfId="1" applyFont="1" applyFill="1" applyBorder="1" applyAlignment="1">
      <alignment horizontal="center" vertical="center" wrapText="1" shrinkToFit="1"/>
    </xf>
    <xf numFmtId="38" fontId="36" fillId="0" borderId="322" xfId="1" applyFont="1" applyFill="1" applyBorder="1" applyAlignment="1">
      <alignment horizontal="center" vertical="center" wrapText="1" shrinkToFit="1"/>
    </xf>
    <xf numFmtId="38" fontId="43" fillId="9" borderId="323" xfId="1" applyFont="1" applyFill="1" applyBorder="1" applyAlignment="1">
      <alignment horizontal="center" vertical="center" shrinkToFit="1"/>
    </xf>
    <xf numFmtId="9" fontId="43" fillId="0" borderId="318" xfId="10" applyFont="1" applyFill="1" applyBorder="1" applyAlignment="1">
      <alignment horizontal="center" vertical="center" shrinkToFit="1"/>
    </xf>
    <xf numFmtId="38" fontId="43" fillId="0" borderId="318" xfId="1" applyFont="1" applyFill="1" applyBorder="1" applyAlignment="1">
      <alignment horizontal="center" vertical="center" shrinkToFit="1"/>
    </xf>
    <xf numFmtId="38" fontId="43" fillId="0" borderId="323" xfId="1" applyFont="1" applyFill="1" applyBorder="1" applyAlignment="1">
      <alignment horizontal="center" vertical="center" shrinkToFit="1"/>
    </xf>
    <xf numFmtId="38" fontId="43" fillId="0" borderId="324" xfId="1" applyFont="1" applyFill="1" applyBorder="1" applyAlignment="1">
      <alignment horizontal="center" vertical="center" shrinkToFit="1"/>
    </xf>
    <xf numFmtId="0" fontId="43" fillId="0" borderId="325" xfId="1" applyNumberFormat="1" applyFont="1" applyFill="1" applyBorder="1" applyAlignment="1">
      <alignment horizontal="center" vertical="center" shrinkToFit="1"/>
    </xf>
    <xf numFmtId="0" fontId="43" fillId="0" borderId="326" xfId="1" applyNumberFormat="1" applyFont="1" applyFill="1" applyBorder="1" applyAlignment="1">
      <alignment horizontal="center" vertical="center" shrinkToFit="1"/>
    </xf>
    <xf numFmtId="0" fontId="43" fillId="0" borderId="327" xfId="1" applyNumberFormat="1" applyFont="1" applyFill="1" applyBorder="1" applyAlignment="1">
      <alignment horizontal="center" vertical="center" shrinkToFit="1"/>
    </xf>
    <xf numFmtId="38" fontId="43" fillId="0" borderId="328" xfId="1" applyFont="1" applyFill="1" applyBorder="1" applyAlignment="1">
      <alignment horizontal="left" vertical="center" shrinkToFit="1"/>
    </xf>
    <xf numFmtId="38" fontId="44" fillId="0" borderId="40" xfId="1" applyFont="1" applyBorder="1" applyAlignment="1">
      <alignment horizontal="center" vertical="center" shrinkToFit="1"/>
    </xf>
    <xf numFmtId="0" fontId="43" fillId="0" borderId="329" xfId="0" applyFont="1" applyBorder="1" applyAlignment="1">
      <alignment horizontal="center" vertical="center" shrinkToFit="1"/>
    </xf>
    <xf numFmtId="0" fontId="44" fillId="0" borderId="41" xfId="1" applyNumberFormat="1" applyFont="1" applyFill="1" applyBorder="1" applyAlignment="1">
      <alignment horizontal="center" vertical="center" shrinkToFit="1"/>
    </xf>
    <xf numFmtId="38" fontId="43" fillId="0" borderId="330" xfId="1" applyFont="1" applyFill="1" applyBorder="1" applyAlignment="1">
      <alignment horizontal="center" vertical="center" shrinkToFit="1"/>
    </xf>
    <xf numFmtId="38" fontId="36" fillId="0" borderId="331" xfId="1" applyFont="1" applyFill="1" applyBorder="1" applyAlignment="1">
      <alignment horizontal="center" vertical="center" wrapText="1" shrinkToFit="1"/>
    </xf>
    <xf numFmtId="38" fontId="36" fillId="0" borderId="332" xfId="1" applyFont="1" applyFill="1" applyBorder="1" applyAlignment="1">
      <alignment horizontal="center" vertical="center" wrapText="1" shrinkToFit="1"/>
    </xf>
    <xf numFmtId="38" fontId="36" fillId="19" borderId="332" xfId="1" applyFont="1" applyFill="1" applyBorder="1" applyAlignment="1">
      <alignment horizontal="center" vertical="center" wrapText="1" shrinkToFit="1"/>
    </xf>
    <xf numFmtId="38" fontId="36" fillId="0" borderId="333" xfId="1" applyFont="1" applyFill="1" applyBorder="1" applyAlignment="1">
      <alignment horizontal="center" vertical="center" wrapText="1" shrinkToFit="1"/>
    </xf>
    <xf numFmtId="38" fontId="43" fillId="9" borderId="334" xfId="1" applyFont="1" applyFill="1" applyBorder="1" applyAlignment="1">
      <alignment horizontal="center" vertical="center" shrinkToFit="1"/>
    </xf>
    <xf numFmtId="9" fontId="43" fillId="0" borderId="41" xfId="10" applyFont="1" applyFill="1" applyBorder="1" applyAlignment="1">
      <alignment horizontal="center" vertical="center" shrinkToFit="1"/>
    </xf>
    <xf numFmtId="38" fontId="43" fillId="0" borderId="41" xfId="1" applyFont="1" applyFill="1" applyBorder="1" applyAlignment="1">
      <alignment horizontal="center" vertical="center" shrinkToFit="1"/>
    </xf>
    <xf numFmtId="38" fontId="43" fillId="0" borderId="334" xfId="1" applyFont="1" applyFill="1" applyBorder="1" applyAlignment="1">
      <alignment horizontal="center" vertical="center" shrinkToFit="1"/>
    </xf>
    <xf numFmtId="38" fontId="43" fillId="0" borderId="294" xfId="1" applyFont="1" applyFill="1" applyBorder="1" applyAlignment="1">
      <alignment horizontal="center" vertical="center" shrinkToFit="1"/>
    </xf>
    <xf numFmtId="0" fontId="43" fillId="0" borderId="335" xfId="1" applyNumberFormat="1" applyFont="1" applyFill="1" applyBorder="1" applyAlignment="1">
      <alignment horizontal="center" vertical="center" shrinkToFit="1"/>
    </xf>
    <xf numFmtId="0" fontId="43" fillId="0" borderId="336" xfId="1" applyNumberFormat="1" applyFont="1" applyFill="1" applyBorder="1" applyAlignment="1">
      <alignment horizontal="center" vertical="center" shrinkToFit="1"/>
    </xf>
    <xf numFmtId="0" fontId="43" fillId="0" borderId="337" xfId="1" applyNumberFormat="1" applyFont="1" applyFill="1" applyBorder="1" applyAlignment="1">
      <alignment horizontal="center" vertical="center" shrinkToFit="1"/>
    </xf>
    <xf numFmtId="38" fontId="43" fillId="0" borderId="28" xfId="1" applyFont="1" applyFill="1" applyBorder="1" applyAlignment="1">
      <alignment horizontal="left" vertical="center" shrinkToFit="1"/>
    </xf>
    <xf numFmtId="0" fontId="43" fillId="0" borderId="338" xfId="0" applyFont="1" applyBorder="1" applyAlignment="1">
      <alignment horizontal="center" vertical="center" shrinkToFit="1"/>
    </xf>
    <xf numFmtId="0" fontId="45" fillId="0" borderId="339" xfId="13" applyFont="1" applyBorder="1" applyAlignment="1">
      <alignment horizontal="center" vertical="center" shrinkToFit="1"/>
    </xf>
    <xf numFmtId="38" fontId="44" fillId="0" borderId="340" xfId="1" applyFont="1" applyBorder="1" applyAlignment="1">
      <alignment horizontal="center" vertical="center" shrinkToFit="1"/>
    </xf>
    <xf numFmtId="0" fontId="43" fillId="0" borderId="341" xfId="0" applyFont="1" applyBorder="1" applyAlignment="1">
      <alignment horizontal="center" vertical="center" shrinkToFit="1"/>
    </xf>
    <xf numFmtId="0" fontId="44" fillId="0" borderId="342" xfId="1" applyNumberFormat="1" applyFont="1" applyFill="1" applyBorder="1" applyAlignment="1">
      <alignment horizontal="center" vertical="center" shrinkToFit="1"/>
    </xf>
    <xf numFmtId="38" fontId="43" fillId="0" borderId="344" xfId="1" applyFont="1" applyFill="1" applyBorder="1" applyAlignment="1">
      <alignment horizontal="center" vertical="center" shrinkToFit="1"/>
    </xf>
    <xf numFmtId="38" fontId="36" fillId="0" borderId="345" xfId="1" applyFont="1" applyFill="1" applyBorder="1" applyAlignment="1">
      <alignment horizontal="center" vertical="center" wrapText="1" shrinkToFit="1"/>
    </xf>
    <xf numFmtId="38" fontId="36" fillId="0" borderId="346" xfId="1" applyFont="1" applyFill="1" applyBorder="1" applyAlignment="1">
      <alignment horizontal="center" vertical="center" wrapText="1" shrinkToFit="1"/>
    </xf>
    <xf numFmtId="38" fontId="36" fillId="19" borderId="346" xfId="1" applyFont="1" applyFill="1" applyBorder="1" applyAlignment="1">
      <alignment horizontal="center" vertical="center" wrapText="1" shrinkToFit="1"/>
    </xf>
    <xf numFmtId="38" fontId="36" fillId="0" borderId="347" xfId="1" applyFont="1" applyFill="1" applyBorder="1" applyAlignment="1">
      <alignment horizontal="center" vertical="center" wrapText="1" shrinkToFit="1"/>
    </xf>
    <xf numFmtId="38" fontId="43" fillId="9" borderId="348" xfId="1" applyFont="1" applyFill="1" applyBorder="1" applyAlignment="1">
      <alignment horizontal="center" vertical="center" shrinkToFit="1"/>
    </xf>
    <xf numFmtId="9" fontId="43" fillId="0" borderId="342" xfId="10" applyFont="1" applyFill="1" applyBorder="1" applyAlignment="1">
      <alignment horizontal="center" vertical="center" shrinkToFit="1"/>
    </xf>
    <xf numFmtId="38" fontId="43" fillId="0" borderId="342" xfId="1" applyFont="1" applyFill="1" applyBorder="1" applyAlignment="1">
      <alignment horizontal="center" vertical="center" shrinkToFit="1"/>
    </xf>
    <xf numFmtId="38" fontId="43" fillId="0" borderId="348" xfId="1" applyFont="1" applyFill="1" applyBorder="1" applyAlignment="1">
      <alignment horizontal="center" vertical="center" shrinkToFit="1"/>
    </xf>
    <xf numFmtId="38" fontId="43" fillId="0" borderId="349" xfId="1" applyFont="1" applyFill="1" applyBorder="1" applyAlignment="1">
      <alignment horizontal="center" vertical="center" shrinkToFit="1"/>
    </xf>
    <xf numFmtId="0" fontId="43" fillId="0" borderId="350" xfId="1" applyNumberFormat="1" applyFont="1" applyFill="1" applyBorder="1" applyAlignment="1">
      <alignment horizontal="center" vertical="center" shrinkToFit="1"/>
    </xf>
    <xf numFmtId="0" fontId="43" fillId="0" borderId="351" xfId="1" applyNumberFormat="1" applyFont="1" applyFill="1" applyBorder="1" applyAlignment="1">
      <alignment horizontal="center" vertical="center" shrinkToFit="1"/>
    </xf>
    <xf numFmtId="0" fontId="43" fillId="0" borderId="352" xfId="1" applyNumberFormat="1" applyFont="1" applyFill="1" applyBorder="1" applyAlignment="1">
      <alignment horizontal="center" vertical="center" shrinkToFit="1"/>
    </xf>
    <xf numFmtId="38" fontId="43" fillId="0" borderId="343" xfId="1" applyFont="1" applyFill="1" applyBorder="1" applyAlignment="1">
      <alignment horizontal="left" vertical="center" shrinkToFit="1"/>
    </xf>
    <xf numFmtId="0" fontId="44" fillId="0" borderId="318" xfId="1" applyNumberFormat="1" applyFont="1" applyFill="1" applyBorder="1" applyAlignment="1">
      <alignment horizontal="center" vertical="center" wrapText="1" shrinkToFit="1"/>
    </xf>
    <xf numFmtId="0" fontId="44" fillId="0" borderId="41" xfId="1" applyNumberFormat="1" applyFont="1" applyFill="1" applyBorder="1" applyAlignment="1">
      <alignment horizontal="center" vertical="center" wrapText="1" shrinkToFit="1"/>
    </xf>
    <xf numFmtId="0" fontId="43" fillId="0" borderId="293" xfId="0" applyFont="1" applyBorder="1" applyAlignment="1">
      <alignment horizontal="center" vertical="center" shrinkToFit="1"/>
    </xf>
    <xf numFmtId="38" fontId="43" fillId="9" borderId="354" xfId="1" applyFont="1" applyFill="1" applyBorder="1" applyAlignment="1">
      <alignment horizontal="center" vertical="center" shrinkToFit="1"/>
    </xf>
    <xf numFmtId="38" fontId="43" fillId="0" borderId="355" xfId="1" applyFont="1" applyFill="1" applyBorder="1" applyAlignment="1">
      <alignment horizontal="center" vertical="center" shrinkToFit="1"/>
    </xf>
    <xf numFmtId="38" fontId="36" fillId="0" borderId="356" xfId="1" applyFont="1" applyFill="1" applyBorder="1" applyAlignment="1">
      <alignment horizontal="center" vertical="center" wrapText="1" shrinkToFit="1"/>
    </xf>
    <xf numFmtId="38" fontId="36" fillId="0" borderId="357" xfId="1" applyFont="1" applyFill="1" applyBorder="1" applyAlignment="1">
      <alignment horizontal="center" vertical="center" wrapText="1" shrinkToFit="1"/>
    </xf>
    <xf numFmtId="38" fontId="36" fillId="19" borderId="357" xfId="1" applyFont="1" applyFill="1" applyBorder="1" applyAlignment="1">
      <alignment horizontal="center" vertical="center" wrapText="1" shrinkToFit="1"/>
    </xf>
    <xf numFmtId="38" fontId="36" fillId="0" borderId="358" xfId="1" applyFont="1" applyFill="1" applyBorder="1" applyAlignment="1">
      <alignment horizontal="center" vertical="center" wrapText="1" shrinkToFit="1"/>
    </xf>
    <xf numFmtId="9" fontId="43" fillId="0" borderId="38" xfId="10" applyFont="1" applyFill="1" applyBorder="1" applyAlignment="1">
      <alignment horizontal="center" vertical="center" shrinkToFit="1"/>
    </xf>
    <xf numFmtId="38" fontId="43" fillId="0" borderId="38" xfId="1" applyFont="1" applyFill="1" applyBorder="1" applyAlignment="1">
      <alignment horizontal="center" vertical="center" shrinkToFit="1"/>
    </xf>
    <xf numFmtId="38" fontId="43" fillId="0" borderId="354" xfId="1" applyFont="1" applyFill="1" applyBorder="1" applyAlignment="1">
      <alignment horizontal="center" vertical="center" shrinkToFit="1"/>
    </xf>
    <xf numFmtId="38" fontId="43" fillId="0" borderId="274" xfId="1" applyFont="1" applyFill="1" applyBorder="1" applyAlignment="1">
      <alignment horizontal="center" vertical="center" shrinkToFit="1"/>
    </xf>
    <xf numFmtId="0" fontId="43" fillId="0" borderId="359" xfId="1" applyNumberFormat="1" applyFont="1" applyFill="1" applyBorder="1" applyAlignment="1">
      <alignment horizontal="center" vertical="center" shrinkToFit="1"/>
    </xf>
    <xf numFmtId="0" fontId="43" fillId="0" borderId="360" xfId="1" applyNumberFormat="1" applyFont="1" applyFill="1" applyBorder="1" applyAlignment="1">
      <alignment horizontal="center" vertical="center" shrinkToFit="1"/>
    </xf>
    <xf numFmtId="0" fontId="43" fillId="0" borderId="361" xfId="1" applyNumberFormat="1" applyFont="1" applyFill="1" applyBorder="1" applyAlignment="1">
      <alignment horizontal="center" vertical="center" shrinkToFit="1"/>
    </xf>
    <xf numFmtId="0" fontId="45" fillId="0" borderId="266" xfId="13" applyFont="1" applyBorder="1" applyAlignment="1">
      <alignment horizontal="center" vertical="center" shrinkToFit="1"/>
    </xf>
    <xf numFmtId="38" fontId="44" fillId="0" borderId="363" xfId="1" applyFont="1" applyBorder="1" applyAlignment="1">
      <alignment horizontal="center" vertical="center" shrinkToFit="1"/>
    </xf>
    <xf numFmtId="0" fontId="43" fillId="0" borderId="365" xfId="0" applyFont="1" applyBorder="1" applyAlignment="1">
      <alignment horizontal="center" vertical="center" shrinkToFit="1"/>
    </xf>
    <xf numFmtId="0" fontId="44" fillId="0" borderId="11" xfId="1" applyNumberFormat="1" applyFont="1" applyFill="1" applyBorder="1" applyAlignment="1">
      <alignment horizontal="center" vertical="center" shrinkToFit="1"/>
    </xf>
    <xf numFmtId="38" fontId="43" fillId="0" borderId="366" xfId="1" applyFont="1" applyFill="1" applyBorder="1" applyAlignment="1">
      <alignment horizontal="center" vertical="center" shrinkToFit="1"/>
    </xf>
    <xf numFmtId="38" fontId="43" fillId="9" borderId="367" xfId="1" applyFont="1" applyFill="1" applyBorder="1" applyAlignment="1">
      <alignment horizontal="center" vertical="center" shrinkToFit="1"/>
    </xf>
    <xf numFmtId="38" fontId="43" fillId="0" borderId="368" xfId="1" applyFont="1" applyFill="1" applyBorder="1" applyAlignment="1">
      <alignment horizontal="center" vertical="center" shrinkToFit="1"/>
    </xf>
    <xf numFmtId="38" fontId="36" fillId="0" borderId="369" xfId="1" applyFont="1" applyFill="1" applyBorder="1" applyAlignment="1">
      <alignment horizontal="center" vertical="center" wrapText="1" shrinkToFit="1"/>
    </xf>
    <xf numFmtId="38" fontId="36" fillId="0" borderId="370" xfId="1" applyFont="1" applyFill="1" applyBorder="1" applyAlignment="1">
      <alignment horizontal="center" vertical="center" wrapText="1" shrinkToFit="1"/>
    </xf>
    <xf numFmtId="38" fontId="36" fillId="19" borderId="370" xfId="1" applyFont="1" applyFill="1" applyBorder="1" applyAlignment="1">
      <alignment horizontal="center" vertical="center" wrapText="1" shrinkToFit="1"/>
    </xf>
    <xf numFmtId="38" fontId="36" fillId="0" borderId="371" xfId="1" applyFont="1" applyFill="1" applyBorder="1" applyAlignment="1">
      <alignment horizontal="center" vertical="center" wrapText="1" shrinkToFit="1"/>
    </xf>
    <xf numFmtId="9" fontId="43" fillId="0" borderId="99" xfId="10" applyFont="1" applyFill="1" applyBorder="1" applyAlignment="1">
      <alignment horizontal="center" vertical="center" shrinkToFit="1"/>
    </xf>
    <xf numFmtId="38" fontId="43" fillId="0" borderId="99" xfId="1" applyFont="1" applyFill="1" applyBorder="1" applyAlignment="1">
      <alignment horizontal="center" vertical="center" shrinkToFit="1"/>
    </xf>
    <xf numFmtId="38" fontId="43" fillId="0" borderId="367" xfId="1" applyFont="1" applyFill="1" applyBorder="1" applyAlignment="1">
      <alignment horizontal="center" vertical="center" shrinkToFit="1"/>
    </xf>
    <xf numFmtId="38" fontId="43" fillId="0" borderId="372" xfId="1" applyFont="1" applyFill="1" applyBorder="1" applyAlignment="1">
      <alignment horizontal="center" vertical="center" shrinkToFit="1"/>
    </xf>
    <xf numFmtId="0" fontId="43" fillId="0" borderId="373" xfId="1" applyNumberFormat="1" applyFont="1" applyFill="1" applyBorder="1" applyAlignment="1">
      <alignment horizontal="center" vertical="center" shrinkToFit="1"/>
    </xf>
    <xf numFmtId="0" fontId="43" fillId="0" borderId="374" xfId="1" applyNumberFormat="1" applyFont="1" applyFill="1" applyBorder="1" applyAlignment="1">
      <alignment horizontal="center" vertical="center" shrinkToFit="1"/>
    </xf>
    <xf numFmtId="0" fontId="43" fillId="0" borderId="375" xfId="1" applyNumberFormat="1" applyFont="1" applyFill="1" applyBorder="1" applyAlignment="1">
      <alignment horizontal="center" vertical="center" shrinkToFit="1"/>
    </xf>
    <xf numFmtId="0" fontId="45" fillId="0" borderId="7" xfId="13" applyFont="1" applyBorder="1" applyAlignment="1">
      <alignment horizontal="center" vertical="center" shrinkToFit="1"/>
    </xf>
    <xf numFmtId="0" fontId="45" fillId="0" borderId="8" xfId="13" applyFont="1" applyBorder="1" applyAlignment="1">
      <alignment horizontal="center" vertical="center" shrinkToFit="1"/>
    </xf>
    <xf numFmtId="0" fontId="45" fillId="0" borderId="9" xfId="13" applyFont="1" applyBorder="1" applyAlignment="1">
      <alignment horizontal="center" vertical="center" shrinkToFit="1"/>
    </xf>
    <xf numFmtId="0" fontId="45" fillId="0" borderId="28" xfId="13" applyFont="1" applyBorder="1" applyAlignment="1">
      <alignment horizontal="center" vertical="center" shrinkToFit="1"/>
    </xf>
    <xf numFmtId="38" fontId="44" fillId="6" borderId="28" xfId="1" applyFont="1" applyFill="1" applyBorder="1" applyAlignment="1">
      <alignment horizontal="center" vertical="center" shrinkToFit="1"/>
    </xf>
    <xf numFmtId="0" fontId="43" fillId="0" borderId="28" xfId="0" applyFont="1" applyBorder="1" applyAlignment="1">
      <alignment horizontal="center" vertical="center" shrinkToFit="1"/>
    </xf>
    <xf numFmtId="0" fontId="43" fillId="0" borderId="28" xfId="1" applyNumberFormat="1" applyFont="1" applyFill="1" applyBorder="1" applyAlignment="1">
      <alignment horizontal="center" vertical="center" shrinkToFit="1"/>
    </xf>
    <xf numFmtId="0" fontId="44" fillId="0" borderId="28" xfId="1" applyNumberFormat="1" applyFont="1" applyFill="1" applyBorder="1" applyAlignment="1">
      <alignment horizontal="left" vertical="center" shrinkToFit="1"/>
    </xf>
    <xf numFmtId="38" fontId="43" fillId="0" borderId="28" xfId="1" applyFont="1" applyFill="1" applyBorder="1" applyAlignment="1">
      <alignment horizontal="center" vertical="center" shrinkToFit="1"/>
    </xf>
    <xf numFmtId="38" fontId="36" fillId="0" borderId="5" xfId="1" applyFont="1" applyFill="1" applyBorder="1" applyAlignment="1">
      <alignment horizontal="center" vertical="center" wrapText="1" shrinkToFit="1"/>
    </xf>
    <xf numFmtId="38" fontId="36" fillId="19" borderId="5" xfId="1" applyFont="1" applyFill="1" applyBorder="1" applyAlignment="1">
      <alignment horizontal="center" vertical="center" wrapText="1" shrinkToFit="1"/>
    </xf>
    <xf numFmtId="38" fontId="36" fillId="0" borderId="28" xfId="1" applyFont="1" applyFill="1" applyBorder="1" applyAlignment="1">
      <alignment horizontal="center" vertical="center" wrapText="1" shrinkToFit="1"/>
    </xf>
    <xf numFmtId="38" fontId="36" fillId="19" borderId="28" xfId="1" applyFont="1" applyFill="1" applyBorder="1" applyAlignment="1">
      <alignment horizontal="center" vertical="center" wrapText="1" shrinkToFit="1"/>
    </xf>
    <xf numFmtId="9" fontId="43" fillId="0" borderId="28" xfId="10" applyFont="1" applyFill="1" applyBorder="1" applyAlignment="1">
      <alignment horizontal="center" vertical="center" shrinkToFit="1"/>
    </xf>
    <xf numFmtId="38" fontId="43" fillId="0" borderId="40" xfId="1" applyFont="1" applyFill="1" applyBorder="1" applyAlignment="1">
      <alignment horizontal="center" vertical="center" shrinkToFit="1"/>
    </xf>
    <xf numFmtId="38" fontId="43" fillId="0" borderId="42" xfId="1" applyFont="1" applyFill="1" applyBorder="1" applyAlignment="1">
      <alignment horizontal="center" vertical="center" shrinkToFit="1"/>
    </xf>
    <xf numFmtId="38" fontId="43" fillId="0" borderId="5" xfId="1" applyFont="1" applyFill="1" applyBorder="1" applyAlignment="1">
      <alignment horizontal="left" vertical="center" shrinkToFit="1"/>
    </xf>
    <xf numFmtId="0" fontId="45" fillId="0" borderId="5" xfId="13" applyFont="1" applyBorder="1" applyAlignment="1">
      <alignment horizontal="center" vertical="center" shrinkToFit="1"/>
    </xf>
    <xf numFmtId="38" fontId="44" fillId="6" borderId="5" xfId="1" applyFont="1" applyFill="1" applyBorder="1" applyAlignment="1">
      <alignment horizontal="center" vertical="center" shrinkToFit="1"/>
    </xf>
    <xf numFmtId="0" fontId="43" fillId="0" borderId="5" xfId="0" applyFont="1" applyBorder="1" applyAlignment="1">
      <alignment horizontal="center" vertical="center" shrinkToFit="1"/>
    </xf>
    <xf numFmtId="0" fontId="43" fillId="0" borderId="5" xfId="1" applyNumberFormat="1" applyFont="1" applyFill="1" applyBorder="1" applyAlignment="1">
      <alignment horizontal="center" vertical="center" shrinkToFit="1"/>
    </xf>
    <xf numFmtId="0" fontId="44" fillId="0" borderId="5" xfId="1" applyNumberFormat="1" applyFont="1" applyFill="1" applyBorder="1" applyAlignment="1">
      <alignment horizontal="left" vertical="center" shrinkToFit="1"/>
    </xf>
    <xf numFmtId="38" fontId="43" fillId="0" borderId="5" xfId="1" applyFont="1" applyFill="1" applyBorder="1" applyAlignment="1">
      <alignment horizontal="center" vertical="center" shrinkToFit="1"/>
    </xf>
    <xf numFmtId="9" fontId="43" fillId="0" borderId="5" xfId="10" applyFont="1" applyFill="1" applyBorder="1" applyAlignment="1">
      <alignment horizontal="center" vertical="center" shrinkToFit="1"/>
    </xf>
    <xf numFmtId="38" fontId="43" fillId="0" borderId="7" xfId="1" applyFont="1" applyFill="1" applyBorder="1" applyAlignment="1">
      <alignment horizontal="center" vertical="center" shrinkToFit="1"/>
    </xf>
    <xf numFmtId="38" fontId="43" fillId="0" borderId="8" xfId="1" applyFont="1" applyFill="1" applyBorder="1" applyAlignment="1">
      <alignment horizontal="center" vertical="center" shrinkToFit="1"/>
    </xf>
    <xf numFmtId="38" fontId="43" fillId="0" borderId="9" xfId="1" applyFont="1" applyFill="1" applyBorder="1" applyAlignment="1">
      <alignment horizontal="center" vertical="center" shrinkToFit="1"/>
    </xf>
    <xf numFmtId="0" fontId="44" fillId="0" borderId="5" xfId="1" applyNumberFormat="1" applyFont="1" applyFill="1" applyBorder="1" applyAlignment="1">
      <alignment horizontal="center" vertical="center" shrinkToFit="1"/>
    </xf>
    <xf numFmtId="0" fontId="60" fillId="0" borderId="0" xfId="13" applyFont="1" applyAlignment="1">
      <alignment horizontal="left" vertical="center"/>
    </xf>
    <xf numFmtId="0" fontId="44" fillId="0" borderId="0" xfId="1" applyNumberFormat="1" applyFont="1" applyFill="1" applyBorder="1" applyAlignment="1">
      <alignment horizontal="center" vertical="center"/>
    </xf>
    <xf numFmtId="38" fontId="43" fillId="0" borderId="0" xfId="1" applyFont="1" applyFill="1" applyBorder="1" applyAlignment="1">
      <alignment horizontal="center" vertical="center" shrinkToFit="1"/>
    </xf>
    <xf numFmtId="38" fontId="36" fillId="0" borderId="0" xfId="1" applyFont="1" applyFill="1" applyBorder="1" applyAlignment="1">
      <alignment horizontal="left" vertical="center" shrinkToFit="1"/>
    </xf>
    <xf numFmtId="38" fontId="36" fillId="0" borderId="0" xfId="1" applyFont="1" applyFill="1" applyBorder="1" applyAlignment="1">
      <alignment horizontal="center" vertical="center" shrinkToFit="1"/>
    </xf>
    <xf numFmtId="0" fontId="43" fillId="0" borderId="0" xfId="0" applyFont="1" applyAlignment="1">
      <alignment horizontal="left" vertical="center"/>
    </xf>
    <xf numFmtId="0" fontId="45" fillId="0" borderId="0" xfId="0" applyFont="1" applyAlignment="1">
      <alignment horizontal="left" vertical="center"/>
    </xf>
    <xf numFmtId="38" fontId="49" fillId="0" borderId="0" xfId="1" applyFont="1" applyFill="1" applyBorder="1" applyAlignment="1">
      <alignment horizontal="left" vertical="center"/>
    </xf>
    <xf numFmtId="0" fontId="45" fillId="0" borderId="39" xfId="13" applyFont="1" applyBorder="1" applyAlignment="1">
      <alignment horizontal="center" vertical="center" shrinkToFit="1"/>
    </xf>
    <xf numFmtId="0" fontId="0" fillId="0" borderId="5" xfId="0" applyBorder="1" applyAlignment="1">
      <alignment horizontal="center" vertical="center"/>
    </xf>
    <xf numFmtId="0" fontId="0" fillId="6" borderId="5" xfId="0" applyFill="1" applyBorder="1" applyAlignment="1">
      <alignment horizontal="center" vertical="center"/>
    </xf>
    <xf numFmtId="0" fontId="0" fillId="0" borderId="0" xfId="0" applyAlignment="1">
      <alignment horizontal="center" vertical="center"/>
    </xf>
    <xf numFmtId="0" fontId="0" fillId="0" borderId="142" xfId="0" applyBorder="1" applyAlignment="1">
      <alignment horizontal="center" vertical="center"/>
    </xf>
    <xf numFmtId="0" fontId="41" fillId="0" borderId="5" xfId="0" applyFont="1" applyBorder="1" applyAlignment="1">
      <alignment horizontal="center" vertical="center"/>
    </xf>
    <xf numFmtId="0" fontId="0" fillId="6" borderId="0" xfId="0" applyFill="1" applyAlignment="1">
      <alignment horizontal="center" vertical="center"/>
    </xf>
    <xf numFmtId="0" fontId="0" fillId="0" borderId="6" xfId="0" applyBorder="1" applyAlignment="1">
      <alignment horizontal="center" vertical="center"/>
    </xf>
    <xf numFmtId="0" fontId="0" fillId="30" borderId="5" xfId="0" applyFill="1" applyBorder="1" applyAlignment="1">
      <alignment horizontal="center" vertical="center"/>
    </xf>
    <xf numFmtId="0" fontId="0" fillId="30" borderId="376" xfId="0" applyFill="1" applyBorder="1" applyAlignment="1">
      <alignment horizontal="center" vertical="center"/>
    </xf>
    <xf numFmtId="0" fontId="0" fillId="30" borderId="6" xfId="0" applyFill="1" applyBorder="1" applyAlignment="1">
      <alignment horizontal="center" vertical="center"/>
    </xf>
    <xf numFmtId="0" fontId="0" fillId="30" borderId="0" xfId="0" applyFill="1" applyAlignment="1">
      <alignment horizontal="center" vertical="center"/>
    </xf>
    <xf numFmtId="0" fontId="0" fillId="30" borderId="142" xfId="0" applyFill="1" applyBorder="1" applyAlignment="1">
      <alignment horizontal="center" vertical="center"/>
    </xf>
    <xf numFmtId="0" fontId="0" fillId="30" borderId="40" xfId="0" applyFill="1" applyBorder="1" applyAlignment="1">
      <alignment horizontal="center" vertical="center"/>
    </xf>
    <xf numFmtId="0" fontId="0" fillId="30" borderId="41" xfId="0" applyFill="1" applyBorder="1" applyAlignment="1">
      <alignment horizontal="center" vertical="center"/>
    </xf>
    <xf numFmtId="0" fontId="37" fillId="17" borderId="379" xfId="0" applyFont="1" applyFill="1" applyBorder="1" applyAlignment="1">
      <alignment horizontal="center" vertical="center"/>
    </xf>
    <xf numFmtId="0" fontId="0" fillId="0" borderId="0" xfId="0" quotePrefix="1">
      <alignment vertical="center"/>
    </xf>
    <xf numFmtId="0" fontId="45" fillId="0" borderId="0" xfId="0" applyFont="1">
      <alignment vertical="center"/>
    </xf>
    <xf numFmtId="0" fontId="45" fillId="0" borderId="0" xfId="1" applyNumberFormat="1" applyFont="1" applyFill="1" applyBorder="1" applyAlignment="1">
      <alignment horizontal="center" vertical="center"/>
    </xf>
    <xf numFmtId="38" fontId="45" fillId="0" borderId="0" xfId="1" applyFont="1" applyFill="1" applyBorder="1" applyAlignment="1">
      <alignment horizontal="center" vertical="center"/>
    </xf>
    <xf numFmtId="9" fontId="43" fillId="0" borderId="0" xfId="1" applyNumberFormat="1" applyFont="1" applyFill="1" applyBorder="1" applyAlignment="1">
      <alignment horizontal="center" vertical="center"/>
    </xf>
    <xf numFmtId="14" fontId="43" fillId="0" borderId="0" xfId="0" applyNumberFormat="1" applyFont="1" applyAlignment="1">
      <alignment horizontal="right" vertical="center" wrapText="1"/>
    </xf>
    <xf numFmtId="38" fontId="43" fillId="9" borderId="38" xfId="1" applyFont="1" applyFill="1" applyBorder="1" applyAlignment="1">
      <alignment horizontal="center" vertical="center" shrinkToFit="1"/>
    </xf>
    <xf numFmtId="38" fontId="45" fillId="0" borderId="381" xfId="1" applyFont="1" applyFill="1" applyBorder="1" applyAlignment="1">
      <alignment horizontal="center" vertical="center" shrinkToFit="1"/>
    </xf>
    <xf numFmtId="38" fontId="36" fillId="0" borderId="385" xfId="1" applyFont="1" applyFill="1" applyBorder="1" applyAlignment="1">
      <alignment horizontal="center" vertical="center" wrapText="1" shrinkToFit="1"/>
    </xf>
    <xf numFmtId="38" fontId="36" fillId="0" borderId="386" xfId="1" applyFont="1" applyFill="1" applyBorder="1" applyAlignment="1">
      <alignment horizontal="center" vertical="center" wrapText="1" shrinkToFit="1"/>
    </xf>
    <xf numFmtId="38" fontId="36" fillId="19" borderId="386" xfId="1" applyFont="1" applyFill="1" applyBorder="1" applyAlignment="1">
      <alignment horizontal="center" vertical="center" wrapText="1" shrinkToFit="1"/>
    </xf>
    <xf numFmtId="38" fontId="36" fillId="0" borderId="387" xfId="1" applyFont="1" applyFill="1" applyBorder="1" applyAlignment="1">
      <alignment horizontal="center" vertical="center" wrapText="1" shrinkToFit="1"/>
    </xf>
    <xf numFmtId="38" fontId="43" fillId="0" borderId="381" xfId="1" applyFont="1" applyFill="1" applyBorder="1" applyAlignment="1">
      <alignment horizontal="center" vertical="center" shrinkToFit="1"/>
    </xf>
    <xf numFmtId="38" fontId="43" fillId="9" borderId="380" xfId="1" applyFont="1" applyFill="1" applyBorder="1" applyAlignment="1">
      <alignment horizontal="center" vertical="center" shrinkToFit="1"/>
    </xf>
    <xf numFmtId="9" fontId="43" fillId="0" borderId="382" xfId="10" applyFont="1" applyFill="1" applyBorder="1" applyAlignment="1">
      <alignment horizontal="center" vertical="center" shrinkToFit="1"/>
    </xf>
    <xf numFmtId="38" fontId="43" fillId="0" borderId="380" xfId="1" applyFont="1" applyFill="1" applyBorder="1" applyAlignment="1">
      <alignment horizontal="center" vertical="center" shrinkToFit="1"/>
    </xf>
    <xf numFmtId="38" fontId="43" fillId="0" borderId="382" xfId="1" applyFont="1" applyFill="1" applyBorder="1" applyAlignment="1">
      <alignment horizontal="center" vertical="center" shrinkToFit="1"/>
    </xf>
    <xf numFmtId="38" fontId="43" fillId="0" borderId="384" xfId="1" applyFont="1" applyFill="1" applyBorder="1" applyAlignment="1">
      <alignment horizontal="center" vertical="center" shrinkToFit="1"/>
    </xf>
    <xf numFmtId="38" fontId="43" fillId="0" borderId="383" xfId="1" applyFont="1" applyFill="1" applyBorder="1" applyAlignment="1">
      <alignment horizontal="left" vertical="center" shrinkToFit="1"/>
    </xf>
    <xf numFmtId="0" fontId="45" fillId="0" borderId="334" xfId="13" applyFont="1" applyBorder="1" applyAlignment="1">
      <alignment horizontal="left" vertical="center" wrapText="1" shrinkToFit="1"/>
    </xf>
    <xf numFmtId="38" fontId="88" fillId="0" borderId="383" xfId="1" applyFont="1" applyFill="1" applyBorder="1" applyAlignment="1">
      <alignment horizontal="left" vertical="center" shrinkToFit="1"/>
    </xf>
    <xf numFmtId="0" fontId="87" fillId="0" borderId="8" xfId="1" applyNumberFormat="1" applyFont="1" applyFill="1" applyBorder="1" applyAlignment="1">
      <alignment horizontal="center" vertical="center" shrinkToFit="1"/>
    </xf>
    <xf numFmtId="38" fontId="45" fillId="0" borderId="390" xfId="1" applyFont="1" applyFill="1" applyBorder="1" applyAlignment="1">
      <alignment horizontal="center" vertical="center" shrinkToFit="1"/>
    </xf>
    <xf numFmtId="38" fontId="45" fillId="0" borderId="388" xfId="1" applyFont="1" applyFill="1" applyBorder="1" applyAlignment="1">
      <alignment horizontal="center" vertical="center" shrinkToFit="1"/>
    </xf>
    <xf numFmtId="38" fontId="36" fillId="0" borderId="392" xfId="1" applyFont="1" applyFill="1" applyBorder="1" applyAlignment="1">
      <alignment horizontal="center" vertical="center" wrapText="1" shrinkToFit="1"/>
    </xf>
    <xf numFmtId="38" fontId="36" fillId="0" borderId="393" xfId="1" applyFont="1" applyFill="1" applyBorder="1" applyAlignment="1">
      <alignment horizontal="center" vertical="center" wrapText="1" shrinkToFit="1"/>
    </xf>
    <xf numFmtId="38" fontId="36" fillId="19" borderId="393" xfId="1" applyFont="1" applyFill="1" applyBorder="1" applyAlignment="1">
      <alignment horizontal="center" vertical="center" wrapText="1" shrinkToFit="1"/>
    </xf>
    <xf numFmtId="38" fontId="36" fillId="0" borderId="394" xfId="1" applyFont="1" applyFill="1" applyBorder="1" applyAlignment="1">
      <alignment horizontal="center" vertical="center" wrapText="1" shrinkToFit="1"/>
    </xf>
    <xf numFmtId="38" fontId="43" fillId="0" borderId="388" xfId="1" applyFont="1" applyFill="1" applyBorder="1" applyAlignment="1">
      <alignment horizontal="center" vertical="center" shrinkToFit="1"/>
    </xf>
    <xf numFmtId="38" fontId="43" fillId="9" borderId="391" xfId="1" applyFont="1" applyFill="1" applyBorder="1" applyAlignment="1">
      <alignment horizontal="center" vertical="center" shrinkToFit="1"/>
    </xf>
    <xf numFmtId="9" fontId="43" fillId="0" borderId="8" xfId="10" applyFont="1" applyFill="1" applyBorder="1" applyAlignment="1">
      <alignment horizontal="center" vertical="center" shrinkToFit="1"/>
    </xf>
    <xf numFmtId="38" fontId="43" fillId="0" borderId="391" xfId="1" applyFont="1" applyFill="1" applyBorder="1" applyAlignment="1">
      <alignment horizontal="center" vertical="center" shrinkToFit="1"/>
    </xf>
    <xf numFmtId="38" fontId="43" fillId="0" borderId="390" xfId="1" applyFont="1" applyFill="1" applyBorder="1" applyAlignment="1">
      <alignment horizontal="center" vertical="center" shrinkToFit="1"/>
    </xf>
    <xf numFmtId="0" fontId="43" fillId="0" borderId="395" xfId="1" applyNumberFormat="1" applyFont="1" applyFill="1" applyBorder="1" applyAlignment="1">
      <alignment horizontal="center" vertical="center" shrinkToFit="1"/>
    </xf>
    <xf numFmtId="0" fontId="43" fillId="0" borderId="396" xfId="1" applyNumberFormat="1" applyFont="1" applyFill="1" applyBorder="1" applyAlignment="1">
      <alignment horizontal="center" vertical="center" shrinkToFit="1"/>
    </xf>
    <xf numFmtId="38" fontId="43" fillId="0" borderId="9" xfId="1" applyFont="1" applyFill="1" applyBorder="1" applyAlignment="1">
      <alignment horizontal="left" vertical="center" shrinkToFit="1"/>
    </xf>
    <xf numFmtId="38" fontId="45" fillId="0" borderId="383" xfId="1" applyFont="1" applyFill="1" applyBorder="1" applyAlignment="1">
      <alignment horizontal="left" vertical="center" shrinkToFit="1"/>
    </xf>
    <xf numFmtId="0" fontId="43" fillId="0" borderId="334" xfId="0" applyFont="1" applyBorder="1" applyAlignment="1">
      <alignment vertical="center" wrapText="1" shrinkToFit="1"/>
    </xf>
    <xf numFmtId="0" fontId="43" fillId="0" borderId="334" xfId="13" applyFont="1" applyBorder="1" applyAlignment="1">
      <alignment horizontal="left" vertical="center" wrapText="1" shrinkToFit="1"/>
    </xf>
    <xf numFmtId="38" fontId="43" fillId="0" borderId="0" xfId="1" applyFont="1" applyFill="1" applyBorder="1" applyAlignment="1">
      <alignment horizontal="left" vertical="center"/>
    </xf>
    <xf numFmtId="9" fontId="43" fillId="0" borderId="0" xfId="1" applyNumberFormat="1" applyFont="1" applyFill="1" applyBorder="1" applyAlignment="1">
      <alignment horizontal="center" vertical="center" shrinkToFit="1"/>
    </xf>
    <xf numFmtId="38" fontId="36" fillId="0" borderId="0" xfId="1" applyFont="1" applyFill="1" applyBorder="1" applyAlignment="1">
      <alignment horizontal="center" vertical="center" wrapText="1" shrinkToFit="1"/>
    </xf>
    <xf numFmtId="0" fontId="43" fillId="0" borderId="0" xfId="1" applyNumberFormat="1" applyFont="1" applyFill="1" applyBorder="1" applyAlignment="1">
      <alignment horizontal="center" vertical="center" shrinkToFit="1"/>
    </xf>
    <xf numFmtId="0" fontId="43" fillId="0" borderId="0" xfId="0" applyFont="1" applyAlignment="1">
      <alignment horizontal="left" vertical="center" shrinkToFit="1"/>
    </xf>
    <xf numFmtId="0" fontId="60" fillId="0" borderId="0" xfId="13" applyFont="1">
      <alignment vertical="center"/>
    </xf>
    <xf numFmtId="199" fontId="43" fillId="0" borderId="0" xfId="0" applyNumberFormat="1" applyFont="1" applyAlignment="1">
      <alignment horizontal="center" vertical="center"/>
    </xf>
    <xf numFmtId="0" fontId="44" fillId="0" borderId="0" xfId="13" applyFont="1" applyAlignment="1">
      <alignment horizontal="center" vertical="center" shrinkToFit="1"/>
    </xf>
    <xf numFmtId="0" fontId="87" fillId="0" borderId="0" xfId="1" applyNumberFormat="1" applyFont="1" applyFill="1" applyBorder="1" applyAlignment="1">
      <alignment horizontal="center" vertical="center" shrinkToFit="1"/>
    </xf>
    <xf numFmtId="38" fontId="45" fillId="0" borderId="0" xfId="1" applyFont="1" applyFill="1" applyBorder="1" applyAlignment="1">
      <alignment horizontal="center" vertical="center" shrinkToFit="1"/>
    </xf>
    <xf numFmtId="0" fontId="45" fillId="0" borderId="0" xfId="13" applyFont="1" applyAlignment="1">
      <alignment horizontal="center" vertical="center" shrinkToFit="1"/>
    </xf>
    <xf numFmtId="0" fontId="45" fillId="0" borderId="0" xfId="13" applyFont="1" applyAlignment="1">
      <alignment horizontal="left" vertical="center" wrapText="1" shrinkToFit="1"/>
    </xf>
    <xf numFmtId="38" fontId="44" fillId="0" borderId="0" xfId="1" applyFont="1" applyFill="1" applyBorder="1" applyAlignment="1">
      <alignment horizontal="center" vertical="center" shrinkToFit="1"/>
    </xf>
    <xf numFmtId="9" fontId="43" fillId="0" borderId="0" xfId="10" applyFont="1" applyFill="1" applyBorder="1" applyAlignment="1">
      <alignment horizontal="center" vertical="center" shrinkToFit="1"/>
    </xf>
    <xf numFmtId="38" fontId="36" fillId="19" borderId="0" xfId="1" applyFont="1" applyFill="1" applyBorder="1" applyAlignment="1">
      <alignment horizontal="center" vertical="center" wrapText="1" shrinkToFit="1"/>
    </xf>
    <xf numFmtId="38" fontId="43" fillId="0" borderId="0" xfId="1" applyFont="1" applyFill="1" applyBorder="1" applyAlignment="1">
      <alignment horizontal="left" vertical="center" shrinkToFit="1"/>
    </xf>
    <xf numFmtId="0" fontId="45" fillId="0" borderId="388" xfId="13" applyFont="1" applyBorder="1" applyAlignment="1">
      <alignment horizontal="left" vertical="center" wrapText="1" shrinkToFit="1"/>
    </xf>
    <xf numFmtId="38" fontId="45" fillId="0" borderId="8" xfId="1" applyFont="1" applyFill="1" applyBorder="1" applyAlignment="1">
      <alignment horizontal="center" vertical="center" shrinkToFit="1"/>
    </xf>
    <xf numFmtId="0" fontId="45" fillId="0" borderId="5" xfId="13" applyFont="1" applyBorder="1" applyAlignment="1">
      <alignment horizontal="left" vertical="center" wrapText="1" shrinkToFit="1"/>
    </xf>
    <xf numFmtId="38" fontId="88" fillId="0" borderId="5" xfId="1" applyFont="1" applyFill="1" applyBorder="1" applyAlignment="1">
      <alignment horizontal="left" vertical="center" shrinkToFit="1"/>
    </xf>
    <xf numFmtId="38" fontId="36" fillId="0" borderId="404" xfId="1" applyFont="1" applyFill="1" applyBorder="1" applyAlignment="1">
      <alignment horizontal="center" vertical="center" wrapText="1" shrinkToFit="1"/>
    </xf>
    <xf numFmtId="38" fontId="36" fillId="0" borderId="405" xfId="1" applyFont="1" applyFill="1" applyBorder="1" applyAlignment="1">
      <alignment horizontal="center" vertical="center" wrapText="1" shrinkToFit="1"/>
    </xf>
    <xf numFmtId="38" fontId="36" fillId="19" borderId="405" xfId="1" applyFont="1" applyFill="1" applyBorder="1" applyAlignment="1">
      <alignment horizontal="center" vertical="center" wrapText="1" shrinkToFit="1"/>
    </xf>
    <xf numFmtId="38" fontId="36" fillId="0" borderId="406" xfId="1" applyFont="1" applyFill="1" applyBorder="1" applyAlignment="1">
      <alignment horizontal="center" vertical="center" wrapText="1" shrinkToFit="1"/>
    </xf>
    <xf numFmtId="38" fontId="43" fillId="0" borderId="407" xfId="1" applyFont="1" applyFill="1" applyBorder="1" applyAlignment="1">
      <alignment horizontal="center" vertical="center" shrinkToFit="1"/>
    </xf>
    <xf numFmtId="38" fontId="43" fillId="9" borderId="408" xfId="1" applyFont="1" applyFill="1" applyBorder="1" applyAlignment="1">
      <alignment horizontal="center" vertical="center" shrinkToFit="1"/>
    </xf>
    <xf numFmtId="9" fontId="43" fillId="0" borderId="401" xfId="10" applyFont="1" applyFill="1" applyBorder="1" applyAlignment="1">
      <alignment horizontal="center" vertical="center" shrinkToFit="1"/>
    </xf>
    <xf numFmtId="38" fontId="43" fillId="0" borderId="408" xfId="1" applyFont="1" applyFill="1" applyBorder="1" applyAlignment="1">
      <alignment horizontal="center" vertical="center" shrinkToFit="1"/>
    </xf>
    <xf numFmtId="38" fontId="43" fillId="0" borderId="401" xfId="1" applyFont="1" applyFill="1" applyBorder="1" applyAlignment="1">
      <alignment horizontal="center" vertical="center" shrinkToFit="1"/>
    </xf>
    <xf numFmtId="38" fontId="43" fillId="0" borderId="416" xfId="1" applyFont="1" applyFill="1" applyBorder="1" applyAlignment="1">
      <alignment horizontal="center" vertical="center" shrinkToFit="1"/>
    </xf>
    <xf numFmtId="38" fontId="43" fillId="0" borderId="417" xfId="1" applyFont="1" applyFill="1" applyBorder="1" applyAlignment="1">
      <alignment horizontal="center" vertical="center" shrinkToFit="1"/>
    </xf>
    <xf numFmtId="38" fontId="43" fillId="0" borderId="410" xfId="1" applyFont="1" applyFill="1" applyBorder="1" applyAlignment="1">
      <alignment horizontal="center" vertical="center" shrinkToFit="1"/>
    </xf>
    <xf numFmtId="38" fontId="43" fillId="0" borderId="425" xfId="1" applyFont="1" applyFill="1" applyBorder="1" applyAlignment="1">
      <alignment horizontal="center" vertical="center" shrinkToFit="1"/>
    </xf>
    <xf numFmtId="38" fontId="43" fillId="0" borderId="426" xfId="1" applyFont="1" applyFill="1" applyBorder="1" applyAlignment="1">
      <alignment horizontal="center" vertical="center" shrinkToFit="1"/>
    </xf>
    <xf numFmtId="38" fontId="43" fillId="0" borderId="419" xfId="1" applyFont="1" applyFill="1" applyBorder="1" applyAlignment="1">
      <alignment horizontal="center" vertical="center" shrinkToFit="1"/>
    </xf>
    <xf numFmtId="38" fontId="43" fillId="0" borderId="411" xfId="1" applyFont="1" applyFill="1" applyBorder="1" applyAlignment="1">
      <alignment horizontal="center" vertical="center" shrinkToFit="1"/>
    </xf>
    <xf numFmtId="0" fontId="43" fillId="0" borderId="416" xfId="0" applyFont="1" applyBorder="1" applyAlignment="1">
      <alignment vertical="center" wrapText="1" shrinkToFit="1"/>
    </xf>
    <xf numFmtId="0" fontId="45" fillId="0" borderId="416" xfId="13" applyFont="1" applyBorder="1" applyAlignment="1">
      <alignment horizontal="left" vertical="center" wrapText="1" shrinkToFit="1"/>
    </xf>
    <xf numFmtId="0" fontId="43" fillId="0" borderId="416" xfId="0" applyFont="1" applyBorder="1" applyAlignment="1">
      <alignment horizontal="left" vertical="center" wrapText="1" shrinkToFit="1"/>
    </xf>
    <xf numFmtId="38" fontId="43" fillId="0" borderId="420" xfId="1" applyFont="1" applyFill="1" applyBorder="1" applyAlignment="1">
      <alignment horizontal="center" vertical="center" shrinkToFit="1"/>
    </xf>
    <xf numFmtId="0" fontId="45" fillId="0" borderId="425" xfId="13" applyFont="1" applyBorder="1" applyAlignment="1">
      <alignment horizontal="left" vertical="center" wrapText="1" shrinkToFit="1"/>
    </xf>
    <xf numFmtId="0" fontId="43" fillId="0" borderId="416" xfId="0" applyFont="1" applyBorder="1">
      <alignment vertical="center"/>
    </xf>
    <xf numFmtId="0" fontId="43" fillId="0" borderId="425" xfId="0" applyFont="1" applyBorder="1" applyAlignment="1">
      <alignment horizontal="left" vertical="center" wrapText="1" shrinkToFit="1"/>
    </xf>
    <xf numFmtId="38" fontId="43" fillId="0" borderId="402" xfId="1" applyFont="1" applyFill="1" applyBorder="1" applyAlignment="1">
      <alignment horizontal="center" vertical="center" shrinkToFit="1"/>
    </xf>
    <xf numFmtId="0" fontId="45" fillId="0" borderId="407" xfId="13" applyFont="1" applyBorder="1" applyAlignment="1">
      <alignment horizontal="left" vertical="center" wrapText="1" shrinkToFit="1"/>
    </xf>
    <xf numFmtId="38" fontId="45" fillId="0" borderId="407" xfId="1" applyFont="1" applyFill="1" applyBorder="1" applyAlignment="1">
      <alignment horizontal="center" vertical="center" shrinkToFit="1"/>
    </xf>
    <xf numFmtId="0" fontId="43" fillId="0" borderId="407" xfId="0" applyFont="1" applyBorder="1" applyAlignment="1">
      <alignment vertical="center" wrapText="1" shrinkToFit="1"/>
    </xf>
    <xf numFmtId="0" fontId="43" fillId="0" borderId="425" xfId="0" applyFont="1" applyBorder="1">
      <alignment vertical="center"/>
    </xf>
    <xf numFmtId="0" fontId="45" fillId="0" borderId="407" xfId="13" applyFont="1" applyBorder="1" applyAlignment="1">
      <alignment vertical="center" wrapText="1" shrinkToFit="1"/>
    </xf>
    <xf numFmtId="0" fontId="45" fillId="0" borderId="425" xfId="13" applyFont="1" applyBorder="1" applyAlignment="1">
      <alignment vertical="center" wrapText="1" shrinkToFit="1"/>
    </xf>
    <xf numFmtId="0" fontId="43" fillId="0" borderId="425" xfId="0" applyFont="1" applyBorder="1" applyAlignment="1">
      <alignment vertical="center" wrapText="1" shrinkToFit="1"/>
    </xf>
    <xf numFmtId="0" fontId="45" fillId="0" borderId="57" xfId="13" applyFont="1" applyBorder="1" applyAlignment="1">
      <alignment horizontal="left" vertical="center" wrapText="1" shrinkToFit="1"/>
    </xf>
    <xf numFmtId="0" fontId="45" fillId="0" borderId="62" xfId="13" applyFont="1" applyBorder="1" applyAlignment="1">
      <alignment horizontal="left" vertical="center" wrapText="1" shrinkToFit="1"/>
    </xf>
    <xf numFmtId="0" fontId="45" fillId="0" borderId="429" xfId="13" applyFont="1" applyBorder="1" applyAlignment="1">
      <alignment horizontal="left" vertical="center" wrapText="1" shrinkToFit="1"/>
    </xf>
    <xf numFmtId="0" fontId="43" fillId="0" borderId="388" xfId="0" applyFont="1" applyBorder="1" applyAlignment="1">
      <alignment vertical="center" wrapText="1" shrinkToFit="1"/>
    </xf>
    <xf numFmtId="38" fontId="43" fillId="9" borderId="307" xfId="1" applyFont="1" applyFill="1" applyBorder="1" applyAlignment="1">
      <alignment horizontal="center" vertical="center" shrinkToFit="1"/>
    </xf>
    <xf numFmtId="0" fontId="43" fillId="0" borderId="407" xfId="0" applyFont="1" applyBorder="1" applyAlignment="1">
      <alignment horizontal="left" vertical="center" wrapText="1" shrinkToFit="1"/>
    </xf>
    <xf numFmtId="38" fontId="36" fillId="0" borderId="431" xfId="1" applyFont="1" applyFill="1" applyBorder="1" applyAlignment="1">
      <alignment horizontal="center" vertical="center" wrapText="1" shrinkToFit="1"/>
    </xf>
    <xf numFmtId="0" fontId="83" fillId="0" borderId="0" xfId="11" applyFont="1" applyAlignment="1">
      <alignment horizontal="left" vertical="center"/>
    </xf>
    <xf numFmtId="0" fontId="90" fillId="0" borderId="0" xfId="11" applyFont="1" applyAlignment="1">
      <alignment horizontal="center" vertical="center"/>
    </xf>
    <xf numFmtId="0" fontId="90" fillId="0" borderId="0" xfId="11" applyFont="1" applyAlignment="1">
      <alignment horizontal="center" vertical="center" wrapText="1"/>
    </xf>
    <xf numFmtId="200" fontId="90" fillId="0" borderId="0" xfId="11" applyNumberFormat="1" applyFont="1" applyAlignment="1">
      <alignment horizontal="center" vertical="center"/>
    </xf>
    <xf numFmtId="0" fontId="90" fillId="0" borderId="0" xfId="11" applyFont="1" applyAlignment="1">
      <alignment vertical="center"/>
    </xf>
    <xf numFmtId="0" fontId="91" fillId="0" borderId="0" xfId="11" applyFont="1" applyAlignment="1">
      <alignment horizontal="right" vertical="center"/>
    </xf>
    <xf numFmtId="0" fontId="90" fillId="0" borderId="0" xfId="11" applyFont="1" applyAlignment="1">
      <alignment vertical="center" wrapText="1"/>
    </xf>
    <xf numFmtId="0" fontId="63" fillId="0" borderId="0" xfId="11" applyFont="1" applyAlignment="1">
      <alignment horizontal="left" vertical="center"/>
    </xf>
    <xf numFmtId="0" fontId="90" fillId="0" borderId="0" xfId="11" applyFont="1" applyAlignment="1">
      <alignment horizontal="right" vertical="center"/>
    </xf>
    <xf numFmtId="0" fontId="62" fillId="18" borderId="5" xfId="11" applyFont="1" applyFill="1" applyBorder="1" applyAlignment="1">
      <alignment horizontal="center" vertical="center" wrapText="1"/>
    </xf>
    <xf numFmtId="0" fontId="62" fillId="18" borderId="5" xfId="11" applyFont="1" applyFill="1" applyBorder="1" applyAlignment="1">
      <alignment horizontal="center" vertical="center"/>
    </xf>
    <xf numFmtId="0" fontId="62" fillId="0" borderId="0" xfId="11" applyFont="1" applyAlignment="1">
      <alignment horizontal="center" vertical="center"/>
    </xf>
    <xf numFmtId="0" fontId="50" fillId="18" borderId="435" xfId="11" applyFont="1" applyFill="1" applyBorder="1" applyAlignment="1">
      <alignment horizontal="center" vertical="center" wrapText="1"/>
    </xf>
    <xf numFmtId="0" fontId="62" fillId="0" borderId="0" xfId="11" applyFont="1" applyAlignment="1">
      <alignment horizontal="center" vertical="center" wrapText="1"/>
    </xf>
    <xf numFmtId="0" fontId="60" fillId="0" borderId="28" xfId="11" applyFont="1" applyBorder="1" applyAlignment="1">
      <alignment horizontal="center" vertical="center"/>
    </xf>
    <xf numFmtId="0" fontId="25" fillId="0" borderId="28" xfId="11" applyFont="1" applyBorder="1" applyAlignment="1">
      <alignment horizontal="center" vertical="center"/>
    </xf>
    <xf numFmtId="0" fontId="60" fillId="0" borderId="28" xfId="11" applyFont="1" applyBorder="1" applyAlignment="1">
      <alignment horizontal="center" vertical="center" wrapText="1" shrinkToFit="1"/>
    </xf>
    <xf numFmtId="0" fontId="60" fillId="0" borderId="439" xfId="11" applyFont="1" applyBorder="1" applyAlignment="1">
      <alignment horizontal="center" vertical="center" wrapText="1" shrinkToFit="1"/>
    </xf>
    <xf numFmtId="0" fontId="60" fillId="0" borderId="440" xfId="11" applyFont="1" applyBorder="1" applyAlignment="1">
      <alignment horizontal="center" vertical="center" wrapText="1"/>
    </xf>
    <xf numFmtId="0" fontId="60" fillId="0" borderId="28" xfId="11" applyFont="1" applyBorder="1" applyAlignment="1">
      <alignment horizontal="center" vertical="center" wrapText="1"/>
    </xf>
    <xf numFmtId="201" fontId="49" fillId="0" borderId="71" xfId="11" applyNumberFormat="1" applyFont="1" applyBorder="1" applyAlignment="1">
      <alignment horizontal="center" vertical="center"/>
    </xf>
    <xf numFmtId="201" fontId="49" fillId="0" borderId="441" xfId="11" applyNumberFormat="1" applyFont="1" applyBorder="1" applyAlignment="1">
      <alignment horizontal="center" vertical="center"/>
    </xf>
    <xf numFmtId="38" fontId="49" fillId="0" borderId="442" xfId="15" applyFont="1" applyFill="1" applyBorder="1" applyAlignment="1">
      <alignment horizontal="center" vertical="center"/>
    </xf>
    <xf numFmtId="201" fontId="49" fillId="0" borderId="443" xfId="11" applyNumberFormat="1" applyFont="1" applyBorder="1" applyAlignment="1">
      <alignment horizontal="center" vertical="center"/>
    </xf>
    <xf numFmtId="201" fontId="49" fillId="0" borderId="444" xfId="11" applyNumberFormat="1" applyFont="1" applyBorder="1" applyAlignment="1">
      <alignment horizontal="center" vertical="center"/>
    </xf>
    <xf numFmtId="201" fontId="49" fillId="0" borderId="69" xfId="11" applyNumberFormat="1" applyFont="1" applyBorder="1" applyAlignment="1">
      <alignment horizontal="center" vertical="center"/>
    </xf>
    <xf numFmtId="201" fontId="49" fillId="0" borderId="28" xfId="11" applyNumberFormat="1" applyFont="1" applyBorder="1" applyAlignment="1">
      <alignment horizontal="center" vertical="center" wrapText="1"/>
    </xf>
    <xf numFmtId="201" fontId="49" fillId="0" borderId="439" xfId="11" applyNumberFormat="1" applyFont="1" applyBorder="1" applyAlignment="1">
      <alignment horizontal="center" vertical="center"/>
    </xf>
    <xf numFmtId="0" fontId="85" fillId="0" borderId="9" xfId="11" applyFont="1" applyBorder="1" applyAlignment="1">
      <alignment horizontal="left" vertical="center" wrapText="1" shrinkToFit="1"/>
    </xf>
    <xf numFmtId="0" fontId="49" fillId="8" borderId="5" xfId="11" applyFont="1" applyFill="1" applyBorder="1" applyAlignment="1">
      <alignment horizontal="center" vertical="center" wrapText="1" shrinkToFit="1"/>
    </xf>
    <xf numFmtId="0" fontId="49" fillId="8" borderId="9" xfId="11" applyFont="1" applyFill="1" applyBorder="1" applyAlignment="1">
      <alignment horizontal="center" vertical="center" shrinkToFit="1"/>
    </xf>
    <xf numFmtId="0" fontId="49" fillId="0" borderId="432" xfId="11" applyFont="1" applyBorder="1" applyAlignment="1">
      <alignment horizontal="center" vertical="center" shrinkToFit="1"/>
    </xf>
    <xf numFmtId="0" fontId="49" fillId="0" borderId="433" xfId="11" applyFont="1" applyBorder="1" applyAlignment="1">
      <alignment horizontal="center" vertical="center" shrinkToFit="1"/>
    </xf>
    <xf numFmtId="0" fontId="49" fillId="0" borderId="5" xfId="11" applyFont="1" applyBorder="1" applyAlignment="1">
      <alignment horizontal="center" vertical="center" wrapText="1" shrinkToFit="1"/>
    </xf>
    <xf numFmtId="0" fontId="49" fillId="0" borderId="5" xfId="11" applyFont="1" applyBorder="1" applyAlignment="1">
      <alignment horizontal="center" vertical="center" shrinkToFit="1"/>
    </xf>
    <xf numFmtId="200" fontId="49" fillId="0" borderId="5" xfId="11" applyNumberFormat="1" applyFont="1" applyBorder="1" applyAlignment="1">
      <alignment horizontal="center" vertical="center" shrinkToFit="1"/>
    </xf>
    <xf numFmtId="0" fontId="49" fillId="0" borderId="434" xfId="11" applyFont="1" applyBorder="1" applyAlignment="1">
      <alignment horizontal="center" vertical="center" shrinkToFit="1"/>
    </xf>
    <xf numFmtId="0" fontId="49" fillId="0" borderId="41" xfId="11" applyFont="1" applyBorder="1" applyAlignment="1">
      <alignment horizontal="center" vertical="center" shrinkToFit="1"/>
    </xf>
    <xf numFmtId="0" fontId="49" fillId="8" borderId="434" xfId="11" applyFont="1" applyFill="1" applyBorder="1" applyAlignment="1">
      <alignment horizontal="center" vertical="center" shrinkToFit="1"/>
    </xf>
    <xf numFmtId="0" fontId="49" fillId="8" borderId="433" xfId="11" applyFont="1" applyFill="1" applyBorder="1" applyAlignment="1">
      <alignment horizontal="center" vertical="center" shrinkToFit="1"/>
    </xf>
    <xf numFmtId="0" fontId="49" fillId="8" borderId="432" xfId="11" applyFont="1" applyFill="1" applyBorder="1" applyAlignment="1">
      <alignment horizontal="center" vertical="center" shrinkToFit="1"/>
    </xf>
    <xf numFmtId="0" fontId="49" fillId="8" borderId="445" xfId="11" applyFont="1" applyFill="1" applyBorder="1" applyAlignment="1">
      <alignment horizontal="center" vertical="center" shrinkToFit="1"/>
    </xf>
    <xf numFmtId="0" fontId="49" fillId="8" borderId="432" xfId="11" applyFont="1" applyFill="1" applyBorder="1" applyAlignment="1">
      <alignment horizontal="center" vertical="center" wrapText="1" shrinkToFit="1"/>
    </xf>
    <xf numFmtId="0" fontId="25" fillId="0" borderId="0" xfId="11" applyFont="1" applyAlignment="1">
      <alignment vertical="center"/>
    </xf>
    <xf numFmtId="0" fontId="60" fillId="0" borderId="5" xfId="11" applyFont="1" applyBorder="1" applyAlignment="1">
      <alignment horizontal="center" vertical="center" wrapText="1"/>
    </xf>
    <xf numFmtId="201" fontId="49" fillId="0" borderId="5" xfId="11" applyNumberFormat="1" applyFont="1" applyBorder="1" applyAlignment="1">
      <alignment horizontal="center" vertical="center"/>
    </xf>
    <xf numFmtId="201" fontId="49" fillId="0" borderId="432" xfId="11" applyNumberFormat="1" applyFont="1" applyBorder="1" applyAlignment="1">
      <alignment horizontal="center" vertical="center"/>
    </xf>
    <xf numFmtId="38" fontId="49" fillId="0" borderId="434" xfId="15" applyFont="1" applyFill="1" applyBorder="1" applyAlignment="1">
      <alignment horizontal="center" vertical="center"/>
    </xf>
    <xf numFmtId="201" fontId="49" fillId="0" borderId="449" xfId="11" applyNumberFormat="1" applyFont="1" applyBorder="1" applyAlignment="1">
      <alignment horizontal="center" vertical="center"/>
    </xf>
    <xf numFmtId="201" fontId="49" fillId="0" borderId="397" xfId="11" applyNumberFormat="1" applyFont="1" applyBorder="1" applyAlignment="1">
      <alignment horizontal="center" vertical="center"/>
    </xf>
    <xf numFmtId="201" fontId="49" fillId="0" borderId="8" xfId="11" applyNumberFormat="1" applyFont="1" applyBorder="1" applyAlignment="1">
      <alignment horizontal="center" vertical="center"/>
    </xf>
    <xf numFmtId="201" fontId="49" fillId="0" borderId="439" xfId="11" applyNumberFormat="1" applyFont="1" applyBorder="1" applyAlignment="1">
      <alignment horizontal="center" vertical="center" wrapText="1"/>
    </xf>
    <xf numFmtId="0" fontId="49" fillId="8" borderId="445" xfId="11" applyFont="1" applyFill="1" applyBorder="1" applyAlignment="1">
      <alignment horizontal="center" vertical="center" wrapText="1" shrinkToFit="1"/>
    </xf>
    <xf numFmtId="0" fontId="49" fillId="8" borderId="434" xfId="11" applyFont="1" applyFill="1" applyBorder="1" applyAlignment="1">
      <alignment horizontal="center" vertical="center" wrapText="1" shrinkToFit="1"/>
    </xf>
    <xf numFmtId="0" fontId="49" fillId="0" borderId="432" xfId="11" quotePrefix="1" applyFont="1" applyBorder="1" applyAlignment="1">
      <alignment horizontal="center" vertical="center" wrapText="1" shrinkToFit="1"/>
    </xf>
    <xf numFmtId="0" fontId="49" fillId="8" borderId="433" xfId="11" applyFont="1" applyFill="1" applyBorder="1" applyAlignment="1">
      <alignment horizontal="center" vertical="center" wrapText="1" shrinkToFit="1"/>
    </xf>
    <xf numFmtId="0" fontId="50" fillId="8" borderId="9" xfId="11" applyFont="1" applyFill="1" applyBorder="1" applyAlignment="1">
      <alignment horizontal="center" vertical="center" wrapText="1" shrinkToFit="1"/>
    </xf>
    <xf numFmtId="0" fontId="49" fillId="0" borderId="433" xfId="11" applyFont="1" applyBorder="1" applyAlignment="1">
      <alignment horizontal="center" vertical="center" wrapText="1" shrinkToFit="1"/>
    </xf>
    <xf numFmtId="200" fontId="49" fillId="0" borderId="5" xfId="11" applyNumberFormat="1" applyFont="1" applyBorder="1" applyAlignment="1">
      <alignment horizontal="center" vertical="center" wrapText="1" shrinkToFit="1"/>
    </xf>
    <xf numFmtId="0" fontId="49" fillId="0" borderId="41" xfId="11" applyFont="1" applyBorder="1" applyAlignment="1">
      <alignment horizontal="center" vertical="center" wrapText="1" shrinkToFit="1"/>
    </xf>
    <xf numFmtId="0" fontId="49" fillId="0" borderId="432" xfId="11" applyFont="1" applyBorder="1" applyAlignment="1">
      <alignment horizontal="center" vertical="center" wrapText="1" shrinkToFit="1"/>
    </xf>
    <xf numFmtId="201" fontId="49" fillId="0" borderId="28" xfId="11" applyNumberFormat="1" applyFont="1" applyBorder="1" applyAlignment="1">
      <alignment horizontal="center" vertical="center"/>
    </xf>
    <xf numFmtId="0" fontId="25" fillId="0" borderId="27" xfId="11" applyFont="1" applyBorder="1" applyAlignment="1">
      <alignment horizontal="center" vertical="center"/>
    </xf>
    <xf numFmtId="0" fontId="60" fillId="0" borderId="27" xfId="11" applyFont="1" applyBorder="1" applyAlignment="1">
      <alignment horizontal="center" vertical="center" wrapText="1" shrinkToFit="1"/>
    </xf>
    <xf numFmtId="0" fontId="60" fillId="0" borderId="446" xfId="11" applyFont="1" applyBorder="1" applyAlignment="1">
      <alignment horizontal="center" vertical="center" wrapText="1" shrinkToFit="1"/>
    </xf>
    <xf numFmtId="0" fontId="60" fillId="0" borderId="448" xfId="11" applyFont="1" applyBorder="1" applyAlignment="1">
      <alignment horizontal="center" vertical="center" wrapText="1"/>
    </xf>
    <xf numFmtId="0" fontId="60" fillId="0" borderId="27" xfId="11" applyFont="1" applyBorder="1" applyAlignment="1">
      <alignment horizontal="center" vertical="center" wrapText="1"/>
    </xf>
    <xf numFmtId="0" fontId="49" fillId="0" borderId="9" xfId="11" applyFont="1" applyBorder="1" applyAlignment="1">
      <alignment horizontal="center" vertical="center" shrinkToFit="1"/>
    </xf>
    <xf numFmtId="0" fontId="49" fillId="0" borderId="445" xfId="11" applyFont="1" applyBorder="1" applyAlignment="1">
      <alignment horizontal="center" vertical="center" wrapText="1" shrinkToFit="1"/>
    </xf>
    <xf numFmtId="0" fontId="49" fillId="0" borderId="434" xfId="11" applyFont="1" applyBorder="1" applyAlignment="1">
      <alignment horizontal="center" vertical="center" wrapText="1" shrinkToFit="1"/>
    </xf>
    <xf numFmtId="0" fontId="60" fillId="0" borderId="5" xfId="11" applyFont="1" applyBorder="1" applyAlignment="1">
      <alignment horizontal="center" vertical="center"/>
    </xf>
    <xf numFmtId="0" fontId="25" fillId="0" borderId="5" xfId="11" applyFont="1" applyBorder="1" applyAlignment="1">
      <alignment horizontal="center" vertical="center"/>
    </xf>
    <xf numFmtId="0" fontId="60" fillId="0" borderId="5" xfId="11" applyFont="1" applyBorder="1" applyAlignment="1">
      <alignment horizontal="center" vertical="center" wrapText="1" shrinkToFit="1"/>
    </xf>
    <xf numFmtId="0" fontId="60" fillId="0" borderId="432" xfId="11" applyFont="1" applyBorder="1" applyAlignment="1">
      <alignment horizontal="center" vertical="center" wrapText="1" shrinkToFit="1"/>
    </xf>
    <xf numFmtId="0" fontId="60" fillId="0" borderId="433" xfId="11" applyFont="1" applyBorder="1" applyAlignment="1">
      <alignment horizontal="center" vertical="center" wrapText="1"/>
    </xf>
    <xf numFmtId="0" fontId="60" fillId="0" borderId="5" xfId="11" applyFont="1" applyBorder="1" applyAlignment="1">
      <alignment horizontal="center" vertical="center" shrinkToFit="1"/>
    </xf>
    <xf numFmtId="0" fontId="50" fillId="8" borderId="9" xfId="11" applyFont="1" applyFill="1" applyBorder="1" applyAlignment="1">
      <alignment horizontal="center" vertical="center" wrapText="1"/>
    </xf>
    <xf numFmtId="0" fontId="25" fillId="0" borderId="5" xfId="11" applyFont="1" applyBorder="1" applyAlignment="1">
      <alignment horizontal="center" vertical="center" wrapText="1" shrinkToFit="1"/>
    </xf>
    <xf numFmtId="0" fontId="60" fillId="0" borderId="433" xfId="11" applyFont="1" applyBorder="1" applyAlignment="1">
      <alignment horizontal="center" vertical="center" wrapText="1" shrinkToFit="1"/>
    </xf>
    <xf numFmtId="201" fontId="49" fillId="0" borderId="432" xfId="11" applyNumberFormat="1" applyFont="1" applyBorder="1" applyAlignment="1">
      <alignment horizontal="center" vertical="center" wrapText="1"/>
    </xf>
    <xf numFmtId="0" fontId="49" fillId="0" borderId="9" xfId="11" applyFont="1" applyBorder="1" applyAlignment="1">
      <alignment horizontal="center" vertical="center" wrapText="1" shrinkToFit="1"/>
    </xf>
    <xf numFmtId="0" fontId="49" fillId="0" borderId="8" xfId="11" applyFont="1" applyBorder="1" applyAlignment="1">
      <alignment horizontal="center" vertical="center" wrapText="1" shrinkToFit="1"/>
    </xf>
    <xf numFmtId="201" fontId="49" fillId="0" borderId="5" xfId="11" applyNumberFormat="1" applyFont="1" applyBorder="1" applyAlignment="1">
      <alignment horizontal="center" vertical="center" wrapText="1"/>
    </xf>
    <xf numFmtId="0" fontId="50" fillId="8" borderId="9" xfId="11" applyFont="1" applyFill="1" applyBorder="1" applyAlignment="1">
      <alignment horizontal="center" vertical="center" shrinkToFit="1"/>
    </xf>
    <xf numFmtId="0" fontId="81" fillId="6" borderId="0" xfId="11" applyFont="1" applyFill="1" applyAlignment="1">
      <alignment horizontal="center" vertical="center" wrapText="1" shrinkToFit="1"/>
    </xf>
    <xf numFmtId="0" fontId="81" fillId="6" borderId="0" xfId="11" applyFont="1" applyFill="1" applyAlignment="1">
      <alignment vertical="center" wrapText="1"/>
    </xf>
    <xf numFmtId="0" fontId="85" fillId="0" borderId="42" xfId="11" applyFont="1" applyBorder="1" applyAlignment="1">
      <alignment horizontal="left" vertical="center" wrapText="1" shrinkToFit="1"/>
    </xf>
    <xf numFmtId="0" fontId="49" fillId="8" borderId="28" xfId="11" applyFont="1" applyFill="1" applyBorder="1" applyAlignment="1">
      <alignment horizontal="center" vertical="center" wrapText="1" shrinkToFit="1"/>
    </xf>
    <xf numFmtId="0" fontId="49" fillId="0" borderId="439" xfId="11" applyFont="1" applyBorder="1" applyAlignment="1">
      <alignment horizontal="center" vertical="center" shrinkToFit="1"/>
    </xf>
    <xf numFmtId="0" fontId="49" fillId="0" borderId="440" xfId="11" applyFont="1" applyBorder="1" applyAlignment="1">
      <alignment horizontal="center" vertical="center" shrinkToFit="1"/>
    </xf>
    <xf numFmtId="0" fontId="49" fillId="0" borderId="28" xfId="11" applyFont="1" applyBorder="1" applyAlignment="1">
      <alignment horizontal="center" vertical="center" wrapText="1" shrinkToFit="1"/>
    </xf>
    <xf numFmtId="0" fontId="49" fillId="0" borderId="28" xfId="11" applyFont="1" applyBorder="1" applyAlignment="1">
      <alignment horizontal="center" vertical="center" shrinkToFit="1"/>
    </xf>
    <xf numFmtId="200" fontId="49" fillId="0" borderId="28" xfId="11" applyNumberFormat="1" applyFont="1" applyBorder="1" applyAlignment="1">
      <alignment horizontal="center" vertical="center" shrinkToFit="1"/>
    </xf>
    <xf numFmtId="0" fontId="49" fillId="0" borderId="451" xfId="11" applyFont="1" applyBorder="1" applyAlignment="1">
      <alignment horizontal="center" vertical="center" shrinkToFit="1"/>
    </xf>
    <xf numFmtId="0" fontId="49" fillId="8" borderId="451" xfId="11" applyFont="1" applyFill="1" applyBorder="1" applyAlignment="1">
      <alignment horizontal="center" vertical="center" shrinkToFit="1"/>
    </xf>
    <xf numFmtId="0" fontId="49" fillId="8" borderId="440" xfId="11" applyFont="1" applyFill="1" applyBorder="1" applyAlignment="1">
      <alignment horizontal="center" vertical="center" shrinkToFit="1"/>
    </xf>
    <xf numFmtId="0" fontId="49" fillId="8" borderId="439" xfId="11" applyFont="1" applyFill="1" applyBorder="1" applyAlignment="1">
      <alignment horizontal="center" vertical="center" shrinkToFit="1"/>
    </xf>
    <xf numFmtId="0" fontId="49" fillId="8" borderId="451" xfId="11" applyFont="1" applyFill="1" applyBorder="1" applyAlignment="1">
      <alignment horizontal="center" vertical="center" wrapText="1" shrinkToFit="1"/>
    </xf>
    <xf numFmtId="0" fontId="49" fillId="8" borderId="9" xfId="11" applyFont="1" applyFill="1" applyBorder="1" applyAlignment="1">
      <alignment horizontal="center" vertical="center" wrapText="1"/>
    </xf>
    <xf numFmtId="0" fontId="49" fillId="8" borderId="5" xfId="11" applyFont="1" applyFill="1" applyBorder="1" applyAlignment="1">
      <alignment horizontal="center" vertical="center" wrapText="1"/>
    </xf>
    <xf numFmtId="0" fontId="25" fillId="0" borderId="27" xfId="11" applyFont="1" applyBorder="1" applyAlignment="1">
      <alignment horizontal="center" vertical="center" wrapText="1" shrinkToFit="1"/>
    </xf>
    <xf numFmtId="0" fontId="60" fillId="0" borderId="448" xfId="11" applyFont="1" applyBorder="1" applyAlignment="1">
      <alignment horizontal="center" vertical="center" wrapText="1" shrinkToFit="1"/>
    </xf>
    <xf numFmtId="0" fontId="49" fillId="0" borderId="5" xfId="11" applyFont="1" applyBorder="1" applyAlignment="1">
      <alignment horizontal="center" vertical="center" wrapText="1"/>
    </xf>
    <xf numFmtId="201" fontId="49" fillId="0" borderId="453" xfId="11" applyNumberFormat="1" applyFont="1" applyBorder="1" applyAlignment="1">
      <alignment horizontal="center" vertical="center"/>
    </xf>
    <xf numFmtId="0" fontId="25" fillId="0" borderId="0" xfId="11" applyFont="1" applyAlignment="1">
      <alignment horizontal="center" vertical="center"/>
    </xf>
    <xf numFmtId="0" fontId="25" fillId="0" borderId="0" xfId="11" applyFont="1" applyAlignment="1">
      <alignment horizontal="center" vertical="center" wrapText="1"/>
    </xf>
    <xf numFmtId="181" fontId="28" fillId="0" borderId="0" xfId="11" applyNumberFormat="1" applyFont="1" applyAlignment="1">
      <alignment horizontal="center" vertical="top" shrinkToFit="1"/>
    </xf>
    <xf numFmtId="0" fontId="60" fillId="0" borderId="0" xfId="11" applyFont="1" applyAlignment="1">
      <alignment horizontal="center" vertical="center"/>
    </xf>
    <xf numFmtId="0" fontId="28" fillId="0" borderId="0" xfId="11" applyFont="1" applyAlignment="1">
      <alignment vertical="top" wrapText="1"/>
    </xf>
    <xf numFmtId="0" fontId="25" fillId="0" borderId="0" xfId="11" applyFont="1" applyAlignment="1">
      <alignment vertical="top" wrapText="1"/>
    </xf>
    <xf numFmtId="0" fontId="25" fillId="0" borderId="0" xfId="11" applyFont="1" applyAlignment="1">
      <alignment horizontal="center" vertical="top" wrapText="1"/>
    </xf>
    <xf numFmtId="0" fontId="25" fillId="0" borderId="0" xfId="11" applyFont="1" applyAlignment="1">
      <alignment vertical="top"/>
    </xf>
    <xf numFmtId="181" fontId="28" fillId="0" borderId="0" xfId="11" applyNumberFormat="1" applyFont="1" applyAlignment="1">
      <alignment horizontal="center" vertical="top"/>
    </xf>
    <xf numFmtId="0" fontId="28" fillId="0" borderId="0" xfId="11" applyFont="1" applyAlignment="1">
      <alignment horizontal="center" vertical="center"/>
    </xf>
    <xf numFmtId="200" fontId="25" fillId="0" borderId="0" xfId="11" applyNumberFormat="1" applyFont="1" applyAlignment="1">
      <alignment horizontal="center" vertical="center"/>
    </xf>
    <xf numFmtId="0" fontId="28" fillId="0" borderId="0" xfId="11" applyFont="1" applyAlignment="1">
      <alignment vertical="center" wrapText="1"/>
    </xf>
    <xf numFmtId="0" fontId="25" fillId="0" borderId="0" xfId="11" applyFont="1" applyAlignment="1">
      <alignment vertical="center" wrapText="1"/>
    </xf>
    <xf numFmtId="0" fontId="92" fillId="0" borderId="0" xfId="11" applyFont="1" applyAlignment="1">
      <alignment horizontal="left" vertical="center"/>
    </xf>
    <xf numFmtId="0" fontId="85" fillId="0" borderId="0" xfId="11" applyFont="1" applyAlignment="1">
      <alignment horizontal="left" vertical="center"/>
    </xf>
    <xf numFmtId="0" fontId="28" fillId="0" borderId="0" xfId="11" applyFont="1" applyAlignment="1">
      <alignment horizontal="center" vertical="center" wrapText="1"/>
    </xf>
    <xf numFmtId="200" fontId="28" fillId="0" borderId="0" xfId="11" applyNumberFormat="1" applyFont="1" applyAlignment="1">
      <alignment horizontal="center" vertical="center"/>
    </xf>
    <xf numFmtId="0" fontId="28" fillId="0" borderId="0" xfId="11" applyFont="1" applyAlignment="1">
      <alignment vertical="center"/>
    </xf>
    <xf numFmtId="0" fontId="74" fillId="0" borderId="0" xfId="11" applyFont="1" applyAlignment="1">
      <alignment horizontal="center" vertical="center"/>
    </xf>
    <xf numFmtId="0" fontId="50" fillId="0" borderId="0" xfId="11" applyFont="1" applyAlignment="1">
      <alignment horizontal="left" vertical="center"/>
    </xf>
    <xf numFmtId="0" fontId="50" fillId="18" borderId="438" xfId="11" applyFont="1" applyFill="1" applyBorder="1" applyAlignment="1">
      <alignment horizontal="center" vertical="center" wrapText="1"/>
    </xf>
    <xf numFmtId="0" fontId="50" fillId="31" borderId="98" xfId="11" applyFont="1" applyFill="1" applyBorder="1" applyAlignment="1">
      <alignment horizontal="center" vertical="center" wrapText="1"/>
    </xf>
    <xf numFmtId="0" fontId="50" fillId="31" borderId="436" xfId="11" applyFont="1" applyFill="1" applyBorder="1" applyAlignment="1">
      <alignment horizontal="center" vertical="center" wrapText="1"/>
    </xf>
    <xf numFmtId="0" fontId="50" fillId="18" borderId="436" xfId="11" applyFont="1" applyFill="1" applyBorder="1" applyAlignment="1">
      <alignment horizontal="center" vertical="center" wrapText="1"/>
    </xf>
    <xf numFmtId="0" fontId="50" fillId="18" borderId="437" xfId="11" applyFont="1" applyFill="1" applyBorder="1" applyAlignment="1">
      <alignment horizontal="center" vertical="center" wrapText="1"/>
    </xf>
    <xf numFmtId="0" fontId="49" fillId="0" borderId="28" xfId="11" applyFont="1" applyBorder="1" applyAlignment="1">
      <alignment horizontal="center" vertical="center"/>
    </xf>
    <xf numFmtId="0" fontId="28" fillId="0" borderId="28" xfId="11" applyFont="1" applyBorder="1" applyAlignment="1">
      <alignment horizontal="center" vertical="center"/>
    </xf>
    <xf numFmtId="0" fontId="60" fillId="0" borderId="439" xfId="11" applyFont="1" applyBorder="1" applyAlignment="1">
      <alignment horizontal="center" vertical="center" shrinkToFit="1"/>
    </xf>
    <xf numFmtId="0" fontId="60" fillId="0" borderId="440" xfId="11" applyFont="1" applyBorder="1" applyAlignment="1">
      <alignment horizontal="left" vertical="center" wrapText="1"/>
    </xf>
    <xf numFmtId="0" fontId="49" fillId="0" borderId="28" xfId="11" applyFont="1" applyBorder="1" applyAlignment="1">
      <alignment horizontal="center" vertical="center" wrapText="1"/>
    </xf>
    <xf numFmtId="38" fontId="49" fillId="0" borderId="454" xfId="15" applyFont="1" applyFill="1" applyBorder="1" applyAlignment="1">
      <alignment horizontal="center" vertical="center"/>
    </xf>
    <xf numFmtId="201" fontId="49" fillId="0" borderId="179" xfId="11" applyNumberFormat="1" applyFont="1" applyBorder="1" applyAlignment="1">
      <alignment horizontal="center" vertical="center"/>
    </xf>
    <xf numFmtId="0" fontId="49" fillId="0" borderId="40" xfId="11" applyFont="1" applyBorder="1" applyAlignment="1">
      <alignment horizontal="center" vertical="center" wrapText="1" shrinkToFit="1"/>
    </xf>
    <xf numFmtId="0" fontId="49" fillId="0" borderId="440" xfId="11" applyFont="1" applyBorder="1" applyAlignment="1">
      <alignment horizontal="center" vertical="center" wrapText="1" shrinkToFit="1"/>
    </xf>
    <xf numFmtId="0" fontId="49" fillId="0" borderId="439" xfId="11" quotePrefix="1" applyFont="1" applyBorder="1" applyAlignment="1">
      <alignment horizontal="center" vertical="center" shrinkToFit="1"/>
    </xf>
    <xf numFmtId="0" fontId="49" fillId="8" borderId="28" xfId="11" applyFont="1" applyFill="1" applyBorder="1" applyAlignment="1">
      <alignment horizontal="center" vertical="center" shrinkToFit="1"/>
    </xf>
    <xf numFmtId="0" fontId="49" fillId="8" borderId="41" xfId="11" applyFont="1" applyFill="1" applyBorder="1" applyAlignment="1">
      <alignment horizontal="center" vertical="center" shrinkToFit="1"/>
    </xf>
    <xf numFmtId="0" fontId="60" fillId="0" borderId="0" xfId="11" applyFont="1" applyAlignment="1">
      <alignment vertical="center"/>
    </xf>
    <xf numFmtId="0" fontId="49" fillId="0" borderId="5" xfId="11" applyFont="1" applyBorder="1" applyAlignment="1">
      <alignment horizontal="center" vertical="center"/>
    </xf>
    <xf numFmtId="0" fontId="28" fillId="0" borderId="5" xfId="11" applyFont="1" applyBorder="1" applyAlignment="1">
      <alignment horizontal="center" vertical="center"/>
    </xf>
    <xf numFmtId="0" fontId="60" fillId="0" borderId="432" xfId="11" applyFont="1" applyBorder="1" applyAlignment="1">
      <alignment horizontal="center" vertical="center" shrinkToFit="1"/>
    </xf>
    <xf numFmtId="0" fontId="60" fillId="0" borderId="433" xfId="11" applyFont="1" applyBorder="1" applyAlignment="1">
      <alignment horizontal="left" vertical="center" wrapText="1"/>
    </xf>
    <xf numFmtId="38" fontId="49" fillId="0" borderId="449" xfId="15" applyFont="1" applyFill="1" applyBorder="1" applyAlignment="1">
      <alignment horizontal="center" vertical="center"/>
    </xf>
    <xf numFmtId="201" fontId="49" fillId="0" borderId="9" xfId="11" applyNumberFormat="1" applyFont="1" applyBorder="1" applyAlignment="1">
      <alignment horizontal="center" vertical="center" wrapText="1"/>
    </xf>
    <xf numFmtId="0" fontId="49" fillId="0" borderId="7" xfId="11" applyFont="1" applyBorder="1" applyAlignment="1">
      <alignment horizontal="center" vertical="center" wrapText="1" shrinkToFit="1"/>
    </xf>
    <xf numFmtId="201" fontId="49" fillId="0" borderId="9" xfId="11" applyNumberFormat="1" applyFont="1" applyBorder="1" applyAlignment="1">
      <alignment horizontal="center" vertical="center"/>
    </xf>
    <xf numFmtId="0" fontId="74" fillId="0" borderId="5" xfId="11" applyFont="1" applyBorder="1" applyAlignment="1">
      <alignment horizontal="center" vertical="center" shrinkToFit="1"/>
    </xf>
    <xf numFmtId="0" fontId="49" fillId="8" borderId="5" xfId="11" applyFont="1" applyFill="1" applyBorder="1" applyAlignment="1">
      <alignment horizontal="center" vertical="center"/>
    </xf>
    <xf numFmtId="0" fontId="49" fillId="0" borderId="7" xfId="11" applyFont="1" applyBorder="1" applyAlignment="1">
      <alignment horizontal="center" vertical="center"/>
    </xf>
    <xf numFmtId="0" fontId="49" fillId="0" borderId="433" xfId="11" applyFont="1" applyBorder="1" applyAlignment="1">
      <alignment horizontal="center" vertical="center"/>
    </xf>
    <xf numFmtId="0" fontId="49" fillId="8" borderId="5" xfId="11" applyFont="1" applyFill="1" applyBorder="1" applyAlignment="1">
      <alignment horizontal="center" vertical="center" shrinkToFit="1"/>
    </xf>
    <xf numFmtId="0" fontId="49" fillId="8" borderId="8" xfId="11" applyFont="1" applyFill="1" applyBorder="1" applyAlignment="1">
      <alignment horizontal="center" vertical="center" shrinkToFit="1"/>
    </xf>
    <xf numFmtId="0" fontId="49" fillId="0" borderId="432" xfId="11" quotePrefix="1" applyFont="1" applyBorder="1" applyAlignment="1">
      <alignment horizontal="center" vertical="center" shrinkToFit="1"/>
    </xf>
    <xf numFmtId="0" fontId="49" fillId="0" borderId="0" xfId="11" applyFont="1" applyAlignment="1">
      <alignment horizontal="right" vertical="top"/>
    </xf>
    <xf numFmtId="38" fontId="49" fillId="0" borderId="0" xfId="15" applyFont="1" applyFill="1" applyBorder="1" applyAlignment="1">
      <alignment horizontal="center" vertical="top" shrinkToFit="1"/>
    </xf>
    <xf numFmtId="38" fontId="49" fillId="0" borderId="0" xfId="15" applyFont="1" applyFill="1" applyBorder="1" applyAlignment="1">
      <alignment vertical="top"/>
    </xf>
    <xf numFmtId="38" fontId="49" fillId="0" borderId="0" xfId="15" applyFont="1" applyFill="1" applyBorder="1" applyAlignment="1">
      <alignment vertical="top" wrapText="1"/>
    </xf>
    <xf numFmtId="0" fontId="94" fillId="0" borderId="0" xfId="11" applyFont="1" applyAlignment="1">
      <alignment vertical="center"/>
    </xf>
    <xf numFmtId="0" fontId="95" fillId="0" borderId="0" xfId="11" applyFont="1" applyAlignment="1">
      <alignment horizontal="center" vertical="center" shrinkToFit="1"/>
    </xf>
    <xf numFmtId="0" fontId="28" fillId="0" borderId="0" xfId="11" applyFont="1" applyAlignment="1">
      <alignment horizontal="right" vertical="center"/>
    </xf>
    <xf numFmtId="0" fontId="28" fillId="0" borderId="0" xfId="11" applyFont="1" applyAlignment="1">
      <alignment vertical="top"/>
    </xf>
    <xf numFmtId="0" fontId="74" fillId="0" borderId="37" xfId="11" applyFont="1" applyBorder="1" applyAlignment="1">
      <alignment horizontal="center" vertical="center" shrinkToFit="1"/>
    </xf>
    <xf numFmtId="0" fontId="49" fillId="0" borderId="27" xfId="11" applyFont="1" applyBorder="1" applyAlignment="1">
      <alignment horizontal="center" vertical="center" wrapText="1"/>
    </xf>
    <xf numFmtId="0" fontId="85" fillId="0" borderId="5" xfId="11" applyFont="1" applyBorder="1" applyAlignment="1">
      <alignment horizontal="center" vertical="center" wrapText="1" shrinkToFit="1"/>
    </xf>
    <xf numFmtId="0" fontId="74" fillId="0" borderId="5" xfId="11" applyFont="1" applyBorder="1" applyAlignment="1">
      <alignment horizontal="center" vertical="center" wrapText="1" shrinkToFit="1"/>
    </xf>
    <xf numFmtId="0" fontId="85" fillId="0" borderId="37" xfId="11" applyFont="1" applyBorder="1" applyAlignment="1">
      <alignment horizontal="center" vertical="center" wrapText="1" shrinkToFit="1"/>
    </xf>
    <xf numFmtId="0" fontId="85" fillId="0" borderId="40" xfId="11" applyFont="1" applyBorder="1" applyAlignment="1">
      <alignment horizontal="center" vertical="center" wrapText="1" shrinkToFit="1"/>
    </xf>
    <xf numFmtId="0" fontId="74" fillId="0" borderId="37" xfId="11" applyFont="1" applyBorder="1" applyAlignment="1">
      <alignment horizontal="center" vertical="center" wrapText="1" shrinkToFit="1"/>
    </xf>
    <xf numFmtId="0" fontId="25" fillId="0" borderId="27" xfId="11" applyFont="1" applyBorder="1" applyAlignment="1">
      <alignment vertical="center"/>
    </xf>
    <xf numFmtId="0" fontId="25" fillId="0" borderId="28" xfId="11" applyFont="1" applyBorder="1" applyAlignment="1">
      <alignment vertical="center"/>
    </xf>
    <xf numFmtId="0" fontId="25" fillId="0" borderId="5" xfId="11" applyFont="1" applyBorder="1" applyAlignment="1">
      <alignment vertical="center"/>
    </xf>
    <xf numFmtId="0" fontId="60" fillId="0" borderId="27" xfId="11" applyFont="1" applyBorder="1" applyAlignment="1">
      <alignment horizontal="center" vertical="center" shrinkToFit="1"/>
    </xf>
    <xf numFmtId="0" fontId="60" fillId="0" borderId="28" xfId="11" applyFont="1" applyBorder="1" applyAlignment="1">
      <alignment horizontal="center" vertical="center" shrinkToFit="1"/>
    </xf>
    <xf numFmtId="0" fontId="74" fillId="0" borderId="7" xfId="11" applyFont="1" applyBorder="1" applyAlignment="1">
      <alignment horizontal="center" vertical="center" shrinkToFit="1"/>
    </xf>
    <xf numFmtId="0" fontId="62" fillId="18" borderId="432" xfId="11" applyFont="1" applyFill="1" applyBorder="1" applyAlignment="1">
      <alignment horizontal="center" vertical="center" wrapText="1"/>
    </xf>
    <xf numFmtId="0" fontId="62" fillId="18" borderId="433" xfId="11" applyFont="1" applyFill="1" applyBorder="1" applyAlignment="1">
      <alignment horizontal="center" vertical="center" wrapText="1"/>
    </xf>
    <xf numFmtId="0" fontId="62" fillId="18" borderId="27" xfId="11" applyFont="1" applyFill="1" applyBorder="1" applyAlignment="1">
      <alignment horizontal="center" vertical="center" wrapText="1"/>
    </xf>
    <xf numFmtId="0" fontId="74" fillId="0" borderId="28" xfId="11" applyFont="1" applyBorder="1" applyAlignment="1">
      <alignment horizontal="center" vertical="center" shrinkToFit="1"/>
    </xf>
    <xf numFmtId="0" fontId="85" fillId="0" borderId="7" xfId="11" applyFont="1" applyBorder="1" applyAlignment="1">
      <alignment horizontal="center" vertical="center" wrapText="1" shrinkToFit="1"/>
    </xf>
    <xf numFmtId="0" fontId="74" fillId="0" borderId="7" xfId="11" applyFont="1" applyBorder="1" applyAlignment="1">
      <alignment horizontal="center" vertical="center" wrapText="1" shrinkToFit="1"/>
    </xf>
    <xf numFmtId="0" fontId="49" fillId="0" borderId="0" xfId="11" applyFont="1" applyAlignment="1">
      <alignment horizontal="center" vertical="center" wrapText="1" shrinkToFit="1"/>
    </xf>
    <xf numFmtId="201" fontId="49" fillId="0" borderId="41" xfId="11" applyNumberFormat="1" applyFont="1" applyBorder="1" applyAlignment="1">
      <alignment horizontal="center" vertical="center"/>
    </xf>
    <xf numFmtId="0" fontId="50" fillId="32" borderId="28" xfId="11" applyFont="1" applyFill="1" applyBorder="1" applyAlignment="1">
      <alignment horizontal="center" vertical="center" wrapText="1"/>
    </xf>
    <xf numFmtId="0" fontId="62" fillId="31" borderId="5" xfId="11" applyFont="1" applyFill="1" applyBorder="1" applyAlignment="1">
      <alignment horizontal="center" vertical="center" wrapText="1"/>
    </xf>
    <xf numFmtId="0" fontId="50" fillId="32" borderId="27" xfId="11" applyFont="1" applyFill="1" applyBorder="1" applyAlignment="1">
      <alignment vertical="center" wrapText="1"/>
    </xf>
    <xf numFmtId="0" fontId="62" fillId="0" borderId="0" xfId="11" applyFont="1" applyAlignment="1">
      <alignment vertical="center"/>
    </xf>
    <xf numFmtId="0" fontId="62" fillId="18" borderId="7" xfId="11" applyFont="1" applyFill="1" applyBorder="1" applyAlignment="1">
      <alignment vertical="center"/>
    </xf>
    <xf numFmtId="0" fontId="62" fillId="18" borderId="8" xfId="11" applyFont="1" applyFill="1" applyBorder="1" applyAlignment="1">
      <alignment vertical="center"/>
    </xf>
    <xf numFmtId="0" fontId="62" fillId="18" borderId="9" xfId="11" applyFont="1" applyFill="1" applyBorder="1" applyAlignment="1">
      <alignment vertical="center"/>
    </xf>
    <xf numFmtId="0" fontId="62" fillId="18" borderId="27" xfId="11" applyFont="1" applyFill="1" applyBorder="1" applyAlignment="1">
      <alignment vertical="center" wrapText="1"/>
    </xf>
    <xf numFmtId="0" fontId="62" fillId="18" borderId="9" xfId="11" applyFont="1" applyFill="1" applyBorder="1" applyAlignment="1">
      <alignment vertical="center" wrapText="1"/>
    </xf>
    <xf numFmtId="0" fontId="49" fillId="8" borderId="5" xfId="11" applyFont="1" applyFill="1" applyBorder="1" applyAlignment="1">
      <alignment vertical="center" wrapText="1" shrinkToFit="1"/>
    </xf>
    <xf numFmtId="0" fontId="49" fillId="8" borderId="28" xfId="11" applyFont="1" applyFill="1" applyBorder="1" applyAlignment="1">
      <alignment vertical="center" wrapText="1" shrinkToFit="1"/>
    </xf>
    <xf numFmtId="0" fontId="62" fillId="18" borderId="7" xfId="11" applyFont="1" applyFill="1" applyBorder="1" applyAlignment="1">
      <alignment vertical="center" wrapText="1"/>
    </xf>
    <xf numFmtId="0" fontId="83" fillId="0" borderId="0" xfId="11" applyFont="1" applyAlignment="1">
      <alignment vertical="center"/>
    </xf>
    <xf numFmtId="0" fontId="50" fillId="17" borderId="37" xfId="11" applyFont="1" applyFill="1" applyBorder="1" applyAlignment="1">
      <alignment vertical="center" wrapText="1"/>
    </xf>
    <xf numFmtId="0" fontId="50" fillId="17" borderId="39" xfId="11" applyFont="1" applyFill="1" applyBorder="1" applyAlignment="1">
      <alignment vertical="center" wrapText="1"/>
    </xf>
    <xf numFmtId="0" fontId="49" fillId="0" borderId="37" xfId="11" applyFont="1" applyBorder="1" applyAlignment="1">
      <alignment horizontal="center" vertical="center" wrapText="1" shrinkToFit="1"/>
    </xf>
    <xf numFmtId="0" fontId="57" fillId="0" borderId="0" xfId="11"/>
    <xf numFmtId="0" fontId="62" fillId="18" borderId="27" xfId="11" applyFont="1" applyFill="1" applyBorder="1" applyAlignment="1">
      <alignment vertical="center"/>
    </xf>
    <xf numFmtId="0" fontId="62" fillId="18" borderId="26" xfId="11" applyFont="1" applyFill="1" applyBorder="1" applyAlignment="1">
      <alignment vertical="center" wrapText="1"/>
    </xf>
    <xf numFmtId="0" fontId="62" fillId="18" borderId="446" xfId="11" applyFont="1" applyFill="1" applyBorder="1" applyAlignment="1">
      <alignment vertical="center" wrapText="1"/>
    </xf>
    <xf numFmtId="0" fontId="62" fillId="18" borderId="448" xfId="11" applyFont="1" applyFill="1" applyBorder="1" applyAlignment="1">
      <alignment vertical="center" wrapText="1"/>
    </xf>
    <xf numFmtId="0" fontId="62" fillId="18" borderId="27" xfId="11" applyFont="1" applyFill="1" applyBorder="1" applyAlignment="1">
      <alignment vertical="center" textRotation="255" wrapText="1"/>
    </xf>
    <xf numFmtId="0" fontId="62" fillId="18" borderId="26" xfId="11" applyFont="1" applyFill="1" applyBorder="1" applyAlignment="1">
      <alignment vertical="center" textRotation="255" wrapText="1"/>
    </xf>
    <xf numFmtId="0" fontId="62" fillId="18" borderId="447" xfId="11" applyFont="1" applyFill="1" applyBorder="1" applyAlignment="1">
      <alignment vertical="center" wrapText="1"/>
    </xf>
    <xf numFmtId="0" fontId="26" fillId="18" borderId="27" xfId="11" applyFont="1" applyFill="1" applyBorder="1" applyAlignment="1">
      <alignment vertical="center" wrapText="1"/>
    </xf>
    <xf numFmtId="0" fontId="50" fillId="17" borderId="40" xfId="11" applyFont="1" applyFill="1" applyBorder="1" applyAlignment="1">
      <alignment vertical="center" wrapText="1"/>
    </xf>
    <xf numFmtId="0" fontId="50" fillId="17" borderId="42" xfId="11" applyFont="1" applyFill="1" applyBorder="1" applyAlignment="1">
      <alignment vertical="center" wrapText="1"/>
    </xf>
    <xf numFmtId="0" fontId="60" fillId="0" borderId="38" xfId="11" applyFont="1" applyBorder="1" applyAlignment="1">
      <alignment vertical="center" wrapText="1"/>
    </xf>
    <xf numFmtId="0" fontId="50" fillId="8" borderId="42" xfId="11" applyFont="1" applyFill="1" applyBorder="1" applyAlignment="1">
      <alignment horizontal="center" vertical="center" wrapText="1"/>
    </xf>
    <xf numFmtId="0" fontId="49" fillId="8" borderId="452" xfId="11" applyFont="1" applyFill="1" applyBorder="1" applyAlignment="1">
      <alignment horizontal="center" vertical="center" shrinkToFit="1"/>
    </xf>
    <xf numFmtId="0" fontId="49" fillId="8" borderId="439" xfId="11" applyFont="1" applyFill="1" applyBorder="1" applyAlignment="1">
      <alignment horizontal="center" vertical="center" wrapText="1" shrinkToFit="1"/>
    </xf>
    <xf numFmtId="0" fontId="60" fillId="0" borderId="446" xfId="11" quotePrefix="1" applyFont="1" applyBorder="1" applyAlignment="1">
      <alignment horizontal="center" vertical="center" wrapText="1" shrinkToFit="1"/>
    </xf>
    <xf numFmtId="0" fontId="50" fillId="31" borderId="27" xfId="11" applyFont="1" applyFill="1" applyBorder="1" applyAlignment="1">
      <alignment horizontal="center" vertical="center" wrapText="1"/>
    </xf>
    <xf numFmtId="0" fontId="62" fillId="31" borderId="27" xfId="11" applyFont="1" applyFill="1" applyBorder="1" applyAlignment="1">
      <alignment horizontal="center" vertical="center" wrapText="1"/>
    </xf>
    <xf numFmtId="0" fontId="50" fillId="18" borderId="27" xfId="11" applyFont="1" applyFill="1" applyBorder="1" applyAlignment="1">
      <alignment horizontal="center" vertical="center" wrapText="1"/>
    </xf>
    <xf numFmtId="38" fontId="49" fillId="0" borderId="451" xfId="15" applyFont="1" applyFill="1" applyBorder="1" applyAlignment="1">
      <alignment horizontal="center" vertical="center"/>
    </xf>
    <xf numFmtId="201" fontId="49" fillId="0" borderId="454" xfId="11" applyNumberFormat="1" applyFont="1" applyBorder="1" applyAlignment="1">
      <alignment horizontal="center" vertical="center"/>
    </xf>
    <xf numFmtId="0" fontId="50" fillId="18" borderId="5" xfId="11" applyFont="1" applyFill="1" applyBorder="1" applyAlignment="1">
      <alignment horizontal="center" vertical="center" wrapText="1"/>
    </xf>
    <xf numFmtId="0" fontId="62" fillId="18" borderId="28" xfId="11" applyFont="1" applyFill="1" applyBorder="1" applyAlignment="1">
      <alignment horizontal="center" vertical="center"/>
    </xf>
    <xf numFmtId="0" fontId="62" fillId="18" borderId="28" xfId="11" applyFont="1" applyFill="1" applyBorder="1" applyAlignment="1">
      <alignment horizontal="center" vertical="center" wrapText="1"/>
    </xf>
    <xf numFmtId="0" fontId="85" fillId="0" borderId="28" xfId="11" applyFont="1" applyBorder="1" applyAlignment="1">
      <alignment horizontal="center" vertical="center" wrapText="1" shrinkToFit="1"/>
    </xf>
    <xf numFmtId="200" fontId="62" fillId="21" borderId="5" xfId="11" applyNumberFormat="1" applyFont="1" applyFill="1" applyBorder="1" applyAlignment="1">
      <alignment horizontal="center" vertical="center" wrapText="1"/>
    </xf>
    <xf numFmtId="0" fontId="50" fillId="21" borderId="5" xfId="11" applyFont="1" applyFill="1" applyBorder="1" applyAlignment="1">
      <alignment horizontal="center" vertical="center" wrapText="1"/>
    </xf>
    <xf numFmtId="0" fontId="62" fillId="21" borderId="260" xfId="11" applyFont="1" applyFill="1" applyBorder="1" applyAlignment="1">
      <alignment horizontal="center" vertical="center" wrapText="1"/>
    </xf>
    <xf numFmtId="0" fontId="62" fillId="21" borderId="455" xfId="11" applyFont="1" applyFill="1" applyBorder="1" applyAlignment="1">
      <alignment horizontal="center" vertical="center" wrapText="1"/>
    </xf>
    <xf numFmtId="200" fontId="62" fillId="14" borderId="97" xfId="11" applyNumberFormat="1" applyFont="1" applyFill="1" applyBorder="1" applyAlignment="1">
      <alignment horizontal="center" vertical="center" wrapText="1"/>
    </xf>
    <xf numFmtId="0" fontId="50" fillId="14" borderId="97" xfId="11" applyFont="1" applyFill="1" applyBorder="1" applyAlignment="1">
      <alignment horizontal="center" vertical="center" wrapText="1"/>
    </xf>
    <xf numFmtId="0" fontId="62" fillId="14" borderId="456" xfId="11" applyFont="1" applyFill="1" applyBorder="1" applyAlignment="1">
      <alignment horizontal="center" vertical="center" wrapText="1"/>
    </xf>
    <xf numFmtId="0" fontId="62" fillId="14" borderId="438" xfId="11" applyFont="1" applyFill="1" applyBorder="1" applyAlignment="1">
      <alignment horizontal="center" vertical="center" wrapText="1"/>
    </xf>
    <xf numFmtId="0" fontId="62" fillId="14" borderId="98" xfId="11" applyFont="1" applyFill="1" applyBorder="1" applyAlignment="1">
      <alignment horizontal="center" vertical="center" wrapText="1"/>
    </xf>
    <xf numFmtId="0" fontId="49" fillId="0" borderId="0" xfId="11" applyFont="1" applyAlignment="1">
      <alignment horizontal="center" vertical="center" shrinkToFit="1"/>
    </xf>
    <xf numFmtId="201" fontId="49" fillId="0" borderId="38" xfId="11" applyNumberFormat="1" applyFont="1" applyBorder="1" applyAlignment="1">
      <alignment horizontal="center" vertical="center"/>
    </xf>
    <xf numFmtId="0" fontId="49" fillId="0" borderId="38" xfId="11" applyFont="1" applyBorder="1" applyAlignment="1">
      <alignment vertical="center" wrapText="1"/>
    </xf>
    <xf numFmtId="0" fontId="85" fillId="8" borderId="5" xfId="11" applyFont="1" applyFill="1" applyBorder="1" applyAlignment="1">
      <alignment vertical="center" wrapText="1" shrinkToFit="1"/>
    </xf>
    <xf numFmtId="201" fontId="49" fillId="0" borderId="42" xfId="11" applyNumberFormat="1" applyFont="1" applyBorder="1" applyAlignment="1">
      <alignment horizontal="center" vertical="center"/>
    </xf>
    <xf numFmtId="0" fontId="85" fillId="8" borderId="28" xfId="11" applyFont="1" applyFill="1" applyBorder="1" applyAlignment="1">
      <alignment vertical="center" wrapText="1" shrinkToFit="1"/>
    </xf>
    <xf numFmtId="0" fontId="49" fillId="8" borderId="440" xfId="11" applyFont="1" applyFill="1" applyBorder="1" applyAlignment="1">
      <alignment horizontal="center" vertical="center" wrapText="1" shrinkToFit="1"/>
    </xf>
    <xf numFmtId="0" fontId="74" fillId="0" borderId="28" xfId="11" applyFont="1" applyBorder="1" applyAlignment="1">
      <alignment horizontal="center" vertical="center" wrapText="1" shrinkToFit="1"/>
    </xf>
    <xf numFmtId="201" fontId="49" fillId="0" borderId="450" xfId="11" applyNumberFormat="1" applyFont="1" applyBorder="1" applyAlignment="1">
      <alignment horizontal="center" vertical="center" wrapText="1"/>
    </xf>
    <xf numFmtId="0" fontId="85" fillId="0" borderId="39" xfId="11" applyFont="1" applyBorder="1" applyAlignment="1">
      <alignment horizontal="left" vertical="center" wrapText="1" shrinkToFit="1"/>
    </xf>
    <xf numFmtId="0" fontId="49" fillId="8" borderId="27" xfId="11" applyFont="1" applyFill="1" applyBorder="1" applyAlignment="1">
      <alignment horizontal="center" vertical="center" wrapText="1" shrinkToFit="1"/>
    </xf>
    <xf numFmtId="0" fontId="50" fillId="8" borderId="39" xfId="11" applyFont="1" applyFill="1" applyBorder="1" applyAlignment="1">
      <alignment horizontal="center" vertical="center" shrinkToFit="1"/>
    </xf>
    <xf numFmtId="0" fontId="49" fillId="0" borderId="446" xfId="11" applyFont="1" applyBorder="1" applyAlignment="1">
      <alignment horizontal="center" vertical="center" shrinkToFit="1"/>
    </xf>
    <xf numFmtId="0" fontId="49" fillId="0" borderId="448" xfId="11" applyFont="1" applyBorder="1" applyAlignment="1">
      <alignment horizontal="center" vertical="center" shrinkToFit="1"/>
    </xf>
    <xf numFmtId="0" fontId="49" fillId="0" borderId="27" xfId="11" applyFont="1" applyBorder="1" applyAlignment="1">
      <alignment horizontal="center" vertical="center" wrapText="1" shrinkToFit="1"/>
    </xf>
    <xf numFmtId="0" fontId="49" fillId="0" borderId="27" xfId="11" applyFont="1" applyBorder="1" applyAlignment="1">
      <alignment horizontal="center" vertical="center" shrinkToFit="1"/>
    </xf>
    <xf numFmtId="200" fontId="49" fillId="0" borderId="27" xfId="11" applyNumberFormat="1" applyFont="1" applyBorder="1" applyAlignment="1">
      <alignment horizontal="center" vertical="center" shrinkToFit="1"/>
    </xf>
    <xf numFmtId="0" fontId="49" fillId="0" borderId="447" xfId="11" applyFont="1" applyBorder="1" applyAlignment="1">
      <alignment horizontal="center" vertical="center" shrinkToFit="1"/>
    </xf>
    <xf numFmtId="0" fontId="49" fillId="8" borderId="447" xfId="11" applyFont="1" applyFill="1" applyBorder="1" applyAlignment="1">
      <alignment horizontal="center" vertical="center" shrinkToFit="1"/>
    </xf>
    <xf numFmtId="0" fontId="49" fillId="8" borderId="448" xfId="11" applyFont="1" applyFill="1" applyBorder="1" applyAlignment="1">
      <alignment horizontal="center" vertical="center" shrinkToFit="1"/>
    </xf>
    <xf numFmtId="0" fontId="49" fillId="8" borderId="446" xfId="11" applyFont="1" applyFill="1" applyBorder="1" applyAlignment="1">
      <alignment horizontal="center" vertical="center" shrinkToFit="1"/>
    </xf>
    <xf numFmtId="0" fontId="49" fillId="8" borderId="457" xfId="11" applyFont="1" applyFill="1" applyBorder="1" applyAlignment="1">
      <alignment horizontal="center" vertical="center" wrapText="1" shrinkToFit="1"/>
    </xf>
    <xf numFmtId="0" fontId="49" fillId="8" borderId="447" xfId="11" applyFont="1" applyFill="1" applyBorder="1" applyAlignment="1">
      <alignment horizontal="center" vertical="center" wrapText="1" shrinkToFit="1"/>
    </xf>
    <xf numFmtId="0" fontId="49" fillId="8" borderId="446" xfId="11" applyFont="1" applyFill="1" applyBorder="1" applyAlignment="1">
      <alignment horizontal="center" vertical="center" wrapText="1" shrinkToFit="1"/>
    </xf>
    <xf numFmtId="201" fontId="49" fillId="0" borderId="27" xfId="11" applyNumberFormat="1" applyFont="1" applyBorder="1" applyAlignment="1">
      <alignment horizontal="center" vertical="center"/>
    </xf>
    <xf numFmtId="201" fontId="49" fillId="0" borderId="446" xfId="11" applyNumberFormat="1" applyFont="1" applyBorder="1" applyAlignment="1">
      <alignment horizontal="center" vertical="center"/>
    </xf>
    <xf numFmtId="38" fontId="49" fillId="0" borderId="447" xfId="15" applyFont="1" applyFill="1" applyBorder="1" applyAlignment="1">
      <alignment horizontal="center" vertical="center"/>
    </xf>
    <xf numFmtId="201" fontId="49" fillId="0" borderId="458" xfId="11" applyNumberFormat="1" applyFont="1" applyBorder="1" applyAlignment="1">
      <alignment horizontal="center" vertical="center"/>
    </xf>
    <xf numFmtId="201" fontId="49" fillId="0" borderId="119" xfId="11" applyNumberFormat="1" applyFont="1" applyBorder="1" applyAlignment="1">
      <alignment horizontal="center" vertical="center"/>
    </xf>
    <xf numFmtId="0" fontId="85" fillId="0" borderId="27" xfId="11" applyFont="1" applyBorder="1" applyAlignment="1">
      <alignment horizontal="center" vertical="center" wrapText="1" shrinkToFit="1"/>
    </xf>
    <xf numFmtId="201" fontId="49" fillId="0" borderId="26" xfId="11" applyNumberFormat="1" applyFont="1" applyBorder="1" applyAlignment="1">
      <alignment horizontal="center" vertical="center" wrapText="1"/>
    </xf>
    <xf numFmtId="0" fontId="49" fillId="8" borderId="429" xfId="11" applyFont="1" applyFill="1" applyBorder="1" applyAlignment="1">
      <alignment horizontal="center" vertical="center" wrapText="1" shrinkToFit="1"/>
    </xf>
    <xf numFmtId="0" fontId="49" fillId="0" borderId="459" xfId="11" applyFont="1" applyBorder="1" applyAlignment="1">
      <alignment horizontal="center" vertical="center" shrinkToFit="1"/>
    </xf>
    <xf numFmtId="0" fontId="49" fillId="0" borderId="460" xfId="11" applyFont="1" applyBorder="1" applyAlignment="1">
      <alignment horizontal="center" vertical="center" shrinkToFit="1"/>
    </xf>
    <xf numFmtId="0" fontId="49" fillId="0" borderId="429" xfId="11" applyFont="1" applyBorder="1" applyAlignment="1">
      <alignment horizontal="center" vertical="center" wrapText="1" shrinkToFit="1"/>
    </xf>
    <xf numFmtId="0" fontId="49" fillId="0" borderId="429" xfId="11" applyFont="1" applyBorder="1" applyAlignment="1">
      <alignment horizontal="center" vertical="center" shrinkToFit="1"/>
    </xf>
    <xf numFmtId="200" fontId="49" fillId="0" borderId="429" xfId="11" applyNumberFormat="1" applyFont="1" applyBorder="1" applyAlignment="1">
      <alignment horizontal="center" vertical="center" shrinkToFit="1"/>
    </xf>
    <xf numFmtId="0" fontId="49" fillId="0" borderId="461" xfId="11" applyFont="1" applyBorder="1" applyAlignment="1">
      <alignment horizontal="center" vertical="center" shrinkToFit="1"/>
    </xf>
    <xf numFmtId="0" fontId="49" fillId="0" borderId="419" xfId="11" applyFont="1" applyBorder="1" applyAlignment="1">
      <alignment horizontal="center" vertical="center" wrapText="1" shrinkToFit="1"/>
    </xf>
    <xf numFmtId="0" fontId="49" fillId="8" borderId="461" xfId="11" applyFont="1" applyFill="1" applyBorder="1" applyAlignment="1">
      <alignment horizontal="center" vertical="center" shrinkToFit="1"/>
    </xf>
    <xf numFmtId="0" fontId="49" fillId="8" borderId="460" xfId="11" applyFont="1" applyFill="1" applyBorder="1" applyAlignment="1">
      <alignment horizontal="center" vertical="center" shrinkToFit="1"/>
    </xf>
    <xf numFmtId="0" fontId="49" fillId="8" borderId="459" xfId="11" applyFont="1" applyFill="1" applyBorder="1" applyAlignment="1">
      <alignment horizontal="center" vertical="center" shrinkToFit="1"/>
    </xf>
    <xf numFmtId="0" fontId="49" fillId="8" borderId="462" xfId="11" applyFont="1" applyFill="1" applyBorder="1" applyAlignment="1">
      <alignment horizontal="center" vertical="center" wrapText="1" shrinkToFit="1"/>
    </xf>
    <xf numFmtId="0" fontId="49" fillId="8" borderId="461" xfId="11" applyFont="1" applyFill="1" applyBorder="1" applyAlignment="1">
      <alignment horizontal="center" vertical="center" wrapText="1" shrinkToFit="1"/>
    </xf>
    <xf numFmtId="0" fontId="49" fillId="8" borderId="459" xfId="11" applyFont="1" applyFill="1" applyBorder="1" applyAlignment="1">
      <alignment horizontal="center" vertical="center" wrapText="1" shrinkToFit="1"/>
    </xf>
    <xf numFmtId="0" fontId="85" fillId="0" borderId="418" xfId="11" applyFont="1" applyBorder="1" applyAlignment="1">
      <alignment horizontal="center" vertical="center" wrapText="1" shrinkToFit="1"/>
    </xf>
    <xf numFmtId="0" fontId="49" fillId="0" borderId="418" xfId="11" applyFont="1" applyBorder="1" applyAlignment="1">
      <alignment horizontal="center" vertical="center" wrapText="1" shrinkToFit="1"/>
    </xf>
    <xf numFmtId="0" fontId="25" fillId="0" borderId="429" xfId="11" applyFont="1" applyBorder="1" applyAlignment="1">
      <alignment horizontal="center" vertical="center"/>
    </xf>
    <xf numFmtId="0" fontId="74" fillId="0" borderId="418" xfId="11" applyFont="1" applyBorder="1" applyAlignment="1">
      <alignment horizontal="center" vertical="center" wrapText="1" shrinkToFit="1"/>
    </xf>
    <xf numFmtId="0" fontId="60" fillId="0" borderId="429" xfId="11" applyFont="1" applyBorder="1" applyAlignment="1">
      <alignment horizontal="center" vertical="center" shrinkToFit="1"/>
    </xf>
    <xf numFmtId="0" fontId="60" fillId="0" borderId="459" xfId="11" applyFont="1" applyBorder="1" applyAlignment="1">
      <alignment horizontal="center" vertical="center" wrapText="1" shrinkToFit="1"/>
    </xf>
    <xf numFmtId="0" fontId="60" fillId="0" borderId="460" xfId="11" applyFont="1" applyBorder="1" applyAlignment="1">
      <alignment horizontal="center" vertical="center" wrapText="1"/>
    </xf>
    <xf numFmtId="0" fontId="49" fillId="0" borderId="429" xfId="11" applyFont="1" applyBorder="1" applyAlignment="1">
      <alignment horizontal="center" vertical="center" wrapText="1"/>
    </xf>
    <xf numFmtId="201" fontId="49" fillId="0" borderId="429" xfId="11" applyNumberFormat="1" applyFont="1" applyBorder="1" applyAlignment="1">
      <alignment horizontal="center" vertical="center" wrapText="1"/>
    </xf>
    <xf numFmtId="201" fontId="49" fillId="0" borderId="459" xfId="11" applyNumberFormat="1" applyFont="1" applyBorder="1" applyAlignment="1">
      <alignment horizontal="center" vertical="center"/>
    </xf>
    <xf numFmtId="38" fontId="49" fillId="0" borderId="461" xfId="15" applyFont="1" applyFill="1" applyBorder="1" applyAlignment="1">
      <alignment horizontal="center" vertical="center"/>
    </xf>
    <xf numFmtId="201" fontId="49" fillId="0" borderId="463" xfId="11" applyNumberFormat="1" applyFont="1" applyBorder="1" applyAlignment="1">
      <alignment horizontal="center" vertical="center"/>
    </xf>
    <xf numFmtId="201" fontId="49" fillId="0" borderId="464" xfId="11" applyNumberFormat="1" applyFont="1" applyBorder="1" applyAlignment="1">
      <alignment horizontal="center" vertical="center"/>
    </xf>
    <xf numFmtId="201" fontId="49" fillId="0" borderId="419" xfId="11" applyNumberFormat="1" applyFont="1" applyBorder="1" applyAlignment="1">
      <alignment horizontal="center" vertical="center"/>
    </xf>
    <xf numFmtId="0" fontId="85" fillId="0" borderId="429" xfId="11" applyFont="1" applyBorder="1" applyAlignment="1">
      <alignment horizontal="center" vertical="center" wrapText="1" shrinkToFit="1"/>
    </xf>
    <xf numFmtId="0" fontId="49" fillId="8" borderId="39" xfId="11" applyFont="1" applyFill="1" applyBorder="1" applyAlignment="1">
      <alignment horizontal="center" vertical="center" shrinkToFit="1"/>
    </xf>
    <xf numFmtId="49" fontId="49" fillId="0" borderId="446" xfId="11" quotePrefix="1" applyNumberFormat="1" applyFont="1" applyBorder="1" applyAlignment="1">
      <alignment horizontal="center" vertical="center" wrapText="1" shrinkToFit="1"/>
    </xf>
    <xf numFmtId="0" fontId="49" fillId="0" borderId="446" xfId="11" quotePrefix="1" applyFont="1" applyBorder="1" applyAlignment="1">
      <alignment horizontal="center" vertical="center" wrapText="1" shrinkToFit="1"/>
    </xf>
    <xf numFmtId="0" fontId="49" fillId="8" borderId="448" xfId="11" applyFont="1" applyFill="1" applyBorder="1" applyAlignment="1">
      <alignment horizontal="center" vertical="center" wrapText="1" shrinkToFit="1"/>
    </xf>
    <xf numFmtId="0" fontId="49" fillId="0" borderId="419" xfId="11" applyFont="1" applyBorder="1" applyAlignment="1">
      <alignment horizontal="center" vertical="center" shrinkToFit="1"/>
    </xf>
    <xf numFmtId="0" fontId="49" fillId="8" borderId="460" xfId="11" applyFont="1" applyFill="1" applyBorder="1" applyAlignment="1">
      <alignment horizontal="center" vertical="center" wrapText="1" shrinkToFit="1"/>
    </xf>
    <xf numFmtId="0" fontId="74" fillId="0" borderId="418" xfId="11" applyFont="1" applyBorder="1" applyAlignment="1">
      <alignment horizontal="center" vertical="center" shrinkToFit="1"/>
    </xf>
    <xf numFmtId="0" fontId="60" fillId="0" borderId="429" xfId="11" applyFont="1" applyBorder="1" applyAlignment="1">
      <alignment horizontal="center" vertical="center" wrapText="1" shrinkToFit="1"/>
    </xf>
    <xf numFmtId="0" fontId="60" fillId="0" borderId="460" xfId="11" applyFont="1" applyBorder="1" applyAlignment="1">
      <alignment horizontal="center" vertical="center" wrapText="1" shrinkToFit="1"/>
    </xf>
    <xf numFmtId="201" fontId="49" fillId="0" borderId="429" xfId="11" applyNumberFormat="1" applyFont="1" applyBorder="1" applyAlignment="1">
      <alignment horizontal="center" vertical="center"/>
    </xf>
    <xf numFmtId="0" fontId="49" fillId="8" borderId="39" xfId="11" applyFont="1" applyFill="1" applyBorder="1" applyAlignment="1">
      <alignment horizontal="center" vertical="center" wrapText="1" shrinkToFit="1"/>
    </xf>
    <xf numFmtId="0" fontId="43" fillId="0" borderId="446" xfId="11" quotePrefix="1" applyFont="1" applyBorder="1" applyAlignment="1">
      <alignment horizontal="center" vertical="center" wrapText="1" shrinkToFit="1"/>
    </xf>
    <xf numFmtId="0" fontId="49" fillId="0" borderId="61" xfId="11" applyFont="1" applyBorder="1" applyAlignment="1">
      <alignment horizontal="center" vertical="center" shrinkToFit="1"/>
    </xf>
    <xf numFmtId="0" fontId="49" fillId="0" borderId="62" xfId="11" applyFont="1" applyBorder="1" applyAlignment="1">
      <alignment horizontal="center" vertical="center" wrapText="1" shrinkToFit="1"/>
    </xf>
    <xf numFmtId="0" fontId="49" fillId="0" borderId="62" xfId="11" applyFont="1" applyBorder="1" applyAlignment="1">
      <alignment horizontal="center" vertical="center" shrinkToFit="1"/>
    </xf>
    <xf numFmtId="200" fontId="49" fillId="0" borderId="62" xfId="11" applyNumberFormat="1" applyFont="1" applyBorder="1" applyAlignment="1">
      <alignment horizontal="center" vertical="center" shrinkToFit="1"/>
    </xf>
    <xf numFmtId="0" fontId="49" fillId="0" borderId="465" xfId="11" applyFont="1" applyBorder="1" applyAlignment="1">
      <alignment horizontal="center" vertical="center" shrinkToFit="1"/>
    </xf>
    <xf numFmtId="0" fontId="49" fillId="0" borderId="60" xfId="11" applyFont="1" applyBorder="1" applyAlignment="1">
      <alignment horizontal="center" vertical="center" shrinkToFit="1"/>
    </xf>
    <xf numFmtId="0" fontId="49" fillId="0" borderId="410" xfId="11" applyFont="1" applyBorder="1" applyAlignment="1">
      <alignment horizontal="center" vertical="center" shrinkToFit="1"/>
    </xf>
    <xf numFmtId="0" fontId="49" fillId="8" borderId="60" xfId="11" applyFont="1" applyFill="1" applyBorder="1" applyAlignment="1">
      <alignment horizontal="center" vertical="center" shrinkToFit="1"/>
    </xf>
    <xf numFmtId="0" fontId="49" fillId="8" borderId="61" xfId="11" applyFont="1" applyFill="1" applyBorder="1" applyAlignment="1">
      <alignment horizontal="center" vertical="center" shrinkToFit="1"/>
    </xf>
    <xf numFmtId="0" fontId="49" fillId="8" borderId="465" xfId="11" applyFont="1" applyFill="1" applyBorder="1" applyAlignment="1">
      <alignment horizontal="center" vertical="center" shrinkToFit="1"/>
    </xf>
    <xf numFmtId="0" fontId="49" fillId="8" borderId="466" xfId="11" applyFont="1" applyFill="1" applyBorder="1" applyAlignment="1">
      <alignment horizontal="center" vertical="center" wrapText="1" shrinkToFit="1"/>
    </xf>
    <xf numFmtId="0" fontId="49" fillId="8" borderId="60" xfId="11" applyFont="1" applyFill="1" applyBorder="1" applyAlignment="1">
      <alignment horizontal="center" vertical="center" wrapText="1" shrinkToFit="1"/>
    </xf>
    <xf numFmtId="0" fontId="85" fillId="0" borderId="409" xfId="11" applyFont="1" applyBorder="1" applyAlignment="1">
      <alignment horizontal="center" vertical="center" wrapText="1" shrinkToFit="1"/>
    </xf>
    <xf numFmtId="0" fontId="49" fillId="0" borderId="409" xfId="11" applyFont="1" applyBorder="1" applyAlignment="1">
      <alignment horizontal="center" vertical="center" wrapText="1" shrinkToFit="1"/>
    </xf>
    <xf numFmtId="0" fontId="25" fillId="0" borderId="62" xfId="11" applyFont="1" applyBorder="1" applyAlignment="1">
      <alignment horizontal="center" vertical="center"/>
    </xf>
    <xf numFmtId="0" fontId="74" fillId="0" borderId="409" xfId="11" applyFont="1" applyBorder="1" applyAlignment="1">
      <alignment horizontal="center" vertical="center" wrapText="1" shrinkToFit="1"/>
    </xf>
    <xf numFmtId="0" fontId="60" fillId="0" borderId="62" xfId="11" applyFont="1" applyBorder="1" applyAlignment="1">
      <alignment horizontal="center" vertical="center" shrinkToFit="1"/>
    </xf>
    <xf numFmtId="0" fontId="60" fillId="0" borderId="465" xfId="11" applyFont="1" applyBorder="1" applyAlignment="1">
      <alignment horizontal="center" vertical="center" wrapText="1" shrinkToFit="1"/>
    </xf>
    <xf numFmtId="0" fontId="60" fillId="0" borderId="61" xfId="11" applyFont="1" applyBorder="1" applyAlignment="1">
      <alignment horizontal="center" vertical="center" wrapText="1"/>
    </xf>
    <xf numFmtId="0" fontId="60" fillId="0" borderId="62" xfId="11" applyFont="1" applyBorder="1" applyAlignment="1">
      <alignment horizontal="center" vertical="center" wrapText="1"/>
    </xf>
    <xf numFmtId="201" fontId="49" fillId="0" borderId="62" xfId="11" applyNumberFormat="1" applyFont="1" applyBorder="1" applyAlignment="1">
      <alignment horizontal="center" vertical="center"/>
    </xf>
    <xf numFmtId="201" fontId="49" fillId="0" borderId="465" xfId="11" applyNumberFormat="1" applyFont="1" applyBorder="1" applyAlignment="1">
      <alignment horizontal="center" vertical="center"/>
    </xf>
    <xf numFmtId="38" fontId="49" fillId="0" borderId="60" xfId="15" applyFont="1" applyFill="1" applyBorder="1" applyAlignment="1">
      <alignment horizontal="center" vertical="center"/>
    </xf>
    <xf numFmtId="201" fontId="49" fillId="0" borderId="467" xfId="11" applyNumberFormat="1" applyFont="1" applyBorder="1" applyAlignment="1">
      <alignment horizontal="center" vertical="center"/>
    </xf>
    <xf numFmtId="201" fontId="49" fillId="0" borderId="468" xfId="11" applyNumberFormat="1" applyFont="1" applyBorder="1" applyAlignment="1">
      <alignment horizontal="center" vertical="center"/>
    </xf>
    <xf numFmtId="201" fontId="49" fillId="0" borderId="410" xfId="11" applyNumberFormat="1" applyFont="1" applyBorder="1" applyAlignment="1">
      <alignment horizontal="center" vertical="center"/>
    </xf>
    <xf numFmtId="0" fontId="85" fillId="0" borderId="62" xfId="11" applyFont="1" applyBorder="1" applyAlignment="1">
      <alignment horizontal="center" vertical="center" wrapText="1" shrinkToFit="1"/>
    </xf>
    <xf numFmtId="201" fontId="49" fillId="0" borderId="62" xfId="11" applyNumberFormat="1" applyFont="1" applyBorder="1" applyAlignment="1">
      <alignment horizontal="center" vertical="center" wrapText="1"/>
    </xf>
    <xf numFmtId="0" fontId="60" fillId="0" borderId="429" xfId="11" applyFont="1" applyBorder="1" applyAlignment="1">
      <alignment horizontal="center" vertical="center" wrapText="1"/>
    </xf>
    <xf numFmtId="0" fontId="50" fillId="8" borderId="39" xfId="11" applyFont="1" applyFill="1" applyBorder="1" applyAlignment="1">
      <alignment horizontal="center" vertical="center" wrapText="1" shrinkToFit="1"/>
    </xf>
    <xf numFmtId="0" fontId="49" fillId="0" borderId="448" xfId="11" applyFont="1" applyBorder="1" applyAlignment="1">
      <alignment horizontal="center" vertical="center" wrapText="1" shrinkToFit="1"/>
    </xf>
    <xf numFmtId="200" fontId="49" fillId="0" borderId="27" xfId="11" applyNumberFormat="1" applyFont="1" applyBorder="1" applyAlignment="1">
      <alignment horizontal="center" vertical="center" wrapText="1" shrinkToFit="1"/>
    </xf>
    <xf numFmtId="0" fontId="49" fillId="0" borderId="446" xfId="11" applyFont="1" applyBorder="1" applyAlignment="1">
      <alignment horizontal="center" vertical="center" wrapText="1" shrinkToFit="1"/>
    </xf>
    <xf numFmtId="0" fontId="49" fillId="0" borderId="460" xfId="11" applyFont="1" applyBorder="1" applyAlignment="1">
      <alignment horizontal="center" vertical="center" wrapText="1" shrinkToFit="1"/>
    </xf>
    <xf numFmtId="200" fontId="49" fillId="0" borderId="429" xfId="11" applyNumberFormat="1" applyFont="1" applyBorder="1" applyAlignment="1">
      <alignment horizontal="center" vertical="center" wrapText="1" shrinkToFit="1"/>
    </xf>
    <xf numFmtId="0" fontId="49" fillId="0" borderId="459" xfId="11" applyFont="1" applyBorder="1" applyAlignment="1">
      <alignment horizontal="center" vertical="center" wrapText="1" shrinkToFit="1"/>
    </xf>
    <xf numFmtId="0" fontId="74" fillId="0" borderId="28" xfId="11" applyFont="1" applyBorder="1" applyAlignment="1">
      <alignment vertical="center" wrapText="1" shrinkToFit="1"/>
    </xf>
    <xf numFmtId="201" fontId="49" fillId="0" borderId="427" xfId="11" applyNumberFormat="1" applyFont="1" applyBorder="1" applyAlignment="1">
      <alignment horizontal="center" vertical="center" wrapText="1"/>
    </xf>
    <xf numFmtId="0" fontId="49" fillId="8" borderId="429" xfId="11" applyFont="1" applyFill="1" applyBorder="1" applyAlignment="1">
      <alignment horizontal="center" vertical="center" shrinkToFit="1"/>
    </xf>
    <xf numFmtId="0" fontId="49" fillId="0" borderId="429" xfId="11" applyFont="1" applyBorder="1" applyAlignment="1">
      <alignment horizontal="center" vertical="center"/>
    </xf>
    <xf numFmtId="0" fontId="28" fillId="0" borderId="429" xfId="11" applyFont="1" applyBorder="1" applyAlignment="1">
      <alignment horizontal="center" vertical="center"/>
    </xf>
    <xf numFmtId="0" fontId="74" fillId="0" borderId="429" xfId="11" applyFont="1" applyBorder="1" applyAlignment="1">
      <alignment horizontal="center" vertical="center" wrapText="1" shrinkToFit="1"/>
    </xf>
    <xf numFmtId="0" fontId="60" fillId="0" borderId="459" xfId="11" applyFont="1" applyBorder="1" applyAlignment="1">
      <alignment horizontal="center" vertical="center" shrinkToFit="1"/>
    </xf>
    <xf numFmtId="0" fontId="60" fillId="0" borderId="460" xfId="11" applyFont="1" applyBorder="1" applyAlignment="1">
      <alignment horizontal="left" vertical="center" wrapText="1"/>
    </xf>
    <xf numFmtId="38" fontId="49" fillId="0" borderId="463" xfId="15" applyFont="1" applyFill="1" applyBorder="1" applyAlignment="1">
      <alignment horizontal="center" vertical="center"/>
    </xf>
    <xf numFmtId="201" fontId="49" fillId="0" borderId="428" xfId="11" applyNumberFormat="1" applyFont="1" applyBorder="1" applyAlignment="1">
      <alignment horizontal="center" vertical="center" wrapText="1"/>
    </xf>
    <xf numFmtId="0" fontId="49" fillId="0" borderId="61" xfId="11" applyFont="1" applyBorder="1" applyAlignment="1">
      <alignment horizontal="center" vertical="center" wrapText="1" shrinkToFit="1"/>
    </xf>
    <xf numFmtId="0" fontId="49" fillId="8" borderId="62" xfId="11" applyFont="1" applyFill="1" applyBorder="1" applyAlignment="1">
      <alignment horizontal="center" vertical="center" shrinkToFit="1"/>
    </xf>
    <xf numFmtId="0" fontId="49" fillId="8" borderId="410" xfId="11" applyFont="1" applyFill="1" applyBorder="1" applyAlignment="1">
      <alignment horizontal="center" vertical="center" shrinkToFit="1"/>
    </xf>
    <xf numFmtId="0" fontId="49" fillId="8" borderId="465" xfId="11" applyFont="1" applyFill="1" applyBorder="1" applyAlignment="1">
      <alignment horizontal="center" vertical="center" wrapText="1" shrinkToFit="1"/>
    </xf>
    <xf numFmtId="0" fontId="49" fillId="8" borderId="61" xfId="11" applyFont="1" applyFill="1" applyBorder="1" applyAlignment="1">
      <alignment horizontal="center" vertical="center" wrapText="1" shrinkToFit="1"/>
    </xf>
    <xf numFmtId="0" fontId="49" fillId="0" borderId="62" xfId="11" applyFont="1" applyBorder="1" applyAlignment="1">
      <alignment horizontal="center" vertical="center"/>
    </xf>
    <xf numFmtId="0" fontId="28" fillId="0" borderId="62" xfId="11" applyFont="1" applyBorder="1" applyAlignment="1">
      <alignment horizontal="center" vertical="center"/>
    </xf>
    <xf numFmtId="0" fontId="74" fillId="0" borderId="62" xfId="11" applyFont="1" applyBorder="1" applyAlignment="1">
      <alignment horizontal="center" vertical="center" wrapText="1" shrinkToFit="1"/>
    </xf>
    <xf numFmtId="0" fontId="60" fillId="0" borderId="465" xfId="11" applyFont="1" applyBorder="1" applyAlignment="1">
      <alignment horizontal="center" vertical="center" shrinkToFit="1"/>
    </xf>
    <xf numFmtId="0" fontId="60" fillId="0" borderId="61" xfId="11" applyFont="1" applyBorder="1" applyAlignment="1">
      <alignment horizontal="left" vertical="center" wrapText="1"/>
    </xf>
    <xf numFmtId="0" fontId="49" fillId="0" borderId="62" xfId="11" applyFont="1" applyBorder="1" applyAlignment="1">
      <alignment horizontal="center" vertical="center" wrapText="1"/>
    </xf>
    <xf numFmtId="38" fontId="49" fillId="0" borderId="467" xfId="15" applyFont="1" applyFill="1" applyBorder="1" applyAlignment="1">
      <alignment horizontal="center" vertical="center"/>
    </xf>
    <xf numFmtId="0" fontId="49" fillId="8" borderId="419" xfId="11" applyFont="1" applyFill="1" applyBorder="1" applyAlignment="1">
      <alignment horizontal="center" vertical="center" shrinkToFit="1"/>
    </xf>
    <xf numFmtId="0" fontId="74" fillId="0" borderId="429" xfId="11" applyFont="1" applyBorder="1" applyAlignment="1">
      <alignment horizontal="center" vertical="center" shrinkToFit="1"/>
    </xf>
    <xf numFmtId="0" fontId="49" fillId="0" borderId="465" xfId="11" applyFont="1" applyBorder="1" applyAlignment="1">
      <alignment horizontal="center" vertical="center" wrapText="1" shrinkToFit="1"/>
    </xf>
    <xf numFmtId="0" fontId="49" fillId="0" borderId="60" xfId="11" applyFont="1" applyBorder="1" applyAlignment="1">
      <alignment horizontal="center" vertical="center" wrapText="1" shrinkToFit="1"/>
    </xf>
    <xf numFmtId="0" fontId="74" fillId="0" borderId="62" xfId="11" applyFont="1" applyBorder="1" applyAlignment="1">
      <alignment horizontal="center" vertical="center" shrinkToFit="1"/>
    </xf>
    <xf numFmtId="0" fontId="60" fillId="0" borderId="62" xfId="11" applyFont="1" applyBorder="1" applyAlignment="1">
      <alignment horizontal="center" vertical="center" wrapText="1" shrinkToFit="1"/>
    </xf>
    <xf numFmtId="0" fontId="49" fillId="0" borderId="461" xfId="11" applyFont="1" applyBorder="1" applyAlignment="1">
      <alignment horizontal="center" vertical="center" wrapText="1" shrinkToFit="1"/>
    </xf>
    <xf numFmtId="0" fontId="60" fillId="0" borderId="459" xfId="11" quotePrefix="1" applyFont="1" applyBorder="1" applyAlignment="1">
      <alignment horizontal="center" vertical="center" shrinkToFit="1"/>
    </xf>
    <xf numFmtId="0" fontId="49" fillId="8" borderId="419" xfId="11" applyFont="1" applyFill="1" applyBorder="1" applyAlignment="1">
      <alignment horizontal="center" vertical="center" wrapText="1" shrinkToFit="1"/>
    </xf>
    <xf numFmtId="0" fontId="45" fillId="0" borderId="0" xfId="13" applyFont="1" applyAlignment="1">
      <alignment horizontal="center" vertical="center"/>
    </xf>
    <xf numFmtId="0" fontId="60" fillId="0" borderId="0" xfId="0" applyFont="1">
      <alignment vertical="center"/>
    </xf>
    <xf numFmtId="38" fontId="45" fillId="9" borderId="471" xfId="1" applyFont="1" applyFill="1" applyBorder="1" applyAlignment="1">
      <alignment horizontal="center" vertical="center" shrinkToFit="1"/>
    </xf>
    <xf numFmtId="0" fontId="45" fillId="0" borderId="472" xfId="13" applyFont="1" applyBorder="1" applyAlignment="1">
      <alignment vertical="center" shrinkToFit="1"/>
    </xf>
    <xf numFmtId="0" fontId="45" fillId="0" borderId="473" xfId="13" applyFont="1" applyBorder="1" applyAlignment="1">
      <alignment horizontal="center" vertical="center" shrinkToFit="1"/>
    </xf>
    <xf numFmtId="38" fontId="45" fillId="0" borderId="476" xfId="1" applyFont="1" applyFill="1" applyBorder="1" applyAlignment="1">
      <alignment horizontal="center" vertical="center" shrinkToFit="1"/>
    </xf>
    <xf numFmtId="38" fontId="96" fillId="0" borderId="477" xfId="1" applyFont="1" applyFill="1" applyBorder="1" applyAlignment="1">
      <alignment horizontal="center" vertical="center" wrapText="1" shrinkToFit="1"/>
    </xf>
    <xf numFmtId="38" fontId="96" fillId="0" borderId="478" xfId="1" applyFont="1" applyFill="1" applyBorder="1" applyAlignment="1">
      <alignment horizontal="center" vertical="center" wrapText="1" shrinkToFit="1"/>
    </xf>
    <xf numFmtId="38" fontId="96" fillId="19" borderId="478" xfId="1" applyFont="1" applyFill="1" applyBorder="1" applyAlignment="1">
      <alignment horizontal="center" vertical="center" wrapText="1" shrinkToFit="1"/>
    </xf>
    <xf numFmtId="38" fontId="96" fillId="0" borderId="479" xfId="1" applyFont="1" applyFill="1" applyBorder="1" applyAlignment="1">
      <alignment horizontal="center" vertical="center" wrapText="1" shrinkToFit="1"/>
    </xf>
    <xf numFmtId="38" fontId="45" fillId="9" borderId="480" xfId="1" applyFont="1" applyFill="1" applyBorder="1" applyAlignment="1">
      <alignment horizontal="center" vertical="center" shrinkToFit="1"/>
    </xf>
    <xf numFmtId="38" fontId="45" fillId="0" borderId="481" xfId="1" applyFont="1" applyFill="1" applyBorder="1" applyAlignment="1">
      <alignment horizontal="center" vertical="center" shrinkToFit="1"/>
    </xf>
    <xf numFmtId="38" fontId="96" fillId="0" borderId="482" xfId="1" applyFont="1" applyFill="1" applyBorder="1" applyAlignment="1">
      <alignment horizontal="center" vertical="center" wrapText="1" shrinkToFit="1"/>
    </xf>
    <xf numFmtId="9" fontId="45" fillId="0" borderId="475" xfId="10" applyFont="1" applyFill="1" applyBorder="1" applyAlignment="1">
      <alignment horizontal="center" vertical="center" shrinkToFit="1"/>
    </xf>
    <xf numFmtId="38" fontId="45" fillId="0" borderId="480" xfId="1" applyFont="1" applyFill="1" applyBorder="1" applyAlignment="1">
      <alignment horizontal="center" vertical="center" shrinkToFit="1"/>
    </xf>
    <xf numFmtId="38" fontId="45" fillId="0" borderId="475" xfId="1" applyFont="1" applyFill="1" applyBorder="1" applyAlignment="1">
      <alignment horizontal="center" vertical="center" shrinkToFit="1"/>
    </xf>
    <xf numFmtId="0" fontId="45" fillId="0" borderId="483" xfId="1" applyNumberFormat="1" applyFont="1" applyFill="1" applyBorder="1" applyAlignment="1">
      <alignment horizontal="center" vertical="center" shrinkToFit="1"/>
    </xf>
    <xf numFmtId="0" fontId="45" fillId="0" borderId="484" xfId="1" applyNumberFormat="1" applyFont="1" applyFill="1" applyBorder="1" applyAlignment="1">
      <alignment horizontal="center" vertical="center" shrinkToFit="1"/>
    </xf>
    <xf numFmtId="0" fontId="45" fillId="0" borderId="485" xfId="1" applyNumberFormat="1" applyFont="1" applyFill="1" applyBorder="1" applyAlignment="1">
      <alignment horizontal="center" vertical="center" shrinkToFit="1"/>
    </xf>
    <xf numFmtId="38" fontId="45" fillId="0" borderId="486" xfId="1" applyFont="1" applyFill="1" applyBorder="1" applyAlignment="1">
      <alignment horizontal="left" vertical="center" shrinkToFit="1"/>
    </xf>
    <xf numFmtId="0" fontId="45" fillId="0" borderId="487" xfId="13" applyFont="1" applyBorder="1" applyAlignment="1">
      <alignment vertical="center" shrinkToFit="1"/>
    </xf>
    <xf numFmtId="0" fontId="45" fillId="0" borderId="488" xfId="13" applyFont="1" applyBorder="1" applyAlignment="1">
      <alignment horizontal="center" vertical="center" shrinkToFit="1"/>
    </xf>
    <xf numFmtId="38" fontId="45" fillId="0" borderId="491" xfId="1" applyFont="1" applyFill="1" applyBorder="1" applyAlignment="1">
      <alignment horizontal="center" vertical="center" shrinkToFit="1"/>
    </xf>
    <xf numFmtId="38" fontId="96" fillId="0" borderId="492" xfId="1" applyFont="1" applyFill="1" applyBorder="1" applyAlignment="1">
      <alignment horizontal="center" vertical="center" wrapText="1" shrinkToFit="1"/>
    </xf>
    <xf numFmtId="38" fontId="96" fillId="0" borderId="493" xfId="1" applyFont="1" applyFill="1" applyBorder="1" applyAlignment="1">
      <alignment horizontal="center" vertical="center" wrapText="1" shrinkToFit="1"/>
    </xf>
    <xf numFmtId="38" fontId="96" fillId="19" borderId="493" xfId="1" applyFont="1" applyFill="1" applyBorder="1" applyAlignment="1">
      <alignment horizontal="center" vertical="center" wrapText="1" shrinkToFit="1"/>
    </xf>
    <xf numFmtId="38" fontId="96" fillId="0" borderId="494" xfId="1" applyFont="1" applyFill="1" applyBorder="1" applyAlignment="1">
      <alignment horizontal="center" vertical="center" wrapText="1" shrinkToFit="1"/>
    </xf>
    <xf numFmtId="38" fontId="45" fillId="9" borderId="495" xfId="1" applyFont="1" applyFill="1" applyBorder="1" applyAlignment="1">
      <alignment horizontal="center" vertical="center" shrinkToFit="1"/>
    </xf>
    <xf numFmtId="38" fontId="45" fillId="0" borderId="496" xfId="1" applyFont="1" applyFill="1" applyBorder="1" applyAlignment="1">
      <alignment horizontal="center" vertical="center" shrinkToFit="1"/>
    </xf>
    <xf numFmtId="38" fontId="96" fillId="0" borderId="497" xfId="1" applyFont="1" applyFill="1" applyBorder="1" applyAlignment="1">
      <alignment horizontal="center" vertical="center" wrapText="1" shrinkToFit="1"/>
    </xf>
    <xf numFmtId="9" fontId="45" fillId="0" borderId="490" xfId="10" applyFont="1" applyFill="1" applyBorder="1" applyAlignment="1">
      <alignment horizontal="center" vertical="center" shrinkToFit="1"/>
    </xf>
    <xf numFmtId="38" fontId="45" fillId="0" borderId="498" xfId="1" applyFont="1" applyFill="1" applyBorder="1" applyAlignment="1">
      <alignment horizontal="center" vertical="center" shrinkToFit="1"/>
    </xf>
    <xf numFmtId="38" fontId="45" fillId="0" borderId="490" xfId="1" applyFont="1" applyFill="1" applyBorder="1" applyAlignment="1">
      <alignment horizontal="center" vertical="center" shrinkToFit="1"/>
    </xf>
    <xf numFmtId="0" fontId="45" fillId="0" borderId="499" xfId="1" applyNumberFormat="1" applyFont="1" applyFill="1" applyBorder="1" applyAlignment="1">
      <alignment horizontal="center" vertical="center" shrinkToFit="1"/>
    </xf>
    <xf numFmtId="0" fontId="45" fillId="0" borderId="500" xfId="1" applyNumberFormat="1" applyFont="1" applyFill="1" applyBorder="1" applyAlignment="1">
      <alignment horizontal="center" vertical="center" shrinkToFit="1"/>
    </xf>
    <xf numFmtId="0" fontId="45" fillId="0" borderId="501" xfId="1" applyNumberFormat="1" applyFont="1" applyFill="1" applyBorder="1" applyAlignment="1">
      <alignment horizontal="center" vertical="center" shrinkToFit="1"/>
    </xf>
    <xf numFmtId="38" fontId="45" fillId="0" borderId="488" xfId="1" applyFont="1" applyFill="1" applyBorder="1" applyAlignment="1">
      <alignment horizontal="left" vertical="center" shrinkToFit="1"/>
    </xf>
    <xf numFmtId="38" fontId="45" fillId="9" borderId="502" xfId="1" applyFont="1" applyFill="1" applyBorder="1" applyAlignment="1">
      <alignment horizontal="center" vertical="center" shrinkToFit="1"/>
    </xf>
    <xf numFmtId="38" fontId="45" fillId="0" borderId="505" xfId="1" applyFont="1" applyFill="1" applyBorder="1" applyAlignment="1">
      <alignment horizontal="center" vertical="center" shrinkToFit="1"/>
    </xf>
    <xf numFmtId="38" fontId="45" fillId="0" borderId="506" xfId="1" applyFont="1" applyFill="1" applyBorder="1" applyAlignment="1">
      <alignment horizontal="center" vertical="center" shrinkToFit="1"/>
    </xf>
    <xf numFmtId="38" fontId="87" fillId="0" borderId="505" xfId="1" applyFont="1" applyFill="1" applyBorder="1" applyAlignment="1">
      <alignment horizontal="center" vertical="center" shrinkToFit="1"/>
    </xf>
    <xf numFmtId="9" fontId="45" fillId="0" borderId="504" xfId="10" applyFont="1" applyFill="1" applyBorder="1" applyAlignment="1">
      <alignment horizontal="center" vertical="center" shrinkToFit="1"/>
    </xf>
    <xf numFmtId="38" fontId="96" fillId="0" borderId="507" xfId="1" applyFont="1" applyFill="1" applyBorder="1" applyAlignment="1">
      <alignment horizontal="center" vertical="center" wrapText="1" shrinkToFit="1"/>
    </xf>
    <xf numFmtId="38" fontId="96" fillId="0" borderId="508" xfId="1" applyFont="1" applyFill="1" applyBorder="1" applyAlignment="1">
      <alignment horizontal="center" vertical="center" wrapText="1" shrinkToFit="1"/>
    </xf>
    <xf numFmtId="38" fontId="96" fillId="19" borderId="508" xfId="1" applyFont="1" applyFill="1" applyBorder="1" applyAlignment="1">
      <alignment horizontal="center" vertical="center" wrapText="1" shrinkToFit="1"/>
    </xf>
    <xf numFmtId="38" fontId="96" fillId="0" borderId="509" xfId="1" applyFont="1" applyFill="1" applyBorder="1" applyAlignment="1">
      <alignment horizontal="center" vertical="center" wrapText="1" shrinkToFit="1"/>
    </xf>
    <xf numFmtId="38" fontId="45" fillId="9" borderId="506" xfId="1" applyFont="1" applyFill="1" applyBorder="1" applyAlignment="1">
      <alignment horizontal="center" vertical="center" shrinkToFit="1"/>
    </xf>
    <xf numFmtId="38" fontId="45" fillId="0" borderId="510" xfId="1" applyFont="1" applyFill="1" applyBorder="1" applyAlignment="1">
      <alignment horizontal="center" vertical="center" shrinkToFit="1"/>
    </xf>
    <xf numFmtId="9" fontId="45" fillId="0" borderId="505" xfId="10" applyFont="1" applyFill="1" applyBorder="1" applyAlignment="1">
      <alignment horizontal="center" vertical="center" shrinkToFit="1"/>
    </xf>
    <xf numFmtId="38" fontId="45" fillId="0" borderId="504" xfId="1" applyFont="1" applyFill="1" applyBorder="1" applyAlignment="1">
      <alignment horizontal="center" vertical="center" shrinkToFit="1"/>
    </xf>
    <xf numFmtId="0" fontId="45" fillId="0" borderId="511" xfId="1" applyNumberFormat="1" applyFont="1" applyFill="1" applyBorder="1" applyAlignment="1">
      <alignment horizontal="center" vertical="center" shrinkToFit="1"/>
    </xf>
    <xf numFmtId="0" fontId="45" fillId="0" borderId="512" xfId="1" applyNumberFormat="1" applyFont="1" applyFill="1" applyBorder="1" applyAlignment="1">
      <alignment horizontal="center" vertical="center" shrinkToFit="1"/>
    </xf>
    <xf numFmtId="0" fontId="45" fillId="0" borderId="513" xfId="1" applyNumberFormat="1" applyFont="1" applyFill="1" applyBorder="1" applyAlignment="1">
      <alignment horizontal="center" vertical="center" shrinkToFit="1"/>
    </xf>
    <xf numFmtId="0" fontId="87" fillId="0" borderId="516" xfId="1" applyNumberFormat="1" applyFont="1" applyFill="1" applyBorder="1" applyAlignment="1">
      <alignment horizontal="center" vertical="center" shrinkToFit="1"/>
    </xf>
    <xf numFmtId="38" fontId="45" fillId="0" borderId="517" xfId="1" applyFont="1" applyFill="1" applyBorder="1" applyAlignment="1">
      <alignment horizontal="center" vertical="center" shrinkToFit="1"/>
    </xf>
    <xf numFmtId="38" fontId="45" fillId="0" borderId="518" xfId="1" applyFont="1" applyFill="1" applyBorder="1" applyAlignment="1">
      <alignment horizontal="center" vertical="center" shrinkToFit="1"/>
    </xf>
    <xf numFmtId="38" fontId="87" fillId="0" borderId="517" xfId="1" applyFont="1" applyFill="1" applyBorder="1" applyAlignment="1">
      <alignment horizontal="center" vertical="center" shrinkToFit="1"/>
    </xf>
    <xf numFmtId="9" fontId="45" fillId="0" borderId="516" xfId="10" applyFont="1" applyFill="1" applyBorder="1" applyAlignment="1">
      <alignment horizontal="center" vertical="center" shrinkToFit="1"/>
    </xf>
    <xf numFmtId="38" fontId="96" fillId="0" borderId="519" xfId="1" applyFont="1" applyFill="1" applyBorder="1" applyAlignment="1">
      <alignment horizontal="center" vertical="center" wrapText="1" shrinkToFit="1"/>
    </xf>
    <xf numFmtId="38" fontId="96" fillId="0" borderId="520" xfId="1" applyFont="1" applyFill="1" applyBorder="1" applyAlignment="1">
      <alignment horizontal="center" vertical="center" wrapText="1" shrinkToFit="1"/>
    </xf>
    <xf numFmtId="38" fontId="96" fillId="19" borderId="520" xfId="1" applyFont="1" applyFill="1" applyBorder="1" applyAlignment="1">
      <alignment horizontal="center" vertical="center" wrapText="1" shrinkToFit="1"/>
    </xf>
    <xf numFmtId="38" fontId="96" fillId="0" borderId="521" xfId="1" applyFont="1" applyFill="1" applyBorder="1" applyAlignment="1">
      <alignment horizontal="center" vertical="center" wrapText="1" shrinkToFit="1"/>
    </xf>
    <xf numFmtId="38" fontId="45" fillId="9" borderId="518" xfId="1" applyFont="1" applyFill="1" applyBorder="1" applyAlignment="1">
      <alignment horizontal="center" vertical="center" shrinkToFit="1"/>
    </xf>
    <xf numFmtId="38" fontId="45" fillId="0" borderId="522" xfId="1" applyFont="1" applyFill="1" applyBorder="1" applyAlignment="1">
      <alignment horizontal="center" vertical="center" shrinkToFit="1"/>
    </xf>
    <xf numFmtId="9" fontId="45" fillId="0" borderId="517" xfId="10" applyFont="1" applyFill="1" applyBorder="1" applyAlignment="1">
      <alignment horizontal="center" vertical="center" shrinkToFit="1"/>
    </xf>
    <xf numFmtId="38" fontId="45" fillId="0" borderId="516" xfId="1" applyFont="1" applyFill="1" applyBorder="1" applyAlignment="1">
      <alignment horizontal="center" vertical="center" shrinkToFit="1"/>
    </xf>
    <xf numFmtId="0" fontId="45" fillId="0" borderId="523" xfId="1" applyNumberFormat="1" applyFont="1" applyFill="1" applyBorder="1" applyAlignment="1">
      <alignment horizontal="center" vertical="center" shrinkToFit="1"/>
    </xf>
    <xf numFmtId="0" fontId="45" fillId="0" borderId="524" xfId="1" applyNumberFormat="1" applyFont="1" applyFill="1" applyBorder="1" applyAlignment="1">
      <alignment horizontal="center" vertical="center" shrinkToFit="1"/>
    </xf>
    <xf numFmtId="0" fontId="45" fillId="0" borderId="525" xfId="1" applyNumberFormat="1" applyFont="1" applyFill="1" applyBorder="1" applyAlignment="1">
      <alignment horizontal="center" vertical="center" shrinkToFit="1"/>
    </xf>
    <xf numFmtId="0" fontId="87" fillId="0" borderId="528" xfId="1" applyNumberFormat="1" applyFont="1" applyFill="1" applyBorder="1" applyAlignment="1">
      <alignment horizontal="center" vertical="center" shrinkToFit="1"/>
    </xf>
    <xf numFmtId="38" fontId="45" fillId="0" borderId="529" xfId="1" applyFont="1" applyFill="1" applyBorder="1" applyAlignment="1">
      <alignment horizontal="center" vertical="center" shrinkToFit="1"/>
    </xf>
    <xf numFmtId="38" fontId="45" fillId="0" borderId="530" xfId="1" applyFont="1" applyFill="1" applyBorder="1" applyAlignment="1">
      <alignment horizontal="center" vertical="center" shrinkToFit="1"/>
    </xf>
    <xf numFmtId="38" fontId="87" fillId="0" borderId="529" xfId="1" applyFont="1" applyFill="1" applyBorder="1" applyAlignment="1">
      <alignment horizontal="center" vertical="center" shrinkToFit="1"/>
    </xf>
    <xf numFmtId="9" fontId="45" fillId="0" borderId="528" xfId="10" applyFont="1" applyFill="1" applyBorder="1" applyAlignment="1">
      <alignment horizontal="center" vertical="center" shrinkToFit="1"/>
    </xf>
    <xf numFmtId="38" fontId="96" fillId="0" borderId="531" xfId="1" applyFont="1" applyFill="1" applyBorder="1" applyAlignment="1">
      <alignment horizontal="center" vertical="center" wrapText="1" shrinkToFit="1"/>
    </xf>
    <xf numFmtId="38" fontId="96" fillId="0" borderId="532" xfId="1" applyFont="1" applyFill="1" applyBorder="1" applyAlignment="1">
      <alignment horizontal="center" vertical="center" wrapText="1" shrinkToFit="1"/>
    </xf>
    <xf numFmtId="38" fontId="96" fillId="19" borderId="532" xfId="1" applyFont="1" applyFill="1" applyBorder="1" applyAlignment="1">
      <alignment horizontal="center" vertical="center" wrapText="1" shrinkToFit="1"/>
    </xf>
    <xf numFmtId="38" fontId="96" fillId="0" borderId="533" xfId="1" applyFont="1" applyFill="1" applyBorder="1" applyAlignment="1">
      <alignment horizontal="center" vertical="center" wrapText="1" shrinkToFit="1"/>
    </xf>
    <xf numFmtId="38" fontId="45" fillId="9" borderId="530" xfId="1" applyFont="1" applyFill="1" applyBorder="1" applyAlignment="1">
      <alignment horizontal="center" vertical="center" shrinkToFit="1"/>
    </xf>
    <xf numFmtId="38" fontId="45" fillId="0" borderId="534" xfId="1" applyFont="1" applyFill="1" applyBorder="1" applyAlignment="1">
      <alignment horizontal="center" vertical="center" shrinkToFit="1"/>
    </xf>
    <xf numFmtId="9" fontId="45" fillId="0" borderId="529" xfId="10" applyFont="1" applyFill="1" applyBorder="1" applyAlignment="1">
      <alignment horizontal="center" vertical="center" shrinkToFit="1"/>
    </xf>
    <xf numFmtId="38" fontId="45" fillId="0" borderId="528" xfId="1" applyFont="1" applyFill="1" applyBorder="1" applyAlignment="1">
      <alignment horizontal="center" vertical="center" shrinkToFit="1"/>
    </xf>
    <xf numFmtId="0" fontId="45" fillId="0" borderId="535" xfId="1" applyNumberFormat="1" applyFont="1" applyFill="1" applyBorder="1" applyAlignment="1">
      <alignment horizontal="center" vertical="center" shrinkToFit="1"/>
    </xf>
    <xf numFmtId="0" fontId="45" fillId="0" borderId="536" xfId="1" applyNumberFormat="1" applyFont="1" applyFill="1" applyBorder="1" applyAlignment="1">
      <alignment horizontal="center" vertical="center" shrinkToFit="1"/>
    </xf>
    <xf numFmtId="0" fontId="45" fillId="0" borderId="537" xfId="1" applyNumberFormat="1" applyFont="1" applyFill="1" applyBorder="1" applyAlignment="1">
      <alignment horizontal="center" vertical="center" shrinkToFit="1"/>
    </xf>
    <xf numFmtId="38" fontId="87" fillId="0" borderId="390" xfId="1" applyFont="1" applyFill="1" applyBorder="1" applyAlignment="1">
      <alignment horizontal="center" vertical="center" shrinkToFit="1"/>
    </xf>
    <xf numFmtId="9" fontId="45" fillId="0" borderId="8" xfId="10" applyFont="1" applyFill="1" applyBorder="1" applyAlignment="1">
      <alignment horizontal="center" vertical="center" shrinkToFit="1"/>
    </xf>
    <xf numFmtId="38" fontId="96" fillId="0" borderId="392" xfId="1" applyFont="1" applyFill="1" applyBorder="1" applyAlignment="1">
      <alignment horizontal="center" vertical="center" wrapText="1" shrinkToFit="1"/>
    </xf>
    <xf numFmtId="38" fontId="96" fillId="0" borderId="393" xfId="1" applyFont="1" applyFill="1" applyBorder="1" applyAlignment="1">
      <alignment horizontal="center" vertical="center" wrapText="1" shrinkToFit="1"/>
    </xf>
    <xf numFmtId="38" fontId="96" fillId="19" borderId="393" xfId="1" applyFont="1" applyFill="1" applyBorder="1" applyAlignment="1">
      <alignment horizontal="center" vertical="center" wrapText="1" shrinkToFit="1"/>
    </xf>
    <xf numFmtId="38" fontId="96" fillId="0" borderId="394" xfId="1" applyFont="1" applyFill="1" applyBorder="1" applyAlignment="1">
      <alignment horizontal="center" vertical="center" wrapText="1" shrinkToFit="1"/>
    </xf>
    <xf numFmtId="38" fontId="45" fillId="9" borderId="388" xfId="1" applyFont="1" applyFill="1" applyBorder="1" applyAlignment="1">
      <alignment horizontal="center" vertical="center" shrinkToFit="1"/>
    </xf>
    <xf numFmtId="38" fontId="45" fillId="0" borderId="391" xfId="1" applyFont="1" applyFill="1" applyBorder="1" applyAlignment="1">
      <alignment horizontal="center" vertical="center" shrinkToFit="1"/>
    </xf>
    <xf numFmtId="9" fontId="45" fillId="0" borderId="390" xfId="10" applyFont="1" applyFill="1" applyBorder="1" applyAlignment="1">
      <alignment horizontal="center" vertical="center" shrinkToFit="1"/>
    </xf>
    <xf numFmtId="0" fontId="45" fillId="0" borderId="395" xfId="1" applyNumberFormat="1" applyFont="1" applyFill="1" applyBorder="1" applyAlignment="1">
      <alignment horizontal="center" vertical="center" shrinkToFit="1"/>
    </xf>
    <xf numFmtId="0" fontId="45" fillId="0" borderId="396" xfId="1" applyNumberFormat="1" applyFont="1" applyFill="1" applyBorder="1" applyAlignment="1">
      <alignment horizontal="center" vertical="center" shrinkToFit="1"/>
    </xf>
    <xf numFmtId="0" fontId="45" fillId="0" borderId="538" xfId="1" applyNumberFormat="1" applyFont="1" applyFill="1" applyBorder="1" applyAlignment="1">
      <alignment horizontal="center" vertical="center" shrinkToFit="1"/>
    </xf>
    <xf numFmtId="38" fontId="45" fillId="0" borderId="28" xfId="1" applyFont="1" applyFill="1" applyBorder="1" applyAlignment="1">
      <alignment horizontal="left" vertical="center" shrinkToFit="1"/>
    </xf>
    <xf numFmtId="38" fontId="43" fillId="0" borderId="0" xfId="1" applyFont="1" applyFill="1" applyBorder="1" applyAlignment="1">
      <alignment horizontal="right" vertical="center"/>
    </xf>
    <xf numFmtId="0" fontId="45" fillId="0" borderId="540" xfId="13" applyFont="1" applyBorder="1" applyAlignment="1">
      <alignment vertical="center" shrinkToFit="1"/>
    </xf>
    <xf numFmtId="0" fontId="87" fillId="0" borderId="539" xfId="1" applyNumberFormat="1" applyFont="1" applyFill="1" applyBorder="1" applyAlignment="1">
      <alignment horizontal="center" vertical="center" shrinkToFit="1"/>
    </xf>
    <xf numFmtId="38" fontId="45" fillId="0" borderId="544" xfId="1" applyFont="1" applyFill="1" applyBorder="1" applyAlignment="1">
      <alignment horizontal="center" vertical="center" shrinkToFit="1"/>
    </xf>
    <xf numFmtId="38" fontId="45" fillId="0" borderId="543" xfId="1" applyFont="1" applyFill="1" applyBorder="1" applyAlignment="1">
      <alignment horizontal="center" vertical="center" shrinkToFit="1"/>
    </xf>
    <xf numFmtId="38" fontId="87" fillId="0" borderId="545" xfId="1" applyFont="1" applyFill="1" applyBorder="1" applyAlignment="1">
      <alignment horizontal="center" vertical="center" shrinkToFit="1"/>
    </xf>
    <xf numFmtId="38" fontId="87" fillId="0" borderId="546" xfId="1" applyFont="1" applyFill="1" applyBorder="1" applyAlignment="1">
      <alignment horizontal="center" vertical="center" shrinkToFit="1"/>
    </xf>
    <xf numFmtId="9" fontId="45" fillId="0" borderId="546" xfId="10" applyFont="1" applyFill="1" applyBorder="1" applyAlignment="1">
      <alignment horizontal="center" vertical="center" shrinkToFit="1"/>
    </xf>
    <xf numFmtId="38" fontId="96" fillId="0" borderId="547" xfId="1" applyFont="1" applyFill="1" applyBorder="1" applyAlignment="1">
      <alignment horizontal="center" vertical="center" wrapText="1" shrinkToFit="1"/>
    </xf>
    <xf numFmtId="38" fontId="96" fillId="0" borderId="548" xfId="1" applyFont="1" applyFill="1" applyBorder="1" applyAlignment="1">
      <alignment horizontal="center" vertical="center" wrapText="1" shrinkToFit="1"/>
    </xf>
    <xf numFmtId="38" fontId="96" fillId="19" borderId="548" xfId="1" applyFont="1" applyFill="1" applyBorder="1" applyAlignment="1">
      <alignment horizontal="center" vertical="center" wrapText="1" shrinkToFit="1"/>
    </xf>
    <xf numFmtId="38" fontId="96" fillId="0" borderId="549" xfId="1" applyFont="1" applyFill="1" applyBorder="1" applyAlignment="1">
      <alignment horizontal="center" vertical="center" wrapText="1" shrinkToFit="1"/>
    </xf>
    <xf numFmtId="38" fontId="45" fillId="9" borderId="539" xfId="1" applyFont="1" applyFill="1" applyBorder="1" applyAlignment="1">
      <alignment horizontal="center" vertical="center" shrinkToFit="1"/>
    </xf>
    <xf numFmtId="38" fontId="45" fillId="0" borderId="545" xfId="1" applyFont="1" applyFill="1" applyBorder="1" applyAlignment="1">
      <alignment horizontal="center" vertical="center" shrinkToFit="1"/>
    </xf>
    <xf numFmtId="38" fontId="96" fillId="0" borderId="550" xfId="1" applyFont="1" applyFill="1" applyBorder="1" applyAlignment="1">
      <alignment horizontal="center" vertical="center" wrapText="1" shrinkToFit="1"/>
    </xf>
    <xf numFmtId="38" fontId="45" fillId="0" borderId="552" xfId="1" applyFont="1" applyFill="1" applyBorder="1" applyAlignment="1">
      <alignment horizontal="center" vertical="center" shrinkToFit="1"/>
    </xf>
    <xf numFmtId="9" fontId="45" fillId="0" borderId="539" xfId="10" applyFont="1" applyFill="1" applyBorder="1" applyAlignment="1">
      <alignment horizontal="center" vertical="center" shrinkToFit="1"/>
    </xf>
    <xf numFmtId="38" fontId="45" fillId="0" borderId="539" xfId="1" applyFont="1" applyFill="1" applyBorder="1" applyAlignment="1">
      <alignment horizontal="center" vertical="center" shrinkToFit="1"/>
    </xf>
    <xf numFmtId="38" fontId="45" fillId="0" borderId="546" xfId="1" applyFont="1" applyFill="1" applyBorder="1" applyAlignment="1">
      <alignment horizontal="center" vertical="center" shrinkToFit="1"/>
    </xf>
    <xf numFmtId="0" fontId="45" fillId="0" borderId="553" xfId="1" applyNumberFormat="1" applyFont="1" applyFill="1" applyBorder="1" applyAlignment="1">
      <alignment horizontal="center" vertical="center" shrinkToFit="1"/>
    </xf>
    <xf numFmtId="0" fontId="45" fillId="0" borderId="554" xfId="1" applyNumberFormat="1" applyFont="1" applyFill="1" applyBorder="1" applyAlignment="1">
      <alignment horizontal="center" vertical="center" shrinkToFit="1"/>
    </xf>
    <xf numFmtId="0" fontId="45" fillId="0" borderId="555" xfId="1" applyNumberFormat="1" applyFont="1" applyFill="1" applyBorder="1" applyAlignment="1">
      <alignment horizontal="center" vertical="center" shrinkToFit="1"/>
    </xf>
    <xf numFmtId="0" fontId="87" fillId="0" borderId="556" xfId="1" applyNumberFormat="1" applyFont="1" applyFill="1" applyBorder="1" applyAlignment="1">
      <alignment horizontal="center" vertical="center" shrinkToFit="1"/>
    </xf>
    <xf numFmtId="38" fontId="96" fillId="0" borderId="558" xfId="1" applyFont="1" applyFill="1" applyBorder="1" applyAlignment="1">
      <alignment horizontal="center" vertical="center" wrapText="1" shrinkToFit="1"/>
    </xf>
    <xf numFmtId="38" fontId="96" fillId="0" borderId="559" xfId="1" applyFont="1" applyFill="1" applyBorder="1" applyAlignment="1">
      <alignment horizontal="center" vertical="center" wrapText="1" shrinkToFit="1"/>
    </xf>
    <xf numFmtId="38" fontId="96" fillId="19" borderId="559" xfId="1" applyFont="1" applyFill="1" applyBorder="1" applyAlignment="1">
      <alignment horizontal="center" vertical="center" wrapText="1" shrinkToFit="1"/>
    </xf>
    <xf numFmtId="38" fontId="96" fillId="0" borderId="560" xfId="1" applyFont="1" applyFill="1" applyBorder="1" applyAlignment="1">
      <alignment horizontal="center" vertical="center" wrapText="1" shrinkToFit="1"/>
    </xf>
    <xf numFmtId="38" fontId="45" fillId="9" borderId="561" xfId="1" applyFont="1" applyFill="1" applyBorder="1" applyAlignment="1">
      <alignment horizontal="center" vertical="center" shrinkToFit="1"/>
    </xf>
    <xf numFmtId="38" fontId="45" fillId="0" borderId="562" xfId="1" applyFont="1" applyFill="1" applyBorder="1" applyAlignment="1">
      <alignment horizontal="center" vertical="center" shrinkToFit="1"/>
    </xf>
    <xf numFmtId="38" fontId="96" fillId="0" borderId="563" xfId="1" applyFont="1" applyFill="1" applyBorder="1" applyAlignment="1">
      <alignment horizontal="center" vertical="center" wrapText="1" shrinkToFit="1"/>
    </xf>
    <xf numFmtId="9" fontId="45" fillId="0" borderId="556" xfId="10" applyFont="1" applyFill="1" applyBorder="1" applyAlignment="1">
      <alignment horizontal="center" vertical="center" shrinkToFit="1"/>
    </xf>
    <xf numFmtId="38" fontId="45" fillId="0" borderId="561" xfId="1" applyFont="1" applyFill="1" applyBorder="1" applyAlignment="1">
      <alignment horizontal="center" vertical="center" shrinkToFit="1"/>
    </xf>
    <xf numFmtId="38" fontId="45" fillId="0" borderId="556" xfId="1" applyFont="1" applyFill="1" applyBorder="1" applyAlignment="1">
      <alignment horizontal="center" vertical="center" shrinkToFit="1"/>
    </xf>
    <xf numFmtId="0" fontId="45" fillId="0" borderId="564" xfId="1" applyNumberFormat="1" applyFont="1" applyFill="1" applyBorder="1" applyAlignment="1">
      <alignment horizontal="center" vertical="center" shrinkToFit="1"/>
    </xf>
    <xf numFmtId="0" fontId="45" fillId="0" borderId="565" xfId="1" applyNumberFormat="1" applyFont="1" applyFill="1" applyBorder="1" applyAlignment="1">
      <alignment horizontal="center" vertical="center" shrinkToFit="1"/>
    </xf>
    <xf numFmtId="0" fontId="45" fillId="0" borderId="566" xfId="1" applyNumberFormat="1" applyFont="1" applyFill="1" applyBorder="1" applyAlignment="1">
      <alignment horizontal="center" vertical="center" shrinkToFit="1"/>
    </xf>
    <xf numFmtId="38" fontId="45" fillId="0" borderId="567" xfId="1" applyFont="1" applyFill="1" applyBorder="1" applyAlignment="1">
      <alignment horizontal="left" vertical="center" shrinkToFit="1"/>
    </xf>
    <xf numFmtId="0" fontId="45" fillId="0" borderId="0" xfId="13" applyFont="1" applyAlignment="1">
      <alignment vertical="center" shrinkToFit="1"/>
    </xf>
    <xf numFmtId="199" fontId="89" fillId="0" borderId="0" xfId="1" applyNumberFormat="1" applyFont="1" applyFill="1" applyBorder="1" applyAlignment="1">
      <alignment horizontal="center" vertical="center" shrinkToFit="1"/>
    </xf>
    <xf numFmtId="38" fontId="88" fillId="0" borderId="0" xfId="1" applyFont="1" applyFill="1" applyBorder="1" applyAlignment="1">
      <alignment horizontal="left" vertical="center" shrinkToFit="1"/>
    </xf>
    <xf numFmtId="38" fontId="43" fillId="0" borderId="41" xfId="1" applyFont="1" applyFill="1" applyBorder="1" applyAlignment="1">
      <alignment horizontal="right" vertical="center"/>
    </xf>
    <xf numFmtId="0" fontId="43" fillId="0" borderId="41" xfId="0" applyFont="1" applyBorder="1" applyAlignment="1">
      <alignment horizontal="center" vertical="center"/>
    </xf>
    <xf numFmtId="0" fontId="43" fillId="0" borderId="41" xfId="0" applyFont="1" applyBorder="1">
      <alignment vertical="center"/>
    </xf>
    <xf numFmtId="0" fontId="60" fillId="0" borderId="570" xfId="11" applyFont="1" applyBorder="1" applyAlignment="1">
      <alignment horizontal="center" vertical="center"/>
    </xf>
    <xf numFmtId="0" fontId="60" fillId="0" borderId="570" xfId="11" applyFont="1" applyBorder="1" applyAlignment="1">
      <alignment horizontal="center" vertical="center" wrapText="1"/>
    </xf>
    <xf numFmtId="0" fontId="74" fillId="0" borderId="42" xfId="11" applyFont="1" applyBorder="1" applyAlignment="1">
      <alignment horizontal="center" vertical="center"/>
    </xf>
    <xf numFmtId="0" fontId="60" fillId="0" borderId="440" xfId="11" applyFont="1" applyBorder="1" applyAlignment="1">
      <alignment horizontal="center" vertical="center"/>
    </xf>
    <xf numFmtId="0" fontId="74" fillId="0" borderId="28" xfId="11" applyFont="1" applyBorder="1" applyAlignment="1">
      <alignment horizontal="left" vertical="center" shrinkToFit="1"/>
    </xf>
    <xf numFmtId="0" fontId="60" fillId="0" borderId="440" xfId="11" applyFont="1" applyBorder="1" applyAlignment="1">
      <alignment horizontal="center" vertical="center" shrinkToFit="1"/>
    </xf>
    <xf numFmtId="200" fontId="60" fillId="0" borderId="28" xfId="11" applyNumberFormat="1" applyFont="1" applyBorder="1" applyAlignment="1">
      <alignment horizontal="center" vertical="center" shrinkToFit="1"/>
    </xf>
    <xf numFmtId="0" fontId="60" fillId="25" borderId="28" xfId="11" applyFont="1" applyFill="1" applyBorder="1" applyAlignment="1">
      <alignment horizontal="center" vertical="center" shrinkToFit="1"/>
    </xf>
    <xf numFmtId="0" fontId="60" fillId="0" borderId="433" xfId="11" applyFont="1" applyBorder="1" applyAlignment="1">
      <alignment horizontal="center" vertical="center" shrinkToFit="1"/>
    </xf>
    <xf numFmtId="200" fontId="60" fillId="0" borderId="5" xfId="11" applyNumberFormat="1" applyFont="1" applyBorder="1" applyAlignment="1">
      <alignment horizontal="center" vertical="center" shrinkToFit="1"/>
    </xf>
    <xf numFmtId="0" fontId="60" fillId="25" borderId="5" xfId="11" applyFont="1" applyFill="1" applyBorder="1" applyAlignment="1">
      <alignment horizontal="center" vertical="center" wrapText="1" shrinkToFit="1"/>
    </xf>
    <xf numFmtId="0" fontId="60" fillId="25" borderId="5" xfId="11" applyFont="1" applyFill="1" applyBorder="1" applyAlignment="1">
      <alignment horizontal="center" vertical="center" shrinkToFit="1"/>
    </xf>
    <xf numFmtId="0" fontId="74" fillId="0" borderId="5" xfId="11" applyFont="1" applyBorder="1" applyAlignment="1">
      <alignment horizontal="left" vertical="center" shrinkToFit="1"/>
    </xf>
    <xf numFmtId="200" fontId="60" fillId="0" borderId="5" xfId="11" applyNumberFormat="1" applyFont="1" applyBorder="1" applyAlignment="1">
      <alignment horizontal="center" vertical="center" wrapText="1" shrinkToFit="1"/>
    </xf>
    <xf numFmtId="0" fontId="74" fillId="0" borderId="5" xfId="11" applyFont="1" applyBorder="1" applyAlignment="1">
      <alignment vertical="center"/>
    </xf>
    <xf numFmtId="0" fontId="74" fillId="0" borderId="5" xfId="11" applyFont="1" applyBorder="1" applyAlignment="1">
      <alignment horizontal="center" vertical="center"/>
    </xf>
    <xf numFmtId="0" fontId="74" fillId="0" borderId="9" xfId="11" applyFont="1" applyBorder="1" applyAlignment="1">
      <alignment horizontal="center" vertical="center"/>
    </xf>
    <xf numFmtId="0" fontId="74" fillId="25" borderId="5" xfId="11" applyFont="1" applyFill="1" applyBorder="1" applyAlignment="1">
      <alignment horizontal="center" vertical="center"/>
    </xf>
    <xf numFmtId="0" fontId="74" fillId="0" borderId="7" xfId="11" applyFont="1" applyBorder="1" applyAlignment="1">
      <alignment horizontal="center" vertical="center"/>
    </xf>
    <xf numFmtId="0" fontId="74" fillId="0" borderId="5" xfId="11" applyFont="1" applyBorder="1" applyAlignment="1">
      <alignment horizontal="center" vertical="center" wrapText="1"/>
    </xf>
    <xf numFmtId="0" fontId="74" fillId="0" borderId="5" xfId="1" applyNumberFormat="1" applyFont="1" applyFill="1" applyBorder="1" applyAlignment="1">
      <alignment horizontal="left" vertical="center" shrinkToFit="1"/>
    </xf>
    <xf numFmtId="0" fontId="85" fillId="6" borderId="572" xfId="11" applyFont="1" applyFill="1" applyBorder="1" applyAlignment="1">
      <alignment horizontal="center" vertical="center"/>
    </xf>
    <xf numFmtId="0" fontId="60" fillId="0" borderId="0" xfId="11" applyFont="1" applyAlignment="1">
      <alignment horizontal="center" vertical="center" shrinkToFit="1"/>
    </xf>
    <xf numFmtId="0" fontId="98" fillId="0" borderId="0" xfId="11" applyFont="1"/>
    <xf numFmtId="0" fontId="99" fillId="0" borderId="0" xfId="11" applyFont="1"/>
    <xf numFmtId="0" fontId="45" fillId="0" borderId="0" xfId="11" applyFont="1"/>
    <xf numFmtId="0" fontId="62" fillId="36" borderId="432" xfId="11" applyFont="1" applyFill="1" applyBorder="1" applyAlignment="1">
      <alignment horizontal="center" vertical="center" wrapText="1" shrinkToFit="1"/>
    </xf>
    <xf numFmtId="0" fontId="62" fillId="36" borderId="434" xfId="11" applyFont="1" applyFill="1" applyBorder="1" applyAlignment="1">
      <alignment horizontal="center" vertical="center" wrapText="1" shrinkToFit="1"/>
    </xf>
    <xf numFmtId="0" fontId="33" fillId="36" borderId="445" xfId="11" applyFont="1" applyFill="1" applyBorder="1" applyAlignment="1">
      <alignment horizontal="center" vertical="center" wrapText="1" shrinkToFit="1"/>
    </xf>
    <xf numFmtId="0" fontId="33" fillId="36" borderId="434" xfId="11" applyFont="1" applyFill="1" applyBorder="1" applyAlignment="1">
      <alignment horizontal="center" vertical="center" wrapText="1" shrinkToFit="1"/>
    </xf>
    <xf numFmtId="0" fontId="62" fillId="36" borderId="434" xfId="11" applyFont="1" applyFill="1" applyBorder="1" applyAlignment="1">
      <alignment horizontal="center" vertical="center" shrinkToFit="1"/>
    </xf>
    <xf numFmtId="0" fontId="26" fillId="36" borderId="434" xfId="11" applyFont="1" applyFill="1" applyBorder="1" applyAlignment="1">
      <alignment horizontal="center" vertical="center" wrapText="1" shrinkToFit="1"/>
    </xf>
    <xf numFmtId="0" fontId="62" fillId="34" borderId="432" xfId="11" applyFont="1" applyFill="1" applyBorder="1" applyAlignment="1">
      <alignment horizontal="center" vertical="center" shrinkToFit="1"/>
    </xf>
    <xf numFmtId="0" fontId="62" fillId="34" borderId="445" xfId="11" applyFont="1" applyFill="1" applyBorder="1" applyAlignment="1">
      <alignment horizontal="center" vertical="center" shrinkToFit="1"/>
    </xf>
    <xf numFmtId="0" fontId="62" fillId="34" borderId="9" xfId="11" applyFont="1" applyFill="1" applyBorder="1" applyAlignment="1">
      <alignment horizontal="center" vertical="center" shrinkToFit="1"/>
    </xf>
    <xf numFmtId="0" fontId="62" fillId="34" borderId="9" xfId="11" applyFont="1" applyFill="1" applyBorder="1" applyAlignment="1">
      <alignment horizontal="center" vertical="center" wrapText="1" shrinkToFit="1"/>
    </xf>
    <xf numFmtId="0" fontId="43" fillId="0" borderId="574" xfId="11" applyFont="1" applyBorder="1" applyAlignment="1">
      <alignment horizontal="center" vertical="center" wrapText="1" shrinkToFit="1"/>
    </xf>
    <xf numFmtId="0" fontId="43" fillId="0" borderId="55" xfId="11" applyFont="1" applyBorder="1" applyAlignment="1">
      <alignment horizontal="center" vertical="center" wrapText="1" shrinkToFit="1"/>
    </xf>
    <xf numFmtId="0" fontId="43" fillId="0" borderId="575" xfId="11" applyFont="1" applyBorder="1" applyAlignment="1">
      <alignment horizontal="center" vertical="center" wrapText="1" shrinkToFit="1"/>
    </xf>
    <xf numFmtId="0" fontId="43" fillId="0" borderId="401" xfId="11" applyFont="1" applyBorder="1" applyAlignment="1">
      <alignment horizontal="center" vertical="center" wrapText="1" shrinkToFit="1"/>
    </xf>
    <xf numFmtId="0" fontId="64" fillId="0" borderId="0" xfId="11" applyFont="1" applyAlignment="1">
      <alignment horizontal="center" vertical="center"/>
    </xf>
    <xf numFmtId="0" fontId="45" fillId="0" borderId="301" xfId="13" applyFont="1" applyBorder="1" applyAlignment="1">
      <alignment vertical="center" shrinkToFit="1"/>
    </xf>
    <xf numFmtId="0" fontId="45" fillId="0" borderId="142" xfId="13" applyFont="1" applyBorder="1" applyAlignment="1">
      <alignment vertical="center" shrinkToFit="1"/>
    </xf>
    <xf numFmtId="0" fontId="45" fillId="0" borderId="42" xfId="13" applyFont="1" applyBorder="1" applyAlignment="1">
      <alignment vertical="center" shrinkToFit="1"/>
    </xf>
    <xf numFmtId="199" fontId="87" fillId="0" borderId="41" xfId="1" applyNumberFormat="1" applyFont="1" applyFill="1" applyBorder="1" applyAlignment="1">
      <alignment horizontal="center" vertical="center" shrinkToFit="1"/>
    </xf>
    <xf numFmtId="199" fontId="87" fillId="0" borderId="587" xfId="1" applyNumberFormat="1" applyFont="1" applyFill="1" applyBorder="1" applyAlignment="1">
      <alignment horizontal="center" vertical="center" shrinkToFit="1"/>
    </xf>
    <xf numFmtId="199" fontId="87" fillId="0" borderId="588" xfId="1" applyNumberFormat="1" applyFont="1" applyFill="1" applyBorder="1" applyAlignment="1">
      <alignment horizontal="center" vertical="center" shrinkToFit="1"/>
    </xf>
    <xf numFmtId="199" fontId="87" fillId="0" borderId="589" xfId="1" applyNumberFormat="1" applyFont="1" applyFill="1" applyBorder="1" applyAlignment="1">
      <alignment horizontal="center" vertical="center" shrinkToFit="1"/>
    </xf>
    <xf numFmtId="0" fontId="43" fillId="16" borderId="38" xfId="0" applyFont="1" applyFill="1" applyBorder="1" applyAlignment="1">
      <alignment vertical="center" shrinkToFit="1"/>
    </xf>
    <xf numFmtId="0" fontId="43" fillId="16" borderId="39" xfId="0" applyFont="1" applyFill="1" applyBorder="1" applyAlignment="1">
      <alignment vertical="center" shrinkToFit="1"/>
    </xf>
    <xf numFmtId="0" fontId="43" fillId="16" borderId="0" xfId="0" applyFont="1" applyFill="1" applyAlignment="1">
      <alignment vertical="center" shrinkToFit="1"/>
    </xf>
    <xf numFmtId="0" fontId="43" fillId="16" borderId="142" xfId="0" applyFont="1" applyFill="1" applyBorder="1" applyAlignment="1">
      <alignment vertical="center" shrinkToFit="1"/>
    </xf>
    <xf numFmtId="0" fontId="87" fillId="0" borderId="576" xfId="1" applyNumberFormat="1" applyFont="1" applyFill="1" applyBorder="1" applyAlignment="1">
      <alignment horizontal="center" vertical="center" shrinkToFit="1"/>
    </xf>
    <xf numFmtId="38" fontId="45" fillId="0" borderId="591" xfId="1" applyFont="1" applyFill="1" applyBorder="1" applyAlignment="1">
      <alignment horizontal="center" vertical="center" shrinkToFit="1"/>
    </xf>
    <xf numFmtId="38" fontId="96" fillId="0" borderId="592" xfId="1" applyFont="1" applyFill="1" applyBorder="1" applyAlignment="1">
      <alignment horizontal="center" vertical="center" wrapText="1" shrinkToFit="1"/>
    </xf>
    <xf numFmtId="38" fontId="96" fillId="0" borderId="593" xfId="1" applyFont="1" applyFill="1" applyBorder="1" applyAlignment="1">
      <alignment horizontal="center" vertical="center" wrapText="1" shrinkToFit="1"/>
    </xf>
    <xf numFmtId="38" fontId="96" fillId="19" borderId="593" xfId="1" applyFont="1" applyFill="1" applyBorder="1" applyAlignment="1">
      <alignment horizontal="center" vertical="center" wrapText="1" shrinkToFit="1"/>
    </xf>
    <xf numFmtId="38" fontId="96" fillId="0" borderId="594" xfId="1" applyFont="1" applyFill="1" applyBorder="1" applyAlignment="1">
      <alignment horizontal="center" vertical="center" wrapText="1" shrinkToFit="1"/>
    </xf>
    <xf numFmtId="38" fontId="45" fillId="0" borderId="595" xfId="1" applyFont="1" applyFill="1" applyBorder="1" applyAlignment="1">
      <alignment horizontal="center" vertical="center" shrinkToFit="1"/>
    </xf>
    <xf numFmtId="38" fontId="96" fillId="0" borderId="596" xfId="1" applyFont="1" applyFill="1" applyBorder="1" applyAlignment="1">
      <alignment horizontal="center" vertical="center" wrapText="1" shrinkToFit="1"/>
    </xf>
    <xf numFmtId="38" fontId="45" fillId="0" borderId="597" xfId="1" applyFont="1" applyFill="1" applyBorder="1" applyAlignment="1">
      <alignment horizontal="center" vertical="center" shrinkToFit="1"/>
    </xf>
    <xf numFmtId="9" fontId="45" fillId="0" borderId="576" xfId="10" applyFont="1" applyFill="1" applyBorder="1" applyAlignment="1">
      <alignment horizontal="center" vertical="center" shrinkToFit="1"/>
    </xf>
    <xf numFmtId="38" fontId="45" fillId="0" borderId="502" xfId="1" applyFont="1" applyFill="1" applyBorder="1" applyAlignment="1">
      <alignment horizontal="center" vertical="center" shrinkToFit="1"/>
    </xf>
    <xf numFmtId="38" fontId="45" fillId="0" borderId="576" xfId="1" applyFont="1" applyFill="1" applyBorder="1" applyAlignment="1">
      <alignment horizontal="center" vertical="center" shrinkToFit="1"/>
    </xf>
    <xf numFmtId="0" fontId="45" fillId="0" borderId="598" xfId="1" applyNumberFormat="1" applyFont="1" applyFill="1" applyBorder="1" applyAlignment="1">
      <alignment horizontal="center" vertical="center" shrinkToFit="1"/>
    </xf>
    <xf numFmtId="0" fontId="45" fillId="0" borderId="599" xfId="1" applyNumberFormat="1" applyFont="1" applyFill="1" applyBorder="1" applyAlignment="1">
      <alignment horizontal="center" vertical="center" shrinkToFit="1"/>
    </xf>
    <xf numFmtId="0" fontId="45" fillId="0" borderId="600" xfId="1" applyNumberFormat="1" applyFont="1" applyFill="1" applyBorder="1" applyAlignment="1">
      <alignment horizontal="center" vertical="center" shrinkToFit="1"/>
    </xf>
    <xf numFmtId="0" fontId="45" fillId="0" borderId="602" xfId="13" applyFont="1" applyBorder="1" applyAlignment="1">
      <alignment vertical="center" shrinkToFit="1"/>
    </xf>
    <xf numFmtId="0" fontId="45" fillId="0" borderId="582" xfId="13" applyFont="1" applyBorder="1" applyAlignment="1">
      <alignment horizontal="center" vertical="center" shrinkToFit="1"/>
    </xf>
    <xf numFmtId="38" fontId="45" fillId="0" borderId="603" xfId="1" applyFont="1" applyFill="1" applyBorder="1" applyAlignment="1">
      <alignment horizontal="left" vertical="center" shrinkToFit="1"/>
    </xf>
    <xf numFmtId="0" fontId="87" fillId="0" borderId="38" xfId="1" applyNumberFormat="1" applyFont="1" applyFill="1" applyBorder="1" applyAlignment="1">
      <alignment horizontal="center" vertical="center" shrinkToFit="1"/>
    </xf>
    <xf numFmtId="38" fontId="45" fillId="0" borderId="274" xfId="1" applyFont="1" applyFill="1" applyBorder="1" applyAlignment="1">
      <alignment horizontal="center" vertical="center" shrinkToFit="1"/>
    </xf>
    <xf numFmtId="38" fontId="45" fillId="0" borderId="354" xfId="1" applyFont="1" applyFill="1" applyBorder="1" applyAlignment="1">
      <alignment horizontal="center" vertical="center" shrinkToFit="1"/>
    </xf>
    <xf numFmtId="38" fontId="87" fillId="0" borderId="355" xfId="1" applyFont="1" applyFill="1" applyBorder="1" applyAlignment="1">
      <alignment horizontal="center" vertical="center" shrinkToFit="1"/>
    </xf>
    <xf numFmtId="38" fontId="87" fillId="0" borderId="274" xfId="1" applyFont="1" applyFill="1" applyBorder="1" applyAlignment="1">
      <alignment horizontal="center" vertical="center" shrinkToFit="1"/>
    </xf>
    <xf numFmtId="9" fontId="45" fillId="0" borderId="274" xfId="10" applyFont="1" applyFill="1" applyBorder="1" applyAlignment="1">
      <alignment horizontal="center" vertical="center" shrinkToFit="1"/>
    </xf>
    <xf numFmtId="38" fontId="96" fillId="0" borderId="356" xfId="1" applyFont="1" applyFill="1" applyBorder="1" applyAlignment="1">
      <alignment horizontal="center" vertical="center" wrapText="1" shrinkToFit="1"/>
    </xf>
    <xf numFmtId="38" fontId="96" fillId="0" borderId="357" xfId="1" applyFont="1" applyFill="1" applyBorder="1" applyAlignment="1">
      <alignment horizontal="center" vertical="center" wrapText="1" shrinkToFit="1"/>
    </xf>
    <xf numFmtId="38" fontId="96" fillId="19" borderId="357" xfId="1" applyFont="1" applyFill="1" applyBorder="1" applyAlignment="1">
      <alignment horizontal="center" vertical="center" wrapText="1" shrinkToFit="1"/>
    </xf>
    <xf numFmtId="38" fontId="96" fillId="0" borderId="604" xfId="1" applyFont="1" applyFill="1" applyBorder="1" applyAlignment="1">
      <alignment horizontal="center" vertical="center" wrapText="1" shrinkToFit="1"/>
    </xf>
    <xf numFmtId="38" fontId="45" fillId="9" borderId="606" xfId="1" applyFont="1" applyFill="1" applyBorder="1" applyAlignment="1">
      <alignment horizontal="center" vertical="center" shrinkToFit="1"/>
    </xf>
    <xf numFmtId="38" fontId="96" fillId="0" borderId="358" xfId="1" applyFont="1" applyFill="1" applyBorder="1" applyAlignment="1">
      <alignment horizontal="center" vertical="center" wrapText="1" shrinkToFit="1"/>
    </xf>
    <xf numFmtId="38" fontId="45" fillId="9" borderId="355" xfId="1" applyFont="1" applyFill="1" applyBorder="1" applyAlignment="1">
      <alignment horizontal="center" vertical="center" shrinkToFit="1"/>
    </xf>
    <xf numFmtId="9" fontId="45" fillId="0" borderId="38" xfId="10" applyFont="1" applyFill="1" applyBorder="1" applyAlignment="1">
      <alignment horizontal="center" vertical="center" shrinkToFit="1"/>
    </xf>
    <xf numFmtId="38" fontId="45" fillId="0" borderId="355" xfId="1" applyFont="1" applyFill="1" applyBorder="1" applyAlignment="1">
      <alignment horizontal="center" vertical="center" shrinkToFit="1"/>
    </xf>
    <xf numFmtId="38" fontId="45" fillId="0" borderId="38" xfId="1" applyFont="1" applyFill="1" applyBorder="1" applyAlignment="1">
      <alignment horizontal="center" vertical="center" shrinkToFit="1"/>
    </xf>
    <xf numFmtId="0" fontId="45" fillId="0" borderId="359" xfId="1" applyNumberFormat="1" applyFont="1" applyFill="1" applyBorder="1" applyAlignment="1">
      <alignment horizontal="center" vertical="center" shrinkToFit="1"/>
    </xf>
    <xf numFmtId="0" fontId="45" fillId="0" borderId="360" xfId="1" applyNumberFormat="1" applyFont="1" applyFill="1" applyBorder="1" applyAlignment="1">
      <alignment horizontal="center" vertical="center" shrinkToFit="1"/>
    </xf>
    <xf numFmtId="0" fontId="45" fillId="0" borderId="361" xfId="1" applyNumberFormat="1" applyFont="1" applyFill="1" applyBorder="1" applyAlignment="1">
      <alignment horizontal="center" vertical="center" shrinkToFit="1"/>
    </xf>
    <xf numFmtId="0" fontId="45" fillId="0" borderId="607" xfId="13" applyFont="1" applyBorder="1" applyAlignment="1">
      <alignment vertical="center" shrinkToFit="1"/>
    </xf>
    <xf numFmtId="38" fontId="45" fillId="0" borderId="590" xfId="1" applyFont="1" applyFill="1" applyBorder="1" applyAlignment="1">
      <alignment horizontal="left" vertical="center" shrinkToFit="1"/>
    </xf>
    <xf numFmtId="38" fontId="45" fillId="9" borderId="608" xfId="1" applyFont="1" applyFill="1" applyBorder="1" applyAlignment="1">
      <alignment horizontal="center" vertical="center" shrinkToFit="1"/>
    </xf>
    <xf numFmtId="0" fontId="45" fillId="0" borderId="609" xfId="13" applyFont="1" applyBorder="1" applyAlignment="1">
      <alignment vertical="center" shrinkToFit="1"/>
    </xf>
    <xf numFmtId="0" fontId="45" fillId="0" borderId="557" xfId="13" applyFont="1" applyBorder="1" applyAlignment="1">
      <alignment horizontal="center" vertical="center" shrinkToFit="1"/>
    </xf>
    <xf numFmtId="38" fontId="45" fillId="9" borderId="543" xfId="1" applyFont="1" applyFill="1" applyBorder="1" applyAlignment="1">
      <alignment horizontal="center" vertical="center" shrinkToFit="1"/>
    </xf>
    <xf numFmtId="0" fontId="45" fillId="0" borderId="541" xfId="13" applyFont="1" applyBorder="1" applyAlignment="1">
      <alignment horizontal="center" vertical="center" shrinkToFit="1"/>
    </xf>
    <xf numFmtId="38" fontId="45" fillId="0" borderId="541" xfId="1" applyFont="1" applyFill="1" applyBorder="1" applyAlignment="1">
      <alignment horizontal="left" vertical="center" shrinkToFit="1"/>
    </xf>
    <xf numFmtId="0" fontId="45" fillId="0" borderId="611" xfId="13" applyFont="1" applyBorder="1" applyAlignment="1">
      <alignment vertical="center" shrinkToFit="1"/>
    </xf>
    <xf numFmtId="0" fontId="87" fillId="0" borderId="9" xfId="13" applyFont="1" applyBorder="1" applyAlignment="1">
      <alignment horizontal="center" vertical="center" shrinkToFit="1"/>
    </xf>
    <xf numFmtId="38" fontId="45" fillId="0" borderId="5" xfId="1" applyFont="1" applyFill="1" applyBorder="1" applyAlignment="1">
      <alignment horizontal="left" vertical="center" shrinkToFit="1"/>
    </xf>
    <xf numFmtId="0" fontId="87" fillId="0" borderId="9" xfId="13" applyFont="1" applyBorder="1" applyAlignment="1">
      <alignment vertical="center" shrinkToFit="1"/>
    </xf>
    <xf numFmtId="199" fontId="87" fillId="0" borderId="612" xfId="1" applyNumberFormat="1" applyFont="1" applyFill="1" applyBorder="1" applyAlignment="1">
      <alignment horizontal="center" vertical="center" shrinkToFit="1"/>
    </xf>
    <xf numFmtId="199" fontId="87" fillId="0" borderId="613" xfId="1" applyNumberFormat="1" applyFont="1" applyFill="1" applyBorder="1" applyAlignment="1">
      <alignment horizontal="center" vertical="center" shrinkToFit="1"/>
    </xf>
    <xf numFmtId="199" fontId="87" fillId="0" borderId="586" xfId="1" applyNumberFormat="1" applyFont="1" applyFill="1" applyBorder="1" applyAlignment="1">
      <alignment horizontal="center" vertical="center" shrinkToFit="1"/>
    </xf>
    <xf numFmtId="199" fontId="87" fillId="0" borderId="614" xfId="1" applyNumberFormat="1" applyFont="1" applyFill="1" applyBorder="1" applyAlignment="1">
      <alignment horizontal="center" vertical="center" shrinkToFit="1"/>
    </xf>
    <xf numFmtId="199" fontId="87" fillId="0" borderId="5" xfId="1" applyNumberFormat="1" applyFont="1" applyBorder="1" applyAlignment="1">
      <alignment horizontal="center" vertical="center" shrinkToFit="1"/>
    </xf>
    <xf numFmtId="38" fontId="45" fillId="0" borderId="618" xfId="1" applyFont="1" applyFill="1" applyBorder="1" applyAlignment="1">
      <alignment horizontal="center" vertical="center" shrinkToFit="1"/>
    </xf>
    <xf numFmtId="38" fontId="96" fillId="0" borderId="619" xfId="1" applyFont="1" applyFill="1" applyBorder="1" applyAlignment="1">
      <alignment horizontal="center" vertical="center" wrapText="1" shrinkToFit="1"/>
    </xf>
    <xf numFmtId="38" fontId="96" fillId="19" borderId="619" xfId="1" applyFont="1" applyFill="1" applyBorder="1" applyAlignment="1">
      <alignment horizontal="center" vertical="center" wrapText="1" shrinkToFit="1"/>
    </xf>
    <xf numFmtId="38" fontId="96" fillId="0" borderId="620" xfId="1" applyFont="1" applyFill="1" applyBorder="1" applyAlignment="1">
      <alignment horizontal="center" vertical="center" wrapText="1" shrinkToFit="1"/>
    </xf>
    <xf numFmtId="9" fontId="45" fillId="0" borderId="619" xfId="10" applyFont="1" applyFill="1" applyBorder="1" applyAlignment="1">
      <alignment horizontal="center" vertical="center" shrinkToFit="1"/>
    </xf>
    <xf numFmtId="38" fontId="45" fillId="0" borderId="619" xfId="1" applyFont="1" applyFill="1" applyBorder="1" applyAlignment="1">
      <alignment horizontal="center" vertical="center" shrinkToFit="1"/>
    </xf>
    <xf numFmtId="0" fontId="45" fillId="0" borderId="619" xfId="1" applyNumberFormat="1" applyFont="1" applyFill="1" applyBorder="1" applyAlignment="1">
      <alignment horizontal="center" vertical="center" shrinkToFit="1"/>
    </xf>
    <xf numFmtId="0" fontId="45" fillId="0" borderId="620" xfId="1" applyNumberFormat="1" applyFont="1" applyFill="1" applyBorder="1" applyAlignment="1">
      <alignment horizontal="center" vertical="center" shrinkToFit="1"/>
    </xf>
    <xf numFmtId="0" fontId="45" fillId="0" borderId="8" xfId="13" applyFont="1" applyBorder="1" applyAlignment="1">
      <alignment vertical="center" wrapText="1" shrinkToFit="1"/>
    </xf>
    <xf numFmtId="0" fontId="45" fillId="0" borderId="9" xfId="13" applyFont="1" applyBorder="1" applyAlignment="1">
      <alignment vertical="center" wrapText="1" shrinkToFit="1"/>
    </xf>
    <xf numFmtId="199" fontId="87" fillId="0" borderId="9" xfId="1" applyNumberFormat="1" applyFont="1" applyBorder="1" applyAlignment="1">
      <alignment vertical="center" shrinkToFit="1"/>
    </xf>
    <xf numFmtId="9" fontId="43" fillId="0" borderId="619" xfId="10" applyFont="1" applyFill="1" applyBorder="1" applyAlignment="1">
      <alignment horizontal="center" vertical="center" shrinkToFit="1"/>
    </xf>
    <xf numFmtId="38" fontId="43" fillId="0" borderId="619" xfId="1" applyFont="1" applyFill="1" applyBorder="1" applyAlignment="1">
      <alignment horizontal="center" vertical="center" shrinkToFit="1"/>
    </xf>
    <xf numFmtId="0" fontId="43" fillId="0" borderId="619" xfId="1" applyNumberFormat="1" applyFont="1" applyFill="1" applyBorder="1" applyAlignment="1">
      <alignment horizontal="center" vertical="center" shrinkToFit="1"/>
    </xf>
    <xf numFmtId="0" fontId="43" fillId="0" borderId="620" xfId="1" applyNumberFormat="1" applyFont="1" applyFill="1" applyBorder="1" applyAlignment="1">
      <alignment horizontal="center" vertical="center" shrinkToFit="1"/>
    </xf>
    <xf numFmtId="0" fontId="43" fillId="9" borderId="0" xfId="0" applyFont="1" applyFill="1" applyAlignment="1">
      <alignment horizontal="center" vertical="center" shrinkToFit="1"/>
    </xf>
    <xf numFmtId="0" fontId="43" fillId="9" borderId="40" xfId="0" applyFont="1" applyFill="1" applyBorder="1" applyAlignment="1">
      <alignment horizontal="center" vertical="center" shrinkToFit="1"/>
    </xf>
    <xf numFmtId="199" fontId="0" fillId="0" borderId="0" xfId="0" applyNumberFormat="1">
      <alignment vertical="center"/>
    </xf>
    <xf numFmtId="0" fontId="100" fillId="0" borderId="0" xfId="11" applyFont="1" applyAlignment="1">
      <alignment horizontal="left" vertical="top"/>
    </xf>
    <xf numFmtId="0" fontId="60" fillId="0" borderId="9" xfId="11" applyFont="1" applyBorder="1" applyAlignment="1">
      <alignment horizontal="center" vertical="center" shrinkToFit="1"/>
    </xf>
    <xf numFmtId="49" fontId="49" fillId="0" borderId="9" xfId="11" applyNumberFormat="1" applyFont="1" applyBorder="1" applyAlignment="1">
      <alignment horizontal="center" vertical="center" wrapText="1" shrinkToFit="1"/>
    </xf>
    <xf numFmtId="0" fontId="100" fillId="0" borderId="41" xfId="11" applyFont="1" applyBorder="1" applyAlignment="1">
      <alignment vertical="top"/>
    </xf>
    <xf numFmtId="0" fontId="103" fillId="0" borderId="41" xfId="11" applyFont="1" applyBorder="1" applyAlignment="1">
      <alignment vertical="top"/>
    </xf>
    <xf numFmtId="9" fontId="57" fillId="0" borderId="0" xfId="11" applyNumberFormat="1"/>
    <xf numFmtId="9" fontId="100" fillId="0" borderId="41" xfId="11" applyNumberFormat="1" applyFont="1" applyBorder="1" applyAlignment="1">
      <alignment vertical="top"/>
    </xf>
    <xf numFmtId="9" fontId="26" fillId="36" borderId="9" xfId="11" applyNumberFormat="1" applyFont="1" applyFill="1" applyBorder="1" applyAlignment="1">
      <alignment horizontal="center" vertical="center" shrinkToFit="1"/>
    </xf>
    <xf numFmtId="9" fontId="43" fillId="0" borderId="56" xfId="11" applyNumberFormat="1" applyFont="1" applyBorder="1" applyAlignment="1">
      <alignment horizontal="center" vertical="center" wrapText="1" shrinkToFit="1"/>
    </xf>
    <xf numFmtId="0" fontId="62" fillId="0" borderId="5" xfId="11" applyFont="1" applyBorder="1" applyAlignment="1">
      <alignment horizontal="center" vertical="center" wrapText="1" shrinkToFit="1"/>
    </xf>
    <xf numFmtId="0" fontId="101" fillId="0" borderId="5" xfId="11" applyFont="1" applyBorder="1" applyAlignment="1">
      <alignment horizontal="center" vertical="center" wrapText="1" shrinkToFit="1"/>
    </xf>
    <xf numFmtId="0" fontId="60" fillId="0" borderId="7" xfId="11" applyFont="1" applyBorder="1" applyAlignment="1">
      <alignment horizontal="center" vertical="center" shrinkToFit="1"/>
    </xf>
    <xf numFmtId="0" fontId="60" fillId="0" borderId="434" xfId="11" applyFont="1" applyBorder="1" applyAlignment="1">
      <alignment horizontal="center" vertical="center" shrinkToFit="1"/>
    </xf>
    <xf numFmtId="0" fontId="102" fillId="0" borderId="5" xfId="11" applyFont="1" applyBorder="1" applyAlignment="1">
      <alignment horizontal="center" vertical="center" wrapText="1" shrinkToFit="1"/>
    </xf>
    <xf numFmtId="49" fontId="60" fillId="0" borderId="432" xfId="11" applyNumberFormat="1" applyFont="1" applyBorder="1" applyAlignment="1">
      <alignment horizontal="center" vertical="center" shrinkToFit="1"/>
    </xf>
    <xf numFmtId="0" fontId="43" fillId="0" borderId="432" xfId="11" applyFont="1" applyBorder="1" applyAlignment="1">
      <alignment horizontal="center" vertical="center" wrapText="1" shrinkToFit="1"/>
    </xf>
    <xf numFmtId="0" fontId="43" fillId="0" borderId="434" xfId="11" applyFont="1" applyBorder="1" applyAlignment="1">
      <alignment horizontal="center" vertical="center" wrapText="1" shrinkToFit="1"/>
    </xf>
    <xf numFmtId="0" fontId="43" fillId="0" borderId="445" xfId="11" applyFont="1" applyBorder="1" applyAlignment="1">
      <alignment horizontal="center" vertical="center" wrapText="1" shrinkToFit="1"/>
    </xf>
    <xf numFmtId="0" fontId="43" fillId="0" borderId="8" xfId="11" applyFont="1" applyBorder="1" applyAlignment="1">
      <alignment horizontal="center" vertical="center" wrapText="1" shrinkToFit="1"/>
    </xf>
    <xf numFmtId="9" fontId="43" fillId="0" borderId="433" xfId="11" applyNumberFormat="1" applyFont="1" applyBorder="1" applyAlignment="1">
      <alignment horizontal="center" vertical="center" wrapText="1" shrinkToFit="1"/>
    </xf>
    <xf numFmtId="0" fontId="74" fillId="0" borderId="316" xfId="1" applyNumberFormat="1" applyFont="1" applyFill="1" applyBorder="1" applyAlignment="1">
      <alignment horizontal="left" vertical="center" shrinkToFit="1"/>
    </xf>
    <xf numFmtId="0" fontId="62" fillId="18" borderId="432" xfId="11" applyFont="1" applyFill="1" applyBorder="1" applyAlignment="1">
      <alignment horizontal="center" vertical="center"/>
    </xf>
    <xf numFmtId="0" fontId="25" fillId="0" borderId="622" xfId="11" applyFont="1" applyBorder="1" applyAlignment="1">
      <alignment vertical="center"/>
    </xf>
    <xf numFmtId="0" fontId="62" fillId="29" borderId="39" xfId="11" applyFont="1" applyFill="1" applyBorder="1" applyAlignment="1">
      <alignment horizontal="center" vertical="center"/>
    </xf>
    <xf numFmtId="0" fontId="62" fillId="29" borderId="42" xfId="11" applyFont="1" applyFill="1" applyBorder="1" applyAlignment="1">
      <alignment horizontal="center" vertical="center"/>
    </xf>
    <xf numFmtId="38" fontId="49" fillId="6" borderId="5" xfId="15" applyFont="1" applyFill="1" applyBorder="1" applyAlignment="1">
      <alignment horizontal="center" vertical="center"/>
    </xf>
    <xf numFmtId="38" fontId="88" fillId="6" borderId="0" xfId="1" applyFont="1" applyFill="1" applyBorder="1" applyAlignment="1">
      <alignment horizontal="center" vertical="center"/>
    </xf>
    <xf numFmtId="38" fontId="89" fillId="6" borderId="28" xfId="1" applyFont="1" applyFill="1" applyBorder="1" applyAlignment="1">
      <alignment horizontal="center" vertical="center" shrinkToFit="1"/>
    </xf>
    <xf numFmtId="38" fontId="89" fillId="6" borderId="5" xfId="1" applyFont="1" applyFill="1" applyBorder="1" applyAlignment="1">
      <alignment horizontal="center" vertical="center" shrinkToFit="1"/>
    </xf>
    <xf numFmtId="38" fontId="88" fillId="6" borderId="0" xfId="1" applyFont="1" applyFill="1" applyBorder="1" applyAlignment="1">
      <alignment horizontal="center" vertical="center" shrinkToFit="1"/>
    </xf>
    <xf numFmtId="0" fontId="88" fillId="6" borderId="0" xfId="13" applyFont="1" applyFill="1">
      <alignment vertical="center"/>
    </xf>
    <xf numFmtId="38" fontId="89" fillId="6" borderId="282" xfId="1" applyFont="1" applyFill="1" applyBorder="1" applyAlignment="1">
      <alignment horizontal="center" vertical="center" shrinkToFit="1"/>
    </xf>
    <xf numFmtId="0" fontId="79" fillId="6" borderId="28" xfId="1" applyNumberFormat="1" applyFont="1" applyFill="1" applyBorder="1" applyAlignment="1">
      <alignment horizontal="center" vertical="center" shrinkToFit="1"/>
    </xf>
    <xf numFmtId="0" fontId="79" fillId="6" borderId="343" xfId="1" applyNumberFormat="1" applyFont="1" applyFill="1" applyBorder="1" applyAlignment="1">
      <alignment horizontal="center" vertical="center" shrinkToFit="1"/>
    </xf>
    <xf numFmtId="0" fontId="79" fillId="6" borderId="353" xfId="1" applyNumberFormat="1" applyFont="1" applyFill="1" applyBorder="1" applyAlignment="1">
      <alignment horizontal="center" vertical="center" shrinkToFit="1"/>
    </xf>
    <xf numFmtId="0" fontId="79" fillId="6" borderId="97" xfId="1" applyNumberFormat="1" applyFont="1" applyFill="1" applyBorder="1" applyAlignment="1">
      <alignment horizontal="center" vertical="center" shrinkToFit="1"/>
    </xf>
    <xf numFmtId="0" fontId="79" fillId="6" borderId="5" xfId="1" applyNumberFormat="1" applyFont="1" applyFill="1" applyBorder="1" applyAlignment="1">
      <alignment horizontal="center" vertical="center" shrinkToFit="1"/>
    </xf>
    <xf numFmtId="0" fontId="89" fillId="6" borderId="0" xfId="1" applyNumberFormat="1" applyFont="1" applyFill="1" applyBorder="1" applyAlignment="1">
      <alignment horizontal="center" vertical="center"/>
    </xf>
    <xf numFmtId="0" fontId="104" fillId="6" borderId="0" xfId="13" applyFont="1" applyFill="1">
      <alignment vertical="center"/>
    </xf>
    <xf numFmtId="0" fontId="88" fillId="6" borderId="398" xfId="1" applyNumberFormat="1" applyFont="1" applyFill="1" applyBorder="1" applyAlignment="1">
      <alignment horizontal="center" vertical="center" shrinkToFit="1"/>
    </xf>
    <xf numFmtId="0" fontId="88" fillId="6" borderId="6" xfId="1" applyNumberFormat="1" applyFont="1" applyFill="1" applyBorder="1" applyAlignment="1">
      <alignment horizontal="center" vertical="center" shrinkToFit="1"/>
    </xf>
    <xf numFmtId="0" fontId="88" fillId="6" borderId="581" xfId="1" applyNumberFormat="1" applyFont="1" applyFill="1" applyBorder="1" applyAlignment="1">
      <alignment horizontal="center" vertical="center" shrinkToFit="1"/>
    </xf>
    <xf numFmtId="0" fontId="88" fillId="6" borderId="37" xfId="1" applyNumberFormat="1" applyFont="1" applyFill="1" applyBorder="1" applyAlignment="1">
      <alignment horizontal="center" vertical="center" shrinkToFit="1"/>
    </xf>
    <xf numFmtId="0" fontId="88" fillId="6" borderId="580" xfId="1" applyNumberFormat="1" applyFont="1" applyFill="1" applyBorder="1" applyAlignment="1">
      <alignment horizontal="center" vertical="center" shrinkToFit="1"/>
    </xf>
    <xf numFmtId="0" fontId="88" fillId="6" borderId="585" xfId="1" applyNumberFormat="1" applyFont="1" applyFill="1" applyBorder="1" applyAlignment="1">
      <alignment horizontal="center" vertical="center" shrinkToFit="1"/>
    </xf>
    <xf numFmtId="0" fontId="88" fillId="6" borderId="578" xfId="1" applyNumberFormat="1" applyFont="1" applyFill="1" applyBorder="1" applyAlignment="1">
      <alignment horizontal="center" vertical="center" shrinkToFit="1"/>
    </xf>
    <xf numFmtId="0" fontId="88" fillId="6" borderId="579" xfId="1" applyNumberFormat="1" applyFont="1" applyFill="1" applyBorder="1" applyAlignment="1">
      <alignment horizontal="center" vertical="center" shrinkToFit="1"/>
    </xf>
    <xf numFmtId="0" fontId="88" fillId="6" borderId="584" xfId="1" applyNumberFormat="1" applyFont="1" applyFill="1" applyBorder="1" applyAlignment="1">
      <alignment horizontal="center" vertical="center" shrinkToFit="1"/>
    </xf>
    <xf numFmtId="0" fontId="88" fillId="6" borderId="6" xfId="0" applyFont="1" applyFill="1" applyBorder="1">
      <alignment vertical="center"/>
    </xf>
    <xf numFmtId="0" fontId="88" fillId="6" borderId="0" xfId="1" applyNumberFormat="1" applyFont="1" applyFill="1" applyBorder="1" applyAlignment="1">
      <alignment horizontal="center" vertical="center" shrinkToFit="1"/>
    </xf>
    <xf numFmtId="0" fontId="88" fillId="6" borderId="41" xfId="0" applyFont="1" applyFill="1" applyBorder="1">
      <alignment vertical="center"/>
    </xf>
    <xf numFmtId="0" fontId="88" fillId="6" borderId="7" xfId="1" applyNumberFormat="1" applyFont="1" applyFill="1" applyBorder="1" applyAlignment="1">
      <alignment horizontal="center" vertical="center" shrinkToFit="1"/>
    </xf>
    <xf numFmtId="0" fontId="40" fillId="6" borderId="0" xfId="0" applyFont="1" applyFill="1">
      <alignment vertical="center"/>
    </xf>
    <xf numFmtId="38" fontId="88" fillId="6" borderId="39" xfId="1" applyFont="1" applyFill="1" applyBorder="1" applyAlignment="1">
      <alignment horizontal="center" vertical="center" shrinkToFit="1"/>
    </xf>
    <xf numFmtId="0" fontId="88" fillId="6" borderId="282" xfId="0" applyFont="1" applyFill="1" applyBorder="1" applyAlignment="1">
      <alignment horizontal="center" vertical="center" shrinkToFit="1"/>
    </xf>
    <xf numFmtId="0" fontId="88" fillId="6" borderId="279" xfId="0" applyFont="1" applyFill="1" applyBorder="1" applyAlignment="1">
      <alignment horizontal="center" vertical="center" shrinkToFit="1"/>
    </xf>
    <xf numFmtId="0" fontId="88" fillId="6" borderId="601" xfId="0" applyFont="1" applyFill="1" applyBorder="1" applyAlignment="1">
      <alignment horizontal="center" vertical="center" shrinkToFit="1"/>
    </xf>
    <xf numFmtId="0" fontId="88" fillId="6" borderId="273" xfId="0" applyFont="1" applyFill="1" applyBorder="1" applyAlignment="1">
      <alignment horizontal="center" vertical="center" shrinkToFit="1"/>
    </xf>
    <xf numFmtId="0" fontId="88" fillId="6" borderId="474" xfId="0" applyFont="1" applyFill="1" applyBorder="1" applyAlignment="1">
      <alignment horizontal="center" vertical="center" shrinkToFit="1"/>
    </xf>
    <xf numFmtId="0" fontId="88" fillId="6" borderId="489" xfId="0" applyFont="1" applyFill="1" applyBorder="1" applyAlignment="1">
      <alignment horizontal="center" vertical="center" shrinkToFit="1"/>
    </xf>
    <xf numFmtId="0" fontId="88" fillId="6" borderId="542" xfId="0" applyFont="1" applyFill="1" applyBorder="1" applyAlignment="1">
      <alignment horizontal="center" vertical="center" shrinkToFit="1"/>
    </xf>
    <xf numFmtId="0" fontId="88" fillId="6" borderId="610" xfId="0" applyFont="1" applyFill="1" applyBorder="1" applyAlignment="1">
      <alignment horizontal="center" vertical="center" shrinkToFit="1"/>
    </xf>
    <xf numFmtId="0" fontId="88" fillId="6" borderId="503" xfId="0" applyFont="1" applyFill="1" applyBorder="1" applyAlignment="1">
      <alignment horizontal="center" vertical="center" shrinkToFit="1"/>
    </xf>
    <xf numFmtId="0" fontId="88" fillId="6" borderId="515" xfId="0" applyFont="1" applyFill="1" applyBorder="1" applyAlignment="1">
      <alignment horizontal="center" vertical="center" shrinkToFit="1"/>
    </xf>
    <xf numFmtId="0" fontId="88" fillId="6" borderId="527" xfId="0" applyFont="1" applyFill="1" applyBorder="1" applyAlignment="1">
      <alignment horizontal="center" vertical="center" shrinkToFit="1"/>
    </xf>
    <xf numFmtId="0" fontId="88" fillId="6" borderId="293" xfId="0" applyFont="1" applyFill="1" applyBorder="1" applyAlignment="1">
      <alignment horizontal="center" vertical="center" shrinkToFit="1"/>
    </xf>
    <xf numFmtId="0" fontId="88" fillId="6" borderId="0" xfId="0" applyFont="1" applyFill="1">
      <alignment vertical="center"/>
    </xf>
    <xf numFmtId="0" fontId="88" fillId="6" borderId="389" xfId="0" applyFont="1" applyFill="1" applyBorder="1" applyAlignment="1">
      <alignment horizontal="center" vertical="center" shrinkToFit="1"/>
    </xf>
    <xf numFmtId="0" fontId="88" fillId="6" borderId="0" xfId="0" applyFont="1" applyFill="1" applyAlignment="1">
      <alignment horizontal="center" vertical="center" shrinkToFit="1"/>
    </xf>
    <xf numFmtId="38" fontId="88" fillId="6" borderId="27" xfId="1" applyFont="1" applyFill="1" applyBorder="1" applyAlignment="1">
      <alignment horizontal="center" vertical="center" shrinkToFit="1"/>
    </xf>
    <xf numFmtId="0" fontId="88" fillId="6" borderId="621" xfId="0" applyFont="1" applyFill="1" applyBorder="1" applyAlignment="1">
      <alignment horizontal="center" vertical="center" shrinkToFit="1"/>
    </xf>
    <xf numFmtId="0" fontId="105" fillId="6" borderId="389" xfId="0" applyFont="1" applyFill="1" applyBorder="1" applyAlignment="1">
      <alignment horizontal="center" vertical="center" shrinkToFit="1"/>
    </xf>
    <xf numFmtId="0" fontId="89" fillId="6" borderId="0" xfId="1" applyNumberFormat="1" applyFont="1" applyFill="1" applyBorder="1" applyAlignment="1">
      <alignment horizontal="center" vertical="center" shrinkToFit="1"/>
    </xf>
    <xf numFmtId="0" fontId="89" fillId="6" borderId="587" xfId="1" applyNumberFormat="1" applyFont="1" applyFill="1" applyBorder="1" applyAlignment="1">
      <alignment horizontal="center" vertical="center" shrinkToFit="1"/>
    </xf>
    <xf numFmtId="0" fontId="89" fillId="6" borderId="612" xfId="1" applyNumberFormat="1" applyFont="1" applyFill="1" applyBorder="1" applyAlignment="1">
      <alignment horizontal="center" vertical="center" shrinkToFit="1"/>
    </xf>
    <xf numFmtId="0" fontId="89" fillId="6" borderId="588" xfId="1" applyNumberFormat="1" applyFont="1" applyFill="1" applyBorder="1" applyAlignment="1">
      <alignment horizontal="center" vertical="center" shrinkToFit="1"/>
    </xf>
    <xf numFmtId="0" fontId="89" fillId="6" borderId="613" xfId="1" applyNumberFormat="1" applyFont="1" applyFill="1" applyBorder="1" applyAlignment="1">
      <alignment horizontal="center" vertical="center" shrinkToFit="1"/>
    </xf>
    <xf numFmtId="0" fontId="89" fillId="6" borderId="586" xfId="1" applyNumberFormat="1" applyFont="1" applyFill="1" applyBorder="1" applyAlignment="1">
      <alignment horizontal="center" vertical="center" shrinkToFit="1"/>
    </xf>
    <xf numFmtId="0" fontId="89" fillId="6" borderId="614" xfId="1" applyNumberFormat="1" applyFont="1" applyFill="1" applyBorder="1" applyAlignment="1">
      <alignment horizontal="center" vertical="center" shrinkToFit="1"/>
    </xf>
    <xf numFmtId="0" fontId="89" fillId="6" borderId="589" xfId="1" applyNumberFormat="1" applyFont="1" applyFill="1" applyBorder="1" applyAlignment="1">
      <alignment horizontal="center" vertical="center" shrinkToFit="1"/>
    </xf>
    <xf numFmtId="0" fontId="89" fillId="6" borderId="617" xfId="1" applyNumberFormat="1" applyFont="1" applyFill="1" applyBorder="1" applyAlignment="1">
      <alignment horizontal="center" vertical="center" shrinkToFit="1"/>
    </xf>
    <xf numFmtId="0" fontId="88" fillId="6" borderId="0" xfId="0" applyFont="1" applyFill="1" applyAlignment="1">
      <alignment horizontal="center" vertical="center"/>
    </xf>
    <xf numFmtId="0" fontId="89" fillId="6" borderId="9" xfId="1" applyNumberFormat="1" applyFont="1" applyFill="1" applyBorder="1" applyAlignment="1">
      <alignment horizontal="center" vertical="center" shrinkToFit="1"/>
    </xf>
    <xf numFmtId="0" fontId="89" fillId="6" borderId="567" xfId="1" applyNumberFormat="1" applyFont="1" applyFill="1" applyBorder="1" applyAlignment="1">
      <alignment horizontal="center" vertical="center" shrinkToFit="1"/>
    </xf>
    <xf numFmtId="0" fontId="89" fillId="6" borderId="5" xfId="1" applyNumberFormat="1" applyFont="1" applyFill="1" applyBorder="1" applyAlignment="1">
      <alignment horizontal="center" vertical="center" shrinkToFit="1"/>
    </xf>
    <xf numFmtId="0" fontId="43" fillId="0" borderId="27" xfId="0" applyFont="1" applyBorder="1" applyAlignment="1">
      <alignment horizontal="center" vertical="center" shrinkToFit="1"/>
    </xf>
    <xf numFmtId="38" fontId="43" fillId="0" borderId="26" xfId="1" applyFont="1" applyFill="1" applyBorder="1" applyAlignment="1">
      <alignment horizontal="center" vertical="center" shrinkToFit="1"/>
    </xf>
    <xf numFmtId="38" fontId="43" fillId="0" borderId="26" xfId="1" applyFont="1" applyFill="1" applyBorder="1" applyAlignment="1">
      <alignment horizontal="center" vertical="center" wrapText="1" shrinkToFit="1"/>
    </xf>
    <xf numFmtId="38" fontId="88" fillId="0" borderId="526" xfId="1" applyFont="1" applyFill="1" applyBorder="1" applyAlignment="1">
      <alignment horizontal="left" vertical="center" shrinkToFit="1"/>
    </xf>
    <xf numFmtId="38" fontId="88" fillId="0" borderId="28" xfId="1" applyFont="1" applyFill="1" applyBorder="1" applyAlignment="1">
      <alignment vertical="center" shrinkToFit="1"/>
    </xf>
    <xf numFmtId="38" fontId="43" fillId="0" borderId="28" xfId="1" applyFont="1" applyFill="1" applyBorder="1" applyAlignment="1">
      <alignment horizontal="center" vertical="center" wrapText="1" shrinkToFit="1"/>
    </xf>
    <xf numFmtId="38" fontId="88" fillId="6" borderId="41" xfId="1" applyFont="1" applyFill="1" applyBorder="1" applyAlignment="1">
      <alignment horizontal="center" vertical="center" shrinkToFit="1"/>
    </xf>
    <xf numFmtId="0" fontId="88" fillId="6" borderId="283" xfId="1" applyNumberFormat="1" applyFont="1" applyFill="1" applyBorder="1" applyAlignment="1">
      <alignment horizontal="center" vertical="center" shrinkToFit="1"/>
    </xf>
    <xf numFmtId="0" fontId="88" fillId="6" borderId="306" xfId="1" applyNumberFormat="1" applyFont="1" applyFill="1" applyBorder="1" applyAlignment="1">
      <alignment horizontal="center" vertical="center" shrinkToFit="1"/>
    </xf>
    <xf numFmtId="0" fontId="88" fillId="6" borderId="318" xfId="1" applyNumberFormat="1" applyFont="1" applyFill="1" applyBorder="1" applyAlignment="1">
      <alignment horizontal="center" vertical="center" shrinkToFit="1"/>
    </xf>
    <xf numFmtId="0" fontId="88" fillId="6" borderId="41" xfId="1" applyNumberFormat="1" applyFont="1" applyFill="1" applyBorder="1" applyAlignment="1">
      <alignment horizontal="center" vertical="center" shrinkToFit="1"/>
    </xf>
    <xf numFmtId="0" fontId="88" fillId="6" borderId="342" xfId="1" applyNumberFormat="1" applyFont="1" applyFill="1" applyBorder="1" applyAlignment="1">
      <alignment horizontal="center" vertical="center" shrinkToFit="1"/>
    </xf>
    <xf numFmtId="0" fontId="88" fillId="6" borderId="11" xfId="1" applyNumberFormat="1" applyFont="1" applyFill="1" applyBorder="1" applyAlignment="1">
      <alignment horizontal="center" vertical="center" shrinkToFit="1"/>
    </xf>
    <xf numFmtId="0" fontId="88" fillId="6" borderId="28" xfId="1" applyNumberFormat="1" applyFont="1" applyFill="1" applyBorder="1" applyAlignment="1">
      <alignment horizontal="center" vertical="center" shrinkToFit="1"/>
    </xf>
    <xf numFmtId="0" fontId="88" fillId="6" borderId="5" xfId="1" applyNumberFormat="1" applyFont="1" applyFill="1" applyBorder="1" applyAlignment="1">
      <alignment horizontal="center" vertical="center" shrinkToFit="1"/>
    </xf>
    <xf numFmtId="0" fontId="88" fillId="6" borderId="0" xfId="1" applyNumberFormat="1" applyFont="1" applyFill="1" applyBorder="1" applyAlignment="1">
      <alignment horizontal="center" vertical="center"/>
    </xf>
    <xf numFmtId="0" fontId="62" fillId="14" borderId="38" xfId="11" applyFont="1" applyFill="1" applyBorder="1" applyAlignment="1">
      <alignment horizontal="center" vertical="center" wrapText="1"/>
    </xf>
    <xf numFmtId="0" fontId="50" fillId="18" borderId="7" xfId="11" applyFont="1" applyFill="1" applyBorder="1" applyAlignment="1">
      <alignment horizontal="center" vertical="center" wrapText="1"/>
    </xf>
    <xf numFmtId="0" fontId="49" fillId="0" borderId="5" xfId="11" applyFont="1" applyBorder="1" applyAlignment="1">
      <alignment vertical="center"/>
    </xf>
    <xf numFmtId="38" fontId="32" fillId="6" borderId="293" xfId="1" applyFont="1" applyFill="1" applyBorder="1" applyAlignment="1">
      <alignment horizontal="center" vertical="center" shrinkToFit="1"/>
    </xf>
    <xf numFmtId="0" fontId="25" fillId="6" borderId="0" xfId="11" applyFont="1" applyFill="1" applyAlignment="1">
      <alignment horizontal="center" vertical="center"/>
    </xf>
    <xf numFmtId="0" fontId="104" fillId="6" borderId="0" xfId="11" applyFont="1" applyFill="1" applyAlignment="1">
      <alignment horizontal="left" vertical="center"/>
    </xf>
    <xf numFmtId="0" fontId="63" fillId="6" borderId="5" xfId="11" applyFont="1" applyFill="1" applyBorder="1" applyAlignment="1">
      <alignment horizontal="center" vertical="center" wrapText="1"/>
    </xf>
    <xf numFmtId="201" fontId="81" fillId="6" borderId="439" xfId="11" applyNumberFormat="1" applyFont="1" applyFill="1" applyBorder="1" applyAlignment="1">
      <alignment horizontal="center" vertical="center" wrapText="1"/>
    </xf>
    <xf numFmtId="201" fontId="81" fillId="6" borderId="450" xfId="11" applyNumberFormat="1" applyFont="1" applyFill="1" applyBorder="1" applyAlignment="1">
      <alignment horizontal="center" vertical="center" wrapText="1"/>
    </xf>
    <xf numFmtId="201" fontId="81" fillId="6" borderId="439" xfId="11" applyNumberFormat="1" applyFont="1" applyFill="1" applyBorder="1" applyAlignment="1">
      <alignment horizontal="center" vertical="center"/>
    </xf>
    <xf numFmtId="201" fontId="81" fillId="6" borderId="432" xfId="11" applyNumberFormat="1" applyFont="1" applyFill="1" applyBorder="1" applyAlignment="1">
      <alignment horizontal="center" vertical="center"/>
    </xf>
    <xf numFmtId="201" fontId="81" fillId="6" borderId="432" xfId="11" applyNumberFormat="1" applyFont="1" applyFill="1" applyBorder="1" applyAlignment="1">
      <alignment horizontal="center" vertical="center" wrapText="1"/>
    </xf>
    <xf numFmtId="181" fontId="32" fillId="6" borderId="0" xfId="11" applyNumberFormat="1" applyFont="1" applyFill="1" applyAlignment="1">
      <alignment horizontal="center" vertical="top" shrinkToFit="1"/>
    </xf>
    <xf numFmtId="0" fontId="32" fillId="6" borderId="0" xfId="11" applyFont="1" applyFill="1" applyAlignment="1">
      <alignment horizontal="center" vertical="center"/>
    </xf>
    <xf numFmtId="0" fontId="106" fillId="6" borderId="0" xfId="11" applyFont="1" applyFill="1" applyAlignment="1">
      <alignment vertical="center"/>
    </xf>
    <xf numFmtId="0" fontId="32" fillId="6" borderId="0" xfId="11" applyFont="1" applyFill="1" applyAlignment="1">
      <alignment vertical="center"/>
    </xf>
    <xf numFmtId="201" fontId="63" fillId="6" borderId="5" xfId="11" applyNumberFormat="1" applyFont="1" applyFill="1" applyBorder="1" applyAlignment="1">
      <alignment horizontal="center" vertical="center"/>
    </xf>
    <xf numFmtId="201" fontId="63" fillId="6" borderId="27" xfId="11" applyNumberFormat="1" applyFont="1" applyFill="1" applyBorder="1" applyAlignment="1">
      <alignment horizontal="center" vertical="center"/>
    </xf>
    <xf numFmtId="201" fontId="63" fillId="6" borderId="429" xfId="11" applyNumberFormat="1" applyFont="1" applyFill="1" applyBorder="1" applyAlignment="1">
      <alignment horizontal="center" vertical="center"/>
    </xf>
    <xf numFmtId="201" fontId="63" fillId="6" borderId="62" xfId="11" applyNumberFormat="1" applyFont="1" applyFill="1" applyBorder="1" applyAlignment="1">
      <alignment horizontal="center" vertical="center"/>
    </xf>
    <xf numFmtId="0" fontId="60" fillId="6" borderId="570" xfId="11" applyFont="1" applyFill="1" applyBorder="1" applyAlignment="1">
      <alignment horizontal="center" vertical="center"/>
    </xf>
    <xf numFmtId="0" fontId="62" fillId="6" borderId="0" xfId="11" applyFont="1" applyFill="1" applyAlignment="1">
      <alignment horizontal="center" vertical="center"/>
    </xf>
    <xf numFmtId="0" fontId="63" fillId="6" borderId="27" xfId="11" applyFont="1" applyFill="1" applyBorder="1" applyAlignment="1">
      <alignment horizontal="left" vertical="center" wrapText="1"/>
    </xf>
    <xf numFmtId="0" fontId="63" fillId="6" borderId="28" xfId="11" applyFont="1" applyFill="1" applyBorder="1" applyAlignment="1">
      <alignment horizontal="center" vertical="center"/>
    </xf>
    <xf numFmtId="0" fontId="81" fillId="6" borderId="570" xfId="11" applyFont="1" applyFill="1" applyBorder="1" applyAlignment="1">
      <alignment horizontal="center" vertical="center"/>
    </xf>
    <xf numFmtId="0" fontId="63" fillId="6" borderId="0" xfId="11" applyFont="1" applyFill="1" applyAlignment="1">
      <alignment horizontal="center" vertical="center"/>
    </xf>
    <xf numFmtId="0" fontId="63" fillId="6" borderId="26" xfId="11" applyFont="1" applyFill="1" applyBorder="1" applyAlignment="1">
      <alignment horizontal="center" vertical="center"/>
    </xf>
    <xf numFmtId="0" fontId="81" fillId="6" borderId="5" xfId="15" applyNumberFormat="1" applyFont="1" applyFill="1" applyBorder="1" applyAlignment="1">
      <alignment horizontal="center" vertical="center"/>
    </xf>
    <xf numFmtId="0" fontId="81" fillId="6" borderId="42" xfId="15" applyNumberFormat="1" applyFont="1" applyFill="1" applyBorder="1" applyAlignment="1">
      <alignment horizontal="center" vertical="center"/>
    </xf>
    <xf numFmtId="0" fontId="81" fillId="6" borderId="9" xfId="15" applyNumberFormat="1" applyFont="1" applyFill="1" applyBorder="1" applyAlignment="1">
      <alignment horizontal="center" vertical="center"/>
    </xf>
    <xf numFmtId="0" fontId="94" fillId="6" borderId="5" xfId="11" applyFont="1" applyFill="1" applyBorder="1" applyAlignment="1">
      <alignment horizontal="center" vertical="center"/>
    </xf>
    <xf numFmtId="0" fontId="94" fillId="6" borderId="38" xfId="11" applyFont="1" applyFill="1" applyBorder="1" applyAlignment="1">
      <alignment horizontal="center" vertical="center"/>
    </xf>
    <xf numFmtId="0" fontId="81" fillId="6" borderId="5" xfId="11" applyFont="1" applyFill="1" applyBorder="1" applyAlignment="1">
      <alignment horizontal="center" vertical="center" shrinkToFit="1"/>
    </xf>
    <xf numFmtId="0" fontId="63" fillId="6" borderId="39" xfId="11" applyFont="1" applyFill="1" applyBorder="1" applyAlignment="1">
      <alignment horizontal="center" vertical="center"/>
    </xf>
    <xf numFmtId="0" fontId="63" fillId="6" borderId="42" xfId="11" applyFont="1" applyFill="1" applyBorder="1" applyAlignment="1">
      <alignment horizontal="center" vertical="center"/>
    </xf>
    <xf numFmtId="0" fontId="75" fillId="6" borderId="570" xfId="11" applyFont="1" applyFill="1" applyBorder="1" applyAlignment="1">
      <alignment horizontal="center" vertical="center"/>
    </xf>
    <xf numFmtId="38" fontId="75" fillId="6" borderId="42" xfId="15" applyFont="1" applyFill="1" applyBorder="1" applyAlignment="1">
      <alignment horizontal="center" vertical="center" wrapText="1"/>
    </xf>
    <xf numFmtId="38" fontId="75" fillId="6" borderId="42" xfId="15" applyFont="1" applyFill="1" applyBorder="1" applyAlignment="1">
      <alignment horizontal="center" vertical="center"/>
    </xf>
    <xf numFmtId="38" fontId="75" fillId="6" borderId="9" xfId="15" applyFont="1" applyFill="1" applyBorder="1" applyAlignment="1">
      <alignment horizontal="center" vertical="center"/>
    </xf>
    <xf numFmtId="0" fontId="107" fillId="6" borderId="0" xfId="11" applyFont="1" applyFill="1"/>
    <xf numFmtId="0" fontId="108" fillId="6" borderId="41" xfId="11" applyFont="1" applyFill="1" applyBorder="1" applyAlignment="1">
      <alignment vertical="top"/>
    </xf>
    <xf numFmtId="0" fontId="63" fillId="6" borderId="5" xfId="11" applyFont="1" applyFill="1" applyBorder="1" applyAlignment="1">
      <alignment horizontal="center" vertical="center" shrinkToFit="1"/>
    </xf>
    <xf numFmtId="0" fontId="79" fillId="6" borderId="5" xfId="11" applyFont="1" applyFill="1" applyBorder="1" applyAlignment="1">
      <alignment horizontal="center" vertical="center" shrinkToFit="1"/>
    </xf>
    <xf numFmtId="38" fontId="0" fillId="0" borderId="0" xfId="1" applyFont="1" applyFill="1">
      <alignment vertical="center"/>
    </xf>
    <xf numFmtId="181" fontId="78" fillId="0" borderId="0" xfId="0" applyNumberFormat="1" applyFont="1">
      <alignment vertical="center"/>
    </xf>
    <xf numFmtId="0" fontId="4" fillId="0" borderId="0" xfId="0" applyFont="1">
      <alignment vertical="center"/>
    </xf>
    <xf numFmtId="0" fontId="109" fillId="0" borderId="0" xfId="0" applyFont="1" applyAlignment="1">
      <alignment horizontal="center" vertical="center"/>
    </xf>
    <xf numFmtId="38" fontId="4" fillId="0" borderId="0" xfId="0" applyNumberFormat="1" applyFont="1">
      <alignment vertical="center"/>
    </xf>
    <xf numFmtId="0" fontId="110" fillId="0" borderId="0" xfId="0" applyFont="1" applyAlignment="1">
      <alignment horizontal="left" vertical="center"/>
    </xf>
    <xf numFmtId="0" fontId="4" fillId="21" borderId="7" xfId="0" applyFont="1" applyFill="1" applyBorder="1">
      <alignment vertical="center"/>
    </xf>
    <xf numFmtId="0" fontId="111" fillId="21" borderId="8" xfId="0" applyFont="1" applyFill="1" applyBorder="1" applyAlignment="1">
      <alignment horizontal="center" vertical="center"/>
    </xf>
    <xf numFmtId="0" fontId="4" fillId="21" borderId="9" xfId="0" applyFont="1" applyFill="1" applyBorder="1">
      <alignment vertical="center"/>
    </xf>
    <xf numFmtId="0" fontId="109" fillId="0" borderId="37" xfId="0" applyFont="1" applyBorder="1" applyAlignment="1">
      <alignment horizontal="center" vertical="center"/>
    </xf>
    <xf numFmtId="0" fontId="4" fillId="0" borderId="39" xfId="0" applyFont="1" applyBorder="1" applyAlignment="1">
      <alignment horizontal="left" vertical="center"/>
    </xf>
    <xf numFmtId="38" fontId="4" fillId="0" borderId="5" xfId="0" applyNumberFormat="1" applyFont="1" applyBorder="1">
      <alignment vertical="center"/>
    </xf>
    <xf numFmtId="0" fontId="4" fillId="0" borderId="5" xfId="0" applyFont="1" applyBorder="1">
      <alignment vertical="center"/>
    </xf>
    <xf numFmtId="0" fontId="109" fillId="0" borderId="6" xfId="0" applyFont="1" applyBorder="1" applyAlignment="1">
      <alignment horizontal="center" vertical="center"/>
    </xf>
    <xf numFmtId="0" fontId="4" fillId="0" borderId="142" xfId="0" applyFont="1" applyBorder="1" applyAlignment="1">
      <alignment horizontal="left" vertical="center"/>
    </xf>
    <xf numFmtId="0" fontId="109" fillId="0" borderId="40" xfId="0" applyFont="1" applyBorder="1" applyAlignment="1">
      <alignment horizontal="center" vertical="center"/>
    </xf>
    <xf numFmtId="0" fontId="4" fillId="0" borderId="39" xfId="0" applyFont="1" applyBorder="1">
      <alignment vertical="center"/>
    </xf>
    <xf numFmtId="41" fontId="4" fillId="0" borderId="0" xfId="0" applyNumberFormat="1" applyFont="1">
      <alignment vertical="center"/>
    </xf>
    <xf numFmtId="0" fontId="4" fillId="0" borderId="142" xfId="0" applyFont="1" applyBorder="1">
      <alignment vertical="center"/>
    </xf>
    <xf numFmtId="0" fontId="4" fillId="0" borderId="42" xfId="0" applyFont="1" applyBorder="1">
      <alignment vertical="center"/>
    </xf>
    <xf numFmtId="0" fontId="112" fillId="0" borderId="0" xfId="2" applyFont="1">
      <alignment vertical="center"/>
    </xf>
    <xf numFmtId="0" fontId="113" fillId="0" borderId="0" xfId="2" applyFont="1">
      <alignment vertical="center"/>
    </xf>
    <xf numFmtId="0" fontId="114" fillId="0" borderId="0" xfId="2" applyFont="1">
      <alignment vertical="center"/>
    </xf>
    <xf numFmtId="0" fontId="113" fillId="0" borderId="0" xfId="2" applyFont="1" applyAlignment="1">
      <alignment horizontal="center" vertical="center"/>
    </xf>
    <xf numFmtId="38" fontId="113" fillId="0" borderId="0" xfId="2" applyNumberFormat="1" applyFont="1">
      <alignment vertical="center"/>
    </xf>
    <xf numFmtId="0" fontId="115" fillId="0" borderId="0" xfId="2" applyFont="1" applyAlignment="1">
      <alignment horizontal="right" vertical="center"/>
    </xf>
    <xf numFmtId="0" fontId="116" fillId="0" borderId="0" xfId="3" applyFont="1" applyAlignment="1">
      <alignment horizontal="center" vertical="center"/>
    </xf>
    <xf numFmtId="38" fontId="116" fillId="0" borderId="5" xfId="3" applyNumberFormat="1" applyFont="1" applyBorder="1" applyAlignment="1">
      <alignment horizontal="center" vertical="center"/>
    </xf>
    <xf numFmtId="0" fontId="116" fillId="0" borderId="5" xfId="3" applyFont="1" applyBorder="1" applyAlignment="1">
      <alignment horizontal="center" vertical="center"/>
    </xf>
    <xf numFmtId="0" fontId="113" fillId="16" borderId="5" xfId="3" applyFont="1" applyFill="1" applyBorder="1">
      <alignment vertical="center"/>
    </xf>
    <xf numFmtId="0" fontId="113" fillId="16" borderId="5" xfId="3" applyFont="1" applyFill="1" applyBorder="1" applyAlignment="1">
      <alignment horizontal="center" vertical="center" shrinkToFit="1"/>
    </xf>
    <xf numFmtId="38" fontId="113" fillId="16" borderId="5" xfId="3" applyNumberFormat="1" applyFont="1" applyFill="1" applyBorder="1" applyAlignment="1">
      <alignment horizontal="center" vertical="center" shrinkToFit="1"/>
    </xf>
    <xf numFmtId="0" fontId="113" fillId="16" borderId="5" xfId="3" applyFont="1" applyFill="1" applyBorder="1" applyAlignment="1">
      <alignment horizontal="center" vertical="center" wrapText="1" shrinkToFit="1"/>
    </xf>
    <xf numFmtId="0" fontId="117" fillId="16" borderId="5" xfId="3" applyFont="1" applyFill="1" applyBorder="1" applyAlignment="1">
      <alignment horizontal="center" vertical="center" wrapText="1" shrinkToFit="1"/>
    </xf>
    <xf numFmtId="0" fontId="114" fillId="16" borderId="5" xfId="3" applyFont="1" applyFill="1" applyBorder="1" applyAlignment="1">
      <alignment horizontal="center" vertical="center" shrinkToFit="1"/>
    </xf>
    <xf numFmtId="0" fontId="113" fillId="0" borderId="5" xfId="3" applyFont="1" applyBorder="1" applyAlignment="1">
      <alignment horizontal="center" vertical="center"/>
    </xf>
    <xf numFmtId="0" fontId="113" fillId="0" borderId="5" xfId="3" applyFont="1" applyBorder="1">
      <alignment vertical="center"/>
    </xf>
    <xf numFmtId="38" fontId="113" fillId="0" borderId="5" xfId="3" applyNumberFormat="1" applyFont="1" applyBorder="1">
      <alignment vertical="center"/>
    </xf>
    <xf numFmtId="0" fontId="113" fillId="0" borderId="5" xfId="3" applyFont="1" applyBorder="1" applyAlignment="1">
      <alignment horizontal="center" vertical="center" shrinkToFit="1"/>
    </xf>
    <xf numFmtId="0" fontId="118" fillId="0" borderId="5" xfId="3" applyFont="1" applyBorder="1" applyAlignment="1">
      <alignment horizontal="center" vertical="center"/>
    </xf>
    <xf numFmtId="0" fontId="119" fillId="0" borderId="5" xfId="3" applyFont="1" applyBorder="1" applyAlignment="1">
      <alignment horizontal="center" vertical="center"/>
    </xf>
    <xf numFmtId="0" fontId="118" fillId="0" borderId="5" xfId="3" applyFont="1" applyBorder="1">
      <alignment vertical="center"/>
    </xf>
    <xf numFmtId="9" fontId="118" fillId="0" borderId="5" xfId="4" applyFont="1" applyBorder="1">
      <alignment vertical="center"/>
    </xf>
    <xf numFmtId="0" fontId="119" fillId="0" borderId="5" xfId="3" applyFont="1" applyBorder="1" applyAlignment="1">
      <alignment horizontal="center" vertical="center" shrinkToFit="1"/>
    </xf>
    <xf numFmtId="0" fontId="119" fillId="0" borderId="5" xfId="2" applyFont="1" applyBorder="1" applyAlignment="1">
      <alignment horizontal="right" vertical="center" shrinkToFit="1"/>
    </xf>
    <xf numFmtId="202" fontId="119" fillId="0" borderId="5" xfId="2" applyNumberFormat="1" applyFont="1" applyBorder="1" applyAlignment="1">
      <alignment horizontal="right" vertical="center" shrinkToFit="1"/>
    </xf>
    <xf numFmtId="0" fontId="119" fillId="0" borderId="5" xfId="2" applyFont="1" applyBorder="1" applyAlignment="1">
      <alignment horizontal="center" vertical="center" shrinkToFit="1"/>
    </xf>
    <xf numFmtId="0" fontId="114" fillId="0" borderId="5" xfId="3" applyFont="1" applyBorder="1" applyAlignment="1">
      <alignment horizontal="center" vertical="center"/>
    </xf>
    <xf numFmtId="0" fontId="114" fillId="0" borderId="5" xfId="3" applyFont="1" applyBorder="1">
      <alignment vertical="center"/>
    </xf>
    <xf numFmtId="38" fontId="114" fillId="0" borderId="5" xfId="3" applyNumberFormat="1" applyFont="1" applyBorder="1">
      <alignment vertical="center"/>
    </xf>
    <xf numFmtId="0" fontId="114" fillId="0" borderId="5" xfId="3" applyFont="1" applyBorder="1" applyAlignment="1">
      <alignment horizontal="center" vertical="center" shrinkToFit="1"/>
    </xf>
    <xf numFmtId="0" fontId="119" fillId="0" borderId="5" xfId="3" applyFont="1" applyBorder="1">
      <alignment vertical="center"/>
    </xf>
    <xf numFmtId="9" fontId="119" fillId="0" borderId="5" xfId="4" applyFont="1" applyBorder="1">
      <alignment vertical="center"/>
    </xf>
    <xf numFmtId="0" fontId="114" fillId="0" borderId="5" xfId="2" applyFont="1" applyBorder="1" applyAlignment="1">
      <alignment horizontal="center" vertical="center"/>
    </xf>
    <xf numFmtId="0" fontId="114" fillId="0" borderId="5" xfId="2" applyFont="1" applyBorder="1">
      <alignment vertical="center"/>
    </xf>
    <xf numFmtId="0" fontId="114" fillId="0" borderId="5" xfId="2" applyFont="1" applyBorder="1" applyAlignment="1">
      <alignment horizontal="right" vertical="center"/>
    </xf>
    <xf numFmtId="0" fontId="120" fillId="0" borderId="0" xfId="3" applyFont="1" applyAlignment="1">
      <alignment horizontal="center" vertical="center" shrinkToFit="1"/>
    </xf>
    <xf numFmtId="0" fontId="120" fillId="0" borderId="0" xfId="3" applyFont="1">
      <alignment vertical="center"/>
    </xf>
    <xf numFmtId="0" fontId="120" fillId="0" borderId="0" xfId="2" applyFont="1" applyAlignment="1">
      <alignment horizontal="right" vertical="center" shrinkToFit="1"/>
    </xf>
    <xf numFmtId="0" fontId="120" fillId="0" borderId="0" xfId="3" applyFont="1" applyAlignment="1">
      <alignment horizontal="right" vertical="center"/>
    </xf>
    <xf numFmtId="0" fontId="120" fillId="0" borderId="0" xfId="3" applyFont="1" applyAlignment="1">
      <alignment horizontal="center" vertical="center"/>
    </xf>
    <xf numFmtId="9" fontId="118" fillId="0" borderId="5" xfId="4" applyFont="1" applyBorder="1" applyAlignment="1">
      <alignment horizontal="center" vertical="center"/>
    </xf>
    <xf numFmtId="38" fontId="121" fillId="0" borderId="5" xfId="3" applyNumberFormat="1" applyFont="1" applyBorder="1">
      <alignment vertical="center"/>
    </xf>
    <xf numFmtId="0" fontId="113" fillId="0" borderId="5" xfId="2" applyFont="1" applyBorder="1" applyAlignment="1">
      <alignment horizontal="center" vertical="center"/>
    </xf>
    <xf numFmtId="0" fontId="113" fillId="0" borderId="5" xfId="2" applyFont="1" applyBorder="1">
      <alignment vertical="center"/>
    </xf>
    <xf numFmtId="38" fontId="113" fillId="0" borderId="5" xfId="2" applyNumberFormat="1" applyFont="1" applyBorder="1">
      <alignment vertical="center"/>
    </xf>
    <xf numFmtId="0" fontId="112" fillId="0" borderId="5" xfId="2" applyFont="1" applyBorder="1">
      <alignment vertical="center"/>
    </xf>
    <xf numFmtId="0" fontId="115" fillId="0" borderId="5" xfId="2" applyFont="1" applyBorder="1" applyAlignment="1">
      <alignment horizontal="right" vertical="center"/>
    </xf>
    <xf numFmtId="38" fontId="89" fillId="6" borderId="470" xfId="1" applyFont="1" applyFill="1" applyBorder="1" applyAlignment="1">
      <alignment horizontal="center" vertical="center" shrinkToFit="1"/>
    </xf>
    <xf numFmtId="38" fontId="89" fillId="6" borderId="623" xfId="1" applyFont="1" applyFill="1" applyBorder="1" applyAlignment="1">
      <alignment horizontal="center" vertical="center" shrinkToFit="1"/>
    </xf>
    <xf numFmtId="38" fontId="96" fillId="0" borderId="624" xfId="1" applyFont="1" applyFill="1" applyBorder="1" applyAlignment="1">
      <alignment horizontal="center" vertical="center" wrapText="1" shrinkToFit="1"/>
    </xf>
    <xf numFmtId="38" fontId="96" fillId="19" borderId="624" xfId="1" applyFont="1" applyFill="1" applyBorder="1" applyAlignment="1">
      <alignment horizontal="center" vertical="center" wrapText="1" shrinkToFit="1"/>
    </xf>
    <xf numFmtId="38" fontId="96" fillId="0" borderId="625" xfId="1" applyFont="1" applyFill="1" applyBorder="1" applyAlignment="1">
      <alignment horizontal="center" vertical="center" wrapText="1" shrinkToFit="1"/>
    </xf>
    <xf numFmtId="38" fontId="45" fillId="0" borderId="623" xfId="1" applyFont="1" applyFill="1" applyBorder="1" applyAlignment="1">
      <alignment horizontal="center" vertical="center" shrinkToFit="1"/>
    </xf>
    <xf numFmtId="38" fontId="45" fillId="9" borderId="627" xfId="1" applyFont="1" applyFill="1" applyBorder="1" applyAlignment="1">
      <alignment horizontal="center" vertical="center" shrinkToFit="1"/>
    </xf>
    <xf numFmtId="38" fontId="45" fillId="0" borderId="628" xfId="1" applyFont="1" applyFill="1" applyBorder="1" applyAlignment="1">
      <alignment horizontal="center" vertical="center" shrinkToFit="1"/>
    </xf>
    <xf numFmtId="38" fontId="96" fillId="0" borderId="628" xfId="1" applyFont="1" applyFill="1" applyBorder="1" applyAlignment="1">
      <alignment horizontal="center" vertical="center" wrapText="1" shrinkToFit="1"/>
    </xf>
    <xf numFmtId="38" fontId="96" fillId="19" borderId="628" xfId="1" applyFont="1" applyFill="1" applyBorder="1" applyAlignment="1">
      <alignment horizontal="center" vertical="center" wrapText="1" shrinkToFit="1"/>
    </xf>
    <xf numFmtId="38" fontId="96" fillId="0" borderId="629" xfId="1" applyFont="1" applyFill="1" applyBorder="1" applyAlignment="1">
      <alignment horizontal="center" vertical="center" wrapText="1" shrinkToFit="1"/>
    </xf>
    <xf numFmtId="38" fontId="45" fillId="0" borderId="631" xfId="1" applyFont="1" applyFill="1" applyBorder="1" applyAlignment="1">
      <alignment horizontal="center" vertical="center" shrinkToFit="1"/>
    </xf>
    <xf numFmtId="38" fontId="45" fillId="9" borderId="628" xfId="1" applyFont="1" applyFill="1" applyBorder="1" applyAlignment="1">
      <alignment horizontal="center" vertical="center" shrinkToFit="1"/>
    </xf>
    <xf numFmtId="38" fontId="45" fillId="9" borderId="633" xfId="1" applyFont="1" applyFill="1" applyBorder="1" applyAlignment="1">
      <alignment horizontal="center" vertical="center" shrinkToFit="1"/>
    </xf>
    <xf numFmtId="38" fontId="45" fillId="0" borderId="633" xfId="1" applyFont="1" applyFill="1" applyBorder="1" applyAlignment="1">
      <alignment horizontal="center" vertical="center" shrinkToFit="1"/>
    </xf>
    <xf numFmtId="38" fontId="96" fillId="0" borderId="633" xfId="1" applyFont="1" applyFill="1" applyBorder="1" applyAlignment="1">
      <alignment horizontal="center" vertical="center" wrapText="1" shrinkToFit="1"/>
    </xf>
    <xf numFmtId="38" fontId="96" fillId="19" borderId="633" xfId="1" applyFont="1" applyFill="1" applyBorder="1" applyAlignment="1">
      <alignment horizontal="center" vertical="center" wrapText="1" shrinkToFit="1"/>
    </xf>
    <xf numFmtId="38" fontId="96" fillId="0" borderId="634" xfId="1" applyFont="1" applyFill="1" applyBorder="1" applyAlignment="1">
      <alignment horizontal="center" vertical="center" wrapText="1" shrinkToFit="1"/>
    </xf>
    <xf numFmtId="38" fontId="45" fillId="0" borderId="636" xfId="1" applyFont="1" applyFill="1" applyBorder="1" applyAlignment="1">
      <alignment horizontal="center" vertical="center" shrinkToFit="1"/>
    </xf>
    <xf numFmtId="38" fontId="43" fillId="9" borderId="637" xfId="1" applyFont="1" applyFill="1" applyBorder="1" applyAlignment="1">
      <alignment horizontal="center" vertical="center" shrinkToFit="1"/>
    </xf>
    <xf numFmtId="38" fontId="43" fillId="9" borderId="631" xfId="1" applyFont="1" applyFill="1" applyBorder="1" applyAlignment="1">
      <alignment horizontal="center" vertical="center" shrinkToFit="1"/>
    </xf>
    <xf numFmtId="38" fontId="36" fillId="0" borderId="628" xfId="1" applyFont="1" applyFill="1" applyBorder="1" applyAlignment="1">
      <alignment horizontal="center" vertical="center" wrapText="1" shrinkToFit="1"/>
    </xf>
    <xf numFmtId="38" fontId="36" fillId="19" borderId="628" xfId="1" applyFont="1" applyFill="1" applyBorder="1" applyAlignment="1">
      <alignment horizontal="center" vertical="center" wrapText="1" shrinkToFit="1"/>
    </xf>
    <xf numFmtId="38" fontId="36" fillId="0" borderId="629" xfId="1" applyFont="1" applyFill="1" applyBorder="1" applyAlignment="1">
      <alignment horizontal="center" vertical="center" wrapText="1" shrinkToFit="1"/>
    </xf>
    <xf numFmtId="38" fontId="43" fillId="9" borderId="638" xfId="1" applyFont="1" applyFill="1" applyBorder="1" applyAlignment="1">
      <alignment horizontal="center" vertical="center" shrinkToFit="1"/>
    </xf>
    <xf numFmtId="38" fontId="43" fillId="9" borderId="636" xfId="1" applyFont="1" applyFill="1" applyBorder="1" applyAlignment="1">
      <alignment horizontal="center" vertical="center" shrinkToFit="1"/>
    </xf>
    <xf numFmtId="38" fontId="36" fillId="0" borderId="633" xfId="1" applyFont="1" applyFill="1" applyBorder="1" applyAlignment="1">
      <alignment horizontal="center" vertical="center" wrapText="1" shrinkToFit="1"/>
    </xf>
    <xf numFmtId="38" fontId="36" fillId="19" borderId="633" xfId="1" applyFont="1" applyFill="1" applyBorder="1" applyAlignment="1">
      <alignment horizontal="center" vertical="center" wrapText="1" shrinkToFit="1"/>
    </xf>
    <xf numFmtId="38" fontId="36" fillId="0" borderId="634" xfId="1" applyFont="1" applyFill="1" applyBorder="1" applyAlignment="1">
      <alignment horizontal="center" vertical="center" wrapText="1" shrinkToFit="1"/>
    </xf>
    <xf numFmtId="38" fontId="43" fillId="0" borderId="637" xfId="1" applyFont="1" applyFill="1" applyBorder="1" applyAlignment="1">
      <alignment horizontal="center" vertical="center" shrinkToFit="1"/>
    </xf>
    <xf numFmtId="38" fontId="89" fillId="6" borderId="631" xfId="1" applyFont="1" applyFill="1" applyBorder="1" applyAlignment="1">
      <alignment horizontal="center" vertical="center" shrinkToFit="1"/>
    </xf>
    <xf numFmtId="38" fontId="43" fillId="9" borderId="628" xfId="1" applyFont="1" applyFill="1" applyBorder="1" applyAlignment="1">
      <alignment horizontal="center" vertical="center" shrinkToFit="1"/>
    </xf>
    <xf numFmtId="38" fontId="123" fillId="39" borderId="628" xfId="1" applyFont="1" applyFill="1" applyBorder="1" applyAlignment="1">
      <alignment horizontal="center" vertical="center" shrinkToFit="1"/>
    </xf>
    <xf numFmtId="38" fontId="124" fillId="39" borderId="628" xfId="1" applyFont="1" applyFill="1" applyBorder="1" applyAlignment="1">
      <alignment horizontal="center" vertical="center" wrapText="1" shrinkToFit="1"/>
    </xf>
    <xf numFmtId="38" fontId="124" fillId="39" borderId="629" xfId="1" applyFont="1" applyFill="1" applyBorder="1" applyAlignment="1">
      <alignment horizontal="center" vertical="center" wrapText="1" shrinkToFit="1"/>
    </xf>
    <xf numFmtId="38" fontId="123" fillId="39" borderId="631" xfId="1" applyFont="1" applyFill="1" applyBorder="1" applyAlignment="1">
      <alignment horizontal="center" vertical="center" shrinkToFit="1"/>
    </xf>
    <xf numFmtId="38" fontId="43" fillId="9" borderId="633" xfId="1" applyFont="1" applyFill="1" applyBorder="1" applyAlignment="1">
      <alignment horizontal="center" vertical="center" shrinkToFit="1"/>
    </xf>
    <xf numFmtId="0" fontId="45" fillId="9" borderId="627" xfId="0" applyFont="1" applyFill="1" applyBorder="1" applyAlignment="1">
      <alignment horizontal="center" vertical="center" wrapText="1"/>
    </xf>
    <xf numFmtId="0" fontId="45" fillId="9" borderId="628" xfId="0" applyFont="1" applyFill="1" applyBorder="1" applyAlignment="1">
      <alignment horizontal="center" vertical="center" wrapText="1"/>
    </xf>
    <xf numFmtId="0" fontId="45" fillId="9" borderId="631" xfId="16" applyFont="1" applyFill="1" applyBorder="1" applyAlignment="1">
      <alignment horizontal="center" vertical="center" wrapText="1" shrinkToFit="1"/>
    </xf>
    <xf numFmtId="0" fontId="45" fillId="9" borderId="628" xfId="0" applyFont="1" applyFill="1" applyBorder="1" applyAlignment="1">
      <alignment horizontal="center" vertical="center" shrinkToFit="1"/>
    </xf>
    <xf numFmtId="0" fontId="45" fillId="9" borderId="631" xfId="0" applyFont="1" applyFill="1" applyBorder="1" applyAlignment="1">
      <alignment horizontal="center" vertical="center" shrinkToFit="1"/>
    </xf>
    <xf numFmtId="0" fontId="45" fillId="9" borderId="640" xfId="0" applyFont="1" applyFill="1" applyBorder="1" applyAlignment="1">
      <alignment horizontal="center" vertical="center" wrapText="1"/>
    </xf>
    <xf numFmtId="38" fontId="36" fillId="0" borderId="640" xfId="1" applyFont="1" applyFill="1" applyBorder="1" applyAlignment="1">
      <alignment horizontal="center" vertical="center" wrapText="1" shrinkToFit="1"/>
    </xf>
    <xf numFmtId="38" fontId="36" fillId="0" borderId="641" xfId="1" applyFont="1" applyFill="1" applyBorder="1" applyAlignment="1">
      <alignment horizontal="center" vertical="center" wrapText="1" shrinkToFit="1"/>
    </xf>
    <xf numFmtId="0" fontId="45" fillId="9" borderId="642" xfId="0" applyFont="1" applyFill="1" applyBorder="1" applyAlignment="1">
      <alignment horizontal="center" vertical="center" wrapText="1" shrinkToFit="1"/>
    </xf>
    <xf numFmtId="38" fontId="88" fillId="0" borderId="469" xfId="1" applyFont="1" applyFill="1" applyBorder="1" applyAlignment="1">
      <alignment horizontal="center" vertical="center" shrinkToFit="1"/>
    </xf>
    <xf numFmtId="38" fontId="88" fillId="0" borderId="354" xfId="1" applyFont="1" applyFill="1" applyBorder="1" applyAlignment="1">
      <alignment horizontal="center" vertical="center" shrinkToFit="1"/>
    </xf>
    <xf numFmtId="38" fontId="88" fillId="0" borderId="470" xfId="1" applyFont="1" applyFill="1" applyBorder="1" applyAlignment="1">
      <alignment horizontal="center" vertical="center" shrinkToFit="1"/>
    </xf>
    <xf numFmtId="38" fontId="88" fillId="0" borderId="471" xfId="1" applyFont="1" applyFill="1" applyBorder="1" applyAlignment="1">
      <alignment horizontal="center" vertical="center" shrinkToFit="1"/>
    </xf>
    <xf numFmtId="38" fontId="88" fillId="0" borderId="480" xfId="1" applyFont="1" applyFill="1" applyBorder="1" applyAlignment="1">
      <alignment horizontal="center" vertical="center" shrinkToFit="1"/>
    </xf>
    <xf numFmtId="38" fontId="88" fillId="0" borderId="498" xfId="1" applyFont="1" applyFill="1" applyBorder="1" applyAlignment="1">
      <alignment horizontal="center" vertical="center" shrinkToFit="1"/>
    </xf>
    <xf numFmtId="38" fontId="88" fillId="0" borderId="561" xfId="1" applyFont="1" applyFill="1" applyBorder="1" applyAlignment="1">
      <alignment horizontal="center" vertical="center" shrinkToFit="1"/>
    </xf>
    <xf numFmtId="38" fontId="88" fillId="0" borderId="605" xfId="1" applyFont="1" applyFill="1" applyBorder="1" applyAlignment="1">
      <alignment horizontal="center" vertical="center" shrinkToFit="1"/>
    </xf>
    <xf numFmtId="38" fontId="88" fillId="0" borderId="506" xfId="1" applyFont="1" applyFill="1" applyBorder="1" applyAlignment="1">
      <alignment horizontal="center" vertical="center" shrinkToFit="1"/>
    </xf>
    <xf numFmtId="38" fontId="88" fillId="0" borderId="518" xfId="1" applyFont="1" applyFill="1" applyBorder="1" applyAlignment="1">
      <alignment horizontal="center" vertical="center" shrinkToFit="1"/>
    </xf>
    <xf numFmtId="38" fontId="88" fillId="0" borderId="530" xfId="1" applyFont="1" applyFill="1" applyBorder="1" applyAlignment="1">
      <alignment horizontal="center" vertical="center" shrinkToFit="1"/>
    </xf>
    <xf numFmtId="38" fontId="88" fillId="0" borderId="388" xfId="1" applyFont="1" applyFill="1" applyBorder="1" applyAlignment="1">
      <alignment horizontal="center" vertical="center" shrinkToFit="1"/>
    </xf>
    <xf numFmtId="38" fontId="88" fillId="0" borderId="0" xfId="1" applyFont="1" applyFill="1" applyBorder="1" applyAlignment="1">
      <alignment horizontal="center" vertical="center" shrinkToFit="1"/>
    </xf>
    <xf numFmtId="38" fontId="88" fillId="0" borderId="551" xfId="1" applyFont="1" applyFill="1" applyBorder="1" applyAlignment="1">
      <alignment horizontal="center" vertical="center" shrinkToFit="1"/>
    </xf>
    <xf numFmtId="38" fontId="88" fillId="6" borderId="283" xfId="1" applyFont="1" applyFill="1" applyBorder="1" applyAlignment="1">
      <alignment horizontal="center" vertical="center" shrinkToFit="1"/>
    </xf>
    <xf numFmtId="38" fontId="88" fillId="6" borderId="306" xfId="1" applyFont="1" applyFill="1" applyBorder="1" applyAlignment="1">
      <alignment horizontal="center" vertical="center" shrinkToFit="1"/>
    </xf>
    <xf numFmtId="38" fontId="88" fillId="6" borderId="318" xfId="1" applyFont="1" applyFill="1" applyBorder="1" applyAlignment="1">
      <alignment horizontal="center" vertical="center" shrinkToFit="1"/>
    </xf>
    <xf numFmtId="38" fontId="88" fillId="6" borderId="342" xfId="1" applyFont="1" applyFill="1" applyBorder="1" applyAlignment="1">
      <alignment horizontal="center" vertical="center" shrinkToFit="1"/>
    </xf>
    <xf numFmtId="38" fontId="88" fillId="6" borderId="38" xfId="1" applyFont="1" applyFill="1" applyBorder="1" applyAlignment="1">
      <alignment horizontal="center" vertical="center" shrinkToFit="1"/>
    </xf>
    <xf numFmtId="38" fontId="88" fillId="6" borderId="99" xfId="1" applyFont="1" applyFill="1" applyBorder="1" applyAlignment="1">
      <alignment horizontal="center" vertical="center" shrinkToFit="1"/>
    </xf>
    <xf numFmtId="38" fontId="88" fillId="0" borderId="0" xfId="1" applyFont="1" applyFill="1" applyBorder="1" applyAlignment="1">
      <alignment horizontal="center" vertical="center"/>
    </xf>
    <xf numFmtId="38" fontId="88" fillId="0" borderId="311" xfId="1" applyFont="1" applyFill="1" applyBorder="1" applyAlignment="1">
      <alignment horizontal="center" vertical="center" shrinkToFit="1"/>
    </xf>
    <xf numFmtId="38" fontId="88" fillId="0" borderId="323" xfId="1" applyFont="1" applyFill="1" applyBorder="1" applyAlignment="1">
      <alignment horizontal="center" vertical="center" shrinkToFit="1"/>
    </xf>
    <xf numFmtId="38" fontId="88" fillId="0" borderId="334" xfId="1" applyFont="1" applyFill="1" applyBorder="1" applyAlignment="1">
      <alignment horizontal="center" vertical="center" shrinkToFit="1"/>
    </xf>
    <xf numFmtId="38" fontId="88" fillId="0" borderId="348" xfId="1" applyFont="1" applyFill="1" applyBorder="1" applyAlignment="1">
      <alignment horizontal="center" vertical="center" shrinkToFit="1"/>
    </xf>
    <xf numFmtId="38" fontId="88" fillId="0" borderId="367" xfId="1" applyFont="1" applyFill="1" applyBorder="1" applyAlignment="1">
      <alignment horizontal="center" vertical="center" shrinkToFit="1"/>
    </xf>
    <xf numFmtId="38" fontId="89" fillId="0" borderId="28" xfId="1" applyFont="1" applyFill="1" applyBorder="1" applyAlignment="1">
      <alignment horizontal="center" vertical="center" shrinkToFit="1"/>
    </xf>
    <xf numFmtId="38" fontId="89" fillId="0" borderId="5" xfId="1" applyFont="1" applyFill="1" applyBorder="1" applyAlignment="1">
      <alignment horizontal="center" vertical="center" shrinkToFit="1"/>
    </xf>
    <xf numFmtId="38" fontId="88" fillId="40" borderId="289" xfId="1" applyFont="1" applyFill="1" applyBorder="1" applyAlignment="1">
      <alignment horizontal="center" vertical="center" shrinkToFit="1"/>
    </xf>
    <xf numFmtId="0" fontId="32" fillId="0" borderId="0" xfId="11" applyFont="1" applyAlignment="1">
      <alignment horizontal="center" vertical="center"/>
    </xf>
    <xf numFmtId="0" fontId="63" fillId="0" borderId="5" xfId="11" applyFont="1" applyBorder="1" applyAlignment="1">
      <alignment horizontal="center" vertical="center"/>
    </xf>
    <xf numFmtId="0" fontId="81" fillId="0" borderId="439" xfId="11" applyFont="1" applyBorder="1" applyAlignment="1">
      <alignment horizontal="center" vertical="center"/>
    </xf>
    <xf numFmtId="0" fontId="63" fillId="0" borderId="0" xfId="11" applyFont="1" applyAlignment="1">
      <alignment horizontal="center" vertical="center"/>
    </xf>
    <xf numFmtId="0" fontId="81" fillId="0" borderId="439" xfId="11" applyFont="1" applyBorder="1" applyAlignment="1">
      <alignment horizontal="center" vertical="center" shrinkToFit="1"/>
    </xf>
    <xf numFmtId="0" fontId="81" fillId="0" borderId="432" xfId="11" applyFont="1" applyBorder="1" applyAlignment="1">
      <alignment horizontal="center" vertical="center" shrinkToFit="1"/>
    </xf>
    <xf numFmtId="0" fontId="81" fillId="0" borderId="571" xfId="11" applyFont="1" applyBorder="1" applyAlignment="1">
      <alignment horizontal="center" vertical="center" shrinkToFit="1"/>
    </xf>
    <xf numFmtId="0" fontId="81" fillId="0" borderId="5" xfId="11" applyFont="1" applyBorder="1" applyAlignment="1">
      <alignment horizontal="center" vertical="center" shrinkToFit="1"/>
    </xf>
    <xf numFmtId="0" fontId="81" fillId="0" borderId="573" xfId="11" applyFont="1" applyBorder="1" applyAlignment="1">
      <alignment horizontal="center" vertical="center" shrinkToFit="1"/>
    </xf>
    <xf numFmtId="0" fontId="75" fillId="0" borderId="0" xfId="11" applyFont="1" applyAlignment="1">
      <alignment horizontal="center" vertical="center" shrinkToFit="1"/>
    </xf>
    <xf numFmtId="0" fontId="81" fillId="0" borderId="0" xfId="11" applyFont="1" applyAlignment="1">
      <alignment horizontal="center" vertical="center" shrinkToFit="1"/>
    </xf>
    <xf numFmtId="38" fontId="49" fillId="6" borderId="42" xfId="15" applyFont="1" applyFill="1" applyBorder="1" applyAlignment="1">
      <alignment horizontal="center" vertical="center" wrapText="1"/>
    </xf>
    <xf numFmtId="38" fontId="49" fillId="6" borderId="42" xfId="15" applyFont="1" applyFill="1" applyBorder="1" applyAlignment="1">
      <alignment horizontal="center" vertical="center"/>
    </xf>
    <xf numFmtId="38" fontId="49" fillId="6" borderId="9" xfId="15" applyFont="1" applyFill="1" applyBorder="1" applyAlignment="1">
      <alignment horizontal="center" vertical="center"/>
    </xf>
    <xf numFmtId="0" fontId="49" fillId="0" borderId="429" xfId="11" applyFont="1" applyBorder="1" applyAlignment="1">
      <alignment vertical="center"/>
    </xf>
    <xf numFmtId="0" fontId="74" fillId="6" borderId="429" xfId="11" applyFont="1" applyFill="1" applyBorder="1" applyAlignment="1">
      <alignment horizontal="center" vertical="center" wrapText="1" shrinkToFit="1"/>
    </xf>
    <xf numFmtId="0" fontId="50" fillId="31" borderId="5" xfId="11" applyFont="1" applyFill="1" applyBorder="1" applyAlignment="1">
      <alignment vertical="center"/>
    </xf>
    <xf numFmtId="0" fontId="50" fillId="18" borderId="27" xfId="11" applyFont="1" applyFill="1" applyBorder="1" applyAlignment="1">
      <alignment vertical="center" wrapText="1"/>
    </xf>
    <xf numFmtId="0" fontId="50" fillId="18" borderId="5" xfId="11" applyFont="1" applyFill="1" applyBorder="1" applyAlignment="1">
      <alignment vertical="center" wrapText="1"/>
    </xf>
    <xf numFmtId="0" fontId="50" fillId="18" borderId="432" xfId="11" applyFont="1" applyFill="1" applyBorder="1" applyAlignment="1">
      <alignment vertical="center" wrapText="1"/>
    </xf>
    <xf numFmtId="0" fontId="50" fillId="18" borderId="434" xfId="11" applyFont="1" applyFill="1" applyBorder="1" applyAlignment="1">
      <alignment vertical="center" wrapText="1"/>
    </xf>
    <xf numFmtId="0" fontId="50" fillId="18" borderId="433" xfId="11" applyFont="1" applyFill="1" applyBorder="1" applyAlignment="1">
      <alignment vertical="center" wrapText="1"/>
    </xf>
    <xf numFmtId="0" fontId="62" fillId="18" borderId="5" xfId="11" applyFont="1" applyFill="1" applyBorder="1" applyAlignment="1">
      <alignment vertical="center" wrapText="1"/>
    </xf>
    <xf numFmtId="0" fontId="62" fillId="18" borderId="5" xfId="11" applyFont="1" applyFill="1" applyBorder="1" applyAlignment="1">
      <alignment vertical="center" textRotation="255" wrapText="1"/>
    </xf>
    <xf numFmtId="0" fontId="62" fillId="18" borderId="5" xfId="11" applyFont="1" applyFill="1" applyBorder="1" applyAlignment="1">
      <alignment vertical="center"/>
    </xf>
    <xf numFmtId="0" fontId="62" fillId="18" borderId="432" xfId="11" applyFont="1" applyFill="1" applyBorder="1" applyAlignment="1">
      <alignment vertical="center" wrapText="1"/>
    </xf>
    <xf numFmtId="0" fontId="62" fillId="18" borderId="433" xfId="11" applyFont="1" applyFill="1" applyBorder="1" applyAlignment="1">
      <alignment vertical="center" wrapText="1"/>
    </xf>
    <xf numFmtId="0" fontId="50" fillId="18" borderId="5" xfId="11" applyFont="1" applyFill="1" applyBorder="1" applyAlignment="1">
      <alignment vertical="center"/>
    </xf>
    <xf numFmtId="0" fontId="50" fillId="18" borderId="643" xfId="11" applyFont="1" applyFill="1" applyBorder="1" applyAlignment="1">
      <alignment horizontal="center" vertical="center" wrapText="1"/>
    </xf>
    <xf numFmtId="0" fontId="50" fillId="18" borderId="174" xfId="11" applyFont="1" applyFill="1" applyBorder="1" applyAlignment="1">
      <alignment horizontal="center" vertical="center" wrapText="1"/>
    </xf>
    <xf numFmtId="0" fontId="50" fillId="18" borderId="40" xfId="11" applyFont="1" applyFill="1" applyBorder="1" applyAlignment="1">
      <alignment horizontal="center" vertical="center" wrapText="1"/>
    </xf>
    <xf numFmtId="0" fontId="50" fillId="32" borderId="5" xfId="11" applyFont="1" applyFill="1" applyBorder="1" applyAlignment="1">
      <alignment vertical="center" wrapText="1"/>
    </xf>
    <xf numFmtId="201" fontId="49" fillId="0" borderId="181" xfId="11" applyNumberFormat="1" applyFont="1" applyBorder="1" applyAlignment="1">
      <alignment horizontal="center" vertical="center"/>
    </xf>
    <xf numFmtId="201" fontId="104" fillId="6" borderId="41" xfId="11" applyNumberFormat="1" applyFont="1" applyFill="1" applyBorder="1" applyAlignment="1">
      <alignment horizontal="center" vertical="center"/>
    </xf>
    <xf numFmtId="0" fontId="49" fillId="8" borderId="28" xfId="11" applyFont="1" applyFill="1" applyBorder="1" applyAlignment="1">
      <alignment horizontal="left" vertical="center" wrapText="1" shrinkToFit="1"/>
    </xf>
    <xf numFmtId="201" fontId="49" fillId="0" borderId="430" xfId="11" applyNumberFormat="1" applyFont="1" applyBorder="1" applyAlignment="1">
      <alignment horizontal="center" vertical="center" wrapText="1"/>
    </xf>
    <xf numFmtId="0" fontId="85" fillId="8" borderId="57" xfId="11" applyFont="1" applyFill="1" applyBorder="1" applyAlignment="1">
      <alignment vertical="center" wrapText="1" shrinkToFit="1"/>
    </xf>
    <xf numFmtId="0" fontId="49" fillId="8" borderId="57" xfId="11" applyFont="1" applyFill="1" applyBorder="1" applyAlignment="1">
      <alignment vertical="center" wrapText="1" shrinkToFit="1"/>
    </xf>
    <xf numFmtId="0" fontId="49" fillId="8" borderId="430" xfId="11" applyFont="1" applyFill="1" applyBorder="1" applyAlignment="1">
      <alignment horizontal="center" vertical="center" wrapText="1" shrinkToFit="1"/>
    </xf>
    <xf numFmtId="0" fontId="49" fillId="0" borderId="400" xfId="11" applyFont="1" applyBorder="1" applyAlignment="1">
      <alignment horizontal="center" vertical="center" wrapText="1" shrinkToFit="1"/>
    </xf>
    <xf numFmtId="0" fontId="49" fillId="0" borderId="56" xfId="11" applyFont="1" applyBorder="1" applyAlignment="1">
      <alignment horizontal="center" vertical="center" wrapText="1" shrinkToFit="1"/>
    </xf>
    <xf numFmtId="0" fontId="49" fillId="0" borderId="400" xfId="11" quotePrefix="1" applyFont="1" applyBorder="1" applyAlignment="1">
      <alignment horizontal="center" vertical="center" shrinkToFit="1"/>
    </xf>
    <xf numFmtId="0" fontId="49" fillId="0" borderId="56" xfId="11" applyFont="1" applyBorder="1" applyAlignment="1">
      <alignment horizontal="center" vertical="center" shrinkToFit="1"/>
    </xf>
    <xf numFmtId="0" fontId="49" fillId="0" borderId="57" xfId="11" applyFont="1" applyBorder="1" applyAlignment="1">
      <alignment horizontal="center" vertical="center" shrinkToFit="1"/>
    </xf>
    <xf numFmtId="200" fontId="49" fillId="0" borderId="57" xfId="11" applyNumberFormat="1" applyFont="1" applyBorder="1" applyAlignment="1">
      <alignment horizontal="center" vertical="center" shrinkToFit="1"/>
    </xf>
    <xf numFmtId="0" fontId="49" fillId="8" borderId="57" xfId="11" applyFont="1" applyFill="1" applyBorder="1" applyAlignment="1">
      <alignment horizontal="center" vertical="center" shrinkToFit="1"/>
    </xf>
    <xf numFmtId="0" fontId="49" fillId="8" borderId="574" xfId="11" applyFont="1" applyFill="1" applyBorder="1" applyAlignment="1">
      <alignment horizontal="center" vertical="center" shrinkToFit="1"/>
    </xf>
    <xf numFmtId="0" fontId="49" fillId="8" borderId="55" xfId="11" applyFont="1" applyFill="1" applyBorder="1" applyAlignment="1">
      <alignment horizontal="center" vertical="center" shrinkToFit="1"/>
    </xf>
    <xf numFmtId="0" fontId="49" fillId="8" borderId="56" xfId="11" applyFont="1" applyFill="1" applyBorder="1" applyAlignment="1">
      <alignment horizontal="center" vertical="center" shrinkToFit="1"/>
    </xf>
    <xf numFmtId="0" fontId="49" fillId="8" borderId="430" xfId="11" applyFont="1" applyFill="1" applyBorder="1" applyAlignment="1">
      <alignment horizontal="center" vertical="center" shrinkToFit="1"/>
    </xf>
    <xf numFmtId="0" fontId="49" fillId="8" borderId="574" xfId="11" applyFont="1" applyFill="1" applyBorder="1" applyAlignment="1">
      <alignment horizontal="center" vertical="center" wrapText="1" shrinkToFit="1"/>
    </xf>
    <xf numFmtId="0" fontId="49" fillId="8" borderId="55" xfId="11" applyFont="1" applyFill="1" applyBorder="1" applyAlignment="1">
      <alignment horizontal="center" vertical="center" wrapText="1" shrinkToFit="1"/>
    </xf>
    <xf numFmtId="0" fontId="49" fillId="8" borderId="56" xfId="11" applyFont="1" applyFill="1" applyBorder="1" applyAlignment="1">
      <alignment horizontal="center" vertical="center" wrapText="1" shrinkToFit="1"/>
    </xf>
    <xf numFmtId="0" fontId="49" fillId="0" borderId="57" xfId="11" applyFont="1" applyBorder="1" applyAlignment="1">
      <alignment horizontal="center" vertical="center"/>
    </xf>
    <xf numFmtId="0" fontId="28" fillId="0" borderId="57" xfId="11" applyFont="1" applyBorder="1" applyAlignment="1">
      <alignment horizontal="center" vertical="center"/>
    </xf>
    <xf numFmtId="0" fontId="74" fillId="0" borderId="57" xfId="11" applyFont="1" applyBorder="1" applyAlignment="1">
      <alignment horizontal="center" vertical="center" shrinkToFit="1"/>
    </xf>
    <xf numFmtId="0" fontId="60" fillId="0" borderId="57" xfId="11" applyFont="1" applyBorder="1" applyAlignment="1">
      <alignment horizontal="center" vertical="center" shrinkToFit="1"/>
    </xf>
    <xf numFmtId="0" fontId="60" fillId="0" borderId="574" xfId="11" applyFont="1" applyBorder="1" applyAlignment="1">
      <alignment horizontal="center" vertical="center" shrinkToFit="1"/>
    </xf>
    <xf numFmtId="0" fontId="60" fillId="0" borderId="56" xfId="11" applyFont="1" applyBorder="1" applyAlignment="1">
      <alignment horizontal="left" vertical="center" wrapText="1"/>
    </xf>
    <xf numFmtId="0" fontId="49" fillId="0" borderId="57" xfId="11" applyFont="1" applyBorder="1" applyAlignment="1">
      <alignment horizontal="center" vertical="center" wrapText="1"/>
    </xf>
    <xf numFmtId="201" fontId="49" fillId="0" borderId="574" xfId="11" applyNumberFormat="1" applyFont="1" applyBorder="1" applyAlignment="1">
      <alignment horizontal="center" vertical="center"/>
    </xf>
    <xf numFmtId="38" fontId="49" fillId="0" borderId="644" xfId="15" applyFont="1" applyFill="1" applyBorder="1" applyAlignment="1">
      <alignment horizontal="center" vertical="center"/>
    </xf>
    <xf numFmtId="201" fontId="49" fillId="0" borderId="645" xfId="11" applyNumberFormat="1" applyFont="1" applyBorder="1" applyAlignment="1">
      <alignment horizontal="center" vertical="center"/>
    </xf>
    <xf numFmtId="201" fontId="49" fillId="0" borderId="646" xfId="11" applyNumberFormat="1" applyFont="1" applyBorder="1" applyAlignment="1">
      <alignment horizontal="center" vertical="center"/>
    </xf>
    <xf numFmtId="201" fontId="104" fillId="6" borderId="401" xfId="11" applyNumberFormat="1" applyFont="1" applyFill="1" applyBorder="1" applyAlignment="1">
      <alignment horizontal="center" vertical="center"/>
    </xf>
    <xf numFmtId="0" fontId="49" fillId="8" borderId="57" xfId="11" applyFont="1" applyFill="1" applyBorder="1" applyAlignment="1">
      <alignment horizontal="left" vertical="center" wrapText="1" shrinkToFit="1"/>
    </xf>
    <xf numFmtId="201" fontId="49" fillId="0" borderId="647" xfId="11" applyNumberFormat="1" applyFont="1" applyBorder="1" applyAlignment="1">
      <alignment horizontal="center" vertical="center"/>
    </xf>
    <xf numFmtId="201" fontId="104" fillId="6" borderId="410" xfId="11" applyNumberFormat="1" applyFont="1" applyFill="1" applyBorder="1" applyAlignment="1">
      <alignment horizontal="center" vertical="center"/>
    </xf>
    <xf numFmtId="0" fontId="49" fillId="8" borderId="62" xfId="11" applyFont="1" applyFill="1" applyBorder="1" applyAlignment="1">
      <alignment horizontal="left" vertical="center" wrapText="1" shrinkToFit="1"/>
    </xf>
    <xf numFmtId="201" fontId="49" fillId="0" borderId="648" xfId="11" applyNumberFormat="1" applyFont="1" applyBorder="1" applyAlignment="1">
      <alignment horizontal="center" vertical="center"/>
    </xf>
    <xf numFmtId="201" fontId="104" fillId="6" borderId="419" xfId="11" applyNumberFormat="1" applyFont="1" applyFill="1" applyBorder="1" applyAlignment="1">
      <alignment horizontal="center" vertical="center"/>
    </xf>
    <xf numFmtId="0" fontId="49" fillId="8" borderId="429" xfId="11" applyFont="1" applyFill="1" applyBorder="1" applyAlignment="1">
      <alignment horizontal="left" vertical="center" wrapText="1" shrinkToFit="1"/>
    </xf>
    <xf numFmtId="0" fontId="85" fillId="0" borderId="57" xfId="11" applyFont="1" applyBorder="1" applyAlignment="1">
      <alignment horizontal="left" vertical="center" wrapText="1" shrinkToFit="1"/>
    </xf>
    <xf numFmtId="0" fontId="49" fillId="0" borderId="57" xfId="11" applyFont="1" applyBorder="1" applyAlignment="1">
      <alignment horizontal="center" vertical="center" wrapText="1" shrinkToFit="1"/>
    </xf>
    <xf numFmtId="0" fontId="49" fillId="0" borderId="574" xfId="11" quotePrefix="1" applyFont="1" applyBorder="1" applyAlignment="1">
      <alignment horizontal="center" vertical="center" wrapText="1" shrinkToFit="1"/>
    </xf>
    <xf numFmtId="0" fontId="49" fillId="0" borderId="574" xfId="11" applyFont="1" applyBorder="1" applyAlignment="1">
      <alignment horizontal="center" vertical="center" shrinkToFit="1"/>
    </xf>
    <xf numFmtId="0" fontId="49" fillId="0" borderId="55" xfId="11" applyFont="1" applyBorder="1" applyAlignment="1">
      <alignment horizontal="center" vertical="center" shrinkToFit="1"/>
    </xf>
    <xf numFmtId="0" fontId="49" fillId="0" borderId="401" xfId="11" applyFont="1" applyBorder="1" applyAlignment="1">
      <alignment horizontal="center" vertical="center" shrinkToFit="1"/>
    </xf>
    <xf numFmtId="0" fontId="49" fillId="0" borderId="574" xfId="11" applyFont="1" applyBorder="1" applyAlignment="1">
      <alignment horizontal="center" vertical="center" wrapText="1" shrinkToFit="1"/>
    </xf>
    <xf numFmtId="0" fontId="49" fillId="0" borderId="55" xfId="11" applyFont="1" applyBorder="1" applyAlignment="1">
      <alignment horizontal="center" vertical="center" wrapText="1" shrinkToFit="1"/>
    </xf>
    <xf numFmtId="201" fontId="49" fillId="0" borderId="649" xfId="11" applyNumberFormat="1" applyFont="1" applyBorder="1" applyAlignment="1">
      <alignment horizontal="center" vertical="center"/>
    </xf>
    <xf numFmtId="201" fontId="49" fillId="29" borderId="648" xfId="11" applyNumberFormat="1" applyFont="1" applyFill="1" applyBorder="1" applyAlignment="1">
      <alignment horizontal="center" vertical="center"/>
    </xf>
    <xf numFmtId="201" fontId="104" fillId="29" borderId="419" xfId="11" applyNumberFormat="1" applyFont="1" applyFill="1" applyBorder="1" applyAlignment="1">
      <alignment horizontal="center" vertical="center"/>
    </xf>
    <xf numFmtId="0" fontId="49" fillId="0" borderId="400" xfId="11" applyFont="1" applyBorder="1" applyAlignment="1">
      <alignment horizontal="center" vertical="center" shrinkToFit="1"/>
    </xf>
    <xf numFmtId="0" fontId="49" fillId="8" borderId="57" xfId="11" applyFont="1" applyFill="1" applyBorder="1" applyAlignment="1">
      <alignment horizontal="center" vertical="center" wrapText="1" shrinkToFit="1"/>
    </xf>
    <xf numFmtId="0" fontId="49" fillId="8" borderId="401" xfId="11" applyFont="1" applyFill="1" applyBorder="1" applyAlignment="1">
      <alignment horizontal="center" vertical="center" shrinkToFit="1"/>
    </xf>
    <xf numFmtId="0" fontId="60" fillId="0" borderId="57" xfId="11" applyFont="1" applyBorder="1" applyAlignment="1">
      <alignment horizontal="center" vertical="center" wrapText="1" shrinkToFit="1"/>
    </xf>
    <xf numFmtId="0" fontId="85" fillId="8" borderId="57" xfId="11" applyFont="1" applyFill="1" applyBorder="1" applyAlignment="1">
      <alignment horizontal="left" vertical="center" shrinkToFit="1"/>
    </xf>
    <xf numFmtId="0" fontId="49" fillId="0" borderId="574" xfId="11" quotePrefix="1" applyFont="1" applyBorder="1" applyAlignment="1">
      <alignment horizontal="center" vertical="center" shrinkToFit="1"/>
    </xf>
    <xf numFmtId="201" fontId="49" fillId="6" borderId="430" xfId="11" applyNumberFormat="1" applyFont="1" applyFill="1" applyBorder="1" applyAlignment="1">
      <alignment horizontal="center" vertical="center"/>
    </xf>
    <xf numFmtId="0" fontId="49" fillId="8" borderId="57" xfId="11" applyFont="1" applyFill="1" applyBorder="1" applyAlignment="1">
      <alignment horizontal="center" vertical="center"/>
    </xf>
    <xf numFmtId="0" fontId="49" fillId="0" borderId="400" xfId="11" applyFont="1" applyBorder="1" applyAlignment="1">
      <alignment horizontal="center" vertical="center"/>
    </xf>
    <xf numFmtId="0" fontId="49" fillId="0" borderId="56" xfId="11" applyFont="1" applyBorder="1" applyAlignment="1">
      <alignment horizontal="center" vertical="center"/>
    </xf>
    <xf numFmtId="0" fontId="49" fillId="8" borderId="401" xfId="11" applyFont="1" applyFill="1" applyBorder="1" applyAlignment="1">
      <alignment horizontal="center" vertical="center" wrapText="1" shrinkToFit="1"/>
    </xf>
    <xf numFmtId="201" fontId="49" fillId="0" borderId="430" xfId="11" applyNumberFormat="1" applyFont="1" applyBorder="1" applyAlignment="1">
      <alignment horizontal="center" vertical="center"/>
    </xf>
    <xf numFmtId="0" fontId="85" fillId="8" borderId="57" xfId="11" applyFont="1" applyFill="1" applyBorder="1" applyAlignment="1">
      <alignment horizontal="left" vertical="center" wrapText="1" shrinkToFit="1"/>
    </xf>
    <xf numFmtId="0" fontId="49" fillId="0" borderId="57" xfId="11" applyFont="1" applyBorder="1" applyAlignment="1">
      <alignment vertical="center"/>
    </xf>
    <xf numFmtId="0" fontId="74" fillId="0" borderId="57" xfId="11" applyFont="1" applyBorder="1" applyAlignment="1">
      <alignment vertical="center" shrinkToFit="1"/>
    </xf>
    <xf numFmtId="0" fontId="28" fillId="0" borderId="0" xfId="11" applyFont="1" applyAlignment="1">
      <alignment horizontal="left" vertical="center" wrapText="1"/>
    </xf>
    <xf numFmtId="181" fontId="28" fillId="0" borderId="0" xfId="11" applyNumberFormat="1" applyFont="1" applyAlignment="1">
      <alignment horizontal="center" vertical="center"/>
    </xf>
    <xf numFmtId="41" fontId="54" fillId="0" borderId="180" xfId="0" applyNumberFormat="1" applyFont="1" applyBorder="1" applyAlignment="1">
      <alignment vertical="center" shrinkToFit="1"/>
    </xf>
    <xf numFmtId="41" fontId="54" fillId="0" borderId="142" xfId="0" applyNumberFormat="1" applyFont="1" applyBorder="1" applyAlignment="1">
      <alignment vertical="center" shrinkToFit="1"/>
    </xf>
    <xf numFmtId="41" fontId="54" fillId="12" borderId="157" xfId="0" applyNumberFormat="1" applyFont="1" applyFill="1" applyBorder="1" applyAlignment="1">
      <alignment vertical="center" shrinkToFit="1"/>
    </xf>
    <xf numFmtId="41" fontId="54" fillId="0" borderId="6" xfId="0" applyNumberFormat="1" applyFont="1" applyBorder="1" applyAlignment="1">
      <alignment vertical="center" shrinkToFit="1"/>
    </xf>
    <xf numFmtId="41" fontId="54" fillId="0" borderId="26" xfId="0" applyNumberFormat="1" applyFont="1" applyBorder="1" applyAlignment="1">
      <alignment vertical="center" shrinkToFit="1"/>
    </xf>
    <xf numFmtId="41" fontId="54" fillId="0" borderId="28" xfId="0" applyNumberFormat="1" applyFont="1" applyBorder="1" applyAlignment="1">
      <alignment vertical="center" shrinkToFit="1"/>
    </xf>
    <xf numFmtId="0" fontId="85" fillId="8" borderId="28" xfId="11" applyFont="1" applyFill="1" applyBorder="1" applyAlignment="1">
      <alignment vertical="center" shrinkToFit="1"/>
    </xf>
    <xf numFmtId="0" fontId="49" fillId="8" borderId="28" xfId="11" applyFont="1" applyFill="1" applyBorder="1" applyAlignment="1">
      <alignment horizontal="center" vertical="center"/>
    </xf>
    <xf numFmtId="0" fontId="49" fillId="0" borderId="40" xfId="11" applyFont="1" applyBorder="1" applyAlignment="1">
      <alignment horizontal="center" vertical="center"/>
    </xf>
    <xf numFmtId="0" fontId="49" fillId="0" borderId="440" xfId="11" applyFont="1" applyBorder="1" applyAlignment="1">
      <alignment horizontal="center" vertical="center"/>
    </xf>
    <xf numFmtId="0" fontId="49" fillId="8" borderId="41" xfId="11" applyFont="1" applyFill="1" applyBorder="1" applyAlignment="1">
      <alignment horizontal="center" vertical="center" wrapText="1" shrinkToFit="1"/>
    </xf>
    <xf numFmtId="0" fontId="85" fillId="0" borderId="28" xfId="11" applyFont="1" applyBorder="1" applyAlignment="1">
      <alignment horizontal="left" vertical="center" wrapText="1" shrinkToFit="1"/>
    </xf>
    <xf numFmtId="0" fontId="49" fillId="0" borderId="40" xfId="11" applyFont="1" applyBorder="1" applyAlignment="1">
      <alignment horizontal="center" vertical="center" shrinkToFit="1"/>
    </xf>
    <xf numFmtId="0" fontId="49" fillId="0" borderId="439" xfId="11" applyFont="1" applyBorder="1" applyAlignment="1">
      <alignment horizontal="center" vertical="center" wrapText="1" shrinkToFit="1"/>
    </xf>
    <xf numFmtId="200" fontId="49" fillId="0" borderId="28" xfId="11" applyNumberFormat="1" applyFont="1" applyBorder="1" applyAlignment="1">
      <alignment horizontal="center" vertical="center" wrapText="1" shrinkToFit="1"/>
    </xf>
    <xf numFmtId="0" fontId="49" fillId="0" borderId="451" xfId="11" applyFont="1" applyBorder="1" applyAlignment="1">
      <alignment horizontal="center" vertical="center" wrapText="1" shrinkToFit="1"/>
    </xf>
    <xf numFmtId="201" fontId="49" fillId="0" borderId="650" xfId="11" applyNumberFormat="1" applyFont="1" applyBorder="1" applyAlignment="1">
      <alignment horizontal="center" vertical="center"/>
    </xf>
    <xf numFmtId="0" fontId="74" fillId="0" borderId="429" xfId="11" applyFont="1" applyBorder="1" applyAlignment="1">
      <alignment vertical="center" shrinkToFit="1"/>
    </xf>
    <xf numFmtId="0" fontId="50" fillId="18" borderId="88" xfId="11" applyFont="1" applyFill="1" applyBorder="1" applyAlignment="1">
      <alignment horizontal="center" vertical="center" wrapText="1"/>
    </xf>
    <xf numFmtId="0" fontId="49" fillId="0" borderId="0" xfId="11" applyFont="1" applyAlignment="1">
      <alignment vertical="center" wrapText="1"/>
    </xf>
    <xf numFmtId="0" fontId="85" fillId="8" borderId="5" xfId="11" applyFont="1" applyFill="1" applyBorder="1" applyAlignment="1">
      <alignment horizontal="left" vertical="center" wrapText="1" shrinkToFit="1"/>
    </xf>
    <xf numFmtId="0" fontId="74" fillId="6" borderId="5" xfId="11" applyFont="1" applyFill="1" applyBorder="1" applyAlignment="1">
      <alignment horizontal="center" vertical="center" wrapText="1" shrinkToFit="1"/>
    </xf>
    <xf numFmtId="201" fontId="49" fillId="29" borderId="88" xfId="11" applyNumberFormat="1" applyFont="1" applyFill="1" applyBorder="1" applyAlignment="1">
      <alignment horizontal="center" vertical="center"/>
    </xf>
    <xf numFmtId="201" fontId="104" fillId="29" borderId="8" xfId="11" applyNumberFormat="1" applyFont="1" applyFill="1" applyBorder="1" applyAlignment="1">
      <alignment horizontal="center" vertical="center"/>
    </xf>
    <xf numFmtId="0" fontId="49" fillId="8" borderId="5" xfId="11" applyFont="1" applyFill="1" applyBorder="1" applyAlignment="1">
      <alignment horizontal="left" vertical="center" wrapText="1" shrinkToFit="1"/>
    </xf>
    <xf numFmtId="0" fontId="126" fillId="0" borderId="427" xfId="11" applyFont="1" applyBorder="1" applyAlignment="1">
      <alignment horizontal="left" vertical="center" wrapText="1" shrinkToFit="1"/>
    </xf>
    <xf numFmtId="201" fontId="127" fillId="0" borderId="459" xfId="11" applyNumberFormat="1" applyFont="1" applyBorder="1" applyAlignment="1">
      <alignment horizontal="center" vertical="center" wrapText="1"/>
    </xf>
    <xf numFmtId="0" fontId="127" fillId="8" borderId="429" xfId="11" applyFont="1" applyFill="1" applyBorder="1" applyAlignment="1">
      <alignment horizontal="center" vertical="center" wrapText="1" shrinkToFit="1"/>
    </xf>
    <xf numFmtId="0" fontId="128" fillId="8" borderId="427" xfId="11" applyFont="1" applyFill="1" applyBorder="1" applyAlignment="1">
      <alignment horizontal="center" vertical="center" wrapText="1" shrinkToFit="1"/>
    </xf>
    <xf numFmtId="0" fontId="127" fillId="0" borderId="459" xfId="11" applyFont="1" applyBorder="1" applyAlignment="1">
      <alignment horizontal="center" vertical="center" shrinkToFit="1"/>
    </xf>
    <xf numFmtId="0" fontId="127" fillId="0" borderId="460" xfId="11" applyFont="1" applyBorder="1" applyAlignment="1">
      <alignment horizontal="center" vertical="center" wrapText="1" shrinkToFit="1"/>
    </xf>
    <xf numFmtId="0" fontId="126" fillId="0" borderId="428" xfId="11" applyFont="1" applyBorder="1" applyAlignment="1">
      <alignment horizontal="left" vertical="center" wrapText="1" shrinkToFit="1"/>
    </xf>
    <xf numFmtId="201" fontId="127" fillId="0" borderId="465" xfId="11" applyNumberFormat="1" applyFont="1" applyBorder="1" applyAlignment="1">
      <alignment horizontal="center" vertical="center" wrapText="1"/>
    </xf>
    <xf numFmtId="0" fontId="127" fillId="8" borderId="62" xfId="11" applyFont="1" applyFill="1" applyBorder="1" applyAlignment="1">
      <alignment horizontal="center" vertical="center" wrapText="1" shrinkToFit="1"/>
    </xf>
    <xf numFmtId="0" fontId="127" fillId="8" borderId="428" xfId="11" applyFont="1" applyFill="1" applyBorder="1" applyAlignment="1">
      <alignment horizontal="center" vertical="center" wrapText="1" shrinkToFit="1"/>
    </xf>
    <xf numFmtId="0" fontId="129" fillId="0" borderId="465" xfId="11" quotePrefix="1" applyFont="1" applyBorder="1" applyAlignment="1">
      <alignment horizontal="center" vertical="center" wrapText="1" shrinkToFit="1"/>
    </xf>
    <xf numFmtId="0" fontId="127" fillId="0" borderId="61" xfId="11" applyFont="1" applyBorder="1" applyAlignment="1">
      <alignment horizontal="center" vertical="center" shrinkToFit="1"/>
    </xf>
    <xf numFmtId="0" fontId="129" fillId="0" borderId="459" xfId="11" quotePrefix="1" applyFont="1" applyBorder="1" applyAlignment="1">
      <alignment horizontal="center" vertical="center" wrapText="1" shrinkToFit="1"/>
    </xf>
    <xf numFmtId="0" fontId="127" fillId="0" borderId="460" xfId="11" applyFont="1" applyBorder="1" applyAlignment="1">
      <alignment horizontal="center" vertical="center" shrinkToFit="1"/>
    </xf>
    <xf numFmtId="0" fontId="127" fillId="8" borderId="427" xfId="11" applyFont="1" applyFill="1" applyBorder="1" applyAlignment="1">
      <alignment horizontal="center" vertical="center" shrinkToFit="1"/>
    </xf>
    <xf numFmtId="49" fontId="127" fillId="0" borderId="459" xfId="11" quotePrefix="1" applyNumberFormat="1" applyFont="1" applyBorder="1" applyAlignment="1">
      <alignment horizontal="center" vertical="center" wrapText="1" shrinkToFit="1"/>
    </xf>
    <xf numFmtId="0" fontId="127" fillId="0" borderId="459" xfId="11" quotePrefix="1" applyFont="1" applyBorder="1" applyAlignment="1">
      <alignment horizontal="center" vertical="center" wrapText="1" shrinkToFit="1"/>
    </xf>
    <xf numFmtId="0" fontId="128" fillId="8" borderId="427" xfId="11" applyFont="1" applyFill="1" applyBorder="1" applyAlignment="1">
      <alignment horizontal="center" vertical="center" shrinkToFit="1"/>
    </xf>
    <xf numFmtId="201" fontId="127" fillId="6" borderId="459" xfId="11" applyNumberFormat="1" applyFont="1" applyFill="1" applyBorder="1" applyAlignment="1">
      <alignment horizontal="center" vertical="center" wrapText="1"/>
    </xf>
    <xf numFmtId="201" fontId="127" fillId="6" borderId="465" xfId="11" applyNumberFormat="1" applyFont="1" applyFill="1" applyBorder="1" applyAlignment="1">
      <alignment horizontal="center" vertical="center" wrapText="1"/>
    </xf>
    <xf numFmtId="0" fontId="129" fillId="6" borderId="577" xfId="1" applyNumberFormat="1" applyFont="1" applyFill="1" applyBorder="1" applyAlignment="1">
      <alignment horizontal="center" vertical="center" shrinkToFit="1"/>
    </xf>
    <xf numFmtId="0" fontId="30" fillId="0" borderId="475" xfId="1" applyNumberFormat="1" applyFont="1" applyFill="1" applyBorder="1" applyAlignment="1">
      <alignment horizontal="center" vertical="center" shrinkToFit="1"/>
    </xf>
    <xf numFmtId="0" fontId="129" fillId="6" borderId="583" xfId="1" applyNumberFormat="1" applyFont="1" applyFill="1" applyBorder="1" applyAlignment="1">
      <alignment horizontal="center" vertical="center" shrinkToFit="1"/>
    </xf>
    <xf numFmtId="0" fontId="30" fillId="0" borderId="490" xfId="1" applyNumberFormat="1" applyFont="1" applyFill="1" applyBorder="1" applyAlignment="1">
      <alignment horizontal="center" vertical="center" shrinkToFit="1"/>
    </xf>
    <xf numFmtId="201" fontId="127" fillId="0" borderId="428" xfId="11" applyNumberFormat="1" applyFont="1" applyBorder="1" applyAlignment="1">
      <alignment horizontal="center" vertical="center" wrapText="1"/>
    </xf>
    <xf numFmtId="0" fontId="126" fillId="8" borderId="62" xfId="11" applyFont="1" applyFill="1" applyBorder="1" applyAlignment="1">
      <alignment vertical="center" wrapText="1" shrinkToFit="1"/>
    </xf>
    <xf numFmtId="0" fontId="127" fillId="8" borderId="62" xfId="11" applyFont="1" applyFill="1" applyBorder="1" applyAlignment="1">
      <alignment vertical="center" wrapText="1" shrinkToFit="1"/>
    </xf>
    <xf numFmtId="0" fontId="127" fillId="0" borderId="409" xfId="11" applyFont="1" applyBorder="1" applyAlignment="1">
      <alignment horizontal="center" vertical="center" wrapText="1" shrinkToFit="1"/>
    </xf>
    <xf numFmtId="0" fontId="127" fillId="0" borderId="61" xfId="11" applyFont="1" applyBorder="1" applyAlignment="1">
      <alignment horizontal="center" vertical="center" wrapText="1" shrinkToFit="1"/>
    </xf>
    <xf numFmtId="0" fontId="127" fillId="0" borderId="465" xfId="11" quotePrefix="1" applyFont="1" applyBorder="1" applyAlignment="1">
      <alignment horizontal="center" vertical="center" shrinkToFit="1"/>
    </xf>
    <xf numFmtId="201" fontId="127" fillId="0" borderId="427" xfId="11" applyNumberFormat="1" applyFont="1" applyBorder="1" applyAlignment="1">
      <alignment horizontal="center" vertical="center" wrapText="1"/>
    </xf>
    <xf numFmtId="0" fontId="126" fillId="8" borderId="429" xfId="11" applyFont="1" applyFill="1" applyBorder="1" applyAlignment="1">
      <alignment vertical="center" wrapText="1" shrinkToFit="1"/>
    </xf>
    <xf numFmtId="0" fontId="127" fillId="8" borderId="429" xfId="11" applyFont="1" applyFill="1" applyBorder="1" applyAlignment="1">
      <alignment vertical="center" wrapText="1" shrinkToFit="1"/>
    </xf>
    <xf numFmtId="0" fontId="127" fillId="0" borderId="418" xfId="11" applyFont="1" applyBorder="1" applyAlignment="1">
      <alignment horizontal="center" vertical="center" wrapText="1" shrinkToFit="1"/>
    </xf>
    <xf numFmtId="0" fontId="127" fillId="0" borderId="459" xfId="11" quotePrefix="1" applyFont="1" applyBorder="1" applyAlignment="1">
      <alignment horizontal="center" vertical="center" shrinkToFit="1"/>
    </xf>
    <xf numFmtId="0" fontId="126" fillId="0" borderId="62" xfId="11" applyFont="1" applyBorder="1" applyAlignment="1">
      <alignment horizontal="left" vertical="center" wrapText="1" shrinkToFit="1"/>
    </xf>
    <xf numFmtId="0" fontId="127" fillId="0" borderId="62" xfId="11" applyFont="1" applyBorder="1" applyAlignment="1">
      <alignment horizontal="center" vertical="center" wrapText="1" shrinkToFit="1"/>
    </xf>
    <xf numFmtId="0" fontId="127" fillId="0" borderId="465" xfId="11" quotePrefix="1" applyFont="1" applyBorder="1" applyAlignment="1">
      <alignment horizontal="center" vertical="center" wrapText="1" shrinkToFit="1"/>
    </xf>
    <xf numFmtId="0" fontId="126" fillId="0" borderId="429" xfId="11" applyFont="1" applyBorder="1" applyAlignment="1">
      <alignment vertical="center" wrapText="1" shrinkToFit="1"/>
    </xf>
    <xf numFmtId="0" fontId="127" fillId="0" borderId="429" xfId="11" applyFont="1" applyBorder="1" applyAlignment="1">
      <alignment vertical="center" wrapText="1" shrinkToFit="1"/>
    </xf>
    <xf numFmtId="0" fontId="127" fillId="0" borderId="429" xfId="11" applyFont="1" applyBorder="1" applyAlignment="1">
      <alignment horizontal="center" vertical="center" wrapText="1" shrinkToFit="1"/>
    </xf>
    <xf numFmtId="0" fontId="127" fillId="8" borderId="429" xfId="11" applyFont="1" applyFill="1" applyBorder="1" applyAlignment="1">
      <alignment horizontal="center" vertical="center" shrinkToFit="1"/>
    </xf>
    <xf numFmtId="0" fontId="127" fillId="0" borderId="418" xfId="11" applyFont="1" applyBorder="1" applyAlignment="1">
      <alignment horizontal="center" vertical="center" shrinkToFit="1"/>
    </xf>
    <xf numFmtId="0" fontId="126" fillId="8" borderId="429" xfId="11" applyFont="1" applyFill="1" applyBorder="1" applyAlignment="1">
      <alignment vertical="center" shrinkToFit="1"/>
    </xf>
    <xf numFmtId="0" fontId="127" fillId="8" borderId="429" xfId="11" applyFont="1" applyFill="1" applyBorder="1" applyAlignment="1">
      <alignment horizontal="center" vertical="center" wrapText="1"/>
    </xf>
    <xf numFmtId="0" fontId="127" fillId="0" borderId="418" xfId="11" applyFont="1" applyBorder="1" applyAlignment="1">
      <alignment horizontal="center" vertical="center" wrapText="1"/>
    </xf>
    <xf numFmtId="0" fontId="127" fillId="0" borderId="460" xfId="11" applyFont="1" applyBorder="1" applyAlignment="1">
      <alignment horizontal="center" vertical="center" wrapText="1"/>
    </xf>
    <xf numFmtId="201" fontId="127" fillId="0" borderId="427" xfId="11" applyNumberFormat="1" applyFont="1" applyBorder="1" applyAlignment="1">
      <alignment horizontal="center" vertical="center"/>
    </xf>
    <xf numFmtId="0" fontId="126" fillId="8" borderId="429" xfId="11" applyFont="1" applyFill="1" applyBorder="1" applyAlignment="1">
      <alignment horizontal="left" vertical="center" wrapText="1" shrinkToFit="1"/>
    </xf>
    <xf numFmtId="0" fontId="127" fillId="8" borderId="427" xfId="11" applyFont="1" applyFill="1" applyBorder="1" applyAlignment="1">
      <alignment horizontal="center" vertical="center"/>
    </xf>
    <xf numFmtId="0" fontId="127" fillId="0" borderId="418" xfId="11" applyFont="1" applyBorder="1" applyAlignment="1">
      <alignment horizontal="center" vertical="center"/>
    </xf>
    <xf numFmtId="0" fontId="127" fillId="0" borderId="460" xfId="11" applyFont="1" applyBorder="1" applyAlignment="1">
      <alignment horizontal="center" vertical="center"/>
    </xf>
    <xf numFmtId="0" fontId="106" fillId="0" borderId="0" xfId="11" applyFont="1" applyAlignment="1">
      <alignment vertical="center"/>
    </xf>
    <xf numFmtId="181" fontId="32" fillId="0" borderId="0" xfId="11" applyNumberFormat="1" applyFont="1" applyAlignment="1">
      <alignment horizontal="center" vertical="top" shrinkToFit="1"/>
    </xf>
    <xf numFmtId="0" fontId="32" fillId="0" borderId="0" xfId="11" applyFont="1" applyAlignment="1">
      <alignment vertical="center"/>
    </xf>
    <xf numFmtId="0" fontId="62" fillId="21" borderId="259" xfId="11" applyFont="1" applyFill="1" applyBorder="1" applyAlignment="1">
      <alignment horizontal="center" vertical="center" wrapText="1"/>
    </xf>
    <xf numFmtId="0" fontId="62" fillId="21" borderId="5" xfId="11" applyFont="1" applyFill="1" applyBorder="1" applyAlignment="1">
      <alignment horizontal="center" vertical="center" wrapText="1"/>
    </xf>
    <xf numFmtId="0" fontId="50" fillId="14" borderId="5" xfId="11" applyFont="1" applyFill="1" applyBorder="1" applyAlignment="1">
      <alignment horizontal="center" vertical="center" wrapText="1"/>
    </xf>
    <xf numFmtId="0" fontId="45" fillId="9" borderId="5" xfId="0" applyFont="1" applyFill="1" applyBorder="1" applyAlignment="1">
      <alignment horizontal="center" vertical="center" shrinkToFit="1"/>
    </xf>
    <xf numFmtId="0" fontId="45" fillId="9" borderId="5" xfId="1" applyNumberFormat="1" applyFont="1" applyFill="1" applyBorder="1" applyAlignment="1">
      <alignment horizontal="center" vertical="center" shrinkToFit="1"/>
    </xf>
    <xf numFmtId="38" fontId="45" fillId="9" borderId="5" xfId="1" applyFont="1" applyFill="1" applyBorder="1" applyAlignment="1">
      <alignment horizontal="center" vertical="center" shrinkToFit="1"/>
    </xf>
    <xf numFmtId="38" fontId="43" fillId="9" borderId="5" xfId="1" applyFont="1" applyFill="1" applyBorder="1" applyAlignment="1">
      <alignment horizontal="center" vertical="center" shrinkToFit="1"/>
    </xf>
    <xf numFmtId="9" fontId="43" fillId="9" borderId="5" xfId="10" applyFont="1" applyFill="1" applyBorder="1" applyAlignment="1">
      <alignment horizontal="center" vertical="center" shrinkToFit="1"/>
    </xf>
    <xf numFmtId="38" fontId="36" fillId="9" borderId="5" xfId="1" applyFont="1" applyFill="1" applyBorder="1" applyAlignment="1">
      <alignment horizontal="center" vertical="center" wrapText="1" shrinkToFit="1"/>
    </xf>
    <xf numFmtId="38" fontId="43" fillId="9" borderId="5" xfId="1" applyFont="1" applyFill="1" applyBorder="1" applyAlignment="1">
      <alignment horizontal="center" vertical="center" wrapText="1" shrinkToFit="1"/>
    </xf>
    <xf numFmtId="0" fontId="84" fillId="9" borderId="5" xfId="1" applyNumberFormat="1" applyFont="1" applyFill="1" applyBorder="1" applyAlignment="1">
      <alignment horizontal="center" vertical="center" wrapText="1" shrinkToFit="1"/>
    </xf>
    <xf numFmtId="0" fontId="45" fillId="16" borderId="5" xfId="13" applyFont="1" applyFill="1" applyBorder="1" applyAlignment="1">
      <alignment horizontal="center" vertical="center" shrinkToFit="1"/>
    </xf>
    <xf numFmtId="0" fontId="45" fillId="16" borderId="5" xfId="13" applyFont="1" applyFill="1" applyBorder="1" applyAlignment="1">
      <alignment horizontal="center" vertical="center" wrapText="1" shrinkToFit="1"/>
    </xf>
    <xf numFmtId="0" fontId="43" fillId="16" borderId="5" xfId="0" applyFont="1" applyFill="1" applyBorder="1" applyAlignment="1">
      <alignment horizontal="center" vertical="center" shrinkToFit="1"/>
    </xf>
    <xf numFmtId="0" fontId="44" fillId="2" borderId="7" xfId="13" applyFont="1" applyFill="1" applyBorder="1" applyAlignment="1">
      <alignment horizontal="center" vertical="center" wrapText="1" shrinkToFit="1"/>
    </xf>
    <xf numFmtId="0" fontId="44" fillId="2" borderId="5" xfId="13" applyFont="1" applyFill="1" applyBorder="1" applyAlignment="1">
      <alignment horizontal="center" vertical="center" wrapText="1" shrinkToFit="1"/>
    </xf>
    <xf numFmtId="0" fontId="44" fillId="2" borderId="9" xfId="13" applyFont="1" applyFill="1" applyBorder="1" applyAlignment="1">
      <alignment horizontal="center" vertical="center" wrapText="1" shrinkToFit="1"/>
    </xf>
    <xf numFmtId="0" fontId="130" fillId="16" borderId="5" xfId="0" applyFont="1" applyFill="1" applyBorder="1" applyAlignment="1">
      <alignment horizontal="center" vertical="center" shrinkToFit="1"/>
    </xf>
    <xf numFmtId="0" fontId="45" fillId="0" borderId="389" xfId="0" applyFont="1" applyBorder="1" applyAlignment="1">
      <alignment horizontal="center" vertical="center" shrinkToFit="1"/>
    </xf>
    <xf numFmtId="0" fontId="45" fillId="0" borderId="8" xfId="1" applyNumberFormat="1" applyFont="1" applyFill="1" applyBorder="1" applyAlignment="1">
      <alignment horizontal="center" vertical="center" shrinkToFit="1"/>
    </xf>
    <xf numFmtId="38" fontId="44" fillId="0" borderId="391" xfId="1" applyFont="1" applyFill="1" applyBorder="1" applyAlignment="1">
      <alignment horizontal="center" vertical="center" shrinkToFit="1"/>
    </xf>
    <xf numFmtId="38" fontId="44" fillId="0" borderId="390" xfId="1" applyFont="1" applyFill="1" applyBorder="1" applyAlignment="1">
      <alignment horizontal="center" vertical="center" shrinkToFit="1"/>
    </xf>
    <xf numFmtId="9" fontId="43" fillId="0" borderId="390" xfId="10" applyFont="1" applyFill="1" applyBorder="1" applyAlignment="1">
      <alignment horizontal="center" vertical="center" shrinkToFit="1"/>
    </xf>
    <xf numFmtId="0" fontId="45" fillId="0" borderId="389" xfId="13" applyFont="1" applyBorder="1" applyAlignment="1">
      <alignment vertical="center" shrinkToFit="1"/>
    </xf>
    <xf numFmtId="0" fontId="44" fillId="0" borderId="8" xfId="13" applyFont="1" applyBorder="1" applyAlignment="1">
      <alignment horizontal="center" vertical="center" shrinkToFit="1"/>
    </xf>
    <xf numFmtId="0" fontId="63" fillId="0" borderId="5" xfId="13" applyFont="1" applyBorder="1" applyAlignment="1">
      <alignment horizontal="center" vertical="center" shrinkToFit="1"/>
    </xf>
    <xf numFmtId="0" fontId="45" fillId="0" borderId="403" xfId="0" applyFont="1" applyBorder="1" applyAlignment="1">
      <alignment horizontal="center" vertical="center" shrinkToFit="1"/>
    </xf>
    <xf numFmtId="0" fontId="45" fillId="0" borderId="401" xfId="1" applyNumberFormat="1" applyFont="1" applyFill="1" applyBorder="1" applyAlignment="1">
      <alignment horizontal="center" vertical="center" shrinkToFit="1"/>
    </xf>
    <xf numFmtId="0" fontId="87" fillId="0" borderId="401" xfId="1" applyNumberFormat="1" applyFont="1" applyFill="1" applyBorder="1" applyAlignment="1">
      <alignment horizontal="center" vertical="center" shrinkToFit="1"/>
    </xf>
    <xf numFmtId="38" fontId="45" fillId="0" borderId="402" xfId="1" applyFont="1" applyFill="1" applyBorder="1" applyAlignment="1">
      <alignment horizontal="center" vertical="center" shrinkToFit="1"/>
    </xf>
    <xf numFmtId="38" fontId="44" fillId="0" borderId="408" xfId="1" applyFont="1" applyFill="1" applyBorder="1" applyAlignment="1">
      <alignment horizontal="center" vertical="center" shrinkToFit="1"/>
    </xf>
    <xf numFmtId="38" fontId="44" fillId="0" borderId="402" xfId="1" applyFont="1" applyFill="1" applyBorder="1" applyAlignment="1">
      <alignment horizontal="center" vertical="center" shrinkToFit="1"/>
    </xf>
    <xf numFmtId="9" fontId="43" fillId="0" borderId="402" xfId="10" applyFont="1" applyFill="1" applyBorder="1" applyAlignment="1">
      <alignment horizontal="center" vertical="center" shrinkToFit="1"/>
    </xf>
    <xf numFmtId="0" fontId="43" fillId="0" borderId="651" xfId="1" applyNumberFormat="1" applyFont="1" applyFill="1" applyBorder="1" applyAlignment="1">
      <alignment horizontal="center" vertical="center" shrinkToFit="1"/>
    </xf>
    <xf numFmtId="0" fontId="43" fillId="0" borderId="652" xfId="1" applyNumberFormat="1" applyFont="1" applyFill="1" applyBorder="1" applyAlignment="1">
      <alignment horizontal="center" vertical="center" shrinkToFit="1"/>
    </xf>
    <xf numFmtId="0" fontId="45" fillId="0" borderId="403" xfId="13" applyFont="1" applyBorder="1" applyAlignment="1">
      <alignment horizontal="center" vertical="center" shrinkToFit="1"/>
    </xf>
    <xf numFmtId="0" fontId="45" fillId="0" borderId="401" xfId="13" applyFont="1" applyBorder="1" applyAlignment="1">
      <alignment horizontal="left" vertical="center" wrapText="1" shrinkToFit="1"/>
    </xf>
    <xf numFmtId="0" fontId="43" fillId="0" borderId="401" xfId="0" applyFont="1" applyBorder="1" applyAlignment="1">
      <alignment horizontal="center" vertical="center" shrinkToFit="1"/>
    </xf>
    <xf numFmtId="0" fontId="44" fillId="0" borderId="401" xfId="13" applyFont="1" applyBorder="1" applyAlignment="1">
      <alignment horizontal="center" vertical="center" shrinkToFit="1"/>
    </xf>
    <xf numFmtId="0" fontId="63" fillId="0" borderId="57" xfId="13" applyFont="1" applyBorder="1" applyAlignment="1">
      <alignment horizontal="center" vertical="center" shrinkToFit="1"/>
    </xf>
    <xf numFmtId="0" fontId="43" fillId="0" borderId="57" xfId="0" applyFont="1" applyBorder="1" applyAlignment="1">
      <alignment horizontal="left" vertical="center" wrapText="1" shrinkToFit="1"/>
    </xf>
    <xf numFmtId="38" fontId="43" fillId="0" borderId="430" xfId="1" applyFont="1" applyFill="1" applyBorder="1" applyAlignment="1">
      <alignment horizontal="left" vertical="center" shrinkToFit="1"/>
    </xf>
    <xf numFmtId="0" fontId="129" fillId="0" borderId="412" xfId="0" applyFont="1" applyBorder="1" applyAlignment="1">
      <alignment horizontal="center" vertical="center" shrinkToFit="1"/>
    </xf>
    <xf numFmtId="0" fontId="129" fillId="0" borderId="410" xfId="1" applyNumberFormat="1" applyFont="1" applyFill="1" applyBorder="1" applyAlignment="1">
      <alignment horizontal="center" vertical="center" shrinkToFit="1"/>
    </xf>
    <xf numFmtId="0" fontId="30" fillId="0" borderId="410" xfId="1" applyNumberFormat="1" applyFont="1" applyFill="1" applyBorder="1" applyAlignment="1">
      <alignment horizontal="center" vertical="center" shrinkToFit="1"/>
    </xf>
    <xf numFmtId="38" fontId="129" fillId="0" borderId="411" xfId="1" applyFont="1" applyFill="1" applyBorder="1" applyAlignment="1">
      <alignment horizontal="center" vertical="center" shrinkToFit="1"/>
    </xf>
    <xf numFmtId="38" fontId="129" fillId="0" borderId="416" xfId="1" applyFont="1" applyFill="1" applyBorder="1" applyAlignment="1">
      <alignment horizontal="center" vertical="center" shrinkToFit="1"/>
    </xf>
    <xf numFmtId="38" fontId="30" fillId="0" borderId="417" xfId="1" applyFont="1" applyFill="1" applyBorder="1" applyAlignment="1">
      <alignment horizontal="center" vertical="center" shrinkToFit="1"/>
    </xf>
    <xf numFmtId="38" fontId="30" fillId="0" borderId="411" xfId="1" applyFont="1" applyFill="1" applyBorder="1" applyAlignment="1">
      <alignment horizontal="center" vertical="center" shrinkToFit="1"/>
    </xf>
    <xf numFmtId="9" fontId="129" fillId="0" borderId="411" xfId="10" applyFont="1" applyFill="1" applyBorder="1" applyAlignment="1">
      <alignment horizontal="center" vertical="center" shrinkToFit="1"/>
    </xf>
    <xf numFmtId="38" fontId="131" fillId="0" borderId="413" xfId="1" applyFont="1" applyFill="1" applyBorder="1" applyAlignment="1">
      <alignment horizontal="center" vertical="center" wrapText="1" shrinkToFit="1"/>
    </xf>
    <xf numFmtId="38" fontId="131" fillId="0" borderId="414" xfId="1" applyFont="1" applyFill="1" applyBorder="1" applyAlignment="1">
      <alignment horizontal="center" vertical="center" wrapText="1" shrinkToFit="1"/>
    </xf>
    <xf numFmtId="38" fontId="131" fillId="19" borderId="414" xfId="1" applyFont="1" applyFill="1" applyBorder="1" applyAlignment="1">
      <alignment horizontal="center" vertical="center" wrapText="1" shrinkToFit="1"/>
    </xf>
    <xf numFmtId="38" fontId="131" fillId="0" borderId="415" xfId="1" applyFont="1" applyFill="1" applyBorder="1" applyAlignment="1">
      <alignment horizontal="center" vertical="center" wrapText="1" shrinkToFit="1"/>
    </xf>
    <xf numFmtId="38" fontId="129" fillId="9" borderId="417" xfId="1" applyFont="1" applyFill="1" applyBorder="1" applyAlignment="1">
      <alignment horizontal="center" vertical="center" shrinkToFit="1"/>
    </xf>
    <xf numFmtId="9" fontId="129" fillId="0" borderId="410" xfId="10" applyFont="1" applyFill="1" applyBorder="1" applyAlignment="1">
      <alignment horizontal="center" vertical="center" shrinkToFit="1"/>
    </xf>
    <xf numFmtId="38" fontId="129" fillId="0" borderId="417" xfId="1" applyFont="1" applyFill="1" applyBorder="1" applyAlignment="1">
      <alignment horizontal="center" vertical="center" shrinkToFit="1"/>
    </xf>
    <xf numFmtId="38" fontId="129" fillId="0" borderId="410" xfId="1" applyFont="1" applyFill="1" applyBorder="1" applyAlignment="1">
      <alignment horizontal="center" vertical="center" shrinkToFit="1"/>
    </xf>
    <xf numFmtId="0" fontId="43" fillId="0" borderId="653" xfId="1" applyNumberFormat="1" applyFont="1" applyFill="1" applyBorder="1" applyAlignment="1">
      <alignment horizontal="center" vertical="center" shrinkToFit="1"/>
    </xf>
    <xf numFmtId="0" fontId="43" fillId="0" borderId="654" xfId="1" applyNumberFormat="1" applyFont="1" applyFill="1" applyBorder="1" applyAlignment="1">
      <alignment horizontal="center" vertical="center" shrinkToFit="1"/>
    </xf>
    <xf numFmtId="0" fontId="45" fillId="0" borderId="412" xfId="13" applyFont="1" applyBorder="1" applyAlignment="1">
      <alignment horizontal="center" vertical="center" shrinkToFit="1"/>
    </xf>
    <xf numFmtId="0" fontId="45" fillId="0" borderId="410" xfId="13" applyFont="1" applyBorder="1" applyAlignment="1">
      <alignment horizontal="left" vertical="center" wrapText="1" shrinkToFit="1"/>
    </xf>
    <xf numFmtId="0" fontId="43" fillId="0" borderId="410" xfId="0" applyFont="1" applyBorder="1" applyAlignment="1">
      <alignment horizontal="center" vertical="center" shrinkToFit="1"/>
    </xf>
    <xf numFmtId="0" fontId="44" fillId="0" borderId="410" xfId="13" applyFont="1" applyBorder="1" applyAlignment="1">
      <alignment horizontal="center" vertical="center" shrinkToFit="1"/>
    </xf>
    <xf numFmtId="0" fontId="63" fillId="0" borderId="62" xfId="13" applyFont="1" applyBorder="1" applyAlignment="1">
      <alignment horizontal="center" vertical="center" shrinkToFit="1"/>
    </xf>
    <xf numFmtId="0" fontId="43" fillId="0" borderId="62" xfId="0" applyFont="1" applyBorder="1" applyAlignment="1">
      <alignment horizontal="left" vertical="center" wrapText="1" shrinkToFit="1"/>
    </xf>
    <xf numFmtId="38" fontId="43" fillId="0" borderId="428" xfId="1" applyFont="1" applyFill="1" applyBorder="1" applyAlignment="1">
      <alignment horizontal="left" vertical="center" shrinkToFit="1"/>
    </xf>
    <xf numFmtId="0" fontId="129" fillId="0" borderId="421" xfId="0" applyFont="1" applyBorder="1" applyAlignment="1">
      <alignment horizontal="center" vertical="center" shrinkToFit="1"/>
    </xf>
    <xf numFmtId="0" fontId="129" fillId="0" borderId="419" xfId="1" applyNumberFormat="1" applyFont="1" applyFill="1" applyBorder="1" applyAlignment="1">
      <alignment horizontal="center" vertical="center" shrinkToFit="1"/>
    </xf>
    <xf numFmtId="0" fontId="30" fillId="0" borderId="419" xfId="1" applyNumberFormat="1" applyFont="1" applyFill="1" applyBorder="1" applyAlignment="1">
      <alignment horizontal="center" vertical="center" shrinkToFit="1"/>
    </xf>
    <xf numFmtId="38" fontId="129" fillId="0" borderId="420" xfId="1" applyFont="1" applyFill="1" applyBorder="1" applyAlignment="1">
      <alignment horizontal="center" vertical="center" shrinkToFit="1"/>
    </xf>
    <xf numFmtId="38" fontId="129" fillId="0" borderId="425" xfId="1" applyFont="1" applyFill="1" applyBorder="1" applyAlignment="1">
      <alignment horizontal="center" vertical="center" shrinkToFit="1"/>
    </xf>
    <xf numFmtId="38" fontId="30" fillId="0" borderId="426" xfId="1" applyFont="1" applyFill="1" applyBorder="1" applyAlignment="1">
      <alignment horizontal="center" vertical="center" shrinkToFit="1"/>
    </xf>
    <xf numFmtId="38" fontId="30" fillId="0" borderId="420" xfId="1" applyFont="1" applyFill="1" applyBorder="1" applyAlignment="1">
      <alignment horizontal="center" vertical="center" shrinkToFit="1"/>
    </xf>
    <xf numFmtId="9" fontId="129" fillId="0" borderId="420" xfId="10" applyFont="1" applyFill="1" applyBorder="1" applyAlignment="1">
      <alignment horizontal="center" vertical="center" shrinkToFit="1"/>
    </xf>
    <xf numFmtId="38" fontId="131" fillId="0" borderId="422" xfId="1" applyFont="1" applyFill="1" applyBorder="1" applyAlignment="1">
      <alignment horizontal="center" vertical="center" wrapText="1" shrinkToFit="1"/>
    </xf>
    <xf numFmtId="38" fontId="131" fillId="0" borderId="423" xfId="1" applyFont="1" applyFill="1" applyBorder="1" applyAlignment="1">
      <alignment horizontal="center" vertical="center" wrapText="1" shrinkToFit="1"/>
    </xf>
    <xf numFmtId="38" fontId="131" fillId="19" borderId="423" xfId="1" applyFont="1" applyFill="1" applyBorder="1" applyAlignment="1">
      <alignment horizontal="center" vertical="center" wrapText="1" shrinkToFit="1"/>
    </xf>
    <xf numFmtId="38" fontId="131" fillId="0" borderId="424" xfId="1" applyFont="1" applyFill="1" applyBorder="1" applyAlignment="1">
      <alignment horizontal="center" vertical="center" wrapText="1" shrinkToFit="1"/>
    </xf>
    <xf numFmtId="38" fontId="129" fillId="9" borderId="426" xfId="1" applyFont="1" applyFill="1" applyBorder="1" applyAlignment="1">
      <alignment horizontal="center" vertical="center" shrinkToFit="1"/>
    </xf>
    <xf numFmtId="9" fontId="129" fillId="0" borderId="419" xfId="10" applyFont="1" applyFill="1" applyBorder="1" applyAlignment="1">
      <alignment horizontal="center" vertical="center" shrinkToFit="1"/>
    </xf>
    <xf numFmtId="38" fontId="129" fillId="0" borderId="426" xfId="1" applyFont="1" applyFill="1" applyBorder="1" applyAlignment="1">
      <alignment horizontal="center" vertical="center" shrinkToFit="1"/>
    </xf>
    <xf numFmtId="38" fontId="129" fillId="0" borderId="419" xfId="1" applyFont="1" applyFill="1" applyBorder="1" applyAlignment="1">
      <alignment horizontal="center" vertical="center" shrinkToFit="1"/>
    </xf>
    <xf numFmtId="0" fontId="43" fillId="0" borderId="655" xfId="1" applyNumberFormat="1" applyFont="1" applyFill="1" applyBorder="1" applyAlignment="1">
      <alignment horizontal="center" vertical="center" shrinkToFit="1"/>
    </xf>
    <xf numFmtId="0" fontId="43" fillId="0" borderId="656" xfId="1" applyNumberFormat="1" applyFont="1" applyFill="1" applyBorder="1" applyAlignment="1">
      <alignment horizontal="center" vertical="center" shrinkToFit="1"/>
    </xf>
    <xf numFmtId="0" fontId="45" fillId="0" borderId="421" xfId="13" applyFont="1" applyBorder="1" applyAlignment="1">
      <alignment horizontal="center" vertical="center" shrinkToFit="1"/>
    </xf>
    <xf numFmtId="0" fontId="45" fillId="0" borderId="419" xfId="13" applyFont="1" applyBorder="1" applyAlignment="1">
      <alignment horizontal="left" vertical="center" wrapText="1" shrinkToFit="1"/>
    </xf>
    <xf numFmtId="0" fontId="43" fillId="0" borderId="419" xfId="0" applyFont="1" applyBorder="1" applyAlignment="1">
      <alignment horizontal="center" vertical="center" shrinkToFit="1"/>
    </xf>
    <xf numFmtId="0" fontId="44" fillId="0" borderId="419" xfId="13" applyFont="1" applyBorder="1" applyAlignment="1">
      <alignment horizontal="center" vertical="center" shrinkToFit="1"/>
    </xf>
    <xf numFmtId="0" fontId="63" fillId="0" borderId="429" xfId="13" applyFont="1" applyBorder="1" applyAlignment="1">
      <alignment horizontal="center" vertical="center" shrinkToFit="1"/>
    </xf>
    <xf numFmtId="0" fontId="43" fillId="0" borderId="429" xfId="0" applyFont="1" applyBorder="1" applyAlignment="1">
      <alignment horizontal="left" vertical="center" wrapText="1" shrinkToFit="1"/>
    </xf>
    <xf numFmtId="38" fontId="43" fillId="0" borderId="427" xfId="1" applyFont="1" applyFill="1" applyBorder="1" applyAlignment="1">
      <alignment horizontal="left" vertical="center" shrinkToFit="1"/>
    </xf>
    <xf numFmtId="0" fontId="45" fillId="0" borderId="403" xfId="0" applyFont="1" applyBorder="1" applyAlignment="1">
      <alignment vertical="center" shrinkToFit="1"/>
    </xf>
    <xf numFmtId="0" fontId="45" fillId="0" borderId="403" xfId="13" applyFont="1" applyBorder="1" applyAlignment="1">
      <alignment vertical="center" shrinkToFit="1"/>
    </xf>
    <xf numFmtId="0" fontId="129" fillId="0" borderId="412" xfId="0" applyFont="1" applyBorder="1" applyAlignment="1">
      <alignment vertical="center" shrinkToFit="1"/>
    </xf>
    <xf numFmtId="0" fontId="45" fillId="0" borderId="412" xfId="13" applyFont="1" applyBorder="1" applyAlignment="1">
      <alignment vertical="center" shrinkToFit="1"/>
    </xf>
    <xf numFmtId="0" fontId="43" fillId="0" borderId="62" xfId="0" applyFont="1" applyBorder="1" applyAlignment="1">
      <alignment horizontal="left" vertical="center" shrinkToFit="1"/>
    </xf>
    <xf numFmtId="0" fontId="132" fillId="0" borderId="62" xfId="0" applyFont="1" applyBorder="1" applyAlignment="1">
      <alignment horizontal="left" vertical="center" wrapText="1" shrinkToFit="1"/>
    </xf>
    <xf numFmtId="38" fontId="30" fillId="0" borderId="410" xfId="1" applyFont="1" applyFill="1" applyBorder="1" applyAlignment="1">
      <alignment horizontal="center" vertical="center" shrinkToFit="1"/>
    </xf>
    <xf numFmtId="0" fontId="35" fillId="0" borderId="62" xfId="0" applyFont="1" applyBorder="1" applyAlignment="1">
      <alignment horizontal="left" vertical="center" wrapText="1" shrinkToFit="1"/>
    </xf>
    <xf numFmtId="0" fontId="45" fillId="0" borderId="62" xfId="13" applyFont="1" applyBorder="1">
      <alignment vertical="center"/>
    </xf>
    <xf numFmtId="0" fontId="43" fillId="0" borderId="419" xfId="1" applyNumberFormat="1" applyFont="1" applyFill="1" applyBorder="1" applyAlignment="1">
      <alignment horizontal="center" vertical="center" shrinkToFit="1"/>
    </xf>
    <xf numFmtId="0" fontId="43" fillId="0" borderId="429" xfId="0" applyFont="1" applyBorder="1" applyAlignment="1">
      <alignment horizontal="left" vertical="center" shrinkToFit="1"/>
    </xf>
    <xf numFmtId="0" fontId="43" fillId="0" borderId="57" xfId="0" applyFont="1" applyBorder="1" applyAlignment="1">
      <alignment horizontal="left" vertical="center" shrinkToFit="1"/>
    </xf>
    <xf numFmtId="0" fontId="44" fillId="0" borderId="402" xfId="13" applyFont="1" applyBorder="1" applyAlignment="1">
      <alignment horizontal="center" vertical="center" shrinkToFit="1"/>
    </xf>
    <xf numFmtId="38" fontId="88" fillId="0" borderId="430" xfId="1" applyFont="1" applyFill="1" applyBorder="1" applyAlignment="1">
      <alignment horizontal="left" vertical="center" shrinkToFit="1"/>
    </xf>
    <xf numFmtId="0" fontId="30" fillId="0" borderId="411" xfId="13" applyFont="1" applyBorder="1" applyAlignment="1">
      <alignment horizontal="center" vertical="center" shrinkToFit="1"/>
    </xf>
    <xf numFmtId="38" fontId="88" fillId="0" borderId="428" xfId="1" applyFont="1" applyFill="1" applyBorder="1" applyAlignment="1">
      <alignment horizontal="left" vertical="center" shrinkToFit="1"/>
    </xf>
    <xf numFmtId="0" fontId="30" fillId="0" borderId="420" xfId="13" applyFont="1" applyBorder="1" applyAlignment="1">
      <alignment horizontal="center" vertical="center" shrinkToFit="1"/>
    </xf>
    <xf numFmtId="38" fontId="88" fillId="0" borderId="427" xfId="1" applyFont="1" applyFill="1" applyBorder="1" applyAlignment="1">
      <alignment horizontal="left" vertical="center" shrinkToFit="1"/>
    </xf>
    <xf numFmtId="0" fontId="45" fillId="0" borderId="389" xfId="13" applyFont="1" applyBorder="1">
      <alignment vertical="center"/>
    </xf>
    <xf numFmtId="0" fontId="45" fillId="0" borderId="388" xfId="13" applyFont="1" applyBorder="1" applyAlignment="1">
      <alignment horizontal="left" vertical="center"/>
    </xf>
    <xf numFmtId="0" fontId="43" fillId="0" borderId="5" xfId="0" applyFont="1" applyBorder="1" applyAlignment="1">
      <alignment horizontal="left" vertical="center" wrapText="1" shrinkToFit="1"/>
    </xf>
    <xf numFmtId="0" fontId="45" fillId="0" borderId="8" xfId="13" applyFont="1" applyBorder="1" applyAlignment="1">
      <alignment horizontal="left" vertical="center" wrapText="1" shrinkToFit="1"/>
    </xf>
    <xf numFmtId="0" fontId="43" fillId="0" borderId="8" xfId="0" applyFont="1" applyBorder="1" applyAlignment="1">
      <alignment horizontal="center" vertical="center" shrinkToFit="1"/>
    </xf>
    <xf numFmtId="0" fontId="132" fillId="0" borderId="57" xfId="0" applyFont="1" applyBorder="1" applyAlignment="1">
      <alignment horizontal="left" vertical="center" wrapText="1" shrinkToFit="1"/>
    </xf>
    <xf numFmtId="0" fontId="43" fillId="0" borderId="62" xfId="0" applyFont="1" applyBorder="1" applyAlignment="1">
      <alignment vertical="center" shrinkToFit="1"/>
    </xf>
    <xf numFmtId="38" fontId="30" fillId="0" borderId="419" xfId="1" applyFont="1" applyFill="1" applyBorder="1" applyAlignment="1">
      <alignment horizontal="center" vertical="center" shrinkToFit="1"/>
    </xf>
    <xf numFmtId="0" fontId="45" fillId="0" borderId="421" xfId="13" applyFont="1" applyBorder="1" applyAlignment="1">
      <alignment vertical="center" shrinkToFit="1"/>
    </xf>
    <xf numFmtId="0" fontId="43" fillId="0" borderId="429" xfId="0" applyFont="1" applyBorder="1" applyAlignment="1">
      <alignment vertical="center" shrinkToFit="1"/>
    </xf>
    <xf numFmtId="0" fontId="45" fillId="0" borderId="389" xfId="0" applyFont="1" applyBorder="1" applyAlignment="1">
      <alignment vertical="center" shrinkToFit="1"/>
    </xf>
    <xf numFmtId="38" fontId="88" fillId="0" borderId="9" xfId="1" applyFont="1" applyFill="1" applyBorder="1" applyAlignment="1">
      <alignment horizontal="left" vertical="center" shrinkToFit="1"/>
    </xf>
    <xf numFmtId="0" fontId="43" fillId="0" borderId="5" xfId="0" applyFont="1" applyBorder="1" applyAlignment="1">
      <alignment horizontal="left" vertical="center" shrinkToFit="1"/>
    </xf>
    <xf numFmtId="0" fontId="45" fillId="0" borderId="389" xfId="13" applyFont="1" applyBorder="1" applyAlignment="1">
      <alignment horizontal="center" vertical="center" shrinkToFit="1"/>
    </xf>
    <xf numFmtId="0" fontId="43" fillId="0" borderId="57" xfId="13" applyFont="1" applyBorder="1" applyAlignment="1">
      <alignment horizontal="left" vertical="center" wrapText="1" shrinkToFit="1"/>
    </xf>
    <xf numFmtId="0" fontId="129" fillId="0" borderId="421" xfId="0" applyFont="1" applyBorder="1" applyAlignment="1">
      <alignment vertical="center" shrinkToFit="1"/>
    </xf>
    <xf numFmtId="0" fontId="45" fillId="0" borderId="329" xfId="0" applyFont="1" applyBorder="1" applyAlignment="1">
      <alignment horizontal="center" vertical="center" shrinkToFit="1"/>
    </xf>
    <xf numFmtId="0" fontId="45" fillId="0" borderId="382" xfId="1" applyNumberFormat="1" applyFont="1" applyFill="1" applyBorder="1" applyAlignment="1">
      <alignment horizontal="center" vertical="center" shrinkToFit="1"/>
    </xf>
    <xf numFmtId="0" fontId="87" fillId="0" borderId="382" xfId="1" applyNumberFormat="1" applyFont="1" applyFill="1" applyBorder="1" applyAlignment="1">
      <alignment horizontal="center" vertical="center" shrinkToFit="1"/>
    </xf>
    <xf numFmtId="38" fontId="45" fillId="0" borderId="384" xfId="1" applyFont="1" applyFill="1" applyBorder="1" applyAlignment="1">
      <alignment horizontal="center" vertical="center" shrinkToFit="1"/>
    </xf>
    <xf numFmtId="38" fontId="44" fillId="0" borderId="380" xfId="1" applyFont="1" applyFill="1" applyBorder="1" applyAlignment="1">
      <alignment horizontal="center" vertical="center" shrinkToFit="1"/>
    </xf>
    <xf numFmtId="38" fontId="44" fillId="0" borderId="384" xfId="1" applyFont="1" applyFill="1" applyBorder="1" applyAlignment="1">
      <alignment horizontal="center" vertical="center" shrinkToFit="1"/>
    </xf>
    <xf numFmtId="9" fontId="43" fillId="0" borderId="384" xfId="10" applyFont="1" applyFill="1" applyBorder="1" applyAlignment="1">
      <alignment horizontal="center" vertical="center" shrinkToFit="1"/>
    </xf>
    <xf numFmtId="0" fontId="43" fillId="0" borderId="657" xfId="1" applyNumberFormat="1" applyFont="1" applyFill="1" applyBorder="1" applyAlignment="1">
      <alignment horizontal="center" vertical="center" shrinkToFit="1"/>
    </xf>
    <xf numFmtId="0" fontId="43" fillId="0" borderId="658" xfId="1" applyNumberFormat="1" applyFont="1" applyFill="1" applyBorder="1" applyAlignment="1">
      <alignment horizontal="center" vertical="center" shrinkToFit="1"/>
    </xf>
    <xf numFmtId="0" fontId="45" fillId="0" borderId="293" xfId="13" applyFont="1" applyBorder="1" applyAlignment="1">
      <alignment horizontal="center" vertical="center" shrinkToFit="1"/>
    </xf>
    <xf numFmtId="0" fontId="45" fillId="0" borderId="28" xfId="13" applyFont="1" applyBorder="1" applyAlignment="1">
      <alignment horizontal="left" vertical="center" wrapText="1" shrinkToFit="1"/>
    </xf>
    <xf numFmtId="0" fontId="45" fillId="0" borderId="41" xfId="13" applyFont="1" applyBorder="1" applyAlignment="1">
      <alignment horizontal="left" vertical="center" wrapText="1" shrinkToFit="1"/>
    </xf>
    <xf numFmtId="0" fontId="43" fillId="0" borderId="41" xfId="0" applyFont="1" applyBorder="1" applyAlignment="1">
      <alignment horizontal="center" vertical="center" shrinkToFit="1"/>
    </xf>
    <xf numFmtId="0" fontId="44" fillId="0" borderId="382" xfId="13" applyFont="1" applyBorder="1" applyAlignment="1">
      <alignment horizontal="center" vertical="center" shrinkToFit="1"/>
    </xf>
    <xf numFmtId="0" fontId="63" fillId="0" borderId="659" xfId="13" applyFont="1" applyBorder="1" applyAlignment="1">
      <alignment horizontal="center" vertical="center" shrinkToFit="1"/>
    </xf>
    <xf numFmtId="0" fontId="43" fillId="0" borderId="659" xfId="0" applyFont="1" applyBorder="1" applyAlignment="1">
      <alignment horizontal="left" vertical="center" wrapText="1" shrinkToFit="1"/>
    </xf>
    <xf numFmtId="0" fontId="43" fillId="0" borderId="659" xfId="0" applyFont="1" applyBorder="1" applyAlignment="1">
      <alignment horizontal="left" vertical="center" shrinkToFit="1"/>
    </xf>
    <xf numFmtId="0" fontId="0" fillId="0" borderId="653" xfId="0" applyBorder="1">
      <alignment vertical="center"/>
    </xf>
    <xf numFmtId="0" fontId="45" fillId="0" borderId="329" xfId="0" applyFont="1" applyBorder="1" applyAlignment="1">
      <alignment vertical="center" shrinkToFit="1"/>
    </xf>
    <xf numFmtId="0" fontId="45" fillId="0" borderId="293" xfId="13" applyFont="1" applyBorder="1" applyAlignment="1">
      <alignment vertical="center" shrinkToFit="1"/>
    </xf>
    <xf numFmtId="0" fontId="63" fillId="0" borderId="28" xfId="13" applyFont="1" applyBorder="1" applyAlignment="1">
      <alignment horizontal="center" vertical="center" shrinkToFit="1"/>
    </xf>
    <xf numFmtId="0" fontId="43" fillId="0" borderId="28" xfId="0" applyFont="1" applyBorder="1" applyAlignment="1">
      <alignment horizontal="left" vertical="center" shrinkToFit="1"/>
    </xf>
    <xf numFmtId="38" fontId="87" fillId="0" borderId="8" xfId="1" applyFont="1" applyFill="1" applyBorder="1" applyAlignment="1">
      <alignment horizontal="center" vertical="center" shrinkToFit="1"/>
    </xf>
    <xf numFmtId="0" fontId="45" fillId="0" borderId="0" xfId="0" applyFont="1" applyAlignment="1">
      <alignment vertical="center" shrinkToFit="1"/>
    </xf>
    <xf numFmtId="0" fontId="45" fillId="0" borderId="0" xfId="1" applyNumberFormat="1" applyFont="1" applyFill="1" applyBorder="1" applyAlignment="1">
      <alignment vertical="center" shrinkToFit="1"/>
    </xf>
    <xf numFmtId="38" fontId="45" fillId="0" borderId="0" xfId="1" applyFont="1" applyFill="1" applyBorder="1" applyAlignment="1">
      <alignment vertical="center" shrinkToFit="1"/>
    </xf>
    <xf numFmtId="0" fontId="64" fillId="0" borderId="123" xfId="1" applyNumberFormat="1" applyFont="1" applyFill="1" applyBorder="1" applyAlignment="1">
      <alignment vertical="center"/>
    </xf>
    <xf numFmtId="0" fontId="64" fillId="0" borderId="660" xfId="1" applyNumberFormat="1" applyFont="1" applyFill="1" applyBorder="1" applyAlignment="1">
      <alignment vertical="center"/>
    </xf>
    <xf numFmtId="0" fontId="64" fillId="0" borderId="661" xfId="1" applyNumberFormat="1" applyFont="1" applyFill="1" applyBorder="1" applyAlignment="1">
      <alignment horizontal="center" vertical="center"/>
    </xf>
    <xf numFmtId="38" fontId="64" fillId="0" borderId="0" xfId="1" applyFont="1" applyFill="1" applyBorder="1" applyAlignment="1">
      <alignment vertical="center"/>
    </xf>
    <xf numFmtId="38" fontId="45" fillId="0" borderId="0" xfId="1" applyFont="1" applyFill="1" applyBorder="1" applyAlignment="1">
      <alignment vertical="center"/>
    </xf>
    <xf numFmtId="38" fontId="61" fillId="0" borderId="661" xfId="1" applyFont="1" applyFill="1" applyBorder="1" applyAlignment="1">
      <alignment vertical="center" wrapText="1"/>
    </xf>
    <xf numFmtId="38" fontId="61" fillId="0" borderId="661" xfId="1" applyFont="1" applyBorder="1" applyAlignment="1">
      <alignment vertical="center"/>
    </xf>
    <xf numFmtId="38" fontId="61" fillId="0" borderId="0" xfId="1" applyFont="1" applyBorder="1" applyAlignment="1">
      <alignment horizontal="center" vertical="center"/>
    </xf>
    <xf numFmtId="0" fontId="64" fillId="0" borderId="139" xfId="1" applyNumberFormat="1" applyFont="1" applyFill="1" applyBorder="1" applyAlignment="1">
      <alignment vertical="center"/>
    </xf>
    <xf numFmtId="0" fontId="64" fillId="0" borderId="662" xfId="1" applyNumberFormat="1" applyFont="1" applyFill="1" applyBorder="1" applyAlignment="1">
      <alignment vertical="center"/>
    </xf>
    <xf numFmtId="0" fontId="64" fillId="0" borderId="397" xfId="1" applyNumberFormat="1" applyFont="1" applyFill="1" applyBorder="1" applyAlignment="1">
      <alignment horizontal="center" vertical="center"/>
    </xf>
    <xf numFmtId="38" fontId="61" fillId="0" borderId="157" xfId="1" applyFont="1" applyFill="1" applyBorder="1" applyAlignment="1">
      <alignment vertical="center"/>
    </xf>
    <xf numFmtId="38" fontId="61" fillId="0" borderId="157" xfId="1" applyFont="1" applyBorder="1" applyAlignment="1">
      <alignment vertical="center"/>
    </xf>
    <xf numFmtId="0" fontId="64" fillId="0" borderId="663" xfId="1" applyNumberFormat="1" applyFont="1" applyFill="1" applyBorder="1" applyAlignment="1">
      <alignment horizontal="center" vertical="center"/>
    </xf>
    <xf numFmtId="0" fontId="64" fillId="0" borderId="160" xfId="1" applyNumberFormat="1" applyFont="1" applyFill="1" applyBorder="1" applyAlignment="1">
      <alignment vertical="center"/>
    </xf>
    <xf numFmtId="0" fontId="64" fillId="0" borderId="664" xfId="1" applyNumberFormat="1" applyFont="1" applyFill="1" applyBorder="1" applyAlignment="1">
      <alignment vertical="center"/>
    </xf>
    <xf numFmtId="0" fontId="64" fillId="0" borderId="664" xfId="1" applyNumberFormat="1" applyFont="1" applyFill="1" applyBorder="1" applyAlignment="1">
      <alignment horizontal="center" vertical="center"/>
    </xf>
    <xf numFmtId="38" fontId="61" fillId="0" borderId="650" xfId="1" applyFont="1" applyFill="1" applyBorder="1" applyAlignment="1">
      <alignment vertical="center"/>
    </xf>
    <xf numFmtId="38" fontId="61" fillId="0" borderId="650" xfId="1" applyFont="1" applyBorder="1" applyAlignment="1">
      <alignment vertical="center"/>
    </xf>
    <xf numFmtId="0" fontId="60" fillId="0" borderId="0" xfId="1" applyNumberFormat="1" applyFont="1" applyBorder="1" applyAlignment="1">
      <alignment horizontal="right" vertical="center"/>
    </xf>
    <xf numFmtId="0" fontId="49" fillId="0" borderId="0" xfId="1" applyNumberFormat="1" applyFont="1" applyFill="1" applyBorder="1" applyAlignment="1">
      <alignment horizontal="center" vertical="center"/>
    </xf>
    <xf numFmtId="0" fontId="43" fillId="9" borderId="5" xfId="1" applyNumberFormat="1" applyFont="1" applyFill="1" applyBorder="1" applyAlignment="1">
      <alignment horizontal="center" vertical="center" shrinkToFit="1"/>
    </xf>
    <xf numFmtId="38" fontId="43" fillId="9" borderId="8" xfId="1" applyFont="1" applyFill="1" applyBorder="1" applyAlignment="1">
      <alignment horizontal="center" vertical="center" shrinkToFit="1"/>
    </xf>
    <xf numFmtId="38" fontId="43" fillId="9" borderId="390" xfId="1" applyFont="1" applyFill="1" applyBorder="1" applyAlignment="1">
      <alignment horizontal="center" vertical="center" shrinkToFit="1"/>
    </xf>
    <xf numFmtId="38" fontId="36" fillId="9" borderId="392" xfId="1" applyFont="1" applyFill="1" applyBorder="1" applyAlignment="1">
      <alignment horizontal="center" vertical="center" wrapText="1" shrinkToFit="1"/>
    </xf>
    <xf numFmtId="38" fontId="36" fillId="9" borderId="393" xfId="1" applyFont="1" applyFill="1" applyBorder="1" applyAlignment="1">
      <alignment horizontal="center" vertical="center" wrapText="1" shrinkToFit="1"/>
    </xf>
    <xf numFmtId="38" fontId="36" fillId="9" borderId="394" xfId="1" applyFont="1" applyFill="1" applyBorder="1" applyAlignment="1">
      <alignment horizontal="center" vertical="center" wrapText="1" shrinkToFit="1"/>
    </xf>
    <xf numFmtId="38" fontId="43" fillId="9" borderId="388" xfId="1" applyFont="1" applyFill="1" applyBorder="1" applyAlignment="1">
      <alignment horizontal="center" vertical="center" shrinkToFit="1"/>
    </xf>
    <xf numFmtId="38" fontId="43" fillId="9" borderId="388" xfId="1" applyFont="1" applyFill="1" applyBorder="1" applyAlignment="1">
      <alignment horizontal="center" vertical="center" wrapText="1" shrinkToFit="1"/>
    </xf>
    <xf numFmtId="9" fontId="43" fillId="9" borderId="8" xfId="10" applyFont="1" applyFill="1" applyBorder="1" applyAlignment="1">
      <alignment horizontal="center" vertical="center" shrinkToFit="1"/>
    </xf>
    <xf numFmtId="38" fontId="43" fillId="9" borderId="390" xfId="1" applyFont="1" applyFill="1" applyBorder="1" applyAlignment="1">
      <alignment horizontal="center" vertical="center" wrapText="1" shrinkToFit="1"/>
    </xf>
    <xf numFmtId="0" fontId="43" fillId="9" borderId="7" xfId="0" applyFont="1" applyFill="1" applyBorder="1" applyAlignment="1">
      <alignment horizontal="center" vertical="center" shrinkToFit="1"/>
    </xf>
    <xf numFmtId="0" fontId="43" fillId="0" borderId="665" xfId="1" applyNumberFormat="1" applyFont="1" applyFill="1" applyBorder="1" applyAlignment="1">
      <alignment horizontal="center" vertical="center" shrinkToFit="1"/>
    </xf>
    <xf numFmtId="0" fontId="44" fillId="0" borderId="8" xfId="1" applyNumberFormat="1" applyFont="1" applyFill="1" applyBorder="1" applyAlignment="1">
      <alignment horizontal="center" vertical="center" shrinkToFit="1"/>
    </xf>
    <xf numFmtId="0" fontId="43" fillId="0" borderId="7" xfId="0" applyFont="1" applyBorder="1" applyAlignment="1">
      <alignment horizontal="center" vertical="center" shrinkToFit="1"/>
    </xf>
    <xf numFmtId="38" fontId="79" fillId="13" borderId="5" xfId="1" applyFont="1" applyFill="1" applyBorder="1" applyAlignment="1">
      <alignment horizontal="center" vertical="center" shrinkToFit="1"/>
    </xf>
    <xf numFmtId="0" fontId="43" fillId="0" borderId="399" xfId="0" applyFont="1" applyBorder="1" applyAlignment="1">
      <alignment horizontal="center" vertical="center" shrinkToFit="1"/>
    </xf>
    <xf numFmtId="38" fontId="79" fillId="13" borderId="328" xfId="1" applyFont="1" applyFill="1" applyBorder="1" applyAlignment="1">
      <alignment horizontal="center" vertical="center" shrinkToFit="1"/>
    </xf>
    <xf numFmtId="0" fontId="43" fillId="0" borderId="340" xfId="0" applyFont="1" applyBorder="1" applyAlignment="1">
      <alignment horizontal="center" vertical="center" shrinkToFit="1"/>
    </xf>
    <xf numFmtId="38" fontId="79" fillId="13" borderId="343" xfId="1" applyFont="1" applyFill="1" applyBorder="1" applyAlignment="1">
      <alignment horizontal="center" vertical="center" shrinkToFit="1"/>
    </xf>
    <xf numFmtId="199" fontId="44" fillId="6" borderId="5" xfId="1" applyNumberFormat="1" applyFont="1" applyFill="1" applyBorder="1" applyAlignment="1">
      <alignment horizontal="center" vertical="center" shrinkToFit="1"/>
    </xf>
    <xf numFmtId="203" fontId="44" fillId="6" borderId="5" xfId="1" applyNumberFormat="1" applyFont="1" applyFill="1" applyBorder="1" applyAlignment="1">
      <alignment horizontal="center" vertical="center" shrinkToFit="1"/>
    </xf>
    <xf numFmtId="38" fontId="43" fillId="13" borderId="5" xfId="1" applyFont="1" applyFill="1" applyBorder="1" applyAlignment="1">
      <alignment horizontal="center" vertical="center" shrinkToFit="1"/>
    </xf>
    <xf numFmtId="38" fontId="78" fillId="0" borderId="0" xfId="1" applyFont="1">
      <alignment vertical="center"/>
    </xf>
    <xf numFmtId="181" fontId="78" fillId="0" borderId="0" xfId="9" applyNumberFormat="1" applyFont="1" applyFill="1">
      <alignment vertical="center"/>
    </xf>
    <xf numFmtId="199" fontId="87" fillId="0" borderId="581" xfId="1" applyNumberFormat="1" applyFont="1" applyFill="1" applyBorder="1" applyAlignment="1">
      <alignment horizontal="center" vertical="center" shrinkToFit="1"/>
    </xf>
    <xf numFmtId="199" fontId="87" fillId="0" borderId="6" xfId="1" applyNumberFormat="1" applyFont="1" applyFill="1" applyBorder="1" applyAlignment="1">
      <alignment horizontal="center" vertical="center" shrinkToFit="1"/>
    </xf>
    <xf numFmtId="199" fontId="87" fillId="0" borderId="40" xfId="1" applyNumberFormat="1" applyFont="1" applyFill="1" applyBorder="1" applyAlignment="1">
      <alignment horizontal="center" vertical="center" shrinkToFit="1"/>
    </xf>
    <xf numFmtId="0" fontId="135" fillId="17" borderId="9" xfId="17" applyFont="1" applyFill="1" applyBorder="1" applyAlignment="1">
      <alignment horizontal="center" vertical="center"/>
    </xf>
    <xf numFmtId="0" fontId="135" fillId="17" borderId="9" xfId="17" applyFont="1" applyFill="1" applyBorder="1" applyAlignment="1">
      <alignment horizontal="center" vertical="center" wrapText="1"/>
    </xf>
    <xf numFmtId="0" fontId="134" fillId="17" borderId="9" xfId="17" applyFill="1" applyBorder="1" applyAlignment="1">
      <alignment horizontal="center" vertical="center"/>
    </xf>
    <xf numFmtId="0" fontId="134" fillId="17" borderId="5" xfId="17" applyFill="1" applyBorder="1">
      <alignment vertical="center"/>
    </xf>
    <xf numFmtId="0" fontId="134" fillId="17" borderId="5" xfId="17" applyFill="1" applyBorder="1" applyAlignment="1">
      <alignment vertical="center" wrapText="1"/>
    </xf>
    <xf numFmtId="0" fontId="134" fillId="0" borderId="0" xfId="17">
      <alignment vertical="center"/>
    </xf>
    <xf numFmtId="0" fontId="135" fillId="0" borderId="9" xfId="17" applyFont="1" applyBorder="1">
      <alignment vertical="center"/>
    </xf>
    <xf numFmtId="0" fontId="137" fillId="19" borderId="9" xfId="17" applyFont="1" applyFill="1" applyBorder="1" applyAlignment="1">
      <alignment vertical="center" wrapText="1"/>
    </xf>
    <xf numFmtId="0" fontId="138" fillId="19" borderId="9" xfId="17" applyFont="1" applyFill="1" applyBorder="1" applyAlignment="1">
      <alignment vertical="center" wrapText="1"/>
    </xf>
    <xf numFmtId="0" fontId="142" fillId="6" borderId="9" xfId="17" applyFont="1" applyFill="1" applyBorder="1">
      <alignment vertical="center"/>
    </xf>
    <xf numFmtId="0" fontId="134" fillId="0" borderId="9" xfId="17" applyBorder="1" applyAlignment="1">
      <alignment vertical="center" wrapText="1"/>
    </xf>
    <xf numFmtId="0" fontId="135" fillId="0" borderId="5" xfId="17" applyFont="1" applyBorder="1" applyAlignment="1">
      <alignment vertical="center" wrapText="1"/>
    </xf>
    <xf numFmtId="0" fontId="135" fillId="0" borderId="9" xfId="17" applyFont="1" applyBorder="1" applyAlignment="1">
      <alignment vertical="center" wrapText="1"/>
    </xf>
    <xf numFmtId="0" fontId="135" fillId="19" borderId="9" xfId="17" applyFont="1" applyFill="1" applyBorder="1" applyAlignment="1">
      <alignment vertical="center" wrapText="1"/>
    </xf>
    <xf numFmtId="0" fontId="134" fillId="6" borderId="9" xfId="17" applyFill="1" applyBorder="1" applyAlignment="1">
      <alignment vertical="center" wrapText="1"/>
    </xf>
    <xf numFmtId="0" fontId="135" fillId="9" borderId="9" xfId="17" applyFont="1" applyFill="1" applyBorder="1" applyAlignment="1">
      <alignment vertical="center" wrapText="1"/>
    </xf>
    <xf numFmtId="0" fontId="134" fillId="0" borderId="39" xfId="17" applyBorder="1" applyAlignment="1">
      <alignment vertical="center" wrapText="1"/>
    </xf>
    <xf numFmtId="0" fontId="134" fillId="0" borderId="5" xfId="17" applyBorder="1">
      <alignment vertical="center"/>
    </xf>
    <xf numFmtId="0" fontId="134" fillId="0" borderId="5" xfId="17" applyBorder="1" applyAlignment="1">
      <alignment vertical="center" wrapText="1"/>
    </xf>
    <xf numFmtId="0" fontId="141" fillId="9" borderId="5" xfId="17" applyFont="1" applyFill="1" applyBorder="1" applyAlignment="1">
      <alignment vertical="center" wrapText="1"/>
    </xf>
    <xf numFmtId="0" fontId="134" fillId="6" borderId="5" xfId="17" applyFill="1" applyBorder="1" applyAlignment="1">
      <alignment vertical="center" wrapText="1"/>
    </xf>
    <xf numFmtId="0" fontId="134" fillId="0" borderId="668" xfId="17" applyBorder="1">
      <alignment vertical="center"/>
    </xf>
    <xf numFmtId="0" fontId="140" fillId="9" borderId="9" xfId="17" applyFont="1" applyFill="1" applyBorder="1" applyAlignment="1">
      <alignment vertical="center" wrapText="1"/>
    </xf>
    <xf numFmtId="0" fontId="143" fillId="9" borderId="9" xfId="17" applyFont="1" applyFill="1" applyBorder="1" applyAlignment="1">
      <alignment vertical="center" wrapText="1"/>
    </xf>
    <xf numFmtId="0" fontId="134" fillId="0" borderId="9" xfId="17" applyBorder="1">
      <alignment vertical="center"/>
    </xf>
    <xf numFmtId="0" fontId="135" fillId="0" borderId="5" xfId="17" applyFont="1" applyBorder="1">
      <alignment vertical="center"/>
    </xf>
    <xf numFmtId="0" fontId="137" fillId="9" borderId="9" xfId="17" applyFont="1" applyFill="1" applyBorder="1">
      <alignment vertical="center"/>
    </xf>
    <xf numFmtId="0" fontId="134" fillId="6" borderId="9" xfId="17" applyFill="1" applyBorder="1">
      <alignment vertical="center"/>
    </xf>
    <xf numFmtId="0" fontId="135" fillId="0" borderId="42" xfId="17" applyFont="1" applyBorder="1">
      <alignment vertical="center"/>
    </xf>
    <xf numFmtId="0" fontId="135" fillId="9" borderId="42" xfId="17" applyFont="1" applyFill="1" applyBorder="1" applyAlignment="1">
      <alignment vertical="center" wrapText="1"/>
    </xf>
    <xf numFmtId="0" fontId="143" fillId="6" borderId="42" xfId="17" applyFont="1" applyFill="1" applyBorder="1" applyAlignment="1">
      <alignment vertical="center" wrapText="1"/>
    </xf>
    <xf numFmtId="0" fontId="143" fillId="0" borderId="42" xfId="17" applyFont="1" applyBorder="1">
      <alignment vertical="center"/>
    </xf>
    <xf numFmtId="0" fontId="143" fillId="0" borderId="5" xfId="17" applyFont="1" applyBorder="1" applyAlignment="1">
      <alignment vertical="center" wrapText="1"/>
    </xf>
    <xf numFmtId="0" fontId="135" fillId="0" borderId="0" xfId="17" applyFont="1">
      <alignment vertical="center"/>
    </xf>
    <xf numFmtId="0" fontId="143" fillId="0" borderId="0" xfId="17" applyFont="1">
      <alignment vertical="center"/>
    </xf>
    <xf numFmtId="0" fontId="134" fillId="0" borderId="0" xfId="17" applyAlignment="1">
      <alignment vertical="center" wrapText="1"/>
    </xf>
    <xf numFmtId="0" fontId="143" fillId="17" borderId="9" xfId="17" applyFont="1" applyFill="1" applyBorder="1" applyAlignment="1">
      <alignment horizontal="center" vertical="center"/>
    </xf>
    <xf numFmtId="0" fontId="143" fillId="17" borderId="5" xfId="17" applyFont="1" applyFill="1" applyBorder="1">
      <alignment vertical="center"/>
    </xf>
    <xf numFmtId="0" fontId="141" fillId="19" borderId="9" xfId="17" applyFont="1" applyFill="1" applyBorder="1" applyAlignment="1">
      <alignment vertical="center" wrapText="1"/>
    </xf>
    <xf numFmtId="0" fontId="143" fillId="6" borderId="9" xfId="17" applyFont="1" applyFill="1" applyBorder="1">
      <alignment vertical="center"/>
    </xf>
    <xf numFmtId="0" fontId="143" fillId="0" borderId="9" xfId="17" applyFont="1" applyBorder="1" applyAlignment="1">
      <alignment vertical="center" wrapText="1"/>
    </xf>
    <xf numFmtId="0" fontId="137" fillId="9" borderId="9" xfId="17" applyFont="1" applyFill="1" applyBorder="1" applyAlignment="1">
      <alignment vertical="center" wrapText="1"/>
    </xf>
    <xf numFmtId="0" fontId="134" fillId="6" borderId="42" xfId="17" applyFill="1" applyBorder="1" applyAlignment="1">
      <alignment vertical="center" wrapText="1"/>
    </xf>
    <xf numFmtId="0" fontId="134" fillId="0" borderId="42" xfId="17" applyBorder="1">
      <alignment vertical="center"/>
    </xf>
    <xf numFmtId="0" fontId="134" fillId="0" borderId="0" xfId="18">
      <alignment vertical="center"/>
    </xf>
    <xf numFmtId="0" fontId="134" fillId="0" borderId="129" xfId="18" applyBorder="1">
      <alignment vertical="center"/>
    </xf>
    <xf numFmtId="0" fontId="134" fillId="0" borderId="137" xfId="18" applyBorder="1">
      <alignment vertical="center"/>
    </xf>
    <xf numFmtId="0" fontId="134" fillId="0" borderId="220" xfId="18" applyBorder="1">
      <alignment vertical="center"/>
    </xf>
    <xf numFmtId="0" fontId="134" fillId="0" borderId="669" xfId="18" applyBorder="1">
      <alignment vertical="center"/>
    </xf>
    <xf numFmtId="0" fontId="134" fillId="6" borderId="0" xfId="18" applyFill="1">
      <alignment vertical="center"/>
    </xf>
    <xf numFmtId="0" fontId="134" fillId="0" borderId="670" xfId="18" applyBorder="1">
      <alignment vertical="center"/>
    </xf>
    <xf numFmtId="0" fontId="134" fillId="17" borderId="0" xfId="18" applyFill="1">
      <alignment vertical="center"/>
    </xf>
    <xf numFmtId="0" fontId="134" fillId="24" borderId="0" xfId="18" applyFill="1">
      <alignment vertical="center"/>
    </xf>
    <xf numFmtId="0" fontId="134" fillId="21" borderId="0" xfId="18" applyFill="1">
      <alignment vertical="center"/>
    </xf>
    <xf numFmtId="0" fontId="134" fillId="41" borderId="0" xfId="18" applyFill="1">
      <alignment vertical="center"/>
    </xf>
    <xf numFmtId="0" fontId="134" fillId="9" borderId="0" xfId="18" applyFill="1">
      <alignment vertical="center"/>
    </xf>
    <xf numFmtId="0" fontId="134" fillId="18" borderId="0" xfId="18" applyFill="1">
      <alignment vertical="center"/>
    </xf>
    <xf numFmtId="0" fontId="134" fillId="0" borderId="671" xfId="18" applyBorder="1">
      <alignment vertical="center"/>
    </xf>
    <xf numFmtId="0" fontId="134" fillId="0" borderId="672" xfId="18" applyBorder="1">
      <alignment vertical="center"/>
    </xf>
    <xf numFmtId="0" fontId="134" fillId="0" borderId="673" xfId="18" applyBorder="1">
      <alignment vertical="center"/>
    </xf>
    <xf numFmtId="0" fontId="43" fillId="0" borderId="0" xfId="19" applyFont="1">
      <alignment vertical="center"/>
    </xf>
    <xf numFmtId="0" fontId="43" fillId="0" borderId="0" xfId="19" applyFont="1" applyAlignment="1">
      <alignment vertical="center" shrinkToFit="1"/>
    </xf>
    <xf numFmtId="0" fontId="88" fillId="12" borderId="0" xfId="19" applyFont="1" applyFill="1" applyAlignment="1">
      <alignment horizontal="center" vertical="center" shrinkToFit="1"/>
    </xf>
    <xf numFmtId="0" fontId="88" fillId="12" borderId="0" xfId="19" applyFont="1" applyFill="1" applyAlignment="1">
      <alignment horizontal="center" vertical="center"/>
    </xf>
    <xf numFmtId="0" fontId="142" fillId="12" borderId="0" xfId="18" applyFont="1" applyFill="1">
      <alignment vertical="center"/>
    </xf>
    <xf numFmtId="189" fontId="87" fillId="0" borderId="679" xfId="19" applyNumberFormat="1" applyFont="1" applyBorder="1" applyAlignment="1">
      <alignment horizontal="center" vertical="center"/>
    </xf>
    <xf numFmtId="189" fontId="87" fillId="0" borderId="680" xfId="19" applyNumberFormat="1" applyFont="1" applyBorder="1" applyAlignment="1">
      <alignment horizontal="center" vertical="center"/>
    </xf>
    <xf numFmtId="189" fontId="89" fillId="0" borderId="680" xfId="19" applyNumberFormat="1" applyFont="1" applyBorder="1" applyAlignment="1">
      <alignment horizontal="center" vertical="center"/>
    </xf>
    <xf numFmtId="189" fontId="89" fillId="12" borderId="680" xfId="19" applyNumberFormat="1" applyFont="1" applyFill="1" applyBorder="1" applyAlignment="1">
      <alignment horizontal="center" vertical="center"/>
    </xf>
    <xf numFmtId="189" fontId="87" fillId="0" borderId="681" xfId="19" applyNumberFormat="1" applyFont="1" applyBorder="1" applyAlignment="1">
      <alignment horizontal="center" vertical="center"/>
    </xf>
    <xf numFmtId="189" fontId="87" fillId="0" borderId="682" xfId="19" applyNumberFormat="1" applyFont="1" applyBorder="1" applyAlignment="1">
      <alignment horizontal="center" vertical="center"/>
    </xf>
    <xf numFmtId="189" fontId="87" fillId="0" borderId="683" xfId="19" applyNumberFormat="1" applyFont="1" applyBorder="1" applyAlignment="1">
      <alignment horizontal="center" vertical="center"/>
    </xf>
    <xf numFmtId="189" fontId="89" fillId="0" borderId="683" xfId="19" applyNumberFormat="1" applyFont="1" applyBorder="1" applyAlignment="1">
      <alignment horizontal="center" vertical="center"/>
    </xf>
    <xf numFmtId="189" fontId="89" fillId="12" borderId="683" xfId="19" applyNumberFormat="1" applyFont="1" applyFill="1" applyBorder="1" applyAlignment="1">
      <alignment horizontal="center" vertical="center"/>
    </xf>
    <xf numFmtId="189" fontId="87" fillId="12" borderId="683" xfId="19" applyNumberFormat="1" applyFont="1" applyFill="1" applyBorder="1" applyAlignment="1">
      <alignment horizontal="center" vertical="center"/>
    </xf>
    <xf numFmtId="189" fontId="87" fillId="0" borderId="684" xfId="19" applyNumberFormat="1" applyFont="1" applyBorder="1" applyAlignment="1">
      <alignment horizontal="center" vertical="center"/>
    </xf>
    <xf numFmtId="189" fontId="87" fillId="0" borderId="685" xfId="19" applyNumberFormat="1" applyFont="1" applyBorder="1" applyAlignment="1">
      <alignment horizontal="center" vertical="center"/>
    </xf>
    <xf numFmtId="189" fontId="87" fillId="0" borderId="686" xfId="19" applyNumberFormat="1" applyFont="1" applyBorder="1" applyAlignment="1">
      <alignment horizontal="center" vertical="center"/>
    </xf>
    <xf numFmtId="189" fontId="89" fillId="0" borderId="686" xfId="19" applyNumberFormat="1" applyFont="1" applyBorder="1" applyAlignment="1">
      <alignment horizontal="center" vertical="center"/>
    </xf>
    <xf numFmtId="189" fontId="89" fillId="12" borderId="686" xfId="19" applyNumberFormat="1" applyFont="1" applyFill="1" applyBorder="1" applyAlignment="1">
      <alignment horizontal="center" vertical="center"/>
    </xf>
    <xf numFmtId="189" fontId="87" fillId="0" borderId="687" xfId="19" applyNumberFormat="1" applyFont="1" applyBorder="1" applyAlignment="1">
      <alignment horizontal="center" vertical="center"/>
    </xf>
    <xf numFmtId="189" fontId="87" fillId="12" borderId="686" xfId="19" applyNumberFormat="1" applyFont="1" applyFill="1" applyBorder="1" applyAlignment="1">
      <alignment horizontal="center" vertical="center"/>
    </xf>
    <xf numFmtId="189" fontId="87" fillId="0" borderId="688" xfId="19" applyNumberFormat="1" applyFont="1" applyBorder="1" applyAlignment="1">
      <alignment horizontal="center" vertical="center"/>
    </xf>
    <xf numFmtId="0" fontId="134" fillId="42" borderId="674" xfId="18" applyFill="1" applyBorder="1" applyAlignment="1">
      <alignment horizontal="center" vertical="center"/>
    </xf>
    <xf numFmtId="201" fontId="44" fillId="0" borderId="689" xfId="19" applyNumberFormat="1" applyFont="1" applyBorder="1" applyAlignment="1">
      <alignment horizontal="center" vertical="center"/>
    </xf>
    <xf numFmtId="201" fontId="44" fillId="0" borderId="690" xfId="19" applyNumberFormat="1" applyFont="1" applyBorder="1" applyAlignment="1">
      <alignment horizontal="center" vertical="center"/>
    </xf>
    <xf numFmtId="201" fontId="89" fillId="0" borderId="690" xfId="19" applyNumberFormat="1" applyFont="1" applyBorder="1" applyAlignment="1">
      <alignment horizontal="center" vertical="center"/>
    </xf>
    <xf numFmtId="200" fontId="44" fillId="12" borderId="690" xfId="19" applyNumberFormat="1" applyFont="1" applyFill="1" applyBorder="1" applyAlignment="1">
      <alignment horizontal="center" vertical="center"/>
    </xf>
    <xf numFmtId="205" fontId="44" fillId="0" borderId="690" xfId="19" applyNumberFormat="1" applyFont="1" applyBorder="1" applyAlignment="1">
      <alignment horizontal="center" vertical="center"/>
    </xf>
    <xf numFmtId="205" fontId="44" fillId="0" borderId="691" xfId="19" applyNumberFormat="1" applyFont="1" applyBorder="1" applyAlignment="1">
      <alignment horizontal="center" vertical="center"/>
    </xf>
    <xf numFmtId="205" fontId="44" fillId="0" borderId="689" xfId="19" applyNumberFormat="1" applyFont="1" applyBorder="1" applyAlignment="1">
      <alignment horizontal="center" vertical="center"/>
    </xf>
    <xf numFmtId="205" fontId="44" fillId="12" borderId="690" xfId="19" applyNumberFormat="1" applyFont="1" applyFill="1" applyBorder="1" applyAlignment="1">
      <alignment horizontal="center" vertical="center"/>
    </xf>
    <xf numFmtId="0" fontId="134" fillId="42" borderId="676" xfId="18" applyFill="1" applyBorder="1" applyAlignment="1">
      <alignment horizontal="center" vertical="center"/>
    </xf>
    <xf numFmtId="0" fontId="134" fillId="0" borderId="693" xfId="18" applyBorder="1">
      <alignment vertical="center"/>
    </xf>
    <xf numFmtId="0" fontId="134" fillId="0" borderId="694" xfId="18" applyBorder="1">
      <alignment vertical="center"/>
    </xf>
    <xf numFmtId="0" fontId="134" fillId="0" borderId="695" xfId="18" applyBorder="1">
      <alignment vertical="center"/>
    </xf>
    <xf numFmtId="0" fontId="146" fillId="0" borderId="694" xfId="18" applyFont="1" applyBorder="1">
      <alignment vertical="center"/>
    </xf>
    <xf numFmtId="0" fontId="147" fillId="0" borderId="694" xfId="18" applyFont="1" applyBorder="1">
      <alignment vertical="center"/>
    </xf>
    <xf numFmtId="0" fontId="147" fillId="12" borderId="694" xfId="18" applyFont="1" applyFill="1" applyBorder="1">
      <alignment vertical="center"/>
    </xf>
    <xf numFmtId="0" fontId="147" fillId="0" borderId="695" xfId="18" applyFont="1" applyBorder="1">
      <alignment vertical="center"/>
    </xf>
    <xf numFmtId="0" fontId="134" fillId="0" borderId="689" xfId="18" applyBorder="1">
      <alignment vertical="center"/>
    </xf>
    <xf numFmtId="0" fontId="134" fillId="0" borderId="691" xfId="18" applyBorder="1">
      <alignment vertical="center"/>
    </xf>
    <xf numFmtId="0" fontId="134" fillId="0" borderId="696" xfId="18" applyBorder="1">
      <alignment vertical="center"/>
    </xf>
    <xf numFmtId="0" fontId="135" fillId="0" borderId="8" xfId="18" applyFont="1" applyBorder="1" applyAlignment="1">
      <alignment vertical="center" wrapText="1"/>
    </xf>
    <xf numFmtId="0" fontId="134" fillId="0" borderId="697" xfId="18" applyBorder="1">
      <alignment vertical="center"/>
    </xf>
    <xf numFmtId="0" fontId="134" fillId="0" borderId="698" xfId="18" applyBorder="1">
      <alignment vertical="center"/>
    </xf>
    <xf numFmtId="0" fontId="134" fillId="17" borderId="698" xfId="18" applyFill="1" applyBorder="1">
      <alignment vertical="center"/>
    </xf>
    <xf numFmtId="0" fontId="134" fillId="21" borderId="698" xfId="18" applyFill="1" applyBorder="1">
      <alignment vertical="center"/>
    </xf>
    <xf numFmtId="0" fontId="134" fillId="9" borderId="698" xfId="18" applyFill="1" applyBorder="1">
      <alignment vertical="center"/>
    </xf>
    <xf numFmtId="0" fontId="134" fillId="9" borderId="699" xfId="18" applyFill="1" applyBorder="1">
      <alignment vertical="center"/>
    </xf>
    <xf numFmtId="0" fontId="134" fillId="9" borderId="697" xfId="18" applyFill="1" applyBorder="1">
      <alignment vertical="center"/>
    </xf>
    <xf numFmtId="0" fontId="134" fillId="24" borderId="698" xfId="18" applyFill="1" applyBorder="1">
      <alignment vertical="center"/>
    </xf>
    <xf numFmtId="0" fontId="134" fillId="41" borderId="698" xfId="18" applyFill="1" applyBorder="1">
      <alignment vertical="center"/>
    </xf>
    <xf numFmtId="0" fontId="134" fillId="18" borderId="698" xfId="18" applyFill="1" applyBorder="1">
      <alignment vertical="center"/>
    </xf>
    <xf numFmtId="0" fontId="134" fillId="0" borderId="699" xfId="18" applyBorder="1">
      <alignment vertical="center"/>
    </xf>
    <xf numFmtId="0" fontId="134" fillId="0" borderId="700" xfId="18" applyBorder="1">
      <alignment vertical="center"/>
    </xf>
    <xf numFmtId="0" fontId="135" fillId="0" borderId="8" xfId="18" applyFont="1" applyBorder="1">
      <alignment vertical="center"/>
    </xf>
    <xf numFmtId="0" fontId="134" fillId="0" borderId="701" xfId="18" applyBorder="1">
      <alignment vertical="center"/>
    </xf>
    <xf numFmtId="0" fontId="134" fillId="17" borderId="702" xfId="18" applyFill="1" applyBorder="1">
      <alignment vertical="center"/>
    </xf>
    <xf numFmtId="0" fontId="134" fillId="21" borderId="702" xfId="18" applyFill="1" applyBorder="1">
      <alignment vertical="center"/>
    </xf>
    <xf numFmtId="0" fontId="134" fillId="21" borderId="703" xfId="18" applyFill="1" applyBorder="1">
      <alignment vertical="center"/>
    </xf>
    <xf numFmtId="0" fontId="134" fillId="9" borderId="702" xfId="18" applyFill="1" applyBorder="1">
      <alignment vertical="center"/>
    </xf>
    <xf numFmtId="0" fontId="134" fillId="9" borderId="704" xfId="18" applyFill="1" applyBorder="1">
      <alignment vertical="center"/>
    </xf>
    <xf numFmtId="0" fontId="134" fillId="9" borderId="701" xfId="18" applyFill="1" applyBorder="1">
      <alignment vertical="center"/>
    </xf>
    <xf numFmtId="0" fontId="134" fillId="21" borderId="705" xfId="18" applyFill="1" applyBorder="1">
      <alignment vertical="center"/>
    </xf>
    <xf numFmtId="0" fontId="134" fillId="17" borderId="705" xfId="18" applyFill="1" applyBorder="1">
      <alignment vertical="center"/>
    </xf>
    <xf numFmtId="0" fontId="134" fillId="0" borderId="705" xfId="18" applyBorder="1">
      <alignment vertical="center"/>
    </xf>
    <xf numFmtId="0" fontId="134" fillId="0" borderId="702" xfId="18" applyBorder="1">
      <alignment vertical="center"/>
    </xf>
    <xf numFmtId="0" fontId="134" fillId="0" borderId="704" xfId="18" applyBorder="1">
      <alignment vertical="center"/>
    </xf>
    <xf numFmtId="0" fontId="134" fillId="0" borderId="706" xfId="18" applyBorder="1">
      <alignment vertical="center"/>
    </xf>
    <xf numFmtId="0" fontId="134" fillId="24" borderId="705" xfId="18" applyFill="1" applyBorder="1">
      <alignment vertical="center"/>
    </xf>
    <xf numFmtId="0" fontId="134" fillId="41" borderId="705" xfId="18" applyFill="1" applyBorder="1">
      <alignment vertical="center"/>
    </xf>
    <xf numFmtId="0" fontId="134" fillId="18" borderId="705" xfId="18" applyFill="1" applyBorder="1">
      <alignment vertical="center"/>
    </xf>
    <xf numFmtId="0" fontId="135" fillId="0" borderId="41" xfId="18" applyFont="1" applyBorder="1" applyAlignment="1">
      <alignment vertical="center" wrapText="1"/>
    </xf>
    <xf numFmtId="0" fontId="134" fillId="0" borderId="682" xfId="18" applyBorder="1">
      <alignment vertical="center"/>
    </xf>
    <xf numFmtId="0" fontId="134" fillId="0" borderId="683" xfId="18" applyBorder="1">
      <alignment vertical="center"/>
    </xf>
    <xf numFmtId="0" fontId="134" fillId="0" borderId="707" xfId="18" applyBorder="1">
      <alignment vertical="center"/>
    </xf>
    <xf numFmtId="0" fontId="134" fillId="17" borderId="683" xfId="18" applyFill="1" applyBorder="1">
      <alignment vertical="center"/>
    </xf>
    <xf numFmtId="0" fontId="134" fillId="21" borderId="683" xfId="18" applyFill="1" applyBorder="1">
      <alignment vertical="center"/>
    </xf>
    <xf numFmtId="0" fontId="134" fillId="9" borderId="683" xfId="18" applyFill="1" applyBorder="1">
      <alignment vertical="center"/>
    </xf>
    <xf numFmtId="0" fontId="134" fillId="9" borderId="708" xfId="18" applyFill="1" applyBorder="1">
      <alignment vertical="center"/>
    </xf>
    <xf numFmtId="0" fontId="134" fillId="9" borderId="682" xfId="18" applyFill="1" applyBorder="1">
      <alignment vertical="center"/>
    </xf>
    <xf numFmtId="0" fontId="134" fillId="24" borderId="683" xfId="18" applyFill="1" applyBorder="1">
      <alignment vertical="center"/>
    </xf>
    <xf numFmtId="0" fontId="134" fillId="41" borderId="683" xfId="18" applyFill="1" applyBorder="1">
      <alignment vertical="center"/>
    </xf>
    <xf numFmtId="0" fontId="134" fillId="18" borderId="683" xfId="18" applyFill="1" applyBorder="1">
      <alignment vertical="center"/>
    </xf>
    <xf numFmtId="0" fontId="148" fillId="24" borderId="683" xfId="18" applyFont="1" applyFill="1" applyBorder="1">
      <alignment vertical="center"/>
    </xf>
    <xf numFmtId="0" fontId="134" fillId="0" borderId="708" xfId="18" applyBorder="1">
      <alignment vertical="center"/>
    </xf>
    <xf numFmtId="0" fontId="134" fillId="0" borderId="684" xfId="18" applyBorder="1">
      <alignment vertical="center"/>
    </xf>
    <xf numFmtId="0" fontId="134" fillId="0" borderId="709" xfId="18" applyBorder="1">
      <alignment vertical="center"/>
    </xf>
    <xf numFmtId="0" fontId="143" fillId="0" borderId="8" xfId="18" applyFont="1" applyBorder="1">
      <alignment vertical="center"/>
    </xf>
    <xf numFmtId="0" fontId="134" fillId="0" borderId="0" xfId="18" applyAlignment="1">
      <alignment horizontal="right" vertical="center" shrinkToFit="1"/>
    </xf>
    <xf numFmtId="0" fontId="134" fillId="0" borderId="0" xfId="18" applyAlignment="1">
      <alignment vertical="center" shrinkToFit="1"/>
    </xf>
    <xf numFmtId="199" fontId="43" fillId="0" borderId="0" xfId="0" applyNumberFormat="1" applyFont="1">
      <alignment vertical="center"/>
    </xf>
    <xf numFmtId="199" fontId="87" fillId="0" borderId="7" xfId="1" applyNumberFormat="1" applyFont="1" applyFill="1" applyBorder="1" applyAlignment="1">
      <alignment horizontal="center" vertical="center" shrinkToFit="1"/>
    </xf>
    <xf numFmtId="199" fontId="43" fillId="0" borderId="41" xfId="0" applyNumberFormat="1" applyFont="1" applyBorder="1" applyAlignment="1">
      <alignment horizontal="center" vertical="center"/>
    </xf>
    <xf numFmtId="199" fontId="87" fillId="0" borderId="37" xfId="1" applyNumberFormat="1" applyFont="1" applyFill="1" applyBorder="1" applyAlignment="1">
      <alignment horizontal="center" vertical="center" shrinkToFit="1"/>
    </xf>
    <xf numFmtId="199" fontId="87" fillId="0" borderId="577" xfId="1" applyNumberFormat="1" applyFont="1" applyFill="1" applyBorder="1" applyAlignment="1">
      <alignment horizontal="center" vertical="center" shrinkToFit="1"/>
    </xf>
    <xf numFmtId="199" fontId="87" fillId="0" borderId="583" xfId="1" applyNumberFormat="1" applyFont="1" applyFill="1" applyBorder="1" applyAlignment="1">
      <alignment horizontal="center" vertical="center" shrinkToFit="1"/>
    </xf>
    <xf numFmtId="199" fontId="87" fillId="0" borderId="580" xfId="1" applyNumberFormat="1" applyFont="1" applyFill="1" applyBorder="1" applyAlignment="1">
      <alignment horizontal="center" vertical="center" shrinkToFit="1"/>
    </xf>
    <xf numFmtId="199" fontId="87" fillId="0" borderId="585" xfId="1" applyNumberFormat="1" applyFont="1" applyFill="1" applyBorder="1" applyAlignment="1">
      <alignment horizontal="center" vertical="center" shrinkToFit="1"/>
    </xf>
    <xf numFmtId="199" fontId="87" fillId="0" borderId="7" xfId="1" applyNumberFormat="1" applyFont="1" applyFill="1" applyBorder="1" applyAlignment="1">
      <alignment vertical="center" shrinkToFit="1"/>
    </xf>
    <xf numFmtId="181" fontId="78" fillId="43" borderId="0" xfId="0" applyNumberFormat="1" applyFont="1" applyFill="1" applyAlignment="1">
      <alignment vertical="center" wrapText="1"/>
    </xf>
    <xf numFmtId="0" fontId="45" fillId="0" borderId="273" xfId="0" applyFont="1" applyBorder="1" applyAlignment="1">
      <alignment horizontal="center" vertical="center" shrinkToFit="1"/>
    </xf>
    <xf numFmtId="0" fontId="45" fillId="0" borderId="38" xfId="1" applyNumberFormat="1" applyFont="1" applyFill="1" applyBorder="1" applyAlignment="1">
      <alignment horizontal="center" vertical="center" shrinkToFit="1"/>
    </xf>
    <xf numFmtId="38" fontId="44" fillId="0" borderId="355" xfId="1" applyFont="1" applyFill="1" applyBorder="1" applyAlignment="1">
      <alignment horizontal="center" vertical="center" shrinkToFit="1"/>
    </xf>
    <xf numFmtId="38" fontId="44" fillId="0" borderId="274" xfId="1" applyFont="1" applyFill="1" applyBorder="1" applyAlignment="1">
      <alignment horizontal="center" vertical="center" shrinkToFit="1"/>
    </xf>
    <xf numFmtId="9" fontId="43" fillId="0" borderId="274" xfId="10" applyFont="1" applyFill="1" applyBorder="1" applyAlignment="1">
      <alignment horizontal="center" vertical="center" shrinkToFit="1"/>
    </xf>
    <xf numFmtId="38" fontId="43" fillId="9" borderId="355" xfId="1" applyFont="1" applyFill="1" applyBorder="1" applyAlignment="1">
      <alignment horizontal="center" vertical="center" shrinkToFit="1"/>
    </xf>
    <xf numFmtId="0" fontId="45" fillId="0" borderId="273" xfId="13" applyFont="1" applyBorder="1" applyAlignment="1">
      <alignment vertical="center" shrinkToFit="1"/>
    </xf>
    <xf numFmtId="0" fontId="43" fillId="0" borderId="354" xfId="0" applyFont="1" applyBorder="1" applyAlignment="1">
      <alignment vertical="center" wrapText="1" shrinkToFit="1"/>
    </xf>
    <xf numFmtId="0" fontId="45" fillId="0" borderId="27" xfId="13" applyFont="1" applyBorder="1" applyAlignment="1">
      <alignment horizontal="left" vertical="center" wrapText="1" shrinkToFit="1"/>
    </xf>
    <xf numFmtId="0" fontId="43" fillId="0" borderId="38" xfId="0" applyFont="1" applyBorder="1">
      <alignment vertical="center"/>
    </xf>
    <xf numFmtId="0" fontId="43" fillId="0" borderId="38" xfId="0" applyFont="1" applyBorder="1" applyAlignment="1">
      <alignment vertical="center" shrinkToFit="1"/>
    </xf>
    <xf numFmtId="0" fontId="44" fillId="0" borderId="38" xfId="13" applyFont="1" applyBorder="1" applyAlignment="1">
      <alignment horizontal="center" vertical="center" shrinkToFit="1"/>
    </xf>
    <xf numFmtId="0" fontId="63" fillId="0" borderId="27" xfId="13" applyFont="1" applyBorder="1" applyAlignment="1">
      <alignment horizontal="center" vertical="center" shrinkToFit="1"/>
    </xf>
    <xf numFmtId="0" fontId="43" fillId="0" borderId="27" xfId="0" applyFont="1" applyBorder="1" applyAlignment="1">
      <alignment vertical="center" shrinkToFit="1"/>
    </xf>
    <xf numFmtId="38" fontId="43" fillId="0" borderId="39" xfId="1" applyFont="1" applyFill="1" applyBorder="1" applyAlignment="1">
      <alignment horizontal="left" vertical="center" shrinkToFit="1"/>
    </xf>
    <xf numFmtId="0" fontId="129" fillId="0" borderId="527" xfId="0" applyFont="1" applyBorder="1" applyAlignment="1">
      <alignment horizontal="center" vertical="center" shrinkToFit="1"/>
    </xf>
    <xf numFmtId="0" fontId="129" fillId="0" borderId="528" xfId="1" applyNumberFormat="1" applyFont="1" applyFill="1" applyBorder="1" applyAlignment="1">
      <alignment horizontal="center" vertical="center" shrinkToFit="1"/>
    </xf>
    <xf numFmtId="0" fontId="30" fillId="0" borderId="528" xfId="1" applyNumberFormat="1" applyFont="1" applyFill="1" applyBorder="1" applyAlignment="1">
      <alignment horizontal="center" vertical="center" shrinkToFit="1"/>
    </xf>
    <xf numFmtId="38" fontId="129" fillId="0" borderId="529" xfId="1" applyFont="1" applyFill="1" applyBorder="1" applyAlignment="1">
      <alignment horizontal="center" vertical="center" shrinkToFit="1"/>
    </xf>
    <xf numFmtId="38" fontId="129" fillId="0" borderId="530" xfId="1" applyFont="1" applyFill="1" applyBorder="1" applyAlignment="1">
      <alignment horizontal="center" vertical="center" shrinkToFit="1"/>
    </xf>
    <xf numFmtId="38" fontId="30" fillId="0" borderId="534" xfId="1" applyFont="1" applyFill="1" applyBorder="1" applyAlignment="1">
      <alignment horizontal="center" vertical="center" shrinkToFit="1"/>
    </xf>
    <xf numFmtId="38" fontId="30" fillId="0" borderId="529" xfId="1" applyFont="1" applyFill="1" applyBorder="1" applyAlignment="1">
      <alignment horizontal="center" vertical="center" shrinkToFit="1"/>
    </xf>
    <xf numFmtId="9" fontId="129" fillId="0" borderId="529" xfId="10" applyFont="1" applyFill="1" applyBorder="1" applyAlignment="1">
      <alignment horizontal="center" vertical="center" shrinkToFit="1"/>
    </xf>
    <xf numFmtId="38" fontId="131" fillId="0" borderId="531" xfId="1" applyFont="1" applyFill="1" applyBorder="1" applyAlignment="1">
      <alignment horizontal="center" vertical="center" wrapText="1" shrinkToFit="1"/>
    </xf>
    <xf numFmtId="38" fontId="131" fillId="0" borderId="532" xfId="1" applyFont="1" applyFill="1" applyBorder="1" applyAlignment="1">
      <alignment horizontal="center" vertical="center" wrapText="1" shrinkToFit="1"/>
    </xf>
    <xf numFmtId="38" fontId="131" fillId="19" borderId="532" xfId="1" applyFont="1" applyFill="1" applyBorder="1" applyAlignment="1">
      <alignment horizontal="center" vertical="center" wrapText="1" shrinkToFit="1"/>
    </xf>
    <xf numFmtId="38" fontId="131" fillId="0" borderId="533" xfId="1" applyFont="1" applyFill="1" applyBorder="1" applyAlignment="1">
      <alignment horizontal="center" vertical="center" wrapText="1" shrinkToFit="1"/>
    </xf>
    <xf numFmtId="38" fontId="129" fillId="9" borderId="534" xfId="1" applyFont="1" applyFill="1" applyBorder="1" applyAlignment="1">
      <alignment horizontal="center" vertical="center" shrinkToFit="1"/>
    </xf>
    <xf numFmtId="9" fontId="129" fillId="0" borderId="528" xfId="10" applyFont="1" applyFill="1" applyBorder="1" applyAlignment="1">
      <alignment horizontal="center" vertical="center" shrinkToFit="1"/>
    </xf>
    <xf numFmtId="38" fontId="129" fillId="0" borderId="534" xfId="1" applyFont="1" applyFill="1" applyBorder="1" applyAlignment="1">
      <alignment horizontal="center" vertical="center" shrinkToFit="1"/>
    </xf>
    <xf numFmtId="38" fontId="129" fillId="0" borderId="528" xfId="1" applyFont="1" applyFill="1" applyBorder="1" applyAlignment="1">
      <alignment horizontal="center" vertical="center" shrinkToFit="1"/>
    </xf>
    <xf numFmtId="38" fontId="43" fillId="0" borderId="530" xfId="1" applyFont="1" applyFill="1" applyBorder="1" applyAlignment="1">
      <alignment horizontal="center" vertical="center" shrinkToFit="1"/>
    </xf>
    <xf numFmtId="38" fontId="43" fillId="0" borderId="528" xfId="1" applyFont="1" applyFill="1" applyBorder="1" applyAlignment="1">
      <alignment horizontal="center" vertical="center" shrinkToFit="1"/>
    </xf>
    <xf numFmtId="38" fontId="43" fillId="0" borderId="534" xfId="1" applyFont="1" applyFill="1" applyBorder="1" applyAlignment="1">
      <alignment horizontal="center" vertical="center" shrinkToFit="1"/>
    </xf>
    <xf numFmtId="38" fontId="43" fillId="0" borderId="529" xfId="1" applyFont="1" applyFill="1" applyBorder="1" applyAlignment="1">
      <alignment horizontal="center" vertical="center" shrinkToFit="1"/>
    </xf>
    <xf numFmtId="0" fontId="43" fillId="0" borderId="535" xfId="1" applyNumberFormat="1" applyFont="1" applyFill="1" applyBorder="1" applyAlignment="1">
      <alignment horizontal="center" vertical="center" shrinkToFit="1"/>
    </xf>
    <xf numFmtId="0" fontId="43" fillId="0" borderId="536" xfId="1" applyNumberFormat="1" applyFont="1" applyFill="1" applyBorder="1" applyAlignment="1">
      <alignment horizontal="center" vertical="center" shrinkToFit="1"/>
    </xf>
    <xf numFmtId="0" fontId="45" fillId="0" borderId="527" xfId="13" applyFont="1" applyBorder="1" applyAlignment="1">
      <alignment vertical="center" shrinkToFit="1"/>
    </xf>
    <xf numFmtId="0" fontId="43" fillId="0" borderId="530" xfId="0" applyFont="1" applyBorder="1" applyAlignment="1">
      <alignment vertical="center" wrapText="1" shrinkToFit="1"/>
    </xf>
    <xf numFmtId="0" fontId="45" fillId="0" borderId="710" xfId="13" applyFont="1" applyBorder="1" applyAlignment="1">
      <alignment horizontal="left" vertical="center" wrapText="1" shrinkToFit="1"/>
    </xf>
    <xf numFmtId="0" fontId="43" fillId="0" borderId="528" xfId="0" applyFont="1" applyBorder="1">
      <alignment vertical="center"/>
    </xf>
    <xf numFmtId="0" fontId="43" fillId="0" borderId="528" xfId="0" applyFont="1" applyBorder="1" applyAlignment="1">
      <alignment vertical="center" shrinkToFit="1"/>
    </xf>
    <xf numFmtId="0" fontId="44" fillId="0" borderId="528" xfId="13" applyFont="1" applyBorder="1" applyAlignment="1">
      <alignment horizontal="center" vertical="center" shrinkToFit="1"/>
    </xf>
    <xf numFmtId="0" fontId="63" fillId="0" borderId="710" xfId="13" applyFont="1" applyBorder="1" applyAlignment="1">
      <alignment horizontal="center" vertical="center" shrinkToFit="1"/>
    </xf>
    <xf numFmtId="0" fontId="43" fillId="0" borderId="710" xfId="0" applyFont="1" applyBorder="1" applyAlignment="1">
      <alignment vertical="center" shrinkToFit="1"/>
    </xf>
    <xf numFmtId="38" fontId="43" fillId="0" borderId="711" xfId="1" applyFont="1" applyFill="1" applyBorder="1" applyAlignment="1">
      <alignment horizontal="left" vertical="center" shrinkToFit="1"/>
    </xf>
    <xf numFmtId="0" fontId="87" fillId="6" borderId="401" xfId="1" applyNumberFormat="1" applyFont="1" applyFill="1" applyBorder="1" applyAlignment="1">
      <alignment horizontal="center" vertical="center" shrinkToFit="1"/>
    </xf>
    <xf numFmtId="0" fontId="45" fillId="6" borderId="401" xfId="1" applyNumberFormat="1" applyFont="1" applyFill="1" applyBorder="1" applyAlignment="1">
      <alignment horizontal="center" vertical="center" shrinkToFit="1"/>
    </xf>
    <xf numFmtId="0" fontId="78" fillId="29" borderId="0" xfId="0" applyFont="1" applyFill="1" applyAlignment="1">
      <alignment vertical="center" wrapText="1"/>
    </xf>
    <xf numFmtId="0" fontId="87" fillId="17" borderId="504" xfId="1" applyNumberFormat="1" applyFont="1" applyFill="1" applyBorder="1" applyAlignment="1">
      <alignment horizontal="center" vertical="center" shrinkToFit="1"/>
    </xf>
    <xf numFmtId="38" fontId="88" fillId="17" borderId="514" xfId="1" applyFont="1" applyFill="1" applyBorder="1" applyAlignment="1">
      <alignment horizontal="left" vertical="center" shrinkToFit="1"/>
    </xf>
    <xf numFmtId="0" fontId="78" fillId="0" borderId="0" xfId="9" applyFont="1" applyFill="1">
      <alignment vertical="center"/>
    </xf>
    <xf numFmtId="38" fontId="78" fillId="0" borderId="0" xfId="1" applyFont="1" applyFill="1">
      <alignment vertical="center"/>
    </xf>
    <xf numFmtId="0" fontId="0" fillId="29" borderId="0" xfId="0" applyFill="1">
      <alignment vertical="center"/>
    </xf>
    <xf numFmtId="0" fontId="78" fillId="29" borderId="0" xfId="0" applyFont="1" applyFill="1">
      <alignment vertical="center"/>
    </xf>
    <xf numFmtId="181" fontId="78" fillId="29" borderId="0" xfId="0" applyNumberFormat="1" applyFont="1" applyFill="1">
      <alignment vertical="center"/>
    </xf>
    <xf numFmtId="38" fontId="78" fillId="29" borderId="0" xfId="1" applyFont="1" applyFill="1">
      <alignment vertical="center"/>
    </xf>
    <xf numFmtId="38" fontId="0" fillId="29" borderId="0" xfId="1" applyFont="1" applyFill="1">
      <alignment vertical="center"/>
    </xf>
    <xf numFmtId="0" fontId="78" fillId="33" borderId="0" xfId="0" applyFont="1" applyFill="1">
      <alignment vertical="center"/>
    </xf>
    <xf numFmtId="0" fontId="0" fillId="29" borderId="0" xfId="0" applyFill="1" applyAlignment="1">
      <alignment horizontal="center" vertical="center" wrapText="1"/>
    </xf>
    <xf numFmtId="0" fontId="150" fillId="0" borderId="692" xfId="11" applyFont="1" applyBorder="1" applyAlignment="1">
      <alignment vertical="center" wrapText="1"/>
    </xf>
    <xf numFmtId="0" fontId="89" fillId="6" borderId="41" xfId="11" applyFont="1" applyFill="1" applyBorder="1" applyAlignment="1">
      <alignment vertical="top"/>
    </xf>
    <xf numFmtId="0" fontId="40" fillId="0" borderId="0" xfId="0" applyFont="1">
      <alignment vertical="center"/>
    </xf>
    <xf numFmtId="38" fontId="45" fillId="0" borderId="626" xfId="1" applyFont="1" applyFill="1" applyBorder="1" applyAlignment="1">
      <alignment horizontal="center" vertical="center" shrinkToFit="1"/>
    </xf>
    <xf numFmtId="38" fontId="45" fillId="0" borderId="630" xfId="1" applyFont="1" applyFill="1" applyBorder="1" applyAlignment="1">
      <alignment horizontal="center" vertical="center" shrinkToFit="1"/>
    </xf>
    <xf numFmtId="38" fontId="45" fillId="0" borderId="632" xfId="1" applyFont="1" applyFill="1" applyBorder="1" applyAlignment="1">
      <alignment horizontal="center" vertical="center" shrinkToFit="1"/>
    </xf>
    <xf numFmtId="38" fontId="45" fillId="0" borderId="635" xfId="1" applyFont="1" applyFill="1" applyBorder="1" applyAlignment="1">
      <alignment horizontal="center" vertical="center" shrinkToFit="1"/>
    </xf>
    <xf numFmtId="38" fontId="43" fillId="0" borderId="631" xfId="1" applyFont="1" applyFill="1" applyBorder="1" applyAlignment="1">
      <alignment horizontal="center" vertical="center" shrinkToFit="1"/>
    </xf>
    <xf numFmtId="38" fontId="43" fillId="0" borderId="636" xfId="1" applyFont="1" applyFill="1" applyBorder="1" applyAlignment="1">
      <alignment horizontal="center" vertical="center" shrinkToFit="1"/>
    </xf>
    <xf numFmtId="38" fontId="43" fillId="0" borderId="639" xfId="1" applyFont="1" applyFill="1" applyBorder="1" applyAlignment="1">
      <alignment horizontal="center" vertical="center" shrinkToFit="1"/>
    </xf>
    <xf numFmtId="0" fontId="45" fillId="0" borderId="639" xfId="0" applyFont="1" applyBorder="1" applyAlignment="1">
      <alignment horizontal="center" vertical="center" wrapText="1"/>
    </xf>
    <xf numFmtId="0" fontId="45" fillId="0" borderId="639" xfId="16" applyFont="1" applyBorder="1" applyAlignment="1">
      <alignment horizontal="center" vertical="center" wrapText="1" shrinkToFit="1"/>
    </xf>
    <xf numFmtId="0" fontId="45" fillId="0" borderId="639" xfId="0" applyFont="1" applyBorder="1" applyAlignment="1">
      <alignment horizontal="center" vertical="center" shrinkToFit="1"/>
    </xf>
    <xf numFmtId="0" fontId="45" fillId="0" borderId="638" xfId="0" applyFont="1" applyBorder="1" applyAlignment="1">
      <alignment horizontal="center" vertical="center" wrapText="1" shrinkToFit="1"/>
    </xf>
    <xf numFmtId="38" fontId="123" fillId="0" borderId="639" xfId="1" applyFont="1" applyFill="1" applyBorder="1" applyAlignment="1">
      <alignment horizontal="center" vertical="center" shrinkToFit="1"/>
    </xf>
    <xf numFmtId="38" fontId="89" fillId="0" borderId="639" xfId="1" applyFont="1" applyFill="1" applyBorder="1" applyAlignment="1">
      <alignment horizontal="center" vertical="center" shrinkToFit="1"/>
    </xf>
    <xf numFmtId="0" fontId="94" fillId="6" borderId="0" xfId="11" applyFont="1" applyFill="1" applyAlignment="1">
      <alignment horizontal="center" vertical="center"/>
    </xf>
    <xf numFmtId="0" fontId="71" fillId="6" borderId="26" xfId="11" applyFont="1" applyFill="1" applyBorder="1" applyAlignment="1">
      <alignment horizontal="center" vertical="center" shrinkToFit="1"/>
    </xf>
    <xf numFmtId="0" fontId="151" fillId="27" borderId="26" xfId="11" applyFont="1" applyFill="1" applyBorder="1" applyAlignment="1">
      <alignment horizontal="center" vertical="center" shrinkToFit="1"/>
    </xf>
    <xf numFmtId="0" fontId="71" fillId="6" borderId="27" xfId="11" applyFont="1" applyFill="1" applyBorder="1" applyAlignment="1">
      <alignment horizontal="center" vertical="center" shrinkToFit="1"/>
    </xf>
    <xf numFmtId="0" fontId="151" fillId="0" borderId="27" xfId="11" applyFont="1" applyBorder="1" applyAlignment="1">
      <alignment horizontal="center" vertical="center" shrinkToFit="1"/>
    </xf>
    <xf numFmtId="0" fontId="80" fillId="0" borderId="27" xfId="11" applyFont="1" applyBorder="1" applyAlignment="1">
      <alignment horizontal="center" vertical="center" shrinkToFit="1"/>
    </xf>
    <xf numFmtId="0" fontId="151" fillId="0" borderId="26" xfId="11" applyFont="1" applyBorder="1" applyAlignment="1">
      <alignment horizontal="center" vertical="center" shrinkToFit="1"/>
    </xf>
    <xf numFmtId="0" fontId="80" fillId="0" borderId="26" xfId="11" applyFont="1" applyBorder="1" applyAlignment="1">
      <alignment horizontal="center" vertical="center" shrinkToFit="1"/>
    </xf>
    <xf numFmtId="0" fontId="1" fillId="0" borderId="0" xfId="21">
      <alignment vertical="center"/>
    </xf>
    <xf numFmtId="38" fontId="0" fillId="0" borderId="0" xfId="22" applyFont="1">
      <alignment vertical="center"/>
    </xf>
    <xf numFmtId="38" fontId="0" fillId="0" borderId="0" xfId="22" applyFont="1" applyAlignment="1">
      <alignment horizontal="center" vertical="center"/>
    </xf>
    <xf numFmtId="0" fontId="1" fillId="0" borderId="0" xfId="21" applyAlignment="1">
      <alignment horizontal="center" vertical="center"/>
    </xf>
    <xf numFmtId="38" fontId="0" fillId="0" borderId="5" xfId="22" applyFont="1" applyBorder="1" applyAlignment="1">
      <alignment horizontal="center" vertical="center"/>
    </xf>
    <xf numFmtId="40" fontId="0" fillId="20" borderId="5" xfId="22" applyNumberFormat="1" applyFont="1" applyFill="1" applyBorder="1">
      <alignment vertical="center"/>
    </xf>
    <xf numFmtId="38" fontId="0" fillId="0" borderId="5" xfId="22" applyFont="1" applyBorder="1">
      <alignment vertical="center"/>
    </xf>
    <xf numFmtId="38" fontId="0" fillId="0" borderId="5" xfId="15" applyFont="1" applyBorder="1">
      <alignment vertical="center"/>
    </xf>
    <xf numFmtId="0" fontId="1" fillId="0" borderId="5" xfId="21" applyBorder="1">
      <alignment vertical="center"/>
    </xf>
    <xf numFmtId="38" fontId="41" fillId="0" borderId="5" xfId="22" applyFont="1" applyBorder="1">
      <alignment vertical="center"/>
    </xf>
    <xf numFmtId="38" fontId="0" fillId="0" borderId="5" xfId="22" applyFont="1" applyBorder="1" applyAlignment="1">
      <alignment horizontal="right" vertical="center"/>
    </xf>
    <xf numFmtId="0" fontId="53" fillId="0" borderId="0" xfId="21" applyFont="1">
      <alignment vertical="center"/>
    </xf>
    <xf numFmtId="38" fontId="78" fillId="0" borderId="0" xfId="22" applyFont="1" applyAlignment="1">
      <alignment horizontal="right" vertical="center"/>
    </xf>
    <xf numFmtId="38" fontId="78" fillId="0" borderId="0" xfId="22" applyFont="1" applyAlignment="1">
      <alignment horizontal="center" vertical="center"/>
    </xf>
    <xf numFmtId="38" fontId="0" fillId="0" borderId="5" xfId="22" applyFont="1" applyBorder="1" applyAlignment="1">
      <alignment vertical="center" wrapText="1"/>
    </xf>
    <xf numFmtId="0" fontId="1" fillId="0" borderId="5" xfId="21" applyBorder="1" applyAlignment="1">
      <alignment horizontal="center" vertical="center"/>
    </xf>
    <xf numFmtId="0" fontId="1" fillId="0" borderId="0" xfId="21" applyAlignment="1">
      <alignment horizontal="left" vertical="center"/>
    </xf>
    <xf numFmtId="38" fontId="41" fillId="0" borderId="0" xfId="22" applyFont="1">
      <alignment vertical="center"/>
    </xf>
    <xf numFmtId="38" fontId="41" fillId="0" borderId="0" xfId="22" applyFont="1" applyAlignment="1">
      <alignment horizontal="center" vertical="center"/>
    </xf>
    <xf numFmtId="0" fontId="152" fillId="0" borderId="0" xfId="21" applyFont="1">
      <alignment vertical="center"/>
    </xf>
    <xf numFmtId="38" fontId="0" fillId="0" borderId="5" xfId="15" applyFont="1" applyFill="1" applyBorder="1">
      <alignment vertical="center"/>
    </xf>
    <xf numFmtId="38" fontId="0" fillId="0" borderId="5" xfId="22" applyFont="1" applyBorder="1" applyAlignment="1">
      <alignment horizontal="center" vertical="center" wrapText="1"/>
    </xf>
    <xf numFmtId="0" fontId="0" fillId="0" borderId="0" xfId="21" applyFont="1" applyAlignment="1">
      <alignment horizontal="left" vertical="center"/>
    </xf>
    <xf numFmtId="38" fontId="0" fillId="0" borderId="0" xfId="22" applyFont="1" applyAlignment="1">
      <alignment horizontal="left" vertical="center"/>
    </xf>
    <xf numFmtId="0" fontId="78" fillId="43" borderId="0" xfId="0" applyFont="1" applyFill="1" applyAlignment="1">
      <alignment vertical="center" wrapText="1"/>
    </xf>
    <xf numFmtId="0" fontId="78" fillId="45" borderId="0" xfId="0" applyFont="1" applyFill="1" applyAlignment="1">
      <alignment vertical="center" wrapText="1"/>
    </xf>
    <xf numFmtId="38" fontId="78" fillId="29" borderId="0" xfId="0" applyNumberFormat="1" applyFont="1" applyFill="1">
      <alignment vertical="center"/>
    </xf>
    <xf numFmtId="38" fontId="78" fillId="44" borderId="0" xfId="1" applyFont="1" applyFill="1" applyAlignment="1">
      <alignment vertical="center" wrapText="1"/>
    </xf>
    <xf numFmtId="0" fontId="58" fillId="6" borderId="0" xfId="11" applyFont="1" applyFill="1" applyAlignment="1">
      <alignment vertical="center"/>
    </xf>
    <xf numFmtId="181" fontId="58" fillId="6" borderId="0" xfId="11" applyNumberFormat="1" applyFont="1" applyFill="1" applyAlignment="1">
      <alignment horizontal="center" vertical="top" shrinkToFit="1"/>
    </xf>
    <xf numFmtId="201" fontId="82" fillId="6" borderId="410" xfId="11" applyNumberFormat="1" applyFont="1" applyFill="1" applyBorder="1" applyAlignment="1">
      <alignment horizontal="center" vertical="center"/>
    </xf>
    <xf numFmtId="201" fontId="82" fillId="6" borderId="419" xfId="11" applyNumberFormat="1" applyFont="1" applyFill="1" applyBorder="1" applyAlignment="1">
      <alignment horizontal="center" vertical="center"/>
    </xf>
    <xf numFmtId="201" fontId="82" fillId="6" borderId="38" xfId="11" applyNumberFormat="1" applyFont="1" applyFill="1" applyBorder="1" applyAlignment="1">
      <alignment horizontal="center" vertical="center"/>
    </xf>
    <xf numFmtId="201" fontId="82" fillId="6" borderId="8" xfId="11" applyNumberFormat="1" applyFont="1" applyFill="1" applyBorder="1" applyAlignment="1">
      <alignment horizontal="center" vertical="center"/>
    </xf>
    <xf numFmtId="201" fontId="82" fillId="6" borderId="9" xfId="11" applyNumberFormat="1" applyFont="1" applyFill="1" applyBorder="1" applyAlignment="1">
      <alignment horizontal="center" vertical="center"/>
    </xf>
    <xf numFmtId="0" fontId="154" fillId="6" borderId="26" xfId="11" applyFont="1" applyFill="1" applyBorder="1" applyAlignment="1">
      <alignment horizontal="center" vertical="center" wrapText="1"/>
    </xf>
    <xf numFmtId="0" fontId="154" fillId="6" borderId="27" xfId="11" applyFont="1" applyFill="1" applyBorder="1" applyAlignment="1">
      <alignment vertical="center" wrapText="1"/>
    </xf>
    <xf numFmtId="0" fontId="155" fillId="6" borderId="0" xfId="11" applyFont="1" applyFill="1" applyAlignment="1">
      <alignment vertical="center"/>
    </xf>
    <xf numFmtId="0" fontId="0" fillId="0" borderId="0" xfId="21" applyFont="1">
      <alignment vertical="center"/>
    </xf>
    <xf numFmtId="0" fontId="0" fillId="0" borderId="0" xfId="21" applyFont="1" applyAlignment="1">
      <alignment horizontal="center" vertical="center"/>
    </xf>
    <xf numFmtId="0" fontId="0" fillId="0" borderId="5" xfId="21" applyFont="1" applyBorder="1" applyAlignment="1">
      <alignment horizontal="center" vertical="center"/>
    </xf>
    <xf numFmtId="0" fontId="0" fillId="0" borderId="5" xfId="21" applyFont="1" applyBorder="1">
      <alignment vertical="center"/>
    </xf>
    <xf numFmtId="38" fontId="0" fillId="0" borderId="27" xfId="22" applyFont="1" applyBorder="1" applyAlignment="1">
      <alignment horizontal="right" vertical="center"/>
    </xf>
    <xf numFmtId="0" fontId="0" fillId="0" borderId="28" xfId="21" applyFont="1" applyBorder="1" applyAlignment="1">
      <alignment horizontal="center" vertical="center"/>
    </xf>
    <xf numFmtId="38" fontId="0" fillId="0" borderId="0" xfId="22" applyFont="1" applyFill="1">
      <alignment vertical="center"/>
    </xf>
    <xf numFmtId="38" fontId="0" fillId="0" borderId="5" xfId="22" applyFont="1" applyFill="1" applyBorder="1" applyAlignment="1">
      <alignment vertical="center" wrapText="1"/>
    </xf>
    <xf numFmtId="0" fontId="152" fillId="0" borderId="0" xfId="0" applyFont="1">
      <alignment vertical="center"/>
    </xf>
    <xf numFmtId="38" fontId="156" fillId="0" borderId="5" xfId="15" applyFont="1" applyFill="1" applyBorder="1">
      <alignment vertical="center"/>
    </xf>
    <xf numFmtId="38" fontId="0" fillId="0" borderId="376" xfId="22" applyFont="1" applyBorder="1">
      <alignment vertical="center"/>
    </xf>
    <xf numFmtId="0" fontId="0" fillId="42" borderId="5" xfId="21" applyFont="1" applyFill="1" applyBorder="1">
      <alignment vertical="center"/>
    </xf>
    <xf numFmtId="38" fontId="0" fillId="42" borderId="5" xfId="15" applyFont="1" applyFill="1" applyBorder="1">
      <alignment vertical="center"/>
    </xf>
    <xf numFmtId="38" fontId="156" fillId="42" borderId="5" xfId="15" applyFont="1" applyFill="1" applyBorder="1">
      <alignment vertical="center"/>
    </xf>
    <xf numFmtId="38" fontId="0" fillId="42" borderId="5" xfId="22" applyFont="1" applyFill="1" applyBorder="1">
      <alignment vertical="center"/>
    </xf>
    <xf numFmtId="40" fontId="0" fillId="42" borderId="5" xfId="22" applyNumberFormat="1" applyFont="1" applyFill="1" applyBorder="1">
      <alignment vertical="center"/>
    </xf>
    <xf numFmtId="38" fontId="0" fillId="42" borderId="5" xfId="22" applyFont="1" applyFill="1" applyBorder="1" applyAlignment="1">
      <alignment horizontal="right" vertical="center"/>
    </xf>
    <xf numFmtId="38" fontId="156" fillId="0" borderId="376" xfId="15" applyFont="1" applyFill="1" applyBorder="1">
      <alignment vertical="center"/>
    </xf>
    <xf numFmtId="38" fontId="157" fillId="0" borderId="5" xfId="15" applyFont="1" applyBorder="1">
      <alignment vertical="center"/>
    </xf>
    <xf numFmtId="38" fontId="157" fillId="0" borderId="376" xfId="15" applyFont="1" applyBorder="1">
      <alignment vertical="center"/>
    </xf>
    <xf numFmtId="0" fontId="0" fillId="0" borderId="27" xfId="21" applyFont="1" applyBorder="1">
      <alignment vertical="center"/>
    </xf>
    <xf numFmtId="38" fontId="0" fillId="0" borderId="27" xfId="15" applyFont="1" applyFill="1" applyBorder="1">
      <alignment vertical="center"/>
    </xf>
    <xf numFmtId="38" fontId="156" fillId="0" borderId="27" xfId="15" applyFont="1" applyFill="1" applyBorder="1">
      <alignment vertical="center"/>
    </xf>
    <xf numFmtId="38" fontId="0" fillId="0" borderId="27" xfId="22" applyFont="1" applyBorder="1">
      <alignment vertical="center"/>
    </xf>
    <xf numFmtId="40" fontId="0" fillId="20" borderId="27" xfId="22" applyNumberFormat="1" applyFont="1" applyFill="1" applyBorder="1">
      <alignment vertical="center"/>
    </xf>
    <xf numFmtId="38" fontId="0" fillId="0" borderId="27" xfId="15" applyFont="1" applyBorder="1">
      <alignment vertical="center"/>
    </xf>
    <xf numFmtId="0" fontId="0" fillId="0" borderId="28" xfId="21" applyFont="1" applyBorder="1">
      <alignment vertical="center"/>
    </xf>
    <xf numFmtId="38" fontId="0" fillId="0" borderId="28" xfId="22" applyFont="1" applyBorder="1">
      <alignment vertical="center"/>
    </xf>
    <xf numFmtId="38" fontId="0" fillId="0" borderId="28" xfId="22" applyFont="1" applyFill="1" applyBorder="1">
      <alignment vertical="center"/>
    </xf>
    <xf numFmtId="0" fontId="0" fillId="0" borderId="97" xfId="21" applyFont="1" applyBorder="1">
      <alignment vertical="center"/>
    </xf>
    <xf numFmtId="38" fontId="0" fillId="0" borderId="97" xfId="15" applyFont="1" applyBorder="1">
      <alignment vertical="center"/>
    </xf>
    <xf numFmtId="38" fontId="156" fillId="0" borderId="97" xfId="15" applyFont="1" applyFill="1" applyBorder="1">
      <alignment vertical="center"/>
    </xf>
    <xf numFmtId="38" fontId="0" fillId="0" borderId="97" xfId="22" applyFont="1" applyBorder="1">
      <alignment vertical="center"/>
    </xf>
    <xf numFmtId="40" fontId="0" fillId="20" borderId="97" xfId="22" applyNumberFormat="1" applyFont="1" applyFill="1" applyBorder="1">
      <alignment vertical="center"/>
    </xf>
    <xf numFmtId="38" fontId="0" fillId="0" borderId="97" xfId="22" applyFont="1" applyBorder="1" applyAlignment="1">
      <alignment horizontal="right" vertical="center"/>
    </xf>
    <xf numFmtId="38" fontId="78" fillId="0" borderId="28" xfId="22" applyFont="1" applyBorder="1">
      <alignment vertical="center"/>
    </xf>
    <xf numFmtId="38" fontId="0" fillId="0" borderId="376" xfId="22" applyFont="1" applyBorder="1" applyAlignment="1">
      <alignment horizontal="right" vertical="center"/>
    </xf>
    <xf numFmtId="0" fontId="0" fillId="18" borderId="5" xfId="0" applyFill="1" applyBorder="1" applyAlignment="1">
      <alignment horizontal="center" vertical="center"/>
    </xf>
    <xf numFmtId="207" fontId="0" fillId="0" borderId="5" xfId="0" applyNumberFormat="1" applyBorder="1">
      <alignment vertical="center"/>
    </xf>
    <xf numFmtId="181" fontId="152" fillId="0" borderId="5" xfId="0" applyNumberFormat="1" applyFont="1" applyBorder="1">
      <alignment vertical="center"/>
    </xf>
    <xf numFmtId="38" fontId="0" fillId="0" borderId="97" xfId="15" applyFont="1" applyFill="1" applyBorder="1">
      <alignment vertical="center"/>
    </xf>
    <xf numFmtId="38" fontId="41" fillId="0" borderId="97" xfId="22" applyFont="1" applyBorder="1">
      <alignment vertical="center"/>
    </xf>
    <xf numFmtId="38" fontId="0" fillId="0" borderId="28" xfId="22" applyFont="1" applyBorder="1" applyAlignment="1">
      <alignment horizontal="left" vertical="center"/>
    </xf>
    <xf numFmtId="0" fontId="41" fillId="0" borderId="5" xfId="0" applyFont="1" applyBorder="1">
      <alignment vertical="center"/>
    </xf>
    <xf numFmtId="0" fontId="41" fillId="2" borderId="5" xfId="0" applyFont="1" applyFill="1" applyBorder="1">
      <alignment vertical="center"/>
    </xf>
    <xf numFmtId="0" fontId="41" fillId="23" borderId="5" xfId="0" applyFont="1" applyFill="1" applyBorder="1">
      <alignment vertical="center"/>
    </xf>
    <xf numFmtId="38" fontId="0" fillId="0" borderId="5" xfId="1" applyFont="1" applyBorder="1" applyAlignment="1">
      <alignment horizontal="right" vertical="center"/>
    </xf>
    <xf numFmtId="0" fontId="0" fillId="0" borderId="0" xfId="0" applyAlignment="1">
      <alignment horizontal="right" vertical="center"/>
    </xf>
    <xf numFmtId="38" fontId="4" fillId="0" borderId="0" xfId="22" applyFont="1">
      <alignment vertical="center"/>
    </xf>
    <xf numFmtId="181" fontId="0" fillId="0" borderId="0" xfId="0" applyNumberFormat="1">
      <alignment vertical="center"/>
    </xf>
    <xf numFmtId="0" fontId="41" fillId="2" borderId="715" xfId="0" applyFont="1" applyFill="1" applyBorder="1">
      <alignment vertical="center"/>
    </xf>
    <xf numFmtId="0" fontId="0" fillId="0" borderId="715" xfId="0" applyBorder="1">
      <alignment vertical="center"/>
    </xf>
    <xf numFmtId="0" fontId="41" fillId="23" borderId="715" xfId="0" applyFont="1" applyFill="1" applyBorder="1">
      <alignment vertical="center"/>
    </xf>
    <xf numFmtId="0" fontId="41" fillId="0" borderId="715" xfId="0" applyFont="1" applyBorder="1">
      <alignment vertical="center"/>
    </xf>
    <xf numFmtId="181" fontId="152" fillId="0" borderId="5" xfId="0" applyNumberFormat="1" applyFont="1" applyBorder="1" applyAlignment="1">
      <alignment horizontal="right" vertical="center"/>
    </xf>
    <xf numFmtId="181" fontId="66" fillId="0" borderId="715" xfId="0" applyNumberFormat="1" applyFont="1" applyBorder="1">
      <alignment vertical="center"/>
    </xf>
    <xf numFmtId="38" fontId="0" fillId="18" borderId="5" xfId="22" applyFont="1" applyFill="1" applyBorder="1" applyAlignment="1">
      <alignment horizontal="center" vertical="center"/>
    </xf>
    <xf numFmtId="38" fontId="0" fillId="18" borderId="5" xfId="22" applyFont="1" applyFill="1" applyBorder="1">
      <alignment vertical="center"/>
    </xf>
    <xf numFmtId="38" fontId="0" fillId="0" borderId="0" xfId="22" applyFont="1" applyFill="1" applyBorder="1" applyAlignment="1">
      <alignment horizontal="center" vertical="center"/>
    </xf>
    <xf numFmtId="181" fontId="41" fillId="0" borderId="5" xfId="0" applyNumberFormat="1" applyFont="1" applyBorder="1">
      <alignment vertical="center"/>
    </xf>
    <xf numFmtId="181" fontId="152" fillId="0" borderId="7" xfId="0" applyNumberFormat="1" applyFont="1" applyBorder="1">
      <alignment vertical="center"/>
    </xf>
    <xf numFmtId="181" fontId="41" fillId="0" borderId="715" xfId="0" applyNumberFormat="1" applyFont="1" applyBorder="1">
      <alignment vertical="center"/>
    </xf>
    <xf numFmtId="0" fontId="78" fillId="0" borderId="0" xfId="9" applyNumberFormat="1" applyFont="1" applyFill="1">
      <alignment vertical="center"/>
    </xf>
    <xf numFmtId="0" fontId="65" fillId="19" borderId="105" xfId="11" applyFont="1" applyFill="1" applyBorder="1" applyAlignment="1">
      <alignment horizontal="center" vertical="center" wrapText="1" shrinkToFit="1"/>
    </xf>
    <xf numFmtId="0" fontId="100" fillId="0" borderId="0" xfId="12" applyFont="1" applyAlignment="1">
      <alignment horizontal="left" vertical="center"/>
    </xf>
    <xf numFmtId="0" fontId="158" fillId="0" borderId="0" xfId="1" applyNumberFormat="1" applyFont="1" applyFill="1" applyBorder="1" applyAlignment="1">
      <alignment horizontal="center" vertical="center"/>
    </xf>
    <xf numFmtId="0" fontId="159" fillId="0" borderId="0" xfId="1" applyNumberFormat="1" applyFont="1" applyFill="1" applyBorder="1" applyAlignment="1">
      <alignment horizontal="left" vertical="center"/>
    </xf>
    <xf numFmtId="187" fontId="60" fillId="0" borderId="0" xfId="1" applyNumberFormat="1" applyFont="1" applyFill="1" applyAlignment="1">
      <alignment horizontal="right" vertical="center" shrinkToFit="1"/>
    </xf>
    <xf numFmtId="180" fontId="62" fillId="0" borderId="0" xfId="0" applyNumberFormat="1" applyFont="1" applyAlignment="1">
      <alignment horizontal="right" vertical="center" shrinkToFit="1"/>
    </xf>
    <xf numFmtId="0" fontId="43" fillId="0" borderId="0" xfId="13" applyFont="1" applyAlignment="1">
      <alignment horizontal="center" vertical="center"/>
    </xf>
    <xf numFmtId="0" fontId="44" fillId="0" borderId="0" xfId="13" applyFont="1" applyAlignment="1">
      <alignment horizontal="center" vertical="center"/>
    </xf>
    <xf numFmtId="0" fontId="44" fillId="0" borderId="0" xfId="13" applyFont="1">
      <alignment vertical="center"/>
    </xf>
    <xf numFmtId="0" fontId="89" fillId="0" borderId="0" xfId="13" applyFont="1">
      <alignment vertical="center"/>
    </xf>
    <xf numFmtId="0" fontId="160" fillId="0" borderId="0" xfId="13" applyFont="1">
      <alignment vertical="center"/>
    </xf>
    <xf numFmtId="0" fontId="62" fillId="0" borderId="0" xfId="0" applyFont="1" applyAlignment="1">
      <alignment horizontal="right" vertical="center" shrinkToFit="1"/>
    </xf>
    <xf numFmtId="0" fontId="20" fillId="0" borderId="0" xfId="0" applyFont="1" applyAlignment="1">
      <alignment vertical="center" shrinkToFit="1"/>
    </xf>
    <xf numFmtId="0" fontId="50" fillId="0" borderId="0" xfId="12" applyFont="1" applyAlignment="1">
      <alignment vertical="center" wrapText="1"/>
    </xf>
    <xf numFmtId="0" fontId="162" fillId="0" borderId="0" xfId="0" applyFont="1" applyAlignment="1">
      <alignment horizontal="center" vertical="center"/>
    </xf>
    <xf numFmtId="0" fontId="159" fillId="0" borderId="0" xfId="1" applyNumberFormat="1" applyFont="1" applyFill="1" applyBorder="1" applyAlignment="1">
      <alignment horizontal="center" vertical="center"/>
    </xf>
    <xf numFmtId="0" fontId="44" fillId="0" borderId="0" xfId="13" applyFont="1" applyAlignment="1">
      <alignment vertical="center" shrinkToFit="1"/>
    </xf>
    <xf numFmtId="0" fontId="89" fillId="13" borderId="661" xfId="13" applyFont="1" applyFill="1" applyBorder="1" applyAlignment="1">
      <alignment horizontal="center" vertical="center" shrinkToFit="1"/>
    </xf>
    <xf numFmtId="0" fontId="89" fillId="0" borderId="0" xfId="13" applyFont="1" applyAlignment="1">
      <alignment vertical="center" shrinkToFit="1"/>
    </xf>
    <xf numFmtId="0" fontId="89" fillId="13" borderId="661" xfId="13" applyFont="1" applyFill="1" applyBorder="1" applyAlignment="1">
      <alignment horizontal="center" vertical="center"/>
    </xf>
    <xf numFmtId="0" fontId="163" fillId="0" borderId="0" xfId="0" applyFont="1" applyAlignment="1">
      <alignment vertical="center" shrinkToFit="1"/>
    </xf>
    <xf numFmtId="0" fontId="50" fillId="0" borderId="101" xfId="12" applyFont="1" applyBorder="1" applyAlignment="1">
      <alignment vertical="center" wrapText="1"/>
    </xf>
    <xf numFmtId="0" fontId="65" fillId="19" borderId="38" xfId="11" applyFont="1" applyFill="1" applyBorder="1" applyAlignment="1">
      <alignment horizontal="center" vertical="center" shrinkToFit="1"/>
    </xf>
    <xf numFmtId="0" fontId="71" fillId="0" borderId="718" xfId="11" applyFont="1" applyBorder="1" applyAlignment="1">
      <alignment horizontal="center" vertical="center" shrinkToFit="1"/>
    </xf>
    <xf numFmtId="0" fontId="64" fillId="0" borderId="159" xfId="11" applyFont="1" applyBorder="1" applyAlignment="1">
      <alignment horizontal="center" vertical="center" shrinkToFit="1"/>
    </xf>
    <xf numFmtId="38" fontId="64" fillId="0" borderId="50" xfId="1" applyFont="1" applyBorder="1" applyAlignment="1">
      <alignment horizontal="right" vertical="center" shrinkToFit="1"/>
    </xf>
    <xf numFmtId="187" fontId="64" fillId="0" borderId="50" xfId="1" applyNumberFormat="1" applyFont="1" applyBorder="1" applyAlignment="1">
      <alignment horizontal="right" vertical="center" shrinkToFit="1"/>
    </xf>
    <xf numFmtId="187" fontId="64" fillId="0" borderId="50" xfId="1" applyNumberFormat="1" applyFont="1" applyBorder="1" applyAlignment="1">
      <alignment horizontal="center" vertical="center" shrinkToFit="1"/>
    </xf>
    <xf numFmtId="38" fontId="64" fillId="0" borderId="50" xfId="1" applyFont="1" applyBorder="1" applyAlignment="1">
      <alignment horizontal="center" vertical="center" shrinkToFit="1"/>
    </xf>
    <xf numFmtId="187" fontId="64" fillId="0" borderId="50" xfId="11" applyNumberFormat="1" applyFont="1" applyBorder="1" applyAlignment="1">
      <alignment horizontal="center" vertical="center" shrinkToFit="1"/>
    </xf>
    <xf numFmtId="0" fontId="64" fillId="0" borderId="50" xfId="0" applyFont="1" applyBorder="1" applyAlignment="1">
      <alignment horizontal="center" vertical="center"/>
    </xf>
    <xf numFmtId="41" fontId="24" fillId="9" borderId="145" xfId="0" applyNumberFormat="1" applyFont="1" applyFill="1" applyBorder="1" applyAlignment="1">
      <alignment vertical="center" shrinkToFit="1"/>
    </xf>
    <xf numFmtId="41" fontId="24" fillId="17" borderId="145" xfId="0" applyNumberFormat="1" applyFont="1" applyFill="1" applyBorder="1" applyAlignment="1">
      <alignment vertical="center" shrinkToFit="1"/>
    </xf>
    <xf numFmtId="41" fontId="24" fillId="16" borderId="145" xfId="0" applyNumberFormat="1" applyFont="1" applyFill="1" applyBorder="1" applyAlignment="1">
      <alignment vertical="center" shrinkToFit="1"/>
    </xf>
    <xf numFmtId="0" fontId="64" fillId="0" borderId="156" xfId="11" applyFont="1" applyBorder="1" applyAlignment="1">
      <alignment horizontal="center" vertical="center" shrinkToFit="1"/>
    </xf>
    <xf numFmtId="0" fontId="64" fillId="0" borderId="0" xfId="11" applyFont="1" applyAlignment="1">
      <alignment horizontal="center" vertical="center" shrinkToFit="1"/>
    </xf>
    <xf numFmtId="187" fontId="64" fillId="0" borderId="26" xfId="1" applyNumberFormat="1" applyFont="1" applyBorder="1" applyAlignment="1">
      <alignment horizontal="right" vertical="center" shrinkToFit="1"/>
    </xf>
    <xf numFmtId="187" fontId="64" fillId="0" borderId="26" xfId="11" applyNumberFormat="1" applyFont="1" applyBorder="1" applyAlignment="1">
      <alignment horizontal="right" vertical="center" shrinkToFit="1"/>
    </xf>
    <xf numFmtId="187" fontId="64" fillId="0" borderId="26" xfId="11" applyNumberFormat="1" applyFont="1" applyBorder="1" applyAlignment="1">
      <alignment horizontal="center" vertical="center" shrinkToFit="1"/>
    </xf>
    <xf numFmtId="0" fontId="64" fillId="0" borderId="101" xfId="11" applyFont="1" applyBorder="1" applyAlignment="1">
      <alignment horizontal="center" vertical="center" shrinkToFit="1"/>
    </xf>
    <xf numFmtId="187" fontId="64" fillId="0" borderId="118" xfId="1" applyNumberFormat="1" applyFont="1" applyBorder="1" applyAlignment="1">
      <alignment horizontal="right" vertical="center" shrinkToFit="1"/>
    </xf>
    <xf numFmtId="187" fontId="64" fillId="0" borderId="118" xfId="11" applyNumberFormat="1" applyFont="1" applyBorder="1" applyAlignment="1">
      <alignment horizontal="right" vertical="center" shrinkToFit="1"/>
    </xf>
    <xf numFmtId="187" fontId="64" fillId="0" borderId="118" xfId="11" applyNumberFormat="1" applyFont="1" applyBorder="1" applyAlignment="1">
      <alignment horizontal="center" vertical="center" shrinkToFit="1"/>
    </xf>
    <xf numFmtId="0" fontId="61" fillId="20" borderId="27" xfId="1" applyNumberFormat="1" applyFont="1" applyFill="1" applyBorder="1" applyAlignment="1">
      <alignment horizontal="center" vertical="center" shrinkToFit="1"/>
    </xf>
    <xf numFmtId="187" fontId="64" fillId="0" borderId="27" xfId="1" applyNumberFormat="1" applyFont="1" applyBorder="1" applyAlignment="1">
      <alignment horizontal="right" vertical="center" shrinkToFit="1"/>
    </xf>
    <xf numFmtId="187" fontId="64" fillId="0" borderId="27" xfId="11" applyNumberFormat="1" applyFont="1" applyBorder="1" applyAlignment="1">
      <alignment horizontal="right" vertical="center" shrinkToFit="1"/>
    </xf>
    <xf numFmtId="187" fontId="64" fillId="0" borderId="27" xfId="11" applyNumberFormat="1" applyFont="1" applyBorder="1" applyAlignment="1">
      <alignment horizontal="center" vertical="center" shrinkToFit="1"/>
    </xf>
    <xf numFmtId="187" fontId="64" fillId="0" borderId="28" xfId="1" applyNumberFormat="1" applyFont="1" applyBorder="1" applyAlignment="1">
      <alignment horizontal="right" vertical="center" shrinkToFit="1"/>
    </xf>
    <xf numFmtId="187" fontId="64" fillId="0" borderId="28" xfId="1" applyNumberFormat="1" applyFont="1" applyFill="1" applyBorder="1" applyAlignment="1">
      <alignment horizontal="right" vertical="center" shrinkToFit="1"/>
    </xf>
    <xf numFmtId="187" fontId="64" fillId="0" borderId="28" xfId="11" applyNumberFormat="1" applyFont="1" applyBorder="1" applyAlignment="1">
      <alignment horizontal="right" vertical="center" shrinkToFit="1"/>
    </xf>
    <xf numFmtId="187" fontId="64" fillId="0" borderId="28" xfId="11" applyNumberFormat="1" applyFont="1" applyBorder="1" applyAlignment="1">
      <alignment horizontal="center" vertical="center" shrinkToFit="1"/>
    </xf>
    <xf numFmtId="41" fontId="24" fillId="0" borderId="37" xfId="0" applyNumberFormat="1" applyFont="1" applyBorder="1" applyAlignment="1">
      <alignment vertical="center" shrinkToFit="1"/>
    </xf>
    <xf numFmtId="41" fontId="24" fillId="17" borderId="140" xfId="0" applyNumberFormat="1" applyFont="1" applyFill="1" applyBorder="1" applyAlignment="1">
      <alignment vertical="center" shrinkToFit="1"/>
    </xf>
    <xf numFmtId="41" fontId="24" fillId="16" borderId="140" xfId="0" applyNumberFormat="1" applyFont="1" applyFill="1" applyBorder="1" applyAlignment="1">
      <alignment vertical="center" shrinkToFit="1"/>
    </xf>
    <xf numFmtId="41" fontId="24" fillId="17" borderId="27" xfId="0" applyNumberFormat="1" applyFont="1" applyFill="1" applyBorder="1" applyAlignment="1">
      <alignment vertical="center" shrinkToFit="1"/>
    </xf>
    <xf numFmtId="41" fontId="24" fillId="16" borderId="27" xfId="0" applyNumberFormat="1" applyFont="1" applyFill="1" applyBorder="1" applyAlignment="1">
      <alignment vertical="center" shrinkToFit="1"/>
    </xf>
    <xf numFmtId="187" fontId="64" fillId="0" borderId="27" xfId="0" applyNumberFormat="1" applyFont="1" applyBorder="1" applyAlignment="1">
      <alignment horizontal="right" vertical="center" shrinkToFit="1"/>
    </xf>
    <xf numFmtId="187" fontId="64" fillId="0" borderId="27" xfId="0" applyNumberFormat="1" applyFont="1" applyBorder="1" applyAlignment="1">
      <alignment horizontal="center" vertical="center" shrinkToFit="1"/>
    </xf>
    <xf numFmtId="41" fontId="64" fillId="27" borderId="27" xfId="0" applyNumberFormat="1" applyFont="1" applyFill="1" applyBorder="1" applyAlignment="1">
      <alignment horizontal="center" vertical="center" shrinkToFit="1"/>
    </xf>
    <xf numFmtId="180" fontId="72" fillId="25" borderId="116" xfId="0" applyNumberFormat="1" applyFont="1" applyFill="1" applyBorder="1" applyAlignment="1">
      <alignment vertical="center" shrinkToFit="1"/>
    </xf>
    <xf numFmtId="41" fontId="24" fillId="17" borderId="26" xfId="0" applyNumberFormat="1" applyFont="1" applyFill="1" applyBorder="1" applyAlignment="1">
      <alignment vertical="center" shrinkToFit="1"/>
    </xf>
    <xf numFmtId="41" fontId="24" fillId="16" borderId="26" xfId="0" applyNumberFormat="1" applyFont="1" applyFill="1" applyBorder="1" applyAlignment="1">
      <alignment vertical="center" shrinkToFit="1"/>
    </xf>
    <xf numFmtId="187" fontId="64" fillId="0" borderId="26" xfId="0" applyNumberFormat="1" applyFont="1" applyBorder="1" applyAlignment="1">
      <alignment horizontal="right" vertical="center" shrinkToFit="1"/>
    </xf>
    <xf numFmtId="187" fontId="64" fillId="0" borderId="26" xfId="0" applyNumberFormat="1" applyFont="1" applyBorder="1" applyAlignment="1">
      <alignment horizontal="center" vertical="center" shrinkToFit="1"/>
    </xf>
    <xf numFmtId="41" fontId="64" fillId="0" borderId="26" xfId="0" applyNumberFormat="1" applyFont="1" applyBorder="1" applyAlignment="1">
      <alignment horizontal="center" vertical="center" shrinkToFit="1"/>
    </xf>
    <xf numFmtId="191" fontId="71" fillId="24" borderId="140" xfId="0" applyNumberFormat="1" applyFont="1" applyFill="1" applyBorder="1" applyAlignment="1">
      <alignment horizontal="right" vertical="center" shrinkToFit="1"/>
    </xf>
    <xf numFmtId="180" fontId="72" fillId="25" borderId="156" xfId="0" applyNumberFormat="1" applyFont="1" applyFill="1" applyBorder="1" applyAlignment="1">
      <alignment vertical="center" shrinkToFit="1"/>
    </xf>
    <xf numFmtId="180" fontId="72" fillId="25" borderId="178" xfId="0" applyNumberFormat="1" applyFont="1" applyFill="1" applyBorder="1" applyAlignment="1">
      <alignment vertical="center" shrinkToFit="1"/>
    </xf>
    <xf numFmtId="41" fontId="24" fillId="17" borderId="167" xfId="0" applyNumberFormat="1" applyFont="1" applyFill="1" applyBorder="1" applyAlignment="1">
      <alignment vertical="center" shrinkToFit="1"/>
    </xf>
    <xf numFmtId="41" fontId="24" fillId="16" borderId="167" xfId="0" applyNumberFormat="1" applyFont="1" applyFill="1" applyBorder="1" applyAlignment="1">
      <alignment vertical="center" shrinkToFit="1"/>
    </xf>
    <xf numFmtId="191" fontId="64" fillId="24" borderId="201" xfId="0" applyNumberFormat="1" applyFont="1" applyFill="1" applyBorder="1" applyAlignment="1">
      <alignment horizontal="right" vertical="center" shrinkToFit="1"/>
    </xf>
    <xf numFmtId="191" fontId="64" fillId="24" borderId="6" xfId="0" applyNumberFormat="1" applyFont="1" applyFill="1" applyBorder="1" applyAlignment="1">
      <alignment horizontal="right" vertical="center" shrinkToFit="1"/>
    </xf>
    <xf numFmtId="41" fontId="64" fillId="20" borderId="158" xfId="0" applyNumberFormat="1" applyFont="1" applyFill="1" applyBorder="1" applyAlignment="1">
      <alignment horizontal="center" vertical="center" shrinkToFit="1"/>
    </xf>
    <xf numFmtId="0" fontId="60" fillId="0" borderId="429" xfId="0" applyFont="1" applyBorder="1" applyAlignment="1">
      <alignment vertical="center" shrinkToFit="1"/>
    </xf>
    <xf numFmtId="0" fontId="60" fillId="0" borderId="720" xfId="0" applyFont="1" applyBorder="1" applyAlignment="1">
      <alignment vertical="center" shrinkToFit="1"/>
    </xf>
    <xf numFmtId="0" fontId="64" fillId="0" borderId="718" xfId="11" applyFont="1" applyBorder="1" applyAlignment="1">
      <alignment horizontal="center" vertical="center" shrinkToFit="1"/>
    </xf>
    <xf numFmtId="187" fontId="64" fillId="0" borderId="50" xfId="11" applyNumberFormat="1" applyFont="1" applyBorder="1" applyAlignment="1">
      <alignment horizontal="right" vertical="center" shrinkToFit="1"/>
    </xf>
    <xf numFmtId="41" fontId="24" fillId="0" borderId="722" xfId="0" applyNumberFormat="1" applyFont="1" applyBorder="1" applyAlignment="1">
      <alignment vertical="center" shrinkToFit="1"/>
    </xf>
    <xf numFmtId="41" fontId="64" fillId="0" borderId="660" xfId="0" applyNumberFormat="1" applyFont="1" applyBorder="1" applyAlignment="1">
      <alignment horizontal="right" vertical="center" shrinkToFit="1"/>
    </xf>
    <xf numFmtId="0" fontId="64" fillId="0" borderId="41" xfId="11" applyFont="1" applyBorder="1" applyAlignment="1">
      <alignment horizontal="center" vertical="center" shrinkToFit="1"/>
    </xf>
    <xf numFmtId="38" fontId="64" fillId="0" borderId="26" xfId="1" applyFont="1" applyBorder="1" applyAlignment="1">
      <alignment horizontal="right" vertical="center" shrinkToFit="1"/>
    </xf>
    <xf numFmtId="41" fontId="24" fillId="17" borderId="124" xfId="0" applyNumberFormat="1" applyFont="1" applyFill="1" applyBorder="1" applyAlignment="1">
      <alignment vertical="center" shrinkToFit="1"/>
    </xf>
    <xf numFmtId="41" fontId="24" fillId="16" borderId="124" xfId="0" applyNumberFormat="1" applyFont="1" applyFill="1" applyBorder="1" applyAlignment="1">
      <alignment vertical="center" shrinkToFit="1"/>
    </xf>
    <xf numFmtId="0" fontId="64" fillId="0" borderId="178" xfId="11" applyFont="1" applyBorder="1" applyAlignment="1">
      <alignment horizontal="center" vertical="center" shrinkToFit="1"/>
    </xf>
    <xf numFmtId="0" fontId="64" fillId="0" borderId="116" xfId="11" applyFont="1" applyBorder="1" applyAlignment="1">
      <alignment horizontal="center" vertical="center" shrinkToFit="1"/>
    </xf>
    <xf numFmtId="0" fontId="64" fillId="0" borderId="38" xfId="11" applyFont="1" applyBorder="1" applyAlignment="1">
      <alignment horizontal="center" vertical="center" shrinkToFit="1"/>
    </xf>
    <xf numFmtId="187" fontId="64" fillId="0" borderId="27" xfId="0" applyNumberFormat="1" applyFont="1" applyBorder="1" applyAlignment="1">
      <alignment horizontal="center" vertical="center" wrapText="1" shrinkToFit="1"/>
    </xf>
    <xf numFmtId="187" fontId="64" fillId="0" borderId="26" xfId="0" applyNumberFormat="1" applyFont="1" applyBorder="1" applyAlignment="1">
      <alignment horizontal="center" vertical="center" wrapText="1" shrinkToFit="1"/>
    </xf>
    <xf numFmtId="187" fontId="64" fillId="0" borderId="28" xfId="0" applyNumberFormat="1" applyFont="1" applyBorder="1" applyAlignment="1">
      <alignment horizontal="center" vertical="center" wrapText="1" shrinkToFit="1"/>
    </xf>
    <xf numFmtId="187" fontId="64" fillId="0" borderId="50" xfId="0" applyNumberFormat="1" applyFont="1" applyBorder="1" applyAlignment="1">
      <alignment horizontal="center" vertical="center" wrapText="1" shrinkToFit="1"/>
    </xf>
    <xf numFmtId="41" fontId="24" fillId="0" borderId="117" xfId="0" applyNumberFormat="1" applyFont="1" applyBorder="1" applyAlignment="1">
      <alignment vertical="center" shrinkToFit="1"/>
    </xf>
    <xf numFmtId="41" fontId="24" fillId="0" borderId="116" xfId="0" applyNumberFormat="1" applyFont="1" applyBorder="1" applyAlignment="1">
      <alignment horizontal="center" vertical="center" shrinkToFit="1"/>
    </xf>
    <xf numFmtId="41" fontId="24" fillId="17" borderId="50" xfId="0" applyNumberFormat="1" applyFont="1" applyFill="1" applyBorder="1" applyAlignment="1">
      <alignment vertical="center" shrinkToFit="1"/>
    </xf>
    <xf numFmtId="41" fontId="24" fillId="16" borderId="50" xfId="0" applyNumberFormat="1" applyFont="1" applyFill="1" applyBorder="1" applyAlignment="1">
      <alignment vertical="center" shrinkToFit="1"/>
    </xf>
    <xf numFmtId="0" fontId="64" fillId="0" borderId="247" xfId="11" applyFont="1" applyBorder="1" applyAlignment="1">
      <alignment horizontal="center" vertical="center" shrinkToFit="1"/>
    </xf>
    <xf numFmtId="0" fontId="64" fillId="0" borderId="723" xfId="11" applyFont="1" applyBorder="1" applyAlignment="1">
      <alignment horizontal="center" vertical="center" shrinkToFit="1"/>
    </xf>
    <xf numFmtId="187" fontId="64" fillId="0" borderId="241" xfId="1" applyNumberFormat="1" applyFont="1" applyBorder="1" applyAlignment="1">
      <alignment horizontal="right" vertical="center" shrinkToFit="1"/>
    </xf>
    <xf numFmtId="187" fontId="64" fillId="0" borderId="241" xfId="11" applyNumberFormat="1" applyFont="1" applyBorder="1" applyAlignment="1">
      <alignment horizontal="right" vertical="center" shrinkToFit="1"/>
    </xf>
    <xf numFmtId="187" fontId="64" fillId="0" borderId="241" xfId="11" applyNumberFormat="1" applyFont="1" applyBorder="1" applyAlignment="1">
      <alignment horizontal="center" vertical="center" shrinkToFit="1"/>
    </xf>
    <xf numFmtId="197" fontId="65" fillId="12" borderId="106" xfId="12" applyNumberFormat="1" applyFont="1" applyFill="1" applyBorder="1" applyAlignment="1">
      <alignment horizontal="right" vertical="center"/>
    </xf>
    <xf numFmtId="0" fontId="64" fillId="0" borderId="93" xfId="0" applyFont="1" applyBorder="1" applyAlignment="1">
      <alignment horizontal="right" vertical="center" shrinkToFit="1"/>
    </xf>
    <xf numFmtId="190" fontId="72" fillId="0" borderId="84" xfId="0" applyNumberFormat="1" applyFont="1" applyBorder="1" applyAlignment="1">
      <alignment horizontal="right" vertical="center" shrinkToFit="1"/>
    </xf>
    <xf numFmtId="41" fontId="72" fillId="20" borderId="0" xfId="0" applyNumberFormat="1" applyFont="1" applyFill="1" applyAlignment="1">
      <alignment horizontal="center" vertical="center" shrinkToFit="1"/>
    </xf>
    <xf numFmtId="197" fontId="65" fillId="12" borderId="7" xfId="12" applyNumberFormat="1" applyFont="1" applyFill="1" applyBorder="1" applyAlignment="1">
      <alignment horizontal="right" vertical="center"/>
    </xf>
    <xf numFmtId="197" fontId="65" fillId="12" borderId="98" xfId="12" applyNumberFormat="1" applyFont="1" applyFill="1" applyBorder="1" applyAlignment="1">
      <alignment horizontal="right" vertical="center"/>
    </xf>
    <xf numFmtId="197" fontId="65" fillId="12" borderId="246" xfId="12" applyNumberFormat="1" applyFont="1" applyFill="1" applyBorder="1" applyAlignment="1">
      <alignment horizontal="right" vertical="center"/>
    </xf>
    <xf numFmtId="190" fontId="64" fillId="24" borderId="0" xfId="0" applyNumberFormat="1" applyFont="1" applyFill="1" applyAlignment="1">
      <alignment horizontal="right" vertical="center" shrinkToFit="1"/>
    </xf>
    <xf numFmtId="0" fontId="76" fillId="20" borderId="0" xfId="0" applyFont="1" applyFill="1" applyAlignment="1">
      <alignment horizontal="center" vertical="center" shrinkToFit="1"/>
    </xf>
    <xf numFmtId="14" fontId="43" fillId="0" borderId="0" xfId="13" applyNumberFormat="1" applyFont="1" applyAlignment="1">
      <alignment horizontal="center" vertical="center"/>
    </xf>
    <xf numFmtId="14" fontId="64" fillId="20" borderId="0" xfId="0" applyNumberFormat="1" applyFont="1" applyFill="1" applyAlignment="1">
      <alignment horizontal="center" vertical="center" shrinkToFit="1"/>
    </xf>
    <xf numFmtId="14" fontId="72" fillId="20" borderId="0" xfId="0" applyNumberFormat="1" applyFont="1" applyFill="1" applyAlignment="1">
      <alignment horizontal="center" vertical="center" shrinkToFit="1"/>
    </xf>
    <xf numFmtId="14" fontId="64" fillId="0" borderId="0" xfId="0" applyNumberFormat="1" applyFont="1" applyAlignment="1">
      <alignment horizontal="center" vertical="center" shrinkToFit="1"/>
    </xf>
    <xf numFmtId="14" fontId="77" fillId="20" borderId="0" xfId="0" applyNumberFormat="1" applyFont="1" applyFill="1" applyAlignment="1">
      <alignment horizontal="center" vertical="center" shrinkToFit="1"/>
    </xf>
    <xf numFmtId="14" fontId="60" fillId="20" borderId="0" xfId="0" applyNumberFormat="1" applyFont="1" applyFill="1" applyAlignment="1">
      <alignment horizontal="center" vertical="center" shrinkToFit="1"/>
    </xf>
    <xf numFmtId="41" fontId="24" fillId="6" borderId="26" xfId="0" applyNumberFormat="1" applyFont="1" applyFill="1" applyBorder="1" applyAlignment="1">
      <alignment vertical="center" shrinkToFit="1"/>
    </xf>
    <xf numFmtId="41" fontId="64" fillId="0" borderId="0" xfId="0" applyNumberFormat="1" applyFont="1" applyAlignment="1">
      <alignment horizontal="center" vertical="center" shrinkToFit="1"/>
    </xf>
    <xf numFmtId="14" fontId="64" fillId="0" borderId="78" xfId="0" applyNumberFormat="1" applyFont="1" applyBorder="1" applyAlignment="1">
      <alignment horizontal="center" vertical="center" shrinkToFit="1"/>
    </xf>
    <xf numFmtId="41" fontId="64" fillId="0" borderId="78" xfId="0" applyNumberFormat="1" applyFont="1" applyBorder="1" applyAlignment="1">
      <alignment horizontal="center" vertical="center" shrinkToFit="1"/>
    </xf>
    <xf numFmtId="14" fontId="64" fillId="0" borderId="101" xfId="0" applyNumberFormat="1" applyFont="1" applyBorder="1" applyAlignment="1">
      <alignment horizontal="center" vertical="center" shrinkToFit="1"/>
    </xf>
    <xf numFmtId="41" fontId="64" fillId="0" borderId="101" xfId="0" applyNumberFormat="1" applyFont="1" applyBorder="1" applyAlignment="1">
      <alignment horizontal="center" vertical="center" shrinkToFit="1"/>
    </xf>
    <xf numFmtId="14" fontId="64" fillId="0" borderId="41" xfId="0" applyNumberFormat="1" applyFont="1" applyBorder="1" applyAlignment="1">
      <alignment horizontal="center" vertical="center" shrinkToFit="1"/>
    </xf>
    <xf numFmtId="41" fontId="64" fillId="0" borderId="41" xfId="0" applyNumberFormat="1" applyFont="1" applyBorder="1" applyAlignment="1">
      <alignment horizontal="center" vertical="center" shrinkToFit="1"/>
    </xf>
    <xf numFmtId="14" fontId="64" fillId="0" borderId="194" xfId="0" applyNumberFormat="1" applyFont="1" applyBorder="1" applyAlignment="1">
      <alignment horizontal="center" vertical="center" shrinkToFit="1"/>
    </xf>
    <xf numFmtId="14" fontId="64" fillId="0" borderId="74" xfId="0" applyNumberFormat="1" applyFont="1" applyBorder="1" applyAlignment="1">
      <alignment horizontal="center" vertical="center" shrinkToFit="1"/>
    </xf>
    <xf numFmtId="14" fontId="64" fillId="0" borderId="719" xfId="0" applyNumberFormat="1" applyFont="1" applyBorder="1" applyAlignment="1">
      <alignment horizontal="center" vertical="center" shrinkToFit="1"/>
    </xf>
    <xf numFmtId="41" fontId="64" fillId="0" borderId="719" xfId="0" applyNumberFormat="1" applyFont="1" applyBorder="1" applyAlignment="1">
      <alignment horizontal="center" vertical="center" shrinkToFit="1"/>
    </xf>
    <xf numFmtId="14" fontId="64" fillId="0" borderId="721" xfId="0" applyNumberFormat="1" applyFont="1" applyBorder="1" applyAlignment="1">
      <alignment horizontal="center" vertical="center" shrinkToFit="1"/>
    </xf>
    <xf numFmtId="14" fontId="64" fillId="0" borderId="723" xfId="0" applyNumberFormat="1" applyFont="1" applyBorder="1" applyAlignment="1">
      <alignment horizontal="center" vertical="center" shrinkToFit="1"/>
    </xf>
    <xf numFmtId="41" fontId="64" fillId="0" borderId="723" xfId="0" applyNumberFormat="1" applyFont="1" applyBorder="1" applyAlignment="1">
      <alignment horizontal="center" vertical="center" shrinkToFit="1"/>
    </xf>
    <xf numFmtId="14" fontId="80" fillId="6" borderId="194" xfId="0" applyNumberFormat="1" applyFont="1" applyFill="1" applyBorder="1" applyAlignment="1">
      <alignment horizontal="center" vertical="center" shrinkToFit="1"/>
    </xf>
    <xf numFmtId="41" fontId="80" fillId="6" borderId="0" xfId="0" applyNumberFormat="1" applyFont="1" applyFill="1" applyAlignment="1">
      <alignment horizontal="center" vertical="center" shrinkToFit="1"/>
    </xf>
    <xf numFmtId="0" fontId="41" fillId="40" borderId="5" xfId="0" applyFont="1" applyFill="1" applyBorder="1">
      <alignment vertical="center"/>
    </xf>
    <xf numFmtId="181" fontId="41" fillId="40" borderId="5" xfId="0" applyNumberFormat="1" applyFont="1" applyFill="1" applyBorder="1">
      <alignment vertical="center"/>
    </xf>
    <xf numFmtId="207" fontId="0" fillId="40" borderId="5" xfId="0" applyNumberFormat="1" applyFill="1" applyBorder="1">
      <alignment vertical="center"/>
    </xf>
    <xf numFmtId="181" fontId="152" fillId="40" borderId="5" xfId="0" applyNumberFormat="1" applyFont="1" applyFill="1" applyBorder="1">
      <alignment vertical="center"/>
    </xf>
    <xf numFmtId="0" fontId="41" fillId="40" borderId="715" xfId="0" applyFont="1" applyFill="1" applyBorder="1">
      <alignment vertical="center"/>
    </xf>
    <xf numFmtId="181" fontId="41" fillId="40" borderId="715" xfId="0" applyNumberFormat="1" applyFont="1" applyFill="1" applyBorder="1">
      <alignment vertical="center"/>
    </xf>
    <xf numFmtId="0" fontId="0" fillId="40" borderId="715" xfId="0" applyFill="1" applyBorder="1">
      <alignment vertical="center"/>
    </xf>
    <xf numFmtId="181" fontId="66" fillId="40" borderId="715" xfId="0" applyNumberFormat="1" applyFont="1" applyFill="1" applyBorder="1">
      <alignment vertical="center"/>
    </xf>
    <xf numFmtId="0" fontId="41" fillId="6" borderId="0" xfId="0" applyFont="1" applyFill="1">
      <alignment vertical="center"/>
    </xf>
    <xf numFmtId="0" fontId="164" fillId="6" borderId="0" xfId="0" applyFont="1" applyFill="1">
      <alignment vertical="center"/>
    </xf>
    <xf numFmtId="0" fontId="0" fillId="32" borderId="0" xfId="0" applyFill="1">
      <alignment vertical="center"/>
    </xf>
    <xf numFmtId="38" fontId="15" fillId="46" borderId="0" xfId="1" applyFont="1" applyFill="1" applyAlignment="1">
      <alignment vertical="center" wrapText="1"/>
    </xf>
    <xf numFmtId="0" fontId="52" fillId="0" borderId="0" xfId="0" applyFont="1" applyAlignment="1">
      <alignment vertical="center" wrapText="1"/>
    </xf>
    <xf numFmtId="0" fontId="87" fillId="6" borderId="8" xfId="1" applyNumberFormat="1" applyFont="1" applyFill="1" applyBorder="1" applyAlignment="1">
      <alignment horizontal="center" vertical="center" shrinkToFit="1"/>
    </xf>
    <xf numFmtId="0" fontId="45" fillId="6" borderId="8" xfId="1" applyNumberFormat="1" applyFont="1" applyFill="1" applyBorder="1" applyAlignment="1">
      <alignment horizontal="center" vertical="center" shrinkToFit="1"/>
    </xf>
    <xf numFmtId="0" fontId="166" fillId="6" borderId="26" xfId="1" applyNumberFormat="1" applyFont="1" applyFill="1" applyBorder="1" applyAlignment="1">
      <alignment horizontal="left" vertical="center" shrinkToFit="1"/>
    </xf>
    <xf numFmtId="181" fontId="78" fillId="47" borderId="0" xfId="0" applyNumberFormat="1" applyFont="1" applyFill="1">
      <alignment vertical="center"/>
    </xf>
    <xf numFmtId="181" fontId="78" fillId="47" borderId="0" xfId="0" applyNumberFormat="1" applyFont="1" applyFill="1" applyAlignment="1">
      <alignment vertical="center" wrapText="1"/>
    </xf>
    <xf numFmtId="38" fontId="78" fillId="47" borderId="0" xfId="1" applyFont="1" applyFill="1">
      <alignment vertical="center"/>
    </xf>
    <xf numFmtId="0" fontId="28" fillId="42" borderId="1" xfId="0" applyFont="1" applyFill="1" applyBorder="1" applyAlignment="1">
      <alignment horizontal="center" vertical="center"/>
    </xf>
    <xf numFmtId="38" fontId="43" fillId="0" borderId="724" xfId="1" applyFont="1" applyFill="1" applyBorder="1" applyAlignment="1">
      <alignment horizontal="center" vertical="center" shrinkToFit="1"/>
    </xf>
    <xf numFmtId="38" fontId="36" fillId="0" borderId="725" xfId="1" applyFont="1" applyFill="1" applyBorder="1" applyAlignment="1">
      <alignment horizontal="center" vertical="center" wrapText="1" shrinkToFit="1"/>
    </xf>
    <xf numFmtId="38" fontId="36" fillId="0" borderId="726" xfId="1" applyFont="1" applyFill="1" applyBorder="1" applyAlignment="1">
      <alignment horizontal="center" vertical="center" wrapText="1" shrinkToFit="1"/>
    </xf>
    <xf numFmtId="38" fontId="36" fillId="19" borderId="726" xfId="1" applyFont="1" applyFill="1" applyBorder="1" applyAlignment="1">
      <alignment horizontal="center" vertical="center" wrapText="1" shrinkToFit="1"/>
    </xf>
    <xf numFmtId="38" fontId="36" fillId="0" borderId="727" xfId="1" applyFont="1" applyFill="1" applyBorder="1" applyAlignment="1">
      <alignment horizontal="center" vertical="center" wrapText="1" shrinkToFit="1"/>
    </xf>
    <xf numFmtId="38" fontId="88" fillId="0" borderId="301" xfId="1" applyFont="1" applyFill="1" applyBorder="1" applyAlignment="1">
      <alignment horizontal="center" vertical="center" shrinkToFit="1"/>
    </xf>
    <xf numFmtId="38" fontId="43" fillId="0" borderId="301" xfId="1" applyFont="1" applyFill="1" applyBorder="1" applyAlignment="1">
      <alignment horizontal="center" vertical="center" shrinkToFit="1"/>
    </xf>
    <xf numFmtId="38" fontId="43" fillId="0" borderId="280" xfId="1" applyFont="1" applyFill="1" applyBorder="1" applyAlignment="1">
      <alignment horizontal="center" vertical="center" shrinkToFit="1"/>
    </xf>
    <xf numFmtId="0" fontId="43" fillId="0" borderId="302" xfId="1" applyNumberFormat="1" applyFont="1" applyFill="1" applyBorder="1" applyAlignment="1">
      <alignment horizontal="center" vertical="center" shrinkToFit="1"/>
    </xf>
    <xf numFmtId="0" fontId="43" fillId="0" borderId="303" xfId="1" applyNumberFormat="1" applyFont="1" applyFill="1" applyBorder="1" applyAlignment="1">
      <alignment horizontal="center" vertical="center" shrinkToFit="1"/>
    </xf>
    <xf numFmtId="0" fontId="43" fillId="0" borderId="304" xfId="1" applyNumberFormat="1" applyFont="1" applyFill="1" applyBorder="1" applyAlignment="1">
      <alignment horizontal="center" vertical="center" shrinkToFit="1"/>
    </xf>
    <xf numFmtId="38" fontId="43" fillId="0" borderId="26" xfId="1" applyFont="1" applyFill="1" applyBorder="1" applyAlignment="1">
      <alignment horizontal="left" vertical="center" shrinkToFit="1"/>
    </xf>
    <xf numFmtId="38" fontId="88" fillId="0" borderId="318" xfId="1" applyFont="1" applyFill="1" applyBorder="1" applyAlignment="1">
      <alignment horizontal="center" vertical="center" shrinkToFit="1"/>
    </xf>
    <xf numFmtId="38" fontId="88" fillId="0" borderId="41" xfId="1" applyFont="1" applyFill="1" applyBorder="1" applyAlignment="1">
      <alignment horizontal="center" vertical="center" shrinkToFit="1"/>
    </xf>
    <xf numFmtId="0" fontId="88" fillId="32" borderId="40" xfId="1" applyNumberFormat="1" applyFont="1" applyFill="1" applyBorder="1" applyAlignment="1">
      <alignment horizontal="center" vertical="center" shrinkToFit="1"/>
    </xf>
    <xf numFmtId="0" fontId="88" fillId="32" borderId="580" xfId="1" applyNumberFormat="1" applyFont="1" applyFill="1" applyBorder="1" applyAlignment="1">
      <alignment horizontal="center" vertical="center" shrinkToFit="1"/>
    </xf>
    <xf numFmtId="0" fontId="88" fillId="32" borderId="585" xfId="1" applyNumberFormat="1" applyFont="1" applyFill="1" applyBorder="1" applyAlignment="1">
      <alignment horizontal="center" vertical="center" shrinkToFit="1"/>
    </xf>
    <xf numFmtId="38" fontId="45" fillId="0" borderId="728" xfId="1" applyFont="1" applyFill="1" applyBorder="1" applyAlignment="1">
      <alignment horizontal="center" vertical="center" shrinkToFit="1"/>
    </xf>
    <xf numFmtId="0" fontId="88" fillId="6" borderId="729" xfId="1" applyNumberFormat="1" applyFont="1" applyFill="1" applyBorder="1" applyAlignment="1">
      <alignment horizontal="center" vertical="center" shrinkToFit="1"/>
    </xf>
    <xf numFmtId="0" fontId="87" fillId="0" borderId="730" xfId="1" applyNumberFormat="1" applyFont="1" applyFill="1" applyBorder="1" applyAlignment="1">
      <alignment horizontal="center" vertical="center" shrinkToFit="1"/>
    </xf>
    <xf numFmtId="38" fontId="45" fillId="0" borderId="731" xfId="1" applyFont="1" applyFill="1" applyBorder="1" applyAlignment="1">
      <alignment horizontal="center" vertical="center" shrinkToFit="1"/>
    </xf>
    <xf numFmtId="38" fontId="96" fillId="0" borderId="732" xfId="1" applyFont="1" applyFill="1" applyBorder="1" applyAlignment="1">
      <alignment horizontal="center" vertical="center" wrapText="1" shrinkToFit="1"/>
    </xf>
    <xf numFmtId="38" fontId="96" fillId="0" borderId="733" xfId="1" applyFont="1" applyFill="1" applyBorder="1" applyAlignment="1">
      <alignment horizontal="center" vertical="center" wrapText="1" shrinkToFit="1"/>
    </xf>
    <xf numFmtId="38" fontId="96" fillId="19" borderId="733" xfId="1" applyFont="1" applyFill="1" applyBorder="1" applyAlignment="1">
      <alignment horizontal="center" vertical="center" wrapText="1" shrinkToFit="1"/>
    </xf>
    <xf numFmtId="38" fontId="96" fillId="0" borderId="734" xfId="1" applyFont="1" applyFill="1" applyBorder="1" applyAlignment="1">
      <alignment horizontal="center" vertical="center" wrapText="1" shrinkToFit="1"/>
    </xf>
    <xf numFmtId="38" fontId="45" fillId="0" borderId="735" xfId="1" applyFont="1" applyFill="1" applyBorder="1" applyAlignment="1">
      <alignment horizontal="center" vertical="center" shrinkToFit="1"/>
    </xf>
    <xf numFmtId="38" fontId="96" fillId="0" borderId="736" xfId="1" applyFont="1" applyFill="1" applyBorder="1" applyAlignment="1">
      <alignment horizontal="center" vertical="center" wrapText="1" shrinkToFit="1"/>
    </xf>
    <xf numFmtId="38" fontId="88" fillId="0" borderId="737" xfId="1" applyFont="1" applyFill="1" applyBorder="1" applyAlignment="1">
      <alignment horizontal="center" vertical="center" shrinkToFit="1"/>
    </xf>
    <xf numFmtId="9" fontId="45" fillId="0" borderId="730" xfId="10" applyFont="1" applyFill="1" applyBorder="1" applyAlignment="1">
      <alignment horizontal="center" vertical="center" shrinkToFit="1"/>
    </xf>
    <xf numFmtId="38" fontId="45" fillId="0" borderId="471" xfId="1" applyFont="1" applyFill="1" applyBorder="1" applyAlignment="1">
      <alignment horizontal="center" vertical="center" shrinkToFit="1"/>
    </xf>
    <xf numFmtId="38" fontId="45" fillId="0" borderId="730" xfId="1" applyFont="1" applyFill="1" applyBorder="1" applyAlignment="1">
      <alignment horizontal="center" vertical="center" shrinkToFit="1"/>
    </xf>
    <xf numFmtId="0" fontId="45" fillId="0" borderId="738" xfId="1" applyNumberFormat="1" applyFont="1" applyFill="1" applyBorder="1" applyAlignment="1">
      <alignment horizontal="center" vertical="center" shrinkToFit="1"/>
    </xf>
    <xf numFmtId="0" fontId="45" fillId="0" borderId="739" xfId="1" applyNumberFormat="1" applyFont="1" applyFill="1" applyBorder="1" applyAlignment="1">
      <alignment horizontal="center" vertical="center" shrinkToFit="1"/>
    </xf>
    <xf numFmtId="0" fontId="45" fillId="0" borderId="740" xfId="1" applyNumberFormat="1" applyFont="1" applyFill="1" applyBorder="1" applyAlignment="1">
      <alignment horizontal="center" vertical="center" shrinkToFit="1"/>
    </xf>
    <xf numFmtId="0" fontId="88" fillId="6" borderId="741" xfId="0" applyFont="1" applyFill="1" applyBorder="1" applyAlignment="1">
      <alignment horizontal="center" vertical="center" shrinkToFit="1"/>
    </xf>
    <xf numFmtId="0" fontId="45" fillId="0" borderId="742" xfId="13" applyFont="1" applyBorder="1" applyAlignment="1">
      <alignment vertical="center" shrinkToFit="1"/>
    </xf>
    <xf numFmtId="0" fontId="45" fillId="0" borderId="743" xfId="13" applyFont="1" applyBorder="1" applyAlignment="1">
      <alignment horizontal="center" vertical="center" shrinkToFit="1"/>
    </xf>
    <xf numFmtId="38" fontId="45" fillId="0" borderId="743" xfId="1" applyFont="1" applyFill="1" applyBorder="1" applyAlignment="1">
      <alignment horizontal="left" vertical="center" shrinkToFit="1"/>
    </xf>
    <xf numFmtId="38" fontId="96" fillId="0" borderId="744" xfId="1" applyFont="1" applyFill="1" applyBorder="1" applyAlignment="1">
      <alignment horizontal="center" vertical="center" wrapText="1" shrinkToFit="1"/>
    </xf>
    <xf numFmtId="38" fontId="96" fillId="0" borderId="745" xfId="1" applyFont="1" applyFill="1" applyBorder="1" applyAlignment="1">
      <alignment horizontal="center" vertical="center" wrapText="1" shrinkToFit="1"/>
    </xf>
    <xf numFmtId="38" fontId="45" fillId="9" borderId="391" xfId="1" applyFont="1" applyFill="1" applyBorder="1" applyAlignment="1">
      <alignment horizontal="center" vertical="center" shrinkToFit="1"/>
    </xf>
    <xf numFmtId="38" fontId="88" fillId="0" borderId="8" xfId="1" applyFont="1" applyFill="1" applyBorder="1" applyAlignment="1">
      <alignment horizontal="center" vertical="center" shrinkToFit="1"/>
    </xf>
    <xf numFmtId="38" fontId="45" fillId="0" borderId="8" xfId="1" applyFont="1" applyFill="1" applyBorder="1" applyAlignment="1">
      <alignment horizontal="left" vertical="center" shrinkToFit="1"/>
    </xf>
    <xf numFmtId="199" fontId="87" fillId="0" borderId="746" xfId="1" applyNumberFormat="1" applyFont="1" applyFill="1" applyBorder="1" applyAlignment="1">
      <alignment horizontal="center" vertical="center" shrinkToFit="1"/>
    </xf>
    <xf numFmtId="0" fontId="87" fillId="32" borderId="8" xfId="1" applyNumberFormat="1" applyFont="1" applyFill="1" applyBorder="1" applyAlignment="1">
      <alignment horizontal="center" vertical="center" shrinkToFit="1"/>
    </xf>
    <xf numFmtId="0" fontId="45" fillId="16" borderId="747" xfId="13" applyFont="1" applyFill="1" applyBorder="1" applyAlignment="1">
      <alignment horizontal="center" vertical="center" shrinkToFit="1"/>
    </xf>
    <xf numFmtId="0" fontId="45" fillId="16" borderId="748" xfId="13" applyFont="1" applyFill="1" applyBorder="1" applyAlignment="1">
      <alignment horizontal="center" vertical="center" wrapText="1" shrinkToFit="1"/>
    </xf>
    <xf numFmtId="0" fontId="45" fillId="16" borderId="749" xfId="13" applyFont="1" applyFill="1" applyBorder="1" applyAlignment="1">
      <alignment horizontal="center" vertical="center" wrapText="1" shrinkToFit="1"/>
    </xf>
    <xf numFmtId="0" fontId="43" fillId="16" borderId="750" xfId="0" applyFont="1" applyFill="1" applyBorder="1" applyAlignment="1">
      <alignment horizontal="center" vertical="center" shrinkToFit="1"/>
    </xf>
    <xf numFmtId="0" fontId="44" fillId="2" borderId="750" xfId="13" applyFont="1" applyFill="1" applyBorder="1" applyAlignment="1">
      <alignment horizontal="center" vertical="center" wrapText="1" shrinkToFit="1"/>
    </xf>
    <xf numFmtId="0" fontId="44" fillId="2" borderId="28" xfId="13" applyFont="1" applyFill="1" applyBorder="1" applyAlignment="1">
      <alignment horizontal="center" vertical="center" wrapText="1" shrinkToFit="1"/>
    </xf>
    <xf numFmtId="0" fontId="44" fillId="2" borderId="41" xfId="13" applyFont="1" applyFill="1" applyBorder="1" applyAlignment="1">
      <alignment horizontal="center" vertical="center" wrapText="1" shrinkToFit="1"/>
    </xf>
    <xf numFmtId="0" fontId="45" fillId="9" borderId="330" xfId="0" applyFont="1" applyFill="1" applyBorder="1" applyAlignment="1">
      <alignment horizontal="center" vertical="center" shrinkToFit="1"/>
    </xf>
    <xf numFmtId="0" fontId="45" fillId="9" borderId="41" xfId="1" applyNumberFormat="1" applyFont="1" applyFill="1" applyBorder="1" applyAlignment="1">
      <alignment horizontal="center" vertical="center" shrinkToFit="1"/>
    </xf>
    <xf numFmtId="38" fontId="45" fillId="9" borderId="330" xfId="1" applyFont="1" applyFill="1" applyBorder="1" applyAlignment="1">
      <alignment horizontal="center" vertical="center" shrinkToFit="1"/>
    </xf>
    <xf numFmtId="38" fontId="45" fillId="9" borderId="294" xfId="1" applyFont="1" applyFill="1" applyBorder="1" applyAlignment="1">
      <alignment horizontal="center" vertical="center" shrinkToFit="1"/>
    </xf>
    <xf numFmtId="38" fontId="45" fillId="9" borderId="748" xfId="1" applyFont="1" applyFill="1" applyBorder="1" applyAlignment="1">
      <alignment horizontal="center" vertical="center" shrinkToFit="1"/>
    </xf>
    <xf numFmtId="38" fontId="43" fillId="9" borderId="749" xfId="1" applyFont="1" applyFill="1" applyBorder="1" applyAlignment="1">
      <alignment horizontal="center" vertical="center" shrinkToFit="1"/>
    </xf>
    <xf numFmtId="38" fontId="43" fillId="9" borderId="751" xfId="1" applyFont="1" applyFill="1" applyBorder="1" applyAlignment="1">
      <alignment horizontal="center" vertical="center" shrinkToFit="1"/>
    </xf>
    <xf numFmtId="38" fontId="43" fillId="9" borderId="748" xfId="1" applyFont="1" applyFill="1" applyBorder="1" applyAlignment="1">
      <alignment horizontal="center" vertical="center" shrinkToFit="1"/>
    </xf>
    <xf numFmtId="38" fontId="43" fillId="9" borderId="750" xfId="1" applyFont="1" applyFill="1" applyBorder="1" applyAlignment="1">
      <alignment horizontal="center" vertical="center" shrinkToFit="1"/>
    </xf>
    <xf numFmtId="38" fontId="43" fillId="9" borderId="751" xfId="1" applyFont="1" applyFill="1" applyBorder="1" applyAlignment="1">
      <alignment horizontal="center" vertical="center" wrapText="1" shrinkToFit="1"/>
    </xf>
    <xf numFmtId="0" fontId="130" fillId="16" borderId="28" xfId="0" applyFont="1" applyFill="1" applyBorder="1" applyAlignment="1">
      <alignment horizontal="center" vertical="center" shrinkToFit="1"/>
    </xf>
    <xf numFmtId="38" fontId="43" fillId="9" borderId="42" xfId="1" applyFont="1" applyFill="1" applyBorder="1" applyAlignment="1">
      <alignment horizontal="center" vertical="center" wrapText="1" shrinkToFit="1"/>
    </xf>
    <xf numFmtId="0" fontId="45" fillId="0" borderId="752" xfId="13" applyFont="1" applyBorder="1" applyAlignment="1">
      <alignment horizontal="center" vertical="center" shrinkToFit="1"/>
    </xf>
    <xf numFmtId="0" fontId="45" fillId="0" borderId="753" xfId="13" applyFont="1" applyBorder="1" applyAlignment="1">
      <alignment horizontal="left" vertical="center" wrapText="1" shrinkToFit="1"/>
    </xf>
    <xf numFmtId="0" fontId="43" fillId="0" borderId="753" xfId="0" applyFont="1" applyBorder="1" applyAlignment="1">
      <alignment horizontal="center" vertical="center" shrinkToFit="1"/>
    </xf>
    <xf numFmtId="0" fontId="44" fillId="0" borderId="753" xfId="13" applyFont="1" applyBorder="1" applyAlignment="1">
      <alignment horizontal="center" vertical="center" shrinkToFit="1"/>
    </xf>
    <xf numFmtId="0" fontId="44" fillId="0" borderId="754" xfId="13" applyFont="1" applyBorder="1" applyAlignment="1">
      <alignment horizontal="center" vertical="center" shrinkToFit="1"/>
    </xf>
    <xf numFmtId="0" fontId="45" fillId="0" borderId="753" xfId="0" applyFont="1" applyBorder="1" applyAlignment="1">
      <alignment horizontal="center" vertical="center" shrinkToFit="1"/>
    </xf>
    <xf numFmtId="0" fontId="45" fillId="0" borderId="753" xfId="1" applyNumberFormat="1" applyFont="1" applyFill="1" applyBorder="1" applyAlignment="1">
      <alignment horizontal="center" vertical="center" shrinkToFit="1"/>
    </xf>
    <xf numFmtId="0" fontId="87" fillId="0" borderId="753" xfId="1" applyNumberFormat="1" applyFont="1" applyFill="1" applyBorder="1" applyAlignment="1">
      <alignment horizontal="center" vertical="center" shrinkToFit="1"/>
    </xf>
    <xf numFmtId="38" fontId="45" fillId="0" borderId="753" xfId="1" applyFont="1" applyFill="1" applyBorder="1" applyAlignment="1">
      <alignment horizontal="center" vertical="center" shrinkToFit="1"/>
    </xf>
    <xf numFmtId="38" fontId="44" fillId="0" borderId="753" xfId="1" applyFont="1" applyFill="1" applyBorder="1" applyAlignment="1">
      <alignment horizontal="center" vertical="center" shrinkToFit="1"/>
    </xf>
    <xf numFmtId="38" fontId="43" fillId="0" borderId="753" xfId="1" applyFont="1" applyFill="1" applyBorder="1" applyAlignment="1">
      <alignment horizontal="center" vertical="center" shrinkToFit="1"/>
    </xf>
    <xf numFmtId="38" fontId="43" fillId="9" borderId="753" xfId="1" applyFont="1" applyFill="1" applyBorder="1" applyAlignment="1">
      <alignment horizontal="center" vertical="center" shrinkToFit="1"/>
    </xf>
    <xf numFmtId="38" fontId="43" fillId="0" borderId="755" xfId="1" applyFont="1" applyFill="1" applyBorder="1" applyAlignment="1">
      <alignment horizontal="center" vertical="center" shrinkToFit="1"/>
    </xf>
    <xf numFmtId="38" fontId="43" fillId="0" borderId="756" xfId="1" applyFont="1" applyFill="1" applyBorder="1" applyAlignment="1">
      <alignment horizontal="center" vertical="center" shrinkToFit="1"/>
    </xf>
    <xf numFmtId="0" fontId="43" fillId="0" borderId="757" xfId="0" applyFont="1" applyBorder="1" applyAlignment="1">
      <alignment horizontal="left" vertical="center" shrinkToFit="1"/>
    </xf>
    <xf numFmtId="38" fontId="88" fillId="0" borderId="758" xfId="1" applyFont="1" applyFill="1" applyBorder="1" applyAlignment="1">
      <alignment horizontal="left" vertical="center" shrinkToFit="1"/>
    </xf>
    <xf numFmtId="0" fontId="45" fillId="0" borderId="579" xfId="13" applyFont="1" applyBorder="1" applyAlignment="1">
      <alignment vertical="center" shrinkToFit="1"/>
    </xf>
    <xf numFmtId="0" fontId="43" fillId="0" borderId="516" xfId="0" applyFont="1" applyBorder="1">
      <alignment vertical="center"/>
    </xf>
    <xf numFmtId="0" fontId="45" fillId="0" borderId="516" xfId="13" applyFont="1" applyBorder="1" applyAlignment="1">
      <alignment horizontal="left" vertical="center" wrapText="1" shrinkToFit="1"/>
    </xf>
    <xf numFmtId="0" fontId="43" fillId="0" borderId="516" xfId="0" applyFont="1" applyBorder="1" applyAlignment="1">
      <alignment horizontal="center" vertical="center" shrinkToFit="1"/>
    </xf>
    <xf numFmtId="0" fontId="44" fillId="0" borderId="516" xfId="13" applyFont="1" applyBorder="1" applyAlignment="1">
      <alignment horizontal="center" vertical="center" shrinkToFit="1"/>
    </xf>
    <xf numFmtId="0" fontId="44" fillId="0" borderId="526" xfId="13" applyFont="1" applyBorder="1" applyAlignment="1">
      <alignment horizontal="center" vertical="center" shrinkToFit="1"/>
    </xf>
    <xf numFmtId="0" fontId="45" fillId="0" borderId="516" xfId="0" applyFont="1" applyBorder="1" applyAlignment="1">
      <alignment horizontal="center" vertical="center" shrinkToFit="1"/>
    </xf>
    <xf numFmtId="0" fontId="45" fillId="0" borderId="516" xfId="1" applyNumberFormat="1" applyFont="1" applyFill="1" applyBorder="1" applyAlignment="1">
      <alignment horizontal="center" vertical="center" shrinkToFit="1"/>
    </xf>
    <xf numFmtId="38" fontId="44" fillId="0" borderId="516" xfId="1" applyFont="1" applyFill="1" applyBorder="1" applyAlignment="1">
      <alignment horizontal="center" vertical="center" shrinkToFit="1"/>
    </xf>
    <xf numFmtId="38" fontId="43" fillId="0" borderId="516" xfId="1" applyFont="1" applyFill="1" applyBorder="1" applyAlignment="1">
      <alignment horizontal="center" vertical="center" shrinkToFit="1"/>
    </xf>
    <xf numFmtId="38" fontId="43" fillId="9" borderId="516" xfId="1" applyFont="1" applyFill="1" applyBorder="1" applyAlignment="1">
      <alignment horizontal="center" vertical="center" shrinkToFit="1"/>
    </xf>
    <xf numFmtId="38" fontId="43" fillId="0" borderId="759" xfId="1" applyFont="1" applyFill="1" applyBorder="1" applyAlignment="1">
      <alignment horizontal="center" vertical="center" shrinkToFit="1"/>
    </xf>
    <xf numFmtId="0" fontId="43" fillId="0" borderId="757" xfId="0" applyFont="1" applyBorder="1" applyAlignment="1">
      <alignment vertical="center" shrinkToFit="1"/>
    </xf>
    <xf numFmtId="38" fontId="43" fillId="0" borderId="758" xfId="1" applyFont="1" applyFill="1" applyBorder="1" applyAlignment="1">
      <alignment horizontal="left" vertical="center" shrinkToFit="1"/>
    </xf>
    <xf numFmtId="0" fontId="44" fillId="6" borderId="516" xfId="13" applyFont="1" applyFill="1" applyBorder="1" applyAlignment="1">
      <alignment horizontal="center" vertical="center" shrinkToFit="1"/>
    </xf>
    <xf numFmtId="0" fontId="44" fillId="6" borderId="526" xfId="13" applyFont="1" applyFill="1" applyBorder="1" applyAlignment="1">
      <alignment horizontal="center" vertical="center" shrinkToFit="1"/>
    </xf>
    <xf numFmtId="0" fontId="45" fillId="0" borderId="584" xfId="13" applyFont="1" applyBorder="1" applyAlignment="1">
      <alignment horizontal="center" vertical="center" shrinkToFit="1"/>
    </xf>
    <xf numFmtId="0" fontId="45" fillId="0" borderId="528" xfId="13" applyFont="1" applyBorder="1" applyAlignment="1">
      <alignment horizontal="left" vertical="center" wrapText="1" shrinkToFit="1"/>
    </xf>
    <xf numFmtId="0" fontId="43" fillId="0" borderId="528" xfId="0" applyFont="1" applyBorder="1" applyAlignment="1">
      <alignment horizontal="center" vertical="center" shrinkToFit="1"/>
    </xf>
    <xf numFmtId="0" fontId="44" fillId="0" borderId="710" xfId="13" applyFont="1" applyBorder="1" applyAlignment="1">
      <alignment horizontal="center" vertical="center" shrinkToFit="1"/>
    </xf>
    <xf numFmtId="0" fontId="45" fillId="0" borderId="528" xfId="0" applyFont="1" applyBorder="1" applyAlignment="1">
      <alignment horizontal="center" vertical="center" shrinkToFit="1"/>
    </xf>
    <xf numFmtId="0" fontId="45" fillId="0" borderId="528" xfId="1" applyNumberFormat="1" applyFont="1" applyFill="1" applyBorder="1" applyAlignment="1">
      <alignment horizontal="center" vertical="center" shrinkToFit="1"/>
    </xf>
    <xf numFmtId="38" fontId="44" fillId="0" borderId="528" xfId="1" applyFont="1" applyFill="1" applyBorder="1" applyAlignment="1">
      <alignment horizontal="center" vertical="center" shrinkToFit="1"/>
    </xf>
    <xf numFmtId="38" fontId="43" fillId="9" borderId="528" xfId="1" applyFont="1" applyFill="1" applyBorder="1" applyAlignment="1">
      <alignment horizontal="center" vertical="center" shrinkToFit="1"/>
    </xf>
    <xf numFmtId="38" fontId="43" fillId="0" borderId="711" xfId="1" applyFont="1" applyFill="1" applyBorder="1" applyAlignment="1">
      <alignment horizontal="center" vertical="center" shrinkToFit="1"/>
    </xf>
    <xf numFmtId="0" fontId="45" fillId="0" borderId="330" xfId="13" applyFont="1" applyBorder="1" applyAlignment="1">
      <alignment horizontal="left" vertical="center" wrapText="1" shrinkToFit="1"/>
    </xf>
    <xf numFmtId="0" fontId="44" fillId="0" borderId="41" xfId="13" applyFont="1" applyBorder="1" applyAlignment="1">
      <alignment horizontal="center" vertical="center" shrinkToFit="1"/>
    </xf>
    <xf numFmtId="0" fontId="44" fillId="0" borderId="28" xfId="13" applyFont="1" applyBorder="1" applyAlignment="1">
      <alignment horizontal="center" vertical="center" shrinkToFit="1"/>
    </xf>
    <xf numFmtId="0" fontId="45" fillId="0" borderId="330" xfId="0" applyFont="1" applyBorder="1" applyAlignment="1">
      <alignment horizontal="center" vertical="center" shrinkToFit="1"/>
    </xf>
    <xf numFmtId="0" fontId="45" fillId="32" borderId="41" xfId="1" applyNumberFormat="1" applyFont="1" applyFill="1" applyBorder="1" applyAlignment="1">
      <alignment horizontal="center" vertical="center" shrinkToFit="1"/>
    </xf>
    <xf numFmtId="38" fontId="87" fillId="32" borderId="41" xfId="1" applyFont="1" applyFill="1" applyBorder="1" applyAlignment="1">
      <alignment horizontal="center" vertical="center" shrinkToFit="1"/>
    </xf>
    <xf numFmtId="38" fontId="45" fillId="0" borderId="294" xfId="1" applyFont="1" applyFill="1" applyBorder="1" applyAlignment="1">
      <alignment horizontal="center" vertical="center" shrinkToFit="1"/>
    </xf>
    <xf numFmtId="38" fontId="45" fillId="0" borderId="334" xfId="1" applyFont="1" applyFill="1" applyBorder="1" applyAlignment="1">
      <alignment horizontal="center" vertical="center" shrinkToFit="1"/>
    </xf>
    <xf numFmtId="38" fontId="44" fillId="0" borderId="330" xfId="1" applyFont="1" applyFill="1" applyBorder="1" applyAlignment="1">
      <alignment horizontal="center" vertical="center" shrinkToFit="1"/>
    </xf>
    <xf numFmtId="38" fontId="44" fillId="0" borderId="294" xfId="1" applyFont="1" applyFill="1" applyBorder="1" applyAlignment="1">
      <alignment horizontal="center" vertical="center" shrinkToFit="1"/>
    </xf>
    <xf numFmtId="38" fontId="43" fillId="9" borderId="330" xfId="1" applyFont="1" applyFill="1" applyBorder="1" applyAlignment="1">
      <alignment horizontal="center" vertical="center" shrinkToFit="1"/>
    </xf>
    <xf numFmtId="0" fontId="43" fillId="0" borderId="391" xfId="0" applyFont="1" applyBorder="1" applyAlignment="1">
      <alignment horizontal="left" vertical="center" shrinkToFit="1"/>
    </xf>
    <xf numFmtId="0" fontId="44" fillId="0" borderId="5" xfId="13" applyFont="1" applyBorder="1" applyAlignment="1">
      <alignment horizontal="center" vertical="center" shrinkToFit="1"/>
    </xf>
    <xf numFmtId="0" fontId="45" fillId="0" borderId="391" xfId="0" applyFont="1" applyBorder="1" applyAlignment="1">
      <alignment horizontal="center" vertical="center" shrinkToFit="1"/>
    </xf>
    <xf numFmtId="0" fontId="43" fillId="0" borderId="28" xfId="0" applyFont="1" applyBorder="1" applyAlignment="1">
      <alignment horizontal="left" vertical="center" wrapText="1" shrinkToFit="1"/>
    </xf>
    <xf numFmtId="0" fontId="45" fillId="0" borderId="391" xfId="13" applyFont="1" applyBorder="1" applyAlignment="1">
      <alignment horizontal="left" vertical="center" wrapText="1" shrinkToFit="1"/>
    </xf>
    <xf numFmtId="0" fontId="43" fillId="0" borderId="388" xfId="13" applyFont="1" applyBorder="1" applyAlignment="1">
      <alignment horizontal="left" vertical="center" wrapText="1" shrinkToFit="1"/>
    </xf>
    <xf numFmtId="0" fontId="45" fillId="0" borderId="760" xfId="13" applyFont="1" applyBorder="1" applyAlignment="1">
      <alignment horizontal="center" vertical="center" shrinkToFit="1"/>
    </xf>
    <xf numFmtId="0" fontId="45" fillId="0" borderId="761" xfId="13" applyFont="1" applyBorder="1" applyAlignment="1">
      <alignment horizontal="left" vertical="center" wrapText="1" shrinkToFit="1"/>
    </xf>
    <xf numFmtId="0" fontId="45" fillId="0" borderId="762" xfId="13" applyFont="1" applyBorder="1" applyAlignment="1">
      <alignment horizontal="left" vertical="center" wrapText="1" shrinkToFit="1"/>
    </xf>
    <xf numFmtId="0" fontId="43" fillId="0" borderId="74" xfId="0" applyFont="1" applyBorder="1" applyAlignment="1">
      <alignment horizontal="center" vertical="center" shrinkToFit="1"/>
    </xf>
    <xf numFmtId="0" fontId="44" fillId="0" borderId="74" xfId="13" applyFont="1" applyBorder="1" applyAlignment="1">
      <alignment horizontal="center" vertical="center" shrinkToFit="1"/>
    </xf>
    <xf numFmtId="0" fontId="44" fillId="0" borderId="167" xfId="13" applyFont="1" applyBorder="1" applyAlignment="1">
      <alignment horizontal="center" vertical="center" shrinkToFit="1"/>
    </xf>
    <xf numFmtId="0" fontId="45" fillId="0" borderId="762" xfId="0" applyFont="1" applyBorder="1" applyAlignment="1">
      <alignment horizontal="center" vertical="center" shrinkToFit="1"/>
    </xf>
    <xf numFmtId="0" fontId="45" fillId="0" borderId="74" xfId="1" applyNumberFormat="1" applyFont="1" applyFill="1" applyBorder="1" applyAlignment="1">
      <alignment horizontal="center" vertical="center" shrinkToFit="1"/>
    </xf>
    <xf numFmtId="0" fontId="87" fillId="0" borderId="74" xfId="1" applyNumberFormat="1" applyFont="1" applyFill="1" applyBorder="1" applyAlignment="1">
      <alignment horizontal="center" vertical="center" shrinkToFit="1"/>
    </xf>
    <xf numFmtId="38" fontId="45" fillId="0" borderId="763" xfId="1" applyFont="1" applyFill="1" applyBorder="1" applyAlignment="1">
      <alignment horizontal="center" vertical="center" shrinkToFit="1"/>
    </xf>
    <xf numFmtId="38" fontId="45" fillId="0" borderId="761" xfId="1" applyFont="1" applyFill="1" applyBorder="1" applyAlignment="1">
      <alignment horizontal="center" vertical="center" shrinkToFit="1"/>
    </xf>
    <xf numFmtId="38" fontId="44" fillId="0" borderId="762" xfId="1" applyFont="1" applyFill="1" applyBorder="1" applyAlignment="1">
      <alignment horizontal="center" vertical="center" shrinkToFit="1"/>
    </xf>
    <xf numFmtId="38" fontId="44" fillId="0" borderId="763" xfId="1" applyFont="1" applyFill="1" applyBorder="1" applyAlignment="1">
      <alignment horizontal="center" vertical="center" shrinkToFit="1"/>
    </xf>
    <xf numFmtId="38" fontId="43" fillId="0" borderId="761" xfId="1" applyFont="1" applyFill="1" applyBorder="1" applyAlignment="1">
      <alignment horizontal="center" vertical="center" shrinkToFit="1"/>
    </xf>
    <xf numFmtId="38" fontId="43" fillId="9" borderId="762" xfId="1" applyFont="1" applyFill="1" applyBorder="1" applyAlignment="1">
      <alignment horizontal="center" vertical="center" shrinkToFit="1"/>
    </xf>
    <xf numFmtId="38" fontId="43" fillId="0" borderId="762" xfId="1" applyFont="1" applyFill="1" applyBorder="1" applyAlignment="1">
      <alignment horizontal="center" vertical="center" shrinkToFit="1"/>
    </xf>
    <xf numFmtId="38" fontId="43" fillId="0" borderId="74" xfId="1" applyFont="1" applyFill="1" applyBorder="1" applyAlignment="1">
      <alignment horizontal="center" vertical="center" shrinkToFit="1"/>
    </xf>
    <xf numFmtId="38" fontId="43" fillId="0" borderId="763" xfId="1" applyFont="1" applyFill="1" applyBorder="1" applyAlignment="1">
      <alignment horizontal="center" vertical="center" shrinkToFit="1"/>
    </xf>
    <xf numFmtId="0" fontId="45" fillId="0" borderId="764" xfId="13" applyFont="1" applyBorder="1" applyAlignment="1">
      <alignment vertical="center" shrinkToFit="1"/>
    </xf>
    <xf numFmtId="0" fontId="43" fillId="0" borderId="765" xfId="0" applyFont="1" applyBorder="1" applyAlignment="1">
      <alignment vertical="center" wrapText="1" shrinkToFit="1"/>
    </xf>
    <xf numFmtId="0" fontId="43" fillId="0" borderId="766" xfId="0" applyFont="1" applyBorder="1" applyAlignment="1">
      <alignment horizontal="left" vertical="center" wrapText="1" shrinkToFit="1"/>
    </xf>
    <xf numFmtId="0" fontId="45" fillId="0" borderId="765" xfId="13" applyFont="1" applyBorder="1" applyAlignment="1">
      <alignment horizontal="left" vertical="center" wrapText="1" shrinkToFit="1"/>
    </xf>
    <xf numFmtId="0" fontId="43" fillId="0" borderId="719" xfId="0" applyFont="1" applyBorder="1" applyAlignment="1">
      <alignment horizontal="center" vertical="center" shrinkToFit="1"/>
    </xf>
    <xf numFmtId="0" fontId="44" fillId="0" borderId="719" xfId="13" applyFont="1" applyBorder="1" applyAlignment="1">
      <alignment horizontal="center" vertical="center" shrinkToFit="1"/>
    </xf>
    <xf numFmtId="0" fontId="44" fillId="0" borderId="176" xfId="13" applyFont="1" applyBorder="1" applyAlignment="1">
      <alignment horizontal="center" vertical="center" shrinkToFit="1"/>
    </xf>
    <xf numFmtId="0" fontId="45" fillId="0" borderId="766" xfId="0" applyFont="1" applyBorder="1" applyAlignment="1">
      <alignment horizontal="center" vertical="center" shrinkToFit="1"/>
    </xf>
    <xf numFmtId="0" fontId="45" fillId="0" borderId="719" xfId="1" applyNumberFormat="1" applyFont="1" applyFill="1" applyBorder="1" applyAlignment="1">
      <alignment horizontal="center" vertical="center" shrinkToFit="1"/>
    </xf>
    <xf numFmtId="0" fontId="87" fillId="0" borderId="719" xfId="1" applyNumberFormat="1" applyFont="1" applyFill="1" applyBorder="1" applyAlignment="1">
      <alignment horizontal="center" vertical="center" shrinkToFit="1"/>
    </xf>
    <xf numFmtId="38" fontId="45" fillId="0" borderId="767" xfId="1" applyFont="1" applyFill="1" applyBorder="1" applyAlignment="1">
      <alignment horizontal="center" vertical="center" shrinkToFit="1"/>
    </xf>
    <xf numFmtId="38" fontId="45" fillId="0" borderId="765" xfId="1" applyFont="1" applyFill="1" applyBorder="1" applyAlignment="1">
      <alignment horizontal="center" vertical="center" shrinkToFit="1"/>
    </xf>
    <xf numFmtId="38" fontId="44" fillId="0" borderId="766" xfId="1" applyFont="1" applyFill="1" applyBorder="1" applyAlignment="1">
      <alignment horizontal="center" vertical="center" shrinkToFit="1"/>
    </xf>
    <xf numFmtId="38" fontId="44" fillId="0" borderId="767" xfId="1" applyFont="1" applyFill="1" applyBorder="1" applyAlignment="1">
      <alignment horizontal="center" vertical="center" shrinkToFit="1"/>
    </xf>
    <xf numFmtId="38" fontId="43" fillId="0" borderId="765" xfId="1" applyFont="1" applyFill="1" applyBorder="1" applyAlignment="1">
      <alignment horizontal="center" vertical="center" shrinkToFit="1"/>
    </xf>
    <xf numFmtId="38" fontId="43" fillId="9" borderId="766" xfId="1" applyFont="1" applyFill="1" applyBorder="1" applyAlignment="1">
      <alignment horizontal="center" vertical="center" shrinkToFit="1"/>
    </xf>
    <xf numFmtId="38" fontId="43" fillId="0" borderId="766" xfId="1" applyFont="1" applyFill="1" applyBorder="1" applyAlignment="1">
      <alignment horizontal="center" vertical="center" shrinkToFit="1"/>
    </xf>
    <xf numFmtId="38" fontId="43" fillId="0" borderId="719" xfId="1" applyFont="1" applyFill="1" applyBorder="1" applyAlignment="1">
      <alignment horizontal="center" vertical="center" shrinkToFit="1"/>
    </xf>
    <xf numFmtId="38" fontId="43" fillId="0" borderId="767" xfId="1" applyFont="1" applyFill="1" applyBorder="1" applyAlignment="1">
      <alignment horizontal="center" vertical="center" shrinkToFit="1"/>
    </xf>
    <xf numFmtId="0" fontId="45" fillId="0" borderId="41" xfId="1" applyNumberFormat="1" applyFont="1" applyFill="1" applyBorder="1" applyAlignment="1">
      <alignment horizontal="center" vertical="center" shrinkToFit="1"/>
    </xf>
    <xf numFmtId="0" fontId="87" fillId="0" borderId="41" xfId="1" applyNumberFormat="1" applyFont="1" applyFill="1" applyBorder="1" applyAlignment="1">
      <alignment horizontal="center" vertical="center" shrinkToFit="1"/>
    </xf>
    <xf numFmtId="38" fontId="44" fillId="0" borderId="41" xfId="1" applyFont="1" applyFill="1" applyBorder="1" applyAlignment="1">
      <alignment horizontal="center" vertical="center" shrinkToFit="1"/>
    </xf>
    <xf numFmtId="0" fontId="43" fillId="0" borderId="757" xfId="0" applyFont="1" applyBorder="1" applyAlignment="1">
      <alignment horizontal="left" vertical="center" wrapText="1" shrinkToFit="1"/>
    </xf>
    <xf numFmtId="0" fontId="45" fillId="0" borderId="768" xfId="13" applyFont="1" applyBorder="1" applyAlignment="1">
      <alignment horizontal="center" vertical="center" shrinkToFit="1"/>
    </xf>
    <xf numFmtId="0" fontId="45" fillId="0" borderId="769" xfId="13" applyFont="1" applyBorder="1" applyAlignment="1">
      <alignment horizontal="left" vertical="center" wrapText="1" shrinkToFit="1"/>
    </xf>
    <xf numFmtId="0" fontId="45" fillId="0" borderId="770" xfId="13" applyFont="1" applyBorder="1" applyAlignment="1">
      <alignment horizontal="left" vertical="center" wrapText="1" shrinkToFit="1"/>
    </xf>
    <xf numFmtId="0" fontId="43" fillId="0" borderId="771" xfId="0" applyFont="1" applyBorder="1" applyAlignment="1">
      <alignment horizontal="center" vertical="center" shrinkToFit="1"/>
    </xf>
    <xf numFmtId="0" fontId="44" fillId="0" borderId="771" xfId="13" applyFont="1" applyBorder="1" applyAlignment="1">
      <alignment horizontal="center" vertical="center" shrinkToFit="1"/>
    </xf>
    <xf numFmtId="0" fontId="44" fillId="0" borderId="140" xfId="13" applyFont="1" applyBorder="1" applyAlignment="1">
      <alignment horizontal="center" vertical="center" shrinkToFit="1"/>
    </xf>
    <xf numFmtId="0" fontId="45" fillId="0" borderId="770" xfId="0" applyFont="1" applyBorder="1" applyAlignment="1">
      <alignment horizontal="center" vertical="center" shrinkToFit="1"/>
    </xf>
    <xf numFmtId="0" fontId="45" fillId="0" borderId="771" xfId="1" applyNumberFormat="1" applyFont="1" applyFill="1" applyBorder="1" applyAlignment="1">
      <alignment horizontal="center" vertical="center" shrinkToFit="1"/>
    </xf>
    <xf numFmtId="0" fontId="87" fillId="0" borderId="771" xfId="1" applyNumberFormat="1" applyFont="1" applyFill="1" applyBorder="1" applyAlignment="1">
      <alignment horizontal="center" vertical="center" shrinkToFit="1"/>
    </xf>
    <xf numFmtId="38" fontId="45" fillId="0" borderId="772" xfId="1" applyFont="1" applyFill="1" applyBorder="1" applyAlignment="1">
      <alignment horizontal="center" vertical="center" shrinkToFit="1"/>
    </xf>
    <xf numFmtId="38" fontId="45" fillId="0" borderId="769" xfId="1" applyFont="1" applyFill="1" applyBorder="1" applyAlignment="1">
      <alignment horizontal="center" vertical="center" shrinkToFit="1"/>
    </xf>
    <xf numFmtId="38" fontId="44" fillId="0" borderId="770" xfId="1" applyFont="1" applyFill="1" applyBorder="1" applyAlignment="1">
      <alignment horizontal="center" vertical="center" shrinkToFit="1"/>
    </xf>
    <xf numFmtId="38" fontId="44" fillId="0" borderId="772" xfId="1" applyFont="1" applyFill="1" applyBorder="1" applyAlignment="1">
      <alignment horizontal="center" vertical="center" shrinkToFit="1"/>
    </xf>
    <xf numFmtId="38" fontId="43" fillId="0" borderId="769" xfId="1" applyFont="1" applyFill="1" applyBorder="1" applyAlignment="1">
      <alignment horizontal="center" vertical="center" shrinkToFit="1"/>
    </xf>
    <xf numFmtId="38" fontId="43" fillId="9" borderId="770" xfId="1" applyFont="1" applyFill="1" applyBorder="1" applyAlignment="1">
      <alignment horizontal="center" vertical="center" shrinkToFit="1"/>
    </xf>
    <xf numFmtId="38" fontId="43" fillId="0" borderId="770" xfId="1" applyFont="1" applyFill="1" applyBorder="1" applyAlignment="1">
      <alignment horizontal="center" vertical="center" shrinkToFit="1"/>
    </xf>
    <xf numFmtId="38" fontId="43" fillId="0" borderId="771" xfId="1" applyFont="1" applyFill="1" applyBorder="1" applyAlignment="1">
      <alignment horizontal="center" vertical="center" shrinkToFit="1"/>
    </xf>
    <xf numFmtId="38" fontId="43" fillId="0" borderId="772" xfId="1" applyFont="1" applyFill="1" applyBorder="1" applyAlignment="1">
      <alignment horizontal="center" vertical="center" shrinkToFit="1"/>
    </xf>
    <xf numFmtId="0" fontId="45" fillId="0" borderId="764" xfId="13" applyFont="1" applyBorder="1" applyAlignment="1">
      <alignment horizontal="center" vertical="center" shrinkToFit="1"/>
    </xf>
    <xf numFmtId="0" fontId="45" fillId="0" borderId="766" xfId="13" applyFont="1" applyBorder="1" applyAlignment="1">
      <alignment horizontal="left" vertical="center" wrapText="1" shrinkToFit="1"/>
    </xf>
    <xf numFmtId="0" fontId="45" fillId="0" borderId="760" xfId="13" applyFont="1" applyBorder="1" applyAlignment="1">
      <alignment vertical="center" shrinkToFit="1"/>
    </xf>
    <xf numFmtId="0" fontId="43" fillId="0" borderId="761" xfId="0" applyFont="1" applyBorder="1" applyAlignment="1">
      <alignment vertical="center" wrapText="1" shrinkToFit="1"/>
    </xf>
    <xf numFmtId="0" fontId="45" fillId="32" borderId="74" xfId="1" applyNumberFormat="1" applyFont="1" applyFill="1" applyBorder="1" applyAlignment="1">
      <alignment horizontal="center" vertical="center" shrinkToFit="1"/>
    </xf>
    <xf numFmtId="0" fontId="87" fillId="32" borderId="74" xfId="1" applyNumberFormat="1" applyFont="1" applyFill="1" applyBorder="1" applyAlignment="1">
      <alignment horizontal="center" vertical="center" shrinkToFit="1"/>
    </xf>
    <xf numFmtId="0" fontId="45" fillId="32" borderId="719" xfId="1" applyNumberFormat="1" applyFont="1" applyFill="1" applyBorder="1" applyAlignment="1">
      <alignment horizontal="center" vertical="center" shrinkToFit="1"/>
    </xf>
    <xf numFmtId="0" fontId="87" fillId="32" borderId="719" xfId="1" applyNumberFormat="1" applyFont="1" applyFill="1" applyBorder="1" applyAlignment="1">
      <alignment horizontal="center" vertical="center" shrinkToFit="1"/>
    </xf>
    <xf numFmtId="0" fontId="43" fillId="0" borderId="773" xfId="0" applyFont="1" applyBorder="1" applyAlignment="1">
      <alignment horizontal="left" vertical="center" shrinkToFit="1"/>
    </xf>
    <xf numFmtId="0" fontId="45" fillId="32" borderId="8" xfId="1" applyNumberFormat="1" applyFont="1" applyFill="1" applyBorder="1" applyAlignment="1">
      <alignment horizontal="center" vertical="center" shrinkToFit="1"/>
    </xf>
    <xf numFmtId="0" fontId="87" fillId="32" borderId="41" xfId="1" applyNumberFormat="1" applyFont="1" applyFill="1" applyBorder="1" applyAlignment="1">
      <alignment horizontal="center" vertical="center" shrinkToFit="1"/>
    </xf>
    <xf numFmtId="0" fontId="43" fillId="0" borderId="330" xfId="0" applyFont="1" applyBorder="1" applyAlignment="1">
      <alignment horizontal="left" vertical="center" shrinkToFit="1"/>
    </xf>
    <xf numFmtId="0" fontId="44" fillId="0" borderId="659" xfId="13" applyFont="1" applyBorder="1" applyAlignment="1">
      <alignment horizontal="center" vertical="center" shrinkToFit="1"/>
    </xf>
    <xf numFmtId="0" fontId="45" fillId="0" borderId="380" xfId="0" applyFont="1" applyBorder="1" applyAlignment="1">
      <alignment horizontal="center" vertical="center" shrinkToFit="1"/>
    </xf>
    <xf numFmtId="0" fontId="43" fillId="0" borderId="766" xfId="0" applyFont="1" applyBorder="1" applyAlignment="1">
      <alignment horizontal="left" vertical="center" shrinkToFit="1"/>
    </xf>
    <xf numFmtId="0" fontId="132" fillId="0" borderId="757" xfId="0" applyFont="1" applyBorder="1" applyAlignment="1">
      <alignment horizontal="left" vertical="center" wrapText="1" shrinkToFit="1"/>
    </xf>
    <xf numFmtId="0" fontId="43" fillId="0" borderId="761" xfId="0" applyFont="1" applyBorder="1" applyAlignment="1">
      <alignment horizontal="left" vertical="center" wrapText="1" shrinkToFit="1"/>
    </xf>
    <xf numFmtId="0" fontId="43" fillId="0" borderId="762" xfId="0" applyFont="1" applyBorder="1" applyAlignment="1">
      <alignment horizontal="left" vertical="center" wrapText="1" shrinkToFit="1"/>
    </xf>
    <xf numFmtId="0" fontId="35" fillId="0" borderId="757" xfId="0" applyFont="1" applyBorder="1" applyAlignment="1">
      <alignment horizontal="left" vertical="center" wrapText="1" shrinkToFit="1"/>
    </xf>
    <xf numFmtId="0" fontId="43" fillId="0" borderId="765" xfId="0" applyFont="1" applyBorder="1" applyAlignment="1">
      <alignment horizontal="left" vertical="center" wrapText="1" shrinkToFit="1"/>
    </xf>
    <xf numFmtId="0" fontId="44" fillId="6" borderId="719" xfId="13" applyFont="1" applyFill="1" applyBorder="1" applyAlignment="1">
      <alignment horizontal="center" vertical="center" shrinkToFit="1"/>
    </xf>
    <xf numFmtId="0" fontId="44" fillId="6" borderId="176" xfId="13" applyFont="1" applyFill="1" applyBorder="1" applyAlignment="1">
      <alignment horizontal="center" vertical="center" shrinkToFit="1"/>
    </xf>
    <xf numFmtId="0" fontId="45" fillId="0" borderId="768" xfId="13" applyFont="1" applyBorder="1" applyAlignment="1">
      <alignment vertical="center" shrinkToFit="1"/>
    </xf>
    <xf numFmtId="0" fontId="43" fillId="0" borderId="769" xfId="0" applyFont="1" applyBorder="1" applyAlignment="1">
      <alignment vertical="center" wrapText="1" shrinkToFit="1"/>
    </xf>
    <xf numFmtId="0" fontId="43" fillId="0" borderId="769" xfId="0" applyFont="1" applyBorder="1">
      <alignment vertical="center"/>
    </xf>
    <xf numFmtId="0" fontId="45" fillId="0" borderId="769" xfId="1" applyNumberFormat="1" applyFont="1" applyFill="1" applyBorder="1" applyAlignment="1">
      <alignment horizontal="center" vertical="center" shrinkToFit="1"/>
    </xf>
    <xf numFmtId="0" fontId="43" fillId="0" borderId="659" xfId="0" applyFont="1" applyBorder="1" applyAlignment="1">
      <alignment vertical="center" shrinkToFit="1"/>
    </xf>
    <xf numFmtId="38" fontId="44" fillId="0" borderId="719" xfId="1" applyFont="1" applyFill="1" applyBorder="1" applyAlignment="1">
      <alignment horizontal="center" vertical="center" shrinkToFit="1"/>
    </xf>
    <xf numFmtId="0" fontId="45" fillId="0" borderId="380" xfId="13" applyFont="1" applyBorder="1" applyAlignment="1">
      <alignment horizontal="left" vertical="center" wrapText="1" shrinkToFit="1"/>
    </xf>
    <xf numFmtId="0" fontId="45" fillId="0" borderId="381" xfId="13" applyFont="1" applyBorder="1" applyAlignment="1">
      <alignment horizontal="left" vertical="center" wrapText="1" shrinkToFit="1"/>
    </xf>
    <xf numFmtId="38" fontId="44" fillId="0" borderId="74" xfId="1" applyFont="1" applyFill="1" applyBorder="1" applyAlignment="1">
      <alignment horizontal="center" vertical="center" shrinkToFit="1"/>
    </xf>
    <xf numFmtId="38" fontId="43" fillId="0" borderId="42" xfId="1" applyFont="1" applyFill="1" applyBorder="1" applyAlignment="1">
      <alignment horizontal="left" vertical="center" shrinkToFit="1"/>
    </xf>
    <xf numFmtId="0" fontId="45" fillId="0" borderId="761" xfId="13" applyFont="1" applyBorder="1" applyAlignment="1">
      <alignment vertical="center" wrapText="1" shrinkToFit="1"/>
    </xf>
    <xf numFmtId="0" fontId="43" fillId="0" borderId="762" xfId="13" applyFont="1" applyBorder="1" applyAlignment="1">
      <alignment horizontal="left" vertical="center" wrapText="1" shrinkToFit="1"/>
    </xf>
    <xf numFmtId="0" fontId="45" fillId="0" borderId="765" xfId="13" applyFont="1" applyBorder="1" applyAlignment="1">
      <alignment vertical="center" wrapText="1" shrinkToFit="1"/>
    </xf>
    <xf numFmtId="38" fontId="45" fillId="0" borderId="758" xfId="1" applyFont="1" applyFill="1" applyBorder="1" applyAlignment="1">
      <alignment horizontal="left" vertical="center" shrinkToFit="1"/>
    </xf>
    <xf numFmtId="0" fontId="43" fillId="0" borderId="770" xfId="0" applyFont="1" applyBorder="1" applyAlignment="1">
      <alignment horizontal="left" vertical="center" shrinkToFit="1"/>
    </xf>
    <xf numFmtId="0" fontId="43" fillId="0" borderId="773" xfId="0" applyFont="1" applyBorder="1" applyAlignment="1">
      <alignment horizontal="left" vertical="center" wrapText="1" shrinkToFit="1"/>
    </xf>
    <xf numFmtId="0" fontId="45" fillId="32" borderId="382" xfId="1" applyNumberFormat="1" applyFont="1" applyFill="1" applyBorder="1" applyAlignment="1">
      <alignment horizontal="center" vertical="center" shrinkToFit="1"/>
    </xf>
    <xf numFmtId="0" fontId="87" fillId="32" borderId="382" xfId="1" applyNumberFormat="1" applyFont="1" applyFill="1" applyBorder="1" applyAlignment="1">
      <alignment horizontal="center" vertical="center" shrinkToFit="1"/>
    </xf>
    <xf numFmtId="0" fontId="43" fillId="0" borderId="769" xfId="0" applyFont="1" applyBorder="1" applyAlignment="1">
      <alignment horizontal="left" vertical="center" wrapText="1" shrinkToFit="1"/>
    </xf>
    <xf numFmtId="0" fontId="44" fillId="0" borderId="772" xfId="13" applyFont="1" applyBorder="1" applyAlignment="1">
      <alignment horizontal="center" vertical="center" shrinkToFit="1"/>
    </xf>
    <xf numFmtId="0" fontId="44" fillId="0" borderId="767" xfId="13" applyFont="1" applyBorder="1" applyAlignment="1">
      <alignment horizontal="center" vertical="center" shrinkToFit="1"/>
    </xf>
    <xf numFmtId="0" fontId="44" fillId="6" borderId="771" xfId="13" applyFont="1" applyFill="1" applyBorder="1" applyAlignment="1">
      <alignment horizontal="center" vertical="center" shrinkToFit="1"/>
    </xf>
    <xf numFmtId="0" fontId="44" fillId="6" borderId="140" xfId="13" applyFont="1" applyFill="1" applyBorder="1" applyAlignment="1">
      <alignment horizontal="center" vertical="center" shrinkToFit="1"/>
    </xf>
    <xf numFmtId="0" fontId="132" fillId="0" borderId="659" xfId="0" applyFont="1" applyBorder="1" applyAlignment="1">
      <alignment horizontal="left" vertical="center" wrapText="1" shrinkToFit="1"/>
    </xf>
    <xf numFmtId="0" fontId="43" fillId="0" borderId="381" xfId="0" applyFont="1" applyBorder="1" applyAlignment="1">
      <alignment vertical="center" wrapText="1" shrinkToFit="1"/>
    </xf>
    <xf numFmtId="0" fontId="43" fillId="0" borderId="330" xfId="0" applyFont="1" applyBorder="1" applyAlignment="1">
      <alignment horizontal="left" vertical="center" wrapText="1" shrinkToFit="1"/>
    </xf>
    <xf numFmtId="0" fontId="44" fillId="0" borderId="774" xfId="13" applyFont="1" applyBorder="1" applyAlignment="1">
      <alignment horizontal="center" vertical="center" shrinkToFit="1"/>
    </xf>
    <xf numFmtId="0" fontId="44" fillId="0" borderId="773" xfId="13" applyFont="1" applyBorder="1" applyAlignment="1">
      <alignment horizontal="center" vertical="center" shrinkToFit="1"/>
    </xf>
    <xf numFmtId="0" fontId="45" fillId="0" borderId="775" xfId="0" applyFont="1" applyBorder="1" applyAlignment="1">
      <alignment horizontal="center" vertical="center" shrinkToFit="1"/>
    </xf>
    <xf numFmtId="0" fontId="45" fillId="0" borderId="774" xfId="1" applyNumberFormat="1" applyFont="1" applyFill="1" applyBorder="1" applyAlignment="1">
      <alignment horizontal="center" vertical="center" shrinkToFit="1"/>
    </xf>
    <xf numFmtId="0" fontId="87" fillId="0" borderId="774" xfId="1" applyNumberFormat="1" applyFont="1" applyFill="1" applyBorder="1" applyAlignment="1">
      <alignment horizontal="center" vertical="center" shrinkToFit="1"/>
    </xf>
    <xf numFmtId="38" fontId="45" fillId="0" borderId="776" xfId="1" applyFont="1" applyFill="1" applyBorder="1" applyAlignment="1">
      <alignment horizontal="center" vertical="center" shrinkToFit="1"/>
    </xf>
    <xf numFmtId="38" fontId="45" fillId="0" borderId="777" xfId="1" applyFont="1" applyFill="1" applyBorder="1" applyAlignment="1">
      <alignment horizontal="center" vertical="center" shrinkToFit="1"/>
    </xf>
    <xf numFmtId="38" fontId="44" fillId="0" borderId="778" xfId="1" applyFont="1" applyFill="1" applyBorder="1" applyAlignment="1">
      <alignment horizontal="center" vertical="center" shrinkToFit="1"/>
    </xf>
    <xf numFmtId="38" fontId="44" fillId="0" borderId="776" xfId="1" applyFont="1" applyFill="1" applyBorder="1" applyAlignment="1">
      <alignment horizontal="center" vertical="center" shrinkToFit="1"/>
    </xf>
    <xf numFmtId="38" fontId="43" fillId="0" borderId="777" xfId="1" applyFont="1" applyFill="1" applyBorder="1" applyAlignment="1">
      <alignment horizontal="center" vertical="center" shrinkToFit="1"/>
    </xf>
    <xf numFmtId="38" fontId="43" fillId="9" borderId="778" xfId="1" applyFont="1" applyFill="1" applyBorder="1" applyAlignment="1">
      <alignment horizontal="center" vertical="center" shrinkToFit="1"/>
    </xf>
    <xf numFmtId="38" fontId="43" fillId="0" borderId="778" xfId="1" applyFont="1" applyFill="1" applyBorder="1" applyAlignment="1">
      <alignment horizontal="center" vertical="center" shrinkToFit="1"/>
    </xf>
    <xf numFmtId="38" fontId="43" fillId="0" borderId="776" xfId="1" applyFont="1" applyFill="1" applyBorder="1" applyAlignment="1">
      <alignment horizontal="center" vertical="center" shrinkToFit="1"/>
    </xf>
    <xf numFmtId="0" fontId="43" fillId="32" borderId="666" xfId="1" applyNumberFormat="1" applyFont="1" applyFill="1" applyBorder="1" applyAlignment="1">
      <alignment horizontal="center" vertical="center" shrinkToFit="1"/>
    </xf>
    <xf numFmtId="0" fontId="43" fillId="32" borderId="667" xfId="1" applyNumberFormat="1" applyFont="1" applyFill="1" applyBorder="1" applyAlignment="1">
      <alignment horizontal="center" vertical="center" shrinkToFit="1"/>
    </xf>
    <xf numFmtId="0" fontId="43" fillId="32" borderId="665" xfId="1" applyNumberFormat="1" applyFont="1" applyFill="1" applyBorder="1" applyAlignment="1">
      <alignment horizontal="center" vertical="center" shrinkToFit="1"/>
    </xf>
    <xf numFmtId="0" fontId="87" fillId="32" borderId="556" xfId="1" applyNumberFormat="1" applyFont="1" applyFill="1" applyBorder="1" applyAlignment="1">
      <alignment horizontal="center" vertical="center" shrinkToFit="1"/>
    </xf>
    <xf numFmtId="0" fontId="87" fillId="32" borderId="539" xfId="1" applyNumberFormat="1" applyFont="1" applyFill="1" applyBorder="1" applyAlignment="1">
      <alignment horizontal="center" vertical="center" shrinkToFit="1"/>
    </xf>
    <xf numFmtId="0" fontId="43" fillId="32" borderId="8" xfId="1" applyNumberFormat="1" applyFont="1" applyFill="1" applyBorder="1" applyAlignment="1">
      <alignment horizontal="center" vertical="center" shrinkToFit="1"/>
    </xf>
    <xf numFmtId="0" fontId="61" fillId="32" borderId="26" xfId="1" applyNumberFormat="1" applyFont="1" applyFill="1" applyBorder="1" applyAlignment="1">
      <alignment horizontal="center" vertical="center" shrinkToFit="1"/>
    </xf>
    <xf numFmtId="38" fontId="44" fillId="0" borderId="28" xfId="1" applyFont="1" applyFill="1" applyBorder="1" applyAlignment="1">
      <alignment horizontal="center" vertical="center" shrinkToFit="1"/>
    </xf>
    <xf numFmtId="38" fontId="44" fillId="0" borderId="5" xfId="1" applyFont="1" applyFill="1" applyBorder="1" applyAlignment="1">
      <alignment horizontal="center" vertical="center" shrinkToFit="1"/>
    </xf>
    <xf numFmtId="0" fontId="45" fillId="0" borderId="42" xfId="13" applyFont="1" applyBorder="1" applyAlignment="1">
      <alignment horizontal="center" vertical="center" shrinkToFit="1"/>
    </xf>
    <xf numFmtId="0" fontId="45" fillId="0" borderId="362" xfId="13" applyFont="1" applyBorder="1" applyAlignment="1">
      <alignment horizontal="center" vertical="center" textRotation="255" shrinkToFit="1"/>
    </xf>
    <xf numFmtId="38" fontId="44" fillId="0" borderId="364" xfId="1" applyFont="1" applyBorder="1" applyAlignment="1">
      <alignment horizontal="center" vertical="center" shrinkToFit="1"/>
    </xf>
    <xf numFmtId="0" fontId="45" fillId="0" borderId="294" xfId="13" applyFont="1" applyBorder="1" applyAlignment="1">
      <alignment horizontal="center" vertical="center" textRotation="255" shrinkToFit="1"/>
    </xf>
    <xf numFmtId="38" fontId="44" fillId="0" borderId="295" xfId="1" applyFont="1" applyBorder="1" applyAlignment="1">
      <alignment horizontal="center" vertical="center" shrinkToFit="1"/>
    </xf>
    <xf numFmtId="0" fontId="43" fillId="0" borderId="342" xfId="1" applyNumberFormat="1" applyFont="1" applyFill="1" applyBorder="1" applyAlignment="1">
      <alignment horizontal="center" vertical="center" shrinkToFit="1"/>
    </xf>
    <xf numFmtId="0" fontId="169" fillId="0" borderId="342" xfId="1" applyNumberFormat="1" applyFont="1" applyFill="1" applyBorder="1" applyAlignment="1">
      <alignment horizontal="center" vertical="center" wrapText="1" shrinkToFit="1"/>
    </xf>
    <xf numFmtId="0" fontId="43" fillId="0" borderId="41" xfId="1" applyNumberFormat="1" applyFont="1" applyFill="1" applyBorder="1" applyAlignment="1">
      <alignment horizontal="center" vertical="center" shrinkToFit="1"/>
    </xf>
    <xf numFmtId="0" fontId="169" fillId="0" borderId="41" xfId="1" applyNumberFormat="1" applyFont="1" applyFill="1" applyBorder="1" applyAlignment="1">
      <alignment horizontal="center" vertical="center" wrapText="1" shrinkToFit="1"/>
    </xf>
    <xf numFmtId="0" fontId="169" fillId="0" borderId="0" xfId="1" applyNumberFormat="1" applyFont="1" applyFill="1" applyBorder="1" applyAlignment="1">
      <alignment horizontal="center" vertical="center" wrapText="1" shrinkToFit="1"/>
    </xf>
    <xf numFmtId="0" fontId="170" fillId="0" borderId="0" xfId="1" applyNumberFormat="1" applyFont="1" applyFill="1" applyBorder="1" applyAlignment="1">
      <alignment horizontal="center" vertical="center" wrapText="1" shrinkToFit="1"/>
    </xf>
    <xf numFmtId="0" fontId="169" fillId="0" borderId="318" xfId="1" applyNumberFormat="1" applyFont="1" applyFill="1" applyBorder="1" applyAlignment="1">
      <alignment horizontal="center" vertical="center" wrapText="1" shrinkToFit="1"/>
    </xf>
    <xf numFmtId="0" fontId="90" fillId="0" borderId="0" xfId="13" applyFont="1">
      <alignment vertical="center"/>
    </xf>
    <xf numFmtId="0" fontId="43" fillId="9" borderId="283" xfId="1" applyNumberFormat="1" applyFont="1" applyFill="1" applyBorder="1" applyAlignment="1">
      <alignment horizontal="center" vertical="center" shrinkToFit="1"/>
    </xf>
    <xf numFmtId="38" fontId="44" fillId="9" borderId="282" xfId="1" applyFont="1" applyFill="1" applyBorder="1" applyAlignment="1">
      <alignment horizontal="center" vertical="center" shrinkToFit="1"/>
    </xf>
    <xf numFmtId="38" fontId="43" fillId="9" borderId="284" xfId="1" applyFont="1" applyFill="1" applyBorder="1" applyAlignment="1">
      <alignment horizontal="centerContinuous" vertical="center" shrinkToFit="1"/>
    </xf>
    <xf numFmtId="0" fontId="43" fillId="2" borderId="142" xfId="0" applyFont="1" applyFill="1" applyBorder="1" applyAlignment="1">
      <alignment horizontal="center" vertical="center" wrapText="1" shrinkToFit="1"/>
    </xf>
    <xf numFmtId="0" fontId="43" fillId="9" borderId="0" xfId="1" applyNumberFormat="1" applyFont="1" applyFill="1" applyBorder="1" applyAlignment="1">
      <alignment horizontal="center" vertical="center" shrinkToFit="1"/>
    </xf>
    <xf numFmtId="38" fontId="85" fillId="9" borderId="293" xfId="1" applyFont="1" applyFill="1" applyBorder="1" applyAlignment="1">
      <alignment horizontal="center" vertical="center" shrinkToFit="1"/>
    </xf>
    <xf numFmtId="38" fontId="43" fillId="9" borderId="280" xfId="1" applyFont="1" applyFill="1" applyBorder="1" applyAlignment="1">
      <alignment horizontal="centerContinuous" vertical="center" wrapText="1" shrinkToFit="1"/>
    </xf>
    <xf numFmtId="0" fontId="43" fillId="0" borderId="306" xfId="1" applyNumberFormat="1" applyFont="1" applyFill="1" applyBorder="1" applyAlignment="1">
      <alignment horizontal="center" vertical="center" shrinkToFit="1"/>
    </xf>
    <xf numFmtId="38" fontId="43" fillId="13" borderId="307" xfId="1" applyFont="1" applyFill="1" applyBorder="1" applyAlignment="1">
      <alignment horizontal="center" vertical="center" shrinkToFit="1"/>
    </xf>
    <xf numFmtId="38" fontId="43" fillId="13" borderId="274" xfId="1" applyFont="1" applyFill="1" applyBorder="1" applyAlignment="1">
      <alignment horizontal="center" vertical="center" shrinkToFit="1"/>
    </xf>
    <xf numFmtId="38" fontId="43" fillId="0" borderId="316" xfId="1" applyFont="1" applyFill="1" applyBorder="1" applyAlignment="1">
      <alignment horizontal="left" vertical="center" wrapText="1" shrinkToFit="1"/>
    </xf>
    <xf numFmtId="0" fontId="43" fillId="0" borderId="318" xfId="1" applyNumberFormat="1" applyFont="1" applyFill="1" applyBorder="1" applyAlignment="1">
      <alignment horizontal="center" vertical="center" shrinkToFit="1"/>
    </xf>
    <xf numFmtId="38" fontId="43" fillId="13" borderId="319" xfId="1" applyFont="1" applyFill="1" applyBorder="1" applyAlignment="1">
      <alignment horizontal="center" vertical="center" shrinkToFit="1"/>
    </xf>
    <xf numFmtId="38" fontId="43" fillId="0" borderId="328" xfId="1" applyFont="1" applyFill="1" applyBorder="1" applyAlignment="1">
      <alignment horizontal="left" vertical="center" wrapText="1" shrinkToFit="1"/>
    </xf>
    <xf numFmtId="38" fontId="43" fillId="13" borderId="330" xfId="1" applyFont="1" applyFill="1" applyBorder="1" applyAlignment="1">
      <alignment horizontal="center" vertical="center" shrinkToFit="1"/>
    </xf>
    <xf numFmtId="38" fontId="43" fillId="0" borderId="28" xfId="1" applyFont="1" applyFill="1" applyBorder="1" applyAlignment="1">
      <alignment horizontal="left" vertical="center" wrapText="1" shrinkToFit="1"/>
    </xf>
    <xf numFmtId="38" fontId="43" fillId="13" borderId="324" xfId="1" applyFont="1" applyFill="1" applyBorder="1" applyAlignment="1">
      <alignment horizontal="center" vertical="center" shrinkToFit="1"/>
    </xf>
    <xf numFmtId="9" fontId="43" fillId="0" borderId="779" xfId="10" applyFont="1" applyFill="1" applyBorder="1" applyAlignment="1">
      <alignment horizontal="center" vertical="center" shrinkToFit="1"/>
    </xf>
    <xf numFmtId="9" fontId="43" fillId="0" borderId="323" xfId="10" applyFont="1" applyFill="1" applyBorder="1" applyAlignment="1">
      <alignment horizontal="center" vertical="center" shrinkToFit="1"/>
    </xf>
    <xf numFmtId="38" fontId="43" fillId="13" borderId="384" xfId="1" applyFont="1" applyFill="1" applyBorder="1" applyAlignment="1">
      <alignment horizontal="center" vertical="center" shrinkToFit="1"/>
    </xf>
    <xf numFmtId="0" fontId="45" fillId="0" borderId="390" xfId="13" applyFont="1" applyBorder="1" applyAlignment="1">
      <alignment horizontal="center" vertical="center" textRotation="255" shrinkToFit="1"/>
    </xf>
    <xf numFmtId="38" fontId="44" fillId="0" borderId="665" xfId="1" applyFont="1" applyBorder="1" applyAlignment="1">
      <alignment horizontal="center" vertical="center" shrinkToFit="1"/>
    </xf>
    <xf numFmtId="0" fontId="43" fillId="0" borderId="389" xfId="0" applyFont="1" applyBorder="1" applyAlignment="1">
      <alignment horizontal="center" vertical="center" shrinkToFit="1"/>
    </xf>
    <xf numFmtId="0" fontId="43" fillId="0" borderId="8" xfId="1" applyNumberFormat="1" applyFont="1" applyFill="1" applyBorder="1" applyAlignment="1">
      <alignment horizontal="center" vertical="center" shrinkToFit="1"/>
    </xf>
    <xf numFmtId="0" fontId="42" fillId="0" borderId="5" xfId="1" applyNumberFormat="1" applyFont="1" applyFill="1" applyBorder="1" applyAlignment="1">
      <alignment horizontal="center" vertical="center" shrinkToFit="1"/>
    </xf>
    <xf numFmtId="38" fontId="43" fillId="13" borderId="724" xfId="1" applyFont="1" applyFill="1" applyBorder="1" applyAlignment="1">
      <alignment horizontal="center" vertical="center" shrinkToFit="1"/>
    </xf>
    <xf numFmtId="0" fontId="43" fillId="0" borderId="538" xfId="1" applyNumberFormat="1" applyFont="1" applyFill="1" applyBorder="1" applyAlignment="1">
      <alignment horizontal="center" vertical="center" shrinkToFit="1"/>
    </xf>
    <xf numFmtId="0" fontId="42" fillId="0" borderId="780" xfId="1" applyNumberFormat="1" applyFont="1" applyFill="1" applyBorder="1" applyAlignment="1">
      <alignment horizontal="center" vertical="center" shrinkToFit="1"/>
    </xf>
    <xf numFmtId="0" fontId="42" fillId="0" borderId="343" xfId="1" applyNumberFormat="1" applyFont="1" applyFill="1" applyBorder="1" applyAlignment="1">
      <alignment horizontal="center" vertical="center" shrinkToFit="1"/>
    </xf>
    <xf numFmtId="38" fontId="43" fillId="13" borderId="390" xfId="1" applyFont="1" applyFill="1" applyBorder="1" applyAlignment="1">
      <alignment horizontal="center" vertical="center" shrinkToFit="1"/>
    </xf>
    <xf numFmtId="0" fontId="43" fillId="0" borderId="11" xfId="1" applyNumberFormat="1" applyFont="1" applyFill="1" applyBorder="1" applyAlignment="1">
      <alignment horizontal="center" vertical="center" shrinkToFit="1"/>
    </xf>
    <xf numFmtId="0" fontId="42" fillId="0" borderId="97" xfId="1" applyNumberFormat="1" applyFont="1" applyFill="1" applyBorder="1" applyAlignment="1">
      <alignment horizontal="center" vertical="center" shrinkToFit="1"/>
    </xf>
    <xf numFmtId="38" fontId="43" fillId="13" borderId="372" xfId="1" applyFont="1" applyFill="1" applyBorder="1" applyAlignment="1">
      <alignment horizontal="center" vertical="center" shrinkToFit="1"/>
    </xf>
    <xf numFmtId="38" fontId="43" fillId="0" borderId="97" xfId="1" applyFont="1" applyFill="1" applyBorder="1" applyAlignment="1">
      <alignment horizontal="left" vertical="center" wrapText="1" shrinkToFit="1"/>
    </xf>
    <xf numFmtId="0" fontId="45" fillId="0" borderId="40" xfId="13" applyFont="1" applyBorder="1" applyAlignment="1">
      <alignment horizontal="center" vertical="center" shrinkToFit="1"/>
    </xf>
    <xf numFmtId="0" fontId="45" fillId="0" borderId="41" xfId="13" applyFont="1" applyBorder="1" applyAlignment="1">
      <alignment horizontal="center" vertical="center" shrinkToFit="1"/>
    </xf>
    <xf numFmtId="0" fontId="45" fillId="6" borderId="28" xfId="13" applyFont="1" applyFill="1" applyBorder="1" applyAlignment="1">
      <alignment horizontal="center" vertical="center" textRotation="255" shrinkToFit="1"/>
    </xf>
    <xf numFmtId="0" fontId="43" fillId="6" borderId="0" xfId="1" applyNumberFormat="1" applyFont="1" applyFill="1" applyBorder="1" applyAlignment="1">
      <alignment horizontal="center" vertical="center" shrinkToFit="1"/>
    </xf>
    <xf numFmtId="38" fontId="43" fillId="6" borderId="280" xfId="1" applyFont="1" applyFill="1" applyBorder="1" applyAlignment="1">
      <alignment horizontal="center" vertical="center" shrinkToFit="1"/>
    </xf>
    <xf numFmtId="38" fontId="43" fillId="6" borderId="280" xfId="1" applyFont="1" applyFill="1" applyBorder="1" applyAlignment="1">
      <alignment horizontal="centerContinuous" vertical="center" wrapText="1" shrinkToFit="1"/>
    </xf>
    <xf numFmtId="3" fontId="65" fillId="19" borderId="107" xfId="11" applyNumberFormat="1" applyFont="1" applyFill="1" applyBorder="1" applyAlignment="1">
      <alignment horizontal="center" vertical="center" wrapText="1" shrinkToFit="1"/>
    </xf>
    <xf numFmtId="180" fontId="175" fillId="0" borderId="0" xfId="0" applyNumberFormat="1" applyFont="1" applyAlignment="1">
      <alignment horizontal="right" vertical="center" shrinkToFit="1"/>
    </xf>
    <xf numFmtId="180" fontId="175" fillId="0" borderId="0" xfId="0" applyNumberFormat="1" applyFont="1" applyAlignment="1">
      <alignment horizontal="center" vertical="center" shrinkToFit="1"/>
    </xf>
    <xf numFmtId="0" fontId="64" fillId="0" borderId="0" xfId="0" applyFont="1" applyAlignment="1">
      <alignment horizontal="left" vertical="center"/>
    </xf>
    <xf numFmtId="0" fontId="55" fillId="0" borderId="0" xfId="0" applyFont="1" applyAlignment="1">
      <alignment horizontal="center" vertical="center" shrinkToFit="1"/>
    </xf>
    <xf numFmtId="0" fontId="55" fillId="0" borderId="0" xfId="0" applyFont="1" applyAlignment="1">
      <alignment horizontal="right" vertical="center" shrinkToFit="1"/>
    </xf>
    <xf numFmtId="3" fontId="62" fillId="22" borderId="107" xfId="0" applyNumberFormat="1" applyFont="1" applyFill="1" applyBorder="1" applyAlignment="1">
      <alignment vertical="center" shrinkToFit="1"/>
    </xf>
    <xf numFmtId="0" fontId="175" fillId="22" borderId="27" xfId="0" applyFont="1" applyFill="1" applyBorder="1" applyAlignment="1">
      <alignment horizontal="center" vertical="center" shrinkToFit="1"/>
    </xf>
    <xf numFmtId="0" fontId="62" fillId="22" borderId="27" xfId="13" applyFont="1" applyFill="1" applyBorder="1" applyAlignment="1">
      <alignment horizontal="center" vertical="center"/>
    </xf>
    <xf numFmtId="0" fontId="50" fillId="22" borderId="27" xfId="13" applyFont="1" applyFill="1" applyBorder="1" applyAlignment="1">
      <alignment horizontal="center" vertical="center"/>
    </xf>
    <xf numFmtId="0" fontId="62" fillId="22" borderId="37" xfId="13" applyFont="1" applyFill="1" applyBorder="1" applyAlignment="1">
      <alignment horizontal="center" vertical="center" wrapText="1"/>
    </xf>
    <xf numFmtId="0" fontId="175" fillId="49" borderId="27" xfId="13" applyFont="1" applyFill="1" applyBorder="1" applyAlignment="1">
      <alignment horizontal="center" vertical="center" wrapText="1"/>
    </xf>
    <xf numFmtId="0" fontId="50" fillId="48" borderId="781" xfId="13" applyFont="1" applyFill="1" applyBorder="1" applyAlignment="1">
      <alignment horizontal="center" vertical="center" wrapText="1"/>
    </xf>
    <xf numFmtId="0" fontId="50" fillId="48" borderId="782" xfId="13" applyFont="1" applyFill="1" applyBorder="1" applyAlignment="1">
      <alignment horizontal="center" vertical="center" wrapText="1"/>
    </xf>
    <xf numFmtId="0" fontId="61" fillId="24" borderId="124" xfId="0" applyFont="1" applyFill="1" applyBorder="1" applyAlignment="1">
      <alignment horizontal="center" vertical="center" shrinkToFit="1"/>
    </xf>
    <xf numFmtId="190" fontId="72" fillId="24" borderId="722" xfId="0" applyNumberFormat="1" applyFont="1" applyFill="1" applyBorder="1" applyAlignment="1">
      <alignment vertical="center" shrinkToFit="1"/>
    </xf>
    <xf numFmtId="0" fontId="61" fillId="25" borderId="124" xfId="0" applyFont="1" applyFill="1" applyBorder="1" applyAlignment="1">
      <alignment horizontal="center" vertical="center" shrinkToFit="1"/>
    </xf>
    <xf numFmtId="191" fontId="61" fillId="50" borderId="783" xfId="0" applyNumberFormat="1" applyFont="1" applyFill="1" applyBorder="1" applyAlignment="1">
      <alignment horizontal="right" vertical="center" shrinkToFit="1"/>
    </xf>
    <xf numFmtId="192" fontId="61" fillId="50" borderId="784" xfId="0" applyNumberFormat="1" applyFont="1" applyFill="1" applyBorder="1" applyAlignment="1">
      <alignment horizontal="right" vertical="center" shrinkToFit="1"/>
    </xf>
    <xf numFmtId="14" fontId="64" fillId="0" borderId="26" xfId="0" applyNumberFormat="1" applyFont="1" applyBorder="1" applyAlignment="1">
      <alignment horizontal="center" vertical="center" shrinkToFit="1"/>
    </xf>
    <xf numFmtId="41" fontId="64" fillId="0" borderId="158" xfId="0" applyNumberFormat="1" applyFont="1" applyBorder="1" applyAlignment="1">
      <alignment horizontal="center" vertical="center" shrinkToFit="1"/>
    </xf>
    <xf numFmtId="208" fontId="24" fillId="2" borderId="145" xfId="0" applyNumberFormat="1" applyFont="1" applyFill="1" applyBorder="1" applyAlignment="1">
      <alignment horizontal="center" vertical="center" shrinkToFit="1"/>
    </xf>
    <xf numFmtId="208" fontId="24" fillId="2" borderId="145" xfId="0" applyNumberFormat="1" applyFont="1" applyFill="1" applyBorder="1" applyAlignment="1">
      <alignment vertical="center" shrinkToFit="1"/>
    </xf>
    <xf numFmtId="209" fontId="24" fillId="2" borderId="145" xfId="0" applyNumberFormat="1" applyFont="1" applyFill="1" applyBorder="1" applyAlignment="1">
      <alignment vertical="center" shrinkToFit="1"/>
    </xf>
    <xf numFmtId="190" fontId="72" fillId="24" borderId="6" xfId="0" applyNumberFormat="1" applyFont="1" applyFill="1" applyBorder="1" applyAlignment="1">
      <alignment vertical="center" shrinkToFit="1"/>
    </xf>
    <xf numFmtId="0" fontId="61" fillId="25" borderId="140" xfId="0" applyFont="1" applyFill="1" applyBorder="1" applyAlignment="1">
      <alignment horizontal="center" vertical="center" shrinkToFit="1"/>
    </xf>
    <xf numFmtId="191" fontId="61" fillId="50" borderId="785" xfId="0" applyNumberFormat="1" applyFont="1" applyFill="1" applyBorder="1" applyAlignment="1">
      <alignment horizontal="right" vertical="center" shrinkToFit="1"/>
    </xf>
    <xf numFmtId="192" fontId="61" fillId="50" borderId="786" xfId="0" applyNumberFormat="1" applyFont="1" applyFill="1" applyBorder="1" applyAlignment="1">
      <alignment horizontal="right" vertical="center" shrinkToFit="1"/>
    </xf>
    <xf numFmtId="14" fontId="64" fillId="0" borderId="145" xfId="0" applyNumberFormat="1" applyFont="1" applyBorder="1" applyAlignment="1">
      <alignment horizontal="center" vertical="center" shrinkToFit="1"/>
    </xf>
    <xf numFmtId="41" fontId="64" fillId="0" borderId="182" xfId="0" applyNumberFormat="1" applyFont="1" applyBorder="1" applyAlignment="1">
      <alignment horizontal="center" vertical="center" shrinkToFit="1"/>
    </xf>
    <xf numFmtId="41" fontId="24" fillId="0" borderId="145" xfId="0" applyNumberFormat="1" applyFont="1" applyBorder="1">
      <alignment vertical="center"/>
    </xf>
    <xf numFmtId="0" fontId="61" fillId="24" borderId="145" xfId="0" applyFont="1" applyFill="1" applyBorder="1" applyAlignment="1">
      <alignment horizontal="center" vertical="center" shrinkToFit="1"/>
    </xf>
    <xf numFmtId="0" fontId="61" fillId="25" borderId="145" xfId="0" applyFont="1" applyFill="1" applyBorder="1" applyAlignment="1">
      <alignment horizontal="center" vertical="center" shrinkToFit="1"/>
    </xf>
    <xf numFmtId="191" fontId="61" fillId="50" borderId="787" xfId="0" applyNumberFormat="1" applyFont="1" applyFill="1" applyBorder="1" applyAlignment="1">
      <alignment horizontal="right" vertical="center" shrinkToFit="1"/>
    </xf>
    <xf numFmtId="192" fontId="61" fillId="50" borderId="788" xfId="0" applyNumberFormat="1" applyFont="1" applyFill="1" applyBorder="1" applyAlignment="1">
      <alignment horizontal="right" vertical="center" shrinkToFit="1"/>
    </xf>
    <xf numFmtId="14" fontId="64" fillId="0" borderId="28" xfId="0" applyNumberFormat="1" applyFont="1" applyBorder="1" applyAlignment="1">
      <alignment horizontal="center" vertical="center" shrinkToFit="1"/>
    </xf>
    <xf numFmtId="41" fontId="64" fillId="0" borderId="180" xfId="0" applyNumberFormat="1" applyFont="1" applyBorder="1" applyAlignment="1">
      <alignment horizontal="center" vertical="center" shrinkToFit="1"/>
    </xf>
    <xf numFmtId="0" fontId="80" fillId="24" borderId="167" xfId="0" applyFont="1" applyFill="1" applyBorder="1" applyAlignment="1">
      <alignment horizontal="center" vertical="center" shrinkToFit="1"/>
    </xf>
    <xf numFmtId="190" fontId="72" fillId="24" borderId="37" xfId="0" applyNumberFormat="1" applyFont="1" applyFill="1" applyBorder="1" applyAlignment="1">
      <alignment vertical="center" shrinkToFit="1"/>
    </xf>
    <xf numFmtId="0" fontId="61" fillId="25" borderId="167" xfId="0" applyFont="1" applyFill="1" applyBorder="1" applyAlignment="1">
      <alignment horizontal="center" vertical="center" shrinkToFit="1"/>
    </xf>
    <xf numFmtId="191" fontId="61" fillId="50" borderId="789" xfId="0" applyNumberFormat="1" applyFont="1" applyFill="1" applyBorder="1" applyAlignment="1">
      <alignment horizontal="right" vertical="center" shrinkToFit="1"/>
    </xf>
    <xf numFmtId="192" fontId="61" fillId="50" borderId="790" xfId="0" applyNumberFormat="1" applyFont="1" applyFill="1" applyBorder="1" applyAlignment="1">
      <alignment horizontal="right" vertical="center" shrinkToFit="1"/>
    </xf>
    <xf numFmtId="14" fontId="64" fillId="0" borderId="192" xfId="0" applyNumberFormat="1" applyFont="1" applyBorder="1" applyAlignment="1">
      <alignment horizontal="center" vertical="center" shrinkToFit="1"/>
    </xf>
    <xf numFmtId="41" fontId="64" fillId="0" borderId="197" xfId="0" applyNumberFormat="1" applyFont="1" applyBorder="1" applyAlignment="1">
      <alignment horizontal="center" vertical="center" shrinkToFit="1"/>
    </xf>
    <xf numFmtId="208" fontId="24" fillId="2" borderId="167" xfId="0" applyNumberFormat="1" applyFont="1" applyFill="1" applyBorder="1" applyAlignment="1">
      <alignment vertical="center" shrinkToFit="1"/>
    </xf>
    <xf numFmtId="0" fontId="80" fillId="24" borderId="140" xfId="0" applyFont="1" applyFill="1" applyBorder="1" applyAlignment="1">
      <alignment horizontal="center" vertical="center" shrinkToFit="1"/>
    </xf>
    <xf numFmtId="38" fontId="64" fillId="0" borderId="27" xfId="1" applyFont="1" applyBorder="1" applyAlignment="1">
      <alignment horizontal="right" vertical="center" shrinkToFit="1"/>
    </xf>
    <xf numFmtId="0" fontId="61" fillId="24" borderId="161" xfId="0" applyFont="1" applyFill="1" applyBorder="1" applyAlignment="1">
      <alignment horizontal="center" vertical="center" shrinkToFit="1"/>
    </xf>
    <xf numFmtId="41" fontId="64" fillId="24" borderId="161" xfId="0" applyNumberFormat="1" applyFont="1" applyFill="1" applyBorder="1" applyAlignment="1">
      <alignment horizontal="center" vertical="center" shrinkToFit="1"/>
    </xf>
    <xf numFmtId="190" fontId="72" fillId="24" borderId="164" xfId="0" applyNumberFormat="1" applyFont="1" applyFill="1" applyBorder="1" applyAlignment="1">
      <alignment vertical="center" shrinkToFit="1"/>
    </xf>
    <xf numFmtId="0" fontId="61" fillId="25" borderId="161" xfId="0" applyFont="1" applyFill="1" applyBorder="1" applyAlignment="1">
      <alignment horizontal="center" vertical="center" shrinkToFit="1"/>
    </xf>
    <xf numFmtId="191" fontId="61" fillId="50" borderId="791" xfId="0" applyNumberFormat="1" applyFont="1" applyFill="1" applyBorder="1" applyAlignment="1">
      <alignment horizontal="right" vertical="center" shrinkToFit="1"/>
    </xf>
    <xf numFmtId="192" fontId="61" fillId="50" borderId="792" xfId="0" applyNumberFormat="1" applyFont="1" applyFill="1" applyBorder="1" applyAlignment="1">
      <alignment horizontal="right" vertical="center" shrinkToFit="1"/>
    </xf>
    <xf numFmtId="14" fontId="64" fillId="0" borderId="161" xfId="0" applyNumberFormat="1" applyFont="1" applyBorder="1" applyAlignment="1">
      <alignment horizontal="center" vertical="center" shrinkToFit="1"/>
    </xf>
    <xf numFmtId="41" fontId="64" fillId="0" borderId="162" xfId="0" applyNumberFormat="1" applyFont="1" applyBorder="1" applyAlignment="1">
      <alignment horizontal="center" vertical="center" shrinkToFit="1"/>
    </xf>
    <xf numFmtId="187" fontId="64" fillId="9" borderId="50" xfId="11" applyNumberFormat="1" applyFont="1" applyFill="1" applyBorder="1" applyAlignment="1">
      <alignment horizontal="center" vertical="center" shrinkToFit="1"/>
    </xf>
    <xf numFmtId="208" fontId="24" fillId="2" borderId="124" xfId="0" applyNumberFormat="1" applyFont="1" applyFill="1" applyBorder="1" applyAlignment="1">
      <alignment vertical="center" shrinkToFit="1"/>
    </xf>
    <xf numFmtId="187" fontId="64" fillId="9" borderId="28" xfId="11" applyNumberFormat="1" applyFont="1" applyFill="1" applyBorder="1" applyAlignment="1">
      <alignment horizontal="center" vertical="center" shrinkToFit="1"/>
    </xf>
    <xf numFmtId="0" fontId="61" fillId="24" borderId="28" xfId="0" applyFont="1" applyFill="1" applyBorder="1" applyAlignment="1">
      <alignment horizontal="center" vertical="center" shrinkToFit="1"/>
    </xf>
    <xf numFmtId="190" fontId="72" fillId="24" borderId="40" xfId="0" applyNumberFormat="1" applyFont="1" applyFill="1" applyBorder="1" applyAlignment="1">
      <alignment vertical="center" shrinkToFit="1"/>
    </xf>
    <xf numFmtId="0" fontId="61" fillId="25" borderId="28" xfId="0" applyFont="1" applyFill="1" applyBorder="1" applyAlignment="1">
      <alignment horizontal="center" vertical="center" shrinkToFit="1"/>
    </xf>
    <xf numFmtId="191" fontId="61" fillId="50" borderId="793" xfId="0" applyNumberFormat="1" applyFont="1" applyFill="1" applyBorder="1" applyAlignment="1">
      <alignment horizontal="right" vertical="center" shrinkToFit="1"/>
    </xf>
    <xf numFmtId="192" fontId="61" fillId="50" borderId="794" xfId="0" applyNumberFormat="1" applyFont="1" applyFill="1" applyBorder="1" applyAlignment="1">
      <alignment horizontal="right" vertical="center" shrinkToFit="1"/>
    </xf>
    <xf numFmtId="14" fontId="64" fillId="0" borderId="176" xfId="0" applyNumberFormat="1" applyFont="1" applyBorder="1" applyAlignment="1">
      <alignment horizontal="center" vertical="center" shrinkToFit="1"/>
    </xf>
    <xf numFmtId="41" fontId="64" fillId="0" borderId="177" xfId="0" applyNumberFormat="1" applyFont="1" applyBorder="1" applyAlignment="1">
      <alignment horizontal="center" vertical="center" shrinkToFit="1"/>
    </xf>
    <xf numFmtId="0" fontId="80" fillId="24" borderId="124" xfId="0" applyFont="1" applyFill="1" applyBorder="1" applyAlignment="1">
      <alignment horizontal="center" vertical="center" shrinkToFit="1"/>
    </xf>
    <xf numFmtId="0" fontId="61" fillId="24" borderId="26" xfId="0" applyFont="1" applyFill="1" applyBorder="1" applyAlignment="1">
      <alignment horizontal="center" vertical="center" shrinkToFit="1"/>
    </xf>
    <xf numFmtId="0" fontId="61" fillId="25" borderId="192" xfId="0" applyFont="1" applyFill="1" applyBorder="1" applyAlignment="1">
      <alignment horizontal="center" vertical="center" shrinkToFit="1"/>
    </xf>
    <xf numFmtId="191" fontId="61" fillId="50" borderId="795" xfId="0" applyNumberFormat="1" applyFont="1" applyFill="1" applyBorder="1" applyAlignment="1">
      <alignment horizontal="right" vertical="center" shrinkToFit="1"/>
    </xf>
    <xf numFmtId="192" fontId="61" fillId="50" borderId="796" xfId="0" applyNumberFormat="1" applyFont="1" applyFill="1" applyBorder="1" applyAlignment="1">
      <alignment horizontal="right" vertical="center" shrinkToFit="1"/>
    </xf>
    <xf numFmtId="0" fontId="61" fillId="25" borderId="176" xfId="0" applyFont="1" applyFill="1" applyBorder="1" applyAlignment="1">
      <alignment horizontal="center" vertical="center" shrinkToFit="1"/>
    </xf>
    <xf numFmtId="191" fontId="61" fillId="50" borderId="797" xfId="0" applyNumberFormat="1" applyFont="1" applyFill="1" applyBorder="1" applyAlignment="1">
      <alignment horizontal="right" vertical="center" shrinkToFit="1"/>
    </xf>
    <xf numFmtId="192" fontId="61" fillId="50" borderId="798" xfId="0" applyNumberFormat="1" applyFont="1" applyFill="1" applyBorder="1" applyAlignment="1">
      <alignment horizontal="right" vertical="center" shrinkToFit="1"/>
    </xf>
    <xf numFmtId="190" fontId="72" fillId="24" borderId="201" xfId="0" applyNumberFormat="1" applyFont="1" applyFill="1" applyBorder="1" applyAlignment="1">
      <alignment vertical="center" shrinkToFit="1"/>
    </xf>
    <xf numFmtId="0" fontId="80" fillId="24" borderId="145" xfId="0" applyFont="1" applyFill="1" applyBorder="1" applyAlignment="1">
      <alignment horizontal="center" vertical="center" shrinkToFit="1"/>
    </xf>
    <xf numFmtId="190" fontId="72" fillId="24" borderId="722" xfId="0" applyNumberFormat="1" applyFont="1" applyFill="1" applyBorder="1" applyAlignment="1">
      <alignment horizontal="right" vertical="center" shrinkToFit="1"/>
    </xf>
    <xf numFmtId="14" fontId="64" fillId="0" borderId="124" xfId="0" applyNumberFormat="1" applyFont="1" applyBorder="1" applyAlignment="1">
      <alignment horizontal="center" vertical="center" shrinkToFit="1"/>
    </xf>
    <xf numFmtId="41" fontId="64" fillId="0" borderId="125" xfId="0" applyNumberFormat="1" applyFont="1" applyBorder="1" applyAlignment="1">
      <alignment horizontal="center" vertical="center" shrinkToFit="1"/>
    </xf>
    <xf numFmtId="0" fontId="64" fillId="0" borderId="40" xfId="11" applyFont="1" applyBorder="1" applyAlignment="1">
      <alignment horizontal="center" vertical="center" shrinkToFit="1"/>
    </xf>
    <xf numFmtId="190" fontId="72" fillId="24" borderId="41" xfId="0" applyNumberFormat="1" applyFont="1" applyFill="1" applyBorder="1" applyAlignment="1">
      <alignment horizontal="right" vertical="center" shrinkToFit="1"/>
    </xf>
    <xf numFmtId="190" fontId="72" fillId="24" borderId="6" xfId="0" applyNumberFormat="1" applyFont="1" applyFill="1" applyBorder="1" applyAlignment="1">
      <alignment horizontal="right" vertical="center" shrinkToFit="1"/>
    </xf>
    <xf numFmtId="208" fontId="24" fillId="2" borderId="192" xfId="0" applyNumberFormat="1" applyFont="1" applyFill="1" applyBorder="1" applyAlignment="1">
      <alignment vertical="center" shrinkToFit="1"/>
    </xf>
    <xf numFmtId="190" fontId="72" fillId="24" borderId="40" xfId="0" applyNumberFormat="1" applyFont="1" applyFill="1" applyBorder="1" applyAlignment="1">
      <alignment horizontal="right" vertical="center" shrinkToFit="1"/>
    </xf>
    <xf numFmtId="191" fontId="61" fillId="50" borderId="799" xfId="0" applyNumberFormat="1" applyFont="1" applyFill="1" applyBorder="1" applyAlignment="1">
      <alignment horizontal="right" vertical="center" shrinkToFit="1"/>
    </xf>
    <xf numFmtId="192" fontId="61" fillId="50" borderId="800" xfId="0" applyNumberFormat="1" applyFont="1" applyFill="1" applyBorder="1" applyAlignment="1">
      <alignment horizontal="right" vertical="center" shrinkToFit="1"/>
    </xf>
    <xf numFmtId="0" fontId="64" fillId="0" borderId="142" xfId="11" applyFont="1" applyBorder="1" applyAlignment="1">
      <alignment horizontal="center" vertical="center" shrinkToFit="1"/>
    </xf>
    <xf numFmtId="190" fontId="72" fillId="24" borderId="37" xfId="0" applyNumberFormat="1" applyFont="1" applyFill="1" applyBorder="1" applyAlignment="1">
      <alignment horizontal="right" vertical="center" shrinkToFit="1"/>
    </xf>
    <xf numFmtId="0" fontId="80" fillId="24" borderId="27" xfId="1" applyNumberFormat="1" applyFont="1" applyFill="1" applyBorder="1" applyAlignment="1">
      <alignment horizontal="left" vertical="center" shrinkToFit="1"/>
    </xf>
    <xf numFmtId="187" fontId="64" fillId="13" borderId="27" xfId="11" applyNumberFormat="1" applyFont="1" applyFill="1" applyBorder="1" applyAlignment="1">
      <alignment horizontal="center" vertical="center" shrinkToFit="1"/>
    </xf>
    <xf numFmtId="0" fontId="151" fillId="0" borderId="26" xfId="1" applyNumberFormat="1" applyFont="1" applyFill="1" applyBorder="1" applyAlignment="1">
      <alignment horizontal="left" vertical="center" shrinkToFit="1"/>
    </xf>
    <xf numFmtId="187" fontId="64" fillId="13" borderId="26" xfId="11" applyNumberFormat="1" applyFont="1" applyFill="1" applyBorder="1" applyAlignment="1">
      <alignment horizontal="center" vertical="center" shrinkToFit="1"/>
    </xf>
    <xf numFmtId="0" fontId="61" fillId="25" borderId="26" xfId="0" applyFont="1" applyFill="1" applyBorder="1" applyAlignment="1">
      <alignment horizontal="center" vertical="center" shrinkToFit="1"/>
    </xf>
    <xf numFmtId="191" fontId="61" fillId="50" borderId="801" xfId="0" applyNumberFormat="1" applyFont="1" applyFill="1" applyBorder="1" applyAlignment="1">
      <alignment horizontal="right" vertical="center" shrinkToFit="1"/>
    </xf>
    <xf numFmtId="192" fontId="61" fillId="50" borderId="802" xfId="0" applyNumberFormat="1" applyFont="1" applyFill="1" applyBorder="1" applyAlignment="1">
      <alignment horizontal="right" vertical="center" shrinkToFit="1"/>
    </xf>
    <xf numFmtId="0" fontId="71" fillId="0" borderId="112" xfId="11" applyFont="1" applyBorder="1" applyAlignment="1">
      <alignment horizontal="center" vertical="center" shrinkToFit="1"/>
    </xf>
    <xf numFmtId="0" fontId="64" fillId="0" borderId="250" xfId="11" applyFont="1" applyBorder="1" applyAlignment="1">
      <alignment horizontal="center" vertical="center" shrinkToFit="1"/>
    </xf>
    <xf numFmtId="0" fontId="64" fillId="0" borderId="104" xfId="11" applyFont="1" applyBorder="1" applyAlignment="1">
      <alignment horizontal="center" vertical="center" shrinkToFit="1"/>
    </xf>
    <xf numFmtId="0" fontId="61" fillId="20" borderId="104" xfId="1" applyNumberFormat="1" applyFont="1" applyFill="1" applyBorder="1" applyAlignment="1">
      <alignment horizontal="center" vertical="center" shrinkToFit="1"/>
    </xf>
    <xf numFmtId="0" fontId="61" fillId="0" borderId="104" xfId="1" applyNumberFormat="1" applyFont="1" applyFill="1" applyBorder="1" applyAlignment="1">
      <alignment horizontal="left" vertical="center" shrinkToFit="1"/>
    </xf>
    <xf numFmtId="187" fontId="64" fillId="0" borderId="104" xfId="1" applyNumberFormat="1" applyFont="1" applyBorder="1" applyAlignment="1">
      <alignment horizontal="right" vertical="center" shrinkToFit="1"/>
    </xf>
    <xf numFmtId="187" fontId="64" fillId="0" borderId="104" xfId="11" applyNumberFormat="1" applyFont="1" applyBorder="1" applyAlignment="1">
      <alignment horizontal="right" vertical="center" shrinkToFit="1"/>
    </xf>
    <xf numFmtId="187" fontId="64" fillId="0" borderId="104" xfId="11" applyNumberFormat="1" applyFont="1" applyBorder="1" applyAlignment="1">
      <alignment horizontal="center" vertical="center" shrinkToFit="1"/>
    </xf>
    <xf numFmtId="187" fontId="64" fillId="0" borderId="104" xfId="0" applyNumberFormat="1" applyFont="1" applyBorder="1" applyAlignment="1">
      <alignment horizontal="center" vertical="center" wrapText="1" shrinkToFit="1"/>
    </xf>
    <xf numFmtId="0" fontId="61" fillId="0" borderId="104" xfId="1" applyNumberFormat="1" applyFont="1" applyFill="1" applyBorder="1" applyAlignment="1">
      <alignment horizontal="center" vertical="center" shrinkToFit="1"/>
    </xf>
    <xf numFmtId="0" fontId="61" fillId="24" borderId="255" xfId="0" applyFont="1" applyFill="1" applyBorder="1" applyAlignment="1">
      <alignment horizontal="center" vertical="center" shrinkToFit="1"/>
    </xf>
    <xf numFmtId="41" fontId="64" fillId="24" borderId="255" xfId="0" applyNumberFormat="1" applyFont="1" applyFill="1" applyBorder="1" applyAlignment="1">
      <alignment horizontal="center" vertical="center" shrinkToFit="1"/>
    </xf>
    <xf numFmtId="190" fontId="64" fillId="24" borderId="255" xfId="0" applyNumberFormat="1" applyFont="1" applyFill="1" applyBorder="1" applyAlignment="1">
      <alignment horizontal="right" vertical="center" shrinkToFit="1"/>
    </xf>
    <xf numFmtId="190" fontId="72" fillId="24" borderId="111" xfId="0" applyNumberFormat="1" applyFont="1" applyFill="1" applyBorder="1" applyAlignment="1">
      <alignment horizontal="right" vertical="center" shrinkToFit="1"/>
    </xf>
    <xf numFmtId="0" fontId="61" fillId="25" borderId="255" xfId="0" applyFont="1" applyFill="1" applyBorder="1" applyAlignment="1">
      <alignment horizontal="center" vertical="center" shrinkToFit="1"/>
    </xf>
    <xf numFmtId="191" fontId="61" fillId="50" borderId="803" xfId="0" applyNumberFormat="1" applyFont="1" applyFill="1" applyBorder="1" applyAlignment="1">
      <alignment horizontal="right" vertical="center" shrinkToFit="1"/>
    </xf>
    <xf numFmtId="192" fontId="61" fillId="50" borderId="804" xfId="0" applyNumberFormat="1" applyFont="1" applyFill="1" applyBorder="1" applyAlignment="1">
      <alignment horizontal="right" vertical="center" shrinkToFit="1"/>
    </xf>
    <xf numFmtId="180" fontId="72" fillId="25" borderId="110" xfId="0" applyNumberFormat="1" applyFont="1" applyFill="1" applyBorder="1" applyAlignment="1">
      <alignment vertical="center" shrinkToFit="1"/>
    </xf>
    <xf numFmtId="9" fontId="72" fillId="25" borderId="104" xfId="10" applyFont="1" applyFill="1" applyBorder="1" applyAlignment="1">
      <alignment horizontal="right" vertical="center" shrinkToFit="1"/>
    </xf>
    <xf numFmtId="41" fontId="64" fillId="20" borderId="252" xfId="0" applyNumberFormat="1" applyFont="1" applyFill="1" applyBorder="1" applyAlignment="1">
      <alignment horizontal="center" vertical="center" shrinkToFit="1"/>
    </xf>
    <xf numFmtId="14" fontId="64" fillId="0" borderId="255" xfId="0" applyNumberFormat="1" applyFont="1" applyBorder="1" applyAlignment="1">
      <alignment horizontal="center" vertical="center" shrinkToFit="1"/>
    </xf>
    <xf numFmtId="41" fontId="64" fillId="0" borderId="257" xfId="0" applyNumberFormat="1" applyFont="1" applyBorder="1" applyAlignment="1">
      <alignment horizontal="center" vertical="center" shrinkToFit="1"/>
    </xf>
    <xf numFmtId="41" fontId="24" fillId="0" borderId="253" xfId="0" applyNumberFormat="1" applyFont="1" applyBorder="1" applyAlignment="1">
      <alignment horizontal="center" vertical="center" shrinkToFit="1"/>
    </xf>
    <xf numFmtId="41" fontId="24" fillId="0" borderId="252" xfId="0" applyNumberFormat="1" applyFont="1" applyBorder="1" applyAlignment="1">
      <alignment vertical="center" shrinkToFit="1"/>
    </xf>
    <xf numFmtId="208" fontId="24" fillId="2" borderId="255" xfId="0" applyNumberFormat="1" applyFont="1" applyFill="1" applyBorder="1" applyAlignment="1">
      <alignment vertical="center" shrinkToFit="1"/>
    </xf>
    <xf numFmtId="41" fontId="24" fillId="0" borderId="257" xfId="0" applyNumberFormat="1" applyFont="1" applyBorder="1" applyAlignment="1">
      <alignment vertical="center" shrinkToFit="1"/>
    </xf>
    <xf numFmtId="180" fontId="72" fillId="25" borderId="75" xfId="0" applyNumberFormat="1" applyFont="1" applyFill="1" applyBorder="1" applyAlignment="1">
      <alignment vertical="center" shrinkToFit="1"/>
    </xf>
    <xf numFmtId="0" fontId="151" fillId="24" borderId="28" xfId="1" applyNumberFormat="1" applyFont="1" applyFill="1" applyBorder="1" applyAlignment="1">
      <alignment horizontal="left" vertical="center" shrinkToFit="1"/>
    </xf>
    <xf numFmtId="208" fontId="24" fillId="2" borderId="140" xfId="0" applyNumberFormat="1" applyFont="1" applyFill="1" applyBorder="1" applyAlignment="1">
      <alignment vertical="center" shrinkToFit="1"/>
    </xf>
    <xf numFmtId="0" fontId="61" fillId="24" borderId="242" xfId="0" applyFont="1" applyFill="1" applyBorder="1" applyAlignment="1">
      <alignment horizontal="center" vertical="center" shrinkToFit="1"/>
    </xf>
    <xf numFmtId="190" fontId="72" fillId="24" borderId="246" xfId="0" applyNumberFormat="1" applyFont="1" applyFill="1" applyBorder="1" applyAlignment="1">
      <alignment vertical="center" shrinkToFit="1"/>
    </xf>
    <xf numFmtId="0" fontId="61" fillId="25" borderId="242" xfId="0" applyFont="1" applyFill="1" applyBorder="1" applyAlignment="1">
      <alignment horizontal="center" vertical="center" shrinkToFit="1"/>
    </xf>
    <xf numFmtId="191" fontId="61" fillId="50" borderId="805" xfId="0" applyNumberFormat="1" applyFont="1" applyFill="1" applyBorder="1" applyAlignment="1">
      <alignment horizontal="right" vertical="center" shrinkToFit="1"/>
    </xf>
    <xf numFmtId="192" fontId="61" fillId="50" borderId="806" xfId="0" applyNumberFormat="1" applyFont="1" applyFill="1" applyBorder="1" applyAlignment="1">
      <alignment horizontal="right" vertical="center" shrinkToFit="1"/>
    </xf>
    <xf numFmtId="41" fontId="64" fillId="20" borderId="243" xfId="0" applyNumberFormat="1" applyFont="1" applyFill="1" applyBorder="1" applyAlignment="1">
      <alignment horizontal="center" vertical="center" shrinkToFit="1"/>
    </xf>
    <xf numFmtId="14" fontId="64" fillId="0" borderId="242" xfId="0" applyNumberFormat="1" applyFont="1" applyBorder="1" applyAlignment="1">
      <alignment horizontal="center" vertical="center" shrinkToFit="1"/>
    </xf>
    <xf numFmtId="41" fontId="64" fillId="0" borderId="244" xfId="0" applyNumberFormat="1" applyFont="1" applyBorder="1" applyAlignment="1">
      <alignment horizontal="center" vertical="center" shrinkToFit="1"/>
    </xf>
    <xf numFmtId="41" fontId="24" fillId="0" borderId="262" xfId="0" applyNumberFormat="1" applyFont="1" applyBorder="1" applyAlignment="1">
      <alignment horizontal="center" vertical="center" shrinkToFit="1"/>
    </xf>
    <xf numFmtId="41" fontId="24" fillId="0" borderId="242" xfId="0" applyNumberFormat="1" applyFont="1" applyBorder="1" applyAlignment="1">
      <alignment vertical="center" shrinkToFit="1"/>
    </xf>
    <xf numFmtId="41" fontId="24" fillId="0" borderId="244" xfId="0" applyNumberFormat="1" applyFont="1" applyBorder="1" applyAlignment="1">
      <alignment vertical="center" shrinkToFit="1"/>
    </xf>
    <xf numFmtId="0" fontId="64" fillId="0" borderId="37" xfId="11" applyFont="1" applyBorder="1" applyAlignment="1">
      <alignment horizontal="center" vertical="center" shrinkToFit="1"/>
    </xf>
    <xf numFmtId="0" fontId="61" fillId="24" borderId="27" xfId="0" applyFont="1" applyFill="1" applyBorder="1" applyAlignment="1">
      <alignment horizontal="center" vertical="center" shrinkToFit="1"/>
    </xf>
    <xf numFmtId="41" fontId="64" fillId="24" borderId="42" xfId="0" applyNumberFormat="1" applyFont="1" applyFill="1" applyBorder="1" applyAlignment="1">
      <alignment horizontal="center" vertical="center" shrinkToFit="1"/>
    </xf>
    <xf numFmtId="180" fontId="72" fillId="25" borderId="41" xfId="0" applyNumberFormat="1" applyFont="1" applyFill="1" applyBorder="1" applyAlignment="1">
      <alignment vertical="center" shrinkToFit="1"/>
    </xf>
    <xf numFmtId="0" fontId="71" fillId="0" borderId="156" xfId="11" applyFont="1" applyBorder="1" applyAlignment="1">
      <alignment horizontal="center" vertical="center" shrinkToFit="1"/>
    </xf>
    <xf numFmtId="0" fontId="71" fillId="0" borderId="0" xfId="11" applyFont="1" applyAlignment="1">
      <alignment horizontal="center" vertical="center" shrinkToFit="1"/>
    </xf>
    <xf numFmtId="0" fontId="73" fillId="20" borderId="26" xfId="1" applyNumberFormat="1" applyFont="1" applyFill="1" applyBorder="1" applyAlignment="1">
      <alignment horizontal="center" vertical="center" shrinkToFit="1"/>
    </xf>
    <xf numFmtId="0" fontId="80" fillId="24" borderId="26" xfId="1" applyNumberFormat="1" applyFont="1" applyFill="1" applyBorder="1" applyAlignment="1">
      <alignment vertical="center" shrinkToFit="1"/>
    </xf>
    <xf numFmtId="0" fontId="73" fillId="0" borderId="26" xfId="1" applyNumberFormat="1" applyFont="1" applyBorder="1" applyAlignment="1">
      <alignment horizontal="center" vertical="center" shrinkToFit="1"/>
    </xf>
    <xf numFmtId="0" fontId="71" fillId="0" borderId="6" xfId="11" applyFont="1" applyBorder="1" applyAlignment="1">
      <alignment horizontal="center" vertical="center" shrinkToFit="1"/>
    </xf>
    <xf numFmtId="41" fontId="71" fillId="24" borderId="167" xfId="0" applyNumberFormat="1" applyFont="1" applyFill="1" applyBorder="1" applyAlignment="1">
      <alignment horizontal="center" vertical="center" shrinkToFit="1"/>
    </xf>
    <xf numFmtId="190" fontId="71" fillId="24" borderId="167" xfId="0" applyNumberFormat="1" applyFont="1" applyFill="1" applyBorder="1" applyAlignment="1">
      <alignment horizontal="right" vertical="center" shrinkToFit="1"/>
    </xf>
    <xf numFmtId="190" fontId="176" fillId="24" borderId="6" xfId="0" applyNumberFormat="1" applyFont="1" applyFill="1" applyBorder="1" applyAlignment="1">
      <alignment vertical="center" shrinkToFit="1"/>
    </xf>
    <xf numFmtId="180" fontId="176" fillId="25" borderId="142" xfId="0" applyNumberFormat="1" applyFont="1" applyFill="1" applyBorder="1" applyAlignment="1">
      <alignment vertical="center" shrinkToFit="1"/>
    </xf>
    <xf numFmtId="9" fontId="176" fillId="25" borderId="26" xfId="10" applyFont="1" applyFill="1" applyBorder="1" applyAlignment="1">
      <alignment vertical="center" shrinkToFit="1"/>
    </xf>
    <xf numFmtId="41" fontId="71" fillId="20" borderId="190" xfId="0" applyNumberFormat="1" applyFont="1" applyFill="1" applyBorder="1" applyAlignment="1">
      <alignment horizontal="center" vertical="center" shrinkToFit="1"/>
    </xf>
    <xf numFmtId="41" fontId="54" fillId="0" borderId="191" xfId="0" applyNumberFormat="1" applyFont="1" applyBorder="1" applyAlignment="1">
      <alignment horizontal="center" vertical="center" shrinkToFit="1"/>
    </xf>
    <xf numFmtId="41" fontId="54" fillId="0" borderId="74" xfId="0" applyNumberFormat="1" applyFont="1" applyBorder="1" applyAlignment="1">
      <alignment vertical="center" shrinkToFit="1"/>
    </xf>
    <xf numFmtId="41" fontId="54" fillId="0" borderId="170" xfId="0" applyNumberFormat="1" applyFont="1" applyBorder="1" applyAlignment="1">
      <alignment vertical="center" shrinkToFit="1"/>
    </xf>
    <xf numFmtId="208" fontId="54" fillId="2" borderId="167" xfId="0" applyNumberFormat="1" applyFont="1" applyFill="1" applyBorder="1" applyAlignment="1">
      <alignment vertical="center" shrinkToFit="1"/>
    </xf>
    <xf numFmtId="41" fontId="54" fillId="0" borderId="168" xfId="0" applyNumberFormat="1" applyFont="1" applyBorder="1" applyAlignment="1">
      <alignment vertical="center" shrinkToFit="1"/>
    </xf>
    <xf numFmtId="41" fontId="71" fillId="0" borderId="0" xfId="0" applyNumberFormat="1" applyFont="1" applyAlignment="1">
      <alignment vertical="center" shrinkToFit="1"/>
    </xf>
    <xf numFmtId="0" fontId="73" fillId="0" borderId="154" xfId="1" applyNumberFormat="1" applyFont="1" applyBorder="1" applyAlignment="1">
      <alignment vertical="center" shrinkToFit="1"/>
    </xf>
    <xf numFmtId="0" fontId="73" fillId="0" borderId="155" xfId="1" applyNumberFormat="1" applyFont="1" applyBorder="1" applyAlignment="1">
      <alignment vertical="center" shrinkToFit="1"/>
    </xf>
    <xf numFmtId="0" fontId="150" fillId="0" borderId="0" xfId="0" applyFont="1" applyAlignment="1">
      <alignment vertical="center" shrinkToFit="1"/>
    </xf>
    <xf numFmtId="0" fontId="73" fillId="20" borderId="28" xfId="1" applyNumberFormat="1" applyFont="1" applyFill="1" applyBorder="1" applyAlignment="1">
      <alignment horizontal="center" vertical="center" shrinkToFit="1"/>
    </xf>
    <xf numFmtId="0" fontId="73" fillId="0" borderId="28" xfId="1" applyNumberFormat="1" applyFont="1" applyBorder="1" applyAlignment="1">
      <alignment vertical="center" shrinkToFit="1"/>
    </xf>
    <xf numFmtId="0" fontId="73" fillId="0" borderId="28" xfId="1" applyNumberFormat="1" applyFont="1" applyBorder="1" applyAlignment="1">
      <alignment horizontal="center" vertical="center" shrinkToFit="1"/>
    </xf>
    <xf numFmtId="0" fontId="71" fillId="0" borderId="40" xfId="11" applyFont="1" applyBorder="1" applyAlignment="1">
      <alignment horizontal="center" vertical="center" shrinkToFit="1"/>
    </xf>
    <xf numFmtId="41" fontId="71" fillId="24" borderId="28" xfId="0" applyNumberFormat="1" applyFont="1" applyFill="1" applyBorder="1" applyAlignment="1">
      <alignment horizontal="center" vertical="center" shrinkToFit="1"/>
    </xf>
    <xf numFmtId="190" fontId="71" fillId="24" borderId="28" xfId="0" applyNumberFormat="1" applyFont="1" applyFill="1" applyBorder="1" applyAlignment="1">
      <alignment horizontal="right" vertical="center" shrinkToFit="1"/>
    </xf>
    <xf numFmtId="190" fontId="176" fillId="24" borderId="40" xfId="0" applyNumberFormat="1" applyFont="1" applyFill="1" applyBorder="1" applyAlignment="1">
      <alignment vertical="center" shrinkToFit="1"/>
    </xf>
    <xf numFmtId="180" fontId="176" fillId="25" borderId="42" xfId="0" applyNumberFormat="1" applyFont="1" applyFill="1" applyBorder="1" applyAlignment="1">
      <alignment vertical="center" shrinkToFit="1"/>
    </xf>
    <xf numFmtId="9" fontId="176" fillId="25" borderId="28" xfId="10" applyFont="1" applyFill="1" applyBorder="1" applyAlignment="1">
      <alignment vertical="center" shrinkToFit="1"/>
    </xf>
    <xf numFmtId="41" fontId="71" fillId="20" borderId="201" xfId="0" applyNumberFormat="1" applyFont="1" applyFill="1" applyBorder="1" applyAlignment="1">
      <alignment horizontal="center" vertical="center" shrinkToFit="1"/>
    </xf>
    <xf numFmtId="14" fontId="71" fillId="0" borderId="176" xfId="0" applyNumberFormat="1" applyFont="1" applyBorder="1" applyAlignment="1">
      <alignment horizontal="center" vertical="center" shrinkToFit="1"/>
    </xf>
    <xf numFmtId="41" fontId="71" fillId="0" borderId="177" xfId="0" applyNumberFormat="1" applyFont="1" applyBorder="1" applyAlignment="1">
      <alignment horizontal="center" vertical="center" shrinkToFit="1"/>
    </xf>
    <xf numFmtId="41" fontId="54" fillId="0" borderId="202" xfId="0" applyNumberFormat="1" applyFont="1" applyBorder="1" applyAlignment="1">
      <alignment horizontal="center" vertical="center" shrinkToFit="1"/>
    </xf>
    <xf numFmtId="41" fontId="54" fillId="0" borderId="42" xfId="0" applyNumberFormat="1" applyFont="1" applyBorder="1" applyAlignment="1">
      <alignment vertical="center" shrinkToFit="1"/>
    </xf>
    <xf numFmtId="0" fontId="150" fillId="0" borderId="101" xfId="0" applyFont="1" applyBorder="1" applyAlignment="1">
      <alignment vertical="center" shrinkToFit="1"/>
    </xf>
    <xf numFmtId="0" fontId="151" fillId="24" borderId="26" xfId="1" applyNumberFormat="1" applyFont="1" applyFill="1" applyBorder="1" applyAlignment="1">
      <alignment vertical="center" shrinkToFit="1"/>
    </xf>
    <xf numFmtId="41" fontId="71" fillId="24" borderId="192" xfId="0" applyNumberFormat="1" applyFont="1" applyFill="1" applyBorder="1" applyAlignment="1">
      <alignment horizontal="center" vertical="center" shrinkToFit="1"/>
    </xf>
    <xf numFmtId="190" fontId="71" fillId="24" borderId="192" xfId="0" applyNumberFormat="1" applyFont="1" applyFill="1" applyBorder="1" applyAlignment="1">
      <alignment horizontal="right" vertical="center" shrinkToFit="1"/>
    </xf>
    <xf numFmtId="0" fontId="71" fillId="0" borderId="41" xfId="11" applyFont="1" applyBorder="1" applyAlignment="1">
      <alignment horizontal="center" vertical="center" shrinkToFit="1"/>
    </xf>
    <xf numFmtId="0" fontId="73" fillId="0" borderId="26" xfId="1" applyNumberFormat="1" applyFont="1" applyBorder="1" applyAlignment="1">
      <alignment vertical="center" shrinkToFit="1"/>
    </xf>
    <xf numFmtId="41" fontId="71" fillId="20" borderId="143" xfId="0" applyNumberFormat="1" applyFont="1" applyFill="1" applyBorder="1" applyAlignment="1">
      <alignment horizontal="center" vertical="center" shrinkToFit="1"/>
    </xf>
    <xf numFmtId="14" fontId="71" fillId="0" borderId="145" xfId="0" applyNumberFormat="1" applyFont="1" applyBorder="1" applyAlignment="1">
      <alignment horizontal="center" vertical="center" shrinkToFit="1"/>
    </xf>
    <xf numFmtId="41" fontId="71" fillId="0" borderId="182" xfId="0" applyNumberFormat="1" applyFont="1" applyBorder="1" applyAlignment="1">
      <alignment horizontal="center" vertical="center" shrinkToFit="1"/>
    </xf>
    <xf numFmtId="41" fontId="54" fillId="0" borderId="144" xfId="0" applyNumberFormat="1" applyFont="1" applyBorder="1" applyAlignment="1">
      <alignment horizontal="center" vertical="center" shrinkToFit="1"/>
    </xf>
    <xf numFmtId="190" fontId="72" fillId="24" borderId="170" xfId="0" applyNumberFormat="1" applyFont="1" applyFill="1" applyBorder="1" applyAlignment="1">
      <alignment horizontal="right" vertical="center" shrinkToFit="1"/>
    </xf>
    <xf numFmtId="0" fontId="61" fillId="24" borderId="26" xfId="0" applyFont="1" applyFill="1" applyBorder="1" applyAlignment="1">
      <alignment horizontal="right" vertical="center" shrinkToFit="1"/>
    </xf>
    <xf numFmtId="0" fontId="61" fillId="25" borderId="26" xfId="0" applyFont="1" applyFill="1" applyBorder="1" applyAlignment="1">
      <alignment horizontal="right" vertical="center" shrinkToFit="1"/>
    </xf>
    <xf numFmtId="0" fontId="61" fillId="25" borderId="75" xfId="0" applyFont="1" applyFill="1" applyBorder="1" applyAlignment="1">
      <alignment horizontal="center" vertical="center" shrinkToFit="1"/>
    </xf>
    <xf numFmtId="0" fontId="61" fillId="25" borderId="216" xfId="0" applyFont="1" applyFill="1" applyBorder="1" applyAlignment="1">
      <alignment horizontal="center" vertical="center" shrinkToFit="1"/>
    </xf>
    <xf numFmtId="0" fontId="80" fillId="24" borderId="26" xfId="1" applyNumberFormat="1" applyFont="1" applyFill="1" applyBorder="1" applyAlignment="1">
      <alignment horizontal="left" vertical="center" shrinkToFit="1"/>
    </xf>
    <xf numFmtId="14" fontId="64" fillId="0" borderId="241" xfId="0" applyNumberFormat="1" applyFont="1" applyBorder="1" applyAlignment="1">
      <alignment horizontal="center" vertical="center" shrinkToFit="1"/>
    </xf>
    <xf numFmtId="41" fontId="64" fillId="0" borderId="249" xfId="0" applyNumberFormat="1" applyFont="1" applyBorder="1" applyAlignment="1">
      <alignment horizontal="center" vertical="center" shrinkToFit="1"/>
    </xf>
    <xf numFmtId="197" fontId="65" fillId="12" borderId="807" xfId="12" applyNumberFormat="1" applyFont="1" applyFill="1" applyBorder="1" applyAlignment="1">
      <alignment horizontal="right" vertical="center"/>
    </xf>
    <xf numFmtId="0" fontId="61" fillId="0" borderId="0" xfId="0" applyFont="1" applyAlignment="1">
      <alignment horizontal="center" vertical="center" shrinkToFit="1"/>
    </xf>
    <xf numFmtId="180" fontId="24" fillId="0" borderId="0" xfId="0" applyNumberFormat="1" applyFont="1" applyAlignment="1">
      <alignment horizontal="center" vertical="center" shrinkToFit="1"/>
    </xf>
    <xf numFmtId="0" fontId="61" fillId="0" borderId="0" xfId="0" applyFont="1" applyAlignment="1">
      <alignment horizontal="right" vertical="center" shrinkToFit="1"/>
    </xf>
    <xf numFmtId="197" fontId="65" fillId="12" borderId="89" xfId="12" applyNumberFormat="1" applyFont="1" applyFill="1" applyBorder="1" applyAlignment="1">
      <alignment horizontal="right" vertical="center"/>
    </xf>
    <xf numFmtId="197" fontId="65" fillId="12" borderId="456" xfId="12" applyNumberFormat="1" applyFont="1" applyFill="1" applyBorder="1" applyAlignment="1">
      <alignment horizontal="right" vertical="center"/>
    </xf>
    <xf numFmtId="197" fontId="65" fillId="12" borderId="808" xfId="12" applyNumberFormat="1" applyFont="1" applyFill="1" applyBorder="1" applyAlignment="1">
      <alignment horizontal="right" vertical="center"/>
    </xf>
    <xf numFmtId="0" fontId="61" fillId="24" borderId="0" xfId="0" applyFont="1" applyFill="1" applyAlignment="1">
      <alignment horizontal="center" vertical="center" shrinkToFit="1"/>
    </xf>
    <xf numFmtId="0" fontId="61" fillId="24" borderId="0" xfId="0" applyFont="1" applyFill="1" applyAlignment="1">
      <alignment horizontal="right" vertical="center" shrinkToFit="1"/>
    </xf>
    <xf numFmtId="180" fontId="24" fillId="20" borderId="0" xfId="0" applyNumberFormat="1" applyFont="1" applyFill="1" applyAlignment="1">
      <alignment horizontal="center" vertical="center" shrinkToFit="1"/>
    </xf>
    <xf numFmtId="0" fontId="24" fillId="24" borderId="0" xfId="0" applyFont="1" applyFill="1" applyAlignment="1">
      <alignment horizontal="right" vertical="center" shrinkToFit="1"/>
    </xf>
    <xf numFmtId="180" fontId="50" fillId="20" borderId="0" xfId="0" applyNumberFormat="1" applyFont="1" applyFill="1" applyAlignment="1">
      <alignment horizontal="center" vertical="center" shrinkToFit="1"/>
    </xf>
    <xf numFmtId="0" fontId="61" fillId="6" borderId="27" xfId="1" applyNumberFormat="1" applyFont="1" applyFill="1" applyBorder="1" applyAlignment="1">
      <alignment horizontal="center" vertical="center" shrinkToFit="1"/>
    </xf>
    <xf numFmtId="0" fontId="61" fillId="6" borderId="28" xfId="1" applyNumberFormat="1" applyFont="1" applyFill="1" applyBorder="1" applyAlignment="1">
      <alignment horizontal="left" vertical="center" shrinkToFit="1"/>
    </xf>
    <xf numFmtId="0" fontId="61" fillId="6" borderId="26" xfId="1" applyNumberFormat="1" applyFont="1" applyFill="1" applyBorder="1" applyAlignment="1">
      <alignment horizontal="center" vertical="center" shrinkToFit="1"/>
    </xf>
    <xf numFmtId="3" fontId="62" fillId="22" borderId="107" xfId="0" applyNumberFormat="1" applyFont="1" applyFill="1" applyBorder="1" applyAlignment="1">
      <alignment horizontal="center" vertical="center" shrinkToFit="1"/>
    </xf>
    <xf numFmtId="0" fontId="81" fillId="0" borderId="0" xfId="0" applyFont="1" applyAlignment="1">
      <alignment horizontal="right" vertical="center"/>
    </xf>
    <xf numFmtId="38" fontId="45" fillId="0" borderId="0" xfId="1" applyFont="1" applyFill="1" applyBorder="1" applyAlignment="1">
      <alignment horizontal="left" vertical="center"/>
    </xf>
    <xf numFmtId="38" fontId="45" fillId="0" borderId="0" xfId="1" applyFont="1" applyFill="1" applyBorder="1" applyAlignment="1">
      <alignment horizontal="right" vertical="center"/>
    </xf>
    <xf numFmtId="199" fontId="45" fillId="0" borderId="0" xfId="0" applyNumberFormat="1" applyFont="1" applyAlignment="1">
      <alignment horizontal="center" vertical="center"/>
    </xf>
    <xf numFmtId="0" fontId="45" fillId="0" borderId="0" xfId="0" applyFont="1" applyAlignment="1">
      <alignment horizontal="center" vertical="center"/>
    </xf>
    <xf numFmtId="38" fontId="96" fillId="0" borderId="0" xfId="1" applyFont="1" applyFill="1" applyBorder="1" applyAlignment="1">
      <alignment horizontal="center" vertical="center" wrapText="1"/>
    </xf>
    <xf numFmtId="38" fontId="96" fillId="0" borderId="0" xfId="1" applyFont="1" applyFill="1" applyBorder="1" applyAlignment="1">
      <alignment horizontal="left" vertical="center" shrinkToFit="1"/>
    </xf>
    <xf numFmtId="38" fontId="96" fillId="0" borderId="0" xfId="1" applyFont="1" applyFill="1" applyBorder="1" applyAlignment="1">
      <alignment horizontal="center" vertical="center" shrinkToFit="1"/>
    </xf>
    <xf numFmtId="9" fontId="45" fillId="0" borderId="0" xfId="10" applyFont="1" applyFill="1" applyBorder="1" applyAlignment="1">
      <alignment horizontal="center" vertical="center" shrinkToFit="1"/>
    </xf>
    <xf numFmtId="0" fontId="60" fillId="0" borderId="0" xfId="0" applyFont="1" applyAlignment="1">
      <alignment horizontal="center" vertical="center"/>
    </xf>
    <xf numFmtId="38" fontId="45" fillId="9" borderId="1" xfId="1" applyFont="1" applyFill="1" applyBorder="1" applyAlignment="1">
      <alignment horizontal="center" vertical="center" shrinkToFit="1"/>
    </xf>
    <xf numFmtId="0" fontId="45" fillId="9" borderId="1" xfId="0" applyFont="1" applyFill="1" applyBorder="1" applyAlignment="1">
      <alignment horizontal="center" vertical="center" shrinkToFit="1"/>
    </xf>
    <xf numFmtId="0" fontId="45" fillId="0" borderId="0" xfId="0" applyFont="1" applyAlignment="1">
      <alignment horizontal="center" vertical="center" shrinkToFit="1"/>
    </xf>
    <xf numFmtId="0" fontId="45" fillId="9" borderId="1" xfId="1" applyNumberFormat="1" applyFont="1" applyFill="1" applyBorder="1" applyAlignment="1">
      <alignment horizontal="center" vertical="center" shrinkToFit="1"/>
    </xf>
    <xf numFmtId="38" fontId="87" fillId="9" borderId="1" xfId="1" applyFont="1" applyFill="1" applyBorder="1" applyAlignment="1">
      <alignment horizontal="center" vertical="center" shrinkToFit="1"/>
    </xf>
    <xf numFmtId="38" fontId="45" fillId="9" borderId="14" xfId="1" applyFont="1" applyFill="1" applyBorder="1" applyAlignment="1">
      <alignment horizontal="center" vertical="center" shrinkToFit="1"/>
    </xf>
    <xf numFmtId="38" fontId="96" fillId="9" borderId="14" xfId="1" applyFont="1" applyFill="1" applyBorder="1" applyAlignment="1">
      <alignment horizontal="center" vertical="center" wrapText="1" shrinkToFit="1"/>
    </xf>
    <xf numFmtId="38" fontId="96" fillId="19" borderId="14" xfId="1" applyFont="1" applyFill="1" applyBorder="1" applyAlignment="1">
      <alignment horizontal="center" vertical="center" wrapText="1" shrinkToFit="1"/>
    </xf>
    <xf numFmtId="9" fontId="45" fillId="9" borderId="14" xfId="10" applyFont="1" applyFill="1" applyBorder="1" applyAlignment="1">
      <alignment horizontal="center" vertical="center" shrinkToFit="1"/>
    </xf>
    <xf numFmtId="38" fontId="45" fillId="9" borderId="1" xfId="1" applyFont="1" applyFill="1" applyBorder="1" applyAlignment="1">
      <alignment horizontal="center" vertical="center" wrapText="1" shrinkToFit="1"/>
    </xf>
    <xf numFmtId="199" fontId="87" fillId="0" borderId="637" xfId="1" applyNumberFormat="1" applyFont="1" applyFill="1" applyBorder="1" applyAlignment="1">
      <alignment horizontal="center" vertical="center" shrinkToFit="1"/>
    </xf>
    <xf numFmtId="0" fontId="45" fillId="0" borderId="810" xfId="0" applyFont="1" applyBorder="1" applyAlignment="1">
      <alignment horizontal="center" vertical="center" shrinkToFit="1"/>
    </xf>
    <xf numFmtId="0" fontId="45" fillId="0" borderId="811" xfId="1" applyNumberFormat="1" applyFont="1" applyFill="1" applyBorder="1" applyAlignment="1">
      <alignment horizontal="center" vertical="center" shrinkToFit="1"/>
    </xf>
    <xf numFmtId="0" fontId="87" fillId="9" borderId="812" xfId="1" applyNumberFormat="1" applyFont="1" applyFill="1" applyBorder="1" applyAlignment="1">
      <alignment horizontal="center" vertical="center" shrinkToFit="1"/>
    </xf>
    <xf numFmtId="38" fontId="45" fillId="0" borderId="813" xfId="1" applyFont="1" applyFill="1" applyBorder="1" applyAlignment="1">
      <alignment horizontal="center" vertical="center" shrinkToFit="1"/>
    </xf>
    <xf numFmtId="38" fontId="96" fillId="0" borderId="813" xfId="1" applyFont="1" applyFill="1" applyBorder="1" applyAlignment="1">
      <alignment horizontal="center" vertical="center" wrapText="1" shrinkToFit="1"/>
    </xf>
    <xf numFmtId="38" fontId="96" fillId="19" borderId="813" xfId="1" applyFont="1" applyFill="1" applyBorder="1" applyAlignment="1">
      <alignment horizontal="center" vertical="center" wrapText="1" shrinkToFit="1"/>
    </xf>
    <xf numFmtId="0" fontId="45" fillId="9" borderId="813" xfId="0" applyFont="1" applyFill="1" applyBorder="1" applyAlignment="1">
      <alignment horizontal="center" vertical="center" wrapText="1"/>
    </xf>
    <xf numFmtId="0" fontId="45" fillId="0" borderId="813" xfId="0" applyFont="1" applyBorder="1" applyAlignment="1">
      <alignment horizontal="center" vertical="center" wrapText="1"/>
    </xf>
    <xf numFmtId="0" fontId="45" fillId="0" borderId="813" xfId="16" applyFont="1" applyBorder="1" applyAlignment="1">
      <alignment horizontal="center" vertical="center" wrapText="1" shrinkToFit="1"/>
    </xf>
    <xf numFmtId="9" fontId="45" fillId="0" borderId="813" xfId="10" applyFont="1" applyFill="1" applyBorder="1" applyAlignment="1">
      <alignment horizontal="center" vertical="center" shrinkToFit="1"/>
    </xf>
    <xf numFmtId="38" fontId="45" fillId="0" borderId="810" xfId="1" applyFont="1" applyFill="1" applyBorder="1" applyAlignment="1">
      <alignment horizontal="center" vertical="center" shrinkToFit="1"/>
    </xf>
    <xf numFmtId="38" fontId="45" fillId="0" borderId="814" xfId="1" applyFont="1" applyFill="1" applyBorder="1" applyAlignment="1">
      <alignment horizontal="left" vertical="center" shrinkToFit="1"/>
    </xf>
    <xf numFmtId="38" fontId="45" fillId="9" borderId="814" xfId="1" applyFont="1" applyFill="1" applyBorder="1" applyAlignment="1">
      <alignment horizontal="center" vertical="center" shrinkToFit="1"/>
    </xf>
    <xf numFmtId="199" fontId="87" fillId="0" borderId="639" xfId="1" applyNumberFormat="1" applyFont="1" applyFill="1" applyBorder="1" applyAlignment="1">
      <alignment horizontal="center" vertical="center" shrinkToFit="1"/>
    </xf>
    <xf numFmtId="0" fontId="87" fillId="12" borderId="812" xfId="1" applyNumberFormat="1" applyFont="1" applyFill="1" applyBorder="1" applyAlignment="1">
      <alignment horizontal="center" vertical="center" shrinkToFit="1"/>
    </xf>
    <xf numFmtId="9" fontId="45" fillId="0" borderId="628" xfId="10" applyFont="1" applyFill="1" applyBorder="1" applyAlignment="1">
      <alignment horizontal="center" vertical="center" shrinkToFit="1"/>
    </xf>
    <xf numFmtId="38" fontId="45" fillId="0" borderId="816" xfId="1" applyFont="1" applyFill="1" applyBorder="1" applyAlignment="1">
      <alignment horizontal="center" vertical="center" shrinkToFit="1"/>
    </xf>
    <xf numFmtId="38" fontId="45" fillId="12" borderId="814" xfId="1" applyFont="1" applyFill="1" applyBorder="1" applyAlignment="1">
      <alignment horizontal="center" vertical="center" shrinkToFit="1"/>
    </xf>
    <xf numFmtId="38" fontId="45" fillId="0" borderId="817" xfId="1" applyFont="1" applyFill="1" applyBorder="1" applyAlignment="1">
      <alignment horizontal="center" vertical="center" shrinkToFit="1"/>
    </xf>
    <xf numFmtId="38" fontId="96" fillId="6" borderId="628" xfId="1" applyFont="1" applyFill="1" applyBorder="1" applyAlignment="1">
      <alignment horizontal="center" vertical="center" wrapText="1" shrinkToFit="1"/>
    </xf>
    <xf numFmtId="0" fontId="45" fillId="0" borderId="819" xfId="0" applyFont="1" applyBorder="1" applyAlignment="1">
      <alignment horizontal="center" vertical="center" shrinkToFit="1"/>
    </xf>
    <xf numFmtId="0" fontId="45" fillId="0" borderId="820" xfId="1" applyNumberFormat="1" applyFont="1" applyFill="1" applyBorder="1" applyAlignment="1">
      <alignment horizontal="center" vertical="center" shrinkToFit="1"/>
    </xf>
    <xf numFmtId="0" fontId="87" fillId="12" borderId="821" xfId="1" applyNumberFormat="1" applyFont="1" applyFill="1" applyBorder="1" applyAlignment="1">
      <alignment horizontal="center" vertical="center" shrinkToFit="1"/>
    </xf>
    <xf numFmtId="38" fontId="45" fillId="0" borderId="819" xfId="1" applyFont="1" applyFill="1" applyBorder="1" applyAlignment="1">
      <alignment horizontal="center" vertical="center" shrinkToFit="1"/>
    </xf>
    <xf numFmtId="38" fontId="45" fillId="0" borderId="822" xfId="1" applyFont="1" applyFill="1" applyBorder="1" applyAlignment="1">
      <alignment horizontal="left" vertical="center" shrinkToFit="1"/>
    </xf>
    <xf numFmtId="38" fontId="45" fillId="12" borderId="822" xfId="1" applyFont="1" applyFill="1" applyBorder="1" applyAlignment="1">
      <alignment horizontal="center" vertical="center" shrinkToFit="1"/>
    </xf>
    <xf numFmtId="0" fontId="45" fillId="0" borderId="823" xfId="0" applyFont="1" applyBorder="1" applyAlignment="1">
      <alignment horizontal="center" vertical="center" shrinkToFit="1"/>
    </xf>
    <xf numFmtId="0" fontId="45" fillId="0" borderId="824" xfId="1" applyNumberFormat="1" applyFont="1" applyFill="1" applyBorder="1" applyAlignment="1">
      <alignment horizontal="center" vertical="center" shrinkToFit="1"/>
    </xf>
    <xf numFmtId="0" fontId="87" fillId="12" borderId="824" xfId="1" applyNumberFormat="1" applyFont="1" applyFill="1" applyBorder="1" applyAlignment="1">
      <alignment horizontal="center" vertical="center" shrinkToFit="1"/>
    </xf>
    <xf numFmtId="38" fontId="45" fillId="0" borderId="825" xfId="1" applyFont="1" applyFill="1" applyBorder="1" applyAlignment="1">
      <alignment horizontal="center" vertical="center" shrinkToFit="1"/>
    </xf>
    <xf numFmtId="0" fontId="45" fillId="0" borderId="628" xfId="0" applyFont="1" applyBorder="1" applyAlignment="1">
      <alignment horizontal="center" vertical="center" wrapText="1"/>
    </xf>
    <xf numFmtId="0" fontId="45" fillId="0" borderId="628" xfId="16" applyFont="1" applyBorder="1" applyAlignment="1">
      <alignment horizontal="center" vertical="center" wrapText="1" shrinkToFit="1"/>
    </xf>
    <xf numFmtId="0" fontId="45" fillId="0" borderId="628" xfId="0" applyFont="1" applyBorder="1" applyAlignment="1">
      <alignment horizontal="center" vertical="center" wrapText="1" shrinkToFit="1"/>
    </xf>
    <xf numFmtId="0" fontId="45" fillId="0" borderId="817" xfId="0" applyFont="1" applyBorder="1" applyAlignment="1">
      <alignment horizontal="center" vertical="center" shrinkToFit="1"/>
    </xf>
    <xf numFmtId="0" fontId="45" fillId="0" borderId="826" xfId="1" applyNumberFormat="1" applyFont="1" applyFill="1" applyBorder="1" applyAlignment="1">
      <alignment horizontal="center" vertical="center" shrinkToFit="1"/>
    </xf>
    <xf numFmtId="0" fontId="87" fillId="9" borderId="827" xfId="1" applyNumberFormat="1" applyFont="1" applyFill="1" applyBorder="1" applyAlignment="1">
      <alignment horizontal="center" vertical="center" shrinkToFit="1"/>
    </xf>
    <xf numFmtId="0" fontId="45" fillId="9" borderId="633" xfId="0" applyFont="1" applyFill="1" applyBorder="1" applyAlignment="1">
      <alignment horizontal="center" vertical="center" shrinkToFit="1"/>
    </xf>
    <xf numFmtId="0" fontId="45" fillId="0" borderId="633" xfId="0" applyFont="1" applyBorder="1" applyAlignment="1">
      <alignment horizontal="center" vertical="center" shrinkToFit="1"/>
    </xf>
    <xf numFmtId="9" fontId="45" fillId="0" borderId="633" xfId="10" applyFont="1" applyFill="1" applyBorder="1" applyAlignment="1">
      <alignment horizontal="center" vertical="center" shrinkToFit="1"/>
    </xf>
    <xf numFmtId="0" fontId="45" fillId="0" borderId="812" xfId="0" applyFont="1" applyBorder="1" applyAlignment="1">
      <alignment horizontal="center" vertical="center" wrapText="1"/>
    </xf>
    <xf numFmtId="199" fontId="87" fillId="0" borderId="638" xfId="1" applyNumberFormat="1" applyFont="1" applyFill="1" applyBorder="1" applyAlignment="1">
      <alignment horizontal="center" vertical="center" shrinkToFit="1"/>
    </xf>
    <xf numFmtId="199" fontId="87" fillId="0" borderId="831" xfId="1" applyNumberFormat="1" applyFont="1" applyFill="1" applyBorder="1" applyAlignment="1">
      <alignment horizontal="center" vertical="center" shrinkToFit="1"/>
    </xf>
    <xf numFmtId="199" fontId="87" fillId="0" borderId="832" xfId="1" applyNumberFormat="1" applyFont="1" applyBorder="1" applyAlignment="1">
      <alignment vertical="center" shrinkToFit="1"/>
    </xf>
    <xf numFmtId="0" fontId="87" fillId="17" borderId="812" xfId="1" applyNumberFormat="1" applyFont="1" applyFill="1" applyBorder="1" applyAlignment="1">
      <alignment horizontal="center" vertical="center" shrinkToFit="1"/>
    </xf>
    <xf numFmtId="49" fontId="45" fillId="0" borderId="628" xfId="1" applyNumberFormat="1" applyFont="1" applyFill="1" applyBorder="1" applyAlignment="1">
      <alignment horizontal="center" vertical="center" shrinkToFit="1"/>
    </xf>
    <xf numFmtId="38" fontId="45" fillId="17" borderId="814" xfId="1" applyFont="1" applyFill="1" applyBorder="1" applyAlignment="1">
      <alignment horizontal="center" vertical="center" shrinkToFit="1"/>
    </xf>
    <xf numFmtId="0" fontId="45" fillId="0" borderId="713" xfId="13" applyFont="1" applyBorder="1" applyAlignment="1">
      <alignment vertical="center" wrapText="1" shrinkToFit="1"/>
    </xf>
    <xf numFmtId="0" fontId="45" fillId="0" borderId="0" xfId="13" applyFont="1" applyAlignment="1">
      <alignment vertical="center" wrapText="1" shrinkToFit="1"/>
    </xf>
    <xf numFmtId="0" fontId="45" fillId="0" borderId="670" xfId="13" applyFont="1" applyBorder="1" applyAlignment="1">
      <alignment vertical="center" wrapText="1" shrinkToFit="1"/>
    </xf>
    <xf numFmtId="0" fontId="45" fillId="0" borderId="833" xfId="0" applyFont="1" applyBorder="1" applyAlignment="1">
      <alignment horizontal="center" vertical="center" shrinkToFit="1"/>
    </xf>
    <xf numFmtId="0" fontId="45" fillId="0" borderId="830" xfId="13" applyFont="1" applyBorder="1" applyAlignment="1">
      <alignment vertical="center" wrapText="1" shrinkToFit="1"/>
    </xf>
    <xf numFmtId="0" fontId="45" fillId="0" borderId="812" xfId="13" applyFont="1" applyBorder="1" applyAlignment="1">
      <alignment vertical="center" wrapText="1" shrinkToFit="1"/>
    </xf>
    <xf numFmtId="0" fontId="45" fillId="0" borderId="810" xfId="13" applyFont="1" applyBorder="1" applyAlignment="1">
      <alignment vertical="center" wrapText="1" shrinkToFit="1"/>
    </xf>
    <xf numFmtId="0" fontId="45" fillId="0" borderId="834" xfId="13" applyFont="1" applyBorder="1" applyAlignment="1">
      <alignment vertical="center" wrapText="1" shrinkToFit="1"/>
    </xf>
    <xf numFmtId="0" fontId="45" fillId="0" borderId="835" xfId="13" applyFont="1" applyBorder="1" applyAlignment="1">
      <alignment vertical="center" wrapText="1" shrinkToFit="1"/>
    </xf>
    <xf numFmtId="0" fontId="45" fillId="0" borderId="836" xfId="13" applyFont="1" applyBorder="1" applyAlignment="1">
      <alignment vertical="center" wrapText="1" shrinkToFit="1"/>
    </xf>
    <xf numFmtId="0" fontId="45" fillId="0" borderId="837" xfId="1" applyNumberFormat="1" applyFont="1" applyFill="1" applyBorder="1" applyAlignment="1">
      <alignment horizontal="center" vertical="center" shrinkToFit="1"/>
    </xf>
    <xf numFmtId="0" fontId="87" fillId="17" borderId="835" xfId="1" applyNumberFormat="1" applyFont="1" applyFill="1" applyBorder="1" applyAlignment="1">
      <alignment horizontal="center" vertical="center" shrinkToFit="1"/>
    </xf>
    <xf numFmtId="38" fontId="45" fillId="0" borderId="838" xfId="1" applyFont="1" applyFill="1" applyBorder="1" applyAlignment="1">
      <alignment horizontal="center" vertical="center" shrinkToFit="1"/>
    </xf>
    <xf numFmtId="38" fontId="96" fillId="0" borderId="838" xfId="1" applyFont="1" applyFill="1" applyBorder="1" applyAlignment="1">
      <alignment horizontal="center" vertical="center" wrapText="1" shrinkToFit="1"/>
    </xf>
    <xf numFmtId="38" fontId="96" fillId="19" borderId="838" xfId="1" applyFont="1" applyFill="1" applyBorder="1" applyAlignment="1">
      <alignment horizontal="center" vertical="center" wrapText="1" shrinkToFit="1"/>
    </xf>
    <xf numFmtId="0" fontId="45" fillId="9" borderId="838" xfId="0" applyFont="1" applyFill="1" applyBorder="1" applyAlignment="1">
      <alignment horizontal="center" vertical="center" wrapText="1"/>
    </xf>
    <xf numFmtId="0" fontId="45" fillId="0" borderId="838" xfId="0" applyFont="1" applyBorder="1" applyAlignment="1">
      <alignment horizontal="center" vertical="center" wrapText="1"/>
    </xf>
    <xf numFmtId="0" fontId="45" fillId="0" borderId="838" xfId="16" applyFont="1" applyBorder="1" applyAlignment="1">
      <alignment horizontal="center" vertical="center" wrapText="1" shrinkToFit="1"/>
    </xf>
    <xf numFmtId="9" fontId="45" fillId="0" borderId="838" xfId="10" applyFont="1" applyFill="1" applyBorder="1" applyAlignment="1">
      <alignment horizontal="center" vertical="center" shrinkToFit="1"/>
    </xf>
    <xf numFmtId="38" fontId="45" fillId="0" borderId="836" xfId="1" applyFont="1" applyFill="1" applyBorder="1" applyAlignment="1">
      <alignment horizontal="center" vertical="center" shrinkToFit="1"/>
    </xf>
    <xf numFmtId="38" fontId="45" fillId="0" borderId="839" xfId="1" applyFont="1" applyFill="1" applyBorder="1" applyAlignment="1">
      <alignment horizontal="left" vertical="center" shrinkToFit="1"/>
    </xf>
    <xf numFmtId="38" fontId="45" fillId="17" borderId="839" xfId="1" applyFont="1" applyFill="1" applyBorder="1" applyAlignment="1">
      <alignment horizontal="center" vertical="center" shrinkToFit="1"/>
    </xf>
    <xf numFmtId="199" fontId="89" fillId="0" borderId="843" xfId="1" applyNumberFormat="1" applyFont="1" applyBorder="1" applyAlignment="1">
      <alignment horizontal="center" vertical="center" shrinkToFit="1"/>
    </xf>
    <xf numFmtId="199" fontId="89" fillId="0" borderId="844" xfId="1" applyNumberFormat="1" applyFont="1" applyFill="1" applyBorder="1" applyAlignment="1">
      <alignment horizontal="center" vertical="center" shrinkToFit="1"/>
    </xf>
    <xf numFmtId="0" fontId="88" fillId="0" borderId="843" xfId="0" applyFont="1" applyBorder="1" applyAlignment="1">
      <alignment horizontal="center" vertical="center" shrinkToFit="1"/>
    </xf>
    <xf numFmtId="0" fontId="88" fillId="0" borderId="845" xfId="1" applyNumberFormat="1" applyFont="1" applyFill="1" applyBorder="1" applyAlignment="1">
      <alignment horizontal="center" vertical="center" shrinkToFit="1"/>
    </xf>
    <xf numFmtId="0" fontId="89" fillId="0" borderId="846" xfId="1" applyNumberFormat="1" applyFont="1" applyFill="1" applyBorder="1" applyAlignment="1">
      <alignment horizontal="center" vertical="center" shrinkToFit="1"/>
    </xf>
    <xf numFmtId="38" fontId="88" fillId="0" borderId="843" xfId="1" applyFont="1" applyFill="1" applyBorder="1" applyAlignment="1">
      <alignment horizontal="center" vertical="center" shrinkToFit="1"/>
    </xf>
    <xf numFmtId="38" fontId="174" fillId="0" borderId="843" xfId="1" applyFont="1" applyFill="1" applyBorder="1" applyAlignment="1">
      <alignment horizontal="center" vertical="center" wrapText="1" shrinkToFit="1"/>
    </xf>
    <xf numFmtId="38" fontId="174" fillId="19" borderId="843" xfId="1" applyFont="1" applyFill="1" applyBorder="1" applyAlignment="1">
      <alignment horizontal="center" vertical="center" wrapText="1" shrinkToFit="1"/>
    </xf>
    <xf numFmtId="38" fontId="88" fillId="9" borderId="843" xfId="1" applyFont="1" applyFill="1" applyBorder="1" applyAlignment="1">
      <alignment horizontal="center" vertical="center" shrinkToFit="1"/>
    </xf>
    <xf numFmtId="9" fontId="88" fillId="0" borderId="843" xfId="10" applyFont="1" applyFill="1" applyBorder="1" applyAlignment="1">
      <alignment horizontal="center" vertical="center" shrinkToFit="1"/>
    </xf>
    <xf numFmtId="38" fontId="88" fillId="0" borderId="847" xfId="1" applyFont="1" applyFill="1" applyBorder="1" applyAlignment="1">
      <alignment horizontal="left" vertical="center" shrinkToFit="1"/>
    </xf>
    <xf numFmtId="0" fontId="40" fillId="0" borderId="0" xfId="0" applyFont="1" applyAlignment="1">
      <alignment horizontal="center" vertical="center"/>
    </xf>
    <xf numFmtId="0" fontId="81" fillId="0" borderId="0" xfId="0" applyFont="1">
      <alignment vertical="center"/>
    </xf>
    <xf numFmtId="0" fontId="88" fillId="0" borderId="0" xfId="0" applyFont="1">
      <alignment vertical="center"/>
    </xf>
    <xf numFmtId="38" fontId="60" fillId="0" borderId="0" xfId="1" applyFont="1" applyFill="1" applyBorder="1" applyAlignment="1">
      <alignment horizontal="left" vertical="center"/>
    </xf>
    <xf numFmtId="199" fontId="87" fillId="0" borderId="469" xfId="1" applyNumberFormat="1" applyFont="1" applyBorder="1" applyAlignment="1">
      <alignment vertical="center" shrinkToFit="1"/>
    </xf>
    <xf numFmtId="199" fontId="87" fillId="0" borderId="815" xfId="1" applyNumberFormat="1" applyFont="1" applyBorder="1" applyAlignment="1">
      <alignment vertical="center" shrinkToFit="1"/>
    </xf>
    <xf numFmtId="199" fontId="87" fillId="0" borderId="737" xfId="1" applyNumberFormat="1" applyFont="1" applyBorder="1" applyAlignment="1">
      <alignment vertical="center" shrinkToFit="1"/>
    </xf>
    <xf numFmtId="0" fontId="45" fillId="0" borderId="828" xfId="13" applyFont="1" applyBorder="1" applyAlignment="1">
      <alignment vertical="center" wrapText="1" shrinkToFit="1"/>
    </xf>
    <xf numFmtId="0" fontId="45" fillId="0" borderId="818" xfId="13" applyFont="1" applyBorder="1" applyAlignment="1">
      <alignment vertical="center" wrapText="1" shrinkToFit="1"/>
    </xf>
    <xf numFmtId="0" fontId="45" fillId="0" borderId="829" xfId="13" applyFont="1" applyBorder="1" applyAlignment="1">
      <alignment vertical="center" wrapText="1" shrinkToFit="1"/>
    </xf>
    <xf numFmtId="0" fontId="104" fillId="0" borderId="714" xfId="13" applyFont="1" applyBorder="1" applyAlignment="1">
      <alignment vertical="center" wrapText="1"/>
    </xf>
    <xf numFmtId="0" fontId="104" fillId="0" borderId="714" xfId="13" applyFont="1" applyBorder="1">
      <alignment vertical="center"/>
    </xf>
    <xf numFmtId="187" fontId="72" fillId="51" borderId="0" xfId="1" applyNumberFormat="1" applyFont="1" applyFill="1" applyBorder="1" applyAlignment="1">
      <alignment horizontal="center" vertical="center" shrinkToFit="1"/>
    </xf>
    <xf numFmtId="0" fontId="64" fillId="51" borderId="0" xfId="0" applyFont="1" applyFill="1" applyAlignment="1">
      <alignment horizontal="left" vertical="center"/>
    </xf>
    <xf numFmtId="188" fontId="66" fillId="20" borderId="104" xfId="13" applyNumberFormat="1" applyFont="1" applyFill="1" applyBorder="1" applyAlignment="1">
      <alignment horizontal="center" vertical="center" shrinkToFit="1"/>
    </xf>
    <xf numFmtId="0" fontId="65" fillId="19" borderId="848" xfId="11" applyFont="1" applyFill="1" applyBorder="1" applyAlignment="1">
      <alignment horizontal="center" vertical="center" shrinkToFit="1"/>
    </xf>
    <xf numFmtId="0" fontId="65" fillId="19" borderId="849" xfId="11" applyFont="1" applyFill="1" applyBorder="1" applyAlignment="1">
      <alignment horizontal="center" vertical="center" shrinkToFit="1"/>
    </xf>
    <xf numFmtId="0" fontId="65" fillId="19" borderId="850" xfId="11" applyFont="1" applyFill="1" applyBorder="1" applyAlignment="1">
      <alignment horizontal="center" vertical="center" shrinkToFit="1"/>
    </xf>
    <xf numFmtId="187" fontId="65" fillId="19" borderId="850" xfId="1" applyNumberFormat="1" applyFont="1" applyFill="1" applyBorder="1" applyAlignment="1">
      <alignment horizontal="center" vertical="center" shrinkToFit="1"/>
    </xf>
    <xf numFmtId="187" fontId="65" fillId="19" borderId="118" xfId="11" applyNumberFormat="1" applyFont="1" applyFill="1" applyBorder="1" applyAlignment="1">
      <alignment horizontal="center" vertical="center" wrapText="1" shrinkToFit="1"/>
    </xf>
    <xf numFmtId="187" fontId="65" fillId="19" borderId="118" xfId="0" applyNumberFormat="1" applyFont="1" applyFill="1" applyBorder="1" applyAlignment="1">
      <alignment horizontal="center" vertical="center" shrinkToFit="1"/>
    </xf>
    <xf numFmtId="187" fontId="65" fillId="19" borderId="118" xfId="11" applyNumberFormat="1" applyFont="1" applyFill="1" applyBorder="1" applyAlignment="1">
      <alignment horizontal="center" vertical="center" shrinkToFit="1"/>
    </xf>
    <xf numFmtId="187" fontId="65" fillId="19" borderId="850" xfId="0" applyNumberFormat="1" applyFont="1" applyFill="1" applyBorder="1" applyAlignment="1">
      <alignment horizontal="center" vertical="center" shrinkToFit="1"/>
    </xf>
    <xf numFmtId="38" fontId="62" fillId="19" borderId="850" xfId="1" applyFont="1" applyFill="1" applyBorder="1" applyAlignment="1">
      <alignment horizontal="center" vertical="center" shrinkToFit="1"/>
    </xf>
    <xf numFmtId="0" fontId="175" fillId="22" borderId="850" xfId="0" applyFont="1" applyFill="1" applyBorder="1" applyAlignment="1">
      <alignment horizontal="center" vertical="center" shrinkToFit="1"/>
    </xf>
    <xf numFmtId="0" fontId="62" fillId="22" borderId="850" xfId="13" applyFont="1" applyFill="1" applyBorder="1" applyAlignment="1">
      <alignment horizontal="center" vertical="center"/>
    </xf>
    <xf numFmtId="0" fontId="50" fillId="22" borderId="850" xfId="13" applyFont="1" applyFill="1" applyBorder="1" applyAlignment="1">
      <alignment horizontal="center" vertical="center"/>
    </xf>
    <xf numFmtId="0" fontId="62" fillId="22" borderId="851" xfId="13" applyFont="1" applyFill="1" applyBorder="1" applyAlignment="1">
      <alignment horizontal="center" vertical="center" wrapText="1"/>
    </xf>
    <xf numFmtId="0" fontId="175" fillId="49" borderId="850" xfId="13" applyFont="1" applyFill="1" applyBorder="1" applyAlignment="1">
      <alignment horizontal="center" vertical="center" wrapText="1"/>
    </xf>
    <xf numFmtId="0" fontId="50" fillId="48" borderId="852" xfId="13" applyFont="1" applyFill="1" applyBorder="1" applyAlignment="1">
      <alignment horizontal="center" vertical="center" wrapText="1"/>
    </xf>
    <xf numFmtId="0" fontId="50" fillId="48" borderId="853" xfId="13" applyFont="1" applyFill="1" applyBorder="1" applyAlignment="1">
      <alignment horizontal="center" vertical="center" wrapText="1"/>
    </xf>
    <xf numFmtId="0" fontId="175" fillId="21" borderId="850" xfId="13" applyFont="1" applyFill="1" applyBorder="1" applyAlignment="1">
      <alignment horizontal="center" vertical="center" wrapText="1"/>
    </xf>
    <xf numFmtId="0" fontId="50" fillId="21" borderId="852" xfId="13" applyFont="1" applyFill="1" applyBorder="1" applyAlignment="1">
      <alignment horizontal="center" vertical="center" wrapText="1"/>
    </xf>
    <xf numFmtId="0" fontId="50" fillId="21" borderId="853" xfId="13" applyFont="1" applyFill="1" applyBorder="1" applyAlignment="1">
      <alignment horizontal="center" vertical="center" wrapText="1"/>
    </xf>
    <xf numFmtId="0" fontId="50" fillId="21" borderId="854" xfId="13" applyFont="1" applyFill="1" applyBorder="1" applyAlignment="1">
      <alignment horizontal="center" vertical="center" wrapText="1"/>
    </xf>
    <xf numFmtId="0" fontId="50" fillId="21" borderId="855" xfId="13" applyFont="1" applyFill="1" applyBorder="1" applyAlignment="1">
      <alignment horizontal="center" vertical="center" wrapText="1"/>
    </xf>
    <xf numFmtId="188" fontId="66" fillId="20" borderId="118" xfId="13" applyNumberFormat="1" applyFont="1" applyFill="1" applyBorder="1" applyAlignment="1">
      <alignment horizontal="center" vertical="center" shrinkToFit="1"/>
    </xf>
    <xf numFmtId="0" fontId="69" fillId="23" borderId="850" xfId="13" applyFont="1" applyFill="1" applyBorder="1" applyAlignment="1">
      <alignment horizontal="center" vertical="center"/>
    </xf>
    <xf numFmtId="0" fontId="68" fillId="23" borderId="850" xfId="13" applyFont="1" applyFill="1" applyBorder="1" applyAlignment="1">
      <alignment horizontal="center" vertical="center"/>
    </xf>
    <xf numFmtId="189" fontId="67" fillId="23" borderId="850" xfId="13" applyNumberFormat="1" applyFont="1" applyFill="1" applyBorder="1" applyAlignment="1">
      <alignment horizontal="center" vertical="center"/>
    </xf>
    <xf numFmtId="189" fontId="68" fillId="23" borderId="850" xfId="13" applyNumberFormat="1" applyFont="1" applyFill="1" applyBorder="1" applyAlignment="1">
      <alignment horizontal="center" vertical="center"/>
    </xf>
    <xf numFmtId="189" fontId="67" fillId="23" borderId="851" xfId="13" applyNumberFormat="1" applyFont="1" applyFill="1" applyBorder="1" applyAlignment="1">
      <alignment horizontal="center" vertical="center"/>
    </xf>
    <xf numFmtId="189" fontId="68" fillId="13" borderId="453" xfId="13" applyNumberFormat="1" applyFont="1" applyFill="1" applyBorder="1" applyAlignment="1">
      <alignment horizontal="center" vertical="center"/>
    </xf>
    <xf numFmtId="189" fontId="68" fillId="23" borderId="854" xfId="13" applyNumberFormat="1" applyFont="1" applyFill="1" applyBorder="1" applyAlignment="1">
      <alignment horizontal="center" vertical="center"/>
    </xf>
    <xf numFmtId="189" fontId="68" fillId="23" borderId="851" xfId="13" applyNumberFormat="1" applyFont="1" applyFill="1" applyBorder="1" applyAlignment="1">
      <alignment horizontal="center" vertical="center"/>
    </xf>
    <xf numFmtId="189" fontId="67" fillId="23" borderId="854" xfId="13" applyNumberFormat="1" applyFont="1" applyFill="1" applyBorder="1" applyAlignment="1">
      <alignment horizontal="center" vertical="center"/>
    </xf>
    <xf numFmtId="189" fontId="69" fillId="23" borderId="856" xfId="13" applyNumberFormat="1" applyFont="1" applyFill="1" applyBorder="1" applyAlignment="1">
      <alignment horizontal="center" vertical="center"/>
    </xf>
    <xf numFmtId="38" fontId="64" fillId="0" borderId="27" xfId="1" applyFont="1" applyFill="1" applyBorder="1" applyAlignment="1">
      <alignment horizontal="right" vertical="center" shrinkToFit="1"/>
    </xf>
    <xf numFmtId="0" fontId="61" fillId="17" borderId="167" xfId="0" applyFont="1" applyFill="1" applyBorder="1" applyAlignment="1">
      <alignment horizontal="center" vertical="center" shrinkToFit="1"/>
    </xf>
    <xf numFmtId="191" fontId="61" fillId="17" borderId="789" xfId="0" applyNumberFormat="1" applyFont="1" applyFill="1" applyBorder="1" applyAlignment="1">
      <alignment horizontal="right" vertical="center" shrinkToFit="1"/>
    </xf>
    <xf numFmtId="192" fontId="61" fillId="17" borderId="790" xfId="0" applyNumberFormat="1" applyFont="1" applyFill="1" applyBorder="1" applyAlignment="1">
      <alignment horizontal="right" vertical="center" shrinkToFit="1"/>
    </xf>
    <xf numFmtId="0" fontId="61" fillId="17" borderId="75" xfId="0" applyFont="1" applyFill="1" applyBorder="1" applyAlignment="1">
      <alignment horizontal="center" vertical="center" shrinkToFit="1"/>
    </xf>
    <xf numFmtId="192" fontId="61" fillId="17" borderId="857" xfId="0" applyNumberFormat="1" applyFont="1" applyFill="1" applyBorder="1" applyAlignment="1">
      <alignment horizontal="right" vertical="center" shrinkToFit="1"/>
    </xf>
    <xf numFmtId="180" fontId="72" fillId="25" borderId="174" xfId="0" applyNumberFormat="1" applyFont="1" applyFill="1" applyBorder="1" applyAlignment="1">
      <alignment vertical="center" shrinkToFit="1"/>
    </xf>
    <xf numFmtId="41" fontId="64" fillId="20" borderId="76" xfId="0" applyNumberFormat="1" applyFont="1" applyFill="1" applyBorder="1" applyAlignment="1">
      <alignment horizontal="center" vertical="center" shrinkToFit="1"/>
    </xf>
    <xf numFmtId="0" fontId="61" fillId="17" borderId="176" xfId="0" applyFont="1" applyFill="1" applyBorder="1" applyAlignment="1">
      <alignment horizontal="center" vertical="center" shrinkToFit="1"/>
    </xf>
    <xf numFmtId="191" fontId="61" fillId="17" borderId="797" xfId="0" applyNumberFormat="1" applyFont="1" applyFill="1" applyBorder="1" applyAlignment="1">
      <alignment horizontal="right" vertical="center" shrinkToFit="1"/>
    </xf>
    <xf numFmtId="192" fontId="61" fillId="17" borderId="798" xfId="0" applyNumberFormat="1" applyFont="1" applyFill="1" applyBorder="1" applyAlignment="1">
      <alignment horizontal="right" vertical="center" shrinkToFit="1"/>
    </xf>
    <xf numFmtId="0" fontId="61" fillId="17" borderId="216" xfId="0" applyFont="1" applyFill="1" applyBorder="1" applyAlignment="1">
      <alignment horizontal="center" vertical="center" shrinkToFit="1"/>
    </xf>
    <xf numFmtId="192" fontId="61" fillId="17" borderId="858" xfId="0" applyNumberFormat="1" applyFont="1" applyFill="1" applyBorder="1" applyAlignment="1">
      <alignment horizontal="right" vertical="center" shrinkToFit="1"/>
    </xf>
    <xf numFmtId="180" fontId="72" fillId="25" borderId="181" xfId="0" applyNumberFormat="1" applyFont="1" applyFill="1" applyBorder="1" applyAlignment="1">
      <alignment vertical="center" shrinkToFit="1"/>
    </xf>
    <xf numFmtId="41" fontId="64" fillId="20" borderId="859" xfId="0" applyNumberFormat="1" applyFont="1" applyFill="1" applyBorder="1" applyAlignment="1">
      <alignment horizontal="center" vertical="center" shrinkToFit="1"/>
    </xf>
    <xf numFmtId="0" fontId="61" fillId="17" borderId="145" xfId="0" applyFont="1" applyFill="1" applyBorder="1" applyAlignment="1">
      <alignment horizontal="center" vertical="center" shrinkToFit="1"/>
    </xf>
    <xf numFmtId="191" fontId="61" fillId="17" borderId="787" xfId="0" applyNumberFormat="1" applyFont="1" applyFill="1" applyBorder="1" applyAlignment="1">
      <alignment horizontal="right" vertical="center" shrinkToFit="1"/>
    </xf>
    <xf numFmtId="192" fontId="61" fillId="17" borderId="788" xfId="0" applyNumberFormat="1" applyFont="1" applyFill="1" applyBorder="1" applyAlignment="1">
      <alignment horizontal="right" vertical="center" shrinkToFit="1"/>
    </xf>
    <xf numFmtId="0" fontId="61" fillId="17" borderId="140" xfId="0" applyFont="1" applyFill="1" applyBorder="1" applyAlignment="1">
      <alignment horizontal="center" vertical="center" shrinkToFit="1"/>
    </xf>
    <xf numFmtId="191" fontId="61" fillId="17" borderId="785" xfId="0" applyNumberFormat="1" applyFont="1" applyFill="1" applyBorder="1" applyAlignment="1">
      <alignment horizontal="right" vertical="center" shrinkToFit="1"/>
    </xf>
    <xf numFmtId="192" fontId="61" fillId="17" borderId="786" xfId="0" applyNumberFormat="1" applyFont="1" applyFill="1" applyBorder="1" applyAlignment="1">
      <alignment horizontal="right" vertical="center" shrinkToFit="1"/>
    </xf>
    <xf numFmtId="0" fontId="61" fillId="17" borderId="860" xfId="0" applyFont="1" applyFill="1" applyBorder="1" applyAlignment="1">
      <alignment horizontal="center" vertical="center" shrinkToFit="1"/>
    </xf>
    <xf numFmtId="192" fontId="61" fillId="17" borderId="861" xfId="0" applyNumberFormat="1" applyFont="1" applyFill="1" applyBorder="1" applyAlignment="1">
      <alignment horizontal="right" vertical="center" shrinkToFit="1"/>
    </xf>
    <xf numFmtId="180" fontId="72" fillId="25" borderId="154" xfId="0" applyNumberFormat="1" applyFont="1" applyFill="1" applyBorder="1" applyAlignment="1">
      <alignment vertical="center" shrinkToFit="1"/>
    </xf>
    <xf numFmtId="41" fontId="64" fillId="20" borderId="155" xfId="0" applyNumberFormat="1" applyFont="1" applyFill="1" applyBorder="1" applyAlignment="1">
      <alignment horizontal="center" vertical="center" shrinkToFit="1"/>
    </xf>
    <xf numFmtId="0" fontId="61" fillId="17" borderId="192" xfId="0" applyFont="1" applyFill="1" applyBorder="1" applyAlignment="1">
      <alignment horizontal="center" vertical="center" shrinkToFit="1"/>
    </xf>
    <xf numFmtId="191" fontId="61" fillId="17" borderId="795" xfId="0" applyNumberFormat="1" applyFont="1" applyFill="1" applyBorder="1" applyAlignment="1">
      <alignment horizontal="right" vertical="center" shrinkToFit="1"/>
    </xf>
    <xf numFmtId="192" fontId="61" fillId="17" borderId="796" xfId="0" applyNumberFormat="1" applyFont="1" applyFill="1" applyBorder="1" applyAlignment="1">
      <alignment horizontal="right" vertical="center" shrinkToFit="1"/>
    </xf>
    <xf numFmtId="0" fontId="61" fillId="17" borderId="196" xfId="0" applyFont="1" applyFill="1" applyBorder="1" applyAlignment="1">
      <alignment horizontal="center" vertical="center" shrinkToFit="1"/>
    </xf>
    <xf numFmtId="192" fontId="61" fillId="17" borderId="862" xfId="0" applyNumberFormat="1" applyFont="1" applyFill="1" applyBorder="1" applyAlignment="1">
      <alignment horizontal="right" vertical="center" shrinkToFit="1"/>
    </xf>
    <xf numFmtId="41" fontId="64" fillId="20" borderId="863" xfId="0" applyNumberFormat="1" applyFont="1" applyFill="1" applyBorder="1" applyAlignment="1">
      <alignment horizontal="center" vertical="center" shrinkToFit="1"/>
    </xf>
    <xf numFmtId="187" fontId="80" fillId="0" borderId="26" xfId="1" applyNumberFormat="1" applyFont="1" applyBorder="1" applyAlignment="1">
      <alignment horizontal="right" vertical="center" shrinkToFit="1"/>
    </xf>
    <xf numFmtId="0" fontId="61" fillId="17" borderId="26" xfId="0" applyFont="1" applyFill="1" applyBorder="1" applyAlignment="1">
      <alignment horizontal="center" vertical="center" shrinkToFit="1"/>
    </xf>
    <xf numFmtId="0" fontId="61" fillId="17" borderId="28" xfId="0" applyFont="1" applyFill="1" applyBorder="1" applyAlignment="1">
      <alignment horizontal="center" vertical="center" shrinkToFit="1"/>
    </xf>
    <xf numFmtId="191" fontId="61" fillId="17" borderId="799" xfId="0" applyNumberFormat="1" applyFont="1" applyFill="1" applyBorder="1" applyAlignment="1">
      <alignment horizontal="right" vertical="center" shrinkToFit="1"/>
    </xf>
    <xf numFmtId="192" fontId="61" fillId="17" borderId="800" xfId="0" applyNumberFormat="1" applyFont="1" applyFill="1" applyBorder="1" applyAlignment="1">
      <alignment horizontal="right" vertical="center" shrinkToFit="1"/>
    </xf>
    <xf numFmtId="0" fontId="61" fillId="17" borderId="42" xfId="0" applyFont="1" applyFill="1" applyBorder="1" applyAlignment="1">
      <alignment horizontal="center" vertical="center" shrinkToFit="1"/>
    </xf>
    <xf numFmtId="192" fontId="61" fillId="17" borderId="864" xfId="0" applyNumberFormat="1" applyFont="1" applyFill="1" applyBorder="1" applyAlignment="1">
      <alignment horizontal="right" vertical="center" shrinkToFit="1"/>
    </xf>
    <xf numFmtId="41" fontId="64" fillId="20" borderId="80" xfId="0" applyNumberFormat="1" applyFont="1" applyFill="1" applyBorder="1" applyAlignment="1">
      <alignment horizontal="center" vertical="center" shrinkToFit="1"/>
    </xf>
    <xf numFmtId="41" fontId="64" fillId="20" borderId="53" xfId="0" applyNumberFormat="1" applyFont="1" applyFill="1" applyBorder="1" applyAlignment="1">
      <alignment horizontal="center" vertical="center" shrinkToFit="1"/>
    </xf>
    <xf numFmtId="38" fontId="64" fillId="0" borderId="26" xfId="1" applyFont="1" applyFill="1" applyBorder="1" applyAlignment="1">
      <alignment horizontal="right" vertical="center" shrinkToFit="1"/>
    </xf>
    <xf numFmtId="191" fontId="61" fillId="17" borderId="865" xfId="0" applyNumberFormat="1" applyFont="1" applyFill="1" applyBorder="1" applyAlignment="1">
      <alignment horizontal="right" vertical="center" shrinkToFit="1"/>
    </xf>
    <xf numFmtId="192" fontId="61" fillId="17" borderId="866" xfId="0" applyNumberFormat="1" applyFont="1" applyFill="1" applyBorder="1" applyAlignment="1">
      <alignment horizontal="right" vertical="center" shrinkToFit="1"/>
    </xf>
    <xf numFmtId="38" fontId="80" fillId="0" borderId="26" xfId="1" applyFont="1" applyBorder="1" applyAlignment="1">
      <alignment horizontal="right" vertical="center" shrinkToFit="1"/>
    </xf>
    <xf numFmtId="0" fontId="61" fillId="17" borderId="40" xfId="0" applyFont="1" applyFill="1" applyBorder="1" applyAlignment="1">
      <alignment horizontal="center" vertical="center" shrinkToFit="1"/>
    </xf>
    <xf numFmtId="0" fontId="61" fillId="17" borderId="142" xfId="0" applyFont="1" applyFill="1" applyBorder="1" applyAlignment="1">
      <alignment horizontal="center" vertical="center" shrinkToFit="1"/>
    </xf>
    <xf numFmtId="192" fontId="61" fillId="17" borderId="867" xfId="0" applyNumberFormat="1" applyFont="1" applyFill="1" applyBorder="1" applyAlignment="1">
      <alignment horizontal="right" vertical="center" shrinkToFit="1"/>
    </xf>
    <xf numFmtId="187" fontId="80" fillId="0" borderId="28" xfId="1" applyNumberFormat="1" applyFont="1" applyBorder="1" applyAlignment="1">
      <alignment horizontal="right" vertical="center" shrinkToFit="1"/>
    </xf>
    <xf numFmtId="41" fontId="64" fillId="20" borderId="868" xfId="0" applyNumberFormat="1" applyFont="1" applyFill="1" applyBorder="1" applyAlignment="1">
      <alignment horizontal="center" vertical="center" shrinkToFit="1"/>
    </xf>
    <xf numFmtId="0" fontId="64" fillId="0" borderId="165" xfId="11" applyFont="1" applyBorder="1" applyAlignment="1">
      <alignment horizontal="center" vertical="center" shrinkToFit="1"/>
    </xf>
    <xf numFmtId="0" fontId="61" fillId="24" borderId="118" xfId="0" applyFont="1" applyFill="1" applyBorder="1" applyAlignment="1">
      <alignment horizontal="center" vertical="center" shrinkToFit="1"/>
    </xf>
    <xf numFmtId="0" fontId="61" fillId="25" borderId="118" xfId="0" applyFont="1" applyFill="1" applyBorder="1" applyAlignment="1">
      <alignment horizontal="center" vertical="center" shrinkToFit="1"/>
    </xf>
    <xf numFmtId="0" fontId="61" fillId="17" borderId="118" xfId="0" applyFont="1" applyFill="1" applyBorder="1" applyAlignment="1">
      <alignment horizontal="center" vertical="center" shrinkToFit="1"/>
    </xf>
    <xf numFmtId="191" fontId="61" fillId="17" borderId="791" xfId="0" applyNumberFormat="1" applyFont="1" applyFill="1" applyBorder="1" applyAlignment="1">
      <alignment horizontal="right" vertical="center" shrinkToFit="1"/>
    </xf>
    <xf numFmtId="192" fontId="61" fillId="17" borderId="792" xfId="0" applyNumberFormat="1" applyFont="1" applyFill="1" applyBorder="1" applyAlignment="1">
      <alignment horizontal="right" vertical="center" shrinkToFit="1"/>
    </xf>
    <xf numFmtId="191" fontId="61" fillId="17" borderId="869" xfId="0" applyNumberFormat="1" applyFont="1" applyFill="1" applyBorder="1" applyAlignment="1">
      <alignment horizontal="right" vertical="center" shrinkToFit="1"/>
    </xf>
    <xf numFmtId="192" fontId="61" fillId="17" borderId="870" xfId="0" applyNumberFormat="1" applyFont="1" applyFill="1" applyBorder="1" applyAlignment="1">
      <alignment horizontal="right" vertical="center" shrinkToFit="1"/>
    </xf>
    <xf numFmtId="0" fontId="61" fillId="17" borderId="163" xfId="0" applyFont="1" applyFill="1" applyBorder="1" applyAlignment="1">
      <alignment horizontal="center" vertical="center" shrinkToFit="1"/>
    </xf>
    <xf numFmtId="192" fontId="61" fillId="17" borderId="871" xfId="0" applyNumberFormat="1" applyFont="1" applyFill="1" applyBorder="1" applyAlignment="1">
      <alignment horizontal="right" vertical="center" shrinkToFit="1"/>
    </xf>
    <xf numFmtId="180" fontId="72" fillId="25" borderId="120" xfId="0" applyNumberFormat="1" applyFont="1" applyFill="1" applyBorder="1" applyAlignment="1">
      <alignment vertical="center" shrinkToFit="1"/>
    </xf>
    <xf numFmtId="41" fontId="64" fillId="20" borderId="872" xfId="0" applyNumberFormat="1" applyFont="1" applyFill="1" applyBorder="1" applyAlignment="1">
      <alignment horizontal="center" vertical="center" shrinkToFit="1"/>
    </xf>
    <xf numFmtId="41" fontId="24" fillId="0" borderId="163" xfId="0" applyNumberFormat="1" applyFont="1" applyBorder="1" applyAlignment="1">
      <alignment vertical="center" shrinkToFit="1"/>
    </xf>
    <xf numFmtId="0" fontId="61" fillId="17" borderId="124" xfId="0" applyFont="1" applyFill="1" applyBorder="1" applyAlignment="1">
      <alignment horizontal="center" vertical="center" shrinkToFit="1"/>
    </xf>
    <xf numFmtId="191" fontId="61" fillId="17" borderId="783" xfId="0" applyNumberFormat="1" applyFont="1" applyFill="1" applyBorder="1" applyAlignment="1">
      <alignment horizontal="right" vertical="center" shrinkToFit="1"/>
    </xf>
    <xf numFmtId="192" fontId="61" fillId="17" borderId="784" xfId="0" applyNumberFormat="1" applyFont="1" applyFill="1" applyBorder="1" applyAlignment="1">
      <alignment horizontal="right" vertical="center" shrinkToFit="1"/>
    </xf>
    <xf numFmtId="0" fontId="61" fillId="17" borderId="128" xfId="0" applyFont="1" applyFill="1" applyBorder="1" applyAlignment="1">
      <alignment horizontal="center" vertical="center" shrinkToFit="1"/>
    </xf>
    <xf numFmtId="192" fontId="61" fillId="17" borderId="873" xfId="0" applyNumberFormat="1" applyFont="1" applyFill="1" applyBorder="1" applyAlignment="1">
      <alignment horizontal="right" vertical="center" shrinkToFit="1"/>
    </xf>
    <xf numFmtId="180" fontId="72" fillId="25" borderId="115" xfId="0" applyNumberFormat="1" applyFont="1" applyFill="1" applyBorder="1" applyAlignment="1">
      <alignment vertical="center" shrinkToFit="1"/>
    </xf>
    <xf numFmtId="41" fontId="64" fillId="20" borderId="874" xfId="0" applyNumberFormat="1" applyFont="1" applyFill="1" applyBorder="1" applyAlignment="1">
      <alignment horizontal="center" vertical="center" shrinkToFit="1"/>
    </xf>
    <xf numFmtId="41" fontId="24" fillId="0" borderId="721" xfId="0" applyNumberFormat="1" applyFont="1" applyBorder="1" applyAlignment="1">
      <alignment vertical="center" shrinkToFit="1"/>
    </xf>
    <xf numFmtId="187" fontId="64" fillId="0" borderId="118" xfId="0" applyNumberFormat="1" applyFont="1" applyBorder="1" applyAlignment="1">
      <alignment horizontal="center" vertical="center" wrapText="1" shrinkToFit="1"/>
    </xf>
    <xf numFmtId="190" fontId="72" fillId="24" borderId="164" xfId="0" applyNumberFormat="1" applyFont="1" applyFill="1" applyBorder="1" applyAlignment="1">
      <alignment horizontal="right" vertical="center" shrinkToFit="1"/>
    </xf>
    <xf numFmtId="9" fontId="72" fillId="25" borderId="118" xfId="10" applyFont="1" applyFill="1" applyBorder="1" applyAlignment="1">
      <alignment horizontal="right" vertical="center" shrinkToFit="1"/>
    </xf>
    <xf numFmtId="180" fontId="72" fillId="25" borderId="875" xfId="0" applyNumberFormat="1" applyFont="1" applyFill="1" applyBorder="1" applyAlignment="1">
      <alignment vertical="center" shrinkToFit="1"/>
    </xf>
    <xf numFmtId="9" fontId="72" fillId="25" borderId="192" xfId="10" applyFont="1" applyFill="1" applyBorder="1" applyAlignment="1">
      <alignment horizontal="right" vertical="center" shrinkToFit="1"/>
    </xf>
    <xf numFmtId="41" fontId="24" fillId="0" borderId="0" xfId="0" applyNumberFormat="1" applyFont="1" applyAlignment="1">
      <alignment vertical="center" shrinkToFit="1"/>
    </xf>
    <xf numFmtId="0" fontId="151" fillId="0" borderId="28" xfId="1" applyNumberFormat="1" applyFont="1" applyFill="1" applyBorder="1" applyAlignment="1">
      <alignment horizontal="left" vertical="center" shrinkToFit="1"/>
    </xf>
    <xf numFmtId="0" fontId="61" fillId="17" borderId="161" xfId="0" applyFont="1" applyFill="1" applyBorder="1" applyAlignment="1">
      <alignment horizontal="center" vertical="center" shrinkToFit="1"/>
    </xf>
    <xf numFmtId="0" fontId="61" fillId="17" borderId="234" xfId="0" applyFont="1" applyFill="1" applyBorder="1" applyAlignment="1">
      <alignment horizontal="center" vertical="center" shrinkToFit="1"/>
    </xf>
    <xf numFmtId="192" fontId="61" fillId="17" borderId="876" xfId="0" applyNumberFormat="1" applyFont="1" applyFill="1" applyBorder="1" applyAlignment="1">
      <alignment horizontal="right" vertical="center" shrinkToFit="1"/>
    </xf>
    <xf numFmtId="187" fontId="80" fillId="0" borderId="26" xfId="1" applyNumberFormat="1" applyFont="1" applyBorder="1" applyAlignment="1">
      <alignment horizontal="right" vertical="center" wrapText="1" shrinkToFit="1"/>
    </xf>
    <xf numFmtId="0" fontId="73" fillId="0" borderId="26" xfId="1" applyNumberFormat="1" applyFont="1" applyFill="1" applyBorder="1" applyAlignment="1">
      <alignment vertical="center" shrinkToFit="1"/>
    </xf>
    <xf numFmtId="180" fontId="176" fillId="25" borderId="154" xfId="0" applyNumberFormat="1" applyFont="1" applyFill="1" applyBorder="1" applyAlignment="1">
      <alignment vertical="center" shrinkToFit="1"/>
    </xf>
    <xf numFmtId="41" fontId="71" fillId="20" borderId="863" xfId="0" applyNumberFormat="1" applyFont="1" applyFill="1" applyBorder="1" applyAlignment="1">
      <alignment horizontal="center" vertical="center" shrinkToFit="1"/>
    </xf>
    <xf numFmtId="180" fontId="176" fillId="25" borderId="181" xfId="0" applyNumberFormat="1" applyFont="1" applyFill="1" applyBorder="1" applyAlignment="1">
      <alignment vertical="center" shrinkToFit="1"/>
    </xf>
    <xf numFmtId="41" fontId="71" fillId="20" borderId="859" xfId="0" applyNumberFormat="1" applyFont="1" applyFill="1" applyBorder="1" applyAlignment="1">
      <alignment horizontal="center" vertical="center" shrinkToFit="1"/>
    </xf>
    <xf numFmtId="0" fontId="64" fillId="0" borderId="6" xfId="11" applyFont="1" applyBorder="1" applyAlignment="1">
      <alignment horizontal="center" vertical="center" shrinkToFit="1"/>
    </xf>
    <xf numFmtId="187" fontId="64" fillId="0" borderId="26" xfId="1" applyNumberFormat="1" applyFont="1" applyBorder="1" applyAlignment="1">
      <alignment horizontal="center" vertical="center" shrinkToFit="1"/>
    </xf>
    <xf numFmtId="197" fontId="65" fillId="12" borderId="28" xfId="12" applyNumberFormat="1" applyFont="1" applyFill="1" applyBorder="1" applyAlignment="1">
      <alignment horizontal="right" vertical="center"/>
    </xf>
    <xf numFmtId="210" fontId="24" fillId="12" borderId="260" xfId="0" applyNumberFormat="1" applyFont="1" applyFill="1" applyBorder="1" applyAlignment="1">
      <alignment horizontal="right" vertical="center" shrinkToFit="1"/>
    </xf>
    <xf numFmtId="0" fontId="64" fillId="0" borderId="0" xfId="12" applyFont="1" applyAlignment="1">
      <alignment vertical="center" wrapText="1"/>
    </xf>
    <xf numFmtId="210" fontId="72" fillId="12" borderId="260" xfId="12" applyNumberFormat="1" applyFont="1" applyFill="1" applyBorder="1" applyAlignment="1">
      <alignment horizontal="right" vertical="center" wrapText="1"/>
    </xf>
    <xf numFmtId="210" fontId="72" fillId="12" borderId="267" xfId="12" applyNumberFormat="1" applyFont="1" applyFill="1" applyBorder="1" applyAlignment="1">
      <alignment horizontal="right" vertical="center" wrapText="1"/>
    </xf>
    <xf numFmtId="197" fontId="65" fillId="12" borderId="877" xfId="12" applyNumberFormat="1" applyFont="1" applyFill="1" applyBorder="1" applyAlignment="1">
      <alignment horizontal="right" vertical="center"/>
    </xf>
    <xf numFmtId="210" fontId="24" fillId="12" borderId="249" xfId="0" applyNumberFormat="1" applyFont="1" applyFill="1" applyBorder="1" applyAlignment="1">
      <alignment horizontal="right" vertical="center" shrinkToFit="1"/>
    </xf>
    <xf numFmtId="0" fontId="64" fillId="0" borderId="258" xfId="12" applyFont="1" applyBorder="1" applyAlignment="1">
      <alignment vertical="top" wrapText="1"/>
    </xf>
    <xf numFmtId="0" fontId="161" fillId="0" borderId="0" xfId="0" applyFont="1" applyAlignment="1">
      <alignment horizontal="center" vertical="center"/>
    </xf>
    <xf numFmtId="41" fontId="54" fillId="0" borderId="0" xfId="0" applyNumberFormat="1" applyFont="1" applyAlignment="1">
      <alignment vertical="center" shrinkToFit="1"/>
    </xf>
    <xf numFmtId="41" fontId="24" fillId="12" borderId="0" xfId="0" applyNumberFormat="1" applyFont="1" applyFill="1" applyAlignment="1">
      <alignment vertical="center" shrinkToFit="1"/>
    </xf>
    <xf numFmtId="0" fontId="177" fillId="0" borderId="0" xfId="0" applyFont="1" applyAlignment="1">
      <alignment vertical="center" shrinkToFit="1"/>
    </xf>
    <xf numFmtId="41" fontId="179" fillId="0" borderId="0" xfId="0" applyNumberFormat="1" applyFont="1" applyAlignment="1">
      <alignment vertical="center" shrinkToFit="1"/>
    </xf>
    <xf numFmtId="41" fontId="180" fillId="0" borderId="0" xfId="0" applyNumberFormat="1" applyFont="1" applyAlignment="1">
      <alignment vertical="center" shrinkToFit="1"/>
    </xf>
    <xf numFmtId="41" fontId="179" fillId="12" borderId="0" xfId="0" applyNumberFormat="1" applyFont="1" applyFill="1" applyAlignment="1">
      <alignment vertical="center" shrinkToFit="1"/>
    </xf>
    <xf numFmtId="0" fontId="181" fillId="0" borderId="0" xfId="0" applyFont="1" applyAlignment="1">
      <alignment horizontal="right" vertical="center"/>
    </xf>
    <xf numFmtId="0" fontId="181" fillId="0" borderId="0" xfId="0" applyFont="1" applyAlignment="1">
      <alignment horizontal="right" vertical="center" shrinkToFit="1"/>
    </xf>
    <xf numFmtId="0" fontId="181" fillId="24" borderId="0" xfId="0" applyFont="1" applyFill="1" applyAlignment="1">
      <alignment horizontal="right" vertical="center" shrinkToFit="1"/>
    </xf>
    <xf numFmtId="190" fontId="181" fillId="24" borderId="0" xfId="0" applyNumberFormat="1" applyFont="1" applyFill="1" applyAlignment="1">
      <alignment horizontal="right" vertical="center" shrinkToFit="1"/>
    </xf>
    <xf numFmtId="190" fontId="161" fillId="24" borderId="0" xfId="0" applyNumberFormat="1" applyFont="1" applyFill="1" applyAlignment="1">
      <alignment horizontal="right" vertical="center" shrinkToFit="1"/>
    </xf>
    <xf numFmtId="0" fontId="182" fillId="0" borderId="0" xfId="0" applyFont="1" applyAlignment="1">
      <alignment horizontal="right" vertical="center" shrinkToFit="1"/>
    </xf>
    <xf numFmtId="0" fontId="181" fillId="23" borderId="0" xfId="0" applyFont="1" applyFill="1" applyAlignment="1">
      <alignment horizontal="right" vertical="center" shrinkToFit="1"/>
    </xf>
    <xf numFmtId="188" fontId="69" fillId="0" borderId="0" xfId="13" applyNumberFormat="1" applyFont="1" applyAlignment="1">
      <alignment horizontal="center" vertical="center" shrinkToFit="1"/>
    </xf>
    <xf numFmtId="188" fontId="178" fillId="0" borderId="0" xfId="13" applyNumberFormat="1" applyFont="1" applyAlignment="1">
      <alignment horizontal="center" vertical="center" shrinkToFit="1"/>
    </xf>
    <xf numFmtId="189" fontId="69" fillId="0" borderId="0" xfId="13" applyNumberFormat="1" applyFont="1" applyAlignment="1">
      <alignment horizontal="center" vertical="center"/>
    </xf>
    <xf numFmtId="189" fontId="183" fillId="0" borderId="0" xfId="13" applyNumberFormat="1" applyFont="1" applyAlignment="1">
      <alignment horizontal="center" vertical="center"/>
    </xf>
    <xf numFmtId="41" fontId="181" fillId="0" borderId="0" xfId="0" applyNumberFormat="1" applyFont="1" applyAlignment="1">
      <alignment vertical="center" shrinkToFit="1"/>
    </xf>
    <xf numFmtId="180" fontId="24" fillId="51" borderId="0" xfId="0" applyNumberFormat="1" applyFont="1" applyFill="1" applyAlignment="1">
      <alignment horizontal="center" vertical="center" shrinkToFit="1"/>
    </xf>
    <xf numFmtId="14" fontId="186" fillId="17" borderId="50" xfId="0" applyNumberFormat="1" applyFont="1" applyFill="1" applyBorder="1" applyAlignment="1">
      <alignment horizontal="right" vertical="center" shrinkToFit="1"/>
    </xf>
    <xf numFmtId="0" fontId="179" fillId="17" borderId="51" xfId="0" applyFont="1" applyFill="1" applyBorder="1" applyAlignment="1">
      <alignment horizontal="right" vertical="center" shrinkToFit="1"/>
    </xf>
    <xf numFmtId="14" fontId="184" fillId="17" borderId="28" xfId="0" applyNumberFormat="1" applyFont="1" applyFill="1" applyBorder="1" applyAlignment="1">
      <alignment horizontal="right" vertical="center" shrinkToFit="1"/>
    </xf>
    <xf numFmtId="0" fontId="185" fillId="17" borderId="53" xfId="0" applyFont="1" applyFill="1" applyBorder="1" applyAlignment="1">
      <alignment horizontal="right" vertical="center" shrinkToFit="1"/>
    </xf>
    <xf numFmtId="14" fontId="186" fillId="17" borderId="27" xfId="0" applyNumberFormat="1" applyFont="1" applyFill="1" applyBorder="1" applyAlignment="1">
      <alignment horizontal="right" vertical="center" shrinkToFit="1"/>
    </xf>
    <xf numFmtId="0" fontId="179" fillId="17" borderId="175" xfId="0" applyFont="1" applyFill="1" applyBorder="1" applyAlignment="1">
      <alignment horizontal="right" vertical="center" shrinkToFit="1"/>
    </xf>
    <xf numFmtId="14" fontId="184" fillId="17" borderId="26" xfId="0" applyNumberFormat="1" applyFont="1" applyFill="1" applyBorder="1" applyAlignment="1">
      <alignment horizontal="right" vertical="center" shrinkToFit="1"/>
    </xf>
    <xf numFmtId="0" fontId="185" fillId="17" borderId="155" xfId="0" applyFont="1" applyFill="1" applyBorder="1" applyAlignment="1">
      <alignment horizontal="right" vertical="center" shrinkToFit="1"/>
    </xf>
    <xf numFmtId="14" fontId="184" fillId="17" borderId="118" xfId="0" applyNumberFormat="1" applyFont="1" applyFill="1" applyBorder="1" applyAlignment="1">
      <alignment horizontal="right" vertical="center" shrinkToFit="1"/>
    </xf>
    <xf numFmtId="0" fontId="185" fillId="17" borderId="121" xfId="0" applyFont="1" applyFill="1" applyBorder="1" applyAlignment="1">
      <alignment horizontal="right" vertical="center" shrinkToFit="1"/>
    </xf>
    <xf numFmtId="200" fontId="57" fillId="0" borderId="0" xfId="11" applyNumberFormat="1"/>
    <xf numFmtId="38" fontId="0" fillId="0" borderId="0" xfId="15" applyFont="1" applyAlignment="1">
      <alignment horizontal="center"/>
    </xf>
    <xf numFmtId="38" fontId="0" fillId="0" borderId="0" xfId="15" applyFont="1" applyAlignment="1">
      <alignment horizontal="center" vertical="center"/>
    </xf>
    <xf numFmtId="9" fontId="43" fillId="0" borderId="460" xfId="11" applyNumberFormat="1" applyFont="1" applyBorder="1" applyAlignment="1">
      <alignment horizontal="center" vertical="center" wrapText="1" shrinkToFit="1"/>
    </xf>
    <xf numFmtId="0" fontId="43" fillId="0" borderId="419" xfId="11" applyFont="1" applyBorder="1" applyAlignment="1">
      <alignment horizontal="center" vertical="center" wrapText="1" shrinkToFit="1"/>
    </xf>
    <xf numFmtId="0" fontId="43" fillId="0" borderId="462" xfId="11" applyFont="1" applyBorder="1" applyAlignment="1">
      <alignment horizontal="center" vertical="center" wrapText="1" shrinkToFit="1"/>
    </xf>
    <xf numFmtId="0" fontId="60" fillId="0" borderId="5" xfId="11" applyFont="1" applyBorder="1" applyAlignment="1">
      <alignment vertical="center" shrinkToFit="1"/>
    </xf>
    <xf numFmtId="0" fontId="60" fillId="0" borderId="9" xfId="11" applyFont="1" applyBorder="1" applyAlignment="1">
      <alignment vertical="center" shrinkToFit="1"/>
    </xf>
    <xf numFmtId="0" fontId="60" fillId="0" borderId="432" xfId="11" applyFont="1" applyBorder="1" applyAlignment="1">
      <alignment vertical="center" shrinkToFit="1"/>
    </xf>
    <xf numFmtId="0" fontId="60" fillId="0" borderId="434" xfId="11" applyFont="1" applyBorder="1" applyAlignment="1">
      <alignment vertical="center" shrinkToFit="1"/>
    </xf>
    <xf numFmtId="0" fontId="60" fillId="0" borderId="7" xfId="11" applyFont="1" applyBorder="1" applyAlignment="1">
      <alignment vertical="center" shrinkToFit="1"/>
    </xf>
    <xf numFmtId="200" fontId="43" fillId="52" borderId="27" xfId="11" applyNumberFormat="1" applyFont="1" applyFill="1" applyBorder="1" applyAlignment="1">
      <alignment vertical="center" wrapText="1" shrinkToFit="1"/>
    </xf>
    <xf numFmtId="0" fontId="62" fillId="0" borderId="5" xfId="11" applyFont="1" applyBorder="1" applyAlignment="1">
      <alignment vertical="center" wrapText="1" shrinkToFit="1"/>
    </xf>
    <xf numFmtId="9" fontId="43" fillId="0" borderId="61" xfId="11" applyNumberFormat="1" applyFont="1" applyBorder="1" applyAlignment="1">
      <alignment horizontal="center" vertical="center" wrapText="1" shrinkToFit="1"/>
    </xf>
    <xf numFmtId="0" fontId="43" fillId="0" borderId="410" xfId="11" applyFont="1" applyBorder="1" applyAlignment="1">
      <alignment horizontal="center" vertical="center" wrapText="1" shrinkToFit="1"/>
    </xf>
    <xf numFmtId="0" fontId="43" fillId="0" borderId="466" xfId="11" applyFont="1" applyBorder="1" applyAlignment="1">
      <alignment horizontal="center" vertical="center" wrapText="1" shrinkToFit="1"/>
    </xf>
    <xf numFmtId="0" fontId="49" fillId="0" borderId="27" xfId="11" applyFont="1" applyBorder="1" applyAlignment="1">
      <alignment vertical="center"/>
    </xf>
    <xf numFmtId="0" fontId="62" fillId="0" borderId="27" xfId="11" applyFont="1" applyBorder="1" applyAlignment="1">
      <alignment vertical="center" wrapText="1" shrinkToFit="1"/>
    </xf>
    <xf numFmtId="0" fontId="60" fillId="0" borderId="27" xfId="11" applyFont="1" applyBorder="1" applyAlignment="1">
      <alignment vertical="center" shrinkToFit="1"/>
    </xf>
    <xf numFmtId="0" fontId="26" fillId="36" borderId="9" xfId="11" applyFont="1" applyFill="1" applyBorder="1" applyAlignment="1">
      <alignment horizontal="center" vertical="center" shrinkToFit="1"/>
    </xf>
    <xf numFmtId="200" fontId="26" fillId="36" borderId="27" xfId="11" applyNumberFormat="1" applyFont="1" applyFill="1" applyBorder="1" applyAlignment="1">
      <alignment horizontal="center" vertical="center" shrinkToFit="1"/>
    </xf>
    <xf numFmtId="14" fontId="187" fillId="0" borderId="0" xfId="11" applyNumberFormat="1" applyFont="1" applyAlignment="1">
      <alignment horizontal="right" vertical="center"/>
    </xf>
    <xf numFmtId="0" fontId="49" fillId="0" borderId="0" xfId="0" applyFont="1" applyAlignment="1">
      <alignment horizontal="center" vertical="center"/>
    </xf>
    <xf numFmtId="0" fontId="43" fillId="0" borderId="279" xfId="0" applyFont="1" applyBorder="1" applyAlignment="1">
      <alignment horizontal="center" vertical="center" shrinkToFit="1"/>
    </xf>
    <xf numFmtId="0" fontId="43" fillId="0" borderId="407" xfId="1" applyNumberFormat="1" applyFont="1" applyFill="1" applyBorder="1" applyAlignment="1">
      <alignment horizontal="center" vertical="center" shrinkToFit="1"/>
    </xf>
    <xf numFmtId="0" fontId="44" fillId="0" borderId="430" xfId="1" applyNumberFormat="1" applyFont="1" applyFill="1" applyBorder="1" applyAlignment="1">
      <alignment horizontal="center" vertical="center" shrinkToFit="1"/>
    </xf>
    <xf numFmtId="38" fontId="43" fillId="13" borderId="402" xfId="1" applyFont="1" applyFill="1" applyBorder="1" applyAlignment="1">
      <alignment horizontal="center" vertical="center" shrinkToFit="1"/>
    </xf>
    <xf numFmtId="38" fontId="43" fillId="9" borderId="407" xfId="1" applyFont="1" applyFill="1" applyBorder="1" applyAlignment="1">
      <alignment horizontal="center" vertical="center" shrinkToFit="1"/>
    </xf>
    <xf numFmtId="38" fontId="43" fillId="0" borderId="57" xfId="1" applyFont="1" applyFill="1" applyBorder="1" applyAlignment="1">
      <alignment horizontal="left" vertical="center" wrapText="1" shrinkToFit="1"/>
    </xf>
    <xf numFmtId="0" fontId="43" fillId="0" borderId="879" xfId="0" applyFont="1" applyBorder="1" applyAlignment="1">
      <alignment horizontal="center" vertical="center" shrinkToFit="1"/>
    </xf>
    <xf numFmtId="0" fontId="44" fillId="0" borderId="880" xfId="1" applyNumberFormat="1" applyFont="1" applyFill="1" applyBorder="1" applyAlignment="1">
      <alignment horizontal="center" vertical="center" shrinkToFit="1"/>
    </xf>
    <xf numFmtId="38" fontId="43" fillId="13" borderId="362" xfId="1" applyFont="1" applyFill="1" applyBorder="1" applyAlignment="1">
      <alignment horizontal="center" vertical="center" shrinkToFit="1"/>
    </xf>
    <xf numFmtId="38" fontId="43" fillId="9" borderId="882" xfId="1" applyFont="1" applyFill="1" applyBorder="1" applyAlignment="1">
      <alignment horizontal="center" vertical="center" shrinkToFit="1"/>
    </xf>
    <xf numFmtId="38" fontId="36" fillId="0" borderId="883" xfId="1" applyFont="1" applyFill="1" applyBorder="1" applyAlignment="1">
      <alignment horizontal="center" vertical="center" wrapText="1" shrinkToFit="1"/>
    </xf>
    <xf numFmtId="38" fontId="36" fillId="0" borderId="884" xfId="1" applyFont="1" applyFill="1" applyBorder="1" applyAlignment="1">
      <alignment horizontal="center" vertical="center" wrapText="1" shrinkToFit="1"/>
    </xf>
    <xf numFmtId="38" fontId="36" fillId="19" borderId="884" xfId="1" applyFont="1" applyFill="1" applyBorder="1" applyAlignment="1">
      <alignment horizontal="center" vertical="center" wrapText="1" shrinkToFit="1"/>
    </xf>
    <xf numFmtId="38" fontId="36" fillId="0" borderId="885" xfId="1" applyFont="1" applyFill="1" applyBorder="1" applyAlignment="1">
      <alignment horizontal="center" vertical="center" wrapText="1" shrinkToFit="1"/>
    </xf>
    <xf numFmtId="9" fontId="43" fillId="0" borderId="11" xfId="10" applyFont="1" applyFill="1" applyBorder="1" applyAlignment="1">
      <alignment horizontal="center" vertical="center" shrinkToFit="1"/>
    </xf>
    <xf numFmtId="38" fontId="43" fillId="0" borderId="11" xfId="1" applyFont="1" applyFill="1" applyBorder="1" applyAlignment="1">
      <alignment horizontal="center" vertical="center" shrinkToFit="1"/>
    </xf>
    <xf numFmtId="38" fontId="43" fillId="0" borderId="882" xfId="1" applyFont="1" applyFill="1" applyBorder="1" applyAlignment="1">
      <alignment horizontal="center" vertical="center" shrinkToFit="1"/>
    </xf>
    <xf numFmtId="38" fontId="43" fillId="0" borderId="362" xfId="1" applyFont="1" applyFill="1" applyBorder="1" applyAlignment="1">
      <alignment horizontal="center" vertical="center" shrinkToFit="1"/>
    </xf>
    <xf numFmtId="38" fontId="43" fillId="0" borderId="881" xfId="1" applyFont="1" applyFill="1" applyBorder="1" applyAlignment="1">
      <alignment horizontal="left" vertical="center" wrapText="1" shrinkToFit="1"/>
    </xf>
    <xf numFmtId="0" fontId="45" fillId="0" borderId="0" xfId="13" applyFont="1" applyAlignment="1">
      <alignment horizontal="center" vertical="center" wrapText="1" shrinkToFit="1"/>
    </xf>
    <xf numFmtId="0" fontId="88" fillId="0" borderId="886" xfId="13" applyFont="1" applyBorder="1" applyAlignment="1">
      <alignment horizontal="center" vertical="center" wrapText="1" shrinkToFit="1"/>
    </xf>
    <xf numFmtId="200" fontId="26" fillId="36" borderId="40" xfId="11" applyNumberFormat="1" applyFont="1" applyFill="1" applyBorder="1" applyAlignment="1">
      <alignment horizontal="center" vertical="center" shrinkToFit="1"/>
    </xf>
    <xf numFmtId="200" fontId="43" fillId="52" borderId="37" xfId="11" applyNumberFormat="1" applyFont="1" applyFill="1" applyBorder="1" applyAlignment="1">
      <alignment vertical="center" wrapText="1" shrinkToFit="1"/>
    </xf>
    <xf numFmtId="0" fontId="62" fillId="18" borderId="5" xfId="11" applyFont="1" applyFill="1" applyBorder="1" applyAlignment="1">
      <alignment horizontal="center" vertical="center" textRotation="255" wrapText="1"/>
    </xf>
    <xf numFmtId="14" fontId="90" fillId="0" borderId="0" xfId="11" applyNumberFormat="1" applyFont="1" applyAlignment="1">
      <alignment horizontal="right" vertical="center"/>
    </xf>
    <xf numFmtId="0" fontId="62" fillId="18" borderId="26" xfId="11" applyFont="1" applyFill="1" applyBorder="1" applyAlignment="1">
      <alignment horizontal="center" vertical="center"/>
    </xf>
    <xf numFmtId="0" fontId="62" fillId="18" borderId="446" xfId="11" applyFont="1" applyFill="1" applyBorder="1" applyAlignment="1">
      <alignment horizontal="center" vertical="center"/>
    </xf>
    <xf numFmtId="0" fontId="62" fillId="18" borderId="448" xfId="11" applyFont="1" applyFill="1" applyBorder="1" applyAlignment="1">
      <alignment horizontal="center" vertical="center" wrapText="1"/>
    </xf>
    <xf numFmtId="0" fontId="62" fillId="18" borderId="97" xfId="11" applyFont="1" applyFill="1" applyBorder="1" applyAlignment="1">
      <alignment horizontal="center" vertical="center" wrapText="1"/>
    </xf>
    <xf numFmtId="0" fontId="62" fillId="18" borderId="435" xfId="11" applyFont="1" applyFill="1" applyBorder="1" applyAlignment="1">
      <alignment horizontal="center" vertical="center" wrapText="1"/>
    </xf>
    <xf numFmtId="0" fontId="62" fillId="18" borderId="436" xfId="11" applyFont="1" applyFill="1" applyBorder="1" applyAlignment="1">
      <alignment horizontal="center" vertical="center" wrapText="1"/>
    </xf>
    <xf numFmtId="0" fontId="60" fillId="0" borderId="0" xfId="11" applyFont="1" applyAlignment="1">
      <alignment horizontal="right" vertical="center"/>
    </xf>
    <xf numFmtId="38" fontId="49" fillId="0" borderId="608" xfId="15" applyFont="1" applyFill="1" applyBorder="1" applyAlignment="1">
      <alignment horizontal="center" vertical="center"/>
    </xf>
    <xf numFmtId="38" fontId="49" fillId="0" borderId="469" xfId="15" applyFont="1" applyFill="1" applyBorder="1" applyAlignment="1">
      <alignment horizontal="center" vertical="center"/>
    </xf>
    <xf numFmtId="0" fontId="60" fillId="0" borderId="42" xfId="11" applyFont="1" applyBorder="1" applyAlignment="1">
      <alignment horizontal="center" vertical="center" wrapText="1"/>
    </xf>
    <xf numFmtId="0" fontId="25" fillId="12" borderId="71" xfId="11" applyFont="1" applyFill="1" applyBorder="1" applyAlignment="1">
      <alignment horizontal="center" vertical="center"/>
    </xf>
    <xf numFmtId="0" fontId="60" fillId="0" borderId="26" xfId="11" applyFont="1" applyBorder="1" applyAlignment="1">
      <alignment horizontal="center" vertical="center" wrapText="1"/>
    </xf>
    <xf numFmtId="38" fontId="49" fillId="0" borderId="892" xfId="15" applyFont="1" applyFill="1" applyBorder="1" applyAlignment="1">
      <alignment horizontal="center" vertical="center"/>
    </xf>
    <xf numFmtId="38" fontId="49" fillId="0" borderId="815" xfId="15" applyFont="1" applyFill="1" applyBorder="1" applyAlignment="1">
      <alignment horizontal="center" vertical="center"/>
    </xf>
    <xf numFmtId="0" fontId="74" fillId="12" borderId="9" xfId="1" applyNumberFormat="1" applyFont="1" applyFill="1" applyBorder="1" applyAlignment="1">
      <alignment horizontal="center" vertical="center" wrapText="1" shrinkToFit="1"/>
    </xf>
    <xf numFmtId="0" fontId="25" fillId="12" borderId="5" xfId="11" applyFont="1" applyFill="1" applyBorder="1" applyAlignment="1">
      <alignment horizontal="center" vertical="center"/>
    </xf>
    <xf numFmtId="0" fontId="74" fillId="12" borderId="9" xfId="1" applyNumberFormat="1" applyFont="1" applyFill="1" applyBorder="1" applyAlignment="1">
      <alignment horizontal="center" vertical="center" shrinkToFit="1"/>
    </xf>
    <xf numFmtId="0" fontId="74" fillId="9" borderId="9" xfId="1" applyNumberFormat="1" applyFont="1" applyFill="1" applyBorder="1" applyAlignment="1">
      <alignment horizontal="center" vertical="center" shrinkToFit="1"/>
    </xf>
    <xf numFmtId="0" fontId="25" fillId="9" borderId="5" xfId="11" applyFont="1" applyFill="1" applyBorder="1" applyAlignment="1">
      <alignment horizontal="center" vertical="center"/>
    </xf>
    <xf numFmtId="0" fontId="85" fillId="9" borderId="42" xfId="11" applyFont="1" applyFill="1" applyBorder="1" applyAlignment="1">
      <alignment horizontal="center" vertical="center"/>
    </xf>
    <xf numFmtId="38" fontId="49" fillId="0" borderId="470" xfId="15" applyFont="1" applyFill="1" applyBorder="1" applyAlignment="1">
      <alignment horizontal="center" vertical="center"/>
    </xf>
    <xf numFmtId="0" fontId="74" fillId="17" borderId="9" xfId="1" applyNumberFormat="1" applyFont="1" applyFill="1" applyBorder="1" applyAlignment="1">
      <alignment horizontal="center" vertical="center" shrinkToFit="1"/>
    </xf>
    <xf numFmtId="0" fontId="25" fillId="17" borderId="5" xfId="11" applyFont="1" applyFill="1" applyBorder="1" applyAlignment="1">
      <alignment horizontal="center" vertical="center"/>
    </xf>
    <xf numFmtId="0" fontId="85" fillId="17" borderId="42" xfId="11" applyFont="1" applyFill="1" applyBorder="1" applyAlignment="1">
      <alignment horizontal="center" vertical="center"/>
    </xf>
    <xf numFmtId="0" fontId="60" fillId="0" borderId="450" xfId="11" applyFont="1" applyBorder="1" applyAlignment="1">
      <alignment horizontal="center" vertical="center" shrinkToFit="1"/>
    </xf>
    <xf numFmtId="0" fontId="60" fillId="0" borderId="893" xfId="11" applyFont="1" applyBorder="1" applyAlignment="1">
      <alignment horizontal="center" vertical="center" shrinkToFit="1"/>
    </xf>
    <xf numFmtId="0" fontId="60" fillId="0" borderId="27" xfId="11" applyFont="1" applyBorder="1" applyAlignment="1">
      <alignment horizontal="center" vertical="center"/>
    </xf>
    <xf numFmtId="200" fontId="60" fillId="0" borderId="26" xfId="11" applyNumberFormat="1" applyFont="1" applyBorder="1" applyAlignment="1">
      <alignment horizontal="center" vertical="center" shrinkToFit="1"/>
    </xf>
    <xf numFmtId="0" fontId="25" fillId="17" borderId="27" xfId="11" applyFont="1" applyFill="1" applyBorder="1" applyAlignment="1">
      <alignment horizontal="center" vertical="center"/>
    </xf>
    <xf numFmtId="0" fontId="85" fillId="17" borderId="0" xfId="11" applyFont="1" applyFill="1" applyAlignment="1">
      <alignment horizontal="center" vertical="center"/>
    </xf>
    <xf numFmtId="1" fontId="60" fillId="0" borderId="41" xfId="11" applyNumberFormat="1" applyFont="1" applyBorder="1" applyAlignment="1">
      <alignment horizontal="center" vertical="center"/>
    </xf>
    <xf numFmtId="1" fontId="60" fillId="0" borderId="0" xfId="11" applyNumberFormat="1" applyFont="1" applyAlignment="1">
      <alignment horizontal="center" vertical="center"/>
    </xf>
    <xf numFmtId="0" fontId="85" fillId="0" borderId="38" xfId="11" applyFont="1" applyBorder="1" applyAlignment="1">
      <alignment horizontal="center" vertical="center"/>
    </xf>
    <xf numFmtId="0" fontId="60" fillId="0" borderId="8" xfId="11" applyFont="1" applyBorder="1" applyAlignment="1">
      <alignment horizontal="center" vertical="center" wrapText="1"/>
    </xf>
    <xf numFmtId="0" fontId="60" fillId="0" borderId="8" xfId="11" applyFont="1" applyBorder="1" applyAlignment="1">
      <alignment horizontal="center" vertical="center" shrinkToFit="1"/>
    </xf>
    <xf numFmtId="0" fontId="60" fillId="0" borderId="41" xfId="11" applyFont="1" applyBorder="1" applyAlignment="1">
      <alignment horizontal="center" vertical="center"/>
    </xf>
    <xf numFmtId="0" fontId="60" fillId="0" borderId="41" xfId="11" applyFont="1" applyBorder="1" applyAlignment="1">
      <alignment horizontal="center" vertical="center" shrinkToFit="1"/>
    </xf>
    <xf numFmtId="200" fontId="60" fillId="0" borderId="41" xfId="11" applyNumberFormat="1" applyFont="1" applyBorder="1" applyAlignment="1">
      <alignment horizontal="center" vertical="center" shrinkToFit="1"/>
    </xf>
    <xf numFmtId="1" fontId="60" fillId="0" borderId="8" xfId="11" applyNumberFormat="1" applyFont="1" applyBorder="1" applyAlignment="1">
      <alignment horizontal="center" vertical="center"/>
    </xf>
    <xf numFmtId="0" fontId="85" fillId="0" borderId="5" xfId="11" applyFont="1" applyBorder="1" applyAlignment="1">
      <alignment horizontal="center" vertical="center"/>
    </xf>
    <xf numFmtId="1" fontId="25" fillId="0" borderId="0" xfId="11" applyNumberFormat="1" applyFont="1" applyAlignment="1">
      <alignment horizontal="center" vertical="center" wrapText="1"/>
    </xf>
    <xf numFmtId="41" fontId="64" fillId="20" borderId="719" xfId="0" applyNumberFormat="1" applyFont="1" applyFill="1" applyBorder="1" applyAlignment="1">
      <alignment horizontal="center" vertical="center" shrinkToFit="1"/>
    </xf>
    <xf numFmtId="41" fontId="64" fillId="20" borderId="0" xfId="0" applyNumberFormat="1" applyFont="1" applyFill="1" applyAlignment="1">
      <alignment horizontal="center" vertical="center" shrinkToFit="1"/>
    </xf>
    <xf numFmtId="41" fontId="64" fillId="20" borderId="194" xfId="0" applyNumberFormat="1" applyFont="1" applyFill="1" applyBorder="1" applyAlignment="1">
      <alignment horizontal="center" vertical="center" shrinkToFit="1"/>
    </xf>
    <xf numFmtId="41" fontId="64" fillId="20" borderId="101" xfId="0" applyNumberFormat="1" applyFont="1" applyFill="1" applyBorder="1" applyAlignment="1">
      <alignment horizontal="center" vertical="center" shrinkToFit="1"/>
    </xf>
    <xf numFmtId="41" fontId="64" fillId="20" borderId="721" xfId="0" applyNumberFormat="1" applyFont="1" applyFill="1" applyBorder="1" applyAlignment="1">
      <alignment horizontal="center" vertical="center" shrinkToFit="1"/>
    </xf>
    <xf numFmtId="41" fontId="64" fillId="20" borderId="895" xfId="0" applyNumberFormat="1" applyFont="1" applyFill="1" applyBorder="1" applyAlignment="1">
      <alignment horizontal="center" vertical="center" shrinkToFit="1"/>
    </xf>
    <xf numFmtId="41" fontId="71" fillId="20" borderId="194" xfId="0" applyNumberFormat="1" applyFont="1" applyFill="1" applyBorder="1" applyAlignment="1">
      <alignment horizontal="center" vertical="center" shrinkToFit="1"/>
    </xf>
    <xf numFmtId="41" fontId="71" fillId="20" borderId="41" xfId="0" applyNumberFormat="1" applyFont="1" applyFill="1" applyBorder="1" applyAlignment="1">
      <alignment horizontal="center" vertical="center" shrinkToFit="1"/>
    </xf>
    <xf numFmtId="41" fontId="71" fillId="20" borderId="0" xfId="0" applyNumberFormat="1" applyFont="1" applyFill="1" applyAlignment="1">
      <alignment horizontal="center" vertical="center" shrinkToFit="1"/>
    </xf>
    <xf numFmtId="0" fontId="89" fillId="13" borderId="0" xfId="13" applyFont="1" applyFill="1" applyAlignment="1">
      <alignment horizontal="center" vertical="center" shrinkToFit="1"/>
    </xf>
    <xf numFmtId="188" fontId="69" fillId="23" borderId="102" xfId="13" applyNumberFormat="1" applyFont="1" applyFill="1" applyBorder="1" applyAlignment="1">
      <alignment horizontal="center" vertical="center" shrinkToFit="1"/>
    </xf>
    <xf numFmtId="188" fontId="69" fillId="23" borderId="105" xfId="13" applyNumberFormat="1" applyFont="1" applyFill="1" applyBorder="1" applyAlignment="1">
      <alignment horizontal="center" vertical="center" shrinkToFit="1"/>
    </xf>
    <xf numFmtId="0" fontId="69" fillId="23" borderId="896" xfId="13" applyFont="1" applyFill="1" applyBorder="1" applyAlignment="1">
      <alignment horizontal="center" vertical="center"/>
    </xf>
    <xf numFmtId="0" fontId="69" fillId="23" borderId="5" xfId="13" applyFont="1" applyFill="1" applyBorder="1" applyAlignment="1">
      <alignment horizontal="center" vertical="center"/>
    </xf>
    <xf numFmtId="0" fontId="68" fillId="23" borderId="5" xfId="13" applyFont="1" applyFill="1" applyBorder="1" applyAlignment="1">
      <alignment horizontal="center" vertical="center"/>
    </xf>
    <xf numFmtId="189" fontId="69" fillId="23" borderId="5" xfId="13" applyNumberFormat="1" applyFont="1" applyFill="1" applyBorder="1" applyAlignment="1">
      <alignment horizontal="center" vertical="center"/>
    </xf>
    <xf numFmtId="189" fontId="68" fillId="23" borderId="5" xfId="13" applyNumberFormat="1" applyFont="1" applyFill="1" applyBorder="1" applyAlignment="1">
      <alignment horizontal="center" vertical="center"/>
    </xf>
    <xf numFmtId="189" fontId="67" fillId="23" borderId="5" xfId="13" applyNumberFormat="1" applyFont="1" applyFill="1" applyBorder="1" applyAlignment="1">
      <alignment horizontal="center" vertical="center"/>
    </xf>
    <xf numFmtId="0" fontId="69" fillId="23" borderId="260" xfId="13" applyFont="1" applyFill="1" applyBorder="1" applyAlignment="1">
      <alignment horizontal="center" vertical="center"/>
    </xf>
    <xf numFmtId="38" fontId="64" fillId="0" borderId="27" xfId="1" applyFont="1" applyFill="1" applyBorder="1" applyAlignment="1">
      <alignment horizontal="center" vertical="center" shrinkToFit="1"/>
    </xf>
    <xf numFmtId="41" fontId="61" fillId="24" borderId="27" xfId="0" applyNumberFormat="1" applyFont="1" applyFill="1" applyBorder="1" applyAlignment="1">
      <alignment horizontal="center" vertical="center" shrinkToFit="1"/>
    </xf>
    <xf numFmtId="190" fontId="24" fillId="24" borderId="37" xfId="0" applyNumberFormat="1" applyFont="1" applyFill="1" applyBorder="1" applyAlignment="1">
      <alignment vertical="center" shrinkToFit="1"/>
    </xf>
    <xf numFmtId="190" fontId="24" fillId="24" borderId="37" xfId="0" applyNumberFormat="1" applyFont="1" applyFill="1" applyBorder="1" applyAlignment="1">
      <alignment horizontal="center" vertical="center" shrinkToFit="1"/>
    </xf>
    <xf numFmtId="41" fontId="24" fillId="0" borderId="169" xfId="0" applyNumberFormat="1" applyFont="1" applyBorder="1" applyAlignment="1">
      <alignment vertical="center" shrinkToFit="1"/>
    </xf>
    <xf numFmtId="41" fontId="61" fillId="24" borderId="145" xfId="0" applyNumberFormat="1" applyFont="1" applyFill="1" applyBorder="1" applyAlignment="1">
      <alignment horizontal="center" vertical="center" shrinkToFit="1"/>
    </xf>
    <xf numFmtId="190" fontId="61" fillId="24" borderId="145" xfId="0" applyNumberFormat="1" applyFont="1" applyFill="1" applyBorder="1" applyAlignment="1">
      <alignment horizontal="right" vertical="center" shrinkToFit="1"/>
    </xf>
    <xf numFmtId="190" fontId="24" fillId="24" borderId="26" xfId="0" applyNumberFormat="1" applyFont="1" applyFill="1" applyBorder="1" applyAlignment="1">
      <alignment vertical="center" shrinkToFit="1"/>
    </xf>
    <xf numFmtId="190" fontId="24" fillId="24" borderId="6" xfId="0" applyNumberFormat="1" applyFont="1" applyFill="1" applyBorder="1" applyAlignment="1">
      <alignment horizontal="center" vertical="center" shrinkToFit="1"/>
    </xf>
    <xf numFmtId="41" fontId="24" fillId="0" borderId="202" xfId="0" applyNumberFormat="1" applyFont="1" applyBorder="1" applyAlignment="1">
      <alignment vertical="center" shrinkToFit="1"/>
    </xf>
    <xf numFmtId="41" fontId="61" fillId="24" borderId="167" xfId="0" applyNumberFormat="1" applyFont="1" applyFill="1" applyBorder="1" applyAlignment="1">
      <alignment horizontal="center" vertical="center" shrinkToFit="1"/>
    </xf>
    <xf numFmtId="190" fontId="61" fillId="24" borderId="167" xfId="0" applyNumberFormat="1" applyFont="1" applyFill="1" applyBorder="1" applyAlignment="1">
      <alignment horizontal="right" vertical="center" shrinkToFit="1"/>
    </xf>
    <xf numFmtId="190" fontId="24" fillId="24" borderId="27" xfId="0" applyNumberFormat="1" applyFont="1" applyFill="1" applyBorder="1" applyAlignment="1">
      <alignment vertical="center" shrinkToFit="1"/>
    </xf>
    <xf numFmtId="41" fontId="61" fillId="24" borderId="26" xfId="0" applyNumberFormat="1" applyFont="1" applyFill="1" applyBorder="1" applyAlignment="1">
      <alignment horizontal="center" vertical="center" shrinkToFit="1"/>
    </xf>
    <xf numFmtId="190" fontId="61" fillId="24" borderId="26" xfId="0" applyNumberFormat="1" applyFont="1" applyFill="1" applyBorder="1" applyAlignment="1">
      <alignment horizontal="right" vertical="center" shrinkToFit="1"/>
    </xf>
    <xf numFmtId="190" fontId="24" fillId="24" borderId="6" xfId="0" applyNumberFormat="1" applyFont="1" applyFill="1" applyBorder="1" applyAlignment="1">
      <alignment vertical="center" shrinkToFit="1"/>
    </xf>
    <xf numFmtId="41" fontId="24" fillId="0" borderId="156" xfId="0" applyNumberFormat="1" applyFont="1" applyBorder="1" applyAlignment="1">
      <alignment vertical="center" shrinkToFit="1"/>
    </xf>
    <xf numFmtId="190" fontId="61" fillId="24" borderId="27" xfId="0" applyNumberFormat="1" applyFont="1" applyFill="1" applyBorder="1" applyAlignment="1">
      <alignment horizontal="right" vertical="center" shrinkToFit="1"/>
    </xf>
    <xf numFmtId="41" fontId="24" fillId="0" borderId="178" xfId="0" applyNumberFormat="1" applyFont="1" applyBorder="1" applyAlignment="1">
      <alignment vertical="center" shrinkToFit="1"/>
    </xf>
    <xf numFmtId="41" fontId="61" fillId="24" borderId="176" xfId="0" applyNumberFormat="1" applyFont="1" applyFill="1" applyBorder="1" applyAlignment="1">
      <alignment horizontal="center" vertical="center" shrinkToFit="1"/>
    </xf>
    <xf numFmtId="190" fontId="61" fillId="24" borderId="176" xfId="0" applyNumberFormat="1" applyFont="1" applyFill="1" applyBorder="1" applyAlignment="1">
      <alignment horizontal="right" vertical="center" shrinkToFit="1"/>
    </xf>
    <xf numFmtId="190" fontId="24" fillId="24" borderId="40" xfId="0" applyNumberFormat="1" applyFont="1" applyFill="1" applyBorder="1" applyAlignment="1">
      <alignment vertical="center" shrinkToFit="1"/>
    </xf>
    <xf numFmtId="190" fontId="24" fillId="24" borderId="40" xfId="0" applyNumberFormat="1" applyFont="1" applyFill="1" applyBorder="1" applyAlignment="1">
      <alignment horizontal="center" vertical="center" shrinkToFit="1"/>
    </xf>
    <xf numFmtId="41" fontId="61" fillId="24" borderId="28" xfId="0" applyNumberFormat="1" applyFont="1" applyFill="1" applyBorder="1" applyAlignment="1">
      <alignment horizontal="center" vertical="center" shrinkToFit="1"/>
    </xf>
    <xf numFmtId="190" fontId="61" fillId="24" borderId="28" xfId="0" applyNumberFormat="1" applyFont="1" applyFill="1" applyBorder="1" applyAlignment="1">
      <alignment horizontal="right" vertical="center" shrinkToFit="1"/>
    </xf>
    <xf numFmtId="190" fontId="24" fillId="24" borderId="40" xfId="0" applyNumberFormat="1" applyFont="1" applyFill="1" applyBorder="1" applyAlignment="1">
      <alignment horizontal="right" vertical="center" shrinkToFit="1"/>
    </xf>
    <xf numFmtId="41" fontId="24" fillId="0" borderId="191" xfId="0" applyNumberFormat="1" applyFont="1" applyBorder="1" applyAlignment="1">
      <alignment vertical="center" shrinkToFit="1"/>
    </xf>
    <xf numFmtId="0" fontId="64" fillId="0" borderId="39" xfId="11" applyFont="1" applyBorder="1" applyAlignment="1">
      <alignment horizontal="center" vertical="center" shrinkToFit="1"/>
    </xf>
    <xf numFmtId="190" fontId="24" fillId="24" borderId="28" xfId="0" applyNumberFormat="1" applyFont="1" applyFill="1" applyBorder="1" applyAlignment="1">
      <alignment horizontal="center" vertical="center" shrinkToFit="1"/>
    </xf>
    <xf numFmtId="190" fontId="24" fillId="24" borderId="41" xfId="0" applyNumberFormat="1" applyFont="1" applyFill="1" applyBorder="1" applyAlignment="1">
      <alignment horizontal="center" vertical="center" shrinkToFit="1"/>
    </xf>
    <xf numFmtId="190" fontId="24" fillId="24" borderId="41" xfId="0" applyNumberFormat="1" applyFont="1" applyFill="1" applyBorder="1" applyAlignment="1">
      <alignment horizontal="right" vertical="center" shrinkToFit="1"/>
    </xf>
    <xf numFmtId="38" fontId="64" fillId="0" borderId="26" xfId="1" applyFont="1" applyFill="1" applyBorder="1" applyAlignment="1">
      <alignment horizontal="center" vertical="center" shrinkToFit="1"/>
    </xf>
    <xf numFmtId="41" fontId="61" fillId="24" borderId="140" xfId="0" applyNumberFormat="1" applyFont="1" applyFill="1" applyBorder="1" applyAlignment="1">
      <alignment horizontal="center" vertical="center" shrinkToFit="1"/>
    </xf>
    <xf numFmtId="190" fontId="61" fillId="24" borderId="140" xfId="0" applyNumberFormat="1" applyFont="1" applyFill="1" applyBorder="1" applyAlignment="1">
      <alignment horizontal="right" vertical="center" shrinkToFit="1"/>
    </xf>
    <xf numFmtId="14" fontId="186" fillId="17" borderId="26" xfId="0" applyNumberFormat="1" applyFont="1" applyFill="1" applyBorder="1" applyAlignment="1">
      <alignment horizontal="right" vertical="center" shrinkToFit="1"/>
    </xf>
    <xf numFmtId="0" fontId="179" fillId="17" borderId="155" xfId="0" applyFont="1" applyFill="1" applyBorder="1" applyAlignment="1">
      <alignment horizontal="right" vertical="center" shrinkToFit="1"/>
    </xf>
    <xf numFmtId="41" fontId="24" fillId="0" borderId="897" xfId="0" applyNumberFormat="1" applyFont="1" applyBorder="1" applyAlignment="1">
      <alignment vertical="center" shrinkToFit="1"/>
    </xf>
    <xf numFmtId="41" fontId="24" fillId="0" borderId="207" xfId="0" applyNumberFormat="1" applyFont="1" applyBorder="1" applyAlignment="1">
      <alignment vertical="center" shrinkToFit="1"/>
    </xf>
    <xf numFmtId="41" fontId="24" fillId="0" borderId="140" xfId="0" applyNumberFormat="1" applyFont="1" applyBorder="1" applyAlignment="1">
      <alignment vertical="center" shrinkToFit="1"/>
    </xf>
    <xf numFmtId="41" fontId="24" fillId="0" borderId="141" xfId="0" applyNumberFormat="1" applyFont="1" applyBorder="1" applyAlignment="1">
      <alignment vertical="center" shrinkToFit="1"/>
    </xf>
    <xf numFmtId="41" fontId="61" fillId="24" borderId="118" xfId="0" applyNumberFormat="1" applyFont="1" applyFill="1" applyBorder="1" applyAlignment="1">
      <alignment horizontal="center" vertical="center" shrinkToFit="1"/>
    </xf>
    <xf numFmtId="190" fontId="61" fillId="24" borderId="118" xfId="0" applyNumberFormat="1" applyFont="1" applyFill="1" applyBorder="1" applyAlignment="1">
      <alignment horizontal="right" vertical="center" shrinkToFit="1"/>
    </xf>
    <xf numFmtId="190" fontId="24" fillId="24" borderId="164" xfId="0" applyNumberFormat="1" applyFont="1" applyFill="1" applyBorder="1" applyAlignment="1">
      <alignment vertical="center" shrinkToFit="1"/>
    </xf>
    <xf numFmtId="190" fontId="24" fillId="24" borderId="164" xfId="0" applyNumberFormat="1" applyFont="1" applyFill="1" applyBorder="1" applyAlignment="1">
      <alignment horizontal="center" vertical="center" shrinkToFit="1"/>
    </xf>
    <xf numFmtId="190" fontId="24" fillId="24" borderId="118" xfId="0" applyNumberFormat="1" applyFont="1" applyFill="1" applyBorder="1" applyAlignment="1">
      <alignment horizontal="center" vertical="center" shrinkToFit="1"/>
    </xf>
    <xf numFmtId="191" fontId="61" fillId="50" borderId="852" xfId="0" applyNumberFormat="1" applyFont="1" applyFill="1" applyBorder="1" applyAlignment="1">
      <alignment horizontal="right" vertical="center" shrinkToFit="1"/>
    </xf>
    <xf numFmtId="192" fontId="61" fillId="50" borderId="853" xfId="0" applyNumberFormat="1" applyFont="1" applyFill="1" applyBorder="1" applyAlignment="1">
      <alignment horizontal="right" vertical="center" shrinkToFit="1"/>
    </xf>
    <xf numFmtId="0" fontId="61" fillId="17" borderId="850" xfId="0" applyFont="1" applyFill="1" applyBorder="1" applyAlignment="1">
      <alignment horizontal="center" vertical="center" shrinkToFit="1"/>
    </xf>
    <xf numFmtId="191" fontId="61" fillId="17" borderId="852" xfId="0" applyNumberFormat="1" applyFont="1" applyFill="1" applyBorder="1" applyAlignment="1">
      <alignment horizontal="right" vertical="center" shrinkToFit="1"/>
    </xf>
    <xf numFmtId="192" fontId="61" fillId="17" borderId="853" xfId="0" applyNumberFormat="1" applyFont="1" applyFill="1" applyBorder="1" applyAlignment="1">
      <alignment horizontal="right" vertical="center" shrinkToFit="1"/>
    </xf>
    <xf numFmtId="41" fontId="24" fillId="0" borderId="165" xfId="0" applyNumberFormat="1" applyFont="1" applyBorder="1" applyAlignment="1">
      <alignment vertical="center" shrinkToFit="1"/>
    </xf>
    <xf numFmtId="210" fontId="24" fillId="12" borderId="180" xfId="0" applyNumberFormat="1" applyFont="1" applyFill="1" applyBorder="1" applyAlignment="1">
      <alignment horizontal="right" vertical="center" shrinkToFit="1"/>
    </xf>
    <xf numFmtId="41" fontId="24" fillId="12" borderId="241" xfId="0" applyNumberFormat="1" applyFont="1" applyFill="1" applyBorder="1" applyAlignment="1">
      <alignment vertical="center" shrinkToFit="1"/>
    </xf>
    <xf numFmtId="41" fontId="24" fillId="12" borderId="249" xfId="0" applyNumberFormat="1" applyFont="1" applyFill="1" applyBorder="1" applyAlignment="1">
      <alignment vertical="center" shrinkToFit="1"/>
    </xf>
    <xf numFmtId="0" fontId="78" fillId="6" borderId="0" xfId="9" applyFont="1" applyFill="1">
      <alignment vertical="center"/>
    </xf>
    <xf numFmtId="181" fontId="78" fillId="6" borderId="0" xfId="9" applyNumberFormat="1" applyFont="1" applyFill="1">
      <alignment vertical="center"/>
    </xf>
    <xf numFmtId="38" fontId="78" fillId="6" borderId="0" xfId="1" applyFont="1" applyFill="1">
      <alignment vertical="center"/>
    </xf>
    <xf numFmtId="181" fontId="152" fillId="0" borderId="27" xfId="0" applyNumberFormat="1" applyFont="1" applyBorder="1" applyAlignment="1">
      <alignment horizontal="right" vertical="center"/>
    </xf>
    <xf numFmtId="0" fontId="45" fillId="6" borderId="0" xfId="0" applyFont="1" applyFill="1" applyAlignment="1">
      <alignment horizontal="center" vertical="center" shrinkToFit="1"/>
    </xf>
    <xf numFmtId="189" fontId="183" fillId="6" borderId="0" xfId="13" applyNumberFormat="1" applyFont="1" applyFill="1" applyAlignment="1">
      <alignment horizontal="center" vertical="center"/>
    </xf>
    <xf numFmtId="0" fontId="0" fillId="28" borderId="0" xfId="0" applyFill="1" applyAlignment="1">
      <alignment horizontal="center" vertical="center" wrapText="1"/>
    </xf>
    <xf numFmtId="0" fontId="41" fillId="2" borderId="5" xfId="0" applyFont="1" applyFill="1" applyBorder="1" applyAlignment="1">
      <alignment vertical="center" wrapText="1"/>
    </xf>
    <xf numFmtId="38" fontId="78" fillId="23" borderId="139" xfId="1" applyFont="1" applyFill="1" applyBorder="1" applyAlignment="1">
      <alignment vertical="center" wrapText="1"/>
    </xf>
    <xf numFmtId="38" fontId="78" fillId="23" borderId="0" xfId="1" applyFont="1" applyFill="1" applyBorder="1" applyAlignment="1">
      <alignment vertical="center" wrapText="1"/>
    </xf>
    <xf numFmtId="38" fontId="78" fillId="17" borderId="0" xfId="1" applyFont="1" applyFill="1" applyBorder="1" applyAlignment="1">
      <alignment vertical="center" wrapText="1"/>
    </xf>
    <xf numFmtId="38" fontId="78" fillId="17" borderId="662" xfId="1" applyFont="1" applyFill="1" applyBorder="1" applyAlignment="1">
      <alignment vertical="center" wrapText="1"/>
    </xf>
    <xf numFmtId="38" fontId="0" fillId="0" borderId="139" xfId="1" applyFont="1" applyFill="1" applyBorder="1">
      <alignment vertical="center"/>
    </xf>
    <xf numFmtId="38" fontId="0" fillId="0" borderId="0" xfId="1" applyFont="1" applyFill="1" applyBorder="1">
      <alignment vertical="center"/>
    </xf>
    <xf numFmtId="38" fontId="0" fillId="0" borderId="662" xfId="1" applyFont="1" applyFill="1" applyBorder="1">
      <alignment vertical="center"/>
    </xf>
    <xf numFmtId="38" fontId="0" fillId="29" borderId="139" xfId="1" applyFont="1" applyFill="1" applyBorder="1">
      <alignment vertical="center"/>
    </xf>
    <xf numFmtId="38" fontId="0" fillId="29" borderId="0" xfId="1" applyFont="1" applyFill="1" applyBorder="1">
      <alignment vertical="center"/>
    </xf>
    <xf numFmtId="38" fontId="0" fillId="29" borderId="662" xfId="1" applyFont="1" applyFill="1" applyBorder="1">
      <alignment vertical="center"/>
    </xf>
    <xf numFmtId="0" fontId="78" fillId="33" borderId="139" xfId="0" applyFont="1" applyFill="1" applyBorder="1" applyAlignment="1">
      <alignment vertical="center" wrapText="1"/>
    </xf>
    <xf numFmtId="0" fontId="78" fillId="33" borderId="0" xfId="0" applyFont="1" applyFill="1" applyAlignment="1">
      <alignment vertical="center" wrapText="1"/>
    </xf>
    <xf numFmtId="0" fontId="78" fillId="33" borderId="662" xfId="0" applyFont="1" applyFill="1" applyBorder="1" applyAlignment="1">
      <alignment vertical="center" wrapText="1"/>
    </xf>
    <xf numFmtId="0" fontId="0" fillId="0" borderId="139" xfId="0" applyBorder="1">
      <alignment vertical="center"/>
    </xf>
    <xf numFmtId="0" fontId="0" fillId="0" borderId="662" xfId="0" applyBorder="1">
      <alignment vertical="center"/>
    </xf>
    <xf numFmtId="0" fontId="0" fillId="29" borderId="139" xfId="0" applyFill="1" applyBorder="1">
      <alignment vertical="center"/>
    </xf>
    <xf numFmtId="0" fontId="0" fillId="29" borderId="662" xfId="0" applyFill="1" applyBorder="1">
      <alignment vertical="center"/>
    </xf>
    <xf numFmtId="0" fontId="0" fillId="33" borderId="139" xfId="0" applyFill="1" applyBorder="1" applyAlignment="1">
      <alignment horizontal="center" vertical="center" wrapText="1"/>
    </xf>
    <xf numFmtId="0" fontId="0" fillId="33" borderId="0" xfId="0" applyFill="1" applyAlignment="1">
      <alignment horizontal="center" vertical="center" wrapText="1"/>
    </xf>
    <xf numFmtId="0" fontId="0" fillId="33" borderId="662" xfId="0" applyFill="1" applyBorder="1" applyAlignment="1">
      <alignment horizontal="center" vertical="center" wrapText="1"/>
    </xf>
    <xf numFmtId="181" fontId="0" fillId="0" borderId="139" xfId="0" applyNumberFormat="1" applyBorder="1">
      <alignment vertical="center"/>
    </xf>
    <xf numFmtId="181" fontId="0" fillId="0" borderId="662" xfId="0" applyNumberFormat="1" applyBorder="1">
      <alignment vertical="center"/>
    </xf>
    <xf numFmtId="38" fontId="78" fillId="6" borderId="139" xfId="1" applyFont="1" applyFill="1" applyBorder="1" applyAlignment="1">
      <alignment vertical="center" wrapText="1"/>
    </xf>
    <xf numFmtId="38" fontId="78" fillId="6" borderId="0" xfId="1" applyFont="1" applyFill="1" applyBorder="1" applyAlignment="1">
      <alignment vertical="center" wrapText="1"/>
    </xf>
    <xf numFmtId="38" fontId="15" fillId="32" borderId="0" xfId="1" applyFont="1" applyFill="1" applyBorder="1" applyAlignment="1">
      <alignment vertical="center" wrapText="1"/>
    </xf>
    <xf numFmtId="38" fontId="165" fillId="6" borderId="0" xfId="1" applyFont="1" applyFill="1" applyBorder="1" applyAlignment="1">
      <alignment vertical="center" wrapText="1"/>
    </xf>
    <xf numFmtId="38" fontId="78" fillId="4" borderId="0" xfId="1" applyFont="1" applyFill="1" applyBorder="1" applyAlignment="1">
      <alignment vertical="center" wrapText="1"/>
    </xf>
    <xf numFmtId="38" fontId="78" fillId="19" borderId="0" xfId="1" applyFont="1" applyFill="1" applyBorder="1" applyAlignment="1">
      <alignment vertical="center" wrapText="1"/>
    </xf>
    <xf numFmtId="0" fontId="0" fillId="6" borderId="0" xfId="0" applyFill="1" applyAlignment="1">
      <alignment horizontal="center" vertical="center" wrapText="1"/>
    </xf>
    <xf numFmtId="0" fontId="0" fillId="6" borderId="0" xfId="0" applyFill="1" applyAlignment="1">
      <alignment vertical="center" wrapText="1"/>
    </xf>
    <xf numFmtId="181" fontId="0" fillId="6" borderId="0" xfId="0" applyNumberFormat="1" applyFill="1" applyAlignment="1">
      <alignment horizontal="center" vertical="center" wrapText="1"/>
    </xf>
    <xf numFmtId="181" fontId="189" fillId="6" borderId="662" xfId="0" applyNumberFormat="1" applyFont="1" applyFill="1" applyBorder="1" applyAlignment="1">
      <alignment horizontal="center" vertical="center" wrapText="1"/>
    </xf>
    <xf numFmtId="38" fontId="0" fillId="0" borderId="0" xfId="0" applyNumberFormat="1">
      <alignment vertical="center"/>
    </xf>
    <xf numFmtId="206" fontId="0" fillId="0" borderId="662" xfId="0" applyNumberFormat="1" applyBorder="1">
      <alignment vertical="center"/>
    </xf>
    <xf numFmtId="38" fontId="157" fillId="0" borderId="0" xfId="0" applyNumberFormat="1" applyFont="1">
      <alignment vertical="center"/>
    </xf>
    <xf numFmtId="38" fontId="40" fillId="0" borderId="0" xfId="1" applyFont="1" applyFill="1" applyBorder="1">
      <alignment vertical="center"/>
    </xf>
    <xf numFmtId="38" fontId="0" fillId="6" borderId="139" xfId="1" applyFont="1" applyFill="1" applyBorder="1">
      <alignment vertical="center"/>
    </xf>
    <xf numFmtId="38" fontId="0" fillId="6" borderId="0" xfId="1" applyFont="1" applyFill="1" applyBorder="1">
      <alignment vertical="center"/>
    </xf>
    <xf numFmtId="38" fontId="0" fillId="6" borderId="0" xfId="0" applyNumberFormat="1" applyFill="1">
      <alignment vertical="center"/>
    </xf>
    <xf numFmtId="206" fontId="0" fillId="6" borderId="662" xfId="0" applyNumberFormat="1" applyFill="1" applyBorder="1">
      <alignment vertical="center"/>
    </xf>
    <xf numFmtId="38" fontId="0" fillId="0" borderId="139" xfId="1" applyFont="1" applyBorder="1">
      <alignment vertical="center"/>
    </xf>
    <xf numFmtId="0" fontId="78" fillId="0" borderId="139" xfId="9" applyFont="1" applyFill="1" applyBorder="1">
      <alignment vertical="center"/>
    </xf>
    <xf numFmtId="0" fontId="78" fillId="0" borderId="0" xfId="9" applyFont="1" applyFill="1" applyBorder="1">
      <alignment vertical="center"/>
    </xf>
    <xf numFmtId="0" fontId="78" fillId="0" borderId="662" xfId="9" applyFont="1" applyFill="1" applyBorder="1">
      <alignment vertical="center"/>
    </xf>
    <xf numFmtId="0" fontId="78" fillId="29" borderId="139" xfId="0" applyFont="1" applyFill="1" applyBorder="1">
      <alignment vertical="center"/>
    </xf>
    <xf numFmtId="0" fontId="78" fillId="29" borderId="662" xfId="0" applyFont="1" applyFill="1" applyBorder="1">
      <alignment vertical="center"/>
    </xf>
    <xf numFmtId="0" fontId="56" fillId="0" borderId="662" xfId="9" applyFill="1" applyBorder="1">
      <alignment vertical="center"/>
    </xf>
    <xf numFmtId="0" fontId="56" fillId="0" borderId="662" xfId="9" quotePrefix="1" applyFill="1" applyBorder="1">
      <alignment vertical="center"/>
    </xf>
    <xf numFmtId="0" fontId="149" fillId="0" borderId="662" xfId="9" applyFont="1" applyFill="1" applyBorder="1">
      <alignment vertical="center"/>
    </xf>
    <xf numFmtId="0" fontId="149" fillId="0" borderId="662" xfId="9" quotePrefix="1" applyFont="1" applyFill="1" applyBorder="1">
      <alignment vertical="center"/>
    </xf>
    <xf numFmtId="38" fontId="0" fillId="33" borderId="139" xfId="1" applyFont="1" applyFill="1" applyBorder="1" applyAlignment="1">
      <alignment vertical="center" wrapText="1"/>
    </xf>
    <xf numFmtId="38" fontId="0" fillId="33" borderId="0" xfId="1" applyFont="1" applyFill="1" applyBorder="1" applyAlignment="1">
      <alignment vertical="center" wrapText="1"/>
    </xf>
    <xf numFmtId="38" fontId="78" fillId="23" borderId="662" xfId="1" applyFont="1" applyFill="1" applyBorder="1" applyAlignment="1">
      <alignment vertical="center" wrapText="1"/>
    </xf>
    <xf numFmtId="38" fontId="25" fillId="0" borderId="0" xfId="11" applyNumberFormat="1" applyFont="1" applyAlignment="1">
      <alignment vertical="center"/>
    </xf>
    <xf numFmtId="38" fontId="78" fillId="4" borderId="157" xfId="1" applyFont="1" applyFill="1" applyBorder="1" applyAlignment="1">
      <alignment vertical="center" wrapText="1"/>
    </xf>
    <xf numFmtId="38" fontId="0" fillId="0" borderId="157" xfId="1" applyFont="1" applyFill="1" applyBorder="1">
      <alignment vertical="center"/>
    </xf>
    <xf numFmtId="38" fontId="0" fillId="29" borderId="157" xfId="1" applyFont="1" applyFill="1" applyBorder="1">
      <alignment vertical="center"/>
    </xf>
    <xf numFmtId="181" fontId="41" fillId="0" borderId="376" xfId="0" applyNumberFormat="1" applyFont="1" applyBorder="1">
      <alignment vertical="center"/>
    </xf>
    <xf numFmtId="0" fontId="52" fillId="0" borderId="0" xfId="0" applyFont="1">
      <alignment vertical="center"/>
    </xf>
    <xf numFmtId="0" fontId="78" fillId="0" borderId="0" xfId="9" applyFont="1" applyFill="1" applyAlignment="1">
      <alignment horizontal="right" vertical="center"/>
    </xf>
    <xf numFmtId="0" fontId="78" fillId="0" borderId="0" xfId="0" applyFont="1" applyAlignment="1">
      <alignment vertical="center" wrapText="1"/>
    </xf>
    <xf numFmtId="0" fontId="190" fillId="0" borderId="662" xfId="9" quotePrefix="1" applyFont="1" applyFill="1" applyBorder="1">
      <alignment vertical="center"/>
    </xf>
    <xf numFmtId="0" fontId="191" fillId="0" borderId="662" xfId="9" applyFont="1" applyFill="1" applyBorder="1">
      <alignment vertical="center"/>
    </xf>
    <xf numFmtId="38" fontId="78" fillId="9" borderId="157" xfId="1" applyFont="1" applyFill="1" applyBorder="1" applyAlignment="1">
      <alignment vertical="center" wrapText="1"/>
    </xf>
    <xf numFmtId="180" fontId="41" fillId="0" borderId="0" xfId="0" applyNumberFormat="1" applyFont="1">
      <alignment vertical="center"/>
    </xf>
    <xf numFmtId="206" fontId="41" fillId="0" borderId="5" xfId="0" applyNumberFormat="1" applyFont="1" applyBorder="1">
      <alignment vertical="center"/>
    </xf>
    <xf numFmtId="0" fontId="41" fillId="0" borderId="7" xfId="0" applyFont="1" applyBorder="1">
      <alignment vertical="center"/>
    </xf>
    <xf numFmtId="206" fontId="41" fillId="0" borderId="7" xfId="0" applyNumberFormat="1" applyFont="1" applyBorder="1">
      <alignment vertical="center"/>
    </xf>
    <xf numFmtId="206" fontId="41" fillId="0" borderId="26" xfId="0" applyNumberFormat="1" applyFont="1" applyBorder="1">
      <alignment vertical="center"/>
    </xf>
    <xf numFmtId="0" fontId="134" fillId="16" borderId="0" xfId="17" applyFill="1">
      <alignment vertical="center"/>
    </xf>
    <xf numFmtId="0" fontId="134" fillId="0" borderId="138" xfId="17" applyBorder="1">
      <alignment vertical="center"/>
    </xf>
    <xf numFmtId="0" fontId="134" fillId="40" borderId="0" xfId="17" applyFill="1">
      <alignment vertical="center"/>
    </xf>
    <xf numFmtId="0" fontId="134" fillId="0" borderId="258" xfId="17" applyBorder="1">
      <alignment vertical="center"/>
    </xf>
    <xf numFmtId="0" fontId="134" fillId="0" borderId="900" xfId="17" applyBorder="1">
      <alignment vertical="center"/>
    </xf>
    <xf numFmtId="0" fontId="134" fillId="0" borderId="159" xfId="17" applyBorder="1">
      <alignment vertical="center"/>
    </xf>
    <xf numFmtId="3" fontId="134" fillId="0" borderId="122" xfId="17" applyNumberFormat="1" applyBorder="1">
      <alignment vertical="center"/>
    </xf>
    <xf numFmtId="181" fontId="134" fillId="0" borderId="902" xfId="17" applyNumberFormat="1" applyBorder="1">
      <alignment vertical="center"/>
    </xf>
    <xf numFmtId="181" fontId="134" fillId="40" borderId="159" xfId="17" applyNumberFormat="1" applyFill="1" applyBorder="1">
      <alignment vertical="center"/>
    </xf>
    <xf numFmtId="206" fontId="134" fillId="0" borderId="902" xfId="17" applyNumberFormat="1" applyBorder="1">
      <alignment vertical="center"/>
    </xf>
    <xf numFmtId="3" fontId="134" fillId="0" borderId="138" xfId="17" applyNumberFormat="1" applyBorder="1">
      <alignment vertical="center"/>
    </xf>
    <xf numFmtId="181" fontId="134" fillId="0" borderId="900" xfId="17" applyNumberFormat="1" applyBorder="1">
      <alignment vertical="center"/>
    </xf>
    <xf numFmtId="181" fontId="134" fillId="40" borderId="0" xfId="17" applyNumberFormat="1" applyFill="1">
      <alignment vertical="center"/>
    </xf>
    <xf numFmtId="181" fontId="134" fillId="0" borderId="258" xfId="17" applyNumberFormat="1" applyBorder="1">
      <alignment vertical="center"/>
    </xf>
    <xf numFmtId="206" fontId="134" fillId="0" borderId="900" xfId="17" applyNumberFormat="1" applyBorder="1">
      <alignment vertical="center"/>
    </xf>
    <xf numFmtId="206" fontId="134" fillId="0" borderId="258" xfId="17" applyNumberFormat="1" applyBorder="1">
      <alignment vertical="center"/>
    </xf>
    <xf numFmtId="0" fontId="134" fillId="0" borderId="38" xfId="17" applyBorder="1">
      <alignment vertical="center"/>
    </xf>
    <xf numFmtId="3" fontId="134" fillId="0" borderId="210" xfId="17" applyNumberFormat="1" applyBorder="1">
      <alignment vertical="center"/>
    </xf>
    <xf numFmtId="181" fontId="134" fillId="0" borderId="447" xfId="17" applyNumberFormat="1" applyBorder="1">
      <alignment vertical="center"/>
    </xf>
    <xf numFmtId="181" fontId="134" fillId="40" borderId="38" xfId="17" applyNumberFormat="1" applyFill="1" applyBorder="1">
      <alignment vertical="center"/>
    </xf>
    <xf numFmtId="181" fontId="134" fillId="0" borderId="906" xfId="17" applyNumberFormat="1" applyBorder="1">
      <alignment vertical="center"/>
    </xf>
    <xf numFmtId="3" fontId="134" fillId="0" borderId="38" xfId="17" applyNumberFormat="1" applyBorder="1">
      <alignment vertical="center"/>
    </xf>
    <xf numFmtId="206" fontId="134" fillId="0" borderId="447" xfId="17" applyNumberFormat="1" applyBorder="1">
      <alignment vertical="center"/>
    </xf>
    <xf numFmtId="206" fontId="134" fillId="0" borderId="906" xfId="17" applyNumberFormat="1" applyBorder="1">
      <alignment vertical="center"/>
    </xf>
    <xf numFmtId="3" fontId="134" fillId="0" borderId="0" xfId="17" applyNumberFormat="1">
      <alignment vertical="center"/>
    </xf>
    <xf numFmtId="0" fontId="134" fillId="0" borderId="41" xfId="17" applyBorder="1">
      <alignment vertical="center"/>
    </xf>
    <xf numFmtId="3" fontId="134" fillId="0" borderId="208" xfId="17" applyNumberFormat="1" applyBorder="1">
      <alignment vertical="center"/>
    </xf>
    <xf numFmtId="181" fontId="134" fillId="0" borderId="451" xfId="17" applyNumberFormat="1" applyBorder="1">
      <alignment vertical="center"/>
    </xf>
    <xf numFmtId="181" fontId="134" fillId="40" borderId="41" xfId="17" applyNumberFormat="1" applyFill="1" applyBorder="1">
      <alignment vertical="center"/>
    </xf>
    <xf numFmtId="3" fontId="134" fillId="0" borderId="41" xfId="17" applyNumberFormat="1" applyBorder="1">
      <alignment vertical="center"/>
    </xf>
    <xf numFmtId="206" fontId="134" fillId="0" borderId="451" xfId="17" applyNumberFormat="1" applyBorder="1">
      <alignment vertical="center"/>
    </xf>
    <xf numFmtId="206" fontId="134" fillId="0" borderId="910" xfId="17" applyNumberFormat="1" applyBorder="1">
      <alignment vertical="center"/>
    </xf>
    <xf numFmtId="0" fontId="134" fillId="0" borderId="8" xfId="17" applyBorder="1">
      <alignment vertical="center"/>
    </xf>
    <xf numFmtId="3" fontId="134" fillId="0" borderId="259" xfId="17" applyNumberFormat="1" applyBorder="1">
      <alignment vertical="center"/>
    </xf>
    <xf numFmtId="181" fontId="134" fillId="0" borderId="434" xfId="17" applyNumberFormat="1" applyBorder="1">
      <alignment vertical="center"/>
    </xf>
    <xf numFmtId="181" fontId="134" fillId="40" borderId="8" xfId="17" applyNumberFormat="1" applyFill="1" applyBorder="1">
      <alignment vertical="center"/>
    </xf>
    <xf numFmtId="181" fontId="134" fillId="0" borderId="261" xfId="17" applyNumberFormat="1" applyBorder="1">
      <alignment vertical="center"/>
    </xf>
    <xf numFmtId="206" fontId="134" fillId="0" borderId="434" xfId="17" applyNumberFormat="1" applyBorder="1">
      <alignment vertical="center"/>
    </xf>
    <xf numFmtId="206" fontId="134" fillId="0" borderId="261" xfId="17" applyNumberFormat="1" applyBorder="1">
      <alignment vertical="center"/>
    </xf>
    <xf numFmtId="206" fontId="134" fillId="0" borderId="899" xfId="17" applyNumberFormat="1" applyBorder="1">
      <alignment vertical="center"/>
    </xf>
    <xf numFmtId="0" fontId="134" fillId="0" borderId="99" xfId="17" applyBorder="1">
      <alignment vertical="center"/>
    </xf>
    <xf numFmtId="3" fontId="134" fillId="0" borderId="265" xfId="17" applyNumberFormat="1" applyBorder="1">
      <alignment vertical="center"/>
    </xf>
    <xf numFmtId="181" fontId="134" fillId="0" borderId="437" xfId="17" applyNumberFormat="1" applyBorder="1">
      <alignment vertical="center"/>
    </xf>
    <xf numFmtId="181" fontId="134" fillId="40" borderId="99" xfId="17" applyNumberFormat="1" applyFill="1" applyBorder="1">
      <alignment vertical="center"/>
    </xf>
    <xf numFmtId="206" fontId="134" fillId="0" borderId="437" xfId="17" applyNumberFormat="1" applyBorder="1">
      <alignment vertical="center"/>
    </xf>
    <xf numFmtId="0" fontId="192" fillId="0" borderId="0" xfId="17" applyFont="1" applyAlignment="1">
      <alignment horizontal="right" vertical="center"/>
    </xf>
    <xf numFmtId="0" fontId="134" fillId="0" borderId="913" xfId="17" applyBorder="1">
      <alignment vertical="center"/>
    </xf>
    <xf numFmtId="3" fontId="134" fillId="0" borderId="914" xfId="17" applyNumberFormat="1" applyBorder="1">
      <alignment vertical="center"/>
    </xf>
    <xf numFmtId="181" fontId="134" fillId="0" borderId="913" xfId="17" applyNumberFormat="1" applyBorder="1">
      <alignment vertical="center"/>
    </xf>
    <xf numFmtId="181" fontId="134" fillId="40" borderId="913" xfId="17" applyNumberFormat="1" applyFill="1" applyBorder="1">
      <alignment vertical="center"/>
    </xf>
    <xf numFmtId="181" fontId="134" fillId="0" borderId="915" xfId="17" applyNumberFormat="1" applyBorder="1">
      <alignment vertical="center"/>
    </xf>
    <xf numFmtId="206" fontId="134" fillId="0" borderId="913" xfId="17" applyNumberFormat="1" applyBorder="1">
      <alignment vertical="center"/>
    </xf>
    <xf numFmtId="3" fontId="135" fillId="0" borderId="0" xfId="17" applyNumberFormat="1" applyFont="1">
      <alignment vertical="center"/>
    </xf>
    <xf numFmtId="181" fontId="193" fillId="0" borderId="902" xfId="17" applyNumberFormat="1" applyFont="1" applyBorder="1">
      <alignment vertical="center"/>
    </xf>
    <xf numFmtId="206" fontId="193" fillId="0" borderId="902" xfId="17" applyNumberFormat="1" applyFont="1" applyBorder="1">
      <alignment vertical="center"/>
    </xf>
    <xf numFmtId="180" fontId="134" fillId="0" borderId="0" xfId="17" applyNumberFormat="1">
      <alignment vertical="center"/>
    </xf>
    <xf numFmtId="181" fontId="193" fillId="0" borderId="900" xfId="17" applyNumberFormat="1" applyFont="1" applyBorder="1">
      <alignment vertical="center"/>
    </xf>
    <xf numFmtId="206" fontId="193" fillId="0" borderId="900" xfId="17" applyNumberFormat="1" applyFont="1" applyBorder="1">
      <alignment vertical="center"/>
    </xf>
    <xf numFmtId="181" fontId="193" fillId="0" borderId="447" xfId="17" applyNumberFormat="1" applyFont="1" applyBorder="1">
      <alignment vertical="center"/>
    </xf>
    <xf numFmtId="206" fontId="193" fillId="0" borderId="447" xfId="17" applyNumberFormat="1" applyFont="1" applyBorder="1">
      <alignment vertical="center"/>
    </xf>
    <xf numFmtId="181" fontId="193" fillId="0" borderId="451" xfId="17" applyNumberFormat="1" applyFont="1" applyBorder="1">
      <alignment vertical="center"/>
    </xf>
    <xf numFmtId="206" fontId="193" fillId="0" borderId="451" xfId="17" applyNumberFormat="1" applyFont="1" applyBorder="1">
      <alignment vertical="center"/>
    </xf>
    <xf numFmtId="181" fontId="134" fillId="0" borderId="0" xfId="17" applyNumberFormat="1">
      <alignment vertical="center"/>
    </xf>
    <xf numFmtId="206" fontId="194" fillId="0" borderId="258" xfId="17" applyNumberFormat="1" applyFont="1" applyBorder="1">
      <alignment vertical="center"/>
    </xf>
    <xf numFmtId="0" fontId="194" fillId="0" borderId="0" xfId="17" applyFont="1">
      <alignment vertical="center"/>
    </xf>
    <xf numFmtId="181" fontId="194" fillId="0" borderId="0" xfId="17" applyNumberFormat="1" applyFont="1">
      <alignment vertical="center"/>
    </xf>
    <xf numFmtId="0" fontId="134" fillId="0" borderId="0" xfId="17" applyAlignment="1">
      <alignment horizontal="right" vertical="center"/>
    </xf>
    <xf numFmtId="0" fontId="134" fillId="40" borderId="0" xfId="17" applyFill="1" applyAlignment="1">
      <alignment horizontal="right" vertical="center"/>
    </xf>
    <xf numFmtId="0" fontId="134" fillId="18" borderId="0" xfId="17" applyFill="1">
      <alignment vertical="center"/>
    </xf>
    <xf numFmtId="0" fontId="134" fillId="18" borderId="899" xfId="17" applyFill="1" applyBorder="1">
      <alignment vertical="center"/>
    </xf>
    <xf numFmtId="3" fontId="134" fillId="18" borderId="901" xfId="17" applyNumberFormat="1" applyFill="1" applyBorder="1">
      <alignment vertical="center"/>
    </xf>
    <xf numFmtId="3" fontId="134" fillId="18" borderId="899" xfId="17" applyNumberFormat="1" applyFill="1" applyBorder="1">
      <alignment vertical="center"/>
    </xf>
    <xf numFmtId="3" fontId="134" fillId="18" borderId="905" xfId="17" applyNumberFormat="1" applyFill="1" applyBorder="1">
      <alignment vertical="center"/>
    </xf>
    <xf numFmtId="3" fontId="134" fillId="18" borderId="909" xfId="17" applyNumberFormat="1" applyFill="1" applyBorder="1">
      <alignment vertical="center"/>
    </xf>
    <xf numFmtId="3" fontId="134" fillId="18" borderId="911" xfId="17" applyNumberFormat="1" applyFill="1" applyBorder="1">
      <alignment vertical="center"/>
    </xf>
    <xf numFmtId="3" fontId="134" fillId="18" borderId="912" xfId="17" applyNumberFormat="1" applyFill="1" applyBorder="1">
      <alignment vertical="center"/>
    </xf>
    <xf numFmtId="3" fontId="134" fillId="18" borderId="913" xfId="17" applyNumberFormat="1" applyFill="1" applyBorder="1">
      <alignment vertical="center"/>
    </xf>
    <xf numFmtId="0" fontId="134" fillId="18" borderId="898" xfId="17" applyFill="1" applyBorder="1" applyAlignment="1">
      <alignment horizontal="left" vertical="center"/>
    </xf>
    <xf numFmtId="206" fontId="134" fillId="18" borderId="904" xfId="17" applyNumberFormat="1" applyFill="1" applyBorder="1">
      <alignment vertical="center"/>
    </xf>
    <xf numFmtId="206" fontId="134" fillId="18" borderId="898" xfId="17" applyNumberFormat="1" applyFill="1" applyBorder="1">
      <alignment vertical="center"/>
    </xf>
    <xf numFmtId="206" fontId="134" fillId="18" borderId="907" xfId="17" applyNumberFormat="1" applyFill="1" applyBorder="1">
      <alignment vertical="center"/>
    </xf>
    <xf numFmtId="206" fontId="134" fillId="18" borderId="908" xfId="17" applyNumberFormat="1" applyFill="1" applyBorder="1">
      <alignment vertical="center"/>
    </xf>
    <xf numFmtId="206" fontId="134" fillId="18" borderId="916" xfId="17" applyNumberFormat="1" applyFill="1" applyBorder="1">
      <alignment vertical="center"/>
    </xf>
    <xf numFmtId="181" fontId="134" fillId="0" borderId="447" xfId="17" applyNumberFormat="1" applyBorder="1" applyAlignment="1">
      <alignment horizontal="right" vertical="center"/>
    </xf>
    <xf numFmtId="181" fontId="134" fillId="40" borderId="38" xfId="17" applyNumberFormat="1" applyFill="1" applyBorder="1" applyAlignment="1">
      <alignment horizontal="right" vertical="center"/>
    </xf>
    <xf numFmtId="180" fontId="195" fillId="6" borderId="0" xfId="17" applyNumberFormat="1" applyFont="1" applyFill="1">
      <alignment vertical="center"/>
    </xf>
    <xf numFmtId="0" fontId="195" fillId="6" borderId="0" xfId="17" applyFont="1" applyFill="1" applyAlignment="1">
      <alignment horizontal="center" vertical="center"/>
    </xf>
    <xf numFmtId="0" fontId="146" fillId="17" borderId="898" xfId="17" applyFont="1" applyFill="1" applyBorder="1" applyAlignment="1">
      <alignment horizontal="left" vertical="center"/>
    </xf>
    <xf numFmtId="206" fontId="146" fillId="17" borderId="916" xfId="17" applyNumberFormat="1" applyFont="1" applyFill="1" applyBorder="1">
      <alignment vertical="center"/>
    </xf>
    <xf numFmtId="206" fontId="143" fillId="17" borderId="904" xfId="17" applyNumberFormat="1" applyFont="1" applyFill="1" applyBorder="1">
      <alignment vertical="center"/>
    </xf>
    <xf numFmtId="206" fontId="143" fillId="17" borderId="898" xfId="17" applyNumberFormat="1" applyFont="1" applyFill="1" applyBorder="1">
      <alignment vertical="center"/>
    </xf>
    <xf numFmtId="206" fontId="143" fillId="17" borderId="907" xfId="17" applyNumberFormat="1" applyFont="1" applyFill="1" applyBorder="1">
      <alignment vertical="center"/>
    </xf>
    <xf numFmtId="206" fontId="143" fillId="17" borderId="908" xfId="17" applyNumberFormat="1" applyFont="1" applyFill="1" applyBorder="1">
      <alignment vertical="center"/>
    </xf>
    <xf numFmtId="3" fontId="196" fillId="9" borderId="138" xfId="17" applyNumberFormat="1" applyFont="1" applyFill="1" applyBorder="1" applyAlignment="1">
      <alignment horizontal="right" vertical="center"/>
    </xf>
    <xf numFmtId="3" fontId="146" fillId="18" borderId="901" xfId="17" applyNumberFormat="1" applyFont="1" applyFill="1" applyBorder="1">
      <alignment vertical="center"/>
    </xf>
    <xf numFmtId="3" fontId="146" fillId="18" borderId="899" xfId="17" applyNumberFormat="1" applyFont="1" applyFill="1" applyBorder="1">
      <alignment vertical="center"/>
    </xf>
    <xf numFmtId="3" fontId="146" fillId="18" borderId="905" xfId="17" applyNumberFormat="1" applyFont="1" applyFill="1" applyBorder="1">
      <alignment vertical="center"/>
    </xf>
    <xf numFmtId="3" fontId="146" fillId="18" borderId="909" xfId="17" applyNumberFormat="1" applyFont="1" applyFill="1" applyBorder="1">
      <alignment vertical="center"/>
    </xf>
    <xf numFmtId="3" fontId="146" fillId="18" borderId="913" xfId="17" applyNumberFormat="1" applyFont="1" applyFill="1" applyBorder="1">
      <alignment vertical="center"/>
    </xf>
    <xf numFmtId="3" fontId="146" fillId="9" borderId="122" xfId="17" applyNumberFormat="1" applyFont="1" applyFill="1" applyBorder="1">
      <alignment vertical="center"/>
    </xf>
    <xf numFmtId="3" fontId="146" fillId="9" borderId="138" xfId="17" applyNumberFormat="1" applyFont="1" applyFill="1" applyBorder="1">
      <alignment vertical="center"/>
    </xf>
    <xf numFmtId="181" fontId="146" fillId="0" borderId="903" xfId="17" applyNumberFormat="1" applyFont="1" applyBorder="1">
      <alignment vertical="center"/>
    </xf>
    <xf numFmtId="181" fontId="146" fillId="0" borderId="258" xfId="17" applyNumberFormat="1" applyFont="1" applyBorder="1">
      <alignment vertical="center"/>
    </xf>
    <xf numFmtId="181" fontId="146" fillId="0" borderId="906" xfId="17" applyNumberFormat="1" applyFont="1" applyBorder="1">
      <alignment vertical="center"/>
    </xf>
    <xf numFmtId="3" fontId="146" fillId="9" borderId="210" xfId="17" applyNumberFormat="1" applyFont="1" applyFill="1" applyBorder="1">
      <alignment vertical="center"/>
    </xf>
    <xf numFmtId="206" fontId="146" fillId="0" borderId="901" xfId="17" applyNumberFormat="1" applyFont="1" applyBorder="1">
      <alignment vertical="center"/>
    </xf>
    <xf numFmtId="206" fontId="146" fillId="0" borderId="906" xfId="17" applyNumberFormat="1" applyFont="1" applyBorder="1">
      <alignment vertical="center"/>
    </xf>
    <xf numFmtId="206" fontId="146" fillId="0" borderId="258" xfId="17" applyNumberFormat="1" applyFont="1" applyBorder="1">
      <alignment vertical="center"/>
    </xf>
    <xf numFmtId="3" fontId="197" fillId="9" borderId="138" xfId="17" applyNumberFormat="1" applyFont="1" applyFill="1" applyBorder="1" applyAlignment="1">
      <alignment horizontal="right" vertical="center"/>
    </xf>
    <xf numFmtId="211" fontId="198" fillId="0" borderId="900" xfId="17" applyNumberFormat="1" applyFont="1" applyBorder="1">
      <alignment vertical="center"/>
    </xf>
    <xf numFmtId="211" fontId="198" fillId="40" borderId="0" xfId="17" applyNumberFormat="1" applyFont="1" applyFill="1">
      <alignment vertical="center"/>
    </xf>
    <xf numFmtId="211" fontId="198" fillId="0" borderId="258" xfId="17" applyNumberFormat="1" applyFont="1" applyBorder="1">
      <alignment vertical="center"/>
    </xf>
    <xf numFmtId="206" fontId="197" fillId="0" borderId="900" xfId="17" applyNumberFormat="1" applyFont="1" applyBorder="1">
      <alignment vertical="center"/>
    </xf>
    <xf numFmtId="181" fontId="197" fillId="40" borderId="0" xfId="17" applyNumberFormat="1" applyFont="1" applyFill="1">
      <alignment vertical="center"/>
    </xf>
    <xf numFmtId="206" fontId="197" fillId="0" borderId="258" xfId="17" applyNumberFormat="1" applyFont="1" applyBorder="1">
      <alignment vertical="center"/>
    </xf>
    <xf numFmtId="206" fontId="197" fillId="17" borderId="898" xfId="17" applyNumberFormat="1" applyFont="1" applyFill="1" applyBorder="1">
      <alignment vertical="center"/>
    </xf>
    <xf numFmtId="181" fontId="197" fillId="0" borderId="900" xfId="17" applyNumberFormat="1" applyFont="1" applyBorder="1">
      <alignment vertical="center"/>
    </xf>
    <xf numFmtId="181" fontId="197" fillId="0" borderId="258" xfId="17" applyNumberFormat="1" applyFont="1" applyBorder="1">
      <alignment vertical="center"/>
    </xf>
    <xf numFmtId="181" fontId="146" fillId="0" borderId="910" xfId="17" applyNumberFormat="1" applyFont="1" applyBorder="1">
      <alignment vertical="center"/>
    </xf>
    <xf numFmtId="206" fontId="146" fillId="0" borderId="910" xfId="17" applyNumberFormat="1" applyFont="1" applyBorder="1">
      <alignment vertical="center"/>
    </xf>
    <xf numFmtId="0" fontId="146" fillId="9" borderId="0" xfId="17" applyFont="1" applyFill="1">
      <alignment vertical="center"/>
    </xf>
    <xf numFmtId="206" fontId="197" fillId="0" borderId="899" xfId="17" applyNumberFormat="1" applyFont="1" applyBorder="1">
      <alignment vertical="center"/>
    </xf>
    <xf numFmtId="206" fontId="197" fillId="17" borderId="908" xfId="17" applyNumberFormat="1" applyFont="1" applyFill="1" applyBorder="1">
      <alignment vertical="center"/>
    </xf>
    <xf numFmtId="3" fontId="146" fillId="18" borderId="258" xfId="17" applyNumberFormat="1" applyFont="1" applyFill="1" applyBorder="1">
      <alignment vertical="center"/>
    </xf>
    <xf numFmtId="3" fontId="197" fillId="0" borderId="138" xfId="17" applyNumberFormat="1" applyFont="1" applyBorder="1" applyAlignment="1">
      <alignment horizontal="right" vertical="center"/>
    </xf>
    <xf numFmtId="181" fontId="192" fillId="0" borderId="900" xfId="17" applyNumberFormat="1" applyFont="1" applyBorder="1">
      <alignment vertical="center"/>
    </xf>
    <xf numFmtId="206" fontId="197" fillId="18" borderId="898" xfId="17" applyNumberFormat="1" applyFont="1" applyFill="1" applyBorder="1">
      <alignment vertical="center"/>
    </xf>
    <xf numFmtId="3" fontId="134" fillId="0" borderId="917" xfId="17" applyNumberFormat="1" applyBorder="1">
      <alignment vertical="center"/>
    </xf>
    <xf numFmtId="0" fontId="134" fillId="2" borderId="0" xfId="17" applyFill="1">
      <alignment vertical="center"/>
    </xf>
    <xf numFmtId="206" fontId="135" fillId="17" borderId="898" xfId="17" applyNumberFormat="1" applyFont="1" applyFill="1" applyBorder="1">
      <alignment vertical="center"/>
    </xf>
    <xf numFmtId="0" fontId="146" fillId="9" borderId="38" xfId="17" applyFont="1" applyFill="1" applyBorder="1">
      <alignment vertical="center"/>
    </xf>
    <xf numFmtId="0" fontId="199" fillId="12" borderId="42" xfId="1" applyNumberFormat="1" applyFont="1" applyFill="1" applyBorder="1" applyAlignment="1">
      <alignment horizontal="center" vertical="center" shrinkToFit="1"/>
    </xf>
    <xf numFmtId="3" fontId="146" fillId="0" borderId="0" xfId="17" applyNumberFormat="1" applyFont="1">
      <alignment vertical="center"/>
    </xf>
    <xf numFmtId="3" fontId="200" fillId="9" borderId="210" xfId="17" applyNumberFormat="1" applyFont="1" applyFill="1" applyBorder="1">
      <alignment vertical="center"/>
    </xf>
    <xf numFmtId="3" fontId="200" fillId="9" borderId="208" xfId="17" applyNumberFormat="1" applyFont="1" applyFill="1" applyBorder="1">
      <alignment vertical="center"/>
    </xf>
    <xf numFmtId="3" fontId="201" fillId="9" borderId="138" xfId="17" applyNumberFormat="1" applyFont="1" applyFill="1" applyBorder="1">
      <alignment vertical="center"/>
    </xf>
    <xf numFmtId="3" fontId="201" fillId="9" borderId="208" xfId="17" applyNumberFormat="1" applyFont="1" applyFill="1" applyBorder="1">
      <alignment vertical="center"/>
    </xf>
    <xf numFmtId="181" fontId="135" fillId="0" borderId="434" xfId="17" applyNumberFormat="1" applyFont="1" applyBorder="1">
      <alignment vertical="center"/>
    </xf>
    <xf numFmtId="181" fontId="135" fillId="40" borderId="8" xfId="17" applyNumberFormat="1" applyFont="1" applyFill="1" applyBorder="1">
      <alignment vertical="center"/>
    </xf>
    <xf numFmtId="181" fontId="135" fillId="0" borderId="261" xfId="17" applyNumberFormat="1" applyFont="1" applyBorder="1">
      <alignment vertical="center"/>
    </xf>
    <xf numFmtId="206" fontId="135" fillId="0" borderId="434" xfId="17" applyNumberFormat="1" applyFont="1" applyBorder="1">
      <alignment vertical="center"/>
    </xf>
    <xf numFmtId="206" fontId="135" fillId="0" borderId="261" xfId="17" applyNumberFormat="1" applyFont="1" applyBorder="1">
      <alignment vertical="center"/>
    </xf>
    <xf numFmtId="206" fontId="135" fillId="17" borderId="918" xfId="17" applyNumberFormat="1" applyFont="1" applyFill="1" applyBorder="1">
      <alignment vertical="center"/>
    </xf>
    <xf numFmtId="3" fontId="200" fillId="9" borderId="259" xfId="17" applyNumberFormat="1" applyFont="1" applyFill="1" applyBorder="1" applyAlignment="1">
      <alignment horizontal="left" vertical="center"/>
    </xf>
    <xf numFmtId="0" fontId="146" fillId="0" borderId="0" xfId="17" applyFont="1">
      <alignment vertical="center"/>
    </xf>
    <xf numFmtId="0" fontId="41" fillId="9" borderId="5" xfId="0" applyFont="1" applyFill="1" applyBorder="1" applyAlignment="1">
      <alignment vertical="center" wrapText="1"/>
    </xf>
    <xf numFmtId="206" fontId="41" fillId="9" borderId="5" xfId="0" applyNumberFormat="1" applyFont="1" applyFill="1" applyBorder="1">
      <alignment vertical="center"/>
    </xf>
    <xf numFmtId="0" fontId="134" fillId="0" borderId="908" xfId="17" applyBorder="1">
      <alignment vertical="center"/>
    </xf>
    <xf numFmtId="206" fontId="135" fillId="17" borderId="907" xfId="17" applyNumberFormat="1" applyFont="1" applyFill="1" applyBorder="1">
      <alignment vertical="center"/>
    </xf>
    <xf numFmtId="206" fontId="146" fillId="9" borderId="210" xfId="17" applyNumberFormat="1" applyFont="1" applyFill="1" applyBorder="1">
      <alignment vertical="center"/>
    </xf>
    <xf numFmtId="206" fontId="134" fillId="0" borderId="38" xfId="17" applyNumberFormat="1" applyBorder="1">
      <alignment vertical="center"/>
    </xf>
    <xf numFmtId="206" fontId="134" fillId="40" borderId="38" xfId="17" applyNumberFormat="1" applyFill="1" applyBorder="1">
      <alignment vertical="center"/>
    </xf>
    <xf numFmtId="0" fontId="134" fillId="0" borderId="723" xfId="17" applyBorder="1">
      <alignment vertical="center"/>
    </xf>
    <xf numFmtId="3" fontId="146" fillId="9" borderId="239" xfId="17" applyNumberFormat="1" applyFont="1" applyFill="1" applyBorder="1">
      <alignment vertical="center"/>
    </xf>
    <xf numFmtId="206" fontId="134" fillId="0" borderId="723" xfId="17" applyNumberFormat="1" applyBorder="1">
      <alignment vertical="center"/>
    </xf>
    <xf numFmtId="206" fontId="134" fillId="40" borderId="723" xfId="17" applyNumberFormat="1" applyFill="1" applyBorder="1">
      <alignment vertical="center"/>
    </xf>
    <xf numFmtId="206" fontId="146" fillId="9" borderId="239" xfId="17" applyNumberFormat="1" applyFont="1" applyFill="1" applyBorder="1">
      <alignment vertical="center"/>
    </xf>
    <xf numFmtId="206" fontId="135" fillId="17" borderId="919" xfId="17" applyNumberFormat="1" applyFont="1" applyFill="1" applyBorder="1">
      <alignment vertical="center"/>
    </xf>
    <xf numFmtId="0" fontId="202" fillId="0" borderId="920" xfId="17" applyFont="1" applyBorder="1">
      <alignment vertical="center"/>
    </xf>
    <xf numFmtId="0" fontId="134" fillId="0" borderId="250" xfId="17" applyBorder="1">
      <alignment vertical="center"/>
    </xf>
    <xf numFmtId="0" fontId="134" fillId="0" borderId="920" xfId="17" applyBorder="1">
      <alignment vertical="center"/>
    </xf>
    <xf numFmtId="0" fontId="134" fillId="40" borderId="250" xfId="17" applyFill="1" applyBorder="1">
      <alignment vertical="center"/>
    </xf>
    <xf numFmtId="0" fontId="134" fillId="0" borderId="251" xfId="17" applyBorder="1">
      <alignment vertical="center"/>
    </xf>
    <xf numFmtId="0" fontId="134" fillId="0" borderId="921" xfId="17" applyBorder="1">
      <alignment vertical="center"/>
    </xf>
    <xf numFmtId="0" fontId="202" fillId="0" borderId="138" xfId="17" applyFont="1" applyBorder="1">
      <alignment vertical="center"/>
    </xf>
    <xf numFmtId="0" fontId="134" fillId="0" borderId="239" xfId="17" applyBorder="1">
      <alignment vertical="center"/>
    </xf>
    <xf numFmtId="0" fontId="143" fillId="0" borderId="259" xfId="17" applyFont="1" applyBorder="1">
      <alignment vertical="center"/>
    </xf>
    <xf numFmtId="0" fontId="143" fillId="0" borderId="210" xfId="17" applyFont="1" applyBorder="1">
      <alignment vertical="center"/>
    </xf>
    <xf numFmtId="206" fontId="134" fillId="0" borderId="922" xfId="17" applyNumberFormat="1" applyBorder="1">
      <alignment vertical="center"/>
    </xf>
    <xf numFmtId="206" fontId="134" fillId="0" borderId="922" xfId="17" applyNumberFormat="1" applyBorder="1" applyAlignment="1">
      <alignment horizontal="right" vertical="center"/>
    </xf>
    <xf numFmtId="0" fontId="134" fillId="18" borderId="250" xfId="17" applyFill="1" applyBorder="1">
      <alignment vertical="center"/>
    </xf>
    <xf numFmtId="0" fontId="134" fillId="0" borderId="101" xfId="17" applyBorder="1">
      <alignment vertical="center"/>
    </xf>
    <xf numFmtId="206" fontId="134" fillId="0" borderId="101" xfId="17" applyNumberFormat="1" applyBorder="1">
      <alignment vertical="center"/>
    </xf>
    <xf numFmtId="206" fontId="134" fillId="40" borderId="101" xfId="17" applyNumberFormat="1" applyFill="1" applyBorder="1">
      <alignment vertical="center"/>
    </xf>
    <xf numFmtId="206" fontId="134" fillId="0" borderId="0" xfId="17" applyNumberFormat="1">
      <alignment vertical="center"/>
    </xf>
    <xf numFmtId="206" fontId="134" fillId="40" borderId="0" xfId="17" applyNumberFormat="1" applyFill="1">
      <alignment vertical="center"/>
    </xf>
    <xf numFmtId="0" fontId="134" fillId="0" borderId="878" xfId="17" applyBorder="1">
      <alignment vertical="center"/>
    </xf>
    <xf numFmtId="206" fontId="134" fillId="0" borderId="878" xfId="17" applyNumberFormat="1" applyBorder="1">
      <alignment vertical="center"/>
    </xf>
    <xf numFmtId="206" fontId="134" fillId="40" borderId="878" xfId="17" applyNumberFormat="1" applyFill="1" applyBorder="1">
      <alignment vertical="center"/>
    </xf>
    <xf numFmtId="180" fontId="134" fillId="0" borderId="101" xfId="17" applyNumberFormat="1" applyBorder="1">
      <alignment vertical="center"/>
    </xf>
    <xf numFmtId="180" fontId="195" fillId="0" borderId="878" xfId="17" applyNumberFormat="1" applyFont="1" applyBorder="1">
      <alignment vertical="center"/>
    </xf>
    <xf numFmtId="180" fontId="195" fillId="0" borderId="0" xfId="17" applyNumberFormat="1" applyFont="1">
      <alignment vertical="center"/>
    </xf>
    <xf numFmtId="180" fontId="146" fillId="0" borderId="101" xfId="17" applyNumberFormat="1" applyFont="1" applyBorder="1">
      <alignment vertical="center"/>
    </xf>
    <xf numFmtId="181" fontId="195" fillId="0" borderId="0" xfId="17" applyNumberFormat="1" applyFont="1">
      <alignment vertical="center"/>
    </xf>
    <xf numFmtId="181" fontId="134" fillId="0" borderId="101" xfId="17" applyNumberFormat="1" applyBorder="1">
      <alignment vertical="center"/>
    </xf>
    <xf numFmtId="181" fontId="134" fillId="40" borderId="101" xfId="17" applyNumberFormat="1" applyFill="1" applyBorder="1">
      <alignment vertical="center"/>
    </xf>
    <xf numFmtId="0" fontId="134" fillId="40" borderId="159" xfId="17" applyFill="1" applyBorder="1">
      <alignment vertical="center"/>
    </xf>
    <xf numFmtId="181" fontId="134" fillId="0" borderId="878" xfId="17" applyNumberFormat="1" applyBorder="1">
      <alignment vertical="center"/>
    </xf>
    <xf numFmtId="181" fontId="134" fillId="40" borderId="878" xfId="17" applyNumberFormat="1" applyFill="1" applyBorder="1">
      <alignment vertical="center"/>
    </xf>
    <xf numFmtId="181" fontId="195" fillId="0" borderId="878" xfId="17" applyNumberFormat="1" applyFont="1" applyBorder="1">
      <alignment vertical="center"/>
    </xf>
    <xf numFmtId="181" fontId="195" fillId="0" borderId="101" xfId="17" applyNumberFormat="1" applyFont="1" applyBorder="1">
      <alignment vertical="center"/>
    </xf>
    <xf numFmtId="0" fontId="202" fillId="0" borderId="0" xfId="17" applyFont="1">
      <alignment vertical="center"/>
    </xf>
    <xf numFmtId="0" fontId="143" fillId="0" borderId="159" xfId="17" applyFont="1" applyBorder="1">
      <alignment vertical="center"/>
    </xf>
    <xf numFmtId="0" fontId="134" fillId="0" borderId="139" xfId="17" applyBorder="1">
      <alignment vertical="center"/>
    </xf>
    <xf numFmtId="0" fontId="134" fillId="0" borderId="662" xfId="17" applyBorder="1">
      <alignment vertical="center"/>
    </xf>
    <xf numFmtId="181" fontId="134" fillId="0" borderId="139" xfId="17" applyNumberFormat="1" applyBorder="1">
      <alignment vertical="center"/>
    </xf>
    <xf numFmtId="181" fontId="134" fillId="0" borderId="662" xfId="17" applyNumberFormat="1" applyBorder="1">
      <alignment vertical="center"/>
    </xf>
    <xf numFmtId="206" fontId="134" fillId="0" borderId="139" xfId="17" applyNumberFormat="1" applyBorder="1">
      <alignment vertical="center"/>
    </xf>
    <xf numFmtId="206" fontId="134" fillId="0" borderId="662" xfId="17" applyNumberFormat="1" applyBorder="1">
      <alignment vertical="center"/>
    </xf>
    <xf numFmtId="206" fontId="134" fillId="0" borderId="160" xfId="17" applyNumberFormat="1" applyBorder="1">
      <alignment vertical="center"/>
    </xf>
    <xf numFmtId="206" fontId="134" fillId="0" borderId="664" xfId="17" applyNumberFormat="1" applyBorder="1">
      <alignment vertical="center"/>
    </xf>
    <xf numFmtId="206" fontId="134" fillId="0" borderId="926" xfId="17" applyNumberFormat="1" applyBorder="1">
      <alignment vertical="center"/>
    </xf>
    <xf numFmtId="206" fontId="134" fillId="0" borderId="927" xfId="17" applyNumberFormat="1" applyBorder="1">
      <alignment vertical="center"/>
    </xf>
    <xf numFmtId="181" fontId="134" fillId="0" borderId="926" xfId="17" applyNumberFormat="1" applyBorder="1">
      <alignment vertical="center"/>
    </xf>
    <xf numFmtId="181" fontId="134" fillId="0" borderId="927" xfId="17" applyNumberFormat="1" applyBorder="1">
      <alignment vertical="center"/>
    </xf>
    <xf numFmtId="181" fontId="134" fillId="0" borderId="160" xfId="17" applyNumberFormat="1" applyBorder="1">
      <alignment vertical="center"/>
    </xf>
    <xf numFmtId="181" fontId="134" fillId="0" borderId="664" xfId="17" applyNumberFormat="1" applyBorder="1">
      <alignment vertical="center"/>
    </xf>
    <xf numFmtId="0" fontId="134" fillId="0" borderId="123" xfId="17" applyBorder="1">
      <alignment vertical="center"/>
    </xf>
    <xf numFmtId="0" fontId="134" fillId="0" borderId="660" xfId="17" applyBorder="1">
      <alignment vertical="center"/>
    </xf>
    <xf numFmtId="0" fontId="134" fillId="0" borderId="157" xfId="17" applyBorder="1">
      <alignment vertical="center"/>
    </xf>
    <xf numFmtId="0" fontId="134" fillId="0" borderId="650" xfId="17" applyBorder="1">
      <alignment vertical="center"/>
    </xf>
    <xf numFmtId="0" fontId="134" fillId="0" borderId="929" xfId="17" applyBorder="1">
      <alignment vertical="center"/>
    </xf>
    <xf numFmtId="0" fontId="134" fillId="0" borderId="661" xfId="17" applyBorder="1">
      <alignment vertical="center"/>
    </xf>
    <xf numFmtId="0" fontId="202" fillId="29" borderId="0" xfId="17" applyFont="1" applyFill="1">
      <alignment vertical="center"/>
    </xf>
    <xf numFmtId="0" fontId="202" fillId="43" borderId="0" xfId="17" applyFont="1" applyFill="1">
      <alignment vertical="center"/>
    </xf>
    <xf numFmtId="180" fontId="134" fillId="40" borderId="0" xfId="17" applyNumberFormat="1" applyFill="1">
      <alignment vertical="center"/>
    </xf>
    <xf numFmtId="180" fontId="134" fillId="40" borderId="101" xfId="17" applyNumberFormat="1" applyFill="1" applyBorder="1">
      <alignment vertical="center"/>
    </xf>
    <xf numFmtId="180" fontId="146" fillId="0" borderId="0" xfId="17" applyNumberFormat="1" applyFont="1">
      <alignment vertical="center"/>
    </xf>
    <xf numFmtId="180" fontId="195" fillId="0" borderId="101" xfId="17" applyNumberFormat="1" applyFont="1" applyBorder="1">
      <alignment vertical="center"/>
    </xf>
    <xf numFmtId="180" fontId="134" fillId="0" borderId="878" xfId="17" applyNumberFormat="1" applyBorder="1">
      <alignment vertical="center"/>
    </xf>
    <xf numFmtId="180" fontId="134" fillId="40" borderId="878" xfId="17" applyNumberFormat="1" applyFill="1" applyBorder="1">
      <alignment vertical="center"/>
    </xf>
    <xf numFmtId="180" fontId="134" fillId="0" borderId="662" xfId="17" applyNumberFormat="1" applyBorder="1">
      <alignment vertical="center"/>
    </xf>
    <xf numFmtId="3" fontId="143" fillId="0" borderId="160" xfId="17" applyNumberFormat="1" applyFont="1" applyBorder="1">
      <alignment vertical="center"/>
    </xf>
    <xf numFmtId="180" fontId="134" fillId="0" borderId="664" xfId="17" applyNumberFormat="1" applyBorder="1">
      <alignment vertical="center"/>
    </xf>
    <xf numFmtId="3" fontId="143" fillId="0" borderId="139" xfId="17" applyNumberFormat="1" applyFont="1" applyBorder="1">
      <alignment vertical="center"/>
    </xf>
    <xf numFmtId="3" fontId="143" fillId="0" borderId="926" xfId="17" applyNumberFormat="1" applyFont="1" applyBorder="1">
      <alignment vertical="center"/>
    </xf>
    <xf numFmtId="180" fontId="134" fillId="0" borderId="927" xfId="17" applyNumberFormat="1" applyBorder="1">
      <alignment vertical="center"/>
    </xf>
    <xf numFmtId="3" fontId="203" fillId="0" borderId="139" xfId="17" applyNumberFormat="1" applyFont="1" applyBorder="1" applyAlignment="1">
      <alignment horizontal="left" vertical="center"/>
    </xf>
    <xf numFmtId="3" fontId="135" fillId="0" borderId="160" xfId="17" applyNumberFormat="1" applyFont="1" applyBorder="1" applyAlignment="1">
      <alignment horizontal="left" vertical="center"/>
    </xf>
    <xf numFmtId="180" fontId="135" fillId="0" borderId="0" xfId="17" applyNumberFormat="1" applyFont="1">
      <alignment vertical="center"/>
    </xf>
    <xf numFmtId="180" fontId="135" fillId="40" borderId="0" xfId="17" applyNumberFormat="1" applyFont="1" applyFill="1">
      <alignment vertical="center"/>
    </xf>
    <xf numFmtId="180" fontId="135" fillId="0" borderId="662" xfId="17" applyNumberFormat="1" applyFont="1" applyBorder="1">
      <alignment vertical="center"/>
    </xf>
    <xf numFmtId="180" fontId="135" fillId="0" borderId="101" xfId="17" applyNumberFormat="1" applyFont="1" applyBorder="1">
      <alignment vertical="center"/>
    </xf>
    <xf numFmtId="180" fontId="135" fillId="40" borderId="101" xfId="17" applyNumberFormat="1" applyFont="1" applyFill="1" applyBorder="1">
      <alignment vertical="center"/>
    </xf>
    <xf numFmtId="180" fontId="135" fillId="0" borderId="664" xfId="17" applyNumberFormat="1" applyFont="1" applyBorder="1">
      <alignment vertical="center"/>
    </xf>
    <xf numFmtId="3" fontId="203" fillId="0" borderId="160" xfId="17" applyNumberFormat="1" applyFont="1" applyBorder="1" applyAlignment="1">
      <alignment horizontal="left" vertical="center"/>
    </xf>
    <xf numFmtId="3" fontId="203" fillId="0" borderId="926" xfId="17" applyNumberFormat="1" applyFont="1" applyBorder="1" applyAlignment="1">
      <alignment horizontal="left" vertical="center"/>
    </xf>
    <xf numFmtId="180" fontId="135" fillId="0" borderId="878" xfId="17" applyNumberFormat="1" applyFont="1" applyBorder="1">
      <alignment vertical="center"/>
    </xf>
    <xf numFmtId="180" fontId="135" fillId="40" borderId="878" xfId="17" applyNumberFormat="1" applyFont="1" applyFill="1" applyBorder="1">
      <alignment vertical="center"/>
    </xf>
    <xf numFmtId="180" fontId="135" fillId="0" borderId="927" xfId="17" applyNumberFormat="1" applyFont="1" applyBorder="1">
      <alignment vertical="center"/>
    </xf>
    <xf numFmtId="180" fontId="195" fillId="0" borderId="926" xfId="17" applyNumberFormat="1" applyFont="1" applyBorder="1">
      <alignment vertical="center"/>
    </xf>
    <xf numFmtId="180" fontId="143" fillId="0" borderId="0" xfId="17" applyNumberFormat="1" applyFont="1">
      <alignment vertical="center"/>
    </xf>
    <xf numFmtId="180" fontId="143" fillId="40" borderId="0" xfId="17" applyNumberFormat="1" applyFont="1" applyFill="1">
      <alignment vertical="center"/>
    </xf>
    <xf numFmtId="3" fontId="143" fillId="0" borderId="157" xfId="17" applyNumberFormat="1" applyFont="1" applyBorder="1">
      <alignment vertical="center"/>
    </xf>
    <xf numFmtId="3" fontId="143" fillId="0" borderId="929" xfId="17" applyNumberFormat="1" applyFont="1" applyBorder="1">
      <alignment vertical="center"/>
    </xf>
    <xf numFmtId="3" fontId="143" fillId="0" borderId="650" xfId="17" applyNumberFormat="1" applyFont="1" applyBorder="1">
      <alignment vertical="center"/>
    </xf>
    <xf numFmtId="3" fontId="146" fillId="16" borderId="661" xfId="17" applyNumberFormat="1" applyFont="1" applyFill="1" applyBorder="1">
      <alignment vertical="center"/>
    </xf>
    <xf numFmtId="3" fontId="146" fillId="16" borderId="928" xfId="17" applyNumberFormat="1" applyFont="1" applyFill="1" applyBorder="1">
      <alignment vertical="center"/>
    </xf>
    <xf numFmtId="3" fontId="146" fillId="16" borderId="157" xfId="17" applyNumberFormat="1" applyFont="1" applyFill="1" applyBorder="1">
      <alignment vertical="center"/>
    </xf>
    <xf numFmtId="0" fontId="146" fillId="16" borderId="928" xfId="17" applyFont="1" applyFill="1" applyBorder="1">
      <alignment vertical="center"/>
    </xf>
    <xf numFmtId="3" fontId="146" fillId="16" borderId="123" xfId="17" applyNumberFormat="1" applyFont="1" applyFill="1" applyBorder="1">
      <alignment vertical="center"/>
    </xf>
    <xf numFmtId="180" fontId="146" fillId="16" borderId="159" xfId="17" applyNumberFormat="1" applyFont="1" applyFill="1" applyBorder="1">
      <alignment vertical="center"/>
    </xf>
    <xf numFmtId="180" fontId="146" fillId="16" borderId="660" xfId="17" applyNumberFormat="1" applyFont="1" applyFill="1" applyBorder="1">
      <alignment vertical="center"/>
    </xf>
    <xf numFmtId="180" fontId="195" fillId="16" borderId="159" xfId="17" applyNumberFormat="1" applyFont="1" applyFill="1" applyBorder="1">
      <alignment vertical="center"/>
    </xf>
    <xf numFmtId="3" fontId="204" fillId="16" borderId="924" xfId="17" applyNumberFormat="1" applyFont="1" applyFill="1" applyBorder="1" applyAlignment="1">
      <alignment horizontal="left" vertical="center"/>
    </xf>
    <xf numFmtId="180" fontId="200" fillId="16" borderId="923" xfId="17" applyNumberFormat="1" applyFont="1" applyFill="1" applyBorder="1">
      <alignment vertical="center"/>
    </xf>
    <xf numFmtId="180" fontId="200" fillId="16" borderId="925" xfId="17" applyNumberFormat="1" applyFont="1" applyFill="1" applyBorder="1">
      <alignment vertical="center"/>
    </xf>
    <xf numFmtId="180" fontId="195" fillId="16" borderId="923" xfId="17" applyNumberFormat="1" applyFont="1" applyFill="1" applyBorder="1">
      <alignment vertical="center"/>
    </xf>
    <xf numFmtId="180" fontId="195" fillId="16" borderId="924" xfId="17" applyNumberFormat="1" applyFont="1" applyFill="1" applyBorder="1">
      <alignment vertical="center"/>
    </xf>
    <xf numFmtId="3" fontId="204" fillId="16" borderId="139" xfId="17" applyNumberFormat="1" applyFont="1" applyFill="1" applyBorder="1" applyAlignment="1">
      <alignment horizontal="left" vertical="center"/>
    </xf>
    <xf numFmtId="180" fontId="200" fillId="16" borderId="0" xfId="17" applyNumberFormat="1" applyFont="1" applyFill="1">
      <alignment vertical="center"/>
    </xf>
    <xf numFmtId="180" fontId="200" fillId="16" borderId="662" xfId="17" applyNumberFormat="1" applyFont="1" applyFill="1" applyBorder="1">
      <alignment vertical="center"/>
    </xf>
    <xf numFmtId="180" fontId="195" fillId="16" borderId="139" xfId="17" applyNumberFormat="1" applyFont="1" applyFill="1" applyBorder="1">
      <alignment vertical="center"/>
    </xf>
    <xf numFmtId="180" fontId="195" fillId="16" borderId="0" xfId="17" applyNumberFormat="1" applyFont="1" applyFill="1">
      <alignment vertical="center"/>
    </xf>
    <xf numFmtId="3" fontId="146" fillId="16" borderId="139" xfId="17" applyNumberFormat="1" applyFont="1" applyFill="1" applyBorder="1">
      <alignment vertical="center"/>
    </xf>
    <xf numFmtId="180" fontId="146" fillId="16" borderId="0" xfId="17" applyNumberFormat="1" applyFont="1" applyFill="1">
      <alignment vertical="center"/>
    </xf>
    <xf numFmtId="3" fontId="146" fillId="16" borderId="924" xfId="17" applyNumberFormat="1" applyFont="1" applyFill="1" applyBorder="1">
      <alignment vertical="center"/>
    </xf>
    <xf numFmtId="180" fontId="146" fillId="16" borderId="923" xfId="17" applyNumberFormat="1" applyFont="1" applyFill="1" applyBorder="1">
      <alignment vertical="center"/>
    </xf>
    <xf numFmtId="180" fontId="146" fillId="16" borderId="925" xfId="17" applyNumberFormat="1" applyFont="1" applyFill="1" applyBorder="1">
      <alignment vertical="center"/>
    </xf>
    <xf numFmtId="3" fontId="146" fillId="16" borderId="923" xfId="17" applyNumberFormat="1" applyFont="1" applyFill="1" applyBorder="1">
      <alignment vertical="center"/>
    </xf>
    <xf numFmtId="180" fontId="134" fillId="16" borderId="0" xfId="17" applyNumberFormat="1" applyFill="1">
      <alignment vertical="center"/>
    </xf>
    <xf numFmtId="180" fontId="134" fillId="16" borderId="662" xfId="17" applyNumberFormat="1" applyFill="1" applyBorder="1">
      <alignment vertical="center"/>
    </xf>
    <xf numFmtId="0" fontId="146" fillId="17" borderId="157" xfId="17" applyFont="1" applyFill="1" applyBorder="1">
      <alignment vertical="center"/>
    </xf>
    <xf numFmtId="0" fontId="146" fillId="17" borderId="0" xfId="17" applyFont="1" applyFill="1">
      <alignment vertical="center"/>
    </xf>
    <xf numFmtId="181" fontId="146" fillId="17" borderId="0" xfId="17" applyNumberFormat="1" applyFont="1" applyFill="1">
      <alignment vertical="center"/>
    </xf>
    <xf numFmtId="181" fontId="134" fillId="17" borderId="139" xfId="17" applyNumberFormat="1" applyFill="1" applyBorder="1">
      <alignment vertical="center"/>
    </xf>
    <xf numFmtId="181" fontId="134" fillId="17" borderId="0" xfId="17" applyNumberFormat="1" applyFill="1">
      <alignment vertical="center"/>
    </xf>
    <xf numFmtId="181" fontId="134" fillId="17" borderId="662" xfId="17" applyNumberFormat="1" applyFill="1" applyBorder="1">
      <alignment vertical="center"/>
    </xf>
    <xf numFmtId="181" fontId="195" fillId="17" borderId="0" xfId="17" applyNumberFormat="1" applyFont="1" applyFill="1">
      <alignment vertical="center"/>
    </xf>
    <xf numFmtId="0" fontId="146" fillId="17" borderId="928" xfId="17" applyFont="1" applyFill="1" applyBorder="1">
      <alignment vertical="center"/>
    </xf>
    <xf numFmtId="0" fontId="146" fillId="17" borderId="923" xfId="17" applyFont="1" applyFill="1" applyBorder="1">
      <alignment vertical="center"/>
    </xf>
    <xf numFmtId="181" fontId="146" fillId="17" borderId="923" xfId="17" applyNumberFormat="1" applyFont="1" applyFill="1" applyBorder="1">
      <alignment vertical="center"/>
    </xf>
    <xf numFmtId="181" fontId="134" fillId="17" borderId="924" xfId="17" applyNumberFormat="1" applyFill="1" applyBorder="1">
      <alignment vertical="center"/>
    </xf>
    <xf numFmtId="181" fontId="134" fillId="17" borderId="923" xfId="17" applyNumberFormat="1" applyFill="1" applyBorder="1">
      <alignment vertical="center"/>
    </xf>
    <xf numFmtId="181" fontId="134" fillId="17" borderId="925" xfId="17" applyNumberFormat="1" applyFill="1" applyBorder="1">
      <alignment vertical="center"/>
    </xf>
    <xf numFmtId="181" fontId="195" fillId="17" borderId="923" xfId="17" applyNumberFormat="1" applyFont="1" applyFill="1" applyBorder="1">
      <alignment vertical="center"/>
    </xf>
    <xf numFmtId="0" fontId="146" fillId="17" borderId="661" xfId="17" applyFont="1" applyFill="1" applyBorder="1">
      <alignment vertical="center"/>
    </xf>
    <xf numFmtId="0" fontId="146" fillId="17" borderId="159" xfId="17" applyFont="1" applyFill="1" applyBorder="1">
      <alignment vertical="center"/>
    </xf>
    <xf numFmtId="181" fontId="146" fillId="17" borderId="159" xfId="17" applyNumberFormat="1" applyFont="1" applyFill="1" applyBorder="1">
      <alignment vertical="center"/>
    </xf>
    <xf numFmtId="181" fontId="146" fillId="17" borderId="123" xfId="17" applyNumberFormat="1" applyFont="1" applyFill="1" applyBorder="1">
      <alignment vertical="center"/>
    </xf>
    <xf numFmtId="181" fontId="146" fillId="17" borderId="660" xfId="17" applyNumberFormat="1" applyFont="1" applyFill="1" applyBorder="1">
      <alignment vertical="center"/>
    </xf>
    <xf numFmtId="181" fontId="195" fillId="17" borderId="159" xfId="17" applyNumberFormat="1" applyFont="1" applyFill="1" applyBorder="1">
      <alignment vertical="center"/>
    </xf>
    <xf numFmtId="181" fontId="146" fillId="17" borderId="928" xfId="17" applyNumberFormat="1" applyFont="1" applyFill="1" applyBorder="1">
      <alignment vertical="center"/>
    </xf>
    <xf numFmtId="3" fontId="146" fillId="17" borderId="923" xfId="17" applyNumberFormat="1" applyFont="1" applyFill="1" applyBorder="1">
      <alignment vertical="center"/>
    </xf>
    <xf numFmtId="206" fontId="146" fillId="17" borderId="923" xfId="17" applyNumberFormat="1" applyFont="1" applyFill="1" applyBorder="1">
      <alignment vertical="center"/>
    </xf>
    <xf numFmtId="206" fontId="146" fillId="17" borderId="924" xfId="17" applyNumberFormat="1" applyFont="1" applyFill="1" applyBorder="1">
      <alignment vertical="center"/>
    </xf>
    <xf numFmtId="206" fontId="146" fillId="17" borderId="925" xfId="17" applyNumberFormat="1" applyFont="1" applyFill="1" applyBorder="1">
      <alignment vertical="center"/>
    </xf>
    <xf numFmtId="180" fontId="195" fillId="17" borderId="923" xfId="17" applyNumberFormat="1" applyFont="1" applyFill="1" applyBorder="1">
      <alignment vertical="center"/>
    </xf>
    <xf numFmtId="206" fontId="146" fillId="17" borderId="159" xfId="17" applyNumberFormat="1" applyFont="1" applyFill="1" applyBorder="1">
      <alignment vertical="center"/>
    </xf>
    <xf numFmtId="206" fontId="146" fillId="17" borderId="123" xfId="17" applyNumberFormat="1" applyFont="1" applyFill="1" applyBorder="1">
      <alignment vertical="center"/>
    </xf>
    <xf numFmtId="206" fontId="146" fillId="17" borderId="660" xfId="17" applyNumberFormat="1" applyFont="1" applyFill="1" applyBorder="1">
      <alignment vertical="center"/>
    </xf>
    <xf numFmtId="180" fontId="195" fillId="17" borderId="159" xfId="17" applyNumberFormat="1" applyFont="1" applyFill="1" applyBorder="1">
      <alignment vertical="center"/>
    </xf>
    <xf numFmtId="206" fontId="146" fillId="17" borderId="0" xfId="17" applyNumberFormat="1" applyFont="1" applyFill="1">
      <alignment vertical="center"/>
    </xf>
    <xf numFmtId="206" fontId="146" fillId="17" borderId="139" xfId="17" applyNumberFormat="1" applyFont="1" applyFill="1" applyBorder="1">
      <alignment vertical="center"/>
    </xf>
    <xf numFmtId="206" fontId="146" fillId="17" borderId="662" xfId="17" applyNumberFormat="1" applyFont="1" applyFill="1" applyBorder="1">
      <alignment vertical="center"/>
    </xf>
    <xf numFmtId="180" fontId="195" fillId="17" borderId="0" xfId="17" applyNumberFormat="1" applyFont="1" applyFill="1">
      <alignment vertical="center"/>
    </xf>
    <xf numFmtId="181" fontId="146" fillId="17" borderId="924" xfId="17" applyNumberFormat="1" applyFont="1" applyFill="1" applyBorder="1">
      <alignment vertical="center"/>
    </xf>
    <xf numFmtId="181" fontId="146" fillId="17" borderId="925" xfId="17" applyNumberFormat="1" applyFont="1" applyFill="1" applyBorder="1">
      <alignment vertical="center"/>
    </xf>
    <xf numFmtId="0" fontId="41" fillId="0" borderId="5" xfId="0" applyFont="1" applyBorder="1" applyAlignment="1">
      <alignment vertical="center" wrapText="1"/>
    </xf>
    <xf numFmtId="206" fontId="189" fillId="0" borderId="5" xfId="0" applyNumberFormat="1" applyFont="1" applyBorder="1">
      <alignment vertical="center"/>
    </xf>
    <xf numFmtId="0" fontId="146" fillId="0" borderId="0" xfId="17" applyFont="1" applyAlignment="1">
      <alignment horizontal="right" vertical="center"/>
    </xf>
    <xf numFmtId="0" fontId="146" fillId="40" borderId="0" xfId="17" applyFont="1" applyFill="1" applyAlignment="1">
      <alignment horizontal="right" vertical="center"/>
    </xf>
    <xf numFmtId="0" fontId="0" fillId="38" borderId="0" xfId="0" applyFill="1">
      <alignment vertical="center"/>
    </xf>
    <xf numFmtId="0" fontId="0" fillId="17" borderId="0" xfId="0" applyFill="1" applyAlignment="1">
      <alignment horizontal="center" vertical="center"/>
    </xf>
    <xf numFmtId="0" fontId="0" fillId="0" borderId="0" xfId="0" applyAlignment="1">
      <alignment horizontal="left" vertical="center"/>
    </xf>
    <xf numFmtId="0" fontId="0" fillId="53" borderId="930" xfId="0" applyFill="1" applyBorder="1" applyAlignment="1">
      <alignment horizontal="center" vertical="center"/>
    </xf>
    <xf numFmtId="0" fontId="0" fillId="53" borderId="931" xfId="0" applyFill="1" applyBorder="1" applyAlignment="1">
      <alignment horizontal="center" vertical="center"/>
    </xf>
    <xf numFmtId="0" fontId="0" fillId="53" borderId="932" xfId="0" applyFill="1" applyBorder="1">
      <alignment vertical="center"/>
    </xf>
    <xf numFmtId="0" fontId="0" fillId="53" borderId="933" xfId="0" applyFill="1" applyBorder="1">
      <alignment vertical="center"/>
    </xf>
    <xf numFmtId="0" fontId="205" fillId="17" borderId="159" xfId="0" applyFont="1" applyFill="1" applyBorder="1" applyAlignment="1">
      <alignment horizontal="center" vertical="center"/>
    </xf>
    <xf numFmtId="0" fontId="205" fillId="17" borderId="101" xfId="0" applyFont="1" applyFill="1" applyBorder="1" applyAlignment="1">
      <alignment horizontal="center" vertical="center"/>
    </xf>
    <xf numFmtId="0" fontId="111" fillId="38" borderId="123" xfId="0" applyFont="1" applyFill="1" applyBorder="1" applyAlignment="1">
      <alignment horizontal="center" vertical="center"/>
    </xf>
    <xf numFmtId="0" fontId="111" fillId="38" borderId="160" xfId="0" applyFont="1" applyFill="1" applyBorder="1" applyAlignment="1">
      <alignment horizontal="center" vertical="center"/>
    </xf>
    <xf numFmtId="0" fontId="156" fillId="0" borderId="0" xfId="0" applyFont="1">
      <alignment vertical="center"/>
    </xf>
    <xf numFmtId="0" fontId="0" fillId="40" borderId="937" xfId="0" applyFill="1" applyBorder="1">
      <alignment vertical="center"/>
    </xf>
    <xf numFmtId="0" fontId="0" fillId="40" borderId="936" xfId="0" applyFill="1" applyBorder="1">
      <alignment vertical="center"/>
    </xf>
    <xf numFmtId="0" fontId="111" fillId="38" borderId="0" xfId="0" applyFont="1" applyFill="1" applyAlignment="1">
      <alignment horizontal="center" vertical="center"/>
    </xf>
    <xf numFmtId="0" fontId="205" fillId="17" borderId="123" xfId="0" applyFont="1" applyFill="1" applyBorder="1" applyAlignment="1">
      <alignment horizontal="center" vertical="center"/>
    </xf>
    <xf numFmtId="0" fontId="205" fillId="17" borderId="160" xfId="0" applyFont="1" applyFill="1" applyBorder="1" applyAlignment="1">
      <alignment horizontal="center" vertical="center"/>
    </xf>
    <xf numFmtId="0" fontId="207" fillId="53" borderId="159" xfId="0" applyFont="1" applyFill="1" applyBorder="1" applyAlignment="1">
      <alignment horizontal="center" vertical="center"/>
    </xf>
    <xf numFmtId="0" fontId="207" fillId="53" borderId="101" xfId="0" applyFont="1" applyFill="1" applyBorder="1" applyAlignment="1">
      <alignment horizontal="center" vertical="center"/>
    </xf>
    <xf numFmtId="0" fontId="20" fillId="0" borderId="0" xfId="0" applyFont="1">
      <alignment vertical="center"/>
    </xf>
    <xf numFmtId="0" fontId="134" fillId="0" borderId="664" xfId="17" applyBorder="1">
      <alignment vertical="center"/>
    </xf>
    <xf numFmtId="0" fontId="45" fillId="2" borderId="14" xfId="0" applyFont="1" applyFill="1" applyBorder="1" applyAlignment="1">
      <alignment horizontal="center" vertical="center" shrinkToFit="1"/>
    </xf>
    <xf numFmtId="201" fontId="49" fillId="0" borderId="26" xfId="11" applyNumberFormat="1" applyFont="1" applyBorder="1" applyAlignment="1">
      <alignment horizontal="center" vertical="center"/>
    </xf>
    <xf numFmtId="3" fontId="196" fillId="0" borderId="0" xfId="17" applyNumberFormat="1" applyFont="1" applyAlignment="1">
      <alignment horizontal="right" vertical="center"/>
    </xf>
    <xf numFmtId="0" fontId="134" fillId="0" borderId="0" xfId="17" applyAlignment="1">
      <alignment horizontal="center" vertical="center"/>
    </xf>
    <xf numFmtId="0" fontId="134" fillId="0" borderId="210" xfId="17" applyBorder="1">
      <alignment vertical="center"/>
    </xf>
    <xf numFmtId="3" fontId="146" fillId="18" borderId="38" xfId="17" applyNumberFormat="1" applyFont="1" applyFill="1" applyBorder="1">
      <alignment vertical="center"/>
    </xf>
    <xf numFmtId="0" fontId="134" fillId="40" borderId="38" xfId="17" applyFill="1" applyBorder="1">
      <alignment vertical="center"/>
    </xf>
    <xf numFmtId="0" fontId="134" fillId="0" borderId="939" xfId="17" applyBorder="1">
      <alignment vertical="center"/>
    </xf>
    <xf numFmtId="0" fontId="134" fillId="0" borderId="940" xfId="17" applyBorder="1">
      <alignment vertical="center"/>
    </xf>
    <xf numFmtId="0" fontId="134" fillId="40" borderId="940" xfId="17" applyFill="1" applyBorder="1">
      <alignment vertical="center"/>
    </xf>
    <xf numFmtId="181" fontId="134" fillId="0" borderId="940" xfId="17" applyNumberFormat="1" applyBorder="1">
      <alignment vertical="center"/>
    </xf>
    <xf numFmtId="3" fontId="143" fillId="18" borderId="940" xfId="17" applyNumberFormat="1" applyFont="1" applyFill="1" applyBorder="1">
      <alignment vertical="center"/>
    </xf>
    <xf numFmtId="181" fontId="134" fillId="0" borderId="941" xfId="17" applyNumberFormat="1" applyBorder="1">
      <alignment vertical="center"/>
    </xf>
    <xf numFmtId="0" fontId="146" fillId="17" borderId="921" xfId="17" applyFont="1" applyFill="1" applyBorder="1">
      <alignment vertical="center"/>
    </xf>
    <xf numFmtId="181" fontId="134" fillId="17" borderId="907" xfId="17" applyNumberFormat="1" applyFill="1" applyBorder="1">
      <alignment vertical="center"/>
    </xf>
    <xf numFmtId="181" fontId="134" fillId="17" borderId="938" xfId="17" applyNumberFormat="1" applyFill="1" applyBorder="1">
      <alignment vertical="center"/>
    </xf>
    <xf numFmtId="0" fontId="195" fillId="0" borderId="0" xfId="17" applyFont="1">
      <alignment vertical="center"/>
    </xf>
    <xf numFmtId="0" fontId="134" fillId="0" borderId="942" xfId="17" applyBorder="1">
      <alignment vertical="center"/>
    </xf>
    <xf numFmtId="0" fontId="134" fillId="40" borderId="942" xfId="17" applyFill="1" applyBorder="1">
      <alignment vertical="center"/>
    </xf>
    <xf numFmtId="0" fontId="60" fillId="17" borderId="0" xfId="0" applyFont="1" applyFill="1" applyAlignment="1">
      <alignment horizontal="center" vertical="center" shrinkToFit="1"/>
    </xf>
    <xf numFmtId="0" fontId="60" fillId="9" borderId="0" xfId="0" applyFont="1" applyFill="1" applyAlignment="1">
      <alignment horizontal="center" vertical="center" shrinkToFit="1"/>
    </xf>
    <xf numFmtId="0" fontId="161" fillId="0" borderId="0" xfId="0" applyFont="1">
      <alignment vertical="center"/>
    </xf>
    <xf numFmtId="0" fontId="161" fillId="0" borderId="139" xfId="0" applyFont="1" applyBorder="1">
      <alignment vertical="center"/>
    </xf>
    <xf numFmtId="14" fontId="69" fillId="12" borderId="104" xfId="13" applyNumberFormat="1" applyFont="1" applyFill="1" applyBorder="1" applyAlignment="1">
      <alignment horizontal="center" vertical="center" wrapText="1" shrinkToFit="1"/>
    </xf>
    <xf numFmtId="14" fontId="69" fillId="9" borderId="104" xfId="13" applyNumberFormat="1" applyFont="1" applyFill="1" applyBorder="1" applyAlignment="1">
      <alignment horizontal="center" vertical="center" wrapText="1" shrinkToFit="1"/>
    </xf>
    <xf numFmtId="14" fontId="69" fillId="29" borderId="104" xfId="13" applyNumberFormat="1" applyFont="1" applyFill="1" applyBorder="1" applyAlignment="1">
      <alignment horizontal="center" vertical="center" wrapText="1" shrinkToFit="1"/>
    </xf>
    <xf numFmtId="14" fontId="213" fillId="9" borderId="164" xfId="13" applyNumberFormat="1" applyFont="1" applyFill="1" applyBorder="1" applyAlignment="1">
      <alignment horizontal="center" vertical="center" wrapText="1" shrinkToFit="1"/>
    </xf>
    <xf numFmtId="14" fontId="69" fillId="29" borderId="164" xfId="13" applyNumberFormat="1" applyFont="1" applyFill="1" applyBorder="1" applyAlignment="1">
      <alignment horizontal="center" vertical="center" shrinkToFit="1"/>
    </xf>
    <xf numFmtId="38" fontId="64" fillId="9" borderId="26" xfId="1" applyFont="1" applyFill="1" applyBorder="1" applyAlignment="1">
      <alignment horizontal="right" vertical="center" shrinkToFit="1"/>
    </xf>
    <xf numFmtId="38" fontId="64" fillId="9" borderId="0" xfId="1" applyFont="1" applyFill="1" applyBorder="1" applyAlignment="1">
      <alignment horizontal="right" vertical="center" shrinkToFit="1"/>
    </xf>
    <xf numFmtId="38" fontId="64" fillId="9" borderId="142" xfId="1" applyFont="1" applyFill="1" applyBorder="1" applyAlignment="1">
      <alignment horizontal="right" vertical="center" shrinkToFit="1"/>
    </xf>
    <xf numFmtId="14" fontId="72" fillId="0" borderId="174" xfId="0" applyNumberFormat="1" applyFont="1" applyBorder="1" applyAlignment="1">
      <alignment horizontal="center" vertical="center" shrinkToFit="1"/>
    </xf>
    <xf numFmtId="14" fontId="72" fillId="0" borderId="27" xfId="0" applyNumberFormat="1" applyFont="1" applyBorder="1" applyAlignment="1">
      <alignment horizontal="center" vertical="center" shrinkToFit="1"/>
    </xf>
    <xf numFmtId="41" fontId="72" fillId="0" borderId="117" xfId="0" applyNumberFormat="1" applyFont="1" applyBorder="1" applyAlignment="1">
      <alignment horizontal="center" vertical="center" shrinkToFit="1"/>
    </xf>
    <xf numFmtId="41" fontId="72" fillId="20" borderId="78" xfId="0" applyNumberFormat="1" applyFont="1" applyFill="1" applyBorder="1" applyAlignment="1">
      <alignment horizontal="center" vertical="center" shrinkToFit="1"/>
    </xf>
    <xf numFmtId="41" fontId="72" fillId="20" borderId="153" xfId="0" applyNumberFormat="1" applyFont="1" applyFill="1" applyBorder="1" applyAlignment="1">
      <alignment horizontal="center" vertical="center" shrinkToFit="1"/>
    </xf>
    <xf numFmtId="41" fontId="72" fillId="20" borderId="258" xfId="0" applyNumberFormat="1" applyFont="1" applyFill="1" applyBorder="1" applyAlignment="1">
      <alignment horizontal="center" vertical="center" shrinkToFit="1"/>
    </xf>
    <xf numFmtId="38" fontId="64" fillId="9" borderId="27" xfId="1" applyFont="1" applyFill="1" applyBorder="1" applyAlignment="1">
      <alignment horizontal="right" vertical="center" shrinkToFit="1"/>
    </xf>
    <xf numFmtId="38" fontId="64" fillId="9" borderId="38" xfId="1" applyFont="1" applyFill="1" applyBorder="1" applyAlignment="1">
      <alignment horizontal="right" vertical="center" shrinkToFit="1"/>
    </xf>
    <xf numFmtId="38" fontId="64" fillId="9" borderId="39" xfId="1" applyFont="1" applyFill="1" applyBorder="1" applyAlignment="1">
      <alignment horizontal="right" vertical="center" shrinkToFit="1"/>
    </xf>
    <xf numFmtId="38" fontId="64" fillId="17" borderId="167" xfId="1" applyFont="1" applyFill="1" applyBorder="1" applyAlignment="1">
      <alignment horizontal="right" vertical="center" shrinkToFit="1"/>
    </xf>
    <xf numFmtId="38" fontId="64" fillId="0" borderId="167" xfId="1" applyFont="1" applyFill="1" applyBorder="1" applyAlignment="1">
      <alignment horizontal="right" vertical="center" shrinkToFit="1"/>
    </xf>
    <xf numFmtId="38" fontId="73" fillId="17" borderId="75" xfId="1" applyFont="1" applyFill="1" applyBorder="1" applyAlignment="1">
      <alignment horizontal="right" vertical="center" shrinkToFit="1"/>
    </xf>
    <xf numFmtId="38" fontId="73" fillId="0" borderId="75" xfId="1" applyFont="1" applyFill="1" applyBorder="1" applyAlignment="1">
      <alignment horizontal="right" vertical="center" shrinkToFit="1"/>
    </xf>
    <xf numFmtId="38" fontId="64" fillId="17" borderId="75" xfId="1" applyFont="1" applyFill="1" applyBorder="1" applyAlignment="1">
      <alignment horizontal="right" vertical="center" shrinkToFit="1"/>
    </xf>
    <xf numFmtId="41" fontId="64" fillId="12" borderId="138" xfId="0" applyNumberFormat="1" applyFont="1" applyFill="1" applyBorder="1" applyAlignment="1">
      <alignment horizontal="center" vertical="center" shrinkToFit="1"/>
    </xf>
    <xf numFmtId="38" fontId="73" fillId="17" borderId="142" xfId="1" applyFont="1" applyFill="1" applyBorder="1" applyAlignment="1">
      <alignment horizontal="right" vertical="center" shrinkToFit="1"/>
    </xf>
    <xf numFmtId="38" fontId="73" fillId="0" borderId="142" xfId="1" applyFont="1" applyFill="1" applyBorder="1" applyAlignment="1">
      <alignment horizontal="right" vertical="center" shrinkToFit="1"/>
    </xf>
    <xf numFmtId="14" fontId="54" fillId="0" borderId="174" xfId="0" applyNumberFormat="1" applyFont="1" applyBorder="1" applyAlignment="1">
      <alignment horizontal="center" vertical="center" shrinkToFit="1"/>
    </xf>
    <xf numFmtId="14" fontId="54" fillId="0" borderId="27" xfId="0" applyNumberFormat="1" applyFont="1" applyBorder="1" applyAlignment="1">
      <alignment horizontal="center" vertical="center" shrinkToFit="1"/>
    </xf>
    <xf numFmtId="41" fontId="54" fillId="0" borderId="117" xfId="0" applyNumberFormat="1" applyFont="1" applyBorder="1" applyAlignment="1">
      <alignment horizontal="center" vertical="center" shrinkToFit="1"/>
    </xf>
    <xf numFmtId="41" fontId="73" fillId="20" borderId="0" xfId="0" applyNumberFormat="1" applyFont="1" applyFill="1" applyAlignment="1">
      <alignment horizontal="center" vertical="center" shrinkToFit="1"/>
    </xf>
    <xf numFmtId="41" fontId="54" fillId="20" borderId="0" xfId="0" applyNumberFormat="1" applyFont="1" applyFill="1" applyAlignment="1">
      <alignment horizontal="center" vertical="center" shrinkToFit="1"/>
    </xf>
    <xf numFmtId="41" fontId="54" fillId="20" borderId="258" xfId="0" applyNumberFormat="1" applyFont="1" applyFill="1" applyBorder="1" applyAlignment="1">
      <alignment horizontal="center" vertical="center" shrinkToFit="1"/>
    </xf>
    <xf numFmtId="38" fontId="64" fillId="17" borderId="124" xfId="1" applyFont="1" applyFill="1" applyBorder="1" applyAlignment="1">
      <alignment horizontal="right" vertical="center" shrinkToFit="1"/>
    </xf>
    <xf numFmtId="14" fontId="54" fillId="0" borderId="952" xfId="0" applyNumberFormat="1" applyFont="1" applyBorder="1" applyAlignment="1">
      <alignment horizontal="center" vertical="center" shrinkToFit="1"/>
    </xf>
    <xf numFmtId="14" fontId="54" fillId="0" borderId="167" xfId="0" applyNumberFormat="1" applyFont="1" applyBorder="1" applyAlignment="1">
      <alignment horizontal="center" vertical="center" shrinkToFit="1"/>
    </xf>
    <xf numFmtId="41" fontId="54" fillId="0" borderId="168" xfId="0" applyNumberFormat="1" applyFont="1" applyBorder="1" applyAlignment="1">
      <alignment horizontal="center" vertical="center" shrinkToFit="1"/>
    </xf>
    <xf numFmtId="191" fontId="61" fillId="50" borderId="865" xfId="0" applyNumberFormat="1" applyFont="1" applyFill="1" applyBorder="1" applyAlignment="1">
      <alignment horizontal="right" vertical="center" shrinkToFit="1"/>
    </xf>
    <xf numFmtId="192" fontId="61" fillId="50" borderId="866" xfId="0" applyNumberFormat="1" applyFont="1" applyFill="1" applyBorder="1" applyAlignment="1">
      <alignment horizontal="right" vertical="center" shrinkToFit="1"/>
    </xf>
    <xf numFmtId="0" fontId="61" fillId="25" borderId="27" xfId="0" applyFont="1" applyFill="1" applyBorder="1" applyAlignment="1">
      <alignment horizontal="center" vertical="center" shrinkToFit="1"/>
    </xf>
    <xf numFmtId="191" fontId="61" fillId="50" borderId="781" xfId="0" applyNumberFormat="1" applyFont="1" applyFill="1" applyBorder="1" applyAlignment="1">
      <alignment horizontal="right" vertical="center" shrinkToFit="1"/>
    </xf>
    <xf numFmtId="192" fontId="61" fillId="50" borderId="782" xfId="0" applyNumberFormat="1" applyFont="1" applyFill="1" applyBorder="1" applyAlignment="1">
      <alignment horizontal="right" vertical="center" shrinkToFit="1"/>
    </xf>
    <xf numFmtId="191" fontId="61" fillId="17" borderId="781" xfId="0" applyNumberFormat="1" applyFont="1" applyFill="1" applyBorder="1" applyAlignment="1">
      <alignment horizontal="right" vertical="center" shrinkToFit="1"/>
    </xf>
    <xf numFmtId="192" fontId="61" fillId="17" borderId="782" xfId="0" applyNumberFormat="1" applyFont="1" applyFill="1" applyBorder="1" applyAlignment="1">
      <alignment horizontal="right" vertical="center" shrinkToFit="1"/>
    </xf>
    <xf numFmtId="0" fontId="61" fillId="17" borderId="39" xfId="0" applyFont="1" applyFill="1" applyBorder="1" applyAlignment="1">
      <alignment horizontal="center" vertical="center" shrinkToFit="1"/>
    </xf>
    <xf numFmtId="192" fontId="61" fillId="17" borderId="953" xfId="0" applyNumberFormat="1" applyFont="1" applyFill="1" applyBorder="1" applyAlignment="1">
      <alignment horizontal="right" vertical="center" shrinkToFit="1"/>
    </xf>
    <xf numFmtId="14" fontId="54" fillId="0" borderId="154" xfId="0" applyNumberFormat="1" applyFont="1" applyBorder="1" applyAlignment="1">
      <alignment horizontal="center" vertical="center" shrinkToFit="1"/>
    </xf>
    <xf numFmtId="14" fontId="54" fillId="0" borderId="26" xfId="0" applyNumberFormat="1" applyFont="1" applyBorder="1" applyAlignment="1">
      <alignment horizontal="center" vertical="center" shrinkToFit="1"/>
    </xf>
    <xf numFmtId="41" fontId="54" fillId="0" borderId="158" xfId="0" applyNumberFormat="1" applyFont="1" applyBorder="1" applyAlignment="1">
      <alignment horizontal="center" vertical="center" shrinkToFit="1"/>
    </xf>
    <xf numFmtId="38" fontId="73" fillId="9" borderId="142" xfId="1" applyFont="1" applyFill="1" applyBorder="1" applyAlignment="1">
      <alignment horizontal="right" vertical="center" shrinkToFit="1"/>
    </xf>
    <xf numFmtId="41" fontId="64" fillId="12" borderId="122" xfId="0" applyNumberFormat="1" applyFont="1" applyFill="1" applyBorder="1" applyAlignment="1">
      <alignment horizontal="center" vertical="center" shrinkToFit="1"/>
    </xf>
    <xf numFmtId="38" fontId="73" fillId="17" borderId="48" xfId="1" applyFont="1" applyFill="1" applyBorder="1" applyAlignment="1">
      <alignment horizontal="right" vertical="center" shrinkToFit="1"/>
    </xf>
    <xf numFmtId="14" fontId="54" fillId="0" borderId="115" xfId="0" applyNumberFormat="1" applyFont="1" applyBorder="1" applyAlignment="1">
      <alignment horizontal="center" vertical="center" shrinkToFit="1"/>
    </xf>
    <xf numFmtId="14" fontId="54" fillId="0" borderId="50" xfId="0" applyNumberFormat="1" applyFont="1" applyBorder="1" applyAlignment="1">
      <alignment horizontal="center" vertical="center" shrinkToFit="1"/>
    </xf>
    <xf numFmtId="41" fontId="54" fillId="0" borderId="215" xfId="0" applyNumberFormat="1" applyFont="1" applyBorder="1" applyAlignment="1">
      <alignment horizontal="center" vertical="center" shrinkToFit="1"/>
    </xf>
    <xf numFmtId="38" fontId="73" fillId="0" borderId="48" xfId="1" applyFont="1" applyFill="1" applyBorder="1" applyAlignment="1">
      <alignment horizontal="right" vertical="center" shrinkToFit="1"/>
    </xf>
    <xf numFmtId="41" fontId="24" fillId="0" borderId="27" xfId="0" applyNumberFormat="1" applyFont="1" applyBorder="1" applyAlignment="1">
      <alignment vertical="center" shrinkToFit="1"/>
    </xf>
    <xf numFmtId="0" fontId="62" fillId="20" borderId="0" xfId="0" applyFont="1" applyFill="1" applyAlignment="1">
      <alignment horizontal="center" vertical="center" shrinkToFit="1"/>
    </xf>
    <xf numFmtId="14" fontId="69" fillId="18" borderId="50" xfId="13" applyNumberFormat="1" applyFont="1" applyFill="1" applyBorder="1" applyAlignment="1">
      <alignment horizontal="center" vertical="center" wrapText="1" shrinkToFit="1"/>
    </xf>
    <xf numFmtId="0" fontId="62" fillId="31" borderId="363" xfId="11" applyFont="1" applyFill="1" applyBorder="1" applyAlignment="1">
      <alignment horizontal="center" vertical="center" wrapText="1"/>
    </xf>
    <xf numFmtId="0" fontId="62" fillId="18" borderId="363" xfId="11" applyFont="1" applyFill="1" applyBorder="1" applyAlignment="1">
      <alignment horizontal="center" vertical="center"/>
    </xf>
    <xf numFmtId="0" fontId="50" fillId="18" borderId="266" xfId="11" applyFont="1" applyFill="1" applyBorder="1" applyAlignment="1">
      <alignment horizontal="center" vertical="center" wrapText="1"/>
    </xf>
    <xf numFmtId="206" fontId="62" fillId="31" borderId="363" xfId="11" applyNumberFormat="1" applyFont="1" applyFill="1" applyBorder="1" applyAlignment="1">
      <alignment horizontal="center" vertical="center" wrapText="1"/>
    </xf>
    <xf numFmtId="206" fontId="50" fillId="18" borderId="363" xfId="11" applyNumberFormat="1" applyFont="1" applyFill="1" applyBorder="1" applyAlignment="1">
      <alignment horizontal="center" vertical="center" wrapText="1"/>
    </xf>
    <xf numFmtId="14" fontId="12" fillId="18" borderId="881" xfId="13" applyNumberFormat="1" applyFont="1" applyFill="1" applyBorder="1" applyAlignment="1">
      <alignment horizontal="center" vertical="center" shrinkToFit="1"/>
    </xf>
    <xf numFmtId="206" fontId="62" fillId="29" borderId="363" xfId="11" applyNumberFormat="1" applyFont="1" applyFill="1" applyBorder="1" applyAlignment="1">
      <alignment horizontal="center" vertical="center" wrapText="1"/>
    </xf>
    <xf numFmtId="0" fontId="62" fillId="18" borderId="963" xfId="11" applyFont="1" applyFill="1" applyBorder="1" applyAlignment="1">
      <alignment horizontal="center" vertical="center" wrapText="1"/>
    </xf>
    <xf numFmtId="0" fontId="62" fillId="18" borderId="11" xfId="11" applyFont="1" applyFill="1" applyBorder="1" applyAlignment="1">
      <alignment vertical="center"/>
    </xf>
    <xf numFmtId="201" fontId="49" fillId="0" borderId="8" xfId="11" applyNumberFormat="1" applyFont="1" applyBorder="1" applyAlignment="1">
      <alignment horizontal="center" vertical="center" wrapText="1"/>
    </xf>
    <xf numFmtId="206" fontId="49" fillId="0" borderId="71" xfId="11" applyNumberFormat="1" applyFont="1" applyBorder="1" applyAlignment="1">
      <alignment horizontal="center" vertical="center"/>
    </xf>
    <xf numFmtId="206" fontId="49" fillId="0" borderId="964" xfId="11" applyNumberFormat="1" applyFont="1" applyBorder="1" applyAlignment="1">
      <alignment horizontal="center" vertical="center"/>
    </xf>
    <xf numFmtId="201" fontId="49" fillId="0" borderId="72" xfId="11" applyNumberFormat="1" applyFont="1" applyBorder="1" applyAlignment="1">
      <alignment horizontal="center" vertical="center"/>
    </xf>
    <xf numFmtId="0" fontId="85" fillId="0" borderId="142" xfId="11" applyFont="1" applyBorder="1" applyAlignment="1">
      <alignment horizontal="left" vertical="center" wrapText="1" shrinkToFit="1"/>
    </xf>
    <xf numFmtId="206" fontId="49" fillId="0" borderId="28" xfId="11" applyNumberFormat="1" applyFont="1" applyBorder="1" applyAlignment="1">
      <alignment horizontal="center" vertical="center"/>
    </xf>
    <xf numFmtId="206" fontId="49" fillId="0" borderId="40" xfId="11" applyNumberFormat="1" applyFont="1" applyBorder="1" applyAlignment="1">
      <alignment horizontal="center" vertical="center"/>
    </xf>
    <xf numFmtId="201" fontId="49" fillId="0" borderId="53" xfId="11" applyNumberFormat="1" applyFont="1" applyBorder="1" applyAlignment="1">
      <alignment horizontal="center" vertical="center"/>
    </xf>
    <xf numFmtId="201" fontId="49" fillId="0" borderId="41" xfId="11" applyNumberFormat="1" applyFont="1" applyBorder="1" applyAlignment="1">
      <alignment horizontal="center" vertical="center" wrapText="1"/>
    </xf>
    <xf numFmtId="201" fontId="49" fillId="0" borderId="0" xfId="11" applyNumberFormat="1" applyFont="1" applyAlignment="1">
      <alignment horizontal="center" vertical="center" wrapText="1"/>
    </xf>
    <xf numFmtId="206" fontId="49" fillId="0" borderId="0" xfId="11" applyNumberFormat="1" applyFont="1" applyAlignment="1">
      <alignment horizontal="center" vertical="center"/>
    </xf>
    <xf numFmtId="206" fontId="49" fillId="0" borderId="26" xfId="11" applyNumberFormat="1" applyFont="1" applyBorder="1" applyAlignment="1">
      <alignment horizontal="center" vertical="center"/>
    </xf>
    <xf numFmtId="206" fontId="49" fillId="0" borderId="6" xfId="11" applyNumberFormat="1" applyFont="1" applyBorder="1" applyAlignment="1">
      <alignment horizontal="center" vertical="center"/>
    </xf>
    <xf numFmtId="201" fontId="49" fillId="0" borderId="155" xfId="11" applyNumberFormat="1" applyFont="1" applyBorder="1" applyAlignment="1">
      <alignment horizontal="center" vertical="center"/>
    </xf>
    <xf numFmtId="206" fontId="85" fillId="9" borderId="71" xfId="11" applyNumberFormat="1" applyFont="1" applyFill="1" applyBorder="1" applyAlignment="1">
      <alignment horizontal="right" vertical="center"/>
    </xf>
    <xf numFmtId="201" fontId="85" fillId="9" borderId="71" xfId="11" applyNumberFormat="1" applyFont="1" applyFill="1" applyBorder="1" applyAlignment="1">
      <alignment horizontal="right" vertical="center"/>
    </xf>
    <xf numFmtId="206" fontId="85" fillId="9" borderId="964" xfId="11" applyNumberFormat="1" applyFont="1" applyFill="1" applyBorder="1" applyAlignment="1">
      <alignment horizontal="right" vertical="center"/>
    </xf>
    <xf numFmtId="206" fontId="85" fillId="0" borderId="964" xfId="11" applyNumberFormat="1" applyFont="1" applyBorder="1" applyAlignment="1">
      <alignment horizontal="right" vertical="center"/>
    </xf>
    <xf numFmtId="201" fontId="49" fillId="0" borderId="72" xfId="11" applyNumberFormat="1" applyFont="1" applyBorder="1" applyAlignment="1">
      <alignment horizontal="right" vertical="center"/>
    </xf>
    <xf numFmtId="206" fontId="25" fillId="0" borderId="0" xfId="11" applyNumberFormat="1" applyFont="1" applyAlignment="1">
      <alignment vertical="center"/>
    </xf>
    <xf numFmtId="206" fontId="85" fillId="9" borderId="5" xfId="11" applyNumberFormat="1" applyFont="1" applyFill="1" applyBorder="1" applyAlignment="1">
      <alignment horizontal="right" vertical="center"/>
    </xf>
    <xf numFmtId="201" fontId="49" fillId="0" borderId="89" xfId="11" applyNumberFormat="1" applyFont="1" applyBorder="1" applyAlignment="1">
      <alignment horizontal="right" vertical="center"/>
    </xf>
    <xf numFmtId="0" fontId="85" fillId="16" borderId="7" xfId="11" applyFont="1" applyFill="1" applyBorder="1" applyAlignment="1">
      <alignment horizontal="left" vertical="center" wrapText="1" shrinkToFit="1"/>
    </xf>
    <xf numFmtId="201" fontId="49" fillId="0" borderId="0" xfId="11" applyNumberFormat="1" applyFont="1" applyAlignment="1">
      <alignment horizontal="center" vertical="center"/>
    </xf>
    <xf numFmtId="0" fontId="85" fillId="0" borderId="0" xfId="11" applyFont="1" applyAlignment="1">
      <alignment horizontal="left" vertical="center" wrapText="1" shrinkToFit="1"/>
    </xf>
    <xf numFmtId="201" fontId="85" fillId="9" borderId="5" xfId="11" applyNumberFormat="1" applyFont="1" applyFill="1" applyBorder="1" applyAlignment="1">
      <alignment horizontal="right" vertical="center"/>
    </xf>
    <xf numFmtId="206" fontId="85" fillId="9" borderId="7" xfId="11" applyNumberFormat="1" applyFont="1" applyFill="1" applyBorder="1" applyAlignment="1">
      <alignment horizontal="right" vertical="center"/>
    </xf>
    <xf numFmtId="206" fontId="85" fillId="0" borderId="7" xfId="11" applyNumberFormat="1" applyFont="1" applyBorder="1" applyAlignment="1">
      <alignment horizontal="right" vertical="center"/>
    </xf>
    <xf numFmtId="201" fontId="49" fillId="0" borderId="101" xfId="11" applyNumberFormat="1" applyFont="1" applyBorder="1" applyAlignment="1">
      <alignment horizontal="center" vertical="center"/>
    </xf>
    <xf numFmtId="0" fontId="85" fillId="0" borderId="851" xfId="11" applyFont="1" applyBorder="1" applyAlignment="1">
      <alignment horizontal="left" vertical="center" wrapText="1" shrinkToFit="1"/>
    </xf>
    <xf numFmtId="206" fontId="49" fillId="0" borderId="849" xfId="11" applyNumberFormat="1" applyFont="1" applyBorder="1" applyAlignment="1">
      <alignment horizontal="center" vertical="center"/>
    </xf>
    <xf numFmtId="201" fontId="49" fillId="0" borderId="943" xfId="11" applyNumberFormat="1" applyFont="1" applyBorder="1" applyAlignment="1">
      <alignment horizontal="right" vertical="center"/>
    </xf>
    <xf numFmtId="0" fontId="85" fillId="0" borderId="954" xfId="11" applyFont="1" applyBorder="1" applyAlignment="1">
      <alignment horizontal="left" vertical="center" wrapText="1" shrinkToFit="1"/>
    </xf>
    <xf numFmtId="206" fontId="49" fillId="0" borderId="955" xfId="11" applyNumberFormat="1" applyFont="1" applyBorder="1" applyAlignment="1">
      <alignment horizontal="center" vertical="center"/>
    </xf>
    <xf numFmtId="0" fontId="104" fillId="0" borderId="0" xfId="13" applyFont="1" applyAlignment="1">
      <alignment horizontal="left" vertical="center" wrapText="1"/>
    </xf>
    <xf numFmtId="38" fontId="45" fillId="9" borderId="972" xfId="1" applyFont="1" applyFill="1" applyBorder="1" applyAlignment="1">
      <alignment horizontal="center" vertical="center" shrinkToFit="1"/>
    </xf>
    <xf numFmtId="38" fontId="45" fillId="9" borderId="973" xfId="1" applyFont="1" applyFill="1" applyBorder="1" applyAlignment="1">
      <alignment horizontal="center" vertical="center" shrinkToFit="1"/>
    </xf>
    <xf numFmtId="38" fontId="45" fillId="9" borderId="974" xfId="1" applyFont="1" applyFill="1" applyBorder="1" applyAlignment="1">
      <alignment horizontal="center" vertical="center" shrinkToFit="1"/>
    </xf>
    <xf numFmtId="0" fontId="45" fillId="9" borderId="975" xfId="0" applyFont="1" applyFill="1" applyBorder="1" applyAlignment="1">
      <alignment horizontal="center" vertical="center" shrinkToFit="1"/>
    </xf>
    <xf numFmtId="14" fontId="53" fillId="9" borderId="104" xfId="13" applyNumberFormat="1" applyFont="1" applyFill="1" applyBorder="1" applyAlignment="1">
      <alignment horizontal="center" vertical="center" wrapText="1" shrinkToFit="1"/>
    </xf>
    <xf numFmtId="14" fontId="53" fillId="17" borderId="104" xfId="13" applyNumberFormat="1" applyFont="1" applyFill="1" applyBorder="1" applyAlignment="1">
      <alignment horizontal="center" vertical="center" wrapText="1" shrinkToFit="1"/>
    </xf>
    <xf numFmtId="14" fontId="53" fillId="53" borderId="104" xfId="13" applyNumberFormat="1" applyFont="1" applyFill="1" applyBorder="1" applyAlignment="1">
      <alignment horizontal="center" vertical="center" wrapText="1" shrinkToFit="1"/>
    </xf>
    <xf numFmtId="0" fontId="45" fillId="9" borderId="14" xfId="0" applyFont="1" applyFill="1" applyBorder="1" applyAlignment="1">
      <alignment horizontal="center" vertical="center" shrinkToFit="1"/>
    </xf>
    <xf numFmtId="0" fontId="45" fillId="9" borderId="14" xfId="1" applyNumberFormat="1" applyFont="1" applyFill="1" applyBorder="1" applyAlignment="1">
      <alignment horizontal="center" vertical="center" shrinkToFit="1"/>
    </xf>
    <xf numFmtId="38" fontId="45" fillId="9" borderId="14" xfId="1" applyFont="1" applyFill="1" applyBorder="1" applyAlignment="1">
      <alignment horizontal="center" vertical="center" wrapText="1" shrinkToFit="1"/>
    </xf>
    <xf numFmtId="14" fontId="53" fillId="9" borderId="26" xfId="13" applyNumberFormat="1" applyFont="1" applyFill="1" applyBorder="1" applyAlignment="1">
      <alignment horizontal="center" vertical="center" shrinkToFit="1"/>
    </xf>
    <xf numFmtId="14" fontId="53" fillId="17" borderId="26" xfId="13" applyNumberFormat="1" applyFont="1" applyFill="1" applyBorder="1" applyAlignment="1">
      <alignment horizontal="center" vertical="center" shrinkToFit="1"/>
    </xf>
    <xf numFmtId="14" fontId="53" fillId="53" borderId="26" xfId="13" applyNumberFormat="1" applyFont="1" applyFill="1" applyBorder="1" applyAlignment="1">
      <alignment horizontal="center" vertical="center" shrinkToFit="1"/>
    </xf>
    <xf numFmtId="0" fontId="216" fillId="0" borderId="979" xfId="13" applyFont="1" applyBorder="1" applyAlignment="1">
      <alignment vertical="center" shrinkToFit="1"/>
    </xf>
    <xf numFmtId="0" fontId="45" fillId="0" borderId="980" xfId="13" applyFont="1" applyBorder="1" applyAlignment="1">
      <alignment vertical="center" shrinkToFit="1"/>
    </xf>
    <xf numFmtId="0" fontId="45" fillId="0" borderId="981" xfId="13" applyFont="1" applyBorder="1" applyAlignment="1">
      <alignment vertical="center" textRotation="255" wrapText="1" shrinkToFit="1"/>
    </xf>
    <xf numFmtId="0" fontId="45" fillId="0" borderId="980" xfId="13" applyFont="1" applyBorder="1" applyAlignment="1">
      <alignment horizontal="center" vertical="center" shrinkToFit="1"/>
    </xf>
    <xf numFmtId="0" fontId="89" fillId="0" borderId="980" xfId="1" applyNumberFormat="1" applyFont="1" applyFill="1" applyBorder="1" applyAlignment="1">
      <alignment horizontal="center" vertical="center" shrinkToFit="1"/>
    </xf>
    <xf numFmtId="0" fontId="89" fillId="0" borderId="982" xfId="1" applyNumberFormat="1" applyFont="1" applyFill="1" applyBorder="1" applyAlignment="1">
      <alignment horizontal="center" vertical="center" shrinkToFit="1"/>
    </xf>
    <xf numFmtId="0" fontId="45" fillId="0" borderId="983" xfId="0" applyFont="1" applyBorder="1" applyAlignment="1">
      <alignment horizontal="center" vertical="center" shrinkToFit="1"/>
    </xf>
    <xf numFmtId="0" fontId="45" fillId="0" borderId="984" xfId="1" applyNumberFormat="1" applyFont="1" applyFill="1" applyBorder="1" applyAlignment="1">
      <alignment horizontal="center" vertical="center" shrinkToFit="1"/>
    </xf>
    <xf numFmtId="0" fontId="87" fillId="0" borderId="985" xfId="1" applyNumberFormat="1" applyFont="1" applyFill="1" applyBorder="1" applyAlignment="1">
      <alignment horizontal="center" vertical="center" shrinkToFit="1"/>
    </xf>
    <xf numFmtId="38" fontId="45" fillId="0" borderId="986" xfId="1" applyFont="1" applyFill="1" applyBorder="1" applyAlignment="1">
      <alignment horizontal="center" vertical="center" shrinkToFit="1"/>
    </xf>
    <xf numFmtId="38" fontId="96" fillId="0" borderId="980" xfId="1" applyFont="1" applyFill="1" applyBorder="1" applyAlignment="1">
      <alignment horizontal="center" vertical="center" wrapText="1" shrinkToFit="1"/>
    </xf>
    <xf numFmtId="38" fontId="96" fillId="19" borderId="980" xfId="1" applyFont="1" applyFill="1" applyBorder="1" applyAlignment="1">
      <alignment horizontal="center" vertical="center" wrapText="1" shrinkToFit="1"/>
    </xf>
    <xf numFmtId="38" fontId="45" fillId="9" borderId="980" xfId="1" applyFont="1" applyFill="1" applyBorder="1" applyAlignment="1">
      <alignment horizontal="center" vertical="center" shrinkToFit="1"/>
    </xf>
    <xf numFmtId="38" fontId="45" fillId="0" borderId="980" xfId="1" applyFont="1" applyFill="1" applyBorder="1" applyAlignment="1">
      <alignment horizontal="center" vertical="center" shrinkToFit="1"/>
    </xf>
    <xf numFmtId="38" fontId="96" fillId="0" borderId="984" xfId="1" applyFont="1" applyFill="1" applyBorder="1" applyAlignment="1">
      <alignment horizontal="center" vertical="center" wrapText="1" shrinkToFit="1"/>
    </xf>
    <xf numFmtId="38" fontId="88" fillId="9" borderId="987" xfId="1" applyFont="1" applyFill="1" applyBorder="1" applyAlignment="1">
      <alignment horizontal="center" vertical="center" shrinkToFit="1"/>
    </xf>
    <xf numFmtId="9" fontId="45" fillId="0" borderId="980" xfId="10" applyFont="1" applyFill="1" applyBorder="1" applyAlignment="1">
      <alignment horizontal="center" vertical="center" shrinkToFit="1"/>
    </xf>
    <xf numFmtId="38" fontId="45" fillId="0" borderId="984" xfId="1" applyFont="1" applyFill="1" applyBorder="1" applyAlignment="1">
      <alignment horizontal="center" vertical="center" shrinkToFit="1"/>
    </xf>
    <xf numFmtId="41" fontId="64" fillId="17" borderId="988" xfId="0" applyNumberFormat="1" applyFont="1" applyFill="1" applyBorder="1" applyAlignment="1">
      <alignment horizontal="center" vertical="center" shrinkToFit="1"/>
    </xf>
    <xf numFmtId="38" fontId="45" fillId="0" borderId="989" xfId="1" applyFont="1" applyFill="1" applyBorder="1" applyAlignment="1">
      <alignment horizontal="left" vertical="center" shrinkToFit="1"/>
    </xf>
    <xf numFmtId="0" fontId="216" fillId="42" borderId="990" xfId="13" applyFont="1" applyFill="1" applyBorder="1" applyAlignment="1">
      <alignment vertical="center" shrinkToFit="1"/>
    </xf>
    <xf numFmtId="0" fontId="45" fillId="42" borderId="991" xfId="13" applyFont="1" applyFill="1" applyBorder="1" applyAlignment="1">
      <alignment vertical="center" shrinkToFit="1"/>
    </xf>
    <xf numFmtId="0" fontId="45" fillId="42" borderId="991" xfId="13" applyFont="1" applyFill="1" applyBorder="1" applyAlignment="1">
      <alignment vertical="center" textRotation="255" wrapText="1" shrinkToFit="1"/>
    </xf>
    <xf numFmtId="0" fontId="88" fillId="42" borderId="991" xfId="13" applyFont="1" applyFill="1" applyBorder="1" applyAlignment="1">
      <alignment vertical="center" shrinkToFit="1"/>
    </xf>
    <xf numFmtId="0" fontId="45" fillId="42" borderId="991" xfId="13" applyFont="1" applyFill="1" applyBorder="1" applyAlignment="1">
      <alignment horizontal="center" vertical="center" shrinkToFit="1"/>
    </xf>
    <xf numFmtId="0" fontId="89" fillId="42" borderId="991" xfId="1" applyNumberFormat="1" applyFont="1" applyFill="1" applyBorder="1" applyAlignment="1">
      <alignment horizontal="center" vertical="center" shrinkToFit="1"/>
    </xf>
    <xf numFmtId="0" fontId="89" fillId="42" borderId="992" xfId="1" applyNumberFormat="1" applyFont="1" applyFill="1" applyBorder="1" applyAlignment="1">
      <alignment horizontal="center" vertical="center" shrinkToFit="1"/>
    </xf>
    <xf numFmtId="0" fontId="88" fillId="42" borderId="993" xfId="0" applyFont="1" applyFill="1" applyBorder="1" applyAlignment="1">
      <alignment horizontal="center" vertical="center" shrinkToFit="1"/>
    </xf>
    <xf numFmtId="0" fontId="88" fillId="20" borderId="992" xfId="1" applyNumberFormat="1" applyFont="1" applyFill="1" applyBorder="1" applyAlignment="1">
      <alignment horizontal="center" vertical="center" shrinkToFit="1"/>
    </xf>
    <xf numFmtId="0" fontId="89" fillId="20" borderId="163" xfId="1" applyNumberFormat="1" applyFont="1" applyFill="1" applyBorder="1" applyAlignment="1">
      <alignment horizontal="center" vertical="center" shrinkToFit="1"/>
    </xf>
    <xf numFmtId="38" fontId="45" fillId="20" borderId="994" xfId="1" applyFont="1" applyFill="1" applyBorder="1" applyAlignment="1">
      <alignment horizontal="center" vertical="center" shrinkToFit="1"/>
    </xf>
    <xf numFmtId="38" fontId="96" fillId="20" borderId="991" xfId="1" applyFont="1" applyFill="1" applyBorder="1" applyAlignment="1">
      <alignment horizontal="center" vertical="center" wrapText="1" shrinkToFit="1"/>
    </xf>
    <xf numFmtId="38" fontId="45" fillId="20" borderId="991" xfId="1" applyFont="1" applyFill="1" applyBorder="1" applyAlignment="1">
      <alignment horizontal="center" vertical="center" shrinkToFit="1"/>
    </xf>
    <xf numFmtId="38" fontId="96" fillId="20" borderId="992" xfId="1" applyFont="1" applyFill="1" applyBorder="1" applyAlignment="1">
      <alignment horizontal="center" vertical="center" wrapText="1" shrinkToFit="1"/>
    </xf>
    <xf numFmtId="38" fontId="88" fillId="20" borderId="995" xfId="1" applyFont="1" applyFill="1" applyBorder="1" applyAlignment="1">
      <alignment horizontal="center" vertical="center" shrinkToFit="1"/>
    </xf>
    <xf numFmtId="9" fontId="45" fillId="20" borderId="991" xfId="10" applyFont="1" applyFill="1" applyBorder="1" applyAlignment="1">
      <alignment horizontal="center" vertical="center" shrinkToFit="1"/>
    </xf>
    <xf numFmtId="38" fontId="45" fillId="20" borderId="992" xfId="1" applyFont="1" applyFill="1" applyBorder="1" applyAlignment="1">
      <alignment horizontal="center" vertical="center" shrinkToFit="1"/>
    </xf>
    <xf numFmtId="38" fontId="45" fillId="20" borderId="996" xfId="1" applyFont="1" applyFill="1" applyBorder="1" applyAlignment="1">
      <alignment horizontal="center" vertical="center" shrinkToFit="1"/>
    </xf>
    <xf numFmtId="38" fontId="88" fillId="0" borderId="997" xfId="1" applyFont="1" applyFill="1" applyBorder="1" applyAlignment="1">
      <alignment horizontal="left" vertical="center" shrinkToFit="1"/>
    </xf>
    <xf numFmtId="0" fontId="216" fillId="0" borderId="998" xfId="13" applyFont="1" applyBorder="1" applyAlignment="1">
      <alignment vertical="center" shrinkToFit="1"/>
    </xf>
    <xf numFmtId="0" fontId="45" fillId="0" borderId="832" xfId="13" applyFont="1" applyBorder="1" applyAlignment="1">
      <alignment vertical="center" shrinkToFit="1"/>
    </xf>
    <xf numFmtId="0" fontId="45" fillId="0" borderId="999" xfId="13" applyFont="1" applyBorder="1" applyAlignment="1">
      <alignment vertical="center" textRotation="255" wrapText="1" shrinkToFit="1"/>
    </xf>
    <xf numFmtId="0" fontId="45" fillId="0" borderId="832" xfId="13" applyFont="1" applyBorder="1" applyAlignment="1">
      <alignment horizontal="center" vertical="center" shrinkToFit="1"/>
    </xf>
    <xf numFmtId="0" fontId="89" fillId="0" borderId="832" xfId="1" applyNumberFormat="1" applyFont="1" applyFill="1" applyBorder="1" applyAlignment="1">
      <alignment horizontal="center" vertical="center" shrinkToFit="1"/>
    </xf>
    <xf numFmtId="0" fontId="89" fillId="0" borderId="1000" xfId="1" applyNumberFormat="1" applyFont="1" applyFill="1" applyBorder="1" applyAlignment="1">
      <alignment horizontal="center" vertical="center" shrinkToFit="1"/>
    </xf>
    <xf numFmtId="0" fontId="45" fillId="0" borderId="1001" xfId="0" applyFont="1" applyBorder="1" applyAlignment="1">
      <alignment horizontal="center" vertical="center" shrinkToFit="1"/>
    </xf>
    <xf numFmtId="0" fontId="45" fillId="0" borderId="1002" xfId="1" applyNumberFormat="1" applyFont="1" applyFill="1" applyBorder="1" applyAlignment="1">
      <alignment horizontal="center" vertical="center" shrinkToFit="1"/>
    </xf>
    <xf numFmtId="0" fontId="87" fillId="0" borderId="1003" xfId="1" applyNumberFormat="1" applyFont="1" applyFill="1" applyBorder="1" applyAlignment="1">
      <alignment horizontal="center" vertical="center" shrinkToFit="1"/>
    </xf>
    <xf numFmtId="38" fontId="45" fillId="0" borderId="1004" xfId="1" applyFont="1" applyFill="1" applyBorder="1" applyAlignment="1">
      <alignment horizontal="center" vertical="center" shrinkToFit="1"/>
    </xf>
    <xf numFmtId="38" fontId="45" fillId="0" borderId="832" xfId="1" applyFont="1" applyFill="1" applyBorder="1" applyAlignment="1">
      <alignment horizontal="center" vertical="center" shrinkToFit="1"/>
    </xf>
    <xf numFmtId="38" fontId="87" fillId="0" borderId="832" xfId="1" applyFont="1" applyFill="1" applyBorder="1" applyAlignment="1">
      <alignment horizontal="center" vertical="center" shrinkToFit="1"/>
    </xf>
    <xf numFmtId="9" fontId="45" fillId="0" borderId="832" xfId="10" applyFont="1" applyFill="1" applyBorder="1" applyAlignment="1">
      <alignment horizontal="center" vertical="center" shrinkToFit="1"/>
    </xf>
    <xf numFmtId="38" fontId="96" fillId="0" borderId="832" xfId="1" applyFont="1" applyFill="1" applyBorder="1" applyAlignment="1">
      <alignment horizontal="center" vertical="center" wrapText="1" shrinkToFit="1"/>
    </xf>
    <xf numFmtId="38" fontId="96" fillId="19" borderId="832" xfId="1" applyFont="1" applyFill="1" applyBorder="1" applyAlignment="1">
      <alignment horizontal="center" vertical="center" wrapText="1" shrinkToFit="1"/>
    </xf>
    <xf numFmtId="38" fontId="45" fillId="9" borderId="832" xfId="1" applyFont="1" applyFill="1" applyBorder="1" applyAlignment="1">
      <alignment horizontal="center" vertical="center" shrinkToFit="1"/>
    </xf>
    <xf numFmtId="38" fontId="96" fillId="0" borderId="1002" xfId="1" applyFont="1" applyFill="1" applyBorder="1" applyAlignment="1">
      <alignment horizontal="center" vertical="center" wrapText="1" shrinkToFit="1"/>
    </xf>
    <xf numFmtId="38" fontId="88" fillId="9" borderId="627" xfId="1" applyFont="1" applyFill="1" applyBorder="1" applyAlignment="1">
      <alignment horizontal="center" vertical="center" shrinkToFit="1"/>
    </xf>
    <xf numFmtId="38" fontId="45" fillId="0" borderId="1002" xfId="1" applyFont="1" applyFill="1" applyBorder="1" applyAlignment="1">
      <alignment horizontal="center" vertical="center" shrinkToFit="1"/>
    </xf>
    <xf numFmtId="41" fontId="64" fillId="17" borderId="1005" xfId="0" applyNumberFormat="1" applyFont="1" applyFill="1" applyBorder="1" applyAlignment="1">
      <alignment horizontal="center" vertical="center" shrinkToFit="1"/>
    </xf>
    <xf numFmtId="38" fontId="45" fillId="0" borderId="1006" xfId="1" applyFont="1" applyFill="1" applyBorder="1" applyAlignment="1">
      <alignment horizontal="left" vertical="center" shrinkToFit="1"/>
    </xf>
    <xf numFmtId="0" fontId="216" fillId="42" borderId="1007" xfId="13" applyFont="1" applyFill="1" applyBorder="1" applyAlignment="1">
      <alignment vertical="center" shrinkToFit="1"/>
    </xf>
    <xf numFmtId="0" fontId="45" fillId="42" borderId="1008" xfId="13" applyFont="1" applyFill="1" applyBorder="1" applyAlignment="1">
      <alignment vertical="center" shrinkToFit="1"/>
    </xf>
    <xf numFmtId="0" fontId="45" fillId="42" borderId="999" xfId="13" applyFont="1" applyFill="1" applyBorder="1" applyAlignment="1">
      <alignment vertical="center" textRotation="255" wrapText="1" shrinkToFit="1"/>
    </xf>
    <xf numFmtId="0" fontId="88" fillId="42" borderId="999" xfId="13" applyFont="1" applyFill="1" applyBorder="1" applyAlignment="1">
      <alignment vertical="center" shrinkToFit="1"/>
    </xf>
    <xf numFmtId="0" fontId="45" fillId="42" borderId="1008" xfId="13" applyFont="1" applyFill="1" applyBorder="1" applyAlignment="1">
      <alignment horizontal="center" vertical="center" shrinkToFit="1"/>
    </xf>
    <xf numFmtId="0" fontId="89" fillId="42" borderId="1008" xfId="1" applyNumberFormat="1" applyFont="1" applyFill="1" applyBorder="1" applyAlignment="1">
      <alignment horizontal="center" vertical="center" shrinkToFit="1"/>
    </xf>
    <xf numFmtId="0" fontId="89" fillId="42" borderId="1000" xfId="1" applyNumberFormat="1" applyFont="1" applyFill="1" applyBorder="1" applyAlignment="1">
      <alignment horizontal="center" vertical="center" shrinkToFit="1"/>
    </xf>
    <xf numFmtId="0" fontId="88" fillId="42" borderId="1009" xfId="0" applyFont="1" applyFill="1" applyBorder="1" applyAlignment="1">
      <alignment horizontal="center" vertical="center" shrinkToFit="1"/>
    </xf>
    <xf numFmtId="0" fontId="88" fillId="20" borderId="826" xfId="1" applyNumberFormat="1" applyFont="1" applyFill="1" applyBorder="1" applyAlignment="1">
      <alignment horizontal="center" vertical="center" shrinkToFit="1"/>
    </xf>
    <xf numFmtId="0" fontId="89" fillId="20" borderId="142" xfId="1" applyNumberFormat="1" applyFont="1" applyFill="1" applyBorder="1" applyAlignment="1">
      <alignment horizontal="center" vertical="center" shrinkToFit="1"/>
    </xf>
    <xf numFmtId="38" fontId="45" fillId="20" borderId="817" xfId="1" applyFont="1" applyFill="1" applyBorder="1" applyAlignment="1">
      <alignment horizontal="center" vertical="center" shrinkToFit="1"/>
    </xf>
    <xf numFmtId="38" fontId="45" fillId="20" borderId="1008" xfId="1" applyFont="1" applyFill="1" applyBorder="1" applyAlignment="1">
      <alignment horizontal="center" vertical="center" shrinkToFit="1"/>
    </xf>
    <xf numFmtId="38" fontId="87" fillId="20" borderId="1008" xfId="1" applyFont="1" applyFill="1" applyBorder="1" applyAlignment="1">
      <alignment horizontal="center" vertical="center" shrinkToFit="1"/>
    </xf>
    <xf numFmtId="9" fontId="45" fillId="20" borderId="1008" xfId="10" applyFont="1" applyFill="1" applyBorder="1" applyAlignment="1">
      <alignment horizontal="center" vertical="center" shrinkToFit="1"/>
    </xf>
    <xf numFmtId="38" fontId="96" fillId="20" borderId="1008" xfId="1" applyFont="1" applyFill="1" applyBorder="1" applyAlignment="1">
      <alignment horizontal="center" vertical="center" wrapText="1" shrinkToFit="1"/>
    </xf>
    <xf numFmtId="38" fontId="96" fillId="20" borderId="826" xfId="1" applyFont="1" applyFill="1" applyBorder="1" applyAlignment="1">
      <alignment horizontal="center" vertical="center" wrapText="1" shrinkToFit="1"/>
    </xf>
    <xf numFmtId="38" fontId="45" fillId="20" borderId="633" xfId="1" applyFont="1" applyFill="1" applyBorder="1" applyAlignment="1">
      <alignment horizontal="center" vertical="center" shrinkToFit="1"/>
    </xf>
    <xf numFmtId="38" fontId="45" fillId="20" borderId="826" xfId="1" applyFont="1" applyFill="1" applyBorder="1" applyAlignment="1">
      <alignment horizontal="center" vertical="center" shrinkToFit="1"/>
    </xf>
    <xf numFmtId="38" fontId="45" fillId="20" borderId="1010" xfId="1" applyFont="1" applyFill="1" applyBorder="1" applyAlignment="1">
      <alignment horizontal="center" vertical="center" shrinkToFit="1"/>
    </xf>
    <xf numFmtId="38" fontId="45" fillId="20" borderId="999" xfId="1" applyFont="1" applyFill="1" applyBorder="1" applyAlignment="1">
      <alignment horizontal="center" vertical="center" shrinkToFit="1"/>
    </xf>
    <xf numFmtId="38" fontId="45" fillId="20" borderId="1000" xfId="1" applyFont="1" applyFill="1" applyBorder="1" applyAlignment="1">
      <alignment horizontal="center" vertical="center" shrinkToFit="1"/>
    </xf>
    <xf numFmtId="38" fontId="88" fillId="0" borderId="977" xfId="1" applyFont="1" applyFill="1" applyBorder="1" applyAlignment="1">
      <alignment horizontal="left" vertical="center" shrinkToFit="1"/>
    </xf>
    <xf numFmtId="38" fontId="87" fillId="0" borderId="980" xfId="1" applyFont="1" applyFill="1" applyBorder="1" applyAlignment="1">
      <alignment horizontal="center" vertical="center" shrinkToFit="1"/>
    </xf>
    <xf numFmtId="38" fontId="88" fillId="0" borderId="989" xfId="1" applyFont="1" applyFill="1" applyBorder="1" applyAlignment="1">
      <alignment horizontal="left" vertical="center" shrinkToFit="1"/>
    </xf>
    <xf numFmtId="0" fontId="45" fillId="42" borderId="1011" xfId="13" applyFont="1" applyFill="1" applyBorder="1" applyAlignment="1">
      <alignment vertical="center" shrinkToFit="1"/>
    </xf>
    <xf numFmtId="0" fontId="88" fillId="42" borderId="991" xfId="13" applyFont="1" applyFill="1" applyBorder="1" applyAlignment="1">
      <alignment horizontal="center" vertical="center" shrinkToFit="1"/>
    </xf>
    <xf numFmtId="0" fontId="88" fillId="20" borderId="1012" xfId="1" applyNumberFormat="1" applyFont="1" applyFill="1" applyBorder="1" applyAlignment="1">
      <alignment horizontal="center" vertical="center" shrinkToFit="1"/>
    </xf>
    <xf numFmtId="38" fontId="88" fillId="20" borderId="1013" xfId="1" applyFont="1" applyFill="1" applyBorder="1" applyAlignment="1">
      <alignment horizontal="center" vertical="center" shrinkToFit="1"/>
    </xf>
    <xf numFmtId="38" fontId="88" fillId="20" borderId="1011" xfId="1" applyFont="1" applyFill="1" applyBorder="1" applyAlignment="1">
      <alignment horizontal="center" vertical="center" shrinkToFit="1"/>
    </xf>
    <xf numFmtId="38" fontId="89" fillId="20" borderId="1011" xfId="1" applyFont="1" applyFill="1" applyBorder="1" applyAlignment="1">
      <alignment horizontal="center" vertical="center" shrinkToFit="1"/>
    </xf>
    <xf numFmtId="9" fontId="88" fillId="20" borderId="1011" xfId="10" applyFont="1" applyFill="1" applyBorder="1" applyAlignment="1">
      <alignment horizontal="center" vertical="center" shrinkToFit="1"/>
    </xf>
    <xf numFmtId="38" fontId="174" fillId="20" borderId="1011" xfId="1" applyFont="1" applyFill="1" applyBorder="1" applyAlignment="1">
      <alignment horizontal="center" vertical="center" wrapText="1" shrinkToFit="1"/>
    </xf>
    <xf numFmtId="38" fontId="174" fillId="20" borderId="1012" xfId="1" applyFont="1" applyFill="1" applyBorder="1" applyAlignment="1">
      <alignment horizontal="center" vertical="center" wrapText="1" shrinkToFit="1"/>
    </xf>
    <xf numFmtId="38" fontId="88" fillId="20" borderId="1012" xfId="1" applyFont="1" applyFill="1" applyBorder="1" applyAlignment="1">
      <alignment horizontal="center" vertical="center" shrinkToFit="1"/>
    </xf>
    <xf numFmtId="38" fontId="88" fillId="20" borderId="996" xfId="1" applyFont="1" applyFill="1" applyBorder="1" applyAlignment="1">
      <alignment horizontal="center" vertical="center" shrinkToFit="1"/>
    </xf>
    <xf numFmtId="38" fontId="88" fillId="20" borderId="991" xfId="1" applyFont="1" applyFill="1" applyBorder="1" applyAlignment="1">
      <alignment horizontal="center" vertical="center" shrinkToFit="1"/>
    </xf>
    <xf numFmtId="38" fontId="88" fillId="20" borderId="992" xfId="1" applyFont="1" applyFill="1" applyBorder="1" applyAlignment="1">
      <alignment horizontal="center" vertical="center" shrinkToFit="1"/>
    </xf>
    <xf numFmtId="0" fontId="216" fillId="0" borderId="990" xfId="13" applyFont="1" applyBorder="1" applyAlignment="1">
      <alignment vertical="center" shrinkToFit="1"/>
    </xf>
    <xf numFmtId="0" fontId="45" fillId="0" borderId="991" xfId="13" applyFont="1" applyBorder="1" applyAlignment="1">
      <alignment vertical="center" shrinkToFit="1"/>
    </xf>
    <xf numFmtId="0" fontId="45" fillId="0" borderId="991" xfId="13" applyFont="1" applyBorder="1" applyAlignment="1">
      <alignment horizontal="center" vertical="center" shrinkToFit="1"/>
    </xf>
    <xf numFmtId="0" fontId="89" fillId="0" borderId="991" xfId="1" applyNumberFormat="1" applyFont="1" applyFill="1" applyBorder="1" applyAlignment="1">
      <alignment horizontal="center" vertical="center" shrinkToFit="1"/>
    </xf>
    <xf numFmtId="0" fontId="89" fillId="0" borderId="992" xfId="1" applyNumberFormat="1" applyFont="1" applyFill="1" applyBorder="1" applyAlignment="1">
      <alignment horizontal="center" vertical="center" shrinkToFit="1"/>
    </xf>
    <xf numFmtId="0" fontId="45" fillId="0" borderId="996" xfId="0" applyFont="1" applyBorder="1" applyAlignment="1">
      <alignment horizontal="center" vertical="center" shrinkToFit="1"/>
    </xf>
    <xf numFmtId="0" fontId="45" fillId="0" borderId="992" xfId="1" applyNumberFormat="1" applyFont="1" applyFill="1" applyBorder="1" applyAlignment="1">
      <alignment horizontal="center" vertical="center" shrinkToFit="1"/>
    </xf>
    <xf numFmtId="0" fontId="87" fillId="0" borderId="163" xfId="1" applyNumberFormat="1" applyFont="1" applyFill="1" applyBorder="1" applyAlignment="1">
      <alignment horizontal="center" vertical="center" shrinkToFit="1"/>
    </xf>
    <xf numFmtId="38" fontId="45" fillId="0" borderId="994" xfId="1" applyFont="1" applyFill="1" applyBorder="1" applyAlignment="1">
      <alignment horizontal="center" vertical="center" shrinkToFit="1"/>
    </xf>
    <xf numFmtId="38" fontId="45" fillId="0" borderId="991" xfId="1" applyFont="1" applyFill="1" applyBorder="1" applyAlignment="1">
      <alignment horizontal="center" vertical="center" shrinkToFit="1"/>
    </xf>
    <xf numFmtId="38" fontId="87" fillId="0" borderId="991" xfId="1" applyFont="1" applyFill="1" applyBorder="1" applyAlignment="1">
      <alignment horizontal="center" vertical="center" shrinkToFit="1"/>
    </xf>
    <xf numFmtId="9" fontId="45" fillId="0" borderId="991" xfId="10" applyFont="1" applyFill="1" applyBorder="1" applyAlignment="1">
      <alignment horizontal="center" vertical="center" shrinkToFit="1"/>
    </xf>
    <xf numFmtId="38" fontId="96" fillId="0" borderId="991" xfId="1" applyFont="1" applyFill="1" applyBorder="1" applyAlignment="1">
      <alignment horizontal="center" vertical="center" wrapText="1" shrinkToFit="1"/>
    </xf>
    <xf numFmtId="38" fontId="96" fillId="19" borderId="991" xfId="1" applyFont="1" applyFill="1" applyBorder="1" applyAlignment="1">
      <alignment horizontal="center" vertical="center" wrapText="1" shrinkToFit="1"/>
    </xf>
    <xf numFmtId="38" fontId="45" fillId="9" borderId="991" xfId="1" applyFont="1" applyFill="1" applyBorder="1" applyAlignment="1">
      <alignment horizontal="center" vertical="center" shrinkToFit="1"/>
    </xf>
    <xf numFmtId="38" fontId="45" fillId="0" borderId="992" xfId="1" applyFont="1" applyFill="1" applyBorder="1" applyAlignment="1">
      <alignment horizontal="center" vertical="center" shrinkToFit="1"/>
    </xf>
    <xf numFmtId="41" fontId="64" fillId="12" borderId="212" xfId="0" applyNumberFormat="1" applyFont="1" applyFill="1" applyBorder="1" applyAlignment="1">
      <alignment horizontal="center" vertical="center" shrinkToFit="1"/>
    </xf>
    <xf numFmtId="41" fontId="64" fillId="17" borderId="994" xfId="0" applyNumberFormat="1" applyFont="1" applyFill="1" applyBorder="1" applyAlignment="1">
      <alignment horizontal="center" vertical="center" shrinkToFit="1"/>
    </xf>
    <xf numFmtId="38" fontId="217" fillId="0" borderId="121" xfId="1" applyFont="1" applyFill="1" applyBorder="1" applyAlignment="1">
      <alignment horizontal="left" vertical="center" wrapText="1" shrinkToFit="1"/>
    </xf>
    <xf numFmtId="0" fontId="62" fillId="12" borderId="0" xfId="0" applyFont="1" applyFill="1" applyAlignment="1">
      <alignment horizontal="left" vertical="center" shrinkToFit="1"/>
    </xf>
    <xf numFmtId="0" fontId="72" fillId="12" borderId="0" xfId="0" applyFont="1" applyFill="1" applyAlignment="1">
      <alignment vertical="center" shrinkToFit="1"/>
    </xf>
    <xf numFmtId="0" fontId="72" fillId="12" borderId="0" xfId="0" applyFont="1" applyFill="1" applyAlignment="1">
      <alignment horizontal="center" vertical="center" shrinkToFit="1"/>
    </xf>
    <xf numFmtId="181" fontId="62" fillId="0" borderId="0" xfId="0" applyNumberFormat="1" applyFont="1" applyAlignment="1">
      <alignment horizontal="right" vertical="center" shrinkToFit="1"/>
    </xf>
    <xf numFmtId="0" fontId="62" fillId="16" borderId="0" xfId="0" applyFont="1" applyFill="1" applyAlignment="1">
      <alignment horizontal="left" vertical="center" shrinkToFit="1"/>
    </xf>
    <xf numFmtId="0" fontId="72" fillId="16" borderId="0" xfId="0" applyFont="1" applyFill="1" applyAlignment="1">
      <alignment vertical="center" shrinkToFit="1"/>
    </xf>
    <xf numFmtId="0" fontId="72" fillId="16" borderId="0" xfId="0" applyFont="1" applyFill="1" applyAlignment="1">
      <alignment horizontal="center" vertical="center" shrinkToFit="1"/>
    </xf>
    <xf numFmtId="0" fontId="62" fillId="17" borderId="0" xfId="0" applyFont="1" applyFill="1" applyAlignment="1">
      <alignment horizontal="left" vertical="center" shrinkToFit="1"/>
    </xf>
    <xf numFmtId="0" fontId="72" fillId="17" borderId="0" xfId="0" applyFont="1" applyFill="1" applyAlignment="1">
      <alignment horizontal="center" vertical="center" shrinkToFit="1"/>
    </xf>
    <xf numFmtId="0" fontId="62" fillId="53" borderId="0" xfId="0" applyFont="1" applyFill="1" applyAlignment="1">
      <alignment horizontal="left" vertical="center" shrinkToFit="1"/>
    </xf>
    <xf numFmtId="0" fontId="72" fillId="53" borderId="0" xfId="0" applyFont="1" applyFill="1" applyAlignment="1">
      <alignment horizontal="center" vertical="center" shrinkToFit="1"/>
    </xf>
    <xf numFmtId="0" fontId="24" fillId="29" borderId="913" xfId="0" applyFont="1" applyFill="1" applyBorder="1" applyAlignment="1">
      <alignment vertical="center" shrinkToFit="1"/>
    </xf>
    <xf numFmtId="0" fontId="24" fillId="29" borderId="913" xfId="0" applyFont="1" applyFill="1" applyBorder="1" applyAlignment="1">
      <alignment horizontal="center" vertical="center" shrinkToFit="1"/>
    </xf>
    <xf numFmtId="38" fontId="45" fillId="6" borderId="0" xfId="1" applyFont="1" applyFill="1" applyBorder="1" applyAlignment="1">
      <alignment horizontal="left" vertical="center"/>
    </xf>
    <xf numFmtId="0" fontId="45" fillId="16" borderId="972" xfId="0" applyFont="1" applyFill="1" applyBorder="1" applyAlignment="1">
      <alignment vertical="center" shrinkToFit="1"/>
    </xf>
    <xf numFmtId="38" fontId="45" fillId="9" borderId="1016" xfId="1" applyFont="1" applyFill="1" applyBorder="1" applyAlignment="1">
      <alignment horizontal="center" vertical="center" shrinkToFit="1"/>
    </xf>
    <xf numFmtId="14" fontId="53" fillId="9" borderId="50" xfId="13" applyNumberFormat="1" applyFont="1" applyFill="1" applyBorder="1" applyAlignment="1">
      <alignment horizontal="center" vertical="center" wrapText="1" shrinkToFit="1"/>
    </xf>
    <xf numFmtId="14" fontId="53" fillId="17" borderId="50" xfId="13" applyNumberFormat="1" applyFont="1" applyFill="1" applyBorder="1" applyAlignment="1">
      <alignment horizontal="center" vertical="center" wrapText="1" shrinkToFit="1"/>
    </xf>
    <xf numFmtId="14" fontId="53" fillId="53" borderId="50" xfId="13" applyNumberFormat="1" applyFont="1" applyFill="1" applyBorder="1" applyAlignment="1">
      <alignment horizontal="center" vertical="center" wrapText="1" shrinkToFit="1"/>
    </xf>
    <xf numFmtId="0" fontId="45" fillId="16" borderId="14" xfId="0" applyFont="1" applyFill="1" applyBorder="1" applyAlignment="1">
      <alignment vertical="center" shrinkToFit="1"/>
    </xf>
    <xf numFmtId="38" fontId="45" fillId="9" borderId="1019" xfId="1" applyFont="1" applyFill="1" applyBorder="1" applyAlignment="1">
      <alignment horizontal="center" vertical="center"/>
    </xf>
    <xf numFmtId="0" fontId="45" fillId="0" borderId="377" xfId="0" applyFont="1" applyBorder="1">
      <alignment vertical="center"/>
    </xf>
    <xf numFmtId="0" fontId="45" fillId="0" borderId="378" xfId="0" applyFont="1" applyBorder="1">
      <alignment vertical="center"/>
    </xf>
    <xf numFmtId="0" fontId="45" fillId="0" borderId="378" xfId="0" applyFont="1" applyBorder="1" applyAlignment="1">
      <alignment horizontal="center" vertical="center"/>
    </xf>
    <xf numFmtId="0" fontId="0" fillId="0" borderId="378" xfId="0" applyBorder="1">
      <alignment vertical="center"/>
    </xf>
    <xf numFmtId="0" fontId="63" fillId="0" borderId="1020" xfId="11" applyFont="1" applyBorder="1" applyAlignment="1">
      <alignment horizontal="center" vertical="center"/>
    </xf>
    <xf numFmtId="0" fontId="60" fillId="0" borderId="1021" xfId="11" applyFont="1" applyBorder="1" applyAlignment="1">
      <alignment horizontal="center" vertical="center"/>
    </xf>
    <xf numFmtId="0" fontId="60" fillId="0" borderId="1022" xfId="11" applyFont="1" applyBorder="1" applyAlignment="1">
      <alignment horizontal="center" vertical="center"/>
    </xf>
    <xf numFmtId="0" fontId="60" fillId="0" borderId="1023" xfId="11" applyFont="1" applyBorder="1" applyAlignment="1">
      <alignment horizontal="center" vertical="center"/>
    </xf>
    <xf numFmtId="0" fontId="87" fillId="0" borderId="1023" xfId="11" applyFont="1" applyBorder="1" applyAlignment="1">
      <alignment horizontal="center" vertical="center"/>
    </xf>
    <xf numFmtId="38" fontId="45" fillId="0" borderId="1024" xfId="1" applyFont="1" applyFill="1" applyBorder="1" applyAlignment="1">
      <alignment horizontal="center" vertical="center" shrinkToFit="1"/>
    </xf>
    <xf numFmtId="38" fontId="45" fillId="0" borderId="1025" xfId="1" applyFont="1" applyFill="1" applyBorder="1" applyAlignment="1">
      <alignment horizontal="center" vertical="center" shrinkToFit="1"/>
    </xf>
    <xf numFmtId="38" fontId="87" fillId="0" borderId="1025" xfId="1" applyFont="1" applyFill="1" applyBorder="1" applyAlignment="1">
      <alignment horizontal="center" vertical="center" shrinkToFit="1"/>
    </xf>
    <xf numFmtId="9" fontId="45" fillId="0" borderId="1025" xfId="10" applyFont="1" applyFill="1" applyBorder="1" applyAlignment="1">
      <alignment horizontal="center" vertical="center" shrinkToFit="1"/>
    </xf>
    <xf numFmtId="38" fontId="96" fillId="0" borderId="1025" xfId="1" applyFont="1" applyFill="1" applyBorder="1" applyAlignment="1">
      <alignment horizontal="center" vertical="center" wrapText="1" shrinkToFit="1"/>
    </xf>
    <xf numFmtId="38" fontId="96" fillId="19" borderId="1025" xfId="1" applyFont="1" applyFill="1" applyBorder="1" applyAlignment="1">
      <alignment horizontal="center" vertical="center" wrapText="1" shrinkToFit="1"/>
    </xf>
    <xf numFmtId="38" fontId="45" fillId="9" borderId="1025" xfId="1" applyFont="1" applyFill="1" applyBorder="1" applyAlignment="1">
      <alignment horizontal="center" vertical="center" shrinkToFit="1"/>
    </xf>
    <xf numFmtId="38" fontId="96" fillId="0" borderId="1026" xfId="1" applyFont="1" applyFill="1" applyBorder="1" applyAlignment="1">
      <alignment horizontal="center" vertical="center" wrapText="1" shrinkToFit="1"/>
    </xf>
    <xf numFmtId="38" fontId="88" fillId="9" borderId="1027" xfId="1" applyFont="1" applyFill="1" applyBorder="1" applyAlignment="1">
      <alignment horizontal="center" vertical="center" shrinkToFit="1"/>
    </xf>
    <xf numFmtId="38" fontId="45" fillId="0" borderId="1028" xfId="1" applyFont="1" applyFill="1" applyBorder="1" applyAlignment="1">
      <alignment horizontal="center" vertical="center" shrinkToFit="1"/>
    </xf>
    <xf numFmtId="41" fontId="64" fillId="12" borderId="1029" xfId="0" applyNumberFormat="1" applyFont="1" applyFill="1" applyBorder="1" applyAlignment="1">
      <alignment horizontal="center" vertical="center" shrinkToFit="1"/>
    </xf>
    <xf numFmtId="41" fontId="64" fillId="17" borderId="1024" xfId="0" applyNumberFormat="1" applyFont="1" applyFill="1" applyBorder="1" applyAlignment="1">
      <alignment horizontal="center" vertical="center" shrinkToFit="1"/>
    </xf>
    <xf numFmtId="38" fontId="45" fillId="0" borderId="1026" xfId="1" applyFont="1" applyFill="1" applyBorder="1" applyAlignment="1">
      <alignment horizontal="center" vertical="center" shrinkToFit="1"/>
    </xf>
    <xf numFmtId="38" fontId="45" fillId="0" borderId="1030" xfId="1" applyFont="1" applyFill="1" applyBorder="1" applyAlignment="1">
      <alignment horizontal="left" vertical="center" shrinkToFit="1"/>
    </xf>
    <xf numFmtId="0" fontId="45" fillId="0" borderId="1031" xfId="11" applyFont="1" applyBorder="1" applyAlignment="1">
      <alignment horizontal="right" vertical="center"/>
    </xf>
    <xf numFmtId="38" fontId="45" fillId="39" borderId="1032" xfId="1" applyFont="1" applyFill="1" applyBorder="1" applyAlignment="1">
      <alignment horizontal="center" vertical="center" shrinkToFit="1"/>
    </xf>
    <xf numFmtId="38" fontId="87" fillId="39" borderId="1032" xfId="1" applyFont="1" applyFill="1" applyBorder="1" applyAlignment="1">
      <alignment horizontal="center" vertical="center" shrinkToFit="1"/>
    </xf>
    <xf numFmtId="9" fontId="45" fillId="39" borderId="1032" xfId="10" applyFont="1" applyFill="1" applyBorder="1" applyAlignment="1">
      <alignment horizontal="center" vertical="center" shrinkToFit="1"/>
    </xf>
    <xf numFmtId="38" fontId="96" fillId="39" borderId="1032" xfId="1" applyFont="1" applyFill="1" applyBorder="1" applyAlignment="1">
      <alignment horizontal="center" vertical="center" wrapText="1" shrinkToFit="1"/>
    </xf>
    <xf numFmtId="38" fontId="96" fillId="0" borderId="1032" xfId="1" applyFont="1" applyFill="1" applyBorder="1" applyAlignment="1">
      <alignment horizontal="center" vertical="center" wrapText="1" shrinkToFit="1"/>
    </xf>
    <xf numFmtId="38" fontId="88" fillId="0" borderId="1032" xfId="1" applyFont="1" applyFill="1" applyBorder="1" applyAlignment="1">
      <alignment horizontal="center" vertical="center" shrinkToFit="1"/>
    </xf>
    <xf numFmtId="41" fontId="64" fillId="39" borderId="1032" xfId="0" applyNumberFormat="1" applyFont="1" applyFill="1" applyBorder="1" applyAlignment="1">
      <alignment horizontal="center" vertical="center" shrinkToFit="1"/>
    </xf>
    <xf numFmtId="38" fontId="45" fillId="39" borderId="1033" xfId="1" applyFont="1" applyFill="1" applyBorder="1" applyAlignment="1">
      <alignment horizontal="center" vertical="center" shrinkToFit="1"/>
    </xf>
    <xf numFmtId="38" fontId="45" fillId="0" borderId="1033" xfId="1" applyFont="1" applyFill="1" applyBorder="1" applyAlignment="1">
      <alignment horizontal="center" vertical="center" shrinkToFit="1"/>
    </xf>
    <xf numFmtId="38" fontId="45" fillId="0" borderId="1032" xfId="1" applyFont="1" applyFill="1" applyBorder="1" applyAlignment="1">
      <alignment horizontal="center" vertical="center" shrinkToFit="1"/>
    </xf>
    <xf numFmtId="38" fontId="45" fillId="0" borderId="1034" xfId="1" applyFont="1" applyFill="1" applyBorder="1" applyAlignment="1">
      <alignment horizontal="left" vertical="center" shrinkToFit="1"/>
    </xf>
    <xf numFmtId="0" fontId="45" fillId="0" borderId="418" xfId="11" applyFont="1" applyBorder="1" applyAlignment="1">
      <alignment horizontal="right" vertical="center"/>
    </xf>
    <xf numFmtId="38" fontId="45" fillId="39" borderId="419" xfId="1" applyFont="1" applyFill="1" applyBorder="1" applyAlignment="1">
      <alignment horizontal="center" vertical="center" shrinkToFit="1"/>
    </xf>
    <xf numFmtId="38" fontId="87" fillId="39" borderId="419" xfId="1" applyFont="1" applyFill="1" applyBorder="1" applyAlignment="1">
      <alignment horizontal="center" vertical="center" shrinkToFit="1"/>
    </xf>
    <xf numFmtId="9" fontId="45" fillId="39" borderId="419" xfId="10" applyFont="1" applyFill="1" applyBorder="1" applyAlignment="1">
      <alignment horizontal="center" vertical="center" shrinkToFit="1"/>
    </xf>
    <xf numFmtId="38" fontId="96" fillId="39" borderId="419" xfId="1" applyFont="1" applyFill="1" applyBorder="1" applyAlignment="1">
      <alignment horizontal="center" vertical="center" wrapText="1" shrinkToFit="1"/>
    </xf>
    <xf numFmtId="38" fontId="96" fillId="0" borderId="419" xfId="1" applyFont="1" applyFill="1" applyBorder="1" applyAlignment="1">
      <alignment horizontal="center" vertical="center" wrapText="1" shrinkToFit="1"/>
    </xf>
    <xf numFmtId="38" fontId="88" fillId="0" borderId="419" xfId="1" applyFont="1" applyFill="1" applyBorder="1" applyAlignment="1">
      <alignment horizontal="center" vertical="center" shrinkToFit="1"/>
    </xf>
    <xf numFmtId="41" fontId="64" fillId="39" borderId="419" xfId="0" applyNumberFormat="1" applyFont="1" applyFill="1" applyBorder="1" applyAlignment="1">
      <alignment horizontal="center" vertical="center" shrinkToFit="1"/>
    </xf>
    <xf numFmtId="38" fontId="45" fillId="39" borderId="1035" xfId="1" applyFont="1" applyFill="1" applyBorder="1" applyAlignment="1">
      <alignment horizontal="center" vertical="center" shrinkToFit="1"/>
    </xf>
    <xf numFmtId="38" fontId="45" fillId="0" borderId="1035" xfId="1" applyFont="1" applyFill="1" applyBorder="1" applyAlignment="1">
      <alignment horizontal="center" vertical="center" shrinkToFit="1"/>
    </xf>
    <xf numFmtId="38" fontId="45" fillId="0" borderId="419" xfId="1" applyFont="1" applyFill="1" applyBorder="1" applyAlignment="1">
      <alignment horizontal="center" vertical="center" shrinkToFit="1"/>
    </xf>
    <xf numFmtId="38" fontId="45" fillId="0" borderId="429" xfId="1" applyFont="1" applyFill="1" applyBorder="1" applyAlignment="1">
      <alignment horizontal="left" vertical="center" shrinkToFit="1"/>
    </xf>
    <xf numFmtId="0" fontId="219" fillId="0" borderId="0" xfId="11" applyFont="1" applyAlignment="1">
      <alignment horizontal="center" vertical="center"/>
    </xf>
    <xf numFmtId="0" fontId="219" fillId="0" borderId="0" xfId="11" applyFont="1" applyAlignment="1">
      <alignment vertical="center"/>
    </xf>
    <xf numFmtId="38" fontId="219" fillId="0" borderId="0" xfId="1" applyFont="1" applyAlignment="1">
      <alignment vertical="center"/>
    </xf>
    <xf numFmtId="38" fontId="219" fillId="0" borderId="0" xfId="1" applyFont="1" applyAlignment="1">
      <alignment horizontal="center" vertical="center"/>
    </xf>
    <xf numFmtId="0" fontId="219" fillId="0" borderId="0" xfId="11" applyFont="1" applyAlignment="1">
      <alignment horizontal="right" vertical="center"/>
    </xf>
    <xf numFmtId="0" fontId="222" fillId="0" borderId="379" xfId="11" applyFont="1" applyBorder="1" applyAlignment="1">
      <alignment horizontal="center" vertical="center"/>
    </xf>
    <xf numFmtId="0" fontId="222" fillId="0" borderId="0" xfId="11" applyFont="1" applyAlignment="1">
      <alignment vertical="center"/>
    </xf>
    <xf numFmtId="0" fontId="222" fillId="0" borderId="0" xfId="11" applyFont="1" applyAlignment="1">
      <alignment horizontal="center" vertical="center"/>
    </xf>
    <xf numFmtId="0" fontId="223" fillId="0" borderId="0" xfId="11" applyFont="1" applyAlignment="1">
      <alignment horizontal="right" vertical="center"/>
    </xf>
    <xf numFmtId="0" fontId="224" fillId="0" borderId="0" xfId="11" applyFont="1" applyAlignment="1">
      <alignment horizontal="left" vertical="center"/>
    </xf>
    <xf numFmtId="0" fontId="231" fillId="0" borderId="0" xfId="11" applyFont="1" applyAlignment="1">
      <alignment vertical="center"/>
    </xf>
    <xf numFmtId="0" fontId="227" fillId="58" borderId="7" xfId="11" applyFont="1" applyFill="1" applyBorder="1" applyAlignment="1">
      <alignment horizontal="center" vertical="center"/>
    </xf>
    <xf numFmtId="0" fontId="227" fillId="58" borderId="7" xfId="11" applyFont="1" applyFill="1" applyBorder="1" applyAlignment="1">
      <alignment horizontal="center" vertical="center" wrapText="1"/>
    </xf>
    <xf numFmtId="0" fontId="232" fillId="0" borderId="88" xfId="11" applyFont="1" applyBorder="1" applyAlignment="1">
      <alignment horizontal="center" vertical="center"/>
    </xf>
    <xf numFmtId="213" fontId="232" fillId="0" borderId="9" xfId="11" applyNumberFormat="1" applyFont="1" applyBorder="1" applyAlignment="1">
      <alignment horizontal="center" vertical="center"/>
    </xf>
    <xf numFmtId="213" fontId="233" fillId="0" borderId="9" xfId="11" applyNumberFormat="1" applyFont="1" applyBorder="1" applyAlignment="1">
      <alignment horizontal="center" vertical="center"/>
    </xf>
    <xf numFmtId="181" fontId="233" fillId="0" borderId="5" xfId="11" applyNumberFormat="1" applyFont="1" applyBorder="1" applyAlignment="1">
      <alignment horizontal="center" vertical="center" wrapText="1"/>
    </xf>
    <xf numFmtId="213" fontId="233" fillId="0" borderId="8" xfId="11" applyNumberFormat="1" applyFont="1" applyBorder="1" applyAlignment="1">
      <alignment horizontal="center" vertical="center"/>
    </xf>
    <xf numFmtId="181" fontId="233" fillId="0" borderId="5" xfId="11" applyNumberFormat="1" applyFont="1" applyBorder="1" applyAlignment="1">
      <alignment horizontal="left" vertical="center" wrapText="1"/>
    </xf>
    <xf numFmtId="38" fontId="233" fillId="0" borderId="7" xfId="1" applyFont="1" applyFill="1" applyBorder="1" applyAlignment="1">
      <alignment horizontal="center" vertical="center"/>
    </xf>
    <xf numFmtId="181" fontId="233" fillId="0" borderId="5" xfId="11" applyNumberFormat="1" applyFont="1" applyBorder="1" applyAlignment="1">
      <alignment horizontal="center" vertical="center"/>
    </xf>
    <xf numFmtId="38" fontId="233" fillId="0" borderId="5" xfId="1" applyFont="1" applyFill="1" applyBorder="1" applyAlignment="1">
      <alignment horizontal="center" vertical="center"/>
    </xf>
    <xf numFmtId="181" fontId="233" fillId="0" borderId="40" xfId="11" applyNumberFormat="1" applyFont="1" applyBorder="1" applyAlignment="1">
      <alignment horizontal="center" vertical="center"/>
    </xf>
    <xf numFmtId="38" fontId="233" fillId="0" borderId="40" xfId="1" applyFont="1" applyFill="1" applyBorder="1" applyAlignment="1">
      <alignment horizontal="center" vertical="center"/>
    </xf>
    <xf numFmtId="49" fontId="228" fillId="0" borderId="8" xfId="11" applyNumberFormat="1" applyFont="1" applyBorder="1" applyAlignment="1">
      <alignment horizontal="center" vertical="center"/>
    </xf>
    <xf numFmtId="38" fontId="233" fillId="0" borderId="9" xfId="1" applyFont="1" applyFill="1" applyBorder="1" applyAlignment="1">
      <alignment horizontal="center" vertical="center"/>
    </xf>
    <xf numFmtId="38" fontId="233" fillId="0" borderId="8" xfId="1" applyFont="1" applyFill="1" applyBorder="1" applyAlignment="1">
      <alignment horizontal="center" vertical="center"/>
    </xf>
    <xf numFmtId="49" fontId="228" fillId="0" borderId="5" xfId="11" applyNumberFormat="1" applyFont="1" applyBorder="1" applyAlignment="1">
      <alignment horizontal="center" vertical="center"/>
    </xf>
    <xf numFmtId="181" fontId="228" fillId="0" borderId="89" xfId="11" applyNumberFormat="1" applyFont="1" applyBorder="1" applyAlignment="1">
      <alignment vertical="center"/>
    </xf>
    <xf numFmtId="181" fontId="156" fillId="0" borderId="9" xfId="0" applyNumberFormat="1" applyFont="1" applyBorder="1" applyProtection="1">
      <alignment vertical="center"/>
      <protection locked="0"/>
    </xf>
    <xf numFmtId="0" fontId="228" fillId="0" borderId="88" xfId="11" applyFont="1" applyBorder="1" applyAlignment="1">
      <alignment horizontal="center" vertical="center"/>
    </xf>
    <xf numFmtId="213" fontId="228" fillId="0" borderId="5" xfId="11" applyNumberFormat="1" applyFont="1" applyBorder="1" applyAlignment="1">
      <alignment horizontal="center" vertical="center" wrapText="1"/>
    </xf>
    <xf numFmtId="213" fontId="234" fillId="0" borderId="5" xfId="11" applyNumberFormat="1" applyFont="1" applyBorder="1" applyAlignment="1">
      <alignment horizontal="center" vertical="center" wrapText="1"/>
    </xf>
    <xf numFmtId="181" fontId="235" fillId="0" borderId="7" xfId="11" applyNumberFormat="1" applyFont="1" applyBorder="1" applyAlignment="1">
      <alignment horizontal="center" vertical="center" wrapText="1"/>
    </xf>
    <xf numFmtId="213" fontId="234" fillId="0" borderId="7" xfId="11" applyNumberFormat="1" applyFont="1" applyBorder="1" applyAlignment="1">
      <alignment horizontal="center" vertical="center" wrapText="1"/>
    </xf>
    <xf numFmtId="181" fontId="228" fillId="0" borderId="5" xfId="11" applyNumberFormat="1" applyFont="1" applyBorder="1" applyAlignment="1">
      <alignment horizontal="left" vertical="center" wrapText="1"/>
    </xf>
    <xf numFmtId="38" fontId="228" fillId="0" borderId="7" xfId="1" applyFont="1" applyBorder="1" applyAlignment="1">
      <alignment horizontal="center" vertical="center"/>
    </xf>
    <xf numFmtId="181" fontId="228" fillId="0" borderId="28" xfId="11" applyNumberFormat="1" applyFont="1" applyBorder="1" applyAlignment="1">
      <alignment horizontal="center" vertical="center"/>
    </xf>
    <xf numFmtId="38" fontId="228" fillId="0" borderId="9" xfId="1" applyFont="1" applyBorder="1" applyAlignment="1">
      <alignment horizontal="center" vertical="center"/>
    </xf>
    <xf numFmtId="38" fontId="228" fillId="0" borderId="8" xfId="1" applyFont="1" applyBorder="1" applyAlignment="1">
      <alignment horizontal="center" vertical="center"/>
    </xf>
    <xf numFmtId="181" fontId="228" fillId="0" borderId="53" xfId="11" applyNumberFormat="1" applyFont="1" applyBorder="1" applyAlignment="1">
      <alignment vertical="center"/>
    </xf>
    <xf numFmtId="38" fontId="229" fillId="0" borderId="7" xfId="1" applyFont="1" applyBorder="1" applyAlignment="1">
      <alignment horizontal="center" vertical="center"/>
    </xf>
    <xf numFmtId="181" fontId="233" fillId="0" borderId="7" xfId="11" applyNumberFormat="1" applyFont="1" applyBorder="1" applyAlignment="1">
      <alignment horizontal="center" vertical="center" wrapText="1"/>
    </xf>
    <xf numFmtId="213" fontId="228" fillId="0" borderId="7" xfId="11" applyNumberFormat="1" applyFont="1" applyBorder="1" applyAlignment="1">
      <alignment horizontal="center" vertical="center" wrapText="1"/>
    </xf>
    <xf numFmtId="38" fontId="228" fillId="0" borderId="7" xfId="1" applyFont="1" applyBorder="1" applyAlignment="1">
      <alignment horizontal="right" vertical="center"/>
    </xf>
    <xf numFmtId="0" fontId="228" fillId="28" borderId="1036" xfId="11" applyFont="1" applyFill="1" applyBorder="1" applyAlignment="1">
      <alignment horizontal="center" vertical="center"/>
    </xf>
    <xf numFmtId="0" fontId="228" fillId="28" borderId="1037" xfId="11" applyFont="1" applyFill="1" applyBorder="1" applyAlignment="1">
      <alignment horizontal="center" vertical="center"/>
    </xf>
    <xf numFmtId="0" fontId="228" fillId="28" borderId="1038" xfId="11" applyFont="1" applyFill="1" applyBorder="1" applyAlignment="1">
      <alignment horizontal="center" vertical="center"/>
    </xf>
    <xf numFmtId="0" fontId="228" fillId="28" borderId="1039" xfId="11" applyFont="1" applyFill="1" applyBorder="1" applyAlignment="1">
      <alignment horizontal="center" vertical="center"/>
    </xf>
    <xf numFmtId="181" fontId="228" fillId="0" borderId="1040" xfId="11" applyNumberFormat="1" applyFont="1" applyBorder="1" applyAlignment="1">
      <alignment horizontal="center" vertical="center"/>
    </xf>
    <xf numFmtId="206" fontId="228" fillId="0" borderId="1038" xfId="1" applyNumberFormat="1" applyFont="1" applyBorder="1" applyAlignment="1">
      <alignment horizontal="center" vertical="center"/>
    </xf>
    <xf numFmtId="206" fontId="228" fillId="0" borderId="1040" xfId="11" applyNumberFormat="1" applyFont="1" applyBorder="1" applyAlignment="1">
      <alignment horizontal="center" vertical="center"/>
    </xf>
    <xf numFmtId="38" fontId="228" fillId="28" borderId="1038" xfId="1" applyFont="1" applyFill="1" applyBorder="1" applyAlignment="1">
      <alignment horizontal="center" vertical="center"/>
    </xf>
    <xf numFmtId="181" fontId="228" fillId="28" borderId="1041" xfId="11" applyNumberFormat="1" applyFont="1" applyFill="1" applyBorder="1" applyAlignment="1">
      <alignment vertical="center"/>
    </xf>
    <xf numFmtId="181" fontId="236" fillId="0" borderId="0" xfId="11" applyNumberFormat="1" applyFont="1" applyAlignment="1">
      <alignment horizontal="center" vertical="center"/>
    </xf>
    <xf numFmtId="38" fontId="236" fillId="0" borderId="0" xfId="1" applyFont="1" applyBorder="1" applyAlignment="1">
      <alignment horizontal="center" vertical="center"/>
    </xf>
    <xf numFmtId="49" fontId="219" fillId="0" borderId="0" xfId="11" applyNumberFormat="1" applyFont="1" applyAlignment="1">
      <alignment horizontal="center" vertical="center"/>
    </xf>
    <xf numFmtId="38" fontId="237" fillId="42" borderId="0" xfId="1" applyFont="1" applyFill="1" applyBorder="1" applyAlignment="1">
      <alignment horizontal="center" vertical="center"/>
    </xf>
    <xf numFmtId="38" fontId="222" fillId="42" borderId="0" xfId="1" applyFont="1" applyFill="1" applyBorder="1" applyAlignment="1">
      <alignment horizontal="center" vertical="center"/>
    </xf>
    <xf numFmtId="38" fontId="219" fillId="0" borderId="0" xfId="1" applyFont="1" applyFill="1" applyBorder="1" applyAlignment="1">
      <alignment horizontal="center" vertical="center"/>
    </xf>
    <xf numFmtId="214" fontId="238" fillId="0" borderId="954" xfId="1" applyNumberFormat="1" applyFont="1" applyBorder="1" applyAlignment="1">
      <alignment horizontal="right" vertical="center"/>
    </xf>
    <xf numFmtId="0" fontId="238" fillId="0" borderId="139" xfId="11" applyFont="1" applyBorder="1" applyAlignment="1">
      <alignment horizontal="center" vertical="distributed"/>
    </xf>
    <xf numFmtId="214" fontId="238" fillId="0" borderId="0" xfId="1" applyNumberFormat="1" applyFont="1" applyBorder="1" applyAlignment="1">
      <alignment horizontal="right" vertical="center"/>
    </xf>
    <xf numFmtId="0" fontId="238" fillId="0" borderId="0" xfId="11" applyFont="1" applyAlignment="1">
      <alignment horizontal="center" vertical="distributed"/>
    </xf>
    <xf numFmtId="38" fontId="222" fillId="0" borderId="0" xfId="1" applyFont="1" applyBorder="1" applyAlignment="1">
      <alignment vertical="center"/>
    </xf>
    <xf numFmtId="38" fontId="237" fillId="42" borderId="0" xfId="1" applyFont="1" applyFill="1" applyAlignment="1">
      <alignment horizontal="center" vertical="center"/>
    </xf>
    <xf numFmtId="38" fontId="222" fillId="42" borderId="0" xfId="1" applyFont="1" applyFill="1" applyAlignment="1">
      <alignment horizontal="center" vertical="center"/>
    </xf>
    <xf numFmtId="215" fontId="238" fillId="0" borderId="37" xfId="1" applyNumberFormat="1" applyFont="1" applyBorder="1" applyAlignment="1">
      <alignment horizontal="right" vertical="center"/>
    </xf>
    <xf numFmtId="215" fontId="238" fillId="0" borderId="0" xfId="1" applyNumberFormat="1" applyFont="1" applyBorder="1" applyAlignment="1">
      <alignment horizontal="right" vertical="center"/>
    </xf>
    <xf numFmtId="215" fontId="239" fillId="59" borderId="943" xfId="1" applyNumberFormat="1" applyFont="1" applyFill="1" applyBorder="1" applyAlignment="1">
      <alignment horizontal="right" vertical="center"/>
    </xf>
    <xf numFmtId="0" fontId="237" fillId="0" borderId="0" xfId="11" applyFont="1" applyAlignment="1">
      <alignment horizontal="center" vertical="distributed"/>
    </xf>
    <xf numFmtId="38" fontId="222" fillId="0" borderId="0" xfId="1" applyFont="1" applyBorder="1" applyAlignment="1">
      <alignment horizontal="right" vertical="center"/>
    </xf>
    <xf numFmtId="0" fontId="240" fillId="0" borderId="0" xfId="11" applyFont="1" applyAlignment="1">
      <alignment vertical="center"/>
    </xf>
    <xf numFmtId="0" fontId="237" fillId="0" borderId="0" xfId="11" applyFont="1" applyAlignment="1">
      <alignment vertical="distributed"/>
    </xf>
    <xf numFmtId="0" fontId="241" fillId="0" borderId="0" xfId="11" applyFont="1" applyAlignment="1">
      <alignment vertical="center"/>
    </xf>
    <xf numFmtId="0" fontId="242" fillId="0" borderId="0" xfId="11" applyFont="1" applyAlignment="1">
      <alignment vertical="center"/>
    </xf>
    <xf numFmtId="0" fontId="219" fillId="0" borderId="139" xfId="11" applyFont="1" applyBorder="1" applyAlignment="1">
      <alignment vertical="center"/>
    </xf>
    <xf numFmtId="0" fontId="221" fillId="0" borderId="0" xfId="11" applyFont="1" applyAlignment="1">
      <alignment horizontal="center" vertical="center"/>
    </xf>
    <xf numFmtId="0" fontId="223" fillId="0" borderId="0" xfId="11" applyFont="1" applyAlignment="1">
      <alignment vertical="center"/>
    </xf>
    <xf numFmtId="181" fontId="243" fillId="0" borderId="0" xfId="0" applyNumberFormat="1" applyFont="1" applyAlignment="1" applyProtection="1">
      <alignment horizontal="center" vertical="center" wrapText="1"/>
      <protection locked="0"/>
    </xf>
    <xf numFmtId="0" fontId="220" fillId="0" borderId="0" xfId="11" applyFont="1" applyAlignment="1">
      <alignment horizontal="center" vertical="center"/>
    </xf>
    <xf numFmtId="0" fontId="244" fillId="0" borderId="0" xfId="11" applyFont="1" applyAlignment="1">
      <alignment horizontal="left" vertical="center"/>
    </xf>
    <xf numFmtId="0" fontId="247" fillId="0" borderId="0" xfId="11" applyFont="1" applyAlignment="1">
      <alignment vertical="center"/>
    </xf>
    <xf numFmtId="0" fontId="246" fillId="42" borderId="1047" xfId="11" applyFont="1" applyFill="1" applyBorder="1" applyAlignment="1">
      <alignment horizontal="center" vertical="center" wrapText="1"/>
    </xf>
    <xf numFmtId="0" fontId="246" fillId="42" borderId="1048" xfId="11" applyFont="1" applyFill="1" applyBorder="1" applyAlignment="1">
      <alignment horizontal="center" vertical="center" wrapText="1"/>
    </xf>
    <xf numFmtId="0" fontId="246" fillId="42" borderId="1049" xfId="11" applyFont="1" applyFill="1" applyBorder="1" applyAlignment="1">
      <alignment horizontal="center" vertical="center" wrapText="1"/>
    </xf>
    <xf numFmtId="0" fontId="246" fillId="42" borderId="1050" xfId="11" applyFont="1" applyFill="1" applyBorder="1" applyAlignment="1">
      <alignment horizontal="center" vertical="center" wrapText="1"/>
    </xf>
    <xf numFmtId="0" fontId="248" fillId="0" borderId="85" xfId="11" applyFont="1" applyBorder="1" applyAlignment="1">
      <alignment horizontal="center" vertical="center" wrapText="1"/>
    </xf>
    <xf numFmtId="213" fontId="249" fillId="0" borderId="9" xfId="11" applyNumberFormat="1" applyFont="1" applyBorder="1" applyAlignment="1">
      <alignment horizontal="center" vertical="center"/>
    </xf>
    <xf numFmtId="216" fontId="249" fillId="0" borderId="42" xfId="11" applyNumberFormat="1" applyFont="1" applyBorder="1" applyAlignment="1">
      <alignment horizontal="center" vertical="center"/>
    </xf>
    <xf numFmtId="216" fontId="248" fillId="0" borderId="86" xfId="11" applyNumberFormat="1" applyFont="1" applyBorder="1" applyAlignment="1">
      <alignment horizontal="center" vertical="center" shrinkToFit="1"/>
    </xf>
    <xf numFmtId="0" fontId="248" fillId="0" borderId="86" xfId="11" applyFont="1" applyBorder="1" applyAlignment="1">
      <alignment horizontal="center" vertical="center" shrinkToFit="1"/>
    </xf>
    <xf numFmtId="0" fontId="248" fillId="0" borderId="956" xfId="11" applyFont="1" applyBorder="1" applyAlignment="1">
      <alignment horizontal="center" vertical="center" shrinkToFit="1"/>
    </xf>
    <xf numFmtId="0" fontId="248" fillId="0" borderId="957" xfId="11" applyFont="1" applyBorder="1" applyAlignment="1">
      <alignment horizontal="center" vertical="center" shrinkToFit="1"/>
    </xf>
    <xf numFmtId="180" fontId="248" fillId="0" borderId="957" xfId="11" applyNumberFormat="1" applyFont="1" applyBorder="1" applyAlignment="1">
      <alignment horizontal="center" vertical="center" shrinkToFit="1"/>
    </xf>
    <xf numFmtId="180" fontId="248" fillId="0" borderId="958" xfId="11" applyNumberFormat="1" applyFont="1" applyBorder="1" applyAlignment="1">
      <alignment horizontal="center" vertical="center" shrinkToFit="1"/>
    </xf>
    <xf numFmtId="180" fontId="248" fillId="0" borderId="1051" xfId="11" applyNumberFormat="1" applyFont="1" applyBorder="1" applyAlignment="1">
      <alignment horizontal="center" vertical="center" shrinkToFit="1"/>
    </xf>
    <xf numFmtId="180" fontId="248" fillId="0" borderId="86" xfId="11" applyNumberFormat="1" applyFont="1" applyBorder="1" applyAlignment="1">
      <alignment horizontal="center" vertical="center" shrinkToFit="1"/>
    </xf>
    <xf numFmtId="180" fontId="250" fillId="0" borderId="1044" xfId="11" applyNumberFormat="1" applyFont="1" applyBorder="1" applyAlignment="1">
      <alignment horizontal="center" vertical="center" shrinkToFit="1"/>
    </xf>
    <xf numFmtId="0" fontId="248" fillId="0" borderId="1052" xfId="11" applyFont="1" applyBorder="1" applyAlignment="1">
      <alignment horizontal="center" vertical="center" shrinkToFit="1"/>
    </xf>
    <xf numFmtId="0" fontId="248" fillId="0" borderId="958" xfId="11" applyFont="1" applyBorder="1" applyAlignment="1">
      <alignment horizontal="center" vertical="center" shrinkToFit="1"/>
    </xf>
    <xf numFmtId="180" fontId="248" fillId="0" borderId="1053" xfId="11" applyNumberFormat="1" applyFont="1" applyBorder="1" applyAlignment="1">
      <alignment horizontal="center" vertical="center" shrinkToFit="1"/>
    </xf>
    <xf numFmtId="0" fontId="228" fillId="0" borderId="88" xfId="11" applyFont="1" applyBorder="1" applyAlignment="1">
      <alignment horizontal="center" vertical="center" wrapText="1"/>
    </xf>
    <xf numFmtId="216" fontId="230" fillId="0" borderId="5" xfId="11" applyNumberFormat="1" applyFont="1" applyBorder="1" applyAlignment="1">
      <alignment horizontal="center" vertical="center" wrapText="1"/>
    </xf>
    <xf numFmtId="0" fontId="230" fillId="0" borderId="5" xfId="11" applyFont="1" applyBorder="1" applyAlignment="1">
      <alignment horizontal="center" vertical="center" shrinkToFit="1"/>
    </xf>
    <xf numFmtId="0" fontId="230" fillId="0" borderId="9" xfId="11" applyFont="1" applyBorder="1" applyAlignment="1">
      <alignment horizontal="center" vertical="center" wrapText="1"/>
    </xf>
    <xf numFmtId="180" fontId="230" fillId="0" borderId="5" xfId="11" applyNumberFormat="1" applyFont="1" applyBorder="1" applyAlignment="1">
      <alignment horizontal="center" vertical="center" wrapText="1"/>
    </xf>
    <xf numFmtId="0" fontId="230" fillId="0" borderId="5" xfId="11" applyFont="1" applyBorder="1" applyAlignment="1">
      <alignment horizontal="center" vertical="center" wrapText="1"/>
    </xf>
    <xf numFmtId="180" fontId="230" fillId="0" borderId="7" xfId="11" applyNumberFormat="1" applyFont="1" applyBorder="1" applyAlignment="1">
      <alignment horizontal="center" vertical="center" wrapText="1"/>
    </xf>
    <xf numFmtId="180" fontId="230" fillId="0" borderId="449" xfId="11" applyNumberFormat="1" applyFont="1" applyBorder="1" applyAlignment="1">
      <alignment horizontal="center" vertical="center" wrapText="1"/>
    </xf>
    <xf numFmtId="206" fontId="230" fillId="0" borderId="1054" xfId="11" applyNumberFormat="1" applyFont="1" applyBorder="1" applyAlignment="1">
      <alignment horizontal="center" vertical="center" wrapText="1"/>
    </xf>
    <xf numFmtId="0" fontId="251" fillId="0" borderId="445" xfId="11" applyFont="1" applyBorder="1" applyAlignment="1">
      <alignment horizontal="center" vertical="center" wrapText="1"/>
    </xf>
    <xf numFmtId="180" fontId="251" fillId="0" borderId="434" xfId="11" applyNumberFormat="1" applyFont="1" applyBorder="1" applyAlignment="1">
      <alignment horizontal="center" vertical="center" wrapText="1"/>
    </xf>
    <xf numFmtId="180" fontId="251" fillId="0" borderId="96" xfId="11" applyNumberFormat="1" applyFont="1" applyBorder="1" applyAlignment="1">
      <alignment horizontal="center" vertical="center" wrapText="1"/>
    </xf>
    <xf numFmtId="0" fontId="230" fillId="0" borderId="28" xfId="11" applyFont="1" applyBorder="1" applyAlignment="1">
      <alignment horizontal="center" vertical="center" shrinkToFit="1"/>
    </xf>
    <xf numFmtId="180" fontId="230" fillId="0" borderId="9" xfId="11" applyNumberFormat="1" applyFont="1" applyBorder="1" applyAlignment="1">
      <alignment horizontal="center" vertical="center" wrapText="1"/>
    </xf>
    <xf numFmtId="0" fontId="228" fillId="0" borderId="962" xfId="11" applyFont="1" applyBorder="1" applyAlignment="1">
      <alignment horizontal="center" vertical="center" wrapText="1"/>
    </xf>
    <xf numFmtId="180" fontId="230" fillId="0" borderId="266" xfId="11" applyNumberFormat="1" applyFont="1" applyBorder="1" applyAlignment="1">
      <alignment horizontal="center" vertical="center" wrapText="1"/>
    </xf>
    <xf numFmtId="0" fontId="230" fillId="0" borderId="97" xfId="11" applyFont="1" applyBorder="1" applyAlignment="1">
      <alignment horizontal="center" vertical="center" wrapText="1"/>
    </xf>
    <xf numFmtId="180" fontId="230" fillId="0" borderId="27" xfId="11" applyNumberFormat="1" applyFont="1" applyBorder="1" applyAlignment="1">
      <alignment horizontal="center" vertical="center" wrapText="1"/>
    </xf>
    <xf numFmtId="206" fontId="230" fillId="0" borderId="1055" xfId="11" applyNumberFormat="1" applyFont="1" applyBorder="1" applyAlignment="1">
      <alignment horizontal="center" vertical="center" wrapText="1"/>
    </xf>
    <xf numFmtId="0" fontId="251" fillId="0" borderId="457" xfId="11" applyFont="1" applyBorder="1" applyAlignment="1">
      <alignment horizontal="center" vertical="center" wrapText="1"/>
    </xf>
    <xf numFmtId="0" fontId="228" fillId="0" borderId="1056" xfId="11" applyFont="1" applyBorder="1" applyAlignment="1">
      <alignment horizontal="center" vertical="center" wrapText="1"/>
    </xf>
    <xf numFmtId="0" fontId="254" fillId="40" borderId="887" xfId="11" applyFont="1" applyFill="1" applyBorder="1" applyAlignment="1">
      <alignment horizontal="left" vertical="center" wrapText="1"/>
    </xf>
    <xf numFmtId="206" fontId="230" fillId="8" borderId="888" xfId="11" applyNumberFormat="1" applyFont="1" applyFill="1" applyBorder="1" applyAlignment="1">
      <alignment horizontal="center" vertical="center" wrapText="1"/>
    </xf>
    <xf numFmtId="0" fontId="254" fillId="40" borderId="1057" xfId="11" applyFont="1" applyFill="1" applyBorder="1" applyAlignment="1">
      <alignment horizontal="center" vertical="center" wrapText="1"/>
    </xf>
    <xf numFmtId="0" fontId="254" fillId="40" borderId="1040" xfId="11" applyFont="1" applyFill="1" applyBorder="1" applyAlignment="1">
      <alignment horizontal="center" vertical="center" wrapText="1"/>
    </xf>
    <xf numFmtId="180" fontId="254" fillId="40" borderId="888" xfId="11" applyNumberFormat="1" applyFont="1" applyFill="1" applyBorder="1" applyAlignment="1">
      <alignment horizontal="center" vertical="center" wrapText="1"/>
    </xf>
    <xf numFmtId="180" fontId="254" fillId="40" borderId="1058" xfId="11" applyNumberFormat="1" applyFont="1" applyFill="1" applyBorder="1" applyAlignment="1">
      <alignment horizontal="center" vertical="center" wrapText="1"/>
    </xf>
    <xf numFmtId="206" fontId="219" fillId="40" borderId="887" xfId="11" applyNumberFormat="1" applyFont="1" applyFill="1" applyBorder="1" applyAlignment="1">
      <alignment horizontal="center" vertical="center"/>
    </xf>
    <xf numFmtId="206" fontId="247" fillId="0" borderId="1059" xfId="11" applyNumberFormat="1" applyFont="1" applyBorder="1" applyAlignment="1">
      <alignment horizontal="center" vertical="center" wrapText="1"/>
    </xf>
    <xf numFmtId="0" fontId="255" fillId="40" borderId="1060" xfId="11" applyFont="1" applyFill="1" applyBorder="1" applyAlignment="1">
      <alignment vertical="center" wrapText="1"/>
    </xf>
    <xf numFmtId="0" fontId="255" fillId="40" borderId="1061" xfId="11" applyFont="1" applyFill="1" applyBorder="1" applyAlignment="1">
      <alignment vertical="center"/>
    </xf>
    <xf numFmtId="206" fontId="219" fillId="40" borderId="1061" xfId="11" applyNumberFormat="1" applyFont="1" applyFill="1" applyBorder="1" applyAlignment="1">
      <alignment vertical="center"/>
    </xf>
    <xf numFmtId="206" fontId="219" fillId="40" borderId="1062" xfId="11" applyNumberFormat="1" applyFont="1" applyFill="1" applyBorder="1" applyAlignment="1">
      <alignment vertical="center"/>
    </xf>
    <xf numFmtId="0" fontId="256" fillId="59" borderId="377" xfId="11" applyFont="1" applyFill="1" applyBorder="1" applyAlignment="1">
      <alignment horizontal="center" vertical="center" wrapText="1"/>
    </xf>
    <xf numFmtId="0" fontId="254" fillId="59" borderId="1020" xfId="11" applyFont="1" applyFill="1" applyBorder="1" applyAlignment="1">
      <alignment horizontal="left" vertical="center" wrapText="1"/>
    </xf>
    <xf numFmtId="0" fontId="254" fillId="59" borderId="378" xfId="11" applyFont="1" applyFill="1" applyBorder="1" applyAlignment="1">
      <alignment horizontal="left" vertical="center" wrapText="1"/>
    </xf>
    <xf numFmtId="206" fontId="230" fillId="59" borderId="378" xfId="11" applyNumberFormat="1" applyFont="1" applyFill="1" applyBorder="1" applyAlignment="1">
      <alignment horizontal="center" vertical="center" wrapText="1"/>
    </xf>
    <xf numFmtId="0" fontId="254" fillId="59" borderId="378" xfId="11" applyFont="1" applyFill="1" applyBorder="1" applyAlignment="1">
      <alignment horizontal="center" vertical="center" wrapText="1"/>
    </xf>
    <xf numFmtId="180" fontId="254" fillId="59" borderId="378" xfId="11" applyNumberFormat="1" applyFont="1" applyFill="1" applyBorder="1" applyAlignment="1">
      <alignment horizontal="center" vertical="center" wrapText="1"/>
    </xf>
    <xf numFmtId="206" fontId="219" fillId="59" borderId="1023" xfId="11" applyNumberFormat="1" applyFont="1" applyFill="1" applyBorder="1" applyAlignment="1">
      <alignment horizontal="center" vertical="center"/>
    </xf>
    <xf numFmtId="206" fontId="246" fillId="59" borderId="378" xfId="11" applyNumberFormat="1" applyFont="1" applyFill="1" applyBorder="1" applyAlignment="1">
      <alignment horizontal="center" vertical="center" wrapText="1"/>
    </xf>
    <xf numFmtId="0" fontId="255" fillId="59" borderId="1063" xfId="11" applyFont="1" applyFill="1" applyBorder="1" applyAlignment="1">
      <alignment vertical="center" wrapText="1"/>
    </xf>
    <xf numFmtId="0" fontId="255" fillId="59" borderId="378" xfId="11" applyFont="1" applyFill="1" applyBorder="1" applyAlignment="1">
      <alignment vertical="center" wrapText="1"/>
    </xf>
    <xf numFmtId="0" fontId="255" fillId="59" borderId="378" xfId="11" applyFont="1" applyFill="1" applyBorder="1" applyAlignment="1">
      <alignment vertical="center"/>
    </xf>
    <xf numFmtId="206" fontId="219" fillId="59" borderId="378" xfId="11" applyNumberFormat="1" applyFont="1" applyFill="1" applyBorder="1" applyAlignment="1">
      <alignment vertical="center"/>
    </xf>
    <xf numFmtId="206" fontId="219" fillId="59" borderId="379" xfId="11" applyNumberFormat="1" applyFont="1" applyFill="1" applyBorder="1" applyAlignment="1">
      <alignment vertical="center"/>
    </xf>
    <xf numFmtId="0" fontId="257" fillId="0" borderId="0" xfId="11" applyFont="1" applyAlignment="1">
      <alignment horizontal="left" vertical="center"/>
    </xf>
    <xf numFmtId="0" fontId="257" fillId="0" borderId="0" xfId="11" applyFont="1" applyAlignment="1">
      <alignment horizontal="right" vertical="center"/>
    </xf>
    <xf numFmtId="0" fontId="257" fillId="0" borderId="0" xfId="11" applyFont="1" applyAlignment="1">
      <alignment vertical="center"/>
    </xf>
    <xf numFmtId="0" fontId="257" fillId="0" borderId="0" xfId="11" applyFont="1" applyAlignment="1">
      <alignment horizontal="center" vertical="center"/>
    </xf>
    <xf numFmtId="0" fontId="237" fillId="42" borderId="0" xfId="11" applyFont="1" applyFill="1" applyAlignment="1">
      <alignment horizontal="center" vertical="center"/>
    </xf>
    <xf numFmtId="180" fontId="237" fillId="42" borderId="0" xfId="11" applyNumberFormat="1" applyFont="1" applyFill="1" applyAlignment="1">
      <alignment horizontal="center" vertical="center"/>
    </xf>
    <xf numFmtId="0" fontId="258" fillId="0" borderId="0" xfId="11" applyFont="1" applyAlignment="1">
      <alignment vertical="center"/>
    </xf>
    <xf numFmtId="0" fontId="258" fillId="0" borderId="0" xfId="11" applyFont="1" applyAlignment="1">
      <alignment horizontal="center" vertical="center"/>
    </xf>
    <xf numFmtId="181" fontId="31" fillId="0" borderId="0" xfId="11" applyNumberFormat="1" applyFont="1" applyAlignment="1">
      <alignment horizontal="center" vertical="center"/>
    </xf>
    <xf numFmtId="38" fontId="31" fillId="0" borderId="0" xfId="1" applyFont="1" applyBorder="1" applyAlignment="1">
      <alignment horizontal="center" vertical="center"/>
    </xf>
    <xf numFmtId="49" fontId="259" fillId="0" borderId="0" xfId="11" applyNumberFormat="1" applyFont="1" applyAlignment="1">
      <alignment horizontal="center" vertical="center"/>
    </xf>
    <xf numFmtId="38" fontId="233" fillId="0" borderId="7" xfId="1" applyFont="1" applyFill="1" applyBorder="1" applyAlignment="1">
      <alignment horizontal="right" vertical="center"/>
    </xf>
    <xf numFmtId="213" fontId="230" fillId="0" borderId="5" xfId="11" applyNumberFormat="1" applyFont="1" applyBorder="1" applyAlignment="1">
      <alignment horizontal="center" vertical="center" wrapText="1"/>
    </xf>
    <xf numFmtId="181" fontId="260" fillId="0" borderId="5" xfId="11" applyNumberFormat="1" applyFont="1" applyBorder="1" applyAlignment="1">
      <alignment horizontal="center" vertical="center" wrapText="1"/>
    </xf>
    <xf numFmtId="181" fontId="260" fillId="0" borderId="7" xfId="11" applyNumberFormat="1" applyFont="1" applyBorder="1" applyAlignment="1">
      <alignment horizontal="center" vertical="center" wrapText="1"/>
    </xf>
    <xf numFmtId="181" fontId="230" fillId="0" borderId="5" xfId="11" applyNumberFormat="1" applyFont="1" applyBorder="1" applyAlignment="1">
      <alignment horizontal="left" vertical="center" wrapText="1"/>
    </xf>
    <xf numFmtId="38" fontId="230" fillId="0" borderId="7" xfId="1" applyFont="1" applyBorder="1" applyAlignment="1">
      <alignment horizontal="center" vertical="center"/>
    </xf>
    <xf numFmtId="181" fontId="230" fillId="0" borderId="28" xfId="11" applyNumberFormat="1" applyFont="1" applyBorder="1" applyAlignment="1">
      <alignment horizontal="center" vertical="center"/>
    </xf>
    <xf numFmtId="38" fontId="261" fillId="28" borderId="1038" xfId="11" applyNumberFormat="1" applyFont="1" applyFill="1" applyBorder="1" applyAlignment="1">
      <alignment horizontal="center" vertical="center"/>
    </xf>
    <xf numFmtId="215" fontId="238" fillId="0" borderId="943" xfId="1" applyNumberFormat="1" applyFont="1" applyBorder="1" applyAlignment="1">
      <alignment horizontal="right" vertical="center"/>
    </xf>
    <xf numFmtId="38" fontId="262" fillId="0" borderId="0" xfId="1" applyFont="1" applyAlignment="1">
      <alignment horizontal="center" vertical="center"/>
    </xf>
    <xf numFmtId="38" fontId="219" fillId="25" borderId="0" xfId="1" applyFont="1" applyFill="1" applyAlignment="1">
      <alignment horizontal="center" vertical="center"/>
    </xf>
    <xf numFmtId="213" fontId="232" fillId="0" borderId="5" xfId="11" applyNumberFormat="1" applyFont="1" applyBorder="1" applyAlignment="1">
      <alignment horizontal="center" vertical="center"/>
    </xf>
    <xf numFmtId="213" fontId="233" fillId="0" borderId="5" xfId="11" applyNumberFormat="1" applyFont="1" applyBorder="1" applyAlignment="1">
      <alignment horizontal="center" vertical="center"/>
    </xf>
    <xf numFmtId="0" fontId="263" fillId="0" borderId="88" xfId="11" applyFont="1" applyBorder="1" applyAlignment="1">
      <alignment horizontal="center" vertical="center"/>
    </xf>
    <xf numFmtId="213" fontId="263" fillId="0" borderId="9" xfId="11" applyNumberFormat="1" applyFont="1" applyBorder="1" applyAlignment="1">
      <alignment horizontal="center" vertical="center" wrapText="1"/>
    </xf>
    <xf numFmtId="181" fontId="264" fillId="24" borderId="5" xfId="11" applyNumberFormat="1" applyFont="1" applyFill="1" applyBorder="1" applyAlignment="1">
      <alignment horizontal="center" vertical="center" wrapText="1"/>
    </xf>
    <xf numFmtId="181" fontId="263" fillId="0" borderId="5" xfId="11" applyNumberFormat="1" applyFont="1" applyBorder="1" applyAlignment="1">
      <alignment horizontal="left" vertical="center" wrapText="1"/>
    </xf>
    <xf numFmtId="181" fontId="263" fillId="0" borderId="53" xfId="11" applyNumberFormat="1" applyFont="1" applyBorder="1" applyAlignment="1">
      <alignment vertical="center"/>
    </xf>
    <xf numFmtId="0" fontId="263" fillId="0" borderId="9" xfId="11" applyFont="1" applyBorder="1" applyAlignment="1">
      <alignment horizontal="center" vertical="center"/>
    </xf>
    <xf numFmtId="38" fontId="263" fillId="0" borderId="7" xfId="1" applyFont="1" applyBorder="1" applyAlignment="1">
      <alignment horizontal="center" vertical="center"/>
    </xf>
    <xf numFmtId="181" fontId="263" fillId="0" borderId="28" xfId="11" applyNumberFormat="1" applyFont="1" applyBorder="1" applyAlignment="1">
      <alignment horizontal="center" vertical="center"/>
    </xf>
    <xf numFmtId="38" fontId="263" fillId="0" borderId="8" xfId="1" applyFont="1" applyBorder="1" applyAlignment="1">
      <alignment horizontal="center" vertical="center"/>
    </xf>
    <xf numFmtId="49" fontId="263" fillId="0" borderId="8" xfId="11" applyNumberFormat="1" applyFont="1" applyBorder="1" applyAlignment="1">
      <alignment horizontal="center" vertical="center"/>
    </xf>
    <xf numFmtId="38" fontId="263" fillId="0" borderId="7" xfId="1" applyFont="1" applyBorder="1" applyAlignment="1">
      <alignment horizontal="right" vertical="center"/>
    </xf>
    <xf numFmtId="49" fontId="263" fillId="0" borderId="5" xfId="11" applyNumberFormat="1" applyFont="1" applyBorder="1" applyAlignment="1">
      <alignment horizontal="center" vertical="center"/>
    </xf>
    <xf numFmtId="0" fontId="263" fillId="28" borderId="1036" xfId="11" applyFont="1" applyFill="1" applyBorder="1" applyAlignment="1">
      <alignment horizontal="center" vertical="center"/>
    </xf>
    <xf numFmtId="0" fontId="263" fillId="28" borderId="1037" xfId="11" applyFont="1" applyFill="1" applyBorder="1" applyAlignment="1">
      <alignment horizontal="center" vertical="center"/>
    </xf>
    <xf numFmtId="0" fontId="263" fillId="28" borderId="1039" xfId="11" applyFont="1" applyFill="1" applyBorder="1" applyAlignment="1">
      <alignment horizontal="center" vertical="center"/>
    </xf>
    <xf numFmtId="0" fontId="263" fillId="28" borderId="1038" xfId="11" applyFont="1" applyFill="1" applyBorder="1" applyAlignment="1">
      <alignment horizontal="center" vertical="center"/>
    </xf>
    <xf numFmtId="181" fontId="263" fillId="0" borderId="1040" xfId="11" applyNumberFormat="1" applyFont="1" applyBorder="1" applyAlignment="1">
      <alignment horizontal="center" vertical="center"/>
    </xf>
    <xf numFmtId="206" fontId="263" fillId="0" borderId="1038" xfId="1" applyNumberFormat="1" applyFont="1" applyBorder="1" applyAlignment="1">
      <alignment horizontal="center" vertical="center"/>
    </xf>
    <xf numFmtId="206" fontId="263" fillId="0" borderId="1040" xfId="11" applyNumberFormat="1" applyFont="1" applyBorder="1" applyAlignment="1">
      <alignment horizontal="center" vertical="center"/>
    </xf>
    <xf numFmtId="38" fontId="263" fillId="28" borderId="1038" xfId="1" applyFont="1" applyFill="1" applyBorder="1" applyAlignment="1">
      <alignment horizontal="center" vertical="center"/>
    </xf>
    <xf numFmtId="181" fontId="263" fillId="28" borderId="1041" xfId="11" applyNumberFormat="1" applyFont="1" applyFill="1" applyBorder="1" applyAlignment="1">
      <alignment vertical="center"/>
    </xf>
    <xf numFmtId="181" fontId="156" fillId="0" borderId="38" xfId="0" applyNumberFormat="1" applyFont="1" applyBorder="1" applyProtection="1">
      <alignment vertical="center"/>
      <protection locked="0"/>
    </xf>
    <xf numFmtId="0" fontId="265" fillId="0" borderId="0" xfId="11" applyFont="1" applyAlignment="1">
      <alignment horizontal="center" vertical="center"/>
    </xf>
    <xf numFmtId="181" fontId="156" fillId="0" borderId="0" xfId="0" applyNumberFormat="1" applyFont="1" applyProtection="1">
      <alignment vertical="center"/>
      <protection locked="0"/>
    </xf>
    <xf numFmtId="0" fontId="266" fillId="0" borderId="0" xfId="11" applyFont="1" applyAlignment="1">
      <alignment horizontal="center" vertical="center"/>
    </xf>
    <xf numFmtId="181" fontId="78" fillId="0" borderId="0" xfId="0" applyNumberFormat="1" applyFont="1" applyAlignment="1" applyProtection="1">
      <alignment horizontal="center" vertical="center" wrapText="1"/>
      <protection locked="0"/>
    </xf>
    <xf numFmtId="180" fontId="248" fillId="0" borderId="959" xfId="11" applyNumberFormat="1" applyFont="1" applyBorder="1" applyAlignment="1">
      <alignment horizontal="center" vertical="center" shrinkToFit="1"/>
    </xf>
    <xf numFmtId="180" fontId="248" fillId="0" borderId="956" xfId="11" applyNumberFormat="1" applyFont="1" applyBorder="1" applyAlignment="1">
      <alignment horizontal="center" vertical="center" shrinkToFit="1"/>
    </xf>
    <xf numFmtId="180" fontId="230" fillId="0" borderId="433" xfId="11" applyNumberFormat="1" applyFont="1" applyBorder="1" applyAlignment="1">
      <alignment horizontal="center" vertical="center" wrapText="1"/>
    </xf>
    <xf numFmtId="0" fontId="230" fillId="0" borderId="445" xfId="11" applyFont="1" applyBorder="1" applyAlignment="1">
      <alignment horizontal="center" vertical="center" wrapText="1"/>
    </xf>
    <xf numFmtId="180" fontId="230" fillId="0" borderId="434" xfId="11" applyNumberFormat="1" applyFont="1" applyBorder="1" applyAlignment="1">
      <alignment horizontal="center" vertical="center" wrapText="1"/>
    </xf>
    <xf numFmtId="0" fontId="230" fillId="0" borderId="434" xfId="11" applyFont="1" applyBorder="1" applyAlignment="1">
      <alignment horizontal="center" vertical="center" wrapText="1"/>
    </xf>
    <xf numFmtId="180" fontId="230" fillId="0" borderId="96" xfId="11" applyNumberFormat="1" applyFont="1" applyBorder="1" applyAlignment="1">
      <alignment horizontal="center" vertical="center" wrapText="1"/>
    </xf>
    <xf numFmtId="38" fontId="228" fillId="0" borderId="0" xfId="1" applyFont="1" applyAlignment="1">
      <alignment horizontal="center" vertical="center"/>
    </xf>
    <xf numFmtId="38" fontId="230" fillId="0" borderId="9" xfId="1" applyFont="1" applyBorder="1" applyAlignment="1">
      <alignment horizontal="center" vertical="center" wrapText="1"/>
    </xf>
    <xf numFmtId="180" fontId="230" fillId="0" borderId="436" xfId="11" applyNumberFormat="1" applyFont="1" applyBorder="1" applyAlignment="1">
      <alignment horizontal="center" vertical="center" wrapText="1"/>
    </xf>
    <xf numFmtId="0" fontId="252" fillId="0" borderId="434" xfId="11" applyFont="1" applyBorder="1" applyAlignment="1">
      <alignment horizontal="center" vertical="center" wrapText="1"/>
    </xf>
    <xf numFmtId="0" fontId="228" fillId="0" borderId="1064" xfId="11" applyFont="1" applyBorder="1" applyAlignment="1">
      <alignment horizontal="center" vertical="center" wrapText="1"/>
    </xf>
    <xf numFmtId="0" fontId="254" fillId="40" borderId="1040" xfId="11" applyFont="1" applyFill="1" applyBorder="1" applyAlignment="1">
      <alignment horizontal="left" vertical="center" wrapText="1"/>
    </xf>
    <xf numFmtId="206" fontId="230" fillId="8" borderId="1038" xfId="11" applyNumberFormat="1" applyFont="1" applyFill="1" applyBorder="1" applyAlignment="1">
      <alignment horizontal="center" vertical="center" wrapText="1"/>
    </xf>
    <xf numFmtId="0" fontId="254" fillId="40" borderId="1065" xfId="11" applyFont="1" applyFill="1" applyBorder="1" applyAlignment="1">
      <alignment horizontal="center" vertical="center" wrapText="1"/>
    </xf>
    <xf numFmtId="180" fontId="254" fillId="40" borderId="1038" xfId="11" applyNumberFormat="1" applyFont="1" applyFill="1" applyBorder="1" applyAlignment="1">
      <alignment horizontal="center" vertical="center" wrapText="1"/>
    </xf>
    <xf numFmtId="180" fontId="254" fillId="40" borderId="1066" xfId="11" applyNumberFormat="1" applyFont="1" applyFill="1" applyBorder="1" applyAlignment="1">
      <alignment horizontal="center" vertical="center" wrapText="1"/>
    </xf>
    <xf numFmtId="206" fontId="230" fillId="0" borderId="1067" xfId="11" applyNumberFormat="1" applyFont="1" applyBorder="1" applyAlignment="1">
      <alignment horizontal="center" vertical="center" wrapText="1"/>
    </xf>
    <xf numFmtId="0" fontId="255" fillId="40" borderId="1068" xfId="11" applyFont="1" applyFill="1" applyBorder="1" applyAlignment="1">
      <alignment vertical="center" wrapText="1"/>
    </xf>
    <xf numFmtId="0" fontId="255" fillId="40" borderId="1069" xfId="11" applyFont="1" applyFill="1" applyBorder="1" applyAlignment="1">
      <alignment vertical="center"/>
    </xf>
    <xf numFmtId="206" fontId="219" fillId="40" borderId="1069" xfId="11" applyNumberFormat="1" applyFont="1" applyFill="1" applyBorder="1" applyAlignment="1">
      <alignment vertical="center"/>
    </xf>
    <xf numFmtId="206" fontId="219" fillId="40" borderId="1070" xfId="11" applyNumberFormat="1" applyFont="1" applyFill="1" applyBorder="1" applyAlignment="1">
      <alignment vertical="center"/>
    </xf>
    <xf numFmtId="0" fontId="256" fillId="0" borderId="377" xfId="11" applyFont="1" applyBorder="1" applyAlignment="1">
      <alignment horizontal="center" vertical="center" wrapText="1"/>
    </xf>
    <xf numFmtId="0" fontId="254" fillId="25" borderId="1020" xfId="11" applyFont="1" applyFill="1" applyBorder="1" applyAlignment="1">
      <alignment horizontal="left" vertical="center" wrapText="1"/>
    </xf>
    <xf numFmtId="0" fontId="254" fillId="25" borderId="378" xfId="11" applyFont="1" applyFill="1" applyBorder="1" applyAlignment="1">
      <alignment horizontal="left" vertical="center" wrapText="1"/>
    </xf>
    <xf numFmtId="206" fontId="230" fillId="25" borderId="378" xfId="11" applyNumberFormat="1" applyFont="1" applyFill="1" applyBorder="1" applyAlignment="1">
      <alignment horizontal="center" vertical="center" wrapText="1"/>
    </xf>
    <xf numFmtId="0" fontId="254" fillId="25" borderId="378" xfId="11" applyFont="1" applyFill="1" applyBorder="1" applyAlignment="1">
      <alignment horizontal="center" vertical="center" wrapText="1"/>
    </xf>
    <xf numFmtId="180" fontId="254" fillId="25" borderId="378" xfId="11" applyNumberFormat="1" applyFont="1" applyFill="1" applyBorder="1" applyAlignment="1">
      <alignment horizontal="center" vertical="center" wrapText="1"/>
    </xf>
    <xf numFmtId="206" fontId="219" fillId="25" borderId="1023" xfId="11" applyNumberFormat="1" applyFont="1" applyFill="1" applyBorder="1" applyAlignment="1">
      <alignment horizontal="center" vertical="center"/>
    </xf>
    <xf numFmtId="206" fontId="246" fillId="0" borderId="1071" xfId="11" applyNumberFormat="1" applyFont="1" applyBorder="1" applyAlignment="1">
      <alignment horizontal="center" vertical="center" wrapText="1"/>
    </xf>
    <xf numFmtId="0" fontId="255" fillId="40" borderId="1063" xfId="11" applyFont="1" applyFill="1" applyBorder="1" applyAlignment="1">
      <alignment vertical="center" wrapText="1"/>
    </xf>
    <xf numFmtId="0" fontId="255" fillId="40" borderId="378" xfId="11" applyFont="1" applyFill="1" applyBorder="1" applyAlignment="1">
      <alignment vertical="center" wrapText="1"/>
    </xf>
    <xf numFmtId="0" fontId="255" fillId="40" borderId="378" xfId="11" applyFont="1" applyFill="1" applyBorder="1" applyAlignment="1">
      <alignment vertical="center"/>
    </xf>
    <xf numFmtId="206" fontId="219" fillId="40" borderId="378" xfId="11" applyNumberFormat="1" applyFont="1" applyFill="1" applyBorder="1" applyAlignment="1">
      <alignment vertical="center"/>
    </xf>
    <xf numFmtId="206" fontId="219" fillId="40" borderId="379" xfId="11" applyNumberFormat="1" applyFont="1" applyFill="1" applyBorder="1" applyAlignment="1">
      <alignment vertical="center"/>
    </xf>
    <xf numFmtId="0" fontId="267" fillId="0" borderId="0" xfId="11" applyFont="1" applyAlignment="1">
      <alignment horizontal="left" vertical="center"/>
    </xf>
    <xf numFmtId="0" fontId="250" fillId="0" borderId="956" xfId="11" applyFont="1" applyBorder="1" applyAlignment="1">
      <alignment horizontal="center" vertical="center" shrinkToFit="1"/>
    </xf>
    <xf numFmtId="0" fontId="250" fillId="0" borderId="957" xfId="11" applyFont="1" applyBorder="1" applyAlignment="1">
      <alignment horizontal="center" vertical="center" shrinkToFit="1"/>
    </xf>
    <xf numFmtId="0" fontId="250" fillId="0" borderId="86" xfId="11" applyFont="1" applyBorder="1" applyAlignment="1">
      <alignment horizontal="center" vertical="center" shrinkToFit="1"/>
    </xf>
    <xf numFmtId="180" fontId="250" fillId="0" borderId="957" xfId="11" applyNumberFormat="1" applyFont="1" applyBorder="1" applyAlignment="1">
      <alignment horizontal="center" vertical="center" shrinkToFit="1"/>
    </xf>
    <xf numFmtId="180" fontId="250" fillId="0" borderId="958" xfId="11" applyNumberFormat="1" applyFont="1" applyBorder="1" applyAlignment="1">
      <alignment horizontal="center" vertical="center" shrinkToFit="1"/>
    </xf>
    <xf numFmtId="180" fontId="250" fillId="0" borderId="1051" xfId="11" applyNumberFormat="1" applyFont="1" applyBorder="1" applyAlignment="1">
      <alignment horizontal="center" vertical="center" shrinkToFit="1"/>
    </xf>
    <xf numFmtId="180" fontId="250" fillId="0" borderId="86" xfId="11" applyNumberFormat="1" applyFont="1" applyBorder="1" applyAlignment="1">
      <alignment horizontal="center" vertical="center" shrinkToFit="1"/>
    </xf>
    <xf numFmtId="0" fontId="250" fillId="0" borderId="1052" xfId="11" applyFont="1" applyBorder="1" applyAlignment="1">
      <alignment horizontal="center" vertical="center" shrinkToFit="1"/>
    </xf>
    <xf numFmtId="0" fontId="250" fillId="0" borderId="958" xfId="11" applyFont="1" applyBorder="1" applyAlignment="1">
      <alignment horizontal="center" vertical="center" shrinkToFit="1"/>
    </xf>
    <xf numFmtId="180" fontId="250" fillId="0" borderId="1053" xfId="11" applyNumberFormat="1" applyFont="1" applyBorder="1" applyAlignment="1">
      <alignment horizontal="center" vertical="center" shrinkToFit="1"/>
    </xf>
    <xf numFmtId="213" fontId="230" fillId="0" borderId="9" xfId="11" applyNumberFormat="1" applyFont="1" applyBorder="1" applyAlignment="1">
      <alignment horizontal="center" vertical="center" wrapText="1"/>
    </xf>
    <xf numFmtId="0" fontId="268" fillId="24" borderId="5" xfId="11" applyFont="1" applyFill="1" applyBorder="1" applyAlignment="1">
      <alignment horizontal="center" vertical="center" shrinkToFit="1"/>
    </xf>
    <xf numFmtId="180" fontId="230" fillId="0" borderId="8" xfId="11" applyNumberFormat="1" applyFont="1" applyBorder="1" applyAlignment="1">
      <alignment horizontal="center" vertical="center" wrapText="1"/>
    </xf>
    <xf numFmtId="206" fontId="228" fillId="40" borderId="1040" xfId="11" applyNumberFormat="1" applyFont="1" applyFill="1" applyBorder="1" applyAlignment="1">
      <alignment horizontal="center" vertical="center"/>
    </xf>
    <xf numFmtId="0" fontId="254" fillId="40" borderId="1068" xfId="11" applyFont="1" applyFill="1" applyBorder="1" applyAlignment="1">
      <alignment vertical="center" wrapText="1"/>
    </xf>
    <xf numFmtId="0" fontId="254" fillId="40" borderId="1069" xfId="11" applyFont="1" applyFill="1" applyBorder="1" applyAlignment="1">
      <alignment vertical="center"/>
    </xf>
    <xf numFmtId="206" fontId="228" fillId="40" borderId="1069" xfId="11" applyNumberFormat="1" applyFont="1" applyFill="1" applyBorder="1" applyAlignment="1">
      <alignment vertical="center"/>
    </xf>
    <xf numFmtId="206" fontId="228" fillId="40" borderId="1070" xfId="11" applyNumberFormat="1" applyFont="1" applyFill="1" applyBorder="1" applyAlignment="1">
      <alignment vertical="center"/>
    </xf>
    <xf numFmtId="206" fontId="246" fillId="0" borderId="1071" xfId="11" applyNumberFormat="1" applyFont="1" applyBorder="1" applyAlignment="1">
      <alignment horizontal="center" vertical="center"/>
    </xf>
    <xf numFmtId="0" fontId="252" fillId="0" borderId="445" xfId="11" applyFont="1" applyBorder="1" applyAlignment="1">
      <alignment horizontal="center" vertical="center" wrapText="1"/>
    </xf>
    <xf numFmtId="213" fontId="228" fillId="0" borderId="9" xfId="11" applyNumberFormat="1" applyFont="1" applyBorder="1" applyAlignment="1">
      <alignment horizontal="center" vertical="center"/>
    </xf>
    <xf numFmtId="213" fontId="228" fillId="0" borderId="5" xfId="11" applyNumberFormat="1" applyFont="1" applyBorder="1" applyAlignment="1">
      <alignment horizontal="center" vertical="center"/>
    </xf>
    <xf numFmtId="0" fontId="229" fillId="0" borderId="5" xfId="11" applyFont="1" applyBorder="1" applyAlignment="1">
      <alignment horizontal="center" vertical="center" shrinkToFit="1"/>
    </xf>
    <xf numFmtId="216" fontId="230" fillId="0" borderId="9" xfId="11" applyNumberFormat="1" applyFont="1" applyBorder="1" applyAlignment="1">
      <alignment horizontal="center" vertical="center" wrapText="1"/>
    </xf>
    <xf numFmtId="216" fontId="230" fillId="0" borderId="266" xfId="11" applyNumberFormat="1" applyFont="1" applyBorder="1" applyAlignment="1">
      <alignment horizontal="center" vertical="center" wrapText="1"/>
    </xf>
    <xf numFmtId="216" fontId="230" fillId="0" borderId="97" xfId="11" applyNumberFormat="1" applyFont="1" applyBorder="1" applyAlignment="1">
      <alignment horizontal="center" vertical="center" wrapText="1"/>
    </xf>
    <xf numFmtId="0" fontId="229" fillId="0" borderId="28" xfId="11" applyFont="1" applyBorder="1" applyAlignment="1">
      <alignment horizontal="center" vertical="center" shrinkToFit="1"/>
    </xf>
    <xf numFmtId="180" fontId="230" fillId="0" borderId="97" xfId="11" applyNumberFormat="1" applyFont="1" applyBorder="1" applyAlignment="1">
      <alignment horizontal="center" vertical="center" wrapText="1"/>
    </xf>
    <xf numFmtId="0" fontId="230" fillId="0" borderId="457" xfId="11" applyFont="1" applyBorder="1" applyAlignment="1">
      <alignment horizontal="center" vertical="center" wrapText="1"/>
    </xf>
    <xf numFmtId="180" fontId="230" fillId="0" borderId="447" xfId="11" applyNumberFormat="1" applyFont="1" applyBorder="1" applyAlignment="1">
      <alignment horizontal="center" vertical="center" wrapText="1"/>
    </xf>
    <xf numFmtId="0" fontId="230" fillId="0" borderId="447" xfId="11" applyFont="1" applyBorder="1" applyAlignment="1">
      <alignment horizontal="center" vertical="center" wrapText="1"/>
    </xf>
    <xf numFmtId="180" fontId="230" fillId="0" borderId="947" xfId="11" applyNumberFormat="1" applyFont="1" applyBorder="1" applyAlignment="1">
      <alignment horizontal="center" vertical="center" wrapText="1"/>
    </xf>
    <xf numFmtId="206" fontId="230" fillId="0" borderId="1059" xfId="11" applyNumberFormat="1" applyFont="1" applyBorder="1" applyAlignment="1">
      <alignment horizontal="center" vertical="center" wrapText="1"/>
    </xf>
    <xf numFmtId="206" fontId="246" fillId="0" borderId="378" xfId="11" applyNumberFormat="1" applyFont="1" applyBorder="1" applyAlignment="1">
      <alignment horizontal="center" vertical="center" wrapText="1"/>
    </xf>
    <xf numFmtId="215" fontId="238" fillId="0" borderId="51" xfId="1" applyNumberFormat="1" applyFont="1" applyBorder="1" applyAlignment="1">
      <alignment horizontal="right" vertical="center"/>
    </xf>
    <xf numFmtId="215" fontId="239" fillId="0" borderId="1030" xfId="1" applyNumberFormat="1" applyFont="1" applyBorder="1" applyAlignment="1">
      <alignment horizontal="right" vertical="center"/>
    </xf>
    <xf numFmtId="213" fontId="269" fillId="0" borderId="9" xfId="11" applyNumberFormat="1" applyFont="1" applyBorder="1" applyAlignment="1">
      <alignment horizontal="center" vertical="center" wrapText="1"/>
    </xf>
    <xf numFmtId="0" fontId="270" fillId="0" borderId="88" xfId="11" applyFont="1" applyBorder="1" applyAlignment="1">
      <alignment horizontal="center" vertical="center"/>
    </xf>
    <xf numFmtId="213" fontId="271" fillId="0" borderId="5" xfId="11" applyNumberFormat="1" applyFont="1" applyBorder="1" applyAlignment="1">
      <alignment horizontal="center" vertical="center"/>
    </xf>
    <xf numFmtId="181" fontId="271" fillId="0" borderId="5" xfId="11" applyNumberFormat="1" applyFont="1" applyBorder="1" applyAlignment="1">
      <alignment horizontal="center" vertical="center" wrapText="1"/>
    </xf>
    <xf numFmtId="181" fontId="271" fillId="0" borderId="5" xfId="11" applyNumberFormat="1" applyFont="1" applyBorder="1" applyAlignment="1">
      <alignment horizontal="left" vertical="center" wrapText="1"/>
    </xf>
    <xf numFmtId="38" fontId="271" fillId="0" borderId="5" xfId="1" applyFont="1" applyFill="1" applyBorder="1" applyAlignment="1">
      <alignment horizontal="center" vertical="center"/>
    </xf>
    <xf numFmtId="181" fontId="271" fillId="0" borderId="5" xfId="11" applyNumberFormat="1" applyFont="1" applyBorder="1" applyAlignment="1">
      <alignment horizontal="center" vertical="center"/>
    </xf>
    <xf numFmtId="181" fontId="271" fillId="0" borderId="40" xfId="11" applyNumberFormat="1" applyFont="1" applyBorder="1" applyAlignment="1">
      <alignment horizontal="center" vertical="center"/>
    </xf>
    <xf numFmtId="38" fontId="271" fillId="0" borderId="8" xfId="1" applyFont="1" applyFill="1" applyBorder="1" applyAlignment="1">
      <alignment horizontal="center" vertical="center"/>
    </xf>
    <xf numFmtId="49" fontId="272" fillId="0" borderId="8" xfId="11" applyNumberFormat="1" applyFont="1" applyBorder="1" applyAlignment="1">
      <alignment horizontal="center" vertical="center"/>
    </xf>
    <xf numFmtId="38" fontId="271" fillId="0" borderId="7" xfId="1" applyFont="1" applyFill="1" applyBorder="1" applyAlignment="1">
      <alignment horizontal="right" vertical="center"/>
    </xf>
    <xf numFmtId="38" fontId="271" fillId="0" borderId="7" xfId="1" applyFont="1" applyFill="1" applyBorder="1" applyAlignment="1">
      <alignment horizontal="center" vertical="center"/>
    </xf>
    <xf numFmtId="49" fontId="272" fillId="0" borderId="5" xfId="11" applyNumberFormat="1" applyFont="1" applyBorder="1" applyAlignment="1">
      <alignment horizontal="center" vertical="center"/>
    </xf>
    <xf numFmtId="213" fontId="263" fillId="0" borderId="7" xfId="11" applyNumberFormat="1" applyFont="1" applyBorder="1" applyAlignment="1">
      <alignment horizontal="center" vertical="center" wrapText="1"/>
    </xf>
    <xf numFmtId="0" fontId="239" fillId="0" borderId="0" xfId="11" applyFont="1" applyAlignment="1">
      <alignment horizontal="center" vertical="distributed"/>
    </xf>
    <xf numFmtId="0" fontId="228" fillId="0" borderId="0" xfId="11" applyFont="1" applyAlignment="1">
      <alignment vertical="center"/>
    </xf>
    <xf numFmtId="215" fontId="239" fillId="0" borderId="0" xfId="1" applyNumberFormat="1" applyFont="1" applyAlignment="1">
      <alignment horizontal="right" vertical="center"/>
    </xf>
    <xf numFmtId="0" fontId="228" fillId="0" borderId="0" xfId="11" applyFont="1" applyAlignment="1">
      <alignment horizontal="center" vertical="center"/>
    </xf>
    <xf numFmtId="38" fontId="273" fillId="0" borderId="0" xfId="1" applyFont="1">
      <alignment vertical="center"/>
    </xf>
    <xf numFmtId="0" fontId="240" fillId="0" borderId="0" xfId="11" applyFont="1" applyAlignment="1">
      <alignment horizontal="left" vertical="center"/>
    </xf>
    <xf numFmtId="213" fontId="229" fillId="0" borderId="9" xfId="11" applyNumberFormat="1" applyFont="1" applyBorder="1" applyAlignment="1">
      <alignment horizontal="center" vertical="center" wrapText="1"/>
    </xf>
    <xf numFmtId="216" fontId="229" fillId="0" borderId="9" xfId="11" applyNumberFormat="1" applyFont="1" applyBorder="1" applyAlignment="1">
      <alignment horizontal="center" vertical="center" wrapText="1"/>
    </xf>
    <xf numFmtId="216" fontId="229" fillId="0" borderId="5" xfId="11" applyNumberFormat="1" applyFont="1" applyBorder="1" applyAlignment="1">
      <alignment horizontal="center" vertical="center" wrapText="1"/>
    </xf>
    <xf numFmtId="0" fontId="274" fillId="24" borderId="5" xfId="11" applyFont="1" applyFill="1" applyBorder="1" applyAlignment="1">
      <alignment horizontal="center" vertical="center" shrinkToFit="1"/>
    </xf>
    <xf numFmtId="180" fontId="230" fillId="0" borderId="9" xfId="11" applyNumberFormat="1" applyFont="1" applyBorder="1" applyAlignment="1">
      <alignment vertical="center" wrapText="1"/>
    </xf>
    <xf numFmtId="216" fontId="230" fillId="0" borderId="9" xfId="11" applyNumberFormat="1" applyFont="1" applyBorder="1" applyAlignment="1">
      <alignment vertical="center" wrapText="1"/>
    </xf>
    <xf numFmtId="180" fontId="230" fillId="0" borderId="5" xfId="11" applyNumberFormat="1" applyFont="1" applyBorder="1" applyAlignment="1">
      <alignment vertical="center" wrapText="1"/>
    </xf>
    <xf numFmtId="180" fontId="230" fillId="0" borderId="266" xfId="11" applyNumberFormat="1" applyFont="1" applyBorder="1" applyAlignment="1">
      <alignment vertical="center" wrapText="1"/>
    </xf>
    <xf numFmtId="216" fontId="230" fillId="0" borderId="266" xfId="11" applyNumberFormat="1" applyFont="1" applyBorder="1" applyAlignment="1">
      <alignment vertical="center" wrapText="1"/>
    </xf>
    <xf numFmtId="180" fontId="230" fillId="0" borderId="97" xfId="11" applyNumberFormat="1" applyFont="1" applyBorder="1" applyAlignment="1">
      <alignment vertical="center" wrapText="1"/>
    </xf>
    <xf numFmtId="0" fontId="229" fillId="0" borderId="1064" xfId="11" applyFont="1" applyBorder="1" applyAlignment="1">
      <alignment horizontal="center" vertical="center" wrapText="1"/>
    </xf>
    <xf numFmtId="0" fontId="275" fillId="25" borderId="1020" xfId="11" applyFont="1" applyFill="1" applyBorder="1" applyAlignment="1">
      <alignment horizontal="left" vertical="center" wrapText="1"/>
    </xf>
    <xf numFmtId="0" fontId="275" fillId="25" borderId="378" xfId="11" applyFont="1" applyFill="1" applyBorder="1" applyAlignment="1">
      <alignment horizontal="left" vertical="center" wrapText="1"/>
    </xf>
    <xf numFmtId="206" fontId="276" fillId="25" borderId="378" xfId="11" applyNumberFormat="1" applyFont="1" applyFill="1" applyBorder="1" applyAlignment="1">
      <alignment horizontal="center" vertical="center" wrapText="1"/>
    </xf>
    <xf numFmtId="0" fontId="275" fillId="25" borderId="378" xfId="11" applyFont="1" applyFill="1" applyBorder="1" applyAlignment="1">
      <alignment horizontal="center" vertical="center" wrapText="1"/>
    </xf>
    <xf numFmtId="180" fontId="275" fillId="25" borderId="378" xfId="11" applyNumberFormat="1" applyFont="1" applyFill="1" applyBorder="1" applyAlignment="1">
      <alignment horizontal="center" vertical="center" wrapText="1"/>
    </xf>
    <xf numFmtId="206" fontId="228" fillId="25" borderId="378" xfId="11" applyNumberFormat="1" applyFont="1" applyFill="1" applyBorder="1" applyAlignment="1">
      <alignment horizontal="center" vertical="center"/>
    </xf>
    <xf numFmtId="0" fontId="254" fillId="40" borderId="378" xfId="11" applyFont="1" applyFill="1" applyBorder="1" applyAlignment="1">
      <alignment vertical="center" wrapText="1"/>
    </xf>
    <xf numFmtId="0" fontId="254" fillId="40" borderId="378" xfId="11" applyFont="1" applyFill="1" applyBorder="1" applyAlignment="1">
      <alignment vertical="center"/>
    </xf>
    <xf numFmtId="206" fontId="228" fillId="40" borderId="378" xfId="11" applyNumberFormat="1" applyFont="1" applyFill="1" applyBorder="1" applyAlignment="1">
      <alignment vertical="center"/>
    </xf>
    <xf numFmtId="206" fontId="228" fillId="40" borderId="379" xfId="11" applyNumberFormat="1" applyFont="1" applyFill="1" applyBorder="1" applyAlignment="1">
      <alignment vertical="center"/>
    </xf>
    <xf numFmtId="0" fontId="227" fillId="25" borderId="50" xfId="11" applyFont="1" applyFill="1" applyBorder="1" applyAlignment="1">
      <alignment horizontal="center" vertical="center" wrapText="1"/>
    </xf>
    <xf numFmtId="0" fontId="227" fillId="25" borderId="28" xfId="11" applyFont="1" applyFill="1" applyBorder="1" applyAlignment="1">
      <alignment horizontal="center" vertical="center" wrapText="1"/>
    </xf>
    <xf numFmtId="38" fontId="233" fillId="25" borderId="5" xfId="1" applyFont="1" applyFill="1" applyBorder="1" applyAlignment="1">
      <alignment horizontal="center" vertical="center"/>
    </xf>
    <xf numFmtId="0" fontId="51" fillId="0" borderId="40" xfId="0" applyFont="1" applyBorder="1" applyAlignment="1">
      <alignment horizontal="center" vertical="center"/>
    </xf>
    <xf numFmtId="38" fontId="228" fillId="25" borderId="7" xfId="1" applyFont="1" applyFill="1" applyBorder="1" applyAlignment="1">
      <alignment horizontal="center" vertical="center"/>
    </xf>
    <xf numFmtId="181" fontId="269" fillId="0" borderId="5" xfId="11" applyNumberFormat="1" applyFont="1" applyBorder="1" applyAlignment="1">
      <alignment horizontal="left" vertical="center" wrapText="1"/>
    </xf>
    <xf numFmtId="0" fontId="51" fillId="0" borderId="7" xfId="0" applyFont="1" applyBorder="1" applyAlignment="1">
      <alignment horizontal="center" vertical="center"/>
    </xf>
    <xf numFmtId="181" fontId="263" fillId="0" borderId="53" xfId="11" applyNumberFormat="1" applyFont="1" applyBorder="1" applyAlignment="1">
      <alignment vertical="center" wrapText="1"/>
    </xf>
    <xf numFmtId="0" fontId="230" fillId="0" borderId="9" xfId="11" applyFont="1" applyBorder="1" applyAlignment="1">
      <alignment horizontal="left" vertical="center" wrapText="1"/>
    </xf>
    <xf numFmtId="0" fontId="278" fillId="0" borderId="434" xfId="11" applyFont="1" applyBorder="1" applyAlignment="1">
      <alignment horizontal="center" vertical="center" wrapText="1"/>
    </xf>
    <xf numFmtId="0" fontId="274" fillId="24" borderId="28" xfId="11" applyFont="1" applyFill="1" applyBorder="1" applyAlignment="1">
      <alignment horizontal="center" vertical="center" shrinkToFit="1"/>
    </xf>
    <xf numFmtId="181" fontId="253" fillId="0" borderId="5" xfId="11" applyNumberFormat="1" applyFont="1" applyBorder="1" applyAlignment="1">
      <alignment horizontal="left" vertical="center" wrapText="1"/>
    </xf>
    <xf numFmtId="213" fontId="228" fillId="12" borderId="5" xfId="11" applyNumberFormat="1" applyFont="1" applyFill="1" applyBorder="1" applyAlignment="1">
      <alignment horizontal="center" vertical="center" wrapText="1"/>
    </xf>
    <xf numFmtId="181" fontId="233" fillId="12" borderId="5" xfId="11" applyNumberFormat="1" applyFont="1" applyFill="1" applyBorder="1" applyAlignment="1">
      <alignment horizontal="center" vertical="center" wrapText="1"/>
    </xf>
    <xf numFmtId="213" fontId="228" fillId="12" borderId="7" xfId="11" applyNumberFormat="1" applyFont="1" applyFill="1" applyBorder="1" applyAlignment="1">
      <alignment horizontal="center" vertical="center" wrapText="1"/>
    </xf>
    <xf numFmtId="181" fontId="263" fillId="12" borderId="5" xfId="11" applyNumberFormat="1" applyFont="1" applyFill="1" applyBorder="1" applyAlignment="1">
      <alignment horizontal="left" vertical="center" wrapText="1"/>
    </xf>
    <xf numFmtId="181" fontId="263" fillId="12" borderId="28" xfId="11" applyNumberFormat="1" applyFont="1" applyFill="1" applyBorder="1" applyAlignment="1">
      <alignment horizontal="center" vertical="center"/>
    </xf>
    <xf numFmtId="38" fontId="263" fillId="12" borderId="7" xfId="1" applyFont="1" applyFill="1" applyBorder="1" applyAlignment="1">
      <alignment horizontal="center" vertical="center"/>
    </xf>
    <xf numFmtId="181" fontId="233" fillId="12" borderId="40" xfId="11" applyNumberFormat="1" applyFont="1" applyFill="1" applyBorder="1" applyAlignment="1">
      <alignment horizontal="center" vertical="center"/>
    </xf>
    <xf numFmtId="38" fontId="233" fillId="12" borderId="5" xfId="1" applyFont="1" applyFill="1" applyBorder="1" applyAlignment="1">
      <alignment horizontal="center" vertical="center"/>
    </xf>
    <xf numFmtId="215" fontId="239" fillId="0" borderId="943" xfId="1" applyNumberFormat="1" applyFont="1" applyBorder="1" applyAlignment="1">
      <alignment horizontal="right" vertical="center"/>
    </xf>
    <xf numFmtId="213" fontId="230" fillId="12" borderId="39" xfId="11" applyNumberFormat="1" applyFont="1" applyFill="1" applyBorder="1" applyAlignment="1">
      <alignment horizontal="center" vertical="center" wrapText="1"/>
    </xf>
    <xf numFmtId="213" fontId="228" fillId="12" borderId="38" xfId="11" applyNumberFormat="1" applyFont="1" applyFill="1" applyBorder="1" applyAlignment="1">
      <alignment horizontal="center" vertical="center" wrapText="1"/>
    </xf>
    <xf numFmtId="216" fontId="230" fillId="0" borderId="39" xfId="11" applyNumberFormat="1" applyFont="1" applyBorder="1" applyAlignment="1">
      <alignment horizontal="center" vertical="center" wrapText="1"/>
    </xf>
    <xf numFmtId="216" fontId="230" fillId="0" borderId="27" xfId="11" applyNumberFormat="1" applyFont="1" applyBorder="1" applyAlignment="1">
      <alignment horizontal="center" vertical="center" wrapText="1"/>
    </xf>
    <xf numFmtId="0" fontId="230" fillId="12" borderId="28" xfId="11" applyFont="1" applyFill="1" applyBorder="1" applyAlignment="1">
      <alignment horizontal="center" vertical="center" shrinkToFit="1"/>
    </xf>
    <xf numFmtId="0" fontId="230" fillId="12" borderId="39" xfId="11" applyFont="1" applyFill="1" applyBorder="1" applyAlignment="1">
      <alignment horizontal="left" vertical="center" wrapText="1"/>
    </xf>
    <xf numFmtId="180" fontId="230" fillId="12" borderId="27" xfId="11" applyNumberFormat="1" applyFont="1" applyFill="1" applyBorder="1" applyAlignment="1">
      <alignment horizontal="center" vertical="center" wrapText="1"/>
    </xf>
    <xf numFmtId="0" fontId="230" fillId="12" borderId="27" xfId="11" applyFont="1" applyFill="1" applyBorder="1" applyAlignment="1">
      <alignment horizontal="center" vertical="center" wrapText="1"/>
    </xf>
    <xf numFmtId="181" fontId="279" fillId="12" borderId="5" xfId="11" applyNumberFormat="1" applyFont="1" applyFill="1" applyBorder="1" applyAlignment="1">
      <alignment horizontal="center" vertical="center" wrapText="1"/>
    </xf>
    <xf numFmtId="181" fontId="279" fillId="12" borderId="7" xfId="11" applyNumberFormat="1" applyFont="1" applyFill="1" applyBorder="1" applyAlignment="1">
      <alignment horizontal="center" vertical="center" wrapText="1"/>
    </xf>
    <xf numFmtId="38" fontId="228" fillId="0" borderId="7" xfId="1" applyFont="1" applyBorder="1" applyAlignment="1">
      <alignment horizontal="center" vertical="center" wrapText="1"/>
    </xf>
    <xf numFmtId="213" fontId="228" fillId="0" borderId="9" xfId="11" applyNumberFormat="1" applyFont="1" applyBorder="1" applyAlignment="1">
      <alignment horizontal="center" vertical="center" wrapText="1"/>
    </xf>
    <xf numFmtId="0" fontId="228" fillId="0" borderId="9" xfId="11" applyFont="1" applyBorder="1" applyAlignment="1">
      <alignment horizontal="center" vertical="center"/>
    </xf>
    <xf numFmtId="217" fontId="230" fillId="0" borderId="7" xfId="11" applyNumberFormat="1" applyFont="1" applyBorder="1" applyAlignment="1">
      <alignment horizontal="center" vertical="center" wrapText="1"/>
    </xf>
    <xf numFmtId="217" fontId="230" fillId="0" borderId="449" xfId="11" applyNumberFormat="1" applyFont="1" applyBorder="1" applyAlignment="1">
      <alignment horizontal="center" vertical="center" wrapText="1"/>
    </xf>
    <xf numFmtId="0" fontId="280" fillId="0" borderId="434" xfId="11" applyFont="1" applyBorder="1" applyAlignment="1">
      <alignment horizontal="center" vertical="center" wrapText="1"/>
    </xf>
    <xf numFmtId="213" fontId="230" fillId="12" borderId="5" xfId="11" applyNumberFormat="1" applyFont="1" applyFill="1" applyBorder="1" applyAlignment="1">
      <alignment horizontal="center" vertical="center" wrapText="1"/>
    </xf>
    <xf numFmtId="0" fontId="230" fillId="12" borderId="5" xfId="11" applyFont="1" applyFill="1" applyBorder="1" applyAlignment="1">
      <alignment horizontal="center" vertical="center" shrinkToFit="1"/>
    </xf>
    <xf numFmtId="180" fontId="230" fillId="12" borderId="9" xfId="11" applyNumberFormat="1" applyFont="1" applyFill="1" applyBorder="1" applyAlignment="1">
      <alignment horizontal="center" vertical="center" wrapText="1"/>
    </xf>
    <xf numFmtId="180" fontId="230" fillId="12" borderId="5" xfId="11" applyNumberFormat="1" applyFont="1" applyFill="1" applyBorder="1" applyAlignment="1">
      <alignment horizontal="center" vertical="center" wrapText="1"/>
    </xf>
    <xf numFmtId="0" fontId="230" fillId="12" borderId="5" xfId="11" applyFont="1" applyFill="1" applyBorder="1" applyAlignment="1">
      <alignment horizontal="center" vertical="center" wrapText="1"/>
    </xf>
    <xf numFmtId="180" fontId="230" fillId="0" borderId="643" xfId="11" applyNumberFormat="1" applyFont="1" applyBorder="1" applyAlignment="1">
      <alignment horizontal="center" vertical="center" wrapText="1"/>
    </xf>
    <xf numFmtId="206" fontId="277" fillId="0" borderId="1071" xfId="11" applyNumberFormat="1" applyFont="1" applyBorder="1" applyAlignment="1">
      <alignment horizontal="center" vertical="center" wrapText="1"/>
    </xf>
    <xf numFmtId="213" fontId="229" fillId="0" borderId="7" xfId="11" applyNumberFormat="1" applyFont="1" applyBorder="1" applyAlignment="1">
      <alignment horizontal="center" vertical="center" wrapText="1"/>
    </xf>
    <xf numFmtId="38" fontId="228" fillId="0" borderId="7" xfId="1" applyFont="1" applyFill="1" applyBorder="1" applyAlignment="1">
      <alignment horizontal="center" vertical="center"/>
    </xf>
    <xf numFmtId="213" fontId="45" fillId="0" borderId="5" xfId="11" applyNumberFormat="1" applyFont="1" applyBorder="1" applyAlignment="1">
      <alignment horizontal="center" vertical="center" wrapText="1"/>
    </xf>
    <xf numFmtId="213" fontId="88" fillId="0" borderId="5" xfId="11" applyNumberFormat="1" applyFont="1" applyBorder="1" applyAlignment="1">
      <alignment horizontal="center" vertical="center" wrapText="1"/>
    </xf>
    <xf numFmtId="216" fontId="43" fillId="0" borderId="5" xfId="11" applyNumberFormat="1" applyFont="1" applyBorder="1" applyAlignment="1">
      <alignment horizontal="center" vertical="center" wrapText="1"/>
    </xf>
    <xf numFmtId="0" fontId="43" fillId="0" borderId="5" xfId="11" applyFont="1" applyBorder="1" applyAlignment="1">
      <alignment horizontal="center" vertical="center" shrinkToFit="1"/>
    </xf>
    <xf numFmtId="0" fontId="43" fillId="0" borderId="9" xfId="11" applyFont="1" applyBorder="1" applyAlignment="1">
      <alignment horizontal="center" vertical="center" wrapText="1"/>
    </xf>
    <xf numFmtId="180" fontId="43" fillId="0" borderId="5" xfId="11" applyNumberFormat="1" applyFont="1" applyBorder="1" applyAlignment="1">
      <alignment horizontal="center" vertical="center" wrapText="1"/>
    </xf>
    <xf numFmtId="0" fontId="43" fillId="0" borderId="5" xfId="11" applyFont="1" applyBorder="1" applyAlignment="1">
      <alignment horizontal="center" vertical="center" wrapText="1"/>
    </xf>
    <xf numFmtId="217" fontId="43" fillId="0" borderId="7" xfId="11" applyNumberFormat="1" applyFont="1" applyBorder="1" applyAlignment="1">
      <alignment horizontal="center" vertical="center" wrapText="1"/>
    </xf>
    <xf numFmtId="217" fontId="43" fillId="0" borderId="449" xfId="11" applyNumberFormat="1" applyFont="1" applyBorder="1" applyAlignment="1">
      <alignment horizontal="center" vertical="center" wrapText="1"/>
    </xf>
    <xf numFmtId="180" fontId="43" fillId="0" borderId="449" xfId="11" applyNumberFormat="1" applyFont="1" applyBorder="1" applyAlignment="1">
      <alignment horizontal="center" vertical="center" wrapText="1"/>
    </xf>
    <xf numFmtId="218" fontId="43" fillId="0" borderId="449" xfId="11" applyNumberFormat="1" applyFont="1" applyBorder="1" applyAlignment="1">
      <alignment horizontal="center" vertical="center" wrapText="1"/>
    </xf>
    <xf numFmtId="0" fontId="43" fillId="0" borderId="28" xfId="11" applyFont="1" applyBorder="1" applyAlignment="1">
      <alignment horizontal="center" vertical="center" shrinkToFit="1"/>
    </xf>
    <xf numFmtId="213" fontId="281" fillId="0" borderId="5" xfId="11" applyNumberFormat="1" applyFont="1" applyBorder="1" applyAlignment="1">
      <alignment horizontal="center" vertical="center" wrapText="1"/>
    </xf>
    <xf numFmtId="213" fontId="282" fillId="0" borderId="5" xfId="11" applyNumberFormat="1" applyFont="1" applyBorder="1" applyAlignment="1">
      <alignment horizontal="center" vertical="center" wrapText="1"/>
    </xf>
    <xf numFmtId="216" fontId="282" fillId="0" borderId="5" xfId="11" applyNumberFormat="1" applyFont="1" applyBorder="1" applyAlignment="1">
      <alignment horizontal="center" vertical="center" wrapText="1"/>
    </xf>
    <xf numFmtId="180" fontId="282" fillId="0" borderId="5" xfId="11" applyNumberFormat="1" applyFont="1" applyBorder="1" applyAlignment="1">
      <alignment horizontal="center" vertical="center" wrapText="1"/>
    </xf>
    <xf numFmtId="0" fontId="230" fillId="56" borderId="434" xfId="11" applyFont="1" applyFill="1" applyBorder="1" applyAlignment="1">
      <alignment horizontal="center" vertical="center" wrapText="1"/>
    </xf>
    <xf numFmtId="180" fontId="230" fillId="56" borderId="434" xfId="11" applyNumberFormat="1" applyFont="1" applyFill="1" applyBorder="1" applyAlignment="1">
      <alignment horizontal="center" vertical="center" wrapText="1"/>
    </xf>
    <xf numFmtId="180" fontId="230" fillId="56" borderId="96" xfId="11" applyNumberFormat="1" applyFont="1" applyFill="1" applyBorder="1" applyAlignment="1">
      <alignment horizontal="center" vertical="center" wrapText="1"/>
    </xf>
    <xf numFmtId="180" fontId="43" fillId="0" borderId="9" xfId="11" applyNumberFormat="1" applyFont="1" applyBorder="1" applyAlignment="1">
      <alignment vertical="center" wrapText="1"/>
    </xf>
    <xf numFmtId="216" fontId="43" fillId="0" borderId="9" xfId="11" applyNumberFormat="1" applyFont="1" applyBorder="1" applyAlignment="1">
      <alignment horizontal="center" vertical="center" wrapText="1"/>
    </xf>
    <xf numFmtId="180" fontId="43" fillId="0" borderId="5" xfId="11" applyNumberFormat="1" applyFont="1" applyBorder="1" applyAlignment="1">
      <alignment vertical="center" wrapText="1"/>
    </xf>
    <xf numFmtId="180" fontId="43" fillId="0" borderId="7" xfId="11" applyNumberFormat="1" applyFont="1" applyBorder="1" applyAlignment="1">
      <alignment horizontal="center" vertical="center" wrapText="1"/>
    </xf>
    <xf numFmtId="180" fontId="43" fillId="0" borderId="266" xfId="11" applyNumberFormat="1" applyFont="1" applyBorder="1" applyAlignment="1">
      <alignment vertical="center" wrapText="1"/>
    </xf>
    <xf numFmtId="216" fontId="43" fillId="0" borderId="266" xfId="11" applyNumberFormat="1" applyFont="1" applyBorder="1" applyAlignment="1">
      <alignment horizontal="center" vertical="center" wrapText="1"/>
    </xf>
    <xf numFmtId="216" fontId="43" fillId="0" borderId="97" xfId="11" applyNumberFormat="1" applyFont="1" applyBorder="1" applyAlignment="1">
      <alignment horizontal="center" vertical="center" wrapText="1"/>
    </xf>
    <xf numFmtId="180" fontId="43" fillId="0" borderId="97" xfId="11" applyNumberFormat="1" applyFont="1" applyBorder="1" applyAlignment="1">
      <alignment vertical="center" wrapText="1"/>
    </xf>
    <xf numFmtId="0" fontId="43" fillId="0" borderId="97" xfId="11" applyFont="1" applyBorder="1" applyAlignment="1">
      <alignment horizontal="center" vertical="center" wrapText="1"/>
    </xf>
    <xf numFmtId="180" fontId="43" fillId="0" borderId="27" xfId="11" applyNumberFormat="1" applyFont="1" applyBorder="1" applyAlignment="1">
      <alignment horizontal="center" vertical="center" wrapText="1"/>
    </xf>
    <xf numFmtId="0" fontId="222" fillId="25" borderId="0" xfId="11" applyFont="1" applyFill="1" applyAlignment="1">
      <alignment horizontal="center" vertical="center"/>
    </xf>
    <xf numFmtId="38" fontId="228" fillId="0" borderId="7" xfId="1" applyFont="1" applyBorder="1" applyAlignment="1">
      <alignment horizontal="right" vertical="center" wrapText="1"/>
    </xf>
    <xf numFmtId="38" fontId="228" fillId="0" borderId="8" xfId="1" applyFont="1" applyBorder="1" applyAlignment="1">
      <alignment horizontal="center" vertical="center" wrapText="1"/>
    </xf>
    <xf numFmtId="0" fontId="228" fillId="25" borderId="1038" xfId="11" applyFont="1" applyFill="1" applyBorder="1" applyAlignment="1">
      <alignment horizontal="center" vertical="center"/>
    </xf>
    <xf numFmtId="38" fontId="219" fillId="25" borderId="0" xfId="1" applyFont="1" applyFill="1" applyBorder="1" applyAlignment="1">
      <alignment horizontal="center" vertical="center"/>
    </xf>
    <xf numFmtId="38" fontId="219" fillId="0" borderId="0" xfId="11" applyNumberFormat="1" applyFont="1" applyAlignment="1">
      <alignment horizontal="center" vertical="center"/>
    </xf>
    <xf numFmtId="0" fontId="240" fillId="6" borderId="0" xfId="11" applyFont="1" applyFill="1" applyAlignment="1">
      <alignment vertical="center"/>
    </xf>
    <xf numFmtId="0" fontId="219" fillId="6" borderId="0" xfId="11" applyFont="1" applyFill="1" applyAlignment="1">
      <alignment vertical="center"/>
    </xf>
    <xf numFmtId="0" fontId="219" fillId="6" borderId="0" xfId="11" applyFont="1" applyFill="1" applyAlignment="1">
      <alignment horizontal="center" vertical="center"/>
    </xf>
    <xf numFmtId="0" fontId="246" fillId="6" borderId="1049" xfId="11" applyFont="1" applyFill="1" applyBorder="1" applyAlignment="1">
      <alignment horizontal="center" vertical="center" wrapText="1"/>
    </xf>
    <xf numFmtId="0" fontId="230" fillId="0" borderId="945" xfId="11" applyFont="1" applyBorder="1" applyAlignment="1">
      <alignment horizontal="center" vertical="center" wrapText="1"/>
    </xf>
    <xf numFmtId="180" fontId="230" fillId="0" borderId="945" xfId="11" applyNumberFormat="1" applyFont="1" applyBorder="1" applyAlignment="1">
      <alignment horizontal="center" vertical="center" wrapText="1"/>
    </xf>
    <xf numFmtId="0" fontId="278" fillId="0" borderId="900" xfId="11" applyFont="1" applyBorder="1" applyAlignment="1">
      <alignment horizontal="center" vertical="center" wrapText="1"/>
    </xf>
    <xf numFmtId="180" fontId="230" fillId="0" borderId="900" xfId="11" applyNumberFormat="1" applyFont="1" applyBorder="1" applyAlignment="1">
      <alignment horizontal="center" vertical="center" wrapText="1"/>
    </xf>
    <xf numFmtId="180" fontId="230" fillId="0" borderId="946" xfId="11" applyNumberFormat="1" applyFont="1" applyBorder="1" applyAlignment="1">
      <alignment horizontal="center" vertical="center" wrapText="1"/>
    </xf>
    <xf numFmtId="0" fontId="228" fillId="0" borderId="139" xfId="11" applyFont="1" applyBorder="1" applyAlignment="1">
      <alignment horizontal="center" vertical="center" wrapText="1"/>
    </xf>
    <xf numFmtId="180" fontId="230" fillId="0" borderId="142" xfId="11" applyNumberFormat="1" applyFont="1" applyBorder="1" applyAlignment="1">
      <alignment horizontal="center" vertical="center" wrapText="1"/>
    </xf>
    <xf numFmtId="180" fontId="230" fillId="0" borderId="28" xfId="11" applyNumberFormat="1" applyFont="1" applyBorder="1" applyAlignment="1">
      <alignment horizontal="center" vertical="center" wrapText="1"/>
    </xf>
    <xf numFmtId="180" fontId="230" fillId="0" borderId="6" xfId="11" applyNumberFormat="1" applyFont="1" applyBorder="1" applyAlignment="1">
      <alignment horizontal="center" vertical="center" wrapText="1"/>
    </xf>
    <xf numFmtId="180" fontId="230" fillId="0" borderId="944" xfId="11" applyNumberFormat="1" applyFont="1" applyBorder="1" applyAlignment="1">
      <alignment horizontal="center" vertical="center" wrapText="1"/>
    </xf>
    <xf numFmtId="206" fontId="219" fillId="40" borderId="1040" xfId="11" applyNumberFormat="1" applyFont="1" applyFill="1" applyBorder="1" applyAlignment="1">
      <alignment horizontal="center" vertical="center"/>
    </xf>
    <xf numFmtId="180" fontId="237" fillId="0" borderId="0" xfId="11" applyNumberFormat="1" applyFont="1" applyAlignment="1">
      <alignment horizontal="center" vertical="center"/>
    </xf>
    <xf numFmtId="0" fontId="237" fillId="0" borderId="0" xfId="11" applyFont="1" applyAlignment="1">
      <alignment horizontal="center" vertical="center"/>
    </xf>
    <xf numFmtId="213" fontId="229" fillId="0" borderId="5" xfId="11" applyNumberFormat="1" applyFont="1" applyBorder="1" applyAlignment="1">
      <alignment horizontal="center" vertical="center" wrapText="1"/>
    </xf>
    <xf numFmtId="0" fontId="228" fillId="29" borderId="88" xfId="11" applyFont="1" applyFill="1" applyBorder="1" applyAlignment="1">
      <alignment horizontal="center" vertical="center" wrapText="1"/>
    </xf>
    <xf numFmtId="213" fontId="229" fillId="29" borderId="5" xfId="11" applyNumberFormat="1" applyFont="1" applyFill="1" applyBorder="1" applyAlignment="1">
      <alignment horizontal="center" vertical="center" wrapText="1"/>
    </xf>
    <xf numFmtId="216" fontId="230" fillId="29" borderId="5" xfId="11" applyNumberFormat="1" applyFont="1" applyFill="1" applyBorder="1" applyAlignment="1">
      <alignment horizontal="center" vertical="center" wrapText="1"/>
    </xf>
    <xf numFmtId="0" fontId="230" fillId="29" borderId="5" xfId="11" applyFont="1" applyFill="1" applyBorder="1" applyAlignment="1">
      <alignment horizontal="center" vertical="center" shrinkToFit="1"/>
    </xf>
    <xf numFmtId="180" fontId="230" fillId="29" borderId="9" xfId="11" applyNumberFormat="1" applyFont="1" applyFill="1" applyBorder="1" applyAlignment="1">
      <alignment horizontal="center" vertical="center" wrapText="1"/>
    </xf>
    <xf numFmtId="180" fontId="230" fillId="29" borderId="5" xfId="11" applyNumberFormat="1" applyFont="1" applyFill="1" applyBorder="1" applyAlignment="1">
      <alignment horizontal="center" vertical="center" wrapText="1"/>
    </xf>
    <xf numFmtId="0" fontId="230" fillId="29" borderId="5" xfId="11" applyFont="1" applyFill="1" applyBorder="1" applyAlignment="1">
      <alignment horizontal="center" vertical="center" wrapText="1"/>
    </xf>
    <xf numFmtId="180" fontId="230" fillId="29" borderId="8" xfId="11" applyNumberFormat="1" applyFont="1" applyFill="1" applyBorder="1" applyAlignment="1">
      <alignment horizontal="center" vertical="center" wrapText="1"/>
    </xf>
    <xf numFmtId="180" fontId="230" fillId="29" borderId="449" xfId="11" applyNumberFormat="1" applyFont="1" applyFill="1" applyBorder="1" applyAlignment="1">
      <alignment horizontal="center" vertical="center" wrapText="1"/>
    </xf>
    <xf numFmtId="213" fontId="229" fillId="0" borderId="27" xfId="11" applyNumberFormat="1" applyFont="1" applyBorder="1" applyAlignment="1">
      <alignment horizontal="center" vertical="center" wrapText="1"/>
    </xf>
    <xf numFmtId="0" fontId="230" fillId="0" borderId="27" xfId="11" applyFont="1" applyBorder="1" applyAlignment="1">
      <alignment horizontal="center" vertical="center" shrinkToFit="1"/>
    </xf>
    <xf numFmtId="180" fontId="230" fillId="0" borderId="39" xfId="11" applyNumberFormat="1" applyFont="1" applyBorder="1" applyAlignment="1">
      <alignment horizontal="center" vertical="center" wrapText="1"/>
    </xf>
    <xf numFmtId="0" fontId="230" fillId="0" borderId="27" xfId="11" applyFont="1" applyBorder="1" applyAlignment="1">
      <alignment horizontal="center" vertical="center" wrapText="1"/>
    </xf>
    <xf numFmtId="180" fontId="230" fillId="0" borderId="38" xfId="11" applyNumberFormat="1" applyFont="1" applyBorder="1" applyAlignment="1">
      <alignment horizontal="center" vertical="center" wrapText="1"/>
    </xf>
    <xf numFmtId="180" fontId="230" fillId="0" borderId="458" xfId="11" applyNumberFormat="1" applyFont="1" applyBorder="1" applyAlignment="1">
      <alignment horizontal="center" vertical="center" wrapText="1"/>
    </xf>
    <xf numFmtId="0" fontId="230" fillId="0" borderId="900" xfId="11" applyFont="1" applyBorder="1" applyAlignment="1">
      <alignment horizontal="center" vertical="center" wrapText="1"/>
    </xf>
    <xf numFmtId="0" fontId="228" fillId="0" borderId="181" xfId="11" applyFont="1" applyBorder="1" applyAlignment="1">
      <alignment horizontal="center" vertical="center" wrapText="1"/>
    </xf>
    <xf numFmtId="216" fontId="230" fillId="6" borderId="5" xfId="11" applyNumberFormat="1" applyFont="1" applyFill="1" applyBorder="1" applyAlignment="1">
      <alignment horizontal="center" vertical="center" wrapText="1"/>
    </xf>
    <xf numFmtId="213" fontId="229" fillId="0" borderId="97" xfId="11" applyNumberFormat="1" applyFont="1" applyBorder="1" applyAlignment="1">
      <alignment horizontal="center" vertical="center" wrapText="1"/>
    </xf>
    <xf numFmtId="216" fontId="230" fillId="6" borderId="97" xfId="11" applyNumberFormat="1" applyFont="1" applyFill="1" applyBorder="1" applyAlignment="1">
      <alignment horizontal="center" vertical="center" wrapText="1"/>
    </xf>
    <xf numFmtId="0" fontId="230" fillId="0" borderId="97" xfId="11" applyFont="1" applyBorder="1" applyAlignment="1">
      <alignment horizontal="center" vertical="center" shrinkToFit="1"/>
    </xf>
    <xf numFmtId="180" fontId="230" fillId="0" borderId="98" xfId="11" applyNumberFormat="1" applyFont="1" applyBorder="1" applyAlignment="1">
      <alignment horizontal="center" vertical="center" wrapText="1"/>
    </xf>
    <xf numFmtId="206" fontId="230" fillId="0" borderId="1072" xfId="11" applyNumberFormat="1" applyFont="1" applyBorder="1" applyAlignment="1">
      <alignment horizontal="center" vertical="center" wrapText="1"/>
    </xf>
    <xf numFmtId="38" fontId="237" fillId="0" borderId="0" xfId="1" applyFont="1" applyAlignment="1">
      <alignment horizontal="center" vertical="center"/>
    </xf>
    <xf numFmtId="38" fontId="237" fillId="60" borderId="0" xfId="1" applyFont="1" applyFill="1" applyAlignment="1">
      <alignment horizontal="center" vertical="center"/>
    </xf>
    <xf numFmtId="181" fontId="227" fillId="0" borderId="5" xfId="11" applyNumberFormat="1" applyFont="1" applyBorder="1" applyAlignment="1">
      <alignment horizontal="left" vertical="center" wrapText="1"/>
    </xf>
    <xf numFmtId="181" fontId="227" fillId="60" borderId="28" xfId="11" applyNumberFormat="1" applyFont="1" applyFill="1" applyBorder="1" applyAlignment="1">
      <alignment horizontal="center" vertical="center"/>
    </xf>
    <xf numFmtId="38" fontId="227" fillId="0" borderId="7" xfId="1" applyFont="1" applyBorder="1" applyAlignment="1">
      <alignment horizontal="center" vertical="center"/>
    </xf>
    <xf numFmtId="206" fontId="227" fillId="0" borderId="1040" xfId="11" applyNumberFormat="1" applyFont="1" applyBorder="1" applyAlignment="1">
      <alignment horizontal="center" vertical="center"/>
    </xf>
    <xf numFmtId="0" fontId="241" fillId="6" borderId="0" xfId="11" applyFont="1" applyFill="1" applyAlignment="1">
      <alignment vertical="center"/>
    </xf>
    <xf numFmtId="219" fontId="219" fillId="0" borderId="0" xfId="1" applyNumberFormat="1" applyFont="1" applyAlignment="1">
      <alignment horizontal="center" vertical="center"/>
    </xf>
    <xf numFmtId="38" fontId="269" fillId="0" borderId="7" xfId="1" applyFont="1" applyBorder="1" applyAlignment="1">
      <alignment horizontal="center" vertical="center"/>
    </xf>
    <xf numFmtId="38" fontId="285" fillId="0" borderId="7" xfId="1" applyFont="1" applyBorder="1" applyAlignment="1">
      <alignment horizontal="center" vertical="center"/>
    </xf>
    <xf numFmtId="181" fontId="228" fillId="0" borderId="53" xfId="11" applyNumberFormat="1" applyFont="1" applyBorder="1" applyAlignment="1">
      <alignment vertical="center" wrapText="1"/>
    </xf>
    <xf numFmtId="181" fontId="228" fillId="0" borderId="175" xfId="11" applyNumberFormat="1" applyFont="1" applyBorder="1" applyAlignment="1">
      <alignment vertical="center" wrapText="1"/>
    </xf>
    <xf numFmtId="181" fontId="228" fillId="0" borderId="89" xfId="11" applyNumberFormat="1" applyFont="1" applyBorder="1" applyAlignment="1">
      <alignment vertical="center" wrapText="1"/>
    </xf>
    <xf numFmtId="38" fontId="228" fillId="0" borderId="0" xfId="1" applyFont="1" applyAlignment="1">
      <alignment vertical="center"/>
    </xf>
    <xf numFmtId="0" fontId="261" fillId="0" borderId="0" xfId="11" applyFont="1" applyAlignment="1">
      <alignment vertical="center"/>
    </xf>
    <xf numFmtId="0" fontId="228" fillId="0" borderId="139" xfId="11" applyFont="1" applyBorder="1" applyAlignment="1">
      <alignment vertical="center"/>
    </xf>
    <xf numFmtId="0" fontId="286" fillId="0" borderId="0" xfId="11" applyFont="1" applyAlignment="1">
      <alignment vertical="center"/>
    </xf>
    <xf numFmtId="181" fontId="230" fillId="0" borderId="0" xfId="0" applyNumberFormat="1" applyFont="1" applyAlignment="1" applyProtection="1">
      <alignment horizontal="center" vertical="center" wrapText="1"/>
      <protection locked="0"/>
    </xf>
    <xf numFmtId="181" fontId="258" fillId="0" borderId="0" xfId="0" applyNumberFormat="1" applyFont="1" applyAlignment="1" applyProtection="1">
      <alignment horizontal="center" vertical="center" wrapText="1"/>
      <protection locked="0"/>
    </xf>
    <xf numFmtId="0" fontId="287" fillId="0" borderId="0" xfId="11" applyFont="1" applyAlignment="1">
      <alignment horizontal="left" vertical="center"/>
    </xf>
    <xf numFmtId="0" fontId="250" fillId="0" borderId="85" xfId="11" applyFont="1" applyBorder="1" applyAlignment="1">
      <alignment horizontal="center" vertical="center" wrapText="1"/>
    </xf>
    <xf numFmtId="216" fontId="250" fillId="0" borderId="86" xfId="11" applyNumberFormat="1" applyFont="1" applyBorder="1" applyAlignment="1">
      <alignment horizontal="center" vertical="center" shrinkToFit="1"/>
    </xf>
    <xf numFmtId="0" fontId="237" fillId="0" borderId="0" xfId="11" applyFont="1" applyAlignment="1">
      <alignment vertical="center"/>
    </xf>
    <xf numFmtId="0" fontId="229" fillId="0" borderId="88" xfId="11" applyFont="1" applyBorder="1" applyAlignment="1">
      <alignment horizontal="center" vertical="center" wrapText="1"/>
    </xf>
    <xf numFmtId="0" fontId="229" fillId="0" borderId="9" xfId="11" applyFont="1" applyBorder="1" applyAlignment="1">
      <alignment horizontal="center" vertical="center" wrapText="1"/>
    </xf>
    <xf numFmtId="180" fontId="229" fillId="0" borderId="5" xfId="11" applyNumberFormat="1" applyFont="1" applyBorder="1" applyAlignment="1">
      <alignment horizontal="center" vertical="center" wrapText="1"/>
    </xf>
    <xf numFmtId="0" fontId="229" fillId="0" borderId="5" xfId="11" applyFont="1" applyBorder="1" applyAlignment="1">
      <alignment horizontal="center" vertical="center" wrapText="1"/>
    </xf>
    <xf numFmtId="180" fontId="229" fillId="0" borderId="7" xfId="11" applyNumberFormat="1" applyFont="1" applyBorder="1" applyAlignment="1">
      <alignment horizontal="center" vertical="center" wrapText="1"/>
    </xf>
    <xf numFmtId="180" fontId="229" fillId="0" borderId="449" xfId="11" applyNumberFormat="1" applyFont="1" applyBorder="1" applyAlignment="1">
      <alignment horizontal="center" vertical="center" wrapText="1"/>
    </xf>
    <xf numFmtId="206" fontId="229" fillId="0" borderId="1054" xfId="11" applyNumberFormat="1" applyFont="1" applyBorder="1" applyAlignment="1">
      <alignment horizontal="center" vertical="center" wrapText="1"/>
    </xf>
    <xf numFmtId="0" fontId="229" fillId="0" borderId="445" xfId="11" applyFont="1" applyBorder="1" applyAlignment="1">
      <alignment horizontal="center" vertical="center" wrapText="1"/>
    </xf>
    <xf numFmtId="180" fontId="229" fillId="0" borderId="434" xfId="11" applyNumberFormat="1" applyFont="1" applyBorder="1" applyAlignment="1">
      <alignment horizontal="center" vertical="center" wrapText="1"/>
    </xf>
    <xf numFmtId="0" fontId="229" fillId="0" borderId="434" xfId="11" applyFont="1" applyBorder="1" applyAlignment="1">
      <alignment horizontal="center" vertical="center" wrapText="1"/>
    </xf>
    <xf numFmtId="180" fontId="229" fillId="0" borderId="96" xfId="11" applyNumberFormat="1" applyFont="1" applyBorder="1" applyAlignment="1">
      <alignment horizontal="center" vertical="center" wrapText="1"/>
    </xf>
    <xf numFmtId="0" fontId="229" fillId="0" borderId="0" xfId="11" applyFont="1" applyAlignment="1">
      <alignment vertical="center"/>
    </xf>
    <xf numFmtId="180" fontId="229" fillId="0" borderId="9" xfId="11" applyNumberFormat="1" applyFont="1" applyBorder="1" applyAlignment="1">
      <alignment horizontal="center" vertical="center" wrapText="1"/>
    </xf>
    <xf numFmtId="180" fontId="229" fillId="0" borderId="27" xfId="11" applyNumberFormat="1" applyFont="1" applyBorder="1" applyAlignment="1">
      <alignment horizontal="center" vertical="center" wrapText="1"/>
    </xf>
    <xf numFmtId="0" fontId="229" fillId="0" borderId="27" xfId="11" applyFont="1" applyBorder="1" applyAlignment="1">
      <alignment horizontal="center" vertical="center" wrapText="1"/>
    </xf>
    <xf numFmtId="180" fontId="229" fillId="0" borderId="447" xfId="11" applyNumberFormat="1" applyFont="1" applyBorder="1" applyAlignment="1">
      <alignment horizontal="center" vertical="center" wrapText="1"/>
    </xf>
    <xf numFmtId="0" fontId="229" fillId="0" borderId="447" xfId="11" applyFont="1" applyBorder="1" applyAlignment="1">
      <alignment horizontal="center" vertical="center" wrapText="1"/>
    </xf>
    <xf numFmtId="180" fontId="229" fillId="0" borderId="39" xfId="11" applyNumberFormat="1" applyFont="1" applyBorder="1" applyAlignment="1">
      <alignment horizontal="center" vertical="center" wrapText="1"/>
    </xf>
    <xf numFmtId="180" fontId="229" fillId="0" borderId="947" xfId="11" applyNumberFormat="1" applyFont="1" applyBorder="1" applyAlignment="1">
      <alignment horizontal="center" vertical="center" wrapText="1"/>
    </xf>
    <xf numFmtId="206" fontId="228" fillId="40" borderId="887" xfId="11" applyNumberFormat="1" applyFont="1" applyFill="1" applyBorder="1" applyAlignment="1">
      <alignment horizontal="center" vertical="center"/>
    </xf>
    <xf numFmtId="0" fontId="254" fillId="40" borderId="1060" xfId="11" applyFont="1" applyFill="1" applyBorder="1" applyAlignment="1">
      <alignment vertical="center" wrapText="1"/>
    </xf>
    <xf numFmtId="0" fontId="254" fillId="40" borderId="1061" xfId="11" applyFont="1" applyFill="1" applyBorder="1" applyAlignment="1">
      <alignment vertical="center"/>
    </xf>
    <xf numFmtId="206" fontId="228" fillId="40" borderId="1061" xfId="11" applyNumberFormat="1" applyFont="1" applyFill="1" applyBorder="1" applyAlignment="1">
      <alignment vertical="center"/>
    </xf>
    <xf numFmtId="206" fontId="228" fillId="40" borderId="1062" xfId="11" applyNumberFormat="1" applyFont="1" applyFill="1" applyBorder="1" applyAlignment="1">
      <alignment vertical="center"/>
    </xf>
    <xf numFmtId="206" fontId="228" fillId="25" borderId="1023" xfId="11" applyNumberFormat="1" applyFont="1" applyFill="1" applyBorder="1" applyAlignment="1">
      <alignment horizontal="center" vertical="center"/>
    </xf>
    <xf numFmtId="0" fontId="254" fillId="40" borderId="1063" xfId="11" applyFont="1" applyFill="1" applyBorder="1" applyAlignment="1">
      <alignment vertical="center" wrapText="1"/>
    </xf>
    <xf numFmtId="0" fontId="228" fillId="0" borderId="0" xfId="11" applyFont="1" applyAlignment="1">
      <alignment horizontal="right" vertical="center"/>
    </xf>
    <xf numFmtId="181" fontId="51" fillId="0" borderId="0" xfId="11" applyNumberFormat="1" applyFont="1" applyAlignment="1">
      <alignment horizontal="center" vertical="center"/>
    </xf>
    <xf numFmtId="38" fontId="51" fillId="0" borderId="0" xfId="1" applyFont="1" applyBorder="1" applyAlignment="1">
      <alignment horizontal="center" vertical="center"/>
    </xf>
    <xf numFmtId="49" fontId="230" fillId="0" borderId="0" xfId="11" applyNumberFormat="1" applyFont="1" applyAlignment="1">
      <alignment horizontal="center" vertical="center"/>
    </xf>
    <xf numFmtId="38" fontId="228" fillId="0" borderId="0" xfId="1" applyFont="1" applyFill="1" applyBorder="1" applyAlignment="1">
      <alignment horizontal="center" vertical="center"/>
    </xf>
    <xf numFmtId="220" fontId="288" fillId="0" borderId="0" xfId="11" applyNumberFormat="1" applyFont="1" applyAlignment="1">
      <alignment vertical="center"/>
    </xf>
    <xf numFmtId="0" fontId="289" fillId="0" borderId="0" xfId="11" applyFont="1" applyAlignment="1">
      <alignment vertical="center"/>
    </xf>
    <xf numFmtId="220" fontId="222" fillId="0" borderId="0" xfId="11" applyNumberFormat="1" applyFont="1" applyAlignment="1">
      <alignment vertical="center"/>
    </xf>
    <xf numFmtId="213" fontId="230" fillId="0" borderId="7" xfId="11" applyNumberFormat="1" applyFont="1" applyBorder="1" applyAlignment="1">
      <alignment horizontal="center" vertical="center" wrapText="1"/>
    </xf>
    <xf numFmtId="181" fontId="228" fillId="11" borderId="28" xfId="11" applyNumberFormat="1" applyFont="1" applyFill="1" applyBorder="1" applyAlignment="1">
      <alignment horizontal="center" vertical="center"/>
    </xf>
    <xf numFmtId="215" fontId="238" fillId="0" borderId="851" xfId="1" applyNumberFormat="1" applyFont="1" applyBorder="1" applyAlignment="1">
      <alignment horizontal="right" vertical="center"/>
    </xf>
    <xf numFmtId="181" fontId="263" fillId="11" borderId="28" xfId="11" applyNumberFormat="1" applyFont="1" applyFill="1" applyBorder="1" applyAlignment="1">
      <alignment horizontal="center" vertical="center"/>
    </xf>
    <xf numFmtId="0" fontId="263" fillId="25" borderId="1038" xfId="11" applyFont="1" applyFill="1" applyBorder="1" applyAlignment="1">
      <alignment horizontal="center" vertical="center"/>
    </xf>
    <xf numFmtId="0" fontId="221" fillId="0" borderId="0" xfId="11" applyFont="1" applyAlignment="1">
      <alignment vertical="center"/>
    </xf>
    <xf numFmtId="0" fontId="290" fillId="0" borderId="86" xfId="11" applyFont="1" applyBorder="1" applyAlignment="1">
      <alignment horizontal="right" vertical="center" shrinkToFit="1"/>
    </xf>
    <xf numFmtId="180" fontId="250" fillId="0" borderId="957" xfId="11" applyNumberFormat="1" applyFont="1" applyBorder="1" applyAlignment="1">
      <alignment horizontal="right" vertical="center" shrinkToFit="1"/>
    </xf>
    <xf numFmtId="180" fontId="250" fillId="0" borderId="958" xfId="11" applyNumberFormat="1" applyFont="1" applyBorder="1" applyAlignment="1">
      <alignment horizontal="right" vertical="center" shrinkToFit="1"/>
    </xf>
    <xf numFmtId="180" fontId="250" fillId="0" borderId="1051" xfId="11" applyNumberFormat="1" applyFont="1" applyBorder="1" applyAlignment="1">
      <alignment horizontal="right" vertical="center" shrinkToFit="1"/>
    </xf>
    <xf numFmtId="180" fontId="250" fillId="0" borderId="86" xfId="11" applyNumberFormat="1" applyFont="1" applyBorder="1" applyAlignment="1">
      <alignment horizontal="right" vertical="center" shrinkToFit="1"/>
    </xf>
    <xf numFmtId="180" fontId="291" fillId="0" borderId="1044" xfId="11" applyNumberFormat="1" applyFont="1" applyBorder="1" applyAlignment="1">
      <alignment horizontal="right" vertical="center" shrinkToFit="1"/>
    </xf>
    <xf numFmtId="206" fontId="247" fillId="0" borderId="1054" xfId="11" applyNumberFormat="1" applyFont="1" applyBorder="1" applyAlignment="1">
      <alignment horizontal="right" vertical="center" wrapText="1"/>
    </xf>
    <xf numFmtId="0" fontId="230" fillId="0" borderId="5" xfId="11" applyFont="1" applyBorder="1" applyAlignment="1">
      <alignment horizontal="right" vertical="center" shrinkToFit="1"/>
    </xf>
    <xf numFmtId="180" fontId="230" fillId="0" borderId="7" xfId="11" applyNumberFormat="1" applyFont="1" applyBorder="1" applyAlignment="1">
      <alignment horizontal="right" vertical="center" wrapText="1"/>
    </xf>
    <xf numFmtId="180" fontId="230" fillId="0" borderId="449" xfId="11" applyNumberFormat="1" applyFont="1" applyBorder="1" applyAlignment="1">
      <alignment horizontal="right" vertical="center" wrapText="1"/>
    </xf>
    <xf numFmtId="180" fontId="230" fillId="0" borderId="5" xfId="11" applyNumberFormat="1" applyFont="1" applyBorder="1" applyAlignment="1">
      <alignment horizontal="right" vertical="center" wrapText="1"/>
    </xf>
    <xf numFmtId="0" fontId="230" fillId="0" borderId="28" xfId="11" applyFont="1" applyBorder="1" applyAlignment="1">
      <alignment horizontal="right" vertical="center" shrinkToFit="1"/>
    </xf>
    <xf numFmtId="180" fontId="230" fillId="0" borderId="27" xfId="11" applyNumberFormat="1" applyFont="1" applyBorder="1" applyAlignment="1">
      <alignment horizontal="right" vertical="center" wrapText="1"/>
    </xf>
    <xf numFmtId="206" fontId="247" fillId="0" borderId="1055" xfId="11" applyNumberFormat="1" applyFont="1" applyBorder="1" applyAlignment="1">
      <alignment horizontal="right" vertical="center" wrapText="1"/>
    </xf>
    <xf numFmtId="206" fontId="230" fillId="8" borderId="1038" xfId="11" applyNumberFormat="1" applyFont="1" applyFill="1" applyBorder="1" applyAlignment="1">
      <alignment horizontal="right" vertical="center" wrapText="1"/>
    </xf>
    <xf numFmtId="180" fontId="254" fillId="40" borderId="1038" xfId="11" applyNumberFormat="1" applyFont="1" applyFill="1" applyBorder="1" applyAlignment="1">
      <alignment horizontal="right" vertical="center" wrapText="1"/>
    </xf>
    <xf numFmtId="180" fontId="254" fillId="40" borderId="1066" xfId="11" applyNumberFormat="1" applyFont="1" applyFill="1" applyBorder="1" applyAlignment="1">
      <alignment horizontal="right" vertical="center" wrapText="1"/>
    </xf>
    <xf numFmtId="206" fontId="228" fillId="40" borderId="1040" xfId="11" applyNumberFormat="1" applyFont="1" applyFill="1" applyBorder="1" applyAlignment="1">
      <alignment horizontal="right" vertical="center"/>
    </xf>
    <xf numFmtId="206" fontId="247" fillId="0" borderId="1067" xfId="11" applyNumberFormat="1" applyFont="1" applyBorder="1" applyAlignment="1">
      <alignment horizontal="right" vertical="center" wrapText="1"/>
    </xf>
    <xf numFmtId="0" fontId="228" fillId="0" borderId="0" xfId="11" applyFont="1" applyAlignment="1">
      <alignment horizontal="center" vertical="center" wrapText="1"/>
    </xf>
    <xf numFmtId="0" fontId="254" fillId="40" borderId="0" xfId="11" applyFont="1" applyFill="1" applyAlignment="1">
      <alignment horizontal="left" vertical="center" wrapText="1"/>
    </xf>
    <xf numFmtId="206" fontId="230" fillId="8" borderId="0" xfId="11" applyNumberFormat="1" applyFont="1" applyFill="1" applyAlignment="1">
      <alignment horizontal="right" vertical="center" wrapText="1"/>
    </xf>
    <xf numFmtId="0" fontId="254" fillId="40" borderId="0" xfId="11" applyFont="1" applyFill="1" applyAlignment="1">
      <alignment horizontal="center" vertical="center" wrapText="1"/>
    </xf>
    <xf numFmtId="180" fontId="254" fillId="40" borderId="0" xfId="11" applyNumberFormat="1" applyFont="1" applyFill="1" applyAlignment="1">
      <alignment horizontal="right" vertical="center" wrapText="1"/>
    </xf>
    <xf numFmtId="206" fontId="228" fillId="40" borderId="0" xfId="11" applyNumberFormat="1" applyFont="1" applyFill="1" applyAlignment="1">
      <alignment horizontal="right" vertical="center"/>
    </xf>
    <xf numFmtId="206" fontId="247" fillId="0" borderId="0" xfId="11" applyNumberFormat="1" applyFont="1" applyAlignment="1">
      <alignment horizontal="right" vertical="center" wrapText="1"/>
    </xf>
    <xf numFmtId="0" fontId="254" fillId="40" borderId="0" xfId="11" applyFont="1" applyFill="1" applyAlignment="1">
      <alignment vertical="center" wrapText="1"/>
    </xf>
    <xf numFmtId="0" fontId="254" fillId="40" borderId="0" xfId="11" applyFont="1" applyFill="1" applyAlignment="1">
      <alignment vertical="center"/>
    </xf>
    <xf numFmtId="206" fontId="228" fillId="40" borderId="0" xfId="11" applyNumberFormat="1" applyFont="1" applyFill="1" applyAlignment="1">
      <alignment vertical="center"/>
    </xf>
    <xf numFmtId="0" fontId="274" fillId="24" borderId="5" xfId="11" applyFont="1" applyFill="1" applyBorder="1" applyAlignment="1">
      <alignment horizontal="right" vertical="center" shrinkToFit="1"/>
    </xf>
    <xf numFmtId="0" fontId="230" fillId="0" borderId="5" xfId="11" applyFont="1" applyBorder="1" applyAlignment="1">
      <alignment horizontal="left" vertical="center" wrapText="1"/>
    </xf>
    <xf numFmtId="180" fontId="250" fillId="0" borderId="451" xfId="11" applyNumberFormat="1" applyFont="1" applyBorder="1" applyAlignment="1">
      <alignment horizontal="right" vertical="center" shrinkToFit="1"/>
    </xf>
    <xf numFmtId="180" fontId="250" fillId="0" borderId="434" xfId="11" applyNumberFormat="1" applyFont="1" applyBorder="1" applyAlignment="1">
      <alignment horizontal="right" vertical="center" shrinkToFit="1"/>
    </xf>
    <xf numFmtId="180" fontId="230" fillId="0" borderId="8" xfId="11" applyNumberFormat="1" applyFont="1" applyBorder="1" applyAlignment="1">
      <alignment horizontal="right" vertical="center" wrapText="1"/>
    </xf>
    <xf numFmtId="180" fontId="230" fillId="0" borderId="643" xfId="11" applyNumberFormat="1" applyFont="1" applyBorder="1" applyAlignment="1">
      <alignment horizontal="right" vertical="center" wrapText="1"/>
    </xf>
    <xf numFmtId="214" fontId="292" fillId="0" borderId="954" xfId="1" applyNumberFormat="1" applyFont="1" applyBorder="1" applyAlignment="1">
      <alignment horizontal="right" vertical="center"/>
    </xf>
    <xf numFmtId="215" fontId="292" fillId="0" borderId="37" xfId="1" applyNumberFormat="1" applyFont="1" applyBorder="1" applyAlignment="1">
      <alignment horizontal="right" vertical="center"/>
    </xf>
    <xf numFmtId="215" fontId="292" fillId="0" borderId="943" xfId="1" applyNumberFormat="1" applyFont="1" applyBorder="1" applyAlignment="1">
      <alignment horizontal="right" vertical="center"/>
    </xf>
    <xf numFmtId="180" fontId="227" fillId="42" borderId="0" xfId="11" applyNumberFormat="1" applyFont="1" applyFill="1" applyAlignment="1">
      <alignment horizontal="center" vertical="center"/>
    </xf>
    <xf numFmtId="181" fontId="293" fillId="0" borderId="5" xfId="11" applyNumberFormat="1" applyFont="1" applyBorder="1" applyAlignment="1">
      <alignment horizontal="left" vertical="center" wrapText="1"/>
    </xf>
    <xf numFmtId="38" fontId="238" fillId="0" borderId="0" xfId="1" applyFont="1" applyAlignment="1">
      <alignment horizontal="center" vertical="center"/>
    </xf>
    <xf numFmtId="0" fontId="238" fillId="0" borderId="0" xfId="11" applyFont="1" applyAlignment="1">
      <alignment horizontal="center" vertical="center"/>
    </xf>
    <xf numFmtId="40" fontId="238" fillId="6" borderId="0" xfId="1" applyNumberFormat="1" applyFont="1" applyFill="1" applyAlignment="1">
      <alignment horizontal="center" vertical="center"/>
    </xf>
    <xf numFmtId="38" fontId="238" fillId="6" borderId="0" xfId="1" applyFont="1" applyFill="1" applyAlignment="1">
      <alignment horizontal="center" vertical="center"/>
    </xf>
    <xf numFmtId="0" fontId="246" fillId="58" borderId="722" xfId="11" applyFont="1" applyFill="1" applyBorder="1" applyAlignment="1">
      <alignment horizontal="center" vertical="center" wrapText="1"/>
    </xf>
    <xf numFmtId="0" fontId="294" fillId="0" borderId="0" xfId="11" applyFont="1" applyAlignment="1">
      <alignment vertical="center"/>
    </xf>
    <xf numFmtId="0" fontId="246" fillId="58" borderId="40" xfId="11" applyFont="1" applyFill="1" applyBorder="1" applyAlignment="1">
      <alignment horizontal="center" vertical="center" wrapText="1"/>
    </xf>
    <xf numFmtId="0" fontId="246" fillId="58" borderId="7" xfId="11" applyFont="1" applyFill="1" applyBorder="1" applyAlignment="1">
      <alignment horizontal="center" vertical="center"/>
    </xf>
    <xf numFmtId="0" fontId="246" fillId="58" borderId="7" xfId="11" applyFont="1" applyFill="1" applyBorder="1" applyAlignment="1">
      <alignment horizontal="center" vertical="center" wrapText="1"/>
    </xf>
    <xf numFmtId="0" fontId="295" fillId="0" borderId="88" xfId="11" applyFont="1" applyBorder="1" applyAlignment="1">
      <alignment horizontal="center" vertical="center"/>
    </xf>
    <xf numFmtId="181" fontId="249" fillId="0" borderId="7" xfId="11" applyNumberFormat="1" applyFont="1" applyBorder="1" applyAlignment="1">
      <alignment horizontal="center" vertical="center" wrapText="1"/>
    </xf>
    <xf numFmtId="181" fontId="249" fillId="0" borderId="5" xfId="11" applyNumberFormat="1" applyFont="1" applyBorder="1" applyAlignment="1">
      <alignment horizontal="left" vertical="center" wrapText="1"/>
    </xf>
    <xf numFmtId="38" fontId="249" fillId="0" borderId="7" xfId="1" applyFont="1" applyFill="1" applyBorder="1" applyAlignment="1">
      <alignment horizontal="center" vertical="center"/>
    </xf>
    <xf numFmtId="181" fontId="249" fillId="0" borderId="5" xfId="11" applyNumberFormat="1" applyFont="1" applyBorder="1" applyAlignment="1">
      <alignment horizontal="center" vertical="center"/>
    </xf>
    <xf numFmtId="38" fontId="249" fillId="0" borderId="8" xfId="1" applyFont="1" applyFill="1" applyBorder="1" applyAlignment="1">
      <alignment horizontal="center" vertical="center"/>
    </xf>
    <xf numFmtId="181" fontId="249" fillId="0" borderId="40" xfId="11" applyNumberFormat="1" applyFont="1" applyBorder="1" applyAlignment="1">
      <alignment horizontal="center" vertical="center"/>
    </xf>
    <xf numFmtId="38" fontId="249" fillId="0" borderId="40" xfId="1" applyFont="1" applyFill="1" applyBorder="1" applyAlignment="1">
      <alignment horizontal="center" vertical="center"/>
    </xf>
    <xf numFmtId="49" fontId="230" fillId="0" borderId="8" xfId="11" applyNumberFormat="1" applyFont="1" applyBorder="1" applyAlignment="1">
      <alignment horizontal="center" vertical="center"/>
    </xf>
    <xf numFmtId="38" fontId="249" fillId="0" borderId="9" xfId="1" applyFont="1" applyFill="1" applyBorder="1" applyAlignment="1">
      <alignment horizontal="center" vertical="center"/>
    </xf>
    <xf numFmtId="38" fontId="249" fillId="0" borderId="7" xfId="1" applyFont="1" applyFill="1" applyBorder="1" applyAlignment="1">
      <alignment horizontal="right" vertical="center"/>
    </xf>
    <xf numFmtId="49" fontId="230" fillId="0" borderId="5" xfId="11" applyNumberFormat="1" applyFont="1" applyBorder="1" applyAlignment="1">
      <alignment horizontal="center" vertical="center"/>
    </xf>
    <xf numFmtId="181" fontId="230" fillId="0" borderId="89" xfId="11" applyNumberFormat="1" applyFont="1" applyBorder="1" applyAlignment="1">
      <alignment vertical="center"/>
    </xf>
    <xf numFmtId="181" fontId="78" fillId="0" borderId="9" xfId="0" applyNumberFormat="1" applyFont="1" applyBorder="1" applyProtection="1">
      <alignment vertical="center"/>
      <protection locked="0"/>
    </xf>
    <xf numFmtId="206" fontId="230" fillId="0" borderId="40" xfId="11" applyNumberFormat="1" applyFont="1" applyBorder="1" applyAlignment="1">
      <alignment horizontal="center" vertical="center"/>
    </xf>
    <xf numFmtId="206" fontId="230" fillId="0" borderId="7" xfId="1" applyNumberFormat="1" applyFont="1" applyBorder="1" applyAlignment="1">
      <alignment horizontal="center" vertical="center"/>
    </xf>
    <xf numFmtId="38" fontId="230" fillId="0" borderId="9" xfId="1" applyFont="1" applyBorder="1" applyAlignment="1">
      <alignment horizontal="center" vertical="center"/>
    </xf>
    <xf numFmtId="38" fontId="230" fillId="0" borderId="7" xfId="1" applyFont="1" applyBorder="1" applyAlignment="1">
      <alignment horizontal="right" vertical="center"/>
    </xf>
    <xf numFmtId="38" fontId="230" fillId="0" borderId="8" xfId="1" applyFont="1" applyBorder="1" applyAlignment="1">
      <alignment horizontal="center" vertical="center"/>
    </xf>
    <xf numFmtId="181" fontId="230" fillId="0" borderId="53" xfId="11" applyNumberFormat="1" applyFont="1" applyBorder="1" applyAlignment="1">
      <alignment vertical="center"/>
    </xf>
    <xf numFmtId="0" fontId="230" fillId="28" borderId="1038" xfId="11" applyFont="1" applyFill="1" applyBorder="1" applyAlignment="1">
      <alignment horizontal="center" vertical="center"/>
    </xf>
    <xf numFmtId="181" fontId="230" fillId="0" borderId="1040" xfId="11" applyNumberFormat="1" applyFont="1" applyBorder="1" applyAlignment="1">
      <alignment horizontal="center" vertical="center"/>
    </xf>
    <xf numFmtId="206" fontId="230" fillId="0" borderId="1038" xfId="1" applyNumberFormat="1" applyFont="1" applyBorder="1" applyAlignment="1">
      <alignment horizontal="center" vertical="center"/>
    </xf>
    <xf numFmtId="206" fontId="230" fillId="0" borderId="1040" xfId="11" applyNumberFormat="1" applyFont="1" applyBorder="1" applyAlignment="1">
      <alignment horizontal="center" vertical="center"/>
    </xf>
    <xf numFmtId="38" fontId="230" fillId="28" borderId="1038" xfId="1" applyFont="1" applyFill="1" applyBorder="1" applyAlignment="1">
      <alignment horizontal="center" vertical="center"/>
    </xf>
    <xf numFmtId="181" fontId="230" fillId="28" borderId="1041" xfId="11" applyNumberFormat="1" applyFont="1" applyFill="1" applyBorder="1" applyAlignment="1">
      <alignment vertical="center"/>
    </xf>
    <xf numFmtId="214" fontId="287" fillId="0" borderId="954" xfId="1" applyNumberFormat="1" applyFont="1" applyBorder="1" applyAlignment="1">
      <alignment horizontal="right" vertical="center"/>
    </xf>
    <xf numFmtId="0" fontId="219" fillId="0" borderId="139" xfId="11" applyFont="1" applyBorder="1" applyAlignment="1">
      <alignment horizontal="center" vertical="center"/>
    </xf>
    <xf numFmtId="38" fontId="221" fillId="0" borderId="0" xfId="1" applyFont="1" applyBorder="1" applyAlignment="1">
      <alignment vertical="center"/>
    </xf>
    <xf numFmtId="215" fontId="287" fillId="0" borderId="37" xfId="1" applyNumberFormat="1" applyFont="1" applyBorder="1" applyAlignment="1">
      <alignment horizontal="right" vertical="center"/>
    </xf>
    <xf numFmtId="215" fontId="287" fillId="0" borderId="943" xfId="1" applyNumberFormat="1" applyFont="1" applyBorder="1" applyAlignment="1">
      <alignment horizontal="right" vertical="center"/>
    </xf>
    <xf numFmtId="38" fontId="221" fillId="0" borderId="0" xfId="1" applyFont="1" applyBorder="1" applyAlignment="1">
      <alignment horizontal="right" vertical="center"/>
    </xf>
    <xf numFmtId="0" fontId="296" fillId="0" borderId="88" xfId="11" applyFont="1" applyBorder="1" applyAlignment="1">
      <alignment horizontal="center" vertical="center"/>
    </xf>
    <xf numFmtId="213" fontId="297" fillId="0" borderId="9" xfId="11" applyNumberFormat="1" applyFont="1" applyBorder="1" applyAlignment="1">
      <alignment horizontal="center" vertical="center"/>
    </xf>
    <xf numFmtId="181" fontId="297" fillId="0" borderId="5" xfId="11" applyNumberFormat="1" applyFont="1" applyBorder="1" applyAlignment="1">
      <alignment horizontal="left" vertical="center" wrapText="1"/>
    </xf>
    <xf numFmtId="38" fontId="297" fillId="0" borderId="7" xfId="1" applyFont="1" applyFill="1" applyBorder="1" applyAlignment="1">
      <alignment horizontal="center" vertical="center"/>
    </xf>
    <xf numFmtId="181" fontId="297" fillId="0" borderId="5" xfId="11" applyNumberFormat="1" applyFont="1" applyBorder="1" applyAlignment="1">
      <alignment horizontal="center" vertical="center"/>
    </xf>
    <xf numFmtId="38" fontId="297" fillId="0" borderId="8" xfId="1" applyFont="1" applyFill="1" applyBorder="1" applyAlignment="1">
      <alignment horizontal="center" vertical="center"/>
    </xf>
    <xf numFmtId="181" fontId="297" fillId="0" borderId="40" xfId="11" applyNumberFormat="1" applyFont="1" applyBorder="1" applyAlignment="1">
      <alignment horizontal="center" vertical="center"/>
    </xf>
    <xf numFmtId="38" fontId="297" fillId="0" borderId="5" xfId="1" applyFont="1" applyFill="1" applyBorder="1" applyAlignment="1">
      <alignment horizontal="center" vertical="center"/>
    </xf>
    <xf numFmtId="49" fontId="269" fillId="0" borderId="8" xfId="11" applyNumberFormat="1" applyFont="1" applyBorder="1" applyAlignment="1">
      <alignment horizontal="center" vertical="center"/>
    </xf>
    <xf numFmtId="38" fontId="297" fillId="0" borderId="7" xfId="1" applyFont="1" applyFill="1" applyBorder="1" applyAlignment="1">
      <alignment horizontal="right" vertical="center"/>
    </xf>
    <xf numFmtId="49" fontId="269" fillId="0" borderId="5" xfId="11" applyNumberFormat="1" applyFont="1" applyBorder="1" applyAlignment="1">
      <alignment horizontal="center" vertical="center"/>
    </xf>
    <xf numFmtId="181" fontId="269" fillId="0" borderId="89" xfId="11" applyNumberFormat="1" applyFont="1" applyBorder="1" applyAlignment="1">
      <alignment vertical="center"/>
    </xf>
    <xf numFmtId="181" fontId="264" fillId="24" borderId="7" xfId="11" applyNumberFormat="1" applyFont="1" applyFill="1" applyBorder="1" applyAlignment="1">
      <alignment horizontal="center" vertical="center" wrapText="1"/>
    </xf>
    <xf numFmtId="181" fontId="269" fillId="0" borderId="28" xfId="11" applyNumberFormat="1" applyFont="1" applyBorder="1" applyAlignment="1">
      <alignment horizontal="center" vertical="center"/>
    </xf>
    <xf numFmtId="206" fontId="269" fillId="0" borderId="40" xfId="11" applyNumberFormat="1" applyFont="1" applyBorder="1" applyAlignment="1">
      <alignment horizontal="center" vertical="center"/>
    </xf>
    <xf numFmtId="206" fontId="269" fillId="0" borderId="5" xfId="1" applyNumberFormat="1" applyFont="1" applyBorder="1" applyAlignment="1">
      <alignment horizontal="center" vertical="center"/>
    </xf>
    <xf numFmtId="38" fontId="269" fillId="0" borderId="8" xfId="1" applyFont="1" applyBorder="1" applyAlignment="1">
      <alignment horizontal="center" vertical="center"/>
    </xf>
    <xf numFmtId="38" fontId="269" fillId="0" borderId="7" xfId="1" applyFont="1" applyBorder="1" applyAlignment="1">
      <alignment horizontal="right" vertical="center"/>
    </xf>
    <xf numFmtId="181" fontId="269" fillId="0" borderId="53" xfId="11" applyNumberFormat="1" applyFont="1" applyBorder="1" applyAlignment="1">
      <alignment vertical="center"/>
    </xf>
    <xf numFmtId="181" fontId="269" fillId="0" borderId="1040" xfId="11" applyNumberFormat="1" applyFont="1" applyBorder="1" applyAlignment="1">
      <alignment horizontal="center" vertical="center"/>
    </xf>
    <xf numFmtId="206" fontId="269" fillId="0" borderId="1038" xfId="1" applyNumberFormat="1" applyFont="1" applyBorder="1" applyAlignment="1">
      <alignment horizontal="center" vertical="center"/>
    </xf>
    <xf numFmtId="206" fontId="269" fillId="0" borderId="1040" xfId="11" applyNumberFormat="1" applyFont="1" applyBorder="1" applyAlignment="1">
      <alignment horizontal="center" vertical="center"/>
    </xf>
    <xf numFmtId="0" fontId="269" fillId="28" borderId="1038" xfId="11" applyFont="1" applyFill="1" applyBorder="1" applyAlignment="1">
      <alignment horizontal="center" vertical="center"/>
    </xf>
    <xf numFmtId="38" fontId="269" fillId="28" borderId="1038" xfId="1" applyFont="1" applyFill="1" applyBorder="1" applyAlignment="1">
      <alignment horizontal="center" vertical="center"/>
    </xf>
    <xf numFmtId="181" fontId="269" fillId="28" borderId="1041" xfId="11" applyNumberFormat="1" applyFont="1" applyFill="1" applyBorder="1" applyAlignment="1">
      <alignment vertical="center"/>
    </xf>
    <xf numFmtId="181" fontId="78" fillId="0" borderId="38" xfId="0" applyNumberFormat="1" applyFont="1" applyBorder="1" applyProtection="1">
      <alignment vertical="center"/>
      <protection locked="0"/>
    </xf>
    <xf numFmtId="0" fontId="265" fillId="0" borderId="139" xfId="11" applyFont="1" applyBorder="1" applyAlignment="1">
      <alignment horizontal="center" vertical="center"/>
    </xf>
    <xf numFmtId="181" fontId="78" fillId="0" borderId="0" xfId="0" applyNumberFormat="1" applyFont="1" applyProtection="1">
      <alignment vertical="center"/>
      <protection locked="0"/>
    </xf>
    <xf numFmtId="0" fontId="266" fillId="0" borderId="139" xfId="11" applyFont="1" applyBorder="1" applyAlignment="1">
      <alignment horizontal="center" vertical="center"/>
    </xf>
    <xf numFmtId="0" fontId="298" fillId="0" borderId="0" xfId="11" applyFont="1" applyAlignment="1">
      <alignment vertical="center"/>
    </xf>
    <xf numFmtId="0" fontId="228" fillId="0" borderId="0" xfId="25" applyFont="1" applyAlignment="1">
      <alignment vertical="center"/>
    </xf>
    <xf numFmtId="38" fontId="228" fillId="0" borderId="0" xfId="26" applyFont="1" applyAlignment="1">
      <alignment vertical="center"/>
    </xf>
    <xf numFmtId="0" fontId="228" fillId="0" borderId="0" xfId="25" applyFont="1" applyAlignment="1">
      <alignment horizontal="center" vertical="center"/>
    </xf>
    <xf numFmtId="38" fontId="228" fillId="0" borderId="0" xfId="26" applyFont="1" applyAlignment="1">
      <alignment horizontal="center" vertical="center"/>
    </xf>
    <xf numFmtId="0" fontId="261" fillId="0" borderId="0" xfId="25" applyFont="1" applyAlignment="1">
      <alignment vertical="center"/>
    </xf>
    <xf numFmtId="0" fontId="222" fillId="0" borderId="379" xfId="25" applyFont="1" applyBorder="1" applyAlignment="1">
      <alignment horizontal="center" vertical="center"/>
    </xf>
    <xf numFmtId="0" fontId="228" fillId="0" borderId="139" xfId="25" applyFont="1" applyBorder="1" applyAlignment="1">
      <alignment vertical="center"/>
    </xf>
    <xf numFmtId="0" fontId="221" fillId="0" borderId="0" xfId="25" applyFont="1" applyAlignment="1">
      <alignment horizontal="center" vertical="center"/>
    </xf>
    <xf numFmtId="0" fontId="286" fillId="0" borderId="0" xfId="25" applyFont="1" applyAlignment="1">
      <alignment vertical="center"/>
    </xf>
    <xf numFmtId="181" fontId="78" fillId="0" borderId="0" xfId="27" applyNumberFormat="1" applyFont="1" applyAlignment="1" applyProtection="1">
      <alignment horizontal="center" vertical="center" wrapText="1"/>
      <protection locked="0"/>
    </xf>
    <xf numFmtId="181" fontId="243" fillId="0" borderId="0" xfId="27" applyNumberFormat="1" applyFont="1" applyAlignment="1" applyProtection="1">
      <alignment horizontal="center" vertical="center" wrapText="1"/>
      <protection locked="0"/>
    </xf>
    <xf numFmtId="0" fontId="222" fillId="0" borderId="0" xfId="25" applyFont="1" applyAlignment="1">
      <alignment horizontal="center" vertical="center"/>
    </xf>
    <xf numFmtId="0" fontId="287" fillId="0" borderId="0" xfId="25" applyFont="1" applyAlignment="1">
      <alignment horizontal="left" vertical="center"/>
    </xf>
    <xf numFmtId="0" fontId="247" fillId="0" borderId="0" xfId="25" applyFont="1" applyAlignment="1">
      <alignment vertical="center"/>
    </xf>
    <xf numFmtId="0" fontId="246" fillId="42" borderId="1047" xfId="25" applyFont="1" applyFill="1" applyBorder="1" applyAlignment="1">
      <alignment horizontal="center" vertical="center" wrapText="1"/>
    </xf>
    <xf numFmtId="0" fontId="246" fillId="42" borderId="1048" xfId="25" applyFont="1" applyFill="1" applyBorder="1" applyAlignment="1">
      <alignment horizontal="center" vertical="center" wrapText="1"/>
    </xf>
    <xf numFmtId="0" fontId="246" fillId="42" borderId="1049" xfId="25" applyFont="1" applyFill="1" applyBorder="1" applyAlignment="1">
      <alignment horizontal="center" vertical="center" wrapText="1"/>
    </xf>
    <xf numFmtId="0" fontId="246" fillId="42" borderId="1050" xfId="25" applyFont="1" applyFill="1" applyBorder="1" applyAlignment="1">
      <alignment horizontal="center" vertical="center" wrapText="1"/>
    </xf>
    <xf numFmtId="0" fontId="250" fillId="0" borderId="85" xfId="25" applyFont="1" applyBorder="1" applyAlignment="1">
      <alignment horizontal="center" vertical="center" wrapText="1"/>
    </xf>
    <xf numFmtId="213" fontId="249" fillId="0" borderId="9" xfId="25" applyNumberFormat="1" applyFont="1" applyBorder="1" applyAlignment="1">
      <alignment horizontal="center" vertical="center"/>
    </xf>
    <xf numFmtId="216" fontId="249" fillId="0" borderId="42" xfId="25" applyNumberFormat="1" applyFont="1" applyBorder="1" applyAlignment="1">
      <alignment horizontal="center" vertical="center"/>
    </xf>
    <xf numFmtId="216" fontId="250" fillId="0" borderId="86" xfId="25" applyNumberFormat="1" applyFont="1" applyBorder="1" applyAlignment="1">
      <alignment horizontal="center" vertical="center" shrinkToFit="1"/>
    </xf>
    <xf numFmtId="0" fontId="250" fillId="0" borderId="86" xfId="25" applyFont="1" applyBorder="1" applyAlignment="1">
      <alignment horizontal="center" vertical="center" shrinkToFit="1"/>
    </xf>
    <xf numFmtId="0" fontId="250" fillId="0" borderId="956" xfId="25" applyFont="1" applyBorder="1" applyAlignment="1">
      <alignment horizontal="center" vertical="center" shrinkToFit="1"/>
    </xf>
    <xf numFmtId="0" fontId="250" fillId="0" borderId="957" xfId="25" applyFont="1" applyBorder="1" applyAlignment="1">
      <alignment horizontal="center" vertical="center" shrinkToFit="1"/>
    </xf>
    <xf numFmtId="180" fontId="250" fillId="0" borderId="957" xfId="25" applyNumberFormat="1" applyFont="1" applyBorder="1" applyAlignment="1">
      <alignment horizontal="center" vertical="center" shrinkToFit="1"/>
    </xf>
    <xf numFmtId="180" fontId="250" fillId="0" borderId="958" xfId="25" applyNumberFormat="1" applyFont="1" applyBorder="1" applyAlignment="1">
      <alignment horizontal="center" vertical="center" shrinkToFit="1"/>
    </xf>
    <xf numFmtId="180" fontId="250" fillId="0" borderId="1051" xfId="25" applyNumberFormat="1" applyFont="1" applyBorder="1" applyAlignment="1">
      <alignment horizontal="center" vertical="center" shrinkToFit="1"/>
    </xf>
    <xf numFmtId="180" fontId="250" fillId="0" borderId="86" xfId="25" applyNumberFormat="1" applyFont="1" applyBorder="1" applyAlignment="1">
      <alignment horizontal="center" vertical="center" shrinkToFit="1"/>
    </xf>
    <xf numFmtId="180" fontId="250" fillId="0" borderId="1044" xfId="25" applyNumberFormat="1" applyFont="1" applyBorder="1" applyAlignment="1">
      <alignment horizontal="center" vertical="center" shrinkToFit="1"/>
    </xf>
    <xf numFmtId="0" fontId="250" fillId="0" borderId="1052" xfId="25" applyFont="1" applyBorder="1" applyAlignment="1">
      <alignment horizontal="center" vertical="center" shrinkToFit="1"/>
    </xf>
    <xf numFmtId="0" fontId="250" fillId="0" borderId="958" xfId="25" applyFont="1" applyBorder="1" applyAlignment="1">
      <alignment horizontal="center" vertical="center" shrinkToFit="1"/>
    </xf>
    <xf numFmtId="180" fontId="250" fillId="0" borderId="1053" xfId="25" applyNumberFormat="1" applyFont="1" applyBorder="1" applyAlignment="1">
      <alignment horizontal="center" vertical="center" shrinkToFit="1"/>
    </xf>
    <xf numFmtId="0" fontId="237" fillId="0" borderId="0" xfId="25" applyFont="1" applyAlignment="1">
      <alignment vertical="center"/>
    </xf>
    <xf numFmtId="0" fontId="228" fillId="0" borderId="88" xfId="25" applyFont="1" applyBorder="1" applyAlignment="1">
      <alignment horizontal="center" vertical="center" wrapText="1"/>
    </xf>
    <xf numFmtId="213" fontId="230" fillId="0" borderId="5" xfId="25" applyNumberFormat="1" applyFont="1" applyBorder="1" applyAlignment="1">
      <alignment horizontal="center" vertical="center" wrapText="1"/>
    </xf>
    <xf numFmtId="216" fontId="230" fillId="0" borderId="5" xfId="25" applyNumberFormat="1" applyFont="1" applyBorder="1" applyAlignment="1">
      <alignment horizontal="center" vertical="center" wrapText="1"/>
    </xf>
    <xf numFmtId="0" fontId="230" fillId="0" borderId="5" xfId="25" applyFont="1" applyBorder="1" applyAlignment="1">
      <alignment horizontal="center" vertical="center" shrinkToFit="1"/>
    </xf>
    <xf numFmtId="0" fontId="230" fillId="0" borderId="9" xfId="25" applyFont="1" applyBorder="1" applyAlignment="1">
      <alignment horizontal="center" vertical="center" wrapText="1"/>
    </xf>
    <xf numFmtId="180" fontId="230" fillId="0" borderId="5" xfId="25" applyNumberFormat="1" applyFont="1" applyBorder="1" applyAlignment="1">
      <alignment horizontal="center" vertical="center" wrapText="1"/>
    </xf>
    <xf numFmtId="0" fontId="230" fillId="0" borderId="5" xfId="25" applyFont="1" applyBorder="1" applyAlignment="1">
      <alignment horizontal="center" vertical="center" wrapText="1"/>
    </xf>
    <xf numFmtId="180" fontId="230" fillId="0" borderId="7" xfId="25" applyNumberFormat="1" applyFont="1" applyBorder="1" applyAlignment="1">
      <alignment horizontal="center" vertical="center" wrapText="1"/>
    </xf>
    <xf numFmtId="180" fontId="230" fillId="0" borderId="449" xfId="25" applyNumberFormat="1" applyFont="1" applyBorder="1" applyAlignment="1">
      <alignment horizontal="center" vertical="center" wrapText="1"/>
    </xf>
    <xf numFmtId="206" fontId="230" fillId="0" borderId="1054" xfId="25" applyNumberFormat="1" applyFont="1" applyBorder="1" applyAlignment="1">
      <alignment horizontal="center" vertical="center" wrapText="1"/>
    </xf>
    <xf numFmtId="0" fontId="230" fillId="0" borderId="445" xfId="25" applyFont="1" applyBorder="1" applyAlignment="1">
      <alignment horizontal="center" vertical="center" wrapText="1"/>
    </xf>
    <xf numFmtId="180" fontId="230" fillId="0" borderId="434" xfId="25" applyNumberFormat="1" applyFont="1" applyBorder="1" applyAlignment="1">
      <alignment horizontal="center" vertical="center" wrapText="1"/>
    </xf>
    <xf numFmtId="0" fontId="278" fillId="0" borderId="434" xfId="25" applyFont="1" applyBorder="1" applyAlignment="1">
      <alignment horizontal="center" vertical="center" wrapText="1"/>
    </xf>
    <xf numFmtId="0" fontId="230" fillId="0" borderId="434" xfId="25" applyFont="1" applyBorder="1" applyAlignment="1">
      <alignment horizontal="center" vertical="center" wrapText="1"/>
    </xf>
    <xf numFmtId="180" fontId="230" fillId="0" borderId="96" xfId="25" applyNumberFormat="1" applyFont="1" applyBorder="1" applyAlignment="1">
      <alignment horizontal="center" vertical="center" wrapText="1"/>
    </xf>
    <xf numFmtId="221" fontId="237" fillId="0" borderId="0" xfId="25" applyNumberFormat="1" applyFont="1" applyAlignment="1">
      <alignment vertical="center"/>
    </xf>
    <xf numFmtId="0" fontId="230" fillId="0" borderId="28" xfId="25" applyFont="1" applyBorder="1" applyAlignment="1">
      <alignment horizontal="center" vertical="center" shrinkToFit="1"/>
    </xf>
    <xf numFmtId="0" fontId="251" fillId="0" borderId="445" xfId="25" applyFont="1" applyBorder="1" applyAlignment="1">
      <alignment horizontal="center" vertical="center" wrapText="1"/>
    </xf>
    <xf numFmtId="180" fontId="230" fillId="0" borderId="9" xfId="25" applyNumberFormat="1" applyFont="1" applyBorder="1" applyAlignment="1">
      <alignment horizontal="center" vertical="center" wrapText="1"/>
    </xf>
    <xf numFmtId="0" fontId="228" fillId="0" borderId="962" xfId="25" applyFont="1" applyBorder="1" applyAlignment="1">
      <alignment horizontal="center" vertical="center" wrapText="1"/>
    </xf>
    <xf numFmtId="206" fontId="230" fillId="0" borderId="1055" xfId="25" applyNumberFormat="1" applyFont="1" applyBorder="1" applyAlignment="1">
      <alignment horizontal="center" vertical="center" wrapText="1"/>
    </xf>
    <xf numFmtId="0" fontId="228" fillId="0" borderId="1064" xfId="25" applyFont="1" applyBorder="1" applyAlignment="1">
      <alignment horizontal="center" vertical="center" wrapText="1"/>
    </xf>
    <xf numFmtId="0" fontId="254" fillId="40" borderId="1040" xfId="25" applyFont="1" applyFill="1" applyBorder="1" applyAlignment="1">
      <alignment horizontal="left" vertical="center" wrapText="1"/>
    </xf>
    <xf numFmtId="206" fontId="230" fillId="8" borderId="1038" xfId="25" applyNumberFormat="1" applyFont="1" applyFill="1" applyBorder="1" applyAlignment="1">
      <alignment horizontal="center" vertical="center" wrapText="1"/>
    </xf>
    <xf numFmtId="0" fontId="254" fillId="40" borderId="1065" xfId="25" applyFont="1" applyFill="1" applyBorder="1" applyAlignment="1">
      <alignment horizontal="center" vertical="center" wrapText="1"/>
    </xf>
    <xf numFmtId="180" fontId="254" fillId="40" borderId="1038" xfId="25" applyNumberFormat="1" applyFont="1" applyFill="1" applyBorder="1" applyAlignment="1">
      <alignment horizontal="center" vertical="center" wrapText="1"/>
    </xf>
    <xf numFmtId="180" fontId="254" fillId="40" borderId="1066" xfId="25" applyNumberFormat="1" applyFont="1" applyFill="1" applyBorder="1" applyAlignment="1">
      <alignment horizontal="center" vertical="center" wrapText="1"/>
    </xf>
    <xf numFmtId="206" fontId="228" fillId="40" borderId="1040" xfId="25" applyNumberFormat="1" applyFont="1" applyFill="1" applyBorder="1" applyAlignment="1">
      <alignment horizontal="center" vertical="center"/>
    </xf>
    <xf numFmtId="206" fontId="230" fillId="0" borderId="1067" xfId="25" applyNumberFormat="1" applyFont="1" applyBorder="1" applyAlignment="1">
      <alignment horizontal="center" vertical="center" wrapText="1"/>
    </xf>
    <xf numFmtId="0" fontId="254" fillId="40" borderId="1068" xfId="25" applyFont="1" applyFill="1" applyBorder="1" applyAlignment="1">
      <alignment vertical="center" wrapText="1"/>
    </xf>
    <xf numFmtId="0" fontId="254" fillId="40" borderId="1069" xfId="25" applyFont="1" applyFill="1" applyBorder="1" applyAlignment="1">
      <alignment vertical="center"/>
    </xf>
    <xf numFmtId="206" fontId="228" fillId="40" borderId="1069" xfId="25" applyNumberFormat="1" applyFont="1" applyFill="1" applyBorder="1" applyAlignment="1">
      <alignment vertical="center"/>
    </xf>
    <xf numFmtId="206" fontId="228" fillId="40" borderId="1070" xfId="25" applyNumberFormat="1" applyFont="1" applyFill="1" applyBorder="1" applyAlignment="1">
      <alignment vertical="center"/>
    </xf>
    <xf numFmtId="0" fontId="228" fillId="0" borderId="0" xfId="25" applyFont="1" applyAlignment="1">
      <alignment horizontal="right" vertical="center"/>
    </xf>
    <xf numFmtId="0" fontId="274" fillId="24" borderId="5" xfId="25" applyFont="1" applyFill="1" applyBorder="1" applyAlignment="1">
      <alignment horizontal="center" vertical="center" shrinkToFit="1"/>
    </xf>
    <xf numFmtId="0" fontId="274" fillId="24" borderId="28" xfId="25" applyFont="1" applyFill="1" applyBorder="1" applyAlignment="1">
      <alignment horizontal="center" vertical="center" shrinkToFit="1"/>
    </xf>
    <xf numFmtId="0" fontId="228" fillId="0" borderId="174" xfId="25" applyFont="1" applyBorder="1" applyAlignment="1">
      <alignment horizontal="center" vertical="center" wrapText="1"/>
    </xf>
    <xf numFmtId="213" fontId="230" fillId="0" borderId="9" xfId="25" applyNumberFormat="1" applyFont="1" applyBorder="1" applyAlignment="1">
      <alignment horizontal="center" vertical="center" wrapText="1"/>
    </xf>
    <xf numFmtId="180" fontId="230" fillId="0" borderId="266" xfId="25" applyNumberFormat="1" applyFont="1" applyBorder="1" applyAlignment="1">
      <alignment horizontal="center" vertical="center" wrapText="1"/>
    </xf>
    <xf numFmtId="180" fontId="230" fillId="0" borderId="97" xfId="25" applyNumberFormat="1" applyFont="1" applyBorder="1" applyAlignment="1">
      <alignment horizontal="center" vertical="center" wrapText="1"/>
    </xf>
    <xf numFmtId="0" fontId="230" fillId="0" borderId="97" xfId="25" applyFont="1" applyBorder="1" applyAlignment="1">
      <alignment horizontal="center" vertical="center" wrapText="1"/>
    </xf>
    <xf numFmtId="180" fontId="230" fillId="0" borderId="8" xfId="25" applyNumberFormat="1" applyFont="1" applyBorder="1" applyAlignment="1">
      <alignment horizontal="center" vertical="center" wrapText="1"/>
    </xf>
    <xf numFmtId="180" fontId="230" fillId="0" borderId="27" xfId="25" applyNumberFormat="1" applyFont="1" applyBorder="1" applyAlignment="1">
      <alignment horizontal="center" vertical="center" wrapText="1"/>
    </xf>
    <xf numFmtId="0" fontId="258" fillId="0" borderId="0" xfId="25" applyFont="1" applyAlignment="1">
      <alignment vertical="center"/>
    </xf>
    <xf numFmtId="0" fontId="258" fillId="0" borderId="0" xfId="25" applyFont="1" applyAlignment="1">
      <alignment horizontal="center" vertical="center"/>
    </xf>
    <xf numFmtId="181" fontId="51" fillId="0" borderId="0" xfId="25" applyNumberFormat="1" applyFont="1" applyAlignment="1">
      <alignment horizontal="center" vertical="center"/>
    </xf>
    <xf numFmtId="38" fontId="51" fillId="0" borderId="0" xfId="26" applyFont="1" applyBorder="1" applyAlignment="1">
      <alignment horizontal="center" vertical="center"/>
    </xf>
    <xf numFmtId="49" fontId="230" fillId="0" borderId="0" xfId="25" applyNumberFormat="1" applyFont="1" applyAlignment="1">
      <alignment horizontal="center" vertical="center"/>
    </xf>
    <xf numFmtId="38" fontId="228" fillId="0" borderId="0" xfId="26" applyFont="1" applyFill="1" applyBorder="1" applyAlignment="1">
      <alignment horizontal="center" vertical="center"/>
    </xf>
    <xf numFmtId="181" fontId="228" fillId="0" borderId="5" xfId="11" applyNumberFormat="1" applyFont="1" applyBorder="1" applyAlignment="1">
      <alignment horizontal="left" vertical="center" shrinkToFit="1"/>
    </xf>
    <xf numFmtId="214" fontId="238" fillId="0" borderId="1075" xfId="1" applyNumberFormat="1" applyFont="1" applyBorder="1" applyAlignment="1">
      <alignment horizontal="right" vertical="center"/>
    </xf>
    <xf numFmtId="215" fontId="238" fillId="0" borderId="1077" xfId="1" applyNumberFormat="1" applyFont="1" applyBorder="1" applyAlignment="1">
      <alignment horizontal="right" vertical="center"/>
    </xf>
    <xf numFmtId="215" fontId="238" fillId="0" borderId="1080" xfId="1" applyNumberFormat="1" applyFont="1" applyBorder="1" applyAlignment="1">
      <alignment horizontal="right" vertical="center"/>
    </xf>
    <xf numFmtId="180" fontId="230" fillId="0" borderId="5" xfId="11" applyNumberFormat="1" applyFont="1" applyBorder="1" applyAlignment="1">
      <alignment horizontal="left" vertical="center" wrapText="1"/>
    </xf>
    <xf numFmtId="180" fontId="230" fillId="0" borderId="26" xfId="11" applyNumberFormat="1" applyFont="1" applyBorder="1" applyAlignment="1">
      <alignment horizontal="center" vertical="center" wrapText="1"/>
    </xf>
    <xf numFmtId="206" fontId="231" fillId="0" borderId="0" xfId="11" applyNumberFormat="1" applyFont="1" applyAlignment="1">
      <alignment vertical="center"/>
    </xf>
    <xf numFmtId="213" fontId="259" fillId="0" borderId="9" xfId="11" applyNumberFormat="1" applyFont="1" applyBorder="1" applyAlignment="1">
      <alignment horizontal="center" vertical="center" wrapText="1"/>
    </xf>
    <xf numFmtId="216" fontId="259" fillId="0" borderId="5" xfId="11" applyNumberFormat="1" applyFont="1" applyBorder="1" applyAlignment="1">
      <alignment horizontal="center" vertical="center" wrapText="1"/>
    </xf>
    <xf numFmtId="180" fontId="259" fillId="0" borderId="9" xfId="11" applyNumberFormat="1" applyFont="1" applyBorder="1" applyAlignment="1">
      <alignment horizontal="center" vertical="center" wrapText="1"/>
    </xf>
    <xf numFmtId="0" fontId="228" fillId="8" borderId="88" xfId="11" applyFont="1" applyFill="1" applyBorder="1" applyAlignment="1">
      <alignment horizontal="center" vertical="center"/>
    </xf>
    <xf numFmtId="181" fontId="260" fillId="8" borderId="5" xfId="11" applyNumberFormat="1" applyFont="1" applyFill="1" applyBorder="1" applyAlignment="1">
      <alignment horizontal="center" vertical="center" wrapText="1"/>
    </xf>
    <xf numFmtId="181" fontId="230" fillId="8" borderId="5" xfId="11" applyNumberFormat="1" applyFont="1" applyFill="1" applyBorder="1" applyAlignment="1">
      <alignment horizontal="left" vertical="center" wrapText="1"/>
    </xf>
    <xf numFmtId="38" fontId="300" fillId="8" borderId="7" xfId="1" applyFont="1" applyFill="1" applyBorder="1" applyAlignment="1">
      <alignment horizontal="center" vertical="center"/>
    </xf>
    <xf numFmtId="181" fontId="230" fillId="8" borderId="28" xfId="11" applyNumberFormat="1" applyFont="1" applyFill="1" applyBorder="1" applyAlignment="1">
      <alignment horizontal="center" vertical="center"/>
    </xf>
    <xf numFmtId="38" fontId="230" fillId="8" borderId="7" xfId="1" applyFont="1" applyFill="1" applyBorder="1" applyAlignment="1">
      <alignment horizontal="center" vertical="center"/>
    </xf>
    <xf numFmtId="38" fontId="228" fillId="8" borderId="7" xfId="1" applyFont="1" applyFill="1" applyBorder="1" applyAlignment="1">
      <alignment horizontal="center" vertical="center"/>
    </xf>
    <xf numFmtId="49" fontId="228" fillId="8" borderId="8" xfId="11" applyNumberFormat="1" applyFont="1" applyFill="1" applyBorder="1" applyAlignment="1">
      <alignment horizontal="center" vertical="center"/>
    </xf>
    <xf numFmtId="38" fontId="228" fillId="8" borderId="9" xfId="1" applyFont="1" applyFill="1" applyBorder="1" applyAlignment="1">
      <alignment horizontal="center" vertical="center"/>
    </xf>
    <xf numFmtId="38" fontId="228" fillId="8" borderId="7" xfId="1" applyFont="1" applyFill="1" applyBorder="1" applyAlignment="1">
      <alignment horizontal="right" vertical="center"/>
    </xf>
    <xf numFmtId="38" fontId="228" fillId="8" borderId="8" xfId="1" applyFont="1" applyFill="1" applyBorder="1" applyAlignment="1">
      <alignment horizontal="center" vertical="center"/>
    </xf>
    <xf numFmtId="181" fontId="228" fillId="8" borderId="53" xfId="11" applyNumberFormat="1" applyFont="1" applyFill="1" applyBorder="1" applyAlignment="1">
      <alignment vertical="center"/>
    </xf>
    <xf numFmtId="181" fontId="156" fillId="8" borderId="9" xfId="0" applyNumberFormat="1" applyFont="1" applyFill="1" applyBorder="1" applyProtection="1">
      <alignment vertical="center"/>
      <protection locked="0"/>
    </xf>
    <xf numFmtId="0" fontId="219" fillId="8" borderId="0" xfId="11" applyFont="1" applyFill="1" applyAlignment="1">
      <alignment vertical="center"/>
    </xf>
    <xf numFmtId="38" fontId="51" fillId="0" borderId="7" xfId="1" applyFont="1" applyBorder="1" applyAlignment="1">
      <alignment horizontal="center" vertical="center"/>
    </xf>
    <xf numFmtId="215" fontId="238" fillId="0" borderId="89" xfId="1" applyNumberFormat="1" applyFont="1" applyBorder="1" applyAlignment="1">
      <alignment horizontal="right" vertical="center"/>
    </xf>
    <xf numFmtId="215" fontId="239" fillId="0" borderId="121" xfId="1" applyNumberFormat="1" applyFont="1" applyBorder="1" applyAlignment="1">
      <alignment horizontal="right" vertical="center"/>
    </xf>
    <xf numFmtId="180" fontId="230" fillId="0" borderId="9" xfId="11" applyNumberFormat="1" applyFont="1" applyBorder="1" applyAlignment="1">
      <alignment horizontal="left" vertical="center" wrapText="1"/>
    </xf>
    <xf numFmtId="0" fontId="232" fillId="58" borderId="88" xfId="11" applyFont="1" applyFill="1" applyBorder="1" applyAlignment="1">
      <alignment horizontal="center" vertical="center"/>
    </xf>
    <xf numFmtId="213" fontId="232" fillId="58" borderId="9" xfId="11" applyNumberFormat="1" applyFont="1" applyFill="1" applyBorder="1" applyAlignment="1">
      <alignment horizontal="center" vertical="center"/>
    </xf>
    <xf numFmtId="213" fontId="233" fillId="58" borderId="9" xfId="11" applyNumberFormat="1" applyFont="1" applyFill="1" applyBorder="1" applyAlignment="1">
      <alignment horizontal="center" vertical="center"/>
    </xf>
    <xf numFmtId="181" fontId="233" fillId="58" borderId="5" xfId="11" applyNumberFormat="1" applyFont="1" applyFill="1" applyBorder="1" applyAlignment="1">
      <alignment horizontal="center" vertical="center" wrapText="1"/>
    </xf>
    <xf numFmtId="213" fontId="233" fillId="58" borderId="8" xfId="11" applyNumberFormat="1" applyFont="1" applyFill="1" applyBorder="1" applyAlignment="1">
      <alignment horizontal="center" vertical="center"/>
    </xf>
    <xf numFmtId="181" fontId="233" fillId="58" borderId="5" xfId="11" applyNumberFormat="1" applyFont="1" applyFill="1" applyBorder="1" applyAlignment="1">
      <alignment horizontal="left" vertical="center" wrapText="1"/>
    </xf>
    <xf numFmtId="38" fontId="233" fillId="58" borderId="7" xfId="1" applyFont="1" applyFill="1" applyBorder="1" applyAlignment="1">
      <alignment horizontal="center" vertical="center"/>
    </xf>
    <xf numFmtId="181" fontId="233" fillId="58" borderId="5" xfId="11" applyNumberFormat="1" applyFont="1" applyFill="1" applyBorder="1" applyAlignment="1">
      <alignment horizontal="center" vertical="center"/>
    </xf>
    <xf numFmtId="38" fontId="233" fillId="58" borderId="5" xfId="1" applyFont="1" applyFill="1" applyBorder="1" applyAlignment="1">
      <alignment horizontal="center" vertical="center"/>
    </xf>
    <xf numFmtId="181" fontId="233" fillId="58" borderId="40" xfId="11" applyNumberFormat="1" applyFont="1" applyFill="1" applyBorder="1" applyAlignment="1">
      <alignment horizontal="center" vertical="center"/>
    </xf>
    <xf numFmtId="38" fontId="233" fillId="58" borderId="40" xfId="1" applyFont="1" applyFill="1" applyBorder="1" applyAlignment="1">
      <alignment horizontal="center" vertical="center"/>
    </xf>
    <xf numFmtId="49" fontId="228" fillId="58" borderId="8" xfId="11" applyNumberFormat="1" applyFont="1" applyFill="1" applyBorder="1" applyAlignment="1">
      <alignment horizontal="center" vertical="center"/>
    </xf>
    <xf numFmtId="38" fontId="233" fillId="58" borderId="9" xfId="1" applyFont="1" applyFill="1" applyBorder="1" applyAlignment="1">
      <alignment horizontal="center" vertical="center"/>
    </xf>
    <xf numFmtId="38" fontId="233" fillId="58" borderId="7" xfId="1" applyFont="1" applyFill="1" applyBorder="1" applyAlignment="1">
      <alignment horizontal="right" vertical="center"/>
    </xf>
    <xf numFmtId="38" fontId="233" fillId="58" borderId="8" xfId="1" applyFont="1" applyFill="1" applyBorder="1" applyAlignment="1">
      <alignment horizontal="center" vertical="center"/>
    </xf>
    <xf numFmtId="49" fontId="228" fillId="58" borderId="5" xfId="11" applyNumberFormat="1" applyFont="1" applyFill="1" applyBorder="1" applyAlignment="1">
      <alignment horizontal="center" vertical="center"/>
    </xf>
    <xf numFmtId="181" fontId="228" fillId="58" borderId="89" xfId="11" applyNumberFormat="1" applyFont="1" applyFill="1" applyBorder="1" applyAlignment="1">
      <alignment vertical="center"/>
    </xf>
    <xf numFmtId="0" fontId="230" fillId="0" borderId="9" xfId="11" applyFont="1" applyBorder="1" applyAlignment="1">
      <alignment vertical="center" wrapText="1"/>
    </xf>
    <xf numFmtId="0" fontId="248" fillId="0" borderId="434" xfId="11" applyFont="1" applyBorder="1" applyAlignment="1">
      <alignment horizontal="center" vertical="center" shrinkToFit="1"/>
    </xf>
    <xf numFmtId="0" fontId="248" fillId="0" borderId="1082" xfId="11" applyFont="1" applyBorder="1" applyAlignment="1">
      <alignment horizontal="center" vertical="center" shrinkToFit="1"/>
    </xf>
    <xf numFmtId="0" fontId="248" fillId="0" borderId="452" xfId="11" applyFont="1" applyBorder="1" applyAlignment="1">
      <alignment horizontal="center" vertical="center" shrinkToFit="1"/>
    </xf>
    <xf numFmtId="0" fontId="248" fillId="0" borderId="451" xfId="11" applyFont="1" applyBorder="1" applyAlignment="1">
      <alignment horizontal="center" vertical="center" shrinkToFit="1"/>
    </xf>
    <xf numFmtId="0" fontId="248" fillId="0" borderId="900" xfId="11" applyFont="1" applyBorder="1" applyAlignment="1">
      <alignment horizontal="center" vertical="center" shrinkToFit="1"/>
    </xf>
    <xf numFmtId="0" fontId="248" fillId="0" borderId="437" xfId="11" applyFont="1" applyBorder="1" applyAlignment="1">
      <alignment horizontal="center" vertical="center" shrinkToFit="1"/>
    </xf>
    <xf numFmtId="206" fontId="219" fillId="25" borderId="163" xfId="11" applyNumberFormat="1" applyFont="1" applyFill="1" applyBorder="1" applyAlignment="1">
      <alignment horizontal="center" vertical="center"/>
    </xf>
    <xf numFmtId="0" fontId="255" fillId="40" borderId="900" xfId="11" applyFont="1" applyFill="1" applyBorder="1" applyAlignment="1">
      <alignment vertical="center"/>
    </xf>
    <xf numFmtId="214" fontId="238" fillId="0" borderId="87" xfId="1" applyNumberFormat="1" applyFont="1" applyBorder="1" applyAlignment="1">
      <alignment horizontal="right" vertical="center"/>
    </xf>
    <xf numFmtId="215" fontId="238" fillId="0" borderId="175" xfId="1" applyNumberFormat="1" applyFont="1" applyBorder="1" applyAlignment="1">
      <alignment horizontal="right" vertical="center"/>
    </xf>
    <xf numFmtId="215" fontId="239" fillId="0" borderId="0" xfId="1" applyNumberFormat="1" applyFont="1" applyBorder="1" applyAlignment="1">
      <alignment horizontal="right" vertical="center"/>
    </xf>
    <xf numFmtId="38" fontId="231" fillId="0" borderId="0" xfId="1" applyFont="1" applyAlignment="1">
      <alignment vertical="center"/>
    </xf>
    <xf numFmtId="14" fontId="234" fillId="0" borderId="5" xfId="0" applyNumberFormat="1" applyFont="1" applyBorder="1" applyAlignment="1">
      <alignment horizontal="center" vertical="center" wrapText="1"/>
    </xf>
    <xf numFmtId="0" fontId="234" fillId="0" borderId="5" xfId="0" applyFont="1" applyBorder="1" applyAlignment="1">
      <alignment horizontal="center" vertical="center" wrapText="1"/>
    </xf>
    <xf numFmtId="0" fontId="235" fillId="0" borderId="5" xfId="0" applyFont="1" applyBorder="1" applyAlignment="1">
      <alignment horizontal="center" vertical="center" wrapText="1"/>
    </xf>
    <xf numFmtId="0" fontId="235" fillId="0" borderId="7" xfId="0" applyFont="1" applyBorder="1" applyAlignment="1">
      <alignment horizontal="center" vertical="center" wrapText="1"/>
    </xf>
    <xf numFmtId="14" fontId="234" fillId="0" borderId="7" xfId="0" applyNumberFormat="1" applyFont="1" applyBorder="1" applyAlignment="1">
      <alignment horizontal="center" vertical="center" wrapText="1"/>
    </xf>
    <xf numFmtId="0" fontId="234" fillId="0" borderId="5" xfId="0" applyFont="1" applyBorder="1" applyAlignment="1">
      <alignment horizontal="left" vertical="center" wrapText="1"/>
    </xf>
    <xf numFmtId="0" fontId="234" fillId="0" borderId="7" xfId="0" applyFont="1" applyBorder="1" applyAlignment="1">
      <alignment horizontal="center" vertical="center"/>
    </xf>
    <xf numFmtId="0" fontId="234" fillId="0" borderId="28" xfId="0" applyFont="1" applyBorder="1" applyAlignment="1">
      <alignment horizontal="center" vertical="center"/>
    </xf>
    <xf numFmtId="3" fontId="234" fillId="0" borderId="7" xfId="0" applyNumberFormat="1" applyFont="1" applyBorder="1" applyAlignment="1">
      <alignment horizontal="center" vertical="center"/>
    </xf>
    <xf numFmtId="0" fontId="234" fillId="0" borderId="7" xfId="0" applyFont="1" applyBorder="1" applyAlignment="1">
      <alignment horizontal="center" vertical="center" wrapText="1"/>
    </xf>
    <xf numFmtId="0" fontId="234" fillId="61" borderId="5" xfId="0" applyFont="1" applyFill="1" applyBorder="1" applyAlignment="1">
      <alignment horizontal="center" vertical="center" wrapText="1"/>
    </xf>
    <xf numFmtId="0" fontId="234" fillId="61" borderId="7" xfId="0" applyFont="1" applyFill="1" applyBorder="1" applyAlignment="1">
      <alignment horizontal="center" vertical="center" wrapText="1"/>
    </xf>
    <xf numFmtId="0" fontId="234" fillId="61" borderId="5" xfId="0" applyFont="1" applyFill="1" applyBorder="1" applyAlignment="1">
      <alignment horizontal="left" vertical="center" wrapText="1"/>
    </xf>
    <xf numFmtId="0" fontId="234" fillId="61" borderId="7" xfId="0" applyFont="1" applyFill="1" applyBorder="1" applyAlignment="1">
      <alignment horizontal="center" vertical="center"/>
    </xf>
    <xf numFmtId="0" fontId="234" fillId="61" borderId="28" xfId="0" applyFont="1" applyFill="1" applyBorder="1" applyAlignment="1">
      <alignment horizontal="center" vertical="center"/>
    </xf>
    <xf numFmtId="0" fontId="230" fillId="0" borderId="5" xfId="0" applyFont="1" applyBorder="1" applyAlignment="1">
      <alignment horizontal="center" vertical="center" wrapText="1"/>
    </xf>
    <xf numFmtId="20" fontId="230" fillId="0" borderId="5" xfId="0" applyNumberFormat="1" applyFont="1" applyBorder="1" applyAlignment="1">
      <alignment horizontal="center" vertical="center" wrapText="1"/>
    </xf>
    <xf numFmtId="46" fontId="230" fillId="0" borderId="5" xfId="0" applyNumberFormat="1" applyFont="1" applyBorder="1" applyAlignment="1">
      <alignment horizontal="center" vertical="center" wrapText="1"/>
    </xf>
    <xf numFmtId="0" fontId="230" fillId="0" borderId="5" xfId="0" applyFont="1" applyBorder="1" applyAlignment="1">
      <alignment horizontal="center" vertical="center"/>
    </xf>
    <xf numFmtId="0" fontId="230" fillId="0" borderId="9" xfId="0" applyFont="1" applyBorder="1" applyAlignment="1">
      <alignment horizontal="left" vertical="center" wrapText="1"/>
    </xf>
    <xf numFmtId="0" fontId="230" fillId="61" borderId="7" xfId="0" applyFont="1" applyFill="1" applyBorder="1" applyAlignment="1">
      <alignment horizontal="center" vertical="center" wrapText="1"/>
    </xf>
    <xf numFmtId="0" fontId="230" fillId="61" borderId="449" xfId="0" applyFont="1" applyFill="1" applyBorder="1" applyAlignment="1">
      <alignment horizontal="center" vertical="center" wrapText="1"/>
    </xf>
    <xf numFmtId="3" fontId="230" fillId="0" borderId="5" xfId="0" applyNumberFormat="1" applyFont="1" applyBorder="1" applyAlignment="1">
      <alignment horizontal="center" vertical="center" wrapText="1"/>
    </xf>
    <xf numFmtId="0" fontId="230" fillId="0" borderId="28" xfId="0" applyFont="1" applyBorder="1" applyAlignment="1">
      <alignment horizontal="center" vertical="center"/>
    </xf>
    <xf numFmtId="213" fontId="295" fillId="0" borderId="9" xfId="11" applyNumberFormat="1" applyFont="1" applyBorder="1" applyAlignment="1">
      <alignment horizontal="center" vertical="center"/>
    </xf>
    <xf numFmtId="181" fontId="249" fillId="0" borderId="5" xfId="11" applyNumberFormat="1" applyFont="1" applyBorder="1" applyAlignment="1">
      <alignment horizontal="center" vertical="center" wrapText="1"/>
    </xf>
    <xf numFmtId="213" fontId="249" fillId="0" borderId="8" xfId="11" applyNumberFormat="1" applyFont="1" applyBorder="1" applyAlignment="1">
      <alignment horizontal="center" vertical="center"/>
    </xf>
    <xf numFmtId="38" fontId="249" fillId="0" borderId="5" xfId="1" applyFont="1" applyFill="1" applyBorder="1" applyAlignment="1">
      <alignment horizontal="center" vertical="center"/>
    </xf>
    <xf numFmtId="181" fontId="230" fillId="0" borderId="28" xfId="11" applyNumberFormat="1" applyFont="1" applyBorder="1" applyAlignment="1">
      <alignment vertical="center"/>
    </xf>
    <xf numFmtId="38" fontId="301" fillId="0" borderId="7" xfId="1" applyFont="1" applyBorder="1" applyAlignment="1">
      <alignment horizontal="center" vertical="center"/>
    </xf>
    <xf numFmtId="38" fontId="229" fillId="0" borderId="7" xfId="1" applyFont="1" applyBorder="1" applyAlignment="1">
      <alignment horizontal="right" vertical="center"/>
    </xf>
    <xf numFmtId="38" fontId="230" fillId="0" borderId="7" xfId="1" applyFont="1" applyBorder="1" applyAlignment="1">
      <alignment vertical="center"/>
    </xf>
    <xf numFmtId="0" fontId="287" fillId="0" borderId="139" xfId="11" applyFont="1" applyBorder="1" applyAlignment="1">
      <alignment horizontal="center" vertical="distributed"/>
    </xf>
    <xf numFmtId="214" fontId="287" fillId="0" borderId="0" xfId="1" applyNumberFormat="1" applyFont="1" applyBorder="1" applyAlignment="1">
      <alignment horizontal="right" vertical="center"/>
    </xf>
    <xf numFmtId="0" fontId="287" fillId="0" borderId="0" xfId="11" applyFont="1" applyAlignment="1">
      <alignment horizontal="center" vertical="distributed"/>
    </xf>
    <xf numFmtId="215" fontId="287" fillId="0" borderId="89" xfId="1" applyNumberFormat="1" applyFont="1" applyBorder="1" applyAlignment="1">
      <alignment horizontal="right" vertical="center"/>
    </xf>
    <xf numFmtId="215" fontId="287" fillId="0" borderId="0" xfId="1" applyNumberFormat="1" applyFont="1" applyBorder="1" applyAlignment="1">
      <alignment horizontal="right" vertical="center"/>
    </xf>
    <xf numFmtId="215" fontId="239" fillId="0" borderId="121" xfId="1" applyNumberFormat="1" applyFont="1" applyFill="1" applyBorder="1" applyAlignment="1">
      <alignment horizontal="right" vertical="center"/>
    </xf>
    <xf numFmtId="215" fontId="287" fillId="0" borderId="89" xfId="1" applyNumberFormat="1" applyFont="1" applyFill="1" applyBorder="1" applyAlignment="1">
      <alignment horizontal="right" vertical="center"/>
    </xf>
    <xf numFmtId="213" fontId="295" fillId="0" borderId="5" xfId="11" applyNumberFormat="1" applyFont="1" applyBorder="1" applyAlignment="1">
      <alignment horizontal="center" vertical="center"/>
    </xf>
    <xf numFmtId="213" fontId="249" fillId="0" borderId="5" xfId="11" applyNumberFormat="1" applyFont="1" applyBorder="1" applyAlignment="1">
      <alignment horizontal="center" vertical="center"/>
    </xf>
    <xf numFmtId="0" fontId="250" fillId="0" borderId="86" xfId="11" applyFont="1" applyBorder="1" applyAlignment="1">
      <alignment horizontal="right" vertical="center" shrinkToFit="1"/>
    </xf>
    <xf numFmtId="180" fontId="250" fillId="0" borderId="1044" xfId="11" applyNumberFormat="1" applyFont="1" applyBorder="1" applyAlignment="1">
      <alignment horizontal="right" vertical="center" shrinkToFit="1"/>
    </xf>
    <xf numFmtId="0" fontId="302" fillId="0" borderId="5" xfId="11" applyFont="1" applyBorder="1" applyAlignment="1">
      <alignment horizontal="right" vertical="center" shrinkToFit="1"/>
    </xf>
    <xf numFmtId="206" fontId="230" fillId="0" borderId="1054" xfId="11" applyNumberFormat="1" applyFont="1" applyBorder="1" applyAlignment="1">
      <alignment horizontal="right" vertical="center" wrapText="1"/>
    </xf>
    <xf numFmtId="0" fontId="228" fillId="28" borderId="88" xfId="11" applyFont="1" applyFill="1" applyBorder="1" applyAlignment="1">
      <alignment horizontal="center" vertical="center" wrapText="1"/>
    </xf>
    <xf numFmtId="213" fontId="230" fillId="28" borderId="5" xfId="11" applyNumberFormat="1" applyFont="1" applyFill="1" applyBorder="1" applyAlignment="1">
      <alignment horizontal="center" vertical="center" wrapText="1"/>
    </xf>
    <xf numFmtId="216" fontId="230" fillId="28" borderId="5" xfId="11" applyNumberFormat="1" applyFont="1" applyFill="1" applyBorder="1" applyAlignment="1">
      <alignment horizontal="center" vertical="center" wrapText="1"/>
    </xf>
    <xf numFmtId="0" fontId="302" fillId="28" borderId="5" xfId="11" applyFont="1" applyFill="1" applyBorder="1" applyAlignment="1">
      <alignment horizontal="right" vertical="center" shrinkToFit="1"/>
    </xf>
    <xf numFmtId="0" fontId="230" fillId="28" borderId="9" xfId="11" applyFont="1" applyFill="1" applyBorder="1" applyAlignment="1">
      <alignment horizontal="center" vertical="center" wrapText="1"/>
    </xf>
    <xf numFmtId="180" fontId="230" fillId="28" borderId="5" xfId="11" applyNumberFormat="1" applyFont="1" applyFill="1" applyBorder="1" applyAlignment="1">
      <alignment horizontal="center" vertical="center" wrapText="1"/>
    </xf>
    <xf numFmtId="0" fontId="230" fillId="28" borderId="5" xfId="11" applyFont="1" applyFill="1" applyBorder="1" applyAlignment="1">
      <alignment horizontal="center" vertical="center" wrapText="1"/>
    </xf>
    <xf numFmtId="180" fontId="230" fillId="28" borderId="7" xfId="11" applyNumberFormat="1" applyFont="1" applyFill="1" applyBorder="1" applyAlignment="1">
      <alignment horizontal="right" vertical="center" wrapText="1"/>
    </xf>
    <xf numFmtId="180" fontId="230" fillId="28" borderId="449" xfId="11" applyNumberFormat="1" applyFont="1" applyFill="1" applyBorder="1" applyAlignment="1">
      <alignment horizontal="right" vertical="center" wrapText="1"/>
    </xf>
    <xf numFmtId="180" fontId="230" fillId="28" borderId="5" xfId="11" applyNumberFormat="1" applyFont="1" applyFill="1" applyBorder="1" applyAlignment="1">
      <alignment horizontal="right" vertical="center" wrapText="1"/>
    </xf>
    <xf numFmtId="206" fontId="230" fillId="28" borderId="1054" xfId="11" applyNumberFormat="1" applyFont="1" applyFill="1" applyBorder="1" applyAlignment="1">
      <alignment horizontal="right" vertical="center" wrapText="1"/>
    </xf>
    <xf numFmtId="0" fontId="230" fillId="28" borderId="445" xfId="11" applyFont="1" applyFill="1" applyBorder="1" applyAlignment="1">
      <alignment horizontal="center" vertical="center" wrapText="1"/>
    </xf>
    <xf numFmtId="180" fontId="230" fillId="28" borderId="434" xfId="11" applyNumberFormat="1" applyFont="1" applyFill="1" applyBorder="1" applyAlignment="1">
      <alignment horizontal="center" vertical="center" wrapText="1"/>
    </xf>
    <xf numFmtId="0" fontId="230" fillId="28" borderId="434" xfId="11" applyFont="1" applyFill="1" applyBorder="1" applyAlignment="1">
      <alignment horizontal="center" vertical="center" wrapText="1"/>
    </xf>
    <xf numFmtId="180" fontId="230" fillId="28" borderId="96" xfId="11" applyNumberFormat="1" applyFont="1" applyFill="1" applyBorder="1" applyAlignment="1">
      <alignment horizontal="center" vertical="center" wrapText="1"/>
    </xf>
    <xf numFmtId="180" fontId="230" fillId="28" borderId="9" xfId="11" applyNumberFormat="1" applyFont="1" applyFill="1" applyBorder="1" applyAlignment="1">
      <alignment horizontal="center" vertical="center" wrapText="1"/>
    </xf>
    <xf numFmtId="206" fontId="230" fillId="0" borderId="1055" xfId="11" applyNumberFormat="1" applyFont="1" applyBorder="1" applyAlignment="1">
      <alignment horizontal="right" vertical="center" wrapText="1"/>
    </xf>
    <xf numFmtId="206" fontId="230" fillId="0" borderId="1072" xfId="11" applyNumberFormat="1" applyFont="1" applyBorder="1" applyAlignment="1">
      <alignment horizontal="right" vertical="center" wrapText="1"/>
    </xf>
    <xf numFmtId="0" fontId="228" fillId="40" borderId="1056" xfId="11" applyFont="1" applyFill="1" applyBorder="1" applyAlignment="1">
      <alignment horizontal="center" vertical="center" wrapText="1"/>
    </xf>
    <xf numFmtId="206" fontId="230" fillId="0" borderId="1067" xfId="11" applyNumberFormat="1" applyFont="1" applyBorder="1" applyAlignment="1">
      <alignment horizontal="right" vertical="center" wrapText="1"/>
    </xf>
    <xf numFmtId="0" fontId="256" fillId="25" borderId="377" xfId="11" applyFont="1" applyFill="1" applyBorder="1" applyAlignment="1">
      <alignment horizontal="center" vertical="center" wrapText="1"/>
    </xf>
    <xf numFmtId="206" fontId="246" fillId="0" borderId="378" xfId="11" applyNumberFormat="1" applyFont="1" applyBorder="1" applyAlignment="1">
      <alignment horizontal="right" vertical="center" wrapText="1"/>
    </xf>
    <xf numFmtId="38" fontId="227" fillId="42" borderId="0" xfId="1" applyFont="1" applyFill="1" applyAlignment="1">
      <alignment horizontal="center" vertical="center"/>
    </xf>
    <xf numFmtId="180" fontId="230" fillId="28" borderId="27" xfId="11" applyNumberFormat="1" applyFont="1" applyFill="1" applyBorder="1" applyAlignment="1">
      <alignment horizontal="right" vertical="center" wrapText="1"/>
    </xf>
    <xf numFmtId="180" fontId="230" fillId="28" borderId="447" xfId="11" applyNumberFormat="1" applyFont="1" applyFill="1" applyBorder="1" applyAlignment="1">
      <alignment horizontal="center" vertical="center" wrapText="1"/>
    </xf>
    <xf numFmtId="0" fontId="230" fillId="28" borderId="447" xfId="11" applyFont="1" applyFill="1" applyBorder="1" applyAlignment="1">
      <alignment horizontal="center" vertical="center" wrapText="1"/>
    </xf>
    <xf numFmtId="180" fontId="230" fillId="28" borderId="947" xfId="11" applyNumberFormat="1" applyFont="1" applyFill="1" applyBorder="1" applyAlignment="1">
      <alignment horizontal="center" vertical="center" wrapText="1"/>
    </xf>
    <xf numFmtId="180" fontId="230" fillId="28" borderId="142" xfId="11" applyNumberFormat="1" applyFont="1" applyFill="1" applyBorder="1" applyAlignment="1">
      <alignment horizontal="center" vertical="center" wrapText="1"/>
    </xf>
    <xf numFmtId="180" fontId="230" fillId="28" borderId="26" xfId="11" applyNumberFormat="1" applyFont="1" applyFill="1" applyBorder="1" applyAlignment="1">
      <alignment horizontal="center" vertical="center" wrapText="1"/>
    </xf>
    <xf numFmtId="0" fontId="230" fillId="28" borderId="457" xfId="11" applyFont="1" applyFill="1" applyBorder="1" applyAlignment="1">
      <alignment horizontal="center" vertical="center" wrapText="1"/>
    </xf>
    <xf numFmtId="180" fontId="230" fillId="28" borderId="97" xfId="11" applyNumberFormat="1" applyFont="1" applyFill="1" applyBorder="1" applyAlignment="1">
      <alignment horizontal="center" vertical="center" wrapText="1"/>
    </xf>
    <xf numFmtId="206" fontId="230" fillId="28" borderId="1055" xfId="11" applyNumberFormat="1" applyFont="1" applyFill="1" applyBorder="1" applyAlignment="1">
      <alignment horizontal="right" vertical="center" wrapText="1"/>
    </xf>
    <xf numFmtId="181" fontId="285" fillId="0" borderId="5" xfId="11" applyNumberFormat="1" applyFont="1" applyBorder="1" applyAlignment="1">
      <alignment horizontal="left" vertical="center" wrapText="1"/>
    </xf>
    <xf numFmtId="49" fontId="229" fillId="0" borderId="8" xfId="11" applyNumberFormat="1" applyFont="1" applyBorder="1" applyAlignment="1">
      <alignment horizontal="center" vertical="center"/>
    </xf>
    <xf numFmtId="38" fontId="229" fillId="0" borderId="8" xfId="1" applyFont="1" applyBorder="1" applyAlignment="1">
      <alignment horizontal="center" vertical="center"/>
    </xf>
    <xf numFmtId="38" fontId="228" fillId="0" borderId="1038" xfId="1" applyFont="1" applyBorder="1" applyAlignment="1">
      <alignment horizontal="center" vertical="center"/>
    </xf>
    <xf numFmtId="38" fontId="228" fillId="0" borderId="1040" xfId="11" applyNumberFormat="1" applyFont="1" applyBorder="1" applyAlignment="1">
      <alignment horizontal="center" vertical="center"/>
    </xf>
    <xf numFmtId="38" fontId="263" fillId="0" borderId="1038" xfId="1" applyFont="1" applyBorder="1" applyAlignment="1">
      <alignment horizontal="center" vertical="center"/>
    </xf>
    <xf numFmtId="38" fontId="263" fillId="0" borderId="1040" xfId="11" applyNumberFormat="1" applyFont="1" applyBorder="1" applyAlignment="1">
      <alignment horizontal="center" vertical="center"/>
    </xf>
    <xf numFmtId="181" fontId="233" fillId="12" borderId="7" xfId="11" applyNumberFormat="1" applyFont="1" applyFill="1" applyBorder="1" applyAlignment="1">
      <alignment horizontal="center" vertical="center" wrapText="1"/>
    </xf>
    <xf numFmtId="181" fontId="228" fillId="12" borderId="28" xfId="11" applyNumberFormat="1" applyFont="1" applyFill="1" applyBorder="1" applyAlignment="1">
      <alignment horizontal="center" vertical="center"/>
    </xf>
    <xf numFmtId="38" fontId="228" fillId="12" borderId="7" xfId="1" applyFont="1" applyFill="1" applyBorder="1" applyAlignment="1">
      <alignment horizontal="center" vertical="center"/>
    </xf>
    <xf numFmtId="181" fontId="229" fillId="0" borderId="28" xfId="11" applyNumberFormat="1" applyFont="1" applyBorder="1" applyAlignment="1">
      <alignment horizontal="center" vertical="center"/>
    </xf>
    <xf numFmtId="0" fontId="278" fillId="0" borderId="445" xfId="11" applyFont="1" applyBorder="1" applyAlignment="1">
      <alignment horizontal="center" vertical="center" wrapText="1"/>
    </xf>
    <xf numFmtId="181" fontId="285" fillId="0" borderId="28" xfId="11" applyNumberFormat="1" applyFont="1" applyBorder="1" applyAlignment="1">
      <alignment horizontal="center" vertical="center"/>
    </xf>
    <xf numFmtId="0" fontId="269" fillId="0" borderId="9" xfId="11" applyFont="1" applyBorder="1" applyAlignment="1">
      <alignment horizontal="center" vertical="center"/>
    </xf>
    <xf numFmtId="9" fontId="231" fillId="0" borderId="0" xfId="11" applyNumberFormat="1" applyFont="1" applyAlignment="1">
      <alignment vertical="center"/>
    </xf>
    <xf numFmtId="180" fontId="231" fillId="0" borderId="0" xfId="11" applyNumberFormat="1" applyFont="1" applyAlignment="1">
      <alignment vertical="center"/>
    </xf>
    <xf numFmtId="0" fontId="257" fillId="0" borderId="1056" xfId="11" applyFont="1" applyBorder="1" applyAlignment="1">
      <alignment horizontal="center" vertical="center" wrapText="1"/>
    </xf>
    <xf numFmtId="181" fontId="156" fillId="0" borderId="88" xfId="0" applyNumberFormat="1" applyFont="1" applyBorder="1" applyProtection="1">
      <alignment vertical="center"/>
      <protection locked="0"/>
    </xf>
    <xf numFmtId="38" fontId="263" fillId="25" borderId="7" xfId="1" applyFont="1" applyFill="1" applyBorder="1" applyAlignment="1">
      <alignment horizontal="center" vertical="center"/>
    </xf>
    <xf numFmtId="180" fontId="248" fillId="0" borderId="451" xfId="11" applyNumberFormat="1" applyFont="1" applyBorder="1" applyAlignment="1">
      <alignment horizontal="center" vertical="center" shrinkToFit="1"/>
    </xf>
    <xf numFmtId="0" fontId="248" fillId="0" borderId="5" xfId="11" applyFont="1" applyBorder="1" applyAlignment="1">
      <alignment horizontal="center" vertical="center" shrinkToFit="1"/>
    </xf>
    <xf numFmtId="38" fontId="259" fillId="0" borderId="7" xfId="1" applyFont="1" applyBorder="1" applyAlignment="1">
      <alignment horizontal="center" vertical="center"/>
    </xf>
    <xf numFmtId="38" fontId="259" fillId="0" borderId="5" xfId="1" applyFont="1" applyBorder="1" applyAlignment="1">
      <alignment horizontal="center" vertical="center"/>
    </xf>
    <xf numFmtId="0" fontId="228" fillId="0" borderId="5" xfId="11" applyFont="1" applyBorder="1" applyAlignment="1">
      <alignment horizontal="center" vertical="center" wrapText="1"/>
    </xf>
    <xf numFmtId="213" fontId="304" fillId="0" borderId="5" xfId="11" applyNumberFormat="1" applyFont="1" applyBorder="1" applyAlignment="1">
      <alignment horizontal="center" vertical="center" wrapText="1"/>
    </xf>
    <xf numFmtId="216" fontId="304" fillId="0" borderId="5" xfId="11" applyNumberFormat="1" applyFont="1" applyBorder="1" applyAlignment="1">
      <alignment horizontal="center" vertical="center" wrapText="1"/>
    </xf>
    <xf numFmtId="0" fontId="228" fillId="0" borderId="5" xfId="11" applyFont="1" applyBorder="1" applyAlignment="1">
      <alignment horizontal="center" vertical="center" shrinkToFit="1"/>
    </xf>
    <xf numFmtId="180" fontId="304" fillId="0" borderId="9" xfId="11" applyNumberFormat="1" applyFont="1" applyBorder="1" applyAlignment="1">
      <alignment horizontal="center" vertical="center" wrapText="1"/>
    </xf>
    <xf numFmtId="180" fontId="304" fillId="0" borderId="5" xfId="11" applyNumberFormat="1" applyFont="1" applyBorder="1" applyAlignment="1">
      <alignment horizontal="center" vertical="center" wrapText="1"/>
    </xf>
    <xf numFmtId="0" fontId="304" fillId="0" borderId="5" xfId="11" applyFont="1" applyBorder="1" applyAlignment="1">
      <alignment horizontal="center" vertical="center" wrapText="1"/>
    </xf>
    <xf numFmtId="180" fontId="304" fillId="0" borderId="7" xfId="11" applyNumberFormat="1" applyFont="1" applyBorder="1" applyAlignment="1">
      <alignment horizontal="center" vertical="center" wrapText="1"/>
    </xf>
    <xf numFmtId="180" fontId="304" fillId="0" borderId="449" xfId="11" applyNumberFormat="1" applyFont="1" applyBorder="1" applyAlignment="1">
      <alignment horizontal="center" vertical="center" wrapText="1"/>
    </xf>
    <xf numFmtId="38" fontId="233" fillId="0" borderId="28" xfId="1" applyFont="1" applyFill="1" applyBorder="1" applyAlignment="1">
      <alignment horizontal="center" vertical="center"/>
    </xf>
    <xf numFmtId="213" fontId="228" fillId="12" borderId="9" xfId="11" applyNumberFormat="1" applyFont="1" applyFill="1" applyBorder="1" applyAlignment="1">
      <alignment horizontal="center" vertical="center"/>
    </xf>
    <xf numFmtId="213" fontId="263" fillId="12" borderId="9" xfId="11" applyNumberFormat="1" applyFont="1" applyFill="1" applyBorder="1" applyAlignment="1">
      <alignment horizontal="center" vertical="center" wrapText="1"/>
    </xf>
    <xf numFmtId="181" fontId="228" fillId="12" borderId="5" xfId="11" applyNumberFormat="1" applyFont="1" applyFill="1" applyBorder="1" applyAlignment="1">
      <alignment horizontal="left" vertical="center" wrapText="1"/>
    </xf>
    <xf numFmtId="181" fontId="233" fillId="0" borderId="7" xfId="11" applyNumberFormat="1" applyFont="1" applyBorder="1" applyAlignment="1">
      <alignment horizontal="center" vertical="center"/>
    </xf>
    <xf numFmtId="38" fontId="238" fillId="0" borderId="0" xfId="11" applyNumberFormat="1" applyFont="1" applyAlignment="1">
      <alignment horizontal="center" vertical="center"/>
    </xf>
    <xf numFmtId="213" fontId="228" fillId="12" borderId="5" xfId="11" applyNumberFormat="1" applyFont="1" applyFill="1" applyBorder="1" applyAlignment="1">
      <alignment horizontal="center" vertical="center"/>
    </xf>
    <xf numFmtId="0" fontId="51" fillId="12" borderId="9" xfId="11" applyFont="1" applyFill="1" applyBorder="1" applyAlignment="1">
      <alignment horizontal="center" vertical="center" wrapText="1"/>
    </xf>
    <xf numFmtId="0" fontId="51" fillId="0" borderId="9" xfId="11" applyFont="1" applyBorder="1" applyAlignment="1">
      <alignment horizontal="center" vertical="center" wrapText="1"/>
    </xf>
    <xf numFmtId="180" fontId="51" fillId="0" borderId="9" xfId="11" applyNumberFormat="1" applyFont="1" applyBorder="1" applyAlignment="1">
      <alignment horizontal="center" vertical="center" wrapText="1"/>
    </xf>
    <xf numFmtId="38" fontId="222" fillId="0" borderId="0" xfId="1" applyFont="1" applyAlignment="1">
      <alignment horizontal="center" vertical="center"/>
    </xf>
    <xf numFmtId="181" fontId="305" fillId="19" borderId="5" xfId="11" applyNumberFormat="1" applyFont="1" applyFill="1" applyBorder="1" applyAlignment="1">
      <alignment horizontal="left" vertical="center" wrapText="1"/>
    </xf>
    <xf numFmtId="38" fontId="305" fillId="19" borderId="7" xfId="1" applyFont="1" applyFill="1" applyBorder="1" applyAlignment="1">
      <alignment horizontal="center" vertical="center"/>
    </xf>
    <xf numFmtId="38" fontId="257" fillId="19" borderId="7" xfId="1" applyFont="1" applyFill="1" applyBorder="1" applyAlignment="1">
      <alignment horizontal="right" vertical="center"/>
    </xf>
    <xf numFmtId="38" fontId="257" fillId="25" borderId="7" xfId="1" applyFont="1" applyFill="1" applyBorder="1" applyAlignment="1">
      <alignment horizontal="right" vertical="center"/>
    </xf>
    <xf numFmtId="181" fontId="305" fillId="19" borderId="27" xfId="11" applyNumberFormat="1" applyFont="1" applyFill="1" applyBorder="1" applyAlignment="1">
      <alignment horizontal="left" vertical="center" wrapText="1"/>
    </xf>
    <xf numFmtId="38" fontId="305" fillId="19" borderId="37" xfId="1" applyFont="1" applyFill="1" applyBorder="1" applyAlignment="1">
      <alignment horizontal="center" vertical="center"/>
    </xf>
    <xf numFmtId="0" fontId="244" fillId="0" borderId="101" xfId="11" applyFont="1" applyBorder="1" applyAlignment="1">
      <alignment vertical="center"/>
    </xf>
    <xf numFmtId="0" fontId="305" fillId="0" borderId="5" xfId="11" applyFont="1" applyBorder="1" applyAlignment="1">
      <alignment horizontal="left" vertical="center" wrapText="1"/>
    </xf>
    <xf numFmtId="0" fontId="306" fillId="0" borderId="432" xfId="11" applyFont="1" applyBorder="1" applyAlignment="1">
      <alignment horizontal="center" vertical="center" wrapText="1"/>
    </xf>
    <xf numFmtId="180" fontId="305" fillId="0" borderId="5" xfId="11" applyNumberFormat="1" applyFont="1" applyBorder="1" applyAlignment="1">
      <alignment horizontal="center" vertical="center" wrapText="1"/>
    </xf>
    <xf numFmtId="206" fontId="230" fillId="0" borderId="1083" xfId="11" applyNumberFormat="1" applyFont="1" applyBorder="1" applyAlignment="1">
      <alignment horizontal="center" vertical="center" wrapText="1"/>
    </xf>
    <xf numFmtId="0" fontId="257" fillId="0" borderId="5" xfId="11" applyFont="1" applyBorder="1" applyAlignment="1">
      <alignment horizontal="left" vertical="center" wrapText="1"/>
    </xf>
    <xf numFmtId="0" fontId="307" fillId="0" borderId="5" xfId="11" applyFont="1" applyBorder="1" applyAlignment="1">
      <alignment horizontal="center" vertical="center" wrapText="1"/>
    </xf>
    <xf numFmtId="0" fontId="305" fillId="19" borderId="5" xfId="11" applyFont="1" applyFill="1" applyBorder="1" applyAlignment="1">
      <alignment horizontal="left" vertical="center" wrapText="1"/>
    </xf>
    <xf numFmtId="0" fontId="305" fillId="19" borderId="432" xfId="11" applyFont="1" applyFill="1" applyBorder="1" applyAlignment="1">
      <alignment horizontal="center" vertical="center" wrapText="1"/>
    </xf>
    <xf numFmtId="180" fontId="305" fillId="19" borderId="5" xfId="11" applyNumberFormat="1" applyFont="1" applyFill="1" applyBorder="1" applyAlignment="1">
      <alignment horizontal="center" vertical="center" wrapText="1"/>
    </xf>
    <xf numFmtId="180" fontId="305" fillId="19" borderId="97" xfId="11" applyNumberFormat="1" applyFont="1" applyFill="1" applyBorder="1" applyAlignment="1">
      <alignment horizontal="center" vertical="center" wrapText="1"/>
    </xf>
    <xf numFmtId="206" fontId="230" fillId="0" borderId="1084" xfId="11" applyNumberFormat="1" applyFont="1" applyBorder="1" applyAlignment="1">
      <alignment horizontal="center" vertical="center" wrapText="1"/>
    </xf>
    <xf numFmtId="0" fontId="232" fillId="25" borderId="88" xfId="11" applyFont="1" applyFill="1" applyBorder="1" applyAlignment="1">
      <alignment horizontal="center" vertical="center"/>
    </xf>
    <xf numFmtId="213" fontId="232" fillId="25" borderId="9" xfId="11" applyNumberFormat="1" applyFont="1" applyFill="1" applyBorder="1" applyAlignment="1">
      <alignment horizontal="center" vertical="center"/>
    </xf>
    <xf numFmtId="213" fontId="233" fillId="25" borderId="9" xfId="11" applyNumberFormat="1" applyFont="1" applyFill="1" applyBorder="1" applyAlignment="1">
      <alignment horizontal="center" vertical="center"/>
    </xf>
    <xf numFmtId="181" fontId="233" fillId="25" borderId="5" xfId="11" applyNumberFormat="1" applyFont="1" applyFill="1" applyBorder="1" applyAlignment="1">
      <alignment horizontal="center" vertical="center" wrapText="1"/>
    </xf>
    <xf numFmtId="213" fontId="233" fillId="25" borderId="8" xfId="11" applyNumberFormat="1" applyFont="1" applyFill="1" applyBorder="1" applyAlignment="1">
      <alignment horizontal="center" vertical="center"/>
    </xf>
    <xf numFmtId="181" fontId="233" fillId="25" borderId="5" xfId="11" applyNumberFormat="1" applyFont="1" applyFill="1" applyBorder="1" applyAlignment="1">
      <alignment horizontal="left" vertical="center" wrapText="1"/>
    </xf>
    <xf numFmtId="38" fontId="233" fillId="25" borderId="7" xfId="1" applyFont="1" applyFill="1" applyBorder="1" applyAlignment="1">
      <alignment horizontal="center" vertical="center"/>
    </xf>
    <xf numFmtId="181" fontId="233" fillId="25" borderId="5" xfId="11" applyNumberFormat="1" applyFont="1" applyFill="1" applyBorder="1" applyAlignment="1">
      <alignment horizontal="center" vertical="center"/>
    </xf>
    <xf numFmtId="181" fontId="233" fillId="25" borderId="40" xfId="11" applyNumberFormat="1" applyFont="1" applyFill="1" applyBorder="1" applyAlignment="1">
      <alignment horizontal="center" vertical="center"/>
    </xf>
    <xf numFmtId="38" fontId="233" fillId="25" borderId="40" xfId="1" applyFont="1" applyFill="1" applyBorder="1" applyAlignment="1">
      <alignment horizontal="center" vertical="center"/>
    </xf>
    <xf numFmtId="49" fontId="228" fillId="25" borderId="8" xfId="11" applyNumberFormat="1" applyFont="1" applyFill="1" applyBorder="1" applyAlignment="1">
      <alignment horizontal="center" vertical="center"/>
    </xf>
    <xf numFmtId="38" fontId="233" fillId="25" borderId="9" xfId="1" applyFont="1" applyFill="1" applyBorder="1" applyAlignment="1">
      <alignment horizontal="center" vertical="center"/>
    </xf>
    <xf numFmtId="38" fontId="233" fillId="25" borderId="8" xfId="1" applyFont="1" applyFill="1" applyBorder="1" applyAlignment="1">
      <alignment horizontal="center" vertical="center"/>
    </xf>
    <xf numFmtId="49" fontId="228" fillId="25" borderId="5" xfId="11" applyNumberFormat="1" applyFont="1" applyFill="1" applyBorder="1" applyAlignment="1">
      <alignment horizontal="center" vertical="center"/>
    </xf>
    <xf numFmtId="181" fontId="228" fillId="25" borderId="89" xfId="11" applyNumberFormat="1" applyFont="1" applyFill="1" applyBorder="1" applyAlignment="1">
      <alignment vertical="center"/>
    </xf>
    <xf numFmtId="181" fontId="156" fillId="25" borderId="9" xfId="0" applyNumberFormat="1" applyFont="1" applyFill="1" applyBorder="1" applyProtection="1">
      <alignment vertical="center"/>
      <protection locked="0"/>
    </xf>
    <xf numFmtId="0" fontId="219" fillId="25" borderId="0" xfId="11" applyFont="1" applyFill="1" applyAlignment="1">
      <alignment vertical="center"/>
    </xf>
    <xf numFmtId="181" fontId="259" fillId="0" borderId="5" xfId="11" applyNumberFormat="1" applyFont="1" applyBorder="1" applyAlignment="1">
      <alignment horizontal="left" vertical="center" wrapText="1"/>
    </xf>
    <xf numFmtId="206" fontId="230" fillId="0" borderId="1054" xfId="11" applyNumberFormat="1" applyFont="1" applyBorder="1" applyAlignment="1">
      <alignment vertical="center" wrapText="1"/>
    </xf>
    <xf numFmtId="217" fontId="230" fillId="0" borderId="432" xfId="11" applyNumberFormat="1" applyFont="1" applyBorder="1" applyAlignment="1">
      <alignment horizontal="center" vertical="center" wrapText="1"/>
    </xf>
    <xf numFmtId="217" fontId="230" fillId="0" borderId="434" xfId="11" applyNumberFormat="1" applyFont="1" applyBorder="1" applyAlignment="1">
      <alignment horizontal="center" vertical="center" wrapText="1"/>
    </xf>
    <xf numFmtId="217" fontId="230" fillId="0" borderId="9" xfId="11" applyNumberFormat="1" applyFont="1" applyBorder="1" applyAlignment="1">
      <alignment horizontal="center" vertical="center" wrapText="1"/>
    </xf>
    <xf numFmtId="180" fontId="230" fillId="0" borderId="27" xfId="11" applyNumberFormat="1" applyFont="1" applyBorder="1" applyAlignment="1">
      <alignment vertical="center" wrapText="1"/>
    </xf>
    <xf numFmtId="206" fontId="230" fillId="0" borderId="1055" xfId="11" applyNumberFormat="1" applyFont="1" applyBorder="1" applyAlignment="1">
      <alignment vertical="center" wrapText="1"/>
    </xf>
    <xf numFmtId="217" fontId="230" fillId="0" borderId="435" xfId="11" applyNumberFormat="1" applyFont="1" applyBorder="1" applyAlignment="1">
      <alignment horizontal="center" vertical="center" wrapText="1"/>
    </xf>
    <xf numFmtId="217" fontId="230" fillId="0" borderId="437" xfId="11" applyNumberFormat="1" applyFont="1" applyBorder="1" applyAlignment="1">
      <alignment horizontal="center" vertical="center" wrapText="1"/>
    </xf>
    <xf numFmtId="206" fontId="219" fillId="40" borderId="887" xfId="11" applyNumberFormat="1" applyFont="1" applyFill="1" applyBorder="1" applyAlignment="1">
      <alignment vertical="center"/>
    </xf>
    <xf numFmtId="206" fontId="230" fillId="0" borderId="1059" xfId="11" applyNumberFormat="1" applyFont="1" applyBorder="1" applyAlignment="1">
      <alignment vertical="center" wrapText="1"/>
    </xf>
    <xf numFmtId="206" fontId="219" fillId="25" borderId="1023" xfId="11" applyNumberFormat="1" applyFont="1" applyFill="1" applyBorder="1" applyAlignment="1">
      <alignment vertical="center"/>
    </xf>
    <xf numFmtId="206" fontId="246" fillId="0" borderId="378" xfId="11" applyNumberFormat="1" applyFont="1" applyBorder="1" applyAlignment="1">
      <alignment vertical="center" wrapText="1"/>
    </xf>
    <xf numFmtId="0" fontId="259" fillId="40" borderId="1063" xfId="11" applyFont="1" applyFill="1" applyBorder="1" applyAlignment="1">
      <alignment vertical="center"/>
    </xf>
    <xf numFmtId="222" fontId="219" fillId="0" borderId="0" xfId="1" applyNumberFormat="1" applyFont="1" applyAlignment="1">
      <alignment horizontal="center" vertical="center"/>
    </xf>
    <xf numFmtId="222" fontId="221" fillId="0" borderId="0" xfId="1" applyNumberFormat="1" applyFont="1" applyAlignment="1">
      <alignment horizontal="center" vertical="center"/>
    </xf>
    <xf numFmtId="222" fontId="230" fillId="0" borderId="7" xfId="1" applyNumberFormat="1" applyFont="1" applyBorder="1" applyAlignment="1">
      <alignment horizontal="center" vertical="center" wrapText="1"/>
    </xf>
    <xf numFmtId="222" fontId="230" fillId="0" borderId="449" xfId="1" applyNumberFormat="1" applyFont="1" applyBorder="1" applyAlignment="1">
      <alignment horizontal="center" vertical="center" wrapText="1"/>
    </xf>
    <xf numFmtId="0" fontId="254" fillId="40" borderId="887" xfId="11" applyFont="1" applyFill="1" applyBorder="1" applyAlignment="1">
      <alignment horizontal="center" vertical="center" wrapText="1"/>
    </xf>
    <xf numFmtId="222" fontId="254" fillId="40" borderId="888" xfId="1" applyNumberFormat="1" applyFont="1" applyFill="1" applyBorder="1" applyAlignment="1">
      <alignment horizontal="center" vertical="center" wrapText="1"/>
    </xf>
    <xf numFmtId="222" fontId="254" fillId="40" borderId="1058" xfId="1" applyNumberFormat="1" applyFont="1" applyFill="1" applyBorder="1" applyAlignment="1">
      <alignment horizontal="center" vertical="center" wrapText="1"/>
    </xf>
    <xf numFmtId="222" fontId="254" fillId="25" borderId="378" xfId="1" applyNumberFormat="1" applyFont="1" applyFill="1" applyBorder="1" applyAlignment="1">
      <alignment horizontal="center" vertical="center" wrapText="1"/>
    </xf>
    <xf numFmtId="222" fontId="31" fillId="0" borderId="0" xfId="1" applyNumberFormat="1" applyFont="1" applyAlignment="1">
      <alignment horizontal="center" vertical="center"/>
    </xf>
    <xf numFmtId="38" fontId="308" fillId="0" borderId="0" xfId="1" applyFont="1" applyAlignment="1">
      <alignment horizontal="center" vertical="center"/>
    </xf>
    <xf numFmtId="38" fontId="229" fillId="0" borderId="0" xfId="1" applyFont="1" applyAlignment="1">
      <alignment horizontal="center" vertical="center"/>
    </xf>
    <xf numFmtId="0" fontId="234" fillId="0" borderId="9" xfId="11" applyFont="1" applyBorder="1" applyAlignment="1">
      <alignment horizontal="center" vertical="center" wrapText="1"/>
    </xf>
    <xf numFmtId="206" fontId="229" fillId="0" borderId="1059" xfId="11" applyNumberFormat="1" applyFont="1" applyBorder="1" applyAlignment="1">
      <alignment horizontal="center" vertical="center" wrapText="1"/>
    </xf>
    <xf numFmtId="206" fontId="284" fillId="0" borderId="378" xfId="11" applyNumberFormat="1" applyFont="1" applyBorder="1" applyAlignment="1">
      <alignment horizontal="center" vertical="center" wrapText="1"/>
    </xf>
    <xf numFmtId="223" fontId="230" fillId="0" borderId="449" xfId="11" applyNumberFormat="1" applyFont="1" applyBorder="1" applyAlignment="1">
      <alignment horizontal="center" vertical="center" wrapText="1"/>
    </xf>
    <xf numFmtId="38" fontId="311" fillId="0" borderId="0" xfId="1" applyFont="1" applyAlignment="1">
      <alignment horizontal="center" vertical="center"/>
    </xf>
    <xf numFmtId="0" fontId="313" fillId="0" borderId="0" xfId="11" applyFont="1" applyAlignment="1">
      <alignment vertical="center"/>
    </xf>
    <xf numFmtId="0" fontId="229" fillId="0" borderId="0" xfId="11" applyFont="1" applyAlignment="1">
      <alignment horizontal="center" vertical="center"/>
    </xf>
    <xf numFmtId="38" fontId="229" fillId="0" borderId="0" xfId="1" applyFont="1" applyAlignment="1">
      <alignment vertical="center"/>
    </xf>
    <xf numFmtId="0" fontId="312" fillId="0" borderId="0" xfId="11" applyFont="1" applyAlignment="1">
      <alignment vertical="center"/>
    </xf>
    <xf numFmtId="0" fontId="219" fillId="0" borderId="0" xfId="11" applyFont="1" applyAlignment="1">
      <alignment horizontal="left" vertical="center"/>
    </xf>
    <xf numFmtId="0" fontId="314" fillId="0" borderId="0" xfId="11" applyFont="1" applyAlignment="1">
      <alignment vertical="center"/>
    </xf>
    <xf numFmtId="0" fontId="230" fillId="28" borderId="5" xfId="11" applyFont="1" applyFill="1" applyBorder="1" applyAlignment="1">
      <alignment horizontal="center" vertical="center" shrinkToFit="1"/>
    </xf>
    <xf numFmtId="180" fontId="230" fillId="28" borderId="7" xfId="11" applyNumberFormat="1" applyFont="1" applyFill="1" applyBorder="1" applyAlignment="1">
      <alignment horizontal="center" vertical="center" wrapText="1"/>
    </xf>
    <xf numFmtId="180" fontId="230" fillId="28" borderId="449" xfId="11" applyNumberFormat="1" applyFont="1" applyFill="1" applyBorder="1" applyAlignment="1">
      <alignment horizontal="center" vertical="center" wrapText="1"/>
    </xf>
    <xf numFmtId="206" fontId="230" fillId="28" borderId="1054" xfId="11" applyNumberFormat="1" applyFont="1" applyFill="1" applyBorder="1" applyAlignment="1">
      <alignment horizontal="center" vertical="center" wrapText="1"/>
    </xf>
    <xf numFmtId="0" fontId="252" fillId="28" borderId="434" xfId="11" applyFont="1" applyFill="1" applyBorder="1" applyAlignment="1">
      <alignment horizontal="center" vertical="center" wrapText="1"/>
    </xf>
    <xf numFmtId="0" fontId="231" fillId="28" borderId="0" xfId="11" applyFont="1" applyFill="1" applyAlignment="1">
      <alignment vertical="center"/>
    </xf>
    <xf numFmtId="0" fontId="219" fillId="28" borderId="0" xfId="11" applyFont="1" applyFill="1" applyAlignment="1">
      <alignment vertical="center"/>
    </xf>
    <xf numFmtId="0" fontId="230" fillId="28" borderId="28" xfId="11" applyFont="1" applyFill="1" applyBorder="1" applyAlignment="1">
      <alignment horizontal="center" vertical="center" shrinkToFit="1"/>
    </xf>
    <xf numFmtId="0" fontId="230" fillId="0" borderId="88" xfId="11" applyFont="1" applyBorder="1" applyAlignment="1">
      <alignment horizontal="center" vertical="center" wrapText="1"/>
    </xf>
    <xf numFmtId="0" fontId="316" fillId="0" borderId="0" xfId="11" applyFont="1" applyAlignment="1">
      <alignment vertical="center"/>
    </xf>
    <xf numFmtId="0" fontId="259" fillId="0" borderId="88" xfId="11" applyFont="1" applyBorder="1" applyAlignment="1">
      <alignment horizontal="center" vertical="center" wrapText="1"/>
    </xf>
    <xf numFmtId="0" fontId="259" fillId="6" borderId="5" xfId="11" applyFont="1" applyFill="1" applyBorder="1" applyAlignment="1">
      <alignment horizontal="center" vertical="center" shrinkToFit="1"/>
    </xf>
    <xf numFmtId="0" fontId="311" fillId="0" borderId="0" xfId="11" applyFont="1" applyAlignment="1">
      <alignment vertical="center"/>
    </xf>
    <xf numFmtId="0" fontId="259" fillId="0" borderId="5" xfId="11" applyFont="1" applyBorder="1" applyAlignment="1">
      <alignment horizontal="center" vertical="center" shrinkToFit="1"/>
    </xf>
    <xf numFmtId="0" fontId="252" fillId="28" borderId="445" xfId="11" applyFont="1" applyFill="1" applyBorder="1" applyAlignment="1">
      <alignment horizontal="center" vertical="center" wrapText="1"/>
    </xf>
    <xf numFmtId="213" fontId="259" fillId="0" borderId="5" xfId="11" applyNumberFormat="1" applyFont="1" applyBorder="1" applyAlignment="1">
      <alignment horizontal="center" vertical="center" wrapText="1"/>
    </xf>
    <xf numFmtId="0" fontId="230" fillId="0" borderId="0" xfId="11" applyFont="1" applyAlignment="1">
      <alignment vertical="center"/>
    </xf>
    <xf numFmtId="180" fontId="230" fillId="6" borderId="5" xfId="11" applyNumberFormat="1" applyFont="1" applyFill="1" applyBorder="1" applyAlignment="1">
      <alignment horizontal="center" vertical="center" wrapText="1"/>
    </xf>
    <xf numFmtId="213" fontId="308" fillId="0" borderId="5" xfId="11" applyNumberFormat="1" applyFont="1" applyBorder="1" applyAlignment="1">
      <alignment horizontal="center" vertical="center" wrapText="1"/>
    </xf>
    <xf numFmtId="216" fontId="308" fillId="0" borderId="9" xfId="11" applyNumberFormat="1" applyFont="1" applyBorder="1" applyAlignment="1">
      <alignment horizontal="center" vertical="center" wrapText="1"/>
    </xf>
    <xf numFmtId="216" fontId="308" fillId="0" borderId="5" xfId="11" applyNumberFormat="1" applyFont="1" applyBorder="1" applyAlignment="1">
      <alignment horizontal="center" vertical="center" wrapText="1"/>
    </xf>
    <xf numFmtId="0" fontId="308" fillId="0" borderId="7" xfId="11" applyFont="1" applyBorder="1" applyAlignment="1">
      <alignment horizontal="center" vertical="center" shrinkToFit="1"/>
    </xf>
    <xf numFmtId="180" fontId="308" fillId="0" borderId="5" xfId="11" applyNumberFormat="1" applyFont="1" applyBorder="1" applyAlignment="1">
      <alignment horizontal="center" vertical="center" wrapText="1"/>
    </xf>
    <xf numFmtId="180" fontId="308" fillId="0" borderId="7" xfId="11" applyNumberFormat="1" applyFont="1" applyBorder="1" applyAlignment="1">
      <alignment horizontal="center" vertical="center" wrapText="1"/>
    </xf>
    <xf numFmtId="0" fontId="308" fillId="0" borderId="5" xfId="11" applyFont="1" applyBorder="1" applyAlignment="1">
      <alignment horizontal="center" vertical="center" wrapText="1"/>
    </xf>
    <xf numFmtId="180" fontId="308" fillId="0" borderId="449" xfId="11" applyNumberFormat="1" applyFont="1" applyBorder="1" applyAlignment="1">
      <alignment horizontal="center" vertical="center" wrapText="1"/>
    </xf>
    <xf numFmtId="180" fontId="308" fillId="6" borderId="5" xfId="11" applyNumberFormat="1" applyFont="1" applyFill="1" applyBorder="1" applyAlignment="1">
      <alignment horizontal="center" vertical="center" wrapText="1"/>
    </xf>
    <xf numFmtId="213" fontId="308" fillId="0" borderId="26" xfId="11" applyNumberFormat="1" applyFont="1" applyBorder="1" applyAlignment="1">
      <alignment horizontal="center" vertical="center" wrapText="1"/>
    </xf>
    <xf numFmtId="0" fontId="308" fillId="0" borderId="6" xfId="11" applyFont="1" applyBorder="1" applyAlignment="1">
      <alignment horizontal="center" vertical="center" shrinkToFit="1"/>
    </xf>
    <xf numFmtId="180" fontId="308" fillId="0" borderId="6" xfId="11" applyNumberFormat="1" applyFont="1" applyBorder="1" applyAlignment="1">
      <alignment horizontal="center" vertical="center" wrapText="1"/>
    </xf>
    <xf numFmtId="0" fontId="308" fillId="0" borderId="26" xfId="11" applyFont="1" applyBorder="1" applyAlignment="1">
      <alignment horizontal="center" vertical="center" wrapText="1"/>
    </xf>
    <xf numFmtId="180" fontId="308" fillId="0" borderId="944" xfId="11" applyNumberFormat="1" applyFont="1" applyBorder="1" applyAlignment="1">
      <alignment horizontal="center" vertical="center" wrapText="1"/>
    </xf>
    <xf numFmtId="180" fontId="308" fillId="6" borderId="26" xfId="11" applyNumberFormat="1" applyFont="1" applyFill="1" applyBorder="1" applyAlignment="1">
      <alignment horizontal="center" vertical="center" wrapText="1"/>
    </xf>
    <xf numFmtId="213" fontId="230" fillId="0" borderId="42" xfId="11" applyNumberFormat="1" applyFont="1" applyBorder="1" applyAlignment="1">
      <alignment horizontal="center" vertical="center" wrapText="1"/>
    </xf>
    <xf numFmtId="216" fontId="230" fillId="0" borderId="42" xfId="11" applyNumberFormat="1" applyFont="1" applyBorder="1" applyAlignment="1">
      <alignment horizontal="center" vertical="center" wrapText="1"/>
    </xf>
    <xf numFmtId="216" fontId="230" fillId="0" borderId="28" xfId="11" applyNumberFormat="1" applyFont="1" applyBorder="1" applyAlignment="1">
      <alignment horizontal="center" vertical="center" wrapText="1"/>
    </xf>
    <xf numFmtId="180" fontId="230" fillId="0" borderId="445" xfId="11" applyNumberFormat="1" applyFont="1" applyBorder="1" applyAlignment="1">
      <alignment horizontal="center" vertical="center" wrapText="1"/>
    </xf>
    <xf numFmtId="0" fontId="230" fillId="0" borderId="26" xfId="11" applyFont="1" applyBorder="1" applyAlignment="1">
      <alignment horizontal="center" vertical="center" wrapText="1"/>
    </xf>
    <xf numFmtId="180" fontId="230" fillId="0" borderId="0" xfId="11" applyNumberFormat="1" applyFont="1" applyAlignment="1">
      <alignment horizontal="center" vertical="center" wrapText="1"/>
    </xf>
    <xf numFmtId="222" fontId="228" fillId="0" borderId="7" xfId="1" applyNumberFormat="1" applyFont="1" applyBorder="1" applyAlignment="1">
      <alignment horizontal="center" vertical="center"/>
    </xf>
    <xf numFmtId="222" fontId="228" fillId="0" borderId="9" xfId="1" applyNumberFormat="1" applyFont="1" applyBorder="1" applyAlignment="1">
      <alignment horizontal="center" vertical="center"/>
    </xf>
    <xf numFmtId="0" fontId="228" fillId="57" borderId="88" xfId="11" applyFont="1" applyFill="1" applyBorder="1" applyAlignment="1">
      <alignment horizontal="center" vertical="center" wrapText="1"/>
    </xf>
    <xf numFmtId="213" fontId="230" fillId="57" borderId="5" xfId="11" applyNumberFormat="1" applyFont="1" applyFill="1" applyBorder="1" applyAlignment="1">
      <alignment horizontal="center" vertical="center" wrapText="1"/>
    </xf>
    <xf numFmtId="216" fontId="230" fillId="57" borderId="5" xfId="11" applyNumberFormat="1" applyFont="1" applyFill="1" applyBorder="1" applyAlignment="1">
      <alignment horizontal="center" vertical="center" wrapText="1"/>
    </xf>
    <xf numFmtId="0" fontId="230" fillId="57" borderId="5" xfId="11" applyFont="1" applyFill="1" applyBorder="1" applyAlignment="1">
      <alignment horizontal="center" vertical="center" shrinkToFit="1"/>
    </xf>
    <xf numFmtId="0" fontId="230" fillId="57" borderId="9" xfId="11" applyFont="1" applyFill="1" applyBorder="1" applyAlignment="1">
      <alignment horizontal="center" vertical="center" wrapText="1"/>
    </xf>
    <xf numFmtId="180" fontId="230" fillId="57" borderId="5" xfId="11" applyNumberFormat="1" applyFont="1" applyFill="1" applyBorder="1" applyAlignment="1">
      <alignment horizontal="center" vertical="center" wrapText="1"/>
    </xf>
    <xf numFmtId="0" fontId="230" fillId="57" borderId="5" xfId="11" applyFont="1" applyFill="1" applyBorder="1" applyAlignment="1">
      <alignment horizontal="center" vertical="center" wrapText="1"/>
    </xf>
    <xf numFmtId="180" fontId="230" fillId="57" borderId="7" xfId="11" applyNumberFormat="1" applyFont="1" applyFill="1" applyBorder="1" applyAlignment="1">
      <alignment horizontal="center" vertical="center" wrapText="1"/>
    </xf>
    <xf numFmtId="180" fontId="230" fillId="57" borderId="449" xfId="11" applyNumberFormat="1" applyFont="1" applyFill="1" applyBorder="1" applyAlignment="1">
      <alignment horizontal="center" vertical="center" wrapText="1"/>
    </xf>
    <xf numFmtId="180" fontId="230" fillId="57" borderId="433" xfId="11" applyNumberFormat="1" applyFont="1" applyFill="1" applyBorder="1" applyAlignment="1">
      <alignment horizontal="center" vertical="center" wrapText="1"/>
    </xf>
    <xf numFmtId="180" fontId="230" fillId="57" borderId="9" xfId="11" applyNumberFormat="1" applyFont="1" applyFill="1" applyBorder="1" applyAlignment="1">
      <alignment horizontal="center" vertical="center" wrapText="1"/>
    </xf>
    <xf numFmtId="206" fontId="230" fillId="57" borderId="1054" xfId="11" applyNumberFormat="1" applyFont="1" applyFill="1" applyBorder="1" applyAlignment="1">
      <alignment horizontal="center" vertical="center" wrapText="1"/>
    </xf>
    <xf numFmtId="0" fontId="230" fillId="57" borderId="445" xfId="11" applyFont="1" applyFill="1" applyBorder="1" applyAlignment="1">
      <alignment horizontal="center" vertical="center" wrapText="1"/>
    </xf>
    <xf numFmtId="180" fontId="230" fillId="57" borderId="434" xfId="11" applyNumberFormat="1" applyFont="1" applyFill="1" applyBorder="1" applyAlignment="1">
      <alignment horizontal="center" vertical="center" wrapText="1"/>
    </xf>
    <xf numFmtId="0" fontId="252" fillId="57" borderId="434" xfId="11" applyFont="1" applyFill="1" applyBorder="1" applyAlignment="1">
      <alignment horizontal="center" vertical="center" wrapText="1"/>
    </xf>
    <xf numFmtId="0" fontId="230" fillId="57" borderId="434" xfId="11" applyFont="1" applyFill="1" applyBorder="1" applyAlignment="1">
      <alignment horizontal="center" vertical="center" wrapText="1"/>
    </xf>
    <xf numFmtId="180" fontId="230" fillId="57" borderId="96" xfId="11" applyNumberFormat="1" applyFont="1" applyFill="1" applyBorder="1" applyAlignment="1">
      <alignment horizontal="center" vertical="center" wrapText="1"/>
    </xf>
    <xf numFmtId="0" fontId="259" fillId="0" borderId="0" xfId="11" applyFont="1" applyAlignment="1">
      <alignment horizontal="center" vertical="center"/>
    </xf>
    <xf numFmtId="0" fontId="259" fillId="0" borderId="0" xfId="11" applyFont="1" applyAlignment="1">
      <alignment vertical="center"/>
    </xf>
    <xf numFmtId="38" fontId="259" fillId="0" borderId="0" xfId="1" applyFont="1" applyAlignment="1">
      <alignment vertical="center"/>
    </xf>
    <xf numFmtId="38" fontId="259" fillId="0" borderId="0" xfId="1" applyFont="1" applyAlignment="1">
      <alignment horizontal="center" vertical="center"/>
    </xf>
    <xf numFmtId="0" fontId="259" fillId="0" borderId="0" xfId="11" applyFont="1" applyAlignment="1">
      <alignment horizontal="right" vertical="center"/>
    </xf>
    <xf numFmtId="220" fontId="317" fillId="0" borderId="0" xfId="11" applyNumberFormat="1" applyFont="1" applyAlignment="1">
      <alignment vertical="center"/>
    </xf>
    <xf numFmtId="0" fontId="318" fillId="0" borderId="0" xfId="11" applyFont="1" applyAlignment="1">
      <alignment vertical="center"/>
    </xf>
    <xf numFmtId="220" fontId="221" fillId="0" borderId="0" xfId="11" applyNumberFormat="1" applyFont="1" applyAlignment="1">
      <alignment vertical="center"/>
    </xf>
    <xf numFmtId="0" fontId="319" fillId="0" borderId="0" xfId="11" applyFont="1" applyAlignment="1">
      <alignment horizontal="right" vertical="center"/>
    </xf>
    <xf numFmtId="0" fontId="321" fillId="0" borderId="88" xfId="11" applyFont="1" applyBorder="1" applyAlignment="1">
      <alignment horizontal="center" vertical="center"/>
    </xf>
    <xf numFmtId="213" fontId="321" fillId="0" borderId="9" xfId="11" applyNumberFormat="1" applyFont="1" applyBorder="1" applyAlignment="1">
      <alignment horizontal="center" vertical="center"/>
    </xf>
    <xf numFmtId="213" fontId="260" fillId="0" borderId="9" xfId="11" applyNumberFormat="1" applyFont="1" applyBorder="1" applyAlignment="1">
      <alignment horizontal="center" vertical="center"/>
    </xf>
    <xf numFmtId="213" fontId="260" fillId="0" borderId="8" xfId="11" applyNumberFormat="1" applyFont="1" applyBorder="1" applyAlignment="1">
      <alignment horizontal="center" vertical="center"/>
    </xf>
    <xf numFmtId="181" fontId="260" fillId="0" borderId="5" xfId="11" applyNumberFormat="1" applyFont="1" applyBorder="1" applyAlignment="1">
      <alignment horizontal="left" vertical="center" wrapText="1"/>
    </xf>
    <xf numFmtId="38" fontId="260" fillId="0" borderId="7" xfId="1" applyFont="1" applyFill="1" applyBorder="1" applyAlignment="1">
      <alignment horizontal="center" vertical="center"/>
    </xf>
    <xf numFmtId="181" fontId="260" fillId="0" borderId="5" xfId="11" applyNumberFormat="1" applyFont="1" applyBorder="1" applyAlignment="1">
      <alignment horizontal="center" vertical="center"/>
    </xf>
    <xf numFmtId="38" fontId="260" fillId="0" borderId="5" xfId="1" applyFont="1" applyFill="1" applyBorder="1" applyAlignment="1">
      <alignment horizontal="center" vertical="center"/>
    </xf>
    <xf numFmtId="181" fontId="260" fillId="0" borderId="40" xfId="11" applyNumberFormat="1" applyFont="1" applyBorder="1" applyAlignment="1">
      <alignment horizontal="center" vertical="center"/>
    </xf>
    <xf numFmtId="38" fontId="260" fillId="0" borderId="40" xfId="1" applyFont="1" applyFill="1" applyBorder="1" applyAlignment="1">
      <alignment horizontal="center" vertical="center"/>
    </xf>
    <xf numFmtId="38" fontId="260" fillId="0" borderId="9" xfId="1" applyFont="1" applyFill="1" applyBorder="1" applyAlignment="1">
      <alignment horizontal="center" vertical="center"/>
    </xf>
    <xf numFmtId="38" fontId="260" fillId="0" borderId="8" xfId="1" applyFont="1" applyFill="1" applyBorder="1" applyAlignment="1">
      <alignment horizontal="center" vertical="center"/>
    </xf>
    <xf numFmtId="0" fontId="230" fillId="0" borderId="88" xfId="11" applyFont="1" applyBorder="1" applyAlignment="1">
      <alignment horizontal="center" vertical="center"/>
    </xf>
    <xf numFmtId="0" fontId="230" fillId="28" borderId="1036" xfId="11" applyFont="1" applyFill="1" applyBorder="1" applyAlignment="1">
      <alignment horizontal="center" vertical="center"/>
    </xf>
    <xf numFmtId="0" fontId="230" fillId="28" borderId="1037" xfId="11" applyFont="1" applyFill="1" applyBorder="1" applyAlignment="1">
      <alignment horizontal="center" vertical="center"/>
    </xf>
    <xf numFmtId="0" fontId="230" fillId="28" borderId="1039" xfId="11" applyFont="1" applyFill="1" applyBorder="1" applyAlignment="1">
      <alignment horizontal="center" vertical="center"/>
    </xf>
    <xf numFmtId="38" fontId="259" fillId="0" borderId="0" xfId="1" applyFont="1" applyFill="1" applyBorder="1" applyAlignment="1">
      <alignment horizontal="center" vertical="center"/>
    </xf>
    <xf numFmtId="0" fontId="247" fillId="0" borderId="0" xfId="11" applyFont="1" applyAlignment="1">
      <alignment horizontal="center" vertical="distributed"/>
    </xf>
    <xf numFmtId="213" fontId="321" fillId="0" borderId="5" xfId="11" applyNumberFormat="1" applyFont="1" applyBorder="1" applyAlignment="1">
      <alignment horizontal="center" vertical="center"/>
    </xf>
    <xf numFmtId="213" fontId="260" fillId="0" borderId="5" xfId="11" applyNumberFormat="1" applyFont="1" applyBorder="1" applyAlignment="1">
      <alignment horizontal="center" vertical="center"/>
    </xf>
    <xf numFmtId="38" fontId="260" fillId="0" borderId="7" xfId="1" applyFont="1" applyFill="1" applyBorder="1" applyAlignment="1">
      <alignment horizontal="right" vertical="center"/>
    </xf>
    <xf numFmtId="0" fontId="269" fillId="0" borderId="88" xfId="11" applyFont="1" applyBorder="1" applyAlignment="1">
      <alignment horizontal="center" vertical="center"/>
    </xf>
    <xf numFmtId="0" fontId="269" fillId="28" borderId="1036" xfId="11" applyFont="1" applyFill="1" applyBorder="1" applyAlignment="1">
      <alignment horizontal="center" vertical="center"/>
    </xf>
    <xf numFmtId="0" fontId="269" fillId="28" borderId="1037" xfId="11" applyFont="1" applyFill="1" applyBorder="1" applyAlignment="1">
      <alignment horizontal="center" vertical="center"/>
    </xf>
    <xf numFmtId="0" fontId="269" fillId="28" borderId="1039" xfId="11" applyFont="1" applyFill="1" applyBorder="1" applyAlignment="1">
      <alignment horizontal="center" vertical="center"/>
    </xf>
    <xf numFmtId="0" fontId="322" fillId="0" borderId="0" xfId="11" applyFont="1" applyAlignment="1">
      <alignment horizontal="center" vertical="center"/>
    </xf>
    <xf numFmtId="215" fontId="287" fillId="0" borderId="851" xfId="1" applyNumberFormat="1" applyFont="1" applyBorder="1" applyAlignment="1">
      <alignment horizontal="right" vertical="center"/>
    </xf>
    <xf numFmtId="0" fontId="301" fillId="0" borderId="0" xfId="11" applyFont="1" applyAlignment="1">
      <alignment horizontal="center" vertical="center"/>
    </xf>
    <xf numFmtId="0" fontId="247" fillId="0" borderId="0" xfId="11" applyFont="1" applyAlignment="1">
      <alignment vertical="distributed"/>
    </xf>
    <xf numFmtId="0" fontId="323" fillId="0" borderId="0" xfId="11" applyFont="1" applyAlignment="1">
      <alignment vertical="center"/>
    </xf>
    <xf numFmtId="0" fontId="221" fillId="0" borderId="379" xfId="11" applyFont="1" applyBorder="1" applyAlignment="1">
      <alignment horizontal="center" vertical="center"/>
    </xf>
    <xf numFmtId="0" fontId="259" fillId="0" borderId="139" xfId="11" applyFont="1" applyBorder="1" applyAlignment="1">
      <alignment vertical="center"/>
    </xf>
    <xf numFmtId="0" fontId="319" fillId="0" borderId="0" xfId="11" applyFont="1" applyAlignment="1">
      <alignment vertical="center"/>
    </xf>
    <xf numFmtId="0" fontId="324" fillId="0" borderId="0" xfId="11" applyFont="1" applyAlignment="1">
      <alignment horizontal="center" vertical="center"/>
    </xf>
    <xf numFmtId="0" fontId="321" fillId="0" borderId="85" xfId="11" applyFont="1" applyBorder="1" applyAlignment="1">
      <alignment horizontal="center" vertical="center" wrapText="1"/>
    </xf>
    <xf numFmtId="216" fontId="260" fillId="0" borderId="42" xfId="11" applyNumberFormat="1" applyFont="1" applyBorder="1" applyAlignment="1">
      <alignment horizontal="center" vertical="center"/>
    </xf>
    <xf numFmtId="216" fontId="321" fillId="0" borderId="86" xfId="11" applyNumberFormat="1" applyFont="1" applyBorder="1" applyAlignment="1">
      <alignment horizontal="center" vertical="center" shrinkToFit="1"/>
    </xf>
    <xf numFmtId="0" fontId="321" fillId="0" borderId="86" xfId="11" applyFont="1" applyBorder="1" applyAlignment="1">
      <alignment horizontal="center" vertical="center" shrinkToFit="1"/>
    </xf>
    <xf numFmtId="0" fontId="321" fillId="0" borderId="956" xfId="11" applyFont="1" applyBorder="1" applyAlignment="1">
      <alignment horizontal="center" vertical="center" shrinkToFit="1"/>
    </xf>
    <xf numFmtId="0" fontId="321" fillId="0" borderId="957" xfId="11" applyFont="1" applyBorder="1" applyAlignment="1">
      <alignment horizontal="center" vertical="center" shrinkToFit="1"/>
    </xf>
    <xf numFmtId="180" fontId="321" fillId="0" borderId="957" xfId="11" applyNumberFormat="1" applyFont="1" applyBorder="1" applyAlignment="1">
      <alignment horizontal="center" vertical="center" shrinkToFit="1"/>
    </xf>
    <xf numFmtId="180" fontId="321" fillId="0" borderId="958" xfId="11" applyNumberFormat="1" applyFont="1" applyBorder="1" applyAlignment="1">
      <alignment horizontal="center" vertical="center" shrinkToFit="1"/>
    </xf>
    <xf numFmtId="180" fontId="321" fillId="0" borderId="1051" xfId="11" applyNumberFormat="1" applyFont="1" applyBorder="1" applyAlignment="1">
      <alignment horizontal="center" vertical="center" shrinkToFit="1"/>
    </xf>
    <xf numFmtId="180" fontId="321" fillId="0" borderId="86" xfId="11" applyNumberFormat="1" applyFont="1" applyBorder="1" applyAlignment="1">
      <alignment horizontal="center" vertical="center" shrinkToFit="1"/>
    </xf>
    <xf numFmtId="180" fontId="260" fillId="0" borderId="1044" xfId="11" applyNumberFormat="1" applyFont="1" applyBorder="1" applyAlignment="1">
      <alignment horizontal="center" vertical="center" shrinkToFit="1"/>
    </xf>
    <xf numFmtId="0" fontId="321" fillId="0" borderId="1052" xfId="11" applyFont="1" applyBorder="1" applyAlignment="1">
      <alignment horizontal="center" vertical="center" shrinkToFit="1"/>
    </xf>
    <xf numFmtId="0" fontId="321" fillId="0" borderId="958" xfId="11" applyFont="1" applyBorder="1" applyAlignment="1">
      <alignment horizontal="center" vertical="center" shrinkToFit="1"/>
    </xf>
    <xf numFmtId="180" fontId="321" fillId="0" borderId="1053" xfId="11" applyNumberFormat="1" applyFont="1" applyBorder="1" applyAlignment="1">
      <alignment horizontal="center" vertical="center" shrinkToFit="1"/>
    </xf>
    <xf numFmtId="0" fontId="230" fillId="0" borderId="962" xfId="11" applyFont="1" applyBorder="1" applyAlignment="1">
      <alignment horizontal="center" vertical="center" wrapText="1"/>
    </xf>
    <xf numFmtId="0" fontId="230" fillId="0" borderId="1064" xfId="11" applyFont="1" applyBorder="1" applyAlignment="1">
      <alignment horizontal="center" vertical="center" wrapText="1"/>
    </xf>
    <xf numFmtId="0" fontId="230" fillId="40" borderId="1040" xfId="11" applyFont="1" applyFill="1" applyBorder="1" applyAlignment="1">
      <alignment horizontal="left" vertical="center" wrapText="1"/>
    </xf>
    <xf numFmtId="0" fontId="230" fillId="40" borderId="1065" xfId="11" applyFont="1" applyFill="1" applyBorder="1" applyAlignment="1">
      <alignment horizontal="center" vertical="center" wrapText="1"/>
    </xf>
    <xf numFmtId="180" fontId="230" fillId="40" borderId="1038" xfId="11" applyNumberFormat="1" applyFont="1" applyFill="1" applyBorder="1" applyAlignment="1">
      <alignment horizontal="center" vertical="center" wrapText="1"/>
    </xf>
    <xf numFmtId="180" fontId="230" fillId="40" borderId="1066" xfId="11" applyNumberFormat="1" applyFont="1" applyFill="1" applyBorder="1" applyAlignment="1">
      <alignment horizontal="center" vertical="center" wrapText="1"/>
    </xf>
    <xf numFmtId="206" fontId="259" fillId="40" borderId="1040" xfId="11" applyNumberFormat="1" applyFont="1" applyFill="1" applyBorder="1" applyAlignment="1">
      <alignment horizontal="center" vertical="center"/>
    </xf>
    <xf numFmtId="0" fontId="259" fillId="40" borderId="1068" xfId="11" applyFont="1" applyFill="1" applyBorder="1" applyAlignment="1">
      <alignment vertical="center" wrapText="1"/>
    </xf>
    <xf numFmtId="0" fontId="259" fillId="40" borderId="1069" xfId="11" applyFont="1" applyFill="1" applyBorder="1" applyAlignment="1">
      <alignment vertical="center"/>
    </xf>
    <xf numFmtId="206" fontId="259" fillId="40" borderId="1069" xfId="11" applyNumberFormat="1" applyFont="1" applyFill="1" applyBorder="1" applyAlignment="1">
      <alignment vertical="center"/>
    </xf>
    <xf numFmtId="206" fontId="259" fillId="40" borderId="1070" xfId="11" applyNumberFormat="1" applyFont="1" applyFill="1" applyBorder="1" applyAlignment="1">
      <alignment vertical="center"/>
    </xf>
    <xf numFmtId="0" fontId="260" fillId="0" borderId="956" xfId="11" applyFont="1" applyBorder="1" applyAlignment="1">
      <alignment horizontal="center" vertical="center" shrinkToFit="1"/>
    </xf>
    <xf numFmtId="0" fontId="260" fillId="0" borderId="957" xfId="11" applyFont="1" applyBorder="1" applyAlignment="1">
      <alignment horizontal="center" vertical="center" shrinkToFit="1"/>
    </xf>
    <xf numFmtId="0" fontId="260" fillId="0" borderId="86" xfId="11" applyFont="1" applyBorder="1" applyAlignment="1">
      <alignment horizontal="center" vertical="center" shrinkToFit="1"/>
    </xf>
    <xf numFmtId="180" fontId="260" fillId="0" borderId="957" xfId="11" applyNumberFormat="1" applyFont="1" applyBorder="1" applyAlignment="1">
      <alignment horizontal="center" vertical="center" shrinkToFit="1"/>
    </xf>
    <xf numFmtId="180" fontId="260" fillId="0" borderId="958" xfId="11" applyNumberFormat="1" applyFont="1" applyBorder="1" applyAlignment="1">
      <alignment horizontal="center" vertical="center" shrinkToFit="1"/>
    </xf>
    <xf numFmtId="180" fontId="260" fillId="0" borderId="1051" xfId="11" applyNumberFormat="1" applyFont="1" applyBorder="1" applyAlignment="1">
      <alignment horizontal="center" vertical="center" shrinkToFit="1"/>
    </xf>
    <xf numFmtId="180" fontId="260" fillId="0" borderId="86" xfId="11" applyNumberFormat="1" applyFont="1" applyBorder="1" applyAlignment="1">
      <alignment horizontal="center" vertical="center" shrinkToFit="1"/>
    </xf>
    <xf numFmtId="0" fontId="260" fillId="0" borderId="1052" xfId="11" applyFont="1" applyBorder="1" applyAlignment="1">
      <alignment horizontal="center" vertical="center" shrinkToFit="1"/>
    </xf>
    <xf numFmtId="0" fontId="260" fillId="0" borderId="958" xfId="11" applyFont="1" applyBorder="1" applyAlignment="1">
      <alignment horizontal="center" vertical="center" shrinkToFit="1"/>
    </xf>
    <xf numFmtId="180" fontId="260" fillId="0" borderId="1053" xfId="11" applyNumberFormat="1" applyFont="1" applyBorder="1" applyAlignment="1">
      <alignment horizontal="center" vertical="center" shrinkToFit="1"/>
    </xf>
    <xf numFmtId="206" fontId="230" fillId="40" borderId="1040" xfId="11" applyNumberFormat="1" applyFont="1" applyFill="1" applyBorder="1" applyAlignment="1">
      <alignment horizontal="center" vertical="center"/>
    </xf>
    <xf numFmtId="0" fontId="230" fillId="40" borderId="1068" xfId="11" applyFont="1" applyFill="1" applyBorder="1" applyAlignment="1">
      <alignment vertical="center" wrapText="1"/>
    </xf>
    <xf numFmtId="0" fontId="230" fillId="40" borderId="1069" xfId="11" applyFont="1" applyFill="1" applyBorder="1" applyAlignment="1">
      <alignment vertical="center"/>
    </xf>
    <xf numFmtId="206" fontId="230" fillId="40" borderId="1069" xfId="11" applyNumberFormat="1" applyFont="1" applyFill="1" applyBorder="1" applyAlignment="1">
      <alignment vertical="center"/>
    </xf>
    <xf numFmtId="206" fontId="230" fillId="40" borderId="1070" xfId="11" applyNumberFormat="1" applyFont="1" applyFill="1" applyBorder="1" applyAlignment="1">
      <alignment vertical="center"/>
    </xf>
    <xf numFmtId="181" fontId="229" fillId="0" borderId="5" xfId="11" applyNumberFormat="1" applyFont="1" applyBorder="1" applyAlignment="1">
      <alignment horizontal="left" vertical="center" wrapText="1"/>
    </xf>
    <xf numFmtId="213" fontId="230" fillId="39" borderId="5" xfId="11" applyNumberFormat="1" applyFont="1" applyFill="1" applyBorder="1" applyAlignment="1">
      <alignment horizontal="center" vertical="center" wrapText="1"/>
    </xf>
    <xf numFmtId="216" fontId="230" fillId="39" borderId="5" xfId="11" applyNumberFormat="1" applyFont="1" applyFill="1" applyBorder="1" applyAlignment="1">
      <alignment horizontal="center" vertical="center" wrapText="1"/>
    </xf>
    <xf numFmtId="0" fontId="230" fillId="39" borderId="5" xfId="11" applyFont="1" applyFill="1" applyBorder="1" applyAlignment="1">
      <alignment horizontal="center" vertical="center" shrinkToFit="1"/>
    </xf>
    <xf numFmtId="180" fontId="230" fillId="39" borderId="9" xfId="11" applyNumberFormat="1" applyFont="1" applyFill="1" applyBorder="1" applyAlignment="1">
      <alignment horizontal="center" vertical="center" wrapText="1"/>
    </xf>
    <xf numFmtId="180" fontId="230" fillId="39" borderId="5" xfId="11" applyNumberFormat="1" applyFont="1" applyFill="1" applyBorder="1" applyAlignment="1">
      <alignment horizontal="center" vertical="center" wrapText="1"/>
    </xf>
    <xf numFmtId="0" fontId="230" fillId="39" borderId="5" xfId="11" applyFont="1" applyFill="1" applyBorder="1" applyAlignment="1">
      <alignment horizontal="center" vertical="center" wrapText="1"/>
    </xf>
    <xf numFmtId="180" fontId="230" fillId="39" borderId="7" xfId="11" applyNumberFormat="1" applyFont="1" applyFill="1" applyBorder="1" applyAlignment="1">
      <alignment horizontal="center" vertical="center" wrapText="1"/>
    </xf>
    <xf numFmtId="180" fontId="230" fillId="39" borderId="449" xfId="11" applyNumberFormat="1" applyFont="1" applyFill="1" applyBorder="1" applyAlignment="1">
      <alignment horizontal="center" vertical="center" wrapText="1"/>
    </xf>
    <xf numFmtId="180" fontId="230" fillId="39" borderId="433" xfId="11" applyNumberFormat="1" applyFont="1" applyFill="1" applyBorder="1" applyAlignment="1">
      <alignment horizontal="center" vertical="center" wrapText="1"/>
    </xf>
    <xf numFmtId="206" fontId="230" fillId="39" borderId="1054" xfId="11" applyNumberFormat="1" applyFont="1" applyFill="1" applyBorder="1" applyAlignment="1">
      <alignment horizontal="center" vertical="center" wrapText="1"/>
    </xf>
    <xf numFmtId="0" fontId="230" fillId="39" borderId="445" xfId="11" applyFont="1" applyFill="1" applyBorder="1" applyAlignment="1">
      <alignment horizontal="center" vertical="center" wrapText="1"/>
    </xf>
    <xf numFmtId="180" fontId="230" fillId="39" borderId="434" xfId="11" applyNumberFormat="1" applyFont="1" applyFill="1" applyBorder="1" applyAlignment="1">
      <alignment horizontal="center" vertical="center" wrapText="1"/>
    </xf>
    <xf numFmtId="0" fontId="230" fillId="39" borderId="434" xfId="11" applyFont="1" applyFill="1" applyBorder="1" applyAlignment="1">
      <alignment horizontal="center" vertical="center" wrapText="1"/>
    </xf>
    <xf numFmtId="180" fontId="230" fillId="39" borderId="96" xfId="11" applyNumberFormat="1" applyFont="1" applyFill="1" applyBorder="1" applyAlignment="1">
      <alignment horizontal="center" vertical="center" wrapText="1"/>
    </xf>
    <xf numFmtId="180" fontId="230" fillId="39" borderId="27" xfId="11" applyNumberFormat="1" applyFont="1" applyFill="1" applyBorder="1" applyAlignment="1">
      <alignment horizontal="center" vertical="center" wrapText="1"/>
    </xf>
    <xf numFmtId="49" fontId="228" fillId="0" borderId="41" xfId="11" applyNumberFormat="1" applyFont="1" applyBorder="1" applyAlignment="1">
      <alignment horizontal="center" vertical="center"/>
    </xf>
    <xf numFmtId="0" fontId="219" fillId="0" borderId="5" xfId="11" applyFont="1" applyBorder="1" applyAlignment="1">
      <alignment vertical="center"/>
    </xf>
    <xf numFmtId="213" fontId="229" fillId="12" borderId="5" xfId="11" applyNumberFormat="1" applyFont="1" applyFill="1" applyBorder="1" applyAlignment="1">
      <alignment horizontal="center" vertical="center" wrapText="1"/>
    </xf>
    <xf numFmtId="181" fontId="229" fillId="12" borderId="5" xfId="11" applyNumberFormat="1" applyFont="1" applyFill="1" applyBorder="1" applyAlignment="1">
      <alignment horizontal="left" vertical="center" wrapText="1"/>
    </xf>
    <xf numFmtId="181" fontId="219" fillId="0" borderId="0" xfId="11" applyNumberFormat="1" applyFont="1" applyAlignment="1">
      <alignment vertical="center"/>
    </xf>
    <xf numFmtId="0" fontId="326" fillId="0" borderId="88" xfId="11" applyFont="1" applyBorder="1" applyAlignment="1">
      <alignment horizontal="center" vertical="center"/>
    </xf>
    <xf numFmtId="213" fontId="279" fillId="0" borderId="9" xfId="11" applyNumberFormat="1" applyFont="1" applyBorder="1" applyAlignment="1">
      <alignment horizontal="center" vertical="center"/>
    </xf>
    <xf numFmtId="181" fontId="279" fillId="0" borderId="7" xfId="11" applyNumberFormat="1" applyFont="1" applyBorder="1" applyAlignment="1">
      <alignment horizontal="center" vertical="center" wrapText="1"/>
    </xf>
    <xf numFmtId="181" fontId="279" fillId="0" borderId="5" xfId="11" applyNumberFormat="1" applyFont="1" applyBorder="1" applyAlignment="1">
      <alignment horizontal="left" vertical="center" wrapText="1"/>
    </xf>
    <xf numFmtId="38" fontId="279" fillId="0" borderId="7" xfId="1" applyFont="1" applyFill="1" applyBorder="1" applyAlignment="1">
      <alignment horizontal="center" vertical="center"/>
    </xf>
    <xf numFmtId="181" fontId="279" fillId="0" borderId="5" xfId="11" applyNumberFormat="1" applyFont="1" applyBorder="1" applyAlignment="1">
      <alignment horizontal="center" vertical="center"/>
    </xf>
    <xf numFmtId="38" fontId="279" fillId="0" borderId="8" xfId="1" applyFont="1" applyFill="1" applyBorder="1" applyAlignment="1">
      <alignment horizontal="center" vertical="center"/>
    </xf>
    <xf numFmtId="181" fontId="279" fillId="0" borderId="40" xfId="11" applyNumberFormat="1" applyFont="1" applyBorder="1" applyAlignment="1">
      <alignment horizontal="center" vertical="center"/>
    </xf>
    <xf numFmtId="38" fontId="279" fillId="0" borderId="40" xfId="1" applyFont="1" applyFill="1" applyBorder="1" applyAlignment="1">
      <alignment horizontal="center" vertical="center"/>
    </xf>
    <xf numFmtId="38" fontId="279" fillId="0" borderId="9" xfId="1" applyFont="1" applyFill="1" applyBorder="1" applyAlignment="1">
      <alignment horizontal="center" vertical="center"/>
    </xf>
    <xf numFmtId="49" fontId="229" fillId="0" borderId="5" xfId="11" applyNumberFormat="1" applyFont="1" applyBorder="1" applyAlignment="1">
      <alignment horizontal="center" vertical="center"/>
    </xf>
    <xf numFmtId="181" fontId="229" fillId="0" borderId="89" xfId="11" applyNumberFormat="1" applyFont="1" applyBorder="1" applyAlignment="1">
      <alignment vertical="center"/>
    </xf>
    <xf numFmtId="38" fontId="230" fillId="0" borderId="40" xfId="1" applyFont="1" applyBorder="1" applyAlignment="1">
      <alignment horizontal="center" vertical="center"/>
    </xf>
    <xf numFmtId="38" fontId="297" fillId="0" borderId="41" xfId="1" applyFont="1" applyFill="1" applyBorder="1" applyAlignment="1">
      <alignment horizontal="center" vertical="center"/>
    </xf>
    <xf numFmtId="38" fontId="269" fillId="0" borderId="40" xfId="1" applyFont="1" applyBorder="1" applyAlignment="1">
      <alignment horizontal="center" vertical="center"/>
    </xf>
    <xf numFmtId="0" fontId="52" fillId="43" borderId="0" xfId="0" applyFont="1" applyFill="1" applyAlignment="1">
      <alignment vertical="center" wrapText="1"/>
    </xf>
    <xf numFmtId="38" fontId="78" fillId="6" borderId="0" xfId="1" applyFont="1" applyFill="1" applyAlignment="1">
      <alignment vertical="center" wrapText="1"/>
    </xf>
    <xf numFmtId="38" fontId="15" fillId="32" borderId="0" xfId="1" applyFont="1" applyFill="1" applyAlignment="1">
      <alignment vertical="center" wrapText="1"/>
    </xf>
    <xf numFmtId="38" fontId="165" fillId="6" borderId="0" xfId="1" applyFont="1" applyFill="1" applyAlignment="1">
      <alignment vertical="center" wrapText="1"/>
    </xf>
    <xf numFmtId="38" fontId="78" fillId="4" borderId="0" xfId="1" applyFont="1" applyFill="1" applyAlignment="1">
      <alignment vertical="center" wrapText="1"/>
    </xf>
    <xf numFmtId="38" fontId="78" fillId="19" borderId="0" xfId="1" applyFont="1" applyFill="1" applyAlignment="1">
      <alignment vertical="center" wrapText="1"/>
    </xf>
    <xf numFmtId="0" fontId="0" fillId="0" borderId="0" xfId="0" applyAlignment="1">
      <alignment vertical="center" wrapText="1"/>
    </xf>
    <xf numFmtId="38" fontId="0" fillId="33" borderId="0" xfId="1" applyFont="1" applyFill="1" applyAlignment="1">
      <alignment vertical="center" wrapText="1"/>
    </xf>
    <xf numFmtId="38" fontId="78" fillId="23" borderId="0" xfId="1" applyFont="1" applyFill="1" applyAlignment="1">
      <alignment vertical="center" wrapText="1"/>
    </xf>
    <xf numFmtId="38" fontId="78" fillId="17" borderId="0" xfId="1" applyFont="1" applyFill="1" applyAlignment="1">
      <alignment vertical="center" wrapText="1"/>
    </xf>
    <xf numFmtId="0" fontId="0" fillId="42" borderId="0" xfId="0" applyFill="1">
      <alignment vertical="center"/>
    </xf>
    <xf numFmtId="0" fontId="56" fillId="42" borderId="0" xfId="9" applyFill="1">
      <alignment vertical="center"/>
    </xf>
    <xf numFmtId="0" fontId="78" fillId="42" borderId="0" xfId="9" applyFont="1" applyFill="1">
      <alignment vertical="center"/>
    </xf>
    <xf numFmtId="0" fontId="78" fillId="0" borderId="0" xfId="9" applyFont="1">
      <alignment vertical="center"/>
    </xf>
    <xf numFmtId="181" fontId="78" fillId="0" borderId="0" xfId="9" applyNumberFormat="1" applyFont="1">
      <alignment vertical="center"/>
    </xf>
    <xf numFmtId="181" fontId="78" fillId="42" borderId="0" xfId="9" applyNumberFormat="1" applyFont="1" applyFill="1">
      <alignment vertical="center"/>
    </xf>
    <xf numFmtId="38" fontId="0" fillId="42" borderId="0" xfId="1" applyFont="1" applyFill="1">
      <alignment vertical="center"/>
    </xf>
    <xf numFmtId="38" fontId="0" fillId="42" borderId="0" xfId="0" applyNumberFormat="1" applyFill="1">
      <alignment vertical="center"/>
    </xf>
    <xf numFmtId="0" fontId="78" fillId="62" borderId="0" xfId="9" applyFont="1" applyFill="1">
      <alignment vertical="center"/>
    </xf>
    <xf numFmtId="0" fontId="56" fillId="6" borderId="0" xfId="9" applyFill="1">
      <alignment vertical="center"/>
    </xf>
    <xf numFmtId="0" fontId="78" fillId="16" borderId="0" xfId="9" applyFont="1" applyFill="1">
      <alignment vertical="center"/>
    </xf>
    <xf numFmtId="38" fontId="0" fillId="2" borderId="0" xfId="1" applyFont="1" applyFill="1">
      <alignment vertical="center"/>
    </xf>
    <xf numFmtId="0" fontId="56" fillId="0" borderId="0" xfId="9" quotePrefix="1">
      <alignment vertical="center"/>
    </xf>
    <xf numFmtId="0" fontId="56" fillId="0" borderId="0" xfId="9" applyFill="1">
      <alignment vertical="center"/>
    </xf>
    <xf numFmtId="0" fontId="56" fillId="0" borderId="0" xfId="9" quotePrefix="1" applyFill="1">
      <alignment vertical="center"/>
    </xf>
    <xf numFmtId="0" fontId="78" fillId="32" borderId="0" xfId="9" applyFont="1" applyFill="1">
      <alignment vertical="center"/>
    </xf>
    <xf numFmtId="181" fontId="78" fillId="29" borderId="0" xfId="9" applyNumberFormat="1" applyFont="1" applyFill="1">
      <alignment vertical="center"/>
    </xf>
    <xf numFmtId="0" fontId="78" fillId="63" borderId="0" xfId="9" applyFont="1" applyFill="1">
      <alignment vertical="center"/>
    </xf>
    <xf numFmtId="181" fontId="78" fillId="2" borderId="0" xfId="9" applyNumberFormat="1" applyFont="1" applyFill="1">
      <alignment vertical="center"/>
    </xf>
    <xf numFmtId="38" fontId="157" fillId="32" borderId="0" xfId="0" applyNumberFormat="1" applyFont="1" applyFill="1">
      <alignment vertical="center"/>
    </xf>
    <xf numFmtId="0" fontId="56" fillId="18" borderId="0" xfId="9" applyFill="1">
      <alignment vertical="center"/>
    </xf>
    <xf numFmtId="0" fontId="78" fillId="2" borderId="0" xfId="9" applyFont="1" applyFill="1">
      <alignment vertical="center"/>
    </xf>
    <xf numFmtId="0" fontId="78" fillId="64" borderId="0" xfId="9" applyFont="1" applyFill="1">
      <alignment vertical="center"/>
    </xf>
    <xf numFmtId="38" fontId="40" fillId="0" borderId="0" xfId="1" applyFont="1">
      <alignment vertical="center"/>
    </xf>
    <xf numFmtId="0" fontId="328" fillId="0" borderId="0" xfId="9" quotePrefix="1" applyFont="1">
      <alignment vertical="center"/>
    </xf>
    <xf numFmtId="38" fontId="0" fillId="32" borderId="0" xfId="0" applyNumberFormat="1" applyFill="1">
      <alignment vertical="center"/>
    </xf>
    <xf numFmtId="0" fontId="328" fillId="0" borderId="0" xfId="9" quotePrefix="1" applyFont="1" applyFill="1">
      <alignment vertical="center"/>
    </xf>
    <xf numFmtId="38" fontId="78" fillId="42" borderId="0" xfId="1" applyFont="1" applyFill="1">
      <alignment vertical="center"/>
    </xf>
    <xf numFmtId="0" fontId="149" fillId="6" borderId="0" xfId="9" applyFont="1" applyFill="1">
      <alignment vertical="center"/>
    </xf>
    <xf numFmtId="0" fontId="149" fillId="0" borderId="0" xfId="9" applyFont="1">
      <alignment vertical="center"/>
    </xf>
    <xf numFmtId="0" fontId="56" fillId="42" borderId="0" xfId="9" quotePrefix="1" applyFill="1">
      <alignment vertical="center"/>
    </xf>
    <xf numFmtId="0" fontId="149" fillId="0" borderId="0" xfId="9" quotePrefix="1" applyFont="1">
      <alignment vertical="center"/>
    </xf>
    <xf numFmtId="38" fontId="0" fillId="25" borderId="0" xfId="1" applyFont="1" applyFill="1">
      <alignment vertical="center"/>
    </xf>
    <xf numFmtId="0" fontId="0" fillId="25" borderId="0" xfId="0" applyFill="1">
      <alignment vertical="center"/>
    </xf>
    <xf numFmtId="0" fontId="56" fillId="25" borderId="0" xfId="9" applyFill="1">
      <alignment vertical="center"/>
    </xf>
    <xf numFmtId="0" fontId="78" fillId="25" borderId="0" xfId="9" applyFont="1" applyFill="1">
      <alignment vertical="center"/>
    </xf>
    <xf numFmtId="181" fontId="78" fillId="25" borderId="0" xfId="9" applyNumberFormat="1" applyFont="1" applyFill="1">
      <alignment vertical="center"/>
    </xf>
    <xf numFmtId="38" fontId="78" fillId="25" borderId="0" xfId="1" applyFont="1" applyFill="1">
      <alignment vertical="center"/>
    </xf>
    <xf numFmtId="38" fontId="0" fillId="25" borderId="0" xfId="0" applyNumberFormat="1" applyFill="1">
      <alignment vertical="center"/>
    </xf>
    <xf numFmtId="181" fontId="78" fillId="65" borderId="0" xfId="0" applyNumberFormat="1" applyFont="1" applyFill="1">
      <alignment vertical="center"/>
    </xf>
    <xf numFmtId="181" fontId="78" fillId="65" borderId="0" xfId="0" applyNumberFormat="1" applyFont="1" applyFill="1" applyAlignment="1">
      <alignment vertical="center" wrapText="1"/>
    </xf>
    <xf numFmtId="38" fontId="78" fillId="65" borderId="0" xfId="1" applyFont="1" applyFill="1">
      <alignment vertical="center"/>
    </xf>
    <xf numFmtId="0" fontId="0" fillId="43" borderId="0" xfId="0" applyFill="1" applyAlignment="1">
      <alignment vertical="center" wrapText="1"/>
    </xf>
    <xf numFmtId="0" fontId="53" fillId="33" borderId="0" xfId="0" applyFont="1" applyFill="1" applyAlignment="1">
      <alignment horizontal="center" vertical="center" wrapText="1"/>
    </xf>
    <xf numFmtId="0" fontId="56" fillId="29" borderId="0" xfId="9" applyFill="1">
      <alignment vertical="center"/>
    </xf>
    <xf numFmtId="0" fontId="78" fillId="29" borderId="0" xfId="9" applyFont="1" applyFill="1">
      <alignment vertical="center"/>
    </xf>
    <xf numFmtId="0" fontId="149" fillId="18" borderId="0" xfId="9" applyFont="1" applyFill="1">
      <alignment vertical="center"/>
    </xf>
    <xf numFmtId="0" fontId="146" fillId="6" borderId="0" xfId="17" applyFont="1" applyFill="1">
      <alignment vertical="center"/>
    </xf>
    <xf numFmtId="3" fontId="200" fillId="9" borderId="138" xfId="17" applyNumberFormat="1" applyFont="1" applyFill="1" applyBorder="1">
      <alignment vertical="center"/>
    </xf>
    <xf numFmtId="181" fontId="135" fillId="0" borderId="447" xfId="17" applyNumberFormat="1" applyFont="1" applyBorder="1">
      <alignment vertical="center"/>
    </xf>
    <xf numFmtId="181" fontId="135" fillId="40" borderId="38" xfId="17" applyNumberFormat="1" applyFont="1" applyFill="1" applyBorder="1">
      <alignment vertical="center"/>
    </xf>
    <xf numFmtId="181" fontId="200" fillId="0" borderId="906" xfId="17" applyNumberFormat="1" applyFont="1" applyBorder="1">
      <alignment vertical="center"/>
    </xf>
    <xf numFmtId="181" fontId="135" fillId="0" borderId="900" xfId="17" applyNumberFormat="1" applyFont="1" applyBorder="1">
      <alignment vertical="center"/>
    </xf>
    <xf numFmtId="181" fontId="135" fillId="40" borderId="0" xfId="17" applyNumberFormat="1" applyFont="1" applyFill="1">
      <alignment vertical="center"/>
    </xf>
    <xf numFmtId="181" fontId="200" fillId="16" borderId="258" xfId="17" applyNumberFormat="1" applyFont="1" applyFill="1" applyBorder="1">
      <alignment vertical="center"/>
    </xf>
    <xf numFmtId="181" fontId="146" fillId="16" borderId="258" xfId="17" applyNumberFormat="1" applyFont="1" applyFill="1" applyBorder="1">
      <alignment vertical="center"/>
    </xf>
    <xf numFmtId="181" fontId="146" fillId="16" borderId="906" xfId="17" applyNumberFormat="1" applyFont="1" applyFill="1" applyBorder="1">
      <alignment vertical="center"/>
    </xf>
    <xf numFmtId="181" fontId="143" fillId="16" borderId="258" xfId="17" applyNumberFormat="1" applyFont="1" applyFill="1" applyBorder="1">
      <alignment vertical="center"/>
    </xf>
    <xf numFmtId="181" fontId="134" fillId="16" borderId="910" xfId="17" applyNumberFormat="1" applyFill="1" applyBorder="1">
      <alignment vertical="center"/>
    </xf>
    <xf numFmtId="206" fontId="146" fillId="16" borderId="906" xfId="17" applyNumberFormat="1" applyFont="1" applyFill="1" applyBorder="1">
      <alignment vertical="center"/>
    </xf>
    <xf numFmtId="206" fontId="146" fillId="16" borderId="258" xfId="17" applyNumberFormat="1" applyFont="1" applyFill="1" applyBorder="1">
      <alignment vertical="center"/>
    </xf>
    <xf numFmtId="206" fontId="135" fillId="0" borderId="447" xfId="17" applyNumberFormat="1" applyFont="1" applyBorder="1">
      <alignment vertical="center"/>
    </xf>
    <xf numFmtId="206" fontId="200" fillId="0" borderId="906" xfId="17" applyNumberFormat="1" applyFont="1" applyBorder="1">
      <alignment vertical="center"/>
    </xf>
    <xf numFmtId="206" fontId="135" fillId="0" borderId="900" xfId="17" applyNumberFormat="1" applyFont="1" applyBorder="1">
      <alignment vertical="center"/>
    </xf>
    <xf numFmtId="181" fontId="134" fillId="16" borderId="258" xfId="17" applyNumberFormat="1" applyFill="1" applyBorder="1">
      <alignment vertical="center"/>
    </xf>
    <xf numFmtId="181" fontId="134" fillId="16" borderId="261" xfId="17" applyNumberFormat="1" applyFill="1" applyBorder="1">
      <alignment vertical="center"/>
    </xf>
    <xf numFmtId="206" fontId="134" fillId="16" borderId="258" xfId="17" applyNumberFormat="1" applyFill="1" applyBorder="1">
      <alignment vertical="center"/>
    </xf>
    <xf numFmtId="206" fontId="134" fillId="16" borderId="910" xfId="17" applyNumberFormat="1" applyFill="1" applyBorder="1">
      <alignment vertical="center"/>
    </xf>
    <xf numFmtId="180" fontId="329" fillId="29" borderId="0" xfId="17" applyNumberFormat="1" applyFont="1" applyFill="1" applyAlignment="1">
      <alignment horizontal="center" vertical="center"/>
    </xf>
    <xf numFmtId="0" fontId="146" fillId="0" borderId="38" xfId="17" applyFont="1" applyBorder="1">
      <alignment vertical="center"/>
    </xf>
    <xf numFmtId="181" fontId="134" fillId="0" borderId="38" xfId="17" applyNumberFormat="1" applyBorder="1">
      <alignment vertical="center"/>
    </xf>
    <xf numFmtId="0" fontId="330" fillId="0" borderId="0" xfId="17" applyFont="1">
      <alignment vertical="center"/>
    </xf>
    <xf numFmtId="0" fontId="331" fillId="0" borderId="0" xfId="17" applyFont="1" applyAlignment="1">
      <alignment horizontal="right" vertical="center"/>
    </xf>
    <xf numFmtId="0" fontId="331" fillId="40" borderId="0" xfId="17" applyFont="1" applyFill="1" applyAlignment="1">
      <alignment horizontal="right" vertical="center"/>
    </xf>
    <xf numFmtId="180" fontId="331" fillId="0" borderId="0" xfId="17" applyNumberFormat="1" applyFont="1">
      <alignment vertical="center"/>
    </xf>
    <xf numFmtId="180" fontId="134" fillId="29" borderId="0" xfId="17" applyNumberFormat="1" applyFill="1" applyAlignment="1">
      <alignment horizontal="center" vertical="center"/>
    </xf>
    <xf numFmtId="180" fontId="134" fillId="0" borderId="0" xfId="17" applyNumberFormat="1" applyAlignment="1">
      <alignment horizontal="center" vertical="center"/>
    </xf>
    <xf numFmtId="0" fontId="134" fillId="6" borderId="0" xfId="17" applyFill="1">
      <alignment vertical="center"/>
    </xf>
    <xf numFmtId="0" fontId="41" fillId="16" borderId="379" xfId="0" applyFont="1" applyFill="1" applyBorder="1" applyAlignment="1">
      <alignment horizontal="center" vertical="center"/>
    </xf>
    <xf numFmtId="180" fontId="134" fillId="6" borderId="0" xfId="17" applyNumberFormat="1" applyFill="1">
      <alignment vertical="center"/>
    </xf>
    <xf numFmtId="0" fontId="134" fillId="6" borderId="0" xfId="17" applyFill="1" applyAlignment="1">
      <alignment horizontal="right" vertical="center"/>
    </xf>
    <xf numFmtId="181" fontId="193" fillId="0" borderId="903" xfId="17" applyNumberFormat="1" applyFont="1" applyBorder="1">
      <alignment vertical="center"/>
    </xf>
    <xf numFmtId="181" fontId="193" fillId="0" borderId="258" xfId="17" applyNumberFormat="1" applyFont="1" applyBorder="1">
      <alignment vertical="center"/>
    </xf>
    <xf numFmtId="206" fontId="193" fillId="0" borderId="901" xfId="17" applyNumberFormat="1" applyFont="1" applyBorder="1">
      <alignment vertical="center"/>
    </xf>
    <xf numFmtId="206" fontId="193" fillId="0" borderId="258" xfId="17" applyNumberFormat="1" applyFont="1" applyBorder="1">
      <alignment vertical="center"/>
    </xf>
    <xf numFmtId="181" fontId="134" fillId="0" borderId="268" xfId="17" applyNumberFormat="1" applyBorder="1">
      <alignment vertical="center"/>
    </xf>
    <xf numFmtId="206" fontId="134" fillId="0" borderId="268" xfId="17" applyNumberFormat="1" applyBorder="1">
      <alignment vertical="center"/>
    </xf>
    <xf numFmtId="181" fontId="134" fillId="16" borderId="906" xfId="17" applyNumberFormat="1" applyFill="1" applyBorder="1">
      <alignment vertical="center"/>
    </xf>
    <xf numFmtId="206" fontId="197" fillId="18" borderId="908" xfId="17" applyNumberFormat="1" applyFont="1" applyFill="1" applyBorder="1">
      <alignment vertical="center"/>
    </xf>
    <xf numFmtId="3" fontId="193" fillId="18" borderId="901" xfId="17" applyNumberFormat="1" applyFont="1" applyFill="1" applyBorder="1">
      <alignment vertical="center"/>
    </xf>
    <xf numFmtId="3" fontId="193" fillId="18" borderId="899" xfId="17" applyNumberFormat="1" applyFont="1" applyFill="1" applyBorder="1">
      <alignment vertical="center"/>
    </xf>
    <xf numFmtId="3" fontId="193" fillId="18" borderId="905" xfId="17" applyNumberFormat="1" applyFont="1" applyFill="1" applyBorder="1">
      <alignment vertical="center"/>
    </xf>
    <xf numFmtId="3" fontId="193" fillId="18" borderId="909" xfId="17" applyNumberFormat="1" applyFont="1" applyFill="1" applyBorder="1">
      <alignment vertical="center"/>
    </xf>
    <xf numFmtId="3" fontId="193" fillId="18" borderId="911" xfId="17" applyNumberFormat="1" applyFont="1" applyFill="1" applyBorder="1">
      <alignment vertical="center"/>
    </xf>
    <xf numFmtId="3" fontId="193" fillId="18" borderId="912" xfId="17" applyNumberFormat="1" applyFont="1" applyFill="1" applyBorder="1">
      <alignment vertical="center"/>
    </xf>
    <xf numFmtId="3" fontId="193" fillId="18" borderId="913" xfId="17" applyNumberFormat="1" applyFont="1" applyFill="1" applyBorder="1">
      <alignment vertical="center"/>
    </xf>
    <xf numFmtId="3" fontId="200" fillId="18" borderId="901" xfId="17" applyNumberFormat="1" applyFont="1" applyFill="1" applyBorder="1">
      <alignment vertical="center"/>
    </xf>
    <xf numFmtId="3" fontId="200" fillId="18" borderId="899" xfId="17" applyNumberFormat="1" applyFont="1" applyFill="1" applyBorder="1">
      <alignment vertical="center"/>
    </xf>
    <xf numFmtId="3" fontId="200" fillId="18" borderId="905" xfId="17" applyNumberFormat="1" applyFont="1" applyFill="1" applyBorder="1">
      <alignment vertical="center"/>
    </xf>
    <xf numFmtId="3" fontId="200" fillId="18" borderId="909" xfId="17" applyNumberFormat="1" applyFont="1" applyFill="1" applyBorder="1">
      <alignment vertical="center"/>
    </xf>
    <xf numFmtId="3" fontId="200" fillId="18" borderId="258" xfId="17" applyNumberFormat="1" applyFont="1" applyFill="1" applyBorder="1">
      <alignment vertical="center"/>
    </xf>
    <xf numFmtId="3" fontId="200" fillId="18" borderId="913" xfId="17" applyNumberFormat="1" applyFont="1" applyFill="1" applyBorder="1">
      <alignment vertical="center"/>
    </xf>
    <xf numFmtId="0" fontId="146" fillId="9" borderId="138" xfId="17" applyFont="1" applyFill="1" applyBorder="1">
      <alignment vertical="center"/>
    </xf>
    <xf numFmtId="0" fontId="146" fillId="18" borderId="0" xfId="17" applyFont="1" applyFill="1">
      <alignment vertical="center"/>
    </xf>
    <xf numFmtId="3" fontId="200" fillId="18" borderId="0" xfId="17" applyNumberFormat="1" applyFont="1" applyFill="1">
      <alignment vertical="center"/>
    </xf>
    <xf numFmtId="3" fontId="200" fillId="9" borderId="138" xfId="17" applyNumberFormat="1" applyFont="1" applyFill="1" applyBorder="1" applyAlignment="1">
      <alignment horizontal="left" vertical="center"/>
    </xf>
    <xf numFmtId="0" fontId="142" fillId="0" borderId="0" xfId="17" applyFont="1" applyAlignment="1">
      <alignment horizontal="right" vertical="center"/>
    </xf>
    <xf numFmtId="41" fontId="134" fillId="0" borderId="0" xfId="17" applyNumberFormat="1">
      <alignment vertical="center"/>
    </xf>
    <xf numFmtId="0" fontId="333" fillId="0" borderId="0" xfId="17" applyFont="1" applyAlignment="1">
      <alignment horizontal="right" vertical="center"/>
    </xf>
    <xf numFmtId="43" fontId="146" fillId="0" borderId="0" xfId="17" applyNumberFormat="1" applyFont="1">
      <alignment vertical="center"/>
    </xf>
    <xf numFmtId="14" fontId="53" fillId="12" borderId="26" xfId="13" applyNumberFormat="1" applyFont="1" applyFill="1" applyBorder="1" applyAlignment="1">
      <alignment horizontal="center" vertical="center" shrinkToFit="1"/>
    </xf>
    <xf numFmtId="38" fontId="268" fillId="0" borderId="7" xfId="1" applyFont="1" applyBorder="1" applyAlignment="1">
      <alignment horizontal="center" vertical="center"/>
    </xf>
    <xf numFmtId="0" fontId="284" fillId="0" borderId="0" xfId="11" applyFont="1" applyAlignment="1">
      <alignment vertical="center"/>
    </xf>
    <xf numFmtId="181" fontId="279" fillId="0" borderId="5" xfId="11" applyNumberFormat="1" applyFont="1" applyBorder="1" applyAlignment="1">
      <alignment horizontal="center" vertical="center" wrapText="1"/>
    </xf>
    <xf numFmtId="216" fontId="259" fillId="0" borderId="9" xfId="11" applyNumberFormat="1" applyFont="1" applyBorder="1" applyAlignment="1">
      <alignment horizontal="center" vertical="center" wrapText="1"/>
    </xf>
    <xf numFmtId="213" fontId="334" fillId="0" borderId="9" xfId="11" applyNumberFormat="1" applyFont="1" applyBorder="1" applyAlignment="1">
      <alignment horizontal="center" vertical="center" wrapText="1"/>
    </xf>
    <xf numFmtId="216" fontId="334" fillId="0" borderId="5" xfId="11" applyNumberFormat="1" applyFont="1" applyBorder="1" applyAlignment="1">
      <alignment horizontal="center" vertical="center" wrapText="1"/>
    </xf>
    <xf numFmtId="0" fontId="334" fillId="0" borderId="5" xfId="11" applyFont="1" applyBorder="1" applyAlignment="1">
      <alignment horizontal="center" vertical="center" shrinkToFit="1"/>
    </xf>
    <xf numFmtId="180" fontId="335" fillId="0" borderId="5" xfId="11" applyNumberFormat="1" applyFont="1" applyBorder="1" applyAlignment="1">
      <alignment horizontal="center" vertical="center" wrapText="1"/>
    </xf>
    <xf numFmtId="0" fontId="335" fillId="0" borderId="5" xfId="11" applyFont="1" applyBorder="1" applyAlignment="1">
      <alignment horizontal="center" vertical="center" wrapText="1"/>
    </xf>
    <xf numFmtId="180" fontId="335" fillId="0" borderId="7" xfId="11" applyNumberFormat="1" applyFont="1" applyBorder="1" applyAlignment="1">
      <alignment horizontal="center" vertical="center" wrapText="1"/>
    </xf>
    <xf numFmtId="180" fontId="335" fillId="0" borderId="434" xfId="11" applyNumberFormat="1" applyFont="1" applyBorder="1" applyAlignment="1">
      <alignment horizontal="center" vertical="center" wrapText="1"/>
    </xf>
    <xf numFmtId="180" fontId="335" fillId="0" borderId="9" xfId="11" applyNumberFormat="1" applyFont="1" applyBorder="1" applyAlignment="1">
      <alignment horizontal="center" vertical="center" wrapText="1"/>
    </xf>
    <xf numFmtId="206" fontId="335" fillId="0" borderId="1054" xfId="11" applyNumberFormat="1" applyFont="1" applyBorder="1" applyAlignment="1">
      <alignment horizontal="center" vertical="center" wrapText="1"/>
    </xf>
    <xf numFmtId="0" fontId="334" fillId="0" borderId="5" xfId="11" applyFont="1" applyBorder="1" applyAlignment="1">
      <alignment horizontal="center" vertical="center" wrapText="1"/>
    </xf>
    <xf numFmtId="3" fontId="200" fillId="18" borderId="99" xfId="17" applyNumberFormat="1" applyFont="1" applyFill="1" applyBorder="1">
      <alignment vertical="center"/>
    </xf>
    <xf numFmtId="3" fontId="200" fillId="9" borderId="265" xfId="17" applyNumberFormat="1" applyFont="1" applyFill="1" applyBorder="1" applyAlignment="1">
      <alignment horizontal="left" vertical="center"/>
    </xf>
    <xf numFmtId="3" fontId="200" fillId="9" borderId="99" xfId="17" applyNumberFormat="1" applyFont="1" applyFill="1" applyBorder="1" applyAlignment="1">
      <alignment horizontal="left" vertical="center"/>
    </xf>
    <xf numFmtId="181" fontId="135" fillId="40" borderId="99" xfId="17" applyNumberFormat="1" applyFont="1" applyFill="1" applyBorder="1">
      <alignment vertical="center"/>
    </xf>
    <xf numFmtId="181" fontId="135" fillId="0" borderId="437" xfId="17" applyNumberFormat="1" applyFont="1" applyBorder="1">
      <alignment vertical="center"/>
    </xf>
    <xf numFmtId="206" fontId="135" fillId="0" borderId="437" xfId="17" applyNumberFormat="1" applyFont="1" applyBorder="1">
      <alignment vertical="center"/>
    </xf>
    <xf numFmtId="206" fontId="135" fillId="17" borderId="1085" xfId="17" applyNumberFormat="1" applyFont="1" applyFill="1" applyBorder="1">
      <alignment vertical="center"/>
    </xf>
    <xf numFmtId="206" fontId="200" fillId="0" borderId="268" xfId="17" applyNumberFormat="1" applyFont="1" applyBorder="1">
      <alignment vertical="center"/>
    </xf>
    <xf numFmtId="181" fontId="200" fillId="0" borderId="268" xfId="17" applyNumberFormat="1" applyFont="1" applyBorder="1">
      <alignment vertical="center"/>
    </xf>
    <xf numFmtId="224" fontId="134" fillId="0" borderId="0" xfId="17" applyNumberFormat="1">
      <alignment vertical="center"/>
    </xf>
    <xf numFmtId="206" fontId="197" fillId="40" borderId="0" xfId="17" applyNumberFormat="1" applyFont="1" applyFill="1">
      <alignment vertical="center"/>
    </xf>
    <xf numFmtId="206" fontId="196" fillId="9" borderId="138" xfId="17" applyNumberFormat="1" applyFont="1" applyFill="1" applyBorder="1" applyAlignment="1">
      <alignment horizontal="right" vertical="center"/>
    </xf>
    <xf numFmtId="206" fontId="197" fillId="0" borderId="944" xfId="17" applyNumberFormat="1" applyFont="1" applyBorder="1">
      <alignment vertical="center"/>
    </xf>
    <xf numFmtId="206" fontId="332" fillId="0" borderId="258" xfId="17" applyNumberFormat="1" applyFont="1" applyBorder="1">
      <alignment vertical="center"/>
    </xf>
    <xf numFmtId="206" fontId="200" fillId="9" borderId="138" xfId="17" applyNumberFormat="1" applyFont="1" applyFill="1" applyBorder="1" applyAlignment="1">
      <alignment horizontal="left" vertical="center"/>
    </xf>
    <xf numFmtId="0" fontId="227" fillId="58" borderId="50" xfId="11" applyFont="1" applyFill="1" applyBorder="1" applyAlignment="1">
      <alignment horizontal="center" vertical="center" wrapText="1"/>
    </xf>
    <xf numFmtId="0" fontId="227" fillId="58" borderId="28" xfId="11" applyFont="1" applyFill="1" applyBorder="1" applyAlignment="1">
      <alignment horizontal="center" vertical="center" wrapText="1"/>
    </xf>
    <xf numFmtId="180" fontId="230" fillId="0" borderId="95" xfId="11" applyNumberFormat="1" applyFont="1" applyBorder="1" applyAlignment="1">
      <alignment horizontal="center" vertical="center" wrapText="1"/>
    </xf>
    <xf numFmtId="41" fontId="64" fillId="20" borderId="38" xfId="0" applyNumberFormat="1" applyFont="1" applyFill="1" applyBorder="1" applyAlignment="1">
      <alignment horizontal="center" vertical="center" shrinkToFit="1"/>
    </xf>
    <xf numFmtId="0" fontId="61" fillId="17" borderId="27" xfId="0" applyFont="1" applyFill="1" applyBorder="1" applyAlignment="1">
      <alignment horizontal="center" vertical="center" shrinkToFit="1"/>
    </xf>
    <xf numFmtId="38" fontId="64" fillId="20" borderId="722" xfId="1" applyFont="1" applyFill="1" applyBorder="1" applyAlignment="1">
      <alignment horizontal="right" vertical="center" shrinkToFit="1"/>
    </xf>
    <xf numFmtId="38" fontId="64" fillId="20" borderId="159" xfId="1" applyFont="1" applyFill="1" applyBorder="1" applyAlignment="1">
      <alignment horizontal="right" vertical="center" shrinkToFit="1"/>
    </xf>
    <xf numFmtId="38" fontId="73" fillId="20" borderId="159" xfId="1" applyFont="1" applyFill="1" applyBorder="1" applyAlignment="1">
      <alignment horizontal="right" vertical="center" shrinkToFit="1"/>
    </xf>
    <xf numFmtId="14" fontId="54" fillId="20" borderId="159" xfId="0" applyNumberFormat="1" applyFont="1" applyFill="1" applyBorder="1" applyAlignment="1">
      <alignment horizontal="center" vertical="center" shrinkToFit="1"/>
    </xf>
    <xf numFmtId="41" fontId="54" fillId="20" borderId="903" xfId="0" applyNumberFormat="1" applyFont="1" applyFill="1" applyBorder="1" applyAlignment="1">
      <alignment horizontal="center" vertical="center" shrinkToFit="1"/>
    </xf>
    <xf numFmtId="0" fontId="61" fillId="20" borderId="50" xfId="1" applyNumberFormat="1" applyFont="1" applyFill="1" applyBorder="1" applyAlignment="1">
      <alignment horizontal="left" vertical="center" shrinkToFit="1"/>
    </xf>
    <xf numFmtId="0" fontId="64" fillId="20" borderId="50" xfId="11" applyFont="1" applyFill="1" applyBorder="1" applyAlignment="1">
      <alignment horizontal="center" vertical="center" shrinkToFit="1"/>
    </xf>
    <xf numFmtId="0" fontId="61" fillId="20" borderId="26" xfId="1" applyNumberFormat="1" applyFont="1" applyFill="1" applyBorder="1" applyAlignment="1">
      <alignment horizontal="left" vertical="center" shrinkToFit="1"/>
    </xf>
    <xf numFmtId="0" fontId="64" fillId="20" borderId="26" xfId="11" applyFont="1" applyFill="1" applyBorder="1" applyAlignment="1">
      <alignment horizontal="center" vertical="center" shrinkToFit="1"/>
    </xf>
    <xf numFmtId="38" fontId="64" fillId="17" borderId="128" xfId="1" applyFont="1" applyFill="1" applyBorder="1" applyAlignment="1">
      <alignment horizontal="right" vertical="center" shrinkToFit="1"/>
    </xf>
    <xf numFmtId="38" fontId="64" fillId="6" borderId="167" xfId="1" applyFont="1" applyFill="1" applyBorder="1" applyAlignment="1">
      <alignment horizontal="right" vertical="center" shrinkToFit="1"/>
    </xf>
    <xf numFmtId="0" fontId="248" fillId="0" borderId="115" xfId="11" applyFont="1" applyBorder="1" applyAlignment="1">
      <alignment horizontal="center" vertical="center" wrapText="1"/>
    </xf>
    <xf numFmtId="213" fontId="249" fillId="0" borderId="39" xfId="11" applyNumberFormat="1" applyFont="1" applyBorder="1" applyAlignment="1">
      <alignment horizontal="center" vertical="center"/>
    </xf>
    <xf numFmtId="216" fontId="249" fillId="0" borderId="142" xfId="11" applyNumberFormat="1" applyFont="1" applyBorder="1" applyAlignment="1">
      <alignment horizontal="center" vertical="center"/>
    </xf>
    <xf numFmtId="216" fontId="248" fillId="0" borderId="50" xfId="11" applyNumberFormat="1" applyFont="1" applyBorder="1" applyAlignment="1">
      <alignment horizontal="center" vertical="center" shrinkToFit="1"/>
    </xf>
    <xf numFmtId="0" fontId="248" fillId="0" borderId="50" xfId="11" applyFont="1" applyBorder="1" applyAlignment="1">
      <alignment horizontal="center" vertical="center" shrinkToFit="1"/>
    </xf>
    <xf numFmtId="0" fontId="248" fillId="0" borderId="48" xfId="11" applyFont="1" applyBorder="1" applyAlignment="1">
      <alignment horizontal="center" vertical="center" shrinkToFit="1"/>
    </xf>
    <xf numFmtId="0" fontId="248" fillId="0" borderId="1043" xfId="11" applyFont="1" applyBorder="1" applyAlignment="1">
      <alignment horizontal="center" vertical="center" shrinkToFit="1"/>
    </xf>
    <xf numFmtId="180" fontId="248" fillId="0" borderId="1043" xfId="11" applyNumberFormat="1" applyFont="1" applyBorder="1" applyAlignment="1">
      <alignment horizontal="center" vertical="center" shrinkToFit="1"/>
    </xf>
    <xf numFmtId="180" fontId="248" fillId="0" borderId="902" xfId="11" applyNumberFormat="1" applyFont="1" applyBorder="1" applyAlignment="1">
      <alignment horizontal="center" vertical="center" shrinkToFit="1"/>
    </xf>
    <xf numFmtId="180" fontId="248" fillId="0" borderId="949" xfId="11" applyNumberFormat="1" applyFont="1" applyBorder="1" applyAlignment="1">
      <alignment horizontal="center" vertical="center" shrinkToFit="1"/>
    </xf>
    <xf numFmtId="180" fontId="248" fillId="0" borderId="50" xfId="11" applyNumberFormat="1" applyFont="1" applyBorder="1" applyAlignment="1">
      <alignment horizontal="center" vertical="center" shrinkToFit="1"/>
    </xf>
    <xf numFmtId="0" fontId="248" fillId="0" borderId="950" xfId="11" applyFont="1" applyBorder="1" applyAlignment="1">
      <alignment horizontal="center" vertical="center" shrinkToFit="1"/>
    </xf>
    <xf numFmtId="0" fontId="248" fillId="0" borderId="902" xfId="11" applyFont="1" applyBorder="1" applyAlignment="1">
      <alignment horizontal="center" vertical="center" shrinkToFit="1"/>
    </xf>
    <xf numFmtId="180" fontId="248" fillId="0" borderId="951" xfId="11" applyNumberFormat="1" applyFont="1" applyBorder="1" applyAlignment="1">
      <alignment horizontal="center" vertical="center" shrinkToFit="1"/>
    </xf>
    <xf numFmtId="0" fontId="336" fillId="0" borderId="85" xfId="11" applyFont="1" applyBorder="1" applyAlignment="1">
      <alignment horizontal="center" vertical="center" wrapText="1"/>
    </xf>
    <xf numFmtId="213" fontId="336" fillId="0" borderId="86" xfId="11" applyNumberFormat="1" applyFont="1" applyBorder="1" applyAlignment="1">
      <alignment horizontal="center" vertical="center" wrapText="1"/>
    </xf>
    <xf numFmtId="216" fontId="336" fillId="0" borderId="86" xfId="11" applyNumberFormat="1" applyFont="1" applyBorder="1" applyAlignment="1">
      <alignment horizontal="center" vertical="center" wrapText="1"/>
    </xf>
    <xf numFmtId="0" fontId="336" fillId="0" borderId="86" xfId="11" applyFont="1" applyBorder="1" applyAlignment="1">
      <alignment horizontal="center" vertical="center" shrinkToFit="1"/>
    </xf>
    <xf numFmtId="0" fontId="336" fillId="0" borderId="956" xfId="11" applyFont="1" applyBorder="1" applyAlignment="1">
      <alignment horizontal="left" vertical="center" wrapText="1"/>
    </xf>
    <xf numFmtId="180" fontId="336" fillId="0" borderId="86" xfId="11" applyNumberFormat="1" applyFont="1" applyBorder="1" applyAlignment="1">
      <alignment horizontal="center" vertical="center" wrapText="1"/>
    </xf>
    <xf numFmtId="0" fontId="336" fillId="0" borderId="86" xfId="11" applyFont="1" applyBorder="1" applyAlignment="1">
      <alignment horizontal="center" vertical="center" wrapText="1"/>
    </xf>
    <xf numFmtId="180" fontId="336" fillId="0" borderId="954" xfId="11" applyNumberFormat="1" applyFont="1" applyBorder="1" applyAlignment="1">
      <alignment horizontal="center" vertical="center" wrapText="1"/>
    </xf>
    <xf numFmtId="180" fontId="336" fillId="0" borderId="1051" xfId="11" applyNumberFormat="1" applyFont="1" applyBorder="1" applyAlignment="1">
      <alignment horizontal="center" vertical="center" wrapText="1"/>
    </xf>
    <xf numFmtId="206" fontId="336" fillId="0" borderId="1086" xfId="11" applyNumberFormat="1" applyFont="1" applyBorder="1" applyAlignment="1">
      <alignment horizontal="center" vertical="center" wrapText="1"/>
    </xf>
    <xf numFmtId="0" fontId="337" fillId="0" borderId="1052" xfId="11" applyFont="1" applyBorder="1" applyAlignment="1">
      <alignment horizontal="center" vertical="center" wrapText="1"/>
    </xf>
    <xf numFmtId="180" fontId="336" fillId="0" borderId="958" xfId="11" applyNumberFormat="1" applyFont="1" applyBorder="1" applyAlignment="1">
      <alignment horizontal="center" vertical="center" wrapText="1"/>
    </xf>
    <xf numFmtId="0" fontId="338" fillId="0" borderId="958" xfId="11" applyFont="1" applyBorder="1" applyAlignment="1">
      <alignment horizontal="center" vertical="center" shrinkToFit="1"/>
    </xf>
    <xf numFmtId="180" fontId="338" fillId="0" borderId="958" xfId="11" applyNumberFormat="1" applyFont="1" applyBorder="1" applyAlignment="1">
      <alignment horizontal="center" vertical="center" shrinkToFit="1"/>
    </xf>
    <xf numFmtId="180" fontId="336" fillId="0" borderId="1053" xfId="11" applyNumberFormat="1" applyFont="1" applyBorder="1" applyAlignment="1">
      <alignment horizontal="center" vertical="center" wrapText="1"/>
    </xf>
    <xf numFmtId="0" fontId="339" fillId="0" borderId="0" xfId="11" applyFont="1" applyAlignment="1">
      <alignment vertical="center"/>
    </xf>
    <xf numFmtId="0" fontId="336" fillId="0" borderId="965" xfId="11" applyFont="1" applyBorder="1" applyAlignment="1">
      <alignment horizontal="center" vertical="center" wrapText="1"/>
    </xf>
    <xf numFmtId="213" fontId="336" fillId="0" borderId="850" xfId="11" applyNumberFormat="1" applyFont="1" applyBorder="1" applyAlignment="1">
      <alignment horizontal="center" vertical="center" wrapText="1"/>
    </xf>
    <xf numFmtId="216" fontId="336" fillId="0" borderId="850" xfId="11" applyNumberFormat="1" applyFont="1" applyBorder="1" applyAlignment="1">
      <alignment horizontal="center" vertical="center" wrapText="1"/>
    </xf>
    <xf numFmtId="0" fontId="336" fillId="0" borderId="850" xfId="11" applyFont="1" applyBorder="1" applyAlignment="1">
      <alignment horizontal="center" vertical="center" shrinkToFit="1"/>
    </xf>
    <xf numFmtId="0" fontId="336" fillId="0" borderId="854" xfId="11" applyFont="1" applyBorder="1" applyAlignment="1">
      <alignment horizontal="left" vertical="center" wrapText="1"/>
    </xf>
    <xf numFmtId="180" fontId="336" fillId="0" borderId="850" xfId="11" applyNumberFormat="1" applyFont="1" applyBorder="1" applyAlignment="1">
      <alignment horizontal="center" vertical="center" wrapText="1"/>
    </xf>
    <xf numFmtId="0" fontId="336" fillId="0" borderId="850" xfId="11" applyFont="1" applyBorder="1" applyAlignment="1">
      <alignment horizontal="center" vertical="center" wrapText="1"/>
    </xf>
    <xf numFmtId="180" fontId="336" fillId="0" borderId="851" xfId="11" applyNumberFormat="1" applyFont="1" applyBorder="1" applyAlignment="1">
      <alignment horizontal="center" vertical="center" wrapText="1"/>
    </xf>
    <xf numFmtId="180" fontId="336" fillId="0" borderId="969" xfId="11" applyNumberFormat="1" applyFont="1" applyBorder="1" applyAlignment="1">
      <alignment horizontal="center" vertical="center" wrapText="1"/>
    </xf>
    <xf numFmtId="206" fontId="336" fillId="0" borderId="1087" xfId="11" applyNumberFormat="1" applyFont="1" applyBorder="1" applyAlignment="1">
      <alignment horizontal="center" vertical="center" wrapText="1"/>
    </xf>
    <xf numFmtId="0" fontId="337" fillId="0" borderId="968" xfId="11" applyFont="1" applyBorder="1" applyAlignment="1">
      <alignment horizontal="center" vertical="center" wrapText="1"/>
    </xf>
    <xf numFmtId="180" fontId="336" fillId="0" borderId="967" xfId="11" applyNumberFormat="1" applyFont="1" applyBorder="1" applyAlignment="1">
      <alignment horizontal="center" vertical="center" wrapText="1"/>
    </xf>
    <xf numFmtId="0" fontId="338" fillId="0" borderId="1088" xfId="11" applyFont="1" applyBorder="1" applyAlignment="1">
      <alignment horizontal="center" vertical="center" shrinkToFit="1"/>
    </xf>
    <xf numFmtId="180" fontId="338" fillId="0" borderId="1088" xfId="11" applyNumberFormat="1" applyFont="1" applyBorder="1" applyAlignment="1">
      <alignment horizontal="center" vertical="center" shrinkToFit="1"/>
    </xf>
    <xf numFmtId="180" fontId="336" fillId="0" borderId="1089" xfId="11" applyNumberFormat="1" applyFont="1" applyBorder="1" applyAlignment="1">
      <alignment horizontal="center" vertical="center" wrapText="1"/>
    </xf>
    <xf numFmtId="0" fontId="230" fillId="0" borderId="85" xfId="11" applyFont="1" applyBorder="1" applyAlignment="1">
      <alignment horizontal="center" vertical="center" wrapText="1"/>
    </xf>
    <xf numFmtId="213" fontId="230" fillId="0" borderId="86" xfId="11" applyNumberFormat="1" applyFont="1" applyBorder="1" applyAlignment="1">
      <alignment horizontal="center" vertical="center" wrapText="1"/>
    </xf>
    <xf numFmtId="216" fontId="230" fillId="0" borderId="86" xfId="11" applyNumberFormat="1" applyFont="1" applyBorder="1" applyAlignment="1">
      <alignment horizontal="center" vertical="center" wrapText="1"/>
    </xf>
    <xf numFmtId="0" fontId="230" fillId="0" borderId="86" xfId="11" applyFont="1" applyBorder="1" applyAlignment="1">
      <alignment horizontal="center" vertical="center" shrinkToFit="1"/>
    </xf>
    <xf numFmtId="0" fontId="230" fillId="0" borderId="956" xfId="11" applyFont="1" applyBorder="1" applyAlignment="1">
      <alignment horizontal="left" vertical="center" wrapText="1"/>
    </xf>
    <xf numFmtId="180" fontId="230" fillId="0" borderId="86" xfId="11" applyNumberFormat="1" applyFont="1" applyBorder="1" applyAlignment="1">
      <alignment horizontal="center" vertical="center" wrapText="1"/>
    </xf>
    <xf numFmtId="0" fontId="230" fillId="0" borderId="86" xfId="11" applyFont="1" applyBorder="1" applyAlignment="1">
      <alignment horizontal="center" vertical="center" wrapText="1"/>
    </xf>
    <xf numFmtId="180" fontId="230" fillId="0" borderId="954" xfId="11" applyNumberFormat="1" applyFont="1" applyBorder="1" applyAlignment="1">
      <alignment horizontal="center" vertical="center" wrapText="1"/>
    </xf>
    <xf numFmtId="180" fontId="230" fillId="0" borderId="1051" xfId="11" applyNumberFormat="1" applyFont="1" applyBorder="1" applyAlignment="1">
      <alignment horizontal="center" vertical="center" wrapText="1"/>
    </xf>
    <xf numFmtId="206" fontId="230" fillId="0" borderId="1086" xfId="11" applyNumberFormat="1" applyFont="1" applyBorder="1" applyAlignment="1">
      <alignment horizontal="center" vertical="center" wrapText="1"/>
    </xf>
    <xf numFmtId="0" fontId="278" fillId="0" borderId="1052" xfId="11" applyFont="1" applyBorder="1" applyAlignment="1">
      <alignment horizontal="center" vertical="center" wrapText="1"/>
    </xf>
    <xf numFmtId="180" fontId="230" fillId="0" borderId="958" xfId="11" applyNumberFormat="1" applyFont="1" applyBorder="1" applyAlignment="1">
      <alignment horizontal="center" vertical="center" wrapText="1"/>
    </xf>
    <xf numFmtId="180" fontId="230" fillId="0" borderId="1053" xfId="11" applyNumberFormat="1" applyFont="1" applyBorder="1" applyAlignment="1">
      <alignment horizontal="center" vertical="center" wrapText="1"/>
    </xf>
    <xf numFmtId="0" fontId="230" fillId="0" borderId="965" xfId="11" applyFont="1" applyBorder="1" applyAlignment="1">
      <alignment horizontal="center" vertical="center" wrapText="1"/>
    </xf>
    <xf numFmtId="213" fontId="230" fillId="0" borderId="850" xfId="11" applyNumberFormat="1" applyFont="1" applyBorder="1" applyAlignment="1">
      <alignment horizontal="center" vertical="center" wrapText="1"/>
    </xf>
    <xf numFmtId="216" fontId="230" fillId="0" borderId="850" xfId="11" applyNumberFormat="1" applyFont="1" applyBorder="1" applyAlignment="1">
      <alignment horizontal="center" vertical="center" wrapText="1"/>
    </xf>
    <xf numFmtId="0" fontId="230" fillId="0" borderId="850" xfId="11" applyFont="1" applyBorder="1" applyAlignment="1">
      <alignment horizontal="center" vertical="center" shrinkToFit="1"/>
    </xf>
    <xf numFmtId="0" fontId="230" fillId="0" borderId="854" xfId="11" applyFont="1" applyBorder="1" applyAlignment="1">
      <alignment horizontal="left" vertical="center" wrapText="1"/>
    </xf>
    <xf numFmtId="180" fontId="230" fillId="0" borderId="850" xfId="11" applyNumberFormat="1" applyFont="1" applyBorder="1" applyAlignment="1">
      <alignment horizontal="center" vertical="center" wrapText="1"/>
    </xf>
    <xf numFmtId="0" fontId="230" fillId="0" borderId="850" xfId="11" applyFont="1" applyBorder="1" applyAlignment="1">
      <alignment horizontal="center" vertical="center" wrapText="1"/>
    </xf>
    <xf numFmtId="180" fontId="230" fillId="0" borderId="851" xfId="11" applyNumberFormat="1" applyFont="1" applyBorder="1" applyAlignment="1">
      <alignment horizontal="center" vertical="center" wrapText="1"/>
    </xf>
    <xf numFmtId="180" fontId="230" fillId="0" borderId="969" xfId="11" applyNumberFormat="1" applyFont="1" applyBorder="1" applyAlignment="1">
      <alignment horizontal="center" vertical="center" wrapText="1"/>
    </xf>
    <xf numFmtId="206" fontId="230" fillId="0" borderId="1087" xfId="11" applyNumberFormat="1" applyFont="1" applyBorder="1" applyAlignment="1">
      <alignment horizontal="center" vertical="center" wrapText="1"/>
    </xf>
    <xf numFmtId="0" fontId="278" fillId="0" borderId="968" xfId="11" applyFont="1" applyBorder="1" applyAlignment="1">
      <alignment horizontal="center" vertical="center" wrapText="1"/>
    </xf>
    <xf numFmtId="180" fontId="230" fillId="0" borderId="967" xfId="11" applyNumberFormat="1" applyFont="1" applyBorder="1" applyAlignment="1">
      <alignment horizontal="center" vertical="center" wrapText="1"/>
    </xf>
    <xf numFmtId="0" fontId="321" fillId="0" borderId="1088" xfId="11" applyFont="1" applyBorder="1" applyAlignment="1">
      <alignment horizontal="center" vertical="center" shrinkToFit="1"/>
    </xf>
    <xf numFmtId="180" fontId="321" fillId="0" borderId="1088" xfId="11" applyNumberFormat="1" applyFont="1" applyBorder="1" applyAlignment="1">
      <alignment horizontal="center" vertical="center" shrinkToFit="1"/>
    </xf>
    <xf numFmtId="180" fontId="230" fillId="0" borderId="1089" xfId="11" applyNumberFormat="1" applyFont="1" applyBorder="1" applyAlignment="1">
      <alignment horizontal="center" vertical="center" wrapText="1"/>
    </xf>
    <xf numFmtId="0" fontId="228" fillId="0" borderId="85" xfId="11" applyFont="1" applyBorder="1" applyAlignment="1">
      <alignment horizontal="center" vertical="center" wrapText="1"/>
    </xf>
    <xf numFmtId="180" fontId="230" fillId="0" borderId="902" xfId="11" applyNumberFormat="1" applyFont="1" applyBorder="1" applyAlignment="1">
      <alignment horizontal="center" vertical="center" wrapText="1"/>
    </xf>
    <xf numFmtId="0" fontId="228" fillId="0" borderId="965" xfId="11" applyFont="1" applyBorder="1" applyAlignment="1">
      <alignment horizontal="center" vertical="center" wrapText="1"/>
    </xf>
    <xf numFmtId="0" fontId="248" fillId="0" borderId="1090" xfId="11" applyFont="1" applyBorder="1" applyAlignment="1">
      <alignment horizontal="center" vertical="center" shrinkToFit="1"/>
    </xf>
    <xf numFmtId="0" fontId="248" fillId="0" borderId="967" xfId="11" applyFont="1" applyBorder="1" applyAlignment="1">
      <alignment horizontal="center" vertical="center" shrinkToFit="1"/>
    </xf>
    <xf numFmtId="180" fontId="248" fillId="0" borderId="967" xfId="11" applyNumberFormat="1" applyFont="1" applyBorder="1" applyAlignment="1">
      <alignment horizontal="center" vertical="center" shrinkToFit="1"/>
    </xf>
    <xf numFmtId="213" fontId="230" fillId="0" borderId="28" xfId="11" applyNumberFormat="1" applyFont="1" applyBorder="1" applyAlignment="1">
      <alignment horizontal="center" vertical="center" wrapText="1"/>
    </xf>
    <xf numFmtId="0" fontId="230" fillId="0" borderId="42" xfId="11" applyFont="1" applyBorder="1" applyAlignment="1">
      <alignment horizontal="left" vertical="center" wrapText="1"/>
    </xf>
    <xf numFmtId="0" fontId="230" fillId="0" borderId="28" xfId="11" applyFont="1" applyBorder="1" applyAlignment="1">
      <alignment horizontal="center" vertical="center" wrapText="1"/>
    </xf>
    <xf numFmtId="180" fontId="230" fillId="0" borderId="40" xfId="11" applyNumberFormat="1" applyFont="1" applyBorder="1" applyAlignment="1">
      <alignment horizontal="center" vertical="center" wrapText="1"/>
    </xf>
    <xf numFmtId="180" fontId="230" fillId="0" borderId="454" xfId="11" applyNumberFormat="1" applyFont="1" applyBorder="1" applyAlignment="1">
      <alignment horizontal="center" vertical="center" wrapText="1"/>
    </xf>
    <xf numFmtId="206" fontId="230" fillId="0" borderId="1091" xfId="11" applyNumberFormat="1" applyFont="1" applyBorder="1" applyAlignment="1">
      <alignment horizontal="center" vertical="center" wrapText="1"/>
    </xf>
    <xf numFmtId="0" fontId="278" fillId="0" borderId="452" xfId="11" applyFont="1" applyBorder="1" applyAlignment="1">
      <alignment horizontal="center" vertical="center" wrapText="1"/>
    </xf>
    <xf numFmtId="180" fontId="230" fillId="0" borderId="451" xfId="11" applyNumberFormat="1" applyFont="1" applyBorder="1" applyAlignment="1">
      <alignment horizontal="center" vertical="center" wrapText="1"/>
    </xf>
    <xf numFmtId="180" fontId="248" fillId="0" borderId="900" xfId="11" applyNumberFormat="1" applyFont="1" applyBorder="1" applyAlignment="1">
      <alignment horizontal="center" vertical="center" shrinkToFit="1"/>
    </xf>
    <xf numFmtId="0" fontId="228" fillId="0" borderId="174" xfId="11" applyFont="1" applyBorder="1" applyAlignment="1">
      <alignment horizontal="center" vertical="center" wrapText="1"/>
    </xf>
    <xf numFmtId="213" fontId="230" fillId="0" borderId="27" xfId="11" applyNumberFormat="1" applyFont="1" applyBorder="1" applyAlignment="1">
      <alignment horizontal="center" vertical="center" wrapText="1"/>
    </xf>
    <xf numFmtId="0" fontId="230" fillId="0" borderId="39" xfId="11" applyFont="1" applyBorder="1" applyAlignment="1">
      <alignment horizontal="left" vertical="center" wrapText="1"/>
    </xf>
    <xf numFmtId="180" fontId="230" fillId="0" borderId="37" xfId="11" applyNumberFormat="1" applyFont="1" applyBorder="1" applyAlignment="1">
      <alignment horizontal="center" vertical="center" wrapText="1"/>
    </xf>
    <xf numFmtId="206" fontId="230" fillId="0" borderId="1092" xfId="11" applyNumberFormat="1" applyFont="1" applyBorder="1" applyAlignment="1">
      <alignment horizontal="center" vertical="center" wrapText="1"/>
    </xf>
    <xf numFmtId="0" fontId="278" fillId="0" borderId="457" xfId="11" applyFont="1" applyBorder="1" applyAlignment="1">
      <alignment horizontal="center" vertical="center" wrapText="1"/>
    </xf>
    <xf numFmtId="0" fontId="248" fillId="0" borderId="447" xfId="11" applyFont="1" applyBorder="1" applyAlignment="1">
      <alignment horizontal="center" vertical="center" shrinkToFit="1"/>
    </xf>
    <xf numFmtId="180" fontId="248" fillId="0" borderId="447" xfId="11" applyNumberFormat="1" applyFont="1" applyBorder="1" applyAlignment="1">
      <alignment horizontal="center" vertical="center" shrinkToFit="1"/>
    </xf>
    <xf numFmtId="0" fontId="338" fillId="0" borderId="950" xfId="11" applyFont="1" applyBorder="1" applyAlignment="1">
      <alignment horizontal="center" vertical="center" shrinkToFit="1"/>
    </xf>
    <xf numFmtId="180" fontId="336" fillId="0" borderId="902" xfId="11" applyNumberFormat="1" applyFont="1" applyBorder="1" applyAlignment="1">
      <alignment horizontal="center" vertical="center" wrapText="1"/>
    </xf>
    <xf numFmtId="0" fontId="338" fillId="0" borderId="902" xfId="11" applyFont="1" applyBorder="1" applyAlignment="1">
      <alignment horizontal="center" vertical="center" shrinkToFit="1"/>
    </xf>
    <xf numFmtId="180" fontId="338" fillId="0" borderId="902" xfId="11" applyNumberFormat="1" applyFont="1" applyBorder="1" applyAlignment="1">
      <alignment horizontal="center" vertical="center" shrinkToFit="1"/>
    </xf>
    <xf numFmtId="0" fontId="338" fillId="0" borderId="1090" xfId="11" applyFont="1" applyBorder="1" applyAlignment="1">
      <alignment horizontal="center" vertical="center" shrinkToFit="1"/>
    </xf>
    <xf numFmtId="0" fontId="338" fillId="0" borderId="967" xfId="11" applyFont="1" applyBorder="1" applyAlignment="1">
      <alignment horizontal="center" vertical="center" shrinkToFit="1"/>
    </xf>
    <xf numFmtId="180" fontId="338" fillId="0" borderId="967" xfId="11" applyNumberFormat="1" applyFont="1" applyBorder="1" applyAlignment="1">
      <alignment horizontal="center" vertical="center" shrinkToFit="1"/>
    </xf>
    <xf numFmtId="0" fontId="254" fillId="40" borderId="26" xfId="11" applyFont="1" applyFill="1" applyBorder="1" applyAlignment="1">
      <alignment horizontal="left" vertical="center" wrapText="1"/>
    </xf>
    <xf numFmtId="206" fontId="230" fillId="8" borderId="6" xfId="11" applyNumberFormat="1" applyFont="1" applyFill="1" applyBorder="1" applyAlignment="1">
      <alignment horizontal="center" vertical="center" wrapText="1"/>
    </xf>
    <xf numFmtId="0" fontId="254" fillId="40" borderId="450" xfId="11" applyFont="1" applyFill="1" applyBorder="1" applyAlignment="1">
      <alignment horizontal="center" vertical="center" wrapText="1"/>
    </xf>
    <xf numFmtId="0" fontId="255" fillId="40" borderId="945" xfId="11" applyFont="1" applyFill="1" applyBorder="1" applyAlignment="1">
      <alignment vertical="center" wrapText="1"/>
    </xf>
    <xf numFmtId="206" fontId="219" fillId="40" borderId="900" xfId="11" applyNumberFormat="1" applyFont="1" applyFill="1" applyBorder="1" applyAlignment="1">
      <alignment vertical="center"/>
    </xf>
    <xf numFmtId="206" fontId="219" fillId="40" borderId="946" xfId="11" applyNumberFormat="1" applyFont="1" applyFill="1" applyBorder="1" applyAlignment="1">
      <alignment vertical="center"/>
    </xf>
    <xf numFmtId="206" fontId="215" fillId="9" borderId="71" xfId="11" applyNumberFormat="1" applyFont="1" applyFill="1" applyBorder="1" applyAlignment="1">
      <alignment horizontal="right" vertical="center"/>
    </xf>
    <xf numFmtId="206" fontId="215" fillId="9" borderId="5" xfId="11" applyNumberFormat="1" applyFont="1" applyFill="1" applyBorder="1" applyAlignment="1">
      <alignment horizontal="right" vertical="center"/>
    </xf>
    <xf numFmtId="206" fontId="85" fillId="9" borderId="850" xfId="11" applyNumberFormat="1" applyFont="1" applyFill="1" applyBorder="1" applyAlignment="1">
      <alignment horizontal="right" vertical="center"/>
    </xf>
    <xf numFmtId="201" fontId="85" fillId="9" borderId="850" xfId="11" applyNumberFormat="1" applyFont="1" applyFill="1" applyBorder="1" applyAlignment="1">
      <alignment horizontal="right" vertical="center"/>
    </xf>
    <xf numFmtId="206" fontId="85" fillId="9" borderId="851" xfId="11" applyNumberFormat="1" applyFont="1" applyFill="1" applyBorder="1" applyAlignment="1">
      <alignment horizontal="right" vertical="center"/>
    </xf>
    <xf numFmtId="206" fontId="215" fillId="9" borderId="850" xfId="11" applyNumberFormat="1" applyFont="1" applyFill="1" applyBorder="1" applyAlignment="1">
      <alignment horizontal="right" vertical="center"/>
    </xf>
    <xf numFmtId="206" fontId="85" fillId="0" borderId="851" xfId="11" applyNumberFormat="1" applyFont="1" applyBorder="1" applyAlignment="1">
      <alignment horizontal="right" vertical="center"/>
    </xf>
    <xf numFmtId="206" fontId="215" fillId="9" borderId="7" xfId="11" applyNumberFormat="1" applyFont="1" applyFill="1" applyBorder="1" applyAlignment="1">
      <alignment horizontal="right" vertical="center"/>
    </xf>
    <xf numFmtId="206" fontId="215" fillId="9" borderId="851" xfId="11" applyNumberFormat="1" applyFont="1" applyFill="1" applyBorder="1" applyAlignment="1">
      <alignment horizontal="right" vertical="center"/>
    </xf>
    <xf numFmtId="14" fontId="69" fillId="21" borderId="104" xfId="13" applyNumberFormat="1" applyFont="1" applyFill="1" applyBorder="1" applyAlignment="1">
      <alignment horizontal="center" vertical="center" wrapText="1" shrinkToFit="1"/>
    </xf>
    <xf numFmtId="206" fontId="62" fillId="21" borderId="363" xfId="11" applyNumberFormat="1" applyFont="1" applyFill="1" applyBorder="1" applyAlignment="1">
      <alignment horizontal="center" vertical="center" wrapText="1"/>
    </xf>
    <xf numFmtId="14" fontId="42" fillId="21" borderId="26" xfId="13" applyNumberFormat="1" applyFont="1" applyFill="1" applyBorder="1" applyAlignment="1">
      <alignment horizontal="center" vertical="center" wrapText="1" shrinkToFit="1"/>
    </xf>
    <xf numFmtId="206" fontId="215" fillId="9" borderId="964" xfId="11" applyNumberFormat="1" applyFont="1" applyFill="1" applyBorder="1" applyAlignment="1">
      <alignment horizontal="right" vertical="center"/>
    </xf>
    <xf numFmtId="14" fontId="42" fillId="21" borderId="6" xfId="13" applyNumberFormat="1" applyFont="1" applyFill="1" applyBorder="1" applyAlignment="1">
      <alignment horizontal="center" vertical="center" wrapText="1" shrinkToFit="1"/>
    </xf>
    <xf numFmtId="206" fontId="85" fillId="33" borderId="71" xfId="11" applyNumberFormat="1" applyFont="1" applyFill="1" applyBorder="1" applyAlignment="1">
      <alignment horizontal="right" vertical="center"/>
    </xf>
    <xf numFmtId="206" fontId="85" fillId="33" borderId="5" xfId="11" applyNumberFormat="1" applyFont="1" applyFill="1" applyBorder="1" applyAlignment="1">
      <alignment horizontal="right" vertical="center"/>
    </xf>
    <xf numFmtId="206" fontId="85" fillId="33" borderId="850" xfId="11" applyNumberFormat="1" applyFont="1" applyFill="1" applyBorder="1" applyAlignment="1">
      <alignment horizontal="right" vertical="center"/>
    </xf>
    <xf numFmtId="206" fontId="85" fillId="12" borderId="5" xfId="11" applyNumberFormat="1" applyFont="1" applyFill="1" applyBorder="1" applyAlignment="1">
      <alignment horizontal="right" vertical="center"/>
    </xf>
    <xf numFmtId="38" fontId="64" fillId="0" borderId="0" xfId="0" applyNumberFormat="1" applyFont="1" applyAlignment="1">
      <alignment horizontal="center" vertical="center" shrinkToFit="1"/>
    </xf>
    <xf numFmtId="206" fontId="214" fillId="0" borderId="0" xfId="0" applyNumberFormat="1" applyFont="1" applyAlignment="1">
      <alignment horizontal="right" vertical="center" shrinkToFit="1"/>
    </xf>
    <xf numFmtId="206" fontId="214" fillId="0" borderId="159" xfId="0" applyNumberFormat="1" applyFont="1" applyBorder="1" applyAlignment="1">
      <alignment horizontal="right" vertical="center" shrinkToFit="1"/>
    </xf>
    <xf numFmtId="206" fontId="214" fillId="6" borderId="0" xfId="0" applyNumberFormat="1" applyFont="1" applyFill="1" applyAlignment="1">
      <alignment horizontal="right" vertical="center" shrinkToFit="1"/>
    </xf>
    <xf numFmtId="206" fontId="214" fillId="0" borderId="0" xfId="11" applyNumberFormat="1" applyFont="1" applyAlignment="1">
      <alignment vertical="center" shrinkToFit="1"/>
    </xf>
    <xf numFmtId="38" fontId="219" fillId="0" borderId="0" xfId="11" applyNumberFormat="1" applyFont="1" applyAlignment="1">
      <alignment vertical="center"/>
    </xf>
    <xf numFmtId="38" fontId="259" fillId="0" borderId="0" xfId="1" applyFont="1" applyBorder="1" applyAlignment="1">
      <alignment horizontal="right" vertical="center"/>
    </xf>
    <xf numFmtId="38" fontId="104" fillId="0" borderId="0" xfId="13" applyNumberFormat="1" applyFont="1" applyAlignment="1">
      <alignment horizontal="left" vertical="center" wrapText="1"/>
    </xf>
    <xf numFmtId="0" fontId="62" fillId="18" borderId="50" xfId="11" applyFont="1" applyFill="1" applyBorder="1" applyAlignment="1">
      <alignment horizontal="center" vertical="center" wrapText="1"/>
    </xf>
    <xf numFmtId="38" fontId="44" fillId="0" borderId="275" xfId="1" applyFont="1" applyBorder="1" applyAlignment="1">
      <alignment horizontal="center" vertical="center" shrinkToFit="1"/>
    </xf>
    <xf numFmtId="0" fontId="42" fillId="0" borderId="27" xfId="1" applyNumberFormat="1" applyFont="1" applyFill="1" applyBorder="1" applyAlignment="1">
      <alignment horizontal="center" vertical="center" shrinkToFit="1"/>
    </xf>
    <xf numFmtId="0" fontId="45" fillId="0" borderId="274" xfId="13" applyFont="1" applyBorder="1" applyAlignment="1">
      <alignment horizontal="center" vertical="center" textRotation="255" shrinkToFit="1"/>
    </xf>
    <xf numFmtId="0" fontId="45" fillId="0" borderId="280" xfId="13" applyFont="1" applyBorder="1" applyAlignment="1">
      <alignment horizontal="center" vertical="center" textRotation="255" shrinkToFit="1"/>
    </xf>
    <xf numFmtId="38" fontId="44" fillId="0" borderId="281" xfId="1" applyFont="1" applyBorder="1" applyAlignment="1">
      <alignment horizontal="center" vertical="center" shrinkToFit="1"/>
    </xf>
    <xf numFmtId="0" fontId="42" fillId="0" borderId="26" xfId="1" applyNumberFormat="1" applyFont="1" applyFill="1" applyBorder="1" applyAlignment="1">
      <alignment horizontal="center" vertical="center" shrinkToFit="1"/>
    </xf>
    <xf numFmtId="0" fontId="42" fillId="0" borderId="28" xfId="1" applyNumberFormat="1" applyFont="1" applyFill="1" applyBorder="1" applyAlignment="1">
      <alignment horizontal="center" vertical="center" shrinkToFit="1"/>
    </xf>
    <xf numFmtId="38" fontId="43" fillId="13" borderId="280" xfId="1" applyFont="1" applyFill="1" applyBorder="1" applyAlignment="1">
      <alignment horizontal="center" vertical="center" shrinkToFit="1"/>
    </xf>
    <xf numFmtId="38" fontId="43" fillId="13" borderId="294" xfId="1" applyFont="1" applyFill="1" applyBorder="1" applyAlignment="1">
      <alignment horizontal="center" vertical="center" shrinkToFit="1"/>
    </xf>
    <xf numFmtId="0" fontId="62" fillId="18" borderId="26" xfId="11" applyFont="1" applyFill="1" applyBorder="1" applyAlignment="1">
      <alignment horizontal="center" vertical="center" wrapText="1"/>
    </xf>
    <xf numFmtId="38" fontId="45" fillId="6" borderId="0" xfId="1" applyFont="1" applyFill="1" applyBorder="1" applyAlignment="1">
      <alignment horizontal="center" vertical="center"/>
    </xf>
    <xf numFmtId="38" fontId="45" fillId="6" borderId="992" xfId="1" applyFont="1" applyFill="1" applyBorder="1" applyAlignment="1">
      <alignment horizontal="center" vertical="center" shrinkToFit="1"/>
    </xf>
    <xf numFmtId="0" fontId="89" fillId="6" borderId="991" xfId="1" applyNumberFormat="1" applyFont="1" applyFill="1" applyBorder="1" applyAlignment="1">
      <alignment horizontal="center" vertical="center" shrinkToFit="1"/>
    </xf>
    <xf numFmtId="0" fontId="89" fillId="6" borderId="992" xfId="1" applyNumberFormat="1" applyFont="1" applyFill="1" applyBorder="1" applyAlignment="1">
      <alignment horizontal="center" vertical="center" shrinkToFit="1"/>
    </xf>
    <xf numFmtId="0" fontId="87" fillId="0" borderId="1093" xfId="1" applyNumberFormat="1" applyFont="1" applyFill="1" applyBorder="1" applyAlignment="1">
      <alignment horizontal="center" vertical="center" shrinkToFit="1"/>
    </xf>
    <xf numFmtId="0" fontId="87" fillId="0" borderId="1094" xfId="1" applyNumberFormat="1" applyFont="1" applyFill="1" applyBorder="1" applyAlignment="1">
      <alignment horizontal="center" vertical="center" shrinkToFit="1"/>
    </xf>
    <xf numFmtId="187" fontId="80" fillId="0" borderId="27" xfId="1" applyNumberFormat="1" applyFont="1" applyBorder="1" applyAlignment="1">
      <alignment horizontal="right" vertical="center" shrinkToFit="1"/>
    </xf>
    <xf numFmtId="14" fontId="184" fillId="17" borderId="27" xfId="0" applyNumberFormat="1" applyFont="1" applyFill="1" applyBorder="1" applyAlignment="1">
      <alignment horizontal="right" vertical="center" shrinkToFit="1"/>
    </xf>
    <xf numFmtId="0" fontId="185" fillId="17" borderId="175" xfId="0" applyFont="1" applyFill="1" applyBorder="1" applyAlignment="1">
      <alignment horizontal="right" vertical="center" shrinkToFit="1"/>
    </xf>
    <xf numFmtId="41" fontId="64" fillId="20" borderId="175" xfId="0" applyNumberFormat="1" applyFont="1" applyFill="1" applyBorder="1" applyAlignment="1">
      <alignment horizontal="center" vertical="center" shrinkToFit="1"/>
    </xf>
    <xf numFmtId="41" fontId="24" fillId="0" borderId="38" xfId="0" applyNumberFormat="1" applyFont="1" applyBorder="1" applyAlignment="1">
      <alignment vertical="center" shrinkToFit="1"/>
    </xf>
    <xf numFmtId="41" fontId="24" fillId="0" borderId="41" xfId="0" applyNumberFormat="1" applyFont="1" applyBorder="1" applyAlignment="1">
      <alignment vertical="center" shrinkToFit="1"/>
    </xf>
    <xf numFmtId="190" fontId="72" fillId="24" borderId="0" xfId="0" applyNumberFormat="1" applyFont="1" applyFill="1" applyAlignment="1">
      <alignment vertical="center" shrinkToFit="1"/>
    </xf>
    <xf numFmtId="41" fontId="71" fillId="20" borderId="155" xfId="0" applyNumberFormat="1" applyFont="1" applyFill="1" applyBorder="1" applyAlignment="1">
      <alignment horizontal="center" vertical="center" shrinkToFit="1"/>
    </xf>
    <xf numFmtId="41" fontId="64" fillId="20" borderId="211" xfId="0" applyNumberFormat="1" applyFont="1" applyFill="1" applyBorder="1" applyAlignment="1">
      <alignment horizontal="center" vertical="center" shrinkToFit="1"/>
    </xf>
    <xf numFmtId="41" fontId="64" fillId="20" borderId="209" xfId="0" applyNumberFormat="1" applyFont="1" applyFill="1" applyBorder="1" applyAlignment="1">
      <alignment horizontal="center" vertical="center" shrinkToFit="1"/>
    </xf>
    <xf numFmtId="41" fontId="24" fillId="0" borderId="719" xfId="0" applyNumberFormat="1" applyFont="1" applyBorder="1" applyAlignment="1">
      <alignment vertical="center" shrinkToFit="1"/>
    </xf>
    <xf numFmtId="41" fontId="54" fillId="0" borderId="719" xfId="0" applyNumberFormat="1" applyFont="1" applyBorder="1" applyAlignment="1">
      <alignment vertical="center" shrinkToFit="1"/>
    </xf>
    <xf numFmtId="41" fontId="54" fillId="0" borderId="201" xfId="0" applyNumberFormat="1" applyFont="1" applyBorder="1" applyAlignment="1">
      <alignment vertical="center" shrinkToFit="1"/>
    </xf>
    <xf numFmtId="41" fontId="54" fillId="0" borderId="177" xfId="0" applyNumberFormat="1" applyFont="1" applyBorder="1" applyAlignment="1">
      <alignment vertical="center" shrinkToFit="1"/>
    </xf>
    <xf numFmtId="41" fontId="64" fillId="20" borderId="73" xfId="0" applyNumberFormat="1" applyFont="1" applyFill="1" applyBorder="1" applyAlignment="1">
      <alignment horizontal="center" vertical="center" shrinkToFit="1"/>
    </xf>
    <xf numFmtId="0" fontId="64" fillId="0" borderId="112" xfId="11" applyFont="1" applyBorder="1" applyAlignment="1">
      <alignment horizontal="center" vertical="center" shrinkToFit="1"/>
    </xf>
    <xf numFmtId="0" fontId="61" fillId="17" borderId="254" xfId="0" applyFont="1" applyFill="1" applyBorder="1" applyAlignment="1">
      <alignment horizontal="center" vertical="center" shrinkToFit="1"/>
    </xf>
    <xf numFmtId="191" fontId="61" fillId="17" borderId="803" xfId="0" applyNumberFormat="1" applyFont="1" applyFill="1" applyBorder="1" applyAlignment="1">
      <alignment horizontal="right" vertical="center" shrinkToFit="1"/>
    </xf>
    <xf numFmtId="192" fontId="61" fillId="17" borderId="804" xfId="0" applyNumberFormat="1" applyFont="1" applyFill="1" applyBorder="1" applyAlignment="1">
      <alignment horizontal="right" vertical="center" shrinkToFit="1"/>
    </xf>
    <xf numFmtId="0" fontId="61" fillId="17" borderId="255" xfId="0" applyFont="1" applyFill="1" applyBorder="1" applyAlignment="1">
      <alignment horizontal="center" vertical="center" shrinkToFit="1"/>
    </xf>
    <xf numFmtId="192" fontId="61" fillId="17" borderId="1095" xfId="0" applyNumberFormat="1" applyFont="1" applyFill="1" applyBorder="1" applyAlignment="1">
      <alignment horizontal="right" vertical="center" shrinkToFit="1"/>
    </xf>
    <xf numFmtId="14" fontId="186" fillId="17" borderId="104" xfId="0" applyNumberFormat="1" applyFont="1" applyFill="1" applyBorder="1" applyAlignment="1">
      <alignment horizontal="right" vertical="center" shrinkToFit="1"/>
    </xf>
    <xf numFmtId="0" fontId="179" fillId="17" borderId="1096" xfId="0" applyFont="1" applyFill="1" applyBorder="1" applyAlignment="1">
      <alignment horizontal="right" vertical="center" shrinkToFit="1"/>
    </xf>
    <xf numFmtId="180" fontId="72" fillId="25" borderId="1097" xfId="0" applyNumberFormat="1" applyFont="1" applyFill="1" applyBorder="1" applyAlignment="1">
      <alignment vertical="center" shrinkToFit="1"/>
    </xf>
    <xf numFmtId="41" fontId="64" fillId="20" borderId="1098" xfId="0" applyNumberFormat="1" applyFont="1" applyFill="1" applyBorder="1" applyAlignment="1">
      <alignment horizontal="center" vertical="center" shrinkToFit="1"/>
    </xf>
    <xf numFmtId="41" fontId="64" fillId="20" borderId="1099" xfId="0" applyNumberFormat="1" applyFont="1" applyFill="1" applyBorder="1" applyAlignment="1">
      <alignment horizontal="center" vertical="center" shrinkToFit="1"/>
    </xf>
    <xf numFmtId="41" fontId="24" fillId="0" borderId="1099" xfId="0" applyNumberFormat="1" applyFont="1" applyBorder="1" applyAlignment="1">
      <alignment vertical="center" shrinkToFit="1"/>
    </xf>
    <xf numFmtId="190" fontId="24" fillId="24" borderId="143" xfId="0" applyNumberFormat="1" applyFont="1" applyFill="1" applyBorder="1" applyAlignment="1">
      <alignment horizontal="center" vertical="center" shrinkToFit="1"/>
    </xf>
    <xf numFmtId="190" fontId="24" fillId="24" borderId="145" xfId="0" applyNumberFormat="1" applyFont="1" applyFill="1" applyBorder="1" applyAlignment="1">
      <alignment horizontal="center" vertical="center" shrinkToFit="1"/>
    </xf>
    <xf numFmtId="190" fontId="24" fillId="24" borderId="170" xfId="0" applyNumberFormat="1" applyFont="1" applyFill="1" applyBorder="1" applyAlignment="1">
      <alignment horizontal="center" vertical="center" shrinkToFit="1"/>
    </xf>
    <xf numFmtId="190" fontId="24" fillId="24" borderId="167" xfId="0" applyNumberFormat="1" applyFont="1" applyFill="1" applyBorder="1" applyAlignment="1">
      <alignment horizontal="center" vertical="center" shrinkToFit="1"/>
    </xf>
    <xf numFmtId="190" fontId="24" fillId="24" borderId="201" xfId="0" applyNumberFormat="1" applyFont="1" applyFill="1" applyBorder="1" applyAlignment="1">
      <alignment horizontal="center" vertical="center" shrinkToFit="1"/>
    </xf>
    <xf numFmtId="190" fontId="24" fillId="24" borderId="176" xfId="0" applyNumberFormat="1" applyFont="1" applyFill="1" applyBorder="1" applyAlignment="1">
      <alignment horizontal="center" vertical="center" shrinkToFit="1"/>
    </xf>
    <xf numFmtId="190" fontId="24" fillId="24" borderId="207" xfId="0" applyNumberFormat="1" applyFont="1" applyFill="1" applyBorder="1" applyAlignment="1">
      <alignment horizontal="center" vertical="center" shrinkToFit="1"/>
    </xf>
    <xf numFmtId="190" fontId="24" fillId="24" borderId="140" xfId="0" applyNumberFormat="1" applyFont="1" applyFill="1" applyBorder="1" applyAlignment="1">
      <alignment horizontal="center" vertical="center" shrinkToFit="1"/>
    </xf>
    <xf numFmtId="0" fontId="44" fillId="9" borderId="812" xfId="1" applyNumberFormat="1" applyFont="1" applyFill="1" applyBorder="1" applyAlignment="1">
      <alignment horizontal="center" vertical="center" shrinkToFit="1"/>
    </xf>
    <xf numFmtId="0" fontId="44" fillId="12" borderId="812" xfId="1" applyNumberFormat="1" applyFont="1" applyFill="1" applyBorder="1" applyAlignment="1">
      <alignment horizontal="center" vertical="center" shrinkToFit="1"/>
    </xf>
    <xf numFmtId="0" fontId="44" fillId="12" borderId="818" xfId="1" applyNumberFormat="1" applyFont="1" applyFill="1" applyBorder="1" applyAlignment="1">
      <alignment horizontal="center" vertical="center" shrinkToFit="1"/>
    </xf>
    <xf numFmtId="38" fontId="43" fillId="8" borderId="1100" xfId="1" applyFont="1" applyFill="1" applyBorder="1" applyAlignment="1">
      <alignment horizontal="center" vertical="center" shrinkToFit="1"/>
    </xf>
    <xf numFmtId="38" fontId="43" fillId="18" borderId="1101" xfId="1" applyFont="1" applyFill="1" applyBorder="1" applyAlignment="1">
      <alignment horizontal="center" vertical="center" shrinkToFit="1"/>
    </xf>
    <xf numFmtId="38" fontId="43" fillId="8" borderId="318" xfId="1" applyFont="1" applyFill="1" applyBorder="1" applyAlignment="1">
      <alignment horizontal="center" vertical="center" shrinkToFit="1"/>
    </xf>
    <xf numFmtId="38" fontId="43" fillId="13" borderId="1102" xfId="1" applyFont="1" applyFill="1" applyBorder="1" applyAlignment="1">
      <alignment horizontal="center" vertical="center" wrapText="1" shrinkToFit="1"/>
    </xf>
    <xf numFmtId="38" fontId="43" fillId="13" borderId="1103" xfId="1" applyFont="1" applyFill="1" applyBorder="1" applyAlignment="1">
      <alignment horizontal="center" vertical="center" wrapText="1" shrinkToFit="1"/>
    </xf>
    <xf numFmtId="38" fontId="43" fillId="13" borderId="318" xfId="1" applyFont="1" applyFill="1" applyBorder="1" applyAlignment="1">
      <alignment horizontal="center" vertical="center" shrinkToFit="1"/>
    </xf>
    <xf numFmtId="38" fontId="43" fillId="13" borderId="1104" xfId="1" applyFont="1" applyFill="1" applyBorder="1" applyAlignment="1">
      <alignment horizontal="center" vertical="center" shrinkToFit="1"/>
    </xf>
    <xf numFmtId="38" fontId="43" fillId="13" borderId="1105" xfId="1" applyFont="1" applyFill="1" applyBorder="1" applyAlignment="1">
      <alignment horizontal="center" vertical="center" wrapText="1" shrinkToFit="1"/>
    </xf>
    <xf numFmtId="38" fontId="43" fillId="13" borderId="311" xfId="1" applyFont="1" applyFill="1" applyBorder="1" applyAlignment="1">
      <alignment horizontal="center" vertical="center" shrinkToFit="1"/>
    </xf>
    <xf numFmtId="38" fontId="43" fillId="13" borderId="355" xfId="1" applyFont="1" applyFill="1" applyBorder="1" applyAlignment="1">
      <alignment horizontal="center" vertical="center" shrinkToFit="1"/>
    </xf>
    <xf numFmtId="0" fontId="43" fillId="0" borderId="273" xfId="0" applyFont="1" applyBorder="1" applyAlignment="1">
      <alignment horizontal="center" vertical="center" shrinkToFit="1"/>
    </xf>
    <xf numFmtId="0" fontId="43" fillId="0" borderId="768" xfId="0" applyFont="1" applyBorder="1" applyAlignment="1">
      <alignment horizontal="center" vertical="center" shrinkToFit="1"/>
    </xf>
    <xf numFmtId="0" fontId="43" fillId="0" borderId="771" xfId="1" applyNumberFormat="1" applyFont="1" applyFill="1" applyBorder="1" applyAlignment="1">
      <alignment horizontal="center" vertical="center" shrinkToFit="1"/>
    </xf>
    <xf numFmtId="0" fontId="44" fillId="8" borderId="1106" xfId="1" applyNumberFormat="1" applyFont="1" applyFill="1" applyBorder="1" applyAlignment="1">
      <alignment horizontal="center" vertical="center" wrapText="1" shrinkToFit="1"/>
    </xf>
    <xf numFmtId="0" fontId="44" fillId="0" borderId="38" xfId="1" applyNumberFormat="1" applyFont="1" applyFill="1" applyBorder="1" applyAlignment="1">
      <alignment horizontal="center" vertical="center" shrinkToFit="1"/>
    </xf>
    <xf numFmtId="0" fontId="44" fillId="0" borderId="771" xfId="1" applyNumberFormat="1" applyFont="1" applyFill="1" applyBorder="1" applyAlignment="1">
      <alignment horizontal="center" vertical="center" shrinkToFit="1"/>
    </xf>
    <xf numFmtId="38" fontId="43" fillId="0" borderId="27" xfId="1" applyFont="1" applyFill="1" applyBorder="1" applyAlignment="1">
      <alignment horizontal="left" vertical="center" wrapText="1" shrinkToFit="1"/>
    </xf>
    <xf numFmtId="38" fontId="43" fillId="9" borderId="769" xfId="1" applyFont="1" applyFill="1" applyBorder="1" applyAlignment="1">
      <alignment horizontal="center" vertical="center" shrinkToFit="1"/>
    </xf>
    <xf numFmtId="38" fontId="36" fillId="0" borderId="1107" xfId="1" applyFont="1" applyFill="1" applyBorder="1" applyAlignment="1">
      <alignment horizontal="center" vertical="center" wrapText="1" shrinkToFit="1"/>
    </xf>
    <xf numFmtId="38" fontId="36" fillId="0" borderId="1108" xfId="1" applyFont="1" applyFill="1" applyBorder="1" applyAlignment="1">
      <alignment horizontal="center" vertical="center" wrapText="1" shrinkToFit="1"/>
    </xf>
    <xf numFmtId="38" fontId="36" fillId="19" borderId="1108" xfId="1" applyFont="1" applyFill="1" applyBorder="1" applyAlignment="1">
      <alignment horizontal="center" vertical="center" wrapText="1" shrinkToFit="1"/>
    </xf>
    <xf numFmtId="38" fontId="36" fillId="0" borderId="1109" xfId="1" applyFont="1" applyFill="1" applyBorder="1" applyAlignment="1">
      <alignment horizontal="center" vertical="center" wrapText="1" shrinkToFit="1"/>
    </xf>
    <xf numFmtId="9" fontId="43" fillId="0" borderId="771" xfId="10" applyFont="1" applyFill="1" applyBorder="1" applyAlignment="1">
      <alignment horizontal="center" vertical="center" shrinkToFit="1"/>
    </xf>
    <xf numFmtId="38" fontId="43" fillId="0" borderId="140" xfId="1" applyFont="1" applyFill="1" applyBorder="1" applyAlignment="1">
      <alignment horizontal="left" vertical="center" wrapText="1" shrinkToFit="1"/>
    </xf>
    <xf numFmtId="38" fontId="43" fillId="9" borderId="777" xfId="1" applyFont="1" applyFill="1" applyBorder="1" applyAlignment="1">
      <alignment horizontal="center" vertical="center" shrinkToFit="1"/>
    </xf>
    <xf numFmtId="9" fontId="43" fillId="0" borderId="756" xfId="10" applyFont="1" applyFill="1" applyBorder="1" applyAlignment="1">
      <alignment horizontal="center" vertical="center" shrinkToFit="1"/>
    </xf>
    <xf numFmtId="38" fontId="43" fillId="0" borderId="757" xfId="1" applyFont="1" applyFill="1" applyBorder="1" applyAlignment="1">
      <alignment horizontal="left" vertical="center" shrinkToFit="1"/>
    </xf>
    <xf numFmtId="38" fontId="43" fillId="0" borderId="1111" xfId="1" applyFont="1" applyFill="1" applyBorder="1" applyAlignment="1">
      <alignment horizontal="center" vertical="center" shrinkToFit="1"/>
    </xf>
    <xf numFmtId="38" fontId="43" fillId="0" borderId="1110" xfId="1" applyFont="1" applyFill="1" applyBorder="1" applyAlignment="1">
      <alignment horizontal="center" vertical="center" shrinkToFit="1"/>
    </xf>
    <xf numFmtId="0" fontId="42" fillId="0" borderId="27" xfId="1" applyNumberFormat="1" applyFont="1" applyFill="1" applyBorder="1" applyAlignment="1">
      <alignment vertical="center" shrinkToFit="1"/>
    </xf>
    <xf numFmtId="0" fontId="42" fillId="0" borderId="26" xfId="1" applyNumberFormat="1" applyFont="1" applyFill="1" applyBorder="1" applyAlignment="1">
      <alignment vertical="center" shrinkToFit="1"/>
    </xf>
    <xf numFmtId="38" fontId="43" fillId="13" borderId="280" xfId="1" applyFont="1" applyFill="1" applyBorder="1" applyAlignment="1">
      <alignment vertical="center" shrinkToFit="1"/>
    </xf>
    <xf numFmtId="38" fontId="44" fillId="0" borderId="281" xfId="1" applyFont="1" applyBorder="1" applyAlignment="1">
      <alignment vertical="center" shrinkToFit="1"/>
    </xf>
    <xf numFmtId="0" fontId="44" fillId="0" borderId="0" xfId="1" applyNumberFormat="1" applyFont="1" applyFill="1" applyBorder="1" applyAlignment="1">
      <alignment horizontal="center" vertical="center" shrinkToFit="1"/>
    </xf>
    <xf numFmtId="0" fontId="43" fillId="0" borderId="38" xfId="1" applyNumberFormat="1" applyFont="1" applyFill="1" applyBorder="1" applyAlignment="1">
      <alignment horizontal="center" vertical="center" shrinkToFit="1"/>
    </xf>
    <xf numFmtId="38" fontId="43" fillId="0" borderId="27" xfId="1" applyFont="1" applyFill="1" applyBorder="1" applyAlignment="1">
      <alignment horizontal="left" vertical="center" shrinkToFit="1"/>
    </xf>
    <xf numFmtId="0" fontId="43" fillId="0" borderId="1112" xfId="0" applyFont="1" applyBorder="1" applyAlignment="1">
      <alignment horizontal="center" vertical="center" shrinkToFit="1"/>
    </xf>
    <xf numFmtId="0" fontId="43" fillId="0" borderId="756" xfId="1" applyNumberFormat="1" applyFont="1" applyFill="1" applyBorder="1" applyAlignment="1">
      <alignment horizontal="center" vertical="center" shrinkToFit="1"/>
    </xf>
    <xf numFmtId="0" fontId="44" fillId="0" borderId="756" xfId="1" applyNumberFormat="1" applyFont="1" applyFill="1" applyBorder="1" applyAlignment="1">
      <alignment horizontal="center" vertical="center" shrinkToFit="1"/>
    </xf>
    <xf numFmtId="0" fontId="42" fillId="0" borderId="757" xfId="1" applyNumberFormat="1" applyFont="1" applyFill="1" applyBorder="1" applyAlignment="1">
      <alignment vertical="center" shrinkToFit="1"/>
    </xf>
    <xf numFmtId="38" fontId="43" fillId="13" borderId="778" xfId="1" applyFont="1" applyFill="1" applyBorder="1" applyAlignment="1">
      <alignment horizontal="center" vertical="center" shrinkToFit="1"/>
    </xf>
    <xf numFmtId="38" fontId="43" fillId="13" borderId="776" xfId="1" applyFont="1" applyFill="1" applyBorder="1" applyAlignment="1">
      <alignment vertical="center" shrinkToFit="1"/>
    </xf>
    <xf numFmtId="38" fontId="36" fillId="0" borderId="1113" xfId="1" applyFont="1" applyFill="1" applyBorder="1" applyAlignment="1">
      <alignment horizontal="center" vertical="center" wrapText="1" shrinkToFit="1"/>
    </xf>
    <xf numFmtId="38" fontId="36" fillId="0" borderId="1114" xfId="1" applyFont="1" applyFill="1" applyBorder="1" applyAlignment="1">
      <alignment horizontal="center" vertical="center" wrapText="1" shrinkToFit="1"/>
    </xf>
    <xf numFmtId="38" fontId="36" fillId="19" borderId="1114" xfId="1" applyFont="1" applyFill="1" applyBorder="1" applyAlignment="1">
      <alignment horizontal="center" vertical="center" wrapText="1" shrinkToFit="1"/>
    </xf>
    <xf numFmtId="38" fontId="36" fillId="0" borderId="1115" xfId="1" applyFont="1" applyFill="1" applyBorder="1" applyAlignment="1">
      <alignment horizontal="center" vertical="center" wrapText="1" shrinkToFit="1"/>
    </xf>
    <xf numFmtId="0" fontId="43" fillId="0" borderId="382" xfId="1" applyNumberFormat="1" applyFont="1" applyFill="1" applyBorder="1" applyAlignment="1">
      <alignment horizontal="center" vertical="center" shrinkToFit="1"/>
    </xf>
    <xf numFmtId="0" fontId="44" fillId="0" borderId="382" xfId="1" applyNumberFormat="1" applyFont="1" applyFill="1" applyBorder="1" applyAlignment="1">
      <alignment horizontal="center" vertical="center" shrinkToFit="1"/>
    </xf>
    <xf numFmtId="0" fontId="42" fillId="0" borderId="659" xfId="1" applyNumberFormat="1" applyFont="1" applyFill="1" applyBorder="1" applyAlignment="1">
      <alignment vertical="center" shrinkToFit="1"/>
    </xf>
    <xf numFmtId="38" fontId="43" fillId="13" borderId="380" xfId="1" applyFont="1" applyFill="1" applyBorder="1" applyAlignment="1">
      <alignment horizontal="center" vertical="center" shrinkToFit="1"/>
    </xf>
    <xf numFmtId="38" fontId="43" fillId="13" borderId="384" xfId="1" applyFont="1" applyFill="1" applyBorder="1" applyAlignment="1">
      <alignment vertical="center" shrinkToFit="1"/>
    </xf>
    <xf numFmtId="38" fontId="43" fillId="9" borderId="381" xfId="1" applyFont="1" applyFill="1" applyBorder="1" applyAlignment="1">
      <alignment horizontal="center" vertical="center" shrinkToFit="1"/>
    </xf>
    <xf numFmtId="38" fontId="43" fillId="0" borderId="659" xfId="1" applyFont="1" applyFill="1" applyBorder="1" applyAlignment="1">
      <alignment horizontal="left" vertical="center" shrinkToFit="1"/>
    </xf>
    <xf numFmtId="38" fontId="88" fillId="0" borderId="328" xfId="1" applyFont="1" applyFill="1" applyBorder="1" applyAlignment="1">
      <alignment horizontal="left" vertical="center" shrinkToFit="1"/>
    </xf>
    <xf numFmtId="0" fontId="44" fillId="8" borderId="1116" xfId="1" applyNumberFormat="1" applyFont="1" applyFill="1" applyBorder="1" applyAlignment="1">
      <alignment horizontal="center" vertical="center" wrapText="1" shrinkToFit="1"/>
    </xf>
    <xf numFmtId="38" fontId="43" fillId="8" borderId="306" xfId="1" applyFont="1" applyFill="1" applyBorder="1" applyAlignment="1">
      <alignment horizontal="center" vertical="center" shrinkToFit="1"/>
    </xf>
    <xf numFmtId="38" fontId="43" fillId="0" borderId="1117" xfId="1" applyFont="1" applyFill="1" applyBorder="1" applyAlignment="1">
      <alignment horizontal="center" vertical="center" shrinkToFit="1"/>
    </xf>
    <xf numFmtId="38" fontId="43" fillId="13" borderId="1118" xfId="1" applyFont="1" applyFill="1" applyBorder="1" applyAlignment="1">
      <alignment horizontal="center" vertical="center" wrapText="1" shrinkToFit="1"/>
    </xf>
    <xf numFmtId="38" fontId="43" fillId="9" borderId="1119" xfId="1" applyFont="1" applyFill="1" applyBorder="1" applyAlignment="1">
      <alignment horizontal="center" vertical="center" shrinkToFit="1"/>
    </xf>
    <xf numFmtId="38" fontId="43" fillId="0" borderId="1120" xfId="1" applyFont="1" applyFill="1" applyBorder="1" applyAlignment="1">
      <alignment horizontal="center" vertical="center" shrinkToFit="1"/>
    </xf>
    <xf numFmtId="0" fontId="44" fillId="8" borderId="1121" xfId="1" applyNumberFormat="1" applyFont="1" applyFill="1" applyBorder="1" applyAlignment="1">
      <alignment horizontal="center" vertical="center" wrapText="1" shrinkToFit="1"/>
    </xf>
    <xf numFmtId="38" fontId="43" fillId="8" borderId="41" xfId="1" applyFont="1" applyFill="1" applyBorder="1" applyAlignment="1">
      <alignment horizontal="center" vertical="center" shrinkToFit="1"/>
    </xf>
    <xf numFmtId="38" fontId="43" fillId="13" borderId="1122" xfId="1" applyFont="1" applyFill="1" applyBorder="1" applyAlignment="1">
      <alignment horizontal="center" vertical="center" shrinkToFit="1"/>
    </xf>
    <xf numFmtId="38" fontId="43" fillId="9" borderId="1123" xfId="1" applyFont="1" applyFill="1" applyBorder="1" applyAlignment="1">
      <alignment horizontal="center" vertical="center" shrinkToFit="1"/>
    </xf>
    <xf numFmtId="0" fontId="45" fillId="0" borderId="280" xfId="13" applyFont="1" applyBorder="1" applyAlignment="1">
      <alignment vertical="center" textRotation="255" shrinkToFit="1"/>
    </xf>
    <xf numFmtId="38" fontId="85" fillId="9" borderId="279" xfId="1" applyFont="1" applyFill="1" applyBorder="1" applyAlignment="1">
      <alignment horizontal="center" vertical="center" shrinkToFit="1"/>
    </xf>
    <xf numFmtId="0" fontId="45" fillId="0" borderId="274" xfId="13" applyFont="1" applyBorder="1" applyAlignment="1">
      <alignment vertical="center" textRotation="255" shrinkToFit="1"/>
    </xf>
    <xf numFmtId="38" fontId="43" fillId="9" borderId="280" xfId="1" applyFont="1" applyFill="1" applyBorder="1" applyAlignment="1">
      <alignment horizontal="center" vertical="center" wrapText="1" shrinkToFit="1"/>
    </xf>
    <xf numFmtId="0" fontId="43" fillId="0" borderId="457" xfId="11" applyFont="1" applyBorder="1" applyAlignment="1">
      <alignment horizontal="center" vertical="center" wrapText="1" shrinkToFit="1"/>
    </xf>
    <xf numFmtId="0" fontId="43" fillId="0" borderId="1124" xfId="11" applyFont="1" applyBorder="1" applyAlignment="1">
      <alignment horizontal="center" vertical="center" wrapText="1" shrinkToFit="1"/>
    </xf>
    <xf numFmtId="0" fontId="43" fillId="0" borderId="923" xfId="11" applyFont="1" applyBorder="1" applyAlignment="1">
      <alignment horizontal="center" vertical="center" wrapText="1" shrinkToFit="1"/>
    </xf>
    <xf numFmtId="9" fontId="43" fillId="0" borderId="1125" xfId="11" applyNumberFormat="1" applyFont="1" applyBorder="1" applyAlignment="1">
      <alignment horizontal="center" vertical="center" wrapText="1" shrinkToFit="1"/>
    </xf>
    <xf numFmtId="0" fontId="60" fillId="0" borderId="37" xfId="11" applyFont="1" applyBorder="1" applyAlignment="1">
      <alignment vertical="center" shrinkToFit="1"/>
    </xf>
    <xf numFmtId="0" fontId="60" fillId="0" borderId="447" xfId="11" applyFont="1" applyBorder="1" applyAlignment="1">
      <alignment vertical="center" shrinkToFit="1"/>
    </xf>
    <xf numFmtId="0" fontId="60" fillId="0" borderId="39" xfId="11" applyFont="1" applyBorder="1" applyAlignment="1">
      <alignment vertical="center" shrinkToFit="1"/>
    </xf>
    <xf numFmtId="0" fontId="60" fillId="0" borderId="446" xfId="11" applyFont="1" applyBorder="1" applyAlignment="1">
      <alignment vertical="center" shrinkToFit="1"/>
    </xf>
    <xf numFmtId="0" fontId="60" fillId="0" borderId="28" xfId="11" applyFont="1" applyBorder="1" applyAlignment="1">
      <alignment vertical="center" shrinkToFit="1"/>
    </xf>
    <xf numFmtId="0" fontId="62" fillId="0" borderId="28" xfId="11" applyFont="1" applyBorder="1" applyAlignment="1">
      <alignment vertical="center" wrapText="1" shrinkToFit="1"/>
    </xf>
    <xf numFmtId="0" fontId="60" fillId="0" borderId="42" xfId="11" applyFont="1" applyBorder="1" applyAlignment="1">
      <alignment vertical="center" shrinkToFit="1"/>
    </xf>
    <xf numFmtId="0" fontId="60" fillId="0" borderId="439" xfId="11" applyFont="1" applyBorder="1" applyAlignment="1">
      <alignment vertical="center" shrinkToFit="1"/>
    </xf>
    <xf numFmtId="200" fontId="43" fillId="52" borderId="5" xfId="11" applyNumberFormat="1" applyFont="1" applyFill="1" applyBorder="1" applyAlignment="1">
      <alignment vertical="center" wrapText="1" shrinkToFit="1"/>
    </xf>
    <xf numFmtId="0" fontId="61" fillId="16" borderId="27" xfId="1" applyNumberFormat="1" applyFont="1" applyFill="1" applyBorder="1" applyAlignment="1">
      <alignment vertical="center" shrinkToFit="1"/>
    </xf>
    <xf numFmtId="0" fontId="61" fillId="16" borderId="26" xfId="1" applyNumberFormat="1" applyFont="1" applyFill="1" applyBorder="1" applyAlignment="1">
      <alignment vertical="center" shrinkToFit="1"/>
    </xf>
    <xf numFmtId="38" fontId="237" fillId="0" borderId="0" xfId="1" applyFont="1" applyFill="1" applyAlignment="1">
      <alignment horizontal="center" vertical="center"/>
    </xf>
    <xf numFmtId="0" fontId="61" fillId="16" borderId="50" xfId="1" applyNumberFormat="1" applyFont="1" applyFill="1" applyBorder="1" applyAlignment="1">
      <alignment vertical="center" shrinkToFit="1"/>
    </xf>
    <xf numFmtId="0" fontId="61" fillId="17" borderId="27" xfId="1" applyNumberFormat="1" applyFont="1" applyFill="1" applyBorder="1" applyAlignment="1">
      <alignment vertical="center" shrinkToFit="1"/>
    </xf>
    <xf numFmtId="0" fontId="61" fillId="16" borderId="26" xfId="1" applyNumberFormat="1" applyFont="1" applyFill="1" applyBorder="1" applyAlignment="1">
      <alignment horizontal="left" vertical="center" shrinkToFit="1"/>
    </xf>
    <xf numFmtId="0" fontId="61" fillId="16" borderId="27" xfId="1" applyNumberFormat="1" applyFont="1" applyFill="1" applyBorder="1" applyAlignment="1">
      <alignment horizontal="left" vertical="center" shrinkToFit="1"/>
    </xf>
    <xf numFmtId="0" fontId="61" fillId="9" borderId="27" xfId="1" applyNumberFormat="1" applyFont="1" applyFill="1" applyBorder="1" applyAlignment="1">
      <alignment horizontal="left" vertical="center" shrinkToFit="1"/>
    </xf>
    <xf numFmtId="0" fontId="61" fillId="9" borderId="26" xfId="1" applyNumberFormat="1" applyFont="1" applyFill="1" applyBorder="1" applyAlignment="1">
      <alignment vertical="center" shrinkToFit="1"/>
    </xf>
    <xf numFmtId="0" fontId="61" fillId="9" borderId="27" xfId="1" applyNumberFormat="1" applyFont="1" applyFill="1" applyBorder="1" applyAlignment="1">
      <alignment vertical="center" shrinkToFit="1"/>
    </xf>
    <xf numFmtId="0" fontId="61" fillId="17" borderId="50" xfId="1" applyNumberFormat="1" applyFont="1" applyFill="1" applyBorder="1" applyAlignment="1">
      <alignment horizontal="left" vertical="center" shrinkToFit="1"/>
    </xf>
    <xf numFmtId="0" fontId="61" fillId="17" borderId="27" xfId="1" applyNumberFormat="1" applyFont="1" applyFill="1" applyBorder="1" applyAlignment="1">
      <alignment horizontal="left" vertical="center" shrinkToFit="1"/>
    </xf>
    <xf numFmtId="0" fontId="71" fillId="17" borderId="26" xfId="1" applyNumberFormat="1" applyFont="1" applyFill="1" applyBorder="1" applyAlignment="1">
      <alignment horizontal="left" vertical="center" shrinkToFit="1"/>
    </xf>
    <xf numFmtId="0" fontId="73" fillId="16" borderId="26" xfId="1" applyNumberFormat="1" applyFont="1" applyFill="1" applyBorder="1" applyAlignment="1">
      <alignment vertical="center" shrinkToFit="1"/>
    </xf>
    <xf numFmtId="0" fontId="61" fillId="17" borderId="26" xfId="1" applyNumberFormat="1" applyFont="1" applyFill="1" applyBorder="1" applyAlignment="1">
      <alignment horizontal="left" vertical="center" shrinkToFit="1"/>
    </xf>
    <xf numFmtId="0" fontId="61" fillId="17" borderId="26" xfId="1" applyNumberFormat="1" applyFont="1" applyFill="1" applyBorder="1" applyAlignment="1">
      <alignment vertical="center" shrinkToFit="1"/>
    </xf>
    <xf numFmtId="0" fontId="85" fillId="16" borderId="70" xfId="11" applyFont="1" applyFill="1" applyBorder="1" applyAlignment="1">
      <alignment horizontal="left" vertical="center" wrapText="1" shrinkToFit="1"/>
    </xf>
    <xf numFmtId="0" fontId="85" fillId="16" borderId="433" xfId="11" applyFont="1" applyFill="1" applyBorder="1" applyAlignment="1">
      <alignment horizontal="left" vertical="center" wrapText="1" shrinkToFit="1"/>
    </xf>
    <xf numFmtId="0" fontId="85" fillId="16" borderId="39" xfId="11" applyFont="1" applyFill="1" applyBorder="1" applyAlignment="1">
      <alignment horizontal="left" vertical="center" wrapText="1" shrinkToFit="1"/>
    </xf>
    <xf numFmtId="0" fontId="85" fillId="16" borderId="9" xfId="11" applyFont="1" applyFill="1" applyBorder="1" applyAlignment="1">
      <alignment horizontal="left" vertical="center" wrapText="1" shrinkToFit="1"/>
    </xf>
    <xf numFmtId="0" fontId="85" fillId="17" borderId="39" xfId="11" applyFont="1" applyFill="1" applyBorder="1" applyAlignment="1">
      <alignment horizontal="left" vertical="center" wrapText="1" shrinkToFit="1"/>
    </xf>
    <xf numFmtId="0" fontId="85" fillId="9" borderId="854" xfId="11" applyFont="1" applyFill="1" applyBorder="1" applyAlignment="1">
      <alignment horizontal="left" vertical="center" wrapText="1" shrinkToFit="1"/>
    </xf>
    <xf numFmtId="0" fontId="85" fillId="9" borderId="9" xfId="11" applyFont="1" applyFill="1" applyBorder="1" applyAlignment="1">
      <alignment horizontal="left" vertical="center" wrapText="1" shrinkToFit="1"/>
    </xf>
    <xf numFmtId="0" fontId="45" fillId="0" borderId="1126" xfId="1" applyNumberFormat="1" applyFont="1" applyFill="1" applyBorder="1" applyAlignment="1">
      <alignment horizontal="center" vertical="center" shrinkToFit="1"/>
    </xf>
    <xf numFmtId="0" fontId="88" fillId="20" borderId="101" xfId="1" applyNumberFormat="1" applyFont="1" applyFill="1" applyBorder="1" applyAlignment="1">
      <alignment horizontal="center" vertical="center" shrinkToFit="1"/>
    </xf>
    <xf numFmtId="0" fontId="45" fillId="0" borderId="818" xfId="1" applyNumberFormat="1" applyFont="1" applyFill="1" applyBorder="1" applyAlignment="1">
      <alignment horizontal="center" vertical="center" shrinkToFit="1"/>
    </xf>
    <xf numFmtId="0" fontId="88" fillId="20" borderId="0" xfId="1" applyNumberFormat="1" applyFont="1" applyFill="1" applyBorder="1" applyAlignment="1">
      <alignment horizontal="center" vertical="center" shrinkToFit="1"/>
    </xf>
    <xf numFmtId="0" fontId="45" fillId="0" borderId="101" xfId="1" applyNumberFormat="1" applyFont="1" applyFill="1" applyBorder="1" applyAlignment="1">
      <alignment horizontal="center" vertical="center" shrinkToFit="1"/>
    </xf>
    <xf numFmtId="3" fontId="65" fillId="0" borderId="104" xfId="11" applyNumberFormat="1" applyFont="1" applyBorder="1" applyAlignment="1">
      <alignment horizontal="center" vertical="center" wrapText="1" shrinkToFit="1"/>
    </xf>
    <xf numFmtId="3" fontId="65" fillId="0" borderId="118" xfId="11" applyNumberFormat="1" applyFont="1" applyBorder="1" applyAlignment="1">
      <alignment horizontal="center" vertical="center" wrapText="1" shrinkToFit="1"/>
    </xf>
    <xf numFmtId="0" fontId="73" fillId="0" borderId="28" xfId="1" applyNumberFormat="1" applyFont="1" applyFill="1" applyBorder="1" applyAlignment="1">
      <alignment horizontal="center" vertical="center" shrinkToFit="1"/>
    </xf>
    <xf numFmtId="180" fontId="250" fillId="40" borderId="86" xfId="25" applyNumberFormat="1" applyFont="1" applyFill="1" applyBorder="1" applyAlignment="1">
      <alignment horizontal="center" vertical="center" shrinkToFit="1"/>
    </xf>
    <xf numFmtId="180" fontId="250" fillId="40" borderId="1044" xfId="25" applyNumberFormat="1" applyFont="1" applyFill="1" applyBorder="1" applyAlignment="1">
      <alignment horizontal="center" vertical="center" shrinkToFit="1"/>
    </xf>
    <xf numFmtId="180" fontId="237" fillId="0" borderId="0" xfId="11" applyNumberFormat="1" applyFont="1" applyAlignment="1">
      <alignment horizontal="left" vertical="center"/>
    </xf>
    <xf numFmtId="0" fontId="61" fillId="17" borderId="27" xfId="1" applyNumberFormat="1" applyFont="1" applyFill="1" applyBorder="1" applyAlignment="1">
      <alignment horizontal="center" vertical="center" shrinkToFit="1"/>
    </xf>
    <xf numFmtId="0" fontId="61" fillId="16" borderId="27" xfId="1" applyNumberFormat="1" applyFont="1" applyFill="1" applyBorder="1" applyAlignment="1">
      <alignment horizontal="center" vertical="center" shrinkToFit="1"/>
    </xf>
    <xf numFmtId="0" fontId="61" fillId="17" borderId="26" xfId="1" applyNumberFormat="1" applyFont="1" applyFill="1" applyBorder="1" applyAlignment="1">
      <alignment horizontal="center" vertical="center" shrinkToFit="1"/>
    </xf>
    <xf numFmtId="0" fontId="61" fillId="16" borderId="26" xfId="1" applyNumberFormat="1" applyFont="1" applyFill="1" applyBorder="1" applyAlignment="1">
      <alignment horizontal="center" vertical="center" shrinkToFit="1"/>
    </xf>
    <xf numFmtId="0" fontId="73" fillId="16" borderId="26" xfId="1" applyNumberFormat="1" applyFont="1" applyFill="1" applyBorder="1" applyAlignment="1">
      <alignment horizontal="center" vertical="center" shrinkToFit="1"/>
    </xf>
    <xf numFmtId="0" fontId="61" fillId="16" borderId="50" xfId="1" applyNumberFormat="1" applyFont="1" applyFill="1" applyBorder="1" applyAlignment="1">
      <alignment horizontal="center" vertical="center" shrinkToFit="1"/>
    </xf>
    <xf numFmtId="0" fontId="61" fillId="16" borderId="104" xfId="1" applyNumberFormat="1" applyFont="1" applyFill="1" applyBorder="1" applyAlignment="1">
      <alignment horizontal="center" vertical="center" shrinkToFit="1"/>
    </xf>
    <xf numFmtId="0" fontId="0" fillId="4" borderId="0" xfId="0" applyFill="1">
      <alignment vertical="center"/>
    </xf>
    <xf numFmtId="0" fontId="45" fillId="0" borderId="670" xfId="13" applyFont="1" applyBorder="1" applyAlignment="1">
      <alignment horizontal="right" vertical="center" wrapText="1" shrinkToFit="1"/>
    </xf>
    <xf numFmtId="0" fontId="45" fillId="0" borderId="812" xfId="1" applyNumberFormat="1" applyFont="1" applyFill="1" applyBorder="1" applyAlignment="1">
      <alignment horizontal="center" vertical="center" shrinkToFit="1"/>
    </xf>
    <xf numFmtId="0" fontId="45" fillId="0" borderId="821" xfId="1" applyNumberFormat="1" applyFont="1" applyFill="1" applyBorder="1" applyAlignment="1">
      <alignment horizontal="center" vertical="center" shrinkToFit="1"/>
    </xf>
    <xf numFmtId="0" fontId="45" fillId="0" borderId="827" xfId="1" applyNumberFormat="1" applyFont="1" applyFill="1" applyBorder="1" applyAlignment="1">
      <alignment horizontal="center" vertical="center" shrinkToFit="1"/>
    </xf>
    <xf numFmtId="0" fontId="45" fillId="0" borderId="835" xfId="1" applyNumberFormat="1" applyFont="1" applyFill="1" applyBorder="1" applyAlignment="1">
      <alignment horizontal="center" vertical="center" shrinkToFit="1"/>
    </xf>
    <xf numFmtId="0" fontId="88" fillId="0" borderId="1127" xfId="1" applyNumberFormat="1" applyFont="1" applyFill="1" applyBorder="1" applyAlignment="1">
      <alignment horizontal="center" vertical="center" shrinkToFit="1"/>
    </xf>
    <xf numFmtId="227" fontId="43" fillId="0" borderId="0" xfId="1" applyNumberFormat="1" applyFont="1" applyFill="1" applyBorder="1" applyAlignment="1">
      <alignment horizontal="center" vertical="center"/>
    </xf>
    <xf numFmtId="41" fontId="54" fillId="9" borderId="117" xfId="0" applyNumberFormat="1" applyFont="1" applyFill="1" applyBorder="1" applyAlignment="1">
      <alignment horizontal="center" vertical="center" shrinkToFit="1"/>
    </xf>
    <xf numFmtId="38" fontId="64" fillId="9" borderId="167" xfId="1" applyFont="1" applyFill="1" applyBorder="1" applyAlignment="1">
      <alignment horizontal="right" vertical="center" shrinkToFit="1"/>
    </xf>
    <xf numFmtId="41" fontId="54" fillId="9" borderId="168" xfId="0" applyNumberFormat="1" applyFont="1" applyFill="1" applyBorder="1" applyAlignment="1">
      <alignment horizontal="center" vertical="center" shrinkToFit="1"/>
    </xf>
    <xf numFmtId="38" fontId="73" fillId="0" borderId="128" xfId="1" applyFont="1" applyFill="1" applyBorder="1" applyAlignment="1">
      <alignment horizontal="right" vertical="center" shrinkToFit="1"/>
    </xf>
    <xf numFmtId="41" fontId="54" fillId="9" borderId="158" xfId="0" applyNumberFormat="1" applyFont="1" applyFill="1" applyBorder="1" applyAlignment="1">
      <alignment horizontal="center" vertical="center" shrinkToFit="1"/>
    </xf>
    <xf numFmtId="38" fontId="64" fillId="9" borderId="75" xfId="1" applyFont="1" applyFill="1" applyBorder="1" applyAlignment="1">
      <alignment horizontal="right" vertical="center" shrinkToFit="1"/>
    </xf>
    <xf numFmtId="38" fontId="73" fillId="0" borderId="50" xfId="1" applyFont="1" applyFill="1" applyBorder="1" applyAlignment="1">
      <alignment horizontal="right" vertical="center" shrinkToFit="1"/>
    </xf>
    <xf numFmtId="38" fontId="64" fillId="0" borderId="124" xfId="1" applyFont="1" applyFill="1" applyBorder="1" applyAlignment="1">
      <alignment horizontal="right" vertical="center" shrinkToFit="1"/>
    </xf>
    <xf numFmtId="38" fontId="64" fillId="6" borderId="124" xfId="1" applyFont="1" applyFill="1" applyBorder="1" applyAlignment="1">
      <alignment horizontal="right" vertical="center" shrinkToFit="1"/>
    </xf>
    <xf numFmtId="38" fontId="73" fillId="17" borderId="128" xfId="1" applyFont="1" applyFill="1" applyBorder="1" applyAlignment="1">
      <alignment horizontal="right" vertical="center" shrinkToFit="1"/>
    </xf>
    <xf numFmtId="38" fontId="61" fillId="17" borderId="75" xfId="1" applyFont="1" applyFill="1" applyBorder="1" applyAlignment="1">
      <alignment horizontal="right" vertical="center" shrinkToFit="1"/>
    </xf>
    <xf numFmtId="181" fontId="152" fillId="0" borderId="0" xfId="0" applyNumberFormat="1" applyFont="1">
      <alignment vertical="center"/>
    </xf>
    <xf numFmtId="181" fontId="152" fillId="0" borderId="0" xfId="0" applyNumberFormat="1" applyFont="1" applyAlignment="1">
      <alignment horizontal="right" vertical="center"/>
    </xf>
    <xf numFmtId="0" fontId="41" fillId="9" borderId="5" xfId="0" applyFont="1" applyFill="1" applyBorder="1">
      <alignment vertical="center"/>
    </xf>
    <xf numFmtId="206" fontId="41" fillId="9" borderId="26" xfId="0" applyNumberFormat="1" applyFont="1" applyFill="1" applyBorder="1">
      <alignment vertical="center"/>
    </xf>
    <xf numFmtId="0" fontId="0" fillId="17" borderId="0" xfId="0" applyFill="1">
      <alignment vertical="center"/>
    </xf>
    <xf numFmtId="180" fontId="66" fillId="0" borderId="0" xfId="0" applyNumberFormat="1" applyFont="1">
      <alignment vertical="center"/>
    </xf>
    <xf numFmtId="0" fontId="145" fillId="0" borderId="0" xfId="17" applyFont="1">
      <alignment vertical="center"/>
    </xf>
    <xf numFmtId="0" fontId="134" fillId="0" borderId="22" xfId="17" applyBorder="1">
      <alignment vertical="center"/>
    </xf>
    <xf numFmtId="0" fontId="146" fillId="0" borderId="22" xfId="17" applyFont="1" applyBorder="1">
      <alignment vertical="center"/>
    </xf>
    <xf numFmtId="0" fontId="134" fillId="40" borderId="22" xfId="17" applyFill="1" applyBorder="1">
      <alignment vertical="center"/>
    </xf>
    <xf numFmtId="0" fontId="134" fillId="4" borderId="0" xfId="17" applyFill="1">
      <alignment vertical="center"/>
    </xf>
    <xf numFmtId="206" fontId="330" fillId="0" borderId="0" xfId="17" applyNumberFormat="1" applyFont="1">
      <alignment vertical="center"/>
    </xf>
    <xf numFmtId="180" fontId="192" fillId="0" borderId="0" xfId="17" applyNumberFormat="1" applyFont="1">
      <alignment vertical="center"/>
    </xf>
    <xf numFmtId="206" fontId="85" fillId="29" borderId="71" xfId="11" applyNumberFormat="1" applyFont="1" applyFill="1" applyBorder="1" applyAlignment="1">
      <alignment horizontal="right" vertical="center"/>
    </xf>
    <xf numFmtId="0" fontId="134" fillId="0" borderId="0" xfId="17" applyAlignment="1">
      <alignment vertical="top"/>
    </xf>
    <xf numFmtId="0" fontId="202" fillId="6" borderId="0" xfId="17" applyFont="1" applyFill="1">
      <alignment vertical="center"/>
    </xf>
    <xf numFmtId="0" fontId="195" fillId="6" borderId="0" xfId="17" applyFont="1" applyFill="1">
      <alignment vertical="center"/>
    </xf>
    <xf numFmtId="0" fontId="143" fillId="6" borderId="159" xfId="17" applyFont="1" applyFill="1" applyBorder="1">
      <alignment vertical="center"/>
    </xf>
    <xf numFmtId="0" fontId="134" fillId="6" borderId="101" xfId="17" applyFill="1" applyBorder="1">
      <alignment vertical="center"/>
    </xf>
    <xf numFmtId="0" fontId="134" fillId="6" borderId="159" xfId="17" applyFill="1" applyBorder="1">
      <alignment vertical="center"/>
    </xf>
    <xf numFmtId="0" fontId="134" fillId="6" borderId="662" xfId="17" applyFill="1" applyBorder="1">
      <alignment vertical="center"/>
    </xf>
    <xf numFmtId="0" fontId="134" fillId="6" borderId="664" xfId="17" applyFill="1" applyBorder="1">
      <alignment vertical="center"/>
    </xf>
    <xf numFmtId="3" fontId="135" fillId="18" borderId="940" xfId="17" applyNumberFormat="1" applyFont="1" applyFill="1" applyBorder="1">
      <alignment vertical="center"/>
    </xf>
    <xf numFmtId="0" fontId="135" fillId="0" borderId="939" xfId="17" applyFont="1" applyBorder="1">
      <alignment vertical="center"/>
    </xf>
    <xf numFmtId="180" fontId="329" fillId="0" borderId="0" xfId="17" applyNumberFormat="1" applyFont="1" applyAlignment="1">
      <alignment horizontal="center" vertical="center"/>
    </xf>
    <xf numFmtId="181" fontId="134" fillId="0" borderId="0" xfId="17" applyNumberFormat="1" applyAlignment="1">
      <alignment horizontal="right" vertical="center"/>
    </xf>
    <xf numFmtId="38" fontId="72" fillId="0" borderId="167" xfId="1" applyFont="1" applyFill="1" applyBorder="1" applyAlignment="1">
      <alignment horizontal="right" vertical="center" shrinkToFit="1"/>
    </xf>
    <xf numFmtId="206" fontId="42" fillId="9" borderId="5" xfId="11" applyNumberFormat="1" applyFont="1" applyFill="1" applyBorder="1" applyAlignment="1">
      <alignment horizontal="right" vertical="center"/>
    </xf>
    <xf numFmtId="38" fontId="72" fillId="0" borderId="124" xfId="1" applyFont="1" applyFill="1" applyBorder="1" applyAlignment="1">
      <alignment horizontal="right" vertical="center" shrinkToFit="1"/>
    </xf>
    <xf numFmtId="180" fontId="134" fillId="0" borderId="41" xfId="17" applyNumberFormat="1" applyBorder="1">
      <alignment vertical="center"/>
    </xf>
    <xf numFmtId="3" fontId="146" fillId="9" borderId="1128" xfId="17" applyNumberFormat="1" applyFont="1" applyFill="1" applyBorder="1">
      <alignment vertical="center"/>
    </xf>
    <xf numFmtId="0" fontId="146" fillId="9" borderId="1128" xfId="17" applyFont="1" applyFill="1" applyBorder="1">
      <alignment vertical="center"/>
    </xf>
    <xf numFmtId="181" fontId="341" fillId="0" borderId="900" xfId="17" applyNumberFormat="1" applyFont="1" applyBorder="1">
      <alignment vertical="center"/>
    </xf>
    <xf numFmtId="181" fontId="341" fillId="40" borderId="0" xfId="17" applyNumberFormat="1" applyFont="1" applyFill="1">
      <alignment vertical="center"/>
    </xf>
    <xf numFmtId="181" fontId="341" fillId="0" borderId="258" xfId="17" applyNumberFormat="1" applyFont="1" applyBorder="1">
      <alignment vertical="center"/>
    </xf>
    <xf numFmtId="206" fontId="341" fillId="0" borderId="900" xfId="17" applyNumberFormat="1" applyFont="1" applyBorder="1">
      <alignment vertical="center"/>
    </xf>
    <xf numFmtId="181" fontId="341" fillId="0" borderId="451" xfId="17" applyNumberFormat="1" applyFont="1" applyBorder="1">
      <alignment vertical="center"/>
    </xf>
    <xf numFmtId="181" fontId="341" fillId="40" borderId="41" xfId="17" applyNumberFormat="1" applyFont="1" applyFill="1" applyBorder="1">
      <alignment vertical="center"/>
    </xf>
    <xf numFmtId="181" fontId="341" fillId="0" borderId="910" xfId="17" applyNumberFormat="1" applyFont="1" applyBorder="1">
      <alignment vertical="center"/>
    </xf>
    <xf numFmtId="206" fontId="341" fillId="0" borderId="258" xfId="17" applyNumberFormat="1" applyFont="1" applyBorder="1">
      <alignment vertical="center"/>
    </xf>
    <xf numFmtId="206" fontId="146" fillId="17" borderId="904" xfId="17" applyNumberFormat="1" applyFont="1" applyFill="1" applyBorder="1">
      <alignment vertical="center"/>
    </xf>
    <xf numFmtId="206" fontId="146" fillId="17" borderId="898" xfId="17" applyNumberFormat="1" applyFont="1" applyFill="1" applyBorder="1">
      <alignment vertical="center"/>
    </xf>
    <xf numFmtId="206" fontId="146" fillId="17" borderId="907" xfId="17" applyNumberFormat="1" applyFont="1" applyFill="1" applyBorder="1">
      <alignment vertical="center"/>
    </xf>
    <xf numFmtId="206" fontId="146" fillId="17" borderId="918" xfId="17" applyNumberFormat="1" applyFont="1" applyFill="1" applyBorder="1">
      <alignment vertical="center"/>
    </xf>
    <xf numFmtId="206" fontId="146" fillId="17" borderId="908" xfId="17" applyNumberFormat="1" applyFont="1" applyFill="1" applyBorder="1">
      <alignment vertical="center"/>
    </xf>
    <xf numFmtId="206" fontId="200" fillId="17" borderId="898" xfId="17" applyNumberFormat="1" applyFont="1" applyFill="1" applyBorder="1">
      <alignment vertical="center"/>
    </xf>
    <xf numFmtId="206" fontId="200" fillId="17" borderId="1085" xfId="17" applyNumberFormat="1" applyFont="1" applyFill="1" applyBorder="1">
      <alignment vertical="center"/>
    </xf>
    <xf numFmtId="0" fontId="202" fillId="16" borderId="0" xfId="17" applyFont="1" applyFill="1">
      <alignment vertical="center"/>
    </xf>
    <xf numFmtId="0" fontId="202" fillId="17" borderId="0" xfId="17" applyFont="1" applyFill="1">
      <alignment vertical="center"/>
    </xf>
    <xf numFmtId="0" fontId="207" fillId="53" borderId="661" xfId="0" applyFont="1" applyFill="1" applyBorder="1" applyAlignment="1">
      <alignment horizontal="center" vertical="center"/>
    </xf>
    <xf numFmtId="0" fontId="207" fillId="53" borderId="650" xfId="0" applyFont="1" applyFill="1" applyBorder="1" applyAlignment="1">
      <alignment horizontal="center" vertical="center"/>
    </xf>
    <xf numFmtId="0" fontId="0" fillId="40" borderId="195" xfId="0" applyFill="1" applyBorder="1">
      <alignment vertical="center"/>
    </xf>
    <xf numFmtId="0" fontId="0" fillId="40" borderId="199" xfId="0" applyFill="1" applyBorder="1">
      <alignment vertical="center"/>
    </xf>
    <xf numFmtId="0" fontId="37" fillId="0" borderId="0" xfId="0" applyFont="1" applyAlignment="1">
      <alignment horizontal="center" vertical="center"/>
    </xf>
    <xf numFmtId="3" fontId="0" fillId="17" borderId="0" xfId="0" applyNumberFormat="1" applyFill="1" applyAlignment="1">
      <alignment horizontal="center" vertical="center"/>
    </xf>
    <xf numFmtId="0" fontId="0" fillId="12" borderId="931" xfId="0" applyFill="1" applyBorder="1" applyAlignment="1">
      <alignment horizontal="center" vertical="center"/>
    </xf>
    <xf numFmtId="0" fontId="0" fillId="12" borderId="933" xfId="0" applyFill="1" applyBorder="1" applyAlignment="1">
      <alignment horizontal="center" vertical="center"/>
    </xf>
    <xf numFmtId="0" fontId="53" fillId="4" borderId="0" xfId="0" applyFont="1" applyFill="1">
      <alignment vertical="center"/>
    </xf>
    <xf numFmtId="3" fontId="200" fillId="18" borderId="912" xfId="17" applyNumberFormat="1" applyFont="1" applyFill="1" applyBorder="1">
      <alignment vertical="center"/>
    </xf>
    <xf numFmtId="0" fontId="0" fillId="53" borderId="123" xfId="0" applyFill="1" applyBorder="1" applyAlignment="1">
      <alignment horizontal="center" vertical="center"/>
    </xf>
    <xf numFmtId="0" fontId="0" fillId="53" borderId="1129" xfId="0" applyFill="1" applyBorder="1" applyAlignment="1">
      <alignment horizontal="center" vertical="center"/>
    </xf>
    <xf numFmtId="0" fontId="0" fillId="53" borderId="871" xfId="0" applyFill="1" applyBorder="1">
      <alignment vertical="center"/>
    </xf>
    <xf numFmtId="0" fontId="0" fillId="53" borderId="160" xfId="0" applyFill="1" applyBorder="1">
      <alignment vertical="center"/>
    </xf>
    <xf numFmtId="0" fontId="37" fillId="0" borderId="0" xfId="0" applyFont="1">
      <alignment vertical="center"/>
    </xf>
    <xf numFmtId="181" fontId="49" fillId="0" borderId="41" xfId="11" applyNumberFormat="1" applyFont="1" applyBorder="1" applyAlignment="1">
      <alignment horizontal="center" vertical="center"/>
    </xf>
    <xf numFmtId="181" fontId="49" fillId="0" borderId="41" xfId="11" applyNumberFormat="1" applyFont="1" applyBorder="1" applyAlignment="1">
      <alignment horizontal="center" vertical="center" wrapText="1"/>
    </xf>
    <xf numFmtId="181" fontId="49" fillId="0" borderId="8" xfId="11" applyNumberFormat="1" applyFont="1" applyBorder="1" applyAlignment="1">
      <alignment horizontal="center" vertical="center"/>
    </xf>
    <xf numFmtId="181" fontId="49" fillId="0" borderId="0" xfId="11" applyNumberFormat="1" applyFont="1" applyAlignment="1">
      <alignment horizontal="center" vertical="center"/>
    </xf>
    <xf numFmtId="181" fontId="193" fillId="6" borderId="447" xfId="17" applyNumberFormat="1" applyFont="1" applyFill="1" applyBorder="1">
      <alignment vertical="center"/>
    </xf>
    <xf numFmtId="181" fontId="193" fillId="6" borderId="900" xfId="17" applyNumberFormat="1" applyFont="1" applyFill="1" applyBorder="1">
      <alignment vertical="center"/>
    </xf>
    <xf numFmtId="181" fontId="146" fillId="6" borderId="906" xfId="17" applyNumberFormat="1" applyFont="1" applyFill="1" applyBorder="1">
      <alignment vertical="center"/>
    </xf>
    <xf numFmtId="181" fontId="146" fillId="6" borderId="258" xfId="17" applyNumberFormat="1" applyFont="1" applyFill="1" applyBorder="1">
      <alignment vertical="center"/>
    </xf>
    <xf numFmtId="206" fontId="146" fillId="6" borderId="907" xfId="17" applyNumberFormat="1" applyFont="1" applyFill="1" applyBorder="1">
      <alignment vertical="center"/>
    </xf>
    <xf numFmtId="206" fontId="146" fillId="6" borderId="908" xfId="17" applyNumberFormat="1" applyFont="1" applyFill="1" applyBorder="1">
      <alignment vertical="center"/>
    </xf>
    <xf numFmtId="206" fontId="197" fillId="6" borderId="944" xfId="17" applyNumberFormat="1" applyFont="1" applyFill="1" applyBorder="1">
      <alignment vertical="center"/>
    </xf>
    <xf numFmtId="206" fontId="197" fillId="6" borderId="258" xfId="17" applyNumberFormat="1" applyFont="1" applyFill="1" applyBorder="1">
      <alignment vertical="center"/>
    </xf>
    <xf numFmtId="206" fontId="197" fillId="6" borderId="900" xfId="17" applyNumberFormat="1" applyFont="1" applyFill="1" applyBorder="1">
      <alignment vertical="center"/>
    </xf>
    <xf numFmtId="206" fontId="197" fillId="6" borderId="898" xfId="17" applyNumberFormat="1" applyFont="1" applyFill="1" applyBorder="1">
      <alignment vertical="center"/>
    </xf>
    <xf numFmtId="211" fontId="198" fillId="6" borderId="900" xfId="17" applyNumberFormat="1" applyFont="1" applyFill="1" applyBorder="1">
      <alignment vertical="center"/>
    </xf>
    <xf numFmtId="181" fontId="197" fillId="6" borderId="900" xfId="17" applyNumberFormat="1" applyFont="1" applyFill="1" applyBorder="1">
      <alignment vertical="center"/>
    </xf>
    <xf numFmtId="38" fontId="88" fillId="6" borderId="984" xfId="1" applyFont="1" applyFill="1" applyBorder="1" applyAlignment="1">
      <alignment horizontal="center" vertical="center" shrinkToFit="1"/>
    </xf>
    <xf numFmtId="14" fontId="37" fillId="6" borderId="104" xfId="13" applyNumberFormat="1" applyFont="1" applyFill="1" applyBorder="1" applyAlignment="1">
      <alignment horizontal="center" vertical="center" wrapText="1" shrinkToFit="1"/>
    </xf>
    <xf numFmtId="38" fontId="88" fillId="6" borderId="1002" xfId="1" applyFont="1" applyFill="1" applyBorder="1" applyAlignment="1">
      <alignment horizontal="center" vertical="center" shrinkToFit="1"/>
    </xf>
    <xf numFmtId="38" fontId="88" fillId="6" borderId="992" xfId="1" applyFont="1" applyFill="1" applyBorder="1" applyAlignment="1">
      <alignment horizontal="center" vertical="center" shrinkToFit="1"/>
    </xf>
    <xf numFmtId="38" fontId="88" fillId="6" borderId="1026" xfId="1" applyFont="1" applyFill="1" applyBorder="1" applyAlignment="1">
      <alignment horizontal="center" vertical="center" shrinkToFit="1"/>
    </xf>
    <xf numFmtId="38" fontId="40" fillId="6" borderId="0" xfId="1" applyFont="1" applyFill="1">
      <alignment vertical="center"/>
    </xf>
    <xf numFmtId="38" fontId="40" fillId="6" borderId="139" xfId="1" applyFont="1" applyFill="1" applyBorder="1">
      <alignment vertical="center"/>
    </xf>
    <xf numFmtId="38" fontId="40" fillId="6" borderId="0" xfId="1" applyFont="1" applyFill="1" applyBorder="1">
      <alignment vertical="center"/>
    </xf>
    <xf numFmtId="206" fontId="41" fillId="6" borderId="5" xfId="0" applyNumberFormat="1" applyFont="1" applyFill="1" applyBorder="1">
      <alignment vertical="center"/>
    </xf>
    <xf numFmtId="3" fontId="65" fillId="19" borderId="104" xfId="11" applyNumberFormat="1" applyFont="1" applyFill="1" applyBorder="1" applyAlignment="1">
      <alignment horizontal="center" vertical="center" wrapText="1" shrinkToFit="1"/>
    </xf>
    <xf numFmtId="14" fontId="68" fillId="6" borderId="104" xfId="13" applyNumberFormat="1" applyFont="1" applyFill="1" applyBorder="1" applyAlignment="1">
      <alignment horizontal="center" vertical="center" shrinkToFit="1"/>
    </xf>
    <xf numFmtId="14" fontId="68" fillId="6" borderId="118" xfId="13" applyNumberFormat="1" applyFont="1" applyFill="1" applyBorder="1" applyAlignment="1">
      <alignment horizontal="center" vertical="center" shrinkToFit="1"/>
    </xf>
    <xf numFmtId="3" fontId="65" fillId="20" borderId="104" xfId="11" applyNumberFormat="1" applyFont="1" applyFill="1" applyBorder="1" applyAlignment="1">
      <alignment horizontal="center" vertical="center" wrapText="1" shrinkToFit="1"/>
    </xf>
    <xf numFmtId="14" fontId="12" fillId="18" borderId="104" xfId="13" applyNumberFormat="1" applyFont="1" applyFill="1" applyBorder="1" applyAlignment="1">
      <alignment horizontal="center" vertical="center" wrapText="1" shrinkToFit="1"/>
    </xf>
    <xf numFmtId="14" fontId="69" fillId="18" borderId="104" xfId="13" applyNumberFormat="1" applyFont="1" applyFill="1" applyBorder="1" applyAlignment="1">
      <alignment horizontal="center" vertical="center" wrapText="1" shrinkToFit="1"/>
    </xf>
    <xf numFmtId="206" fontId="62" fillId="55" borderId="104" xfId="11" applyNumberFormat="1" applyFont="1" applyFill="1" applyBorder="1" applyAlignment="1">
      <alignment horizontal="center" vertical="center" wrapText="1"/>
    </xf>
    <xf numFmtId="188" fontId="68" fillId="6" borderId="32" xfId="13" applyNumberFormat="1" applyFont="1" applyFill="1" applyBorder="1" applyAlignment="1">
      <alignment horizontal="center" vertical="center" wrapText="1" shrinkToFit="1"/>
    </xf>
    <xf numFmtId="181" fontId="135" fillId="6" borderId="437" xfId="17" applyNumberFormat="1" applyFont="1" applyFill="1" applyBorder="1">
      <alignment vertical="center"/>
    </xf>
    <xf numFmtId="206" fontId="135" fillId="6" borderId="437" xfId="17" applyNumberFormat="1" applyFont="1" applyFill="1" applyBorder="1">
      <alignment vertical="center"/>
    </xf>
    <xf numFmtId="14" fontId="68" fillId="6" borderId="104" xfId="13" applyNumberFormat="1" applyFont="1" applyFill="1" applyBorder="1" applyAlignment="1">
      <alignment horizontal="center" vertical="center" shrinkToFit="1"/>
    </xf>
    <xf numFmtId="14" fontId="68" fillId="6" borderId="118" xfId="13" applyNumberFormat="1" applyFont="1" applyFill="1" applyBorder="1" applyAlignment="1">
      <alignment horizontal="center" vertical="center" shrinkToFit="1"/>
    </xf>
    <xf numFmtId="0" fontId="24" fillId="12" borderId="259" xfId="12" applyFont="1" applyFill="1" applyBorder="1" applyAlignment="1">
      <alignment horizontal="center" vertical="center" wrapText="1"/>
    </xf>
    <xf numFmtId="0" fontId="24" fillId="12" borderId="8" xfId="12" applyFont="1" applyFill="1" applyBorder="1" applyAlignment="1">
      <alignment horizontal="center" vertical="center" wrapText="1"/>
    </xf>
    <xf numFmtId="0" fontId="24" fillId="12" borderId="9" xfId="12" applyFont="1" applyFill="1" applyBorder="1" applyAlignment="1">
      <alignment horizontal="center" vertical="center" wrapText="1"/>
    </xf>
    <xf numFmtId="0" fontId="24" fillId="12" borderId="265" xfId="12" applyFont="1" applyFill="1" applyBorder="1" applyAlignment="1">
      <alignment horizontal="center" vertical="center" wrapText="1"/>
    </xf>
    <xf numFmtId="0" fontId="24" fillId="12" borderId="99" xfId="12" applyFont="1" applyFill="1" applyBorder="1" applyAlignment="1">
      <alignment horizontal="center" vertical="center" wrapText="1"/>
    </xf>
    <xf numFmtId="0" fontId="24" fillId="12" borderId="266" xfId="12" applyFont="1" applyFill="1" applyBorder="1" applyAlignment="1">
      <alignment horizontal="center" vertical="center" wrapText="1"/>
    </xf>
    <xf numFmtId="0" fontId="24" fillId="12" borderId="269" xfId="12" applyFont="1" applyFill="1" applyBorder="1" applyAlignment="1">
      <alignment horizontal="center" vertical="center" wrapText="1"/>
    </xf>
    <xf numFmtId="0" fontId="24" fillId="12" borderId="270" xfId="12" applyFont="1" applyFill="1" applyBorder="1" applyAlignment="1">
      <alignment horizontal="center" vertical="center" wrapText="1"/>
    </xf>
    <xf numFmtId="0" fontId="24" fillId="12" borderId="271" xfId="12" applyFont="1" applyFill="1" applyBorder="1" applyAlignment="1">
      <alignment horizontal="center" vertical="center" wrapText="1"/>
    </xf>
    <xf numFmtId="188" fontId="68" fillId="6" borderId="32" xfId="13" applyNumberFormat="1" applyFont="1" applyFill="1" applyBorder="1" applyAlignment="1">
      <alignment horizontal="center" vertical="center" wrapText="1" shrinkToFit="1"/>
    </xf>
    <xf numFmtId="188" fontId="68" fillId="6" borderId="166" xfId="13" applyNumberFormat="1" applyFont="1" applyFill="1" applyBorder="1" applyAlignment="1">
      <alignment horizontal="center" vertical="center" shrinkToFit="1"/>
    </xf>
    <xf numFmtId="3" fontId="62" fillId="22" borderId="107" xfId="0" applyNumberFormat="1" applyFont="1" applyFill="1" applyBorder="1" applyAlignment="1">
      <alignment horizontal="center" vertical="center" shrinkToFit="1"/>
    </xf>
    <xf numFmtId="3" fontId="62" fillId="48" borderId="106" xfId="0" applyNumberFormat="1" applyFont="1" applyFill="1" applyBorder="1" applyAlignment="1">
      <alignment horizontal="center" vertical="center" shrinkToFit="1"/>
    </xf>
    <xf numFmtId="3" fontId="62" fillId="48" borderId="108" xfId="0" applyNumberFormat="1" applyFont="1" applyFill="1" applyBorder="1" applyAlignment="1">
      <alignment horizontal="center" vertical="center" shrinkToFit="1"/>
    </xf>
    <xf numFmtId="3" fontId="62" fillId="21" borderId="106" xfId="0" applyNumberFormat="1" applyFont="1" applyFill="1" applyBorder="1" applyAlignment="1">
      <alignment horizontal="center" vertical="center" shrinkToFit="1"/>
    </xf>
    <xf numFmtId="3" fontId="62" fillId="21" borderId="107" xfId="0" applyNumberFormat="1" applyFont="1" applyFill="1" applyBorder="1" applyAlignment="1">
      <alignment horizontal="center" vertical="center" shrinkToFit="1"/>
    </xf>
    <xf numFmtId="3" fontId="62" fillId="21" borderId="108" xfId="0" applyNumberFormat="1" applyFont="1" applyFill="1" applyBorder="1" applyAlignment="1">
      <alignment horizontal="center" vertical="center" shrinkToFit="1"/>
    </xf>
    <xf numFmtId="0" fontId="50" fillId="21" borderId="115" xfId="12" applyFont="1" applyFill="1" applyBorder="1" applyAlignment="1">
      <alignment horizontal="center" vertical="center" wrapText="1"/>
    </xf>
    <xf numFmtId="0" fontId="50" fillId="21" borderId="120" xfId="12" applyFont="1" applyFill="1" applyBorder="1" applyAlignment="1">
      <alignment horizontal="center" vertical="center" wrapText="1"/>
    </xf>
    <xf numFmtId="0" fontId="50" fillId="21" borderId="51" xfId="12" applyFont="1" applyFill="1" applyBorder="1" applyAlignment="1">
      <alignment horizontal="center" vertical="center" wrapText="1"/>
    </xf>
    <xf numFmtId="0" fontId="50" fillId="21" borderId="121" xfId="12" applyFont="1" applyFill="1" applyBorder="1" applyAlignment="1">
      <alignment horizontal="center" vertical="center" wrapText="1"/>
    </xf>
    <xf numFmtId="0" fontId="24" fillId="12" borderId="41" xfId="12" applyFont="1" applyFill="1" applyBorder="1" applyAlignment="1">
      <alignment horizontal="center" vertical="center" wrapText="1"/>
    </xf>
    <xf numFmtId="0" fontId="24" fillId="12" borderId="42" xfId="12" applyFont="1" applyFill="1" applyBorder="1" applyAlignment="1">
      <alignment horizontal="center" vertical="center" wrapText="1"/>
    </xf>
    <xf numFmtId="0" fontId="65" fillId="19" borderId="103" xfId="0" applyFont="1" applyFill="1" applyBorder="1" applyAlignment="1">
      <alignment horizontal="center" vertical="center" shrinkToFit="1"/>
    </xf>
    <xf numFmtId="0" fontId="65" fillId="19" borderId="108" xfId="0" applyFont="1" applyFill="1" applyBorder="1" applyAlignment="1">
      <alignment horizontal="center" vertical="center" shrinkToFit="1"/>
    </xf>
    <xf numFmtId="3" fontId="65" fillId="19" borderId="104" xfId="11" applyNumberFormat="1" applyFont="1" applyFill="1" applyBorder="1" applyAlignment="1">
      <alignment horizontal="center" vertical="center" wrapText="1" shrinkToFit="1"/>
    </xf>
    <xf numFmtId="3" fontId="65" fillId="20" borderId="104" xfId="11" applyNumberFormat="1" applyFont="1" applyFill="1" applyBorder="1" applyAlignment="1">
      <alignment horizontal="center" vertical="center" wrapText="1" shrinkToFit="1"/>
    </xf>
    <xf numFmtId="187" fontId="65" fillId="19" borderId="105" xfId="1" applyNumberFormat="1" applyFont="1" applyFill="1" applyBorder="1" applyAlignment="1">
      <alignment horizontal="center" vertical="center" shrinkToFit="1"/>
    </xf>
    <xf numFmtId="0" fontId="24" fillId="12" borderId="103" xfId="12" applyFont="1" applyFill="1" applyBorder="1" applyAlignment="1">
      <alignment horizontal="center" vertical="center" wrapText="1"/>
    </xf>
    <xf numFmtId="0" fontId="24" fillId="12" borderId="107" xfId="12" applyFont="1" applyFill="1" applyBorder="1" applyAlignment="1">
      <alignment horizontal="center" vertical="center" wrapText="1"/>
    </xf>
    <xf numFmtId="0" fontId="24" fillId="12" borderId="108" xfId="12" applyFont="1" applyFill="1" applyBorder="1" applyAlignment="1">
      <alignment horizontal="center" vertical="center" wrapText="1"/>
    </xf>
    <xf numFmtId="187" fontId="72" fillId="51" borderId="723" xfId="1" applyNumberFormat="1" applyFont="1" applyFill="1" applyBorder="1" applyAlignment="1">
      <alignment horizontal="center" vertical="center" shrinkToFit="1"/>
    </xf>
    <xf numFmtId="187" fontId="72" fillId="33" borderId="723" xfId="1" applyNumberFormat="1" applyFont="1" applyFill="1" applyBorder="1" applyAlignment="1">
      <alignment horizontal="center" vertical="center" shrinkToFit="1"/>
    </xf>
    <xf numFmtId="180" fontId="54" fillId="51" borderId="723" xfId="0" applyNumberFormat="1" applyFont="1" applyFill="1" applyBorder="1" applyAlignment="1">
      <alignment horizontal="center" vertical="center" shrinkToFit="1"/>
    </xf>
    <xf numFmtId="180" fontId="24" fillId="51" borderId="723" xfId="0" applyNumberFormat="1" applyFont="1" applyFill="1" applyBorder="1" applyAlignment="1">
      <alignment horizontal="center" vertical="center" shrinkToFit="1"/>
    </xf>
    <xf numFmtId="0" fontId="65" fillId="19" borderId="104" xfId="11" applyFont="1" applyFill="1" applyBorder="1" applyAlignment="1">
      <alignment horizontal="center" vertical="center" wrapText="1" shrinkToFit="1"/>
    </xf>
    <xf numFmtId="0" fontId="65" fillId="19" borderId="118" xfId="11" applyFont="1" applyFill="1" applyBorder="1" applyAlignment="1">
      <alignment horizontal="center" vertical="center" wrapText="1" shrinkToFit="1"/>
    </xf>
    <xf numFmtId="187" fontId="65" fillId="19" borderId="118" xfId="1" applyNumberFormat="1" applyFont="1" applyFill="1" applyBorder="1" applyAlignment="1">
      <alignment horizontal="center" vertical="center" shrinkToFit="1"/>
    </xf>
    <xf numFmtId="187" fontId="65" fillId="19" borderId="104" xfId="11" applyNumberFormat="1" applyFont="1" applyFill="1" applyBorder="1" applyAlignment="1">
      <alignment horizontal="center" vertical="center" wrapText="1" shrinkToFit="1"/>
    </xf>
    <xf numFmtId="187" fontId="65" fillId="19" borderId="106" xfId="0" applyNumberFormat="1" applyFont="1" applyFill="1" applyBorder="1" applyAlignment="1">
      <alignment horizontal="center" vertical="center" shrinkToFit="1"/>
    </xf>
    <xf numFmtId="187" fontId="65" fillId="19" borderId="107" xfId="0" applyNumberFormat="1" applyFont="1" applyFill="1" applyBorder="1" applyAlignment="1">
      <alignment horizontal="center" vertical="center" shrinkToFit="1"/>
    </xf>
    <xf numFmtId="187" fontId="65" fillId="19" borderId="108" xfId="0" applyNumberFormat="1" applyFont="1" applyFill="1" applyBorder="1" applyAlignment="1">
      <alignment horizontal="center" vertical="center" shrinkToFit="1"/>
    </xf>
    <xf numFmtId="3" fontId="62" fillId="21" borderId="109" xfId="0" applyNumberFormat="1" applyFont="1" applyFill="1" applyBorder="1" applyAlignment="1">
      <alignment horizontal="center" vertical="center" shrinkToFit="1"/>
    </xf>
    <xf numFmtId="180" fontId="62" fillId="20" borderId="110" xfId="13" applyNumberFormat="1" applyFont="1" applyFill="1" applyBorder="1" applyAlignment="1">
      <alignment horizontal="center" vertical="center" wrapText="1"/>
    </xf>
    <xf numFmtId="180" fontId="62" fillId="20" borderId="104" xfId="13" applyNumberFormat="1" applyFont="1" applyFill="1" applyBorder="1" applyAlignment="1">
      <alignment horizontal="center" vertical="center" wrapText="1"/>
    </xf>
    <xf numFmtId="188" fontId="66" fillId="20" borderId="111" xfId="13" applyNumberFormat="1" applyFont="1" applyFill="1" applyBorder="1" applyAlignment="1">
      <alignment horizontal="center" vertical="center" shrinkToFit="1"/>
    </xf>
    <xf numFmtId="0" fontId="195" fillId="0" borderId="0" xfId="17" applyFont="1" applyAlignment="1">
      <alignment horizontal="left" vertical="top" wrapText="1"/>
    </xf>
    <xf numFmtId="0" fontId="342" fillId="0" borderId="0" xfId="17" applyFont="1" applyAlignment="1">
      <alignment horizontal="left" vertical="top" wrapText="1"/>
    </xf>
    <xf numFmtId="0" fontId="206" fillId="0" borderId="123" xfId="0" applyFont="1" applyBorder="1" applyAlignment="1">
      <alignment horizontal="center" vertical="center"/>
    </xf>
    <xf numFmtId="0" fontId="206" fillId="0" borderId="934" xfId="0" applyFont="1" applyBorder="1" applyAlignment="1">
      <alignment horizontal="center" vertical="center"/>
    </xf>
    <xf numFmtId="0" fontId="206" fillId="0" borderId="160" xfId="0" applyFont="1" applyBorder="1" applyAlignment="1">
      <alignment horizontal="center" vertical="center"/>
    </xf>
    <xf numFmtId="0" fontId="206" fillId="0" borderId="935" xfId="0" applyFont="1" applyBorder="1" applyAlignment="1">
      <alignment horizontal="center" vertical="center"/>
    </xf>
    <xf numFmtId="0" fontId="0" fillId="0" borderId="0" xfId="0" applyAlignment="1">
      <alignment horizontal="center" vertical="center"/>
    </xf>
    <xf numFmtId="0" fontId="0" fillId="0" borderId="101" xfId="0" applyBorder="1" applyAlignment="1">
      <alignment horizontal="center" vertical="center"/>
    </xf>
    <xf numFmtId="0" fontId="0" fillId="53" borderId="123" xfId="0" applyFill="1" applyBorder="1" applyAlignment="1">
      <alignment horizontal="center" vertical="center"/>
    </xf>
    <xf numFmtId="0" fontId="0" fillId="53" borderId="934" xfId="0" applyFill="1" applyBorder="1" applyAlignment="1">
      <alignment horizontal="center" vertical="center"/>
    </xf>
    <xf numFmtId="0" fontId="0" fillId="53" borderId="160" xfId="0" applyFill="1" applyBorder="1" applyAlignment="1">
      <alignment horizontal="center" vertical="center"/>
    </xf>
    <xf numFmtId="0" fontId="0" fillId="53" borderId="935" xfId="0" applyFill="1" applyBorder="1" applyAlignment="1">
      <alignment horizontal="center" vertical="center"/>
    </xf>
    <xf numFmtId="0" fontId="0" fillId="0" borderId="159" xfId="0" applyBorder="1" applyAlignment="1">
      <alignment horizontal="center" vertical="center"/>
    </xf>
    <xf numFmtId="0" fontId="0" fillId="40" borderId="78" xfId="0" applyFill="1" applyBorder="1" applyAlignment="1">
      <alignment horizontal="center" vertical="center"/>
    </xf>
    <xf numFmtId="0" fontId="0" fillId="40" borderId="936" xfId="0" applyFill="1" applyBorder="1" applyAlignment="1">
      <alignment horizontal="center" vertical="center"/>
    </xf>
    <xf numFmtId="0" fontId="0" fillId="40" borderId="194" xfId="0" applyFill="1" applyBorder="1" applyAlignment="1">
      <alignment horizontal="center" vertical="center"/>
    </xf>
    <xf numFmtId="0" fontId="0" fillId="40" borderId="937" xfId="0" applyFill="1" applyBorder="1" applyAlignment="1">
      <alignment horizontal="center" vertical="center"/>
    </xf>
    <xf numFmtId="0" fontId="0" fillId="0" borderId="5" xfId="21" applyFont="1" applyBorder="1" applyAlignment="1">
      <alignment horizontal="center" vertical="center"/>
    </xf>
    <xf numFmtId="0" fontId="0" fillId="0" borderId="97" xfId="21" applyFont="1" applyBorder="1" applyAlignment="1">
      <alignment horizontal="center" vertical="center"/>
    </xf>
    <xf numFmtId="38" fontId="0" fillId="0" borderId="5" xfId="22" applyFont="1" applyBorder="1" applyAlignment="1">
      <alignment horizontal="right" vertical="center"/>
    </xf>
    <xf numFmtId="38" fontId="0" fillId="0" borderId="97" xfId="22" applyFont="1" applyBorder="1" applyAlignment="1">
      <alignment horizontal="right" vertical="center"/>
    </xf>
    <xf numFmtId="0" fontId="0" fillId="0" borderId="27" xfId="21" applyFont="1" applyBorder="1" applyAlignment="1">
      <alignment horizontal="center" vertical="center"/>
    </xf>
    <xf numFmtId="38" fontId="0" fillId="0" borderId="27" xfId="22" applyFont="1" applyBorder="1" applyAlignment="1">
      <alignment horizontal="right" vertical="center"/>
    </xf>
    <xf numFmtId="38" fontId="0" fillId="0" borderId="26" xfId="22" applyFont="1" applyBorder="1" applyAlignment="1">
      <alignment horizontal="right" vertical="center"/>
    </xf>
    <xf numFmtId="181" fontId="152" fillId="0" borderId="27" xfId="0" applyNumberFormat="1" applyFont="1" applyBorder="1" applyAlignment="1">
      <alignment horizontal="right" vertical="center"/>
    </xf>
    <xf numFmtId="181" fontId="152" fillId="0" borderId="26" xfId="0" applyNumberFormat="1" applyFont="1" applyBorder="1" applyAlignment="1">
      <alignment horizontal="right" vertical="center"/>
    </xf>
    <xf numFmtId="181" fontId="152" fillId="0" borderId="28" xfId="0" applyNumberFormat="1" applyFont="1" applyBorder="1" applyAlignment="1">
      <alignment horizontal="right" vertical="center"/>
    </xf>
    <xf numFmtId="0" fontId="0" fillId="0" borderId="377" xfId="0" applyBorder="1" applyAlignment="1">
      <alignment horizontal="center" vertical="center"/>
    </xf>
    <xf numFmtId="0" fontId="0" fillId="0" borderId="378" xfId="0" applyBorder="1" applyAlignment="1">
      <alignment horizontal="center" vertical="center"/>
    </xf>
    <xf numFmtId="0" fontId="0" fillId="0" borderId="5" xfId="0" applyBorder="1" applyAlignment="1">
      <alignment horizontal="center" vertical="center"/>
    </xf>
    <xf numFmtId="0" fontId="0" fillId="0" borderId="28" xfId="0" applyBorder="1" applyAlignment="1">
      <alignment horizontal="center" vertical="center"/>
    </xf>
    <xf numFmtId="0" fontId="0" fillId="30" borderId="5" xfId="0" applyFill="1" applyBorder="1" applyAlignment="1">
      <alignment horizontal="center" vertical="center"/>
    </xf>
    <xf numFmtId="0" fontId="62" fillId="21" borderId="106" xfId="0" applyFont="1" applyFill="1" applyBorder="1" applyAlignment="1">
      <alignment horizontal="center" vertical="center" shrinkToFit="1"/>
    </xf>
    <xf numFmtId="0" fontId="62" fillId="21" borderId="107" xfId="0" applyFont="1" applyFill="1" applyBorder="1" applyAlignment="1">
      <alignment horizontal="center" vertical="center" shrinkToFit="1"/>
    </xf>
    <xf numFmtId="3" fontId="62" fillId="22" borderId="106" xfId="0" applyNumberFormat="1" applyFont="1" applyFill="1" applyBorder="1" applyAlignment="1">
      <alignment horizontal="center" vertical="center" shrinkToFit="1"/>
    </xf>
    <xf numFmtId="3" fontId="62" fillId="22" borderId="109" xfId="0" applyNumberFormat="1" applyFont="1" applyFill="1" applyBorder="1" applyAlignment="1">
      <alignment horizontal="center" vertical="center" shrinkToFit="1"/>
    </xf>
    <xf numFmtId="0" fontId="65" fillId="19" borderId="102" xfId="0" applyFont="1" applyFill="1" applyBorder="1" applyAlignment="1">
      <alignment horizontal="center" vertical="center" shrinkToFit="1"/>
    </xf>
    <xf numFmtId="3" fontId="79" fillId="6" borderId="104" xfId="11" applyNumberFormat="1" applyFont="1" applyFill="1" applyBorder="1" applyAlignment="1">
      <alignment horizontal="center" vertical="center" wrapText="1" shrinkToFit="1"/>
    </xf>
    <xf numFmtId="187" fontId="82" fillId="6" borderId="105" xfId="1" applyNumberFormat="1" applyFont="1" applyFill="1" applyBorder="1" applyAlignment="1">
      <alignment horizontal="center" vertical="center" shrinkToFit="1"/>
    </xf>
    <xf numFmtId="188" fontId="68" fillId="6" borderId="104" xfId="13" applyNumberFormat="1" applyFont="1" applyFill="1" applyBorder="1" applyAlignment="1">
      <alignment horizontal="center" vertical="center" shrinkToFit="1"/>
    </xf>
    <xf numFmtId="188" fontId="68" fillId="6" borderId="118" xfId="13" applyNumberFormat="1" applyFont="1" applyFill="1" applyBorder="1" applyAlignment="1">
      <alignment horizontal="center" vertical="center" shrinkToFit="1"/>
    </xf>
    <xf numFmtId="0" fontId="64" fillId="0" borderId="250" xfId="12" applyFont="1" applyBorder="1" applyAlignment="1">
      <alignment horizontal="left" vertical="top" wrapText="1"/>
    </xf>
    <xf numFmtId="0" fontId="64" fillId="0" borderId="251" xfId="12" applyFont="1" applyBorder="1" applyAlignment="1">
      <alignment horizontal="left" vertical="top" wrapText="1"/>
    </xf>
    <xf numFmtId="0" fontId="64" fillId="0" borderId="0" xfId="12" applyFont="1" applyAlignment="1">
      <alignment horizontal="left" vertical="top" wrapText="1"/>
    </xf>
    <xf numFmtId="0" fontId="64" fillId="0" borderId="258" xfId="12" applyFont="1" applyBorder="1" applyAlignment="1">
      <alignment horizontal="left" vertical="top" wrapText="1"/>
    </xf>
    <xf numFmtId="188" fontId="67" fillId="23" borderId="112" xfId="13" applyNumberFormat="1" applyFont="1" applyFill="1" applyBorder="1" applyAlignment="1">
      <alignment horizontal="center" vertical="center" shrinkToFit="1"/>
    </xf>
    <xf numFmtId="3" fontId="65" fillId="19" borderId="106" xfId="11" applyNumberFormat="1" applyFont="1" applyFill="1" applyBorder="1" applyAlignment="1">
      <alignment horizontal="center" vertical="center" wrapText="1" shrinkToFit="1"/>
    </xf>
    <xf numFmtId="3" fontId="65" fillId="19" borderId="107" xfId="11" applyNumberFormat="1" applyFont="1" applyFill="1" applyBorder="1" applyAlignment="1">
      <alignment horizontal="center" vertical="center" wrapText="1" shrinkToFit="1"/>
    </xf>
    <xf numFmtId="3" fontId="65" fillId="19" borderId="108" xfId="11" applyNumberFormat="1" applyFont="1" applyFill="1" applyBorder="1" applyAlignment="1">
      <alignment horizontal="center" vertical="center" wrapText="1" shrinkToFit="1"/>
    </xf>
    <xf numFmtId="0" fontId="65" fillId="19" borderId="105" xfId="11" applyFont="1" applyFill="1" applyBorder="1" applyAlignment="1">
      <alignment horizontal="center" vertical="center" wrapText="1" shrinkToFit="1"/>
    </xf>
    <xf numFmtId="0" fontId="161" fillId="0" borderId="81" xfId="0" applyFont="1" applyBorder="1" applyAlignment="1">
      <alignment horizontal="center" vertical="center"/>
    </xf>
    <xf numFmtId="0" fontId="161" fillId="0" borderId="716" xfId="0" applyFont="1" applyBorder="1" applyAlignment="1">
      <alignment horizontal="center" vertical="center"/>
    </xf>
    <xf numFmtId="0" fontId="161" fillId="0" borderId="717" xfId="0" applyFont="1" applyBorder="1" applyAlignment="1">
      <alignment horizontal="center" vertical="center"/>
    </xf>
    <xf numFmtId="188" fontId="67" fillId="23" borderId="191" xfId="13" applyNumberFormat="1" applyFont="1" applyFill="1" applyBorder="1" applyAlignment="1">
      <alignment horizontal="center" vertical="center" shrinkToFit="1"/>
    </xf>
    <xf numFmtId="188" fontId="68" fillId="6" borderId="32" xfId="13" applyNumberFormat="1" applyFont="1" applyFill="1" applyBorder="1" applyAlignment="1">
      <alignment horizontal="center" vertical="center" shrinkToFit="1"/>
    </xf>
    <xf numFmtId="0" fontId="84" fillId="9" borderId="291" xfId="1" applyNumberFormat="1" applyFont="1" applyFill="1" applyBorder="1" applyAlignment="1">
      <alignment horizontal="center" vertical="center" wrapText="1" shrinkToFit="1"/>
    </xf>
    <xf numFmtId="0" fontId="84" fillId="9" borderId="303" xfId="1" applyNumberFormat="1" applyFont="1" applyFill="1" applyBorder="1" applyAlignment="1">
      <alignment horizontal="center" vertical="center" wrapText="1" shrinkToFit="1"/>
    </xf>
    <xf numFmtId="0" fontId="84" fillId="9" borderId="292" xfId="1" applyNumberFormat="1" applyFont="1" applyFill="1" applyBorder="1" applyAlignment="1">
      <alignment horizontal="center" vertical="center" wrapText="1" shrinkToFit="1"/>
    </xf>
    <xf numFmtId="0" fontId="84" fillId="9" borderId="304" xfId="1" applyNumberFormat="1" applyFont="1" applyFill="1" applyBorder="1" applyAlignment="1">
      <alignment horizontal="center" vertical="center" wrapText="1" shrinkToFit="1"/>
    </xf>
    <xf numFmtId="38" fontId="43" fillId="9" borderId="276" xfId="1" applyFont="1" applyFill="1" applyBorder="1" applyAlignment="1">
      <alignment horizontal="center" vertical="center" shrinkToFit="1"/>
    </xf>
    <xf numFmtId="38" fontId="43" fillId="9" borderId="277" xfId="1" applyFont="1" applyFill="1" applyBorder="1" applyAlignment="1">
      <alignment horizontal="center" vertical="center" shrinkToFit="1"/>
    </xf>
    <xf numFmtId="38" fontId="43" fillId="9" borderId="278" xfId="1" applyFont="1" applyFill="1" applyBorder="1" applyAlignment="1">
      <alignment horizontal="center" vertical="center" shrinkToFit="1"/>
    </xf>
    <xf numFmtId="38" fontId="43" fillId="9" borderId="285" xfId="1" applyFont="1" applyFill="1" applyBorder="1" applyAlignment="1">
      <alignment horizontal="center" vertical="center" shrinkToFit="1"/>
    </xf>
    <xf numFmtId="38" fontId="43" fillId="9" borderId="286" xfId="1" applyFont="1" applyFill="1" applyBorder="1" applyAlignment="1">
      <alignment horizontal="center" vertical="center" shrinkToFit="1"/>
    </xf>
    <xf numFmtId="38" fontId="43" fillId="9" borderId="287" xfId="1" applyFont="1" applyFill="1" applyBorder="1" applyAlignment="1">
      <alignment horizontal="center" vertical="center" shrinkToFit="1"/>
    </xf>
    <xf numFmtId="38" fontId="43" fillId="9" borderId="288" xfId="1" applyFont="1" applyFill="1" applyBorder="1" applyAlignment="1">
      <alignment horizontal="center" vertical="center" shrinkToFit="1"/>
    </xf>
    <xf numFmtId="0" fontId="84" fillId="9" borderId="290" xfId="1" applyNumberFormat="1" applyFont="1" applyFill="1" applyBorder="1" applyAlignment="1">
      <alignment horizontal="center" vertical="center" wrapText="1" shrinkToFit="1"/>
    </xf>
    <xf numFmtId="0" fontId="84" fillId="9" borderId="302" xfId="1" applyNumberFormat="1" applyFont="1" applyFill="1" applyBorder="1" applyAlignment="1">
      <alignment horizontal="center" vertical="center" wrapText="1" shrinkToFit="1"/>
    </xf>
    <xf numFmtId="0" fontId="84" fillId="9" borderId="568" xfId="1" applyNumberFormat="1" applyFont="1" applyFill="1" applyBorder="1" applyAlignment="1">
      <alignment horizontal="center" vertical="center" wrapText="1" shrinkToFit="1"/>
    </xf>
    <xf numFmtId="0" fontId="84" fillId="9" borderId="569" xfId="1" applyNumberFormat="1" applyFont="1" applyFill="1" applyBorder="1" applyAlignment="1">
      <alignment horizontal="center" vertical="center" wrapText="1" shrinkToFit="1"/>
    </xf>
    <xf numFmtId="0" fontId="45" fillId="0" borderId="8" xfId="13" applyFont="1" applyBorder="1" applyAlignment="1">
      <alignment horizontal="left" vertical="center" shrinkToFit="1"/>
    </xf>
    <xf numFmtId="0" fontId="45" fillId="0" borderId="9" xfId="13" applyFont="1" applyBorder="1" applyAlignment="1">
      <alignment horizontal="left" vertical="center" shrinkToFit="1"/>
    </xf>
    <xf numFmtId="0" fontId="43" fillId="2" borderId="37" xfId="0" applyFont="1" applyFill="1" applyBorder="1" applyAlignment="1">
      <alignment horizontal="center" vertical="center" shrinkToFit="1"/>
    </xf>
    <xf numFmtId="0" fontId="43" fillId="2" borderId="39" xfId="0" applyFont="1" applyFill="1" applyBorder="1" applyAlignment="1">
      <alignment horizontal="center" vertical="center" shrinkToFit="1"/>
    </xf>
    <xf numFmtId="0" fontId="43" fillId="2" borderId="6" xfId="0" applyFont="1" applyFill="1" applyBorder="1" applyAlignment="1">
      <alignment horizontal="center" vertical="center" shrinkToFit="1"/>
    </xf>
    <xf numFmtId="0" fontId="43" fillId="2" borderId="142" xfId="0" applyFont="1" applyFill="1" applyBorder="1" applyAlignment="1">
      <alignment horizontal="center" vertical="center" shrinkToFit="1"/>
    </xf>
    <xf numFmtId="199" fontId="87" fillId="0" borderId="581" xfId="1" applyNumberFormat="1" applyFont="1" applyFill="1" applyBorder="1" applyAlignment="1">
      <alignment horizontal="center" vertical="center" shrinkToFit="1"/>
    </xf>
    <xf numFmtId="199" fontId="87" fillId="0" borderId="6" xfId="1" applyNumberFormat="1" applyFont="1" applyFill="1" applyBorder="1" applyAlignment="1">
      <alignment horizontal="center" vertical="center" shrinkToFit="1"/>
    </xf>
    <xf numFmtId="199" fontId="87" fillId="0" borderId="37" xfId="1" applyNumberFormat="1" applyFont="1" applyFill="1" applyBorder="1" applyAlignment="1">
      <alignment horizontal="center" vertical="center" shrinkToFit="1"/>
    </xf>
    <xf numFmtId="199" fontId="87" fillId="0" borderId="615" xfId="1" applyNumberFormat="1" applyFont="1" applyFill="1" applyBorder="1" applyAlignment="1">
      <alignment horizontal="center" vertical="center" shrinkToFit="1"/>
    </xf>
    <xf numFmtId="199" fontId="87" fillId="0" borderId="40" xfId="1" applyNumberFormat="1" applyFont="1" applyFill="1" applyBorder="1" applyAlignment="1">
      <alignment horizontal="center" vertical="center" shrinkToFit="1"/>
    </xf>
    <xf numFmtId="199" fontId="87" fillId="0" borderId="27" xfId="1" applyNumberFormat="1" applyFont="1" applyBorder="1" applyAlignment="1">
      <alignment horizontal="center" vertical="center" shrinkToFit="1"/>
    </xf>
    <xf numFmtId="199" fontId="87" fillId="0" borderId="28" xfId="1" applyNumberFormat="1" applyFont="1" applyBorder="1" applyAlignment="1">
      <alignment horizontal="center" vertical="center" shrinkToFit="1"/>
    </xf>
    <xf numFmtId="199" fontId="87" fillId="0" borderId="5" xfId="1" applyNumberFormat="1" applyFont="1" applyBorder="1" applyAlignment="1">
      <alignment horizontal="center" vertical="center" shrinkToFit="1"/>
    </xf>
    <xf numFmtId="199" fontId="87" fillId="0" borderId="26" xfId="1" applyNumberFormat="1" applyFont="1" applyBorder="1" applyAlignment="1">
      <alignment horizontal="center" vertical="center" shrinkToFit="1"/>
    </xf>
    <xf numFmtId="0" fontId="43" fillId="2" borderId="27" xfId="0" applyFont="1" applyFill="1" applyBorder="1" applyAlignment="1">
      <alignment horizontal="center" vertical="center" wrapText="1" shrinkToFit="1"/>
    </xf>
    <xf numFmtId="0" fontId="43" fillId="2" borderId="26" xfId="0" applyFont="1" applyFill="1" applyBorder="1" applyAlignment="1">
      <alignment horizontal="center" vertical="center" shrinkToFit="1"/>
    </xf>
    <xf numFmtId="0" fontId="43" fillId="2" borderId="616" xfId="0" applyFont="1" applyFill="1" applyBorder="1" applyAlignment="1">
      <alignment horizontal="center" vertical="center" shrinkToFit="1"/>
    </xf>
    <xf numFmtId="0" fontId="43" fillId="2" borderId="28" xfId="0" applyFont="1" applyFill="1" applyBorder="1" applyAlignment="1">
      <alignment horizontal="center" vertical="center" shrinkToFit="1"/>
    </xf>
    <xf numFmtId="0" fontId="88" fillId="6" borderId="27" xfId="0" applyFont="1" applyFill="1" applyBorder="1" applyAlignment="1">
      <alignment horizontal="center" vertical="center" shrinkToFit="1"/>
    </xf>
    <xf numFmtId="0" fontId="88" fillId="6" borderId="26" xfId="0" applyFont="1" applyFill="1" applyBorder="1" applyAlignment="1">
      <alignment horizontal="center" vertical="center" shrinkToFit="1"/>
    </xf>
    <xf numFmtId="0" fontId="88" fillId="6" borderId="616" xfId="0" applyFont="1" applyFill="1" applyBorder="1" applyAlignment="1">
      <alignment horizontal="center" vertical="center" shrinkToFit="1"/>
    </xf>
    <xf numFmtId="0" fontId="88" fillId="6" borderId="27" xfId="0" applyFont="1" applyFill="1" applyBorder="1" applyAlignment="1">
      <alignment horizontal="center" vertical="center" wrapText="1" shrinkToFit="1"/>
    </xf>
    <xf numFmtId="181" fontId="62" fillId="0" borderId="0" xfId="0" applyNumberFormat="1" applyFont="1" applyAlignment="1">
      <alignment horizontal="right" vertical="center" shrinkToFit="1"/>
    </xf>
    <xf numFmtId="181" fontId="62" fillId="0" borderId="913" xfId="0" applyNumberFormat="1" applyFont="1" applyBorder="1" applyAlignment="1">
      <alignment horizontal="right" vertical="center" shrinkToFit="1"/>
    </xf>
    <xf numFmtId="14" fontId="53" fillId="12" borderId="50" xfId="13" applyNumberFormat="1" applyFont="1" applyFill="1" applyBorder="1" applyAlignment="1">
      <alignment horizontal="center" vertical="center" wrapText="1" shrinkToFit="1"/>
    </xf>
    <xf numFmtId="14" fontId="53" fillId="12" borderId="26" xfId="13" applyNumberFormat="1" applyFont="1" applyFill="1" applyBorder="1" applyAlignment="1">
      <alignment horizontal="center" vertical="center" shrinkToFit="1"/>
    </xf>
    <xf numFmtId="14" fontId="53" fillId="18" borderId="50" xfId="13" applyNumberFormat="1" applyFont="1" applyFill="1" applyBorder="1" applyAlignment="1">
      <alignment horizontal="center" vertical="center" wrapText="1" shrinkToFit="1"/>
    </xf>
    <xf numFmtId="14" fontId="53" fillId="18" borderId="26" xfId="13" applyNumberFormat="1" applyFont="1" applyFill="1" applyBorder="1" applyAlignment="1">
      <alignment horizontal="center" vertical="center" shrinkToFit="1"/>
    </xf>
    <xf numFmtId="14" fontId="53" fillId="29" borderId="50" xfId="13" applyNumberFormat="1" applyFont="1" applyFill="1" applyBorder="1" applyAlignment="1">
      <alignment horizontal="center" vertical="center" shrinkToFit="1"/>
    </xf>
    <xf numFmtId="14" fontId="53" fillId="29" borderId="26" xfId="13" applyNumberFormat="1" applyFont="1" applyFill="1" applyBorder="1" applyAlignment="1">
      <alignment horizontal="center" vertical="center" shrinkToFit="1"/>
    </xf>
    <xf numFmtId="180" fontId="87" fillId="24" borderId="50" xfId="11" applyNumberFormat="1" applyFont="1" applyFill="1" applyBorder="1" applyAlignment="1">
      <alignment horizontal="center" vertical="center" wrapText="1"/>
    </xf>
    <xf numFmtId="180" fontId="87" fillId="24" borderId="26" xfId="11" applyNumberFormat="1" applyFont="1" applyFill="1" applyBorder="1" applyAlignment="1">
      <alignment horizontal="center" vertical="center" wrapText="1"/>
    </xf>
    <xf numFmtId="180" fontId="87" fillId="24" borderId="722" xfId="11" applyNumberFormat="1" applyFont="1" applyFill="1" applyBorder="1" applyAlignment="1">
      <alignment horizontal="center" vertical="center" wrapText="1"/>
    </xf>
    <xf numFmtId="180" fontId="87" fillId="24" borderId="6" xfId="11" applyNumberFormat="1" applyFont="1" applyFill="1" applyBorder="1" applyAlignment="1">
      <alignment horizontal="center" vertical="center" wrapText="1"/>
    </xf>
    <xf numFmtId="38" fontId="45" fillId="9" borderId="51" xfId="1" applyFont="1" applyFill="1" applyBorder="1" applyAlignment="1">
      <alignment horizontal="center" vertical="center" wrapText="1" shrinkToFit="1"/>
    </xf>
    <xf numFmtId="38" fontId="45" fillId="9" borderId="121" xfId="1" applyFont="1" applyFill="1" applyBorder="1" applyAlignment="1">
      <alignment horizontal="center" vertical="center" wrapText="1" shrinkToFit="1"/>
    </xf>
    <xf numFmtId="14" fontId="53" fillId="12" borderId="26" xfId="13" applyNumberFormat="1" applyFont="1" applyFill="1" applyBorder="1" applyAlignment="1">
      <alignment horizontal="center" vertical="center" wrapText="1" shrinkToFit="1"/>
    </xf>
    <xf numFmtId="14" fontId="53" fillId="12" borderId="50" xfId="13" applyNumberFormat="1" applyFont="1" applyFill="1" applyBorder="1" applyAlignment="1">
      <alignment horizontal="center" vertical="center" shrinkToFit="1"/>
    </xf>
    <xf numFmtId="0" fontId="45" fillId="16" borderId="1014" xfId="0" applyFont="1" applyFill="1" applyBorder="1" applyAlignment="1">
      <alignment horizontal="center" vertical="center" shrinkToFit="1"/>
    </xf>
    <xf numFmtId="0" fontId="45" fillId="16" borderId="1017" xfId="0" applyFont="1" applyFill="1" applyBorder="1" applyAlignment="1">
      <alignment horizontal="center" vertical="center" shrinkToFit="1"/>
    </xf>
    <xf numFmtId="0" fontId="45" fillId="16" borderId="1015" xfId="0" applyFont="1" applyFill="1" applyBorder="1" applyAlignment="1">
      <alignment horizontal="center" vertical="center" shrinkToFit="1"/>
    </xf>
    <xf numFmtId="0" fontId="45" fillId="16" borderId="159" xfId="0" applyFont="1" applyFill="1" applyBorder="1" applyAlignment="1">
      <alignment horizontal="center" vertical="center" shrinkToFit="1"/>
    </xf>
    <xf numFmtId="0" fontId="45" fillId="16" borderId="48" xfId="0" applyFont="1" applyFill="1" applyBorder="1" applyAlignment="1">
      <alignment horizontal="center" vertical="center" shrinkToFit="1"/>
    </xf>
    <xf numFmtId="0" fontId="45" fillId="16" borderId="1018" xfId="0" applyFont="1" applyFill="1" applyBorder="1" applyAlignment="1">
      <alignment horizontal="center" vertical="center" shrinkToFit="1"/>
    </xf>
    <xf numFmtId="0" fontId="45" fillId="16" borderId="101" xfId="0" applyFont="1" applyFill="1" applyBorder="1" applyAlignment="1">
      <alignment horizontal="center" vertical="center" shrinkToFit="1"/>
    </xf>
    <xf numFmtId="0" fontId="45" fillId="16" borderId="163" xfId="0" applyFont="1" applyFill="1" applyBorder="1" applyAlignment="1">
      <alignment horizontal="center" vertical="center" shrinkToFit="1"/>
    </xf>
    <xf numFmtId="0" fontId="62" fillId="18" borderId="50" xfId="11" applyFont="1" applyFill="1" applyBorder="1" applyAlignment="1">
      <alignment horizontal="center" vertical="center" wrapText="1"/>
    </xf>
    <xf numFmtId="0" fontId="62" fillId="18" borderId="118" xfId="11" applyFont="1" applyFill="1" applyBorder="1" applyAlignment="1">
      <alignment horizontal="center" vertical="center" wrapText="1"/>
    </xf>
    <xf numFmtId="0" fontId="62" fillId="18" borderId="954" xfId="11" applyFont="1" applyFill="1" applyBorder="1" applyAlignment="1">
      <alignment horizontal="center" vertical="center" wrapText="1"/>
    </xf>
    <xf numFmtId="0" fontId="62" fillId="18" borderId="956" xfId="11" applyFont="1" applyFill="1" applyBorder="1" applyAlignment="1">
      <alignment horizontal="center" vertical="center" wrapText="1"/>
    </xf>
    <xf numFmtId="0" fontId="62" fillId="18" borderId="86" xfId="11" applyFont="1" applyFill="1" applyBorder="1" applyAlignment="1">
      <alignment horizontal="center" vertical="center"/>
    </xf>
    <xf numFmtId="0" fontId="62" fillId="18" borderId="27" xfId="11" applyFont="1" applyFill="1" applyBorder="1" applyAlignment="1">
      <alignment horizontal="center" vertical="center"/>
    </xf>
    <xf numFmtId="38" fontId="45" fillId="9" borderId="972" xfId="1" applyFont="1" applyFill="1" applyBorder="1" applyAlignment="1">
      <alignment horizontal="center" vertical="center" shrinkToFit="1"/>
    </xf>
    <xf numFmtId="14" fontId="53" fillId="9" borderId="718" xfId="13" applyNumberFormat="1" applyFont="1" applyFill="1" applyBorder="1" applyAlignment="1">
      <alignment horizontal="center" vertical="center" shrinkToFit="1"/>
    </xf>
    <xf numFmtId="14" fontId="53" fillId="9" borderId="156" xfId="13" applyNumberFormat="1" applyFont="1" applyFill="1" applyBorder="1" applyAlignment="1">
      <alignment horizontal="center" vertical="center" shrinkToFit="1"/>
    </xf>
    <xf numFmtId="14" fontId="53" fillId="9" borderId="50" xfId="13" applyNumberFormat="1" applyFont="1" applyFill="1" applyBorder="1" applyAlignment="1">
      <alignment horizontal="center" vertical="center" shrinkToFit="1"/>
    </xf>
    <xf numFmtId="14" fontId="53" fillId="9" borderId="26" xfId="13" applyNumberFormat="1" applyFont="1" applyFill="1" applyBorder="1" applyAlignment="1">
      <alignment horizontal="center" vertical="center" shrinkToFit="1"/>
    </xf>
    <xf numFmtId="180" fontId="87" fillId="24" borderId="111" xfId="11" applyNumberFormat="1" applyFont="1" applyFill="1" applyBorder="1" applyAlignment="1">
      <alignment horizontal="center" vertical="center" wrapText="1"/>
    </xf>
    <xf numFmtId="38" fontId="45" fillId="9" borderId="977" xfId="1" applyFont="1" applyFill="1" applyBorder="1" applyAlignment="1">
      <alignment horizontal="center" vertical="center" wrapText="1" shrinkToFit="1"/>
    </xf>
    <xf numFmtId="199" fontId="45" fillId="0" borderId="0" xfId="0" applyNumberFormat="1" applyFont="1" applyAlignment="1">
      <alignment horizontal="center" vertical="center"/>
    </xf>
    <xf numFmtId="14" fontId="53" fillId="9" borderId="112" xfId="13" applyNumberFormat="1" applyFont="1" applyFill="1" applyBorder="1" applyAlignment="1">
      <alignment horizontal="center" vertical="center" shrinkToFit="1"/>
    </xf>
    <xf numFmtId="14" fontId="53" fillId="9" borderId="104" xfId="13" applyNumberFormat="1" applyFont="1" applyFill="1" applyBorder="1" applyAlignment="1">
      <alignment horizontal="center" vertical="center" shrinkToFit="1"/>
    </xf>
    <xf numFmtId="14" fontId="53" fillId="12" borderId="104" xfId="13" applyNumberFormat="1" applyFont="1" applyFill="1" applyBorder="1" applyAlignment="1">
      <alignment horizontal="center" vertical="center" wrapText="1" shrinkToFit="1"/>
    </xf>
    <xf numFmtId="14" fontId="53" fillId="12" borderId="104" xfId="13" applyNumberFormat="1" applyFont="1" applyFill="1" applyBorder="1" applyAlignment="1">
      <alignment horizontal="center" vertical="center" shrinkToFit="1"/>
    </xf>
    <xf numFmtId="14" fontId="53" fillId="18" borderId="104" xfId="13" applyNumberFormat="1" applyFont="1" applyFill="1" applyBorder="1" applyAlignment="1">
      <alignment horizontal="center" vertical="center" wrapText="1" shrinkToFit="1"/>
    </xf>
    <xf numFmtId="14" fontId="53" fillId="29" borderId="104" xfId="13" applyNumberFormat="1" applyFont="1" applyFill="1" applyBorder="1" applyAlignment="1">
      <alignment horizontal="center" vertical="center" shrinkToFit="1"/>
    </xf>
    <xf numFmtId="180" fontId="87" fillId="24" borderId="104" xfId="11" applyNumberFormat="1" applyFont="1" applyFill="1" applyBorder="1" applyAlignment="1">
      <alignment horizontal="center" vertical="center" wrapText="1"/>
    </xf>
    <xf numFmtId="0" fontId="104" fillId="0" borderId="0" xfId="13" applyFont="1" applyAlignment="1">
      <alignment horizontal="left" vertical="center" wrapText="1"/>
    </xf>
    <xf numFmtId="0" fontId="45" fillId="16" borderId="971" xfId="0" applyFont="1" applyFill="1" applyBorder="1" applyAlignment="1">
      <alignment horizontal="center" vertical="center" shrinkToFit="1"/>
    </xf>
    <xf numFmtId="0" fontId="45" fillId="16" borderId="972" xfId="0" applyFont="1" applyFill="1" applyBorder="1" applyAlignment="1">
      <alignment horizontal="center" vertical="center" shrinkToFit="1"/>
    </xf>
    <xf numFmtId="0" fontId="45" fillId="16" borderId="976" xfId="0" applyFont="1" applyFill="1" applyBorder="1" applyAlignment="1">
      <alignment horizontal="center" vertical="center" shrinkToFit="1"/>
    </xf>
    <xf numFmtId="0" fontId="45" fillId="16" borderId="1" xfId="0" applyFont="1" applyFill="1" applyBorder="1" applyAlignment="1">
      <alignment horizontal="center" vertical="center" shrinkToFit="1"/>
    </xf>
    <xf numFmtId="0" fontId="45" fillId="16" borderId="978" xfId="0" applyFont="1" applyFill="1" applyBorder="1" applyAlignment="1">
      <alignment horizontal="center" vertical="center" shrinkToFit="1"/>
    </xf>
    <xf numFmtId="0" fontId="45" fillId="16" borderId="14" xfId="0" applyFont="1" applyFill="1" applyBorder="1" applyAlignment="1">
      <alignment horizontal="center" vertical="center" shrinkToFit="1"/>
    </xf>
    <xf numFmtId="0" fontId="45" fillId="2" borderId="972" xfId="0" applyFont="1" applyFill="1" applyBorder="1" applyAlignment="1">
      <alignment horizontal="center" vertical="center" shrinkToFit="1"/>
    </xf>
    <xf numFmtId="0" fontId="45" fillId="2" borderId="1" xfId="0" applyFont="1" applyFill="1" applyBorder="1" applyAlignment="1">
      <alignment horizontal="center" vertical="center" shrinkToFit="1"/>
    </xf>
    <xf numFmtId="38" fontId="45" fillId="9" borderId="1" xfId="1" applyFont="1" applyFill="1" applyBorder="1" applyAlignment="1">
      <alignment horizontal="center" vertical="center" shrinkToFit="1"/>
    </xf>
    <xf numFmtId="3" fontId="65" fillId="19" borderId="118" xfId="11" applyNumberFormat="1" applyFont="1" applyFill="1" applyBorder="1" applyAlignment="1">
      <alignment horizontal="center" vertical="center" wrapText="1" shrinkToFit="1"/>
    </xf>
    <xf numFmtId="3" fontId="65" fillId="20" borderId="118" xfId="11" applyNumberFormat="1" applyFont="1" applyFill="1" applyBorder="1" applyAlignment="1">
      <alignment horizontal="center" vertical="center" wrapText="1" shrinkToFit="1"/>
    </xf>
    <xf numFmtId="0" fontId="160" fillId="0" borderId="81" xfId="0" applyFont="1" applyBorder="1" applyAlignment="1">
      <alignment horizontal="right" vertical="center"/>
    </xf>
    <xf numFmtId="0" fontId="160" fillId="0" borderId="716" xfId="0" applyFont="1" applyBorder="1" applyAlignment="1">
      <alignment horizontal="right" vertical="center"/>
    </xf>
    <xf numFmtId="0" fontId="160" fillId="0" borderId="717" xfId="0" applyFont="1" applyBorder="1" applyAlignment="1">
      <alignment horizontal="right" vertical="center"/>
    </xf>
    <xf numFmtId="187" fontId="65" fillId="19" borderId="104" xfId="1" applyNumberFormat="1" applyFont="1" applyFill="1" applyBorder="1" applyAlignment="1">
      <alignment horizontal="center" vertical="center" shrinkToFit="1"/>
    </xf>
    <xf numFmtId="187" fontId="65" fillId="19" borderId="118" xfId="11" applyNumberFormat="1" applyFont="1" applyFill="1" applyBorder="1" applyAlignment="1">
      <alignment horizontal="center" vertical="center" wrapText="1" shrinkToFit="1"/>
    </xf>
    <xf numFmtId="0" fontId="90" fillId="0" borderId="138" xfId="0" applyFont="1" applyBorder="1" applyAlignment="1">
      <alignment horizontal="left" vertical="center" wrapText="1" shrinkToFit="1"/>
    </xf>
    <xf numFmtId="0" fontId="90" fillId="0" borderId="0" xfId="0" applyFont="1" applyAlignment="1">
      <alignment horizontal="left" vertical="center" shrinkToFit="1"/>
    </xf>
    <xf numFmtId="180" fontId="62" fillId="20" borderId="112" xfId="13" applyNumberFormat="1" applyFont="1" applyFill="1" applyBorder="1" applyAlignment="1">
      <alignment horizontal="center" vertical="center" wrapText="1"/>
    </xf>
    <xf numFmtId="180" fontId="62" fillId="20" borderId="165" xfId="13" applyNumberFormat="1" applyFont="1" applyFill="1" applyBorder="1" applyAlignment="1">
      <alignment horizontal="center" vertical="center" wrapText="1"/>
    </xf>
    <xf numFmtId="180" fontId="62" fillId="20" borderId="118" xfId="13" applyNumberFormat="1" applyFont="1" applyFill="1" applyBorder="1" applyAlignment="1">
      <alignment horizontal="center" vertical="center" wrapText="1"/>
    </xf>
    <xf numFmtId="188" fontId="66" fillId="20" borderId="104" xfId="13" applyNumberFormat="1" applyFont="1" applyFill="1" applyBorder="1" applyAlignment="1">
      <alignment horizontal="center" vertical="center" shrinkToFit="1"/>
    </xf>
    <xf numFmtId="188" fontId="66" fillId="20" borderId="118" xfId="13" applyNumberFormat="1" applyFont="1" applyFill="1" applyBorder="1" applyAlignment="1">
      <alignment horizontal="center" vertical="center" shrinkToFit="1"/>
    </xf>
    <xf numFmtId="187" fontId="64" fillId="0" borderId="123" xfId="1" applyNumberFormat="1" applyFont="1" applyBorder="1" applyAlignment="1">
      <alignment horizontal="left" vertical="center" wrapText="1" shrinkToFit="1"/>
    </xf>
    <xf numFmtId="187" fontId="64" fillId="0" borderId="159" xfId="1" applyNumberFormat="1" applyFont="1" applyBorder="1" applyAlignment="1">
      <alignment horizontal="left" vertical="center" shrinkToFit="1"/>
    </xf>
    <xf numFmtId="187" fontId="64" fillId="0" borderId="660" xfId="1" applyNumberFormat="1" applyFont="1" applyBorder="1" applyAlignment="1">
      <alignment horizontal="left" vertical="center" shrinkToFit="1"/>
    </xf>
    <xf numFmtId="187" fontId="64" fillId="0" borderId="139" xfId="1" applyNumberFormat="1" applyFont="1" applyBorder="1" applyAlignment="1">
      <alignment horizontal="left" vertical="center" shrinkToFit="1"/>
    </xf>
    <xf numFmtId="187" fontId="64" fillId="0" borderId="0" xfId="1" applyNumberFormat="1" applyFont="1" applyBorder="1" applyAlignment="1">
      <alignment horizontal="left" vertical="center" shrinkToFit="1"/>
    </xf>
    <xf numFmtId="187" fontId="64" fillId="0" borderId="662" xfId="1" applyNumberFormat="1" applyFont="1" applyBorder="1" applyAlignment="1">
      <alignment horizontal="left" vertical="center" shrinkToFit="1"/>
    </xf>
    <xf numFmtId="187" fontId="64" fillId="0" borderId="160" xfId="1" applyNumberFormat="1" applyFont="1" applyBorder="1" applyAlignment="1">
      <alignment horizontal="left" vertical="center" shrinkToFit="1"/>
    </xf>
    <xf numFmtId="187" fontId="64" fillId="0" borderId="101" xfId="1" applyNumberFormat="1" applyFont="1" applyBorder="1" applyAlignment="1">
      <alignment horizontal="left" vertical="center" shrinkToFit="1"/>
    </xf>
    <xf numFmtId="187" fontId="64" fillId="0" borderId="664" xfId="1" applyNumberFormat="1" applyFont="1" applyBorder="1" applyAlignment="1">
      <alignment horizontal="left" vertical="center" shrinkToFit="1"/>
    </xf>
    <xf numFmtId="0" fontId="45" fillId="2" borderId="14" xfId="0" applyFont="1" applyFill="1" applyBorder="1" applyAlignment="1">
      <alignment horizontal="center" vertical="center" shrinkToFit="1"/>
    </xf>
    <xf numFmtId="0" fontId="88" fillId="0" borderId="840" xfId="13" applyFont="1" applyBorder="1" applyAlignment="1">
      <alignment horizontal="center" vertical="center" wrapText="1" shrinkToFit="1"/>
    </xf>
    <xf numFmtId="0" fontId="88" fillId="0" borderId="841" xfId="13" applyFont="1" applyBorder="1" applyAlignment="1">
      <alignment horizontal="center" vertical="center" wrapText="1" shrinkToFit="1"/>
    </xf>
    <xf numFmtId="0" fontId="88" fillId="0" borderId="842" xfId="13" applyFont="1" applyBorder="1" applyAlignment="1">
      <alignment horizontal="center" vertical="center" wrapText="1" shrinkToFit="1"/>
    </xf>
    <xf numFmtId="0" fontId="45" fillId="0" borderId="15" xfId="13" applyFont="1" applyBorder="1" applyAlignment="1">
      <alignment horizontal="center" vertical="center" wrapText="1" shrinkToFit="1"/>
    </xf>
    <xf numFmtId="0" fontId="45" fillId="0" borderId="20" xfId="13" applyFont="1" applyBorder="1" applyAlignment="1">
      <alignment horizontal="center" vertical="center" wrapText="1" shrinkToFit="1"/>
    </xf>
    <xf numFmtId="0" fontId="45" fillId="0" borderId="809" xfId="13" applyFont="1" applyBorder="1" applyAlignment="1">
      <alignment horizontal="center" vertical="center" wrapText="1" shrinkToFit="1"/>
    </xf>
    <xf numFmtId="0" fontId="45" fillId="16" borderId="712" xfId="0" applyFont="1" applyFill="1" applyBorder="1" applyAlignment="1">
      <alignment horizontal="center" vertical="center" shrinkToFit="1"/>
    </xf>
    <xf numFmtId="0" fontId="45" fillId="0" borderId="830" xfId="13" applyFont="1" applyBorder="1" applyAlignment="1">
      <alignment horizontal="center" vertical="center" wrapText="1" shrinkToFit="1"/>
    </xf>
    <xf numFmtId="0" fontId="45" fillId="0" borderId="812" xfId="13" applyFont="1" applyBorder="1" applyAlignment="1">
      <alignment horizontal="center" vertical="center" wrapText="1" shrinkToFit="1"/>
    </xf>
    <xf numFmtId="0" fontId="45" fillId="0" borderId="810" xfId="13" applyFont="1" applyBorder="1" applyAlignment="1">
      <alignment horizontal="center" vertical="center" wrapText="1" shrinkToFit="1"/>
    </xf>
    <xf numFmtId="0" fontId="43" fillId="16" borderId="273" xfId="0" applyFont="1" applyFill="1" applyBorder="1" applyAlignment="1">
      <alignment horizontal="center" vertical="center" shrinkToFit="1"/>
    </xf>
    <xf numFmtId="0" fontId="43" fillId="16" borderId="274" xfId="0" applyFont="1" applyFill="1" applyBorder="1" applyAlignment="1">
      <alignment horizontal="center" vertical="center" shrinkToFit="1"/>
    </xf>
    <xf numFmtId="0" fontId="43" fillId="16" borderId="279" xfId="0" applyFont="1" applyFill="1" applyBorder="1" applyAlignment="1">
      <alignment horizontal="center" vertical="center" shrinkToFit="1"/>
    </xf>
    <xf numFmtId="0" fontId="43" fillId="16" borderId="280" xfId="0" applyFont="1" applyFill="1" applyBorder="1" applyAlignment="1">
      <alignment horizontal="center" vertical="center" shrinkToFit="1"/>
    </xf>
    <xf numFmtId="0" fontId="43" fillId="16" borderId="293" xfId="0" applyFont="1" applyFill="1" applyBorder="1" applyAlignment="1">
      <alignment horizontal="center" vertical="center" shrinkToFit="1"/>
    </xf>
    <xf numFmtId="0" fontId="43" fillId="16" borderId="294" xfId="0" applyFont="1" applyFill="1" applyBorder="1" applyAlignment="1">
      <alignment horizontal="center" vertical="center" shrinkToFit="1"/>
    </xf>
    <xf numFmtId="38" fontId="44" fillId="0" borderId="275" xfId="1" applyFont="1" applyBorder="1" applyAlignment="1">
      <alignment horizontal="center" vertical="center" shrinkToFit="1"/>
    </xf>
    <xf numFmtId="38" fontId="44" fillId="0" borderId="364" xfId="1" applyFont="1" applyBorder="1" applyAlignment="1">
      <alignment horizontal="center" vertical="center" shrinkToFit="1"/>
    </xf>
    <xf numFmtId="0" fontId="42" fillId="0" borderId="27" xfId="1" applyNumberFormat="1" applyFont="1" applyFill="1" applyBorder="1" applyAlignment="1">
      <alignment horizontal="center" vertical="center" shrinkToFit="1"/>
    </xf>
    <xf numFmtId="0" fontId="42" fillId="0" borderId="881" xfId="1" applyNumberFormat="1" applyFont="1" applyFill="1" applyBorder="1" applyAlignment="1">
      <alignment horizontal="center" vertical="center" shrinkToFit="1"/>
    </xf>
    <xf numFmtId="38" fontId="43" fillId="13" borderId="274" xfId="1" applyFont="1" applyFill="1" applyBorder="1" applyAlignment="1">
      <alignment horizontal="center" vertical="center" shrinkToFit="1"/>
    </xf>
    <xf numFmtId="38" fontId="43" fillId="13" borderId="362" xfId="1" applyFont="1" applyFill="1" applyBorder="1" applyAlignment="1">
      <alignment horizontal="center" vertical="center" shrinkToFit="1"/>
    </xf>
    <xf numFmtId="0" fontId="45" fillId="0" borderId="279" xfId="13" applyFont="1" applyBorder="1" applyAlignment="1">
      <alignment horizontal="center" vertical="center" shrinkToFit="1"/>
    </xf>
    <xf numFmtId="0" fontId="45" fillId="0" borderId="280" xfId="13" applyFont="1" applyBorder="1" applyAlignment="1">
      <alignment horizontal="center" vertical="center" shrinkToFit="1"/>
    </xf>
    <xf numFmtId="0" fontId="45" fillId="0" borderId="365" xfId="13" applyFont="1" applyBorder="1" applyAlignment="1">
      <alignment horizontal="center" vertical="center" shrinkToFit="1"/>
    </xf>
    <xf numFmtId="0" fontId="45" fillId="0" borderId="362" xfId="13" applyFont="1" applyBorder="1" applyAlignment="1">
      <alignment horizontal="center" vertical="center" shrinkToFit="1"/>
    </xf>
    <xf numFmtId="0" fontId="45" fillId="0" borderId="274" xfId="13" applyFont="1" applyBorder="1" applyAlignment="1">
      <alignment horizontal="center" vertical="center" textRotation="255" shrinkToFit="1"/>
    </xf>
    <xf numFmtId="0" fontId="45" fillId="0" borderId="362" xfId="13" applyFont="1" applyBorder="1" applyAlignment="1">
      <alignment horizontal="center" vertical="center" textRotation="255" shrinkToFit="1"/>
    </xf>
    <xf numFmtId="0" fontId="42" fillId="8" borderId="27" xfId="1" applyNumberFormat="1" applyFont="1" applyFill="1" applyBorder="1" applyAlignment="1">
      <alignment horizontal="center" vertical="center" shrinkToFit="1"/>
    </xf>
    <xf numFmtId="0" fontId="42" fillId="8" borderId="26" xfId="1" applyNumberFormat="1" applyFont="1" applyFill="1" applyBorder="1" applyAlignment="1">
      <alignment horizontal="center" vertical="center" shrinkToFit="1"/>
    </xf>
    <xf numFmtId="0" fontId="42" fillId="8" borderId="28" xfId="1" applyNumberFormat="1" applyFont="1" applyFill="1" applyBorder="1" applyAlignment="1">
      <alignment horizontal="center" vertical="center" shrinkToFit="1"/>
    </xf>
    <xf numFmtId="0" fontId="43" fillId="14" borderId="81" xfId="5" applyFont="1" applyFill="1" applyBorder="1" applyAlignment="1">
      <alignment horizontal="right" vertical="center" shrinkToFit="1"/>
    </xf>
    <xf numFmtId="0" fontId="43" fillId="14" borderId="82" xfId="5" applyFont="1" applyFill="1" applyBorder="1" applyAlignment="1">
      <alignment horizontal="right" vertical="center" shrinkToFit="1"/>
    </xf>
    <xf numFmtId="0" fontId="43" fillId="14" borderId="83" xfId="5" applyFont="1" applyFill="1" applyBorder="1" applyAlignment="1">
      <alignment horizontal="right" vertical="center" shrinkToFit="1"/>
    </xf>
    <xf numFmtId="0" fontId="45" fillId="9" borderId="29" xfId="5" applyFont="1" applyFill="1" applyBorder="1" applyAlignment="1">
      <alignment horizontal="center" vertical="center" wrapText="1"/>
    </xf>
    <xf numFmtId="0" fontId="45" fillId="9" borderId="30" xfId="5" applyFont="1" applyFill="1" applyBorder="1" applyAlignment="1">
      <alignment horizontal="center" vertical="center" wrapText="1"/>
    </xf>
    <xf numFmtId="0" fontId="45" fillId="9" borderId="7" xfId="5" applyFont="1" applyFill="1" applyBorder="1" applyAlignment="1">
      <alignment horizontal="center" vertical="center"/>
    </xf>
    <xf numFmtId="0" fontId="45" fillId="9" borderId="8" xfId="5" applyFont="1" applyFill="1" applyBorder="1" applyAlignment="1">
      <alignment horizontal="center" vertical="center"/>
    </xf>
    <xf numFmtId="0" fontId="45" fillId="9" borderId="9" xfId="5" applyFont="1" applyFill="1" applyBorder="1" applyAlignment="1">
      <alignment horizontal="center" vertical="center"/>
    </xf>
    <xf numFmtId="0" fontId="0" fillId="0" borderId="37" xfId="5" applyFont="1" applyBorder="1" applyAlignment="1">
      <alignment horizontal="left" vertical="top" wrapText="1"/>
    </xf>
    <xf numFmtId="0" fontId="0" fillId="0" borderId="38" xfId="5" applyFont="1" applyBorder="1" applyAlignment="1">
      <alignment horizontal="left" vertical="top" wrapText="1"/>
    </xf>
    <xf numFmtId="0" fontId="0" fillId="0" borderId="39" xfId="5" applyFont="1" applyBorder="1" applyAlignment="1">
      <alignment horizontal="left" vertical="top" wrapText="1"/>
    </xf>
    <xf numFmtId="0" fontId="0" fillId="0" borderId="40" xfId="5" applyFont="1" applyBorder="1" applyAlignment="1">
      <alignment horizontal="left" vertical="top" wrapText="1"/>
    </xf>
    <xf numFmtId="0" fontId="0" fillId="0" borderId="41" xfId="5" applyFont="1" applyBorder="1" applyAlignment="1">
      <alignment horizontal="left" vertical="top" wrapText="1"/>
    </xf>
    <xf numFmtId="0" fontId="0" fillId="0" borderId="42" xfId="5" applyFont="1" applyBorder="1" applyAlignment="1">
      <alignment horizontal="left" vertical="top" wrapText="1"/>
    </xf>
    <xf numFmtId="38" fontId="43" fillId="9" borderId="50" xfId="6" applyFont="1" applyFill="1" applyBorder="1" applyAlignment="1">
      <alignment horizontal="center" vertical="center" wrapText="1" shrinkToFit="1"/>
    </xf>
    <xf numFmtId="38" fontId="43" fillId="9" borderId="28" xfId="6" applyFont="1" applyFill="1" applyBorder="1" applyAlignment="1">
      <alignment horizontal="center" vertical="center" shrinkToFit="1"/>
    </xf>
    <xf numFmtId="38" fontId="43" fillId="9" borderId="50" xfId="8" applyFont="1" applyFill="1" applyBorder="1" applyAlignment="1">
      <alignment horizontal="center" vertical="center" wrapText="1" shrinkToFit="1"/>
    </xf>
    <xf numFmtId="38" fontId="43" fillId="9" borderId="28" xfId="8" applyFont="1" applyFill="1" applyBorder="1" applyAlignment="1">
      <alignment horizontal="center" vertical="center" wrapText="1" shrinkToFit="1"/>
    </xf>
    <xf numFmtId="38" fontId="43" fillId="10" borderId="50" xfId="8" applyFont="1" applyFill="1" applyBorder="1" applyAlignment="1">
      <alignment horizontal="center" vertical="center" wrapText="1" shrinkToFit="1"/>
    </xf>
    <xf numFmtId="38" fontId="43" fillId="10" borderId="28" xfId="8" applyFont="1" applyFill="1" applyBorder="1" applyAlignment="1">
      <alignment horizontal="center" vertical="center" wrapText="1" shrinkToFit="1"/>
    </xf>
    <xf numFmtId="38" fontId="47" fillId="9" borderId="50" xfId="8" applyFont="1" applyFill="1" applyBorder="1" applyAlignment="1">
      <alignment horizontal="center" vertical="center" wrapText="1" shrinkToFit="1"/>
    </xf>
    <xf numFmtId="38" fontId="47" fillId="9" borderId="28" xfId="8" applyFont="1" applyFill="1" applyBorder="1" applyAlignment="1">
      <alignment horizontal="center" vertical="center" wrapText="1" shrinkToFit="1"/>
    </xf>
    <xf numFmtId="38" fontId="43" fillId="11" borderId="51" xfId="8" applyFont="1" applyFill="1" applyBorder="1" applyAlignment="1">
      <alignment horizontal="center" vertical="center" wrapText="1" shrinkToFit="1"/>
    </xf>
    <xf numFmtId="38" fontId="43" fillId="11" borderId="53" xfId="8" applyFont="1" applyFill="1" applyBorder="1" applyAlignment="1">
      <alignment horizontal="center" vertical="center" wrapText="1" shrinkToFit="1"/>
    </xf>
    <xf numFmtId="0" fontId="43" fillId="13" borderId="68" xfId="5" applyFont="1" applyFill="1" applyBorder="1" applyAlignment="1">
      <alignment horizontal="right" vertical="center" shrinkToFit="1"/>
    </xf>
    <xf numFmtId="0" fontId="43" fillId="13" borderId="69" xfId="5" applyFont="1" applyFill="1" applyBorder="1" applyAlignment="1">
      <alignment horizontal="right" vertical="center" shrinkToFit="1"/>
    </xf>
    <xf numFmtId="0" fontId="43" fillId="13" borderId="70" xfId="5" applyFont="1" applyFill="1" applyBorder="1" applyAlignment="1">
      <alignment horizontal="right" vertical="center" shrinkToFit="1"/>
    </xf>
    <xf numFmtId="0" fontId="43" fillId="13" borderId="73" xfId="5" applyFont="1" applyFill="1" applyBorder="1" applyAlignment="1">
      <alignment horizontal="right" vertical="center" shrinkToFit="1"/>
    </xf>
    <xf numFmtId="0" fontId="43" fillId="13" borderId="74" xfId="5" applyFont="1" applyFill="1" applyBorder="1" applyAlignment="1">
      <alignment horizontal="right" vertical="center" shrinkToFit="1"/>
    </xf>
    <xf numFmtId="0" fontId="43" fillId="13" borderId="75" xfId="5" applyFont="1" applyFill="1" applyBorder="1" applyAlignment="1">
      <alignment horizontal="right" vertical="center" shrinkToFit="1"/>
    </xf>
    <xf numFmtId="0" fontId="43" fillId="13" borderId="77" xfId="5" applyFont="1" applyFill="1" applyBorder="1" applyAlignment="1">
      <alignment horizontal="right" vertical="center" shrinkToFit="1"/>
    </xf>
    <xf numFmtId="0" fontId="43" fillId="13" borderId="78" xfId="5" applyFont="1" applyFill="1" applyBorder="1" applyAlignment="1">
      <alignment horizontal="right" vertical="center" shrinkToFit="1"/>
    </xf>
    <xf numFmtId="0" fontId="43" fillId="13" borderId="79" xfId="5" applyFont="1" applyFill="1" applyBorder="1" applyAlignment="1">
      <alignment horizontal="right" vertical="center" shrinkToFit="1"/>
    </xf>
    <xf numFmtId="0" fontId="0" fillId="15" borderId="85" xfId="7" applyFont="1" applyFill="1" applyBorder="1" applyAlignment="1">
      <alignment horizontal="center" vertical="center"/>
    </xf>
    <xf numFmtId="0" fontId="1" fillId="15" borderId="86" xfId="7" applyFill="1" applyBorder="1" applyAlignment="1">
      <alignment horizontal="center" vertical="center"/>
    </xf>
    <xf numFmtId="0" fontId="0" fillId="12" borderId="88" xfId="7" applyFont="1" applyFill="1" applyBorder="1" applyAlignment="1">
      <alignment horizontal="center" vertical="center"/>
    </xf>
    <xf numFmtId="0" fontId="1" fillId="12" borderId="5" xfId="7" applyFill="1" applyBorder="1" applyAlignment="1">
      <alignment horizontal="center" vertical="center"/>
    </xf>
    <xf numFmtId="0" fontId="0" fillId="12" borderId="90" xfId="7" applyFont="1" applyFill="1" applyBorder="1" applyAlignment="1">
      <alignment horizontal="center" vertical="center"/>
    </xf>
    <xf numFmtId="0" fontId="1" fillId="12" borderId="91" xfId="7" applyFill="1" applyBorder="1" applyAlignment="1">
      <alignment horizontal="center" vertical="center"/>
    </xf>
    <xf numFmtId="0" fontId="0" fillId="13" borderId="93" xfId="7" applyFont="1" applyFill="1" applyBorder="1" applyAlignment="1">
      <alignment horizontal="center" vertical="center"/>
    </xf>
    <xf numFmtId="0" fontId="1" fillId="13" borderId="94" xfId="7" applyFill="1" applyBorder="1" applyAlignment="1">
      <alignment horizontal="center" vertical="center"/>
    </xf>
    <xf numFmtId="0" fontId="45" fillId="0" borderId="26" xfId="13" applyFont="1" applyBorder="1" applyAlignment="1">
      <alignment horizontal="center" vertical="center" textRotation="255" shrinkToFit="1"/>
    </xf>
    <xf numFmtId="0" fontId="45" fillId="0" borderId="28" xfId="13" applyFont="1" applyBorder="1" applyAlignment="1">
      <alignment horizontal="center" vertical="center" textRotation="255" shrinkToFit="1"/>
    </xf>
    <xf numFmtId="0" fontId="43" fillId="0" borderId="0" xfId="0" applyFont="1" applyAlignment="1">
      <alignment horizontal="center" vertical="center"/>
    </xf>
    <xf numFmtId="0" fontId="45" fillId="0" borderId="294" xfId="13" applyFont="1" applyBorder="1" applyAlignment="1">
      <alignment horizontal="center" vertical="center" textRotation="255" shrinkToFit="1"/>
    </xf>
    <xf numFmtId="38" fontId="44" fillId="0" borderId="295" xfId="1" applyFont="1" applyBorder="1" applyAlignment="1">
      <alignment horizontal="center" vertical="center" shrinkToFit="1"/>
    </xf>
    <xf numFmtId="0" fontId="45" fillId="0" borderId="280" xfId="13" applyFont="1" applyBorder="1" applyAlignment="1">
      <alignment horizontal="center" vertical="center" textRotation="255" shrinkToFit="1"/>
    </xf>
    <xf numFmtId="38" fontId="44" fillId="0" borderId="281" xfId="1" applyFont="1" applyBorder="1" applyAlignment="1">
      <alignment horizontal="center" vertical="center" shrinkToFit="1"/>
    </xf>
    <xf numFmtId="0" fontId="79" fillId="6" borderId="27" xfId="1" applyNumberFormat="1" applyFont="1" applyFill="1" applyBorder="1" applyAlignment="1">
      <alignment horizontal="center" vertical="center" shrinkToFit="1"/>
    </xf>
    <xf numFmtId="0" fontId="79" fillId="6" borderId="26" xfId="1" applyNumberFormat="1" applyFont="1" applyFill="1" applyBorder="1" applyAlignment="1">
      <alignment horizontal="center" vertical="center" shrinkToFit="1"/>
    </xf>
    <xf numFmtId="0" fontId="79" fillId="6" borderId="28" xfId="1" applyNumberFormat="1" applyFont="1" applyFill="1" applyBorder="1" applyAlignment="1">
      <alignment horizontal="center" vertical="center" shrinkToFit="1"/>
    </xf>
    <xf numFmtId="0" fontId="45" fillId="0" borderId="39" xfId="13" applyFont="1" applyBorder="1" applyAlignment="1">
      <alignment horizontal="center" vertical="center" shrinkToFit="1"/>
    </xf>
    <xf numFmtId="0" fontId="45" fillId="0" borderId="142" xfId="13" applyFont="1" applyBorder="1" applyAlignment="1">
      <alignment horizontal="center" vertical="center" shrinkToFit="1"/>
    </xf>
    <xf numFmtId="38" fontId="44" fillId="0" borderId="37" xfId="1" applyFont="1" applyBorder="1" applyAlignment="1">
      <alignment horizontal="center" vertical="center" shrinkToFit="1"/>
    </xf>
    <xf numFmtId="38" fontId="44" fillId="0" borderId="6" xfId="1" applyFont="1" applyBorder="1" applyAlignment="1">
      <alignment horizontal="center" vertical="center" shrinkToFit="1"/>
    </xf>
    <xf numFmtId="0" fontId="45" fillId="0" borderId="42" xfId="13" applyFont="1" applyBorder="1" applyAlignment="1">
      <alignment horizontal="center" vertical="center" shrinkToFit="1"/>
    </xf>
    <xf numFmtId="38" fontId="44" fillId="0" borderId="40" xfId="1" applyFont="1" applyBorder="1" applyAlignment="1">
      <alignment horizontal="center" vertical="center" shrinkToFit="1"/>
    </xf>
    <xf numFmtId="0" fontId="79" fillId="6" borderId="353" xfId="1" applyNumberFormat="1" applyFont="1" applyFill="1" applyBorder="1" applyAlignment="1">
      <alignment horizontal="center" vertical="center" shrinkToFit="1"/>
    </xf>
    <xf numFmtId="0" fontId="45" fillId="0" borderId="273" xfId="13" applyFont="1" applyBorder="1" applyAlignment="1">
      <alignment horizontal="center" vertical="center" shrinkToFit="1"/>
    </xf>
    <xf numFmtId="0" fontId="45" fillId="0" borderId="274" xfId="13" applyFont="1" applyBorder="1" applyAlignment="1">
      <alignment horizontal="center" vertical="center" shrinkToFit="1"/>
    </xf>
    <xf numFmtId="0" fontId="43" fillId="16" borderId="275" xfId="0" applyFont="1" applyFill="1" applyBorder="1" applyAlignment="1">
      <alignment horizontal="center" vertical="center" shrinkToFit="1"/>
    </xf>
    <xf numFmtId="0" fontId="43" fillId="16" borderId="281" xfId="0" applyFont="1" applyFill="1" applyBorder="1" applyAlignment="1">
      <alignment horizontal="center" vertical="center" shrinkToFit="1"/>
    </xf>
    <xf numFmtId="0" fontId="43" fillId="16" borderId="295" xfId="0" applyFont="1" applyFill="1" applyBorder="1" applyAlignment="1">
      <alignment horizontal="center" vertical="center" shrinkToFit="1"/>
    </xf>
    <xf numFmtId="0" fontId="42" fillId="0" borderId="26" xfId="1" applyNumberFormat="1" applyFont="1" applyFill="1" applyBorder="1" applyAlignment="1">
      <alignment horizontal="center" vertical="center" shrinkToFit="1"/>
    </xf>
    <xf numFmtId="0" fontId="42" fillId="0" borderId="28" xfId="1" applyNumberFormat="1" applyFont="1" applyFill="1" applyBorder="1" applyAlignment="1">
      <alignment horizontal="center" vertical="center" shrinkToFit="1"/>
    </xf>
    <xf numFmtId="38" fontId="43" fillId="13" borderId="280" xfId="1" applyFont="1" applyFill="1" applyBorder="1" applyAlignment="1">
      <alignment horizontal="center" vertical="center" shrinkToFit="1"/>
    </xf>
    <xf numFmtId="38" fontId="43" fillId="13" borderId="294" xfId="1" applyFont="1" applyFill="1" applyBorder="1" applyAlignment="1">
      <alignment horizontal="center" vertical="center" shrinkToFit="1"/>
    </xf>
    <xf numFmtId="0" fontId="62" fillId="21" borderId="37" xfId="11" applyFont="1" applyFill="1" applyBorder="1" applyAlignment="1">
      <alignment horizontal="center" vertical="center" wrapText="1"/>
    </xf>
    <xf numFmtId="0" fontId="62" fillId="14" borderId="37" xfId="11" applyFont="1" applyFill="1" applyBorder="1" applyAlignment="1">
      <alignment horizontal="center" vertical="center" wrapText="1"/>
    </xf>
    <xf numFmtId="0" fontId="50" fillId="18" borderId="7" xfId="11" applyFont="1" applyFill="1" applyBorder="1" applyAlignment="1">
      <alignment horizontal="center" vertical="center" wrapText="1"/>
    </xf>
    <xf numFmtId="0" fontId="62" fillId="36" borderId="7" xfId="11" applyFont="1" applyFill="1" applyBorder="1" applyAlignment="1">
      <alignment horizontal="center" vertical="center" shrinkToFit="1"/>
    </xf>
    <xf numFmtId="0" fontId="62" fillId="36" borderId="8" xfId="11" applyFont="1" applyFill="1" applyBorder="1" applyAlignment="1">
      <alignment horizontal="center" vertical="center" shrinkToFit="1"/>
    </xf>
    <xf numFmtId="0" fontId="62" fillId="36" borderId="9" xfId="11" applyFont="1" applyFill="1" applyBorder="1" applyAlignment="1">
      <alignment horizontal="center" vertical="center" shrinkToFit="1"/>
    </xf>
    <xf numFmtId="0" fontId="63" fillId="37" borderId="5" xfId="11" applyFont="1" applyFill="1" applyBorder="1" applyAlignment="1">
      <alignment horizontal="center" vertical="center" wrapText="1" shrinkToFit="1"/>
    </xf>
    <xf numFmtId="0" fontId="62" fillId="34" borderId="5" xfId="11" applyFont="1" applyFill="1" applyBorder="1" applyAlignment="1">
      <alignment horizontal="center" vertical="center" wrapText="1" shrinkToFit="1"/>
    </xf>
    <xf numFmtId="0" fontId="62" fillId="35" borderId="5" xfId="11" applyFont="1" applyFill="1" applyBorder="1" applyAlignment="1">
      <alignment horizontal="center" vertical="center" wrapText="1" shrinkToFit="1"/>
    </xf>
    <xf numFmtId="0" fontId="49" fillId="16" borderId="5" xfId="11" applyFont="1" applyFill="1" applyBorder="1" applyAlignment="1">
      <alignment horizontal="center" vertical="center" wrapText="1" shrinkToFit="1"/>
    </xf>
    <xf numFmtId="0" fontId="81" fillId="6" borderId="5" xfId="11" applyFont="1" applyFill="1" applyBorder="1" applyAlignment="1">
      <alignment vertical="center"/>
    </xf>
    <xf numFmtId="0" fontId="62" fillId="34" borderId="5" xfId="11" applyFont="1" applyFill="1" applyBorder="1" applyAlignment="1">
      <alignment horizontal="center" vertical="center" shrinkToFit="1"/>
    </xf>
    <xf numFmtId="0" fontId="49" fillId="0" borderId="5" xfId="11" applyFont="1" applyBorder="1" applyAlignment="1">
      <alignment vertical="center"/>
    </xf>
    <xf numFmtId="0" fontId="134" fillId="17" borderId="38" xfId="17" applyFill="1" applyBorder="1" applyAlignment="1">
      <alignment horizontal="center" vertical="center"/>
    </xf>
    <xf numFmtId="0" fontId="134" fillId="17" borderId="0" xfId="17" applyFill="1" applyAlignment="1">
      <alignment horizontal="center" vertical="center"/>
    </xf>
    <xf numFmtId="0" fontId="134" fillId="0" borderId="27" xfId="17" applyBorder="1" applyAlignment="1">
      <alignment horizontal="center" vertical="center" wrapText="1"/>
    </xf>
    <xf numFmtId="0" fontId="134" fillId="0" borderId="28" xfId="17" applyBorder="1" applyAlignment="1">
      <alignment horizontal="center" vertical="center" wrapText="1"/>
    </xf>
    <xf numFmtId="0" fontId="134" fillId="0" borderId="27" xfId="17" applyBorder="1" applyAlignment="1">
      <alignment horizontal="center" vertical="center"/>
    </xf>
    <xf numFmtId="0" fontId="134" fillId="0" borderId="28" xfId="17" applyBorder="1" applyAlignment="1">
      <alignment horizontal="center" vertical="center"/>
    </xf>
    <xf numFmtId="0" fontId="134" fillId="17" borderId="5" xfId="17" applyFill="1" applyBorder="1" applyAlignment="1">
      <alignment horizontal="center" vertical="center"/>
    </xf>
    <xf numFmtId="0" fontId="134" fillId="6" borderId="0" xfId="18" applyFill="1" applyAlignment="1">
      <alignment horizontal="center" vertical="center"/>
    </xf>
    <xf numFmtId="204" fontId="43" fillId="0" borderId="0" xfId="19" applyNumberFormat="1" applyFont="1">
      <alignment vertical="center"/>
    </xf>
    <xf numFmtId="0" fontId="43" fillId="0" borderId="674" xfId="19" applyFont="1" applyBorder="1" applyAlignment="1">
      <alignment horizontal="center" vertical="center"/>
    </xf>
    <xf numFmtId="0" fontId="43" fillId="0" borderId="675" xfId="19" applyFont="1" applyBorder="1" applyAlignment="1">
      <alignment horizontal="center" vertical="center"/>
    </xf>
    <xf numFmtId="0" fontId="43" fillId="0" borderId="676" xfId="19" applyFont="1" applyBorder="1" applyAlignment="1">
      <alignment horizontal="center" vertical="center"/>
    </xf>
    <xf numFmtId="0" fontId="43" fillId="0" borderId="677" xfId="19" applyFont="1" applyBorder="1" applyAlignment="1">
      <alignment horizontal="center" vertical="center"/>
    </xf>
    <xf numFmtId="0" fontId="43" fillId="0" borderId="678" xfId="19" applyFont="1" applyBorder="1" applyAlignment="1">
      <alignment horizontal="center" vertical="center"/>
    </xf>
    <xf numFmtId="0" fontId="134" fillId="0" borderId="674" xfId="18" applyBorder="1" applyAlignment="1">
      <alignment horizontal="center" vertical="center"/>
    </xf>
    <xf numFmtId="0" fontId="134" fillId="0" borderId="692" xfId="18" applyBorder="1" applyAlignment="1">
      <alignment horizontal="center" vertical="center"/>
    </xf>
    <xf numFmtId="0" fontId="134" fillId="0" borderId="675" xfId="18" applyBorder="1" applyAlignment="1">
      <alignment horizontal="center" vertical="center"/>
    </xf>
    <xf numFmtId="187" fontId="64" fillId="0" borderId="139" xfId="1" applyNumberFormat="1" applyFont="1" applyBorder="1" applyAlignment="1">
      <alignment horizontal="left" vertical="center" wrapText="1" shrinkToFit="1"/>
    </xf>
    <xf numFmtId="0" fontId="62" fillId="18" borderId="5" xfId="11" applyFont="1" applyFill="1" applyBorder="1" applyAlignment="1">
      <alignment horizontal="center" vertical="center" wrapText="1"/>
    </xf>
    <xf numFmtId="0" fontId="62" fillId="18" borderId="5" xfId="11" applyFont="1" applyFill="1" applyBorder="1" applyAlignment="1">
      <alignment horizontal="center" vertical="center"/>
    </xf>
    <xf numFmtId="0" fontId="62" fillId="18" borderId="27" xfId="11" applyFont="1" applyFill="1" applyBorder="1" applyAlignment="1">
      <alignment horizontal="center" vertical="center" textRotation="255" wrapText="1"/>
    </xf>
    <xf numFmtId="0" fontId="62" fillId="18" borderId="26" xfId="11" applyFont="1" applyFill="1" applyBorder="1" applyAlignment="1">
      <alignment horizontal="center" vertical="center" textRotation="255" wrapText="1"/>
    </xf>
    <xf numFmtId="0" fontId="62" fillId="18" borderId="37" xfId="11" applyFont="1" applyFill="1" applyBorder="1" applyAlignment="1">
      <alignment horizontal="center" vertical="center" wrapText="1"/>
    </xf>
    <xf numFmtId="0" fontId="62" fillId="18" borderId="39" xfId="11" applyFont="1" applyFill="1" applyBorder="1" applyAlignment="1">
      <alignment horizontal="center" vertical="center" wrapText="1"/>
    </xf>
    <xf numFmtId="0" fontId="62" fillId="18" borderId="6" xfId="11" applyFont="1" applyFill="1" applyBorder="1" applyAlignment="1">
      <alignment horizontal="center" vertical="center" wrapText="1"/>
    </xf>
    <xf numFmtId="0" fontId="62" fillId="18" borderId="142" xfId="11" applyFont="1" applyFill="1" applyBorder="1" applyAlignment="1">
      <alignment horizontal="center" vertical="center" wrapText="1"/>
    </xf>
    <xf numFmtId="0" fontId="62" fillId="18" borderId="27" xfId="11" applyFont="1" applyFill="1" applyBorder="1" applyAlignment="1">
      <alignment horizontal="center" vertical="center" wrapText="1"/>
    </xf>
    <xf numFmtId="0" fontId="62" fillId="18" borderId="26" xfId="11" applyFont="1" applyFill="1" applyBorder="1" applyAlignment="1">
      <alignment horizontal="center" vertical="center" wrapText="1"/>
    </xf>
    <xf numFmtId="0" fontId="62" fillId="18" borderId="26" xfId="11" applyFont="1" applyFill="1" applyBorder="1" applyAlignment="1">
      <alignment horizontal="center" vertical="center"/>
    </xf>
    <xf numFmtId="0" fontId="62" fillId="18" borderId="40" xfId="11" applyFont="1" applyFill="1" applyBorder="1" applyAlignment="1">
      <alignment horizontal="center" vertical="center" wrapText="1"/>
    </xf>
    <xf numFmtId="0" fontId="62" fillId="18" borderId="42" xfId="11" applyFont="1" applyFill="1" applyBorder="1" applyAlignment="1">
      <alignment horizontal="center" vertical="center" wrapText="1"/>
    </xf>
    <xf numFmtId="0" fontId="62" fillId="18" borderId="97" xfId="11" applyFont="1" applyFill="1" applyBorder="1" applyAlignment="1">
      <alignment horizontal="center" vertical="center"/>
    </xf>
    <xf numFmtId="0" fontId="62" fillId="18" borderId="7" xfId="11" applyFont="1" applyFill="1" applyBorder="1" applyAlignment="1">
      <alignment horizontal="center" vertical="center"/>
    </xf>
    <xf numFmtId="0" fontId="62" fillId="18" borderId="8" xfId="11" applyFont="1" applyFill="1" applyBorder="1" applyAlignment="1">
      <alignment horizontal="center" vertical="center"/>
    </xf>
    <xf numFmtId="0" fontId="25" fillId="18" borderId="27" xfId="11" applyFont="1" applyFill="1" applyBorder="1" applyAlignment="1">
      <alignment vertical="center"/>
    </xf>
    <xf numFmtId="0" fontId="25" fillId="18" borderId="26" xfId="11" applyFont="1" applyFill="1" applyBorder="1" applyAlignment="1">
      <alignment vertical="center"/>
    </xf>
    <xf numFmtId="0" fontId="25" fillId="18" borderId="881" xfId="11" applyFont="1" applyFill="1" applyBorder="1" applyAlignment="1">
      <alignment vertical="center"/>
    </xf>
    <xf numFmtId="0" fontId="62" fillId="18" borderId="97" xfId="11" applyFont="1" applyFill="1" applyBorder="1" applyAlignment="1">
      <alignment horizontal="center" vertical="center" wrapText="1"/>
    </xf>
    <xf numFmtId="0" fontId="62" fillId="18" borderId="7" xfId="11" applyFont="1" applyFill="1" applyBorder="1" applyAlignment="1">
      <alignment horizontal="center" vertical="center" wrapText="1"/>
    </xf>
    <xf numFmtId="0" fontId="62" fillId="18" borderId="9" xfId="11" applyFont="1" applyFill="1" applyBorder="1" applyAlignment="1">
      <alignment horizontal="center" vertical="center" wrapText="1"/>
    </xf>
    <xf numFmtId="38" fontId="49" fillId="0" borderId="469" xfId="15" applyFont="1" applyFill="1" applyBorder="1" applyAlignment="1">
      <alignment horizontal="center" vertical="center"/>
    </xf>
    <xf numFmtId="38" fontId="49" fillId="0" borderId="815" xfId="15" applyFont="1" applyFill="1" applyBorder="1" applyAlignment="1">
      <alignment horizontal="center" vertical="center"/>
    </xf>
    <xf numFmtId="0" fontId="25" fillId="0" borderId="7" xfId="11" applyFont="1" applyBorder="1" applyAlignment="1">
      <alignment horizontal="center" vertical="center"/>
    </xf>
    <xf numFmtId="0" fontId="25" fillId="0" borderId="9" xfId="11" applyFont="1" applyBorder="1" applyAlignment="1">
      <alignment horizontal="center" vertical="center"/>
    </xf>
    <xf numFmtId="0" fontId="60" fillId="0" borderId="887" xfId="11" applyFont="1" applyBorder="1" applyAlignment="1">
      <alignment horizontal="center" vertical="center"/>
    </xf>
    <xf numFmtId="0" fontId="60" fillId="0" borderId="26" xfId="11" applyFont="1" applyBorder="1" applyAlignment="1">
      <alignment horizontal="center" vertical="center"/>
    </xf>
    <xf numFmtId="0" fontId="60" fillId="0" borderId="28" xfId="11" applyFont="1" applyBorder="1" applyAlignment="1">
      <alignment horizontal="center" vertical="center"/>
    </xf>
    <xf numFmtId="0" fontId="97" fillId="0" borderId="888" xfId="11" applyFont="1" applyBorder="1" applyAlignment="1">
      <alignment horizontal="center" vertical="center" wrapText="1" shrinkToFit="1"/>
    </xf>
    <xf numFmtId="0" fontId="97" fillId="0" borderId="889" xfId="11" applyFont="1" applyBorder="1" applyAlignment="1">
      <alignment horizontal="center" vertical="center" wrapText="1" shrinkToFit="1"/>
    </xf>
    <xf numFmtId="0" fontId="97" fillId="0" borderId="6" xfId="11" applyFont="1" applyBorder="1" applyAlignment="1">
      <alignment horizontal="center" vertical="center" wrapText="1" shrinkToFit="1"/>
    </xf>
    <xf numFmtId="0" fontId="97" fillId="0" borderId="142" xfId="11" applyFont="1" applyBorder="1" applyAlignment="1">
      <alignment horizontal="center" vertical="center" wrapText="1" shrinkToFit="1"/>
    </xf>
    <xf numFmtId="0" fontId="97" fillId="0" borderId="40" xfId="11" applyFont="1" applyBorder="1" applyAlignment="1">
      <alignment horizontal="center" vertical="center" wrapText="1" shrinkToFit="1"/>
    </xf>
    <xf numFmtId="0" fontId="97" fillId="0" borderId="42" xfId="11" applyFont="1" applyBorder="1" applyAlignment="1">
      <alignment horizontal="center" vertical="center" wrapText="1" shrinkToFit="1"/>
    </xf>
    <xf numFmtId="0" fontId="97" fillId="0" borderId="887" xfId="11" applyFont="1" applyBorder="1" applyAlignment="1">
      <alignment horizontal="center" vertical="center" shrinkToFit="1"/>
    </xf>
    <xf numFmtId="0" fontId="97" fillId="0" borderId="26" xfId="11" applyFont="1" applyBorder="1" applyAlignment="1">
      <alignment horizontal="center" vertical="center" shrinkToFit="1"/>
    </xf>
    <xf numFmtId="0" fontId="97" fillId="0" borderId="28" xfId="11" applyFont="1" applyBorder="1" applyAlignment="1">
      <alignment horizontal="center" vertical="center" shrinkToFit="1"/>
    </xf>
    <xf numFmtId="0" fontId="60" fillId="0" borderId="887" xfId="11" applyFont="1" applyBorder="1" applyAlignment="1">
      <alignment horizontal="center" vertical="center" wrapText="1"/>
    </xf>
    <xf numFmtId="0" fontId="60" fillId="0" borderId="26" xfId="11" applyFont="1" applyBorder="1" applyAlignment="1">
      <alignment horizontal="center" vertical="center" wrapText="1"/>
    </xf>
    <xf numFmtId="0" fontId="60" fillId="0" borderId="28" xfId="11" applyFont="1" applyBorder="1" applyAlignment="1">
      <alignment horizontal="center" vertical="center" wrapText="1"/>
    </xf>
    <xf numFmtId="201" fontId="49" fillId="0" borderId="887" xfId="11" applyNumberFormat="1" applyFont="1" applyBorder="1" applyAlignment="1">
      <alignment horizontal="center" vertical="center"/>
    </xf>
    <xf numFmtId="201" fontId="49" fillId="0" borderId="26" xfId="11" applyNumberFormat="1" applyFont="1" applyBorder="1" applyAlignment="1">
      <alignment horizontal="center" vertical="center"/>
    </xf>
    <xf numFmtId="201" fontId="49" fillId="0" borderId="28" xfId="11" applyNumberFormat="1" applyFont="1" applyBorder="1" applyAlignment="1">
      <alignment horizontal="center" vertical="center"/>
    </xf>
    <xf numFmtId="38" fontId="49" fillId="0" borderId="890" xfId="15" applyFont="1" applyFill="1" applyBorder="1" applyAlignment="1">
      <alignment horizontal="center" vertical="center" wrapText="1"/>
    </xf>
    <xf numFmtId="38" fontId="49" fillId="0" borderId="891" xfId="15" applyFont="1" applyFill="1" applyBorder="1" applyAlignment="1">
      <alignment horizontal="center" vertical="center" wrapText="1"/>
    </xf>
    <xf numFmtId="38" fontId="49" fillId="0" borderId="894" xfId="15" applyFont="1" applyFill="1" applyBorder="1" applyAlignment="1">
      <alignment horizontal="center" vertical="center" wrapText="1"/>
    </xf>
    <xf numFmtId="0" fontId="60" fillId="0" borderId="570" xfId="11" applyFont="1" applyBorder="1" applyAlignment="1">
      <alignment horizontal="center" vertical="center" wrapText="1"/>
    </xf>
    <xf numFmtId="0" fontId="60" fillId="0" borderId="570" xfId="11" applyFont="1" applyBorder="1" applyAlignment="1">
      <alignment horizontal="center" vertical="center"/>
    </xf>
    <xf numFmtId="0" fontId="150" fillId="0" borderId="675" xfId="11" applyFont="1" applyBorder="1" applyAlignment="1">
      <alignment horizontal="center" vertical="center" wrapText="1"/>
    </xf>
    <xf numFmtId="0" fontId="97" fillId="0" borderId="5" xfId="11" applyFont="1" applyBorder="1" applyAlignment="1">
      <alignment horizontal="center" vertical="center" wrapText="1" shrinkToFit="1"/>
    </xf>
    <xf numFmtId="0" fontId="97" fillId="0" borderId="5" xfId="11" applyFont="1" applyBorder="1" applyAlignment="1">
      <alignment horizontal="center" vertical="center" shrinkToFit="1"/>
    </xf>
    <xf numFmtId="0" fontId="60" fillId="0" borderId="5" xfId="11" applyFont="1" applyBorder="1" applyAlignment="1">
      <alignment horizontal="center" vertical="center" wrapText="1"/>
    </xf>
    <xf numFmtId="201" fontId="49" fillId="0" borderId="5" xfId="11" applyNumberFormat="1" applyFont="1" applyBorder="1" applyAlignment="1">
      <alignment horizontal="center" vertical="center" wrapText="1"/>
    </xf>
    <xf numFmtId="201" fontId="49" fillId="0" borderId="5" xfId="11" applyNumberFormat="1" applyFont="1" applyBorder="1" applyAlignment="1">
      <alignment horizontal="center" vertical="center"/>
    </xf>
    <xf numFmtId="38" fontId="49" fillId="0" borderId="5" xfId="15" applyFont="1" applyFill="1" applyBorder="1" applyAlignment="1">
      <alignment horizontal="center" vertical="center" wrapText="1"/>
    </xf>
    <xf numFmtId="38" fontId="49" fillId="0" borderId="5" xfId="15" applyFont="1" applyFill="1" applyBorder="1" applyAlignment="1">
      <alignment horizontal="center" vertical="center"/>
    </xf>
    <xf numFmtId="0" fontId="60" fillId="18" borderId="27" xfId="11" applyFont="1" applyFill="1" applyBorder="1" applyAlignment="1">
      <alignment horizontal="center" vertical="center"/>
    </xf>
    <xf numFmtId="0" fontId="60" fillId="18" borderId="28" xfId="11" applyFont="1" applyFill="1" applyBorder="1" applyAlignment="1">
      <alignment horizontal="center" vertical="center"/>
    </xf>
    <xf numFmtId="0" fontId="60" fillId="18" borderId="26" xfId="11" applyFont="1" applyFill="1" applyBorder="1" applyAlignment="1">
      <alignment horizontal="center" vertical="center"/>
    </xf>
    <xf numFmtId="0" fontId="100" fillId="0" borderId="41" xfId="11" applyFont="1" applyBorder="1" applyAlignment="1">
      <alignment horizontal="center" vertical="center" wrapText="1"/>
    </xf>
    <xf numFmtId="0" fontId="100" fillId="0" borderId="41" xfId="11" applyFont="1" applyBorder="1" applyAlignment="1">
      <alignment horizontal="center" vertical="center"/>
    </xf>
    <xf numFmtId="200" fontId="26" fillId="36" borderId="27" xfId="11" applyNumberFormat="1" applyFont="1" applyFill="1" applyBorder="1" applyAlignment="1">
      <alignment horizontal="center" vertical="center" shrinkToFit="1"/>
    </xf>
    <xf numFmtId="200" fontId="26" fillId="36" borderId="28" xfId="11" applyNumberFormat="1" applyFont="1" applyFill="1" applyBorder="1" applyAlignment="1">
      <alignment horizontal="center" vertical="center" shrinkToFit="1"/>
    </xf>
    <xf numFmtId="0" fontId="23" fillId="0" borderId="11" xfId="0" applyFont="1" applyBorder="1" applyAlignment="1">
      <alignment horizontal="center" vertical="center"/>
    </xf>
    <xf numFmtId="176" fontId="26" fillId="0" borderId="7" xfId="0" applyNumberFormat="1" applyFont="1" applyBorder="1" applyAlignment="1">
      <alignment horizontal="center" vertical="center"/>
    </xf>
    <xf numFmtId="176" fontId="26" fillId="0" borderId="8" xfId="0" applyNumberFormat="1" applyFont="1" applyBorder="1" applyAlignment="1">
      <alignment horizontal="center" vertical="center"/>
    </xf>
    <xf numFmtId="176" fontId="26" fillId="0" borderId="9" xfId="0" applyNumberFormat="1" applyFont="1" applyBorder="1" applyAlignment="1">
      <alignment horizontal="center" vertical="center"/>
    </xf>
    <xf numFmtId="0" fontId="29" fillId="3" borderId="2" xfId="0" applyFont="1" applyFill="1" applyBorder="1" applyAlignment="1">
      <alignment horizontal="left" vertical="center"/>
    </xf>
    <xf numFmtId="0" fontId="29" fillId="3" borderId="3" xfId="0" applyFont="1" applyFill="1" applyBorder="1" applyAlignment="1">
      <alignment horizontal="left" vertical="center"/>
    </xf>
    <xf numFmtId="0" fontId="29" fillId="3" borderId="4" xfId="0" applyFont="1" applyFill="1" applyBorder="1" applyAlignment="1">
      <alignment horizontal="left" vertical="center"/>
    </xf>
    <xf numFmtId="0" fontId="29" fillId="2" borderId="2" xfId="0" applyFont="1" applyFill="1" applyBorder="1" applyAlignment="1">
      <alignment horizontal="center" vertical="center"/>
    </xf>
    <xf numFmtId="0" fontId="29" fillId="2" borderId="4" xfId="0" applyFont="1" applyFill="1" applyBorder="1" applyAlignment="1">
      <alignment horizontal="center" vertical="center"/>
    </xf>
    <xf numFmtId="0" fontId="28" fillId="0" borderId="2" xfId="0" applyFont="1" applyBorder="1" applyAlignment="1">
      <alignment horizontal="left" vertical="center"/>
    </xf>
    <xf numFmtId="0" fontId="28" fillId="0" borderId="4" xfId="0" applyFont="1" applyBorder="1" applyAlignment="1">
      <alignment horizontal="left" vertical="center"/>
    </xf>
    <xf numFmtId="38" fontId="28" fillId="0" borderId="2" xfId="1" applyFont="1" applyBorder="1" applyAlignment="1">
      <alignment vertical="center"/>
    </xf>
    <xf numFmtId="38" fontId="28" fillId="0" borderId="4" xfId="1" applyFont="1" applyBorder="1" applyAlignment="1">
      <alignment vertical="center"/>
    </xf>
    <xf numFmtId="0" fontId="28" fillId="0" borderId="2" xfId="0" applyFont="1" applyBorder="1" applyAlignment="1">
      <alignment horizontal="left" vertical="center" shrinkToFit="1"/>
    </xf>
    <xf numFmtId="0" fontId="28" fillId="0" borderId="4" xfId="0" applyFont="1" applyBorder="1" applyAlignment="1">
      <alignment horizontal="left" vertical="center" shrinkToFit="1"/>
    </xf>
    <xf numFmtId="0" fontId="29" fillId="0" borderId="13" xfId="0" applyFont="1" applyBorder="1" applyAlignment="1">
      <alignment horizontal="right" vertical="center"/>
    </xf>
    <xf numFmtId="0" fontId="29" fillId="2" borderId="2" xfId="0" applyFont="1" applyFill="1" applyBorder="1" applyAlignment="1">
      <alignment horizontal="left" vertical="center"/>
    </xf>
    <xf numFmtId="0" fontId="29" fillId="2" borderId="3" xfId="0" applyFont="1" applyFill="1" applyBorder="1" applyAlignment="1">
      <alignment horizontal="left" vertical="center"/>
    </xf>
    <xf numFmtId="0" fontId="29" fillId="2" borderId="4" xfId="0" applyFont="1" applyFill="1" applyBorder="1" applyAlignment="1">
      <alignment horizontal="left" vertical="center"/>
    </xf>
    <xf numFmtId="0" fontId="29" fillId="0" borderId="17" xfId="0" applyFont="1" applyBorder="1" applyAlignment="1">
      <alignment horizontal="right" vertical="center"/>
    </xf>
    <xf numFmtId="0" fontId="29" fillId="0" borderId="18" xfId="0" applyFont="1" applyBorder="1" applyAlignment="1">
      <alignment horizontal="right" vertical="center"/>
    </xf>
    <xf numFmtId="0" fontId="29" fillId="0" borderId="19" xfId="0" applyFont="1" applyBorder="1" applyAlignment="1">
      <alignment horizontal="right" vertical="center"/>
    </xf>
    <xf numFmtId="38" fontId="29" fillId="0" borderId="17" xfId="1" applyFont="1" applyFill="1" applyBorder="1" applyAlignment="1">
      <alignment vertical="center"/>
    </xf>
    <xf numFmtId="38" fontId="29" fillId="0" borderId="19" xfId="1" applyFont="1" applyFill="1" applyBorder="1" applyAlignment="1">
      <alignment vertical="center"/>
    </xf>
    <xf numFmtId="38" fontId="28" fillId="0" borderId="24" xfId="1" applyFont="1" applyBorder="1" applyAlignment="1">
      <alignment vertical="center"/>
    </xf>
    <xf numFmtId="38" fontId="28" fillId="0" borderId="25" xfId="1" applyFont="1" applyBorder="1" applyAlignment="1">
      <alignment vertical="center"/>
    </xf>
    <xf numFmtId="38" fontId="29" fillId="0" borderId="24" xfId="1" applyFont="1" applyFill="1" applyBorder="1" applyAlignment="1">
      <alignment vertical="center"/>
    </xf>
    <xf numFmtId="38" fontId="29" fillId="0" borderId="25" xfId="1" applyFont="1" applyFill="1" applyBorder="1" applyAlignment="1">
      <alignment vertical="center"/>
    </xf>
    <xf numFmtId="38" fontId="27" fillId="5" borderId="17" xfId="1" applyFont="1" applyFill="1" applyBorder="1" applyAlignment="1">
      <alignment vertical="center"/>
    </xf>
    <xf numFmtId="38" fontId="27" fillId="5" borderId="19" xfId="1" applyFont="1" applyFill="1" applyBorder="1" applyAlignment="1">
      <alignment vertical="center"/>
    </xf>
    <xf numFmtId="38" fontId="28" fillId="0" borderId="2" xfId="1" applyFont="1" applyFill="1" applyBorder="1" applyAlignment="1">
      <alignment vertical="center"/>
    </xf>
    <xf numFmtId="38" fontId="28" fillId="0" borderId="4" xfId="1" applyFont="1" applyFill="1" applyBorder="1" applyAlignment="1">
      <alignment vertical="center"/>
    </xf>
    <xf numFmtId="0" fontId="21" fillId="0" borderId="11" xfId="0" applyFont="1" applyBorder="1" applyAlignment="1">
      <alignment horizontal="center" vertical="center"/>
    </xf>
    <xf numFmtId="176" fontId="6" fillId="0" borderId="7" xfId="0" applyNumberFormat="1" applyFont="1" applyBorder="1" applyAlignment="1">
      <alignment horizontal="center" vertical="center"/>
    </xf>
    <xf numFmtId="176" fontId="6" fillId="0" borderId="8" xfId="0" applyNumberFormat="1" applyFont="1" applyBorder="1" applyAlignment="1">
      <alignment horizontal="center" vertical="center"/>
    </xf>
    <xf numFmtId="176" fontId="6" fillId="0" borderId="9" xfId="0" applyNumberFormat="1" applyFont="1" applyBorder="1" applyAlignment="1">
      <alignment horizontal="center" vertical="center"/>
    </xf>
    <xf numFmtId="0" fontId="7" fillId="3" borderId="2" xfId="0" applyFont="1" applyFill="1" applyBorder="1" applyAlignment="1">
      <alignment horizontal="left" vertical="center"/>
    </xf>
    <xf numFmtId="0" fontId="7" fillId="3" borderId="3" xfId="0" applyFont="1" applyFill="1" applyBorder="1" applyAlignment="1">
      <alignment horizontal="left" vertical="center"/>
    </xf>
    <xf numFmtId="0" fontId="7" fillId="3" borderId="4" xfId="0" applyFont="1" applyFill="1" applyBorder="1" applyAlignment="1">
      <alignment horizontal="left"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8" fillId="0" borderId="2" xfId="0" applyFont="1" applyBorder="1" applyAlignment="1">
      <alignment horizontal="left" vertical="center"/>
    </xf>
    <xf numFmtId="0" fontId="8" fillId="0" borderId="4" xfId="0" applyFont="1" applyBorder="1" applyAlignment="1">
      <alignment horizontal="left" vertical="center"/>
    </xf>
    <xf numFmtId="38" fontId="9" fillId="0" borderId="2" xfId="1" applyFont="1" applyBorder="1" applyAlignment="1">
      <alignment vertical="center"/>
    </xf>
    <xf numFmtId="38" fontId="9" fillId="0" borderId="4" xfId="1" applyFont="1" applyBorder="1" applyAlignment="1">
      <alignment vertical="center"/>
    </xf>
    <xf numFmtId="0" fontId="8" fillId="0" borderId="2" xfId="0" applyFont="1" applyBorder="1" applyAlignment="1">
      <alignment horizontal="left" vertical="center" shrinkToFit="1"/>
    </xf>
    <xf numFmtId="0" fontId="8" fillId="0" borderId="4" xfId="0" applyFont="1" applyBorder="1" applyAlignment="1">
      <alignment horizontal="left" vertical="center" shrinkToFit="1"/>
    </xf>
    <xf numFmtId="38" fontId="9" fillId="0" borderId="15" xfId="1" applyFont="1" applyBorder="1" applyAlignment="1">
      <alignment vertical="center"/>
    </xf>
    <xf numFmtId="38" fontId="9" fillId="0" borderId="16" xfId="1" applyFont="1" applyBorder="1" applyAlignment="1">
      <alignment vertical="center"/>
    </xf>
    <xf numFmtId="0" fontId="7" fillId="0" borderId="13" xfId="0" applyFont="1" applyBorder="1" applyAlignment="1">
      <alignment horizontal="right" vertical="center"/>
    </xf>
    <xf numFmtId="38" fontId="22" fillId="0" borderId="13" xfId="1" applyFont="1" applyFill="1" applyBorder="1" applyAlignment="1">
      <alignment vertical="center"/>
    </xf>
    <xf numFmtId="0" fontId="7" fillId="2" borderId="2" xfId="0" applyFont="1" applyFill="1" applyBorder="1" applyAlignment="1">
      <alignment horizontal="left" vertic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7" fillId="0" borderId="17" xfId="0" applyFont="1" applyBorder="1" applyAlignment="1">
      <alignment horizontal="right" vertical="center"/>
    </xf>
    <xf numFmtId="0" fontId="7" fillId="0" borderId="18" xfId="0" applyFont="1" applyBorder="1" applyAlignment="1">
      <alignment horizontal="right" vertical="center"/>
    </xf>
    <xf numFmtId="0" fontId="7" fillId="0" borderId="19" xfId="0" applyFont="1" applyBorder="1" applyAlignment="1">
      <alignment horizontal="right" vertical="center"/>
    </xf>
    <xf numFmtId="38" fontId="22" fillId="0" borderId="17" xfId="1" applyFont="1" applyFill="1" applyBorder="1" applyAlignment="1">
      <alignment vertical="center"/>
    </xf>
    <xf numFmtId="38" fontId="22" fillId="0" borderId="19" xfId="1" applyFont="1" applyFill="1" applyBorder="1" applyAlignment="1">
      <alignment vertical="center"/>
    </xf>
    <xf numFmtId="38" fontId="14" fillId="0" borderId="2" xfId="1" applyFont="1" applyBorder="1" applyAlignment="1">
      <alignment vertical="center"/>
    </xf>
    <xf numFmtId="38" fontId="34" fillId="0" borderId="2" xfId="1" applyFont="1" applyBorder="1" applyAlignment="1">
      <alignment horizontal="left" vertical="center"/>
    </xf>
    <xf numFmtId="38" fontId="34" fillId="0" borderId="4" xfId="1" applyFont="1" applyBorder="1" applyAlignment="1">
      <alignment horizontal="left" vertical="center"/>
    </xf>
    <xf numFmtId="0" fontId="8" fillId="0" borderId="15" xfId="0" applyFont="1" applyBorder="1" applyAlignment="1">
      <alignment horizontal="left" vertical="center"/>
    </xf>
    <xf numFmtId="0" fontId="8" fillId="0" borderId="16" xfId="0" applyFont="1" applyBorder="1" applyAlignment="1">
      <alignment horizontal="left" vertical="center"/>
    </xf>
    <xf numFmtId="0" fontId="238" fillId="0" borderId="960" xfId="11" applyFont="1" applyBorder="1" applyAlignment="1">
      <alignment horizontal="center" vertical="distributed"/>
    </xf>
    <xf numFmtId="0" fontId="238" fillId="0" borderId="955" xfId="11" applyFont="1" applyBorder="1" applyAlignment="1">
      <alignment horizontal="center" vertical="distributed"/>
    </xf>
    <xf numFmtId="0" fontId="238" fillId="0" borderId="211" xfId="11" applyFont="1" applyBorder="1" applyAlignment="1">
      <alignment horizontal="center" vertical="distributed"/>
    </xf>
    <xf numFmtId="0" fontId="238" fillId="0" borderId="39" xfId="11" applyFont="1" applyBorder="1" applyAlignment="1">
      <alignment horizontal="center" vertical="distributed"/>
    </xf>
    <xf numFmtId="0" fontId="239" fillId="59" borderId="1042" xfId="11" applyFont="1" applyFill="1" applyBorder="1" applyAlignment="1">
      <alignment horizontal="center" vertical="distributed"/>
    </xf>
    <xf numFmtId="0" fontId="239" fillId="59" borderId="854" xfId="11" applyFont="1" applyFill="1" applyBorder="1" applyAlignment="1">
      <alignment horizontal="center" vertical="distributed"/>
    </xf>
    <xf numFmtId="0" fontId="227" fillId="58" borderId="722" xfId="11" applyFont="1" applyFill="1" applyBorder="1" applyAlignment="1">
      <alignment horizontal="center" vertical="center"/>
    </xf>
    <xf numFmtId="0" fontId="227" fillId="58" borderId="6" xfId="11" applyFont="1" applyFill="1" applyBorder="1" applyAlignment="1">
      <alignment horizontal="center" vertical="center"/>
    </xf>
    <xf numFmtId="0" fontId="227" fillId="58" borderId="159" xfId="11" applyFont="1" applyFill="1" applyBorder="1" applyAlignment="1">
      <alignment horizontal="center" vertical="center"/>
    </xf>
    <xf numFmtId="0" fontId="227" fillId="58" borderId="0" xfId="11" applyFont="1" applyFill="1" applyAlignment="1">
      <alignment horizontal="center" vertical="center"/>
    </xf>
    <xf numFmtId="0" fontId="227" fillId="58" borderId="50" xfId="11" applyFont="1" applyFill="1" applyBorder="1" applyAlignment="1">
      <alignment horizontal="center" vertical="center" wrapText="1"/>
    </xf>
    <xf numFmtId="0" fontId="227" fillId="58" borderId="28" xfId="11" applyFont="1" applyFill="1" applyBorder="1" applyAlignment="1">
      <alignment horizontal="center" vertical="center" wrapText="1"/>
    </xf>
    <xf numFmtId="0" fontId="227" fillId="58" borderId="50" xfId="11" applyFont="1" applyFill="1" applyBorder="1" applyAlignment="1">
      <alignment horizontal="center" vertical="center"/>
    </xf>
    <xf numFmtId="0" fontId="227" fillId="58" borderId="26" xfId="11" applyFont="1" applyFill="1" applyBorder="1" applyAlignment="1">
      <alignment horizontal="center" vertical="center"/>
    </xf>
    <xf numFmtId="0" fontId="227" fillId="58" borderId="40" xfId="11" applyFont="1" applyFill="1" applyBorder="1" applyAlignment="1">
      <alignment horizontal="center" vertical="center"/>
    </xf>
    <xf numFmtId="0" fontId="227" fillId="58" borderId="51" xfId="11" applyFont="1" applyFill="1" applyBorder="1" applyAlignment="1">
      <alignment horizontal="center" vertical="center"/>
    </xf>
    <xf numFmtId="0" fontId="227" fillId="58" borderId="155" xfId="11" applyFont="1" applyFill="1" applyBorder="1" applyAlignment="1">
      <alignment horizontal="center" vertical="center"/>
    </xf>
    <xf numFmtId="181" fontId="156" fillId="0" borderId="9" xfId="0" applyNumberFormat="1" applyFont="1" applyBorder="1" applyAlignment="1" applyProtection="1">
      <alignment horizontal="center" vertical="center" wrapText="1"/>
      <protection locked="0"/>
    </xf>
    <xf numFmtId="38" fontId="228" fillId="28" borderId="1038" xfId="1" applyFont="1" applyFill="1" applyBorder="1" applyAlignment="1">
      <alignment horizontal="center" vertical="center"/>
    </xf>
    <xf numFmtId="38" fontId="228" fillId="28" borderId="1039" xfId="1" applyFont="1" applyFill="1" applyBorder="1" applyAlignment="1">
      <alignment horizontal="center" vertical="center"/>
    </xf>
    <xf numFmtId="38" fontId="228" fillId="28" borderId="1037" xfId="1" applyFont="1" applyFill="1" applyBorder="1" applyAlignment="1">
      <alignment horizontal="center" vertical="center"/>
    </xf>
    <xf numFmtId="49" fontId="228" fillId="28" borderId="1038" xfId="11" applyNumberFormat="1" applyFont="1" applyFill="1" applyBorder="1" applyAlignment="1">
      <alignment horizontal="center" vertical="center"/>
    </xf>
    <xf numFmtId="49" fontId="228" fillId="28" borderId="1037" xfId="11" applyNumberFormat="1" applyFont="1" applyFill="1" applyBorder="1" applyAlignment="1">
      <alignment horizontal="center" vertical="center"/>
    </xf>
    <xf numFmtId="0" fontId="227" fillId="58" borderId="722" xfId="11" applyFont="1" applyFill="1" applyBorder="1" applyAlignment="1">
      <alignment horizontal="center" vertical="center" wrapText="1"/>
    </xf>
    <xf numFmtId="0" fontId="227" fillId="58" borderId="159" xfId="11" applyFont="1" applyFill="1" applyBorder="1" applyAlignment="1">
      <alignment horizontal="center" vertical="center" wrapText="1"/>
    </xf>
    <xf numFmtId="0" fontId="227" fillId="58" borderId="48" xfId="11" applyFont="1" applyFill="1" applyBorder="1" applyAlignment="1">
      <alignment horizontal="center" vertical="center" wrapText="1"/>
    </xf>
    <xf numFmtId="0" fontId="227" fillId="58" borderId="6" xfId="11" applyFont="1" applyFill="1" applyBorder="1" applyAlignment="1">
      <alignment horizontal="center" vertical="center" wrapText="1"/>
    </xf>
    <xf numFmtId="0" fontId="227" fillId="58" borderId="0" xfId="11" applyFont="1" applyFill="1" applyAlignment="1">
      <alignment horizontal="center" vertical="center" wrapText="1"/>
    </xf>
    <xf numFmtId="0" fontId="227" fillId="58" borderId="142" xfId="11" applyFont="1" applyFill="1" applyBorder="1" applyAlignment="1">
      <alignment horizontal="center" vertical="center" wrapText="1"/>
    </xf>
    <xf numFmtId="0" fontId="220" fillId="0" borderId="377" xfId="11" applyFont="1" applyBorder="1" applyAlignment="1">
      <alignment horizontal="center" vertical="center"/>
    </xf>
    <xf numFmtId="0" fontId="220" fillId="0" borderId="378" xfId="11" applyFont="1" applyBorder="1" applyAlignment="1">
      <alignment horizontal="center" vertical="center"/>
    </xf>
    <xf numFmtId="0" fontId="221" fillId="0" borderId="378" xfId="11" applyFont="1" applyBorder="1" applyAlignment="1">
      <alignment horizontal="center" vertical="center"/>
    </xf>
    <xf numFmtId="0" fontId="226" fillId="58" borderId="115" xfId="11" applyFont="1" applyFill="1" applyBorder="1" applyAlignment="1">
      <alignment horizontal="center" vertical="center"/>
    </xf>
    <xf numFmtId="0" fontId="227" fillId="58" borderId="154" xfId="11" applyFont="1" applyFill="1" applyBorder="1" applyAlignment="1">
      <alignment horizontal="center" vertical="center"/>
    </xf>
    <xf numFmtId="0" fontId="226" fillId="58" borderId="50" xfId="11" applyFont="1" applyFill="1" applyBorder="1" applyAlignment="1">
      <alignment horizontal="center" vertical="center" wrapText="1"/>
    </xf>
    <xf numFmtId="0" fontId="227" fillId="58" borderId="28" xfId="11" applyFont="1" applyFill="1" applyBorder="1" applyAlignment="1">
      <alignment horizontal="center" vertical="center"/>
    </xf>
    <xf numFmtId="0" fontId="227" fillId="58" borderId="40" xfId="11" applyFont="1" applyFill="1" applyBorder="1" applyAlignment="1">
      <alignment horizontal="center" vertical="center" wrapText="1"/>
    </xf>
    <xf numFmtId="0" fontId="246" fillId="42" borderId="50" xfId="11" applyFont="1" applyFill="1" applyBorder="1" applyAlignment="1">
      <alignment horizontal="center" vertical="center" wrapText="1"/>
    </xf>
    <xf numFmtId="0" fontId="246" fillId="42" borderId="118" xfId="11" applyFont="1" applyFill="1" applyBorder="1" applyAlignment="1">
      <alignment horizontal="center" vertical="center" wrapText="1"/>
    </xf>
    <xf numFmtId="0" fontId="246" fillId="42" borderId="1044" xfId="11" applyFont="1" applyFill="1" applyBorder="1" applyAlignment="1">
      <alignment horizontal="center" vertical="center" wrapText="1"/>
    </xf>
    <xf numFmtId="0" fontId="246" fillId="42" borderId="1046" xfId="11" applyFont="1" applyFill="1" applyBorder="1" applyAlignment="1">
      <alignment horizontal="center" vertical="center" wrapText="1"/>
    </xf>
    <xf numFmtId="0" fontId="246" fillId="42" borderId="1032" xfId="11" applyFont="1" applyFill="1" applyBorder="1" applyAlignment="1">
      <alignment horizontal="center" vertical="center" wrapText="1"/>
    </xf>
    <xf numFmtId="0" fontId="246" fillId="42" borderId="1045" xfId="11" applyFont="1" applyFill="1" applyBorder="1" applyAlignment="1">
      <alignment horizontal="center" vertical="center" wrapText="1"/>
    </xf>
    <xf numFmtId="0" fontId="246" fillId="42" borderId="949" xfId="11" applyFont="1" applyFill="1" applyBorder="1" applyAlignment="1">
      <alignment horizontal="center" vertical="center" wrapText="1"/>
    </xf>
    <xf numFmtId="0" fontId="246" fillId="42" borderId="159" xfId="11" applyFont="1" applyFill="1" applyBorder="1" applyAlignment="1">
      <alignment horizontal="center" vertical="center" wrapText="1"/>
    </xf>
    <xf numFmtId="0" fontId="246" fillId="42" borderId="660" xfId="11" applyFont="1" applyFill="1" applyBorder="1" applyAlignment="1">
      <alignment horizontal="center" vertical="center" wrapText="1"/>
    </xf>
    <xf numFmtId="181" fontId="243" fillId="0" borderId="0" xfId="0" applyNumberFormat="1" applyFont="1" applyAlignment="1" applyProtection="1">
      <alignment horizontal="center" vertical="center" wrapText="1"/>
      <protection locked="0"/>
    </xf>
    <xf numFmtId="0" fontId="246" fillId="42" borderId="948" xfId="11" applyFont="1" applyFill="1" applyBorder="1" applyAlignment="1">
      <alignment horizontal="center" vertical="center" wrapText="1"/>
    </xf>
    <xf numFmtId="0" fontId="245" fillId="42" borderId="115" xfId="11" applyFont="1" applyFill="1" applyBorder="1" applyAlignment="1">
      <alignment horizontal="center" vertical="center" wrapText="1"/>
    </xf>
    <xf numFmtId="0" fontId="246" fillId="42" borderId="120" xfId="11" applyFont="1" applyFill="1" applyBorder="1" applyAlignment="1">
      <alignment horizontal="center" vertical="center" wrapText="1"/>
    </xf>
    <xf numFmtId="0" fontId="246" fillId="42" borderId="722" xfId="11" applyFont="1" applyFill="1" applyBorder="1" applyAlignment="1">
      <alignment horizontal="center" vertical="center" wrapText="1"/>
    </xf>
    <xf numFmtId="0" fontId="246" fillId="42" borderId="164" xfId="11" applyFont="1" applyFill="1" applyBorder="1" applyAlignment="1">
      <alignment horizontal="center" vertical="center" wrapText="1"/>
    </xf>
    <xf numFmtId="0" fontId="246" fillId="42" borderId="1043" xfId="11" applyFont="1" applyFill="1" applyBorder="1" applyAlignment="1">
      <alignment horizontal="center" vertical="center" wrapText="1"/>
    </xf>
    <xf numFmtId="0" fontId="246" fillId="42" borderId="966" xfId="11" applyFont="1" applyFill="1" applyBorder="1" applyAlignment="1">
      <alignment horizontal="center" vertical="center" wrapText="1"/>
    </xf>
    <xf numFmtId="0" fontId="238" fillId="0" borderId="1042" xfId="11" applyFont="1" applyBorder="1" applyAlignment="1">
      <alignment horizontal="center" vertical="distributed"/>
    </xf>
    <xf numFmtId="0" fontId="238" fillId="0" borderId="854" xfId="11" applyFont="1" applyBorder="1" applyAlignment="1">
      <alignment horizontal="center" vertical="distributed"/>
    </xf>
    <xf numFmtId="38" fontId="263" fillId="28" borderId="1039" xfId="1" applyFont="1" applyFill="1" applyBorder="1" applyAlignment="1">
      <alignment horizontal="center" vertical="center"/>
    </xf>
    <xf numFmtId="38" fontId="263" fillId="28" borderId="1038" xfId="1" applyFont="1" applyFill="1" applyBorder="1" applyAlignment="1">
      <alignment horizontal="center" vertical="center"/>
    </xf>
    <xf numFmtId="49" fontId="263" fillId="28" borderId="1038" xfId="11" applyNumberFormat="1" applyFont="1" applyFill="1" applyBorder="1" applyAlignment="1">
      <alignment horizontal="center" vertical="center"/>
    </xf>
    <xf numFmtId="49" fontId="263" fillId="28" borderId="1037" xfId="11" applyNumberFormat="1" applyFont="1" applyFill="1" applyBorder="1" applyAlignment="1">
      <alignment horizontal="center" vertical="center"/>
    </xf>
    <xf numFmtId="181" fontId="78" fillId="0" borderId="0" xfId="0" applyNumberFormat="1" applyFont="1" applyAlignment="1" applyProtection="1">
      <alignment horizontal="center" vertical="center" wrapText="1"/>
      <protection locked="0"/>
    </xf>
    <xf numFmtId="0" fontId="239" fillId="0" borderId="377" xfId="11" applyFont="1" applyBorder="1" applyAlignment="1">
      <alignment horizontal="center" vertical="distributed"/>
    </xf>
    <xf numFmtId="0" fontId="239" fillId="0" borderId="1023" xfId="11" applyFont="1" applyBorder="1" applyAlignment="1">
      <alignment horizontal="center" vertical="distributed"/>
    </xf>
    <xf numFmtId="0" fontId="239" fillId="0" borderId="123" xfId="11" applyFont="1" applyBorder="1" applyAlignment="1">
      <alignment horizontal="center" vertical="distributed"/>
    </xf>
    <xf numFmtId="0" fontId="239" fillId="0" borderId="48" xfId="11" applyFont="1" applyBorder="1" applyAlignment="1">
      <alignment horizontal="center" vertical="distributed"/>
    </xf>
    <xf numFmtId="0" fontId="239" fillId="0" borderId="211" xfId="11" applyFont="1" applyBorder="1" applyAlignment="1">
      <alignment horizontal="center" vertical="distributed"/>
    </xf>
    <xf numFmtId="0" fontId="239" fillId="0" borderId="39" xfId="11" applyFont="1" applyBorder="1" applyAlignment="1">
      <alignment horizontal="center" vertical="distributed"/>
    </xf>
    <xf numFmtId="0" fontId="240" fillId="0" borderId="0" xfId="11" applyFont="1" applyAlignment="1">
      <alignment horizontal="left" vertical="center"/>
    </xf>
    <xf numFmtId="0" fontId="239" fillId="0" borderId="1042" xfId="11" applyFont="1" applyBorder="1" applyAlignment="1">
      <alignment horizontal="center" vertical="distributed"/>
    </xf>
    <xf numFmtId="0" fontId="239" fillId="0" borderId="854" xfId="11" applyFont="1" applyBorder="1" applyAlignment="1">
      <alignment horizontal="center" vertical="distributed"/>
    </xf>
    <xf numFmtId="181" fontId="258" fillId="0" borderId="0" xfId="0" applyNumberFormat="1" applyFont="1" applyAlignment="1" applyProtection="1">
      <alignment horizontal="center" vertical="center" wrapText="1"/>
      <protection locked="0"/>
    </xf>
    <xf numFmtId="181" fontId="230" fillId="0" borderId="0" xfId="0" applyNumberFormat="1" applyFont="1" applyAlignment="1" applyProtection="1">
      <alignment horizontal="center" vertical="center" wrapText="1"/>
      <protection locked="0"/>
    </xf>
    <xf numFmtId="0" fontId="222" fillId="0" borderId="377" xfId="11" applyFont="1" applyBorder="1" applyAlignment="1">
      <alignment horizontal="center" vertical="center"/>
    </xf>
    <xf numFmtId="0" fontId="222" fillId="0" borderId="378" xfId="11" applyFont="1" applyBorder="1" applyAlignment="1">
      <alignment horizontal="center" vertical="center"/>
    </xf>
    <xf numFmtId="0" fontId="246" fillId="42" borderId="115" xfId="11" applyFont="1" applyFill="1" applyBorder="1" applyAlignment="1">
      <alignment horizontal="center" vertical="center" wrapText="1"/>
    </xf>
    <xf numFmtId="0" fontId="238" fillId="0" borderId="377" xfId="11" applyFont="1" applyBorder="1" applyAlignment="1">
      <alignment horizontal="center" vertical="distributed"/>
    </xf>
    <xf numFmtId="0" fontId="238" fillId="0" borderId="1023" xfId="11" applyFont="1" applyBorder="1" applyAlignment="1">
      <alignment horizontal="center" vertical="distributed"/>
    </xf>
    <xf numFmtId="181" fontId="228" fillId="0" borderId="175" xfId="11" applyNumberFormat="1" applyFont="1" applyBorder="1" applyAlignment="1">
      <alignment vertical="center" wrapText="1"/>
    </xf>
    <xf numFmtId="181" fontId="228" fillId="0" borderId="155" xfId="11" applyNumberFormat="1" applyFont="1" applyBorder="1" applyAlignment="1">
      <alignment vertical="center" wrapText="1"/>
    </xf>
    <xf numFmtId="181" fontId="228" fillId="0" borderId="53" xfId="11" applyNumberFormat="1" applyFont="1" applyBorder="1" applyAlignment="1">
      <alignment vertical="center" wrapText="1"/>
    </xf>
    <xf numFmtId="180" fontId="230" fillId="0" borderId="947" xfId="11" applyNumberFormat="1" applyFont="1" applyBorder="1" applyAlignment="1">
      <alignment horizontal="center" vertical="center" wrapText="1"/>
    </xf>
    <xf numFmtId="180" fontId="230" fillId="0" borderId="946" xfId="11" applyNumberFormat="1" applyFont="1" applyBorder="1" applyAlignment="1">
      <alignment horizontal="center" vertical="center" wrapText="1"/>
    </xf>
    <xf numFmtId="180" fontId="230" fillId="0" borderId="95" xfId="11" applyNumberFormat="1" applyFont="1" applyBorder="1" applyAlignment="1">
      <alignment horizontal="center" vertical="center" wrapText="1"/>
    </xf>
    <xf numFmtId="181" fontId="212" fillId="54" borderId="0" xfId="23" applyNumberFormat="1" applyAlignment="1" applyProtection="1">
      <alignment horizontal="center" vertical="center" wrapText="1"/>
      <protection locked="0"/>
    </xf>
    <xf numFmtId="0" fontId="287" fillId="0" borderId="960" xfId="11" applyFont="1" applyBorder="1" applyAlignment="1">
      <alignment horizontal="center" vertical="distributed"/>
    </xf>
    <xf numFmtId="0" fontId="287" fillId="0" borderId="956" xfId="11" applyFont="1" applyBorder="1" applyAlignment="1">
      <alignment horizontal="center" vertical="distributed"/>
    </xf>
    <xf numFmtId="0" fontId="287" fillId="0" borderId="174" xfId="11" applyFont="1" applyBorder="1" applyAlignment="1">
      <alignment horizontal="center" vertical="distributed"/>
    </xf>
    <xf numFmtId="0" fontId="287" fillId="0" borderId="27" xfId="11" applyFont="1" applyBorder="1" applyAlignment="1">
      <alignment horizontal="center" vertical="distributed"/>
    </xf>
    <xf numFmtId="0" fontId="287" fillId="0" borderId="965" xfId="11" applyFont="1" applyBorder="1" applyAlignment="1">
      <alignment horizontal="center" vertical="distributed"/>
    </xf>
    <xf numFmtId="0" fontId="287" fillId="0" borderId="850" xfId="11" applyFont="1" applyBorder="1" applyAlignment="1">
      <alignment horizontal="center" vertical="distributed"/>
    </xf>
    <xf numFmtId="38" fontId="269" fillId="28" borderId="1039" xfId="1" applyFont="1" applyFill="1" applyBorder="1" applyAlignment="1">
      <alignment horizontal="center" vertical="center"/>
    </xf>
    <xf numFmtId="38" fontId="269" fillId="28" borderId="1038" xfId="1" applyFont="1" applyFill="1" applyBorder="1" applyAlignment="1">
      <alignment horizontal="center" vertical="center"/>
    </xf>
    <xf numFmtId="49" fontId="269" fillId="28" borderId="1038" xfId="11" applyNumberFormat="1" applyFont="1" applyFill="1" applyBorder="1" applyAlignment="1">
      <alignment horizontal="center" vertical="center"/>
    </xf>
    <xf numFmtId="49" fontId="269" fillId="28" borderId="1037" xfId="11" applyNumberFormat="1" applyFont="1" applyFill="1" applyBorder="1" applyAlignment="1">
      <alignment horizontal="center" vertical="center"/>
    </xf>
    <xf numFmtId="0" fontId="246" fillId="58" borderId="722" xfId="11" applyFont="1" applyFill="1" applyBorder="1" applyAlignment="1">
      <alignment horizontal="center" vertical="center"/>
    </xf>
    <xf numFmtId="0" fontId="246" fillId="58" borderId="6" xfId="11" applyFont="1" applyFill="1" applyBorder="1" applyAlignment="1">
      <alignment horizontal="center" vertical="center"/>
    </xf>
    <xf numFmtId="0" fontId="246" fillId="58" borderId="51" xfId="11" applyFont="1" applyFill="1" applyBorder="1" applyAlignment="1">
      <alignment horizontal="center" vertical="center"/>
    </xf>
    <xf numFmtId="0" fontId="246" fillId="58" borderId="155" xfId="11" applyFont="1" applyFill="1" applyBorder="1" applyAlignment="1">
      <alignment horizontal="center" vertical="center"/>
    </xf>
    <xf numFmtId="181" fontId="78" fillId="0" borderId="9" xfId="0" applyNumberFormat="1" applyFont="1" applyBorder="1" applyAlignment="1" applyProtection="1">
      <alignment horizontal="center" vertical="center" wrapText="1"/>
      <protection locked="0"/>
    </xf>
    <xf numFmtId="0" fontId="245" fillId="58" borderId="115" xfId="11" applyFont="1" applyFill="1" applyBorder="1" applyAlignment="1">
      <alignment horizontal="center" vertical="center"/>
    </xf>
    <xf numFmtId="0" fontId="246" fillId="58" borderId="154" xfId="11" applyFont="1" applyFill="1" applyBorder="1" applyAlignment="1">
      <alignment horizontal="center" vertical="center"/>
    </xf>
    <xf numFmtId="0" fontId="246" fillId="58" borderId="50" xfId="11" applyFont="1" applyFill="1" applyBorder="1" applyAlignment="1">
      <alignment horizontal="center" vertical="center" wrapText="1"/>
    </xf>
    <xf numFmtId="0" fontId="246" fillId="58" borderId="26" xfId="11" applyFont="1" applyFill="1" applyBorder="1" applyAlignment="1">
      <alignment horizontal="center" vertical="center"/>
    </xf>
    <xf numFmtId="0" fontId="246" fillId="58" borderId="28" xfId="11" applyFont="1" applyFill="1" applyBorder="1" applyAlignment="1">
      <alignment horizontal="center" vertical="center" wrapText="1"/>
    </xf>
    <xf numFmtId="38" fontId="230" fillId="28" borderId="1038" xfId="1" applyFont="1" applyFill="1" applyBorder="1" applyAlignment="1">
      <alignment horizontal="center" vertical="center"/>
    </xf>
    <xf numFmtId="38" fontId="230" fillId="28" borderId="1039" xfId="1" applyFont="1" applyFill="1" applyBorder="1" applyAlignment="1">
      <alignment horizontal="center" vertical="center"/>
    </xf>
    <xf numFmtId="38" fontId="230" fillId="28" borderId="1037" xfId="1" applyFont="1" applyFill="1" applyBorder="1" applyAlignment="1">
      <alignment horizontal="center" vertical="center"/>
    </xf>
    <xf numFmtId="49" fontId="230" fillId="28" borderId="1038" xfId="11" applyNumberFormat="1" applyFont="1" applyFill="1" applyBorder="1" applyAlignment="1">
      <alignment horizontal="center" vertical="center"/>
    </xf>
    <xf numFmtId="49" fontId="230" fillId="28" borderId="1037" xfId="11" applyNumberFormat="1" applyFont="1" applyFill="1" applyBorder="1" applyAlignment="1">
      <alignment horizontal="center" vertical="center"/>
    </xf>
    <xf numFmtId="0" fontId="246" fillId="58" borderId="159" xfId="11" applyFont="1" applyFill="1" applyBorder="1" applyAlignment="1">
      <alignment horizontal="center" vertical="center"/>
    </xf>
    <xf numFmtId="0" fontId="246" fillId="58" borderId="0" xfId="11" applyFont="1" applyFill="1" applyAlignment="1">
      <alignment horizontal="center" vertical="center"/>
    </xf>
    <xf numFmtId="0" fontId="246" fillId="58" borderId="722" xfId="11" applyFont="1" applyFill="1" applyBorder="1" applyAlignment="1">
      <alignment horizontal="center" vertical="center" wrapText="1"/>
    </xf>
    <xf numFmtId="0" fontId="246" fillId="58" borderId="40" xfId="11" applyFont="1" applyFill="1" applyBorder="1" applyAlignment="1">
      <alignment horizontal="center" vertical="center" wrapText="1"/>
    </xf>
    <xf numFmtId="0" fontId="246" fillId="58" borderId="50" xfId="11" applyFont="1" applyFill="1" applyBorder="1" applyAlignment="1">
      <alignment horizontal="center" vertical="center"/>
    </xf>
    <xf numFmtId="0" fontId="246" fillId="58" borderId="40" xfId="11" applyFont="1" applyFill="1" applyBorder="1" applyAlignment="1">
      <alignment horizontal="center" vertical="center"/>
    </xf>
    <xf numFmtId="0" fontId="246" fillId="58" borderId="159" xfId="11" applyFont="1" applyFill="1" applyBorder="1" applyAlignment="1">
      <alignment horizontal="center" vertical="center" wrapText="1"/>
    </xf>
    <xf numFmtId="0" fontId="246" fillId="58" borderId="48" xfId="11" applyFont="1" applyFill="1" applyBorder="1" applyAlignment="1">
      <alignment horizontal="center" vertical="center" wrapText="1"/>
    </xf>
    <xf numFmtId="0" fontId="246" fillId="58" borderId="6" xfId="11" applyFont="1" applyFill="1" applyBorder="1" applyAlignment="1">
      <alignment horizontal="center" vertical="center" wrapText="1"/>
    </xf>
    <xf numFmtId="0" fontId="246" fillId="58" borderId="0" xfId="11" applyFont="1" applyFill="1" applyAlignment="1">
      <alignment horizontal="center" vertical="center" wrapText="1"/>
    </xf>
    <xf numFmtId="0" fontId="246" fillId="58" borderId="142" xfId="11" applyFont="1" applyFill="1" applyBorder="1" applyAlignment="1">
      <alignment horizontal="center" vertical="center" wrapText="1"/>
    </xf>
    <xf numFmtId="181" fontId="243" fillId="0" borderId="0" xfId="27" applyNumberFormat="1" applyFont="1" applyAlignment="1" applyProtection="1">
      <alignment horizontal="center" vertical="center" wrapText="1"/>
      <protection locked="0"/>
    </xf>
    <xf numFmtId="0" fontId="246" fillId="42" borderId="949" xfId="25" applyFont="1" applyFill="1" applyBorder="1" applyAlignment="1">
      <alignment horizontal="center" vertical="center" wrapText="1"/>
    </xf>
    <xf numFmtId="0" fontId="246" fillId="42" borderId="948" xfId="25" applyFont="1" applyFill="1" applyBorder="1" applyAlignment="1">
      <alignment horizontal="center" vertical="center" wrapText="1"/>
    </xf>
    <xf numFmtId="0" fontId="246" fillId="42" borderId="50" xfId="25" applyFont="1" applyFill="1" applyBorder="1" applyAlignment="1">
      <alignment horizontal="center" vertical="center" wrapText="1"/>
    </xf>
    <xf numFmtId="0" fontId="246" fillId="42" borderId="118" xfId="25" applyFont="1" applyFill="1" applyBorder="1" applyAlignment="1">
      <alignment horizontal="center" vertical="center" wrapText="1"/>
    </xf>
    <xf numFmtId="0" fontId="246" fillId="42" borderId="1044" xfId="25" applyFont="1" applyFill="1" applyBorder="1" applyAlignment="1">
      <alignment horizontal="center" vertical="center" wrapText="1"/>
    </xf>
    <xf numFmtId="0" fontId="246" fillId="42" borderId="1046" xfId="25" applyFont="1" applyFill="1" applyBorder="1" applyAlignment="1">
      <alignment horizontal="center" vertical="center" wrapText="1"/>
    </xf>
    <xf numFmtId="0" fontId="246" fillId="42" borderId="1032" xfId="25" applyFont="1" applyFill="1" applyBorder="1" applyAlignment="1">
      <alignment horizontal="center" vertical="center" wrapText="1"/>
    </xf>
    <xf numFmtId="0" fontId="246" fillId="42" borderId="1045" xfId="25" applyFont="1" applyFill="1" applyBorder="1" applyAlignment="1">
      <alignment horizontal="center" vertical="center" wrapText="1"/>
    </xf>
    <xf numFmtId="0" fontId="246" fillId="42" borderId="159" xfId="25" applyFont="1" applyFill="1" applyBorder="1" applyAlignment="1">
      <alignment horizontal="center" vertical="center" wrapText="1"/>
    </xf>
    <xf numFmtId="0" fontId="246" fillId="42" borderId="660" xfId="25" applyFont="1" applyFill="1" applyBorder="1" applyAlignment="1">
      <alignment horizontal="center" vertical="center" wrapText="1"/>
    </xf>
    <xf numFmtId="181" fontId="78" fillId="0" borderId="0" xfId="27" applyNumberFormat="1" applyFont="1" applyAlignment="1" applyProtection="1">
      <alignment horizontal="center" vertical="center" wrapText="1"/>
      <protection locked="0"/>
    </xf>
    <xf numFmtId="0" fontId="246" fillId="42" borderId="115" xfId="25" applyFont="1" applyFill="1" applyBorder="1" applyAlignment="1">
      <alignment horizontal="center" vertical="center" wrapText="1"/>
    </xf>
    <xf numFmtId="0" fontId="246" fillId="42" borderId="120" xfId="25" applyFont="1" applyFill="1" applyBorder="1" applyAlignment="1">
      <alignment horizontal="center" vertical="center" wrapText="1"/>
    </xf>
    <xf numFmtId="0" fontId="246" fillId="42" borderId="722" xfId="25" applyFont="1" applyFill="1" applyBorder="1" applyAlignment="1">
      <alignment horizontal="center" vertical="center" wrapText="1"/>
    </xf>
    <xf numFmtId="0" fontId="246" fillId="42" borderId="164" xfId="25" applyFont="1" applyFill="1" applyBorder="1" applyAlignment="1">
      <alignment horizontal="center" vertical="center" wrapText="1"/>
    </xf>
    <xf numFmtId="0" fontId="246" fillId="42" borderId="1043" xfId="25" applyFont="1" applyFill="1" applyBorder="1" applyAlignment="1">
      <alignment horizontal="center" vertical="center" wrapText="1"/>
    </xf>
    <xf numFmtId="0" fontId="246" fillId="42" borderId="966" xfId="25" applyFont="1" applyFill="1" applyBorder="1" applyAlignment="1">
      <alignment horizontal="center" vertical="center" wrapText="1"/>
    </xf>
    <xf numFmtId="0" fontId="222" fillId="0" borderId="377" xfId="25" applyFont="1" applyBorder="1" applyAlignment="1">
      <alignment horizontal="center" vertical="center"/>
    </xf>
    <xf numFmtId="0" fontId="222" fillId="0" borderId="378" xfId="25" applyFont="1" applyBorder="1" applyAlignment="1">
      <alignment horizontal="center" vertical="center"/>
    </xf>
    <xf numFmtId="0" fontId="221" fillId="0" borderId="378" xfId="25" applyFont="1" applyBorder="1" applyAlignment="1">
      <alignment horizontal="center" vertical="center"/>
    </xf>
    <xf numFmtId="0" fontId="238" fillId="0" borderId="1073" xfId="11" applyFont="1" applyBorder="1" applyAlignment="1">
      <alignment horizontal="center" vertical="distributed"/>
    </xf>
    <xf numFmtId="0" fontId="238" fillId="0" borderId="1074" xfId="11" applyFont="1" applyBorder="1" applyAlignment="1">
      <alignment horizontal="center" vertical="distributed"/>
    </xf>
    <xf numFmtId="0" fontId="238" fillId="0" borderId="1076" xfId="11" applyFont="1" applyBorder="1" applyAlignment="1">
      <alignment horizontal="center" vertical="distributed"/>
    </xf>
    <xf numFmtId="0" fontId="238" fillId="0" borderId="1078" xfId="11" applyFont="1" applyBorder="1" applyAlignment="1">
      <alignment horizontal="center" vertical="distributed"/>
    </xf>
    <xf numFmtId="0" fontId="238" fillId="0" borderId="1079" xfId="11" applyFont="1" applyBorder="1" applyAlignment="1">
      <alignment horizontal="center" vertical="distributed"/>
    </xf>
    <xf numFmtId="0" fontId="238" fillId="0" borderId="1081" xfId="11" applyFont="1" applyBorder="1" applyAlignment="1">
      <alignment horizontal="center" vertical="distributed"/>
    </xf>
    <xf numFmtId="0" fontId="238" fillId="0" borderId="9" xfId="11" applyFont="1" applyBorder="1" applyAlignment="1">
      <alignment horizontal="center" vertical="distributed"/>
    </xf>
    <xf numFmtId="0" fontId="239" fillId="0" borderId="160" xfId="11" applyFont="1" applyBorder="1" applyAlignment="1">
      <alignment horizontal="center" vertical="distributed"/>
    </xf>
    <xf numFmtId="0" fontId="239" fillId="0" borderId="163" xfId="11" applyFont="1" applyBorder="1" applyAlignment="1">
      <alignment horizontal="center" vertical="distributed"/>
    </xf>
    <xf numFmtId="49" fontId="228" fillId="0" borderId="7" xfId="11" applyNumberFormat="1" applyFont="1" applyBorder="1" applyAlignment="1">
      <alignment horizontal="center" vertical="center"/>
    </xf>
    <xf numFmtId="49" fontId="228" fillId="0" borderId="8" xfId="11" applyNumberFormat="1" applyFont="1" applyBorder="1" applyAlignment="1">
      <alignment horizontal="center" vertical="center"/>
    </xf>
    <xf numFmtId="49" fontId="228" fillId="0" borderId="9" xfId="11" applyNumberFormat="1" applyFont="1" applyBorder="1" applyAlignment="1">
      <alignment horizontal="center" vertical="center"/>
    </xf>
    <xf numFmtId="0" fontId="287" fillId="0" borderId="955" xfId="11" applyFont="1" applyBorder="1" applyAlignment="1">
      <alignment horizontal="center" vertical="distributed"/>
    </xf>
    <xf numFmtId="0" fontId="298" fillId="0" borderId="0" xfId="11" applyFont="1" applyAlignment="1">
      <alignment vertical="center"/>
    </xf>
    <xf numFmtId="0" fontId="245" fillId="58" borderId="50" xfId="11" applyFont="1" applyFill="1" applyBorder="1" applyAlignment="1">
      <alignment horizontal="center" vertical="center" wrapText="1"/>
    </xf>
    <xf numFmtId="0" fontId="246" fillId="58" borderId="28" xfId="11" applyFont="1" applyFill="1" applyBorder="1" applyAlignment="1">
      <alignment horizontal="center" vertical="center"/>
    </xf>
    <xf numFmtId="0" fontId="238" fillId="0" borderId="139" xfId="11" applyFont="1" applyBorder="1" applyAlignment="1">
      <alignment horizontal="left" vertical="distributed"/>
    </xf>
    <xf numFmtId="0" fontId="238" fillId="0" borderId="0" xfId="11" applyFont="1" applyAlignment="1">
      <alignment horizontal="left" vertical="distributed"/>
    </xf>
    <xf numFmtId="0" fontId="238" fillId="0" borderId="85" xfId="11" applyFont="1" applyBorder="1" applyAlignment="1">
      <alignment horizontal="center" vertical="distributed"/>
    </xf>
    <xf numFmtId="0" fontId="238" fillId="0" borderId="86" xfId="11" applyFont="1" applyBorder="1" applyAlignment="1">
      <alignment horizontal="center" vertical="distributed"/>
    </xf>
    <xf numFmtId="0" fontId="238" fillId="0" borderId="88" xfId="11" applyFont="1" applyBorder="1" applyAlignment="1">
      <alignment horizontal="center" vertical="distributed"/>
    </xf>
    <xf numFmtId="0" fontId="238" fillId="0" borderId="5" xfId="11" applyFont="1" applyBorder="1" applyAlignment="1">
      <alignment horizontal="center" vertical="distributed"/>
    </xf>
    <xf numFmtId="0" fontId="239" fillId="0" borderId="965" xfId="11" applyFont="1" applyBorder="1" applyAlignment="1">
      <alignment horizontal="center" vertical="distributed"/>
    </xf>
    <xf numFmtId="0" fontId="239" fillId="0" borderId="850" xfId="11" applyFont="1" applyBorder="1" applyAlignment="1">
      <alignment horizontal="center" vertical="distributed"/>
    </xf>
    <xf numFmtId="222" fontId="246" fillId="42" borderId="722" xfId="1" applyNumberFormat="1" applyFont="1" applyFill="1" applyBorder="1" applyAlignment="1">
      <alignment horizontal="center" vertical="center" wrapText="1"/>
    </xf>
    <xf numFmtId="222" fontId="246" fillId="42" borderId="164" xfId="1" applyNumberFormat="1" applyFont="1" applyFill="1" applyBorder="1" applyAlignment="1">
      <alignment horizontal="center" vertical="center" wrapText="1"/>
    </xf>
    <xf numFmtId="222" fontId="246" fillId="42" borderId="949" xfId="1" applyNumberFormat="1" applyFont="1" applyFill="1" applyBorder="1" applyAlignment="1">
      <alignment horizontal="center" vertical="center" wrapText="1"/>
    </xf>
    <xf numFmtId="222" fontId="246" fillId="42" borderId="948" xfId="1" applyNumberFormat="1" applyFont="1" applyFill="1" applyBorder="1" applyAlignment="1">
      <alignment horizontal="center" vertical="center" wrapText="1"/>
    </xf>
    <xf numFmtId="0" fontId="339" fillId="0" borderId="955" xfId="11" applyFont="1" applyBorder="1" applyAlignment="1">
      <alignment horizontal="left" vertical="center"/>
    </xf>
    <xf numFmtId="0" fontId="339" fillId="0" borderId="961" xfId="11" applyFont="1" applyBorder="1" applyAlignment="1">
      <alignment horizontal="left" vertical="center"/>
    </xf>
    <xf numFmtId="0" fontId="339" fillId="0" borderId="849" xfId="11" applyFont="1" applyBorder="1" applyAlignment="1">
      <alignment horizontal="left" vertical="center"/>
    </xf>
    <xf numFmtId="0" fontId="339" fillId="0" borderId="970" xfId="11" applyFont="1" applyBorder="1" applyAlignment="1">
      <alignment horizontal="left" vertical="center"/>
    </xf>
    <xf numFmtId="0" fontId="339" fillId="0" borderId="956" xfId="11" applyFont="1" applyBorder="1" applyAlignment="1">
      <alignment horizontal="left" vertical="center"/>
    </xf>
    <xf numFmtId="0" fontId="339" fillId="0" borderId="854" xfId="11" applyFont="1" applyBorder="1" applyAlignment="1">
      <alignment horizontal="left" vertical="center"/>
    </xf>
    <xf numFmtId="0" fontId="259" fillId="0" borderId="955" xfId="11" applyFont="1" applyBorder="1" applyAlignment="1">
      <alignment horizontal="left" vertical="center"/>
    </xf>
    <xf numFmtId="0" fontId="259" fillId="0" borderId="956" xfId="11" applyFont="1" applyBorder="1" applyAlignment="1">
      <alignment horizontal="left" vertical="center"/>
    </xf>
    <xf numFmtId="0" fontId="259" fillId="0" borderId="849" xfId="11" applyFont="1" applyBorder="1" applyAlignment="1">
      <alignment horizontal="left" vertical="center"/>
    </xf>
    <xf numFmtId="0" fontId="259" fillId="0" borderId="854" xfId="11" applyFont="1" applyBorder="1" applyAlignment="1">
      <alignment horizontal="left" vertical="center"/>
    </xf>
    <xf numFmtId="0" fontId="231" fillId="0" borderId="955" xfId="11" applyFont="1" applyBorder="1" applyAlignment="1">
      <alignment horizontal="left" vertical="center" wrapText="1"/>
    </xf>
    <xf numFmtId="0" fontId="231" fillId="0" borderId="955" xfId="11" applyFont="1" applyBorder="1" applyAlignment="1">
      <alignment horizontal="left" vertical="center"/>
    </xf>
    <xf numFmtId="0" fontId="231" fillId="0" borderId="956" xfId="11" applyFont="1" applyBorder="1" applyAlignment="1">
      <alignment horizontal="left" vertical="center"/>
    </xf>
    <xf numFmtId="0" fontId="231" fillId="0" borderId="849" xfId="11" applyFont="1" applyBorder="1" applyAlignment="1">
      <alignment horizontal="left" vertical="center"/>
    </xf>
    <xf numFmtId="0" fontId="231" fillId="0" borderId="854" xfId="11" applyFont="1" applyBorder="1" applyAlignment="1">
      <alignment horizontal="left" vertical="center"/>
    </xf>
    <xf numFmtId="0" fontId="231" fillId="0" borderId="41" xfId="11" applyFont="1" applyBorder="1" applyAlignment="1">
      <alignment horizontal="left" vertical="center" wrapText="1"/>
    </xf>
    <xf numFmtId="0" fontId="231" fillId="0" borderId="41" xfId="11" applyFont="1" applyBorder="1" applyAlignment="1">
      <alignment horizontal="left" vertical="center"/>
    </xf>
    <xf numFmtId="0" fontId="231" fillId="0" borderId="42" xfId="11" applyFont="1" applyBorder="1" applyAlignment="1">
      <alignment horizontal="left" vertical="center"/>
    </xf>
    <xf numFmtId="0" fontId="231" fillId="0" borderId="38" xfId="11" applyFont="1" applyBorder="1" applyAlignment="1">
      <alignment horizontal="left" vertical="center"/>
    </xf>
    <xf numFmtId="0" fontId="231" fillId="0" borderId="39" xfId="11" applyFont="1" applyBorder="1" applyAlignment="1">
      <alignment horizontal="left" vertical="center"/>
    </xf>
    <xf numFmtId="0" fontId="219" fillId="0" borderId="0" xfId="11" applyFont="1" applyAlignment="1">
      <alignment horizontal="left" vertical="center"/>
    </xf>
    <xf numFmtId="38" fontId="309" fillId="0" borderId="101" xfId="1" applyFont="1" applyBorder="1" applyAlignment="1">
      <alignment horizontal="center" vertical="center"/>
    </xf>
    <xf numFmtId="38" fontId="310" fillId="0" borderId="101" xfId="1" applyFont="1" applyBorder="1" applyAlignment="1">
      <alignment horizontal="center" vertical="center"/>
    </xf>
    <xf numFmtId="0" fontId="287" fillId="0" borderId="1042" xfId="11" applyFont="1" applyBorder="1" applyAlignment="1">
      <alignment horizontal="center" vertical="distributed"/>
    </xf>
    <xf numFmtId="0" fontId="287" fillId="0" borderId="854" xfId="11" applyFont="1" applyBorder="1" applyAlignment="1">
      <alignment horizontal="center" vertical="distributed"/>
    </xf>
    <xf numFmtId="0" fontId="324" fillId="0" borderId="377" xfId="11" applyFont="1" applyBorder="1" applyAlignment="1">
      <alignment horizontal="center" vertical="center"/>
    </xf>
    <xf numFmtId="0" fontId="324" fillId="0" borderId="378" xfId="11" applyFont="1" applyBorder="1" applyAlignment="1">
      <alignment horizontal="center" vertical="center"/>
    </xf>
    <xf numFmtId="0" fontId="325" fillId="17" borderId="0" xfId="11" applyFont="1" applyFill="1" applyAlignment="1">
      <alignment horizontal="center" vertical="center"/>
    </xf>
    <xf numFmtId="0" fontId="327" fillId="0" borderId="1042" xfId="11" applyFont="1" applyBorder="1" applyAlignment="1">
      <alignment horizontal="center" vertical="distributed"/>
    </xf>
    <xf numFmtId="0" fontId="227" fillId="0" borderId="854" xfId="11" applyFont="1" applyBorder="1" applyAlignment="1">
      <alignment horizontal="center" vertical="distributed"/>
    </xf>
    <xf numFmtId="0" fontId="0" fillId="53" borderId="159" xfId="0" applyFill="1" applyBorder="1" applyAlignment="1">
      <alignment horizontal="center" vertical="center"/>
    </xf>
    <xf numFmtId="0" fontId="0" fillId="53" borderId="660" xfId="0" applyFill="1" applyBorder="1" applyAlignment="1">
      <alignment horizontal="center" vertical="center"/>
    </xf>
    <xf numFmtId="0" fontId="0" fillId="53" borderId="101" xfId="0" applyFill="1" applyBorder="1" applyAlignment="1">
      <alignment horizontal="center" vertical="center"/>
    </xf>
    <xf numFmtId="0" fontId="0" fillId="53" borderId="664" xfId="0" applyFill="1" applyBorder="1" applyAlignment="1">
      <alignment horizontal="center" vertical="center"/>
    </xf>
    <xf numFmtId="0" fontId="0" fillId="12" borderId="123" xfId="0" applyFill="1" applyBorder="1" applyAlignment="1">
      <alignment horizontal="center" vertical="center"/>
    </xf>
    <xf numFmtId="0" fontId="0" fillId="12" borderId="159" xfId="0" applyFill="1" applyBorder="1" applyAlignment="1">
      <alignment horizontal="center" vertical="center"/>
    </xf>
    <xf numFmtId="0" fontId="0" fillId="12" borderId="934" xfId="0" applyFill="1" applyBorder="1" applyAlignment="1">
      <alignment horizontal="center" vertical="center"/>
    </xf>
    <xf numFmtId="0" fontId="0" fillId="12" borderId="160" xfId="0" applyFill="1" applyBorder="1" applyAlignment="1">
      <alignment horizontal="center" vertical="center"/>
    </xf>
    <xf numFmtId="0" fontId="0" fillId="12" borderId="101" xfId="0" applyFill="1" applyBorder="1" applyAlignment="1">
      <alignment horizontal="center" vertical="center"/>
    </xf>
    <xf numFmtId="0" fontId="0" fillId="12" borderId="935" xfId="0" applyFill="1" applyBorder="1" applyAlignment="1">
      <alignment horizontal="center" vertical="center"/>
    </xf>
    <xf numFmtId="0" fontId="167" fillId="0" borderId="123" xfId="0" applyFont="1" applyBorder="1" applyAlignment="1">
      <alignment horizontal="center" vertical="center"/>
    </xf>
    <xf numFmtId="0" fontId="167" fillId="0" borderId="159" xfId="0" applyFont="1" applyBorder="1" applyAlignment="1">
      <alignment horizontal="center" vertical="center"/>
    </xf>
    <xf numFmtId="0" fontId="167" fillId="0" borderId="660" xfId="0" applyFont="1" applyBorder="1" applyAlignment="1">
      <alignment horizontal="center" vertical="center"/>
    </xf>
    <xf numFmtId="0" fontId="167" fillId="0" borderId="160" xfId="0" applyFont="1" applyBorder="1" applyAlignment="1">
      <alignment horizontal="center" vertical="top"/>
    </xf>
    <xf numFmtId="0" fontId="167" fillId="0" borderId="101" xfId="0" applyFont="1" applyBorder="1" applyAlignment="1">
      <alignment horizontal="center" vertical="top"/>
    </xf>
    <xf numFmtId="0" fontId="167" fillId="0" borderId="664" xfId="0" applyFont="1" applyBorder="1" applyAlignment="1">
      <alignment horizontal="center" vertical="top"/>
    </xf>
    <xf numFmtId="0" fontId="0" fillId="12" borderId="660" xfId="0" applyFill="1" applyBorder="1" applyAlignment="1">
      <alignment horizontal="center" vertical="center"/>
    </xf>
    <xf numFmtId="0" fontId="0" fillId="12" borderId="664" xfId="0" applyFill="1" applyBorder="1" applyAlignment="1">
      <alignment horizontal="center" vertical="center"/>
    </xf>
    <xf numFmtId="0" fontId="0" fillId="0" borderId="27" xfId="0" applyBorder="1" applyAlignment="1">
      <alignment horizontal="center" vertical="center"/>
    </xf>
    <xf numFmtId="0" fontId="4" fillId="0" borderId="27" xfId="0" applyFont="1" applyBorder="1" applyAlignment="1">
      <alignment horizontal="center" vertical="center" textRotation="255"/>
    </xf>
    <xf numFmtId="0" fontId="4" fillId="0" borderId="26" xfId="0" applyFont="1" applyBorder="1" applyAlignment="1">
      <alignment horizontal="center" vertical="center" textRotation="255"/>
    </xf>
    <xf numFmtId="0" fontId="4" fillId="0" borderId="28" xfId="0" applyFont="1" applyBorder="1" applyAlignment="1">
      <alignment horizontal="center" vertical="center" textRotation="255"/>
    </xf>
    <xf numFmtId="0" fontId="4" fillId="0" borderId="37" xfId="0" applyFont="1" applyBorder="1" applyAlignment="1">
      <alignment horizontal="center" vertical="center" textRotation="255"/>
    </xf>
    <xf numFmtId="0" fontId="4" fillId="0" borderId="6" xfId="0" applyFont="1" applyBorder="1" applyAlignment="1">
      <alignment horizontal="center" vertical="center" textRotation="255"/>
    </xf>
    <xf numFmtId="0" fontId="4" fillId="0" borderId="40" xfId="0" applyFont="1" applyBorder="1" applyAlignment="1">
      <alignment horizontal="center" vertical="center" textRotation="255"/>
    </xf>
    <xf numFmtId="0" fontId="116" fillId="0" borderId="0" xfId="3" applyFont="1" applyAlignment="1">
      <alignment horizontal="center" vertical="center"/>
    </xf>
    <xf numFmtId="0" fontId="113" fillId="16" borderId="7" xfId="3" applyFont="1" applyFill="1" applyBorder="1" applyAlignment="1">
      <alignment horizontal="left" vertical="center"/>
    </xf>
    <xf numFmtId="0" fontId="113" fillId="16" borderId="8" xfId="3" applyFont="1" applyFill="1" applyBorder="1" applyAlignment="1">
      <alignment horizontal="left" vertical="center"/>
    </xf>
    <xf numFmtId="0" fontId="113" fillId="16" borderId="5" xfId="3" applyFont="1" applyFill="1" applyBorder="1" applyAlignment="1">
      <alignment horizontal="left" vertical="center"/>
    </xf>
    <xf numFmtId="0" fontId="113" fillId="16" borderId="9" xfId="3" applyFont="1" applyFill="1" applyBorder="1" applyAlignment="1">
      <alignment horizontal="left" vertical="center"/>
    </xf>
    <xf numFmtId="0" fontId="1" fillId="0" borderId="27" xfId="21" applyBorder="1" applyAlignment="1">
      <alignment horizontal="center" vertical="center"/>
    </xf>
    <xf numFmtId="0" fontId="1" fillId="0" borderId="26" xfId="21" applyBorder="1" applyAlignment="1">
      <alignment horizontal="center" vertical="center"/>
    </xf>
    <xf numFmtId="0" fontId="1" fillId="0" borderId="28" xfId="21" applyBorder="1" applyAlignment="1">
      <alignment horizontal="center" vertical="center"/>
    </xf>
    <xf numFmtId="38" fontId="0" fillId="0" borderId="28" xfId="22" applyFont="1" applyBorder="1" applyAlignment="1">
      <alignment horizontal="right" vertical="center"/>
    </xf>
    <xf numFmtId="0" fontId="238" fillId="0" borderId="0" xfId="11" applyFont="1" applyBorder="1" applyAlignment="1">
      <alignment horizontal="center" vertical="distributed"/>
    </xf>
    <xf numFmtId="214" fontId="238" fillId="0" borderId="6" xfId="1" applyNumberFormat="1" applyFont="1" applyBorder="1" applyAlignment="1">
      <alignment horizontal="right" vertical="center"/>
    </xf>
    <xf numFmtId="181" fontId="156" fillId="0" borderId="0" xfId="0" applyNumberFormat="1" applyFont="1" applyBorder="1" applyAlignment="1" applyProtection="1">
      <alignment horizontal="center" vertical="center" wrapText="1"/>
      <protection locked="0"/>
    </xf>
    <xf numFmtId="181" fontId="156" fillId="0" borderId="0" xfId="0" applyNumberFormat="1" applyFont="1" applyBorder="1" applyProtection="1">
      <alignment vertical="center"/>
      <protection locked="0"/>
    </xf>
    <xf numFmtId="0" fontId="227" fillId="0" borderId="0" xfId="11" applyFont="1" applyAlignment="1">
      <alignment horizontal="left" vertical="center" wrapText="1"/>
    </xf>
    <xf numFmtId="0" fontId="227" fillId="0" borderId="0" xfId="11" applyFont="1" applyAlignment="1">
      <alignment horizontal="left" vertical="center"/>
    </xf>
    <xf numFmtId="0" fontId="219" fillId="0" borderId="27" xfId="11" applyFont="1" applyBorder="1" applyAlignment="1">
      <alignment vertical="center"/>
    </xf>
    <xf numFmtId="231" fontId="231" fillId="0" borderId="1130" xfId="11" applyNumberFormat="1" applyFont="1" applyBorder="1" applyAlignment="1">
      <alignment vertical="center"/>
    </xf>
    <xf numFmtId="231" fontId="231" fillId="0" borderId="1030" xfId="11" applyNumberFormat="1" applyFont="1" applyBorder="1" applyAlignment="1">
      <alignment vertical="center"/>
    </xf>
    <xf numFmtId="38" fontId="219" fillId="0" borderId="28" xfId="1" applyFont="1" applyBorder="1" applyAlignment="1">
      <alignment vertical="center"/>
    </xf>
    <xf numFmtId="38" fontId="219" fillId="0" borderId="5" xfId="1" applyFont="1" applyBorder="1" applyAlignment="1">
      <alignment vertical="center"/>
    </xf>
    <xf numFmtId="0" fontId="237" fillId="0" borderId="5" xfId="11" applyFont="1" applyBorder="1" applyAlignment="1">
      <alignment horizontal="right" vertical="center"/>
    </xf>
    <xf numFmtId="215" fontId="237" fillId="0" borderId="5" xfId="1" applyNumberFormat="1" applyFont="1" applyBorder="1" applyAlignment="1">
      <alignment vertical="center"/>
    </xf>
    <xf numFmtId="0" fontId="256" fillId="0" borderId="377" xfId="11" applyFont="1" applyFill="1" applyBorder="1" applyAlignment="1">
      <alignment horizontal="center" vertical="center" wrapText="1"/>
    </xf>
    <xf numFmtId="0" fontId="254" fillId="0" borderId="1020" xfId="11" applyFont="1" applyFill="1" applyBorder="1" applyAlignment="1">
      <alignment horizontal="left" vertical="center" wrapText="1"/>
    </xf>
    <xf numFmtId="0" fontId="254" fillId="0" borderId="378" xfId="11" applyFont="1" applyFill="1" applyBorder="1" applyAlignment="1">
      <alignment horizontal="left" vertical="center" wrapText="1"/>
    </xf>
    <xf numFmtId="206" fontId="230" fillId="0" borderId="378" xfId="11" applyNumberFormat="1" applyFont="1" applyFill="1" applyBorder="1" applyAlignment="1">
      <alignment horizontal="center" vertical="center" wrapText="1"/>
    </xf>
    <xf numFmtId="0" fontId="254" fillId="0" borderId="378" xfId="11" applyFont="1" applyFill="1" applyBorder="1" applyAlignment="1">
      <alignment horizontal="center" vertical="center" wrapText="1"/>
    </xf>
    <xf numFmtId="180" fontId="254" fillId="0" borderId="378" xfId="11" applyNumberFormat="1" applyFont="1" applyFill="1" applyBorder="1" applyAlignment="1">
      <alignment horizontal="center" vertical="center" wrapText="1"/>
    </xf>
    <xf numFmtId="206" fontId="219" fillId="0" borderId="1023" xfId="11" applyNumberFormat="1" applyFont="1" applyFill="1" applyBorder="1" applyAlignment="1">
      <alignment horizontal="center" vertical="center"/>
    </xf>
    <xf numFmtId="206" fontId="246" fillId="0" borderId="378" xfId="11" applyNumberFormat="1" applyFont="1" applyFill="1" applyBorder="1" applyAlignment="1">
      <alignment horizontal="center" vertical="center" wrapText="1"/>
    </xf>
    <xf numFmtId="0" fontId="255" fillId="0" borderId="1063" xfId="11" applyFont="1" applyFill="1" applyBorder="1" applyAlignment="1">
      <alignment vertical="center" wrapText="1"/>
    </xf>
    <xf numFmtId="0" fontId="255" fillId="0" borderId="378" xfId="11" applyFont="1" applyFill="1" applyBorder="1" applyAlignment="1">
      <alignment vertical="center" wrapText="1"/>
    </xf>
    <xf numFmtId="0" fontId="255" fillId="0" borderId="378" xfId="11" applyFont="1" applyFill="1" applyBorder="1" applyAlignment="1">
      <alignment vertical="center"/>
    </xf>
    <xf numFmtId="206" fontId="219" fillId="0" borderId="378" xfId="11" applyNumberFormat="1" applyFont="1" applyFill="1" applyBorder="1" applyAlignment="1">
      <alignment vertical="center"/>
    </xf>
    <xf numFmtId="206" fontId="219" fillId="0" borderId="379" xfId="11" applyNumberFormat="1" applyFont="1" applyFill="1" applyBorder="1" applyAlignment="1">
      <alignment vertical="center"/>
    </xf>
    <xf numFmtId="180" fontId="219" fillId="0" borderId="0" xfId="11" applyNumberFormat="1" applyFont="1" applyAlignment="1">
      <alignment horizontal="center" vertical="center"/>
    </xf>
    <xf numFmtId="180" fontId="219" fillId="42" borderId="0" xfId="11" applyNumberFormat="1" applyFont="1" applyFill="1" applyAlignment="1">
      <alignment horizontal="center" vertical="center"/>
    </xf>
    <xf numFmtId="0" fontId="227" fillId="42" borderId="0" xfId="11" applyFont="1" applyFill="1" applyAlignment="1">
      <alignment horizontal="center" vertical="center"/>
    </xf>
    <xf numFmtId="0" fontId="275" fillId="0" borderId="1020" xfId="11" applyFont="1" applyFill="1" applyBorder="1" applyAlignment="1">
      <alignment horizontal="left" vertical="center" wrapText="1"/>
    </xf>
    <xf numFmtId="0" fontId="275" fillId="0" borderId="378" xfId="11" applyFont="1" applyFill="1" applyBorder="1" applyAlignment="1">
      <alignment horizontal="left" vertical="center" wrapText="1"/>
    </xf>
    <xf numFmtId="206" fontId="276" fillId="0" borderId="378" xfId="11" applyNumberFormat="1" applyFont="1" applyFill="1" applyBorder="1" applyAlignment="1">
      <alignment horizontal="center" vertical="center" wrapText="1"/>
    </xf>
    <xf numFmtId="0" fontId="275" fillId="0" borderId="378" xfId="11" applyFont="1" applyFill="1" applyBorder="1" applyAlignment="1">
      <alignment horizontal="center" vertical="center" wrapText="1"/>
    </xf>
    <xf numFmtId="180" fontId="275" fillId="0" borderId="378" xfId="11" applyNumberFormat="1" applyFont="1" applyFill="1" applyBorder="1" applyAlignment="1">
      <alignment horizontal="center" vertical="center" wrapText="1"/>
    </xf>
    <xf numFmtId="206" fontId="228" fillId="0" borderId="378" xfId="11" applyNumberFormat="1" applyFont="1" applyFill="1" applyBorder="1" applyAlignment="1">
      <alignment horizontal="center" vertical="center"/>
    </xf>
    <xf numFmtId="206" fontId="277" fillId="0" borderId="1071" xfId="11" applyNumberFormat="1" applyFont="1" applyFill="1" applyBorder="1" applyAlignment="1">
      <alignment horizontal="center" vertical="center" wrapText="1"/>
    </xf>
    <xf numFmtId="0" fontId="254" fillId="0" borderId="378" xfId="11" applyFont="1" applyFill="1" applyBorder="1" applyAlignment="1">
      <alignment vertical="center" wrapText="1"/>
    </xf>
    <xf numFmtId="0" fontId="254" fillId="0" borderId="378" xfId="11" applyFont="1" applyFill="1" applyBorder="1" applyAlignment="1">
      <alignment vertical="center"/>
    </xf>
    <xf numFmtId="206" fontId="228" fillId="0" borderId="378" xfId="11" applyNumberFormat="1" applyFont="1" applyFill="1" applyBorder="1" applyAlignment="1">
      <alignment vertical="center"/>
    </xf>
    <xf numFmtId="206" fontId="228" fillId="0" borderId="379" xfId="11" applyNumberFormat="1" applyFont="1" applyFill="1" applyBorder="1" applyAlignment="1">
      <alignment vertical="center"/>
    </xf>
    <xf numFmtId="0" fontId="228" fillId="0" borderId="0" xfId="11" applyFont="1" applyFill="1" applyAlignment="1">
      <alignment vertical="center"/>
    </xf>
    <xf numFmtId="0" fontId="219" fillId="0" borderId="0" xfId="11" applyFont="1" applyFill="1" applyAlignment="1">
      <alignment vertical="center"/>
    </xf>
    <xf numFmtId="0" fontId="238" fillId="0" borderId="956" xfId="11" applyFont="1" applyBorder="1" applyAlignment="1">
      <alignment horizontal="center" vertical="distributed"/>
    </xf>
    <xf numFmtId="215" fontId="239" fillId="0" borderId="943" xfId="1" applyNumberFormat="1" applyFont="1" applyFill="1" applyBorder="1" applyAlignment="1">
      <alignment horizontal="right" vertical="center"/>
    </xf>
    <xf numFmtId="14" fontId="85" fillId="9" borderId="964" xfId="11" applyNumberFormat="1" applyFont="1" applyFill="1" applyBorder="1" applyAlignment="1">
      <alignment horizontal="right" vertical="center"/>
    </xf>
    <xf numFmtId="0" fontId="42" fillId="19" borderId="104" xfId="1" applyNumberFormat="1" applyFont="1" applyFill="1" applyBorder="1" applyAlignment="1">
      <alignment horizontal="center" vertical="center"/>
    </xf>
    <xf numFmtId="14" fontId="69" fillId="29" borderId="104" xfId="13" applyNumberFormat="1" applyFont="1" applyFill="1" applyBorder="1" applyAlignment="1">
      <alignment horizontal="center" vertical="center" shrinkToFit="1"/>
    </xf>
    <xf numFmtId="189" fontId="70" fillId="0" borderId="138" xfId="13" applyNumberFormat="1" applyFont="1" applyBorder="1" applyAlignment="1">
      <alignment horizontal="center" vertical="center"/>
    </xf>
  </cellXfs>
  <cellStyles count="28">
    <cellStyle name="パーセント" xfId="10" builtinId="5"/>
    <cellStyle name="パーセント 2" xfId="4" xr:uid="{2E12A592-25BA-4B24-9316-B54375F878A2}"/>
    <cellStyle name="ハイパーリンク" xfId="9" builtinId="8"/>
    <cellStyle name="悪い" xfId="23" builtinId="27"/>
    <cellStyle name="桁区切り" xfId="1" builtinId="6"/>
    <cellStyle name="桁区切り 2" xfId="15" xr:uid="{0D2EFD29-BCAF-47BD-AC10-69E297836407}"/>
    <cellStyle name="桁区切り 2 2" xfId="24" xr:uid="{7B1F69AC-2494-41B6-8E72-E12EEAB40C9F}"/>
    <cellStyle name="桁区切り 2 3" xfId="26" xr:uid="{2C916B36-889D-40F3-9FA3-9C8ECF30749A}"/>
    <cellStyle name="桁区切り 3 2" xfId="8" xr:uid="{7592DB8B-442B-4F26-931D-080D41A9773E}"/>
    <cellStyle name="桁区切り 4" xfId="6" xr:uid="{021D3816-5690-4339-A6D2-E663A248F3DC}"/>
    <cellStyle name="桁区切り 5" xfId="22" xr:uid="{462D23E3-13DA-4DD0-B94B-AC1562CE3267}"/>
    <cellStyle name="桁区切り 7" xfId="20" xr:uid="{07416BA4-C8C0-4807-B617-7138B8757DDE}"/>
    <cellStyle name="標準" xfId="0" builtinId="0"/>
    <cellStyle name="標準 2" xfId="2" xr:uid="{9A9190C0-F091-4C93-9BC7-30ED1421B06D}"/>
    <cellStyle name="標準 2 2" xfId="11" xr:uid="{2D2A2A53-4EE5-46C9-B36C-DC8D66AC5CD0}"/>
    <cellStyle name="標準 2 2 2 3" xfId="13" xr:uid="{208417F5-E274-4145-AE4E-F9671E0EF4A3}"/>
    <cellStyle name="標準 2 2 2 3 3" xfId="14" xr:uid="{9632FFDA-CB8D-45B9-A861-5F996408D2A1}"/>
    <cellStyle name="標準 2 2 3 2" xfId="19" xr:uid="{49ECBABD-1C2A-4067-ADCE-DFEA50616660}"/>
    <cellStyle name="標準 2 2 4" xfId="21" xr:uid="{0B16DCC7-9867-4B9E-A216-70081044C0C8}"/>
    <cellStyle name="標準 2 2 4 2" xfId="25" xr:uid="{273794B8-CC7E-4E12-8257-B6E4CB482DD1}"/>
    <cellStyle name="標準 2 3" xfId="16" xr:uid="{936DBE3B-EAA4-447F-96AE-84E50AADE3A1}"/>
    <cellStyle name="標準 3" xfId="17" xr:uid="{96E48308-8669-43BA-BBBA-6A01C5BD41F6}"/>
    <cellStyle name="標準 3 2" xfId="12" xr:uid="{76A678DB-1920-4C9E-A013-F46C9DF726A0}"/>
    <cellStyle name="標準 3 3" xfId="27" xr:uid="{A8F88878-5CA6-4C4B-B3C2-815E1061F467}"/>
    <cellStyle name="標準 4" xfId="3" xr:uid="{7B2D9EC8-3359-4D96-B476-42209BA88E99}"/>
    <cellStyle name="標準 5 2" xfId="7" xr:uid="{2A190C95-CD44-492A-857C-73E9F7654A80}"/>
    <cellStyle name="標準 5 2 2" xfId="18" xr:uid="{56A30216-FCD6-45F3-9B3A-72264844F3AC}"/>
    <cellStyle name="標準 6" xfId="5" xr:uid="{4AE7006F-80DA-4E6C-BD51-6FE0D0E9C79A}"/>
  </cellStyles>
  <dxfs count="1018">
    <dxf>
      <font>
        <color rgb="FF9C0006"/>
      </font>
      <fill>
        <patternFill>
          <bgColor rgb="FFFFC7CE"/>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66"/>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ill>
        <patternFill>
          <bgColor rgb="FFFF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5"/>
      </font>
    </dxf>
    <dxf>
      <font>
        <b val="0"/>
        <i val="0"/>
        <color theme="5"/>
      </font>
    </dxf>
    <dxf>
      <fill>
        <patternFill>
          <bgColor theme="5" tint="0.59996337778862885"/>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9" tint="0.79998168889431442"/>
        </patternFill>
      </fill>
    </dxf>
    <dxf>
      <font>
        <b val="0"/>
        <i val="0"/>
        <color theme="5"/>
      </font>
    </dxf>
    <dxf>
      <font>
        <b val="0"/>
        <i val="0"/>
        <color theme="5"/>
      </font>
    </dxf>
    <dxf>
      <font>
        <b val="0"/>
        <i val="0"/>
        <color theme="5"/>
      </font>
    </dxf>
    <dxf>
      <font>
        <b val="0"/>
        <i val="0"/>
        <color theme="5"/>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FFF99"/>
      <color rgb="FF1607DB"/>
      <color rgb="FF2E81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externalLink" Target="externalLinks/externalLink11.xml"/><Relationship Id="rId170" Type="http://schemas.openxmlformats.org/officeDocument/2006/relationships/externalLink" Target="externalLinks/externalLink22.xml"/><Relationship Id="rId191" Type="http://schemas.openxmlformats.org/officeDocument/2006/relationships/externalLink" Target="externalLinks/externalLink43.xml"/><Relationship Id="rId205" Type="http://schemas.openxmlformats.org/officeDocument/2006/relationships/externalLink" Target="externalLinks/externalLink57.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externalLink" Target="externalLinks/externalLink1.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externalLink" Target="externalLinks/externalLink12.xml"/><Relationship Id="rId181" Type="http://schemas.openxmlformats.org/officeDocument/2006/relationships/externalLink" Target="externalLinks/externalLink33.xml"/><Relationship Id="rId216" Type="http://schemas.openxmlformats.org/officeDocument/2006/relationships/customXml" Target="../customXml/item4.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externalLink" Target="externalLinks/externalLink2.xml"/><Relationship Id="rId171" Type="http://schemas.openxmlformats.org/officeDocument/2006/relationships/externalLink" Target="externalLinks/externalLink23.xml"/><Relationship Id="rId192" Type="http://schemas.openxmlformats.org/officeDocument/2006/relationships/externalLink" Target="externalLinks/externalLink44.xml"/><Relationship Id="rId206"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externalLink" Target="externalLinks/externalLink13.xml"/><Relationship Id="rId182" Type="http://schemas.openxmlformats.org/officeDocument/2006/relationships/externalLink" Target="externalLinks/externalLink34.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externalLink" Target="externalLinks/externalLink3.xml"/><Relationship Id="rId172" Type="http://schemas.openxmlformats.org/officeDocument/2006/relationships/externalLink" Target="externalLinks/externalLink24.xml"/><Relationship Id="rId193" Type="http://schemas.openxmlformats.org/officeDocument/2006/relationships/externalLink" Target="externalLinks/externalLink45.xml"/><Relationship Id="rId207" Type="http://schemas.openxmlformats.org/officeDocument/2006/relationships/connections" Target="connection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externalLink" Target="externalLinks/externalLink14.xml"/><Relationship Id="rId183" Type="http://schemas.openxmlformats.org/officeDocument/2006/relationships/externalLink" Target="externalLinks/externalLink35.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externalLink" Target="externalLinks/externalLink4.xml"/><Relationship Id="rId173" Type="http://schemas.openxmlformats.org/officeDocument/2006/relationships/externalLink" Target="externalLinks/externalLink25.xml"/><Relationship Id="rId194" Type="http://schemas.openxmlformats.org/officeDocument/2006/relationships/externalLink" Target="externalLinks/externalLink46.xml"/><Relationship Id="rId208"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externalLink" Target="externalLinks/externalLink15.xml"/><Relationship Id="rId184" Type="http://schemas.openxmlformats.org/officeDocument/2006/relationships/externalLink" Target="externalLinks/externalLink36.xml"/><Relationship Id="rId189" Type="http://schemas.openxmlformats.org/officeDocument/2006/relationships/externalLink" Target="externalLinks/externalLink41.xml"/><Relationship Id="rId3" Type="http://schemas.openxmlformats.org/officeDocument/2006/relationships/worksheet" Target="worksheets/sheet3.xml"/><Relationship Id="rId214" Type="http://schemas.openxmlformats.org/officeDocument/2006/relationships/customXml" Target="../customXml/item2.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externalLink" Target="externalLinks/externalLink1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externalLink" Target="externalLinks/externalLink5.xml"/><Relationship Id="rId174" Type="http://schemas.openxmlformats.org/officeDocument/2006/relationships/externalLink" Target="externalLinks/externalLink26.xml"/><Relationship Id="rId179" Type="http://schemas.openxmlformats.org/officeDocument/2006/relationships/externalLink" Target="externalLinks/externalLink31.xml"/><Relationship Id="rId195" Type="http://schemas.openxmlformats.org/officeDocument/2006/relationships/externalLink" Target="externalLinks/externalLink47.xml"/><Relationship Id="rId209" Type="http://schemas.openxmlformats.org/officeDocument/2006/relationships/sharedStrings" Target="sharedStrings.xml"/><Relationship Id="rId190" Type="http://schemas.openxmlformats.org/officeDocument/2006/relationships/externalLink" Target="externalLinks/externalLink42.xml"/><Relationship Id="rId204" Type="http://schemas.openxmlformats.org/officeDocument/2006/relationships/externalLink" Target="externalLinks/externalLink5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externalLink" Target="externalLinks/externalLink16.xml"/><Relationship Id="rId169" Type="http://schemas.openxmlformats.org/officeDocument/2006/relationships/externalLink" Target="externalLinks/externalLink21.xml"/><Relationship Id="rId185" Type="http://schemas.openxmlformats.org/officeDocument/2006/relationships/externalLink" Target="externalLinks/externalLink37.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32.xml"/><Relationship Id="rId210" Type="http://schemas.openxmlformats.org/officeDocument/2006/relationships/sheetMetadata" Target="metadata.xml"/><Relationship Id="rId215" Type="http://schemas.openxmlformats.org/officeDocument/2006/relationships/customXml" Target="../customXml/item3.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externalLink" Target="externalLinks/externalLink6.xml"/><Relationship Id="rId175" Type="http://schemas.openxmlformats.org/officeDocument/2006/relationships/externalLink" Target="externalLinks/externalLink27.xml"/><Relationship Id="rId196" Type="http://schemas.openxmlformats.org/officeDocument/2006/relationships/externalLink" Target="externalLinks/externalLink48.xml"/><Relationship Id="rId200" Type="http://schemas.openxmlformats.org/officeDocument/2006/relationships/externalLink" Target="externalLinks/externalLink52.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externalLink" Target="externalLinks/externalLink17.xml"/><Relationship Id="rId186" Type="http://schemas.openxmlformats.org/officeDocument/2006/relationships/externalLink" Target="externalLinks/externalLink38.xml"/><Relationship Id="rId211" Type="http://schemas.microsoft.com/office/2017/10/relationships/person" Target="persons/person.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externalLink" Target="externalLinks/externalLink7.xml"/><Relationship Id="rId176" Type="http://schemas.openxmlformats.org/officeDocument/2006/relationships/externalLink" Target="externalLinks/externalLink28.xml"/><Relationship Id="rId197" Type="http://schemas.openxmlformats.org/officeDocument/2006/relationships/externalLink" Target="externalLinks/externalLink49.xml"/><Relationship Id="rId201" Type="http://schemas.openxmlformats.org/officeDocument/2006/relationships/externalLink" Target="externalLinks/externalLink53.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externalLink" Target="externalLinks/externalLink18.xml"/><Relationship Id="rId187" Type="http://schemas.openxmlformats.org/officeDocument/2006/relationships/externalLink" Target="externalLinks/externalLink39.xml"/><Relationship Id="rId1" Type="http://schemas.openxmlformats.org/officeDocument/2006/relationships/worksheet" Target="worksheets/sheet1.xml"/><Relationship Id="rId212" Type="http://schemas.openxmlformats.org/officeDocument/2006/relationships/calcChain" Target="calcChain.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externalLink" Target="externalLinks/externalLink8.xml"/><Relationship Id="rId177" Type="http://schemas.openxmlformats.org/officeDocument/2006/relationships/externalLink" Target="externalLinks/externalLink29.xml"/><Relationship Id="rId198" Type="http://schemas.openxmlformats.org/officeDocument/2006/relationships/externalLink" Target="externalLinks/externalLink50.xml"/><Relationship Id="rId202" Type="http://schemas.openxmlformats.org/officeDocument/2006/relationships/externalLink" Target="externalLinks/externalLink54.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externalLink" Target="externalLinks/externalLink19.xml"/><Relationship Id="rId188" Type="http://schemas.openxmlformats.org/officeDocument/2006/relationships/externalLink" Target="externalLinks/externalLink40.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externalLink" Target="externalLinks/externalLink9.xml"/><Relationship Id="rId178" Type="http://schemas.openxmlformats.org/officeDocument/2006/relationships/externalLink" Target="externalLinks/externalLink30.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externalLink" Target="externalLinks/externalLink51.xml"/><Relationship Id="rId203" Type="http://schemas.openxmlformats.org/officeDocument/2006/relationships/externalLink" Target="externalLinks/externalLink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15</xdr:col>
      <xdr:colOff>1346092</xdr:colOff>
      <xdr:row>203</xdr:row>
      <xdr:rowOff>390868</xdr:rowOff>
    </xdr:from>
    <xdr:to>
      <xdr:col>15</xdr:col>
      <xdr:colOff>1752600</xdr:colOff>
      <xdr:row>204</xdr:row>
      <xdr:rowOff>1476375</xdr:rowOff>
    </xdr:to>
    <xdr:sp macro="" textlink="">
      <xdr:nvSpPr>
        <xdr:cNvPr id="2" name="右中かっこ 1">
          <a:extLst>
            <a:ext uri="{FF2B5EF4-FFF2-40B4-BE49-F238E27FC236}">
              <a16:creationId xmlns:a16="http://schemas.microsoft.com/office/drawing/2014/main" id="{EF6963BB-57A2-4B86-A395-0711205577D9}"/>
            </a:ext>
          </a:extLst>
        </xdr:cNvPr>
        <xdr:cNvSpPr/>
      </xdr:nvSpPr>
      <xdr:spPr>
        <a:xfrm>
          <a:off x="23031342" y="20945818"/>
          <a:ext cx="406508" cy="1479207"/>
        </a:xfrm>
        <a:prstGeom prst="rightBrace">
          <a:avLst>
            <a:gd name="adj1" fmla="val 0"/>
            <a:gd name="adj2" fmla="val 50206"/>
          </a:avLst>
        </a:prstGeom>
        <a:noFill/>
        <a:ln w="38100">
          <a:solidFill>
            <a:srgbClr val="EE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87289</xdr:colOff>
      <xdr:row>206</xdr:row>
      <xdr:rowOff>53794</xdr:rowOff>
    </xdr:from>
    <xdr:to>
      <xdr:col>18</xdr:col>
      <xdr:colOff>245958</xdr:colOff>
      <xdr:row>210</xdr:row>
      <xdr:rowOff>214909</xdr:rowOff>
    </xdr:to>
    <xdr:grpSp>
      <xdr:nvGrpSpPr>
        <xdr:cNvPr id="3" name="グループ化 2">
          <a:extLst>
            <a:ext uri="{FF2B5EF4-FFF2-40B4-BE49-F238E27FC236}">
              <a16:creationId xmlns:a16="http://schemas.microsoft.com/office/drawing/2014/main" id="{7B43C3AA-EB20-44FD-91AE-823A6161AF02}"/>
            </a:ext>
          </a:extLst>
        </xdr:cNvPr>
        <xdr:cNvGrpSpPr/>
      </xdr:nvGrpSpPr>
      <xdr:grpSpPr>
        <a:xfrm>
          <a:off x="19677039" y="15262044"/>
          <a:ext cx="6032419" cy="2843990"/>
          <a:chOff x="11301712" y="19208382"/>
          <a:chExt cx="6049818" cy="3581365"/>
        </a:xfrm>
      </xdr:grpSpPr>
      <xdr:sp macro="" textlink="">
        <xdr:nvSpPr>
          <xdr:cNvPr id="4" name="右中かっこ 3">
            <a:extLst>
              <a:ext uri="{FF2B5EF4-FFF2-40B4-BE49-F238E27FC236}">
                <a16:creationId xmlns:a16="http://schemas.microsoft.com/office/drawing/2014/main" id="{D52D80E0-2BDD-7741-728F-293618F73534}"/>
              </a:ext>
            </a:extLst>
          </xdr:cNvPr>
          <xdr:cNvSpPr/>
        </xdr:nvSpPr>
        <xdr:spPr>
          <a:xfrm>
            <a:off x="12664160" y="19208382"/>
            <a:ext cx="270653" cy="1554938"/>
          </a:xfrm>
          <a:prstGeom prst="rightBrace">
            <a:avLst>
              <a:gd name="adj1" fmla="val 0"/>
              <a:gd name="adj2" fmla="val 50206"/>
            </a:avLst>
          </a:prstGeom>
          <a:noFill/>
          <a:ln w="38100">
            <a:solidFill>
              <a:srgbClr val="EE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5" name="テキスト ボックス 4">
            <a:extLst>
              <a:ext uri="{FF2B5EF4-FFF2-40B4-BE49-F238E27FC236}">
                <a16:creationId xmlns:a16="http://schemas.microsoft.com/office/drawing/2014/main" id="{BF03AEEA-0E10-8FC1-8E3D-8B17FCABF16E}"/>
              </a:ext>
            </a:extLst>
          </xdr:cNvPr>
          <xdr:cNvSpPr txBox="1"/>
        </xdr:nvSpPr>
        <xdr:spPr>
          <a:xfrm>
            <a:off x="11301712" y="21589480"/>
            <a:ext cx="6049818" cy="1200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これらの要素については宿泊施設の変更による増減も発生しており、</a:t>
            </a:r>
            <a:endParaRPr kumimoji="1" lang="en-US" altLang="ja-JP" sz="1400">
              <a:latin typeface="メイリオ" panose="020B0604030504040204" pitchFamily="50" charset="-128"/>
              <a:ea typeface="メイリオ" panose="020B0604030504040204" pitchFamily="50" charset="-128"/>
            </a:endParaRPr>
          </a:p>
          <a:p>
            <a:r>
              <a:rPr kumimoji="1" lang="ja-JP" altLang="en-US" sz="1400">
                <a:latin typeface="メイリオ" panose="020B0604030504040204" pitchFamily="50" charset="-128"/>
                <a:ea typeface="メイリオ" panose="020B0604030504040204" pitchFamily="50" charset="-128"/>
              </a:rPr>
              <a:t>単純に何円上昇しているという積算はしていない</a:t>
            </a:r>
          </a:p>
        </xdr:txBody>
      </xdr:sp>
    </xdr:grpSp>
    <xdr:clientData/>
  </xdr:twoCellAnchor>
  <xdr:twoCellAnchor>
    <xdr:from>
      <xdr:col>14</xdr:col>
      <xdr:colOff>988784</xdr:colOff>
      <xdr:row>207</xdr:row>
      <xdr:rowOff>389365</xdr:rowOff>
    </xdr:from>
    <xdr:to>
      <xdr:col>15</xdr:col>
      <xdr:colOff>894812</xdr:colOff>
      <xdr:row>208</xdr:row>
      <xdr:rowOff>147383</xdr:rowOff>
    </xdr:to>
    <xdr:cxnSp macro="">
      <xdr:nvCxnSpPr>
        <xdr:cNvPr id="6" name="コネクタ: カギ線 5">
          <a:extLst>
            <a:ext uri="{FF2B5EF4-FFF2-40B4-BE49-F238E27FC236}">
              <a16:creationId xmlns:a16="http://schemas.microsoft.com/office/drawing/2014/main" id="{88300FAD-4980-40AA-9F00-4E7188BC11D0}"/>
            </a:ext>
          </a:extLst>
        </xdr:cNvPr>
        <xdr:cNvCxnSpPr/>
      </xdr:nvCxnSpPr>
      <xdr:spPr>
        <a:xfrm>
          <a:off x="21175434" y="24220915"/>
          <a:ext cx="1404628" cy="1212168"/>
        </a:xfrm>
        <a:prstGeom prst="bentConnector2">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1752600</xdr:colOff>
      <xdr:row>204</xdr:row>
      <xdr:rowOff>733494</xdr:rowOff>
    </xdr:from>
    <xdr:to>
      <xdr:col>18</xdr:col>
      <xdr:colOff>245958</xdr:colOff>
      <xdr:row>209</xdr:row>
      <xdr:rowOff>37561</xdr:rowOff>
    </xdr:to>
    <xdr:cxnSp macro="">
      <xdr:nvCxnSpPr>
        <xdr:cNvPr id="7" name="コネクタ: カギ線 6">
          <a:extLst>
            <a:ext uri="{FF2B5EF4-FFF2-40B4-BE49-F238E27FC236}">
              <a16:creationId xmlns:a16="http://schemas.microsoft.com/office/drawing/2014/main" id="{AB9ADE5A-22B9-4858-9488-B4CADC05DCE0}"/>
            </a:ext>
          </a:extLst>
        </xdr:cNvPr>
        <xdr:cNvCxnSpPr>
          <a:stCxn id="2" idx="1"/>
          <a:endCxn id="5" idx="3"/>
        </xdr:cNvCxnSpPr>
      </xdr:nvCxnSpPr>
      <xdr:spPr>
        <a:xfrm rot="10800000" flipH="1" flipV="1">
          <a:off x="23437850" y="21682144"/>
          <a:ext cx="2214458" cy="4345967"/>
        </a:xfrm>
        <a:prstGeom prst="bentConnector5">
          <a:avLst>
            <a:gd name="adj1" fmla="val 110241"/>
            <a:gd name="adj2" fmla="val 53818"/>
            <a:gd name="adj3" fmla="val 110383"/>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1238250</xdr:colOff>
      <xdr:row>216</xdr:row>
      <xdr:rowOff>190500</xdr:rowOff>
    </xdr:from>
    <xdr:to>
      <xdr:col>17</xdr:col>
      <xdr:colOff>982721</xdr:colOff>
      <xdr:row>240</xdr:row>
      <xdr:rowOff>190500</xdr:rowOff>
    </xdr:to>
    <xdr:pic>
      <xdr:nvPicPr>
        <xdr:cNvPr id="8" name="図 7">
          <a:extLst>
            <a:ext uri="{FF2B5EF4-FFF2-40B4-BE49-F238E27FC236}">
              <a16:creationId xmlns:a16="http://schemas.microsoft.com/office/drawing/2014/main" id="{F4215248-7558-4C2D-BD11-0716ABD61FD1}"/>
            </a:ext>
          </a:extLst>
        </xdr:cNvPr>
        <xdr:cNvPicPr>
          <a:picLocks noChangeAspect="1"/>
        </xdr:cNvPicPr>
      </xdr:nvPicPr>
      <xdr:blipFill>
        <a:blip xmlns:r="http://schemas.openxmlformats.org/officeDocument/2006/relationships" r:embed="rId1"/>
        <a:stretch>
          <a:fillRect/>
        </a:stretch>
      </xdr:blipFill>
      <xdr:spPr>
        <a:xfrm>
          <a:off x="2178050" y="31127700"/>
          <a:ext cx="22477471" cy="5791200"/>
        </a:xfrm>
        <a:prstGeom prst="rect">
          <a:avLst/>
        </a:prstGeom>
        <a:ln w="38100">
          <a:solidFill>
            <a:srgbClr val="0070C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1346092</xdr:colOff>
      <xdr:row>203</xdr:row>
      <xdr:rowOff>390868</xdr:rowOff>
    </xdr:from>
    <xdr:to>
      <xdr:col>15</xdr:col>
      <xdr:colOff>1752600</xdr:colOff>
      <xdr:row>204</xdr:row>
      <xdr:rowOff>1476375</xdr:rowOff>
    </xdr:to>
    <xdr:sp macro="" textlink="">
      <xdr:nvSpPr>
        <xdr:cNvPr id="3" name="右中かっこ 2">
          <a:extLst>
            <a:ext uri="{FF2B5EF4-FFF2-40B4-BE49-F238E27FC236}">
              <a16:creationId xmlns:a16="http://schemas.microsoft.com/office/drawing/2014/main" id="{7E9F9C2B-8E70-A630-DD27-0BDE2EDD8933}"/>
            </a:ext>
          </a:extLst>
        </xdr:cNvPr>
        <xdr:cNvSpPr/>
      </xdr:nvSpPr>
      <xdr:spPr>
        <a:xfrm>
          <a:off x="23028456" y="21703777"/>
          <a:ext cx="406508" cy="1478053"/>
        </a:xfrm>
        <a:prstGeom prst="rightBrace">
          <a:avLst>
            <a:gd name="adj1" fmla="val 0"/>
            <a:gd name="adj2" fmla="val 50206"/>
          </a:avLst>
        </a:prstGeom>
        <a:noFill/>
        <a:ln w="38100">
          <a:solidFill>
            <a:srgbClr val="EE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87289</xdr:colOff>
      <xdr:row>206</xdr:row>
      <xdr:rowOff>53794</xdr:rowOff>
    </xdr:from>
    <xdr:to>
      <xdr:col>18</xdr:col>
      <xdr:colOff>245958</xdr:colOff>
      <xdr:row>210</xdr:row>
      <xdr:rowOff>214909</xdr:rowOff>
    </xdr:to>
    <xdr:grpSp>
      <xdr:nvGrpSpPr>
        <xdr:cNvPr id="5" name="グループ化 4">
          <a:extLst>
            <a:ext uri="{FF2B5EF4-FFF2-40B4-BE49-F238E27FC236}">
              <a16:creationId xmlns:a16="http://schemas.microsoft.com/office/drawing/2014/main" id="{8DF56DAF-2900-4487-9A2D-BB51C602970D}"/>
            </a:ext>
          </a:extLst>
        </xdr:cNvPr>
        <xdr:cNvGrpSpPr/>
      </xdr:nvGrpSpPr>
      <xdr:grpSpPr>
        <a:xfrm>
          <a:off x="19597664" y="23437669"/>
          <a:ext cx="6032419" cy="2843990"/>
          <a:chOff x="11301712" y="19208382"/>
          <a:chExt cx="6049818" cy="3581365"/>
        </a:xfrm>
      </xdr:grpSpPr>
      <xdr:sp macro="" textlink="">
        <xdr:nvSpPr>
          <xdr:cNvPr id="6" name="右中かっこ 5">
            <a:extLst>
              <a:ext uri="{FF2B5EF4-FFF2-40B4-BE49-F238E27FC236}">
                <a16:creationId xmlns:a16="http://schemas.microsoft.com/office/drawing/2014/main" id="{48F72E8D-F64A-FA65-8316-0878989CC124}"/>
              </a:ext>
            </a:extLst>
          </xdr:cNvPr>
          <xdr:cNvSpPr/>
        </xdr:nvSpPr>
        <xdr:spPr>
          <a:xfrm>
            <a:off x="12664160" y="19208382"/>
            <a:ext cx="270653" cy="1554938"/>
          </a:xfrm>
          <a:prstGeom prst="rightBrace">
            <a:avLst>
              <a:gd name="adj1" fmla="val 0"/>
              <a:gd name="adj2" fmla="val 50206"/>
            </a:avLst>
          </a:prstGeom>
          <a:noFill/>
          <a:ln w="38100">
            <a:solidFill>
              <a:srgbClr val="EE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7" name="テキスト ボックス 6">
            <a:extLst>
              <a:ext uri="{FF2B5EF4-FFF2-40B4-BE49-F238E27FC236}">
                <a16:creationId xmlns:a16="http://schemas.microsoft.com/office/drawing/2014/main" id="{B2E2076C-2028-E9F6-A93A-512ADC243C73}"/>
              </a:ext>
            </a:extLst>
          </xdr:cNvPr>
          <xdr:cNvSpPr txBox="1"/>
        </xdr:nvSpPr>
        <xdr:spPr>
          <a:xfrm>
            <a:off x="11301712" y="21589480"/>
            <a:ext cx="6049818" cy="1200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これらの要素については宿泊施設の変更による増減も発生しており、</a:t>
            </a:r>
            <a:endParaRPr kumimoji="1" lang="en-US" altLang="ja-JP" sz="1400">
              <a:latin typeface="メイリオ" panose="020B0604030504040204" pitchFamily="50" charset="-128"/>
              <a:ea typeface="メイリオ" panose="020B0604030504040204" pitchFamily="50" charset="-128"/>
            </a:endParaRPr>
          </a:p>
          <a:p>
            <a:r>
              <a:rPr kumimoji="1" lang="ja-JP" altLang="en-US" sz="1400">
                <a:latin typeface="メイリオ" panose="020B0604030504040204" pitchFamily="50" charset="-128"/>
                <a:ea typeface="メイリオ" panose="020B0604030504040204" pitchFamily="50" charset="-128"/>
              </a:rPr>
              <a:t>単純に何円上昇しているという積算はしていない</a:t>
            </a:r>
          </a:p>
        </xdr:txBody>
      </xdr:sp>
    </xdr:grpSp>
    <xdr:clientData/>
  </xdr:twoCellAnchor>
  <xdr:twoCellAnchor>
    <xdr:from>
      <xdr:col>14</xdr:col>
      <xdr:colOff>988784</xdr:colOff>
      <xdr:row>207</xdr:row>
      <xdr:rowOff>389365</xdr:rowOff>
    </xdr:from>
    <xdr:to>
      <xdr:col>15</xdr:col>
      <xdr:colOff>894812</xdr:colOff>
      <xdr:row>208</xdr:row>
      <xdr:rowOff>147383</xdr:rowOff>
    </xdr:to>
    <xdr:cxnSp macro="">
      <xdr:nvCxnSpPr>
        <xdr:cNvPr id="13" name="コネクタ: カギ線 12">
          <a:extLst>
            <a:ext uri="{FF2B5EF4-FFF2-40B4-BE49-F238E27FC236}">
              <a16:creationId xmlns:a16="http://schemas.microsoft.com/office/drawing/2014/main" id="{746F0179-300D-6931-45A9-5C0DD732FB58}"/>
            </a:ext>
          </a:extLst>
        </xdr:cNvPr>
        <xdr:cNvCxnSpPr/>
      </xdr:nvCxnSpPr>
      <xdr:spPr>
        <a:xfrm>
          <a:off x="21190855" y="25181579"/>
          <a:ext cx="1402814" cy="1209447"/>
        </a:xfrm>
        <a:prstGeom prst="bentConnector2">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1752600</xdr:colOff>
      <xdr:row>204</xdr:row>
      <xdr:rowOff>733494</xdr:rowOff>
    </xdr:from>
    <xdr:to>
      <xdr:col>18</xdr:col>
      <xdr:colOff>245958</xdr:colOff>
      <xdr:row>209</xdr:row>
      <xdr:rowOff>37561</xdr:rowOff>
    </xdr:to>
    <xdr:cxnSp macro="">
      <xdr:nvCxnSpPr>
        <xdr:cNvPr id="20" name="コネクタ: カギ線 19">
          <a:extLst>
            <a:ext uri="{FF2B5EF4-FFF2-40B4-BE49-F238E27FC236}">
              <a16:creationId xmlns:a16="http://schemas.microsoft.com/office/drawing/2014/main" id="{BC8FB6BF-F98E-D6A1-F332-2A0821B4182E}"/>
            </a:ext>
          </a:extLst>
        </xdr:cNvPr>
        <xdr:cNvCxnSpPr>
          <a:stCxn id="3" idx="1"/>
          <a:endCxn id="7" idx="3"/>
        </xdr:cNvCxnSpPr>
      </xdr:nvCxnSpPr>
      <xdr:spPr>
        <a:xfrm rot="10800000" flipH="1" flipV="1">
          <a:off x="23469600" y="23441094"/>
          <a:ext cx="2201758" cy="4079267"/>
        </a:xfrm>
        <a:prstGeom prst="bentConnector5">
          <a:avLst>
            <a:gd name="adj1" fmla="val 110241"/>
            <a:gd name="adj2" fmla="val 53818"/>
            <a:gd name="adj3" fmla="val 110383"/>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1238250</xdr:colOff>
      <xdr:row>216</xdr:row>
      <xdr:rowOff>190500</xdr:rowOff>
    </xdr:from>
    <xdr:to>
      <xdr:col>17</xdr:col>
      <xdr:colOff>982721</xdr:colOff>
      <xdr:row>240</xdr:row>
      <xdr:rowOff>190500</xdr:rowOff>
    </xdr:to>
    <xdr:pic>
      <xdr:nvPicPr>
        <xdr:cNvPr id="42" name="図 41">
          <a:extLst>
            <a:ext uri="{FF2B5EF4-FFF2-40B4-BE49-F238E27FC236}">
              <a16:creationId xmlns:a16="http://schemas.microsoft.com/office/drawing/2014/main" id="{9D5C3B52-5B71-22DE-CB79-1C79FFEC1B34}"/>
            </a:ext>
          </a:extLst>
        </xdr:cNvPr>
        <xdr:cNvPicPr>
          <a:picLocks noChangeAspect="1"/>
        </xdr:cNvPicPr>
      </xdr:nvPicPr>
      <xdr:blipFill>
        <a:blip xmlns:r="http://schemas.openxmlformats.org/officeDocument/2006/relationships" r:embed="rId1"/>
        <a:stretch>
          <a:fillRect/>
        </a:stretch>
      </xdr:blipFill>
      <xdr:spPr>
        <a:xfrm>
          <a:off x="2174875" y="31670625"/>
          <a:ext cx="22461596" cy="5715000"/>
        </a:xfrm>
        <a:prstGeom prst="rect">
          <a:avLst/>
        </a:prstGeom>
        <a:ln w="38100">
          <a:solidFill>
            <a:srgbClr val="0070C0"/>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93187</xdr:colOff>
      <xdr:row>170</xdr:row>
      <xdr:rowOff>122051</xdr:rowOff>
    </xdr:from>
    <xdr:to>
      <xdr:col>12</xdr:col>
      <xdr:colOff>132774</xdr:colOff>
      <xdr:row>170</xdr:row>
      <xdr:rowOff>1114961</xdr:rowOff>
    </xdr:to>
    <xdr:grpSp>
      <xdr:nvGrpSpPr>
        <xdr:cNvPr id="4" name="グループ化 3">
          <a:extLst>
            <a:ext uri="{FF2B5EF4-FFF2-40B4-BE49-F238E27FC236}">
              <a16:creationId xmlns:a16="http://schemas.microsoft.com/office/drawing/2014/main" id="{16D6A1B2-72DC-B475-81EF-286234B40E47}"/>
            </a:ext>
          </a:extLst>
        </xdr:cNvPr>
        <xdr:cNvGrpSpPr/>
      </xdr:nvGrpSpPr>
      <xdr:grpSpPr>
        <a:xfrm>
          <a:off x="13104914" y="19841687"/>
          <a:ext cx="6539678" cy="992910"/>
          <a:chOff x="12549908" y="19096181"/>
          <a:chExt cx="6546274" cy="992910"/>
        </a:xfrm>
      </xdr:grpSpPr>
      <xdr:sp macro="" textlink="">
        <xdr:nvSpPr>
          <xdr:cNvPr id="2" name="右中かっこ 1">
            <a:extLst>
              <a:ext uri="{FF2B5EF4-FFF2-40B4-BE49-F238E27FC236}">
                <a16:creationId xmlns:a16="http://schemas.microsoft.com/office/drawing/2014/main" id="{A936865B-10E9-F88C-A056-BA2835C9B824}"/>
              </a:ext>
            </a:extLst>
          </xdr:cNvPr>
          <xdr:cNvSpPr/>
        </xdr:nvSpPr>
        <xdr:spPr>
          <a:xfrm>
            <a:off x="12549908" y="19096181"/>
            <a:ext cx="404091" cy="854364"/>
          </a:xfrm>
          <a:prstGeom prst="rightBrace">
            <a:avLst>
              <a:gd name="adj1" fmla="val 0"/>
              <a:gd name="adj2" fmla="val 50206"/>
            </a:avLst>
          </a:prstGeom>
          <a:noFill/>
          <a:ln w="38100">
            <a:solidFill>
              <a:srgbClr val="EE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3" name="テキスト ボックス 2">
            <a:extLst>
              <a:ext uri="{FF2B5EF4-FFF2-40B4-BE49-F238E27FC236}">
                <a16:creationId xmlns:a16="http://schemas.microsoft.com/office/drawing/2014/main" id="{BBBE44C6-2204-E2E5-FB9C-9DF94B04B314}"/>
              </a:ext>
            </a:extLst>
          </xdr:cNvPr>
          <xdr:cNvSpPr txBox="1"/>
        </xdr:nvSpPr>
        <xdr:spPr>
          <a:xfrm>
            <a:off x="13046364" y="19177000"/>
            <a:ext cx="6049818" cy="9120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この４要素については宿泊施設の変更による増減も発生しており、</a:t>
            </a:r>
            <a:endParaRPr kumimoji="1" lang="en-US" altLang="ja-JP" sz="1400">
              <a:latin typeface="メイリオ" panose="020B0604030504040204" pitchFamily="50" charset="-128"/>
              <a:ea typeface="メイリオ" panose="020B0604030504040204" pitchFamily="50" charset="-128"/>
            </a:endParaRPr>
          </a:p>
          <a:p>
            <a:r>
              <a:rPr kumimoji="1" lang="ja-JP" altLang="en-US" sz="1400">
                <a:latin typeface="メイリオ" panose="020B0604030504040204" pitchFamily="50" charset="-128"/>
                <a:ea typeface="メイリオ" panose="020B0604030504040204" pitchFamily="50" charset="-128"/>
              </a:rPr>
              <a:t>単純に何円上昇しているという積算はしていない</a:t>
            </a:r>
          </a:p>
        </xdr:txBody>
      </xdr:sp>
    </xdr:grpSp>
    <xdr:clientData/>
  </xdr:twoCellAnchor>
  <xdr:twoCellAnchor>
    <xdr:from>
      <xdr:col>6</xdr:col>
      <xdr:colOff>173181</xdr:colOff>
      <xdr:row>172</xdr:row>
      <xdr:rowOff>461816</xdr:rowOff>
    </xdr:from>
    <xdr:to>
      <xdr:col>11</xdr:col>
      <xdr:colOff>334818</xdr:colOff>
      <xdr:row>172</xdr:row>
      <xdr:rowOff>1373909</xdr:rowOff>
    </xdr:to>
    <xdr:grpSp>
      <xdr:nvGrpSpPr>
        <xdr:cNvPr id="8" name="グループ化 7">
          <a:extLst>
            <a:ext uri="{FF2B5EF4-FFF2-40B4-BE49-F238E27FC236}">
              <a16:creationId xmlns:a16="http://schemas.microsoft.com/office/drawing/2014/main" id="{3DA15905-EFBA-4B19-004B-7AA74B407152}"/>
            </a:ext>
          </a:extLst>
        </xdr:cNvPr>
        <xdr:cNvGrpSpPr/>
      </xdr:nvGrpSpPr>
      <xdr:grpSpPr>
        <a:xfrm>
          <a:off x="12572999" y="23321816"/>
          <a:ext cx="6523183" cy="912093"/>
          <a:chOff x="12573000" y="19176999"/>
          <a:chExt cx="6523182" cy="912092"/>
        </a:xfrm>
      </xdr:grpSpPr>
      <xdr:sp macro="" textlink="">
        <xdr:nvSpPr>
          <xdr:cNvPr id="9" name="右中かっこ 8">
            <a:extLst>
              <a:ext uri="{FF2B5EF4-FFF2-40B4-BE49-F238E27FC236}">
                <a16:creationId xmlns:a16="http://schemas.microsoft.com/office/drawing/2014/main" id="{42FC9C5F-AF57-41F8-1866-E9FA82770800}"/>
              </a:ext>
            </a:extLst>
          </xdr:cNvPr>
          <xdr:cNvSpPr/>
        </xdr:nvSpPr>
        <xdr:spPr>
          <a:xfrm>
            <a:off x="12573000" y="19176999"/>
            <a:ext cx="380999" cy="669637"/>
          </a:xfrm>
          <a:prstGeom prst="rightBrace">
            <a:avLst>
              <a:gd name="adj1" fmla="val 0"/>
              <a:gd name="adj2" fmla="val 50206"/>
            </a:avLst>
          </a:prstGeom>
          <a:noFill/>
          <a:ln w="38100">
            <a:solidFill>
              <a:srgbClr val="EE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0" name="テキスト ボックス 9">
            <a:extLst>
              <a:ext uri="{FF2B5EF4-FFF2-40B4-BE49-F238E27FC236}">
                <a16:creationId xmlns:a16="http://schemas.microsoft.com/office/drawing/2014/main" id="{40657B73-A9B9-75B3-A3CA-B9F8DC66CA86}"/>
              </a:ext>
            </a:extLst>
          </xdr:cNvPr>
          <xdr:cNvSpPr txBox="1"/>
        </xdr:nvSpPr>
        <xdr:spPr>
          <a:xfrm>
            <a:off x="13046364" y="19177000"/>
            <a:ext cx="6049818" cy="9120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メイリオ" panose="020B0604030504040204" pitchFamily="50" charset="-128"/>
                <a:ea typeface="メイリオ" panose="020B0604030504040204" pitchFamily="50" charset="-128"/>
              </a:rPr>
              <a:t>この３要素については宿泊施設の変更による増減も発生しており、</a:t>
            </a:r>
            <a:endParaRPr kumimoji="1" lang="en-US" altLang="ja-JP" sz="1400">
              <a:latin typeface="メイリオ" panose="020B0604030504040204" pitchFamily="50" charset="-128"/>
              <a:ea typeface="メイリオ" panose="020B0604030504040204" pitchFamily="50" charset="-128"/>
            </a:endParaRPr>
          </a:p>
          <a:p>
            <a:r>
              <a:rPr kumimoji="1" lang="ja-JP" altLang="en-US" sz="1400">
                <a:latin typeface="メイリオ" panose="020B0604030504040204" pitchFamily="50" charset="-128"/>
                <a:ea typeface="メイリオ" panose="020B0604030504040204" pitchFamily="50" charset="-128"/>
              </a:rPr>
              <a:t>単純に何円上昇しているという積算はしていない</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228600</xdr:colOff>
      <xdr:row>22</xdr:row>
      <xdr:rowOff>25400</xdr:rowOff>
    </xdr:from>
    <xdr:to>
      <xdr:col>7</xdr:col>
      <xdr:colOff>1365250</xdr:colOff>
      <xdr:row>25</xdr:row>
      <xdr:rowOff>133350</xdr:rowOff>
    </xdr:to>
    <xdr:sp macro="" textlink="">
      <xdr:nvSpPr>
        <xdr:cNvPr id="2" name="吹き出し: 円形 1">
          <a:extLst>
            <a:ext uri="{FF2B5EF4-FFF2-40B4-BE49-F238E27FC236}">
              <a16:creationId xmlns:a16="http://schemas.microsoft.com/office/drawing/2014/main" id="{30903070-B2BD-409C-5C15-30B071D4395A}"/>
            </a:ext>
          </a:extLst>
        </xdr:cNvPr>
        <xdr:cNvSpPr/>
      </xdr:nvSpPr>
      <xdr:spPr>
        <a:xfrm>
          <a:off x="4311650" y="3695700"/>
          <a:ext cx="2178050" cy="603250"/>
        </a:xfrm>
        <a:prstGeom prst="wedgeEllipseCallout">
          <a:avLst>
            <a:gd name="adj1" fmla="val -29087"/>
            <a:gd name="adj2" fmla="val -77273"/>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アスリートミール対応朝食と通常朝食の差額は</a:t>
          </a:r>
          <a:r>
            <a:rPr kumimoji="1" lang="en-US" altLang="ja-JP" sz="900" b="1"/>
            <a:t>…</a:t>
          </a:r>
          <a:r>
            <a:rPr kumimoji="1" lang="ja-JP" altLang="en-US" sz="900" b="1"/>
            <a:t>？</a:t>
          </a:r>
        </a:p>
      </xdr:txBody>
    </xdr:sp>
    <xdr:clientData/>
  </xdr:twoCellAnchor>
  <xdr:twoCellAnchor>
    <xdr:from>
      <xdr:col>5</xdr:col>
      <xdr:colOff>469900</xdr:colOff>
      <xdr:row>33</xdr:row>
      <xdr:rowOff>114300</xdr:rowOff>
    </xdr:from>
    <xdr:to>
      <xdr:col>7</xdr:col>
      <xdr:colOff>215900</xdr:colOff>
      <xdr:row>35</xdr:row>
      <xdr:rowOff>114300</xdr:rowOff>
    </xdr:to>
    <xdr:sp macro="" textlink="">
      <xdr:nvSpPr>
        <xdr:cNvPr id="3" name="吹き出し: 円形 2">
          <a:extLst>
            <a:ext uri="{FF2B5EF4-FFF2-40B4-BE49-F238E27FC236}">
              <a16:creationId xmlns:a16="http://schemas.microsoft.com/office/drawing/2014/main" id="{43BD2F8E-E7B0-6A11-629F-C0130CF7830D}"/>
            </a:ext>
          </a:extLst>
        </xdr:cNvPr>
        <xdr:cNvSpPr/>
      </xdr:nvSpPr>
      <xdr:spPr>
        <a:xfrm>
          <a:off x="4552950" y="5270500"/>
          <a:ext cx="787400" cy="330200"/>
        </a:xfrm>
        <a:prstGeom prst="wedgeEllipseCallout">
          <a:avLst>
            <a:gd name="adj1" fmla="val -42796"/>
            <a:gd name="adj2" fmla="val 57343"/>
          </a:avLst>
        </a:prstGeom>
        <a:solidFill>
          <a:srgbClr val="E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要求！</a:t>
          </a:r>
        </a:p>
      </xdr:txBody>
    </xdr:sp>
    <xdr:clientData/>
  </xdr:twoCellAnchor>
  <xdr:twoCellAnchor>
    <xdr:from>
      <xdr:col>8</xdr:col>
      <xdr:colOff>50800</xdr:colOff>
      <xdr:row>22</xdr:row>
      <xdr:rowOff>146050</xdr:rowOff>
    </xdr:from>
    <xdr:to>
      <xdr:col>8</xdr:col>
      <xdr:colOff>2317750</xdr:colOff>
      <xdr:row>26</xdr:row>
      <xdr:rowOff>88900</xdr:rowOff>
    </xdr:to>
    <xdr:sp macro="" textlink="">
      <xdr:nvSpPr>
        <xdr:cNvPr id="4" name="吹き出し: 円形 3">
          <a:extLst>
            <a:ext uri="{FF2B5EF4-FFF2-40B4-BE49-F238E27FC236}">
              <a16:creationId xmlns:a16="http://schemas.microsoft.com/office/drawing/2014/main" id="{5061BB83-40A3-677A-2099-3E34705CCE67}"/>
            </a:ext>
          </a:extLst>
        </xdr:cNvPr>
        <xdr:cNvSpPr/>
      </xdr:nvSpPr>
      <xdr:spPr>
        <a:xfrm>
          <a:off x="7054850" y="3816350"/>
          <a:ext cx="2266950" cy="603250"/>
        </a:xfrm>
        <a:prstGeom prst="wedgeEllipseCallout">
          <a:avLst>
            <a:gd name="adj1" fmla="val -44539"/>
            <a:gd name="adj2" fmla="val 58517"/>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900" b="1"/>
            <a:t>FNB</a:t>
          </a:r>
          <a:r>
            <a:rPr kumimoji="1" lang="ja-JP" altLang="en-US" sz="900" b="1"/>
            <a:t>的には</a:t>
          </a:r>
          <a:r>
            <a:rPr kumimoji="1" lang="en-US" altLang="ja-JP" sz="900" b="1"/>
            <a:t>21,000</a:t>
          </a:r>
          <a:r>
            <a:rPr kumimoji="1" lang="ja-JP" altLang="en-US" sz="900" b="1"/>
            <a:t>円確保されているということになっている</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11</xdr:col>
      <xdr:colOff>231723</xdr:colOff>
      <xdr:row>32</xdr:row>
      <xdr:rowOff>120850</xdr:rowOff>
    </xdr:from>
    <xdr:ext cx="5460766" cy="3411361"/>
    <xdr:pic>
      <xdr:nvPicPr>
        <xdr:cNvPr id="2" name="図 1">
          <a:extLst>
            <a:ext uri="{FF2B5EF4-FFF2-40B4-BE49-F238E27FC236}">
              <a16:creationId xmlns:a16="http://schemas.microsoft.com/office/drawing/2014/main" id="{978D8664-3E4E-4B51-85F2-539BD872CF30}"/>
            </a:ext>
          </a:extLst>
        </xdr:cNvPr>
        <xdr:cNvPicPr>
          <a:picLocks noChangeAspect="1"/>
        </xdr:cNvPicPr>
      </xdr:nvPicPr>
      <xdr:blipFill>
        <a:blip xmlns:r="http://schemas.openxmlformats.org/officeDocument/2006/relationships" r:embed="rId1"/>
        <a:stretch>
          <a:fillRect/>
        </a:stretch>
      </xdr:blipFill>
      <xdr:spPr>
        <a:xfrm>
          <a:off x="6470598" y="8763200"/>
          <a:ext cx="5460766" cy="3411361"/>
        </a:xfrm>
        <a:prstGeom prst="rect">
          <a:avLst/>
        </a:prstGeom>
      </xdr:spPr>
    </xdr:pic>
    <xdr:clientData/>
  </xdr:oneCellAnchor>
  <xdr:oneCellAnchor>
    <xdr:from>
      <xdr:col>36</xdr:col>
      <xdr:colOff>275166</xdr:colOff>
      <xdr:row>33</xdr:row>
      <xdr:rowOff>219853</xdr:rowOff>
    </xdr:from>
    <xdr:ext cx="5533753" cy="3210558"/>
    <xdr:pic>
      <xdr:nvPicPr>
        <xdr:cNvPr id="3" name="図 5">
          <a:extLst>
            <a:ext uri="{FF2B5EF4-FFF2-40B4-BE49-F238E27FC236}">
              <a16:creationId xmlns:a16="http://schemas.microsoft.com/office/drawing/2014/main" id="{21E20B3E-C9AE-48A8-AD29-98C88C1574A0}"/>
            </a:ext>
          </a:extLst>
        </xdr:cNvPr>
        <xdr:cNvPicPr>
          <a:picLocks noChangeAspect="1"/>
        </xdr:cNvPicPr>
      </xdr:nvPicPr>
      <xdr:blipFill>
        <a:blip xmlns:r="http://schemas.openxmlformats.org/officeDocument/2006/relationships" r:embed="rId2"/>
        <a:stretch>
          <a:fillRect/>
        </a:stretch>
      </xdr:blipFill>
      <xdr:spPr>
        <a:xfrm>
          <a:off x="16280341" y="9093978"/>
          <a:ext cx="5533753" cy="3210558"/>
        </a:xfrm>
        <a:prstGeom prst="rect">
          <a:avLst/>
        </a:prstGeom>
      </xdr:spPr>
    </xdr:pic>
    <xdr:clientData/>
  </xdr:oneCellAnchor>
  <xdr:twoCellAnchor>
    <xdr:from>
      <xdr:col>2</xdr:col>
      <xdr:colOff>84667</xdr:colOff>
      <xdr:row>48</xdr:row>
      <xdr:rowOff>225779</xdr:rowOff>
    </xdr:from>
    <xdr:to>
      <xdr:col>35</xdr:col>
      <xdr:colOff>169333</xdr:colOff>
      <xdr:row>61</xdr:row>
      <xdr:rowOff>127000</xdr:rowOff>
    </xdr:to>
    <xdr:sp macro="" textlink="">
      <xdr:nvSpPr>
        <xdr:cNvPr id="4" name="正方形/長方形 6">
          <a:extLst>
            <a:ext uri="{FF2B5EF4-FFF2-40B4-BE49-F238E27FC236}">
              <a16:creationId xmlns:a16="http://schemas.microsoft.com/office/drawing/2014/main" id="{4E667F39-84B2-4C5B-BA8E-5BBEEB6C91C3}"/>
            </a:ext>
          </a:extLst>
        </xdr:cNvPr>
        <xdr:cNvSpPr/>
      </xdr:nvSpPr>
      <xdr:spPr>
        <a:xfrm>
          <a:off x="2811992" y="12674954"/>
          <a:ext cx="12968816" cy="2993671"/>
        </a:xfrm>
        <a:prstGeom prst="rect">
          <a:avLst/>
        </a:prstGeom>
        <a:solidFill>
          <a:schemeClr val="bg1"/>
        </a:solidFill>
        <a:ln w="7620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200">
              <a:solidFill>
                <a:schemeClr val="tx1"/>
              </a:solidFill>
              <a:latin typeface="ＭＳ ゴシック" panose="020B0609070205080204" pitchFamily="49" charset="-128"/>
              <a:ea typeface="ＭＳ ゴシック" panose="020B0609070205080204" pitchFamily="49" charset="-128"/>
            </a:rPr>
            <a:t>アジア</a:t>
          </a:r>
          <a:r>
            <a:rPr kumimoji="1" lang="en-US" altLang="ja-JP" sz="3200">
              <a:solidFill>
                <a:schemeClr val="tx1"/>
              </a:solidFill>
              <a:latin typeface="ＭＳ ゴシック" panose="020B0609070205080204" pitchFamily="49" charset="-128"/>
              <a:ea typeface="ＭＳ ゴシック" panose="020B0609070205080204" pitchFamily="49" charset="-128"/>
            </a:rPr>
            <a:t>HCC:</a:t>
          </a:r>
          <a:br>
            <a:rPr kumimoji="1" lang="en-US" altLang="ja-JP" sz="3200">
              <a:solidFill>
                <a:schemeClr val="tx1"/>
              </a:solidFill>
              <a:latin typeface="ＭＳ ゴシック" panose="020B0609070205080204" pitchFamily="49" charset="-128"/>
              <a:ea typeface="ＭＳ ゴシック" panose="020B0609070205080204" pitchFamily="49" charset="-128"/>
            </a:rPr>
          </a:br>
          <a:r>
            <a:rPr kumimoji="1" lang="en-US" altLang="ja-JP" sz="3200">
              <a:solidFill>
                <a:schemeClr val="tx1"/>
              </a:solidFill>
              <a:latin typeface="ＭＳ ゴシック" panose="020B0609070205080204" pitchFamily="49" charset="-128"/>
              <a:ea typeface="ＭＳ ゴシック" panose="020B0609070205080204" pitchFamily="49" charset="-128"/>
            </a:rPr>
            <a:t>3.1.2 </a:t>
          </a:r>
          <a:r>
            <a:rPr kumimoji="1" lang="ja-JP" altLang="en-US" sz="3200">
              <a:solidFill>
                <a:schemeClr val="tx1"/>
              </a:solidFill>
              <a:latin typeface="ＭＳ ゴシック" panose="020B0609070205080204" pitchFamily="49" charset="-128"/>
              <a:ea typeface="ＭＳ ゴシック" panose="020B0609070205080204" pitchFamily="49" charset="-128"/>
            </a:rPr>
            <a:t>選手村は、競技大会の</a:t>
          </a:r>
          <a:r>
            <a:rPr kumimoji="1" lang="ja-JP" altLang="en-US" sz="3200" b="1">
              <a:solidFill>
                <a:schemeClr val="tx1"/>
              </a:solidFill>
              <a:latin typeface="ＭＳ ゴシック" panose="020B0609070205080204" pitchFamily="49" charset="-128"/>
              <a:ea typeface="ＭＳ ゴシック" panose="020B0609070205080204" pitchFamily="49" charset="-128"/>
            </a:rPr>
            <a:t>開会式の </a:t>
          </a:r>
          <a:r>
            <a:rPr kumimoji="1" lang="en-US" altLang="ja-JP" sz="3200" b="1">
              <a:solidFill>
                <a:schemeClr val="tx1"/>
              </a:solidFill>
              <a:latin typeface="ＭＳ ゴシック" panose="020B0609070205080204" pitchFamily="49" charset="-128"/>
              <a:ea typeface="ＭＳ ゴシック" panose="020B0609070205080204" pitchFamily="49" charset="-128"/>
            </a:rPr>
            <a:t>2 </a:t>
          </a:r>
          <a:r>
            <a:rPr kumimoji="1" lang="ja-JP" altLang="en-US" sz="3200" b="1">
              <a:solidFill>
                <a:schemeClr val="tx1"/>
              </a:solidFill>
              <a:latin typeface="ＭＳ ゴシック" panose="020B0609070205080204" pitchFamily="49" charset="-128"/>
              <a:ea typeface="ＭＳ ゴシック" panose="020B0609070205080204" pitchFamily="49" charset="-128"/>
            </a:rPr>
            <a:t>週間前から閉会式の </a:t>
          </a:r>
          <a:r>
            <a:rPr kumimoji="1" lang="en-US" altLang="ja-JP" sz="3200" b="1">
              <a:solidFill>
                <a:schemeClr val="tx1"/>
              </a:solidFill>
              <a:latin typeface="ＭＳ ゴシック" panose="020B0609070205080204" pitchFamily="49" charset="-128"/>
              <a:ea typeface="ＭＳ ゴシック" panose="020B0609070205080204" pitchFamily="49" charset="-128"/>
            </a:rPr>
            <a:t>3 </a:t>
          </a:r>
          <a:r>
            <a:rPr kumimoji="1" lang="ja-JP" altLang="en-US" sz="3200" b="1">
              <a:solidFill>
                <a:schemeClr val="tx1"/>
              </a:solidFill>
              <a:latin typeface="ＭＳ ゴシック" panose="020B0609070205080204" pitchFamily="49" charset="-128"/>
              <a:ea typeface="ＭＳ ゴシック" panose="020B0609070205080204" pitchFamily="49" charset="-128"/>
            </a:rPr>
            <a:t>日後まで</a:t>
          </a:r>
          <a:r>
            <a:rPr kumimoji="1" lang="ja-JP" altLang="en-US" sz="3200">
              <a:solidFill>
                <a:schemeClr val="tx1"/>
              </a:solidFill>
              <a:latin typeface="ＭＳ ゴシック" panose="020B0609070205080204" pitchFamily="49" charset="-128"/>
              <a:ea typeface="ＭＳ ゴシック" panose="020B0609070205080204" pitchFamily="49" charset="-128"/>
            </a:rPr>
            <a:t>必要なサービスが利用可能な状態で提供されるものとする。ただ し、このサービスの期間は、競技大会のプログラムを踏まえて、 ＯＣＡ及びＡＧＯＣの協議により短縮することができる。</a:t>
          </a:r>
        </a:p>
        <a:p>
          <a:pPr algn="l"/>
          <a:endParaRPr kumimoji="1" lang="ja-JP" altLang="en-US" sz="3200">
            <a:solidFill>
              <a:schemeClr val="tx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11289</xdr:colOff>
      <xdr:row>48</xdr:row>
      <xdr:rowOff>180623</xdr:rowOff>
    </xdr:from>
    <xdr:to>
      <xdr:col>69</xdr:col>
      <xdr:colOff>505177</xdr:colOff>
      <xdr:row>68</xdr:row>
      <xdr:rowOff>173182</xdr:rowOff>
    </xdr:to>
    <xdr:sp macro="" textlink="">
      <xdr:nvSpPr>
        <xdr:cNvPr id="5" name="正方形/長方形 7">
          <a:extLst>
            <a:ext uri="{FF2B5EF4-FFF2-40B4-BE49-F238E27FC236}">
              <a16:creationId xmlns:a16="http://schemas.microsoft.com/office/drawing/2014/main" id="{2A41785A-F4A0-410C-8189-E0DB5D8705DE}"/>
            </a:ext>
          </a:extLst>
        </xdr:cNvPr>
        <xdr:cNvSpPr/>
      </xdr:nvSpPr>
      <xdr:spPr>
        <a:xfrm>
          <a:off x="16400639" y="12632973"/>
          <a:ext cx="12895438" cy="4751884"/>
        </a:xfrm>
        <a:prstGeom prst="rect">
          <a:avLst/>
        </a:prstGeom>
        <a:solidFill>
          <a:schemeClr val="bg1"/>
        </a:solidFill>
        <a:ln w="76200">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3200">
              <a:solidFill>
                <a:schemeClr val="tx1"/>
              </a:solidFill>
              <a:latin typeface="ＭＳ ゴシック" panose="020B0609070205080204" pitchFamily="49" charset="-128"/>
              <a:ea typeface="ＭＳ ゴシック" panose="020B0609070205080204" pitchFamily="49" charset="-128"/>
            </a:rPr>
            <a:t>パラ</a:t>
          </a:r>
          <a:r>
            <a:rPr kumimoji="1" lang="en-US" altLang="ja-JP" sz="3200">
              <a:solidFill>
                <a:schemeClr val="tx1"/>
              </a:solidFill>
              <a:latin typeface="ＭＳ ゴシック" panose="020B0609070205080204" pitchFamily="49" charset="-128"/>
              <a:ea typeface="ＭＳ ゴシック" panose="020B0609070205080204" pitchFamily="49" charset="-128"/>
            </a:rPr>
            <a:t>HCC:</a:t>
          </a:r>
          <a:br>
            <a:rPr kumimoji="1" lang="en-US" altLang="ja-JP" sz="3200">
              <a:solidFill>
                <a:schemeClr val="tx1"/>
              </a:solidFill>
              <a:latin typeface="ＭＳ ゴシック" panose="020B0609070205080204" pitchFamily="49" charset="-128"/>
              <a:ea typeface="ＭＳ ゴシック" panose="020B0609070205080204" pitchFamily="49" charset="-128"/>
            </a:rPr>
          </a:br>
          <a:r>
            <a:rPr kumimoji="1" lang="en-US" altLang="ja-JP" sz="3200">
              <a:solidFill>
                <a:schemeClr val="tx1"/>
              </a:solidFill>
              <a:latin typeface="ＭＳ ゴシック" panose="020B0609070205080204" pitchFamily="49" charset="-128"/>
              <a:ea typeface="ＭＳ ゴシック" panose="020B0609070205080204" pitchFamily="49" charset="-128"/>
            </a:rPr>
            <a:t>6.1.7 LOC</a:t>
          </a:r>
          <a:r>
            <a:rPr kumimoji="1" lang="ja-JP" altLang="en-US" sz="3200">
              <a:solidFill>
                <a:schemeClr val="tx1"/>
              </a:solidFill>
              <a:latin typeface="ＭＳ ゴシック" panose="020B0609070205080204" pitchFamily="49" charset="-128"/>
              <a:ea typeface="ＭＳ ゴシック" panose="020B0609070205080204" pitchFamily="49" charset="-128"/>
            </a:rPr>
            <a:t>は、</a:t>
          </a:r>
          <a:r>
            <a:rPr kumimoji="1" lang="ja-JP" altLang="en-US" sz="3200" b="1">
              <a:solidFill>
                <a:schemeClr val="tx1"/>
              </a:solidFill>
              <a:latin typeface="ＭＳ ゴシック" panose="020B0609070205080204" pitchFamily="49" charset="-128"/>
              <a:ea typeface="ＭＳ ゴシック" panose="020B0609070205080204" pitchFamily="49" charset="-128"/>
            </a:rPr>
            <a:t>遅くとも開会式の</a:t>
          </a:r>
          <a:r>
            <a:rPr kumimoji="1" lang="en-US" altLang="ja-JP" sz="3200" b="1">
              <a:solidFill>
                <a:schemeClr val="tx1"/>
              </a:solidFill>
              <a:latin typeface="ＭＳ ゴシック" panose="020B0609070205080204" pitchFamily="49" charset="-128"/>
              <a:ea typeface="ＭＳ ゴシック" panose="020B0609070205080204" pitchFamily="49" charset="-128"/>
            </a:rPr>
            <a:t>7</a:t>
          </a:r>
          <a:r>
            <a:rPr kumimoji="1" lang="ja-JP" altLang="en-US" sz="3200" b="1">
              <a:solidFill>
                <a:schemeClr val="tx1"/>
              </a:solidFill>
              <a:latin typeface="ＭＳ ゴシック" panose="020B0609070205080204" pitchFamily="49" charset="-128"/>
              <a:ea typeface="ＭＳ ゴシック" panose="020B0609070205080204" pitchFamily="49" charset="-128"/>
            </a:rPr>
            <a:t>日前から閉会式の</a:t>
          </a:r>
          <a:r>
            <a:rPr kumimoji="1" lang="en-US" altLang="ja-JP" sz="3200" b="1">
              <a:solidFill>
                <a:schemeClr val="tx1"/>
              </a:solidFill>
              <a:latin typeface="ＭＳ ゴシック" panose="020B0609070205080204" pitchFamily="49" charset="-128"/>
              <a:ea typeface="ＭＳ ゴシック" panose="020B0609070205080204" pitchFamily="49" charset="-128"/>
            </a:rPr>
            <a:t>2</a:t>
          </a:r>
          <a:r>
            <a:rPr kumimoji="1" lang="ja-JP" altLang="en-US" sz="3200" b="1">
              <a:solidFill>
                <a:schemeClr val="tx1"/>
              </a:solidFill>
              <a:latin typeface="ＭＳ ゴシック" panose="020B0609070205080204" pitchFamily="49" charset="-128"/>
              <a:ea typeface="ＭＳ ゴシック" panose="020B0609070205080204" pitchFamily="49" charset="-128"/>
            </a:rPr>
            <a:t>日後まで</a:t>
          </a:r>
          <a:r>
            <a:rPr kumimoji="1" lang="ja-JP" altLang="en-US" sz="3200">
              <a:solidFill>
                <a:schemeClr val="tx1"/>
              </a:solidFill>
              <a:latin typeface="ＭＳ ゴシック" panose="020B0609070205080204" pitchFamily="49" charset="-128"/>
              <a:ea typeface="ＭＳ ゴシック" panose="020B0609070205080204" pitchFamily="49" charset="-128"/>
            </a:rPr>
            <a:t>、（ホテルの部屋をアジアパラ競技大会</a:t>
          </a:r>
          <a:r>
            <a:rPr kumimoji="1" lang="en-US" altLang="ja-JP" sz="3200">
              <a:solidFill>
                <a:schemeClr val="tx1"/>
              </a:solidFill>
              <a:latin typeface="ＭＳ ゴシック" panose="020B0609070205080204" pitchFamily="49" charset="-128"/>
              <a:ea typeface="ＭＳ ゴシック" panose="020B0609070205080204" pitchFamily="49" charset="-128"/>
            </a:rPr>
            <a:t>2026</a:t>
          </a:r>
          <a:r>
            <a:rPr kumimoji="1" lang="ja-JP" altLang="en-US" sz="3200">
              <a:solidFill>
                <a:schemeClr val="tx1"/>
              </a:solidFill>
              <a:latin typeface="ＭＳ ゴシック" panose="020B0609070205080204" pitchFamily="49" charset="-128"/>
              <a:ea typeface="ＭＳ ゴシック" panose="020B0609070205080204" pitchFamily="49" charset="-128"/>
            </a:rPr>
            <a:t>選手村として提供する場合においては、利用可能な時間は当該ホ テルの定めたチェックイン及びチェックアウトの時間に従うものとする。）アジアパラ競技大会</a:t>
          </a:r>
          <a:r>
            <a:rPr kumimoji="1" lang="en-US" altLang="ja-JP" sz="3200">
              <a:solidFill>
                <a:schemeClr val="tx1"/>
              </a:solidFill>
              <a:latin typeface="ＭＳ ゴシック" panose="020B0609070205080204" pitchFamily="49" charset="-128"/>
              <a:ea typeface="ＭＳ ゴシック" panose="020B0609070205080204" pitchFamily="49" charset="-128"/>
            </a:rPr>
            <a:t>2026</a:t>
          </a:r>
          <a:r>
            <a:rPr kumimoji="1" lang="ja-JP" altLang="en-US" sz="3200">
              <a:solidFill>
                <a:schemeClr val="tx1"/>
              </a:solidFill>
              <a:latin typeface="ＭＳ ゴシック" panose="020B0609070205080204" pitchFamily="49" charset="-128"/>
              <a:ea typeface="ＭＳ ゴシック" panose="020B0609070205080204" pitchFamily="49" charset="-128"/>
            </a:rPr>
            <a:t>のために、アジアパラ競技大会</a:t>
          </a:r>
          <a:r>
            <a:rPr kumimoji="1" lang="en-US" altLang="ja-JP" sz="3200">
              <a:solidFill>
                <a:schemeClr val="tx1"/>
              </a:solidFill>
              <a:latin typeface="ＭＳ ゴシック" panose="020B0609070205080204" pitchFamily="49" charset="-128"/>
              <a:ea typeface="ＭＳ ゴシック" panose="020B0609070205080204" pitchFamily="49" charset="-128"/>
            </a:rPr>
            <a:t>2026</a:t>
          </a:r>
          <a:r>
            <a:rPr kumimoji="1" lang="ja-JP" altLang="en-US" sz="3200">
              <a:solidFill>
                <a:schemeClr val="tx1"/>
              </a:solidFill>
              <a:latin typeface="ＭＳ ゴシック" panose="020B0609070205080204" pitchFamily="49" charset="-128"/>
              <a:ea typeface="ＭＳ ゴシック" panose="020B0609070205080204" pitchFamily="49" charset="-128"/>
            </a:rPr>
            <a:t>選手村（及び全ての関連サー ビス）を利用可能にするものとする。ただし、このサービスの期間は、アジアパラ競技大会</a:t>
          </a:r>
          <a:r>
            <a:rPr kumimoji="1" lang="en-US" altLang="ja-JP" sz="3200">
              <a:solidFill>
                <a:schemeClr val="tx1"/>
              </a:solidFill>
              <a:latin typeface="ＭＳ ゴシック" panose="020B0609070205080204" pitchFamily="49" charset="-128"/>
              <a:ea typeface="ＭＳ ゴシック" panose="020B0609070205080204" pitchFamily="49" charset="-128"/>
            </a:rPr>
            <a:t>2026</a:t>
          </a:r>
          <a:r>
            <a:rPr kumimoji="1" lang="ja-JP" altLang="en-US" sz="3200">
              <a:solidFill>
                <a:schemeClr val="tx1"/>
              </a:solidFill>
              <a:latin typeface="ＭＳ ゴシック" panose="020B0609070205080204" pitchFamily="49" charset="-128"/>
              <a:ea typeface="ＭＳ ゴシック" panose="020B0609070205080204" pitchFamily="49" charset="-128"/>
            </a:rPr>
            <a:t>のプログラムを踏まえて、</a:t>
          </a:r>
          <a:r>
            <a:rPr kumimoji="1" lang="en-US" altLang="ja-JP" sz="3200">
              <a:solidFill>
                <a:schemeClr val="tx1"/>
              </a:solidFill>
              <a:latin typeface="ＭＳ ゴシック" panose="020B0609070205080204" pitchFamily="49" charset="-128"/>
              <a:ea typeface="ＭＳ ゴシック" panose="020B0609070205080204" pitchFamily="49" charset="-128"/>
            </a:rPr>
            <a:t>APC</a:t>
          </a:r>
          <a:r>
            <a:rPr kumimoji="1" lang="ja-JP" altLang="en-US" sz="3200">
              <a:solidFill>
                <a:schemeClr val="tx1"/>
              </a:solidFill>
              <a:latin typeface="ＭＳ ゴシック" panose="020B0609070205080204" pitchFamily="49" charset="-128"/>
              <a:ea typeface="ＭＳ ゴシック" panose="020B0609070205080204" pitchFamily="49" charset="-128"/>
            </a:rPr>
            <a:t>と</a:t>
          </a:r>
          <a:r>
            <a:rPr kumimoji="1" lang="en-US" altLang="ja-JP" sz="3200">
              <a:solidFill>
                <a:schemeClr val="tx1"/>
              </a:solidFill>
              <a:latin typeface="ＭＳ ゴシック" panose="020B0609070205080204" pitchFamily="49" charset="-128"/>
              <a:ea typeface="ＭＳ ゴシック" panose="020B0609070205080204" pitchFamily="49" charset="-128"/>
            </a:rPr>
            <a:t>LOC</a:t>
          </a:r>
          <a:r>
            <a:rPr kumimoji="1" lang="ja-JP" altLang="en-US" sz="3200">
              <a:solidFill>
                <a:schemeClr val="tx1"/>
              </a:solidFill>
              <a:latin typeface="ＭＳ ゴシック" panose="020B0609070205080204" pitchFamily="49" charset="-128"/>
              <a:ea typeface="ＭＳ ゴシック" panose="020B0609070205080204" pitchFamily="49" charset="-128"/>
            </a:rPr>
            <a:t>が協議して短縮することができる。 </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28</xdr:col>
      <xdr:colOff>324970</xdr:colOff>
      <xdr:row>8</xdr:row>
      <xdr:rowOff>100853</xdr:rowOff>
    </xdr:from>
    <xdr:ext cx="2954655" cy="864852"/>
    <xdr:sp macro="" textlink="">
      <xdr:nvSpPr>
        <xdr:cNvPr id="2" name="テキスト ボックス 1">
          <a:extLst>
            <a:ext uri="{FF2B5EF4-FFF2-40B4-BE49-F238E27FC236}">
              <a16:creationId xmlns:a16="http://schemas.microsoft.com/office/drawing/2014/main" id="{782DA6A1-89B3-4569-B45F-00509D7899CA}"/>
            </a:ext>
          </a:extLst>
        </xdr:cNvPr>
        <xdr:cNvSpPr txBox="1"/>
      </xdr:nvSpPr>
      <xdr:spPr>
        <a:xfrm>
          <a:off x="30862120" y="3009153"/>
          <a:ext cx="2954655" cy="864852"/>
        </a:xfrm>
        <a:prstGeom prst="rect">
          <a:avLst/>
        </a:prstGeom>
        <a:solidFill>
          <a:schemeClr val="accent6">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提供客室タイプについては</a:t>
          </a:r>
          <a:endParaRPr kumimoji="1" lang="en-US" altLang="ja-JP" sz="1800" b="1"/>
        </a:p>
        <a:p>
          <a:r>
            <a:rPr kumimoji="1" lang="ja-JP" altLang="en-US" sz="1800" b="1"/>
            <a:t>宿泊施設お任せ</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14</xdr:col>
      <xdr:colOff>870324</xdr:colOff>
      <xdr:row>1</xdr:row>
      <xdr:rowOff>316142</xdr:rowOff>
    </xdr:from>
    <xdr:ext cx="5262979" cy="864852"/>
    <xdr:sp macro="" textlink="">
      <xdr:nvSpPr>
        <xdr:cNvPr id="2" name="テキスト ボックス 1">
          <a:extLst>
            <a:ext uri="{FF2B5EF4-FFF2-40B4-BE49-F238E27FC236}">
              <a16:creationId xmlns:a16="http://schemas.microsoft.com/office/drawing/2014/main" id="{7A319091-7AFA-4831-8C60-944C3144C08A}"/>
            </a:ext>
          </a:extLst>
        </xdr:cNvPr>
        <xdr:cNvSpPr txBox="1"/>
      </xdr:nvSpPr>
      <xdr:spPr>
        <a:xfrm>
          <a:off x="15844779" y="581687"/>
          <a:ext cx="5262979" cy="864852"/>
        </a:xfrm>
        <a:prstGeom prst="rect">
          <a:avLst/>
        </a:prstGeom>
        <a:solidFill>
          <a:schemeClr val="accent6">
            <a:lumMod val="20000"/>
            <a:lumOff val="80000"/>
          </a:schemeClr>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b="1"/>
            <a:t>５１階フロアー貸切料金</a:t>
          </a:r>
          <a:endParaRPr kumimoji="1" lang="en-US" altLang="ja-JP" sz="1800" b="1"/>
        </a:p>
        <a:p>
          <a:r>
            <a:rPr kumimoji="1" lang="ja-JP" altLang="en-US" sz="1800" b="1"/>
            <a:t>３室（ジュピター・シリウス・マーキューリー）</a:t>
          </a:r>
          <a:endParaRPr kumimoji="1" lang="en-US" altLang="ja-JP" sz="1800" b="1"/>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12</xdr:col>
      <xdr:colOff>311727</xdr:colOff>
      <xdr:row>16</xdr:row>
      <xdr:rowOff>46181</xdr:rowOff>
    </xdr:from>
    <xdr:to>
      <xdr:col>17</xdr:col>
      <xdr:colOff>349549</xdr:colOff>
      <xdr:row>21</xdr:row>
      <xdr:rowOff>138843</xdr:rowOff>
    </xdr:to>
    <xdr:pic>
      <xdr:nvPicPr>
        <xdr:cNvPr id="2" name="図 1">
          <a:extLst>
            <a:ext uri="{FF2B5EF4-FFF2-40B4-BE49-F238E27FC236}">
              <a16:creationId xmlns:a16="http://schemas.microsoft.com/office/drawing/2014/main" id="{704F8973-3E6D-433D-B58C-23BDE713AFE9}"/>
            </a:ext>
          </a:extLst>
        </xdr:cNvPr>
        <xdr:cNvPicPr>
          <a:picLocks noChangeAspect="1"/>
        </xdr:cNvPicPr>
      </xdr:nvPicPr>
      <xdr:blipFill>
        <a:blip xmlns:r="http://schemas.openxmlformats.org/officeDocument/2006/relationships" r:embed="rId1"/>
        <a:stretch>
          <a:fillRect/>
        </a:stretch>
      </xdr:blipFill>
      <xdr:spPr>
        <a:xfrm>
          <a:off x="14783377" y="6358081"/>
          <a:ext cx="6845022" cy="22199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30</xdr:col>
      <xdr:colOff>318654</xdr:colOff>
      <xdr:row>6</xdr:row>
      <xdr:rowOff>332510</xdr:rowOff>
    </xdr:from>
    <xdr:to>
      <xdr:col>30</xdr:col>
      <xdr:colOff>2604654</xdr:colOff>
      <xdr:row>8</xdr:row>
      <xdr:rowOff>235528</xdr:rowOff>
    </xdr:to>
    <xdr:sp macro="" textlink="">
      <xdr:nvSpPr>
        <xdr:cNvPr id="2" name="テキスト ボックス 1">
          <a:extLst>
            <a:ext uri="{FF2B5EF4-FFF2-40B4-BE49-F238E27FC236}">
              <a16:creationId xmlns:a16="http://schemas.microsoft.com/office/drawing/2014/main" id="{C052D9D2-5BA5-409C-9583-5BB1C5570D63}"/>
            </a:ext>
          </a:extLst>
        </xdr:cNvPr>
        <xdr:cNvSpPr txBox="1"/>
      </xdr:nvSpPr>
      <xdr:spPr>
        <a:xfrm>
          <a:off x="31541604" y="2389910"/>
          <a:ext cx="2286000" cy="7539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別途入湯税＠</a:t>
          </a:r>
          <a:r>
            <a:rPr kumimoji="1" lang="en-US" altLang="ja-JP" sz="1100" b="1">
              <a:solidFill>
                <a:srgbClr val="FF0000"/>
              </a:solidFill>
            </a:rPr>
            <a:t>150</a:t>
          </a:r>
          <a:r>
            <a:rPr kumimoji="1" lang="ja-JP" altLang="en-US" sz="1100" b="1">
              <a:solidFill>
                <a:srgbClr val="FF0000"/>
              </a:solidFill>
            </a:rPr>
            <a:t>円がかかります。</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30</xdr:col>
      <xdr:colOff>124690</xdr:colOff>
      <xdr:row>8</xdr:row>
      <xdr:rowOff>263237</xdr:rowOff>
    </xdr:from>
    <xdr:to>
      <xdr:col>30</xdr:col>
      <xdr:colOff>2660072</xdr:colOff>
      <xdr:row>12</xdr:row>
      <xdr:rowOff>249382</xdr:rowOff>
    </xdr:to>
    <xdr:sp macro="" textlink="">
      <xdr:nvSpPr>
        <xdr:cNvPr id="2" name="テキスト ボックス 1">
          <a:extLst>
            <a:ext uri="{FF2B5EF4-FFF2-40B4-BE49-F238E27FC236}">
              <a16:creationId xmlns:a16="http://schemas.microsoft.com/office/drawing/2014/main" id="{7046D53F-561F-437B-BBFA-541413A1D675}"/>
            </a:ext>
          </a:extLst>
        </xdr:cNvPr>
        <xdr:cNvSpPr txBox="1"/>
      </xdr:nvSpPr>
      <xdr:spPr>
        <a:xfrm>
          <a:off x="31169840" y="3152487"/>
          <a:ext cx="2535382" cy="1687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全棟貸切（</a:t>
          </a:r>
          <a:r>
            <a:rPr kumimoji="1" lang="en-US" altLang="ja-JP" sz="1100" b="1">
              <a:solidFill>
                <a:srgbClr val="FF0000"/>
              </a:solidFill>
            </a:rPr>
            <a:t>213</a:t>
          </a:r>
          <a:r>
            <a:rPr kumimoji="1" lang="ja-JP" altLang="en-US" sz="1100" b="1">
              <a:solidFill>
                <a:srgbClr val="FF0000"/>
              </a:solidFill>
            </a:rPr>
            <a:t>名分）の金額となります。</a:t>
          </a:r>
          <a:endParaRPr kumimoji="1" lang="en-US" altLang="ja-JP" sz="1100" b="1">
            <a:solidFill>
              <a:srgbClr val="FF0000"/>
            </a:solidFill>
          </a:endParaRPr>
        </a:p>
        <a:p>
          <a:r>
            <a:rPr kumimoji="1" lang="ja-JP" altLang="en-US" sz="1100" b="1">
              <a:solidFill>
                <a:srgbClr val="FF0000"/>
              </a:solidFill>
            </a:rPr>
            <a:t>フロア貸し（人数減）の場合は、金額が変わります。</a:t>
          </a:r>
          <a:endParaRPr kumimoji="1" lang="en-US" altLang="ja-JP" sz="1100" b="1">
            <a:solidFill>
              <a:srgbClr val="FF0000"/>
            </a:solidFill>
          </a:endParaRPr>
        </a:p>
        <a:p>
          <a:endParaRPr kumimoji="1" lang="en-US" altLang="ja-JP" sz="1100" b="1">
            <a:solidFill>
              <a:srgbClr val="FF0000"/>
            </a:solidFill>
          </a:endParaRPr>
        </a:p>
        <a:p>
          <a:r>
            <a:rPr kumimoji="1" lang="ja-JP" altLang="en-US" sz="1100" b="1">
              <a:solidFill>
                <a:srgbClr val="FF0000"/>
              </a:solidFill>
            </a:rPr>
            <a:t>別途入湯税</a:t>
          </a:r>
          <a:r>
            <a:rPr kumimoji="1" lang="en-US" altLang="ja-JP" sz="1100" b="1">
              <a:solidFill>
                <a:srgbClr val="FF0000"/>
              </a:solidFill>
            </a:rPr>
            <a:t>150</a:t>
          </a:r>
          <a:r>
            <a:rPr kumimoji="1" lang="ja-JP" altLang="en-US" sz="1100" b="1">
              <a:solidFill>
                <a:srgbClr val="FF0000"/>
              </a:solidFill>
            </a:rPr>
            <a:t>円</a:t>
          </a:r>
          <a:r>
            <a:rPr kumimoji="1" lang="en-US" altLang="ja-JP" sz="1100" b="1">
              <a:solidFill>
                <a:srgbClr val="FF0000"/>
              </a:solidFill>
            </a:rPr>
            <a:t>×213</a:t>
          </a:r>
          <a:r>
            <a:rPr kumimoji="1" lang="ja-JP" altLang="en-US" sz="1100" b="1">
              <a:solidFill>
                <a:srgbClr val="FF0000"/>
              </a:solidFill>
            </a:rPr>
            <a:t>名分かかります。</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30</xdr:col>
      <xdr:colOff>304800</xdr:colOff>
      <xdr:row>6</xdr:row>
      <xdr:rowOff>221673</xdr:rowOff>
    </xdr:from>
    <xdr:to>
      <xdr:col>30</xdr:col>
      <xdr:colOff>2466109</xdr:colOff>
      <xdr:row>8</xdr:row>
      <xdr:rowOff>124691</xdr:rowOff>
    </xdr:to>
    <xdr:sp macro="" textlink="">
      <xdr:nvSpPr>
        <xdr:cNvPr id="2" name="テキスト ボックス 1">
          <a:extLst>
            <a:ext uri="{FF2B5EF4-FFF2-40B4-BE49-F238E27FC236}">
              <a16:creationId xmlns:a16="http://schemas.microsoft.com/office/drawing/2014/main" id="{D71D5469-0C5D-4192-A4C9-6642D561BC92}"/>
            </a:ext>
          </a:extLst>
        </xdr:cNvPr>
        <xdr:cNvSpPr txBox="1"/>
      </xdr:nvSpPr>
      <xdr:spPr>
        <a:xfrm>
          <a:off x="31369000" y="2279073"/>
          <a:ext cx="2161309" cy="7539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別途入湯税＠</a:t>
          </a:r>
          <a:r>
            <a:rPr kumimoji="1" lang="en-US" altLang="ja-JP" sz="1100" b="1">
              <a:solidFill>
                <a:srgbClr val="FF0000"/>
              </a:solidFill>
            </a:rPr>
            <a:t>150</a:t>
          </a:r>
          <a:r>
            <a:rPr kumimoji="1" lang="ja-JP" altLang="en-US" sz="1100" b="1">
              <a:solidFill>
                <a:srgbClr val="FF0000"/>
              </a:solidFill>
            </a:rPr>
            <a:t>円がかかります。</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446314</xdr:colOff>
      <xdr:row>21</xdr:row>
      <xdr:rowOff>107043</xdr:rowOff>
    </xdr:from>
    <xdr:to>
      <xdr:col>7</xdr:col>
      <xdr:colOff>1582964</xdr:colOff>
      <xdr:row>25</xdr:row>
      <xdr:rowOff>81643</xdr:rowOff>
    </xdr:to>
    <xdr:sp macro="" textlink="">
      <xdr:nvSpPr>
        <xdr:cNvPr id="2" name="吹き出し: 円形 1">
          <a:extLst>
            <a:ext uri="{FF2B5EF4-FFF2-40B4-BE49-F238E27FC236}">
              <a16:creationId xmlns:a16="http://schemas.microsoft.com/office/drawing/2014/main" id="{A11EF749-4538-45E0-AC5E-A8239243F866}"/>
            </a:ext>
          </a:extLst>
        </xdr:cNvPr>
        <xdr:cNvSpPr/>
      </xdr:nvSpPr>
      <xdr:spPr>
        <a:xfrm>
          <a:off x="4519385" y="3590472"/>
          <a:ext cx="2179865" cy="627742"/>
        </a:xfrm>
        <a:prstGeom prst="wedgeEllipseCallout">
          <a:avLst>
            <a:gd name="adj1" fmla="val -29087"/>
            <a:gd name="adj2" fmla="val -77273"/>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アスリートミール対応朝食と通常朝食の差額は</a:t>
          </a:r>
          <a:r>
            <a:rPr kumimoji="1" lang="en-US" altLang="ja-JP" sz="900" b="1"/>
            <a:t>…</a:t>
          </a:r>
          <a:r>
            <a:rPr kumimoji="1" lang="ja-JP" altLang="en-US" sz="900" b="1"/>
            <a:t>？</a:t>
          </a:r>
        </a:p>
      </xdr:txBody>
    </xdr:sp>
    <xdr:clientData/>
  </xdr:twoCellAnchor>
  <xdr:twoCellAnchor>
    <xdr:from>
      <xdr:col>5</xdr:col>
      <xdr:colOff>469900</xdr:colOff>
      <xdr:row>66</xdr:row>
      <xdr:rowOff>156028</xdr:rowOff>
    </xdr:from>
    <xdr:to>
      <xdr:col>7</xdr:col>
      <xdr:colOff>215900</xdr:colOff>
      <xdr:row>68</xdr:row>
      <xdr:rowOff>108858</xdr:rowOff>
    </xdr:to>
    <xdr:sp macro="" textlink="">
      <xdr:nvSpPr>
        <xdr:cNvPr id="3" name="吹き出し: 円形 2">
          <a:extLst>
            <a:ext uri="{FF2B5EF4-FFF2-40B4-BE49-F238E27FC236}">
              <a16:creationId xmlns:a16="http://schemas.microsoft.com/office/drawing/2014/main" id="{24928B60-44AE-4BD5-BACA-A9DA29C6FF73}"/>
            </a:ext>
          </a:extLst>
        </xdr:cNvPr>
        <xdr:cNvSpPr/>
      </xdr:nvSpPr>
      <xdr:spPr>
        <a:xfrm>
          <a:off x="4542971" y="10261599"/>
          <a:ext cx="789215" cy="279402"/>
        </a:xfrm>
        <a:prstGeom prst="wedgeEllipseCallout">
          <a:avLst>
            <a:gd name="adj1" fmla="val -42796"/>
            <a:gd name="adj2" fmla="val 57343"/>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ysClr val="windowText" lastClr="000000"/>
              </a:solidFill>
            </a:rPr>
            <a:t>要求！</a:t>
          </a:r>
        </a:p>
      </xdr:txBody>
    </xdr:sp>
    <xdr:clientData/>
  </xdr:twoCellAnchor>
  <xdr:twoCellAnchor>
    <xdr:from>
      <xdr:col>8</xdr:col>
      <xdr:colOff>1910444</xdr:colOff>
      <xdr:row>53</xdr:row>
      <xdr:rowOff>162375</xdr:rowOff>
    </xdr:from>
    <xdr:to>
      <xdr:col>11</xdr:col>
      <xdr:colOff>272145</xdr:colOff>
      <xdr:row>57</xdr:row>
      <xdr:rowOff>136071</xdr:rowOff>
    </xdr:to>
    <xdr:sp macro="" textlink="">
      <xdr:nvSpPr>
        <xdr:cNvPr id="4" name="吹き出し: 円形 3">
          <a:extLst>
            <a:ext uri="{FF2B5EF4-FFF2-40B4-BE49-F238E27FC236}">
              <a16:creationId xmlns:a16="http://schemas.microsoft.com/office/drawing/2014/main" id="{923F243B-1B25-4BAF-AFD4-14757CD4753B}"/>
            </a:ext>
          </a:extLst>
        </xdr:cNvPr>
        <xdr:cNvSpPr/>
      </xdr:nvSpPr>
      <xdr:spPr>
        <a:xfrm>
          <a:off x="8904515" y="8598804"/>
          <a:ext cx="2080987" cy="635910"/>
        </a:xfrm>
        <a:prstGeom prst="wedgeEllipseCallout">
          <a:avLst>
            <a:gd name="adj1" fmla="val 38749"/>
            <a:gd name="adj2" fmla="val 51148"/>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ハラル完調品の調達費用</a:t>
          </a:r>
          <a:endParaRPr kumimoji="1" lang="en-US" altLang="ja-JP" sz="900" b="1"/>
        </a:p>
        <a:p>
          <a:pPr algn="l"/>
          <a:r>
            <a:rPr kumimoji="1" lang="ja-JP" altLang="en-US" sz="1100" b="1"/>
            <a:t>≠</a:t>
          </a:r>
          <a:r>
            <a:rPr kumimoji="1" lang="ja-JP" altLang="en-US" sz="900" b="1"/>
            <a:t>アスリートミール単価</a:t>
          </a:r>
        </a:p>
      </xdr:txBody>
    </xdr:sp>
    <xdr:clientData/>
  </xdr:twoCellAnchor>
  <xdr:twoCellAnchor>
    <xdr:from>
      <xdr:col>8</xdr:col>
      <xdr:colOff>988787</xdr:colOff>
      <xdr:row>60</xdr:row>
      <xdr:rowOff>44449</xdr:rowOff>
    </xdr:from>
    <xdr:to>
      <xdr:col>10</xdr:col>
      <xdr:colOff>54429</xdr:colOff>
      <xdr:row>63</xdr:row>
      <xdr:rowOff>143327</xdr:rowOff>
    </xdr:to>
    <xdr:sp macro="" textlink="">
      <xdr:nvSpPr>
        <xdr:cNvPr id="5" name="吹き出し: 円形 4">
          <a:extLst>
            <a:ext uri="{FF2B5EF4-FFF2-40B4-BE49-F238E27FC236}">
              <a16:creationId xmlns:a16="http://schemas.microsoft.com/office/drawing/2014/main" id="{7268A394-F017-4651-9049-7AECAB2D157B}"/>
            </a:ext>
          </a:extLst>
        </xdr:cNvPr>
        <xdr:cNvSpPr/>
      </xdr:nvSpPr>
      <xdr:spPr>
        <a:xfrm>
          <a:off x="7982858" y="9642020"/>
          <a:ext cx="2403928" cy="597807"/>
        </a:xfrm>
        <a:prstGeom prst="wedgeEllipseCallout">
          <a:avLst>
            <a:gd name="adj1" fmla="val -44171"/>
            <a:gd name="adj2" fmla="val 46926"/>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ハラル完調品以外でホテルが提供するメニューの費用は</a:t>
          </a:r>
          <a:r>
            <a:rPr kumimoji="1" lang="en-US" altLang="ja-JP" sz="900" b="1"/>
            <a:t>…</a:t>
          </a:r>
          <a:r>
            <a:rPr kumimoji="1" lang="ja-JP" altLang="en-US" sz="900" b="1"/>
            <a:t>？</a:t>
          </a:r>
        </a:p>
      </xdr:txBody>
    </xdr:sp>
    <xdr:clientData/>
  </xdr:twoCellAnchor>
  <xdr:twoCellAnchor>
    <xdr:from>
      <xdr:col>7</xdr:col>
      <xdr:colOff>1811086</xdr:colOff>
      <xdr:row>68</xdr:row>
      <xdr:rowOff>133402</xdr:rowOff>
    </xdr:from>
    <xdr:to>
      <xdr:col>8</xdr:col>
      <xdr:colOff>1459969</xdr:colOff>
      <xdr:row>70</xdr:row>
      <xdr:rowOff>29880</xdr:rowOff>
    </xdr:to>
    <xdr:sp macro="" textlink="">
      <xdr:nvSpPr>
        <xdr:cNvPr id="6" name="テキスト ボックス 5">
          <a:extLst>
            <a:ext uri="{FF2B5EF4-FFF2-40B4-BE49-F238E27FC236}">
              <a16:creationId xmlns:a16="http://schemas.microsoft.com/office/drawing/2014/main" id="{4E5CF2AE-A203-BC87-1E6E-7C9F75B7D520}"/>
            </a:ext>
          </a:extLst>
        </xdr:cNvPr>
        <xdr:cNvSpPr txBox="1"/>
      </xdr:nvSpPr>
      <xdr:spPr>
        <a:xfrm>
          <a:off x="6927372" y="11218688"/>
          <a:ext cx="1526668" cy="23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a:t>
          </a:r>
          <a:r>
            <a:rPr kumimoji="1" lang="ja-JP" altLang="en-US" sz="1100"/>
            <a:t>　</a:t>
          </a:r>
          <a:r>
            <a:rPr kumimoji="1" lang="en-US" altLang="ja-JP" sz="1400" b="1">
              <a:solidFill>
                <a:srgbClr val="FF0000"/>
              </a:solidFill>
            </a:rPr>
            <a:t>20,590</a:t>
          </a:r>
          <a:r>
            <a:rPr kumimoji="1" lang="ja-JP" altLang="en-US" sz="1400" b="1">
              <a:solidFill>
                <a:srgbClr val="FF0000"/>
              </a:solidFill>
            </a:rPr>
            <a:t>円　</a:t>
          </a:r>
          <a:r>
            <a:rPr kumimoji="1" lang="ja-JP" altLang="en-US" sz="1400" b="1"/>
            <a:t>→</a:t>
          </a:r>
          <a:endParaRPr kumimoji="1" lang="ja-JP" altLang="en-US" sz="1100" b="1"/>
        </a:p>
      </xdr:txBody>
    </xdr:sp>
    <xdr:clientData/>
  </xdr:twoCellAnchor>
  <xdr:twoCellAnchor>
    <xdr:from>
      <xdr:col>4</xdr:col>
      <xdr:colOff>72570</xdr:colOff>
      <xdr:row>71</xdr:row>
      <xdr:rowOff>63498</xdr:rowOff>
    </xdr:from>
    <xdr:to>
      <xdr:col>9</xdr:col>
      <xdr:colOff>852714</xdr:colOff>
      <xdr:row>72</xdr:row>
      <xdr:rowOff>90714</xdr:rowOff>
    </xdr:to>
    <xdr:grpSp>
      <xdr:nvGrpSpPr>
        <xdr:cNvPr id="9" name="グループ化 8">
          <a:extLst>
            <a:ext uri="{FF2B5EF4-FFF2-40B4-BE49-F238E27FC236}">
              <a16:creationId xmlns:a16="http://schemas.microsoft.com/office/drawing/2014/main" id="{8D250137-B241-872C-2888-E6548FE7AC93}"/>
            </a:ext>
          </a:extLst>
        </xdr:cNvPr>
        <xdr:cNvGrpSpPr/>
      </xdr:nvGrpSpPr>
      <xdr:grpSpPr>
        <a:xfrm>
          <a:off x="3773713" y="11820069"/>
          <a:ext cx="6477001" cy="190502"/>
          <a:chOff x="3791857" y="10368647"/>
          <a:chExt cx="5569859" cy="181428"/>
        </a:xfrm>
      </xdr:grpSpPr>
      <xdr:sp macro="" textlink="">
        <xdr:nvSpPr>
          <xdr:cNvPr id="7" name="右中かっこ 6">
            <a:extLst>
              <a:ext uri="{FF2B5EF4-FFF2-40B4-BE49-F238E27FC236}">
                <a16:creationId xmlns:a16="http://schemas.microsoft.com/office/drawing/2014/main" id="{A566B433-D80C-70ED-7092-2743569841C2}"/>
              </a:ext>
            </a:extLst>
          </xdr:cNvPr>
          <xdr:cNvSpPr/>
        </xdr:nvSpPr>
        <xdr:spPr>
          <a:xfrm rot="5400000">
            <a:off x="6513287" y="7647217"/>
            <a:ext cx="126999" cy="5569859"/>
          </a:xfrm>
          <a:prstGeom prst="righ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5485AACA-9DD0-A957-2070-90E11668751C}"/>
              </a:ext>
            </a:extLst>
          </xdr:cNvPr>
          <xdr:cNvSpPr/>
        </xdr:nvSpPr>
        <xdr:spPr>
          <a:xfrm>
            <a:off x="6132286" y="10377714"/>
            <a:ext cx="861787" cy="1723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1206501</xdr:colOff>
      <xdr:row>70</xdr:row>
      <xdr:rowOff>154215</xdr:rowOff>
    </xdr:from>
    <xdr:to>
      <xdr:col>8</xdr:col>
      <xdr:colOff>616858</xdr:colOff>
      <xdr:row>73</xdr:row>
      <xdr:rowOff>154215</xdr:rowOff>
    </xdr:to>
    <xdr:sp macro="" textlink="">
      <xdr:nvSpPr>
        <xdr:cNvPr id="10" name="テキスト ボックス 9">
          <a:extLst>
            <a:ext uri="{FF2B5EF4-FFF2-40B4-BE49-F238E27FC236}">
              <a16:creationId xmlns:a16="http://schemas.microsoft.com/office/drawing/2014/main" id="{C244E53B-92E4-36D6-F9E0-89F6FF24C470}"/>
            </a:ext>
          </a:extLst>
        </xdr:cNvPr>
        <xdr:cNvSpPr txBox="1"/>
      </xdr:nvSpPr>
      <xdr:spPr>
        <a:xfrm>
          <a:off x="6322787" y="10922001"/>
          <a:ext cx="1288142"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200" b="1"/>
            <a:t>24,690</a:t>
          </a:r>
          <a:r>
            <a:rPr kumimoji="1" lang="ja-JP" altLang="en-US" sz="1200" b="1"/>
            <a:t>円</a:t>
          </a:r>
          <a:endParaRPr kumimoji="1" lang="en-US" altLang="ja-JP" sz="1200" b="1"/>
        </a:p>
        <a:p>
          <a:pPr algn="ctr"/>
          <a:r>
            <a:rPr kumimoji="1" lang="en-US" altLang="ja-JP" sz="1100"/>
            <a:t>※</a:t>
          </a:r>
          <a:r>
            <a:rPr kumimoji="1" lang="ja-JP" altLang="en-US" sz="1100"/>
            <a:t>追加</a:t>
          </a:r>
          <a:r>
            <a:rPr kumimoji="1" lang="en-US" altLang="ja-JP" sz="1100"/>
            <a:t>3,690</a:t>
          </a:r>
          <a:r>
            <a:rPr kumimoji="1" lang="ja-JP" altLang="en-US" sz="1100"/>
            <a:t>円</a:t>
          </a:r>
        </a:p>
      </xdr:txBody>
    </xdr:sp>
    <xdr:clientData/>
  </xdr:twoCellAnchor>
  <xdr:twoCellAnchor>
    <xdr:from>
      <xdr:col>13</xdr:col>
      <xdr:colOff>406400</xdr:colOff>
      <xdr:row>66</xdr:row>
      <xdr:rowOff>156028</xdr:rowOff>
    </xdr:from>
    <xdr:to>
      <xdr:col>14</xdr:col>
      <xdr:colOff>361043</xdr:colOff>
      <xdr:row>68</xdr:row>
      <xdr:rowOff>108858</xdr:rowOff>
    </xdr:to>
    <xdr:sp macro="" textlink="">
      <xdr:nvSpPr>
        <xdr:cNvPr id="11" name="吹き出し: 円形 10">
          <a:extLst>
            <a:ext uri="{FF2B5EF4-FFF2-40B4-BE49-F238E27FC236}">
              <a16:creationId xmlns:a16="http://schemas.microsoft.com/office/drawing/2014/main" id="{EDACF6C0-A61D-08C1-BF9C-E190B0423682}"/>
            </a:ext>
          </a:extLst>
        </xdr:cNvPr>
        <xdr:cNvSpPr/>
      </xdr:nvSpPr>
      <xdr:spPr>
        <a:xfrm>
          <a:off x="14566900" y="8773885"/>
          <a:ext cx="789214" cy="279402"/>
        </a:xfrm>
        <a:prstGeom prst="wedgeEllipseCallout">
          <a:avLst>
            <a:gd name="adj1" fmla="val -42796"/>
            <a:gd name="adj2" fmla="val 57343"/>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ysClr val="windowText" lastClr="000000"/>
              </a:solidFill>
            </a:rPr>
            <a:t>要求！</a:t>
          </a:r>
        </a:p>
      </xdr:txBody>
    </xdr:sp>
    <xdr:clientData/>
  </xdr:twoCellAnchor>
  <xdr:twoCellAnchor>
    <xdr:from>
      <xdr:col>9</xdr:col>
      <xdr:colOff>696685</xdr:colOff>
      <xdr:row>67</xdr:row>
      <xdr:rowOff>47172</xdr:rowOff>
    </xdr:from>
    <xdr:to>
      <xdr:col>11</xdr:col>
      <xdr:colOff>208643</xdr:colOff>
      <xdr:row>69</xdr:row>
      <xdr:rowOff>0</xdr:rowOff>
    </xdr:to>
    <xdr:sp macro="" textlink="">
      <xdr:nvSpPr>
        <xdr:cNvPr id="12" name="吹き出し: 円形 11">
          <a:extLst>
            <a:ext uri="{FF2B5EF4-FFF2-40B4-BE49-F238E27FC236}">
              <a16:creationId xmlns:a16="http://schemas.microsoft.com/office/drawing/2014/main" id="{444E354F-880A-34B6-D712-55CA2DF48C44}"/>
            </a:ext>
          </a:extLst>
        </xdr:cNvPr>
        <xdr:cNvSpPr/>
      </xdr:nvSpPr>
      <xdr:spPr>
        <a:xfrm>
          <a:off x="10094685" y="10805886"/>
          <a:ext cx="827315" cy="288471"/>
        </a:xfrm>
        <a:prstGeom prst="wedgeEllipseCallout">
          <a:avLst>
            <a:gd name="adj1" fmla="val -42796"/>
            <a:gd name="adj2" fmla="val 57343"/>
          </a:avLst>
        </a:prstGeom>
        <a:solidFill>
          <a:srgbClr val="E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要求！</a:t>
          </a:r>
        </a:p>
      </xdr:txBody>
    </xdr:sp>
    <xdr:clientData/>
  </xdr:twoCellAnchor>
  <xdr:twoCellAnchor>
    <xdr:from>
      <xdr:col>10</xdr:col>
      <xdr:colOff>25400</xdr:colOff>
      <xdr:row>42</xdr:row>
      <xdr:rowOff>119743</xdr:rowOff>
    </xdr:from>
    <xdr:to>
      <xdr:col>11</xdr:col>
      <xdr:colOff>471715</xdr:colOff>
      <xdr:row>44</xdr:row>
      <xdr:rowOff>72571</xdr:rowOff>
    </xdr:to>
    <xdr:sp macro="" textlink="">
      <xdr:nvSpPr>
        <xdr:cNvPr id="13" name="吹き出し: 円形 12">
          <a:extLst>
            <a:ext uri="{FF2B5EF4-FFF2-40B4-BE49-F238E27FC236}">
              <a16:creationId xmlns:a16="http://schemas.microsoft.com/office/drawing/2014/main" id="{0AE662B2-68F6-22B6-D383-1C90B0D340CD}"/>
            </a:ext>
          </a:extLst>
        </xdr:cNvPr>
        <xdr:cNvSpPr/>
      </xdr:nvSpPr>
      <xdr:spPr>
        <a:xfrm>
          <a:off x="10357757" y="6741886"/>
          <a:ext cx="827315" cy="288471"/>
        </a:xfrm>
        <a:prstGeom prst="wedgeEllipseCallout">
          <a:avLst>
            <a:gd name="adj1" fmla="val -42796"/>
            <a:gd name="adj2" fmla="val 57343"/>
          </a:avLst>
        </a:prstGeom>
        <a:solidFill>
          <a:srgbClr val="EE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t>要求！</a:t>
          </a:r>
        </a:p>
      </xdr:txBody>
    </xdr:sp>
    <xdr:clientData/>
  </xdr:twoCellAnchor>
  <xdr:twoCellAnchor>
    <xdr:from>
      <xdr:col>5</xdr:col>
      <xdr:colOff>524329</xdr:colOff>
      <xdr:row>34</xdr:row>
      <xdr:rowOff>110671</xdr:rowOff>
    </xdr:from>
    <xdr:to>
      <xdr:col>7</xdr:col>
      <xdr:colOff>270329</xdr:colOff>
      <xdr:row>36</xdr:row>
      <xdr:rowOff>54430</xdr:rowOff>
    </xdr:to>
    <xdr:sp macro="" textlink="">
      <xdr:nvSpPr>
        <xdr:cNvPr id="14" name="吹き出し: 円形 13">
          <a:extLst>
            <a:ext uri="{FF2B5EF4-FFF2-40B4-BE49-F238E27FC236}">
              <a16:creationId xmlns:a16="http://schemas.microsoft.com/office/drawing/2014/main" id="{DA8B5A13-2824-BF55-8E23-13E0EB0D02CB}"/>
            </a:ext>
          </a:extLst>
        </xdr:cNvPr>
        <xdr:cNvSpPr/>
      </xdr:nvSpPr>
      <xdr:spPr>
        <a:xfrm>
          <a:off x="4597400" y="5734957"/>
          <a:ext cx="789215" cy="279402"/>
        </a:xfrm>
        <a:prstGeom prst="wedgeEllipseCallout">
          <a:avLst>
            <a:gd name="adj1" fmla="val -42796"/>
            <a:gd name="adj2" fmla="val 57343"/>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ysClr val="windowText" lastClr="000000"/>
              </a:solidFill>
            </a:rPr>
            <a:t>要求！</a:t>
          </a:r>
        </a:p>
      </xdr:txBody>
    </xdr:sp>
    <xdr:clientData/>
  </xdr:twoCellAnchor>
  <xdr:twoCellAnchor>
    <xdr:from>
      <xdr:col>5</xdr:col>
      <xdr:colOff>524329</xdr:colOff>
      <xdr:row>42</xdr:row>
      <xdr:rowOff>110672</xdr:rowOff>
    </xdr:from>
    <xdr:to>
      <xdr:col>7</xdr:col>
      <xdr:colOff>270329</xdr:colOff>
      <xdr:row>44</xdr:row>
      <xdr:rowOff>54431</xdr:rowOff>
    </xdr:to>
    <xdr:sp macro="" textlink="">
      <xdr:nvSpPr>
        <xdr:cNvPr id="15" name="吹き出し: 円形 14">
          <a:extLst>
            <a:ext uri="{FF2B5EF4-FFF2-40B4-BE49-F238E27FC236}">
              <a16:creationId xmlns:a16="http://schemas.microsoft.com/office/drawing/2014/main" id="{E33C5355-6C0A-75A9-E7C3-D74B4123960A}"/>
            </a:ext>
          </a:extLst>
        </xdr:cNvPr>
        <xdr:cNvSpPr/>
      </xdr:nvSpPr>
      <xdr:spPr>
        <a:xfrm>
          <a:off x="4597400" y="6732815"/>
          <a:ext cx="789215" cy="279402"/>
        </a:xfrm>
        <a:prstGeom prst="wedgeEllipseCallout">
          <a:avLst>
            <a:gd name="adj1" fmla="val -42796"/>
            <a:gd name="adj2" fmla="val 57343"/>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ysClr val="windowText" lastClr="000000"/>
              </a:solidFill>
            </a:rPr>
            <a:t>要求！</a:t>
          </a:r>
        </a:p>
      </xdr:txBody>
    </xdr:sp>
    <xdr:clientData/>
  </xdr:twoCellAnchor>
  <xdr:twoCellAnchor>
    <xdr:from>
      <xdr:col>4</xdr:col>
      <xdr:colOff>36285</xdr:colOff>
      <xdr:row>46</xdr:row>
      <xdr:rowOff>90713</xdr:rowOff>
    </xdr:from>
    <xdr:to>
      <xdr:col>10</xdr:col>
      <xdr:colOff>281214</xdr:colOff>
      <xdr:row>49</xdr:row>
      <xdr:rowOff>36285</xdr:rowOff>
    </xdr:to>
    <xdr:grpSp>
      <xdr:nvGrpSpPr>
        <xdr:cNvPr id="16" name="グループ化 15">
          <a:extLst>
            <a:ext uri="{FF2B5EF4-FFF2-40B4-BE49-F238E27FC236}">
              <a16:creationId xmlns:a16="http://schemas.microsoft.com/office/drawing/2014/main" id="{E22268F7-10C0-413D-AE4D-961B78F85C68}"/>
            </a:ext>
          </a:extLst>
        </xdr:cNvPr>
        <xdr:cNvGrpSpPr/>
      </xdr:nvGrpSpPr>
      <xdr:grpSpPr>
        <a:xfrm>
          <a:off x="3737428" y="7710713"/>
          <a:ext cx="6876143" cy="435429"/>
          <a:chOff x="3791857" y="10368647"/>
          <a:chExt cx="5569859" cy="181428"/>
        </a:xfrm>
      </xdr:grpSpPr>
      <xdr:sp macro="" textlink="">
        <xdr:nvSpPr>
          <xdr:cNvPr id="17" name="右中かっこ 16">
            <a:extLst>
              <a:ext uri="{FF2B5EF4-FFF2-40B4-BE49-F238E27FC236}">
                <a16:creationId xmlns:a16="http://schemas.microsoft.com/office/drawing/2014/main" id="{5759BBE7-4259-5BCE-B1A6-62903F040AFF}"/>
              </a:ext>
            </a:extLst>
          </xdr:cNvPr>
          <xdr:cNvSpPr/>
        </xdr:nvSpPr>
        <xdr:spPr>
          <a:xfrm rot="5400000">
            <a:off x="6513287" y="7647217"/>
            <a:ext cx="126999" cy="5569859"/>
          </a:xfrm>
          <a:prstGeom prst="rightBrace">
            <a:avLst/>
          </a:prstGeom>
          <a:ln w="28575">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sp macro="" textlink="">
        <xdr:nvSpPr>
          <xdr:cNvPr id="18" name="正方形/長方形 17">
            <a:extLst>
              <a:ext uri="{FF2B5EF4-FFF2-40B4-BE49-F238E27FC236}">
                <a16:creationId xmlns:a16="http://schemas.microsoft.com/office/drawing/2014/main" id="{595D5EE5-3041-544F-1FC7-65D63B328FEA}"/>
              </a:ext>
            </a:extLst>
          </xdr:cNvPr>
          <xdr:cNvSpPr/>
        </xdr:nvSpPr>
        <xdr:spPr>
          <a:xfrm>
            <a:off x="6132286" y="10377714"/>
            <a:ext cx="861787" cy="17236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1832428</xdr:colOff>
      <xdr:row>43</xdr:row>
      <xdr:rowOff>126999</xdr:rowOff>
    </xdr:from>
    <xdr:to>
      <xdr:col>8</xdr:col>
      <xdr:colOff>1481311</xdr:colOff>
      <xdr:row>45</xdr:row>
      <xdr:rowOff>23477</xdr:rowOff>
    </xdr:to>
    <xdr:sp macro="" textlink="">
      <xdr:nvSpPr>
        <xdr:cNvPr id="20" name="テキスト ボックス 19">
          <a:extLst>
            <a:ext uri="{FF2B5EF4-FFF2-40B4-BE49-F238E27FC236}">
              <a16:creationId xmlns:a16="http://schemas.microsoft.com/office/drawing/2014/main" id="{97459BC7-7ED9-4813-8533-6EC76A81F747}"/>
            </a:ext>
          </a:extLst>
        </xdr:cNvPr>
        <xdr:cNvSpPr txBox="1"/>
      </xdr:nvSpPr>
      <xdr:spPr>
        <a:xfrm>
          <a:off x="6948714" y="7238999"/>
          <a:ext cx="1526668" cy="23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a:t>
          </a:r>
          <a:r>
            <a:rPr kumimoji="1" lang="ja-JP" altLang="en-US" sz="1100"/>
            <a:t>　</a:t>
          </a:r>
          <a:r>
            <a:rPr kumimoji="1" lang="en-US" altLang="ja-JP" sz="1400" b="1">
              <a:solidFill>
                <a:srgbClr val="FF0000"/>
              </a:solidFill>
            </a:rPr>
            <a:t>22,104</a:t>
          </a:r>
          <a:r>
            <a:rPr kumimoji="1" lang="ja-JP" altLang="en-US" sz="1400" b="1">
              <a:solidFill>
                <a:srgbClr val="FF0000"/>
              </a:solidFill>
            </a:rPr>
            <a:t>円　</a:t>
          </a:r>
          <a:r>
            <a:rPr kumimoji="1" lang="ja-JP" altLang="en-US" sz="1400" b="1"/>
            <a:t>→</a:t>
          </a:r>
          <a:endParaRPr kumimoji="1" lang="ja-JP" altLang="en-US" sz="1100" b="1"/>
        </a:p>
      </xdr:txBody>
    </xdr:sp>
    <xdr:clientData/>
  </xdr:twoCellAnchor>
  <xdr:twoCellAnchor>
    <xdr:from>
      <xdr:col>7</xdr:col>
      <xdr:colOff>1406070</xdr:colOff>
      <xdr:row>46</xdr:row>
      <xdr:rowOff>36286</xdr:rowOff>
    </xdr:from>
    <xdr:to>
      <xdr:col>8</xdr:col>
      <xdr:colOff>816427</xdr:colOff>
      <xdr:row>49</xdr:row>
      <xdr:rowOff>45357</xdr:rowOff>
    </xdr:to>
    <xdr:sp macro="" textlink="">
      <xdr:nvSpPr>
        <xdr:cNvPr id="21" name="テキスト ボックス 20">
          <a:extLst>
            <a:ext uri="{FF2B5EF4-FFF2-40B4-BE49-F238E27FC236}">
              <a16:creationId xmlns:a16="http://schemas.microsoft.com/office/drawing/2014/main" id="{5B4DA8D6-CCDA-4987-AF4D-4ED5EB833870}"/>
            </a:ext>
          </a:extLst>
        </xdr:cNvPr>
        <xdr:cNvSpPr txBox="1"/>
      </xdr:nvSpPr>
      <xdr:spPr>
        <a:xfrm>
          <a:off x="6522356" y="7656286"/>
          <a:ext cx="1288142" cy="498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200" b="1"/>
            <a:t>26,204</a:t>
          </a:r>
          <a:r>
            <a:rPr kumimoji="1" lang="ja-JP" altLang="en-US" sz="1200" b="1"/>
            <a:t>円</a:t>
          </a:r>
          <a:endParaRPr kumimoji="1" lang="en-US" altLang="ja-JP" sz="1200" b="1"/>
        </a:p>
        <a:p>
          <a:pPr algn="ctr"/>
          <a:r>
            <a:rPr kumimoji="1" lang="en-US" altLang="ja-JP" sz="1100"/>
            <a:t>※</a:t>
          </a:r>
          <a:r>
            <a:rPr kumimoji="1" lang="ja-JP" altLang="en-US" sz="1100"/>
            <a:t>追加</a:t>
          </a:r>
          <a:r>
            <a:rPr kumimoji="1" lang="en-US" altLang="ja-JP" sz="1100"/>
            <a:t>5,204</a:t>
          </a:r>
          <a:r>
            <a:rPr kumimoji="1" lang="ja-JP" altLang="en-US" sz="1100"/>
            <a:t>円</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5558N0085\Downloads\&#12304;20250501&#20462;&#27491;&#28168;&#12415;&#12305;&#21029;&#32025;1&#21450;&#12403;&#21029;&#34920;_&#26481;&#27178;INN&#20013;&#37096;&#22269;&#38555;&#31354;&#28207;&#8545;.xlsx" TargetMode="External"/><Relationship Id="rId1" Type="http://schemas.openxmlformats.org/officeDocument/2006/relationships/externalLinkPath" Target="https://ainagoc2026.sharepoint.com/Users/U5558N0085/Downloads/&#12304;20250501&#20462;&#27491;&#28168;&#12415;&#12305;&#21029;&#32025;1&#21450;&#12403;&#21029;&#34920;_&#26481;&#27178;INN&#20013;&#37096;&#22269;&#38555;&#31354;&#28207;&#854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ato-pc5-2\d\&#9734;&#31481;&#30000;&#36991;&#38627;\&#9733;&#23550;&#24540;&#29289;&#20214;\2019&#24180;&#24230;(82)\&#23546;&#19979;_&#12450;&#12472;&#12450;&#22823;&#20250;&#36015;&#30041;\MVP\&#12467;&#12500;&#12540;MVP-&#31309;-Ver3_9.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6%20&#12388;&#12414;&#24651;&#12522;&#12478;&#12540;&#12488;&#24425;&#12398;&#37111;/&#12502;&#12525;&#12483;&#12463;&#12503;&#12521;&#12531;%20&amp;%20&#25552;&#20379;&#23458;&#23460;&#25968;/&#65308;&#12510;&#12473;&#12479;&#12540;&#65310;&#22865;&#32004;&#32224;&#32080;&#12395;&#20418;&#12427;&#23487;&#27850;&#26045;&#35373;&#35370;&#21839;&#31561;&#35352;&#37682;v4.7.xlsm"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6%20&#12388;&#12414;&#24651;&#12522;&#12478;&#12540;&#12488;&#24425;&#12398;&#37111;/&#12502;&#12525;&#12483;&#12463;&#12503;&#12521;&#12531;%20&amp;%20&#25552;&#20379;&#23458;&#23460;&#25968;/&#65308;&#12510;&#12473;&#12479;&#12540;&#65310;&#22865;&#32004;&#32224;&#32080;&#12395;&#20418;&#12427;&#23487;&#27850;&#26045;&#35373;&#35370;&#21839;&#31561;&#35352;&#37682;v4.7.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ile:///C:\Users\nagoya4606\Desktop\Downloads\&#26410;&#36865;&#20449;&#12304;20250328&#12305;&#21029;&#32025;1&#21450;&#12403;&#21029;&#34920;_&#24179;&#37326;&#23627;.xlsx" TargetMode="External"/><Relationship Id="rId2" Type="http://schemas.microsoft.com/office/2019/04/relationships/externalLinkLong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52&#26666;&#24335;&#20250;&#31038;&#24179;&#37326;&#23627;/20250428_&#35370;&#21839;&#65288;&#22865;&#32004;&#26360;&#12289;&#12524;&#12452;&#12450;&#12454;&#12488;&#12503;&#12521;&#12531;&#65289;/20250422_&#20107;&#21069;&#12398;&#12420;&#12426;&#12392;&#12426;&#65288;JTB)/03&#12288;&#32068;&#32340;&#22996;&#21729;&#20250;&#8658;JTB&#65288;&#20837;&#28271;&#31246;&#12394;&#12375;&#65289;/&#12304;20250423&#12305;&#36865;&#20449;_&#22522;&#26412;&#22865;&#32004;&#26360;&#19968;&#24335;_&#24179;&#37326;&#23627;/Downloads/&#26410;&#36865;&#20449;&#12304;20250328&#12305;&#21029;&#32025;1&#21450;&#12403;&#21029;&#34920;_&#24179;&#37326;&#23627;.xlsx?F157E3A0" TargetMode="External"/><Relationship Id="rId1" Type="http://schemas.openxmlformats.org/officeDocument/2006/relationships/externalLinkPath" Target="file:///\\F157E3A0\&#26410;&#36865;&#20449;&#12304;20250328&#12305;&#21029;&#32025;1&#21450;&#12403;&#21029;&#34920;_&#24179;&#37326;&#236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26494;&#26412;&#33521;&#26391;\Downloads\20250425&#12288;&#21029;&#32025;1&#21450;&#12403;&#21029;&#34920;_&#12523;&#12540;&#12488;&#12452;&#12531;&#12464;&#12521;&#12531;&#12486;&#12451;&#12450;&#23567;&#29287;&#27096;.xlsx" TargetMode="External"/><Relationship Id="rId1" Type="http://schemas.openxmlformats.org/officeDocument/2006/relationships/externalLinkPath" Target="https://ainagoc2026-my.sharepoint.com/Users/&#26494;&#26412;&#33521;&#26391;/Downloads/20250425&#12288;&#21029;&#32025;1&#21450;&#12403;&#21029;&#34920;_&#12523;&#12540;&#12488;&#12452;&#12531;&#12464;&#12521;&#12531;&#12486;&#12451;&#12450;&#23567;&#29287;&#27096;.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1021&#12467;&#12540;&#12488;&#12516;&#12540;&#12489;&#12496;&#12452;&#12510;&#12522;&#12458;&#12483;&#12488;&#21517;&#21476;&#23627;/&#22865;&#32004;&#26360;/0602&#30906;&#23450;&#29256;/&#12304;&#20877;&#20462;&#27491;20250603&#65288;&#31246;&#36796;&#12415;&#27396;&#20316;&#25104;&#65289;&#12305;&#21029;&#32025;1&#21450;&#12403;&#21029;&#34920;_&#12467;&#12540;&#12488;&#12516;&#12540;&#12489;&#12496;&#12452;&#12510;&#12522;&#12458;&#12483;&#12488;.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1021&#12467;&#12540;&#12488;&#12516;&#12540;&#12489;&#12496;&#12452;&#12510;&#12522;&#12458;&#12483;&#12488;&#21517;&#21476;&#23627;/&#22865;&#32004;&#26360;/0602&#30906;&#23450;&#29256;/&#12304;&#20877;&#20462;&#27491;20250603&#65288;&#31246;&#36796;&#12415;&#27396;&#20316;&#25104;&#65289;&#12305;&#21029;&#32025;1&#21450;&#12403;&#21029;&#34920;_&#12467;&#12540;&#12488;&#12516;&#12540;&#12489;&#12496;&#12452;&#12510;&#12522;&#12458;&#12483;&#12488;.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040%20&#21517;&#21476;&#23627;&#12510;&#12522;&#12458;&#12483;&#12488;&#12450;&#12477;&#12471;&#12450;&#12507;&#12486;&#12523;/&#9733;&#20104;&#31639;&#22519;&#34892;&#38306;&#20418;/20250502&#35211;&#31309;JTB&#12424;&#12426;/&#12304;20250501&#20316;&#25104;&#12305;&#21029;&#32025;1&#21450;&#12403;&#21029;&#34920;_&#21517;&#21476;&#23627;&#12510;&#12522;&#12458;&#12483;&#12488;&#12450;&#12477;&#12471;&#12450;&#12507;&#12486;&#12523;&#27096;%20.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040%20&#21517;&#21476;&#23627;&#12510;&#12522;&#12458;&#12483;&#12488;&#12450;&#12477;&#12471;&#12450;&#12507;&#12486;&#12523;/&#9733;&#20104;&#31639;&#22519;&#34892;&#38306;&#20418;/20250502&#35211;&#31309;JTB&#12424;&#12426;/&#12304;20250501&#20316;&#25104;&#12305;&#21029;&#32025;1&#21450;&#12403;&#21029;&#34920;_&#21517;&#21476;&#23627;&#12510;&#12522;&#12458;&#12483;&#12488;&#12450;&#12477;&#12471;&#12450;&#12507;&#12486;&#12523;&#27096;%20.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nagoya4606\Desktop\Downloads\&#12304;20250318_AINAGOC&#22793;&#26356;&#65288;&#31246;&#36796;&#12415;&#27396;&#20316;&#25104;&#65289;&#12305;&#21029;&#32025;1&#21450;&#12403;&#21029;&#34920;_&#9675;&#9675;&#9675;&#9675;&#12507;&#12486;&#12523;.xlsx" TargetMode="External"/><Relationship Id="rId1" Type="http://schemas.openxmlformats.org/officeDocument/2006/relationships/externalLinkPath" Target="https://api.box.com/wopi/files/1840459513366/WOPIServiceId_TP_BOX_2/WOPIUserId_-/&#12304;20250318_AINAGOC&#22793;&#26356;&#65288;&#31246;&#36796;&#12415;&#27396;&#20316;&#25104;&#65289;&#12305;&#21029;&#32025;1&#21450;&#12403;&#21029;&#34920;_&#9675;&#9675;&#9675;&#9675;&#12507;&#12486;&#12523;.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105ANA&#12463;&#12521;&#12454;&#12531;&#12503;&#12521;&#12470;&#12507;&#12486;&#12523;&#12464;&#12521;&#12531;&#12467;&#12540;&#12488;&#21517;&#21476;&#23627;/&#9733;&#20104;&#31639;&#22519;&#34892;&#38306;&#20418;/&#12507;&#12486;&#12523;&#12363;&#12425;&#21463;&#38936;&#12304;20250424_&#21029;&#32025;1&#21450;&#12403;&#21029;&#34920;_ANA&#12463;&#12521;&#12454;&#12531;&#12503;&#12521;&#12470;&#12464;&#12521;&#12531;&#12467;&#12540;&#12488;&#21517;&#21476;&#23627;.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105ANA&#12463;&#12521;&#12454;&#12531;&#12503;&#12521;&#12470;&#12507;&#12486;&#12523;&#12464;&#12521;&#12531;&#12467;&#12540;&#12488;&#21517;&#21476;&#23627;/&#9733;&#20104;&#31639;&#22519;&#34892;&#38306;&#20418;/&#12507;&#12486;&#12523;&#12363;&#12425;&#21463;&#38936;&#12304;20250424_&#21029;&#32025;1&#21450;&#12403;&#21029;&#34920;_ANA&#12463;&#12521;&#12454;&#12531;&#12503;&#12521;&#12470;&#12464;&#12521;&#12531;&#12467;&#12540;&#12488;&#21517;&#21476;&#23627;.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26494;&#26412;&#33521;&#26391;\Downloads\&#12304;20250509&#25552;&#20986;&#12305;&#21029;&#32025;1&#21450;&#12403;&#21029;&#34920;_&#12450;&#12497;&#12507;&#12486;&#12523;&#21517;&#21476;&#23627;&#26628;&#39365;&#21069;EXCELENT.xlsx" TargetMode="External"/><Relationship Id="rId1" Type="http://schemas.openxmlformats.org/officeDocument/2006/relationships/externalLinkPath" Target="https://ainagoc2026-my.sharepoint.com/Users/&#26494;&#26412;&#33521;&#26391;/Downloads/&#12304;20250509&#25552;&#20986;&#12305;&#21029;&#32025;1&#21450;&#12403;&#21029;&#34920;_&#12450;&#12497;&#12507;&#12486;&#12523;&#21517;&#21476;&#23627;&#26628;&#39365;&#21069;EXCELENT.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121_&#21517;&#21476;&#23627;&#26481;&#24613;&#12507;&#12486;&#12523;&#12288;25&#24180;3&#26376;12&#26085;&#21463;&#38936;&#65288;&#35211;&#31309;&#65291;&#12501;&#12525;&#12450;&#12503;&#12521;&#12531;&#65289;/2025.3.10&#21029;&#32025;1&#21450;&#12403;&#21029;&#34920;_&#21517;&#21476;&#23627;&#26481;&#24613;&#12507;&#12486;&#12523;&#27096;.xlsx" TargetMode="External"/><Relationship Id="rId1"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121_&#21517;&#21476;&#23627;&#26481;&#24613;&#12507;&#12486;&#12523;&#12288;25&#24180;3&#26376;12&#26085;&#21463;&#38936;&#65288;&#35211;&#31309;&#65291;&#12501;&#12525;&#12450;&#12503;&#12521;&#12531;&#65289;/2025.3.10&#21029;&#32025;1&#21450;&#12403;&#21029;&#34920;_&#21517;&#21476;&#23627;&#26481;&#24613;&#12507;&#12486;&#12523;&#27096;.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26494;&#26412;&#33521;&#26391;\Desktop\&#12304;20250403&#20316;&#25104;&#12305;&#21029;&#32025;1&#21450;&#12403;&#21029;&#34920;_&#12507;&#12486;&#12523;JAL&#12471;&#12486;&#12451;&#21517;&#21476;&#23627;&#37670;&#12288;&#27096;.xlsx" TargetMode="External"/><Relationship Id="rId1" Type="http://schemas.openxmlformats.org/officeDocument/2006/relationships/externalLinkPath" Target="https://ainagoc2026-my.sharepoint.com/Users/&#26494;&#26412;&#33521;&#26391;/Desktop/&#12304;20250403&#20316;&#25104;&#12305;&#21029;&#32025;1&#21450;&#12403;&#21029;&#34920;_&#12507;&#12486;&#12523;JAL&#12471;&#12486;&#12451;&#21517;&#21476;&#23627;&#37670;&#12288;&#27096;.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167&#12464;&#12522;&#12540;&#12531;&#12522;&#12483;&#12481;&#12507;&#12486;&#12523;&#21517;&#21476;&#23627;&#37670;/20250411_&#12497;&#12521;&#22865;&#32004;&#12398;&#12383;&#12417;&#12398;&#35370;&#21839;&#65288;&#35211;&#31309;&#12418;&#12426;&#12456;&#12463;&#12475;&#12523;&#12354;&#12426;&#65289;/20250411_&#12464;&#12522;&#12540;&#12531;&#12522;&#12483;&#12481;&#24403;&#26085;&#25345;&#21442;&#36039;&#26009;/JTB&#12364;&#25345;&#21442;&#12377;&#12427;&#12418;&#12398;&#65288;P&#12539;B&#65289;/&#12304;20250407&#12305;&#21029;&#32025;1&#21450;&#12403;&#21029;&#34920;_&#12464;&#12522;&#12540;&#12531;&#12522;&#12483;&#12481;&#12507;&#12486;&#12523;&#21517;&#21476;&#23627;&#37670;%20(1).xlsx" TargetMode="External"/><Relationship Id="rId2" Type="http://schemas.microsoft.com/office/2019/04/relationships/externalLinkLong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167&#12464;&#12522;&#12540;&#12531;&#12522;&#12483;&#12481;&#12507;&#12486;&#12523;&#21517;&#21476;&#23627;&#37670;/20250411_&#12497;&#12521;&#22865;&#32004;&#12398;&#12383;&#12417;&#12398;&#35370;&#21839;&#65288;&#35211;&#31309;&#12418;&#12426;&#12456;&#12463;&#12475;&#12523;&#12354;&#12426;&#65289;/20250411_&#12464;&#12522;&#12540;&#12531;&#12522;&#12483;&#12481;&#24403;&#26085;&#25345;&#21442;&#36039;&#26009;/JTB&#12364;&#25345;&#21442;&#12377;&#12427;&#12418;&#12398;&#65288;P&#12539;B&#65289;/&#12304;20250407&#12305;&#21029;&#32025;1&#21450;&#12403;&#21029;&#34920;_&#12464;&#12522;&#12540;&#12531;&#12522;&#12483;&#12481;&#12507;&#12486;&#12523;&#21517;&#21476;&#23627;&#37670;%20(1).xlsx?FE61548F" TargetMode="External"/><Relationship Id="rId1" Type="http://schemas.openxmlformats.org/officeDocument/2006/relationships/externalLinkPath" Target="file:///\\FE61548F\&#12304;20250407&#12305;&#21029;&#32025;1&#21450;&#12403;&#21029;&#34920;_&#12464;&#12522;&#12540;&#12531;&#12522;&#12483;&#12481;&#12507;&#12486;&#12523;&#21517;&#21476;&#23627;&#37670;%20(1).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01&#20840;&#12488;&#12520;&#12479;&#21172;&#36899;&#30740;&#20462;&#12475;&#12531;&#12479;&#12540;&#12388;&#12393;&#12356;&#12398;&#19992;/&#9733;&#20104;&#31639;&#22519;&#34892;/20250430%20%20&#21029;&#32025;1&#21450;&#12403;&#21029;&#34920;&#65288;&#20840;&#12488;&#12520;&#12479;&#21172;&#36899;&#30740;&#20462;&#12475;&#12531;&#12479;&#12540;%20&#12388;&#12393;&#12356;&#12398;&#19992;&#27096;&#65289;.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01&#20840;&#12488;&#12520;&#12479;&#21172;&#36899;&#30740;&#20462;&#12475;&#12531;&#12479;&#12540;&#12388;&#12393;&#12356;&#12398;&#19992;/&#9733;&#20104;&#31639;&#22519;&#34892;/20250430%20%20&#21029;&#32025;1&#21450;&#12403;&#21029;&#34920;&#65288;&#20840;&#12488;&#12520;&#12479;&#21172;&#36899;&#30740;&#20462;&#12475;&#12531;&#12479;&#12540;%20&#12388;&#12393;&#12356;&#12398;&#19992;&#27096;&#65289;.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26494;&#26412;&#33521;&#26391;\Downloads\&#26085;&#20184;&#22793;&#26356;&#20206;&#12304;20250403&#20316;&#25104;_&#31246;&#36796;&#12354;&#12426;_&#21029;&#32025;1&#21450;&#12403;&#21029;&#34920;_&#21517;&#37444;&#12488;&#12520;&#12479;&#12507;&#12486;&#12523;.xlsx" TargetMode="External"/><Relationship Id="rId1" Type="http://schemas.openxmlformats.org/officeDocument/2006/relationships/externalLinkPath" Target="https://ainagoc2026-my.sharepoint.com/Users/&#26494;&#26412;&#33521;&#26391;/Downloads/&#26085;&#20184;&#22793;&#26356;&#20206;&#12304;20250403&#20316;&#25104;_&#31246;&#36796;&#12354;&#12426;_&#21029;&#32025;1&#21450;&#12403;&#21029;&#34920;_&#21517;&#37444;&#12488;&#12520;&#12479;&#12507;&#12486;&#12523;.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26494;&#26412;&#33521;&#26391;\Downloads\&#20462;&#27491;2&#12304;20250425&#20316;&#25104;&#12305;&#21029;&#32025;1&#21450;&#12403;&#21029;&#34920;_&#26481;&#27178;INN&#19977;&#27827;&#23433;&#22478;&#39365;&#26032;&#24185;&#32218;&#21335;&#21475;2.xlsx" TargetMode="External"/><Relationship Id="rId1" Type="http://schemas.openxmlformats.org/officeDocument/2006/relationships/externalLinkPath" Target="https://ainagoc2026-my.sharepoint.com/Users/&#26494;&#26412;&#33521;&#26391;/Downloads/&#20462;&#27491;2&#12304;20250425&#20316;&#25104;&#12305;&#21029;&#32025;1&#21450;&#12403;&#21029;&#34920;_&#26481;&#27178;INN&#19977;&#27827;&#23433;&#22478;&#39365;&#26032;&#24185;&#32218;&#21335;&#21475;2.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U5558N0184\Downloads\&#21029;&#32025;1&#21450;&#12403;&#21029;&#32025;4_&#9675;&#9675;&#9675;&#9675;&#12507;&#12486;&#12523;.xlsx" TargetMode="External"/><Relationship Id="rId1" Type="http://schemas.openxmlformats.org/officeDocument/2006/relationships/externalLinkPath" Target="https://api.box.com/wopi/files/1751177551088/WOPIServiceId_TP_BOX_2/WOPIUserId_-/&#21029;&#32025;1&#21450;&#12403;&#21029;&#32025;4_&#9675;&#9675;&#9675;&#9675;&#12507;&#12486;&#1252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ainagoc2026.sharepoint.com/Users/000_010751/Downloads/20250206_&#12304;&#36039;&#26009;&#19968;&#24335;&#12305;&#12507;&#12486;&#12523;&#12464;&#12521;&#12531;&#12489;&#12486;&#12451;&#12450;&#12521;&#21335;&#21517;&#21476;&#23627;&#27096;/02_&#21029;&#32025;1&#21450;&#12403;&#21029;&#34920;_&#12507;&#12486;&#12523;&#12464;&#12521;&#12531;&#12489;&#12486;&#12451;&#12450;&#12521;&#21335;&#21517;&#21476;&#23627;&#27096;&#65288;&#12501;&#12449;&#12531;&#12463;&#12471;&#12519;&#12531;&#12523;&#12540;&#12512;&#65289;.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223_&#12489;&#12540;&#12511;&#12540;&#12452;&#12531;&#19977;&#27827;&#23433;&#22478;&#12288;&#9312;20250407&#20316;&#25104;&#21029;&#32025;1&#21450;&#12403;&#21029;&#34920;&#22825;&#28982;&#28201;&#27849;%20&#19977;&#24030;&#12398;&#28271;&#12288;&#12489;&#12540;&#12511;&#12540;&#12452;&#12531;EXPRESS&#19977;&#27827;&#23433;&#22478;&#27096;_1880305050.xlsx" TargetMode="External"/><Relationship Id="rId1"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223_&#12489;&#12540;&#12511;&#12540;&#12452;&#12531;&#19977;&#27827;&#23433;&#22478;&#12288;&#9312;20250407&#20316;&#25104;&#21029;&#32025;1&#21450;&#12403;&#21029;&#34920;&#22825;&#28982;&#28201;&#27849;%20&#19977;&#24030;&#12398;&#28271;&#12288;&#12489;&#12540;&#12511;&#12540;&#12452;&#12531;EXPRESS&#19977;&#27827;&#23433;&#22478;&#27096;_1880305050.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45&#22793;&#12394;&#12507;&#12486;&#12523;&#12521;&#12464;&#12540;&#12490;&#12486;&#12531;&#12508;&#12473;/&#9733;&#20104;&#31639;&#22519;&#34892;&#38306;&#20418;/&#12304;20250425&#24179;&#30000;&#31246;&#36796;&#36861;&#35352;&#12305;&#12304;&#26009;&#37329;&#20132;&#28169;&#24460;&#12305;20250403_&#20462;&#27491;&#29256;_&#21029;&#32025;1&#21450;&#12403;&#21029;&#34920;_&#22793;&#12394;&#12507;&#12486;&#12523;&#12521;&#12464;&#12540;&#12490;&#12486;&#12531;&#12508;&#12473;.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45&#22793;&#12394;&#12507;&#12486;&#12523;&#12521;&#12464;&#12540;&#12490;&#12486;&#12531;&#12508;&#12473;/&#9733;&#20104;&#31639;&#22519;&#34892;&#38306;&#20418;/&#12304;20250425&#24179;&#30000;&#31246;&#36796;&#36861;&#35352;&#12305;&#12304;&#26009;&#37329;&#20132;&#28169;&#24460;&#12305;20250403_&#20462;&#27491;&#29256;_&#21029;&#32025;1&#21450;&#12403;&#21029;&#34920;_&#22793;&#12394;&#12507;&#12486;&#12523;&#12521;&#12464;&#12540;&#12490;&#12486;&#12531;&#12508;&#12473;.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53&#33970;&#37089;&#12507;&#12486;&#12523;/&#9733;&#20104;&#31639;&#22519;&#34892;&#38306;&#20418;/&#12304;&#12497;&#12521;20250430&#35330;&#27491;&#12305;&#21029;&#32025;1&#21450;&#12403;&#21029;&#34920;_&#33970;&#37089;&#12507;&#12486;&#12523;.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0253&#33970;&#37089;&#12507;&#12486;&#12523;/&#9733;&#20104;&#31639;&#22519;&#34892;&#38306;&#20418;/&#12304;&#12497;&#12521;20250430&#35330;&#27491;&#12305;&#21029;&#32025;1&#21450;&#12403;&#21029;&#34920;_&#33970;&#37089;&#12507;&#12486;&#12523;.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261_&#12507;&#12486;&#12523;&#31481;&#23798;&#12288;20250402_&#21029;&#32025;1&#21450;&#12403;&#21029;&#34920;_&#12507;&#12486;&#12523;&#31481;&#23798;&#27096;&#12288;.xlsx" TargetMode="External"/><Relationship Id="rId1"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261_&#12507;&#12486;&#12523;&#31481;&#23798;&#12288;20250402_&#21029;&#32025;1&#21450;&#12403;&#21029;&#34920;_&#12507;&#12486;&#12523;&#31481;&#23798;&#27096;&#12288;.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api.box.com/wopi/files/1729458681576/WOPIServiceId_TP_BOX_2/WOPIUserId_-/&#21029;&#32025;1&#21450;&#12403;&#21029;&#32025;4_&#12525;&#12527;&#12472;&#12540;&#12523;&#12507;&#12486;&#12523;&#35914;&#27211;&#27096;.xlsx" TargetMode="External"/><Relationship Id="rId1" Type="http://schemas.openxmlformats.org/officeDocument/2006/relationships/externalLinkPath" Target="https://api.box.com/wopi/files/1729458681576/WOPIServiceId_TP_BOX_2/WOPIUserId_-/&#21029;&#32025;1&#21450;&#12403;&#21029;&#32025;4_&#12525;&#12527;&#12472;&#12540;&#12523;&#12507;&#12486;&#12523;&#35914;&#27211;&#27096;.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C:\Users\&#26494;&#26412;&#33521;&#26391;\AppData\Local\Microsoft\Windows\INetCache\Content.Outlook\1T6BTMFT\&#36890;&#24120;&#26397;&#39135;&#12503;&#12521;&#12531;%20&#12362;&#37096;&#23627;&#12479;&#12452;&#12503;&#22793;&#26356;&#12289;&#32032;&#27850;&#12414;&#12426;%20&#26009;&#37329;&#20837;&#21147;&#28168;%2020250425%20_&#21029;&#32025;1&#21450;&#12403;&#21029;&#34920;_&#12501;&#12457;&#12540;&#12509;&#12452;&#12531;&#12488;&#12496;&#12452;&#12471;&#12455;&#12521;&#12488;&#12531;&#21517;&#21476;&#23627;&#20013;&#37096;&#22269;&#38555;&#31354;&#28207;&#27096;.xlsx" TargetMode="External"/><Relationship Id="rId1" Type="http://schemas.openxmlformats.org/officeDocument/2006/relationships/externalLinkPath" Target="https://ainagoc2026-my.sharepoint.com/Users/&#26494;&#26412;&#33521;&#26391;/AppData/Local/Microsoft/Windows/INetCache/Content.Outlook/1T6BTMFT/&#36890;&#24120;&#26397;&#39135;&#12503;&#12521;&#12531;%20&#12362;&#37096;&#23627;&#12479;&#12452;&#12503;&#22793;&#26356;&#12289;&#32032;&#27850;&#12414;&#12426;%20&#26009;&#37329;&#20837;&#21147;&#28168;%2020250425%20_&#21029;&#32025;1&#21450;&#12403;&#21029;&#34920;_&#12501;&#12457;&#12540;&#12509;&#12452;&#12531;&#12488;&#12496;&#12452;&#12471;&#12455;&#12521;&#12488;&#12531;&#21517;&#21476;&#23627;&#20013;&#37096;&#22269;&#38555;&#31354;&#28207;&#27096;.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Users\nagoya4606\Desktop\Downloads\&#12304;20250501&#20462;&#27491;&#28168;&#12415;_&#22679;&#23460;&#20998;&#12305;&#21029;&#32025;1&#21450;&#12403;&#21029;&#34920;_&#26481;&#27178;INN&#20013;&#37096;&#22269;&#38555;&#31354;&#28207;&#8545;.xlsx" TargetMode="External"/><Relationship Id="rId1" Type="http://schemas.openxmlformats.org/officeDocument/2006/relationships/externalLinkPath" Target="https://ainagoc2026.sharepoint.com/Users/nagoya4606/Desktop/Downloads/&#12304;20250501&#20462;&#27491;&#28168;&#12415;_&#22679;&#23460;&#20998;&#12305;&#21029;&#32025;1&#21450;&#12403;&#21029;&#34920;_&#26481;&#27178;INN&#20013;&#37096;&#22269;&#38555;&#31354;&#28207;&#8545;.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C:\Users\&#26494;&#26412;&#33521;&#26391;\Desktop\&#12450;&#12472;&#12450;&#22823;&#20250;&#12304;20250407&#20316;&#25104;&#12305;&#21029;&#32025;1&#21450;&#12403;&#21029;&#34920;_J&#12539;&#12507;&#12486;&#12523;&#12426;&#12435;&#12367;&#12358;.xlsx" TargetMode="External"/><Relationship Id="rId1" Type="http://schemas.openxmlformats.org/officeDocument/2006/relationships/externalLinkPath" Target="https://ainagoc2026-my.sharepoint.com/Users/&#26494;&#26412;&#33521;&#26391;/Desktop/&#12450;&#12472;&#12450;&#22823;&#20250;&#12304;20250407&#20316;&#25104;&#12305;&#21029;&#32025;1&#21450;&#12403;&#21029;&#34920;_J&#12539;&#12507;&#12486;&#12523;&#12426;&#12435;&#12367;&#12358;.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ainagoc2026-my.sharepoint.com/C:/Users/&#26494;&#26412;&#33521;&#26391;/Downloads/&#12304;20250616&#12305;&#21029;&#32025;1&#21450;&#12403;&#21029;&#34920;_&#12475;&#12531;&#12488;&#12524;&#12450;&#12507;&#12486;&#12523;&#27096;.xlsx" TargetMode="External"/><Relationship Id="rId1" Type="http://schemas.openxmlformats.org/officeDocument/2006/relationships/externalLinkPath" Target="https://ainagoc2026-my.sharepoint.com/Users/&#26494;&#26412;&#33521;&#26391;/Downloads/&#12304;20250616&#12305;&#21029;&#32025;1&#21450;&#12403;&#21029;&#34920;_&#12475;&#12531;&#12488;&#12524;&#12450;&#12507;&#12486;&#12523;&#27096;.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C:\Users\&#26494;&#26412;&#33521;&#26391;\Downloads\20250425&#12288;&#21029;&#32025;1&#21450;&#12403;&#21029;&#34920;_&#12523;&#12540;&#12488;&#12452;&#12531;&#26032;&#22478;&#27096;.xlsx" TargetMode="External"/><Relationship Id="rId1" Type="http://schemas.openxmlformats.org/officeDocument/2006/relationships/externalLinkPath" Target="https://ainagoc2026-my.sharepoint.com/Users/&#26494;&#26412;&#33521;&#26391;/Downloads/20250425&#12288;&#21029;&#32025;1&#21450;&#12403;&#21029;&#34920;_&#12523;&#12540;&#12488;&#12452;&#12531;&#26032;&#22478;&#27096;.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file:///C:\Users\&#26494;&#26412;&#33521;&#26391;\Downloads\&#12304;20250423&#32068;&#32340;&#22996;&#21729;&#20250;&#20462;&#27491;&#20837;&#28271;&#31246;&#12394;&#12375;&#12305;&#21029;&#32025;1&#21450;&#12403;&#21029;&#34920;_&#12507;&#12486;&#12523;&#28023;&#38525;&#38307;&#12288;&#33258;&#20998;&#30452;&#12375;.xlsx" TargetMode="External"/><Relationship Id="rId1" Type="http://schemas.openxmlformats.org/officeDocument/2006/relationships/externalLinkPath" Target="https://ainagoc2026-my.sharepoint.com/Users/&#26494;&#26412;&#33521;&#26391;/Downloads/&#12304;20250423&#32068;&#32340;&#22996;&#21729;&#20250;&#20462;&#27491;&#20837;&#28271;&#31246;&#12394;&#12375;&#12305;&#21029;&#32025;1&#21450;&#12403;&#21029;&#34920;_&#12507;&#12486;&#12523;&#28023;&#38525;&#38307;&#12288;&#33258;&#20998;&#30452;&#12375;.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1029&#20234;&#33391;&#28246;&#12458;&#12540;&#12471;&#12515;&#12531;&#12522;&#12478;&#12540;&#12488;/&#9733;&#20104;&#31639;&#22519;&#34892;&#38306;&#20418;/&#24859;&#30693;&#12539;&#21517;&#21476;&#23627;2026&#22823;&#20250;_&#21029;&#32025;1&#21450;&#12403;&#21029;&#34920;_&#20234;&#33391;&#28246;&#12458;&#12540;&#12471;&#12515;&#12531;&#12522;&#12478;&#12540;&#12488;_20250417.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1029&#20234;&#33391;&#28246;&#12458;&#12540;&#12471;&#12515;&#12531;&#12522;&#12478;&#12540;&#12488;/&#9733;&#20104;&#31639;&#22519;&#34892;&#38306;&#20418;/&#24859;&#30693;&#12539;&#21517;&#21476;&#23627;2026&#22823;&#20250;_&#21029;&#32025;1&#21450;&#12403;&#21029;&#34920;_&#20234;&#33391;&#28246;&#12458;&#12540;&#12471;&#12515;&#12531;&#12522;&#12478;&#12540;&#12488;_20250417.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08&#12507;&#12486;&#12523;&#12450;&#12468;&#12540;&#12521;&#12522;&#12540;&#12472;&#12455;&#12531;&#12471;&#12540;&#22823;&#38442;&#22586;/&#9733;&#20104;&#31639;&#22519;&#34892;&#38306;&#20418;/01&#12288;&#20104;&#31639;&#22519;&#34892;/20250512&#26356;&#26032;&#29256;&#26377;&#32218;LAN&#21066;&#38500;&#12288;&#32025;1&#21450;&#12403;&#21029;&#34920;_&#12507;&#12486;&#12523;&#12450;&#12468;&#12540;&#12521;&#12522;&#12540;&#12472;&#12455;&#12531;&#12471;&#12540;&#22823;&#38442;&#22586;&#27096;.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08&#12507;&#12486;&#12523;&#12450;&#12468;&#12540;&#12521;&#12522;&#12540;&#12472;&#12455;&#12531;&#12471;&#12540;&#22823;&#38442;&#22586;/&#9733;&#20104;&#31639;&#22519;&#34892;&#38306;&#20418;/01&#12288;&#20104;&#31639;&#22519;&#34892;/20250512&#26356;&#26032;&#29256;&#26377;&#32218;LAN&#21066;&#38500;&#12288;&#32025;1&#21450;&#12403;&#21029;&#34920;_&#12507;&#12486;&#12523;&#12450;&#12468;&#12540;&#12521;&#12522;&#12540;&#12472;&#12455;&#12531;&#12471;&#12540;&#22823;&#38442;&#22586;&#27096;.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6%20&#12388;&#12414;&#24651;&#12522;&#12478;&#12540;&#12488;&#24425;&#12398;&#37111;/&#9733;&#9733;&#22865;&#32004;&#26360;/20250527_&#35211;&#31309;&#12418;&#12426;&#12398;&#12415;&#21463;&#38936;/20250527&#12288;&#21029;&#32025;1&#21450;&#12403;&#21029;&#34920;_&#12388;&#12414;&#24651;&#12522;&#12478;&#12540;&#12488;.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6%20&#12388;&#12414;&#24651;&#12522;&#12478;&#12540;&#12488;&#24425;&#12398;&#37111;/&#9733;&#9733;&#22865;&#32004;&#26360;/20250527_&#35211;&#31309;&#12418;&#12426;&#12398;&#12415;&#21463;&#38936;/20250527&#12288;&#21029;&#32025;1&#21450;&#12403;&#21029;&#34920;_&#12388;&#12414;&#24651;&#12522;&#12478;&#12540;&#12488;.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8%20&#25499;&#24029;&#12464;&#12521;&#12531;&#12489;&#12507;&#12486;&#12523;/&#9733;&#20104;&#31639;&#22519;&#34892;&#26360;/01%20&#20104;&#31639;&#22519;&#34892;&#26360;/20250527&#12288;&#21029;&#32025;1&#21450;&#12403;&#21029;&#34920;_&#25499;&#24029;&#12464;&#12521;&#12531;&#12489;&#12507;&#12486;&#12523;&#65288;FR&#26085;&#20184;&#32068;&#32340;&#22996;&#21729;&#20250;&#20462;&#27491;&#65289;.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18%20&#25499;&#24029;&#12464;&#12521;&#12531;&#12489;&#12507;&#12486;&#12523;/&#9733;&#20104;&#31639;&#22519;&#34892;&#26360;/01%20&#20104;&#31639;&#22519;&#34892;&#26360;/20250527&#12288;&#21029;&#32025;1&#21450;&#12403;&#21029;&#34920;_&#25499;&#24029;&#12464;&#12521;&#12531;&#12489;&#12507;&#12486;&#12523;&#65288;FR&#26085;&#20184;&#32068;&#32340;&#22996;&#21729;&#20250;&#20462;&#27491;&#65289;.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https://ainagoc2026-my.sharepoint.com/personal/fuki_mase_aichi-nagoya2026_org/Documents/Microsoft%20Teams%20&#12481;&#12515;&#12483;&#12488;%20&#12501;&#12449;&#12452;&#12523;/20250730_5&#12501;&#12525;&#12450;Ver&#21029;&#32025;1&#21450;&#12403;&#21029;&#34920;_&#12464;&#12521;&#12531;&#12489;&#12513;&#12523;&#12461;&#12517;&#12540;&#12523;&#12507;&#12486;&#12523;&#27996;&#21517;&#28246;&#65288;&#36984;&#25163;&#12539;&#12501;&#12449;&#12511;&#12522;&#12540;&#29992;&#65289;.xlsx" TargetMode="External"/><Relationship Id="rId1" Type="http://schemas.openxmlformats.org/officeDocument/2006/relationships/externalLinkPath" Target="https://ainagoc2026-my.sharepoint.com/personal/fuki_mase_aichi-nagoya2026_org/Documents/Microsoft%20Teams%20&#12481;&#12515;&#12483;&#12488;%20&#12501;&#12449;&#12452;&#12523;/20250730_5&#12501;&#12525;&#12450;Ver&#21029;&#32025;1&#21450;&#12403;&#21029;&#34920;_&#12464;&#12521;&#12531;&#12489;&#12513;&#12523;&#12461;&#12517;&#12540;&#12523;&#12507;&#12486;&#12523;&#27996;&#21517;&#28246;&#65288;&#36984;&#25163;&#12539;&#12501;&#12449;&#12511;&#12522;&#12540;&#29992;&#65289;.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Users\&#26494;&#26412;&#33521;&#26391;\Desktop\&#12304;20250422&#20316;&#25104;&#12305;&#21029;&#32025;1&#21450;&#12403;&#21029;&#34920;_&#12507;&#12486;&#12523;&#12521;&#12501;&#12457;&#12540;&#12524;&#20462;&#21892;&#23546;%20(&#35352;&#20837;&#28168;&#12415;).xlsx" TargetMode="External"/><Relationship Id="rId1" Type="http://schemas.openxmlformats.org/officeDocument/2006/relationships/externalLinkPath" Target="https://ainagoc2026-my.sharepoint.com/Users/&#26494;&#26412;&#33521;&#26391;/Desktop/&#12304;20250422&#20316;&#25104;&#12305;&#21029;&#32025;1&#21450;&#12403;&#21029;&#34920;_&#12507;&#12486;&#12523;&#12521;&#12501;&#12457;&#12540;&#12524;&#20462;&#21892;&#23546;%20(&#35352;&#20837;&#28168;&#12415;).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26%20&#23696;&#38428;&#12464;&#12521;&#12531;&#12489;&#12507;&#12486;&#12523;/&#9733;&#20104;&#31639;&#22519;&#34892;&#38306;&#20418;/&#21029;&#32025;1&#21450;&#12403;&#21029;&#34920;_&#23696;&#38428;&#12464;&#12521;&#12531;&#12489;&#12507;&#12486;&#12523;&#27096;%20.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26%20&#23696;&#38428;&#12464;&#12521;&#12531;&#12489;&#12507;&#12486;&#12523;/&#9733;&#20104;&#31639;&#22519;&#34892;&#38306;&#20418;/&#21029;&#32025;1&#21450;&#12403;&#21029;&#34920;_&#23696;&#38428;&#12464;&#12521;&#12531;&#12489;&#12507;&#12486;&#12523;&#27096;%20.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27&#37117;&#12507;&#12486;&#12523;&#23696;&#38428;&#38263;&#33391;&#24029;/&#9733;&#20104;&#31639;&#22519;&#34892;&#38306;&#20418;/20250501&#12288;&#21029;&#32025;1&#21450;&#12403;&#21029;&#34920;_&#37117;&#12507;&#12486;&#12523;&#23696;&#38428;&#38263;&#33391;&#24029;%20&#23487;&#27850;+&#23476;&#20250;%20.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27&#37117;&#12507;&#12486;&#12523;&#23696;&#38428;&#38263;&#33391;&#24029;/&#9733;&#20104;&#31639;&#22519;&#34892;&#38306;&#20418;/20250501&#12288;&#21029;&#32025;1&#21450;&#12403;&#21029;&#34920;_&#37117;&#12507;&#12486;&#12523;&#23696;&#38428;&#38263;&#33391;&#24029;%20&#23487;&#27850;+&#23476;&#20250;%20.xlsx"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32&#22823;&#22435;&#12501;&#12457;&#12540;&#12521;&#12512;&#12507;&#12486;&#12523;/&#9733;&#20104;&#31639;&#22519;&#34892;&#38306;&#20418;/20250509&#12288;&#21029;&#32025;1&#21450;&#12403;&#21029;&#34920;_&#22823;&#22435;&#12501;&#12457;&#12540;&#12521;&#12512;&#12507;&#12486;&#12523;%20(002)%20&#12398;&#12467;&#12500;&#12540;.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32&#22823;&#22435;&#12501;&#12457;&#12540;&#12521;&#12512;&#12507;&#12486;&#12523;/&#9733;&#20104;&#31639;&#22519;&#34892;&#38306;&#20418;/20250509&#12288;&#21029;&#32025;1&#21450;&#12403;&#21029;&#34920;_&#22823;&#22435;&#12501;&#12457;&#12540;&#12521;&#12512;&#12507;&#12486;&#12523;%20(002)%20&#12398;&#12467;&#12500;&#12540;.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https://ainagoc2026-my.sharepoint.com/personal/hiroki_sagegami_002_aichi-nagoya2026_org/Documents/Microsoft%20Teams%20&#12481;&#12515;&#12483;&#12488;%20&#12501;&#12449;&#12452;&#12523;/&#21029;&#32025;1&#21450;&#12403;&#21029;&#34920;_&#12507;&#12486;&#12523;&#12467;&#12531;&#12467;&#12523;&#12489;&#27996;&#26494;.xlsx" TargetMode="External"/><Relationship Id="rId1" Type="http://schemas.openxmlformats.org/officeDocument/2006/relationships/externalLinkPath" Target="https://ainagoc2026-my.sharepoint.com/personal/hiroki_sagegami_002_aichi-nagoya2026_org/Documents/Microsoft%20Teams%20&#12481;&#12515;&#12483;&#12488;%20&#12501;&#12449;&#12452;&#12523;/&#21029;&#32025;1&#21450;&#12403;&#21029;&#34920;_&#12507;&#12486;&#12523;&#12467;&#12531;&#12467;&#12523;&#12489;&#27996;&#26494;.xlsx"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45&#12463;&#12452;&#12531;&#12486;&#12483;&#12469;&#12507;&#12486;&#12523;&#22823;&#22435;/&#9733;&#20104;&#31639;&#22519;&#34892;&#38306;&#20418;/20250509&#12288;&#21029;&#32025;1&#21450;&#12403;&#21029;&#34920;_&#12463;&#12452;&#12531;&#12486;&#12483;&#12469;&#12507;&#12486;&#12523;&#22823;&#22435;%20&#12398;&#12467;&#12500;&#12540;.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45&#12463;&#12452;&#12531;&#12486;&#12483;&#12469;&#12507;&#12486;&#12523;&#22823;&#22435;/&#9733;&#20104;&#31639;&#22519;&#34892;&#38306;&#20418;/20250509&#12288;&#21029;&#32025;1&#21450;&#12403;&#21029;&#34920;_&#12463;&#12452;&#12531;&#12486;&#12483;&#12469;&#12507;&#12486;&#12523;&#22823;&#22435;%20&#12398;&#12467;&#12500;&#12540;.xlsx"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49%20&#26085;&#26412;&#38738;&#24180;&#39208;&#12507;&#12486;&#12523;/&#9733;&#20104;&#31639;&#22519;&#34892;&#38306;&#20418;/&#20104;&#31639;&#22519;&#34892;&#29992;&#12304;0512&#20462;&#27491;_&#26356;&#26032;&#29256;&#12305;&#21029;&#32025;1&#21450;&#12403;&#21029;&#34920;_&#26085;&#26412;&#38738;&#24180;&#39208;&#12507;&#12486;&#12523;%20&#12398;&#12467;&#12500;&#12540;.xlsx" TargetMode="External"/><Relationship Id="rId1" Type="http://schemas.openxmlformats.org/officeDocument/2006/relationships/externalLinkPath" Target="https://ainagoc2026.sharepoint.com/sites/2024-ACMVIL/Shared%20Documents/&#128060;&#23487;&#27850;&#26045;&#35373;&#22865;&#32004;&#65288;ACM&#12392;VIL&#65289;/&#128060;&#23487;&#27850;&#26045;&#35373;&#12392;&#12398;&#22865;&#32004;&#20132;&#28169;/&#9733;&#9733;&#23487;&#27850;&#26045;&#35373;&#24773;&#22577;&#65288;&#12497;&#12531;&#12501;&#12524;&#12483;&#12488;&#12289;&#35370;&#21839;&#35352;&#37682;&#31561;&#65289;/&#23487;&#27850;&#26045;&#35373;&#21029;/2049%20&#26085;&#26412;&#38738;&#24180;&#39208;&#12507;&#12486;&#12523;/&#9733;&#20104;&#31639;&#22519;&#34892;&#38306;&#20418;/&#20104;&#31639;&#22519;&#34892;&#29992;&#12304;0512&#20462;&#27491;_&#26356;&#26032;&#29256;&#12305;&#21029;&#32025;1&#21450;&#12403;&#21029;&#34920;_&#26085;&#26412;&#38738;&#24180;&#39208;&#12507;&#12486;&#12523;%20&#12398;&#12467;&#12500;&#12540;.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file:///C:\Users\&#26494;&#26412;&#33521;&#26391;\Downloads\&#12304;20250428_&#20462;&#27491;&#12305;&#21029;&#32025;1&#21450;&#12403;&#21029;&#34920;_&#26481;&#20140;&#12505;&#12452;&#28526;&#35211;&#12503;&#12522;&#12531;&#12473;&#12507;&#12486;&#12523;.xlsx" TargetMode="External"/><Relationship Id="rId1" Type="http://schemas.openxmlformats.org/officeDocument/2006/relationships/externalLinkPath" Target="https://ainagoc2026-my.sharepoint.com/Users/&#26494;&#26412;&#33521;&#26391;/Downloads/&#12304;20250428_&#20462;&#27491;&#12305;&#21029;&#32025;1&#21450;&#12403;&#21029;&#34920;_&#26481;&#20140;&#12505;&#12452;&#28526;&#35211;&#12503;&#12522;&#12531;&#12473;&#12507;&#12486;&#12523;.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file:///C:\Users\U5558N0085\Downloads\&#12304;&#25216;&#34899;&#24441;&#21729;&#12305;&#21029;&#32025;1&#21450;&#12403;&#21029;&#32025;4_&#9675;&#9675;&#9675;&#9675;&#12507;&#12486;&#12523;.xlsx" TargetMode="External"/><Relationship Id="rId1" Type="http://schemas.openxmlformats.org/officeDocument/2006/relationships/externalLinkPath" Target="https://ainagoc2026.sharepoint.com/Users/U5558N0085/Downloads/&#12304;&#25216;&#34899;&#24441;&#21729;&#12305;&#21029;&#32025;1&#21450;&#12403;&#21029;&#32025;4_&#9675;&#9675;&#9675;&#9675;&#12507;&#12486;&#12523;.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M.Uchida\Other\&#21508;&#31278;&#35336;&#31639;&#26360;&#31561;\&#27010;&#31639;&#24037;&#20107;&#36027;\&#23567;&#21475;&#24452;&#31649;&#25512;&#36914;&#24037;&#27861;&#65288;&#39640;&#32784;&#33655;&#21147;&#26041;&#24335;&#65289;\&#23567;&#12539;&#39640;&#12539;&#12458;&#12540;&#12460;&#19968;&#24037;&#3124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ato-pc5-2\d\&#9734;&#31481;&#30000;&#36991;&#38627;\&#9733;&#23550;&#24540;&#29289;&#20214;\2019&#24180;&#24230;(82)\&#23546;&#19979;_&#12450;&#12472;&#12450;&#22823;&#20250;&#36015;&#30041;\CW\CW&#27010;&#31639;&#24037;&#20107;&#36027;&#31639;&#20986;&#65288;&#20196;&#21644;&#20803;&#24180;&#24230;&#65289;_20190625.xlsm"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https://ainagoc2026-my.sharepoint.com/172.16.1.253/Public/002_&#32076;&#21942;&#20225;&#30011;&#35506;(&#35506;&#20869;&#12398;&#12415;&#20844;&#38283;)/002_&#32076;&#21942;G(&#12464;&#12523;&#12540;&#12503;&#20869;&#20844;&#38283;)/006_FIN/&#36001;&#25919;&#35336;&#30011;/&#12450;&#12472;&#12450;/&#9734;20230524&#21508;&#35506;&#20869;&#31034;&#38989;&#36890;&#30693;&#29992;/&#9733;&#21508;&#35506;&#36865;&#20184;&#29992;/&#9733;&#20840;&#20307;&#19968;&#35239;&#34920;/&#12450;&#12472;&#12450;/&#20840;&#20307;&#19968;&#35239;&#34920;(&#12450;&#12472;&#12450;).xlsx" TargetMode="External"/><Relationship Id="rId1" Type="http://schemas.openxmlformats.org/officeDocument/2006/relationships/externalLinkPath" Target="file:///\\172.16.1.252\Public2\002_&#32076;&#21942;&#20225;&#30011;&#35506;(&#35506;&#20869;&#12398;&#12415;&#20844;&#38283;)\002_&#32076;&#21942;G(&#12464;&#12523;&#12540;&#12503;&#20869;&#20844;&#38283;)\006_FIN\&#36001;&#25919;&#35336;&#30011;\&#12450;&#12472;&#12450;\&#9734;20230524&#21508;&#35506;&#20869;&#31034;&#38989;&#36890;&#30693;&#29992;\&#9733;&#21508;&#35506;&#36865;&#20184;&#29992;\&#9733;&#20840;&#20307;&#19968;&#35239;&#34920;\&#12450;&#12472;&#12450;\&#20840;&#20307;&#19968;&#35239;&#34920;(&#12450;&#12472;&#12450;).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https://ainagoc2026-my.sharepoint.com/C:/Users/&#26494;&#26412;&#33521;&#26391;/Desktop/&#36001;&#25919;&#35211;&#36890;&#12375;&#36039;&#26009;/0625&#29256;&#12288;0407&#26356;&#26032;&#20013;&#12304;&#12497;&#12521;&#24310;&#38263;&#12289;&#36001;&#25919;&#35211;&#36890;&#12375;&#29256;&#8251;&#12356;&#12378;&#12428;&#29694;&#23455;&#29256;&#12418;&#12371;&#12398;&#25968;&#23383;&#12395;&#36817;&#20284;&#12377;&#12427;&#31560;&#12305;&#12288;&#20803;&#12487;&#12540;&#12479;&#65306;20250218_&#12304;&#32207;&#38263;&#12524;&#12463;&#24460;&#20462;&#27491;&#12305;&#36984;&#25163;&#22243;15,000&#20154;&#37197;&#23487;&#12471;&#12511;&#12517;&#12524;&#12540;&#12471;&#12519;&#12531;%201.xlsx" TargetMode="External"/><Relationship Id="rId1" Type="http://schemas.openxmlformats.org/officeDocument/2006/relationships/externalLinkPath" Target="https://ainagoc2026-my.sharepoint.com/personal/hideaki_matsumoto_aichi-nagoya2026_org/Documents/Microsoft%20Teams%20&#12481;&#12515;&#12483;&#12488;%20&#12501;&#12449;&#12452;&#12523;/0625&#29256;&#12288;0407&#26356;&#26032;&#20013;&#12304;&#12497;&#12521;&#24310;&#38263;&#12289;&#36001;&#25919;&#35211;&#36890;&#12375;&#29256;&#8251;&#12356;&#12378;&#12428;&#29694;&#23455;&#29256;&#12418;&#12371;&#12398;&#25968;&#23383;&#12395;&#36817;&#20284;&#12377;&#12427;&#31560;&#12305;&#12288;&#20803;&#12487;&#12540;&#12479;&#65306;20250218_&#12304;&#32207;&#38263;&#12524;&#12463;&#24460;&#20462;&#27491;&#12305;&#36984;&#25163;&#22243;15,000&#20154;&#37197;&#23487;&#12471;&#12511;&#12517;&#12524;&#12540;&#12471;&#12519;&#12531;%201.xlsx"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https://ainagoc2026-my.sharepoint.com/personal/hideaki_matsumoto_aichi-nagoya2026_org/Documents/Microsoft%20Teams%20&#12481;&#12515;&#12483;&#12488;%20&#12501;&#12449;&#12452;&#12523;/&#12304;&#12510;&#12463;&#12525;&#30330;&#21205;&#12288;&#12497;&#12521;&#26412;&#37096;&#27850;&#25968;&#24335;&#20462;&#27491;&#12305;&#65288;&#27850;&#25968;&#28187;&#65291;&#12497;&#12521;4,000&#19968;&#26847;&#20511;&#19978;&#12370;&#21407;&#21063;&#12516;&#12513;&#65289;ACM&#36001;&#25919;&#35211;&#36890;&#65288;v4.3c&#65289;.xlsm" TargetMode="External"/><Relationship Id="rId1" Type="http://schemas.openxmlformats.org/officeDocument/2006/relationships/externalLinkPath" Target="https://ainagoc2026-my.sharepoint.com/personal/hideaki_matsumoto_aichi-nagoya2026_org/Documents/Microsoft%20Teams%20&#12481;&#12515;&#12483;&#12488;%20&#12501;&#12449;&#12452;&#12523;/&#12304;&#12510;&#12463;&#12525;&#30330;&#21205;&#12288;&#12497;&#12521;&#26412;&#37096;&#27850;&#25968;&#24335;&#20462;&#27491;&#12305;&#65288;&#27850;&#25968;&#28187;&#65291;&#12497;&#12521;4,000&#19968;&#26847;&#20511;&#19978;&#12370;&#21407;&#21063;&#12516;&#12513;&#65289;ACM&#36001;&#25919;&#35211;&#36890;&#65288;v4.3c&#65289;.xlsm"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https://ainagoc2026-my.sharepoint.com/personal/hideaki_matsumoto_aichi-nagoya2026_org/Documents/Microsoft%20Teams%20&#12481;&#12515;&#12483;&#12488;%20&#12501;&#12449;&#12452;&#12523;/&#12304;&#20013;&#37326;&#12373;&#12435;&#12510;&#12463;&#12525;&#30330;&#21205;&#12305;&#65288;&#12497;&#12521;4,000&#19968;&#26847;&#20511;&#19978;&#12370;&#21407;&#21063;&#12516;&#12513;&#65289;ACM&#36001;&#25919;&#35211;&#36890;&#65288;v4.3c&#65289;.xlsm" TargetMode="External"/><Relationship Id="rId1" Type="http://schemas.openxmlformats.org/officeDocument/2006/relationships/externalLinkPath" Target="https://ainagoc2026-my.sharepoint.com/personal/hideaki_matsumoto_aichi-nagoya2026_org/Documents/Microsoft%20Teams%20&#12481;&#12515;&#12483;&#12488;%20&#12501;&#12449;&#12452;&#12523;/&#12304;&#20013;&#37326;&#12373;&#12435;&#12510;&#12463;&#12525;&#30330;&#21205;&#12305;&#65288;&#12497;&#12521;4,000&#19968;&#26847;&#20511;&#19978;&#12370;&#21407;&#21063;&#12516;&#12513;&#65289;ACM&#36001;&#25919;&#35211;&#36890;&#65288;v4.3c&#65289;.xlsm"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https://ainagoc2026-my.sharepoint.com/C:/Users/&#20013;&#37326;&#32724;&#22826;/AppData/Roaming/Microsoft/Excel/&#12304;&#12510;&#12463;&#12525;&#29992;&#12305;20240618_&#12450;&#12472;&#12450;&#31478;&#25216;&#22823;&#20250;&#12395;&#12362;&#12369;&#12427;&#36984;&#25163;&#22243;&#23487;&#27850;&#26045;&#35373;&#24819;&#23450;&#65288;2024&#24180;&#65302;&#26376;&#26178;&#28857;&#65289;v4&#12288;&#65288;&#21644;&#39080;&#26053;&#39208;&#24773;&#22577;&#12398;&#26356;&#26032;&#65289;%20(version%201).xlsb" TargetMode="External"/><Relationship Id="rId1" Type="http://schemas.openxmlformats.org/officeDocument/2006/relationships/externalLinkPath" Target="https://ainagoc2026.sharepoint.com/Users/&#20013;&#37326;&#32724;&#22826;/AppData/Roaming/Microsoft/Excel/&#12304;&#12510;&#12463;&#12525;&#29992;&#12305;20240618_&#12450;&#12472;&#12450;&#31478;&#25216;&#22823;&#20250;&#12395;&#12362;&#12369;&#12427;&#36984;&#25163;&#22243;&#23487;&#27850;&#26045;&#35373;&#24819;&#23450;&#65288;2024&#24180;&#65302;&#26376;&#26178;&#28857;&#65289;v4&#12288;&#65288;&#21644;&#39080;&#26053;&#39208;&#24773;&#22577;&#12398;&#26356;&#26032;&#65289;%20(version%201).xlsb"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https://ainagoc2026-my.sharepoint.com/172.16.1.252/Public2/012_&#23487;&#27850;&#35506;(&#35506;&#20869;&#12398;&#12415;&#20844;&#38283;)/003_&#36984;&#25163;&#26449;&#36939;&#21942;G/040_&#36984;&#25163;&#12507;&#12486;&#12523;&#36939;&#21942;/041_&#36939;&#21942;&#35336;&#30011;/09_&#37197;&#23487;&#12471;&#12511;&#12517;&#12524;&#12540;&#12471;&#12519;&#12531;/20240813_&#31478;&#25216;&#26085;&#31243;&#12539;&#31478;&#25216;&#20154;&#25968;&#20462;&#27491;/20240722_&#12450;&#12472;&#12450;&#31478;&#25216;&#22823;&#20250;&#12395;&#12362;&#12369;&#12427;&#36984;&#25163;&#22243;&#23487;&#27850;&#26045;&#35373;&#24819;&#23450;v8%20-%20(&#20316;&#26989;&#20013;).xlsx" TargetMode="External"/><Relationship Id="rId1" Type="http://schemas.openxmlformats.org/officeDocument/2006/relationships/externalLinkPath" Target="file:///\\172.16.1.252\Public2\012_&#23487;&#27850;&#35506;(&#35506;&#20869;&#12398;&#12415;&#20844;&#38283;)\003_&#36984;&#25163;&#26449;&#36939;&#21942;G\040_&#36984;&#25163;&#12507;&#12486;&#12523;&#36939;&#21942;\041_&#36939;&#21942;&#35336;&#30011;\09_&#37197;&#23487;&#12471;&#12511;&#12517;&#12524;&#12540;&#12471;&#12519;&#12531;\20240813_&#31478;&#25216;&#26085;&#31243;&#12539;&#31478;&#25216;&#20154;&#25968;&#20462;&#27491;\20240722_&#12450;&#12472;&#12450;&#31478;&#25216;&#22823;&#20250;&#12395;&#12362;&#12369;&#12427;&#36984;&#25163;&#22243;&#23487;&#27850;&#26045;&#35373;&#24819;&#23450;v8%20-%20(&#20316;&#26989;&#20013;).xlsx"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https://ainagoc2026-my.sharepoint.com/C:/Users/&#26494;&#26412;&#33521;&#26391;/Desktop/&#12507;&#12486;&#12523;&#12471;&#12483;&#12503;3,700&#20154;&#65291;&#31354;&#28207;&#23798;3,000&#20154;&#65291;&#12467;&#12531;&#12486;&#12490;1,000&#20154;.xlsx" TargetMode="External"/><Relationship Id="rId1" Type="http://schemas.openxmlformats.org/officeDocument/2006/relationships/externalLinkPath" Target="https://ainagoc2026-my.sharepoint.com/Users/&#26494;&#26412;&#33521;&#26391;/Desktop/&#12507;&#12486;&#12523;&#12471;&#12483;&#12503;3,700&#20154;&#65291;&#31354;&#28207;&#23798;3,000&#20154;&#65291;&#12467;&#12531;&#12486;&#12490;1,000&#20154;.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https://ainagoc2026.sharepoint.com/sites/msteams_7f7c9a/Shared%20Documents/General/&#12304;&#36001;&#25919;&#35211;&#36890;&#12375;&#29992;&#12305;20250610&#25216;&#34899;&#24441;&#21729;&#37197;&#23487;&#12471;&#12511;&#12517;&#12524;&#12540;&#12471;&#12519;&#12531;&#65288;&#12450;&#12472;&#12450;&#65289;.xlsm" TargetMode="External"/><Relationship Id="rId1" Type="http://schemas.openxmlformats.org/officeDocument/2006/relationships/externalLinkPath" Target="https://ainagoc2026.sharepoint.com/sites/msteams_7f7c9a/Shared%20Documents/General/&#12304;&#36001;&#25919;&#35211;&#36890;&#12375;&#29992;&#12305;20250610&#25216;&#34899;&#24441;&#21729;&#37197;&#23487;&#12471;&#12511;&#12517;&#12524;&#12540;&#12471;&#12519;&#12531;&#65288;&#12450;&#12472;&#12450;&#65289;.xlsm"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https://ainagoc2026-my.sharepoint.com/personal/hideaki_matsumoto_aichi-nagoya2026_org/Documents/Microsoft%20Teams%20&#12481;&#12515;&#12483;&#12488;%20&#12501;&#12449;&#12452;&#12523;/&#12304;&#36001;&#25919;&#35211;&#36890;&#12375;&#29992;&#12305;20250612&#25216;&#34899;&#24441;&#21729;&#37197;&#23487;&#12471;&#12511;&#12517;&#12524;&#12540;&#12471;&#12519;&#12531;&#65288;&#12497;&#12521;&#65289;.xlsx" TargetMode="External"/><Relationship Id="rId1" Type="http://schemas.openxmlformats.org/officeDocument/2006/relationships/externalLinkPath" Target="https://ainagoc2026-my.sharepoint.com/Users/&#26494;&#26412;&#33521;&#26391;/Downloads/&#12304;&#36001;&#25919;&#35211;&#36890;&#12375;&#29992;&#12305;20250612&#25216;&#34899;&#24441;&#21729;&#37197;&#23487;&#12471;&#12511;&#12517;&#12524;&#12540;&#12471;&#12519;&#12531;&#65288;&#12497;&#12521;&#65289;.xlsx"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https://ainagoc2026-my.sharepoint.com/C:/Users/&#35199;&#30000;&#33756;&#26376;/Desktop/&#36027;&#29992;&#31309;&#31639;/&#27010;&#31639;&#36027;&#29992;&#12304;13_&#22823;&#38442;&#12305;.xlsx" TargetMode="External"/><Relationship Id="rId1" Type="http://schemas.openxmlformats.org/officeDocument/2006/relationships/externalLinkPath" Target="https://ainagoc2026.sharepoint.com/Users/&#20013;&#37326;&#32724;&#22826;/Downloads/&#27010;&#31639;&#36027;&#29992;&#12304;13_&#22823;&#38442;&#12305;.xlsx"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024_&#12507;&#12486;&#12523;&#12513;&#12523;&#12497;&#12523;&#12463;&#21517;&#21476;&#23627;20250408&#25552;&#20986;.xlsx" TargetMode="External"/><Relationship Id="rId1" Type="http://schemas.openxmlformats.org/officeDocument/2006/relationships/externalLinkPath" Target="https://ainagoc2026.sharepoint.com/sites/2024G/Shared%20Documents/03&#12288;&#20104;&#31639;&#22519;&#34892;&#26360;&#12289;&#35519;&#36948;&#27770;&#23450;&#20250;&#35696;/03&#12288;&#20104;&#31639;&#22519;&#34892;&#26360;&#12289;&#35519;&#36948;&#27770;&#23450;&#20250;&#35696;/01&#12288;&#20104;&#31639;&#22519;&#34892;&#26360;/&#26494;&#26412;&#20316;&#26989;&#20013;&#12501;&#12457;&#12523;&#12480;/0024_&#12507;&#12486;&#12523;&#12513;&#12523;&#12497;&#12523;&#12463;&#21517;&#21476;&#23627;20250408&#25552;&#20986;.xlsx"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https://ainagoc2026-my.sharepoint.com/C:/Users/&#26494;&#26412;&#33521;&#26391;/Desktop/&#36001;&#25919;&#35211;&#36890;&#12375;&#36039;&#26009;/20250620&#12288;&#12450;&#12472;&#12450;&#12288;ACM&#36001;&#25919;&#35211;&#36890;&#65288;&#12510;&#12463;&#12525;&#21453;&#26144;&#65289;.xlsm" TargetMode="External"/><Relationship Id="rId1" Type="http://schemas.openxmlformats.org/officeDocument/2006/relationships/externalLinkPath" Target="https://ainagoc2026-my.sharepoint.com/personal/hideaki_matsumoto_aichi-nagoya2026_org/Documents/Microsoft%20Teams%20&#12481;&#12515;&#12483;&#12488;%20&#12501;&#12449;&#12452;&#12523;/20250620&#12288;&#12450;&#12472;&#12450;&#12288;ACM&#36001;&#25919;&#35211;&#36890;&#65288;&#12510;&#12463;&#12525;&#21453;&#26144;&#6528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sheetData sheetId="1"/>
      <sheetData sheetId="2"/>
      <sheetData sheetId="3"/>
      <sheetData sheetId="4"/>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容量_はじめに"/>
      <sheetName val="容量_sub"/>
      <sheetName val="容量_mst"/>
      <sheetName val="表STD工事費"/>
      <sheetName val="mst_FB000"/>
      <sheetName val="mst_FB600"/>
      <sheetName val="はじめに"/>
      <sheetName val="【入力】概要"/>
      <sheetName val="&quot;概算工事費&quot;マクロについて"/>
      <sheetName val="mst_単価"/>
      <sheetName val="mst_労務"/>
      <sheetName val="【入力】標準組立図"/>
      <sheetName val="mst_営業所"/>
      <sheetName val="工事価格算出"/>
      <sheetName val="参_底版鉄筋"/>
      <sheetName val="【追加入力】異形平面の場合"/>
      <sheetName val="mst_土被り毎"/>
      <sheetName val="【入力】詳細"/>
      <sheetName val="容量_出力"/>
      <sheetName val="数量計算書"/>
      <sheetName val="部材名一覧"/>
      <sheetName val="数量計算書_組立図ツール連動用"/>
      <sheetName val="参考_より線"/>
      <sheetName val="参考_PC鋼棒"/>
      <sheetName val="mst"/>
      <sheetName val="mst製品質量"/>
      <sheetName val="表紙甲"/>
      <sheetName val="表紙乙【入力】"/>
      <sheetName val="本工事内訳書【入力】"/>
      <sheetName val="本工事内訳書【入力】 (2)"/>
      <sheetName val="内訳表"/>
      <sheetName val="単価表"/>
      <sheetName val="参_単価表(非公開)"/>
      <sheetName val="施工日数(入力)"/>
      <sheetName val="施工日数(出力)"/>
      <sheetName val="Sheet1"/>
      <sheetName val="技開用_概略図"/>
      <sheetName val="参_縦締め材数量"/>
      <sheetName val="参_ふた、端面D規格"/>
      <sheetName val="参_ふた部材重量"/>
    </sheetNames>
    <sheetDataSet>
      <sheetData sheetId="0" refreshError="1"/>
      <sheetData sheetId="1" refreshError="1"/>
      <sheetData sheetId="2" refreshError="1"/>
      <sheetData sheetId="3" refreshError="1"/>
      <sheetData sheetId="4" refreshError="1">
        <row r="3">
          <cell r="B3" t="str">
            <v>容量</v>
          </cell>
          <cell r="C3" t="str">
            <v>規格高</v>
          </cell>
          <cell r="D3" t="str">
            <v>ふた幅</v>
          </cell>
          <cell r="E3" t="str">
            <v>列当り本体数</v>
          </cell>
          <cell r="F3" t="str">
            <v>ふた列数</v>
          </cell>
          <cell r="G3" t="str">
            <v>連通管数</v>
          </cell>
          <cell r="H3" t="str">
            <v>底版厚</v>
          </cell>
          <cell r="I3" t="str">
            <v>レッカー</v>
          </cell>
          <cell r="J3" t="str">
            <v>実容量m3</v>
          </cell>
          <cell r="K3" t="str">
            <v>新図番</v>
          </cell>
          <cell r="L3" t="str">
            <v>pdf</v>
          </cell>
          <cell r="M3" t="str">
            <v>青森</v>
          </cell>
          <cell r="N3" t="str">
            <v>岩手</v>
          </cell>
          <cell r="O3" t="str">
            <v>宮城</v>
          </cell>
          <cell r="P3" t="str">
            <v>宮城(豪雪地)</v>
          </cell>
          <cell r="Q3" t="str">
            <v>秋田</v>
          </cell>
          <cell r="R3" t="str">
            <v>山形</v>
          </cell>
          <cell r="S3" t="str">
            <v>福島</v>
          </cell>
          <cell r="T3" t="str">
            <v>福島(豪雪地)</v>
          </cell>
          <cell r="U3" t="str">
            <v>茨城</v>
          </cell>
          <cell r="V3" t="str">
            <v>栃木</v>
          </cell>
          <cell r="W3" t="str">
            <v>群馬</v>
          </cell>
          <cell r="X3" t="str">
            <v>埼玉</v>
          </cell>
          <cell r="Y3" t="str">
            <v>千葉</v>
          </cell>
          <cell r="Z3" t="str">
            <v>東京</v>
          </cell>
          <cell r="AA3" t="str">
            <v>神奈川</v>
          </cell>
          <cell r="AB3" t="str">
            <v>山梨</v>
          </cell>
          <cell r="AC3" t="str">
            <v>長野</v>
          </cell>
          <cell r="AD3" t="str">
            <v>新潟</v>
          </cell>
          <cell r="AE3" t="str">
            <v>富山</v>
          </cell>
          <cell r="AF3" t="str">
            <v>石川</v>
          </cell>
          <cell r="AG3" t="str">
            <v>岐阜</v>
          </cell>
          <cell r="AH3" t="str">
            <v>静岡</v>
          </cell>
          <cell r="AI3" t="str">
            <v>愛知</v>
          </cell>
          <cell r="AJ3" t="str">
            <v>三重</v>
          </cell>
          <cell r="AK3" t="str">
            <v>福井</v>
          </cell>
          <cell r="AL3" t="str">
            <v>滋賀</v>
          </cell>
          <cell r="AM3" t="str">
            <v>京都</v>
          </cell>
          <cell r="AN3" t="str">
            <v>大阪</v>
          </cell>
          <cell r="AO3" t="str">
            <v>兵庫</v>
          </cell>
          <cell r="AP3" t="str">
            <v>奈良</v>
          </cell>
          <cell r="AQ3" t="str">
            <v>和歌山</v>
          </cell>
          <cell r="AR3" t="str">
            <v>鳥取</v>
          </cell>
          <cell r="AS3" t="str">
            <v>島根</v>
          </cell>
          <cell r="AT3" t="str">
            <v>岡山</v>
          </cell>
          <cell r="AU3" t="str">
            <v>広島</v>
          </cell>
          <cell r="AV3" t="str">
            <v>山口</v>
          </cell>
          <cell r="AW3" t="str">
            <v>徳島</v>
          </cell>
          <cell r="AX3" t="str">
            <v>香川</v>
          </cell>
          <cell r="AY3" t="str">
            <v>愛媛</v>
          </cell>
          <cell r="AZ3" t="str">
            <v>高知</v>
          </cell>
        </row>
        <row r="4">
          <cell r="A4" t="str">
            <v>V0500H15B30</v>
          </cell>
          <cell r="B4">
            <v>500</v>
          </cell>
          <cell r="C4">
            <v>1500</v>
          </cell>
          <cell r="D4">
            <v>3000</v>
          </cell>
          <cell r="E4">
            <v>11</v>
          </cell>
          <cell r="F4">
            <v>2</v>
          </cell>
          <cell r="G4">
            <v>1</v>
          </cell>
          <cell r="H4">
            <v>350</v>
          </cell>
          <cell r="I4">
            <v>50</v>
          </cell>
          <cell r="J4">
            <v>529.1</v>
          </cell>
          <cell r="K4" t="str">
            <v>Q-11002853</v>
          </cell>
          <cell r="L4" t="str">
            <v>\\hokukon-net2\hop\Program\01_MVPシステム_容量別組立図\.\01_余裕高0_0m\pdf\FB0_0500m3-MVP-1500-組-B3000_Q-11002853.pdf</v>
          </cell>
          <cell r="M4">
            <v>2458.4499999999998</v>
          </cell>
          <cell r="N4">
            <v>2494.84</v>
          </cell>
          <cell r="O4">
            <v>2411.41</v>
          </cell>
          <cell r="P4">
            <v>2412.66</v>
          </cell>
          <cell r="Q4">
            <v>2476.6999999999998</v>
          </cell>
          <cell r="R4">
            <v>2449.7199999999998</v>
          </cell>
          <cell r="S4">
            <v>2443.0300000000002</v>
          </cell>
          <cell r="T4">
            <v>2444.56</v>
          </cell>
          <cell r="U4">
            <v>2432.21</v>
          </cell>
          <cell r="V4">
            <v>2418.7199999999998</v>
          </cell>
          <cell r="W4">
            <v>2436.37</v>
          </cell>
          <cell r="X4">
            <v>2446.9299999999998</v>
          </cell>
          <cell r="Y4">
            <v>2448.02</v>
          </cell>
          <cell r="Z4">
            <v>2528.96</v>
          </cell>
          <cell r="AA4">
            <v>2459.34</v>
          </cell>
          <cell r="AB4">
            <v>2466.8200000000002</v>
          </cell>
          <cell r="AC4">
            <v>2572.69</v>
          </cell>
          <cell r="AD4">
            <v>2428.86</v>
          </cell>
          <cell r="AE4">
            <v>2464.1999999999998</v>
          </cell>
          <cell r="AF4">
            <v>2559.77</v>
          </cell>
          <cell r="AG4">
            <v>2432.25</v>
          </cell>
          <cell r="AH4">
            <v>2458.2199999999998</v>
          </cell>
          <cell r="AI4">
            <v>2409.66</v>
          </cell>
          <cell r="AJ4">
            <v>2463.81</v>
          </cell>
          <cell r="AK4">
            <v>2355.2800000000002</v>
          </cell>
          <cell r="AL4">
            <v>2459.98</v>
          </cell>
          <cell r="AM4">
            <v>2577.54</v>
          </cell>
          <cell r="AN4">
            <v>2491.96</v>
          </cell>
          <cell r="AO4">
            <v>2521.85</v>
          </cell>
          <cell r="AP4">
            <v>2516.58</v>
          </cell>
          <cell r="AQ4">
            <v>2543.2199999999998</v>
          </cell>
          <cell r="AR4">
            <v>2444.66</v>
          </cell>
          <cell r="AS4">
            <v>2585.42</v>
          </cell>
          <cell r="AT4">
            <v>2507.42</v>
          </cell>
          <cell r="AU4">
            <v>2519.04</v>
          </cell>
          <cell r="AV4">
            <v>2552.13</v>
          </cell>
          <cell r="AW4">
            <v>2484.1999999999998</v>
          </cell>
          <cell r="AX4">
            <v>2349.1</v>
          </cell>
          <cell r="AY4">
            <v>2436.35</v>
          </cell>
          <cell r="AZ4">
            <v>2313.6799999999998</v>
          </cell>
          <cell r="BA4">
            <v>2683.9</v>
          </cell>
        </row>
        <row r="5">
          <cell r="A5" t="str">
            <v>V0500H15B25</v>
          </cell>
          <cell r="B5">
            <v>500</v>
          </cell>
          <cell r="C5">
            <v>1500</v>
          </cell>
          <cell r="D5">
            <v>2500</v>
          </cell>
          <cell r="E5">
            <v>12</v>
          </cell>
          <cell r="F5">
            <v>2</v>
          </cell>
          <cell r="G5">
            <v>1</v>
          </cell>
          <cell r="H5">
            <v>350</v>
          </cell>
          <cell r="I5">
            <v>50</v>
          </cell>
          <cell r="J5">
            <v>535.9</v>
          </cell>
          <cell r="K5" t="str">
            <v>Q-11002852</v>
          </cell>
          <cell r="L5" t="str">
            <v>\\hokukon-net2\hop\Program\01_MVPシステム_容量別組立図\.\01_余裕高0_0m\pdf\FB0_0500m3-MVP-1500-組-B2500_Q-11002852.pdf</v>
          </cell>
          <cell r="M5">
            <v>2523.21</v>
          </cell>
          <cell r="N5">
            <v>2560.11</v>
          </cell>
          <cell r="O5">
            <v>2475.6</v>
          </cell>
          <cell r="P5">
            <v>2476.87</v>
          </cell>
          <cell r="Q5">
            <v>2541.63</v>
          </cell>
          <cell r="R5">
            <v>2514.25</v>
          </cell>
          <cell r="S5">
            <v>2507.35</v>
          </cell>
          <cell r="T5">
            <v>2508.9</v>
          </cell>
          <cell r="U5">
            <v>2496.92</v>
          </cell>
          <cell r="V5">
            <v>2483.16</v>
          </cell>
          <cell r="W5">
            <v>2501.13</v>
          </cell>
          <cell r="X5">
            <v>2512.0500000000002</v>
          </cell>
          <cell r="Y5">
            <v>2513.1999999999998</v>
          </cell>
          <cell r="Z5">
            <v>2595.56</v>
          </cell>
          <cell r="AA5">
            <v>2525</v>
          </cell>
          <cell r="AB5">
            <v>2532.34</v>
          </cell>
          <cell r="AC5">
            <v>2639.56</v>
          </cell>
          <cell r="AD5">
            <v>2493.4299999999998</v>
          </cell>
          <cell r="AE5">
            <v>2529.48</v>
          </cell>
          <cell r="AF5">
            <v>2626.63</v>
          </cell>
          <cell r="AG5">
            <v>2497.3000000000002</v>
          </cell>
          <cell r="AH5">
            <v>2523.63</v>
          </cell>
          <cell r="AI5">
            <v>2474.4899999999998</v>
          </cell>
          <cell r="AJ5">
            <v>2529.21</v>
          </cell>
          <cell r="AK5">
            <v>2418.94</v>
          </cell>
          <cell r="AL5">
            <v>2525.06</v>
          </cell>
          <cell r="AM5">
            <v>2644.43</v>
          </cell>
          <cell r="AN5">
            <v>2557.59</v>
          </cell>
          <cell r="AO5">
            <v>2587.77</v>
          </cell>
          <cell r="AP5">
            <v>2582.5100000000002</v>
          </cell>
          <cell r="AQ5">
            <v>2609.62</v>
          </cell>
          <cell r="AR5">
            <v>2509.17</v>
          </cell>
          <cell r="AS5">
            <v>2652.12</v>
          </cell>
          <cell r="AT5">
            <v>2573.23</v>
          </cell>
          <cell r="AU5">
            <v>2585.08</v>
          </cell>
          <cell r="AV5">
            <v>2618.4</v>
          </cell>
          <cell r="AW5">
            <v>2549.52</v>
          </cell>
          <cell r="AX5">
            <v>2412.62</v>
          </cell>
          <cell r="AY5">
            <v>2500.88</v>
          </cell>
          <cell r="AZ5">
            <v>2376.5300000000002</v>
          </cell>
          <cell r="BA5">
            <v>2767.81</v>
          </cell>
        </row>
        <row r="6">
          <cell r="A6" t="str">
            <v>V0500H15B20</v>
          </cell>
          <cell r="B6">
            <v>500</v>
          </cell>
          <cell r="C6">
            <v>1500</v>
          </cell>
          <cell r="D6">
            <v>2000</v>
          </cell>
          <cell r="E6">
            <v>13</v>
          </cell>
          <cell r="F6">
            <v>2</v>
          </cell>
          <cell r="G6">
            <v>1</v>
          </cell>
          <cell r="H6">
            <v>350</v>
          </cell>
          <cell r="I6">
            <v>50</v>
          </cell>
          <cell r="J6">
            <v>536.70000000000005</v>
          </cell>
          <cell r="K6" t="str">
            <v>Q-11002851</v>
          </cell>
          <cell r="L6" t="str">
            <v>\\hokukon-net2\hop\Program\01_MVPシステム_容量別組立図\.\01_余裕高0_0m\pdf\FB0_0500m3-MVP-1500-組-B2000_Q-11002851.pdf</v>
          </cell>
          <cell r="M6">
            <v>2569.06</v>
          </cell>
          <cell r="N6">
            <v>2606.13</v>
          </cell>
          <cell r="O6">
            <v>2521.4</v>
          </cell>
          <cell r="P6">
            <v>2522.69</v>
          </cell>
          <cell r="Q6">
            <v>2587.4699999999998</v>
          </cell>
          <cell r="R6">
            <v>2559.92</v>
          </cell>
          <cell r="S6">
            <v>2552.83</v>
          </cell>
          <cell r="T6">
            <v>2554.38</v>
          </cell>
          <cell r="U6">
            <v>2543.15</v>
          </cell>
          <cell r="V6">
            <v>2529.1999999999998</v>
          </cell>
          <cell r="W6">
            <v>2547.35</v>
          </cell>
          <cell r="X6">
            <v>2558.6</v>
          </cell>
          <cell r="Y6">
            <v>2559.7800000000002</v>
          </cell>
          <cell r="Z6">
            <v>2642.86</v>
          </cell>
          <cell r="AA6">
            <v>2572.06</v>
          </cell>
          <cell r="AB6">
            <v>2579.09</v>
          </cell>
          <cell r="AC6">
            <v>2686.55</v>
          </cell>
          <cell r="AD6">
            <v>2539.39</v>
          </cell>
          <cell r="AE6">
            <v>2575.9</v>
          </cell>
          <cell r="AF6">
            <v>2673.74</v>
          </cell>
          <cell r="AG6">
            <v>2543.88</v>
          </cell>
          <cell r="AH6">
            <v>2570.36</v>
          </cell>
          <cell r="AI6">
            <v>2521.12</v>
          </cell>
          <cell r="AJ6">
            <v>2575.83</v>
          </cell>
          <cell r="AK6">
            <v>2464.81</v>
          </cell>
          <cell r="AL6">
            <v>2571.33</v>
          </cell>
          <cell r="AM6">
            <v>2691.45</v>
          </cell>
          <cell r="AN6">
            <v>2604.1799999999998</v>
          </cell>
          <cell r="AO6">
            <v>2634.28</v>
          </cell>
          <cell r="AP6">
            <v>2629.14</v>
          </cell>
          <cell r="AQ6">
            <v>2656.46</v>
          </cell>
          <cell r="AR6">
            <v>2554.89</v>
          </cell>
          <cell r="AS6">
            <v>2698.72</v>
          </cell>
          <cell r="AT6">
            <v>2619.75</v>
          </cell>
          <cell r="AU6">
            <v>2631.73</v>
          </cell>
          <cell r="AV6">
            <v>2664.91</v>
          </cell>
          <cell r="AW6">
            <v>2595.7199999999998</v>
          </cell>
          <cell r="AX6">
            <v>2458.33</v>
          </cell>
          <cell r="AY6">
            <v>2546.7199999999998</v>
          </cell>
          <cell r="AZ6">
            <v>2421.88</v>
          </cell>
          <cell r="BA6">
            <v>2830.45</v>
          </cell>
        </row>
        <row r="7">
          <cell r="A7" t="str">
            <v>V0500H20B30</v>
          </cell>
          <cell r="B7">
            <v>500</v>
          </cell>
          <cell r="C7">
            <v>2000</v>
          </cell>
          <cell r="D7">
            <v>3000</v>
          </cell>
          <cell r="E7">
            <v>14</v>
          </cell>
          <cell r="F7">
            <v>1</v>
          </cell>
          <cell r="G7">
            <v>1</v>
          </cell>
          <cell r="H7">
            <v>350</v>
          </cell>
          <cell r="I7">
            <v>50</v>
          </cell>
          <cell r="J7">
            <v>533.29999999999995</v>
          </cell>
          <cell r="K7" t="str">
            <v>Q-11002856</v>
          </cell>
          <cell r="L7" t="str">
            <v>\\hokukon-net2\hop\Program\01_MVPシステム_容量別組立図\.\01_余裕高0_0m\pdf\FB0_0500m3-MVP-2000-組-B3000_Q-11002856.pdf</v>
          </cell>
          <cell r="M7">
            <v>1998.01</v>
          </cell>
          <cell r="N7">
            <v>2026</v>
          </cell>
          <cell r="O7">
            <v>1961.9</v>
          </cell>
          <cell r="P7">
            <v>1962.87</v>
          </cell>
          <cell r="Q7">
            <v>2011.74</v>
          </cell>
          <cell r="R7">
            <v>1991.08</v>
          </cell>
          <cell r="S7">
            <v>1985.87</v>
          </cell>
          <cell r="T7">
            <v>1987.05</v>
          </cell>
          <cell r="U7">
            <v>1977.81</v>
          </cell>
          <cell r="V7">
            <v>1967.37</v>
          </cell>
          <cell r="W7">
            <v>1981.07</v>
          </cell>
          <cell r="X7">
            <v>1989.28</v>
          </cell>
          <cell r="Y7">
            <v>1990.05</v>
          </cell>
          <cell r="Z7">
            <v>2052.4</v>
          </cell>
          <cell r="AA7">
            <v>1998.87</v>
          </cell>
          <cell r="AB7">
            <v>2004.61</v>
          </cell>
          <cell r="AC7">
            <v>2085.89</v>
          </cell>
          <cell r="AD7">
            <v>1975.11</v>
          </cell>
          <cell r="AE7">
            <v>2002.49</v>
          </cell>
          <cell r="AF7">
            <v>2075.9899999999998</v>
          </cell>
          <cell r="AG7">
            <v>1977.95</v>
          </cell>
          <cell r="AH7">
            <v>1997.82</v>
          </cell>
          <cell r="AI7">
            <v>1960.67</v>
          </cell>
          <cell r="AJ7">
            <v>2002.19</v>
          </cell>
          <cell r="AK7">
            <v>1918.65</v>
          </cell>
          <cell r="AL7">
            <v>1999.2</v>
          </cell>
          <cell r="AM7">
            <v>2089.77</v>
          </cell>
          <cell r="AN7">
            <v>2023.98</v>
          </cell>
          <cell r="AO7">
            <v>2046.91</v>
          </cell>
          <cell r="AP7">
            <v>2042.88</v>
          </cell>
          <cell r="AQ7">
            <v>2063.46</v>
          </cell>
          <cell r="AR7">
            <v>1987.26</v>
          </cell>
          <cell r="AS7">
            <v>2095.59</v>
          </cell>
          <cell r="AT7">
            <v>2035.66</v>
          </cell>
          <cell r="AU7">
            <v>2044.59</v>
          </cell>
          <cell r="AV7">
            <v>2069.89</v>
          </cell>
          <cell r="AW7">
            <v>2017.65</v>
          </cell>
          <cell r="AX7">
            <v>1913.72</v>
          </cell>
          <cell r="AY7">
            <v>1980.77</v>
          </cell>
          <cell r="AZ7">
            <v>1886.35</v>
          </cell>
          <cell r="BA7">
            <v>2198.94</v>
          </cell>
        </row>
        <row r="8">
          <cell r="A8" t="str">
            <v>V0500H20B25</v>
          </cell>
          <cell r="B8">
            <v>500</v>
          </cell>
          <cell r="C8">
            <v>2000</v>
          </cell>
          <cell r="D8">
            <v>2500</v>
          </cell>
          <cell r="E8">
            <v>14</v>
          </cell>
          <cell r="F8">
            <v>1</v>
          </cell>
          <cell r="G8">
            <v>1</v>
          </cell>
          <cell r="H8">
            <v>350</v>
          </cell>
          <cell r="I8">
            <v>50</v>
          </cell>
          <cell r="J8">
            <v>503.8</v>
          </cell>
          <cell r="K8" t="str">
            <v>Q-11002855</v>
          </cell>
          <cell r="L8" t="str">
            <v>\\hokukon-net2\hop\Program\01_MVPシステム_容量別組立図\.\01_余裕高0_0m\pdf\FB0_0500m3-MVP-2000-組-B2500_Q-11002855.pdf</v>
          </cell>
          <cell r="M8">
            <v>1928.85</v>
          </cell>
          <cell r="N8">
            <v>1955.51</v>
          </cell>
          <cell r="O8">
            <v>1894.78</v>
          </cell>
          <cell r="P8">
            <v>1895.71</v>
          </cell>
          <cell r="Q8">
            <v>1941.84</v>
          </cell>
          <cell r="R8">
            <v>1922.19</v>
          </cell>
          <cell r="S8">
            <v>1917.08</v>
          </cell>
          <cell r="T8">
            <v>1918.21</v>
          </cell>
          <cell r="U8">
            <v>1910.26</v>
          </cell>
          <cell r="V8">
            <v>1900.23</v>
          </cell>
          <cell r="W8">
            <v>1913.29</v>
          </cell>
          <cell r="X8">
            <v>1921.4</v>
          </cell>
          <cell r="Y8">
            <v>1922.17</v>
          </cell>
          <cell r="Z8">
            <v>1981.68</v>
          </cell>
          <cell r="AA8">
            <v>1930.83</v>
          </cell>
          <cell r="AB8">
            <v>1936.03</v>
          </cell>
          <cell r="AC8">
            <v>2012.92</v>
          </cell>
          <cell r="AD8">
            <v>1907.22</v>
          </cell>
          <cell r="AE8">
            <v>1933.54</v>
          </cell>
          <cell r="AF8">
            <v>2003.61</v>
          </cell>
          <cell r="AG8">
            <v>1910.6</v>
          </cell>
          <cell r="AH8">
            <v>1929.51</v>
          </cell>
          <cell r="AI8">
            <v>1894.3</v>
          </cell>
          <cell r="AJ8">
            <v>1933.51</v>
          </cell>
          <cell r="AK8">
            <v>1853.97</v>
          </cell>
          <cell r="AL8">
            <v>1930.46</v>
          </cell>
          <cell r="AM8">
            <v>2016.71</v>
          </cell>
          <cell r="AN8">
            <v>1954.22</v>
          </cell>
          <cell r="AO8">
            <v>1975.81</v>
          </cell>
          <cell r="AP8">
            <v>1972.13</v>
          </cell>
          <cell r="AQ8">
            <v>1991.76</v>
          </cell>
          <cell r="AR8">
            <v>1918.59</v>
          </cell>
          <cell r="AS8">
            <v>2021.67</v>
          </cell>
          <cell r="AT8">
            <v>1965.03</v>
          </cell>
          <cell r="AU8">
            <v>1973.53</v>
          </cell>
          <cell r="AV8">
            <v>1997.32</v>
          </cell>
          <cell r="AW8">
            <v>1947.65</v>
          </cell>
          <cell r="AX8">
            <v>1848.95</v>
          </cell>
          <cell r="AY8">
            <v>1912.5</v>
          </cell>
          <cell r="AZ8">
            <v>1822.8</v>
          </cell>
          <cell r="BA8">
            <v>2130.6999999999998</v>
          </cell>
        </row>
        <row r="9">
          <cell r="A9" t="str">
            <v>V0500H20B20</v>
          </cell>
          <cell r="B9">
            <v>500</v>
          </cell>
          <cell r="C9">
            <v>2000</v>
          </cell>
          <cell r="D9">
            <v>2000</v>
          </cell>
          <cell r="E9">
            <v>15</v>
          </cell>
          <cell r="F9">
            <v>1</v>
          </cell>
          <cell r="G9">
            <v>1</v>
          </cell>
          <cell r="H9">
            <v>350</v>
          </cell>
          <cell r="I9">
            <v>50</v>
          </cell>
          <cell r="J9">
            <v>506.5</v>
          </cell>
          <cell r="K9" t="str">
            <v>Q-11002854</v>
          </cell>
          <cell r="L9" t="str">
            <v>\\hokukon-net2\hop\Program\01_MVPシステム_容量別組立図\.\01_余裕高0_0m\pdf\FB0_0500m3-MVP-2000-組-B2000_Q-11002854.pdf</v>
          </cell>
          <cell r="M9">
            <v>1973.83</v>
          </cell>
          <cell r="N9">
            <v>2000.74</v>
          </cell>
          <cell r="O9">
            <v>1939.52</v>
          </cell>
          <cell r="P9">
            <v>1940.46</v>
          </cell>
          <cell r="Q9">
            <v>1986.87</v>
          </cell>
          <cell r="R9">
            <v>1967.01</v>
          </cell>
          <cell r="S9">
            <v>1961.73</v>
          </cell>
          <cell r="T9">
            <v>1962.87</v>
          </cell>
          <cell r="U9">
            <v>1955.39</v>
          </cell>
          <cell r="V9">
            <v>1945.17</v>
          </cell>
          <cell r="W9">
            <v>1958.4</v>
          </cell>
          <cell r="X9">
            <v>1966.79</v>
          </cell>
          <cell r="Y9">
            <v>1967.59</v>
          </cell>
          <cell r="Z9">
            <v>2027.9</v>
          </cell>
          <cell r="AA9">
            <v>1976.59</v>
          </cell>
          <cell r="AB9">
            <v>1981.64</v>
          </cell>
          <cell r="AC9">
            <v>2059.09</v>
          </cell>
          <cell r="AD9">
            <v>1952.1</v>
          </cell>
          <cell r="AE9">
            <v>1978.86</v>
          </cell>
          <cell r="AF9">
            <v>2049.79</v>
          </cell>
          <cell r="AG9">
            <v>1955.92</v>
          </cell>
          <cell r="AH9">
            <v>1975.05</v>
          </cell>
          <cell r="AI9">
            <v>1939.57</v>
          </cell>
          <cell r="AJ9">
            <v>1978.99</v>
          </cell>
          <cell r="AK9">
            <v>1898.51</v>
          </cell>
          <cell r="AL9">
            <v>1975.73</v>
          </cell>
          <cell r="AM9">
            <v>2062.94</v>
          </cell>
          <cell r="AN9">
            <v>1999.84</v>
          </cell>
          <cell r="AO9">
            <v>2021.51</v>
          </cell>
          <cell r="AP9">
            <v>2017.88</v>
          </cell>
          <cell r="AQ9">
            <v>2037.77</v>
          </cell>
          <cell r="AR9">
            <v>1963.42</v>
          </cell>
          <cell r="AS9">
            <v>2067.63</v>
          </cell>
          <cell r="AT9">
            <v>2010.63</v>
          </cell>
          <cell r="AU9">
            <v>2019.26</v>
          </cell>
          <cell r="AV9">
            <v>2043.1</v>
          </cell>
          <cell r="AW9">
            <v>1992.92</v>
          </cell>
          <cell r="AX9">
            <v>1893.35</v>
          </cell>
          <cell r="AY9">
            <v>1957.34</v>
          </cell>
          <cell r="AZ9">
            <v>1866.79</v>
          </cell>
          <cell r="BA9">
            <v>2189.77</v>
          </cell>
        </row>
        <row r="10">
          <cell r="A10" t="str">
            <v>V0500H25B30</v>
          </cell>
          <cell r="B10">
            <v>500</v>
          </cell>
          <cell r="C10">
            <v>2500</v>
          </cell>
          <cell r="D10">
            <v>3000</v>
          </cell>
          <cell r="E10">
            <v>11</v>
          </cell>
          <cell r="F10">
            <v>2</v>
          </cell>
          <cell r="G10">
            <v>1</v>
          </cell>
          <cell r="H10">
            <v>300</v>
          </cell>
          <cell r="I10">
            <v>50</v>
          </cell>
          <cell r="J10">
            <v>532.9</v>
          </cell>
          <cell r="K10" t="str">
            <v>Q-11002859</v>
          </cell>
          <cell r="L10" t="str">
            <v>\\hokukon-net2\hop\Program\01_MVPシステム_容量別組立図\.\01_余裕高0_0m\pdf\FB0_0500m3-MVP-2500-組-B3000_Q-11002859.pdf</v>
          </cell>
          <cell r="M10">
            <v>2077.73</v>
          </cell>
          <cell r="N10">
            <v>2099.33</v>
          </cell>
          <cell r="O10">
            <v>2053.41</v>
          </cell>
          <cell r="P10">
            <v>2054.15</v>
          </cell>
          <cell r="Q10">
            <v>2088.13</v>
          </cell>
          <cell r="R10">
            <v>2072.41</v>
          </cell>
          <cell r="S10">
            <v>2067.19</v>
          </cell>
          <cell r="T10">
            <v>2068.08</v>
          </cell>
          <cell r="U10">
            <v>2071.44</v>
          </cell>
          <cell r="V10">
            <v>2062.35</v>
          </cell>
          <cell r="W10">
            <v>2072.9</v>
          </cell>
          <cell r="X10">
            <v>2083.0500000000002</v>
          </cell>
          <cell r="Y10">
            <v>2084.5300000000002</v>
          </cell>
          <cell r="Z10">
            <v>2134.35</v>
          </cell>
          <cell r="AA10">
            <v>2093.77</v>
          </cell>
          <cell r="AB10">
            <v>2094.88</v>
          </cell>
          <cell r="AC10">
            <v>2151.29</v>
          </cell>
          <cell r="AD10">
            <v>2062.6799999999998</v>
          </cell>
          <cell r="AE10">
            <v>2085.6</v>
          </cell>
          <cell r="AF10">
            <v>2143.29</v>
          </cell>
          <cell r="AG10">
            <v>2072.87</v>
          </cell>
          <cell r="AH10">
            <v>2089.06</v>
          </cell>
          <cell r="AI10">
            <v>2061.39</v>
          </cell>
          <cell r="AJ10">
            <v>2090.06</v>
          </cell>
          <cell r="AK10">
            <v>2025.73</v>
          </cell>
          <cell r="AL10">
            <v>2084.8000000000002</v>
          </cell>
          <cell r="AM10">
            <v>2154.0300000000002</v>
          </cell>
          <cell r="AN10">
            <v>2105.4299999999998</v>
          </cell>
          <cell r="AO10">
            <v>2120.17</v>
          </cell>
          <cell r="AP10">
            <v>2119.21</v>
          </cell>
          <cell r="AQ10">
            <v>2134.77</v>
          </cell>
          <cell r="AR10">
            <v>2071.2600000000002</v>
          </cell>
          <cell r="AS10">
            <v>2153.04</v>
          </cell>
          <cell r="AT10">
            <v>2110.81</v>
          </cell>
          <cell r="AU10">
            <v>2117.46</v>
          </cell>
          <cell r="AV10">
            <v>2134.7199999999998</v>
          </cell>
          <cell r="AW10">
            <v>2093.83</v>
          </cell>
          <cell r="AX10">
            <v>2017.99</v>
          </cell>
          <cell r="AY10">
            <v>2065.6999999999998</v>
          </cell>
          <cell r="AZ10">
            <v>1995.27</v>
          </cell>
          <cell r="BA10">
            <v>2294.42</v>
          </cell>
        </row>
        <row r="11">
          <cell r="A11" t="str">
            <v>V0500H25B25</v>
          </cell>
          <cell r="B11">
            <v>500</v>
          </cell>
          <cell r="C11">
            <v>2500</v>
          </cell>
          <cell r="D11">
            <v>2500</v>
          </cell>
          <cell r="E11">
            <v>12</v>
          </cell>
          <cell r="F11">
            <v>2</v>
          </cell>
          <cell r="G11">
            <v>1</v>
          </cell>
          <cell r="H11">
            <v>300</v>
          </cell>
          <cell r="I11">
            <v>50</v>
          </cell>
          <cell r="J11">
            <v>531.1</v>
          </cell>
          <cell r="K11" t="str">
            <v>Q-11002858</v>
          </cell>
          <cell r="L11" t="str">
            <v>\\hokukon-net2\hop\Program\01_MVPシステム_容量別組立図\.\01_余裕高0_0m\pdf\FB0_0500m3-MVP-2500-組-B2500_Q-11002858.pdf</v>
          </cell>
          <cell r="M11">
            <v>2130.67</v>
          </cell>
          <cell r="N11">
            <v>2152.2800000000002</v>
          </cell>
          <cell r="O11">
            <v>2106.54</v>
          </cell>
          <cell r="P11">
            <v>2107.29</v>
          </cell>
          <cell r="Q11">
            <v>2141.0100000000002</v>
          </cell>
          <cell r="R11">
            <v>2125.2600000000002</v>
          </cell>
          <cell r="S11">
            <v>2119.84</v>
          </cell>
          <cell r="T11">
            <v>2120.7399999999998</v>
          </cell>
          <cell r="U11">
            <v>2124.94</v>
          </cell>
          <cell r="V11">
            <v>2115.7399999999998</v>
          </cell>
          <cell r="W11">
            <v>2126.36</v>
          </cell>
          <cell r="X11">
            <v>2136.8200000000002</v>
          </cell>
          <cell r="Y11">
            <v>2138.33</v>
          </cell>
          <cell r="Z11">
            <v>2188.52</v>
          </cell>
          <cell r="AA11">
            <v>2147.98</v>
          </cell>
          <cell r="AB11">
            <v>2148.7800000000002</v>
          </cell>
          <cell r="AC11">
            <v>2204.9</v>
          </cell>
          <cell r="AD11">
            <v>2115.89</v>
          </cell>
          <cell r="AE11">
            <v>2139.13</v>
          </cell>
          <cell r="AF11">
            <v>2197.08</v>
          </cell>
          <cell r="AG11">
            <v>2126.73</v>
          </cell>
          <cell r="AH11">
            <v>2142.9499999999998</v>
          </cell>
          <cell r="AI11">
            <v>2115.39</v>
          </cell>
          <cell r="AJ11">
            <v>2143.79</v>
          </cell>
          <cell r="AK11">
            <v>2079.23</v>
          </cell>
          <cell r="AL11">
            <v>2138.21</v>
          </cell>
          <cell r="AM11">
            <v>2207.63</v>
          </cell>
          <cell r="AN11">
            <v>2159.02</v>
          </cell>
          <cell r="AO11">
            <v>2173.5300000000002</v>
          </cell>
          <cell r="AP11">
            <v>2172.73</v>
          </cell>
          <cell r="AQ11">
            <v>2188.38</v>
          </cell>
          <cell r="AR11">
            <v>2124.1799999999998</v>
          </cell>
          <cell r="AS11">
            <v>2206.17</v>
          </cell>
          <cell r="AT11">
            <v>2164.2399999999998</v>
          </cell>
          <cell r="AU11">
            <v>2170.96</v>
          </cell>
          <cell r="AV11">
            <v>2187.9299999999998</v>
          </cell>
          <cell r="AW11">
            <v>2147.0300000000002</v>
          </cell>
          <cell r="AX11">
            <v>2071.34</v>
          </cell>
          <cell r="AY11">
            <v>2118.7600000000002</v>
          </cell>
          <cell r="AZ11">
            <v>2048.4</v>
          </cell>
          <cell r="BA11">
            <v>2363.56</v>
          </cell>
        </row>
        <row r="12">
          <cell r="A12" t="str">
            <v>V0500H25B20</v>
          </cell>
          <cell r="B12">
            <v>500</v>
          </cell>
          <cell r="C12">
            <v>2500</v>
          </cell>
          <cell r="D12">
            <v>2000</v>
          </cell>
          <cell r="E12">
            <v>13</v>
          </cell>
          <cell r="F12">
            <v>2</v>
          </cell>
          <cell r="G12">
            <v>1</v>
          </cell>
          <cell r="H12">
            <v>300</v>
          </cell>
          <cell r="I12">
            <v>50</v>
          </cell>
          <cell r="J12">
            <v>521.9</v>
          </cell>
          <cell r="K12" t="str">
            <v>Q-11002857</v>
          </cell>
          <cell r="L12" t="str">
            <v>\\hokukon-net2\hop\Program\01_MVPシステム_容量別組立図\.\01_余裕高0_0m\pdf\FB0_0500m3-MVP-2500-組-B2000_Q-11002857.pdf</v>
          </cell>
          <cell r="M12">
            <v>2167.15</v>
          </cell>
          <cell r="N12">
            <v>2188.52</v>
          </cell>
          <cell r="O12">
            <v>2143.58</v>
          </cell>
          <cell r="P12">
            <v>2144.3200000000002</v>
          </cell>
          <cell r="Q12">
            <v>2177.2600000000002</v>
          </cell>
          <cell r="R12">
            <v>2161.64</v>
          </cell>
          <cell r="S12">
            <v>2156.11</v>
          </cell>
          <cell r="T12">
            <v>2157</v>
          </cell>
          <cell r="U12">
            <v>2162.2600000000002</v>
          </cell>
          <cell r="V12">
            <v>2153</v>
          </cell>
          <cell r="W12">
            <v>2163.6</v>
          </cell>
          <cell r="X12">
            <v>2174.33</v>
          </cell>
          <cell r="Y12">
            <v>2175.88</v>
          </cell>
          <cell r="Z12">
            <v>2225.89</v>
          </cell>
          <cell r="AA12">
            <v>2185.92</v>
          </cell>
          <cell r="AB12">
            <v>2186.27</v>
          </cell>
          <cell r="AC12">
            <v>2241.33</v>
          </cell>
          <cell r="AD12">
            <v>2152.86</v>
          </cell>
          <cell r="AE12">
            <v>2176.1999999999998</v>
          </cell>
          <cell r="AF12">
            <v>2233.79</v>
          </cell>
          <cell r="AG12">
            <v>2164.42</v>
          </cell>
          <cell r="AH12">
            <v>2180.52</v>
          </cell>
          <cell r="AI12">
            <v>2153.4499999999998</v>
          </cell>
          <cell r="AJ12">
            <v>2181.15</v>
          </cell>
          <cell r="AK12">
            <v>2117.08</v>
          </cell>
          <cell r="AL12">
            <v>2175.23</v>
          </cell>
          <cell r="AM12">
            <v>2244.0500000000002</v>
          </cell>
          <cell r="AN12">
            <v>2195.9899999999998</v>
          </cell>
          <cell r="AO12">
            <v>2210.08</v>
          </cell>
          <cell r="AP12">
            <v>2209.5</v>
          </cell>
          <cell r="AQ12">
            <v>2225.06</v>
          </cell>
          <cell r="AR12">
            <v>2160.6799999999998</v>
          </cell>
          <cell r="AS12">
            <v>2241.91</v>
          </cell>
          <cell r="AT12">
            <v>2200.9299999999998</v>
          </cell>
          <cell r="AU12">
            <v>2207.63</v>
          </cell>
          <cell r="AV12">
            <v>2224.02</v>
          </cell>
          <cell r="AW12">
            <v>2183.6</v>
          </cell>
          <cell r="AX12">
            <v>2109.0100000000002</v>
          </cell>
          <cell r="AY12">
            <v>2155.5100000000002</v>
          </cell>
          <cell r="AZ12">
            <v>2086.09</v>
          </cell>
          <cell r="BA12" t="e">
            <v>#N/A</v>
          </cell>
        </row>
        <row r="13">
          <cell r="A13" t="str">
            <v>V0500H30B30</v>
          </cell>
          <cell r="B13">
            <v>500</v>
          </cell>
          <cell r="C13">
            <v>3000</v>
          </cell>
          <cell r="D13">
            <v>3000</v>
          </cell>
          <cell r="E13">
            <v>9</v>
          </cell>
          <cell r="F13">
            <v>2</v>
          </cell>
          <cell r="G13">
            <v>1</v>
          </cell>
          <cell r="H13">
            <v>300</v>
          </cell>
          <cell r="I13">
            <v>50</v>
          </cell>
          <cell r="J13">
            <v>531.79999999999995</v>
          </cell>
          <cell r="K13" t="str">
            <v>Q-11002862</v>
          </cell>
          <cell r="L13" t="str">
            <v>\\hokukon-net2\hop\Program\01_MVPシステム_容量別組立図\.\01_余裕高0_0m\pdf\FB0_0500m3-MVP-3000-組-B3000_Q-11002862.pdf</v>
          </cell>
          <cell r="M13">
            <v>1914.43</v>
          </cell>
          <cell r="N13">
            <v>1932.96</v>
          </cell>
          <cell r="O13">
            <v>1895.01</v>
          </cell>
          <cell r="P13">
            <v>1895.64</v>
          </cell>
          <cell r="Q13">
            <v>1923.06</v>
          </cell>
          <cell r="R13">
            <v>1909.67</v>
          </cell>
          <cell r="S13">
            <v>1904.7</v>
          </cell>
          <cell r="T13">
            <v>1905.45</v>
          </cell>
          <cell r="U13">
            <v>1911.74</v>
          </cell>
          <cell r="V13">
            <v>1903.77</v>
          </cell>
          <cell r="W13">
            <v>1912.4</v>
          </cell>
          <cell r="X13">
            <v>1922.21</v>
          </cell>
          <cell r="Y13">
            <v>1923.72</v>
          </cell>
          <cell r="Z13">
            <v>1966.39</v>
          </cell>
          <cell r="AA13">
            <v>1932.32</v>
          </cell>
          <cell r="AB13">
            <v>1932.29</v>
          </cell>
          <cell r="AC13">
            <v>1978.11</v>
          </cell>
          <cell r="AD13">
            <v>1902.02</v>
          </cell>
          <cell r="AE13">
            <v>1922.42</v>
          </cell>
          <cell r="AF13">
            <v>1971.45</v>
          </cell>
          <cell r="AG13">
            <v>1913.23</v>
          </cell>
          <cell r="AH13">
            <v>1927.03</v>
          </cell>
          <cell r="AI13">
            <v>1904.15</v>
          </cell>
          <cell r="AJ13">
            <v>1927.13</v>
          </cell>
          <cell r="AK13">
            <v>1872.94</v>
          </cell>
          <cell r="AL13">
            <v>1922.33</v>
          </cell>
          <cell r="AM13">
            <v>1980.85</v>
          </cell>
          <cell r="AN13">
            <v>1940.54</v>
          </cell>
          <cell r="AO13">
            <v>1952.09</v>
          </cell>
          <cell r="AP13">
            <v>1951.7</v>
          </cell>
          <cell r="AQ13">
            <v>1964.98</v>
          </cell>
          <cell r="AR13">
            <v>1908.84</v>
          </cell>
          <cell r="AS13">
            <v>1977.5</v>
          </cell>
          <cell r="AT13">
            <v>1943.45</v>
          </cell>
          <cell r="AU13">
            <v>1948.95</v>
          </cell>
          <cell r="AV13">
            <v>1962.63</v>
          </cell>
          <cell r="AW13">
            <v>1928.18</v>
          </cell>
          <cell r="AX13">
            <v>1864.75</v>
          </cell>
          <cell r="AY13">
            <v>1904.23</v>
          </cell>
          <cell r="AZ13">
            <v>1845.26</v>
          </cell>
          <cell r="BA13" t="e">
            <v>#N/A</v>
          </cell>
        </row>
        <row r="14">
          <cell r="A14" t="str">
            <v>V0500H30B25</v>
          </cell>
          <cell r="B14">
            <v>500</v>
          </cell>
          <cell r="C14">
            <v>3000</v>
          </cell>
          <cell r="D14">
            <v>2500</v>
          </cell>
          <cell r="E14">
            <v>10</v>
          </cell>
          <cell r="F14">
            <v>2</v>
          </cell>
          <cell r="G14">
            <v>1</v>
          </cell>
          <cell r="H14">
            <v>300</v>
          </cell>
          <cell r="I14">
            <v>50</v>
          </cell>
          <cell r="J14">
            <v>538.9</v>
          </cell>
          <cell r="K14" t="str">
            <v>Q-11002861</v>
          </cell>
          <cell r="L14" t="str">
            <v>\\hokukon-net2\hop\Program\01_MVPシステム_容量別組立図\.\01_余裕高0_0m\pdf\FB0_0500m3-MVP-3000-組-B2500_Q-11002861.pdf</v>
          </cell>
          <cell r="M14">
            <v>1979.69</v>
          </cell>
          <cell r="N14">
            <v>1998.45</v>
          </cell>
          <cell r="O14">
            <v>1960.06</v>
          </cell>
          <cell r="P14">
            <v>1960.7</v>
          </cell>
          <cell r="Q14">
            <v>1988.41</v>
          </cell>
          <cell r="R14">
            <v>1974.83</v>
          </cell>
          <cell r="S14">
            <v>1969.7</v>
          </cell>
          <cell r="T14">
            <v>1970.48</v>
          </cell>
          <cell r="U14">
            <v>1977.21</v>
          </cell>
          <cell r="V14">
            <v>1969.06</v>
          </cell>
          <cell r="W14">
            <v>1977.91</v>
          </cell>
          <cell r="X14">
            <v>1987.98</v>
          </cell>
          <cell r="Y14">
            <v>1989.51</v>
          </cell>
          <cell r="Z14">
            <v>2032.98</v>
          </cell>
          <cell r="AA14">
            <v>1998.46</v>
          </cell>
          <cell r="AB14">
            <v>1998.29</v>
          </cell>
          <cell r="AC14">
            <v>2044.65</v>
          </cell>
          <cell r="AD14">
            <v>1967.26</v>
          </cell>
          <cell r="AE14">
            <v>1988.09</v>
          </cell>
          <cell r="AF14">
            <v>2037.97</v>
          </cell>
          <cell r="AG14">
            <v>1978.92</v>
          </cell>
          <cell r="AH14">
            <v>1992.99</v>
          </cell>
          <cell r="AI14">
            <v>1969.8</v>
          </cell>
          <cell r="AJ14">
            <v>1993.02</v>
          </cell>
          <cell r="AK14">
            <v>1937.86</v>
          </cell>
          <cell r="AL14">
            <v>1987.93</v>
          </cell>
          <cell r="AM14">
            <v>2047.37</v>
          </cell>
          <cell r="AN14">
            <v>2006.44</v>
          </cell>
          <cell r="AO14">
            <v>2018.07</v>
          </cell>
          <cell r="AP14">
            <v>2017.78</v>
          </cell>
          <cell r="AQ14">
            <v>2031.27</v>
          </cell>
          <cell r="AR14">
            <v>1974.02</v>
          </cell>
          <cell r="AS14">
            <v>2043.83</v>
          </cell>
          <cell r="AT14">
            <v>2009.41</v>
          </cell>
          <cell r="AU14">
            <v>2015.03</v>
          </cell>
          <cell r="AV14">
            <v>2028.77</v>
          </cell>
          <cell r="AW14">
            <v>1993.8</v>
          </cell>
          <cell r="AX14">
            <v>1929.58</v>
          </cell>
          <cell r="AY14">
            <v>1969.45</v>
          </cell>
          <cell r="AZ14">
            <v>1909.64</v>
          </cell>
          <cell r="BA14" t="e">
            <v>#N/A</v>
          </cell>
        </row>
        <row r="15">
          <cell r="A15" t="str">
            <v>V0500H30B20</v>
          </cell>
          <cell r="B15">
            <v>500</v>
          </cell>
          <cell r="C15">
            <v>3000</v>
          </cell>
          <cell r="D15">
            <v>2000</v>
          </cell>
          <cell r="E15">
            <v>11</v>
          </cell>
          <cell r="F15">
            <v>2</v>
          </cell>
          <cell r="G15">
            <v>1</v>
          </cell>
          <cell r="H15">
            <v>300</v>
          </cell>
          <cell r="I15">
            <v>50</v>
          </cell>
          <cell r="J15">
            <v>537</v>
          </cell>
          <cell r="K15" t="str">
            <v>Q-11002860</v>
          </cell>
          <cell r="L15" t="str">
            <v>\\hokukon-net2\hop\Program\01_MVPシステム_容量別組立図\.\01_余裕高0_0m\pdf\FB0_0500m3-MVP-3000-組-B2000_Q-11002860.pdf</v>
          </cell>
          <cell r="M15">
            <v>2034.64</v>
          </cell>
          <cell r="N15">
            <v>2053.39</v>
          </cell>
          <cell r="O15">
            <v>2015.24</v>
          </cell>
          <cell r="P15">
            <v>2015.88</v>
          </cell>
          <cell r="Q15">
            <v>2043.27</v>
          </cell>
          <cell r="R15">
            <v>2029.67</v>
          </cell>
          <cell r="S15">
            <v>2024.37</v>
          </cell>
          <cell r="T15">
            <v>2025.14</v>
          </cell>
          <cell r="U15">
            <v>2032.8</v>
          </cell>
          <cell r="V15">
            <v>2024.51</v>
          </cell>
          <cell r="W15">
            <v>2033.45</v>
          </cell>
          <cell r="X15">
            <v>2043.85</v>
          </cell>
          <cell r="Y15">
            <v>2045.42</v>
          </cell>
          <cell r="Z15">
            <v>2089.2600000000002</v>
          </cell>
          <cell r="AA15">
            <v>2054.83</v>
          </cell>
          <cell r="AB15">
            <v>2054.2800000000002</v>
          </cell>
          <cell r="AC15">
            <v>2100.2800000000002</v>
          </cell>
          <cell r="AD15">
            <v>2022.53</v>
          </cell>
          <cell r="AE15">
            <v>2043.67</v>
          </cell>
          <cell r="AF15">
            <v>2093.8200000000002</v>
          </cell>
          <cell r="AG15">
            <v>2034.89</v>
          </cell>
          <cell r="AH15">
            <v>2048.9899999999998</v>
          </cell>
          <cell r="AI15">
            <v>2025.95</v>
          </cell>
          <cell r="AJ15">
            <v>2048.84</v>
          </cell>
          <cell r="AK15">
            <v>1993.47</v>
          </cell>
          <cell r="AL15">
            <v>2043.4</v>
          </cell>
          <cell r="AM15">
            <v>2103.02</v>
          </cell>
          <cell r="AN15">
            <v>2062.09</v>
          </cell>
          <cell r="AO15">
            <v>2073.46</v>
          </cell>
          <cell r="AP15">
            <v>2073.34</v>
          </cell>
          <cell r="AQ15">
            <v>2086.92</v>
          </cell>
          <cell r="AR15">
            <v>2028.94</v>
          </cell>
          <cell r="AS15">
            <v>2098.92</v>
          </cell>
          <cell r="AT15">
            <v>2064.88</v>
          </cell>
          <cell r="AU15">
            <v>2070.56</v>
          </cell>
          <cell r="AV15">
            <v>2083.96</v>
          </cell>
          <cell r="AW15">
            <v>2049.02</v>
          </cell>
          <cell r="AX15">
            <v>1985</v>
          </cell>
          <cell r="AY15">
            <v>2024.54</v>
          </cell>
          <cell r="AZ15">
            <v>1964.86</v>
          </cell>
          <cell r="BA15" t="e">
            <v>#N/A</v>
          </cell>
        </row>
        <row r="16">
          <cell r="A16" t="str">
            <v>V0500H35B30</v>
          </cell>
          <cell r="B16">
            <v>500</v>
          </cell>
          <cell r="C16">
            <v>3500</v>
          </cell>
          <cell r="D16">
            <v>3000</v>
          </cell>
          <cell r="E16">
            <v>8</v>
          </cell>
          <cell r="F16">
            <v>2</v>
          </cell>
          <cell r="G16">
            <v>1</v>
          </cell>
          <cell r="H16">
            <v>300</v>
          </cell>
          <cell r="I16">
            <v>50</v>
          </cell>
          <cell r="J16">
            <v>557.70000000000005</v>
          </cell>
          <cell r="K16" t="str">
            <v>Q-11002865</v>
          </cell>
          <cell r="L16" t="str">
            <v>\\hokukon-net2\hop\Program\01_MVPシステム_容量別組立図\.\01_余裕高0_0m\pdf\FB0_0500m3-MVP-3500-組-B3000_Q-11002865.pdf</v>
          </cell>
          <cell r="M16">
            <v>1873.67</v>
          </cell>
          <cell r="N16">
            <v>1890.8</v>
          </cell>
          <cell r="O16">
            <v>1856.91</v>
          </cell>
          <cell r="P16">
            <v>1857.47</v>
          </cell>
          <cell r="Q16">
            <v>1881.41</v>
          </cell>
          <cell r="R16">
            <v>1869.24</v>
          </cell>
          <cell r="S16">
            <v>1864.35</v>
          </cell>
          <cell r="T16">
            <v>1865.04</v>
          </cell>
          <cell r="U16">
            <v>1873.1</v>
          </cell>
          <cell r="V16">
            <v>1865.62</v>
          </cell>
          <cell r="W16">
            <v>1873.34</v>
          </cell>
          <cell r="X16">
            <v>1883.05</v>
          </cell>
          <cell r="Y16">
            <v>1884.54</v>
          </cell>
          <cell r="Z16">
            <v>1923.71</v>
          </cell>
          <cell r="AA16">
            <v>1892.93</v>
          </cell>
          <cell r="AB16">
            <v>1892.26</v>
          </cell>
          <cell r="AC16">
            <v>1932.56</v>
          </cell>
          <cell r="AD16">
            <v>1862.47</v>
          </cell>
          <cell r="AE16">
            <v>1881.68</v>
          </cell>
          <cell r="AF16">
            <v>1926.49</v>
          </cell>
          <cell r="AG16">
            <v>1874.47</v>
          </cell>
          <cell r="AH16">
            <v>1887.31</v>
          </cell>
          <cell r="AI16">
            <v>1866.64</v>
          </cell>
          <cell r="AJ16">
            <v>1886.75</v>
          </cell>
          <cell r="AK16">
            <v>1837.53</v>
          </cell>
          <cell r="AL16">
            <v>1882.18</v>
          </cell>
          <cell r="AM16">
            <v>1935.31</v>
          </cell>
          <cell r="AN16">
            <v>1899.27</v>
          </cell>
          <cell r="AO16">
            <v>1909.12</v>
          </cell>
          <cell r="AP16">
            <v>1909.22</v>
          </cell>
          <cell r="AQ16">
            <v>1921.32</v>
          </cell>
          <cell r="AR16">
            <v>1868.49</v>
          </cell>
          <cell r="AS16">
            <v>1930.63</v>
          </cell>
          <cell r="AT16">
            <v>1900.74</v>
          </cell>
          <cell r="AU16">
            <v>1905.65</v>
          </cell>
          <cell r="AV16">
            <v>1917.57</v>
          </cell>
          <cell r="AW16">
            <v>1886.24</v>
          </cell>
          <cell r="AX16">
            <v>1829.02</v>
          </cell>
          <cell r="AY16">
            <v>1864.36</v>
          </cell>
          <cell r="AZ16">
            <v>1811.05</v>
          </cell>
          <cell r="BA16" t="e">
            <v>#N/A</v>
          </cell>
        </row>
        <row r="17">
          <cell r="A17" t="str">
            <v>V0500H35B25</v>
          </cell>
          <cell r="B17">
            <v>500</v>
          </cell>
          <cell r="C17">
            <v>3500</v>
          </cell>
          <cell r="D17">
            <v>2500</v>
          </cell>
          <cell r="E17">
            <v>14</v>
          </cell>
          <cell r="F17">
            <v>1</v>
          </cell>
          <cell r="G17">
            <v>1</v>
          </cell>
          <cell r="H17">
            <v>300</v>
          </cell>
          <cell r="I17">
            <v>50</v>
          </cell>
          <cell r="J17">
            <v>509.9</v>
          </cell>
          <cell r="K17" t="str">
            <v>Q-11002864</v>
          </cell>
          <cell r="L17" t="str">
            <v>\\hokukon-net2\hop\Program\01_MVPシステム_容量別組立図\.\01_余裕高0_0m\pdf\FB0_0500m3-MVP-3500-組-B2500_Q-11002864.pdf</v>
          </cell>
          <cell r="M17">
            <v>1771.55</v>
          </cell>
          <cell r="N17">
            <v>1787.13</v>
          </cell>
          <cell r="O17">
            <v>1755.15</v>
          </cell>
          <cell r="P17">
            <v>1755.67</v>
          </cell>
          <cell r="Q17">
            <v>1778.64</v>
          </cell>
          <cell r="R17">
            <v>1767.43</v>
          </cell>
          <cell r="S17">
            <v>1763.15</v>
          </cell>
          <cell r="T17">
            <v>1763.78</v>
          </cell>
          <cell r="U17">
            <v>1769.29</v>
          </cell>
          <cell r="V17">
            <v>1762.45</v>
          </cell>
          <cell r="W17">
            <v>1770</v>
          </cell>
          <cell r="X17">
            <v>1778.29</v>
          </cell>
          <cell r="Y17">
            <v>1779.53</v>
          </cell>
          <cell r="Z17">
            <v>1815.82</v>
          </cell>
          <cell r="AA17">
            <v>1787.11</v>
          </cell>
          <cell r="AB17">
            <v>1786.93</v>
          </cell>
          <cell r="AC17">
            <v>1825.64</v>
          </cell>
          <cell r="AD17">
            <v>1761.37</v>
          </cell>
          <cell r="AE17">
            <v>1778.68</v>
          </cell>
          <cell r="AF17">
            <v>1820.26</v>
          </cell>
          <cell r="AG17">
            <v>1770.92</v>
          </cell>
          <cell r="AH17">
            <v>1782.54</v>
          </cell>
          <cell r="AI17">
            <v>1763.39</v>
          </cell>
          <cell r="AJ17">
            <v>1782.64</v>
          </cell>
          <cell r="AK17">
            <v>1736.72</v>
          </cell>
          <cell r="AL17">
            <v>1778.3</v>
          </cell>
          <cell r="AM17">
            <v>1827.89</v>
          </cell>
          <cell r="AN17">
            <v>1793.75</v>
          </cell>
          <cell r="AO17">
            <v>1803.41</v>
          </cell>
          <cell r="AP17">
            <v>1803.18</v>
          </cell>
          <cell r="AQ17">
            <v>1814.52</v>
          </cell>
          <cell r="AR17">
            <v>1766.89</v>
          </cell>
          <cell r="AS17">
            <v>1825.12</v>
          </cell>
          <cell r="AT17">
            <v>1796.35</v>
          </cell>
          <cell r="AU17">
            <v>1801.18</v>
          </cell>
          <cell r="AV17">
            <v>1812.48</v>
          </cell>
          <cell r="AW17">
            <v>1783.42</v>
          </cell>
          <cell r="AX17">
            <v>1729.95</v>
          </cell>
          <cell r="AY17">
            <v>1763.03</v>
          </cell>
          <cell r="AZ17">
            <v>1713.36</v>
          </cell>
          <cell r="BA17" t="e">
            <v>#N/A</v>
          </cell>
        </row>
        <row r="18">
          <cell r="A18" t="str">
            <v>V0500H35B20</v>
          </cell>
          <cell r="B18">
            <v>500</v>
          </cell>
          <cell r="C18">
            <v>3500</v>
          </cell>
          <cell r="D18">
            <v>2000</v>
          </cell>
          <cell r="E18">
            <v>9</v>
          </cell>
          <cell r="F18">
            <v>2</v>
          </cell>
          <cell r="G18">
            <v>1</v>
          </cell>
          <cell r="H18">
            <v>300</v>
          </cell>
          <cell r="I18">
            <v>50</v>
          </cell>
          <cell r="J18">
            <v>520.70000000000005</v>
          </cell>
          <cell r="K18" t="str">
            <v>Q-11002863</v>
          </cell>
          <cell r="L18" t="str">
            <v>\\hokukon-net2\hop\Program\01_MVPシステム_容量別組立図\.\01_余裕高0_0m\pdf\FB0_0500m3-MVP-3500-組-B2000_Q-11002863.pdf</v>
          </cell>
          <cell r="M18">
            <v>1869.55</v>
          </cell>
          <cell r="N18">
            <v>1885.75</v>
          </cell>
          <cell r="O18">
            <v>1854.27</v>
          </cell>
          <cell r="P18">
            <v>1854.81</v>
          </cell>
          <cell r="Q18">
            <v>1876.73</v>
          </cell>
          <cell r="R18">
            <v>1865.22</v>
          </cell>
          <cell r="S18">
            <v>1860.29</v>
          </cell>
          <cell r="T18">
            <v>1860.93</v>
          </cell>
          <cell r="U18">
            <v>1870.38</v>
          </cell>
          <cell r="V18">
            <v>1863.11</v>
          </cell>
          <cell r="W18">
            <v>1870.47</v>
          </cell>
          <cell r="X18">
            <v>1880.28</v>
          </cell>
          <cell r="Y18">
            <v>1881.74</v>
          </cell>
          <cell r="Z18">
            <v>1919.27</v>
          </cell>
          <cell r="AA18">
            <v>1890.36</v>
          </cell>
          <cell r="AB18">
            <v>1889.12</v>
          </cell>
          <cell r="AC18">
            <v>1926.3</v>
          </cell>
          <cell r="AD18">
            <v>1859.41</v>
          </cell>
          <cell r="AE18">
            <v>1878.11</v>
          </cell>
          <cell r="AF18">
            <v>1920.78</v>
          </cell>
          <cell r="AG18">
            <v>1872.13</v>
          </cell>
          <cell r="AH18">
            <v>1884.39</v>
          </cell>
          <cell r="AI18">
            <v>1865.13</v>
          </cell>
          <cell r="AJ18">
            <v>1883.5</v>
          </cell>
          <cell r="AK18">
            <v>1836.77</v>
          </cell>
          <cell r="AL18">
            <v>1878.68</v>
          </cell>
          <cell r="AM18">
            <v>1928.99</v>
          </cell>
          <cell r="AN18">
            <v>1895.12</v>
          </cell>
          <cell r="AO18">
            <v>1903.94</v>
          </cell>
          <cell r="AP18">
            <v>1904.4</v>
          </cell>
          <cell r="AQ18">
            <v>1915.91</v>
          </cell>
          <cell r="AR18">
            <v>1864.63</v>
          </cell>
          <cell r="AS18">
            <v>1923.41</v>
          </cell>
          <cell r="AT18">
            <v>1895.98</v>
          </cell>
          <cell r="AU18">
            <v>1900.65</v>
          </cell>
          <cell r="AV18">
            <v>1911.35</v>
          </cell>
          <cell r="AW18">
            <v>1881.77</v>
          </cell>
          <cell r="AX18">
            <v>1828.2</v>
          </cell>
          <cell r="AY18">
            <v>1860.96</v>
          </cell>
          <cell r="AZ18">
            <v>1810.88</v>
          </cell>
          <cell r="BA18" t="e">
            <v>#N/A</v>
          </cell>
        </row>
        <row r="19">
          <cell r="A19" t="str">
            <v>V0500H40B30</v>
          </cell>
          <cell r="B19">
            <v>500</v>
          </cell>
          <cell r="C19">
            <v>4000</v>
          </cell>
          <cell r="D19">
            <v>3000</v>
          </cell>
          <cell r="E19">
            <v>7</v>
          </cell>
          <cell r="F19">
            <v>2</v>
          </cell>
          <cell r="G19">
            <v>1</v>
          </cell>
          <cell r="H19">
            <v>350</v>
          </cell>
          <cell r="I19">
            <v>70</v>
          </cell>
          <cell r="J19">
            <v>568.5</v>
          </cell>
          <cell r="K19" t="str">
            <v>Q-11002868</v>
          </cell>
          <cell r="L19" t="str">
            <v>\\hokukon-net2\hop\Program\01_MVPシステム_容量別組立図\.\01_余裕高0_0m\pdf\FB0_0500m3-MVP-4000-組-B3000_Q-11002868.pdf</v>
          </cell>
          <cell r="M19">
            <v>2048.8200000000002</v>
          </cell>
          <cell r="N19">
            <v>2066.33</v>
          </cell>
          <cell r="O19">
            <v>2032.83</v>
          </cell>
          <cell r="P19">
            <v>2033.39</v>
          </cell>
          <cell r="Q19">
            <v>2056.58</v>
          </cell>
          <cell r="R19">
            <v>2044.39</v>
          </cell>
          <cell r="S19">
            <v>2039.22</v>
          </cell>
          <cell r="T19">
            <v>2039.89</v>
          </cell>
          <cell r="U19">
            <v>2048.21</v>
          </cell>
          <cell r="V19">
            <v>2040.94</v>
          </cell>
          <cell r="W19">
            <v>2048.4699999999998</v>
          </cell>
          <cell r="X19">
            <v>2058.06</v>
          </cell>
          <cell r="Y19">
            <v>2059.23</v>
          </cell>
          <cell r="Z19">
            <v>2098.27</v>
          </cell>
          <cell r="AA19">
            <v>2067.81</v>
          </cell>
          <cell r="AB19">
            <v>2067.3000000000002</v>
          </cell>
          <cell r="AC19">
            <v>2106.54</v>
          </cell>
          <cell r="AD19">
            <v>2035.12</v>
          </cell>
          <cell r="AE19">
            <v>2054.96</v>
          </cell>
          <cell r="AF19">
            <v>2099.23</v>
          </cell>
          <cell r="AG19">
            <v>2046.96</v>
          </cell>
          <cell r="AH19">
            <v>2059.9299999999998</v>
          </cell>
          <cell r="AI19">
            <v>2039.52</v>
          </cell>
          <cell r="AJ19">
            <v>2058.88</v>
          </cell>
          <cell r="AK19">
            <v>2014.41</v>
          </cell>
          <cell r="AL19">
            <v>2059.0500000000002</v>
          </cell>
          <cell r="AM19">
            <v>2111.54</v>
          </cell>
          <cell r="AN19">
            <v>2076.12</v>
          </cell>
          <cell r="AO19">
            <v>2085.87</v>
          </cell>
          <cell r="AP19">
            <v>2086.04</v>
          </cell>
          <cell r="AQ19">
            <v>2098.31</v>
          </cell>
          <cell r="AR19">
            <v>2040.89</v>
          </cell>
          <cell r="AS19">
            <v>2102.3200000000002</v>
          </cell>
          <cell r="AT19">
            <v>2073.7600000000002</v>
          </cell>
          <cell r="AU19">
            <v>2078.37</v>
          </cell>
          <cell r="AV19">
            <v>2089.67</v>
          </cell>
          <cell r="AW19">
            <v>2058.16</v>
          </cell>
          <cell r="AX19">
            <v>2001.08</v>
          </cell>
          <cell r="AY19">
            <v>2036.1</v>
          </cell>
          <cell r="AZ19">
            <v>1983.06</v>
          </cell>
          <cell r="BA19" t="e">
            <v>#N/A</v>
          </cell>
        </row>
        <row r="20">
          <cell r="A20" t="str">
            <v>V0500H40B25</v>
          </cell>
          <cell r="B20">
            <v>500</v>
          </cell>
          <cell r="C20">
            <v>4000</v>
          </cell>
          <cell r="D20">
            <v>2500</v>
          </cell>
          <cell r="E20">
            <v>7</v>
          </cell>
          <cell r="F20">
            <v>2</v>
          </cell>
          <cell r="G20">
            <v>1</v>
          </cell>
          <cell r="H20">
            <v>350</v>
          </cell>
          <cell r="I20">
            <v>70</v>
          </cell>
          <cell r="J20">
            <v>522.5</v>
          </cell>
          <cell r="K20" t="str">
            <v>Q-11002867</v>
          </cell>
          <cell r="L20" t="str">
            <v>\\hokukon-net2\hop\Program\01_MVPシステム_容量別組立図\.\01_余裕高0_0m\pdf\FB0_0500m3-MVP-4000-組-B2500_Q-11002867.pdf</v>
          </cell>
          <cell r="M20">
            <v>1973.87</v>
          </cell>
          <cell r="N20">
            <v>1990.22</v>
          </cell>
          <cell r="O20">
            <v>1959.48</v>
          </cell>
          <cell r="P20">
            <v>1960.01</v>
          </cell>
          <cell r="Q20">
            <v>1981</v>
          </cell>
          <cell r="R20">
            <v>1969.62</v>
          </cell>
          <cell r="S20">
            <v>1964.59</v>
          </cell>
          <cell r="T20">
            <v>1965.2</v>
          </cell>
          <cell r="U20">
            <v>1974.39</v>
          </cell>
          <cell r="V20">
            <v>1967.49</v>
          </cell>
          <cell r="W20">
            <v>1974.47</v>
          </cell>
          <cell r="X20">
            <v>1983.9</v>
          </cell>
          <cell r="Y20">
            <v>1985.06</v>
          </cell>
          <cell r="Z20">
            <v>2021.73</v>
          </cell>
          <cell r="AA20">
            <v>1993.5</v>
          </cell>
          <cell r="AB20">
            <v>1992.59</v>
          </cell>
          <cell r="AC20">
            <v>2028.29</v>
          </cell>
          <cell r="AD20">
            <v>1961.19</v>
          </cell>
          <cell r="AE20">
            <v>1980.11</v>
          </cell>
          <cell r="AF20">
            <v>2021.5</v>
          </cell>
          <cell r="AG20">
            <v>1973.31</v>
          </cell>
          <cell r="AH20">
            <v>1985.47</v>
          </cell>
          <cell r="AI20">
            <v>1966.69</v>
          </cell>
          <cell r="AJ20">
            <v>1984.16</v>
          </cell>
          <cell r="AK20">
            <v>1943.01</v>
          </cell>
          <cell r="AL20">
            <v>1984.32</v>
          </cell>
          <cell r="AM20">
            <v>2033.18</v>
          </cell>
          <cell r="AN20">
            <v>2000.49</v>
          </cell>
          <cell r="AO20">
            <v>2009.15</v>
          </cell>
          <cell r="AP20">
            <v>2009.58</v>
          </cell>
          <cell r="AQ20">
            <v>2021.05</v>
          </cell>
          <cell r="AR20">
            <v>1966.28</v>
          </cell>
          <cell r="AS20">
            <v>2023.37</v>
          </cell>
          <cell r="AT20">
            <v>1997.48</v>
          </cell>
          <cell r="AU20">
            <v>2001.74</v>
          </cell>
          <cell r="AV20">
            <v>2011.84</v>
          </cell>
          <cell r="AW20">
            <v>1982.48</v>
          </cell>
          <cell r="AX20">
            <v>1929.73</v>
          </cell>
          <cell r="AY20">
            <v>1961.86</v>
          </cell>
          <cell r="AZ20">
            <v>1912.73</v>
          </cell>
          <cell r="BA20" t="e">
            <v>#N/A</v>
          </cell>
        </row>
        <row r="21">
          <cell r="A21" t="str">
            <v>V0500H40B20</v>
          </cell>
          <cell r="B21">
            <v>500</v>
          </cell>
          <cell r="C21">
            <v>4000</v>
          </cell>
          <cell r="D21">
            <v>2000</v>
          </cell>
          <cell r="E21">
            <v>8</v>
          </cell>
          <cell r="F21">
            <v>2</v>
          </cell>
          <cell r="G21">
            <v>1</v>
          </cell>
          <cell r="H21">
            <v>350</v>
          </cell>
          <cell r="I21">
            <v>70</v>
          </cell>
          <cell r="J21">
            <v>539</v>
          </cell>
          <cell r="K21" t="str">
            <v>Q-11002866</v>
          </cell>
          <cell r="L21" t="str">
            <v>\\hokukon-net2\hop\Program\01_MVPシステム_容量別組立図\.\01_余裕高0_0m\pdf\FB0_0500m3-MVP-4000-組-B2000_Q-11002866.pdf</v>
          </cell>
          <cell r="M21">
            <v>2082.59</v>
          </cell>
          <cell r="N21">
            <v>2099.37</v>
          </cell>
          <cell r="O21">
            <v>2067.73</v>
          </cell>
          <cell r="P21">
            <v>2068.2600000000002</v>
          </cell>
          <cell r="Q21">
            <v>2089.9</v>
          </cell>
          <cell r="R21">
            <v>2078.17</v>
          </cell>
          <cell r="S21">
            <v>2072.94</v>
          </cell>
          <cell r="T21">
            <v>2073.59</v>
          </cell>
          <cell r="U21">
            <v>2083.14</v>
          </cell>
          <cell r="V21">
            <v>2076</v>
          </cell>
          <cell r="W21">
            <v>2083.2600000000002</v>
          </cell>
          <cell r="X21">
            <v>2093.0100000000002</v>
          </cell>
          <cell r="Y21">
            <v>2094.2399999999998</v>
          </cell>
          <cell r="Z21">
            <v>2132.13</v>
          </cell>
          <cell r="AA21">
            <v>2103.08</v>
          </cell>
          <cell r="AB21">
            <v>2102.0500000000002</v>
          </cell>
          <cell r="AC21">
            <v>2138.84</v>
          </cell>
          <cell r="AD21">
            <v>2069.62</v>
          </cell>
          <cell r="AE21">
            <v>2089.14</v>
          </cell>
          <cell r="AF21">
            <v>2131.87</v>
          </cell>
          <cell r="AG21">
            <v>2082.11</v>
          </cell>
          <cell r="AH21">
            <v>2094.62</v>
          </cell>
          <cell r="AI21">
            <v>2075.33</v>
          </cell>
          <cell r="AJ21">
            <v>2093.3000000000002</v>
          </cell>
          <cell r="AK21">
            <v>2050.96</v>
          </cell>
          <cell r="AL21">
            <v>2093.4699999999998</v>
          </cell>
          <cell r="AM21">
            <v>2143.88</v>
          </cell>
          <cell r="AN21">
            <v>2110.1</v>
          </cell>
          <cell r="AO21">
            <v>2119.02</v>
          </cell>
          <cell r="AP21">
            <v>2119.48</v>
          </cell>
          <cell r="AQ21">
            <v>2131.35</v>
          </cell>
          <cell r="AR21">
            <v>2074.6999999999998</v>
          </cell>
          <cell r="AS21">
            <v>2133.62</v>
          </cell>
          <cell r="AT21">
            <v>2106.96</v>
          </cell>
          <cell r="AU21">
            <v>2111.4</v>
          </cell>
          <cell r="AV21">
            <v>2121.73</v>
          </cell>
          <cell r="AW21">
            <v>2091.4499999999998</v>
          </cell>
          <cell r="AX21">
            <v>2037.2</v>
          </cell>
          <cell r="AY21">
            <v>2070.16</v>
          </cell>
          <cell r="AZ21">
            <v>2019.58</v>
          </cell>
          <cell r="BA21" t="e">
            <v>#N/A</v>
          </cell>
        </row>
        <row r="22">
          <cell r="A22" t="str">
            <v>V0500H45B30</v>
          </cell>
          <cell r="B22">
            <v>500</v>
          </cell>
          <cell r="C22">
            <v>4500</v>
          </cell>
          <cell r="D22">
            <v>3000</v>
          </cell>
          <cell r="E22">
            <v>6</v>
          </cell>
          <cell r="F22">
            <v>2</v>
          </cell>
          <cell r="G22">
            <v>1</v>
          </cell>
          <cell r="H22">
            <v>350</v>
          </cell>
          <cell r="I22">
            <v>70</v>
          </cell>
          <cell r="J22">
            <v>556.9</v>
          </cell>
          <cell r="K22" t="str">
            <v>Q-11002871</v>
          </cell>
          <cell r="L22" t="str">
            <v>\\hokukon-net2\hop\Program\01_MVPシステム_容量別組立図\.\01_余裕高0_0m\pdf\FB0_0500m3-MVP-4500-組-B3000_Q-11002871.pdf</v>
          </cell>
          <cell r="M22">
            <v>1972.11</v>
          </cell>
          <cell r="N22">
            <v>1987.87</v>
          </cell>
          <cell r="O22">
            <v>1958.92</v>
          </cell>
          <cell r="P22">
            <v>1959.42</v>
          </cell>
          <cell r="Q22">
            <v>1978.82</v>
          </cell>
          <cell r="R22">
            <v>1967.86</v>
          </cell>
          <cell r="S22">
            <v>1962.76</v>
          </cell>
          <cell r="T22">
            <v>1963.34</v>
          </cell>
          <cell r="U22">
            <v>1973.88</v>
          </cell>
          <cell r="V22">
            <v>1967.18</v>
          </cell>
          <cell r="W22">
            <v>1973.67</v>
          </cell>
          <cell r="X22">
            <v>1983.31</v>
          </cell>
          <cell r="Y22">
            <v>1984.47</v>
          </cell>
          <cell r="Z22">
            <v>2019.79</v>
          </cell>
          <cell r="AA22">
            <v>1992.96</v>
          </cell>
          <cell r="AB22">
            <v>1991.68</v>
          </cell>
          <cell r="AC22">
            <v>2024.71</v>
          </cell>
          <cell r="AD22">
            <v>1959.92</v>
          </cell>
          <cell r="AE22">
            <v>1978.48</v>
          </cell>
          <cell r="AF22">
            <v>2018.2</v>
          </cell>
          <cell r="AG22">
            <v>1972.85</v>
          </cell>
          <cell r="AH22">
            <v>1984.54</v>
          </cell>
          <cell r="AI22">
            <v>1966.75</v>
          </cell>
          <cell r="AJ22">
            <v>1982.95</v>
          </cell>
          <cell r="AK22">
            <v>1943.77</v>
          </cell>
          <cell r="AL22">
            <v>1982.96</v>
          </cell>
          <cell r="AM22">
            <v>2029.66</v>
          </cell>
          <cell r="AN22">
            <v>1998.86</v>
          </cell>
          <cell r="AO22">
            <v>2006.76</v>
          </cell>
          <cell r="AP22">
            <v>2007.36</v>
          </cell>
          <cell r="AQ22">
            <v>2018.37</v>
          </cell>
          <cell r="AR22">
            <v>1964.55</v>
          </cell>
          <cell r="AS22">
            <v>2018.87</v>
          </cell>
          <cell r="AT22">
            <v>1994.91</v>
          </cell>
          <cell r="AU22">
            <v>1998.88</v>
          </cell>
          <cell r="AV22">
            <v>2008.23</v>
          </cell>
          <cell r="AW22">
            <v>1980.19</v>
          </cell>
          <cell r="AX22">
            <v>1930.14</v>
          </cell>
          <cell r="AY22">
            <v>1960.32</v>
          </cell>
          <cell r="AZ22">
            <v>1913.7</v>
          </cell>
          <cell r="BA22" t="e">
            <v>#N/A</v>
          </cell>
        </row>
        <row r="23">
          <cell r="A23" t="str">
            <v>V0500H45B25</v>
          </cell>
          <cell r="B23">
            <v>500</v>
          </cell>
          <cell r="C23">
            <v>4500</v>
          </cell>
          <cell r="D23">
            <v>2500</v>
          </cell>
          <cell r="E23">
            <v>11</v>
          </cell>
          <cell r="F23">
            <v>1</v>
          </cell>
          <cell r="G23">
            <v>1</v>
          </cell>
          <cell r="H23">
            <v>350</v>
          </cell>
          <cell r="I23">
            <v>70</v>
          </cell>
          <cell r="J23">
            <v>526.70000000000005</v>
          </cell>
          <cell r="K23" t="str">
            <v>Q-11002870</v>
          </cell>
          <cell r="L23" t="str">
            <v>\\hokukon-net2\hop\Program\01_MVPシステム_容量別組立図\.\01_余裕高0_0m\pdf\FB0_0500m3-MVP-4500-組-B2500_Q-11002870.pdf</v>
          </cell>
          <cell r="M23">
            <v>1901.17</v>
          </cell>
          <cell r="N23">
            <v>1915.65</v>
          </cell>
          <cell r="O23">
            <v>1887.37</v>
          </cell>
          <cell r="P23">
            <v>1887.84</v>
          </cell>
          <cell r="Q23">
            <v>1907.56</v>
          </cell>
          <cell r="R23">
            <v>1897.32</v>
          </cell>
          <cell r="S23">
            <v>1892.97</v>
          </cell>
          <cell r="T23">
            <v>1893.54</v>
          </cell>
          <cell r="U23">
            <v>1900.1</v>
          </cell>
          <cell r="V23">
            <v>1894</v>
          </cell>
          <cell r="W23">
            <v>1900.66</v>
          </cell>
          <cell r="X23">
            <v>1908.57</v>
          </cell>
          <cell r="Y23">
            <v>1909.47</v>
          </cell>
          <cell r="Z23">
            <v>1942.56</v>
          </cell>
          <cell r="AA23">
            <v>1916.88</v>
          </cell>
          <cell r="AB23">
            <v>1916.5</v>
          </cell>
          <cell r="AC23">
            <v>1949.87</v>
          </cell>
          <cell r="AD23">
            <v>1889.82</v>
          </cell>
          <cell r="AE23">
            <v>1906.44</v>
          </cell>
          <cell r="AF23">
            <v>1943.89</v>
          </cell>
          <cell r="AG23">
            <v>1899.4</v>
          </cell>
          <cell r="AH23">
            <v>1910.15</v>
          </cell>
          <cell r="AI23">
            <v>1893.12</v>
          </cell>
          <cell r="AJ23">
            <v>1909.49</v>
          </cell>
          <cell r="AK23">
            <v>1872.23</v>
          </cell>
          <cell r="AL23">
            <v>1909.63</v>
          </cell>
          <cell r="AM23">
            <v>1954.02</v>
          </cell>
          <cell r="AN23">
            <v>1923.97</v>
          </cell>
          <cell r="AO23">
            <v>1932.24</v>
          </cell>
          <cell r="AP23">
            <v>1932.29</v>
          </cell>
          <cell r="AQ23">
            <v>1942.79</v>
          </cell>
          <cell r="AR23">
            <v>1894.33</v>
          </cell>
          <cell r="AS23">
            <v>1946.46</v>
          </cell>
          <cell r="AT23">
            <v>1922.13</v>
          </cell>
          <cell r="AU23">
            <v>1926.19</v>
          </cell>
          <cell r="AV23">
            <v>1935.64</v>
          </cell>
          <cell r="AW23">
            <v>1909.05</v>
          </cell>
          <cell r="AX23">
            <v>1861.07</v>
          </cell>
          <cell r="AY23">
            <v>1890.27</v>
          </cell>
          <cell r="AZ23">
            <v>1845.75</v>
          </cell>
          <cell r="BA23" t="e">
            <v>#N/A</v>
          </cell>
        </row>
        <row r="24">
          <cell r="A24" t="str">
            <v>V0500H45B20</v>
          </cell>
          <cell r="B24">
            <v>500</v>
          </cell>
          <cell r="C24">
            <v>4500</v>
          </cell>
          <cell r="D24">
            <v>2000</v>
          </cell>
          <cell r="E24">
            <v>7</v>
          </cell>
          <cell r="F24">
            <v>2</v>
          </cell>
          <cell r="G24">
            <v>1</v>
          </cell>
          <cell r="H24">
            <v>350</v>
          </cell>
          <cell r="I24">
            <v>70</v>
          </cell>
          <cell r="J24">
            <v>537.20000000000005</v>
          </cell>
          <cell r="K24" t="str">
            <v>Q-11002869</v>
          </cell>
          <cell r="L24" t="str">
            <v>\\hokukon-net2\hop\Program\01_MVPシステム_容量別組立図\.\01_余裕高0_0m\pdf\FB0_0500m3-MVP-4500-組-B2000_Q-11002869.pdf</v>
          </cell>
          <cell r="M24">
            <v>2021.22</v>
          </cell>
          <cell r="N24">
            <v>2036.59</v>
          </cell>
          <cell r="O24">
            <v>2008.87</v>
          </cell>
          <cell r="P24">
            <v>2009.34</v>
          </cell>
          <cell r="Q24">
            <v>2027.65</v>
          </cell>
          <cell r="R24">
            <v>2016.97</v>
          </cell>
          <cell r="S24">
            <v>2011.77</v>
          </cell>
          <cell r="T24">
            <v>2012.34</v>
          </cell>
          <cell r="U24">
            <v>2023.98</v>
          </cell>
          <cell r="V24">
            <v>2017.28</v>
          </cell>
          <cell r="W24">
            <v>2023.65</v>
          </cell>
          <cell r="X24">
            <v>2033.54</v>
          </cell>
          <cell r="Y24">
            <v>2034.76</v>
          </cell>
          <cell r="Z24">
            <v>2069.48</v>
          </cell>
          <cell r="AA24">
            <v>2043.59</v>
          </cell>
          <cell r="AB24">
            <v>2041.79</v>
          </cell>
          <cell r="AC24">
            <v>2073.19</v>
          </cell>
          <cell r="AD24">
            <v>2009.55</v>
          </cell>
          <cell r="AE24">
            <v>2028.07</v>
          </cell>
          <cell r="AF24">
            <v>2066.9</v>
          </cell>
          <cell r="AG24">
            <v>2023.16</v>
          </cell>
          <cell r="AH24">
            <v>2034.61</v>
          </cell>
          <cell r="AI24">
            <v>2017.55</v>
          </cell>
          <cell r="AJ24">
            <v>2032.72</v>
          </cell>
          <cell r="AK24">
            <v>1994.94</v>
          </cell>
          <cell r="AL24">
            <v>2032.78</v>
          </cell>
          <cell r="AM24">
            <v>2078.2399999999998</v>
          </cell>
          <cell r="AN24">
            <v>2048.44</v>
          </cell>
          <cell r="AO24">
            <v>2055.71</v>
          </cell>
          <cell r="AP24">
            <v>2056.61</v>
          </cell>
          <cell r="AQ24">
            <v>2067.39</v>
          </cell>
          <cell r="AR24">
            <v>2013.65</v>
          </cell>
          <cell r="AS24">
            <v>2066.4699999999998</v>
          </cell>
          <cell r="AT24">
            <v>2043.85</v>
          </cell>
          <cell r="AU24">
            <v>2047.77</v>
          </cell>
          <cell r="AV24">
            <v>2056.33</v>
          </cell>
          <cell r="AW24">
            <v>2029.05</v>
          </cell>
          <cell r="AX24">
            <v>1980.82</v>
          </cell>
          <cell r="AY24">
            <v>2009.6</v>
          </cell>
          <cell r="AZ24">
            <v>1964.56</v>
          </cell>
          <cell r="BA24" t="e">
            <v>#N/A</v>
          </cell>
        </row>
        <row r="25">
          <cell r="A25" t="str">
            <v>V1000H15B30</v>
          </cell>
          <cell r="B25">
            <v>1000</v>
          </cell>
          <cell r="C25">
            <v>1500</v>
          </cell>
          <cell r="D25">
            <v>3000</v>
          </cell>
          <cell r="E25">
            <v>22</v>
          </cell>
          <cell r="F25">
            <v>2</v>
          </cell>
          <cell r="G25">
            <v>2</v>
          </cell>
          <cell r="H25">
            <v>350</v>
          </cell>
          <cell r="I25">
            <v>50</v>
          </cell>
          <cell r="J25">
            <v>1024.8</v>
          </cell>
          <cell r="K25" t="str">
            <v>Q-11002874</v>
          </cell>
          <cell r="L25" t="str">
            <v>\\hokukon-net2\hop\Program\01_MVPシステム_容量別組立図\.\01_余裕高0_0m\pdf\FB0_1000m3-MVP-1500-組-B3000_Q-11002874.pdf</v>
          </cell>
          <cell r="M25">
            <v>4468.57</v>
          </cell>
          <cell r="N25">
            <v>4536.1400000000003</v>
          </cell>
          <cell r="O25">
            <v>4376.9399999999996</v>
          </cell>
          <cell r="P25">
            <v>4379.32</v>
          </cell>
          <cell r="Q25">
            <v>4503.3</v>
          </cell>
          <cell r="R25">
            <v>4452.42</v>
          </cell>
          <cell r="S25">
            <v>4441.28</v>
          </cell>
          <cell r="T25">
            <v>4444.16</v>
          </cell>
          <cell r="U25">
            <v>4411.74</v>
          </cell>
          <cell r="V25">
            <v>4387.2</v>
          </cell>
          <cell r="W25">
            <v>4420.9799999999996</v>
          </cell>
          <cell r="X25">
            <v>4437.5200000000004</v>
          </cell>
          <cell r="Y25">
            <v>4439.2299999999996</v>
          </cell>
          <cell r="Z25">
            <v>4589.8</v>
          </cell>
          <cell r="AA25">
            <v>4458.84</v>
          </cell>
          <cell r="AB25">
            <v>4475.04</v>
          </cell>
          <cell r="AC25">
            <v>4679.12</v>
          </cell>
          <cell r="AD25">
            <v>4412.84</v>
          </cell>
          <cell r="AE25">
            <v>4476.5600000000004</v>
          </cell>
          <cell r="AF25">
            <v>4655.1899999999996</v>
          </cell>
          <cell r="AG25">
            <v>4411.9799999999996</v>
          </cell>
          <cell r="AH25">
            <v>4459.84</v>
          </cell>
          <cell r="AI25">
            <v>4367.91</v>
          </cell>
          <cell r="AJ25">
            <v>4472.46</v>
          </cell>
          <cell r="AK25">
            <v>4268.49</v>
          </cell>
          <cell r="AL25">
            <v>4465.96</v>
          </cell>
          <cell r="AM25">
            <v>4686.6400000000003</v>
          </cell>
          <cell r="AN25">
            <v>4523.9399999999996</v>
          </cell>
          <cell r="AO25">
            <v>4582.37</v>
          </cell>
          <cell r="AP25">
            <v>4570.8900000000003</v>
          </cell>
          <cell r="AQ25">
            <v>4620.88</v>
          </cell>
          <cell r="AR25">
            <v>4442.66</v>
          </cell>
          <cell r="AS25">
            <v>4708.32</v>
          </cell>
          <cell r="AT25">
            <v>4557.62</v>
          </cell>
          <cell r="AU25">
            <v>4580.22</v>
          </cell>
          <cell r="AV25">
            <v>4644.1499999999996</v>
          </cell>
          <cell r="AW25">
            <v>4516.8500000000004</v>
          </cell>
          <cell r="AX25">
            <v>4261.58</v>
          </cell>
          <cell r="AY25">
            <v>4427.2299999999996</v>
          </cell>
          <cell r="AZ25">
            <v>4196.04</v>
          </cell>
          <cell r="BA25" t="e">
            <v>#N/A</v>
          </cell>
        </row>
        <row r="26">
          <cell r="A26" t="str">
            <v>V1000H15B25</v>
          </cell>
          <cell r="B26">
            <v>1000</v>
          </cell>
          <cell r="C26">
            <v>1500</v>
          </cell>
          <cell r="D26">
            <v>2500</v>
          </cell>
          <cell r="E26">
            <v>24</v>
          </cell>
          <cell r="F26">
            <v>2</v>
          </cell>
          <cell r="G26">
            <v>2</v>
          </cell>
          <cell r="H26">
            <v>350</v>
          </cell>
          <cell r="I26">
            <v>50</v>
          </cell>
          <cell r="J26">
            <v>1040.7</v>
          </cell>
          <cell r="K26" t="str">
            <v>Q-11002873</v>
          </cell>
          <cell r="L26" t="str">
            <v>\\hokukon-net2\hop\Program\01_MVPシステム_容量別組立図\.\01_余裕高0_0m\pdf\FB0_1000m3-MVP-1500-組-B2500_Q-11002873.pdf</v>
          </cell>
          <cell r="M26">
            <v>4614.67</v>
          </cell>
          <cell r="N26">
            <v>4683.5200000000004</v>
          </cell>
          <cell r="O26">
            <v>4521.5600000000004</v>
          </cell>
          <cell r="P26">
            <v>4524</v>
          </cell>
          <cell r="Q26">
            <v>4649.91</v>
          </cell>
          <cell r="R26">
            <v>4598.0200000000004</v>
          </cell>
          <cell r="S26">
            <v>4586.3999999999996</v>
          </cell>
          <cell r="T26">
            <v>4589.34</v>
          </cell>
          <cell r="U26">
            <v>4557.6099999999997</v>
          </cell>
          <cell r="V26">
            <v>4532.3999999999996</v>
          </cell>
          <cell r="W26">
            <v>4566.95</v>
          </cell>
          <cell r="X26">
            <v>4584.29</v>
          </cell>
          <cell r="Y26">
            <v>4586.09</v>
          </cell>
          <cell r="Z26">
            <v>4740.12</v>
          </cell>
          <cell r="AA26">
            <v>4606.74</v>
          </cell>
          <cell r="AB26">
            <v>4622.7</v>
          </cell>
          <cell r="AC26">
            <v>4830.2700000000004</v>
          </cell>
          <cell r="AD26">
            <v>4558.32</v>
          </cell>
          <cell r="AE26">
            <v>4623.72</v>
          </cell>
          <cell r="AF26">
            <v>4806.1899999999996</v>
          </cell>
          <cell r="AG26">
            <v>4558.42</v>
          </cell>
          <cell r="AH26">
            <v>4607.2299999999996</v>
          </cell>
          <cell r="AI26">
            <v>4513.76</v>
          </cell>
          <cell r="AJ26">
            <v>4619.87</v>
          </cell>
          <cell r="AK26">
            <v>4411.6099999999997</v>
          </cell>
          <cell r="AL26">
            <v>4612.71</v>
          </cell>
          <cell r="AM26">
            <v>4837.92</v>
          </cell>
          <cell r="AN26">
            <v>4672.05</v>
          </cell>
          <cell r="AO26">
            <v>4731.29</v>
          </cell>
          <cell r="AP26">
            <v>4719.8</v>
          </cell>
          <cell r="AQ26">
            <v>4770.92</v>
          </cell>
          <cell r="AR26">
            <v>4588.2</v>
          </cell>
          <cell r="AS26">
            <v>4859.28</v>
          </cell>
          <cell r="AT26">
            <v>4706.17</v>
          </cell>
          <cell r="AU26">
            <v>4729.34</v>
          </cell>
          <cell r="AV26">
            <v>4793.99</v>
          </cell>
          <cell r="AW26">
            <v>4664.26</v>
          </cell>
          <cell r="AX26">
            <v>4404.3599999999997</v>
          </cell>
          <cell r="AY26">
            <v>4572.71</v>
          </cell>
          <cell r="AZ26">
            <v>4337.24</v>
          </cell>
          <cell r="BA26">
            <v>3671.63</v>
          </cell>
        </row>
        <row r="27">
          <cell r="A27" t="str">
            <v>V1000H15B20</v>
          </cell>
          <cell r="B27">
            <v>1000</v>
          </cell>
          <cell r="C27">
            <v>1500</v>
          </cell>
          <cell r="D27">
            <v>2000</v>
          </cell>
          <cell r="E27">
            <v>25</v>
          </cell>
          <cell r="F27">
            <v>2</v>
          </cell>
          <cell r="G27">
            <v>2</v>
          </cell>
          <cell r="H27">
            <v>350</v>
          </cell>
          <cell r="I27">
            <v>50</v>
          </cell>
          <cell r="J27">
            <v>1005.6</v>
          </cell>
          <cell r="K27" t="str">
            <v>Q-11002872</v>
          </cell>
          <cell r="L27" t="str">
            <v>\\hokukon-net2\hop\Program\01_MVPシステム_容量別組立図\.\01_余裕高0_0m\pdf\FB0_1000m3-MVP-1500-組-B2000_Q-11002872.pdf</v>
          </cell>
          <cell r="M27">
            <v>4560.78</v>
          </cell>
          <cell r="N27">
            <v>4627.76</v>
          </cell>
          <cell r="O27">
            <v>4470.8100000000004</v>
          </cell>
          <cell r="P27">
            <v>4473.17</v>
          </cell>
          <cell r="Q27">
            <v>4594.82</v>
          </cell>
          <cell r="R27">
            <v>4544.3500000000004</v>
          </cell>
          <cell r="S27">
            <v>4532.68</v>
          </cell>
          <cell r="T27">
            <v>4535.5200000000004</v>
          </cell>
          <cell r="U27">
            <v>4506.6899999999996</v>
          </cell>
          <cell r="V27">
            <v>4481.91</v>
          </cell>
          <cell r="W27">
            <v>4515.6499999999996</v>
          </cell>
          <cell r="X27">
            <v>4533.21</v>
          </cell>
          <cell r="Y27">
            <v>4535.04</v>
          </cell>
          <cell r="Z27">
            <v>4685.41</v>
          </cell>
          <cell r="AA27">
            <v>4555.93</v>
          </cell>
          <cell r="AB27">
            <v>4570.75</v>
          </cell>
          <cell r="AC27">
            <v>4771.67</v>
          </cell>
          <cell r="AD27">
            <v>4506.5</v>
          </cell>
          <cell r="AE27">
            <v>4570.74</v>
          </cell>
          <cell r="AF27">
            <v>4748.6000000000004</v>
          </cell>
          <cell r="AG27">
            <v>4508.1400000000003</v>
          </cell>
          <cell r="AH27">
            <v>4555.6499999999996</v>
          </cell>
          <cell r="AI27">
            <v>4465.08</v>
          </cell>
          <cell r="AJ27">
            <v>4567.58</v>
          </cell>
          <cell r="AK27">
            <v>4364.78</v>
          </cell>
          <cell r="AL27">
            <v>4559.97</v>
          </cell>
          <cell r="AM27">
            <v>4779.2</v>
          </cell>
          <cell r="AN27">
            <v>4618.09</v>
          </cell>
          <cell r="AO27">
            <v>4675.1499999999996</v>
          </cell>
          <cell r="AP27">
            <v>4664.33</v>
          </cell>
          <cell r="AQ27">
            <v>4714.17</v>
          </cell>
          <cell r="AR27">
            <v>4534.95</v>
          </cell>
          <cell r="AS27">
            <v>4798.71</v>
          </cell>
          <cell r="AT27">
            <v>4650.7</v>
          </cell>
          <cell r="AU27">
            <v>4673.29</v>
          </cell>
          <cell r="AV27">
            <v>4735.5</v>
          </cell>
          <cell r="AW27">
            <v>4609.41</v>
          </cell>
          <cell r="AX27">
            <v>4357.1499999999996</v>
          </cell>
          <cell r="AY27">
            <v>4520.16</v>
          </cell>
          <cell r="AZ27">
            <v>4291.5</v>
          </cell>
          <cell r="BA27">
            <v>3647.58</v>
          </cell>
        </row>
        <row r="28">
          <cell r="A28" t="str">
            <v>V1000H20B30</v>
          </cell>
          <cell r="B28">
            <v>1000</v>
          </cell>
          <cell r="C28">
            <v>2000</v>
          </cell>
          <cell r="D28">
            <v>3000</v>
          </cell>
          <cell r="E28">
            <v>16</v>
          </cell>
          <cell r="F28">
            <v>2</v>
          </cell>
          <cell r="G28">
            <v>1</v>
          </cell>
          <cell r="H28">
            <v>350</v>
          </cell>
          <cell r="I28">
            <v>50</v>
          </cell>
          <cell r="J28">
            <v>1012.1</v>
          </cell>
          <cell r="K28" t="str">
            <v>Q-11002877</v>
          </cell>
          <cell r="L28" t="str">
            <v>\\hokukon-net2\hop\Program\01_MVPシステム_容量別組立図\.\01_余裕高0_0m\pdf\FB0_1000m3-MVP-2000-組-B3000_Q-11002877.pdf</v>
          </cell>
          <cell r="M28">
            <v>3564.23</v>
          </cell>
          <cell r="N28">
            <v>3614.99</v>
          </cell>
          <cell r="O28">
            <v>3497.41</v>
          </cell>
          <cell r="P28">
            <v>3499.18</v>
          </cell>
          <cell r="Q28">
            <v>3590</v>
          </cell>
          <cell r="R28">
            <v>3552.13</v>
          </cell>
          <cell r="S28">
            <v>3543.25</v>
          </cell>
          <cell r="T28">
            <v>3545.39</v>
          </cell>
          <cell r="U28">
            <v>3525.36</v>
          </cell>
          <cell r="V28">
            <v>3506.7</v>
          </cell>
          <cell r="W28">
            <v>3531.58</v>
          </cell>
          <cell r="X28">
            <v>3545.36</v>
          </cell>
          <cell r="Y28">
            <v>3546.83</v>
          </cell>
          <cell r="Z28">
            <v>3659.69</v>
          </cell>
          <cell r="AA28">
            <v>3562.18</v>
          </cell>
          <cell r="AB28">
            <v>3573.28</v>
          </cell>
          <cell r="AC28">
            <v>3723.09</v>
          </cell>
          <cell r="AD28">
            <v>3522.82</v>
          </cell>
          <cell r="AE28">
            <v>3571.46</v>
          </cell>
          <cell r="AF28">
            <v>3704.97</v>
          </cell>
          <cell r="AG28">
            <v>3525.4</v>
          </cell>
          <cell r="AH28">
            <v>3561.49</v>
          </cell>
          <cell r="AI28">
            <v>3493.25</v>
          </cell>
          <cell r="AJ28">
            <v>3569.92</v>
          </cell>
          <cell r="AK28">
            <v>3417.99</v>
          </cell>
          <cell r="AL28">
            <v>3564.85</v>
          </cell>
          <cell r="AM28">
            <v>3729.33</v>
          </cell>
          <cell r="AN28">
            <v>3608.95</v>
          </cell>
          <cell r="AO28">
            <v>3651.52</v>
          </cell>
          <cell r="AP28">
            <v>3643.63</v>
          </cell>
          <cell r="AQ28">
            <v>3680.91</v>
          </cell>
          <cell r="AR28">
            <v>3544.98</v>
          </cell>
          <cell r="AS28">
            <v>3742.37</v>
          </cell>
          <cell r="AT28">
            <v>3671.46</v>
          </cell>
          <cell r="AU28">
            <v>3648.43</v>
          </cell>
          <cell r="AV28">
            <v>3695.32</v>
          </cell>
          <cell r="AW28">
            <v>3600.27</v>
          </cell>
          <cell r="AX28">
            <v>3410.74</v>
          </cell>
          <cell r="AY28">
            <v>3533.4</v>
          </cell>
          <cell r="AZ28">
            <v>3361.42</v>
          </cell>
          <cell r="BA28">
            <v>2827.23</v>
          </cell>
        </row>
        <row r="29">
          <cell r="A29" t="str">
            <v>V1000H20B25</v>
          </cell>
          <cell r="B29">
            <v>1000</v>
          </cell>
          <cell r="C29">
            <v>2000</v>
          </cell>
          <cell r="D29">
            <v>2500</v>
          </cell>
          <cell r="E29">
            <v>17</v>
          </cell>
          <cell r="F29">
            <v>2</v>
          </cell>
          <cell r="G29">
            <v>1</v>
          </cell>
          <cell r="H29">
            <v>350</v>
          </cell>
          <cell r="I29">
            <v>50</v>
          </cell>
          <cell r="J29">
            <v>1001.6</v>
          </cell>
          <cell r="K29" t="str">
            <v>Q-11002876</v>
          </cell>
          <cell r="L29" t="str">
            <v>\\hokukon-net2\hop\Program\01_MVPシステム_容量別組立図\.\01_余裕高0_0m\pdf\FB0_1000m3-MVP-2000-組-B2500_Q-11002876.pdf</v>
          </cell>
          <cell r="M29">
            <v>3590.22</v>
          </cell>
          <cell r="N29">
            <v>3640.67</v>
          </cell>
          <cell r="O29">
            <v>3524.14</v>
          </cell>
          <cell r="P29">
            <v>3525.91</v>
          </cell>
          <cell r="Q29">
            <v>3615.69</v>
          </cell>
          <cell r="R29">
            <v>3578.05</v>
          </cell>
          <cell r="S29">
            <v>3569.01</v>
          </cell>
          <cell r="T29">
            <v>3571.14</v>
          </cell>
          <cell r="U29">
            <v>3552.4</v>
          </cell>
          <cell r="V29">
            <v>3533.73</v>
          </cell>
          <cell r="W29">
            <v>3558.51</v>
          </cell>
          <cell r="X29">
            <v>3572.63</v>
          </cell>
          <cell r="Y29">
            <v>3574.13</v>
          </cell>
          <cell r="Z29">
            <v>3686.64</v>
          </cell>
          <cell r="AA29">
            <v>3589.88</v>
          </cell>
          <cell r="AB29">
            <v>3600.47</v>
          </cell>
          <cell r="AC29">
            <v>3748.81</v>
          </cell>
          <cell r="AD29">
            <v>3549.43</v>
          </cell>
          <cell r="AE29">
            <v>3598.14</v>
          </cell>
          <cell r="AF29">
            <v>3731.04</v>
          </cell>
          <cell r="AG29">
            <v>3552.85</v>
          </cell>
          <cell r="AH29">
            <v>3588.76</v>
          </cell>
          <cell r="AI29">
            <v>3521.17</v>
          </cell>
          <cell r="AJ29">
            <v>3596.91</v>
          </cell>
          <cell r="AK29">
            <v>3445.78</v>
          </cell>
          <cell r="AL29">
            <v>3591.47</v>
          </cell>
          <cell r="AM29">
            <v>3755.04</v>
          </cell>
          <cell r="AN29">
            <v>3635.51</v>
          </cell>
          <cell r="AO29">
            <v>3677.49</v>
          </cell>
          <cell r="AP29">
            <v>3669.87</v>
          </cell>
          <cell r="AQ29">
            <v>3707.01</v>
          </cell>
          <cell r="AR29">
            <v>3571.05</v>
          </cell>
          <cell r="AS29">
            <v>3767.28</v>
          </cell>
          <cell r="AT29">
            <v>3658.13</v>
          </cell>
          <cell r="AU29">
            <v>3674.53</v>
          </cell>
          <cell r="AV29">
            <v>3720.68</v>
          </cell>
          <cell r="AW29">
            <v>3626.3</v>
          </cell>
          <cell r="AX29">
            <v>3438.28</v>
          </cell>
          <cell r="AY29">
            <v>3559.73</v>
          </cell>
          <cell r="AZ29">
            <v>3389.04</v>
          </cell>
          <cell r="BA29">
            <v>2861.17</v>
          </cell>
        </row>
        <row r="30">
          <cell r="A30" t="str">
            <v>V1000H20B20</v>
          </cell>
          <cell r="B30">
            <v>1000</v>
          </cell>
          <cell r="C30">
            <v>2000</v>
          </cell>
          <cell r="D30">
            <v>2000</v>
          </cell>
          <cell r="E30">
            <v>19</v>
          </cell>
          <cell r="F30">
            <v>2</v>
          </cell>
          <cell r="G30">
            <v>1</v>
          </cell>
          <cell r="H30">
            <v>350</v>
          </cell>
          <cell r="I30">
            <v>50</v>
          </cell>
          <cell r="J30">
            <v>1035.5</v>
          </cell>
          <cell r="K30" t="str">
            <v>Q-11002875</v>
          </cell>
          <cell r="L30" t="str">
            <v>\\hokukon-net2\hop\Program\01_MVPシステム_容量別組立図\.\01_余裕高0_0m\pdf\FB0_1000m3-MVP-2000-組-B2000_Q-11002875.pdf</v>
          </cell>
          <cell r="M30">
            <v>3775.97</v>
          </cell>
          <cell r="N30">
            <v>3828.22</v>
          </cell>
          <cell r="O30">
            <v>3707.65</v>
          </cell>
          <cell r="P30">
            <v>3709.47</v>
          </cell>
          <cell r="Q30">
            <v>3802.23</v>
          </cell>
          <cell r="R30">
            <v>3763.18</v>
          </cell>
          <cell r="S30">
            <v>3753.63</v>
          </cell>
          <cell r="T30">
            <v>3755.84</v>
          </cell>
          <cell r="U30">
            <v>3737.3</v>
          </cell>
          <cell r="V30">
            <v>3717.79</v>
          </cell>
          <cell r="W30">
            <v>3743.62</v>
          </cell>
          <cell r="X30">
            <v>3758.56</v>
          </cell>
          <cell r="Y30">
            <v>3760.17</v>
          </cell>
          <cell r="Z30">
            <v>3877.2</v>
          </cell>
          <cell r="AA30">
            <v>3777.02</v>
          </cell>
          <cell r="AB30">
            <v>3787.59</v>
          </cell>
          <cell r="AC30">
            <v>3941.07</v>
          </cell>
          <cell r="AD30">
            <v>3734.07</v>
          </cell>
          <cell r="AE30">
            <v>3784.87</v>
          </cell>
          <cell r="AF30">
            <v>3922.93</v>
          </cell>
          <cell r="AG30">
            <v>3738.29</v>
          </cell>
          <cell r="AH30">
            <v>3775.49</v>
          </cell>
          <cell r="AI30">
            <v>3705.6</v>
          </cell>
          <cell r="AJ30">
            <v>3783.8</v>
          </cell>
          <cell r="AK30">
            <v>3626.86</v>
          </cell>
          <cell r="AL30">
            <v>3777.72</v>
          </cell>
          <cell r="AM30">
            <v>3947.48</v>
          </cell>
          <cell r="AN30">
            <v>3823.54</v>
          </cell>
          <cell r="AO30">
            <v>3866.81</v>
          </cell>
          <cell r="AP30">
            <v>3859.06</v>
          </cell>
          <cell r="AQ30">
            <v>3897.67</v>
          </cell>
          <cell r="AR30">
            <v>3756.03</v>
          </cell>
          <cell r="AS30">
            <v>3959.71</v>
          </cell>
          <cell r="AT30">
            <v>3846.89</v>
          </cell>
          <cell r="AU30">
            <v>3864.01</v>
          </cell>
          <cell r="AV30">
            <v>3911.47</v>
          </cell>
          <cell r="AW30">
            <v>3813.7</v>
          </cell>
          <cell r="AX30">
            <v>3619.01</v>
          </cell>
          <cell r="AY30">
            <v>3744.51</v>
          </cell>
          <cell r="AZ30">
            <v>3567.74</v>
          </cell>
          <cell r="BA30">
            <v>3021.8</v>
          </cell>
        </row>
        <row r="31">
          <cell r="A31" t="str">
            <v>V1000H25B30</v>
          </cell>
          <cell r="B31">
            <v>1000</v>
          </cell>
          <cell r="C31">
            <v>2500</v>
          </cell>
          <cell r="D31">
            <v>3000</v>
          </cell>
          <cell r="E31">
            <v>15</v>
          </cell>
          <cell r="F31">
            <v>3</v>
          </cell>
          <cell r="G31">
            <v>1</v>
          </cell>
          <cell r="H31">
            <v>300</v>
          </cell>
          <cell r="I31">
            <v>50</v>
          </cell>
          <cell r="J31">
            <v>1016.1</v>
          </cell>
          <cell r="K31" t="str">
            <v>Q-11002880</v>
          </cell>
          <cell r="L31" t="str">
            <v>\\hokukon-net2\hop\Program\01_MVPシステム_容量別組立図\.\01_余裕高0_0m\pdf\FB0_1000m3-MVP-2500-組-B3000_Q-11002880.pdf</v>
          </cell>
          <cell r="M31">
            <v>3634.21</v>
          </cell>
          <cell r="N31">
            <v>3673.26</v>
          </cell>
          <cell r="O31">
            <v>3587.55</v>
          </cell>
          <cell r="P31">
            <v>3588.91</v>
          </cell>
          <cell r="Q31">
            <v>3653.79</v>
          </cell>
          <cell r="R31">
            <v>3625.23</v>
          </cell>
          <cell r="S31">
            <v>3616.38</v>
          </cell>
          <cell r="T31">
            <v>3618.02</v>
          </cell>
          <cell r="U31">
            <v>3618.06</v>
          </cell>
          <cell r="V31">
            <v>3602.08</v>
          </cell>
          <cell r="W31">
            <v>3621.55</v>
          </cell>
          <cell r="X31">
            <v>3637.93</v>
          </cell>
          <cell r="Y31">
            <v>3640.41</v>
          </cell>
          <cell r="Z31">
            <v>3730.22</v>
          </cell>
          <cell r="AA31">
            <v>3655.94</v>
          </cell>
          <cell r="AB31">
            <v>3659.52</v>
          </cell>
          <cell r="AC31">
            <v>3766.07</v>
          </cell>
          <cell r="AD31">
            <v>3606.65</v>
          </cell>
          <cell r="AE31">
            <v>3646.95</v>
          </cell>
          <cell r="AF31">
            <v>3751.65</v>
          </cell>
          <cell r="AG31">
            <v>3620.87</v>
          </cell>
          <cell r="AH31">
            <v>3650.04</v>
          </cell>
          <cell r="AI31">
            <v>3598.97</v>
          </cell>
          <cell r="AJ31">
            <v>3653.12</v>
          </cell>
          <cell r="AK31">
            <v>3535.89</v>
          </cell>
          <cell r="AL31">
            <v>3644.96</v>
          </cell>
          <cell r="AM31">
            <v>3771.04</v>
          </cell>
          <cell r="AN31">
            <v>3681.14</v>
          </cell>
          <cell r="AO31">
            <v>3709.63</v>
          </cell>
          <cell r="AP31">
            <v>3706.92</v>
          </cell>
          <cell r="AQ31">
            <v>3735.12</v>
          </cell>
          <cell r="AR31">
            <v>3621.98</v>
          </cell>
          <cell r="AS31">
            <v>3771.95</v>
          </cell>
          <cell r="AT31">
            <v>3693.12</v>
          </cell>
          <cell r="AU31">
            <v>3705.58</v>
          </cell>
          <cell r="AV31">
            <v>3738.31</v>
          </cell>
          <cell r="AW31">
            <v>3663.99</v>
          </cell>
          <cell r="AX31">
            <v>3524.25</v>
          </cell>
          <cell r="AY31">
            <v>3612.93</v>
          </cell>
          <cell r="AZ31">
            <v>3483.68</v>
          </cell>
          <cell r="BA31">
            <v>2896.64</v>
          </cell>
        </row>
        <row r="32">
          <cell r="A32" t="str">
            <v>V1000H25B25</v>
          </cell>
          <cell r="B32">
            <v>1000</v>
          </cell>
          <cell r="C32">
            <v>2500</v>
          </cell>
          <cell r="D32">
            <v>2500</v>
          </cell>
          <cell r="E32">
            <v>17</v>
          </cell>
          <cell r="F32">
            <v>3</v>
          </cell>
          <cell r="G32">
            <v>1</v>
          </cell>
          <cell r="H32">
            <v>300</v>
          </cell>
          <cell r="I32">
            <v>50</v>
          </cell>
          <cell r="J32">
            <v>1046.5999999999999</v>
          </cell>
          <cell r="K32" t="str">
            <v>Q-11002879</v>
          </cell>
          <cell r="L32" t="str">
            <v>\\hokukon-net2\hop\Program\01_MVPシステム_容量別組立図\.\01_余裕高0_0m\pdf\FB0_1000m3-MVP-2500-組-B2500_Q-11002879.pdf</v>
          </cell>
          <cell r="M32">
            <v>3839.57</v>
          </cell>
          <cell r="N32">
            <v>3879.81</v>
          </cell>
          <cell r="O32">
            <v>3791.67</v>
          </cell>
          <cell r="P32">
            <v>3793.07</v>
          </cell>
          <cell r="Q32">
            <v>3859.64</v>
          </cell>
          <cell r="R32">
            <v>3830.1</v>
          </cell>
          <cell r="S32">
            <v>3820.72</v>
          </cell>
          <cell r="T32">
            <v>3822.42</v>
          </cell>
          <cell r="U32">
            <v>3823.61</v>
          </cell>
          <cell r="V32">
            <v>3806.92</v>
          </cell>
          <cell r="W32">
            <v>3827.2</v>
          </cell>
          <cell r="X32">
            <v>3844.53</v>
          </cell>
          <cell r="Y32">
            <v>3847.15</v>
          </cell>
          <cell r="Z32">
            <v>3940.35</v>
          </cell>
          <cell r="AA32">
            <v>3863.87</v>
          </cell>
          <cell r="AB32">
            <v>3867.03</v>
          </cell>
          <cell r="AC32">
            <v>3976.62</v>
          </cell>
          <cell r="AD32">
            <v>3811.66</v>
          </cell>
          <cell r="AE32">
            <v>3853.64</v>
          </cell>
          <cell r="AF32">
            <v>3962.11</v>
          </cell>
          <cell r="AG32">
            <v>3827.2</v>
          </cell>
          <cell r="AH32">
            <v>3857.3</v>
          </cell>
          <cell r="AI32">
            <v>3804.83</v>
          </cell>
          <cell r="AJ32">
            <v>3860.31</v>
          </cell>
          <cell r="AK32">
            <v>3738.93</v>
          </cell>
          <cell r="AL32">
            <v>3851.27</v>
          </cell>
          <cell r="AM32">
            <v>3981.65</v>
          </cell>
          <cell r="AN32">
            <v>3888.78</v>
          </cell>
          <cell r="AO32">
            <v>3917.88</v>
          </cell>
          <cell r="AP32">
            <v>3915.31</v>
          </cell>
          <cell r="AQ32">
            <v>3944.57</v>
          </cell>
          <cell r="AR32">
            <v>3826.87</v>
          </cell>
          <cell r="AS32">
            <v>3981.99</v>
          </cell>
          <cell r="AT32">
            <v>3901.09</v>
          </cell>
          <cell r="AU32">
            <v>3914.11</v>
          </cell>
          <cell r="AV32">
            <v>3947.4</v>
          </cell>
          <cell r="AW32">
            <v>3870.76</v>
          </cell>
          <cell r="AX32">
            <v>3726.88</v>
          </cell>
          <cell r="AY32">
            <v>3817.85</v>
          </cell>
          <cell r="AZ32">
            <v>3684.67</v>
          </cell>
          <cell r="BA32">
            <v>3071.57</v>
          </cell>
        </row>
        <row r="33">
          <cell r="A33" t="str">
            <v>V1000H25B20</v>
          </cell>
          <cell r="B33">
            <v>1000</v>
          </cell>
          <cell r="C33">
            <v>2500</v>
          </cell>
          <cell r="D33">
            <v>2000</v>
          </cell>
          <cell r="E33">
            <v>18</v>
          </cell>
          <cell r="F33">
            <v>3</v>
          </cell>
          <cell r="G33">
            <v>1</v>
          </cell>
          <cell r="H33">
            <v>300</v>
          </cell>
          <cell r="I33">
            <v>50</v>
          </cell>
          <cell r="J33">
            <v>1000.9</v>
          </cell>
          <cell r="K33" t="str">
            <v>Q-11002878</v>
          </cell>
          <cell r="L33" t="str">
            <v>\\hokukon-net2\hop\Program\01_MVPシステム_容量別組立図\.\01_余裕高0_0m\pdf\FB0_1000m3-MVP-2500-組-B2000_Q-11002878.pdf</v>
          </cell>
          <cell r="M33">
            <v>3830.93</v>
          </cell>
          <cell r="N33">
            <v>3869.71</v>
          </cell>
          <cell r="O33">
            <v>3785.46</v>
          </cell>
          <cell r="P33">
            <v>3786.8</v>
          </cell>
          <cell r="Q33">
            <v>3850.04</v>
          </cell>
          <cell r="R33">
            <v>3821.55</v>
          </cell>
          <cell r="S33">
            <v>3812.08</v>
          </cell>
          <cell r="T33">
            <v>3813.72</v>
          </cell>
          <cell r="U33">
            <v>3817.29</v>
          </cell>
          <cell r="V33">
            <v>3800.91</v>
          </cell>
          <cell r="W33">
            <v>3820.6</v>
          </cell>
          <cell r="X33">
            <v>3838.14</v>
          </cell>
          <cell r="Y33">
            <v>3840.75</v>
          </cell>
          <cell r="Z33">
            <v>3931.34</v>
          </cell>
          <cell r="AA33">
            <v>3857.88</v>
          </cell>
          <cell r="AB33">
            <v>3860.05</v>
          </cell>
          <cell r="AC33">
            <v>3964.56</v>
          </cell>
          <cell r="AD33">
            <v>3804.67</v>
          </cell>
          <cell r="AE33">
            <v>3845.89</v>
          </cell>
          <cell r="AF33">
            <v>3950.95</v>
          </cell>
          <cell r="AG33">
            <v>3821.53</v>
          </cell>
          <cell r="AH33">
            <v>3850.65</v>
          </cell>
          <cell r="AI33">
            <v>3800.43</v>
          </cell>
          <cell r="AJ33">
            <v>3853.07</v>
          </cell>
          <cell r="AK33">
            <v>3735.72</v>
          </cell>
          <cell r="AL33">
            <v>3843.58</v>
          </cell>
          <cell r="AM33">
            <v>3969.49</v>
          </cell>
          <cell r="AN33">
            <v>3880.15</v>
          </cell>
          <cell r="AO33">
            <v>3907.54</v>
          </cell>
          <cell r="AP33">
            <v>3905.56</v>
          </cell>
          <cell r="AQ33">
            <v>3933.9</v>
          </cell>
          <cell r="AR33">
            <v>3818.64</v>
          </cell>
          <cell r="AS33">
            <v>3968.32</v>
          </cell>
          <cell r="AT33">
            <v>3891.4</v>
          </cell>
          <cell r="AU33">
            <v>3904.05</v>
          </cell>
          <cell r="AV33">
            <v>3935.33</v>
          </cell>
          <cell r="AW33">
            <v>3861.5</v>
          </cell>
          <cell r="AX33">
            <v>3723.48</v>
          </cell>
          <cell r="AY33">
            <v>3810.26</v>
          </cell>
          <cell r="AZ33">
            <v>3682.3</v>
          </cell>
          <cell r="BA33">
            <v>3080.77</v>
          </cell>
        </row>
        <row r="34">
          <cell r="A34" t="str">
            <v>V1000H30B30</v>
          </cell>
          <cell r="B34">
            <v>1000</v>
          </cell>
          <cell r="C34">
            <v>3000</v>
          </cell>
          <cell r="D34">
            <v>3000</v>
          </cell>
          <cell r="E34">
            <v>13</v>
          </cell>
          <cell r="F34">
            <v>3</v>
          </cell>
          <cell r="G34">
            <v>1</v>
          </cell>
          <cell r="H34">
            <v>300</v>
          </cell>
          <cell r="I34">
            <v>50</v>
          </cell>
          <cell r="J34">
            <v>1067.7</v>
          </cell>
          <cell r="K34" t="str">
            <v>Q-11002883</v>
          </cell>
          <cell r="L34" t="str">
            <v>\\hokukon-net2\hop\Program\01_MVPシステム_容量別組立図\.\01_余裕高0_0m\pdf\FB0_1000m3-MVP-3000-組-B3000_Q-11002883.pdf</v>
          </cell>
          <cell r="M34">
            <v>3452.96</v>
          </cell>
          <cell r="N34">
            <v>3487.77</v>
          </cell>
          <cell r="O34">
            <v>3413.36</v>
          </cell>
          <cell r="P34">
            <v>3414.57</v>
          </cell>
          <cell r="Q34">
            <v>3469.91</v>
          </cell>
          <cell r="R34">
            <v>3444.41</v>
          </cell>
          <cell r="S34">
            <v>3435.73</v>
          </cell>
          <cell r="T34">
            <v>3437.17</v>
          </cell>
          <cell r="U34">
            <v>3442.5</v>
          </cell>
          <cell r="V34">
            <v>3427.89</v>
          </cell>
          <cell r="W34">
            <v>3444.69</v>
          </cell>
          <cell r="X34">
            <v>3461.02</v>
          </cell>
          <cell r="Y34">
            <v>3463.68</v>
          </cell>
          <cell r="Z34">
            <v>3543.96</v>
          </cell>
          <cell r="AA34">
            <v>3478.87</v>
          </cell>
          <cell r="AB34">
            <v>3480.34</v>
          </cell>
          <cell r="AC34">
            <v>3571.69</v>
          </cell>
          <cell r="AD34">
            <v>3429.35</v>
          </cell>
          <cell r="AE34">
            <v>3466.53</v>
          </cell>
          <cell r="AF34">
            <v>3559.39</v>
          </cell>
          <cell r="AG34">
            <v>3445.77</v>
          </cell>
          <cell r="AH34">
            <v>3471.53</v>
          </cell>
          <cell r="AI34">
            <v>3427.42</v>
          </cell>
          <cell r="AJ34">
            <v>3473.15</v>
          </cell>
          <cell r="AK34">
            <v>3369.93</v>
          </cell>
          <cell r="AL34">
            <v>3465.19</v>
          </cell>
          <cell r="AM34">
            <v>3576.62</v>
          </cell>
          <cell r="AN34">
            <v>3498.39</v>
          </cell>
          <cell r="AO34">
            <v>3522.07</v>
          </cell>
          <cell r="AP34">
            <v>3520.22</v>
          </cell>
          <cell r="AQ34">
            <v>3545.41</v>
          </cell>
          <cell r="AR34">
            <v>3441.84</v>
          </cell>
          <cell r="AS34">
            <v>3573.63</v>
          </cell>
          <cell r="AT34">
            <v>3506.59</v>
          </cell>
          <cell r="AU34">
            <v>3517.6</v>
          </cell>
          <cell r="AV34">
            <v>3544.88</v>
          </cell>
          <cell r="AW34">
            <v>3479.59</v>
          </cell>
          <cell r="AX34">
            <v>3357.3</v>
          </cell>
          <cell r="AY34">
            <v>3434.14</v>
          </cell>
          <cell r="AZ34">
            <v>3321.12</v>
          </cell>
          <cell r="BA34">
            <v>2760.88</v>
          </cell>
        </row>
        <row r="35">
          <cell r="A35" t="str">
            <v>V1000H30B25</v>
          </cell>
          <cell r="B35">
            <v>1000</v>
          </cell>
          <cell r="C35">
            <v>3000</v>
          </cell>
          <cell r="D35">
            <v>2500</v>
          </cell>
          <cell r="E35">
            <v>20</v>
          </cell>
          <cell r="F35">
            <v>2</v>
          </cell>
          <cell r="G35">
            <v>1</v>
          </cell>
          <cell r="H35">
            <v>300</v>
          </cell>
          <cell r="I35">
            <v>50</v>
          </cell>
          <cell r="J35">
            <v>1045.2</v>
          </cell>
          <cell r="K35" t="str">
            <v>Q-11002882</v>
          </cell>
          <cell r="L35" t="str">
            <v>\\hokukon-net2\hop\Program\01_MVPシステム_容量別組立図\.\01_余裕高0_0m\pdf\FB0_1000m3-MVP-3000-組-B2500_Q-11002882.pdf</v>
          </cell>
          <cell r="M35">
            <v>3468.21</v>
          </cell>
          <cell r="N35">
            <v>3502.14</v>
          </cell>
          <cell r="O35">
            <v>3428.48</v>
          </cell>
          <cell r="P35">
            <v>3429.67</v>
          </cell>
          <cell r="Q35">
            <v>3484.72</v>
          </cell>
          <cell r="R35">
            <v>3459.65</v>
          </cell>
          <cell r="S35">
            <v>3451.29</v>
          </cell>
          <cell r="T35">
            <v>3452.71</v>
          </cell>
          <cell r="U35">
            <v>3456.35</v>
          </cell>
          <cell r="V35">
            <v>3441.98</v>
          </cell>
          <cell r="W35">
            <v>3459.02</v>
          </cell>
          <cell r="X35">
            <v>3474.51</v>
          </cell>
          <cell r="Y35">
            <v>3476.98</v>
          </cell>
          <cell r="Z35">
            <v>3556.14</v>
          </cell>
          <cell r="AA35">
            <v>3492.05</v>
          </cell>
          <cell r="AB35">
            <v>3493.71</v>
          </cell>
          <cell r="AC35">
            <v>3584.8</v>
          </cell>
          <cell r="AD35">
            <v>3445.32</v>
          </cell>
          <cell r="AE35">
            <v>3481.57</v>
          </cell>
          <cell r="AF35">
            <v>3573.14</v>
          </cell>
          <cell r="AG35">
            <v>3460.23</v>
          </cell>
          <cell r="AH35">
            <v>3485.32</v>
          </cell>
          <cell r="AI35">
            <v>3441.94</v>
          </cell>
          <cell r="AJ35">
            <v>3487.43</v>
          </cell>
          <cell r="AK35">
            <v>3385.37</v>
          </cell>
          <cell r="AL35">
            <v>3479.24</v>
          </cell>
          <cell r="AM35">
            <v>3589.27</v>
          </cell>
          <cell r="AN35">
            <v>3511.55</v>
          </cell>
          <cell r="AO35">
            <v>3535.26</v>
          </cell>
          <cell r="AP35">
            <v>3533.23</v>
          </cell>
          <cell r="AQ35">
            <v>3558.2</v>
          </cell>
          <cell r="AR35">
            <v>3457.26</v>
          </cell>
          <cell r="AS35">
            <v>3587.77</v>
          </cell>
          <cell r="AT35">
            <v>3520.87</v>
          </cell>
          <cell r="AU35">
            <v>3532.09</v>
          </cell>
          <cell r="AV35">
            <v>3559</v>
          </cell>
          <cell r="AW35">
            <v>3494.76</v>
          </cell>
          <cell r="AX35">
            <v>3374.17</v>
          </cell>
          <cell r="AY35">
            <v>3449.85</v>
          </cell>
          <cell r="AZ35">
            <v>3338.48</v>
          </cell>
          <cell r="BA35">
            <v>2777.07</v>
          </cell>
        </row>
        <row r="36">
          <cell r="A36" t="str">
            <v>V1000H30B20</v>
          </cell>
          <cell r="B36">
            <v>1000</v>
          </cell>
          <cell r="C36">
            <v>3000</v>
          </cell>
          <cell r="D36">
            <v>2000</v>
          </cell>
          <cell r="E36">
            <v>22</v>
          </cell>
          <cell r="F36">
            <v>2</v>
          </cell>
          <cell r="G36">
            <v>1</v>
          </cell>
          <cell r="H36">
            <v>300</v>
          </cell>
          <cell r="I36">
            <v>50</v>
          </cell>
          <cell r="J36">
            <v>1044.4000000000001</v>
          </cell>
          <cell r="K36" t="str">
            <v>Q-11002881</v>
          </cell>
          <cell r="L36" t="str">
            <v>\\hokukon-net2\hop\Program\01_MVPシステム_容量別組立図\.\01_余裕高0_0m\pdf\FB0_1000m3-MVP-3000-組-B2000_Q-11002881.pdf</v>
          </cell>
          <cell r="M36">
            <v>3606.32</v>
          </cell>
          <cell r="N36">
            <v>3640.44</v>
          </cell>
          <cell r="O36">
            <v>3566.82</v>
          </cell>
          <cell r="P36">
            <v>3568.01</v>
          </cell>
          <cell r="Q36">
            <v>3622.74</v>
          </cell>
          <cell r="R36">
            <v>3597.46</v>
          </cell>
          <cell r="S36">
            <v>3588.73</v>
          </cell>
          <cell r="T36">
            <v>3590.17</v>
          </cell>
          <cell r="U36">
            <v>3595.66</v>
          </cell>
          <cell r="V36">
            <v>3580.94</v>
          </cell>
          <cell r="W36">
            <v>3598.24</v>
          </cell>
          <cell r="X36">
            <v>3614.47</v>
          </cell>
          <cell r="Y36">
            <v>3617.06</v>
          </cell>
          <cell r="Z36">
            <v>3697.36</v>
          </cell>
          <cell r="AA36">
            <v>3633.04</v>
          </cell>
          <cell r="AB36">
            <v>3634.01</v>
          </cell>
          <cell r="AC36">
            <v>3724.94</v>
          </cell>
          <cell r="AD36">
            <v>3583.87</v>
          </cell>
          <cell r="AE36">
            <v>3620.94</v>
          </cell>
          <cell r="AF36">
            <v>3713.55</v>
          </cell>
          <cell r="AG36">
            <v>3600.26</v>
          </cell>
          <cell r="AH36">
            <v>3625.57</v>
          </cell>
          <cell r="AI36">
            <v>3582.22</v>
          </cell>
          <cell r="AJ36">
            <v>3627.35</v>
          </cell>
          <cell r="AK36">
            <v>3524.3</v>
          </cell>
          <cell r="AL36">
            <v>3618.46</v>
          </cell>
          <cell r="AM36">
            <v>3729.45</v>
          </cell>
          <cell r="AN36">
            <v>3651.32</v>
          </cell>
          <cell r="AO36">
            <v>3674.7</v>
          </cell>
          <cell r="AP36">
            <v>3672.97</v>
          </cell>
          <cell r="AQ36">
            <v>3698.27</v>
          </cell>
          <cell r="AR36">
            <v>3595.26</v>
          </cell>
          <cell r="AS36">
            <v>3726.82</v>
          </cell>
          <cell r="AT36">
            <v>3660.27</v>
          </cell>
          <cell r="AU36">
            <v>3671.69</v>
          </cell>
          <cell r="AV36">
            <v>3698.11</v>
          </cell>
          <cell r="AW36">
            <v>3633.49</v>
          </cell>
          <cell r="AX36">
            <v>3512.6</v>
          </cell>
          <cell r="AY36">
            <v>3588.09</v>
          </cell>
          <cell r="AZ36">
            <v>3476.29</v>
          </cell>
          <cell r="BA36">
            <v>2899.58</v>
          </cell>
        </row>
        <row r="37">
          <cell r="A37" t="str">
            <v>V1000H35B30</v>
          </cell>
          <cell r="B37">
            <v>1000</v>
          </cell>
          <cell r="C37">
            <v>3500</v>
          </cell>
          <cell r="D37">
            <v>3000</v>
          </cell>
          <cell r="E37">
            <v>15</v>
          </cell>
          <cell r="F37">
            <v>2</v>
          </cell>
          <cell r="G37">
            <v>1</v>
          </cell>
          <cell r="H37">
            <v>300</v>
          </cell>
          <cell r="I37">
            <v>50</v>
          </cell>
          <cell r="J37">
            <v>1009.1</v>
          </cell>
          <cell r="K37" t="str">
            <v>Q-11002886</v>
          </cell>
          <cell r="L37" t="str">
            <v>\\hokukon-net2\hop\Program\01_MVPシステム_容量別組立図\.\01_余裕高0_0m\pdf\FB0_1000m3-MVP-3500-組-B3000_Q-11002886.pdf</v>
          </cell>
          <cell r="M37">
            <v>3014.93</v>
          </cell>
          <cell r="N37">
            <v>3043.51</v>
          </cell>
          <cell r="O37">
            <v>2982.83</v>
          </cell>
          <cell r="P37">
            <v>2983.8</v>
          </cell>
          <cell r="Q37">
            <v>3028.63</v>
          </cell>
          <cell r="R37">
            <v>3007.81</v>
          </cell>
          <cell r="S37">
            <v>3000.55</v>
          </cell>
          <cell r="T37">
            <v>3001.74</v>
          </cell>
          <cell r="U37">
            <v>3007</v>
          </cell>
          <cell r="V37">
            <v>2994.9</v>
          </cell>
          <cell r="W37">
            <v>3008.75</v>
          </cell>
          <cell r="X37">
            <v>3022.38</v>
          </cell>
          <cell r="Y37">
            <v>3024.55</v>
          </cell>
          <cell r="Z37">
            <v>3090.54</v>
          </cell>
          <cell r="AA37">
            <v>3037.31</v>
          </cell>
          <cell r="AB37">
            <v>3038.25</v>
          </cell>
          <cell r="AC37">
            <v>3112.55</v>
          </cell>
          <cell r="AD37">
            <v>2995.7</v>
          </cell>
          <cell r="AE37">
            <v>3026.38</v>
          </cell>
          <cell r="AF37">
            <v>3102.59</v>
          </cell>
          <cell r="AG37">
            <v>3009.78</v>
          </cell>
          <cell r="AH37">
            <v>3030.99</v>
          </cell>
          <cell r="AI37">
            <v>2994.96</v>
          </cell>
          <cell r="AJ37">
            <v>3032.08</v>
          </cell>
          <cell r="AK37">
            <v>2947.55</v>
          </cell>
          <cell r="AL37">
            <v>3025.4</v>
          </cell>
          <cell r="AM37">
            <v>3116.68</v>
          </cell>
          <cell r="AN37">
            <v>3052.83</v>
          </cell>
          <cell r="AO37">
            <v>3071.94</v>
          </cell>
          <cell r="AP37">
            <v>3070.63</v>
          </cell>
          <cell r="AQ37">
            <v>3091.36</v>
          </cell>
          <cell r="AR37">
            <v>3005.79</v>
          </cell>
          <cell r="AS37">
            <v>3113.71</v>
          </cell>
          <cell r="AT37">
            <v>3059.15</v>
          </cell>
          <cell r="AU37">
            <v>3068.25</v>
          </cell>
          <cell r="AV37">
            <v>3090.29</v>
          </cell>
          <cell r="AW37">
            <v>3036.81</v>
          </cell>
          <cell r="AX37">
            <v>2936.86</v>
          </cell>
          <cell r="AY37">
            <v>2999.48</v>
          </cell>
          <cell r="AZ37">
            <v>2907.11</v>
          </cell>
          <cell r="BA37">
            <v>2408.63</v>
          </cell>
        </row>
        <row r="38">
          <cell r="A38" t="str">
            <v>V1000H35B25</v>
          </cell>
          <cell r="B38">
            <v>1000</v>
          </cell>
          <cell r="C38">
            <v>3500</v>
          </cell>
          <cell r="D38">
            <v>2500</v>
          </cell>
          <cell r="E38">
            <v>17</v>
          </cell>
          <cell r="F38">
            <v>2</v>
          </cell>
          <cell r="G38">
            <v>1</v>
          </cell>
          <cell r="H38">
            <v>300</v>
          </cell>
          <cell r="I38">
            <v>50</v>
          </cell>
          <cell r="J38">
            <v>1045.4000000000001</v>
          </cell>
          <cell r="K38" t="str">
            <v>Q-11002885</v>
          </cell>
          <cell r="L38" t="str">
            <v>\\hokukon-net2\hop\Program\01_MVPシステム_容量別組立図\.\01_余裕高0_0m\pdf\FB0_1000m3-MVP-3500-組-B2500_Q-11002885.pdf</v>
          </cell>
          <cell r="M38">
            <v>3206.51</v>
          </cell>
          <cell r="N38">
            <v>3236.14</v>
          </cell>
          <cell r="O38">
            <v>3173.38</v>
          </cell>
          <cell r="P38">
            <v>3174.41</v>
          </cell>
          <cell r="Q38">
            <v>3220.65</v>
          </cell>
          <cell r="R38">
            <v>3199</v>
          </cell>
          <cell r="S38">
            <v>3191.28</v>
          </cell>
          <cell r="T38">
            <v>3192.5</v>
          </cell>
          <cell r="U38">
            <v>3198.89</v>
          </cell>
          <cell r="V38">
            <v>3186.18</v>
          </cell>
          <cell r="W38">
            <v>3200.7</v>
          </cell>
          <cell r="X38">
            <v>3215.17</v>
          </cell>
          <cell r="Y38">
            <v>3217.49</v>
          </cell>
          <cell r="Z38">
            <v>3286.38</v>
          </cell>
          <cell r="AA38">
            <v>3231.25</v>
          </cell>
          <cell r="AB38">
            <v>3231.81</v>
          </cell>
          <cell r="AC38">
            <v>3308.63</v>
          </cell>
          <cell r="AD38">
            <v>3187</v>
          </cell>
          <cell r="AE38">
            <v>3219.16</v>
          </cell>
          <cell r="AF38">
            <v>3298.55</v>
          </cell>
          <cell r="AG38">
            <v>3202.3</v>
          </cell>
          <cell r="AH38">
            <v>3224.31</v>
          </cell>
          <cell r="AI38">
            <v>3187.12</v>
          </cell>
          <cell r="AJ38">
            <v>3225.29</v>
          </cell>
          <cell r="AK38">
            <v>3137.28</v>
          </cell>
          <cell r="AL38">
            <v>3217.92</v>
          </cell>
          <cell r="AM38">
            <v>3312.85</v>
          </cell>
          <cell r="AN38">
            <v>3246.54</v>
          </cell>
          <cell r="AO38">
            <v>3266.12</v>
          </cell>
          <cell r="AP38">
            <v>3264.93</v>
          </cell>
          <cell r="AQ38">
            <v>3286.56</v>
          </cell>
          <cell r="AR38">
            <v>3197.03</v>
          </cell>
          <cell r="AS38">
            <v>3309.27</v>
          </cell>
          <cell r="AT38">
            <v>3253.01</v>
          </cell>
          <cell r="AU38">
            <v>3262.57</v>
          </cell>
          <cell r="AV38">
            <v>3285.07</v>
          </cell>
          <cell r="AW38">
            <v>3229.58</v>
          </cell>
          <cell r="AX38">
            <v>3126.09</v>
          </cell>
          <cell r="AY38">
            <v>3190.67</v>
          </cell>
          <cell r="AZ38">
            <v>3094.98</v>
          </cell>
          <cell r="BA38">
            <v>2569.5700000000002</v>
          </cell>
        </row>
        <row r="39">
          <cell r="A39" t="str">
            <v>V1000H35B20</v>
          </cell>
          <cell r="B39">
            <v>1000</v>
          </cell>
          <cell r="C39">
            <v>3500</v>
          </cell>
          <cell r="D39">
            <v>2000</v>
          </cell>
          <cell r="E39">
            <v>18</v>
          </cell>
          <cell r="F39">
            <v>2</v>
          </cell>
          <cell r="G39">
            <v>1</v>
          </cell>
          <cell r="H39">
            <v>300</v>
          </cell>
          <cell r="I39">
            <v>50</v>
          </cell>
          <cell r="J39">
            <v>1006.6</v>
          </cell>
          <cell r="K39" t="str">
            <v>Q-11002884</v>
          </cell>
          <cell r="L39" t="str">
            <v>\\hokukon-net2\hop\Program\01_MVPシステム_容量別組立図\.\01_余裕高0_0m\pdf\FB0_1000m3-MVP-3500-組-B2000_Q-11002884.pdf</v>
          </cell>
          <cell r="M39">
            <v>3223.55</v>
          </cell>
          <cell r="N39">
            <v>3252.36</v>
          </cell>
          <cell r="O39">
            <v>3191.88</v>
          </cell>
          <cell r="P39">
            <v>3192.87</v>
          </cell>
          <cell r="Q39">
            <v>3237.14</v>
          </cell>
          <cell r="R39">
            <v>3216.14</v>
          </cell>
          <cell r="S39">
            <v>3208.35</v>
          </cell>
          <cell r="T39">
            <v>3209.55</v>
          </cell>
          <cell r="U39">
            <v>3217.43</v>
          </cell>
          <cell r="V39">
            <v>3204.87</v>
          </cell>
          <cell r="W39">
            <v>3219.07</v>
          </cell>
          <cell r="X39">
            <v>3233.72</v>
          </cell>
          <cell r="Y39">
            <v>3236.03</v>
          </cell>
          <cell r="Z39">
            <v>3303.44</v>
          </cell>
          <cell r="AA39">
            <v>3250.04</v>
          </cell>
          <cell r="AB39">
            <v>3250.01</v>
          </cell>
          <cell r="AC39">
            <v>3323.83</v>
          </cell>
          <cell r="AD39">
            <v>3205.03</v>
          </cell>
          <cell r="AE39">
            <v>3236.77</v>
          </cell>
          <cell r="AF39">
            <v>3314.23</v>
          </cell>
          <cell r="AG39">
            <v>3221.18</v>
          </cell>
          <cell r="AH39">
            <v>3242.69</v>
          </cell>
          <cell r="AI39">
            <v>3206.78</v>
          </cell>
          <cell r="AJ39">
            <v>3243.28</v>
          </cell>
          <cell r="AK39">
            <v>3157.58</v>
          </cell>
          <cell r="AL39">
            <v>3235.65</v>
          </cell>
          <cell r="AM39">
            <v>3328</v>
          </cell>
          <cell r="AN39">
            <v>3263.73</v>
          </cell>
          <cell r="AO39">
            <v>3282.31</v>
          </cell>
          <cell r="AP39">
            <v>3281.5</v>
          </cell>
          <cell r="AQ39">
            <v>3302.58</v>
          </cell>
          <cell r="AR39">
            <v>3214.34</v>
          </cell>
          <cell r="AS39">
            <v>3323.49</v>
          </cell>
          <cell r="AT39">
            <v>3269.56</v>
          </cell>
          <cell r="AU39">
            <v>3278.88</v>
          </cell>
          <cell r="AV39">
            <v>3300.2</v>
          </cell>
          <cell r="AW39">
            <v>3246.32</v>
          </cell>
          <cell r="AX39">
            <v>3146.22</v>
          </cell>
          <cell r="AY39">
            <v>3208.38</v>
          </cell>
          <cell r="AZ39">
            <v>3115.65</v>
          </cell>
          <cell r="BA39">
            <v>2593</v>
          </cell>
        </row>
        <row r="40">
          <cell r="A40" t="str">
            <v>V1000H40B30</v>
          </cell>
          <cell r="B40">
            <v>1000</v>
          </cell>
          <cell r="C40">
            <v>4000</v>
          </cell>
          <cell r="D40">
            <v>3000</v>
          </cell>
          <cell r="E40">
            <v>13</v>
          </cell>
          <cell r="F40">
            <v>2</v>
          </cell>
          <cell r="G40">
            <v>1</v>
          </cell>
          <cell r="H40">
            <v>350</v>
          </cell>
          <cell r="I40">
            <v>70</v>
          </cell>
          <cell r="J40">
            <v>1015</v>
          </cell>
          <cell r="K40" t="str">
            <v>Q-11002889</v>
          </cell>
          <cell r="L40" t="str">
            <v>\\hokukon-net2\hop\Program\01_MVPシステム_容量別組立図\.\01_余裕高0_0m\pdf\FB0_1000m3-MVP-4000-組-B3000_Q-11002889.pdf</v>
          </cell>
          <cell r="M40">
            <v>3232.35</v>
          </cell>
          <cell r="N40">
            <v>3260.95</v>
          </cell>
          <cell r="O40">
            <v>3201.97</v>
          </cell>
          <cell r="P40">
            <v>3202.91</v>
          </cell>
          <cell r="Q40">
            <v>3245.88</v>
          </cell>
          <cell r="R40">
            <v>3225.46</v>
          </cell>
          <cell r="S40">
            <v>3217.97</v>
          </cell>
          <cell r="T40">
            <v>3219.11</v>
          </cell>
          <cell r="U40">
            <v>3224.16</v>
          </cell>
          <cell r="V40">
            <v>3212.72</v>
          </cell>
          <cell r="W40">
            <v>3226.02</v>
          </cell>
          <cell r="X40">
            <v>3239.02</v>
          </cell>
          <cell r="Y40">
            <v>3240.62</v>
          </cell>
          <cell r="Z40">
            <v>3305.02</v>
          </cell>
          <cell r="AA40">
            <v>3253.31</v>
          </cell>
          <cell r="AB40">
            <v>3254.61</v>
          </cell>
          <cell r="AC40">
            <v>3326.04</v>
          </cell>
          <cell r="AD40">
            <v>3209.62</v>
          </cell>
          <cell r="AE40">
            <v>3240.54</v>
          </cell>
          <cell r="AF40">
            <v>3314.4</v>
          </cell>
          <cell r="AG40">
            <v>3222.68</v>
          </cell>
          <cell r="AH40">
            <v>3243.73</v>
          </cell>
          <cell r="AI40">
            <v>3208.79</v>
          </cell>
          <cell r="AJ40">
            <v>3244.08</v>
          </cell>
          <cell r="AK40">
            <v>3168.74</v>
          </cell>
          <cell r="AL40">
            <v>3245.09</v>
          </cell>
          <cell r="AM40">
            <v>3333.48</v>
          </cell>
          <cell r="AN40">
            <v>3271.84</v>
          </cell>
          <cell r="AO40">
            <v>3290.47</v>
          </cell>
          <cell r="AP40">
            <v>3289.24</v>
          </cell>
          <cell r="AQ40">
            <v>3309.85</v>
          </cell>
          <cell r="AR40">
            <v>3219.18</v>
          </cell>
          <cell r="AS40">
            <v>3323.95</v>
          </cell>
          <cell r="AT40">
            <v>3272.27</v>
          </cell>
          <cell r="AU40">
            <v>3280.77</v>
          </cell>
          <cell r="AV40">
            <v>3301.51</v>
          </cell>
          <cell r="AW40">
            <v>3248.79</v>
          </cell>
          <cell r="AX40">
            <v>3150.95</v>
          </cell>
          <cell r="AY40">
            <v>3211.92</v>
          </cell>
          <cell r="AZ40">
            <v>3121.72</v>
          </cell>
          <cell r="BA40">
            <v>2583.7800000000002</v>
          </cell>
        </row>
        <row r="41">
          <cell r="A41" t="str">
            <v>V1000H40B25</v>
          </cell>
          <cell r="B41">
            <v>1000</v>
          </cell>
          <cell r="C41">
            <v>4000</v>
          </cell>
          <cell r="D41">
            <v>2500</v>
          </cell>
          <cell r="E41">
            <v>14</v>
          </cell>
          <cell r="F41">
            <v>2</v>
          </cell>
          <cell r="G41">
            <v>1</v>
          </cell>
          <cell r="H41">
            <v>350</v>
          </cell>
          <cell r="I41">
            <v>70</v>
          </cell>
          <cell r="J41">
            <v>1001.5</v>
          </cell>
          <cell r="K41" t="str">
            <v>Q-11002888</v>
          </cell>
          <cell r="L41" t="str">
            <v>\\hokukon-net2\hop\Program\01_MVPシステム_容量別組立図\.\01_余裕高0_0m\pdf\FB0_1000m3-MVP-4000-組-B2500_Q-11002888.pdf</v>
          </cell>
          <cell r="M41">
            <v>3313.01</v>
          </cell>
          <cell r="N41">
            <v>3341.41</v>
          </cell>
          <cell r="O41">
            <v>3283.25</v>
          </cell>
          <cell r="P41">
            <v>3284.18</v>
          </cell>
          <cell r="Q41">
            <v>3326.33</v>
          </cell>
          <cell r="R41">
            <v>3306.03</v>
          </cell>
          <cell r="S41">
            <v>3298.37</v>
          </cell>
          <cell r="T41">
            <v>3299.5</v>
          </cell>
          <cell r="U41">
            <v>3305.76</v>
          </cell>
          <cell r="V41">
            <v>3294.25</v>
          </cell>
          <cell r="W41">
            <v>3307.55</v>
          </cell>
          <cell r="X41">
            <v>3320.9</v>
          </cell>
          <cell r="Y41">
            <v>3322.55</v>
          </cell>
          <cell r="Z41">
            <v>3386.87</v>
          </cell>
          <cell r="AA41">
            <v>3335.69</v>
          </cell>
          <cell r="AB41">
            <v>3336.51</v>
          </cell>
          <cell r="AC41">
            <v>3406.77</v>
          </cell>
          <cell r="AD41">
            <v>3290.61</v>
          </cell>
          <cell r="AE41">
            <v>3321.72</v>
          </cell>
          <cell r="AF41">
            <v>3395.26</v>
          </cell>
          <cell r="AG41">
            <v>3304.52</v>
          </cell>
          <cell r="AH41">
            <v>3325.46</v>
          </cell>
          <cell r="AI41">
            <v>3291.01</v>
          </cell>
          <cell r="AJ41">
            <v>3325.52</v>
          </cell>
          <cell r="AK41">
            <v>3251.02</v>
          </cell>
          <cell r="AL41">
            <v>3326.54</v>
          </cell>
          <cell r="AM41">
            <v>3414.35</v>
          </cell>
          <cell r="AN41">
            <v>3353.33</v>
          </cell>
          <cell r="AO41">
            <v>3371.44</v>
          </cell>
          <cell r="AP41">
            <v>3370.48</v>
          </cell>
          <cell r="AQ41">
            <v>3391.03</v>
          </cell>
          <cell r="AR41">
            <v>3299.68</v>
          </cell>
          <cell r="AS41">
            <v>3403.74</v>
          </cell>
          <cell r="AT41">
            <v>3353.03</v>
          </cell>
          <cell r="AU41">
            <v>3361.54</v>
          </cell>
          <cell r="AV41">
            <v>3381.64</v>
          </cell>
          <cell r="AW41">
            <v>3329.27</v>
          </cell>
          <cell r="AX41">
            <v>3232.54</v>
          </cell>
          <cell r="AY41">
            <v>3292.54</v>
          </cell>
          <cell r="AZ41">
            <v>3203.26</v>
          </cell>
          <cell r="BA41">
            <v>2656.57</v>
          </cell>
        </row>
        <row r="42">
          <cell r="A42" t="str">
            <v>V1000H40B20</v>
          </cell>
          <cell r="B42">
            <v>1000</v>
          </cell>
          <cell r="C42">
            <v>4000</v>
          </cell>
          <cell r="D42">
            <v>2000</v>
          </cell>
          <cell r="E42">
            <v>16</v>
          </cell>
          <cell r="F42">
            <v>2</v>
          </cell>
          <cell r="G42">
            <v>1</v>
          </cell>
          <cell r="H42">
            <v>350</v>
          </cell>
          <cell r="I42">
            <v>70</v>
          </cell>
          <cell r="J42">
            <v>1038.3</v>
          </cell>
          <cell r="K42" t="str">
            <v>Q-11002887</v>
          </cell>
          <cell r="L42" t="str">
            <v>\\hokukon-net2\hop\Program\01_MVPシステム_容量別組立図\.\01_余裕高0_0m\pdf\FB0_1000m3-MVP-4000-組-B2000_Q-11002887.pdf</v>
          </cell>
          <cell r="M42">
            <v>3561.65</v>
          </cell>
          <cell r="N42">
            <v>3591.14</v>
          </cell>
          <cell r="O42">
            <v>3530.81</v>
          </cell>
          <cell r="P42">
            <v>3531.78</v>
          </cell>
          <cell r="Q42">
            <v>3575.42</v>
          </cell>
          <cell r="R42">
            <v>3554.27</v>
          </cell>
          <cell r="S42">
            <v>3546.15</v>
          </cell>
          <cell r="T42">
            <v>3547.31</v>
          </cell>
          <cell r="U42">
            <v>3554.57</v>
          </cell>
          <cell r="V42">
            <v>3542.48</v>
          </cell>
          <cell r="W42">
            <v>3556.45</v>
          </cell>
          <cell r="X42">
            <v>3570.6</v>
          </cell>
          <cell r="Y42">
            <v>3572.37</v>
          </cell>
          <cell r="Z42">
            <v>3639.67</v>
          </cell>
          <cell r="AA42">
            <v>3586.49</v>
          </cell>
          <cell r="AB42">
            <v>3587.01</v>
          </cell>
          <cell r="AC42">
            <v>3659.83</v>
          </cell>
          <cell r="AD42">
            <v>3538.52</v>
          </cell>
          <cell r="AE42">
            <v>3571.14</v>
          </cell>
          <cell r="AF42">
            <v>3647.92</v>
          </cell>
          <cell r="AG42">
            <v>3553.47</v>
          </cell>
          <cell r="AH42">
            <v>3575.27</v>
          </cell>
          <cell r="AI42">
            <v>3539.58</v>
          </cell>
          <cell r="AJ42">
            <v>3575.22</v>
          </cell>
          <cell r="AK42">
            <v>3497.88</v>
          </cell>
          <cell r="AL42">
            <v>3576.28</v>
          </cell>
          <cell r="AM42">
            <v>3667.83</v>
          </cell>
          <cell r="AN42">
            <v>3604.27</v>
          </cell>
          <cell r="AO42">
            <v>3622.92</v>
          </cell>
          <cell r="AP42">
            <v>3622.08</v>
          </cell>
          <cell r="AQ42">
            <v>3643.57</v>
          </cell>
          <cell r="AR42">
            <v>3547.57</v>
          </cell>
          <cell r="AS42">
            <v>3656.06</v>
          </cell>
          <cell r="AT42">
            <v>3603.55</v>
          </cell>
          <cell r="AU42">
            <v>3612.52</v>
          </cell>
          <cell r="AV42">
            <v>3633.11</v>
          </cell>
          <cell r="AW42">
            <v>3578.55</v>
          </cell>
          <cell r="AX42">
            <v>3478.14</v>
          </cell>
          <cell r="AY42">
            <v>3540.18</v>
          </cell>
          <cell r="AZ42">
            <v>3447.42</v>
          </cell>
          <cell r="BA42">
            <v>2861.69</v>
          </cell>
        </row>
        <row r="43">
          <cell r="A43" t="str">
            <v>V1000H45B30</v>
          </cell>
          <cell r="B43">
            <v>1000</v>
          </cell>
          <cell r="C43">
            <v>4500</v>
          </cell>
          <cell r="D43">
            <v>3000</v>
          </cell>
          <cell r="E43">
            <v>12</v>
          </cell>
          <cell r="F43">
            <v>2</v>
          </cell>
          <cell r="G43">
            <v>1</v>
          </cell>
          <cell r="H43">
            <v>350</v>
          </cell>
          <cell r="I43">
            <v>70</v>
          </cell>
          <cell r="J43">
            <v>1060.0999999999999</v>
          </cell>
          <cell r="K43" t="str">
            <v>Q-11002892</v>
          </cell>
          <cell r="L43" t="str">
            <v>\\hokukon-net2\hop\Program\01_MVPシステム_容量別組立図\.\01_余裕高0_0m\pdf\FB0_1000m3-MVP-4500-組-B3000_Q-11002892.pdf</v>
          </cell>
          <cell r="M43">
            <v>3215.85</v>
          </cell>
          <cell r="N43">
            <v>3242.66</v>
          </cell>
          <cell r="O43">
            <v>3188.33</v>
          </cell>
          <cell r="P43">
            <v>3189.21</v>
          </cell>
          <cell r="Q43">
            <v>3228.29</v>
          </cell>
          <cell r="R43">
            <v>3209.04</v>
          </cell>
          <cell r="S43">
            <v>3201.54</v>
          </cell>
          <cell r="T43">
            <v>3202.6</v>
          </cell>
          <cell r="U43">
            <v>3210.26</v>
          </cell>
          <cell r="V43">
            <v>3199.38</v>
          </cell>
          <cell r="W43">
            <v>3211.72</v>
          </cell>
          <cell r="X43">
            <v>3224.87</v>
          </cell>
          <cell r="Y43">
            <v>3226.47</v>
          </cell>
          <cell r="Z43">
            <v>3287.28</v>
          </cell>
          <cell r="AA43">
            <v>3239.17</v>
          </cell>
          <cell r="AB43">
            <v>3239.62</v>
          </cell>
          <cell r="AC43">
            <v>3304.66</v>
          </cell>
          <cell r="AD43">
            <v>3194.66</v>
          </cell>
          <cell r="AE43">
            <v>3224.36</v>
          </cell>
          <cell r="AF43">
            <v>3293.82</v>
          </cell>
          <cell r="AG43">
            <v>3209.09</v>
          </cell>
          <cell r="AH43">
            <v>3228.84</v>
          </cell>
          <cell r="AI43">
            <v>3196.54</v>
          </cell>
          <cell r="AJ43">
            <v>3228.6</v>
          </cell>
          <cell r="AK43">
            <v>3158.59</v>
          </cell>
          <cell r="AL43">
            <v>3229.34</v>
          </cell>
          <cell r="AM43">
            <v>3312.03</v>
          </cell>
          <cell r="AN43">
            <v>3255.07</v>
          </cell>
          <cell r="AO43">
            <v>3271.77</v>
          </cell>
          <cell r="AP43">
            <v>3271</v>
          </cell>
          <cell r="AQ43">
            <v>3290.41</v>
          </cell>
          <cell r="AR43">
            <v>3202.97</v>
          </cell>
          <cell r="AS43">
            <v>3300.67</v>
          </cell>
          <cell r="AT43">
            <v>3253.72</v>
          </cell>
          <cell r="AU43">
            <v>3261.55</v>
          </cell>
          <cell r="AV43">
            <v>3280.27</v>
          </cell>
          <cell r="AW43">
            <v>3231</v>
          </cell>
          <cell r="AX43">
            <v>3140.25</v>
          </cell>
          <cell r="AY43">
            <v>3196.25</v>
          </cell>
          <cell r="AZ43">
            <v>3112.55</v>
          </cell>
          <cell r="BA43">
            <v>2574.16</v>
          </cell>
        </row>
        <row r="44">
          <cell r="A44" t="str">
            <v>V1000H45B25</v>
          </cell>
          <cell r="B44">
            <v>1000</v>
          </cell>
          <cell r="C44">
            <v>4500</v>
          </cell>
          <cell r="D44">
            <v>2500</v>
          </cell>
          <cell r="E44">
            <v>13</v>
          </cell>
          <cell r="F44">
            <v>2</v>
          </cell>
          <cell r="G44">
            <v>1</v>
          </cell>
          <cell r="H44">
            <v>350</v>
          </cell>
          <cell r="I44">
            <v>70</v>
          </cell>
          <cell r="J44">
            <v>1051.7</v>
          </cell>
          <cell r="K44" t="str">
            <v>Q-11002891</v>
          </cell>
          <cell r="L44" t="str">
            <v>\\hokukon-net2\hop\Program\01_MVPシステム_容量別組立図\.\01_余裕高0_0m\pdf\FB0_1000m3-MVP-4500-組-B2500_Q-11002891.pdf</v>
          </cell>
          <cell r="M44">
            <v>3304.57</v>
          </cell>
          <cell r="N44">
            <v>3331.38</v>
          </cell>
          <cell r="O44">
            <v>3277.48</v>
          </cell>
          <cell r="P44">
            <v>3278.34</v>
          </cell>
          <cell r="Q44">
            <v>3316.92</v>
          </cell>
          <cell r="R44">
            <v>3297.72</v>
          </cell>
          <cell r="S44">
            <v>3290.07</v>
          </cell>
          <cell r="T44">
            <v>3291.13</v>
          </cell>
          <cell r="U44">
            <v>3299.77</v>
          </cell>
          <cell r="V44">
            <v>3288.78</v>
          </cell>
          <cell r="W44">
            <v>3301.15</v>
          </cell>
          <cell r="X44">
            <v>3314.64</v>
          </cell>
          <cell r="Y44">
            <v>3316.28</v>
          </cell>
          <cell r="Z44">
            <v>3377.25</v>
          </cell>
          <cell r="AA44">
            <v>3329.4</v>
          </cell>
          <cell r="AB44">
            <v>3329.44</v>
          </cell>
          <cell r="AC44">
            <v>3393.79</v>
          </cell>
          <cell r="AD44">
            <v>3283.6</v>
          </cell>
          <cell r="AE44">
            <v>3313.58</v>
          </cell>
          <cell r="AF44">
            <v>3383.03</v>
          </cell>
          <cell r="AG44">
            <v>3298.74</v>
          </cell>
          <cell r="AH44">
            <v>3318.51</v>
          </cell>
          <cell r="AI44">
            <v>3286.48</v>
          </cell>
          <cell r="AJ44">
            <v>3318.01</v>
          </cell>
          <cell r="AK44">
            <v>3248.43</v>
          </cell>
          <cell r="AL44">
            <v>3318.81</v>
          </cell>
          <cell r="AM44">
            <v>3401.33</v>
          </cell>
          <cell r="AN44">
            <v>3344.63</v>
          </cell>
          <cell r="AO44">
            <v>3360.98</v>
          </cell>
          <cell r="AP44">
            <v>3360.43</v>
          </cell>
          <cell r="AQ44">
            <v>3379.84</v>
          </cell>
          <cell r="AR44">
            <v>3291.58</v>
          </cell>
          <cell r="AS44">
            <v>3389.07</v>
          </cell>
          <cell r="AT44">
            <v>3342.73</v>
          </cell>
          <cell r="AU44">
            <v>3350.61</v>
          </cell>
          <cell r="AV44">
            <v>3368.86</v>
          </cell>
          <cell r="AW44">
            <v>3319.69</v>
          </cell>
          <cell r="AX44">
            <v>3229.49</v>
          </cell>
          <cell r="AY44">
            <v>3284.93</v>
          </cell>
          <cell r="AZ44">
            <v>3201.63</v>
          </cell>
          <cell r="BA44">
            <v>2651.06</v>
          </cell>
        </row>
        <row r="45">
          <cell r="A45" t="str">
            <v>V1000H45B20</v>
          </cell>
          <cell r="B45">
            <v>1000</v>
          </cell>
          <cell r="C45">
            <v>4500</v>
          </cell>
          <cell r="D45">
            <v>2000</v>
          </cell>
          <cell r="E45">
            <v>14</v>
          </cell>
          <cell r="F45">
            <v>2</v>
          </cell>
          <cell r="G45">
            <v>1</v>
          </cell>
          <cell r="H45">
            <v>350</v>
          </cell>
          <cell r="I45">
            <v>70</v>
          </cell>
          <cell r="J45">
            <v>1029.8</v>
          </cell>
          <cell r="K45" t="str">
            <v>Q-11002890</v>
          </cell>
          <cell r="L45" t="str">
            <v>\\hokukon-net2\hop\Program\01_MVPシステム_容量別組立図\.\01_余裕高0_0m\pdf\FB0_1000m3-MVP-4500-組-B2000_Q-11002890.pdf</v>
          </cell>
          <cell r="M45">
            <v>3385.9</v>
          </cell>
          <cell r="N45">
            <v>3412.35</v>
          </cell>
          <cell r="O45">
            <v>3359.61</v>
          </cell>
          <cell r="P45">
            <v>3360.47</v>
          </cell>
          <cell r="Q45">
            <v>3397.95</v>
          </cell>
          <cell r="R45">
            <v>3378.96</v>
          </cell>
          <cell r="S45">
            <v>3371.13</v>
          </cell>
          <cell r="T45">
            <v>3372.17</v>
          </cell>
          <cell r="U45">
            <v>3382.23</v>
          </cell>
          <cell r="V45">
            <v>3371.2</v>
          </cell>
          <cell r="W45">
            <v>3383.5</v>
          </cell>
          <cell r="X45">
            <v>3397.36</v>
          </cell>
          <cell r="Y45">
            <v>3399.07</v>
          </cell>
          <cell r="Z45">
            <v>3459.7</v>
          </cell>
          <cell r="AA45">
            <v>3412.64</v>
          </cell>
          <cell r="AB45">
            <v>3412.11</v>
          </cell>
          <cell r="AC45">
            <v>3474.83</v>
          </cell>
          <cell r="AD45">
            <v>3365.37</v>
          </cell>
          <cell r="AE45">
            <v>3395.45</v>
          </cell>
          <cell r="AF45">
            <v>3464.26</v>
          </cell>
          <cell r="AG45">
            <v>3381.45</v>
          </cell>
          <cell r="AH45">
            <v>3401.02</v>
          </cell>
          <cell r="AI45">
            <v>3369.67</v>
          </cell>
          <cell r="AJ45">
            <v>3400.19</v>
          </cell>
          <cell r="AK45">
            <v>3331.87</v>
          </cell>
          <cell r="AL45">
            <v>3400.98</v>
          </cell>
          <cell r="AM45">
            <v>3482.5</v>
          </cell>
          <cell r="AN45">
            <v>3426.74</v>
          </cell>
          <cell r="AO45">
            <v>3442.44</v>
          </cell>
          <cell r="AP45">
            <v>3442.18</v>
          </cell>
          <cell r="AQ45">
            <v>3461.47</v>
          </cell>
          <cell r="AR45">
            <v>3372.76</v>
          </cell>
          <cell r="AS45">
            <v>3469.02</v>
          </cell>
          <cell r="AT45">
            <v>3423.99</v>
          </cell>
          <cell r="AU45">
            <v>3431.85</v>
          </cell>
          <cell r="AV45">
            <v>3449.3</v>
          </cell>
          <cell r="AW45">
            <v>3400.73</v>
          </cell>
          <cell r="AX45">
            <v>3312.21</v>
          </cell>
          <cell r="AY45">
            <v>3366.28</v>
          </cell>
          <cell r="AZ45">
            <v>3284.39</v>
          </cell>
          <cell r="BA45">
            <v>2724.43</v>
          </cell>
        </row>
        <row r="46">
          <cell r="A46" t="str">
            <v>V2000H15B30</v>
          </cell>
          <cell r="B46">
            <v>2000</v>
          </cell>
          <cell r="C46">
            <v>1500</v>
          </cell>
          <cell r="D46">
            <v>3000</v>
          </cell>
          <cell r="E46">
            <v>31</v>
          </cell>
          <cell r="F46">
            <v>3</v>
          </cell>
          <cell r="G46">
            <v>2</v>
          </cell>
          <cell r="H46">
            <v>350</v>
          </cell>
          <cell r="I46">
            <v>50</v>
          </cell>
          <cell r="J46">
            <v>2004.5</v>
          </cell>
          <cell r="K46" t="str">
            <v>Q-11002895</v>
          </cell>
          <cell r="L46" t="str">
            <v>\\hokukon-net2\hop\Program\01_MVPシステム_容量別組立図\.\01_余裕高0_0m\pdf\FB0_2000m3-MVP-1500-組-B3000_Q-11002895.pdf</v>
          </cell>
          <cell r="M46">
            <v>8394.1299999999992</v>
          </cell>
          <cell r="N46">
            <v>8522.44</v>
          </cell>
          <cell r="O46">
            <v>8216.2900000000009</v>
          </cell>
          <cell r="P46">
            <v>8220.84</v>
          </cell>
          <cell r="Q46">
            <v>8461.57</v>
          </cell>
          <cell r="R46">
            <v>8364.1200000000008</v>
          </cell>
          <cell r="S46">
            <v>8344.33</v>
          </cell>
          <cell r="T46">
            <v>8349.83</v>
          </cell>
          <cell r="U46">
            <v>8279.39</v>
          </cell>
          <cell r="V46">
            <v>8233.41</v>
          </cell>
          <cell r="W46">
            <v>8298.1299999999992</v>
          </cell>
          <cell r="X46">
            <v>8326.6299999999992</v>
          </cell>
          <cell r="Y46">
            <v>8329.7900000000009</v>
          </cell>
          <cell r="Z46">
            <v>8615.6200000000008</v>
          </cell>
          <cell r="AA46">
            <v>8365.48</v>
          </cell>
          <cell r="AB46">
            <v>8398.24</v>
          </cell>
          <cell r="AC46">
            <v>8792.58</v>
          </cell>
          <cell r="AD46">
            <v>8288.2000000000007</v>
          </cell>
          <cell r="AE46">
            <v>8406.98</v>
          </cell>
          <cell r="AF46">
            <v>8747.0400000000009</v>
          </cell>
          <cell r="AG46">
            <v>8279.65</v>
          </cell>
          <cell r="AH46">
            <v>8370.42</v>
          </cell>
          <cell r="AI46">
            <v>8193.9500000000007</v>
          </cell>
          <cell r="AJ46">
            <v>8396.23</v>
          </cell>
          <cell r="AK46">
            <v>8007.1</v>
          </cell>
          <cell r="AL46">
            <v>8384.58</v>
          </cell>
          <cell r="AM46">
            <v>8805.1200000000008</v>
          </cell>
          <cell r="AN46">
            <v>8492.9599999999991</v>
          </cell>
          <cell r="AO46">
            <v>8606.65</v>
          </cell>
          <cell r="AP46">
            <v>8583.2000000000007</v>
          </cell>
          <cell r="AQ46">
            <v>8678.3700000000008</v>
          </cell>
          <cell r="AR46">
            <v>8345.24</v>
          </cell>
          <cell r="AS46">
            <v>8853.01</v>
          </cell>
          <cell r="AT46">
            <v>8561.74</v>
          </cell>
          <cell r="AU46">
            <v>8605.4699999999993</v>
          </cell>
          <cell r="AV46">
            <v>8729.4</v>
          </cell>
          <cell r="AW46">
            <v>8486.68</v>
          </cell>
          <cell r="AX46">
            <v>7998.39</v>
          </cell>
          <cell r="AY46">
            <v>8316.07</v>
          </cell>
          <cell r="AZ46">
            <v>7874.48</v>
          </cell>
          <cell r="BA46">
            <v>6602.13</v>
          </cell>
        </row>
        <row r="47">
          <cell r="A47" t="str">
            <v>V2000H15B25</v>
          </cell>
          <cell r="B47">
            <v>2000</v>
          </cell>
          <cell r="C47">
            <v>1500</v>
          </cell>
          <cell r="D47">
            <v>2500</v>
          </cell>
          <cell r="E47">
            <v>34</v>
          </cell>
          <cell r="F47">
            <v>3</v>
          </cell>
          <cell r="G47">
            <v>2</v>
          </cell>
          <cell r="H47">
            <v>350</v>
          </cell>
          <cell r="I47">
            <v>50</v>
          </cell>
          <cell r="J47">
            <v>2037.7</v>
          </cell>
          <cell r="K47" t="str">
            <v>Q-11002894</v>
          </cell>
          <cell r="L47" t="str">
            <v>\\hokukon-net2\hop\Program\01_MVPシステム_容量別組立図\.\01_余裕高0_0m\pdf\FB0_2000m3-MVP-1500-組-B2500_Q-11002894.pdf</v>
          </cell>
          <cell r="M47">
            <v>8690.35</v>
          </cell>
          <cell r="N47">
            <v>8821.2199999999993</v>
          </cell>
          <cell r="O47">
            <v>8509.57</v>
          </cell>
          <cell r="P47">
            <v>8514.2000000000007</v>
          </cell>
          <cell r="Q47">
            <v>8758.83</v>
          </cell>
          <cell r="R47">
            <v>8659.32</v>
          </cell>
          <cell r="S47">
            <v>8638.61</v>
          </cell>
          <cell r="T47">
            <v>8644.2099999999991</v>
          </cell>
          <cell r="U47">
            <v>8575.08</v>
          </cell>
          <cell r="V47">
            <v>8527.77</v>
          </cell>
          <cell r="W47">
            <v>8594.06</v>
          </cell>
          <cell r="X47">
            <v>8624.14</v>
          </cell>
          <cell r="Y47">
            <v>8627.49</v>
          </cell>
          <cell r="Z47">
            <v>8920.17</v>
          </cell>
          <cell r="AA47">
            <v>8665.25</v>
          </cell>
          <cell r="AB47">
            <v>8697.56</v>
          </cell>
          <cell r="AC47">
            <v>9098.8700000000008</v>
          </cell>
          <cell r="AD47">
            <v>8583.2099999999991</v>
          </cell>
          <cell r="AE47">
            <v>8705.31</v>
          </cell>
          <cell r="AF47">
            <v>9053.02</v>
          </cell>
          <cell r="AG47">
            <v>8576.58</v>
          </cell>
          <cell r="AH47">
            <v>8669.23</v>
          </cell>
          <cell r="AI47">
            <v>8489.64</v>
          </cell>
          <cell r="AJ47">
            <v>8695.07</v>
          </cell>
          <cell r="AK47">
            <v>8297.4</v>
          </cell>
          <cell r="AL47">
            <v>8682.0499999999993</v>
          </cell>
          <cell r="AM47">
            <v>9111.64</v>
          </cell>
          <cell r="AN47">
            <v>8793.18</v>
          </cell>
          <cell r="AO47">
            <v>8908.43</v>
          </cell>
          <cell r="AP47">
            <v>8885</v>
          </cell>
          <cell r="AQ47">
            <v>8982.36</v>
          </cell>
          <cell r="AR47">
            <v>8640.34</v>
          </cell>
          <cell r="AS47">
            <v>9158.91</v>
          </cell>
          <cell r="AT47">
            <v>8862.83</v>
          </cell>
          <cell r="AU47">
            <v>8907.7099999999991</v>
          </cell>
          <cell r="AV47">
            <v>9033.1</v>
          </cell>
          <cell r="AW47">
            <v>8785.5300000000007</v>
          </cell>
          <cell r="AX47">
            <v>8288.02</v>
          </cell>
          <cell r="AY47">
            <v>8611.1</v>
          </cell>
          <cell r="AZ47">
            <v>8160.96</v>
          </cell>
          <cell r="BA47">
            <v>6873.61</v>
          </cell>
        </row>
        <row r="48">
          <cell r="A48" t="str">
            <v>V2000H15B20</v>
          </cell>
          <cell r="B48">
            <v>2000</v>
          </cell>
          <cell r="C48">
            <v>1500</v>
          </cell>
          <cell r="D48">
            <v>2000</v>
          </cell>
          <cell r="E48">
            <v>37</v>
          </cell>
          <cell r="F48">
            <v>3</v>
          </cell>
          <cell r="G48">
            <v>2</v>
          </cell>
          <cell r="H48">
            <v>350</v>
          </cell>
          <cell r="I48">
            <v>50</v>
          </cell>
          <cell r="J48">
            <v>2043.7</v>
          </cell>
          <cell r="K48" t="str">
            <v>Q-11002893</v>
          </cell>
          <cell r="L48" t="str">
            <v>\\hokukon-net2\hop\Program\01_MVPシステム_容量別組立図\.\01_余裕高0_0m\pdf\FB0_2000m3-MVP-1500-組-B2000_Q-11002893.pdf</v>
          </cell>
          <cell r="M48">
            <v>8914.59</v>
          </cell>
          <cell r="N48">
            <v>9046.48</v>
          </cell>
          <cell r="O48">
            <v>8733.2000000000007</v>
          </cell>
          <cell r="P48">
            <v>8737.8799999999992</v>
          </cell>
          <cell r="Q48">
            <v>8983.2099999999991</v>
          </cell>
          <cell r="R48">
            <v>8882.82</v>
          </cell>
          <cell r="S48">
            <v>8861.2800000000007</v>
          </cell>
          <cell r="T48">
            <v>8866.94</v>
          </cell>
          <cell r="U48">
            <v>8800.73</v>
          </cell>
          <cell r="V48">
            <v>8752.5300000000007</v>
          </cell>
          <cell r="W48">
            <v>8819.66</v>
          </cell>
          <cell r="X48">
            <v>8851.19</v>
          </cell>
          <cell r="Y48">
            <v>8854.75</v>
          </cell>
          <cell r="Z48">
            <v>9151.0499999999993</v>
          </cell>
          <cell r="AA48">
            <v>8894.44</v>
          </cell>
          <cell r="AB48">
            <v>8925.66</v>
          </cell>
          <cell r="AC48">
            <v>9328.84</v>
          </cell>
          <cell r="AD48">
            <v>8807.67</v>
          </cell>
          <cell r="AE48">
            <v>8931.94</v>
          </cell>
          <cell r="AF48">
            <v>9283.35</v>
          </cell>
          <cell r="AG48">
            <v>8803.6299999999992</v>
          </cell>
          <cell r="AH48">
            <v>8897.11</v>
          </cell>
          <cell r="AI48">
            <v>8716.69</v>
          </cell>
          <cell r="AJ48">
            <v>8922.5300000000007</v>
          </cell>
          <cell r="AK48">
            <v>8520.93</v>
          </cell>
          <cell r="AL48">
            <v>8908.1299999999992</v>
          </cell>
          <cell r="AM48">
            <v>9341.76</v>
          </cell>
          <cell r="AN48">
            <v>9020.82</v>
          </cell>
          <cell r="AO48">
            <v>9136.09</v>
          </cell>
          <cell r="AP48">
            <v>9113.09</v>
          </cell>
          <cell r="AQ48">
            <v>9211.58</v>
          </cell>
          <cell r="AR48">
            <v>8864</v>
          </cell>
          <cell r="AS48">
            <v>9387.32</v>
          </cell>
          <cell r="AT48">
            <v>9090.2999999999993</v>
          </cell>
          <cell r="AU48">
            <v>9135.81</v>
          </cell>
          <cell r="AV48">
            <v>9260.94</v>
          </cell>
          <cell r="AW48">
            <v>9011.4599999999991</v>
          </cell>
          <cell r="AX48">
            <v>8510.7199999999993</v>
          </cell>
          <cell r="AY48">
            <v>8835.1200000000008</v>
          </cell>
          <cell r="AZ48">
            <v>8381.8799999999992</v>
          </cell>
          <cell r="BA48">
            <v>7088.96</v>
          </cell>
        </row>
        <row r="49">
          <cell r="A49" t="str">
            <v>V2000H20B30</v>
          </cell>
          <cell r="B49">
            <v>2000</v>
          </cell>
          <cell r="C49">
            <v>2000</v>
          </cell>
          <cell r="D49">
            <v>3000</v>
          </cell>
          <cell r="E49">
            <v>23</v>
          </cell>
          <cell r="F49">
            <v>3</v>
          </cell>
          <cell r="G49">
            <v>2</v>
          </cell>
          <cell r="H49">
            <v>350</v>
          </cell>
          <cell r="I49">
            <v>50</v>
          </cell>
          <cell r="J49">
            <v>2011.8</v>
          </cell>
          <cell r="K49" t="str">
            <v>Q-11002898</v>
          </cell>
          <cell r="L49" t="str">
            <v>\\hokukon-net2\hop\Program\01_MVPシステム_容量別組立図\.\01_余裕高0_0m\pdf\FB0_2000m3-MVP-2000-組-B3000_Q-11002898.pdf</v>
          </cell>
          <cell r="M49">
            <v>6715.18</v>
          </cell>
          <cell r="N49">
            <v>6812.61</v>
          </cell>
          <cell r="O49">
            <v>6583.32</v>
          </cell>
          <cell r="P49">
            <v>6586.74</v>
          </cell>
          <cell r="Q49">
            <v>6765.72</v>
          </cell>
          <cell r="R49">
            <v>6692.29</v>
          </cell>
          <cell r="S49">
            <v>6676.44</v>
          </cell>
          <cell r="T49">
            <v>6680.59</v>
          </cell>
          <cell r="U49">
            <v>6633.71</v>
          </cell>
          <cell r="V49">
            <v>6598.49</v>
          </cell>
          <cell r="W49">
            <v>6646.89</v>
          </cell>
          <cell r="X49">
            <v>6670.58</v>
          </cell>
          <cell r="Y49">
            <v>6673.21</v>
          </cell>
          <cell r="Z49">
            <v>6889.75</v>
          </cell>
          <cell r="AA49">
            <v>6701.28</v>
          </cell>
          <cell r="AB49">
            <v>6724.57</v>
          </cell>
          <cell r="AC49">
            <v>7018.47</v>
          </cell>
          <cell r="AD49">
            <v>6635.25</v>
          </cell>
          <cell r="AE49">
            <v>6726.7</v>
          </cell>
          <cell r="AF49">
            <v>6983.75</v>
          </cell>
          <cell r="AG49">
            <v>6633.76</v>
          </cell>
          <cell r="AH49">
            <v>6702.8</v>
          </cell>
          <cell r="AI49">
            <v>6570.19</v>
          </cell>
          <cell r="AJ49">
            <v>6720.8</v>
          </cell>
          <cell r="AK49">
            <v>6427.41</v>
          </cell>
          <cell r="AL49">
            <v>6711.68</v>
          </cell>
          <cell r="AM49">
            <v>7028.97</v>
          </cell>
          <cell r="AN49">
            <v>6794.87</v>
          </cell>
          <cell r="AO49">
            <v>6879.11</v>
          </cell>
          <cell r="AP49">
            <v>6862.48</v>
          </cell>
          <cell r="AQ49">
            <v>6934.31</v>
          </cell>
          <cell r="AR49">
            <v>6678.15</v>
          </cell>
          <cell r="AS49">
            <v>7060.3</v>
          </cell>
          <cell r="AT49">
            <v>6843.53</v>
          </cell>
          <cell r="AU49">
            <v>6875.91</v>
          </cell>
          <cell r="AV49">
            <v>6968.16</v>
          </cell>
          <cell r="AW49">
            <v>6784.89</v>
          </cell>
          <cell r="AX49">
            <v>6417.6</v>
          </cell>
          <cell r="AY49">
            <v>6656.05</v>
          </cell>
          <cell r="AZ49">
            <v>6323.38</v>
          </cell>
          <cell r="BA49">
            <v>5291.29</v>
          </cell>
        </row>
        <row r="50">
          <cell r="A50" t="str">
            <v>V2000H20B25</v>
          </cell>
          <cell r="B50">
            <v>2000</v>
          </cell>
          <cell r="C50">
            <v>2000</v>
          </cell>
          <cell r="D50">
            <v>2500</v>
          </cell>
          <cell r="E50">
            <v>25</v>
          </cell>
          <cell r="F50">
            <v>3</v>
          </cell>
          <cell r="G50">
            <v>2</v>
          </cell>
          <cell r="H50">
            <v>350</v>
          </cell>
          <cell r="I50">
            <v>50</v>
          </cell>
          <cell r="J50">
            <v>2026.8</v>
          </cell>
          <cell r="K50" t="str">
            <v>Q-11002897</v>
          </cell>
          <cell r="L50" t="str">
            <v>\\hokukon-net2\hop\Program\01_MVPシステム_容量別組立図\.\01_余裕高0_0m\pdf\FB0_2000m3-MVP-2000-組-B2500_Q-11002897.pdf</v>
          </cell>
          <cell r="M50">
            <v>6891.37</v>
          </cell>
          <cell r="N50">
            <v>6989.77</v>
          </cell>
          <cell r="O50">
            <v>6758.63</v>
          </cell>
          <cell r="P50">
            <v>6762.09</v>
          </cell>
          <cell r="Q50">
            <v>6942.21</v>
          </cell>
          <cell r="R50">
            <v>6867.94</v>
          </cell>
          <cell r="S50">
            <v>6851.56</v>
          </cell>
          <cell r="T50">
            <v>6855.74</v>
          </cell>
          <cell r="U50">
            <v>6810.42</v>
          </cell>
          <cell r="V50">
            <v>6774.55</v>
          </cell>
          <cell r="W50">
            <v>6823.63</v>
          </cell>
          <cell r="X50">
            <v>6848.31</v>
          </cell>
          <cell r="Y50">
            <v>6851.08</v>
          </cell>
          <cell r="Z50">
            <v>7070.65</v>
          </cell>
          <cell r="AA50">
            <v>6880.44</v>
          </cell>
          <cell r="AB50">
            <v>6903.12</v>
          </cell>
          <cell r="AC50">
            <v>7199.33</v>
          </cell>
          <cell r="AD50">
            <v>6811.34</v>
          </cell>
          <cell r="AE50">
            <v>6904.42</v>
          </cell>
          <cell r="AF50">
            <v>7164.69</v>
          </cell>
          <cell r="AG50">
            <v>6811.38</v>
          </cell>
          <cell r="AH50">
            <v>6881.19</v>
          </cell>
          <cell r="AI50">
            <v>6747.53</v>
          </cell>
          <cell r="AJ50">
            <v>6899</v>
          </cell>
          <cell r="AK50">
            <v>6602.09</v>
          </cell>
          <cell r="AL50">
            <v>6888.95</v>
          </cell>
          <cell r="AM50">
            <v>7209.91</v>
          </cell>
          <cell r="AN50">
            <v>6973.4</v>
          </cell>
          <cell r="AO50">
            <v>7057.96</v>
          </cell>
          <cell r="AP50">
            <v>7041.52</v>
          </cell>
          <cell r="AQ50">
            <v>7114.29</v>
          </cell>
          <cell r="AR50">
            <v>6853.88</v>
          </cell>
          <cell r="AS50">
            <v>7240.37</v>
          </cell>
          <cell r="AT50">
            <v>7022.18</v>
          </cell>
          <cell r="AU50">
            <v>7055.1</v>
          </cell>
          <cell r="AV50">
            <v>7147.52</v>
          </cell>
          <cell r="AW50">
            <v>6962.41</v>
          </cell>
          <cell r="AX50">
            <v>6591.81</v>
          </cell>
          <cell r="AY50">
            <v>6831.95</v>
          </cell>
          <cell r="AZ50">
            <v>6496.13</v>
          </cell>
          <cell r="BA50">
            <v>5458.68</v>
          </cell>
        </row>
        <row r="51">
          <cell r="A51" t="str">
            <v>V2000H20B20</v>
          </cell>
          <cell r="B51">
            <v>2000</v>
          </cell>
          <cell r="C51">
            <v>2000</v>
          </cell>
          <cell r="D51">
            <v>2000</v>
          </cell>
          <cell r="E51">
            <v>27</v>
          </cell>
          <cell r="F51">
            <v>3</v>
          </cell>
          <cell r="G51">
            <v>2</v>
          </cell>
          <cell r="H51">
            <v>350</v>
          </cell>
          <cell r="I51">
            <v>50</v>
          </cell>
          <cell r="J51">
            <v>2017.9</v>
          </cell>
          <cell r="K51" t="str">
            <v>Q-11002896</v>
          </cell>
          <cell r="L51" t="str">
            <v>\\hokukon-net2\hop\Program\01_MVPシステム_容量別組立図\.\01_余裕高0_0m\pdf\FB0_2000m3-MVP-2000-組-B2000_Q-11002896.pdf</v>
          </cell>
          <cell r="M51">
            <v>7020.22</v>
          </cell>
          <cell r="N51">
            <v>7118.6</v>
          </cell>
          <cell r="O51">
            <v>6888.17</v>
          </cell>
          <cell r="P51">
            <v>6891.64</v>
          </cell>
          <cell r="Q51">
            <v>7070.76</v>
          </cell>
          <cell r="R51">
            <v>6996.45</v>
          </cell>
          <cell r="S51">
            <v>6979.58</v>
          </cell>
          <cell r="T51">
            <v>6983.76</v>
          </cell>
          <cell r="U51">
            <v>6941.09</v>
          </cell>
          <cell r="V51">
            <v>6904.84</v>
          </cell>
          <cell r="W51">
            <v>6954.14</v>
          </cell>
          <cell r="X51">
            <v>6979.73</v>
          </cell>
          <cell r="Y51">
            <v>6982.63</v>
          </cell>
          <cell r="Z51">
            <v>7203.07</v>
          </cell>
          <cell r="AA51">
            <v>7013.19</v>
          </cell>
          <cell r="AB51">
            <v>7034.85</v>
          </cell>
          <cell r="AC51">
            <v>7329.94</v>
          </cell>
          <cell r="AD51">
            <v>6941.02</v>
          </cell>
          <cell r="AE51">
            <v>7034.94</v>
          </cell>
          <cell r="AF51">
            <v>7295.84</v>
          </cell>
          <cell r="AG51">
            <v>6943.07</v>
          </cell>
          <cell r="AH51">
            <v>7012.93</v>
          </cell>
          <cell r="AI51">
            <v>6879.75</v>
          </cell>
          <cell r="AJ51">
            <v>7030.25</v>
          </cell>
          <cell r="AK51">
            <v>6732.89</v>
          </cell>
          <cell r="AL51">
            <v>7019.24</v>
          </cell>
          <cell r="AM51">
            <v>7340.54</v>
          </cell>
          <cell r="AN51">
            <v>7104.19</v>
          </cell>
          <cell r="AO51">
            <v>7188.02</v>
          </cell>
          <cell r="AP51">
            <v>7172.04</v>
          </cell>
          <cell r="AQ51">
            <v>7245.05</v>
          </cell>
          <cell r="AR51">
            <v>6982.65</v>
          </cell>
          <cell r="AS51">
            <v>7369.43</v>
          </cell>
          <cell r="AT51">
            <v>7152.37</v>
          </cell>
          <cell r="AU51">
            <v>7185.48</v>
          </cell>
          <cell r="AV51">
            <v>7276.93</v>
          </cell>
          <cell r="AW51">
            <v>7091.92</v>
          </cell>
          <cell r="AX51">
            <v>6722.03</v>
          </cell>
          <cell r="AY51">
            <v>6961.14</v>
          </cell>
          <cell r="AZ51">
            <v>6625.81</v>
          </cell>
          <cell r="BA51">
            <v>5588.49</v>
          </cell>
        </row>
        <row r="52">
          <cell r="A52" t="str">
            <v>V2000H25B30</v>
          </cell>
          <cell r="B52">
            <v>2000</v>
          </cell>
          <cell r="C52">
            <v>2500</v>
          </cell>
          <cell r="D52">
            <v>3000</v>
          </cell>
          <cell r="E52">
            <v>24</v>
          </cell>
          <cell r="F52">
            <v>4</v>
          </cell>
          <cell r="G52">
            <v>1</v>
          </cell>
          <cell r="H52">
            <v>300</v>
          </cell>
          <cell r="I52">
            <v>50</v>
          </cell>
          <cell r="J52">
            <v>2073.6</v>
          </cell>
          <cell r="K52" t="str">
            <v>Q-11002901</v>
          </cell>
          <cell r="L52" t="str">
            <v>\\hokukon-net2\hop\Program\01_MVPシステム_容量別組立図\.\01_余裕高0_0m\pdf\FB0_2000m3-MVP-2500-組-B3000_Q-11002901.pdf</v>
          </cell>
          <cell r="M52">
            <v>6874.56</v>
          </cell>
          <cell r="N52">
            <v>6950.54</v>
          </cell>
          <cell r="O52">
            <v>6778.54</v>
          </cell>
          <cell r="P52">
            <v>6781.23</v>
          </cell>
          <cell r="Q52">
            <v>6913.99</v>
          </cell>
          <cell r="R52">
            <v>6857.41</v>
          </cell>
          <cell r="S52">
            <v>6841.88</v>
          </cell>
          <cell r="T52">
            <v>6845.12</v>
          </cell>
          <cell r="U52">
            <v>6832.88</v>
          </cell>
          <cell r="V52">
            <v>6802.58</v>
          </cell>
          <cell r="W52">
            <v>6841.5</v>
          </cell>
          <cell r="X52">
            <v>6869.45</v>
          </cell>
          <cell r="Y52">
            <v>6873.83</v>
          </cell>
          <cell r="Z52">
            <v>7048.52</v>
          </cell>
          <cell r="AA52">
            <v>6902.02</v>
          </cell>
          <cell r="AB52">
            <v>6912.06</v>
          </cell>
          <cell r="AC52">
            <v>7128.59</v>
          </cell>
          <cell r="AD52">
            <v>6819.65</v>
          </cell>
          <cell r="AE52">
            <v>6895.53</v>
          </cell>
          <cell r="AF52">
            <v>7100.45</v>
          </cell>
          <cell r="AG52">
            <v>6838.24</v>
          </cell>
          <cell r="AH52">
            <v>6894.58</v>
          </cell>
          <cell r="AI52">
            <v>6792.75</v>
          </cell>
          <cell r="AJ52">
            <v>6903.41</v>
          </cell>
          <cell r="AK52">
            <v>6672.4</v>
          </cell>
          <cell r="AL52">
            <v>6888.48</v>
          </cell>
          <cell r="AM52">
            <v>7136.41</v>
          </cell>
          <cell r="AN52">
            <v>6956.83</v>
          </cell>
          <cell r="AO52">
            <v>7016.05</v>
          </cell>
          <cell r="AP52">
            <v>7008.76</v>
          </cell>
          <cell r="AQ52">
            <v>7064.11</v>
          </cell>
          <cell r="AR52">
            <v>6850.32</v>
          </cell>
          <cell r="AS52">
            <v>7147.23</v>
          </cell>
          <cell r="AT52">
            <v>6986.38</v>
          </cell>
          <cell r="AU52">
            <v>7011.81</v>
          </cell>
          <cell r="AV52">
            <v>7078.95</v>
          </cell>
          <cell r="AW52">
            <v>6932.88</v>
          </cell>
          <cell r="AX52">
            <v>6655.68</v>
          </cell>
          <cell r="AY52">
            <v>6832.75</v>
          </cell>
          <cell r="AZ52">
            <v>6577.08</v>
          </cell>
          <cell r="BA52">
            <v>5437.93</v>
          </cell>
        </row>
        <row r="53">
          <cell r="A53" t="str">
            <v>V2000H25B25</v>
          </cell>
          <cell r="B53">
            <v>2000</v>
          </cell>
          <cell r="C53">
            <v>2500</v>
          </cell>
          <cell r="D53">
            <v>2500</v>
          </cell>
          <cell r="E53">
            <v>26</v>
          </cell>
          <cell r="F53">
            <v>4</v>
          </cell>
          <cell r="G53">
            <v>1</v>
          </cell>
          <cell r="H53">
            <v>300</v>
          </cell>
          <cell r="I53">
            <v>50</v>
          </cell>
          <cell r="J53">
            <v>2041.8</v>
          </cell>
          <cell r="K53" t="str">
            <v>Q-11002900</v>
          </cell>
          <cell r="L53" t="str">
            <v>\\hokukon-net2\hop\Program\01_MVPシステム_容量別組立図\.\01_余裕高0_0m\pdf\FB0_2000m3-MVP-2500-組-B2500_Q-11002900.pdf</v>
          </cell>
          <cell r="M53">
            <v>7009.04</v>
          </cell>
          <cell r="N53">
            <v>7084.19</v>
          </cell>
          <cell r="O53">
            <v>6914.91</v>
          </cell>
          <cell r="P53">
            <v>6917.58</v>
          </cell>
          <cell r="Q53">
            <v>7047.74</v>
          </cell>
          <cell r="R53">
            <v>6991.69</v>
          </cell>
          <cell r="S53">
            <v>6975.7</v>
          </cell>
          <cell r="T53">
            <v>6978.9</v>
          </cell>
          <cell r="U53">
            <v>6970.13</v>
          </cell>
          <cell r="V53">
            <v>6939.68</v>
          </cell>
          <cell r="W53">
            <v>6978.5</v>
          </cell>
          <cell r="X53">
            <v>7007.34</v>
          </cell>
          <cell r="Y53">
            <v>7011.81</v>
          </cell>
          <cell r="Z53">
            <v>7185.83</v>
          </cell>
          <cell r="AA53">
            <v>7041.23</v>
          </cell>
          <cell r="AB53">
            <v>7049.91</v>
          </cell>
          <cell r="AC53">
            <v>7262.77</v>
          </cell>
          <cell r="AD53">
            <v>6955.76</v>
          </cell>
          <cell r="AE53">
            <v>7031.94</v>
          </cell>
          <cell r="AF53">
            <v>7235.56</v>
          </cell>
          <cell r="AG53">
            <v>6976.75</v>
          </cell>
          <cell r="AH53">
            <v>7032.63</v>
          </cell>
          <cell r="AI53">
            <v>6932.39</v>
          </cell>
          <cell r="AJ53">
            <v>7040.75</v>
          </cell>
          <cell r="AK53">
            <v>6811.42</v>
          </cell>
          <cell r="AL53">
            <v>7024.7</v>
          </cell>
          <cell r="AM53">
            <v>7270.51</v>
          </cell>
          <cell r="AN53">
            <v>7092.91</v>
          </cell>
          <cell r="AO53">
            <v>7150.64</v>
          </cell>
          <cell r="AP53">
            <v>7144.1</v>
          </cell>
          <cell r="AQ53">
            <v>7199.11</v>
          </cell>
          <cell r="AR53">
            <v>6984.94</v>
          </cell>
          <cell r="AS53">
            <v>7279.24</v>
          </cell>
          <cell r="AT53">
            <v>7121.48</v>
          </cell>
          <cell r="AU53">
            <v>7146.85</v>
          </cell>
          <cell r="AV53">
            <v>7212.12</v>
          </cell>
          <cell r="AW53">
            <v>7067.63</v>
          </cell>
          <cell r="AX53">
            <v>6794.24</v>
          </cell>
          <cell r="AY53">
            <v>6968.16</v>
          </cell>
          <cell r="AZ53">
            <v>6715.66</v>
          </cell>
          <cell r="BA53">
            <v>5571.24</v>
          </cell>
        </row>
        <row r="54">
          <cell r="A54" t="str">
            <v>V2000H25B20</v>
          </cell>
          <cell r="B54">
            <v>2000</v>
          </cell>
          <cell r="C54">
            <v>2500</v>
          </cell>
          <cell r="D54">
            <v>2000</v>
          </cell>
          <cell r="E54">
            <v>29</v>
          </cell>
          <cell r="F54">
            <v>4</v>
          </cell>
          <cell r="G54">
            <v>2</v>
          </cell>
          <cell r="H54">
            <v>300</v>
          </cell>
          <cell r="I54">
            <v>50</v>
          </cell>
          <cell r="J54">
            <v>2049.1999999999998</v>
          </cell>
          <cell r="K54" t="str">
            <v>Q-11002899</v>
          </cell>
          <cell r="L54" t="str">
            <v>\\hokukon-net2\hop\Program\01_MVPシステム_容量別組立図\.\01_余裕高0_0m\pdf\FB0_2000m3-MVP-2500-組-B2000_Q-11002899.pdf</v>
          </cell>
          <cell r="M54">
            <v>7329.83</v>
          </cell>
          <cell r="N54">
            <v>7405.67</v>
          </cell>
          <cell r="O54">
            <v>7235.99</v>
          </cell>
          <cell r="P54">
            <v>7238.68</v>
          </cell>
          <cell r="Q54">
            <v>7368.28</v>
          </cell>
          <cell r="R54">
            <v>7311.69</v>
          </cell>
          <cell r="S54">
            <v>7294.67</v>
          </cell>
          <cell r="T54">
            <v>7297.92</v>
          </cell>
          <cell r="U54">
            <v>7293.22</v>
          </cell>
          <cell r="V54">
            <v>7261.91</v>
          </cell>
          <cell r="W54">
            <v>7301.5</v>
          </cell>
          <cell r="X54">
            <v>7332.07</v>
          </cell>
          <cell r="Y54">
            <v>7336.67</v>
          </cell>
          <cell r="Z54">
            <v>7513.7</v>
          </cell>
          <cell r="AA54">
            <v>7368.3</v>
          </cell>
          <cell r="AB54">
            <v>7375.54</v>
          </cell>
          <cell r="AC54">
            <v>7588.53</v>
          </cell>
          <cell r="AD54">
            <v>7277.08</v>
          </cell>
          <cell r="AE54">
            <v>7355.41</v>
          </cell>
          <cell r="AF54">
            <v>7561.9</v>
          </cell>
          <cell r="AG54">
            <v>7301.58</v>
          </cell>
          <cell r="AH54">
            <v>7358.04</v>
          </cell>
          <cell r="AI54">
            <v>7257.57</v>
          </cell>
          <cell r="AJ54">
            <v>7365.48</v>
          </cell>
          <cell r="AK54">
            <v>7133.15</v>
          </cell>
          <cell r="AL54">
            <v>7347.73</v>
          </cell>
          <cell r="AM54">
            <v>7596.46</v>
          </cell>
          <cell r="AN54">
            <v>7417.39</v>
          </cell>
          <cell r="AO54">
            <v>7474.55</v>
          </cell>
          <cell r="AP54">
            <v>7468.8</v>
          </cell>
          <cell r="AQ54">
            <v>7524.69</v>
          </cell>
          <cell r="AR54">
            <v>7305.08</v>
          </cell>
          <cell r="AS54">
            <v>7602.76</v>
          </cell>
          <cell r="AT54">
            <v>7445.26</v>
          </cell>
          <cell r="AU54">
            <v>7471.11</v>
          </cell>
          <cell r="AV54">
            <v>7535.51</v>
          </cell>
          <cell r="AW54">
            <v>7389.78</v>
          </cell>
          <cell r="AX54">
            <v>7114.92</v>
          </cell>
          <cell r="AY54">
            <v>7288.87</v>
          </cell>
          <cell r="AZ54">
            <v>7034.63</v>
          </cell>
          <cell r="BA54">
            <v>5857.01</v>
          </cell>
        </row>
        <row r="55">
          <cell r="A55" t="str">
            <v>V2000H30B30</v>
          </cell>
          <cell r="B55">
            <v>2000</v>
          </cell>
          <cell r="C55">
            <v>3000</v>
          </cell>
          <cell r="D55">
            <v>3000</v>
          </cell>
          <cell r="E55">
            <v>20</v>
          </cell>
          <cell r="F55">
            <v>4</v>
          </cell>
          <cell r="G55">
            <v>1</v>
          </cell>
          <cell r="H55">
            <v>300</v>
          </cell>
          <cell r="I55">
            <v>50</v>
          </cell>
          <cell r="J55">
            <v>2093</v>
          </cell>
          <cell r="K55" t="str">
            <v>Q-11002904</v>
          </cell>
          <cell r="L55" t="str">
            <v>\\hokukon-net2\hop\Program\01_MVPシステム_容量別組立図\.\01_余裕高0_0m\pdf\FB0_2000m3-MVP-3000-組-B3000_Q-11002904.pdf</v>
          </cell>
          <cell r="M55">
            <v>6231.59</v>
          </cell>
          <cell r="N55">
            <v>6296.37</v>
          </cell>
          <cell r="O55">
            <v>6152.99</v>
          </cell>
          <cell r="P55">
            <v>6155.27</v>
          </cell>
          <cell r="Q55">
            <v>6264.22</v>
          </cell>
          <cell r="R55">
            <v>6215.75</v>
          </cell>
          <cell r="S55">
            <v>6201.1</v>
          </cell>
          <cell r="T55">
            <v>6203.85</v>
          </cell>
          <cell r="U55">
            <v>6202.81</v>
          </cell>
          <cell r="V55">
            <v>6176.17</v>
          </cell>
          <cell r="W55">
            <v>6208.53</v>
          </cell>
          <cell r="X55">
            <v>6235.4</v>
          </cell>
          <cell r="Y55">
            <v>6240.07</v>
          </cell>
          <cell r="Z55">
            <v>6389.76</v>
          </cell>
          <cell r="AA55">
            <v>6266.73</v>
          </cell>
          <cell r="AB55">
            <v>6272.07</v>
          </cell>
          <cell r="AC55">
            <v>6450.71</v>
          </cell>
          <cell r="AD55">
            <v>6186.66</v>
          </cell>
          <cell r="AE55">
            <v>6253.67</v>
          </cell>
          <cell r="AF55">
            <v>6427.92</v>
          </cell>
          <cell r="AG55">
            <v>6209.11</v>
          </cell>
          <cell r="AH55">
            <v>6256.64</v>
          </cell>
          <cell r="AI55">
            <v>6172.33</v>
          </cell>
          <cell r="AJ55">
            <v>6262.2</v>
          </cell>
          <cell r="AK55">
            <v>6067.15</v>
          </cell>
          <cell r="AL55">
            <v>6247.98</v>
          </cell>
          <cell r="AM55">
            <v>6458.11</v>
          </cell>
          <cell r="AN55">
            <v>6308.13</v>
          </cell>
          <cell r="AO55">
            <v>6355.62</v>
          </cell>
          <cell r="AP55">
            <v>6350.29</v>
          </cell>
          <cell r="AQ55">
            <v>6397.73</v>
          </cell>
          <cell r="AR55">
            <v>6210.47</v>
          </cell>
          <cell r="AS55">
            <v>6460.7</v>
          </cell>
          <cell r="AT55">
            <v>6329.14</v>
          </cell>
          <cell r="AU55">
            <v>6350.84</v>
          </cell>
          <cell r="AV55">
            <v>6404.59</v>
          </cell>
          <cell r="AW55">
            <v>6281.63</v>
          </cell>
          <cell r="AX55">
            <v>6048.97</v>
          </cell>
          <cell r="AY55">
            <v>6196.23</v>
          </cell>
          <cell r="AZ55">
            <v>5981.92</v>
          </cell>
          <cell r="BA55">
            <v>4948.32</v>
          </cell>
        </row>
        <row r="56">
          <cell r="A56" t="str">
            <v>V2000H30B25</v>
          </cell>
          <cell r="B56">
            <v>2000</v>
          </cell>
          <cell r="C56">
            <v>3000</v>
          </cell>
          <cell r="D56">
            <v>2500</v>
          </cell>
          <cell r="E56">
            <v>22</v>
          </cell>
          <cell r="F56">
            <v>4</v>
          </cell>
          <cell r="G56">
            <v>1</v>
          </cell>
          <cell r="H56">
            <v>300</v>
          </cell>
          <cell r="I56">
            <v>50</v>
          </cell>
          <cell r="J56">
            <v>2091.8000000000002</v>
          </cell>
          <cell r="K56" t="str">
            <v>Q-11002903</v>
          </cell>
          <cell r="L56" t="str">
            <v>\\hokukon-net2\hop\Program\01_MVPシステム_容量別組立図\.\01_余裕高0_0m\pdf\FB0_2000m3-MVP-3000-組-B2500_Q-11002903.pdf</v>
          </cell>
          <cell r="M56">
            <v>6437.21</v>
          </cell>
          <cell r="N56">
            <v>6502.12</v>
          </cell>
          <cell r="O56">
            <v>6359.04</v>
          </cell>
          <cell r="P56">
            <v>6361.32</v>
          </cell>
          <cell r="Q56">
            <v>6469.69</v>
          </cell>
          <cell r="R56">
            <v>6421.05</v>
          </cell>
          <cell r="S56">
            <v>6405.9</v>
          </cell>
          <cell r="T56">
            <v>6408.64</v>
          </cell>
          <cell r="U56">
            <v>6410.08</v>
          </cell>
          <cell r="V56">
            <v>6383.02</v>
          </cell>
          <cell r="W56">
            <v>6415.75</v>
          </cell>
          <cell r="X56">
            <v>6443.59</v>
          </cell>
          <cell r="Y56">
            <v>6448.33</v>
          </cell>
          <cell r="Z56">
            <v>6599.37</v>
          </cell>
          <cell r="AA56">
            <v>6476.27</v>
          </cell>
          <cell r="AB56">
            <v>6480.66</v>
          </cell>
          <cell r="AC56">
            <v>6658.8</v>
          </cell>
          <cell r="AD56">
            <v>6393.03</v>
          </cell>
          <cell r="AE56">
            <v>6461.02</v>
          </cell>
          <cell r="AF56">
            <v>6636.45</v>
          </cell>
          <cell r="AG56">
            <v>6417.45</v>
          </cell>
          <cell r="AH56">
            <v>6465.24</v>
          </cell>
          <cell r="AI56">
            <v>6381.06</v>
          </cell>
          <cell r="AJ56">
            <v>6470.35</v>
          </cell>
          <cell r="AK56">
            <v>6274.14</v>
          </cell>
          <cell r="AL56">
            <v>6455.09</v>
          </cell>
          <cell r="AM56">
            <v>6666.18</v>
          </cell>
          <cell r="AN56">
            <v>6515.79</v>
          </cell>
          <cell r="AO56">
            <v>6562.75</v>
          </cell>
          <cell r="AP56">
            <v>6557.94</v>
          </cell>
          <cell r="AQ56">
            <v>6605.71</v>
          </cell>
          <cell r="AR56">
            <v>6415.95</v>
          </cell>
          <cell r="AS56">
            <v>6667.36</v>
          </cell>
          <cell r="AT56">
            <v>6536.43</v>
          </cell>
          <cell r="AU56">
            <v>6558.39</v>
          </cell>
          <cell r="AV56">
            <v>6611.4</v>
          </cell>
          <cell r="AW56">
            <v>6488.13</v>
          </cell>
          <cell r="AX56">
            <v>6255.51</v>
          </cell>
          <cell r="AY56">
            <v>6402.16</v>
          </cell>
          <cell r="AZ56">
            <v>6187.61</v>
          </cell>
          <cell r="BA56">
            <v>5133.4799999999996</v>
          </cell>
        </row>
        <row r="57">
          <cell r="A57" t="str">
            <v>V2000H30B20</v>
          </cell>
          <cell r="B57">
            <v>2000</v>
          </cell>
          <cell r="C57">
            <v>3000</v>
          </cell>
          <cell r="D57">
            <v>2000</v>
          </cell>
          <cell r="E57">
            <v>24</v>
          </cell>
          <cell r="F57">
            <v>4</v>
          </cell>
          <cell r="G57">
            <v>1</v>
          </cell>
          <cell r="H57">
            <v>300</v>
          </cell>
          <cell r="I57">
            <v>50</v>
          </cell>
          <cell r="J57">
            <v>2054.6</v>
          </cell>
          <cell r="K57" t="str">
            <v>Q-11002902</v>
          </cell>
          <cell r="L57" t="str">
            <v>\\hokukon-net2\hop\Program\01_MVPシステム_容量別組立図\.\01_余裕高0_0m\pdf\FB0_2000m3-MVP-3000-組-B2000_Q-11002902.pdf</v>
          </cell>
          <cell r="M57">
            <v>6596.55</v>
          </cell>
          <cell r="N57">
            <v>6660.66</v>
          </cell>
          <cell r="O57">
            <v>6520.36</v>
          </cell>
          <cell r="P57">
            <v>6522.6</v>
          </cell>
          <cell r="Q57">
            <v>6628.25</v>
          </cell>
          <cell r="R57">
            <v>6580.09</v>
          </cell>
          <cell r="S57">
            <v>6564.4</v>
          </cell>
          <cell r="T57">
            <v>6567.11</v>
          </cell>
          <cell r="U57">
            <v>6572.42</v>
          </cell>
          <cell r="V57">
            <v>6545.16</v>
          </cell>
          <cell r="W57">
            <v>6577.79</v>
          </cell>
          <cell r="X57">
            <v>6606.66</v>
          </cell>
          <cell r="Y57">
            <v>6611.55</v>
          </cell>
          <cell r="Z57">
            <v>6762.07</v>
          </cell>
          <cell r="AA57">
            <v>6640.89</v>
          </cell>
          <cell r="AB57">
            <v>6643.73</v>
          </cell>
          <cell r="AC57">
            <v>6818.08</v>
          </cell>
          <cell r="AD57">
            <v>6554.12</v>
          </cell>
          <cell r="AE57">
            <v>6622.54</v>
          </cell>
          <cell r="AF57">
            <v>6796.79</v>
          </cell>
          <cell r="AG57">
            <v>6581.23</v>
          </cell>
          <cell r="AH57">
            <v>6628.53</v>
          </cell>
          <cell r="AI57">
            <v>6546.03</v>
          </cell>
          <cell r="AJ57">
            <v>6632.82</v>
          </cell>
          <cell r="AK57">
            <v>6438.31</v>
          </cell>
          <cell r="AL57">
            <v>6616.34</v>
          </cell>
          <cell r="AM57">
            <v>6825.39</v>
          </cell>
          <cell r="AN57">
            <v>6677.04</v>
          </cell>
          <cell r="AO57">
            <v>6722.37</v>
          </cell>
          <cell r="AP57">
            <v>6718.32</v>
          </cell>
          <cell r="AQ57">
            <v>6765.83</v>
          </cell>
          <cell r="AR57">
            <v>6575.39</v>
          </cell>
          <cell r="AS57">
            <v>6824.21</v>
          </cell>
          <cell r="AT57">
            <v>6696.57</v>
          </cell>
          <cell r="AU57">
            <v>6718.5</v>
          </cell>
          <cell r="AV57">
            <v>6769.46</v>
          </cell>
          <cell r="AW57">
            <v>6647.83</v>
          </cell>
          <cell r="AX57">
            <v>6419.05</v>
          </cell>
          <cell r="AY57">
            <v>6562.44</v>
          </cell>
          <cell r="AZ57">
            <v>6351.2</v>
          </cell>
          <cell r="BA57">
            <v>5285.73</v>
          </cell>
        </row>
        <row r="58">
          <cell r="A58" t="str">
            <v>V2000H35B30</v>
          </cell>
          <cell r="B58">
            <v>2000</v>
          </cell>
          <cell r="C58">
            <v>3500</v>
          </cell>
          <cell r="D58">
            <v>3000</v>
          </cell>
          <cell r="E58">
            <v>22</v>
          </cell>
          <cell r="F58">
            <v>3</v>
          </cell>
          <cell r="G58">
            <v>1</v>
          </cell>
          <cell r="H58">
            <v>300</v>
          </cell>
          <cell r="I58">
            <v>50</v>
          </cell>
          <cell r="J58">
            <v>2073.4</v>
          </cell>
          <cell r="K58" t="str">
            <v>Q-11002907</v>
          </cell>
          <cell r="L58" t="str">
            <v>\\hokukon-net2\hop\Program\01_MVPシステム_容量別組立図\.\01_余裕高0_0m\pdf\FB0_2000m3-MVP-3500-組-B3000_Q-11002907.pdf</v>
          </cell>
          <cell r="M58">
            <v>5636.58</v>
          </cell>
          <cell r="N58">
            <v>5692.11</v>
          </cell>
          <cell r="O58">
            <v>5570.17</v>
          </cell>
          <cell r="P58">
            <v>5572.11</v>
          </cell>
          <cell r="Q58">
            <v>5664.28</v>
          </cell>
          <cell r="R58">
            <v>5622.97</v>
          </cell>
          <cell r="S58">
            <v>5610.15</v>
          </cell>
          <cell r="T58">
            <v>5612.5</v>
          </cell>
          <cell r="U58">
            <v>5613.53</v>
          </cell>
          <cell r="V58">
            <v>5590.54</v>
          </cell>
          <cell r="W58">
            <v>5618.22</v>
          </cell>
          <cell r="X58">
            <v>5641.78</v>
          </cell>
          <cell r="Y58">
            <v>5645.79</v>
          </cell>
          <cell r="Z58">
            <v>5774.07</v>
          </cell>
          <cell r="AA58">
            <v>5669.13</v>
          </cell>
          <cell r="AB58">
            <v>5673.13</v>
          </cell>
          <cell r="AC58">
            <v>5824.64</v>
          </cell>
          <cell r="AD58">
            <v>5598.42</v>
          </cell>
          <cell r="AE58">
            <v>5656.16</v>
          </cell>
          <cell r="AF58">
            <v>5805.2</v>
          </cell>
          <cell r="AG58">
            <v>5619.01</v>
          </cell>
          <cell r="AH58">
            <v>5659.83</v>
          </cell>
          <cell r="AI58">
            <v>5588.01</v>
          </cell>
          <cell r="AJ58">
            <v>5664.07</v>
          </cell>
          <cell r="AK58">
            <v>5497.53</v>
          </cell>
          <cell r="AL58">
            <v>5651.71</v>
          </cell>
          <cell r="AM58">
            <v>5831.17</v>
          </cell>
          <cell r="AN58">
            <v>5703.55</v>
          </cell>
          <cell r="AO58">
            <v>5743.51</v>
          </cell>
          <cell r="AP58">
            <v>5739.37</v>
          </cell>
          <cell r="AQ58">
            <v>5779.97</v>
          </cell>
          <cell r="AR58">
            <v>5618.57</v>
          </cell>
          <cell r="AS58">
            <v>5832.11</v>
          </cell>
          <cell r="AT58">
            <v>5720.56</v>
          </cell>
          <cell r="AU58">
            <v>5739.12</v>
          </cell>
          <cell r="AV58">
            <v>5784.53</v>
          </cell>
          <cell r="AW58">
            <v>5679.49</v>
          </cell>
          <cell r="AX58">
            <v>5481.17</v>
          </cell>
          <cell r="AY58">
            <v>5606.38</v>
          </cell>
          <cell r="AZ58">
            <v>5423.71</v>
          </cell>
          <cell r="BA58">
            <v>4474.03</v>
          </cell>
        </row>
        <row r="59">
          <cell r="A59" t="str">
            <v>V2000H35B25</v>
          </cell>
          <cell r="B59">
            <v>2000</v>
          </cell>
          <cell r="C59">
            <v>3500</v>
          </cell>
          <cell r="D59">
            <v>2500</v>
          </cell>
          <cell r="E59">
            <v>24</v>
          </cell>
          <cell r="F59">
            <v>3</v>
          </cell>
          <cell r="G59">
            <v>1</v>
          </cell>
          <cell r="H59">
            <v>300</v>
          </cell>
          <cell r="I59">
            <v>50</v>
          </cell>
          <cell r="J59">
            <v>2062.3000000000002</v>
          </cell>
          <cell r="K59" t="str">
            <v>Q-11002906</v>
          </cell>
          <cell r="L59" t="str">
            <v>\\hokukon-net2\hop\Program\01_MVPシステム_容量別組立図\.\01_余裕高0_0m\pdf\FB0_2000m3-MVP-3500-組-B2500_Q-11002906.pdf</v>
          </cell>
          <cell r="M59">
            <v>5814.68</v>
          </cell>
          <cell r="N59">
            <v>5870.15</v>
          </cell>
          <cell r="O59">
            <v>5748.99</v>
          </cell>
          <cell r="P59">
            <v>5750.93</v>
          </cell>
          <cell r="Q59">
            <v>5842.08</v>
          </cell>
          <cell r="R59">
            <v>5800.74</v>
          </cell>
          <cell r="S59">
            <v>5787.42</v>
          </cell>
          <cell r="T59">
            <v>5789.76</v>
          </cell>
          <cell r="U59">
            <v>5793.47</v>
          </cell>
          <cell r="V59">
            <v>5770.15</v>
          </cell>
          <cell r="W59">
            <v>5798</v>
          </cell>
          <cell r="X59">
            <v>5822.51</v>
          </cell>
          <cell r="Y59">
            <v>5826.66</v>
          </cell>
          <cell r="Z59">
            <v>5955.78</v>
          </cell>
          <cell r="AA59">
            <v>5851.18</v>
          </cell>
          <cell r="AB59">
            <v>5854.13</v>
          </cell>
          <cell r="AC59">
            <v>6004.47</v>
          </cell>
          <cell r="AD59">
            <v>5777.41</v>
          </cell>
          <cell r="AE59">
            <v>5835.95</v>
          </cell>
          <cell r="AF59">
            <v>5985.58</v>
          </cell>
          <cell r="AG59">
            <v>5799.99</v>
          </cell>
          <cell r="AH59">
            <v>5840.87</v>
          </cell>
          <cell r="AI59">
            <v>5769.54</v>
          </cell>
          <cell r="AJ59">
            <v>5844.59</v>
          </cell>
          <cell r="AK59">
            <v>5677.68</v>
          </cell>
          <cell r="AL59">
            <v>5831.27</v>
          </cell>
          <cell r="AM59">
            <v>6011</v>
          </cell>
          <cell r="AN59">
            <v>5883.58</v>
          </cell>
          <cell r="AO59">
            <v>5922.81</v>
          </cell>
          <cell r="AP59">
            <v>5919.14</v>
          </cell>
          <cell r="AQ59">
            <v>5959.94</v>
          </cell>
          <cell r="AR59">
            <v>5796.57</v>
          </cell>
          <cell r="AS59">
            <v>6010.35</v>
          </cell>
          <cell r="AT59">
            <v>5900.01</v>
          </cell>
          <cell r="AU59">
            <v>5918.73</v>
          </cell>
          <cell r="AV59">
            <v>5963.14</v>
          </cell>
          <cell r="AW59">
            <v>5858.25</v>
          </cell>
          <cell r="AX59">
            <v>5660.72</v>
          </cell>
          <cell r="AY59">
            <v>5784.86</v>
          </cell>
          <cell r="AZ59">
            <v>5602.73</v>
          </cell>
          <cell r="BA59">
            <v>4634.72</v>
          </cell>
        </row>
        <row r="60">
          <cell r="A60" t="str">
            <v>V2000H35B20</v>
          </cell>
          <cell r="B60">
            <v>2000</v>
          </cell>
          <cell r="C60">
            <v>3500</v>
          </cell>
          <cell r="D60">
            <v>2000</v>
          </cell>
          <cell r="E60">
            <v>20</v>
          </cell>
          <cell r="F60">
            <v>4</v>
          </cell>
          <cell r="G60">
            <v>1</v>
          </cell>
          <cell r="H60">
            <v>300</v>
          </cell>
          <cell r="I60">
            <v>50</v>
          </cell>
          <cell r="J60">
            <v>2015</v>
          </cell>
          <cell r="K60" t="str">
            <v>Q-11002905</v>
          </cell>
          <cell r="L60" t="str">
            <v>\\hokukon-net2\hop\Program\01_MVPシステム_容量別組立図\.\01_余裕高0_0m\pdf\FB0_2000m3-MVP-3500-組-B2000_Q-11002905.pdf</v>
          </cell>
          <cell r="M60">
            <v>5949.83</v>
          </cell>
          <cell r="N60">
            <v>6004.69</v>
          </cell>
          <cell r="O60">
            <v>5887.51</v>
          </cell>
          <cell r="P60">
            <v>5889.4</v>
          </cell>
          <cell r="Q60">
            <v>5976.48</v>
          </cell>
          <cell r="R60">
            <v>5935.78</v>
          </cell>
          <cell r="S60">
            <v>5921.63</v>
          </cell>
          <cell r="T60">
            <v>5923.92</v>
          </cell>
          <cell r="U60">
            <v>5934.1</v>
          </cell>
          <cell r="V60">
            <v>5910.56</v>
          </cell>
          <cell r="W60">
            <v>5937.75</v>
          </cell>
          <cell r="X60">
            <v>5964.11</v>
          </cell>
          <cell r="Y60">
            <v>5968.5</v>
          </cell>
          <cell r="Z60">
            <v>6096.75</v>
          </cell>
          <cell r="AA60">
            <v>5994.62</v>
          </cell>
          <cell r="AB60">
            <v>5995.51</v>
          </cell>
          <cell r="AC60">
            <v>6139.73</v>
          </cell>
          <cell r="AD60">
            <v>5914.15</v>
          </cell>
          <cell r="AE60">
            <v>5973.58</v>
          </cell>
          <cell r="AF60">
            <v>6121.52</v>
          </cell>
          <cell r="AG60">
            <v>5941.43</v>
          </cell>
          <cell r="AH60">
            <v>5982.15</v>
          </cell>
          <cell r="AI60">
            <v>5912.72</v>
          </cell>
          <cell r="AJ60">
            <v>5984.28</v>
          </cell>
          <cell r="AK60">
            <v>5819.93</v>
          </cell>
          <cell r="AL60">
            <v>5969.93</v>
          </cell>
          <cell r="AM60">
            <v>6146.62</v>
          </cell>
          <cell r="AN60">
            <v>6022.52</v>
          </cell>
          <cell r="AO60">
            <v>6059.32</v>
          </cell>
          <cell r="AP60">
            <v>6056.95</v>
          </cell>
          <cell r="AQ60">
            <v>6097.18</v>
          </cell>
          <cell r="AR60">
            <v>5931.86</v>
          </cell>
          <cell r="AS60">
            <v>6141.55</v>
          </cell>
          <cell r="AT60">
            <v>6036.19</v>
          </cell>
          <cell r="AU60">
            <v>6054.41</v>
          </cell>
          <cell r="AV60">
            <v>6096.35</v>
          </cell>
          <cell r="AW60">
            <v>5993.37</v>
          </cell>
          <cell r="AX60">
            <v>5800.9</v>
          </cell>
          <cell r="AY60">
            <v>5920.95</v>
          </cell>
          <cell r="AZ60">
            <v>5742.95</v>
          </cell>
          <cell r="BA60">
            <v>4769.8900000000003</v>
          </cell>
        </row>
        <row r="61">
          <cell r="A61" t="str">
            <v>V2000H40B30</v>
          </cell>
          <cell r="B61">
            <v>2000</v>
          </cell>
          <cell r="C61">
            <v>4000</v>
          </cell>
          <cell r="D61">
            <v>3000</v>
          </cell>
          <cell r="E61">
            <v>19</v>
          </cell>
          <cell r="F61">
            <v>3</v>
          </cell>
          <cell r="G61">
            <v>1</v>
          </cell>
          <cell r="H61">
            <v>350</v>
          </cell>
          <cell r="I61">
            <v>70</v>
          </cell>
          <cell r="J61">
            <v>2075.6</v>
          </cell>
          <cell r="K61" t="str">
            <v>Q-11002910</v>
          </cell>
          <cell r="L61" t="str">
            <v>\\hokukon-net2\hop\Program\01_MVPシステム_容量別組立図\.\01_余裕高0_0m\pdf\FB0_2000m3-MVP-4000-組-B3000_Q-11002910.pdf</v>
          </cell>
          <cell r="M61">
            <v>5951.72</v>
          </cell>
          <cell r="N61">
            <v>6006.92</v>
          </cell>
          <cell r="O61">
            <v>5889.09</v>
          </cell>
          <cell r="P61">
            <v>5890.93</v>
          </cell>
          <cell r="Q61">
            <v>5978.96</v>
          </cell>
          <cell r="R61">
            <v>5938.96</v>
          </cell>
          <cell r="S61">
            <v>5925.96</v>
          </cell>
          <cell r="T61">
            <v>5928.18</v>
          </cell>
          <cell r="U61">
            <v>5928.11</v>
          </cell>
          <cell r="V61">
            <v>5906.63</v>
          </cell>
          <cell r="W61">
            <v>5932.91</v>
          </cell>
          <cell r="X61">
            <v>5954.84</v>
          </cell>
          <cell r="Y61">
            <v>5957.65</v>
          </cell>
          <cell r="Z61">
            <v>6081.5</v>
          </cell>
          <cell r="AA61">
            <v>5980.36</v>
          </cell>
          <cell r="AB61">
            <v>5985.2</v>
          </cell>
          <cell r="AC61">
            <v>6130.19</v>
          </cell>
          <cell r="AD61">
            <v>5907.46</v>
          </cell>
          <cell r="AE61">
            <v>5964.86</v>
          </cell>
          <cell r="AF61">
            <v>6107.89</v>
          </cell>
          <cell r="AG61">
            <v>5925.22</v>
          </cell>
          <cell r="AH61">
            <v>5965.59</v>
          </cell>
          <cell r="AI61">
            <v>5896.39</v>
          </cell>
          <cell r="AJ61">
            <v>5968.38</v>
          </cell>
          <cell r="AK61">
            <v>5820.54</v>
          </cell>
          <cell r="AL61">
            <v>5970.71</v>
          </cell>
          <cell r="AM61">
            <v>6142.91</v>
          </cell>
          <cell r="AN61">
            <v>6020.49</v>
          </cell>
          <cell r="AO61">
            <v>6059.31</v>
          </cell>
          <cell r="AP61">
            <v>6055.32</v>
          </cell>
          <cell r="AQ61">
            <v>6095.25</v>
          </cell>
          <cell r="AR61">
            <v>5926.78</v>
          </cell>
          <cell r="AS61">
            <v>6132.34</v>
          </cell>
          <cell r="AT61">
            <v>6026.84</v>
          </cell>
          <cell r="AU61">
            <v>6044.23</v>
          </cell>
          <cell r="AV61">
            <v>6086.77</v>
          </cell>
          <cell r="AW61">
            <v>5984.29</v>
          </cell>
          <cell r="AX61">
            <v>5791.62</v>
          </cell>
          <cell r="AY61">
            <v>5912.82</v>
          </cell>
          <cell r="AZ61">
            <v>5735.85</v>
          </cell>
          <cell r="BA61">
            <v>4728.2299999999996</v>
          </cell>
        </row>
        <row r="62">
          <cell r="A62" t="str">
            <v>V2000H40B25</v>
          </cell>
          <cell r="B62">
            <v>2000</v>
          </cell>
          <cell r="C62">
            <v>4000</v>
          </cell>
          <cell r="D62">
            <v>2500</v>
          </cell>
          <cell r="E62">
            <v>16</v>
          </cell>
          <cell r="F62">
            <v>4</v>
          </cell>
          <cell r="G62">
            <v>1</v>
          </cell>
          <cell r="H62">
            <v>350</v>
          </cell>
          <cell r="I62">
            <v>70</v>
          </cell>
          <cell r="J62">
            <v>2078.6999999999998</v>
          </cell>
          <cell r="K62" t="str">
            <v>Q-11002909</v>
          </cell>
          <cell r="L62" t="str">
            <v>\\hokukon-net2\hop\Program\01_MVPシステム_容量別組立図\.\01_余裕高0_0m\pdf\FB0_2000m3-MVP-4000-組-B2500_Q-11002909.pdf</v>
          </cell>
          <cell r="M62">
            <v>6230.87</v>
          </cell>
          <cell r="N62">
            <v>6287.1</v>
          </cell>
          <cell r="O62">
            <v>6169.98</v>
          </cell>
          <cell r="P62">
            <v>6171.83</v>
          </cell>
          <cell r="Q62">
            <v>6258.14</v>
          </cell>
          <cell r="R62">
            <v>6217.7</v>
          </cell>
          <cell r="S62">
            <v>6203.64</v>
          </cell>
          <cell r="T62">
            <v>6205.88</v>
          </cell>
          <cell r="U62">
            <v>6211.9</v>
          </cell>
          <cell r="V62">
            <v>6189.61</v>
          </cell>
          <cell r="W62">
            <v>6215.77</v>
          </cell>
          <cell r="X62">
            <v>6240.09</v>
          </cell>
          <cell r="Y62">
            <v>6243.28</v>
          </cell>
          <cell r="Z62">
            <v>6369.31</v>
          </cell>
          <cell r="AA62">
            <v>6268.01</v>
          </cell>
          <cell r="AB62">
            <v>6270.93</v>
          </cell>
          <cell r="AC62">
            <v>6413.67</v>
          </cell>
          <cell r="AD62">
            <v>6186.5</v>
          </cell>
          <cell r="AE62">
            <v>6246.24</v>
          </cell>
          <cell r="AF62">
            <v>6391.06</v>
          </cell>
          <cell r="AG62">
            <v>6209.07</v>
          </cell>
          <cell r="AH62">
            <v>6250.31</v>
          </cell>
          <cell r="AI62">
            <v>6181.22</v>
          </cell>
          <cell r="AJ62">
            <v>6251.57</v>
          </cell>
          <cell r="AK62">
            <v>6103.36</v>
          </cell>
          <cell r="AL62">
            <v>6253.96</v>
          </cell>
          <cell r="AM62">
            <v>6427.54</v>
          </cell>
          <cell r="AN62">
            <v>6305.22</v>
          </cell>
          <cell r="AO62">
            <v>6342.73</v>
          </cell>
          <cell r="AP62">
            <v>6339.88</v>
          </cell>
          <cell r="AQ62">
            <v>6380.19</v>
          </cell>
          <cell r="AR62">
            <v>6205.08</v>
          </cell>
          <cell r="AS62">
            <v>6411.75</v>
          </cell>
          <cell r="AT62">
            <v>6308.3</v>
          </cell>
          <cell r="AU62">
            <v>6325.69</v>
          </cell>
          <cell r="AV62">
            <v>6366.89</v>
          </cell>
          <cell r="AW62">
            <v>6263.49</v>
          </cell>
          <cell r="AX62">
            <v>6070.72</v>
          </cell>
          <cell r="AY62">
            <v>6191.18</v>
          </cell>
          <cell r="AZ62">
            <v>6013.65</v>
          </cell>
          <cell r="BA62">
            <v>4977.5200000000004</v>
          </cell>
        </row>
        <row r="63">
          <cell r="A63" t="str">
            <v>V2000H40B20</v>
          </cell>
          <cell r="B63">
            <v>2000</v>
          </cell>
          <cell r="C63">
            <v>4000</v>
          </cell>
          <cell r="D63">
            <v>2000</v>
          </cell>
          <cell r="E63">
            <v>23</v>
          </cell>
          <cell r="F63">
            <v>3</v>
          </cell>
          <cell r="G63">
            <v>1</v>
          </cell>
          <cell r="H63">
            <v>350</v>
          </cell>
          <cell r="I63">
            <v>70</v>
          </cell>
          <cell r="J63">
            <v>2072.4</v>
          </cell>
          <cell r="K63" t="str">
            <v>Q-11002908</v>
          </cell>
          <cell r="L63" t="str">
            <v>\\hokukon-net2\hop\Program\01_MVPシステム_容量別組立図\.\01_余裕高0_0m\pdf\FB0_2000m3-MVP-4000-組-B2000_Q-11002908.pdf</v>
          </cell>
          <cell r="M63">
            <v>6478.64</v>
          </cell>
          <cell r="N63">
            <v>6534.41</v>
          </cell>
          <cell r="O63">
            <v>6416.73</v>
          </cell>
          <cell r="P63">
            <v>6418.6</v>
          </cell>
          <cell r="Q63">
            <v>6505.71</v>
          </cell>
          <cell r="R63">
            <v>6465.2</v>
          </cell>
          <cell r="S63">
            <v>6451.17</v>
          </cell>
          <cell r="T63">
            <v>6453.42</v>
          </cell>
          <cell r="U63">
            <v>6458</v>
          </cell>
          <cell r="V63">
            <v>6435.71</v>
          </cell>
          <cell r="W63">
            <v>6462.66</v>
          </cell>
          <cell r="X63">
            <v>6486.47</v>
          </cell>
          <cell r="Y63">
            <v>6489.57</v>
          </cell>
          <cell r="Z63">
            <v>6616.28</v>
          </cell>
          <cell r="AA63">
            <v>6514.72</v>
          </cell>
          <cell r="AB63">
            <v>6517.76</v>
          </cell>
          <cell r="AC63">
            <v>6661.9</v>
          </cell>
          <cell r="AD63">
            <v>6434.63</v>
          </cell>
          <cell r="AE63">
            <v>6494.14</v>
          </cell>
          <cell r="AF63">
            <v>6639.64</v>
          </cell>
          <cell r="AG63">
            <v>6455.95</v>
          </cell>
          <cell r="AH63">
            <v>6496.9</v>
          </cell>
          <cell r="AI63">
            <v>6427.91</v>
          </cell>
          <cell r="AJ63">
            <v>6498.73</v>
          </cell>
          <cell r="AK63">
            <v>6350.49</v>
          </cell>
          <cell r="AL63">
            <v>6501.14</v>
          </cell>
          <cell r="AM63">
            <v>6675.51</v>
          </cell>
          <cell r="AN63">
            <v>6552.23</v>
          </cell>
          <cell r="AO63">
            <v>6590.09</v>
          </cell>
          <cell r="AP63">
            <v>6587.04</v>
          </cell>
          <cell r="AQ63">
            <v>6627.76</v>
          </cell>
          <cell r="AR63">
            <v>6452.37</v>
          </cell>
          <cell r="AS63">
            <v>6660.45</v>
          </cell>
          <cell r="AT63">
            <v>6555.96</v>
          </cell>
          <cell r="AU63">
            <v>6573.91</v>
          </cell>
          <cell r="AV63">
            <v>6615.04</v>
          </cell>
          <cell r="AW63">
            <v>6511.31</v>
          </cell>
          <cell r="AX63">
            <v>6318.22</v>
          </cell>
          <cell r="AY63">
            <v>6438.57</v>
          </cell>
          <cell r="AZ63">
            <v>6260.75</v>
          </cell>
          <cell r="BA63">
            <v>5179.3500000000004</v>
          </cell>
        </row>
        <row r="64">
          <cell r="A64" t="str">
            <v>V2000H45B30</v>
          </cell>
          <cell r="B64">
            <v>2000</v>
          </cell>
          <cell r="C64">
            <v>4500</v>
          </cell>
          <cell r="D64">
            <v>3000</v>
          </cell>
          <cell r="E64">
            <v>17</v>
          </cell>
          <cell r="F64">
            <v>3</v>
          </cell>
          <cell r="G64">
            <v>1</v>
          </cell>
          <cell r="H64">
            <v>350</v>
          </cell>
          <cell r="I64">
            <v>70</v>
          </cell>
          <cell r="J64">
            <v>2101</v>
          </cell>
          <cell r="K64" t="str">
            <v>Q-11002913</v>
          </cell>
          <cell r="L64" t="str">
            <v>\\hokukon-net2\hop\Program\01_MVPシステム_容量別組立図\.\01_余裕高0_0m\pdf\FB0_2000m3-MVP-4500-組-B3000_Q-11002913.pdf</v>
          </cell>
          <cell r="M64">
            <v>5726.98</v>
          </cell>
          <cell r="N64">
            <v>5776.97</v>
          </cell>
          <cell r="O64">
            <v>5671.73</v>
          </cell>
          <cell r="P64">
            <v>5673.4</v>
          </cell>
          <cell r="Q64">
            <v>5751.16</v>
          </cell>
          <cell r="R64">
            <v>5714.54</v>
          </cell>
          <cell r="S64">
            <v>5701.83</v>
          </cell>
          <cell r="T64">
            <v>5703.84</v>
          </cell>
          <cell r="U64">
            <v>5709.19</v>
          </cell>
          <cell r="V64">
            <v>5689.44</v>
          </cell>
          <cell r="W64">
            <v>5713.2</v>
          </cell>
          <cell r="X64">
            <v>5734.84</v>
          </cell>
          <cell r="Y64">
            <v>5737.57</v>
          </cell>
          <cell r="Z64">
            <v>5851.01</v>
          </cell>
          <cell r="AA64">
            <v>5759.75</v>
          </cell>
          <cell r="AB64">
            <v>5762.75</v>
          </cell>
          <cell r="AC64">
            <v>5890.93</v>
          </cell>
          <cell r="AD64">
            <v>5686.99</v>
          </cell>
          <cell r="AE64">
            <v>5740.41</v>
          </cell>
          <cell r="AF64">
            <v>5870.93</v>
          </cell>
          <cell r="AG64">
            <v>5707.17</v>
          </cell>
          <cell r="AH64">
            <v>5743.7</v>
          </cell>
          <cell r="AI64">
            <v>5681.77</v>
          </cell>
          <cell r="AJ64">
            <v>5745.28</v>
          </cell>
          <cell r="AK64">
            <v>5612.23</v>
          </cell>
          <cell r="AL64">
            <v>5746.92</v>
          </cell>
          <cell r="AM64">
            <v>5903.11</v>
          </cell>
          <cell r="AN64">
            <v>5793.52</v>
          </cell>
          <cell r="AO64">
            <v>5827.34</v>
          </cell>
          <cell r="AP64">
            <v>5824.34</v>
          </cell>
          <cell r="AQ64">
            <v>5860.87</v>
          </cell>
          <cell r="AR64">
            <v>5703.07</v>
          </cell>
          <cell r="AS64">
            <v>5888.94</v>
          </cell>
          <cell r="AT64">
            <v>5795.97</v>
          </cell>
          <cell r="AU64">
            <v>5811.48</v>
          </cell>
          <cell r="AV64">
            <v>5848.81</v>
          </cell>
          <cell r="AW64">
            <v>5756.01</v>
          </cell>
          <cell r="AX64">
            <v>5582.79</v>
          </cell>
          <cell r="AY64">
            <v>5690.72</v>
          </cell>
          <cell r="AZ64">
            <v>5531.52</v>
          </cell>
          <cell r="BA64">
            <v>4558.96</v>
          </cell>
        </row>
        <row r="65">
          <cell r="A65" t="str">
            <v>V2000H45B25</v>
          </cell>
          <cell r="B65">
            <v>2000</v>
          </cell>
          <cell r="C65">
            <v>4500</v>
          </cell>
          <cell r="D65">
            <v>2500</v>
          </cell>
          <cell r="E65">
            <v>18</v>
          </cell>
          <cell r="F65">
            <v>3</v>
          </cell>
          <cell r="G65">
            <v>1</v>
          </cell>
          <cell r="H65">
            <v>350</v>
          </cell>
          <cell r="I65">
            <v>70</v>
          </cell>
          <cell r="J65">
            <v>2031.1</v>
          </cell>
          <cell r="K65" t="str">
            <v>Q-11002912</v>
          </cell>
          <cell r="L65" t="str">
            <v>\\hokukon-net2\hop\Program\01_MVPシステム_容量別組立図\.\01_余裕高0_0m\pdf\FB0_2000m3-MVP-4500-組-B2500_Q-11002912.pdf</v>
          </cell>
          <cell r="M65">
            <v>5782.65</v>
          </cell>
          <cell r="N65">
            <v>5831.39</v>
          </cell>
          <cell r="O65">
            <v>5729.71</v>
          </cell>
          <cell r="P65">
            <v>5731.34</v>
          </cell>
          <cell r="Q65">
            <v>5806.01</v>
          </cell>
          <cell r="R65">
            <v>5770.35</v>
          </cell>
          <cell r="S65">
            <v>5757.52</v>
          </cell>
          <cell r="T65">
            <v>5759.48</v>
          </cell>
          <cell r="U65">
            <v>5767.17</v>
          </cell>
          <cell r="V65">
            <v>5747.64</v>
          </cell>
          <cell r="W65">
            <v>5770.85</v>
          </cell>
          <cell r="X65">
            <v>5792.81</v>
          </cell>
          <cell r="Y65">
            <v>5795.59</v>
          </cell>
          <cell r="Z65">
            <v>5906.69</v>
          </cell>
          <cell r="AA65">
            <v>5818.19</v>
          </cell>
          <cell r="AB65">
            <v>5820.18</v>
          </cell>
          <cell r="AC65">
            <v>5943.6</v>
          </cell>
          <cell r="AD65">
            <v>5744.02</v>
          </cell>
          <cell r="AE65">
            <v>5796.84</v>
          </cell>
          <cell r="AF65">
            <v>5924.22</v>
          </cell>
          <cell r="AG65">
            <v>5765.5</v>
          </cell>
          <cell r="AH65">
            <v>5801.2</v>
          </cell>
          <cell r="AI65">
            <v>5741.35</v>
          </cell>
          <cell r="AJ65">
            <v>5802.15</v>
          </cell>
          <cell r="AK65">
            <v>5673.21</v>
          </cell>
          <cell r="AL65">
            <v>5803.82</v>
          </cell>
          <cell r="AM65">
            <v>5955.88</v>
          </cell>
          <cell r="AN65">
            <v>5849.56</v>
          </cell>
          <cell r="AO65">
            <v>5881.76</v>
          </cell>
          <cell r="AP65">
            <v>5879.36</v>
          </cell>
          <cell r="AQ65">
            <v>5915.04</v>
          </cell>
          <cell r="AR65">
            <v>5758.98</v>
          </cell>
          <cell r="AS65">
            <v>5939.86</v>
          </cell>
          <cell r="AT65">
            <v>5850.56</v>
          </cell>
          <cell r="AU65">
            <v>5865.77</v>
          </cell>
          <cell r="AV65">
            <v>5901.19</v>
          </cell>
          <cell r="AW65">
            <v>5810.81</v>
          </cell>
          <cell r="AX65">
            <v>5643.01</v>
          </cell>
          <cell r="AY65">
            <v>5747.06</v>
          </cell>
          <cell r="AZ65">
            <v>5592.63</v>
          </cell>
          <cell r="BA65">
            <v>4618.4799999999996</v>
          </cell>
        </row>
        <row r="66">
          <cell r="A66" t="str">
            <v>V2000H45B20</v>
          </cell>
          <cell r="B66">
            <v>2000</v>
          </cell>
          <cell r="C66">
            <v>4500</v>
          </cell>
          <cell r="D66">
            <v>2000</v>
          </cell>
          <cell r="E66">
            <v>16</v>
          </cell>
          <cell r="F66">
            <v>4</v>
          </cell>
          <cell r="G66">
            <v>1</v>
          </cell>
          <cell r="H66">
            <v>350</v>
          </cell>
          <cell r="I66">
            <v>70</v>
          </cell>
          <cell r="J66">
            <v>2118.1</v>
          </cell>
          <cell r="K66" t="str">
            <v>Q-11002911</v>
          </cell>
          <cell r="L66" t="str">
            <v>\\hokukon-net2\hop\Program\01_MVPシステム_容量別組立図\.\01_余裕高0_0m\pdf\FB0_2000m3-MVP-4500-組-B2000_Q-11002911.pdf</v>
          </cell>
          <cell r="M66">
            <v>6313.92</v>
          </cell>
          <cell r="N66">
            <v>6365.45</v>
          </cell>
          <cell r="O66">
            <v>6260.61</v>
          </cell>
          <cell r="P66">
            <v>6262.3</v>
          </cell>
          <cell r="Q66">
            <v>6338.11</v>
          </cell>
          <cell r="R66">
            <v>6300.49</v>
          </cell>
          <cell r="S66">
            <v>6286</v>
          </cell>
          <cell r="T66">
            <v>6288.04</v>
          </cell>
          <cell r="U66">
            <v>6302.38</v>
          </cell>
          <cell r="V66">
            <v>6281.26</v>
          </cell>
          <cell r="W66">
            <v>6305.42</v>
          </cell>
          <cell r="X66">
            <v>6330.69</v>
          </cell>
          <cell r="Y66">
            <v>6333.98</v>
          </cell>
          <cell r="Z66">
            <v>6451.75</v>
          </cell>
          <cell r="AA66">
            <v>6359.7</v>
          </cell>
          <cell r="AB66">
            <v>6359.76</v>
          </cell>
          <cell r="AC66">
            <v>6485.55</v>
          </cell>
          <cell r="AD66">
            <v>6273.7</v>
          </cell>
          <cell r="AE66">
            <v>6330.99</v>
          </cell>
          <cell r="AF66">
            <v>6465.29</v>
          </cell>
          <cell r="AG66">
            <v>6301.01</v>
          </cell>
          <cell r="AH66">
            <v>6338.81</v>
          </cell>
          <cell r="AI66">
            <v>6276.88</v>
          </cell>
          <cell r="AJ66">
            <v>6338.31</v>
          </cell>
          <cell r="AK66">
            <v>6204.14</v>
          </cell>
          <cell r="AL66">
            <v>6339.99</v>
          </cell>
          <cell r="AM66">
            <v>6499.42</v>
          </cell>
          <cell r="AN66">
            <v>6389.12</v>
          </cell>
          <cell r="AO66">
            <v>6421.2</v>
          </cell>
          <cell r="AP66">
            <v>6419.83</v>
          </cell>
          <cell r="AQ66">
            <v>6457.39</v>
          </cell>
          <cell r="AR66">
            <v>6288.05</v>
          </cell>
          <cell r="AS66">
            <v>6477.23</v>
          </cell>
          <cell r="AT66">
            <v>6386.61</v>
          </cell>
          <cell r="AU66">
            <v>6402.54</v>
          </cell>
          <cell r="AV66">
            <v>6437.83</v>
          </cell>
          <cell r="AW66">
            <v>6343.06</v>
          </cell>
          <cell r="AX66">
            <v>6168.83</v>
          </cell>
          <cell r="AY66">
            <v>6275.87</v>
          </cell>
          <cell r="AZ66">
            <v>6115.07</v>
          </cell>
          <cell r="BA66">
            <v>5069.97</v>
          </cell>
        </row>
        <row r="67">
          <cell r="A67" t="str">
            <v>V3000H15B30</v>
          </cell>
          <cell r="B67">
            <v>3000</v>
          </cell>
          <cell r="C67">
            <v>1500</v>
          </cell>
          <cell r="D67">
            <v>3000</v>
          </cell>
          <cell r="E67">
            <v>37</v>
          </cell>
          <cell r="F67">
            <v>4</v>
          </cell>
          <cell r="G67">
            <v>2</v>
          </cell>
          <cell r="H67">
            <v>350</v>
          </cell>
          <cell r="I67">
            <v>50</v>
          </cell>
          <cell r="J67">
            <v>3066</v>
          </cell>
          <cell r="K67" t="str">
            <v>Q-12001267</v>
          </cell>
          <cell r="L67" t="str">
            <v>\\hokukon-net2\hop\Program\01_MVPシステム_容量別組立図\.\01_余裕高0_0m\pdf\FB0_3000m3-MVP-1500-組-B3000_Q-12001267.pdf</v>
          </cell>
          <cell r="M67">
            <v>12585.95</v>
          </cell>
          <cell r="N67">
            <v>12779.27</v>
          </cell>
          <cell r="O67">
            <v>12315.13</v>
          </cell>
          <cell r="P67">
            <v>12322</v>
          </cell>
          <cell r="Q67">
            <v>12688.67</v>
          </cell>
          <cell r="R67">
            <v>12541.2</v>
          </cell>
          <cell r="S67">
            <v>12512.39</v>
          </cell>
          <cell r="T67">
            <v>12520.68</v>
          </cell>
          <cell r="U67">
            <v>12408.01</v>
          </cell>
          <cell r="V67">
            <v>12339.2</v>
          </cell>
          <cell r="W67">
            <v>12437.07</v>
          </cell>
          <cell r="X67">
            <v>12477.94</v>
          </cell>
          <cell r="Y67">
            <v>12482.63</v>
          </cell>
          <cell r="Z67">
            <v>12913.29</v>
          </cell>
          <cell r="AA67">
            <v>12535.31</v>
          </cell>
          <cell r="AB67">
            <v>12586.13</v>
          </cell>
          <cell r="AC67">
            <v>13185.39</v>
          </cell>
          <cell r="AD67">
            <v>12426.19</v>
          </cell>
          <cell r="AE67">
            <v>12603.57</v>
          </cell>
          <cell r="AF67">
            <v>13116.64</v>
          </cell>
          <cell r="AG67">
            <v>12408.28</v>
          </cell>
          <cell r="AH67">
            <v>12544.99</v>
          </cell>
          <cell r="AI67">
            <v>12277.64</v>
          </cell>
          <cell r="AJ67">
            <v>12585.19</v>
          </cell>
          <cell r="AK67">
            <v>11997.49</v>
          </cell>
          <cell r="AL67">
            <v>12568.16</v>
          </cell>
          <cell r="AM67">
            <v>13203</v>
          </cell>
          <cell r="AN67">
            <v>12730.24</v>
          </cell>
          <cell r="AO67">
            <v>12903.54</v>
          </cell>
          <cell r="AP67">
            <v>12867.03</v>
          </cell>
          <cell r="AQ67">
            <v>13010.58</v>
          </cell>
          <cell r="AR67">
            <v>12512.43</v>
          </cell>
          <cell r="AS67">
            <v>13280.03</v>
          </cell>
          <cell r="AT67">
            <v>12837.37</v>
          </cell>
          <cell r="AU67">
            <v>12903.91</v>
          </cell>
          <cell r="AV67">
            <v>13092.48</v>
          </cell>
          <cell r="AW67">
            <v>12726.01</v>
          </cell>
          <cell r="AX67">
            <v>11987.59</v>
          </cell>
          <cell r="AY67">
            <v>12468.63</v>
          </cell>
          <cell r="AZ67">
            <v>11801.23</v>
          </cell>
          <cell r="BA67">
            <v>9866.0300000000007</v>
          </cell>
        </row>
        <row r="68">
          <cell r="A68" t="str">
            <v>V3000H15B25</v>
          </cell>
          <cell r="B68">
            <v>3000</v>
          </cell>
          <cell r="C68">
            <v>1500</v>
          </cell>
          <cell r="D68">
            <v>2500</v>
          </cell>
          <cell r="E68">
            <v>40</v>
          </cell>
          <cell r="F68">
            <v>4</v>
          </cell>
          <cell r="G68">
            <v>2</v>
          </cell>
          <cell r="H68">
            <v>350</v>
          </cell>
          <cell r="I68">
            <v>50</v>
          </cell>
          <cell r="J68">
            <v>3065.3</v>
          </cell>
          <cell r="K68" t="str">
            <v>Q-12001266</v>
          </cell>
          <cell r="L68" t="str">
            <v>\\hokukon-net2\hop\Program\01_MVPシステム_容量別組立図\.\01_余裕高0_0m\pdf\FB0_3000m3-MVP-1500-組-B2500_Q-12001266.pdf</v>
          </cell>
          <cell r="M68">
            <v>12835.22</v>
          </cell>
          <cell r="N68">
            <v>13029.24</v>
          </cell>
          <cell r="O68">
            <v>12564.53</v>
          </cell>
          <cell r="P68">
            <v>12571.42</v>
          </cell>
          <cell r="Q68">
            <v>12937.82</v>
          </cell>
          <cell r="R68">
            <v>12789.66</v>
          </cell>
          <cell r="S68">
            <v>12759.87</v>
          </cell>
          <cell r="T68">
            <v>12768.21</v>
          </cell>
          <cell r="U68">
            <v>12659.68</v>
          </cell>
          <cell r="V68">
            <v>12589.94</v>
          </cell>
          <cell r="W68">
            <v>12688.59</v>
          </cell>
          <cell r="X68">
            <v>12731.22</v>
          </cell>
          <cell r="Y68">
            <v>12736.15</v>
          </cell>
          <cell r="Z68">
            <v>13170.07</v>
          </cell>
          <cell r="AA68">
            <v>12791.17</v>
          </cell>
          <cell r="AB68">
            <v>12840.39</v>
          </cell>
          <cell r="AC68">
            <v>13440.09</v>
          </cell>
          <cell r="AD68">
            <v>12676.34</v>
          </cell>
          <cell r="AE68">
            <v>12855.88</v>
          </cell>
          <cell r="AF68">
            <v>13372.07</v>
          </cell>
          <cell r="AG68">
            <v>12661.83</v>
          </cell>
          <cell r="AH68">
            <v>12799.15</v>
          </cell>
          <cell r="AI68">
            <v>12531.58</v>
          </cell>
          <cell r="AJ68">
            <v>12838.64</v>
          </cell>
          <cell r="AK68">
            <v>12247.83</v>
          </cell>
          <cell r="AL68">
            <v>12819.82</v>
          </cell>
          <cell r="AM68">
            <v>13457.77</v>
          </cell>
          <cell r="AN68">
            <v>12983.39</v>
          </cell>
          <cell r="AO68">
            <v>13156.1</v>
          </cell>
          <cell r="AP68">
            <v>13120.27</v>
          </cell>
          <cell r="AQ68">
            <v>13264.81</v>
          </cell>
          <cell r="AR68">
            <v>12761.21</v>
          </cell>
          <cell r="AS68">
            <v>13532.39</v>
          </cell>
          <cell r="AT68">
            <v>13089.98</v>
          </cell>
          <cell r="AU68">
            <v>13157.14</v>
          </cell>
          <cell r="AV68">
            <v>13344.71</v>
          </cell>
          <cell r="AW68">
            <v>12977.03</v>
          </cell>
          <cell r="AX68">
            <v>12236.95</v>
          </cell>
          <cell r="AY68">
            <v>12718.07</v>
          </cell>
          <cell r="AZ68">
            <v>12048.89</v>
          </cell>
          <cell r="BA68">
            <v>10121.51</v>
          </cell>
        </row>
        <row r="69">
          <cell r="A69" t="str">
            <v>V3000H15B20</v>
          </cell>
          <cell r="B69">
            <v>3000</v>
          </cell>
          <cell r="C69">
            <v>1500</v>
          </cell>
          <cell r="D69">
            <v>2000</v>
          </cell>
          <cell r="E69">
            <v>43</v>
          </cell>
          <cell r="F69">
            <v>4</v>
          </cell>
          <cell r="G69">
            <v>2</v>
          </cell>
          <cell r="H69">
            <v>350</v>
          </cell>
          <cell r="I69">
            <v>50</v>
          </cell>
          <cell r="J69">
            <v>3028.5</v>
          </cell>
          <cell r="K69" t="str">
            <v>Q-12001265</v>
          </cell>
          <cell r="L69" t="str">
            <v>\\hokukon-net2\hop\Program\01_MVPシステム_容量別組立図\.\01_余裕高0_0m\pdf\FB0_3000m3-MVP-1500-組-B2000_Q-12001265.pdf</v>
          </cell>
          <cell r="M69">
            <v>12987.73</v>
          </cell>
          <cell r="N69">
            <v>13180.39</v>
          </cell>
          <cell r="O69">
            <v>12720.35</v>
          </cell>
          <cell r="P69">
            <v>12727.21</v>
          </cell>
          <cell r="Q69">
            <v>13089</v>
          </cell>
          <cell r="R69">
            <v>12941.72</v>
          </cell>
          <cell r="S69">
            <v>12911.14</v>
          </cell>
          <cell r="T69">
            <v>12919.42</v>
          </cell>
          <cell r="U69">
            <v>12817.2</v>
          </cell>
          <cell r="V69">
            <v>12747.17</v>
          </cell>
          <cell r="W69">
            <v>12845.57</v>
          </cell>
          <cell r="X69">
            <v>12889.87</v>
          </cell>
          <cell r="Y69">
            <v>12895.04</v>
          </cell>
          <cell r="Z69">
            <v>13327.85</v>
          </cell>
          <cell r="AA69">
            <v>12952.19</v>
          </cell>
          <cell r="AB69">
            <v>12998.92</v>
          </cell>
          <cell r="AC69">
            <v>13592.16</v>
          </cell>
          <cell r="AD69">
            <v>12831.68</v>
          </cell>
          <cell r="AE69">
            <v>13011.79</v>
          </cell>
          <cell r="AF69">
            <v>13525.7</v>
          </cell>
          <cell r="AG69">
            <v>12821.49</v>
          </cell>
          <cell r="AH69">
            <v>12957.97</v>
          </cell>
          <cell r="AI69">
            <v>12693.21</v>
          </cell>
          <cell r="AJ69">
            <v>12996.16</v>
          </cell>
          <cell r="AK69">
            <v>12408.41</v>
          </cell>
          <cell r="AL69">
            <v>12975.45</v>
          </cell>
          <cell r="AM69">
            <v>13609.78</v>
          </cell>
          <cell r="AN69">
            <v>13138.97</v>
          </cell>
          <cell r="AO69">
            <v>13308.98</v>
          </cell>
          <cell r="AP69">
            <v>13274.42</v>
          </cell>
          <cell r="AQ69">
            <v>13418.42</v>
          </cell>
          <cell r="AR69">
            <v>12913.99</v>
          </cell>
          <cell r="AS69">
            <v>13680.56</v>
          </cell>
          <cell r="AT69">
            <v>13243.58</v>
          </cell>
          <cell r="AU69">
            <v>13310.63</v>
          </cell>
          <cell r="AV69">
            <v>13494.9</v>
          </cell>
          <cell r="AW69">
            <v>13129.92</v>
          </cell>
          <cell r="AX69">
            <v>12396.36</v>
          </cell>
          <cell r="AY69">
            <v>12872.09</v>
          </cell>
          <cell r="AZ69">
            <v>12208.45</v>
          </cell>
          <cell r="BA69">
            <v>10300.42</v>
          </cell>
        </row>
        <row r="70">
          <cell r="A70" t="str">
            <v>V3000H20B30</v>
          </cell>
          <cell r="B70">
            <v>3000</v>
          </cell>
          <cell r="C70">
            <v>2000</v>
          </cell>
          <cell r="D70">
            <v>3000</v>
          </cell>
          <cell r="E70">
            <v>35</v>
          </cell>
          <cell r="F70">
            <v>3</v>
          </cell>
          <cell r="G70">
            <v>2</v>
          </cell>
          <cell r="H70">
            <v>350</v>
          </cell>
          <cell r="I70">
            <v>50</v>
          </cell>
          <cell r="J70">
            <v>3028.9</v>
          </cell>
          <cell r="K70" t="str">
            <v>Q-12001270</v>
          </cell>
          <cell r="L70" t="str">
            <v>\\hokukon-net2\hop\Program\01_MVPシステム_容量別組立図\.\01_余裕高0_0m\pdf\FB0_3000m3-MVP-2000-組-B3000_Q-12001270.pdf</v>
          </cell>
          <cell r="M70">
            <v>9836.7199999999993</v>
          </cell>
          <cell r="N70">
            <v>9980.98</v>
          </cell>
          <cell r="O70">
            <v>9637.16</v>
          </cell>
          <cell r="P70">
            <v>9642.26</v>
          </cell>
          <cell r="Q70">
            <v>9912.6</v>
          </cell>
          <cell r="R70">
            <v>9803.09</v>
          </cell>
          <cell r="S70">
            <v>9780.8799999999992</v>
          </cell>
          <cell r="T70">
            <v>9787.06</v>
          </cell>
          <cell r="U70">
            <v>9708.4599999999991</v>
          </cell>
          <cell r="V70">
            <v>9656.7999999999993</v>
          </cell>
          <cell r="W70">
            <v>9729.43</v>
          </cell>
          <cell r="X70">
            <v>9761.6</v>
          </cell>
          <cell r="Y70">
            <v>9765.23</v>
          </cell>
          <cell r="Z70">
            <v>10086.379999999999</v>
          </cell>
          <cell r="AA70">
            <v>9805.3799999999992</v>
          </cell>
          <cell r="AB70">
            <v>9842.06</v>
          </cell>
          <cell r="AC70">
            <v>10284.790000000001</v>
          </cell>
          <cell r="AD70">
            <v>9717.84</v>
          </cell>
          <cell r="AE70">
            <v>9851.3700000000008</v>
          </cell>
          <cell r="AF70">
            <v>10233.42</v>
          </cell>
          <cell r="AG70">
            <v>9708.61</v>
          </cell>
          <cell r="AH70">
            <v>9810.68</v>
          </cell>
          <cell r="AI70">
            <v>9612.42</v>
          </cell>
          <cell r="AJ70">
            <v>9839.49</v>
          </cell>
          <cell r="AK70">
            <v>9402.4699999999993</v>
          </cell>
          <cell r="AL70">
            <v>9826.51</v>
          </cell>
          <cell r="AM70">
            <v>10298.879999999999</v>
          </cell>
          <cell r="AN70">
            <v>9948.35</v>
          </cell>
          <cell r="AO70">
            <v>10075.98</v>
          </cell>
          <cell r="AP70">
            <v>10049.68</v>
          </cell>
          <cell r="AQ70">
            <v>10156.6</v>
          </cell>
          <cell r="AR70">
            <v>9781.94</v>
          </cell>
          <cell r="AS70">
            <v>10352.209999999999</v>
          </cell>
          <cell r="AT70">
            <v>10025.34</v>
          </cell>
          <cell r="AU70">
            <v>10074.35</v>
          </cell>
          <cell r="AV70">
            <v>10213.48</v>
          </cell>
          <cell r="AW70">
            <v>9940.76</v>
          </cell>
          <cell r="AX70">
            <v>9392.3799999999992</v>
          </cell>
          <cell r="AY70">
            <v>9749.15</v>
          </cell>
          <cell r="AZ70">
            <v>9253.0499999999993</v>
          </cell>
          <cell r="BA70">
            <v>7723.42</v>
          </cell>
        </row>
        <row r="71">
          <cell r="A71" t="str">
            <v>V3000H20B25</v>
          </cell>
          <cell r="B71">
            <v>3000</v>
          </cell>
          <cell r="C71">
            <v>2000</v>
          </cell>
          <cell r="D71">
            <v>2500</v>
          </cell>
          <cell r="E71">
            <v>38</v>
          </cell>
          <cell r="F71">
            <v>3</v>
          </cell>
          <cell r="G71">
            <v>2</v>
          </cell>
          <cell r="H71">
            <v>350</v>
          </cell>
          <cell r="I71">
            <v>50</v>
          </cell>
          <cell r="J71">
            <v>3050.7</v>
          </cell>
          <cell r="K71" t="str">
            <v>Q-12001269</v>
          </cell>
          <cell r="L71" t="str">
            <v>\\hokukon-net2\hop\Program\01_MVPシステム_容量別組立図\.\01_余裕高0_0m\pdf\FB0_3000m3-MVP-2000-組-B2500_Q-12001269.pdf</v>
          </cell>
          <cell r="M71">
            <v>10110.32</v>
          </cell>
          <cell r="N71">
            <v>10256.15</v>
          </cell>
          <cell r="O71">
            <v>9909.41</v>
          </cell>
          <cell r="P71">
            <v>9914.56</v>
          </cell>
          <cell r="Q71">
            <v>10186.65</v>
          </cell>
          <cell r="R71">
            <v>10075.89</v>
          </cell>
          <cell r="S71">
            <v>10052.82</v>
          </cell>
          <cell r="T71">
            <v>10059.049999999999</v>
          </cell>
          <cell r="U71">
            <v>9982.9</v>
          </cell>
          <cell r="V71">
            <v>9930.2199999999993</v>
          </cell>
          <cell r="W71">
            <v>10003.93</v>
          </cell>
          <cell r="X71">
            <v>10037.64</v>
          </cell>
          <cell r="Y71">
            <v>10041.450000000001</v>
          </cell>
          <cell r="Z71">
            <v>10367.32</v>
          </cell>
          <cell r="AA71">
            <v>10083.56</v>
          </cell>
          <cell r="AB71">
            <v>10119.35</v>
          </cell>
          <cell r="AC71">
            <v>10565.65</v>
          </cell>
          <cell r="AD71">
            <v>9991.23</v>
          </cell>
          <cell r="AE71">
            <v>10127.290000000001</v>
          </cell>
          <cell r="AF71">
            <v>10514.38</v>
          </cell>
          <cell r="AG71">
            <v>9984.41</v>
          </cell>
          <cell r="AH71">
            <v>10087.69</v>
          </cell>
          <cell r="AI71">
            <v>9887.7900000000009</v>
          </cell>
          <cell r="AJ71">
            <v>10116.19</v>
          </cell>
          <cell r="AK71">
            <v>9673.69</v>
          </cell>
          <cell r="AL71">
            <v>10101.83</v>
          </cell>
          <cell r="AM71">
            <v>10579.92</v>
          </cell>
          <cell r="AN71">
            <v>10225.64</v>
          </cell>
          <cell r="AO71">
            <v>10353.780000000001</v>
          </cell>
          <cell r="AP71">
            <v>10327.790000000001</v>
          </cell>
          <cell r="AQ71">
            <v>10436.18</v>
          </cell>
          <cell r="AR71">
            <v>10054.83</v>
          </cell>
          <cell r="AS71">
            <v>10631.84</v>
          </cell>
          <cell r="AT71">
            <v>10302.77</v>
          </cell>
          <cell r="AU71">
            <v>10352.57</v>
          </cell>
          <cell r="AV71">
            <v>10492</v>
          </cell>
          <cell r="AW71">
            <v>10216.379999999999</v>
          </cell>
          <cell r="AX71">
            <v>9662.7800000000007</v>
          </cell>
          <cell r="AY71">
            <v>10022.25</v>
          </cell>
          <cell r="AZ71">
            <v>9631.0499999999993</v>
          </cell>
          <cell r="BA71">
            <v>7981.19</v>
          </cell>
        </row>
        <row r="72">
          <cell r="A72" t="str">
            <v>V3000H20B20</v>
          </cell>
          <cell r="B72">
            <v>3000</v>
          </cell>
          <cell r="C72">
            <v>2000</v>
          </cell>
          <cell r="D72">
            <v>2000</v>
          </cell>
          <cell r="E72">
            <v>32</v>
          </cell>
          <cell r="F72">
            <v>4</v>
          </cell>
          <cell r="G72">
            <v>2</v>
          </cell>
          <cell r="H72">
            <v>350</v>
          </cell>
          <cell r="I72">
            <v>50</v>
          </cell>
          <cell r="J72">
            <v>3045.7</v>
          </cell>
          <cell r="K72" t="str">
            <v>Q-12001268</v>
          </cell>
          <cell r="L72" t="str">
            <v>\\hokukon-net2\hop\Program\01_MVPシステム_容量別組立図\.\01_余裕高0_0m\pdf\FB0_3000m3-MVP-2000-組-B2000_Q-12001268.pdf</v>
          </cell>
          <cell r="M72">
            <v>10348.370000000001</v>
          </cell>
          <cell r="N72">
            <v>10494.34</v>
          </cell>
          <cell r="O72">
            <v>10149.879999999999</v>
          </cell>
          <cell r="P72">
            <v>10155.040000000001</v>
          </cell>
          <cell r="Q72">
            <v>10424.290000000001</v>
          </cell>
          <cell r="R72">
            <v>10313.43</v>
          </cell>
          <cell r="S72">
            <v>10289.219999999999</v>
          </cell>
          <cell r="T72">
            <v>10295.450000000001</v>
          </cell>
          <cell r="U72">
            <v>10226.469999999999</v>
          </cell>
          <cell r="V72">
            <v>10173.049999999999</v>
          </cell>
          <cell r="W72">
            <v>10246.64</v>
          </cell>
          <cell r="X72">
            <v>10282.799999999999</v>
          </cell>
          <cell r="Y72">
            <v>10287.01</v>
          </cell>
          <cell r="Z72">
            <v>10614.26</v>
          </cell>
          <cell r="AA72">
            <v>10331.530000000001</v>
          </cell>
          <cell r="AB72">
            <v>10364.9</v>
          </cell>
          <cell r="AC72">
            <v>10807.27</v>
          </cell>
          <cell r="AD72">
            <v>10230.83</v>
          </cell>
          <cell r="AE72">
            <v>10368.85</v>
          </cell>
          <cell r="AF72">
            <v>10756.69</v>
          </cell>
          <cell r="AG72">
            <v>10229.49</v>
          </cell>
          <cell r="AH72">
            <v>10333.07</v>
          </cell>
          <cell r="AI72">
            <v>10134.209999999999</v>
          </cell>
          <cell r="AJ72">
            <v>10359.950000000001</v>
          </cell>
          <cell r="AK72">
            <v>9917.35</v>
          </cell>
          <cell r="AL72">
            <v>10343.9</v>
          </cell>
          <cell r="AM72">
            <v>10821.83</v>
          </cell>
          <cell r="AN72">
            <v>10468.91</v>
          </cell>
          <cell r="AO72">
            <v>10595.03</v>
          </cell>
          <cell r="AP72">
            <v>10570.35</v>
          </cell>
          <cell r="AQ72">
            <v>10678.88</v>
          </cell>
          <cell r="AR72">
            <v>10292.700000000001</v>
          </cell>
          <cell r="AS72">
            <v>10869.01</v>
          </cell>
          <cell r="AT72">
            <v>10543.61</v>
          </cell>
          <cell r="AU72">
            <v>10593.34</v>
          </cell>
          <cell r="AV72">
            <v>10730.59</v>
          </cell>
          <cell r="AW72">
            <v>10455.41</v>
          </cell>
          <cell r="AX72">
            <v>9904.15</v>
          </cell>
          <cell r="AY72">
            <v>10261</v>
          </cell>
          <cell r="AZ72">
            <v>9761.61</v>
          </cell>
          <cell r="BA72">
            <v>8212.99</v>
          </cell>
        </row>
        <row r="73">
          <cell r="A73" t="str">
            <v>V3000H25B30</v>
          </cell>
          <cell r="B73">
            <v>3000</v>
          </cell>
          <cell r="C73">
            <v>2500</v>
          </cell>
          <cell r="D73">
            <v>3000</v>
          </cell>
          <cell r="E73">
            <v>29</v>
          </cell>
          <cell r="F73">
            <v>5</v>
          </cell>
          <cell r="G73">
            <v>1</v>
          </cell>
          <cell r="H73">
            <v>300</v>
          </cell>
          <cell r="I73">
            <v>50</v>
          </cell>
          <cell r="J73">
            <v>3063.1</v>
          </cell>
          <cell r="K73" t="str">
            <v>Q-12001273</v>
          </cell>
          <cell r="L73" t="str">
            <v>\\hokukon-net2\hop\Program\01_MVPシステム_容量別組立図\.\01_余裕高0_0m\pdf\FB0_3000m3-MVP-2500-組-B3000_Q-12001273.pdf</v>
          </cell>
          <cell r="M73">
            <v>9835.8799999999992</v>
          </cell>
          <cell r="N73">
            <v>9946.01</v>
          </cell>
          <cell r="O73">
            <v>9693.93</v>
          </cell>
          <cell r="P73">
            <v>9697.84</v>
          </cell>
          <cell r="Q73">
            <v>9893.82</v>
          </cell>
          <cell r="R73">
            <v>9811.33</v>
          </cell>
          <cell r="S73">
            <v>9789.7900000000009</v>
          </cell>
          <cell r="T73">
            <v>9794.5</v>
          </cell>
          <cell r="U73">
            <v>9769.92</v>
          </cell>
          <cell r="V73">
            <v>9726.4500000000007</v>
          </cell>
          <cell r="W73">
            <v>9783.36</v>
          </cell>
          <cell r="X73">
            <v>9821.69</v>
          </cell>
          <cell r="Y73">
            <v>9827.7800000000007</v>
          </cell>
          <cell r="Z73">
            <v>10080.74</v>
          </cell>
          <cell r="AA73">
            <v>9867.3799999999992</v>
          </cell>
          <cell r="AB73">
            <v>9883.73</v>
          </cell>
          <cell r="AC73">
            <v>10202.5</v>
          </cell>
          <cell r="AD73">
            <v>9755.51</v>
          </cell>
          <cell r="AE73">
            <v>9864</v>
          </cell>
          <cell r="AF73">
            <v>10161.48</v>
          </cell>
          <cell r="AG73">
            <v>9777.4500000000007</v>
          </cell>
          <cell r="AH73">
            <v>9858.9</v>
          </cell>
          <cell r="AI73">
            <v>9709.94</v>
          </cell>
          <cell r="AJ73">
            <v>9873.24</v>
          </cell>
          <cell r="AK73">
            <v>9536.9599999999991</v>
          </cell>
          <cell r="AL73">
            <v>9852.23</v>
          </cell>
          <cell r="AM73">
            <v>10212.76</v>
          </cell>
          <cell r="AN73">
            <v>9950.06</v>
          </cell>
          <cell r="AO73">
            <v>10038.01</v>
          </cell>
          <cell r="AP73">
            <v>10026.4</v>
          </cell>
          <cell r="AQ73">
            <v>10106.719999999999</v>
          </cell>
          <cell r="AR73">
            <v>9800.5400000000009</v>
          </cell>
          <cell r="AS73">
            <v>10233.469999999999</v>
          </cell>
          <cell r="AT73">
            <v>9996.2999999999993</v>
          </cell>
          <cell r="AU73">
            <v>10033.700000000001</v>
          </cell>
          <cell r="AV73">
            <v>10133.02</v>
          </cell>
          <cell r="AW73">
            <v>9920.52</v>
          </cell>
          <cell r="AX73">
            <v>9515.98</v>
          </cell>
          <cell r="AY73">
            <v>9775.08</v>
          </cell>
          <cell r="AZ73">
            <v>9402.2800000000007</v>
          </cell>
          <cell r="BA73">
            <v>7754.43</v>
          </cell>
        </row>
        <row r="74">
          <cell r="A74" t="str">
            <v>V3000H25B25</v>
          </cell>
          <cell r="B74">
            <v>3000</v>
          </cell>
          <cell r="C74">
            <v>2500</v>
          </cell>
          <cell r="D74">
            <v>2500</v>
          </cell>
          <cell r="E74">
            <v>32</v>
          </cell>
          <cell r="F74">
            <v>5</v>
          </cell>
          <cell r="G74">
            <v>2</v>
          </cell>
          <cell r="H74">
            <v>300</v>
          </cell>
          <cell r="I74">
            <v>50</v>
          </cell>
          <cell r="J74">
            <v>3066.9</v>
          </cell>
          <cell r="K74" t="str">
            <v>Q-12001272</v>
          </cell>
          <cell r="L74" t="str">
            <v>\\hokukon-net2\hop\Program\01_MVPシステム_容量別組立図\.\01_余裕高0_0m\pdf\FB0_3000m3-MVP-2500-組-B2500_Q-12001272.pdf</v>
          </cell>
          <cell r="M74">
            <v>10208.94</v>
          </cell>
          <cell r="N74">
            <v>10319.68</v>
          </cell>
          <cell r="O74">
            <v>10067.65</v>
          </cell>
          <cell r="P74">
            <v>10071.6</v>
          </cell>
          <cell r="Q74">
            <v>10266.459999999999</v>
          </cell>
          <cell r="R74">
            <v>10183.450000000001</v>
          </cell>
          <cell r="S74">
            <v>10160.709999999999</v>
          </cell>
          <cell r="T74">
            <v>10165.459999999999</v>
          </cell>
          <cell r="U74">
            <v>10145.86</v>
          </cell>
          <cell r="V74">
            <v>10101.450000000001</v>
          </cell>
          <cell r="W74">
            <v>10159.18</v>
          </cell>
          <cell r="X74">
            <v>10199.49</v>
          </cell>
          <cell r="Y74">
            <v>10205.709999999999</v>
          </cell>
          <cell r="Z74">
            <v>10461.790000000001</v>
          </cell>
          <cell r="AA74">
            <v>10247.959999999999</v>
          </cell>
          <cell r="AB74">
            <v>10262.56</v>
          </cell>
          <cell r="AC74">
            <v>10580.77</v>
          </cell>
          <cell r="AD74">
            <v>10129.35</v>
          </cell>
          <cell r="AE74">
            <v>10240.26</v>
          </cell>
          <cell r="AF74">
            <v>10540.57</v>
          </cell>
          <cell r="AG74">
            <v>10155.530000000001</v>
          </cell>
          <cell r="AH74">
            <v>10237.49</v>
          </cell>
          <cell r="AI74">
            <v>10088.57</v>
          </cell>
          <cell r="AJ74">
            <v>10250.969999999999</v>
          </cell>
          <cell r="AK74">
            <v>9911.75</v>
          </cell>
          <cell r="AL74">
            <v>10227.94</v>
          </cell>
          <cell r="AM74">
            <v>10591.24</v>
          </cell>
          <cell r="AN74">
            <v>10327.33</v>
          </cell>
          <cell r="AO74">
            <v>10414.4</v>
          </cell>
          <cell r="AP74">
            <v>10403.780000000001</v>
          </cell>
          <cell r="AQ74">
            <v>10484.969999999999</v>
          </cell>
          <cell r="AR74">
            <v>10172.83</v>
          </cell>
          <cell r="AS74">
            <v>10608.96</v>
          </cell>
          <cell r="AT74">
            <v>10372.61</v>
          </cell>
          <cell r="AU74">
            <v>10410.530000000001</v>
          </cell>
          <cell r="AV74">
            <v>10508.57</v>
          </cell>
          <cell r="AW74">
            <v>10295.030000000001</v>
          </cell>
          <cell r="AX74">
            <v>9889.6</v>
          </cell>
          <cell r="AY74">
            <v>10148.18</v>
          </cell>
          <cell r="AZ74">
            <v>9774.0300000000007</v>
          </cell>
          <cell r="BA74">
            <v>8091.54</v>
          </cell>
        </row>
        <row r="75">
          <cell r="A75" t="str">
            <v>V3000H25B20</v>
          </cell>
          <cell r="B75">
            <v>3000</v>
          </cell>
          <cell r="C75">
            <v>2500</v>
          </cell>
          <cell r="D75">
            <v>2000</v>
          </cell>
          <cell r="E75">
            <v>30</v>
          </cell>
          <cell r="F75">
            <v>6</v>
          </cell>
          <cell r="G75">
            <v>2</v>
          </cell>
          <cell r="H75">
            <v>300</v>
          </cell>
          <cell r="I75">
            <v>50</v>
          </cell>
          <cell r="J75">
            <v>3064.6</v>
          </cell>
          <cell r="K75" t="str">
            <v>Q-12001271</v>
          </cell>
          <cell r="L75" t="str">
            <v>\\hokukon-net2\hop\Program\01_MVPシステム_容量別組立図\.\01_余裕高0_0m\pdf\FB0_3000m3-MVP-2500-組-B2000_Q-12001271.pdf</v>
          </cell>
          <cell r="M75">
            <v>10661.5</v>
          </cell>
          <cell r="N75">
            <v>10772.9</v>
          </cell>
          <cell r="O75">
            <v>10522.03</v>
          </cell>
          <cell r="P75">
            <v>10525.99</v>
          </cell>
          <cell r="Q75">
            <v>10718.82</v>
          </cell>
          <cell r="R75">
            <v>10635.39</v>
          </cell>
          <cell r="S75">
            <v>10611.17</v>
          </cell>
          <cell r="T75">
            <v>10615.95</v>
          </cell>
          <cell r="U75">
            <v>10604.27</v>
          </cell>
          <cell r="V75">
            <v>10558.78</v>
          </cell>
          <cell r="W75">
            <v>10617.03</v>
          </cell>
          <cell r="X75">
            <v>10660.39</v>
          </cell>
          <cell r="Y75">
            <v>10666.92</v>
          </cell>
          <cell r="Z75">
            <v>10926.37</v>
          </cell>
          <cell r="AA75">
            <v>10712.29</v>
          </cell>
          <cell r="AB75">
            <v>10724.3</v>
          </cell>
          <cell r="AC75">
            <v>11040.13</v>
          </cell>
          <cell r="AD75">
            <v>10583.4</v>
          </cell>
          <cell r="AE75">
            <v>10697.21</v>
          </cell>
          <cell r="AF75">
            <v>11000.56</v>
          </cell>
          <cell r="AG75">
            <v>10615.97</v>
          </cell>
          <cell r="AH75">
            <v>10699</v>
          </cell>
          <cell r="AI75">
            <v>10550.23</v>
          </cell>
          <cell r="AJ75">
            <v>10710.78</v>
          </cell>
          <cell r="AK75">
            <v>10368.85</v>
          </cell>
          <cell r="AL75">
            <v>10685.35</v>
          </cell>
          <cell r="AM75">
            <v>11050.96</v>
          </cell>
          <cell r="AN75">
            <v>10786.54</v>
          </cell>
          <cell r="AO75">
            <v>10871.96</v>
          </cell>
          <cell r="AP75">
            <v>10862.97</v>
          </cell>
          <cell r="AQ75">
            <v>10944.83</v>
          </cell>
          <cell r="AR75">
            <v>10625.16</v>
          </cell>
          <cell r="AS75">
            <v>11063.68</v>
          </cell>
          <cell r="AT75">
            <v>10829.78</v>
          </cell>
          <cell r="AU75">
            <v>10867.88</v>
          </cell>
          <cell r="AV75">
            <v>10964.11</v>
          </cell>
          <cell r="AW75">
            <v>10749.52</v>
          </cell>
          <cell r="AX75">
            <v>10344.32</v>
          </cell>
          <cell r="AY75">
            <v>10601.44</v>
          </cell>
          <cell r="AZ75">
            <v>10226.58</v>
          </cell>
          <cell r="BA75">
            <v>8500.61</v>
          </cell>
        </row>
        <row r="76">
          <cell r="A76" t="str">
            <v>V3000H30B30</v>
          </cell>
          <cell r="B76">
            <v>3000</v>
          </cell>
          <cell r="C76">
            <v>3000</v>
          </cell>
          <cell r="D76">
            <v>3000</v>
          </cell>
          <cell r="E76">
            <v>29</v>
          </cell>
          <cell r="F76">
            <v>4</v>
          </cell>
          <cell r="G76">
            <v>1</v>
          </cell>
          <cell r="H76">
            <v>300</v>
          </cell>
          <cell r="I76">
            <v>50</v>
          </cell>
          <cell r="J76">
            <v>3005.5</v>
          </cell>
          <cell r="K76" t="str">
            <v>Q-12001276</v>
          </cell>
          <cell r="L76" t="str">
            <v>\\hokukon-net2\hop\Program\01_MVPシステム_容量別組立図\.\01_余裕高0_0m\pdf\FB0_3000m3-MVP-3000-組-B3000_Q-12001276.pdf</v>
          </cell>
          <cell r="M76">
            <v>8620.93</v>
          </cell>
          <cell r="N76">
            <v>8711.7199999999993</v>
          </cell>
          <cell r="O76">
            <v>8506.73</v>
          </cell>
          <cell r="P76">
            <v>8509.9500000000007</v>
          </cell>
          <cell r="Q76">
            <v>8667.3700000000008</v>
          </cell>
          <cell r="R76">
            <v>8598.69</v>
          </cell>
          <cell r="S76">
            <v>8579.32</v>
          </cell>
          <cell r="T76">
            <v>8583.2000000000007</v>
          </cell>
          <cell r="U76">
            <v>8573.02</v>
          </cell>
          <cell r="V76">
            <v>8536.07</v>
          </cell>
          <cell r="W76">
            <v>8582.4500000000007</v>
          </cell>
          <cell r="X76">
            <v>8617.3700000000008</v>
          </cell>
          <cell r="Y76">
            <v>8623.58</v>
          </cell>
          <cell r="Z76">
            <v>8833.9</v>
          </cell>
          <cell r="AA76">
            <v>8659.77</v>
          </cell>
          <cell r="AB76">
            <v>8669.33</v>
          </cell>
          <cell r="AC76">
            <v>8926.7999999999993</v>
          </cell>
          <cell r="AD76">
            <v>8557.15</v>
          </cell>
          <cell r="AE76">
            <v>8649.43</v>
          </cell>
          <cell r="AF76">
            <v>8895</v>
          </cell>
          <cell r="AG76">
            <v>8582.17</v>
          </cell>
          <cell r="AH76">
            <v>8648.42</v>
          </cell>
          <cell r="AI76">
            <v>8528.5499999999993</v>
          </cell>
          <cell r="AJ76">
            <v>8658.34</v>
          </cell>
          <cell r="AK76">
            <v>8382.3700000000008</v>
          </cell>
          <cell r="AL76">
            <v>8638.84</v>
          </cell>
          <cell r="AM76">
            <v>8935.8700000000008</v>
          </cell>
          <cell r="AN76">
            <v>8721.9699999999993</v>
          </cell>
          <cell r="AO76">
            <v>8791.24</v>
          </cell>
          <cell r="AP76">
            <v>8782.2900000000009</v>
          </cell>
          <cell r="AQ76">
            <v>8849.32</v>
          </cell>
          <cell r="AR76">
            <v>8590.94</v>
          </cell>
          <cell r="AS76">
            <v>8945.99</v>
          </cell>
          <cell r="AT76">
            <v>8755.98</v>
          </cell>
          <cell r="AU76">
            <v>8787.43</v>
          </cell>
          <cell r="AV76">
            <v>8865.1200000000008</v>
          </cell>
          <cell r="AW76">
            <v>8691.5400000000009</v>
          </cell>
          <cell r="AX76">
            <v>8361.14</v>
          </cell>
          <cell r="AY76">
            <v>8570.9500000000007</v>
          </cell>
          <cell r="AZ76">
            <v>8267.27</v>
          </cell>
          <cell r="BA76">
            <v>6819.9</v>
          </cell>
        </row>
        <row r="77">
          <cell r="A77" t="str">
            <v>V3000H30B25</v>
          </cell>
          <cell r="B77">
            <v>3000</v>
          </cell>
          <cell r="C77">
            <v>3000</v>
          </cell>
          <cell r="D77">
            <v>2500</v>
          </cell>
          <cell r="E77">
            <v>32</v>
          </cell>
          <cell r="F77">
            <v>4</v>
          </cell>
          <cell r="G77">
            <v>2</v>
          </cell>
          <cell r="H77">
            <v>300</v>
          </cell>
          <cell r="I77">
            <v>50</v>
          </cell>
          <cell r="J77">
            <v>3015.7</v>
          </cell>
          <cell r="K77" t="str">
            <v>Q-12001275</v>
          </cell>
          <cell r="L77" t="str">
            <v>\\hokukon-net2\hop\Program\01_MVPシステム_容量別組立図\.\01_余裕高0_0m\pdf\FB0_3000m3-MVP-3000-組-B2500_Q-12001275.pdf</v>
          </cell>
          <cell r="M77">
            <v>8974.82</v>
          </cell>
          <cell r="N77">
            <v>9066.31</v>
          </cell>
          <cell r="O77">
            <v>8860.92</v>
          </cell>
          <cell r="P77">
            <v>8864.17</v>
          </cell>
          <cell r="Q77">
            <v>9021</v>
          </cell>
          <cell r="R77">
            <v>8951.74</v>
          </cell>
          <cell r="S77">
            <v>8931.35</v>
          </cell>
          <cell r="T77">
            <v>8935.26</v>
          </cell>
          <cell r="U77">
            <v>8929.31</v>
          </cell>
          <cell r="V77">
            <v>8891.4699999999993</v>
          </cell>
          <cell r="W77">
            <v>8938.64</v>
          </cell>
          <cell r="X77">
            <v>8975.33</v>
          </cell>
          <cell r="Y77">
            <v>8981.65</v>
          </cell>
          <cell r="Z77">
            <v>9195.06</v>
          </cell>
          <cell r="AA77">
            <v>9020.11</v>
          </cell>
          <cell r="AB77">
            <v>9028.2199999999993</v>
          </cell>
          <cell r="AC77">
            <v>9285.77</v>
          </cell>
          <cell r="AD77">
            <v>8911.57</v>
          </cell>
          <cell r="AE77">
            <v>9006.08</v>
          </cell>
          <cell r="AF77">
            <v>9254.5300000000007</v>
          </cell>
          <cell r="AG77">
            <v>8940.2000000000007</v>
          </cell>
          <cell r="AH77">
            <v>9007.0400000000009</v>
          </cell>
          <cell r="AI77">
            <v>8886.9599999999991</v>
          </cell>
          <cell r="AJ77">
            <v>9016.25</v>
          </cell>
          <cell r="AK77">
            <v>8737.25</v>
          </cell>
          <cell r="AL77">
            <v>8995.0400000000009</v>
          </cell>
          <cell r="AM77">
            <v>9295.06</v>
          </cell>
          <cell r="AN77">
            <v>9079.67</v>
          </cell>
          <cell r="AO77">
            <v>9148.36</v>
          </cell>
          <cell r="AP77">
            <v>9140.2000000000007</v>
          </cell>
          <cell r="AQ77">
            <v>9208.1200000000008</v>
          </cell>
          <cell r="AR77">
            <v>8944.16</v>
          </cell>
          <cell r="AS77">
            <v>9302.6299999999992</v>
          </cell>
          <cell r="AT77">
            <v>9112.92</v>
          </cell>
          <cell r="AU77">
            <v>9144.86</v>
          </cell>
          <cell r="AV77">
            <v>9221.64</v>
          </cell>
          <cell r="AW77">
            <v>9046.7999999999993</v>
          </cell>
          <cell r="AX77">
            <v>8714.9</v>
          </cell>
          <cell r="AY77">
            <v>8924.76</v>
          </cell>
          <cell r="AZ77">
            <v>8619.26</v>
          </cell>
          <cell r="BA77">
            <v>7133.75</v>
          </cell>
        </row>
        <row r="78">
          <cell r="A78" t="str">
            <v>V3000H30B20</v>
          </cell>
          <cell r="B78">
            <v>3000</v>
          </cell>
          <cell r="C78">
            <v>3000</v>
          </cell>
          <cell r="D78">
            <v>2000</v>
          </cell>
          <cell r="E78">
            <v>29</v>
          </cell>
          <cell r="F78">
            <v>5</v>
          </cell>
          <cell r="G78">
            <v>1</v>
          </cell>
          <cell r="H78">
            <v>300</v>
          </cell>
          <cell r="I78">
            <v>50</v>
          </cell>
          <cell r="J78">
            <v>3023.6</v>
          </cell>
          <cell r="K78" t="str">
            <v>Q-12001274</v>
          </cell>
          <cell r="L78" t="str">
            <v>\\hokukon-net2\hop\Program\01_MVPシステム_容量別組立図\.\01_余裕高0_0m\pdf\FB0_3000m3-MVP-3000-組-B2000_Q-12001274.pdf</v>
          </cell>
          <cell r="M78">
            <v>9391.25</v>
          </cell>
          <cell r="N78">
            <v>9483.5400000000009</v>
          </cell>
          <cell r="O78">
            <v>9278.84</v>
          </cell>
          <cell r="P78">
            <v>9282.1</v>
          </cell>
          <cell r="Q78">
            <v>9437.51</v>
          </cell>
          <cell r="R78">
            <v>9367.5400000000009</v>
          </cell>
          <cell r="S78">
            <v>9345.73</v>
          </cell>
          <cell r="T78">
            <v>9349.67</v>
          </cell>
          <cell r="U78">
            <v>9351.3799999999992</v>
          </cell>
          <cell r="V78">
            <v>9312.43</v>
          </cell>
          <cell r="W78">
            <v>9359.98</v>
          </cell>
          <cell r="X78">
            <v>9399.69</v>
          </cell>
          <cell r="Y78">
            <v>9406.57</v>
          </cell>
          <cell r="Z78">
            <v>9623.52</v>
          </cell>
          <cell r="AA78">
            <v>9448.1200000000008</v>
          </cell>
          <cell r="AB78">
            <v>9453.5</v>
          </cell>
          <cell r="AC78">
            <v>9709.27</v>
          </cell>
          <cell r="AD78">
            <v>9329.69</v>
          </cell>
          <cell r="AE78">
            <v>9427.06</v>
          </cell>
          <cell r="AF78">
            <v>9678.74</v>
          </cell>
          <cell r="AG78">
            <v>9364.35</v>
          </cell>
          <cell r="AH78">
            <v>9432.17</v>
          </cell>
          <cell r="AI78">
            <v>9312.2199999999993</v>
          </cell>
          <cell r="AJ78">
            <v>9439.74</v>
          </cell>
          <cell r="AK78">
            <v>9158.02</v>
          </cell>
          <cell r="AL78">
            <v>9416.24</v>
          </cell>
          <cell r="AM78">
            <v>9718.75</v>
          </cell>
          <cell r="AN78">
            <v>9502.76</v>
          </cell>
          <cell r="AO78">
            <v>9569.83</v>
          </cell>
          <cell r="AP78">
            <v>9563.01</v>
          </cell>
          <cell r="AQ78">
            <v>9631.7099999999991</v>
          </cell>
          <cell r="AR78">
            <v>9360.42</v>
          </cell>
          <cell r="AS78">
            <v>9721.48</v>
          </cell>
          <cell r="AT78">
            <v>9534.0400000000009</v>
          </cell>
          <cell r="AU78">
            <v>9566.33</v>
          </cell>
          <cell r="AV78">
            <v>9641.27</v>
          </cell>
          <cell r="AW78">
            <v>9465.4</v>
          </cell>
          <cell r="AX78">
            <v>9133.26</v>
          </cell>
          <cell r="AY78">
            <v>9341.9599999999991</v>
          </cell>
          <cell r="AZ78">
            <v>9035.69</v>
          </cell>
          <cell r="BA78">
            <v>7505.54</v>
          </cell>
        </row>
        <row r="79">
          <cell r="A79" t="str">
            <v>V3000H35B30</v>
          </cell>
          <cell r="B79">
            <v>3000</v>
          </cell>
          <cell r="C79">
            <v>3500</v>
          </cell>
          <cell r="D79">
            <v>3000</v>
          </cell>
          <cell r="E79">
            <v>25</v>
          </cell>
          <cell r="F79">
            <v>4</v>
          </cell>
          <cell r="G79">
            <v>1</v>
          </cell>
          <cell r="H79">
            <v>300</v>
          </cell>
          <cell r="I79">
            <v>50</v>
          </cell>
          <cell r="J79">
            <v>3042.2</v>
          </cell>
          <cell r="K79" t="str">
            <v>Q-12001279</v>
          </cell>
          <cell r="L79" t="str">
            <v>\\hokukon-net2\hop\Program\01_MVPシステム_容量別組立図\.\01_余裕高0_0m\pdf\FB0_3000m3-MVP-3500-組-B3000_Q-12001279.pdf</v>
          </cell>
          <cell r="M79">
            <v>7947.4</v>
          </cell>
          <cell r="N79">
            <v>8027.09</v>
          </cell>
          <cell r="O79">
            <v>7850.02</v>
          </cell>
          <cell r="P79">
            <v>7852.81</v>
          </cell>
          <cell r="Q79">
            <v>7987.71</v>
          </cell>
          <cell r="R79">
            <v>7927.93</v>
          </cell>
          <cell r="S79">
            <v>7910.24</v>
          </cell>
          <cell r="T79">
            <v>7913.61</v>
          </cell>
          <cell r="U79">
            <v>7910.23</v>
          </cell>
          <cell r="V79">
            <v>7877.58</v>
          </cell>
          <cell r="W79">
            <v>7917.58</v>
          </cell>
          <cell r="X79">
            <v>7949.89</v>
          </cell>
          <cell r="Y79">
            <v>7955.52</v>
          </cell>
          <cell r="Z79">
            <v>8139.57</v>
          </cell>
          <cell r="AA79">
            <v>7988.28</v>
          </cell>
          <cell r="AB79">
            <v>7995.15</v>
          </cell>
          <cell r="AC79">
            <v>8216.2099999999991</v>
          </cell>
          <cell r="AD79">
            <v>7892.15</v>
          </cell>
          <cell r="AE79">
            <v>7973.96</v>
          </cell>
          <cell r="AF79">
            <v>8188.35</v>
          </cell>
          <cell r="AG79">
            <v>7918.11</v>
          </cell>
          <cell r="AH79">
            <v>7976.49</v>
          </cell>
          <cell r="AI79">
            <v>7872.44</v>
          </cell>
          <cell r="AJ79">
            <v>7983.64</v>
          </cell>
          <cell r="AK79">
            <v>7743.54</v>
          </cell>
          <cell r="AL79">
            <v>7966.26</v>
          </cell>
          <cell r="AM79">
            <v>8224.7900000000009</v>
          </cell>
          <cell r="AN79">
            <v>8039.88</v>
          </cell>
          <cell r="AO79">
            <v>8098.69</v>
          </cell>
          <cell r="AP79">
            <v>8091.91</v>
          </cell>
          <cell r="AQ79">
            <v>8150.33</v>
          </cell>
          <cell r="AR79">
            <v>7921.27</v>
          </cell>
          <cell r="AS79">
            <v>8229.68</v>
          </cell>
          <cell r="AT79">
            <v>8066.74</v>
          </cell>
          <cell r="AU79">
            <v>8093.83</v>
          </cell>
          <cell r="AV79">
            <v>8160.34</v>
          </cell>
          <cell r="AW79">
            <v>8009.09</v>
          </cell>
          <cell r="AX79">
            <v>7722.41</v>
          </cell>
          <cell r="AY79">
            <v>7903.91</v>
          </cell>
          <cell r="AZ79">
            <v>7640.15</v>
          </cell>
          <cell r="BA79">
            <v>6290.87</v>
          </cell>
        </row>
        <row r="80">
          <cell r="A80" t="str">
            <v>V3000H35B25</v>
          </cell>
          <cell r="B80">
            <v>3000</v>
          </cell>
          <cell r="C80">
            <v>3500</v>
          </cell>
          <cell r="D80">
            <v>2500</v>
          </cell>
          <cell r="E80">
            <v>28</v>
          </cell>
          <cell r="F80">
            <v>4</v>
          </cell>
          <cell r="G80">
            <v>1</v>
          </cell>
          <cell r="H80">
            <v>300</v>
          </cell>
          <cell r="I80">
            <v>50</v>
          </cell>
          <cell r="J80">
            <v>3097.1</v>
          </cell>
          <cell r="K80" t="str">
            <v>Q-12001278</v>
          </cell>
          <cell r="L80" t="str">
            <v>\\hokukon-net2\hop\Program\01_MVPシステム_容量別組立図\.\01_余裕高0_0m\pdf\FB0_3000m3-MVP-3500-組-B2500_Q-12001278.pdf</v>
          </cell>
          <cell r="M80">
            <v>8377.4500000000007</v>
          </cell>
          <cell r="N80">
            <v>8458.76</v>
          </cell>
          <cell r="O80">
            <v>8278.81</v>
          </cell>
          <cell r="P80">
            <v>8281.67</v>
          </cell>
          <cell r="Q80">
            <v>8418.24</v>
          </cell>
          <cell r="R80">
            <v>8357.07</v>
          </cell>
          <cell r="S80">
            <v>8338.32</v>
          </cell>
          <cell r="T80">
            <v>8341.7800000000007</v>
          </cell>
          <cell r="U80">
            <v>8341.7800000000007</v>
          </cell>
          <cell r="V80">
            <v>8307.91</v>
          </cell>
          <cell r="W80">
            <v>8349.15</v>
          </cell>
          <cell r="X80">
            <v>8383.34</v>
          </cell>
          <cell r="Y80">
            <v>8389.2900000000009</v>
          </cell>
          <cell r="Z80">
            <v>8578.56</v>
          </cell>
          <cell r="AA80">
            <v>8424.4699999999993</v>
          </cell>
          <cell r="AB80">
            <v>8430.06</v>
          </cell>
          <cell r="AC80">
            <v>8654.5300000000007</v>
          </cell>
          <cell r="AD80">
            <v>8322.2999999999993</v>
          </cell>
          <cell r="AE80">
            <v>8407.01</v>
          </cell>
          <cell r="AF80">
            <v>8626.9</v>
          </cell>
          <cell r="AG80">
            <v>8351.42</v>
          </cell>
          <cell r="AH80">
            <v>8411.1</v>
          </cell>
          <cell r="AI80">
            <v>8305.4500000000007</v>
          </cell>
          <cell r="AJ80">
            <v>8417.77</v>
          </cell>
          <cell r="AK80">
            <v>8171.78</v>
          </cell>
          <cell r="AL80">
            <v>8398.59</v>
          </cell>
          <cell r="AM80">
            <v>8663.2099999999991</v>
          </cell>
          <cell r="AN80">
            <v>8474.4</v>
          </cell>
          <cell r="AO80">
            <v>8533.5400000000009</v>
          </cell>
          <cell r="AP80">
            <v>8527.2199999999993</v>
          </cell>
          <cell r="AQ80">
            <v>8587.23</v>
          </cell>
          <cell r="AR80">
            <v>8350.61</v>
          </cell>
          <cell r="AS80">
            <v>8666.2099999999991</v>
          </cell>
          <cell r="AT80">
            <v>8501.26</v>
          </cell>
          <cell r="AU80">
            <v>8529.26</v>
          </cell>
          <cell r="AV80">
            <v>8595.84</v>
          </cell>
          <cell r="AW80">
            <v>8441.49</v>
          </cell>
          <cell r="AX80">
            <v>8149.62</v>
          </cell>
          <cell r="AY80">
            <v>8333.59</v>
          </cell>
          <cell r="AZ80">
            <v>8064.81</v>
          </cell>
          <cell r="BA80">
            <v>6658.73</v>
          </cell>
        </row>
        <row r="81">
          <cell r="A81" t="str">
            <v>V3000H35B20</v>
          </cell>
          <cell r="B81">
            <v>3000</v>
          </cell>
          <cell r="C81">
            <v>3500</v>
          </cell>
          <cell r="D81">
            <v>2000</v>
          </cell>
          <cell r="E81">
            <v>31</v>
          </cell>
          <cell r="F81">
            <v>4</v>
          </cell>
          <cell r="G81">
            <v>2</v>
          </cell>
          <cell r="H81">
            <v>300</v>
          </cell>
          <cell r="I81">
            <v>50</v>
          </cell>
          <cell r="J81">
            <v>3089</v>
          </cell>
          <cell r="K81" t="str">
            <v>Q-12001277</v>
          </cell>
          <cell r="L81" t="str">
            <v>\\hokukon-net2\hop\Program\01_MVPシステム_容量別組立図\.\01_余裕高0_0m\pdf\FB0_3000m3-MVP-3500-組-B2000_Q-12001277.pdf</v>
          </cell>
          <cell r="M81">
            <v>8732.36</v>
          </cell>
          <cell r="N81">
            <v>8813.9</v>
          </cell>
          <cell r="O81">
            <v>8634.77</v>
          </cell>
          <cell r="P81">
            <v>8637.64</v>
          </cell>
          <cell r="Q81">
            <v>8772.6299999999992</v>
          </cell>
          <cell r="R81">
            <v>8711.25</v>
          </cell>
          <cell r="S81">
            <v>8691.51</v>
          </cell>
          <cell r="T81">
            <v>8694.9699999999993</v>
          </cell>
          <cell r="U81">
            <v>8699.7199999999993</v>
          </cell>
          <cell r="V81">
            <v>8665.1200000000008</v>
          </cell>
          <cell r="W81">
            <v>8706.89</v>
          </cell>
          <cell r="X81">
            <v>8742.82</v>
          </cell>
          <cell r="Y81">
            <v>8748.91</v>
          </cell>
          <cell r="Z81">
            <v>8940.23</v>
          </cell>
          <cell r="AA81">
            <v>8786.2800000000007</v>
          </cell>
          <cell r="AB81">
            <v>8790.2099999999991</v>
          </cell>
          <cell r="AC81">
            <v>9013.17</v>
          </cell>
          <cell r="AD81">
            <v>8678.2000000000007</v>
          </cell>
          <cell r="AE81">
            <v>8764.75</v>
          </cell>
          <cell r="AF81">
            <v>8986.31</v>
          </cell>
          <cell r="AG81">
            <v>8711.15</v>
          </cell>
          <cell r="AH81">
            <v>8771.1</v>
          </cell>
          <cell r="AI81">
            <v>8665.94</v>
          </cell>
          <cell r="AJ81">
            <v>8776.91</v>
          </cell>
          <cell r="AK81">
            <v>8529.33</v>
          </cell>
          <cell r="AL81">
            <v>8756.01</v>
          </cell>
          <cell r="AM81">
            <v>9022.02</v>
          </cell>
          <cell r="AN81">
            <v>8832.94</v>
          </cell>
          <cell r="AO81">
            <v>8891</v>
          </cell>
          <cell r="AP81">
            <v>8885.61</v>
          </cell>
          <cell r="AQ81">
            <v>8946.18</v>
          </cell>
          <cell r="AR81">
            <v>8705.07</v>
          </cell>
          <cell r="AS81">
            <v>9022.18</v>
          </cell>
          <cell r="AT81">
            <v>8858.73</v>
          </cell>
          <cell r="AU81">
            <v>8887.0499999999993</v>
          </cell>
          <cell r="AV81">
            <v>8952.18</v>
          </cell>
          <cell r="AW81">
            <v>8797.51</v>
          </cell>
          <cell r="AX81">
            <v>8506.02</v>
          </cell>
          <cell r="AY81">
            <v>8688.75</v>
          </cell>
          <cell r="AZ81">
            <v>8419.92</v>
          </cell>
          <cell r="BA81">
            <v>6971.87</v>
          </cell>
        </row>
        <row r="82">
          <cell r="A82" t="str">
            <v>V3000H40B30</v>
          </cell>
          <cell r="B82">
            <v>3000</v>
          </cell>
          <cell r="C82">
            <v>4000</v>
          </cell>
          <cell r="D82">
            <v>3000</v>
          </cell>
          <cell r="E82">
            <v>22</v>
          </cell>
          <cell r="F82">
            <v>4</v>
          </cell>
          <cell r="G82">
            <v>1</v>
          </cell>
          <cell r="H82">
            <v>350</v>
          </cell>
          <cell r="I82">
            <v>70</v>
          </cell>
          <cell r="J82">
            <v>3100.5</v>
          </cell>
          <cell r="K82" t="str">
            <v>Q-12001282</v>
          </cell>
          <cell r="L82" t="str">
            <v>\\hokukon-net2\hop\Program\01_MVPシステム_容量別組立図\.\01_余裕高0_0m\pdf\FB0_3000m3-MVP-4000-組-B3000_Q-12001282.pdf</v>
          </cell>
          <cell r="M82">
            <v>8479.06</v>
          </cell>
          <cell r="N82">
            <v>8559.58</v>
          </cell>
          <cell r="O82">
            <v>8385.49</v>
          </cell>
          <cell r="P82">
            <v>8388.18</v>
          </cell>
          <cell r="Q82">
            <v>8519.44</v>
          </cell>
          <cell r="R82">
            <v>8460.77</v>
          </cell>
          <cell r="S82">
            <v>8442.7000000000007</v>
          </cell>
          <cell r="T82">
            <v>8445.9599999999991</v>
          </cell>
          <cell r="U82">
            <v>8440.06</v>
          </cell>
          <cell r="V82">
            <v>8409.1</v>
          </cell>
          <cell r="W82">
            <v>8447.66</v>
          </cell>
          <cell r="X82">
            <v>8477.76</v>
          </cell>
          <cell r="Y82">
            <v>8481.74</v>
          </cell>
          <cell r="Z82">
            <v>8661.89</v>
          </cell>
          <cell r="AA82">
            <v>8513.82</v>
          </cell>
          <cell r="AB82">
            <v>8522.19</v>
          </cell>
          <cell r="AC82">
            <v>8737.67</v>
          </cell>
          <cell r="AD82">
            <v>8414.25</v>
          </cell>
          <cell r="AE82">
            <v>8496.61</v>
          </cell>
          <cell r="AF82">
            <v>8705.26</v>
          </cell>
          <cell r="AG82">
            <v>8435.77</v>
          </cell>
          <cell r="AH82">
            <v>8494.4599999999991</v>
          </cell>
          <cell r="AI82">
            <v>8392.57</v>
          </cell>
          <cell r="AJ82">
            <v>8499.76</v>
          </cell>
          <cell r="AK82">
            <v>8282.83</v>
          </cell>
          <cell r="AL82">
            <v>8503.4</v>
          </cell>
          <cell r="AM82">
            <v>8755.27</v>
          </cell>
          <cell r="AN82">
            <v>8574.83</v>
          </cell>
          <cell r="AO82">
            <v>8633.1</v>
          </cell>
          <cell r="AP82">
            <v>8626.34</v>
          </cell>
          <cell r="AQ82">
            <v>8684.57</v>
          </cell>
          <cell r="AR82">
            <v>8442.9500000000007</v>
          </cell>
          <cell r="AS82">
            <v>8744.4699999999993</v>
          </cell>
          <cell r="AT82">
            <v>8587.34</v>
          </cell>
          <cell r="AU82">
            <v>8613.23</v>
          </cell>
          <cell r="AV82">
            <v>8676.77</v>
          </cell>
          <cell r="AW82">
            <v>8527.0300000000007</v>
          </cell>
          <cell r="AX82">
            <v>8243.92</v>
          </cell>
          <cell r="AY82">
            <v>8422.69</v>
          </cell>
          <cell r="AZ82">
            <v>8163.04</v>
          </cell>
          <cell r="BA82">
            <v>6717.88</v>
          </cell>
        </row>
        <row r="83">
          <cell r="A83" t="str">
            <v>V3000H40B25</v>
          </cell>
          <cell r="B83">
            <v>3000</v>
          </cell>
          <cell r="C83">
            <v>4000</v>
          </cell>
          <cell r="D83">
            <v>2500</v>
          </cell>
          <cell r="E83">
            <v>24</v>
          </cell>
          <cell r="F83">
            <v>4</v>
          </cell>
          <cell r="G83">
            <v>1</v>
          </cell>
          <cell r="H83">
            <v>350</v>
          </cell>
          <cell r="I83">
            <v>70</v>
          </cell>
          <cell r="J83">
            <v>3078.5</v>
          </cell>
          <cell r="K83" t="str">
            <v>Q-12001281</v>
          </cell>
          <cell r="L83" t="str">
            <v>\\hokukon-net2\hop\Program\01_MVPシステム_容量別組立図\.\01_余裕高0_0m\pdf\FB0_3000m3-MVP-4000-組-B2500_Q-12001281.pdf</v>
          </cell>
          <cell r="M83">
            <v>8778.11</v>
          </cell>
          <cell r="N83">
            <v>8858.5</v>
          </cell>
          <cell r="O83">
            <v>8685.7800000000007</v>
          </cell>
          <cell r="P83">
            <v>8688.4699999999993</v>
          </cell>
          <cell r="Q83">
            <v>8818.09</v>
          </cell>
          <cell r="R83">
            <v>8759.44</v>
          </cell>
          <cell r="S83">
            <v>8740.7800000000007</v>
          </cell>
          <cell r="T83">
            <v>8744.02</v>
          </cell>
          <cell r="U83">
            <v>8741.5300000000007</v>
          </cell>
          <cell r="V83">
            <v>8710.17</v>
          </cell>
          <cell r="W83">
            <v>8748.9500000000007</v>
          </cell>
          <cell r="X83">
            <v>8780.2099999999991</v>
          </cell>
          <cell r="Y83">
            <v>8784.34</v>
          </cell>
          <cell r="Z83">
            <v>8965.25</v>
          </cell>
          <cell r="AA83">
            <v>8817.99</v>
          </cell>
          <cell r="AB83">
            <v>8824.9599999999991</v>
          </cell>
          <cell r="AC83">
            <v>9038.26</v>
          </cell>
          <cell r="AD83">
            <v>8713.92</v>
          </cell>
          <cell r="AE83">
            <v>8797.26</v>
          </cell>
          <cell r="AF83">
            <v>9006.16</v>
          </cell>
          <cell r="AG83">
            <v>8737.9</v>
          </cell>
          <cell r="AH83">
            <v>8796.59</v>
          </cell>
          <cell r="AI83">
            <v>8695.57</v>
          </cell>
          <cell r="AJ83">
            <v>8801.09</v>
          </cell>
          <cell r="AK83">
            <v>8585.48</v>
          </cell>
          <cell r="AL83">
            <v>8804.83</v>
          </cell>
          <cell r="AM83">
            <v>9056.39</v>
          </cell>
          <cell r="AN83">
            <v>8876.66</v>
          </cell>
          <cell r="AO83">
            <v>8933.7999999999993</v>
          </cell>
          <cell r="AP83">
            <v>8927.7800000000007</v>
          </cell>
          <cell r="AQ83">
            <v>8986.16</v>
          </cell>
          <cell r="AR83">
            <v>8741.26</v>
          </cell>
          <cell r="AS83">
            <v>9042.42</v>
          </cell>
          <cell r="AT83">
            <v>8887.2000000000007</v>
          </cell>
          <cell r="AU83">
            <v>8913.36</v>
          </cell>
          <cell r="AV83">
            <v>8975.33</v>
          </cell>
          <cell r="AW83">
            <v>8825.7900000000009</v>
          </cell>
          <cell r="AX83">
            <v>8544.43</v>
          </cell>
          <cell r="AY83">
            <v>8721.32</v>
          </cell>
          <cell r="AZ83">
            <v>8462.94</v>
          </cell>
          <cell r="BA83">
            <v>6979.32</v>
          </cell>
        </row>
        <row r="84">
          <cell r="A84" t="str">
            <v>V3000H40B20</v>
          </cell>
          <cell r="B84">
            <v>3000</v>
          </cell>
          <cell r="C84">
            <v>4000</v>
          </cell>
          <cell r="D84">
            <v>2000</v>
          </cell>
          <cell r="E84">
            <v>26</v>
          </cell>
          <cell r="F84">
            <v>4</v>
          </cell>
          <cell r="G84">
            <v>1</v>
          </cell>
          <cell r="H84">
            <v>350</v>
          </cell>
          <cell r="I84">
            <v>70</v>
          </cell>
          <cell r="J84">
            <v>3008.4</v>
          </cell>
          <cell r="K84" t="str">
            <v>Q-12001280</v>
          </cell>
          <cell r="L84" t="str">
            <v>\\hokukon-net2\hop\Program\01_MVPシステム_容量別組立図\.\01_余裕高0_0m\pdf\FB0_3000m3-MVP-4000-組-B2000_Q-12001280.pdf</v>
          </cell>
          <cell r="M84">
            <v>9018.85</v>
          </cell>
          <cell r="N84">
            <v>9098.02</v>
          </cell>
          <cell r="O84">
            <v>8929.16</v>
          </cell>
          <cell r="P84">
            <v>8931.81</v>
          </cell>
          <cell r="Q84">
            <v>9057.82</v>
          </cell>
          <cell r="R84">
            <v>9000.06</v>
          </cell>
          <cell r="S84">
            <v>8980.93</v>
          </cell>
          <cell r="T84">
            <v>8984.1299999999992</v>
          </cell>
          <cell r="U84">
            <v>8985.66</v>
          </cell>
          <cell r="V84">
            <v>8954.2999999999993</v>
          </cell>
          <cell r="W84">
            <v>8992.69</v>
          </cell>
          <cell r="X84">
            <v>9024.9</v>
          </cell>
          <cell r="Y84">
            <v>9029.2099999999991</v>
          </cell>
          <cell r="Z84">
            <v>9208.49</v>
          </cell>
          <cell r="AA84">
            <v>9064.0499999999993</v>
          </cell>
          <cell r="AB84">
            <v>9069.42</v>
          </cell>
          <cell r="AC84">
            <v>9277.2999999999993</v>
          </cell>
          <cell r="AD84">
            <v>8956.2099999999991</v>
          </cell>
          <cell r="AE84">
            <v>9039.5</v>
          </cell>
          <cell r="AF84">
            <v>9245.8700000000008</v>
          </cell>
          <cell r="AG84">
            <v>8982.67</v>
          </cell>
          <cell r="AH84">
            <v>9040.6</v>
          </cell>
          <cell r="AI84">
            <v>8941.92</v>
          </cell>
          <cell r="AJ84">
            <v>9044.2199999999993</v>
          </cell>
          <cell r="AK84">
            <v>8832.8700000000008</v>
          </cell>
          <cell r="AL84">
            <v>9047.9</v>
          </cell>
          <cell r="AM84">
            <v>9295.7900000000009</v>
          </cell>
          <cell r="AN84">
            <v>9119.27</v>
          </cell>
          <cell r="AO84">
            <v>9174.39</v>
          </cell>
          <cell r="AP84">
            <v>9169.31</v>
          </cell>
          <cell r="AQ84">
            <v>9227.0300000000007</v>
          </cell>
          <cell r="AR84">
            <v>8981.7900000000009</v>
          </cell>
          <cell r="AS84">
            <v>9278.39</v>
          </cell>
          <cell r="AT84">
            <v>9127.3799999999992</v>
          </cell>
          <cell r="AU84">
            <v>9153.3700000000008</v>
          </cell>
          <cell r="AV84">
            <v>9212.89</v>
          </cell>
          <cell r="AW84">
            <v>9065.56</v>
          </cell>
          <cell r="AX84">
            <v>8789.92</v>
          </cell>
          <cell r="AY84">
            <v>8962.34</v>
          </cell>
          <cell r="AZ84">
            <v>8708.82</v>
          </cell>
          <cell r="BA84">
            <v>7195.68</v>
          </cell>
        </row>
        <row r="85">
          <cell r="A85" t="str">
            <v>V3000H45B30</v>
          </cell>
          <cell r="B85">
            <v>3000</v>
          </cell>
          <cell r="C85">
            <v>4500</v>
          </cell>
          <cell r="D85">
            <v>3000</v>
          </cell>
          <cell r="E85">
            <v>19</v>
          </cell>
          <cell r="F85">
            <v>4</v>
          </cell>
          <cell r="G85">
            <v>1</v>
          </cell>
          <cell r="H85">
            <v>350</v>
          </cell>
          <cell r="I85">
            <v>70</v>
          </cell>
          <cell r="J85">
            <v>3031.2</v>
          </cell>
          <cell r="K85" t="str">
            <v>Q-12001283</v>
          </cell>
          <cell r="L85" t="str">
            <v>\\hokukon-net2\hop\Program\01_MVPシステム_容量別組立図\.\01_余裕高0_0m\pdf\FB0_3000m3-MVP-4500-組-B3000_Q-12001283.pdf</v>
          </cell>
          <cell r="M85">
            <v>7893.8</v>
          </cell>
          <cell r="N85">
            <v>7964.21</v>
          </cell>
          <cell r="O85">
            <v>7814.04</v>
          </cell>
          <cell r="P85">
            <v>7816.39</v>
          </cell>
          <cell r="Q85">
            <v>7928.36</v>
          </cell>
          <cell r="R85">
            <v>7876.35</v>
          </cell>
          <cell r="S85">
            <v>7859.05</v>
          </cell>
          <cell r="T85">
            <v>7861.9</v>
          </cell>
          <cell r="U85">
            <v>7864.99</v>
          </cell>
          <cell r="V85">
            <v>7837.43</v>
          </cell>
          <cell r="W85">
            <v>7871.24</v>
          </cell>
          <cell r="X85">
            <v>7900.3</v>
          </cell>
          <cell r="Y85">
            <v>7904.03</v>
          </cell>
          <cell r="Z85">
            <v>8063.78</v>
          </cell>
          <cell r="AA85">
            <v>7934.56</v>
          </cell>
          <cell r="AB85">
            <v>7939.84</v>
          </cell>
          <cell r="AC85">
            <v>8123.76</v>
          </cell>
          <cell r="AD85">
            <v>7837.14</v>
          </cell>
          <cell r="AE85">
            <v>7911.43</v>
          </cell>
          <cell r="AF85">
            <v>8095.71</v>
          </cell>
          <cell r="AG85">
            <v>7862.23</v>
          </cell>
          <cell r="AH85">
            <v>7913.53</v>
          </cell>
          <cell r="AI85">
            <v>7825.45</v>
          </cell>
          <cell r="AJ85">
            <v>7916.75</v>
          </cell>
          <cell r="AK85">
            <v>7728.1</v>
          </cell>
          <cell r="AL85">
            <v>7919.18</v>
          </cell>
          <cell r="AM85">
            <v>8140.12</v>
          </cell>
          <cell r="AN85">
            <v>7984.11</v>
          </cell>
          <cell r="AO85">
            <v>8033.09</v>
          </cell>
          <cell r="AP85">
            <v>8028.1</v>
          </cell>
          <cell r="AQ85">
            <v>8079.66</v>
          </cell>
          <cell r="AR85">
            <v>7860.03</v>
          </cell>
          <cell r="AS85">
            <v>8123.61</v>
          </cell>
          <cell r="AT85">
            <v>7990.01</v>
          </cell>
          <cell r="AU85">
            <v>8012.31</v>
          </cell>
          <cell r="AV85">
            <v>8066.1</v>
          </cell>
          <cell r="AW85">
            <v>7935</v>
          </cell>
          <cell r="AX85">
            <v>7689.05</v>
          </cell>
          <cell r="AY85">
            <v>7842.79</v>
          </cell>
          <cell r="AZ85">
            <v>7617.07</v>
          </cell>
          <cell r="BA85">
            <v>6271.04</v>
          </cell>
        </row>
        <row r="86">
          <cell r="A86" t="str">
            <v>V3000H45B25</v>
          </cell>
          <cell r="B86">
            <v>3000</v>
          </cell>
          <cell r="C86">
            <v>4500</v>
          </cell>
          <cell r="D86">
            <v>2500</v>
          </cell>
          <cell r="E86">
            <v>21</v>
          </cell>
          <cell r="F86">
            <v>4</v>
          </cell>
          <cell r="G86">
            <v>1</v>
          </cell>
          <cell r="H86">
            <v>350</v>
          </cell>
          <cell r="I86">
            <v>70</v>
          </cell>
          <cell r="J86">
            <v>3047.5</v>
          </cell>
          <cell r="K86" t="str">
            <v>Q-12001282</v>
          </cell>
          <cell r="L86" t="str">
            <v>\\hokukon-net2\hop\Program\01_MVPシステム_容量別組立図\.\01_余裕高0_0m\pdf\FB0_3000m3-MVP-4500-組-B2500_Q-12001282.pdf</v>
          </cell>
          <cell r="M86">
            <v>8251.4699999999993</v>
          </cell>
          <cell r="N86">
            <v>8322.59</v>
          </cell>
          <cell r="O86">
            <v>8171.79</v>
          </cell>
          <cell r="P86">
            <v>8174.17</v>
          </cell>
          <cell r="Q86">
            <v>8286.14</v>
          </cell>
          <cell r="R86">
            <v>8233.59</v>
          </cell>
          <cell r="S86">
            <v>8215.64</v>
          </cell>
          <cell r="T86">
            <v>8218.5</v>
          </cell>
          <cell r="U86">
            <v>8224.2199999999993</v>
          </cell>
          <cell r="V86">
            <v>8196.02</v>
          </cell>
          <cell r="W86">
            <v>8230.3799999999992</v>
          </cell>
          <cell r="X86">
            <v>8260.66</v>
          </cell>
          <cell r="Y86">
            <v>8264.57</v>
          </cell>
          <cell r="Z86">
            <v>8426.68</v>
          </cell>
          <cell r="AA86">
            <v>8296.7000000000007</v>
          </cell>
          <cell r="AB86">
            <v>8300.89</v>
          </cell>
          <cell r="AC86">
            <v>8485.2099999999991</v>
          </cell>
          <cell r="AD86">
            <v>8194.74</v>
          </cell>
          <cell r="AE86">
            <v>8270.6200000000008</v>
          </cell>
          <cell r="AF86">
            <v>8457.11</v>
          </cell>
          <cell r="AG86">
            <v>8221.9599999999991</v>
          </cell>
          <cell r="AH86">
            <v>8273.82</v>
          </cell>
          <cell r="AI86">
            <v>8185.47</v>
          </cell>
          <cell r="AJ86">
            <v>8276.4699999999993</v>
          </cell>
          <cell r="AK86">
            <v>8086.77</v>
          </cell>
          <cell r="AL86">
            <v>8279.0400000000009</v>
          </cell>
          <cell r="AM86">
            <v>8502.17</v>
          </cell>
          <cell r="AN86">
            <v>8344.92</v>
          </cell>
          <cell r="AO86">
            <v>8393.59</v>
          </cell>
          <cell r="AP86">
            <v>8389.11</v>
          </cell>
          <cell r="AQ86">
            <v>8441.39</v>
          </cell>
          <cell r="AR86">
            <v>8216.7900000000009</v>
          </cell>
          <cell r="AS86">
            <v>8483.07</v>
          </cell>
          <cell r="AT86">
            <v>8349.4</v>
          </cell>
          <cell r="AU86">
            <v>8372.2199999999993</v>
          </cell>
          <cell r="AV86">
            <v>8425.35</v>
          </cell>
          <cell r="AW86">
            <v>8292.93</v>
          </cell>
          <cell r="AX86">
            <v>8045.67</v>
          </cell>
          <cell r="AY86">
            <v>8199.59</v>
          </cell>
          <cell r="AZ86">
            <v>7972.38</v>
          </cell>
          <cell r="BA86">
            <v>6574.76</v>
          </cell>
        </row>
        <row r="87">
          <cell r="A87" t="str">
            <v>V3000H45B20</v>
          </cell>
          <cell r="B87">
            <v>3000</v>
          </cell>
          <cell r="C87">
            <v>4500</v>
          </cell>
          <cell r="D87">
            <v>2000</v>
          </cell>
          <cell r="E87">
            <v>23</v>
          </cell>
          <cell r="F87">
            <v>4</v>
          </cell>
          <cell r="G87">
            <v>1</v>
          </cell>
          <cell r="H87">
            <v>350</v>
          </cell>
          <cell r="I87">
            <v>70</v>
          </cell>
          <cell r="J87">
            <v>3009.7</v>
          </cell>
          <cell r="K87" t="str">
            <v>Q-12001281</v>
          </cell>
          <cell r="L87" t="str">
            <v>\\hokukon-net2\hop\Program\01_MVPシステム_容量別組立図\.\01_余裕高0_0m\pdf\FB0_3000m3-MVP-4500-組-B2000_Q-12001281.pdf</v>
          </cell>
          <cell r="M87">
            <v>8563.01</v>
          </cell>
          <cell r="N87">
            <v>8633.7000000000007</v>
          </cell>
          <cell r="O87">
            <v>8484.99</v>
          </cell>
          <cell r="P87">
            <v>8487.35</v>
          </cell>
          <cell r="Q87">
            <v>8597.07</v>
          </cell>
          <cell r="R87">
            <v>8544.68</v>
          </cell>
          <cell r="S87">
            <v>8526.08</v>
          </cell>
          <cell r="T87">
            <v>8528.93</v>
          </cell>
          <cell r="U87">
            <v>8538.59</v>
          </cell>
          <cell r="V87">
            <v>8510.08</v>
          </cell>
          <cell r="W87">
            <v>8544.58</v>
          </cell>
          <cell r="X87">
            <v>8576.09</v>
          </cell>
          <cell r="Y87">
            <v>8580.17</v>
          </cell>
          <cell r="Z87">
            <v>8742.6</v>
          </cell>
          <cell r="AA87">
            <v>8613.94</v>
          </cell>
          <cell r="AB87">
            <v>8616.5499999999993</v>
          </cell>
          <cell r="AC87">
            <v>8797.67</v>
          </cell>
          <cell r="AD87">
            <v>8507.15</v>
          </cell>
          <cell r="AE87">
            <v>8583.8799999999992</v>
          </cell>
          <cell r="AF87">
            <v>8770.0300000000007</v>
          </cell>
          <cell r="AG87">
            <v>8537.15</v>
          </cell>
          <cell r="AH87">
            <v>8588.76</v>
          </cell>
          <cell r="AI87">
            <v>8501.73</v>
          </cell>
          <cell r="AJ87">
            <v>8590.56</v>
          </cell>
          <cell r="AK87">
            <v>8403.0300000000007</v>
          </cell>
          <cell r="AL87">
            <v>8593.1200000000008</v>
          </cell>
          <cell r="AM87">
            <v>8815.14</v>
          </cell>
          <cell r="AN87">
            <v>8659.34</v>
          </cell>
          <cell r="AO87">
            <v>8706.51</v>
          </cell>
          <cell r="AP87">
            <v>8702.8700000000008</v>
          </cell>
          <cell r="AQ87">
            <v>8755.17</v>
          </cell>
          <cell r="AR87">
            <v>8527.52</v>
          </cell>
          <cell r="AS87">
            <v>8792.42</v>
          </cell>
          <cell r="AT87">
            <v>8661.4599999999991</v>
          </cell>
          <cell r="AU87">
            <v>8684.44</v>
          </cell>
          <cell r="AV87">
            <v>8735.66</v>
          </cell>
          <cell r="AW87">
            <v>8603.9699999999993</v>
          </cell>
          <cell r="AX87">
            <v>8359.5499999999993</v>
          </cell>
          <cell r="AY87">
            <v>8510.75</v>
          </cell>
          <cell r="AZ87">
            <v>8285.7999999999993</v>
          </cell>
          <cell r="BA87">
            <v>6846.17</v>
          </cell>
        </row>
        <row r="88">
          <cell r="A88" t="str">
            <v>V5000H15B30</v>
          </cell>
          <cell r="B88">
            <v>5000</v>
          </cell>
          <cell r="C88">
            <v>1500</v>
          </cell>
          <cell r="D88">
            <v>3000</v>
          </cell>
          <cell r="E88">
            <v>50</v>
          </cell>
          <cell r="F88">
            <v>5</v>
          </cell>
          <cell r="G88">
            <v>3</v>
          </cell>
          <cell r="H88">
            <v>350</v>
          </cell>
          <cell r="I88">
            <v>50</v>
          </cell>
          <cell r="J88">
            <v>5040</v>
          </cell>
          <cell r="K88" t="str">
            <v>Q-11002916</v>
          </cell>
          <cell r="L88" t="str">
            <v>\\hokukon-net2\hop\Program\01_MVPシステム_容量別組立図\.\01_余裕高0_0m\pdf\FB0_5000m3-MVP-1500-組-B3000_Q-11002916.pdf</v>
          </cell>
          <cell r="M88">
            <v>20298.59</v>
          </cell>
          <cell r="N88">
            <v>20612.12</v>
          </cell>
          <cell r="O88">
            <v>19854.54</v>
          </cell>
          <cell r="P88">
            <v>19865.71</v>
          </cell>
          <cell r="Q88">
            <v>20466.46</v>
          </cell>
          <cell r="R88">
            <v>20226.27</v>
          </cell>
          <cell r="S88">
            <v>20181.099999999999</v>
          </cell>
          <cell r="T88">
            <v>20194.599999999999</v>
          </cell>
          <cell r="U88">
            <v>20000.669999999998</v>
          </cell>
          <cell r="V88">
            <v>19889.759999999998</v>
          </cell>
          <cell r="W88">
            <v>20049.400000000001</v>
          </cell>
          <cell r="X88">
            <v>20112.05</v>
          </cell>
          <cell r="Y88">
            <v>20119.36</v>
          </cell>
          <cell r="Z88">
            <v>20817.79</v>
          </cell>
          <cell r="AA88">
            <v>20203.14</v>
          </cell>
          <cell r="AB88">
            <v>20288.150000000001</v>
          </cell>
          <cell r="AC88">
            <v>21268.61</v>
          </cell>
          <cell r="AD88">
            <v>20038.669999999998</v>
          </cell>
          <cell r="AE88">
            <v>20323.96</v>
          </cell>
          <cell r="AF88">
            <v>21157.13</v>
          </cell>
          <cell r="AG88">
            <v>20001.21</v>
          </cell>
          <cell r="AH88">
            <v>20222.46</v>
          </cell>
          <cell r="AI88">
            <v>19786.73</v>
          </cell>
          <cell r="AJ88">
            <v>20290.14</v>
          </cell>
          <cell r="AK88">
            <v>19334.560000000001</v>
          </cell>
          <cell r="AL88">
            <v>20263.34</v>
          </cell>
          <cell r="AM88">
            <v>21295.22</v>
          </cell>
          <cell r="AN88">
            <v>20524.36</v>
          </cell>
          <cell r="AO88">
            <v>20808.82</v>
          </cell>
          <cell r="AP88">
            <v>20747.650000000001</v>
          </cell>
          <cell r="AQ88">
            <v>20980.93</v>
          </cell>
          <cell r="AR88">
            <v>20179.009999999998</v>
          </cell>
          <cell r="AS88">
            <v>21428.49</v>
          </cell>
          <cell r="AT88">
            <v>20703.95</v>
          </cell>
          <cell r="AU88">
            <v>20813.03</v>
          </cell>
          <cell r="AV88">
            <v>21121.85</v>
          </cell>
          <cell r="AW88">
            <v>20526.32</v>
          </cell>
          <cell r="AX88">
            <v>19323.96</v>
          </cell>
          <cell r="AY88">
            <v>20108.150000000001</v>
          </cell>
          <cell r="AZ88">
            <v>19022.150000000001</v>
          </cell>
          <cell r="BA88">
            <v>15862.5</v>
          </cell>
        </row>
        <row r="89">
          <cell r="A89" t="str">
            <v>V5000H15B25</v>
          </cell>
          <cell r="B89">
            <v>5000</v>
          </cell>
          <cell r="C89">
            <v>1500</v>
          </cell>
          <cell r="D89">
            <v>2500</v>
          </cell>
          <cell r="E89">
            <v>46</v>
          </cell>
          <cell r="F89">
            <v>6</v>
          </cell>
          <cell r="G89">
            <v>3</v>
          </cell>
          <cell r="H89">
            <v>350</v>
          </cell>
          <cell r="I89">
            <v>50</v>
          </cell>
          <cell r="J89">
            <v>5067.2</v>
          </cell>
          <cell r="K89" t="str">
            <v>Q-11002915</v>
          </cell>
          <cell r="L89" t="str">
            <v>\\hokukon-net2\hop\Program\01_MVPシステム_容量別組立図\.\01_余裕高0_0m\pdf\FB0_5000m3-MVP-1500-組-B2500_Q-11002915.pdf</v>
          </cell>
          <cell r="M89">
            <v>20857.240000000002</v>
          </cell>
          <cell r="N89">
            <v>21173.5</v>
          </cell>
          <cell r="O89">
            <v>20412.650000000001</v>
          </cell>
          <cell r="P89">
            <v>20423.91</v>
          </cell>
          <cell r="Q89">
            <v>21025.77</v>
          </cell>
          <cell r="R89">
            <v>20783.38</v>
          </cell>
          <cell r="S89">
            <v>20736.060000000001</v>
          </cell>
          <cell r="T89">
            <v>20749.650000000001</v>
          </cell>
          <cell r="U89">
            <v>20564.52</v>
          </cell>
          <cell r="V89">
            <v>20451.5</v>
          </cell>
          <cell r="W89">
            <v>20612.73</v>
          </cell>
          <cell r="X89">
            <v>20679.490000000002</v>
          </cell>
          <cell r="Y89">
            <v>20687.439999999999</v>
          </cell>
          <cell r="Z89">
            <v>21394.42</v>
          </cell>
          <cell r="AA89">
            <v>20775.900000000001</v>
          </cell>
          <cell r="AB89">
            <v>20857.96</v>
          </cell>
          <cell r="AC89">
            <v>21841.52</v>
          </cell>
          <cell r="AD89">
            <v>20597.95</v>
          </cell>
          <cell r="AE89">
            <v>20888.66</v>
          </cell>
          <cell r="AF89">
            <v>21730.58</v>
          </cell>
          <cell r="AG89">
            <v>20568.14</v>
          </cell>
          <cell r="AH89">
            <v>20791.64</v>
          </cell>
          <cell r="AI89">
            <v>20353.830000000002</v>
          </cell>
          <cell r="AJ89">
            <v>20857.669999999998</v>
          </cell>
          <cell r="AK89">
            <v>19893.12</v>
          </cell>
          <cell r="AL89">
            <v>20827.580000000002</v>
          </cell>
          <cell r="AM89">
            <v>21868.63</v>
          </cell>
          <cell r="AN89">
            <v>21092.61</v>
          </cell>
          <cell r="AO89">
            <v>21376.57</v>
          </cell>
          <cell r="AP89">
            <v>21316.75</v>
          </cell>
          <cell r="AQ89">
            <v>21552.47</v>
          </cell>
          <cell r="AR89">
            <v>20736.419999999998</v>
          </cell>
          <cell r="AS89">
            <v>21996.44</v>
          </cell>
          <cell r="AT89">
            <v>21270.76</v>
          </cell>
          <cell r="AU89">
            <v>21381</v>
          </cell>
          <cell r="AV89">
            <v>21689.02</v>
          </cell>
          <cell r="AW89">
            <v>21088.92</v>
          </cell>
          <cell r="AX89">
            <v>19879.580000000002</v>
          </cell>
          <cell r="AY89">
            <v>20666.53</v>
          </cell>
          <cell r="AZ89">
            <v>19573.52</v>
          </cell>
          <cell r="BA89">
            <v>16401.36</v>
          </cell>
        </row>
        <row r="90">
          <cell r="A90" t="str">
            <v>V5000H15B20</v>
          </cell>
          <cell r="B90">
            <v>5000</v>
          </cell>
          <cell r="C90">
            <v>1500</v>
          </cell>
          <cell r="D90">
            <v>2000</v>
          </cell>
          <cell r="E90">
            <v>50</v>
          </cell>
          <cell r="F90">
            <v>6</v>
          </cell>
          <cell r="G90">
            <v>3</v>
          </cell>
          <cell r="H90">
            <v>350</v>
          </cell>
          <cell r="I90">
            <v>50</v>
          </cell>
          <cell r="J90">
            <v>5044.2</v>
          </cell>
          <cell r="K90" t="str">
            <v>Q-11002914</v>
          </cell>
          <cell r="L90" t="str">
            <v>\\hokukon-net2\hop\Program\01_MVPシステム_容量別組立図\.\01_余裕高0_0m\pdf\FB0_5000m3-MVP-1500-組-B2000_Q-11002914.pdf</v>
          </cell>
          <cell r="M90">
            <v>21267.95</v>
          </cell>
          <cell r="N90">
            <v>21584.12</v>
          </cell>
          <cell r="O90">
            <v>20825.57</v>
          </cell>
          <cell r="P90">
            <v>20836.830000000002</v>
          </cell>
          <cell r="Q90">
            <v>21435.5</v>
          </cell>
          <cell r="R90">
            <v>21192.86</v>
          </cell>
          <cell r="S90">
            <v>21143.9</v>
          </cell>
          <cell r="T90">
            <v>21157.51</v>
          </cell>
          <cell r="U90">
            <v>20981.32</v>
          </cell>
          <cell r="V90">
            <v>20867.04</v>
          </cell>
          <cell r="W90">
            <v>21029.03</v>
          </cell>
          <cell r="X90">
            <v>21098.98</v>
          </cell>
          <cell r="Y90">
            <v>21107.39</v>
          </cell>
          <cell r="Z90">
            <v>21817.56</v>
          </cell>
          <cell r="AA90">
            <v>21200.09</v>
          </cell>
          <cell r="AB90">
            <v>21278.54</v>
          </cell>
          <cell r="AC90">
            <v>22258.52</v>
          </cell>
          <cell r="AD90">
            <v>21011.69</v>
          </cell>
          <cell r="AE90">
            <v>21305.33</v>
          </cell>
          <cell r="AF90">
            <v>22149.51</v>
          </cell>
          <cell r="AG90">
            <v>20988.66</v>
          </cell>
          <cell r="AH90">
            <v>21212.37</v>
          </cell>
          <cell r="AI90">
            <v>20776.099999999999</v>
          </cell>
          <cell r="AJ90">
            <v>21276.71</v>
          </cell>
          <cell r="AK90">
            <v>20310.38</v>
          </cell>
          <cell r="AL90">
            <v>21243.18</v>
          </cell>
          <cell r="AM90">
            <v>22285.58</v>
          </cell>
          <cell r="AN90">
            <v>21509.89</v>
          </cell>
          <cell r="AO90">
            <v>21791.39</v>
          </cell>
          <cell r="AP90">
            <v>21733.25</v>
          </cell>
          <cell r="AQ90">
            <v>21969.77</v>
          </cell>
          <cell r="AR90">
            <v>21146.75</v>
          </cell>
          <cell r="AS90">
            <v>22408.1</v>
          </cell>
          <cell r="AT90">
            <v>21686.22</v>
          </cell>
          <cell r="AU90">
            <v>21797.19</v>
          </cell>
          <cell r="AV90">
            <v>22101.85</v>
          </cell>
          <cell r="AW90">
            <v>21502.04</v>
          </cell>
          <cell r="AX90">
            <v>20295.03</v>
          </cell>
          <cell r="AY90">
            <v>21078.53</v>
          </cell>
          <cell r="AZ90">
            <v>19987.03</v>
          </cell>
          <cell r="BA90">
            <v>16822.57</v>
          </cell>
        </row>
        <row r="91">
          <cell r="A91" t="str">
            <v>V5000H20B30</v>
          </cell>
          <cell r="B91">
            <v>5000</v>
          </cell>
          <cell r="C91">
            <v>2000</v>
          </cell>
          <cell r="D91">
            <v>3000</v>
          </cell>
          <cell r="E91">
            <v>46</v>
          </cell>
          <cell r="F91">
            <v>4</v>
          </cell>
          <cell r="G91">
            <v>3</v>
          </cell>
          <cell r="H91">
            <v>350</v>
          </cell>
          <cell r="I91">
            <v>50</v>
          </cell>
          <cell r="J91">
            <v>5096.3999999999996</v>
          </cell>
          <cell r="K91" t="str">
            <v>Q-11002919</v>
          </cell>
          <cell r="L91" t="str">
            <v>\\hokukon-net2\hop\Program\01_MVPシステム_容量別組立図\.\01_余裕高0_0m\pdf\FB0_5000m3-MVP-2000-組-B3000_Q-11002919.pdf</v>
          </cell>
          <cell r="M91">
            <v>16128.31</v>
          </cell>
          <cell r="N91">
            <v>16366.92</v>
          </cell>
          <cell r="O91">
            <v>15793.85</v>
          </cell>
          <cell r="P91">
            <v>15802.33</v>
          </cell>
          <cell r="Q91">
            <v>16255.09</v>
          </cell>
          <cell r="R91">
            <v>16073.05</v>
          </cell>
          <cell r="S91">
            <v>16037.71</v>
          </cell>
          <cell r="T91">
            <v>16047.95</v>
          </cell>
          <cell r="U91">
            <v>15907.88</v>
          </cell>
          <cell r="V91">
            <v>15823.06</v>
          </cell>
          <cell r="W91">
            <v>15943.93</v>
          </cell>
          <cell r="X91">
            <v>15993.91</v>
          </cell>
          <cell r="Y91">
            <v>15999.64</v>
          </cell>
          <cell r="Z91">
            <v>16530.830000000002</v>
          </cell>
          <cell r="AA91">
            <v>16064.49</v>
          </cell>
          <cell r="AB91">
            <v>16127.51</v>
          </cell>
          <cell r="AC91">
            <v>16867.52</v>
          </cell>
          <cell r="AD91">
            <v>15931.03</v>
          </cell>
          <cell r="AE91">
            <v>16149.65</v>
          </cell>
          <cell r="AF91">
            <v>16782.55</v>
          </cell>
          <cell r="AG91">
            <v>15908.18</v>
          </cell>
          <cell r="AH91">
            <v>16076.67</v>
          </cell>
          <cell r="AI91">
            <v>15746.72</v>
          </cell>
          <cell r="AJ91">
            <v>16126.49</v>
          </cell>
          <cell r="AK91">
            <v>15401.4</v>
          </cell>
          <cell r="AL91">
            <v>16105.72</v>
          </cell>
          <cell r="AM91">
            <v>16889.04</v>
          </cell>
          <cell r="AN91">
            <v>16305.54</v>
          </cell>
          <cell r="AO91">
            <v>16519.66</v>
          </cell>
          <cell r="AP91">
            <v>16474.419999999998</v>
          </cell>
          <cell r="AQ91">
            <v>16651.599999999999</v>
          </cell>
          <cell r="AR91">
            <v>16037.47</v>
          </cell>
          <cell r="AS91">
            <v>16984.73</v>
          </cell>
          <cell r="AT91">
            <v>16438.16</v>
          </cell>
          <cell r="AU91">
            <v>16520.259999999998</v>
          </cell>
          <cell r="AV91">
            <v>16753.12</v>
          </cell>
          <cell r="AW91">
            <v>16300.96</v>
          </cell>
          <cell r="AX91">
            <v>15389.68</v>
          </cell>
          <cell r="AY91">
            <v>15983.44</v>
          </cell>
          <cell r="AZ91">
            <v>15159.7</v>
          </cell>
          <cell r="BA91">
            <v>12618.1</v>
          </cell>
        </row>
        <row r="92">
          <cell r="A92" t="str">
            <v>V5000H20B25</v>
          </cell>
          <cell r="B92">
            <v>5000</v>
          </cell>
          <cell r="C92">
            <v>2000</v>
          </cell>
          <cell r="D92">
            <v>2500</v>
          </cell>
          <cell r="E92">
            <v>40</v>
          </cell>
          <cell r="F92">
            <v>5</v>
          </cell>
          <cell r="G92">
            <v>2</v>
          </cell>
          <cell r="H92">
            <v>350</v>
          </cell>
          <cell r="I92">
            <v>50</v>
          </cell>
          <cell r="J92">
            <v>5023.8999999999996</v>
          </cell>
          <cell r="K92" t="str">
            <v>Q-11002918</v>
          </cell>
          <cell r="L92" t="str">
            <v>\\hokukon-net2\hop\Program\01_MVPシステム_容量別組立図\.\01_余裕高0_0m\pdf\FB0_5000m3-MVP-2000-組-B2500_Q-11002918.pdf</v>
          </cell>
          <cell r="M92">
            <v>16253.71</v>
          </cell>
          <cell r="N92">
            <v>16489.57</v>
          </cell>
          <cell r="O92">
            <v>15925.92</v>
          </cell>
          <cell r="P92">
            <v>15934.28</v>
          </cell>
          <cell r="Q92">
            <v>16378.66</v>
          </cell>
          <cell r="R92">
            <v>16198.59</v>
          </cell>
          <cell r="S92">
            <v>16162.38</v>
          </cell>
          <cell r="T92">
            <v>16172.48</v>
          </cell>
          <cell r="U92">
            <v>16042.59</v>
          </cell>
          <cell r="V92">
            <v>15957.89</v>
          </cell>
          <cell r="W92">
            <v>16077.3</v>
          </cell>
          <cell r="X92">
            <v>16129.61</v>
          </cell>
          <cell r="Y92">
            <v>16135.86</v>
          </cell>
          <cell r="Z92">
            <v>16662.64</v>
          </cell>
          <cell r="AA92">
            <v>16202.92</v>
          </cell>
          <cell r="AB92">
            <v>16262.13</v>
          </cell>
          <cell r="AC92">
            <v>16989.05</v>
          </cell>
          <cell r="AD92">
            <v>16061.17</v>
          </cell>
          <cell r="AE92">
            <v>16279.44</v>
          </cell>
          <cell r="AF92">
            <v>16906.04</v>
          </cell>
          <cell r="AG92">
            <v>16044.93</v>
          </cell>
          <cell r="AH92">
            <v>16211.93</v>
          </cell>
          <cell r="AI92">
            <v>15887.05</v>
          </cell>
          <cell r="AJ92">
            <v>16259.23</v>
          </cell>
          <cell r="AK92">
            <v>15542.39</v>
          </cell>
          <cell r="AL92">
            <v>16236.48</v>
          </cell>
          <cell r="AM92">
            <v>17010.47</v>
          </cell>
          <cell r="AN92">
            <v>16435.22</v>
          </cell>
          <cell r="AO92">
            <v>16644.45</v>
          </cell>
          <cell r="AP92">
            <v>16601.259999999998</v>
          </cell>
          <cell r="AQ92">
            <v>16776.55</v>
          </cell>
          <cell r="AR92">
            <v>16164.05</v>
          </cell>
          <cell r="AS92">
            <v>17099.57</v>
          </cell>
          <cell r="AT92">
            <v>16563.740000000002</v>
          </cell>
          <cell r="AU92">
            <v>16644.939999999999</v>
          </cell>
          <cell r="AV92">
            <v>16872.400000000001</v>
          </cell>
          <cell r="AW92">
            <v>16426.03</v>
          </cell>
          <cell r="AX92">
            <v>15528.28</v>
          </cell>
          <cell r="AY92">
            <v>16111.85</v>
          </cell>
          <cell r="AZ92">
            <v>15299.81</v>
          </cell>
          <cell r="BA92">
            <v>12789.3</v>
          </cell>
        </row>
        <row r="93">
          <cell r="A93" t="str">
            <v>V5000H20B20</v>
          </cell>
          <cell r="B93">
            <v>5000</v>
          </cell>
          <cell r="C93">
            <v>2000</v>
          </cell>
          <cell r="D93">
            <v>2000</v>
          </cell>
          <cell r="E93">
            <v>44</v>
          </cell>
          <cell r="F93">
            <v>5</v>
          </cell>
          <cell r="G93">
            <v>2</v>
          </cell>
          <cell r="H93">
            <v>350</v>
          </cell>
          <cell r="I93">
            <v>50</v>
          </cell>
          <cell r="J93">
            <v>5069.8</v>
          </cell>
          <cell r="K93" t="str">
            <v>Q-11002917</v>
          </cell>
          <cell r="L93" t="str">
            <v>\\hokukon-net2\hop\Program\01_MVPシステム_容量別組立図\.\01_余裕高0_0m\pdf\FB0_5000m3-MVP-2000-組-B2000_Q-11002917.pdf</v>
          </cell>
          <cell r="M93">
            <v>16802.36</v>
          </cell>
          <cell r="N93">
            <v>17041.18</v>
          </cell>
          <cell r="O93">
            <v>16471.919999999998</v>
          </cell>
          <cell r="P93">
            <v>16480.400000000001</v>
          </cell>
          <cell r="Q93">
            <v>16928.22</v>
          </cell>
          <cell r="R93">
            <v>16745.66</v>
          </cell>
          <cell r="S93">
            <v>16707.79</v>
          </cell>
          <cell r="T93">
            <v>16718.03</v>
          </cell>
          <cell r="U93">
            <v>16592.900000000001</v>
          </cell>
          <cell r="V93">
            <v>16506.18</v>
          </cell>
          <cell r="W93">
            <v>16627.71</v>
          </cell>
          <cell r="X93">
            <v>16682.97</v>
          </cell>
          <cell r="Y93">
            <v>16689.63</v>
          </cell>
          <cell r="Z93">
            <v>17225.54</v>
          </cell>
          <cell r="AA93">
            <v>16760.62</v>
          </cell>
          <cell r="AB93">
            <v>16818.02</v>
          </cell>
          <cell r="AC93">
            <v>17551.79</v>
          </cell>
          <cell r="AD93">
            <v>16609.599999999999</v>
          </cell>
          <cell r="AE93">
            <v>16832.75</v>
          </cell>
          <cell r="AF93">
            <v>17469.09</v>
          </cell>
          <cell r="AG93">
            <v>16598.03</v>
          </cell>
          <cell r="AH93">
            <v>16767.28</v>
          </cell>
          <cell r="AI93">
            <v>16439.349999999999</v>
          </cell>
          <cell r="AJ93">
            <v>16813.990000000002</v>
          </cell>
          <cell r="AK93">
            <v>16086.58</v>
          </cell>
          <cell r="AL93">
            <v>16788.439999999999</v>
          </cell>
          <cell r="AM93">
            <v>17573.43</v>
          </cell>
          <cell r="AN93">
            <v>16990.96</v>
          </cell>
          <cell r="AO93">
            <v>17201.11</v>
          </cell>
          <cell r="AP93">
            <v>17395.240000000002</v>
          </cell>
          <cell r="AQ93">
            <v>17336.7</v>
          </cell>
          <cell r="AR93">
            <v>16711.310000000001</v>
          </cell>
          <cell r="AS93">
            <v>17659.900000000001</v>
          </cell>
          <cell r="AT93">
            <v>17119.87</v>
          </cell>
          <cell r="AU93">
            <v>17202.669999999998</v>
          </cell>
          <cell r="AV93">
            <v>17430.62</v>
          </cell>
          <cell r="AW93">
            <v>16978.71</v>
          </cell>
          <cell r="AX93">
            <v>16071.06</v>
          </cell>
          <cell r="AY93">
            <v>16659.62</v>
          </cell>
          <cell r="AZ93">
            <v>15838.21</v>
          </cell>
          <cell r="BA93">
            <v>13291.19</v>
          </cell>
        </row>
        <row r="94">
          <cell r="A94" t="str">
            <v>V5000H25B30</v>
          </cell>
          <cell r="B94">
            <v>5000</v>
          </cell>
          <cell r="C94">
            <v>2500</v>
          </cell>
          <cell r="D94">
            <v>3000</v>
          </cell>
          <cell r="E94">
            <v>41</v>
          </cell>
          <cell r="F94">
            <v>6</v>
          </cell>
          <cell r="G94">
            <v>2</v>
          </cell>
          <cell r="H94">
            <v>300</v>
          </cell>
          <cell r="I94">
            <v>50</v>
          </cell>
          <cell r="J94">
            <v>5102.2</v>
          </cell>
          <cell r="K94" t="str">
            <v>Q-11002922</v>
          </cell>
          <cell r="L94" t="str">
            <v>\\hokukon-net2\hop\Program\01_MVPシステム_容量別組立図\.\01_余裕高0_0m\pdf\FB0_5000m3-MVP-2500-組-B3000_Q-11002922.pdf</v>
          </cell>
          <cell r="M94">
            <v>15835.94</v>
          </cell>
          <cell r="N94">
            <v>16015.6</v>
          </cell>
          <cell r="O94">
            <v>15598.87</v>
          </cell>
          <cell r="P94">
            <v>15605.3</v>
          </cell>
          <cell r="Q94">
            <v>15931.44</v>
          </cell>
          <cell r="R94">
            <v>15795.8</v>
          </cell>
          <cell r="S94">
            <v>15762.32</v>
          </cell>
          <cell r="T94">
            <v>15770.08</v>
          </cell>
          <cell r="U94">
            <v>15716.85</v>
          </cell>
          <cell r="V94">
            <v>15646.73</v>
          </cell>
          <cell r="W94">
            <v>15740.76</v>
          </cell>
          <cell r="X94">
            <v>15799.08</v>
          </cell>
          <cell r="Y94">
            <v>15808.42</v>
          </cell>
          <cell r="Z94">
            <v>16220.91</v>
          </cell>
          <cell r="AA94">
            <v>15871.02</v>
          </cell>
          <cell r="AB94">
            <v>15901.07</v>
          </cell>
          <cell r="AC94">
            <v>16430.689999999999</v>
          </cell>
          <cell r="AD94">
            <v>15702.88</v>
          </cell>
          <cell r="AE94">
            <v>15877.45</v>
          </cell>
          <cell r="AF94">
            <v>16363.82</v>
          </cell>
          <cell r="AG94">
            <v>15729.26</v>
          </cell>
          <cell r="AH94">
            <v>15861.4</v>
          </cell>
          <cell r="AI94">
            <v>15615.94</v>
          </cell>
          <cell r="AJ94">
            <v>15887.93</v>
          </cell>
          <cell r="AK94">
            <v>15336.16</v>
          </cell>
          <cell r="AL94">
            <v>15854.61</v>
          </cell>
          <cell r="AM94">
            <v>16445.64</v>
          </cell>
          <cell r="AN94">
            <v>16012.25</v>
          </cell>
          <cell r="AO94">
            <v>16159.75</v>
          </cell>
          <cell r="AP94">
            <v>16138.69</v>
          </cell>
          <cell r="AQ94">
            <v>16270.29</v>
          </cell>
          <cell r="AR94">
            <v>15777.13</v>
          </cell>
          <cell r="AS94">
            <v>16489</v>
          </cell>
          <cell r="AT94">
            <v>16094.09</v>
          </cell>
          <cell r="AU94">
            <v>16156.35</v>
          </cell>
          <cell r="AV94">
            <v>16322</v>
          </cell>
          <cell r="AW94">
            <v>15973.86</v>
          </cell>
          <cell r="AX94">
            <v>15308.23</v>
          </cell>
          <cell r="AY94">
            <v>15735.74</v>
          </cell>
          <cell r="AZ94">
            <v>15123.01</v>
          </cell>
          <cell r="BA94">
            <v>12440.49</v>
          </cell>
        </row>
        <row r="95">
          <cell r="A95" t="str">
            <v>V5000H25B25</v>
          </cell>
          <cell r="B95">
            <v>5000</v>
          </cell>
          <cell r="C95">
            <v>2500</v>
          </cell>
          <cell r="D95">
            <v>2500</v>
          </cell>
          <cell r="E95">
            <v>39</v>
          </cell>
          <cell r="F95">
            <v>7</v>
          </cell>
          <cell r="G95">
            <v>2</v>
          </cell>
          <cell r="H95">
            <v>300</v>
          </cell>
          <cell r="I95">
            <v>50</v>
          </cell>
          <cell r="J95">
            <v>5097.3999999999996</v>
          </cell>
          <cell r="K95" t="str">
            <v>Q-11002921</v>
          </cell>
          <cell r="L95" t="str">
            <v>\\hokukon-net2\hop\Program\01_MVPシステム_容量別組立図\.\01_余裕高0_0m\pdf\FB0_5000m3-MVP-2500-組-B2500_Q-11002921.pdf</v>
          </cell>
          <cell r="M95">
            <v>16434.93</v>
          </cell>
          <cell r="N95">
            <v>16615.37</v>
          </cell>
          <cell r="O95">
            <v>16200.04</v>
          </cell>
          <cell r="P95">
            <v>16206.5</v>
          </cell>
          <cell r="Q95">
            <v>16530.13</v>
          </cell>
          <cell r="R95">
            <v>16394.03</v>
          </cell>
          <cell r="S95">
            <v>16358.68</v>
          </cell>
          <cell r="T95">
            <v>16366.46</v>
          </cell>
          <cell r="U95">
            <v>16322.89</v>
          </cell>
          <cell r="V95">
            <v>16251.39</v>
          </cell>
          <cell r="W95">
            <v>16346.19</v>
          </cell>
          <cell r="X95">
            <v>16408.189999999999</v>
          </cell>
          <cell r="Y95">
            <v>16417.88</v>
          </cell>
          <cell r="Z95">
            <v>16834.64</v>
          </cell>
          <cell r="AA95">
            <v>16484.53</v>
          </cell>
          <cell r="AB95">
            <v>16511.330000000002</v>
          </cell>
          <cell r="AC95">
            <v>17038.11</v>
          </cell>
          <cell r="AD95">
            <v>16303.92</v>
          </cell>
          <cell r="AE95">
            <v>16482.05</v>
          </cell>
          <cell r="AF95">
            <v>16972.2</v>
          </cell>
          <cell r="AG95">
            <v>16338.1</v>
          </cell>
          <cell r="AH95">
            <v>16471.48</v>
          </cell>
          <cell r="AI95">
            <v>16226.27</v>
          </cell>
          <cell r="AJ95">
            <v>16495.96</v>
          </cell>
          <cell r="AK95">
            <v>15940.76</v>
          </cell>
          <cell r="AL95">
            <v>16459.53</v>
          </cell>
          <cell r="AM95">
            <v>17053.39</v>
          </cell>
          <cell r="AN95">
            <v>16619.29</v>
          </cell>
          <cell r="AO95">
            <v>16764.75</v>
          </cell>
          <cell r="AP95">
            <v>16745.68</v>
          </cell>
          <cell r="AQ95">
            <v>16878.14</v>
          </cell>
          <cell r="AR95">
            <v>16375.84</v>
          </cell>
          <cell r="AS95">
            <v>17090.77</v>
          </cell>
          <cell r="AT95">
            <v>16698.84</v>
          </cell>
          <cell r="AU95">
            <v>16761.47</v>
          </cell>
          <cell r="AV95">
            <v>16924.73</v>
          </cell>
          <cell r="AW95">
            <v>16575.419999999998</v>
          </cell>
          <cell r="AX95">
            <v>15910.18</v>
          </cell>
          <cell r="AY95">
            <v>16335.72</v>
          </cell>
          <cell r="AZ95">
            <v>15722.23</v>
          </cell>
          <cell r="BA95">
            <v>12984.59</v>
          </cell>
        </row>
        <row r="96">
          <cell r="A96" t="str">
            <v>V5000H25B20</v>
          </cell>
          <cell r="B96">
            <v>5000</v>
          </cell>
          <cell r="C96">
            <v>2500</v>
          </cell>
          <cell r="D96">
            <v>2000</v>
          </cell>
          <cell r="E96">
            <v>43</v>
          </cell>
          <cell r="F96">
            <v>7</v>
          </cell>
          <cell r="G96">
            <v>2</v>
          </cell>
          <cell r="H96">
            <v>300</v>
          </cell>
          <cell r="I96">
            <v>50</v>
          </cell>
          <cell r="J96">
            <v>5038.6000000000004</v>
          </cell>
          <cell r="K96" t="str">
            <v>Q-11002920</v>
          </cell>
          <cell r="L96" t="str">
            <v>\\hokukon-net2\hop\Program\01_MVPシステム_容量別組立図\.\01_余裕高0_0m\pdf\FB0_5000m3-MVP-2500-組-B2000_Q-11002920.pdf</v>
          </cell>
          <cell r="M96">
            <v>16968.080000000002</v>
          </cell>
          <cell r="N96">
            <v>17147.310000000001</v>
          </cell>
          <cell r="O96">
            <v>16737.03</v>
          </cell>
          <cell r="P96">
            <v>16743.45</v>
          </cell>
          <cell r="Q96">
            <v>17061.84</v>
          </cell>
          <cell r="R96">
            <v>16926.39</v>
          </cell>
          <cell r="S96">
            <v>16889.48</v>
          </cell>
          <cell r="T96">
            <v>16897.23</v>
          </cell>
          <cell r="U96">
            <v>16863.2</v>
          </cell>
          <cell r="V96">
            <v>16790.82</v>
          </cell>
          <cell r="W96">
            <v>16886.02</v>
          </cell>
          <cell r="X96">
            <v>16950.93</v>
          </cell>
          <cell r="Y96">
            <v>16960.900000000001</v>
          </cell>
          <cell r="Z96">
            <v>17378.53</v>
          </cell>
          <cell r="AA96">
            <v>17031.59</v>
          </cell>
          <cell r="AB96">
            <v>17054.64</v>
          </cell>
          <cell r="AC96">
            <v>17574.46</v>
          </cell>
          <cell r="AD96">
            <v>16841</v>
          </cell>
          <cell r="AE96">
            <v>17021.060000000001</v>
          </cell>
          <cell r="AF96">
            <v>17510.78</v>
          </cell>
          <cell r="AG96">
            <v>16882.189999999999</v>
          </cell>
          <cell r="AH96">
            <v>17015.189999999999</v>
          </cell>
          <cell r="AI96">
            <v>16772.830000000002</v>
          </cell>
          <cell r="AJ96">
            <v>17037.73</v>
          </cell>
          <cell r="AK96">
            <v>16483.7</v>
          </cell>
          <cell r="AL96">
            <v>16997.82</v>
          </cell>
          <cell r="AM96">
            <v>17589.490000000002</v>
          </cell>
          <cell r="AN96">
            <v>17430.490000000002</v>
          </cell>
          <cell r="AO96">
            <v>17300.27</v>
          </cell>
          <cell r="AP96">
            <v>17283.29</v>
          </cell>
          <cell r="AQ96">
            <v>17415.650000000001</v>
          </cell>
          <cell r="AR96">
            <v>16909.009999999998</v>
          </cell>
          <cell r="AS96">
            <v>17621.32</v>
          </cell>
          <cell r="AT96">
            <v>17235.55</v>
          </cell>
          <cell r="AU96">
            <v>17298.48</v>
          </cell>
          <cell r="AV96">
            <v>17457.47</v>
          </cell>
          <cell r="AW96">
            <v>17110.349999999999</v>
          </cell>
          <cell r="AX96">
            <v>16451.689999999999</v>
          </cell>
          <cell r="AY96">
            <v>16870.98</v>
          </cell>
          <cell r="AZ96">
            <v>16262.53</v>
          </cell>
          <cell r="BA96">
            <v>13479.48</v>
          </cell>
        </row>
        <row r="97">
          <cell r="A97" t="str">
            <v>V5000H30B30</v>
          </cell>
          <cell r="B97">
            <v>5000</v>
          </cell>
          <cell r="C97">
            <v>3000</v>
          </cell>
          <cell r="D97">
            <v>3000</v>
          </cell>
          <cell r="E97">
            <v>34</v>
          </cell>
          <cell r="F97">
            <v>6</v>
          </cell>
          <cell r="G97">
            <v>2</v>
          </cell>
          <cell r="H97">
            <v>300</v>
          </cell>
          <cell r="I97">
            <v>50</v>
          </cell>
          <cell r="J97">
            <v>5114.8</v>
          </cell>
          <cell r="K97" t="str">
            <v>Q-11002925</v>
          </cell>
          <cell r="L97" t="str">
            <v>\\hokukon-net2\hop\Program\01_MVPシステム_容量別組立図\.\01_余裕高0_0m\pdf\FB0_5000m3-MVP-3000-組-B3000_Q-11002925.pdf</v>
          </cell>
          <cell r="M97">
            <v>14113.87</v>
          </cell>
          <cell r="N97">
            <v>14265.07</v>
          </cell>
          <cell r="O97">
            <v>13920.29</v>
          </cell>
          <cell r="P97">
            <v>13925.68</v>
          </cell>
          <cell r="Q97">
            <v>14191.9</v>
          </cell>
          <cell r="R97">
            <v>14076.68</v>
          </cell>
          <cell r="S97">
            <v>14045.52</v>
          </cell>
          <cell r="T97">
            <v>14052</v>
          </cell>
          <cell r="U97">
            <v>14026.58</v>
          </cell>
          <cell r="V97">
            <v>13965.57</v>
          </cell>
          <cell r="W97">
            <v>14043.43</v>
          </cell>
          <cell r="X97">
            <v>14098.83</v>
          </cell>
          <cell r="Y97">
            <v>14108.86</v>
          </cell>
          <cell r="Z97">
            <v>14458.74</v>
          </cell>
          <cell r="AA97">
            <v>14167.95</v>
          </cell>
          <cell r="AB97">
            <v>14185.9</v>
          </cell>
          <cell r="AC97">
            <v>14620.63</v>
          </cell>
          <cell r="AD97">
            <v>14006.37</v>
          </cell>
          <cell r="AE97">
            <v>14158.42</v>
          </cell>
          <cell r="AF97">
            <v>14567.78</v>
          </cell>
          <cell r="AG97">
            <v>14042.01</v>
          </cell>
          <cell r="AH97">
            <v>14151.7</v>
          </cell>
          <cell r="AI97">
            <v>13950.57</v>
          </cell>
          <cell r="AJ97">
            <v>14170.13</v>
          </cell>
          <cell r="AK97">
            <v>13708.82</v>
          </cell>
          <cell r="AL97">
            <v>14138.25</v>
          </cell>
          <cell r="AM97">
            <v>14634.43</v>
          </cell>
          <cell r="AN97">
            <v>14275.42</v>
          </cell>
          <cell r="AO97">
            <v>14393.27</v>
          </cell>
          <cell r="AP97">
            <v>14376.95</v>
          </cell>
          <cell r="AQ97">
            <v>14488.86</v>
          </cell>
          <cell r="AR97">
            <v>14062.92</v>
          </cell>
          <cell r="AS97">
            <v>14657.4</v>
          </cell>
          <cell r="AT97">
            <v>14336.14</v>
          </cell>
          <cell r="AU97">
            <v>14389.3</v>
          </cell>
          <cell r="AV97">
            <v>14520.92</v>
          </cell>
          <cell r="AW97">
            <v>14231.21</v>
          </cell>
          <cell r="AX97">
            <v>13677.57</v>
          </cell>
          <cell r="AY97">
            <v>14029.98</v>
          </cell>
          <cell r="AZ97">
            <v>13521.65</v>
          </cell>
          <cell r="BA97">
            <v>11133.96</v>
          </cell>
        </row>
        <row r="98">
          <cell r="A98" t="str">
            <v>V5000H30B25</v>
          </cell>
          <cell r="B98">
            <v>5000</v>
          </cell>
          <cell r="C98">
            <v>3000</v>
          </cell>
          <cell r="D98">
            <v>2500</v>
          </cell>
          <cell r="E98">
            <v>37</v>
          </cell>
          <cell r="F98">
            <v>6</v>
          </cell>
          <cell r="G98">
            <v>2</v>
          </cell>
          <cell r="H98">
            <v>300</v>
          </cell>
          <cell r="I98">
            <v>50</v>
          </cell>
          <cell r="J98">
            <v>5049.3</v>
          </cell>
          <cell r="K98" t="str">
            <v>Q-11002924</v>
          </cell>
          <cell r="L98" t="str">
            <v>\\hokukon-net2\hop\Program\01_MVPシステム_容量別組立図\.\01_余裕高0_0m\pdf\FB0_5000m3-MVP-3000-組-B2500_Q-11002924.pdf</v>
          </cell>
          <cell r="M98">
            <v>14470.63</v>
          </cell>
          <cell r="N98">
            <v>14620.46</v>
          </cell>
          <cell r="O98">
            <v>14280.52</v>
          </cell>
          <cell r="P98">
            <v>14285.85</v>
          </cell>
          <cell r="Q98">
            <v>14547.33</v>
          </cell>
          <cell r="R98">
            <v>14432.98</v>
          </cell>
          <cell r="S98">
            <v>14400.81</v>
          </cell>
          <cell r="T98">
            <v>14407.24</v>
          </cell>
          <cell r="U98">
            <v>14388.9</v>
          </cell>
          <cell r="V98">
            <v>14327.46</v>
          </cell>
          <cell r="W98">
            <v>14405.27</v>
          </cell>
          <cell r="X98">
            <v>14462.62</v>
          </cell>
          <cell r="Y98">
            <v>14472.82</v>
          </cell>
          <cell r="Z98">
            <v>14822.08</v>
          </cell>
          <cell r="AA98">
            <v>14534.6</v>
          </cell>
          <cell r="AB98">
            <v>14549.73</v>
          </cell>
          <cell r="AC98">
            <v>14977.88</v>
          </cell>
          <cell r="AD98">
            <v>14366.35</v>
          </cell>
          <cell r="AE98">
            <v>14519.26</v>
          </cell>
          <cell r="AF98">
            <v>14926.83</v>
          </cell>
          <cell r="AG98">
            <v>14406.94</v>
          </cell>
          <cell r="AH98">
            <v>14515.93</v>
          </cell>
          <cell r="AI98">
            <v>14317.62</v>
          </cell>
          <cell r="AJ98">
            <v>14532.91</v>
          </cell>
          <cell r="AK98">
            <v>14074.17</v>
          </cell>
          <cell r="AL98">
            <v>14498.68</v>
          </cell>
          <cell r="AM98">
            <v>14991.46</v>
          </cell>
          <cell r="AN98">
            <v>14635.8</v>
          </cell>
          <cell r="AO98">
            <v>14750.8</v>
          </cell>
          <cell r="AP98">
            <v>14735.98</v>
          </cell>
          <cell r="AQ98">
            <v>14847.46</v>
          </cell>
          <cell r="AR98">
            <v>14419.93</v>
          </cell>
          <cell r="AS98">
            <v>15010.25</v>
          </cell>
          <cell r="AT98">
            <v>14694.66</v>
          </cell>
          <cell r="AU98">
            <v>14747.84</v>
          </cell>
          <cell r="AV98">
            <v>14875.87</v>
          </cell>
          <cell r="AW98">
            <v>14588.82</v>
          </cell>
          <cell r="AX98">
            <v>14041.87</v>
          </cell>
          <cell r="AY98">
            <v>14388.54</v>
          </cell>
          <cell r="AZ98">
            <v>13885.7</v>
          </cell>
          <cell r="BA98">
            <v>11470.65</v>
          </cell>
        </row>
        <row r="99">
          <cell r="A99" t="str">
            <v>V5000H30B20</v>
          </cell>
          <cell r="B99">
            <v>5000</v>
          </cell>
          <cell r="C99">
            <v>3000</v>
          </cell>
          <cell r="D99">
            <v>2000</v>
          </cell>
          <cell r="E99">
            <v>41</v>
          </cell>
          <cell r="F99">
            <v>6</v>
          </cell>
          <cell r="G99">
            <v>2</v>
          </cell>
          <cell r="H99">
            <v>300</v>
          </cell>
          <cell r="I99">
            <v>50</v>
          </cell>
          <cell r="J99">
            <v>5023.3999999999996</v>
          </cell>
          <cell r="K99" t="str">
            <v>Q-11002923</v>
          </cell>
          <cell r="L99" t="str">
            <v>\\hokukon-net2\hop\Program\01_MVPシステム_容量別組立図\.\01_余裕高0_0m\pdf\FB0_5000m3-MVP-3000-組-B2000_Q-11002923.pdf</v>
          </cell>
          <cell r="M99">
            <v>15055.11</v>
          </cell>
          <cell r="N99">
            <v>15204.83</v>
          </cell>
          <cell r="O99">
            <v>14867.2</v>
          </cell>
          <cell r="P99">
            <v>14872.55</v>
          </cell>
          <cell r="Q99">
            <v>15130.91</v>
          </cell>
          <cell r="R99">
            <v>15016.21</v>
          </cell>
          <cell r="S99">
            <v>14982.37</v>
          </cell>
          <cell r="T99">
            <v>14988.81</v>
          </cell>
          <cell r="U99">
            <v>14979.36</v>
          </cell>
          <cell r="V99">
            <v>14916.68</v>
          </cell>
          <cell r="W99">
            <v>14995.26</v>
          </cell>
          <cell r="X99">
            <v>15055.75</v>
          </cell>
          <cell r="Y99">
            <v>15066.43</v>
          </cell>
          <cell r="Z99">
            <v>15418.86</v>
          </cell>
          <cell r="AA99">
            <v>15132.47</v>
          </cell>
          <cell r="AB99">
            <v>15144.03</v>
          </cell>
          <cell r="AC99">
            <v>15568.63</v>
          </cell>
          <cell r="AD99">
            <v>14953.83</v>
          </cell>
          <cell r="AE99">
            <v>15109.64</v>
          </cell>
          <cell r="AF99">
            <v>15519.5</v>
          </cell>
          <cell r="AG99">
            <v>15001.19</v>
          </cell>
          <cell r="AH99">
            <v>15110.38</v>
          </cell>
          <cell r="AI99">
            <v>14913.59</v>
          </cell>
          <cell r="AJ99">
            <v>15125.64</v>
          </cell>
          <cell r="AK99">
            <v>14665.14</v>
          </cell>
          <cell r="AL99">
            <v>15087.97</v>
          </cell>
          <cell r="AM99">
            <v>15582.13</v>
          </cell>
          <cell r="AN99">
            <v>15226.76</v>
          </cell>
          <cell r="AO99">
            <v>15339.31</v>
          </cell>
          <cell r="AP99">
            <v>15326.14</v>
          </cell>
          <cell r="AQ99">
            <v>15438.39</v>
          </cell>
          <cell r="AR99">
            <v>15003.98</v>
          </cell>
          <cell r="AS99">
            <v>15595.66</v>
          </cell>
          <cell r="AT99">
            <v>15283.83</v>
          </cell>
          <cell r="AU99">
            <v>15337.75</v>
          </cell>
          <cell r="AV99">
            <v>15462.46</v>
          </cell>
          <cell r="AW99">
            <v>15175.7</v>
          </cell>
          <cell r="AX99">
            <v>14631.05</v>
          </cell>
          <cell r="AY99">
            <v>14974.27</v>
          </cell>
          <cell r="AZ99">
            <v>14472.97</v>
          </cell>
          <cell r="BA99">
            <v>11995.5</v>
          </cell>
        </row>
        <row r="100">
          <cell r="A100" t="str">
            <v>V5000H35B30</v>
          </cell>
          <cell r="B100">
            <v>5000</v>
          </cell>
          <cell r="C100">
            <v>3500</v>
          </cell>
          <cell r="D100">
            <v>3000</v>
          </cell>
          <cell r="E100">
            <v>34</v>
          </cell>
          <cell r="F100">
            <v>5</v>
          </cell>
          <cell r="G100">
            <v>2</v>
          </cell>
          <cell r="H100">
            <v>300</v>
          </cell>
          <cell r="I100">
            <v>50</v>
          </cell>
          <cell r="J100">
            <v>5047.5</v>
          </cell>
          <cell r="K100" t="str">
            <v>Q-11002928</v>
          </cell>
          <cell r="L100" t="str">
            <v>\\hokukon-net2\hop\Program\01_MVPシステム_容量別組立図\.\01_余裕高0_0m\pdf\FB0_5000m3-MVP-3500-組-B3000_Q-11002928.pdf</v>
          </cell>
          <cell r="M100">
            <v>12611.76</v>
          </cell>
          <cell r="N100">
            <v>12740.62</v>
          </cell>
          <cell r="O100">
            <v>12449.37</v>
          </cell>
          <cell r="P100">
            <v>12453.92</v>
          </cell>
          <cell r="Q100">
            <v>12677.73</v>
          </cell>
          <cell r="R100">
            <v>12580.1</v>
          </cell>
          <cell r="S100">
            <v>12552.9</v>
          </cell>
          <cell r="T100">
            <v>12558.39</v>
          </cell>
          <cell r="U100">
            <v>12541.76</v>
          </cell>
          <cell r="V100">
            <v>12489.53</v>
          </cell>
          <cell r="W100">
            <v>12555.37</v>
          </cell>
          <cell r="X100">
            <v>12604.05</v>
          </cell>
          <cell r="Y100">
            <v>12612.73</v>
          </cell>
          <cell r="Z100">
            <v>12910.54</v>
          </cell>
          <cell r="AA100">
            <v>12664.07</v>
          </cell>
          <cell r="AB100">
            <v>12677.96</v>
          </cell>
          <cell r="AC100">
            <v>13044.06</v>
          </cell>
          <cell r="AD100">
            <v>12520.91</v>
          </cell>
          <cell r="AE100">
            <v>12651.24</v>
          </cell>
          <cell r="AF100">
            <v>12999.12</v>
          </cell>
          <cell r="AG100">
            <v>12554.86</v>
          </cell>
          <cell r="AH100">
            <v>12648.55</v>
          </cell>
          <cell r="AI100">
            <v>12478.26</v>
          </cell>
          <cell r="AJ100">
            <v>12662.87</v>
          </cell>
          <cell r="AK100">
            <v>12271.61</v>
          </cell>
          <cell r="AL100">
            <v>12635.41</v>
          </cell>
          <cell r="AM100">
            <v>13056.33</v>
          </cell>
          <cell r="AN100">
            <v>12752.9</v>
          </cell>
          <cell r="AO100">
            <v>12851.53</v>
          </cell>
          <cell r="AP100">
            <v>12838.61</v>
          </cell>
          <cell r="AQ100">
            <v>12933.68</v>
          </cell>
          <cell r="AR100">
            <v>12568.61</v>
          </cell>
          <cell r="AS100">
            <v>13072.41</v>
          </cell>
          <cell r="AT100">
            <v>12802</v>
          </cell>
          <cell r="AU100">
            <v>12846.98</v>
          </cell>
          <cell r="AV100">
            <v>12957.53</v>
          </cell>
          <cell r="AW100">
            <v>12711.6</v>
          </cell>
          <cell r="AX100">
            <v>12242.78</v>
          </cell>
          <cell r="AY100">
            <v>12540.63</v>
          </cell>
          <cell r="AZ100">
            <v>12110.01</v>
          </cell>
          <cell r="BA100">
            <v>9947.49</v>
          </cell>
        </row>
        <row r="101">
          <cell r="A101" t="str">
            <v>V5000H35B25</v>
          </cell>
          <cell r="B101">
            <v>5000</v>
          </cell>
          <cell r="C101">
            <v>3500</v>
          </cell>
          <cell r="D101">
            <v>2500</v>
          </cell>
          <cell r="E101">
            <v>32</v>
          </cell>
          <cell r="F101">
            <v>6</v>
          </cell>
          <cell r="G101">
            <v>2</v>
          </cell>
          <cell r="H101">
            <v>300</v>
          </cell>
          <cell r="I101">
            <v>50</v>
          </cell>
          <cell r="J101">
            <v>5125.1000000000004</v>
          </cell>
          <cell r="K101" t="str">
            <v>Q-11002927</v>
          </cell>
          <cell r="L101" t="str">
            <v>\\hokukon-net2\hop\Program\01_MVPシステム_容量別組立図\.\01_余裕高0_0m\pdf\FB0_5000m3-MVP-3500-組-B2500_Q-11002927.pdf</v>
          </cell>
          <cell r="M101">
            <v>13315.31</v>
          </cell>
          <cell r="N101">
            <v>13446.86</v>
          </cell>
          <cell r="O101">
            <v>13152.66</v>
          </cell>
          <cell r="P101">
            <v>13157.3</v>
          </cell>
          <cell r="Q101">
            <v>13381.83</v>
          </cell>
          <cell r="R101">
            <v>13282.05</v>
          </cell>
          <cell r="S101">
            <v>13252.68</v>
          </cell>
          <cell r="T101">
            <v>13258.28</v>
          </cell>
          <cell r="U101">
            <v>13250.84</v>
          </cell>
          <cell r="V101">
            <v>13196.51</v>
          </cell>
          <cell r="W101">
            <v>13263.76</v>
          </cell>
          <cell r="X101">
            <v>13316.69</v>
          </cell>
          <cell r="Y101">
            <v>13326.06</v>
          </cell>
          <cell r="Z101">
            <v>13632.05</v>
          </cell>
          <cell r="AA101">
            <v>13382.01</v>
          </cell>
          <cell r="AB101">
            <v>13392.81</v>
          </cell>
          <cell r="AC101">
            <v>13761.32</v>
          </cell>
          <cell r="AD101">
            <v>13224.91</v>
          </cell>
          <cell r="AE101">
            <v>13360.57</v>
          </cell>
          <cell r="AF101">
            <v>13716.8</v>
          </cell>
          <cell r="AG101">
            <v>13266.77</v>
          </cell>
          <cell r="AH101">
            <v>13362.66</v>
          </cell>
          <cell r="AI101">
            <v>13190.46</v>
          </cell>
          <cell r="AJ101">
            <v>13375.22</v>
          </cell>
          <cell r="AK101">
            <v>12975.54</v>
          </cell>
          <cell r="AL101">
            <v>13344.59</v>
          </cell>
          <cell r="AM101">
            <v>13774.17</v>
          </cell>
          <cell r="AN101">
            <v>13466.14</v>
          </cell>
          <cell r="AO101">
            <v>13564.02</v>
          </cell>
          <cell r="AP101">
            <v>13552.55</v>
          </cell>
          <cell r="AQ101">
            <v>13649.94</v>
          </cell>
          <cell r="AR101">
            <v>13270.87</v>
          </cell>
          <cell r="AS101">
            <v>13784.41</v>
          </cell>
          <cell r="AT101">
            <v>13513.24</v>
          </cell>
          <cell r="AU101">
            <v>13559.28</v>
          </cell>
          <cell r="AV101">
            <v>13668.94</v>
          </cell>
          <cell r="AW101">
            <v>13418.65</v>
          </cell>
          <cell r="AX101">
            <v>12943.39</v>
          </cell>
          <cell r="AY101">
            <v>13243.66</v>
          </cell>
          <cell r="AZ101">
            <v>12806.49</v>
          </cell>
          <cell r="BA101">
            <v>10557.91</v>
          </cell>
        </row>
        <row r="102">
          <cell r="A102" t="str">
            <v>V5000H35B20</v>
          </cell>
          <cell r="B102">
            <v>5000</v>
          </cell>
          <cell r="C102">
            <v>3500</v>
          </cell>
          <cell r="D102">
            <v>2000</v>
          </cell>
          <cell r="E102">
            <v>35</v>
          </cell>
          <cell r="F102">
            <v>6</v>
          </cell>
          <cell r="G102">
            <v>2</v>
          </cell>
          <cell r="H102">
            <v>300</v>
          </cell>
          <cell r="I102">
            <v>50</v>
          </cell>
          <cell r="J102">
            <v>5034.3999999999996</v>
          </cell>
          <cell r="K102" t="str">
            <v>Q-11002926</v>
          </cell>
          <cell r="L102" t="str">
            <v>\\hokukon-net2\hop\Program\01_MVPシステム_容量別組立図\.\01_余裕高0_0m\pdf\FB0_5000m3-MVP-3500-組-B2000_Q-11002926.pdf</v>
          </cell>
          <cell r="M102">
            <v>13687.18</v>
          </cell>
          <cell r="N102">
            <v>13816.98</v>
          </cell>
          <cell r="O102">
            <v>13528.57</v>
          </cell>
          <cell r="P102">
            <v>13533.16</v>
          </cell>
          <cell r="Q102">
            <v>13752.2</v>
          </cell>
          <cell r="R102">
            <v>13653.55</v>
          </cell>
          <cell r="S102">
            <v>13623.17</v>
          </cell>
          <cell r="T102">
            <v>13628.71</v>
          </cell>
          <cell r="U102">
            <v>13628.72</v>
          </cell>
          <cell r="V102">
            <v>13574.12</v>
          </cell>
          <cell r="W102">
            <v>13641.13</v>
          </cell>
          <cell r="X102">
            <v>13695.99</v>
          </cell>
          <cell r="Y102">
            <v>13705.54</v>
          </cell>
          <cell r="Z102">
            <v>14010.13</v>
          </cell>
          <cell r="AA102">
            <v>13764.14</v>
          </cell>
          <cell r="AB102">
            <v>13771.99</v>
          </cell>
          <cell r="AC102">
            <v>14132.7</v>
          </cell>
          <cell r="AD102">
            <v>13600.34</v>
          </cell>
          <cell r="AE102">
            <v>13736.62</v>
          </cell>
          <cell r="AF102">
            <v>14090.12</v>
          </cell>
          <cell r="AG102">
            <v>13647.34</v>
          </cell>
          <cell r="AH102">
            <v>13742.33</v>
          </cell>
          <cell r="AI102">
            <v>13573.44</v>
          </cell>
          <cell r="AJ102">
            <v>13753.26</v>
          </cell>
          <cell r="AK102">
            <v>13357.25</v>
          </cell>
          <cell r="AL102">
            <v>13720.29</v>
          </cell>
          <cell r="AM102">
            <v>14145.36</v>
          </cell>
          <cell r="AN102">
            <v>13841.54</v>
          </cell>
          <cell r="AO102">
            <v>13936.21</v>
          </cell>
          <cell r="AP102">
            <v>13926.34</v>
          </cell>
          <cell r="AQ102">
            <v>14023.03</v>
          </cell>
          <cell r="AR102">
            <v>13643.1</v>
          </cell>
          <cell r="AS102">
            <v>14151.12</v>
          </cell>
          <cell r="AT102">
            <v>13886.53</v>
          </cell>
          <cell r="AU102">
            <v>13932.46</v>
          </cell>
          <cell r="AV102">
            <v>14038.11</v>
          </cell>
          <cell r="AW102">
            <v>13791.16</v>
          </cell>
          <cell r="AX102">
            <v>13323.99</v>
          </cell>
          <cell r="AY102">
            <v>13617.59</v>
          </cell>
          <cell r="AZ102">
            <v>13187.19</v>
          </cell>
          <cell r="BA102">
            <v>10902.73</v>
          </cell>
        </row>
        <row r="103">
          <cell r="A103" t="str">
            <v>V5000H40B30</v>
          </cell>
          <cell r="B103">
            <v>5000</v>
          </cell>
          <cell r="C103">
            <v>4000</v>
          </cell>
          <cell r="D103">
            <v>3000</v>
          </cell>
          <cell r="E103">
            <v>29</v>
          </cell>
          <cell r="F103">
            <v>5</v>
          </cell>
          <cell r="G103">
            <v>2</v>
          </cell>
          <cell r="H103">
            <v>350</v>
          </cell>
          <cell r="I103">
            <v>70</v>
          </cell>
          <cell r="J103">
            <v>4986.1000000000004</v>
          </cell>
          <cell r="K103" t="str">
            <v>Q-11002931</v>
          </cell>
          <cell r="L103" t="str">
            <v>\\hokukon-net2\hop\Program\01_MVPシステム_容量別組立図\.\01_余裕高0_0m\pdf\FB0_5000m3-MVP-4000-組-B3000_Q-11002931.pdf</v>
          </cell>
          <cell r="M103">
            <v>13000.96</v>
          </cell>
          <cell r="N103">
            <v>13127.19</v>
          </cell>
          <cell r="O103">
            <v>12849.73</v>
          </cell>
          <cell r="P103">
            <v>12854</v>
          </cell>
          <cell r="Q103">
            <v>13065.04</v>
          </cell>
          <cell r="R103">
            <v>12972.41</v>
          </cell>
          <cell r="S103">
            <v>12945.57</v>
          </cell>
          <cell r="T103">
            <v>12950.72</v>
          </cell>
          <cell r="U103">
            <v>12930.53</v>
          </cell>
          <cell r="V103">
            <v>12882.59</v>
          </cell>
          <cell r="W103">
            <v>12943.93</v>
          </cell>
          <cell r="X103">
            <v>12987.61</v>
          </cell>
          <cell r="Y103">
            <v>12993.37</v>
          </cell>
          <cell r="Z103">
            <v>13275.41</v>
          </cell>
          <cell r="AA103">
            <v>13041.83</v>
          </cell>
          <cell r="AB103">
            <v>13057.71</v>
          </cell>
          <cell r="AC103">
            <v>13403.52</v>
          </cell>
          <cell r="AD103">
            <v>12898.45</v>
          </cell>
          <cell r="AE103">
            <v>13025.29</v>
          </cell>
          <cell r="AF103">
            <v>13353.08</v>
          </cell>
          <cell r="AG103">
            <v>12924.07</v>
          </cell>
          <cell r="AH103">
            <v>13015.48</v>
          </cell>
          <cell r="AI103">
            <v>12853.96</v>
          </cell>
          <cell r="AJ103">
            <v>13026.35</v>
          </cell>
          <cell r="AK103">
            <v>12683.33</v>
          </cell>
          <cell r="AL103">
            <v>13032.41</v>
          </cell>
          <cell r="AM103">
            <v>13429.45</v>
          </cell>
          <cell r="AN103">
            <v>13142.61</v>
          </cell>
          <cell r="AO103">
            <v>13237.21</v>
          </cell>
          <cell r="AP103">
            <v>13224.79</v>
          </cell>
          <cell r="AQ103">
            <v>13316.46</v>
          </cell>
          <cell r="AR103">
            <v>12944.27</v>
          </cell>
          <cell r="AS103">
            <v>13421.16</v>
          </cell>
          <cell r="AT103">
            <v>13168.24</v>
          </cell>
          <cell r="AU103">
            <v>13209.96</v>
          </cell>
          <cell r="AV103">
            <v>13312.34</v>
          </cell>
          <cell r="AW103">
            <v>13076.69</v>
          </cell>
          <cell r="AX103">
            <v>12628.29</v>
          </cell>
          <cell r="AY103">
            <v>12912.61</v>
          </cell>
          <cell r="AZ103">
            <v>12502.06</v>
          </cell>
          <cell r="BA103">
            <v>10264.69</v>
          </cell>
        </row>
        <row r="104">
          <cell r="A104" t="str">
            <v>V5000H40B25</v>
          </cell>
          <cell r="B104">
            <v>5000</v>
          </cell>
          <cell r="C104">
            <v>4000</v>
          </cell>
          <cell r="D104">
            <v>2500</v>
          </cell>
          <cell r="E104">
            <v>27</v>
          </cell>
          <cell r="F104">
            <v>6</v>
          </cell>
          <cell r="G104">
            <v>2</v>
          </cell>
          <cell r="H104">
            <v>350</v>
          </cell>
          <cell r="I104">
            <v>70</v>
          </cell>
          <cell r="J104">
            <v>5015.8999999999996</v>
          </cell>
          <cell r="K104" t="str">
            <v>Q-11002930</v>
          </cell>
          <cell r="L104" t="str">
            <v>\\hokukon-net2\hop\Program\01_MVPシステム_容量別組立図\.\01_余裕高0_0m\pdf\FB0_5000m3-MVP-4000-組-B2500_Q-11002930.pdf</v>
          </cell>
          <cell r="M104">
            <v>13670.2</v>
          </cell>
          <cell r="N104">
            <v>13798.46</v>
          </cell>
          <cell r="O104">
            <v>13520.44</v>
          </cell>
          <cell r="P104">
            <v>13524.75</v>
          </cell>
          <cell r="Q104">
            <v>13734.5</v>
          </cell>
          <cell r="R104">
            <v>13640.67</v>
          </cell>
          <cell r="S104">
            <v>13612</v>
          </cell>
          <cell r="T104">
            <v>13617.2</v>
          </cell>
          <cell r="U104">
            <v>13605.67</v>
          </cell>
          <cell r="V104">
            <v>13556.18</v>
          </cell>
          <cell r="W104">
            <v>13618.13</v>
          </cell>
          <cell r="X104">
            <v>13665.55</v>
          </cell>
          <cell r="Y104">
            <v>13671.87</v>
          </cell>
          <cell r="Z104">
            <v>13959.19</v>
          </cell>
          <cell r="AA104">
            <v>13724.17</v>
          </cell>
          <cell r="AB104">
            <v>13737.05</v>
          </cell>
          <cell r="AC104">
            <v>14081.8</v>
          </cell>
          <cell r="AD104">
            <v>13567.18</v>
          </cell>
          <cell r="AE104">
            <v>13698.37</v>
          </cell>
          <cell r="AF104">
            <v>14030.93</v>
          </cell>
          <cell r="AG104">
            <v>13599.87</v>
          </cell>
          <cell r="AH104">
            <v>13692.92</v>
          </cell>
          <cell r="AI104">
            <v>13530.86</v>
          </cell>
          <cell r="AJ104">
            <v>13701.71</v>
          </cell>
          <cell r="AK104">
            <v>13356.45</v>
          </cell>
          <cell r="AL104">
            <v>13707.97</v>
          </cell>
          <cell r="AM104">
            <v>14109.58</v>
          </cell>
          <cell r="AN104">
            <v>13820.89</v>
          </cell>
          <cell r="AO104">
            <v>13914.04</v>
          </cell>
          <cell r="AP104">
            <v>13903.31</v>
          </cell>
          <cell r="AQ104">
            <v>13996.28</v>
          </cell>
          <cell r="AR104">
            <v>13611.45</v>
          </cell>
          <cell r="AS104">
            <v>14093.35</v>
          </cell>
          <cell r="AT104">
            <v>13841.79</v>
          </cell>
          <cell r="AU104">
            <v>13884.26</v>
          </cell>
          <cell r="AV104">
            <v>13984.75</v>
          </cell>
          <cell r="AW104">
            <v>13746.34</v>
          </cell>
          <cell r="AX104">
            <v>13295.47</v>
          </cell>
          <cell r="AY104">
            <v>13579.88</v>
          </cell>
          <cell r="AZ104">
            <v>13166.28</v>
          </cell>
          <cell r="BA104">
            <v>10844.49</v>
          </cell>
        </row>
        <row r="105">
          <cell r="A105" t="str">
            <v>V5000H40B20</v>
          </cell>
          <cell r="B105">
            <v>5000</v>
          </cell>
          <cell r="C105">
            <v>4000</v>
          </cell>
          <cell r="D105">
            <v>2000</v>
          </cell>
          <cell r="E105">
            <v>30</v>
          </cell>
          <cell r="F105">
            <v>6</v>
          </cell>
          <cell r="G105">
            <v>2</v>
          </cell>
          <cell r="H105">
            <v>350</v>
          </cell>
          <cell r="I105">
            <v>70</v>
          </cell>
          <cell r="J105">
            <v>5008.3999999999996</v>
          </cell>
          <cell r="K105" t="str">
            <v>Q-11002929</v>
          </cell>
          <cell r="L105" t="str">
            <v>\\hokukon-net2\hop\Program\01_MVPシステム_容量別組立図\.\01_余裕高0_0m\pdf\FB0_5000m3-MVP-4000-組-B2000_Q-11002929.pdf</v>
          </cell>
          <cell r="M105">
            <v>14337.76</v>
          </cell>
          <cell r="N105">
            <v>14466.53</v>
          </cell>
          <cell r="O105">
            <v>14189.05</v>
          </cell>
          <cell r="P105">
            <v>14193.36</v>
          </cell>
          <cell r="Q105">
            <v>14401.81</v>
          </cell>
          <cell r="R105">
            <v>14307.51</v>
          </cell>
          <cell r="S105">
            <v>14277.63</v>
          </cell>
          <cell r="T105">
            <v>14282.86</v>
          </cell>
          <cell r="U105">
            <v>14276.82</v>
          </cell>
          <cell r="V105">
            <v>14226.38</v>
          </cell>
          <cell r="W105">
            <v>14289.06</v>
          </cell>
          <cell r="X105">
            <v>14338.65</v>
          </cell>
          <cell r="Y105">
            <v>14345.37</v>
          </cell>
          <cell r="Z105">
            <v>14635.74</v>
          </cell>
          <cell r="AA105">
            <v>14400.61</v>
          </cell>
          <cell r="AB105">
            <v>14411.28</v>
          </cell>
          <cell r="AC105">
            <v>14754.55</v>
          </cell>
          <cell r="AD105">
            <v>14235.31</v>
          </cell>
          <cell r="AE105">
            <v>14368.81</v>
          </cell>
          <cell r="AF105">
            <v>14703.85</v>
          </cell>
          <cell r="AG105">
            <v>14272.07</v>
          </cell>
          <cell r="AH105">
            <v>14365.68</v>
          </cell>
          <cell r="AI105">
            <v>14204.11</v>
          </cell>
          <cell r="AJ105">
            <v>14373.34</v>
          </cell>
          <cell r="AK105">
            <v>14028.11</v>
          </cell>
          <cell r="AL105">
            <v>14379.68</v>
          </cell>
          <cell r="AM105">
            <v>14783.33</v>
          </cell>
          <cell r="AN105">
            <v>14493.9</v>
          </cell>
          <cell r="AO105">
            <v>14585.78</v>
          </cell>
          <cell r="AP105">
            <v>14576.27</v>
          </cell>
          <cell r="AQ105">
            <v>14670.01</v>
          </cell>
          <cell r="AR105">
            <v>14277.49</v>
          </cell>
          <cell r="AS105">
            <v>14761.76</v>
          </cell>
          <cell r="AT105">
            <v>14511.73</v>
          </cell>
          <cell r="AU105">
            <v>14554.88</v>
          </cell>
          <cell r="AV105">
            <v>14653.45</v>
          </cell>
          <cell r="AW105">
            <v>14413.91</v>
          </cell>
          <cell r="AX105">
            <v>13963.26</v>
          </cell>
          <cell r="AY105">
            <v>14246.18</v>
          </cell>
          <cell r="AZ105">
            <v>13832.18</v>
          </cell>
          <cell r="BA105">
            <v>11414.6</v>
          </cell>
        </row>
        <row r="106">
          <cell r="A106" t="str">
            <v>V5000H45B30</v>
          </cell>
          <cell r="B106">
            <v>5000</v>
          </cell>
          <cell r="C106">
            <v>4500</v>
          </cell>
          <cell r="D106">
            <v>3000</v>
          </cell>
          <cell r="E106">
            <v>26</v>
          </cell>
          <cell r="F106">
            <v>5</v>
          </cell>
          <cell r="G106">
            <v>2</v>
          </cell>
          <cell r="H106">
            <v>350</v>
          </cell>
          <cell r="I106">
            <v>70</v>
          </cell>
          <cell r="J106">
            <v>5050.6000000000004</v>
          </cell>
          <cell r="K106" t="str">
            <v>Q-11002934</v>
          </cell>
          <cell r="L106" t="str">
            <v>\\hokukon-net2\hop\Program\01_MVPシステム_容量別組立図\.\01_余裕高0_0m\pdf\FB0_5000m3-MVP-4500-組-B3000_Q-11002934.pdf</v>
          </cell>
          <cell r="M106">
            <v>12433.35</v>
          </cell>
          <cell r="N106">
            <v>12546.92</v>
          </cell>
          <cell r="O106">
            <v>12299.03</v>
          </cell>
          <cell r="P106">
            <v>12302.88</v>
          </cell>
          <cell r="Q106">
            <v>12489.96</v>
          </cell>
          <cell r="R106">
            <v>12405.13</v>
          </cell>
          <cell r="S106">
            <v>12378.81</v>
          </cell>
          <cell r="T106">
            <v>12383.47</v>
          </cell>
          <cell r="U106">
            <v>12375.96</v>
          </cell>
          <cell r="V106">
            <v>12332.15</v>
          </cell>
          <cell r="W106">
            <v>12388.05</v>
          </cell>
          <cell r="X106">
            <v>12430.9</v>
          </cell>
          <cell r="Y106">
            <v>12436.39</v>
          </cell>
          <cell r="Z106">
            <v>12694.36</v>
          </cell>
          <cell r="AA106">
            <v>12483.69</v>
          </cell>
          <cell r="AB106">
            <v>12495.38</v>
          </cell>
          <cell r="AC106">
            <v>12801.86</v>
          </cell>
          <cell r="AD106">
            <v>12340.76</v>
          </cell>
          <cell r="AE106">
            <v>12458.23</v>
          </cell>
          <cell r="AF106">
            <v>12757.08</v>
          </cell>
          <cell r="AG106">
            <v>12372.07</v>
          </cell>
          <cell r="AH106">
            <v>12454.17</v>
          </cell>
          <cell r="AI106">
            <v>12309.83</v>
          </cell>
          <cell r="AJ106">
            <v>12462.44</v>
          </cell>
          <cell r="AK106">
            <v>12154.19</v>
          </cell>
          <cell r="AL106">
            <v>12466.64</v>
          </cell>
          <cell r="AM106">
            <v>12826.36</v>
          </cell>
          <cell r="AN106">
            <v>12569.71</v>
          </cell>
          <cell r="AO106">
            <v>12652.57</v>
          </cell>
          <cell r="AP106">
            <v>12642.36</v>
          </cell>
          <cell r="AQ106">
            <v>12726.26</v>
          </cell>
          <cell r="AR106">
            <v>12378.45</v>
          </cell>
          <cell r="AS106">
            <v>12809.46</v>
          </cell>
          <cell r="AT106">
            <v>12586.05</v>
          </cell>
          <cell r="AU106">
            <v>12623.37</v>
          </cell>
          <cell r="AV106">
            <v>12713.46</v>
          </cell>
          <cell r="AW106">
            <v>12500.49</v>
          </cell>
          <cell r="AX106">
            <v>12097.73</v>
          </cell>
          <cell r="AY106">
            <v>12350.81</v>
          </cell>
          <cell r="AZ106">
            <v>11981.94</v>
          </cell>
          <cell r="BA106">
            <v>9842.02</v>
          </cell>
        </row>
        <row r="107">
          <cell r="A107" t="str">
            <v>V5000H45B25</v>
          </cell>
          <cell r="B107">
            <v>5000</v>
          </cell>
          <cell r="C107">
            <v>4500</v>
          </cell>
          <cell r="D107">
            <v>2500</v>
          </cell>
          <cell r="E107">
            <v>29</v>
          </cell>
          <cell r="F107">
            <v>5</v>
          </cell>
          <cell r="G107">
            <v>2</v>
          </cell>
          <cell r="H107">
            <v>350</v>
          </cell>
          <cell r="I107">
            <v>70</v>
          </cell>
          <cell r="J107">
            <v>5118.8</v>
          </cell>
          <cell r="K107" t="str">
            <v>Q-11002933</v>
          </cell>
          <cell r="L107" t="str">
            <v>\\hokukon-net2\hop\Program\01_MVPシステム_容量別組立図\.\01_余裕高0_0m\pdf\FB0_5000m3-MVP-4500-組-B2500_Q-11002933.pdf</v>
          </cell>
          <cell r="M107">
            <v>13133.29</v>
          </cell>
          <cell r="N107">
            <v>13248.85</v>
          </cell>
          <cell r="O107">
            <v>12997.89</v>
          </cell>
          <cell r="P107">
            <v>13001.8</v>
          </cell>
          <cell r="Q107">
            <v>13190.49</v>
          </cell>
          <cell r="R107">
            <v>13104.07</v>
          </cell>
          <cell r="S107">
            <v>13076.46</v>
          </cell>
          <cell r="T107">
            <v>13081.18</v>
          </cell>
          <cell r="U107">
            <v>13077.77</v>
          </cell>
          <cell r="V107">
            <v>13032.6</v>
          </cell>
          <cell r="W107">
            <v>13089.93</v>
          </cell>
          <cell r="X107">
            <v>13135.07</v>
          </cell>
          <cell r="Y107">
            <v>13140.92</v>
          </cell>
          <cell r="Z107">
            <v>13404.94</v>
          </cell>
          <cell r="AA107">
            <v>13191.27</v>
          </cell>
          <cell r="AB107">
            <v>13201.28</v>
          </cell>
          <cell r="AC107">
            <v>13511.01</v>
          </cell>
          <cell r="AD107">
            <v>13039.83</v>
          </cell>
          <cell r="AE107">
            <v>13160.84</v>
          </cell>
          <cell r="AF107">
            <v>13465.79</v>
          </cell>
          <cell r="AG107">
            <v>13074.8</v>
          </cell>
          <cell r="AH107">
            <v>13158.44</v>
          </cell>
          <cell r="AI107">
            <v>13012.49</v>
          </cell>
          <cell r="AJ107">
            <v>13165.91</v>
          </cell>
          <cell r="AK107">
            <v>12853.49</v>
          </cell>
          <cell r="AL107">
            <v>13170.31</v>
          </cell>
          <cell r="AM107">
            <v>13536.61</v>
          </cell>
          <cell r="AN107">
            <v>13275.82</v>
          </cell>
          <cell r="AO107">
            <v>13358.79</v>
          </cell>
          <cell r="AP107">
            <v>13349.35</v>
          </cell>
          <cell r="AQ107">
            <v>13435.13</v>
          </cell>
          <cell r="AR107">
            <v>13076.35</v>
          </cell>
          <cell r="AS107">
            <v>13515.33</v>
          </cell>
          <cell r="AT107">
            <v>13289.99</v>
          </cell>
          <cell r="AU107">
            <v>13328.48</v>
          </cell>
          <cell r="AV107">
            <v>13418.23</v>
          </cell>
          <cell r="AW107">
            <v>13201.39</v>
          </cell>
          <cell r="AX107">
            <v>12793.22</v>
          </cell>
          <cell r="AY107">
            <v>13048.62</v>
          </cell>
          <cell r="AZ107">
            <v>12674.3</v>
          </cell>
          <cell r="BA107">
            <v>10428.61</v>
          </cell>
        </row>
        <row r="108">
          <cell r="A108" t="str">
            <v>V5000H45B20</v>
          </cell>
          <cell r="B108">
            <v>5000</v>
          </cell>
          <cell r="C108">
            <v>4500</v>
          </cell>
          <cell r="D108">
            <v>2000</v>
          </cell>
          <cell r="E108">
            <v>27</v>
          </cell>
          <cell r="F108">
            <v>6</v>
          </cell>
          <cell r="G108">
            <v>2</v>
          </cell>
          <cell r="H108">
            <v>350</v>
          </cell>
          <cell r="I108">
            <v>70</v>
          </cell>
          <cell r="J108">
            <v>5093.8</v>
          </cell>
          <cell r="K108" t="str">
            <v>Q-11002932</v>
          </cell>
          <cell r="L108" t="str">
            <v>\\hokukon-net2\hop\Program\01_MVPシステム_容量別組立図\.\01_余裕高0_0m\pdf\FB0_5000m3-MVP-4500-組-B2000_Q-11002932.pdf</v>
          </cell>
          <cell r="M108">
            <v>13786.7</v>
          </cell>
          <cell r="N108">
            <v>13902.98</v>
          </cell>
          <cell r="O108">
            <v>13654.71</v>
          </cell>
          <cell r="P108">
            <v>13658.62</v>
          </cell>
          <cell r="Q108">
            <v>13843.29</v>
          </cell>
          <cell r="R108">
            <v>13756.28</v>
          </cell>
          <cell r="S108">
            <v>13726.71</v>
          </cell>
          <cell r="T108">
            <v>13731.44</v>
          </cell>
          <cell r="U108">
            <v>13738.9</v>
          </cell>
          <cell r="V108">
            <v>13692.49</v>
          </cell>
          <cell r="W108">
            <v>13749.99</v>
          </cell>
          <cell r="X108">
            <v>13799.07</v>
          </cell>
          <cell r="Y108">
            <v>13805.52</v>
          </cell>
          <cell r="Z108">
            <v>14072.71</v>
          </cell>
          <cell r="AA108">
            <v>13860.04</v>
          </cell>
          <cell r="AB108">
            <v>13866.29</v>
          </cell>
          <cell r="AC108">
            <v>14170.52</v>
          </cell>
          <cell r="AD108">
            <v>13693.85</v>
          </cell>
          <cell r="AE108">
            <v>13818.54</v>
          </cell>
          <cell r="AF108">
            <v>14125.56</v>
          </cell>
          <cell r="AG108">
            <v>13737.11</v>
          </cell>
          <cell r="AH108">
            <v>13821.35</v>
          </cell>
          <cell r="AI108">
            <v>13676.83</v>
          </cell>
          <cell r="AJ108">
            <v>13826.34</v>
          </cell>
          <cell r="AK108">
            <v>13515.5</v>
          </cell>
          <cell r="AL108">
            <v>13830.71</v>
          </cell>
          <cell r="AM108">
            <v>14197.85</v>
          </cell>
          <cell r="AN108">
            <v>13938.43</v>
          </cell>
          <cell r="AO108">
            <v>14018.54</v>
          </cell>
          <cell r="AP108">
            <v>14011.14</v>
          </cell>
          <cell r="AQ108">
            <v>14097.57</v>
          </cell>
          <cell r="AR108">
            <v>13727.47</v>
          </cell>
          <cell r="AS108">
            <v>14166.9</v>
          </cell>
          <cell r="AT108">
            <v>13946.41</v>
          </cell>
          <cell r="AU108">
            <v>13985.2</v>
          </cell>
          <cell r="AV108">
            <v>14071.49</v>
          </cell>
          <cell r="AW108">
            <v>13854.22</v>
          </cell>
          <cell r="AX108">
            <v>13448.49</v>
          </cell>
          <cell r="AY108">
            <v>13700.38</v>
          </cell>
          <cell r="AZ108">
            <v>13327.49</v>
          </cell>
          <cell r="BA108">
            <v>11001.95</v>
          </cell>
        </row>
      </sheetData>
      <sheetData sheetId="5" refreshError="1">
        <row r="3">
          <cell r="B3" t="str">
            <v>容量</v>
          </cell>
          <cell r="C3" t="str">
            <v>規格高</v>
          </cell>
          <cell r="D3" t="str">
            <v>ふた幅</v>
          </cell>
          <cell r="E3" t="str">
            <v>列当り本体数</v>
          </cell>
          <cell r="F3" t="str">
            <v>ふた列数</v>
          </cell>
          <cell r="G3" t="str">
            <v>連通管数</v>
          </cell>
          <cell r="H3" t="str">
            <v>底版厚</v>
          </cell>
          <cell r="I3" t="str">
            <v>レッカー</v>
          </cell>
          <cell r="J3" t="str">
            <v>実容量m3</v>
          </cell>
          <cell r="K3" t="str">
            <v>新図番</v>
          </cell>
          <cell r="L3" t="str">
            <v>pdf</v>
          </cell>
          <cell r="M3" t="str">
            <v>青森</v>
          </cell>
          <cell r="N3" t="str">
            <v>岩手</v>
          </cell>
          <cell r="O3" t="str">
            <v>宮城</v>
          </cell>
          <cell r="P3" t="str">
            <v>宮城(豪雪地)</v>
          </cell>
          <cell r="Q3" t="str">
            <v>秋田</v>
          </cell>
          <cell r="R3" t="str">
            <v>山形</v>
          </cell>
          <cell r="S3" t="str">
            <v>福島</v>
          </cell>
          <cell r="T3" t="str">
            <v>福島(豪雪地)</v>
          </cell>
          <cell r="U3" t="str">
            <v>茨城</v>
          </cell>
          <cell r="V3" t="str">
            <v>栃木</v>
          </cell>
          <cell r="W3" t="str">
            <v>群馬</v>
          </cell>
          <cell r="X3" t="str">
            <v>埼玉</v>
          </cell>
          <cell r="Y3" t="str">
            <v>千葉</v>
          </cell>
          <cell r="Z3" t="str">
            <v>東京</v>
          </cell>
          <cell r="AA3" t="str">
            <v>神奈川</v>
          </cell>
          <cell r="AB3" t="str">
            <v>山梨</v>
          </cell>
          <cell r="AC3" t="str">
            <v>長野</v>
          </cell>
          <cell r="AD3" t="str">
            <v>新潟</v>
          </cell>
          <cell r="AE3" t="str">
            <v>富山</v>
          </cell>
          <cell r="AF3" t="str">
            <v>石川</v>
          </cell>
          <cell r="AG3" t="str">
            <v>岐阜</v>
          </cell>
          <cell r="AH3" t="str">
            <v>静岡</v>
          </cell>
          <cell r="AI3" t="str">
            <v>愛知</v>
          </cell>
          <cell r="AJ3" t="str">
            <v>三重</v>
          </cell>
          <cell r="AK3" t="str">
            <v>福井</v>
          </cell>
          <cell r="AL3" t="str">
            <v>滋賀</v>
          </cell>
          <cell r="AM3" t="str">
            <v>京都</v>
          </cell>
          <cell r="AN3" t="str">
            <v>大阪</v>
          </cell>
          <cell r="AO3" t="str">
            <v>兵庫</v>
          </cell>
          <cell r="AP3" t="str">
            <v>奈良</v>
          </cell>
          <cell r="AQ3" t="str">
            <v>和歌山</v>
          </cell>
          <cell r="AR3" t="str">
            <v>鳥取</v>
          </cell>
          <cell r="AS3" t="str">
            <v>島根</v>
          </cell>
          <cell r="AT3" t="str">
            <v>岡山</v>
          </cell>
          <cell r="AU3" t="str">
            <v>広島</v>
          </cell>
          <cell r="AV3" t="str">
            <v>山口</v>
          </cell>
          <cell r="AW3" t="str">
            <v>徳島</v>
          </cell>
          <cell r="AX3" t="str">
            <v>香川</v>
          </cell>
          <cell r="AY3" t="str">
            <v>愛媛</v>
          </cell>
          <cell r="AZ3" t="str">
            <v>高知</v>
          </cell>
        </row>
        <row r="4">
          <cell r="A4" t="str">
            <v>V0500H15B30</v>
          </cell>
          <cell r="B4">
            <v>500</v>
          </cell>
          <cell r="C4">
            <v>1500</v>
          </cell>
          <cell r="D4">
            <v>3000</v>
          </cell>
          <cell r="E4">
            <v>18</v>
          </cell>
          <cell r="F4">
            <v>2</v>
          </cell>
          <cell r="G4">
            <v>0</v>
          </cell>
          <cell r="H4">
            <v>350</v>
          </cell>
          <cell r="I4">
            <v>50</v>
          </cell>
          <cell r="J4">
            <v>518.1</v>
          </cell>
          <cell r="K4" t="str">
            <v>Q-11002937</v>
          </cell>
          <cell r="L4" t="str">
            <v>\\hokukon-net2\hop\Program\01_MVPシステム_容量別組立図\.\02_余裕高0_6m\pdf\FB600_0500m3-MVP-1500-組-B3000_Q-11002937.pdf</v>
          </cell>
          <cell r="M4">
            <v>3731.29</v>
          </cell>
          <cell r="N4">
            <v>3787.47</v>
          </cell>
          <cell r="O4">
            <v>3655.65</v>
          </cell>
          <cell r="P4">
            <v>3657.62</v>
          </cell>
          <cell r="Q4">
            <v>3760.27</v>
          </cell>
          <cell r="R4">
            <v>3718.07</v>
          </cell>
          <cell r="S4">
            <v>3708.7</v>
          </cell>
          <cell r="T4">
            <v>3711.08</v>
          </cell>
          <cell r="U4">
            <v>3685.47</v>
          </cell>
          <cell r="V4">
            <v>3665</v>
          </cell>
          <cell r="W4">
            <v>3692.89</v>
          </cell>
          <cell r="X4">
            <v>3707.11</v>
          </cell>
          <cell r="Y4">
            <v>3708.66</v>
          </cell>
          <cell r="Z4">
            <v>3833.85</v>
          </cell>
          <cell r="AA4">
            <v>3725.07</v>
          </cell>
          <cell r="AB4">
            <v>3738.15</v>
          </cell>
          <cell r="AC4">
            <v>3906.9</v>
          </cell>
          <cell r="AD4">
            <v>3685.37</v>
          </cell>
          <cell r="AE4">
            <v>3738.48</v>
          </cell>
          <cell r="AF4">
            <v>3886.93</v>
          </cell>
          <cell r="AG4">
            <v>3685.54</v>
          </cell>
          <cell r="AH4">
            <v>3725.51</v>
          </cell>
          <cell r="AI4">
            <v>3649.23</v>
          </cell>
          <cell r="AJ4">
            <v>3735.65</v>
          </cell>
          <cell r="AK4">
            <v>3566.41</v>
          </cell>
          <cell r="AL4">
            <v>3730.17</v>
          </cell>
          <cell r="AM4">
            <v>3913.24</v>
          </cell>
          <cell r="AN4">
            <v>3778.48</v>
          </cell>
          <cell r="AO4">
            <v>3826.66</v>
          </cell>
          <cell r="AP4">
            <v>3817.31</v>
          </cell>
          <cell r="AQ4">
            <v>3858.77</v>
          </cell>
          <cell r="AR4">
            <v>3710.12</v>
          </cell>
          <cell r="AS4">
            <v>3930.34</v>
          </cell>
          <cell r="AT4">
            <v>3805.88</v>
          </cell>
          <cell r="AU4">
            <v>3824.51</v>
          </cell>
          <cell r="AV4">
            <v>3877.38</v>
          </cell>
          <cell r="AW4">
            <v>3771.65</v>
          </cell>
          <cell r="AX4">
            <v>3560.05</v>
          </cell>
          <cell r="AY4">
            <v>3697.26</v>
          </cell>
          <cell r="AZ4">
            <v>3505.57</v>
          </cell>
          <cell r="BA4">
            <v>3505.57</v>
          </cell>
        </row>
        <row r="5">
          <cell r="A5" t="str">
            <v>V0500H15B25</v>
          </cell>
          <cell r="B5">
            <v>500</v>
          </cell>
          <cell r="C5">
            <v>1500</v>
          </cell>
          <cell r="D5">
            <v>2500</v>
          </cell>
          <cell r="E5">
            <v>19</v>
          </cell>
          <cell r="F5">
            <v>2</v>
          </cell>
          <cell r="G5">
            <v>0</v>
          </cell>
          <cell r="H5">
            <v>350</v>
          </cell>
          <cell r="I5">
            <v>50</v>
          </cell>
          <cell r="J5">
            <v>510.2</v>
          </cell>
          <cell r="K5" t="str">
            <v>Q-11002936</v>
          </cell>
          <cell r="L5" t="str">
            <v>\\hokukon-net2\hop\Program\01_MVPシステム_容量別組立図\.\02_余裕高0_6m\pdf\FB600_0500m3-MVP-1500-組-B2500_Q-11002936.pdf</v>
          </cell>
          <cell r="M5">
            <v>3734.86</v>
          </cell>
          <cell r="N5">
            <v>3790.34</v>
          </cell>
          <cell r="O5">
            <v>3660.5</v>
          </cell>
          <cell r="P5">
            <v>3662.46</v>
          </cell>
          <cell r="Q5">
            <v>3763.31</v>
          </cell>
          <cell r="R5">
            <v>3721.59</v>
          </cell>
          <cell r="S5">
            <v>3712.09</v>
          </cell>
          <cell r="T5">
            <v>3714.46</v>
          </cell>
          <cell r="U5">
            <v>3690.49</v>
          </cell>
          <cell r="V5">
            <v>3670.09</v>
          </cell>
          <cell r="W5">
            <v>3697.73</v>
          </cell>
          <cell r="X5">
            <v>3712.24</v>
          </cell>
          <cell r="Y5">
            <v>3713.83</v>
          </cell>
          <cell r="Z5">
            <v>3837.95</v>
          </cell>
          <cell r="AA5">
            <v>3730.65</v>
          </cell>
          <cell r="AB5">
            <v>3743.07</v>
          </cell>
          <cell r="AC5">
            <v>3909.15</v>
          </cell>
          <cell r="AD5">
            <v>3689.84</v>
          </cell>
          <cell r="AE5">
            <v>3742.75</v>
          </cell>
          <cell r="AF5">
            <v>3889.69</v>
          </cell>
          <cell r="AG5">
            <v>3691.04</v>
          </cell>
          <cell r="AH5">
            <v>3730.56</v>
          </cell>
          <cell r="AI5">
            <v>3655.43</v>
          </cell>
          <cell r="AJ5">
            <v>3740.32</v>
          </cell>
          <cell r="AK5">
            <v>3572.9</v>
          </cell>
          <cell r="AL5">
            <v>3734.45</v>
          </cell>
          <cell r="AM5">
            <v>3915.49</v>
          </cell>
          <cell r="AN5">
            <v>3782.44</v>
          </cell>
          <cell r="AO5">
            <v>3829.67</v>
          </cell>
          <cell r="AP5">
            <v>3820.68</v>
          </cell>
          <cell r="AQ5">
            <v>3861.75</v>
          </cell>
          <cell r="AR5">
            <v>3713.86</v>
          </cell>
          <cell r="AS5">
            <v>3931.55</v>
          </cell>
          <cell r="AT5">
            <v>3809.17</v>
          </cell>
          <cell r="AU5">
            <v>3827.63</v>
          </cell>
          <cell r="AV5">
            <v>3879.4</v>
          </cell>
          <cell r="AW5">
            <v>3774.99</v>
          </cell>
          <cell r="AX5">
            <v>3566.29</v>
          </cell>
          <cell r="AY5">
            <v>3701.34</v>
          </cell>
          <cell r="AZ5">
            <v>3512.2</v>
          </cell>
          <cell r="BA5">
            <v>3512.2</v>
          </cell>
        </row>
        <row r="6">
          <cell r="A6" t="str">
            <v>V0500H15B20</v>
          </cell>
          <cell r="B6">
            <v>500</v>
          </cell>
          <cell r="C6">
            <v>1500</v>
          </cell>
          <cell r="D6">
            <v>2000</v>
          </cell>
          <cell r="E6">
            <v>21</v>
          </cell>
          <cell r="F6">
            <v>2</v>
          </cell>
          <cell r="G6">
            <v>0</v>
          </cell>
          <cell r="H6">
            <v>350</v>
          </cell>
          <cell r="I6">
            <v>50</v>
          </cell>
          <cell r="J6">
            <v>522.79999999999995</v>
          </cell>
          <cell r="K6" t="str">
            <v>Q-11002935</v>
          </cell>
          <cell r="L6" t="str">
            <v>\\hokukon-net2\hop\Program\01_MVPシステム_容量別組立図\.\02_余裕高0_6m\pdf\FB600_0500m3-MVP-1500-組-B2000_Q-11002935.pdf</v>
          </cell>
          <cell r="M6">
            <v>3890.94</v>
          </cell>
          <cell r="N6">
            <v>3947.89</v>
          </cell>
          <cell r="O6">
            <v>3814.85</v>
          </cell>
          <cell r="P6">
            <v>3816.86</v>
          </cell>
          <cell r="Q6">
            <v>3919.98</v>
          </cell>
          <cell r="R6">
            <v>3877.12</v>
          </cell>
          <cell r="S6">
            <v>3867.12</v>
          </cell>
          <cell r="T6">
            <v>3869.54</v>
          </cell>
          <cell r="U6">
            <v>3846.12</v>
          </cell>
          <cell r="V6">
            <v>3824.99</v>
          </cell>
          <cell r="W6">
            <v>3853.51</v>
          </cell>
          <cell r="X6">
            <v>3868.83</v>
          </cell>
          <cell r="Y6">
            <v>3870.51</v>
          </cell>
          <cell r="Z6">
            <v>3998.42</v>
          </cell>
          <cell r="AA6">
            <v>3888.37</v>
          </cell>
          <cell r="AB6">
            <v>3900.64</v>
          </cell>
          <cell r="AC6">
            <v>4070.76</v>
          </cell>
          <cell r="AD6">
            <v>3845.1</v>
          </cell>
          <cell r="AE6">
            <v>3899.86</v>
          </cell>
          <cell r="AF6">
            <v>4051.07</v>
          </cell>
          <cell r="AG6">
            <v>3847.23</v>
          </cell>
          <cell r="AH6">
            <v>3887.83</v>
          </cell>
          <cell r="AI6">
            <v>3810.91</v>
          </cell>
          <cell r="AJ6">
            <v>3897.64</v>
          </cell>
          <cell r="AK6">
            <v>3725.45</v>
          </cell>
          <cell r="AL6">
            <v>3891.12</v>
          </cell>
          <cell r="AM6">
            <v>4077.26</v>
          </cell>
          <cell r="AN6">
            <v>3940.63</v>
          </cell>
          <cell r="AO6">
            <v>3988.83</v>
          </cell>
          <cell r="AP6">
            <v>3979.81</v>
          </cell>
          <cell r="AQ6">
            <v>4022.11</v>
          </cell>
          <cell r="AR6">
            <v>3869.27</v>
          </cell>
          <cell r="AS6">
            <v>4093.07</v>
          </cell>
          <cell r="AT6">
            <v>3967.86</v>
          </cell>
          <cell r="AU6">
            <v>3986.96</v>
          </cell>
          <cell r="AV6">
            <v>4039.63</v>
          </cell>
          <cell r="AW6">
            <v>3932.46</v>
          </cell>
          <cell r="AX6">
            <v>3718.43</v>
          </cell>
          <cell r="AY6">
            <v>3856.66</v>
          </cell>
          <cell r="AZ6">
            <v>3662.62</v>
          </cell>
          <cell r="BA6">
            <v>3662.62</v>
          </cell>
        </row>
        <row r="7">
          <cell r="A7" t="str">
            <v>V0500H20B30</v>
          </cell>
          <cell r="B7">
            <v>500</v>
          </cell>
          <cell r="C7">
            <v>2000</v>
          </cell>
          <cell r="D7">
            <v>3000</v>
          </cell>
          <cell r="E7">
            <v>19</v>
          </cell>
          <cell r="F7">
            <v>1</v>
          </cell>
          <cell r="G7">
            <v>0</v>
          </cell>
          <cell r="H7">
            <v>350</v>
          </cell>
          <cell r="I7">
            <v>50</v>
          </cell>
          <cell r="J7">
            <v>507.7</v>
          </cell>
          <cell r="K7" t="str">
            <v>Q-11002940</v>
          </cell>
          <cell r="L7" t="str">
            <v>\\hokukon-net2\hop\Program\01_MVPシステム_容量別組立図\.\02_余裕高0_6m\pdf\FB600_0500m3-MVP-2000-組-B3000_Q-11002940.pdf</v>
          </cell>
          <cell r="M7">
            <v>2599.64</v>
          </cell>
          <cell r="N7">
            <v>2636.45</v>
          </cell>
          <cell r="O7">
            <v>2551.08</v>
          </cell>
          <cell r="P7">
            <v>2552.37</v>
          </cell>
          <cell r="Q7">
            <v>2618.08</v>
          </cell>
          <cell r="R7">
            <v>2590.7199999999998</v>
          </cell>
          <cell r="S7">
            <v>2584.21</v>
          </cell>
          <cell r="T7">
            <v>2585.7600000000002</v>
          </cell>
          <cell r="U7">
            <v>2571.3000000000002</v>
          </cell>
          <cell r="V7">
            <v>2557.69</v>
          </cell>
          <cell r="W7">
            <v>2575.94</v>
          </cell>
          <cell r="X7">
            <v>2585.9899999999998</v>
          </cell>
          <cell r="Y7">
            <v>2586.96</v>
          </cell>
          <cell r="Z7">
            <v>2669.05</v>
          </cell>
          <cell r="AA7">
            <v>2598.14</v>
          </cell>
          <cell r="AB7">
            <v>2606.23</v>
          </cell>
          <cell r="AC7">
            <v>2715.03</v>
          </cell>
          <cell r="AD7">
            <v>2569.5300000000002</v>
          </cell>
          <cell r="AE7">
            <v>2604.98</v>
          </cell>
          <cell r="AF7">
            <v>2702.01</v>
          </cell>
          <cell r="AG7">
            <v>2571.42</v>
          </cell>
          <cell r="AH7">
            <v>2597.58</v>
          </cell>
          <cell r="AI7">
            <v>2548.1999999999998</v>
          </cell>
          <cell r="AJ7">
            <v>2603.83</v>
          </cell>
          <cell r="AK7">
            <v>2493.37</v>
          </cell>
          <cell r="AL7">
            <v>2600.0700000000002</v>
          </cell>
          <cell r="AM7">
            <v>2719.74</v>
          </cell>
          <cell r="AN7">
            <v>2632.24</v>
          </cell>
          <cell r="AO7">
            <v>2663.12</v>
          </cell>
          <cell r="AP7">
            <v>2657.4</v>
          </cell>
          <cell r="AQ7">
            <v>2684.59</v>
          </cell>
          <cell r="AR7">
            <v>2585.67</v>
          </cell>
          <cell r="AS7">
            <v>2729.16</v>
          </cell>
          <cell r="AT7">
            <v>2648.91</v>
          </cell>
          <cell r="AU7">
            <v>2660.89</v>
          </cell>
          <cell r="AV7">
            <v>2694.81</v>
          </cell>
          <cell r="AW7">
            <v>2625.8</v>
          </cell>
          <cell r="AX7">
            <v>2488.02</v>
          </cell>
          <cell r="AY7">
            <v>2577.11</v>
          </cell>
          <cell r="AZ7">
            <v>2452.12</v>
          </cell>
          <cell r="BA7">
            <v>2452.12</v>
          </cell>
        </row>
        <row r="8">
          <cell r="A8" t="str">
            <v>V0500H20B25</v>
          </cell>
          <cell r="B8">
            <v>500</v>
          </cell>
          <cell r="C8">
            <v>2000</v>
          </cell>
          <cell r="D8">
            <v>2500</v>
          </cell>
          <cell r="E8">
            <v>12</v>
          </cell>
          <cell r="F8">
            <v>2</v>
          </cell>
          <cell r="G8">
            <v>0</v>
          </cell>
          <cell r="H8">
            <v>350</v>
          </cell>
          <cell r="I8">
            <v>50</v>
          </cell>
          <cell r="J8">
            <v>512.5</v>
          </cell>
          <cell r="K8" t="str">
            <v>Q-11002939</v>
          </cell>
          <cell r="L8" t="str">
            <v>\\hokukon-net2\hop\Program\01_MVPシステム_容量別組立図\.\02_余裕高0_6m\pdf\FB600_0500m3-MVP-2000-組-B2500_Q-11002939.pdf</v>
          </cell>
          <cell r="M8">
            <v>2677.27</v>
          </cell>
          <cell r="N8">
            <v>2714.36</v>
          </cell>
          <cell r="O8">
            <v>2630.05</v>
          </cell>
          <cell r="P8">
            <v>2631.32</v>
          </cell>
          <cell r="Q8">
            <v>2695.79</v>
          </cell>
          <cell r="R8">
            <v>2668.34</v>
          </cell>
          <cell r="S8">
            <v>2661.33</v>
          </cell>
          <cell r="T8">
            <v>2662.88</v>
          </cell>
          <cell r="U8">
            <v>2652.09</v>
          </cell>
          <cell r="V8">
            <v>2638.21</v>
          </cell>
          <cell r="W8">
            <v>2656.09</v>
          </cell>
          <cell r="X8">
            <v>2667.43</v>
          </cell>
          <cell r="Y8">
            <v>2668.68</v>
          </cell>
          <cell r="Z8">
            <v>2751.28</v>
          </cell>
          <cell r="AA8">
            <v>2680.7</v>
          </cell>
          <cell r="AB8">
            <v>2687.71</v>
          </cell>
          <cell r="AC8">
            <v>2794.41</v>
          </cell>
          <cell r="AD8">
            <v>2647.61</v>
          </cell>
          <cell r="AE8">
            <v>2683.97</v>
          </cell>
          <cell r="AF8">
            <v>2781.32</v>
          </cell>
          <cell r="AG8">
            <v>2652.37</v>
          </cell>
          <cell r="AH8">
            <v>2678.89</v>
          </cell>
          <cell r="AI8">
            <v>2629.73</v>
          </cell>
          <cell r="AJ8">
            <v>2684.16</v>
          </cell>
          <cell r="AK8">
            <v>2573.87</v>
          </cell>
          <cell r="AL8">
            <v>2680</v>
          </cell>
          <cell r="AM8">
            <v>2799.41</v>
          </cell>
          <cell r="AN8">
            <v>2712.77</v>
          </cell>
          <cell r="AO8">
            <v>2742.7</v>
          </cell>
          <cell r="AP8">
            <v>2737.61</v>
          </cell>
          <cell r="AQ8">
            <v>2764.73</v>
          </cell>
          <cell r="AR8">
            <v>2663.32</v>
          </cell>
          <cell r="AS8">
            <v>2806.17</v>
          </cell>
          <cell r="AT8">
            <v>2727.83</v>
          </cell>
          <cell r="AU8">
            <v>2739.55</v>
          </cell>
          <cell r="AV8">
            <v>2772.7</v>
          </cell>
          <cell r="AW8">
            <v>2703.7</v>
          </cell>
          <cell r="AX8">
            <v>2566.92</v>
          </cell>
          <cell r="AY8">
            <v>2655.01</v>
          </cell>
          <cell r="AZ8">
            <v>2530.65</v>
          </cell>
          <cell r="BA8">
            <v>2530.65</v>
          </cell>
        </row>
        <row r="9">
          <cell r="A9" t="str">
            <v>V0500H20B20</v>
          </cell>
          <cell r="B9">
            <v>500</v>
          </cell>
          <cell r="C9">
            <v>2000</v>
          </cell>
          <cell r="D9">
            <v>2000</v>
          </cell>
          <cell r="E9">
            <v>13</v>
          </cell>
          <cell r="F9">
            <v>2</v>
          </cell>
          <cell r="G9">
            <v>0</v>
          </cell>
          <cell r="H9">
            <v>350</v>
          </cell>
          <cell r="I9">
            <v>50</v>
          </cell>
          <cell r="J9">
            <v>514.20000000000005</v>
          </cell>
          <cell r="K9" t="str">
            <v>Q-11002938</v>
          </cell>
          <cell r="L9" t="str">
            <v>\\hokukon-net2\hop\Program\01_MVPシステム_容量別組立図\.\02_余裕高0_6m\pdf\FB600_0500m3-MVP-2000-組-B2000_Q-11002938.pdf</v>
          </cell>
          <cell r="M9">
            <v>2729.11</v>
          </cell>
          <cell r="N9">
            <v>2766.37</v>
          </cell>
          <cell r="O9">
            <v>2681.85</v>
          </cell>
          <cell r="P9">
            <v>2683.14</v>
          </cell>
          <cell r="Q9">
            <v>2747.61</v>
          </cell>
          <cell r="R9">
            <v>2719.99</v>
          </cell>
          <cell r="S9">
            <v>2712.8</v>
          </cell>
          <cell r="T9">
            <v>2714.35</v>
          </cell>
          <cell r="U9">
            <v>2704.35</v>
          </cell>
          <cell r="V9">
            <v>2690.28</v>
          </cell>
          <cell r="W9">
            <v>2708.33</v>
          </cell>
          <cell r="X9">
            <v>2720.02</v>
          </cell>
          <cell r="Y9">
            <v>2721.3</v>
          </cell>
          <cell r="Z9">
            <v>2804.63</v>
          </cell>
          <cell r="AA9">
            <v>2733.8</v>
          </cell>
          <cell r="AB9">
            <v>2740.5</v>
          </cell>
          <cell r="AC9">
            <v>2847.42</v>
          </cell>
          <cell r="AD9">
            <v>2699.56</v>
          </cell>
          <cell r="AE9">
            <v>2736.39</v>
          </cell>
          <cell r="AF9">
            <v>2834.43</v>
          </cell>
          <cell r="AG9">
            <v>2704.97</v>
          </cell>
          <cell r="AH9">
            <v>2764.34</v>
          </cell>
          <cell r="AI9">
            <v>2682.4</v>
          </cell>
          <cell r="AJ9">
            <v>2736.79</v>
          </cell>
          <cell r="AK9">
            <v>2625.74</v>
          </cell>
          <cell r="AL9">
            <v>2732.29</v>
          </cell>
          <cell r="AM9">
            <v>2852.46</v>
          </cell>
          <cell r="AN9">
            <v>2765.39</v>
          </cell>
          <cell r="AO9">
            <v>2795.23</v>
          </cell>
          <cell r="AP9">
            <v>2790.27</v>
          </cell>
          <cell r="AQ9">
            <v>2817.61</v>
          </cell>
          <cell r="AR9">
            <v>2715.03</v>
          </cell>
          <cell r="AS9">
            <v>2858.76</v>
          </cell>
          <cell r="AT9">
            <v>2780.36</v>
          </cell>
          <cell r="AU9">
            <v>2792.21</v>
          </cell>
          <cell r="AV9">
            <v>2825.2</v>
          </cell>
          <cell r="AW9">
            <v>2755.89</v>
          </cell>
          <cell r="AX9">
            <v>2618.62</v>
          </cell>
          <cell r="AY9">
            <v>2706.84</v>
          </cell>
          <cell r="AZ9">
            <v>2581.98</v>
          </cell>
          <cell r="BA9">
            <v>2581.98</v>
          </cell>
        </row>
        <row r="10">
          <cell r="A10" t="str">
            <v>V0500H25B30</v>
          </cell>
          <cell r="B10">
            <v>500</v>
          </cell>
          <cell r="C10">
            <v>2500</v>
          </cell>
          <cell r="D10">
            <v>3000</v>
          </cell>
          <cell r="E10">
            <v>14</v>
          </cell>
          <cell r="F10">
            <v>2</v>
          </cell>
          <cell r="G10">
            <v>0</v>
          </cell>
          <cell r="H10">
            <v>300</v>
          </cell>
          <cell r="I10">
            <v>50</v>
          </cell>
          <cell r="J10">
            <v>520.4</v>
          </cell>
          <cell r="K10" t="str">
            <v>Q-11002943</v>
          </cell>
          <cell r="L10" t="str">
            <v>\\hokukon-net2\hop\Program\01_MVPシステム_容量別組立図\.\02_余裕高0_6m\pdf\FB600_0500m3-MVP-2500-組-B3000_Q-11002943.pdf</v>
          </cell>
          <cell r="M10">
            <v>2509.4499999999998</v>
          </cell>
          <cell r="N10">
            <v>2535.9499999999998</v>
          </cell>
          <cell r="O10">
            <v>2478.2800000000002</v>
          </cell>
          <cell r="P10">
            <v>2479.1999999999998</v>
          </cell>
          <cell r="Q10">
            <v>2522.5700000000002</v>
          </cell>
          <cell r="R10">
            <v>2503.2399999999998</v>
          </cell>
          <cell r="S10">
            <v>2497.02</v>
          </cell>
          <cell r="T10">
            <v>2498.13</v>
          </cell>
          <cell r="U10">
            <v>2499.6799999999998</v>
          </cell>
          <cell r="V10">
            <v>2488.69</v>
          </cell>
          <cell r="W10">
            <v>2501.86</v>
          </cell>
          <cell r="X10">
            <v>2513.5</v>
          </cell>
          <cell r="Y10">
            <v>2515.2800000000002</v>
          </cell>
          <cell r="Z10">
            <v>2576.48</v>
          </cell>
          <cell r="AA10">
            <v>2526.19</v>
          </cell>
          <cell r="AB10">
            <v>2528.14</v>
          </cell>
          <cell r="AC10">
            <v>2599.59</v>
          </cell>
          <cell r="AD10">
            <v>2491.1</v>
          </cell>
          <cell r="AE10">
            <v>2518.8200000000002</v>
          </cell>
          <cell r="AF10">
            <v>2589.96</v>
          </cell>
          <cell r="AG10">
            <v>2501.8000000000002</v>
          </cell>
          <cell r="AH10">
            <v>2521.62</v>
          </cell>
          <cell r="AI10">
            <v>2487.33</v>
          </cell>
          <cell r="AJ10">
            <v>2523.4299999999998</v>
          </cell>
          <cell r="AK10">
            <v>2444.04</v>
          </cell>
          <cell r="AL10">
            <v>2517.64</v>
          </cell>
          <cell r="AM10">
            <v>2603.16</v>
          </cell>
          <cell r="AN10">
            <v>2542.5100000000002</v>
          </cell>
          <cell r="AO10">
            <v>2561.38</v>
          </cell>
          <cell r="AP10">
            <v>2559.73</v>
          </cell>
          <cell r="AQ10">
            <v>2578.9499999999998</v>
          </cell>
          <cell r="AR10">
            <v>2501.27</v>
          </cell>
          <cell r="AS10">
            <v>2602.69</v>
          </cell>
          <cell r="AT10">
            <v>2550.0100000000002</v>
          </cell>
          <cell r="AU10">
            <v>2558.44</v>
          </cell>
          <cell r="AV10">
            <v>2580.13</v>
          </cell>
          <cell r="AW10">
            <v>2529.83</v>
          </cell>
          <cell r="AX10">
            <v>2435.4699999999998</v>
          </cell>
          <cell r="AY10">
            <v>2495.11</v>
          </cell>
          <cell r="AZ10">
            <v>2407.87</v>
          </cell>
          <cell r="BA10">
            <v>2407.87</v>
          </cell>
        </row>
        <row r="11">
          <cell r="A11" t="str">
            <v>V0500H25B25</v>
          </cell>
          <cell r="B11">
            <v>500</v>
          </cell>
          <cell r="C11">
            <v>2500</v>
          </cell>
          <cell r="D11">
            <v>2500</v>
          </cell>
          <cell r="E11">
            <v>15</v>
          </cell>
          <cell r="F11">
            <v>2</v>
          </cell>
          <cell r="G11">
            <v>0</v>
          </cell>
          <cell r="H11">
            <v>300</v>
          </cell>
          <cell r="I11">
            <v>50</v>
          </cell>
          <cell r="J11">
            <v>511.4</v>
          </cell>
          <cell r="K11" t="str">
            <v>Q-11002942</v>
          </cell>
          <cell r="L11" t="str">
            <v>\\hokukon-net2\hop\Program\01_MVPシステム_容量別組立図\.\02_余裕高0_6m\pdf\FB600_0500m3-MVP-2500-組-B2500_Q-11002942.pdf</v>
          </cell>
          <cell r="M11">
            <v>2544.0300000000002</v>
          </cell>
          <cell r="N11">
            <v>2570.16</v>
          </cell>
          <cell r="O11">
            <v>2513.63</v>
          </cell>
          <cell r="P11">
            <v>2514.5300000000002</v>
          </cell>
          <cell r="Q11">
            <v>2556.84</v>
          </cell>
          <cell r="R11">
            <v>2537.75</v>
          </cell>
          <cell r="S11">
            <v>2531.4</v>
          </cell>
          <cell r="T11">
            <v>2532.4899999999998</v>
          </cell>
          <cell r="U11">
            <v>2535.25</v>
          </cell>
          <cell r="V11">
            <v>2524.2399999999998</v>
          </cell>
          <cell r="W11">
            <v>2537.34</v>
          </cell>
          <cell r="X11">
            <v>2549.2399999999998</v>
          </cell>
          <cell r="Y11">
            <v>2551.0500000000002</v>
          </cell>
          <cell r="Z11">
            <v>2611.81</v>
          </cell>
          <cell r="AA11">
            <v>2562.36</v>
          </cell>
          <cell r="AB11">
            <v>2563.81</v>
          </cell>
          <cell r="AC11">
            <v>2633.73</v>
          </cell>
          <cell r="AD11">
            <v>2526.27</v>
          </cell>
          <cell r="AE11">
            <v>2554.02</v>
          </cell>
          <cell r="AF11">
            <v>2624.45</v>
          </cell>
          <cell r="AG11">
            <v>2537.79</v>
          </cell>
          <cell r="AH11">
            <v>2557.38</v>
          </cell>
          <cell r="AI11">
            <v>2523.7399999999998</v>
          </cell>
          <cell r="AJ11">
            <v>2558.92</v>
          </cell>
          <cell r="AK11">
            <v>2480.41</v>
          </cell>
          <cell r="AL11">
            <v>2552.79</v>
          </cell>
          <cell r="AM11">
            <v>2637.29</v>
          </cell>
          <cell r="AN11">
            <v>2577.54</v>
          </cell>
          <cell r="AO11">
            <v>2595.84</v>
          </cell>
          <cell r="AP11">
            <v>2594.4499999999998</v>
          </cell>
          <cell r="AQ11">
            <v>2613.4899999999998</v>
          </cell>
          <cell r="AR11">
            <v>2535.9</v>
          </cell>
          <cell r="AS11">
            <v>2636.08</v>
          </cell>
          <cell r="AT11">
            <v>2584.63</v>
          </cell>
          <cell r="AU11">
            <v>2593.02</v>
          </cell>
          <cell r="AV11">
            <v>2613.9899999999998</v>
          </cell>
          <cell r="AW11">
            <v>2564.4</v>
          </cell>
          <cell r="AX11">
            <v>2471.66</v>
          </cell>
          <cell r="AY11">
            <v>2530.0300000000002</v>
          </cell>
          <cell r="AZ11">
            <v>2444.16</v>
          </cell>
          <cell r="BA11">
            <v>2444.16</v>
          </cell>
        </row>
        <row r="12">
          <cell r="A12" t="str">
            <v>V0500H25B20</v>
          </cell>
          <cell r="B12">
            <v>500</v>
          </cell>
          <cell r="C12">
            <v>2500</v>
          </cell>
          <cell r="D12">
            <v>2000</v>
          </cell>
          <cell r="E12">
            <v>17</v>
          </cell>
          <cell r="F12">
            <v>2</v>
          </cell>
          <cell r="G12">
            <v>0</v>
          </cell>
          <cell r="H12">
            <v>300</v>
          </cell>
          <cell r="I12">
            <v>50</v>
          </cell>
          <cell r="J12">
            <v>526.4</v>
          </cell>
          <cell r="K12" t="str">
            <v>Q-11002941</v>
          </cell>
          <cell r="L12" t="str">
            <v>\\hokukon-net2\hop\Program\01_MVPシステム_容量別組立図\.\02_余裕高0_6m\pdf\FB600_0500m3-MVP-2500-組-B2000_Q-11002941.pdf</v>
          </cell>
          <cell r="M12">
            <v>2696.1</v>
          </cell>
          <cell r="N12">
            <v>2723.01</v>
          </cell>
          <cell r="O12">
            <v>2664.97</v>
          </cell>
          <cell r="P12">
            <v>2665.91</v>
          </cell>
          <cell r="Q12">
            <v>2709.16</v>
          </cell>
          <cell r="R12">
            <v>2689.43</v>
          </cell>
          <cell r="S12">
            <v>2682.65</v>
          </cell>
          <cell r="T12">
            <v>2683.78</v>
          </cell>
          <cell r="U12">
            <v>2687.73</v>
          </cell>
          <cell r="V12">
            <v>2676.19</v>
          </cell>
          <cell r="W12">
            <v>2689.83</v>
          </cell>
          <cell r="X12">
            <v>2702.5</v>
          </cell>
          <cell r="Y12">
            <v>2704.42</v>
          </cell>
          <cell r="Z12">
            <v>2767.53</v>
          </cell>
          <cell r="AA12">
            <v>2716.64</v>
          </cell>
          <cell r="AB12">
            <v>2717.7</v>
          </cell>
          <cell r="AC12">
            <v>2789.44</v>
          </cell>
          <cell r="AD12">
            <v>2678.15</v>
          </cell>
          <cell r="AE12">
            <v>2707.14</v>
          </cell>
          <cell r="AF12">
            <v>2780.13</v>
          </cell>
          <cell r="AG12">
            <v>2690.86</v>
          </cell>
          <cell r="AH12">
            <v>2711.08</v>
          </cell>
          <cell r="AI12">
            <v>2676.58</v>
          </cell>
          <cell r="AJ12">
            <v>2712.48</v>
          </cell>
          <cell r="AK12">
            <v>2631.2</v>
          </cell>
          <cell r="AL12">
            <v>2705.69</v>
          </cell>
          <cell r="AM12">
            <v>2793.08</v>
          </cell>
          <cell r="AN12">
            <v>2731.42</v>
          </cell>
          <cell r="AO12">
            <v>2749.99</v>
          </cell>
          <cell r="AP12">
            <v>2748.79</v>
          </cell>
          <cell r="AQ12">
            <v>2814.08</v>
          </cell>
          <cell r="AR12">
            <v>2687.62</v>
          </cell>
          <cell r="AS12">
            <v>2791.22</v>
          </cell>
          <cell r="AT12">
            <v>2738.57</v>
          </cell>
          <cell r="AU12">
            <v>2747.34</v>
          </cell>
          <cell r="AV12">
            <v>2768.54</v>
          </cell>
          <cell r="AW12">
            <v>2717.42</v>
          </cell>
          <cell r="AX12">
            <v>2622.02</v>
          </cell>
          <cell r="AY12">
            <v>2681.8</v>
          </cell>
          <cell r="AZ12">
            <v>2593.37</v>
          </cell>
          <cell r="BA12">
            <v>2593.37</v>
          </cell>
        </row>
        <row r="13">
          <cell r="A13" t="str">
            <v>V0500H30B30</v>
          </cell>
          <cell r="B13">
            <v>500</v>
          </cell>
          <cell r="C13">
            <v>3000</v>
          </cell>
          <cell r="D13">
            <v>3000</v>
          </cell>
          <cell r="E13">
            <v>11</v>
          </cell>
          <cell r="F13">
            <v>2</v>
          </cell>
          <cell r="G13">
            <v>0</v>
          </cell>
          <cell r="H13">
            <v>300</v>
          </cell>
          <cell r="I13">
            <v>50</v>
          </cell>
          <cell r="J13">
            <v>522.9</v>
          </cell>
          <cell r="K13" t="str">
            <v>Q-11002946</v>
          </cell>
          <cell r="L13" t="str">
            <v>\\hokukon-net2\hop\Program\01_MVPシステム_容量別組立図\.\02_余裕高0_6m\pdf\FB600_0500m3-MVP-3000-組-B3000_Q-11002946.pdf</v>
          </cell>
          <cell r="M13">
            <v>2220.34</v>
          </cell>
          <cell r="N13">
            <v>2242.09</v>
          </cell>
          <cell r="O13">
            <v>2196.4499999999998</v>
          </cell>
          <cell r="P13">
            <v>2197.19</v>
          </cell>
          <cell r="Q13">
            <v>2230.77</v>
          </cell>
          <cell r="R13">
            <v>2214.85</v>
          </cell>
          <cell r="S13">
            <v>2209.36</v>
          </cell>
          <cell r="T13">
            <v>2210.25</v>
          </cell>
          <cell r="U13">
            <v>2215.42</v>
          </cell>
          <cell r="V13">
            <v>2206.15</v>
          </cell>
          <cell r="W13">
            <v>2216.54</v>
          </cell>
          <cell r="X13">
            <v>2227.37</v>
          </cell>
          <cell r="Y13">
            <v>2229.1</v>
          </cell>
          <cell r="Z13">
            <v>2279.38</v>
          </cell>
          <cell r="AA13">
            <v>2238.87</v>
          </cell>
          <cell r="AB13">
            <v>2239.33</v>
          </cell>
          <cell r="AC13">
            <v>2295.0300000000002</v>
          </cell>
          <cell r="AD13">
            <v>2205.71</v>
          </cell>
          <cell r="AE13">
            <v>2229.1999999999998</v>
          </cell>
          <cell r="AF13">
            <v>2287.1799999999998</v>
          </cell>
          <cell r="AG13">
            <v>2217.17</v>
          </cell>
          <cell r="AH13">
            <v>2233.41</v>
          </cell>
          <cell r="AI13">
            <v>2206.0300000000002</v>
          </cell>
          <cell r="AJ13">
            <v>2234.0300000000002</v>
          </cell>
          <cell r="AK13">
            <v>2169.69</v>
          </cell>
          <cell r="AL13">
            <v>2228.48</v>
          </cell>
          <cell r="AM13">
            <v>2297.84</v>
          </cell>
          <cell r="AN13">
            <v>2249.5300000000002</v>
          </cell>
          <cell r="AO13">
            <v>2263.77</v>
          </cell>
          <cell r="AP13">
            <v>2262.9299999999998</v>
          </cell>
          <cell r="AQ13">
            <v>2278.64</v>
          </cell>
          <cell r="AR13">
            <v>2213.86</v>
          </cell>
          <cell r="AS13">
            <v>2295.6</v>
          </cell>
          <cell r="AT13">
            <v>2254.17</v>
          </cell>
          <cell r="AU13">
            <v>2260.89</v>
          </cell>
          <cell r="AV13">
            <v>2277.61</v>
          </cell>
          <cell r="AW13">
            <v>2236.7600000000002</v>
          </cell>
          <cell r="AX13">
            <v>2161.17</v>
          </cell>
          <cell r="AY13">
            <v>2208.4299999999998</v>
          </cell>
          <cell r="AZ13">
            <v>2138.31</v>
          </cell>
          <cell r="BA13">
            <v>2138.31</v>
          </cell>
        </row>
        <row r="14">
          <cell r="A14" t="str">
            <v>V0500H30B25</v>
          </cell>
          <cell r="B14">
            <v>500</v>
          </cell>
          <cell r="C14">
            <v>3000</v>
          </cell>
          <cell r="D14">
            <v>2500</v>
          </cell>
          <cell r="E14">
            <v>12</v>
          </cell>
          <cell r="F14">
            <v>2</v>
          </cell>
          <cell r="G14">
            <v>0</v>
          </cell>
          <cell r="H14">
            <v>300</v>
          </cell>
          <cell r="I14">
            <v>50</v>
          </cell>
          <cell r="J14">
            <v>522.20000000000005</v>
          </cell>
          <cell r="K14" t="str">
            <v>Q-11002945</v>
          </cell>
          <cell r="L14" t="str">
            <v>\\hokukon-net2\hop\Program\01_MVPシステム_容量別組立図\.\02_余裕高0_6m\pdf\FB600_0500m3-MVP-3000-組-B2500_Q-11002945.pdf</v>
          </cell>
          <cell r="M14">
            <v>2276.7399999999998</v>
          </cell>
          <cell r="N14">
            <v>2298.5</v>
          </cell>
          <cell r="O14">
            <v>2253.0300000000002</v>
          </cell>
          <cell r="P14">
            <v>2253.7800000000002</v>
          </cell>
          <cell r="Q14">
            <v>2287.14</v>
          </cell>
          <cell r="R14">
            <v>2271.1999999999998</v>
          </cell>
          <cell r="S14">
            <v>2265.5500000000002</v>
          </cell>
          <cell r="T14">
            <v>2266.4499999999998</v>
          </cell>
          <cell r="U14">
            <v>2272.3200000000002</v>
          </cell>
          <cell r="V14">
            <v>2262.96</v>
          </cell>
          <cell r="W14">
            <v>2273.4299999999998</v>
          </cell>
          <cell r="X14">
            <v>2284.5100000000002</v>
          </cell>
          <cell r="Y14">
            <v>2286.25</v>
          </cell>
          <cell r="Z14">
            <v>2336.85</v>
          </cell>
          <cell r="AA14">
            <v>2296.35</v>
          </cell>
          <cell r="AB14">
            <v>2296.5700000000002</v>
          </cell>
          <cell r="AC14">
            <v>2352.02</v>
          </cell>
          <cell r="AD14">
            <v>2262.31</v>
          </cell>
          <cell r="AE14">
            <v>2286.06</v>
          </cell>
          <cell r="AF14">
            <v>2344.3000000000002</v>
          </cell>
          <cell r="AG14">
            <v>2274.33</v>
          </cell>
          <cell r="AH14">
            <v>2290.63</v>
          </cell>
          <cell r="AI14">
            <v>2263.3000000000002</v>
          </cell>
          <cell r="AJ14">
            <v>2291.11</v>
          </cell>
          <cell r="AK14">
            <v>2226.5500000000002</v>
          </cell>
          <cell r="AL14">
            <v>2285.31</v>
          </cell>
          <cell r="AM14">
            <v>2354.84</v>
          </cell>
          <cell r="AN14">
            <v>2306.48</v>
          </cell>
          <cell r="AO14">
            <v>2320.56</v>
          </cell>
          <cell r="AP14">
            <v>2319.89</v>
          </cell>
          <cell r="AQ14">
            <v>2335.65</v>
          </cell>
          <cell r="AR14">
            <v>2270.25</v>
          </cell>
          <cell r="AS14">
            <v>2352.21</v>
          </cell>
          <cell r="AT14">
            <v>2311.0100000000002</v>
          </cell>
          <cell r="AU14">
            <v>2317.7600000000002</v>
          </cell>
          <cell r="AV14">
            <v>2334.27</v>
          </cell>
          <cell r="AW14">
            <v>2293.38</v>
          </cell>
          <cell r="AX14">
            <v>2217.9</v>
          </cell>
          <cell r="AY14">
            <v>2264.94</v>
          </cell>
          <cell r="AZ14">
            <v>2194.8200000000002</v>
          </cell>
          <cell r="BA14">
            <v>2194.8200000000002</v>
          </cell>
        </row>
        <row r="15">
          <cell r="A15" t="str">
            <v>V0500H30B20</v>
          </cell>
          <cell r="B15">
            <v>500</v>
          </cell>
          <cell r="C15">
            <v>3000</v>
          </cell>
          <cell r="D15">
            <v>2000</v>
          </cell>
          <cell r="E15">
            <v>13</v>
          </cell>
          <cell r="F15">
            <v>2</v>
          </cell>
          <cell r="G15">
            <v>0</v>
          </cell>
          <cell r="H15">
            <v>300</v>
          </cell>
          <cell r="I15">
            <v>50</v>
          </cell>
          <cell r="J15">
            <v>514.4</v>
          </cell>
          <cell r="K15" t="str">
            <v>Q-11002944</v>
          </cell>
          <cell r="L15" t="str">
            <v>\\hokukon-net2\hop\Program\01_MVPシステム_容量別組立図\.\02_余裕高0_6m\pdf\FB600_0500m3-MVP-3000-組-B2000_Q-11002944.pdf</v>
          </cell>
          <cell r="M15">
            <v>2319.34</v>
          </cell>
          <cell r="N15">
            <v>2340.87</v>
          </cell>
          <cell r="O15">
            <v>2296.21</v>
          </cell>
          <cell r="P15">
            <v>2296.9499999999998</v>
          </cell>
          <cell r="Q15">
            <v>2329.5</v>
          </cell>
          <cell r="R15">
            <v>2313.6999999999998</v>
          </cell>
          <cell r="S15">
            <v>2307.89</v>
          </cell>
          <cell r="T15">
            <v>2308.7800000000002</v>
          </cell>
          <cell r="U15">
            <v>2315.83</v>
          </cell>
          <cell r="V15">
            <v>2306.4</v>
          </cell>
          <cell r="W15">
            <v>2316.84</v>
          </cell>
          <cell r="X15">
            <v>2328.2399999999998</v>
          </cell>
          <cell r="Y15">
            <v>2330.02</v>
          </cell>
          <cell r="Z15">
            <v>2380.46</v>
          </cell>
          <cell r="AA15">
            <v>2340.54</v>
          </cell>
          <cell r="AB15">
            <v>2340.29</v>
          </cell>
          <cell r="AC15">
            <v>2394.62</v>
          </cell>
          <cell r="AD15">
            <v>2305.4299999999998</v>
          </cell>
          <cell r="AE15">
            <v>2329.31</v>
          </cell>
          <cell r="AF15">
            <v>2387.19</v>
          </cell>
          <cell r="AG15">
            <v>2318.2399999999998</v>
          </cell>
          <cell r="AH15">
            <v>2334.42</v>
          </cell>
          <cell r="AI15">
            <v>2307.6</v>
          </cell>
          <cell r="AJ15">
            <v>2334.67</v>
          </cell>
          <cell r="AK15">
            <v>2270.6</v>
          </cell>
          <cell r="AL15">
            <v>2328.5</v>
          </cell>
          <cell r="AM15">
            <v>2397.44</v>
          </cell>
          <cell r="AN15">
            <v>2349.66</v>
          </cell>
          <cell r="AO15">
            <v>2363.2800000000002</v>
          </cell>
          <cell r="AP15">
            <v>2362.84</v>
          </cell>
          <cell r="AQ15">
            <v>2378.5300000000002</v>
          </cell>
          <cell r="AR15">
            <v>2312.87</v>
          </cell>
          <cell r="AS15">
            <v>2394.06</v>
          </cell>
          <cell r="AT15">
            <v>2353.86</v>
          </cell>
          <cell r="AU15">
            <v>2360.6</v>
          </cell>
          <cell r="AV15">
            <v>2376.48</v>
          </cell>
          <cell r="AW15">
            <v>2336.08</v>
          </cell>
          <cell r="AX15">
            <v>2261.73</v>
          </cell>
          <cell r="AY15">
            <v>2307.81</v>
          </cell>
          <cell r="AZ15">
            <v>2238.66</v>
          </cell>
          <cell r="BA15">
            <v>2238.66</v>
          </cell>
        </row>
        <row r="16">
          <cell r="A16" t="str">
            <v>V0500H35B30</v>
          </cell>
          <cell r="B16">
            <v>500</v>
          </cell>
          <cell r="C16">
            <v>3500</v>
          </cell>
          <cell r="D16">
            <v>3000</v>
          </cell>
          <cell r="E16">
            <v>9</v>
          </cell>
          <cell r="F16">
            <v>2</v>
          </cell>
          <cell r="G16">
            <v>0</v>
          </cell>
          <cell r="H16">
            <v>300</v>
          </cell>
          <cell r="I16">
            <v>50</v>
          </cell>
          <cell r="J16">
            <v>523.5</v>
          </cell>
          <cell r="K16" t="str">
            <v>Q-11002949</v>
          </cell>
          <cell r="L16" t="str">
            <v>\\hokukon-net2\hop\Program\01_MVPシステム_容量別組立図\.\02_余裕高0_6m\pdf\FB600_0500m3-MVP-3500-組-B3000_Q-11002949.pdf</v>
          </cell>
          <cell r="M16">
            <v>2035.42</v>
          </cell>
          <cell r="N16">
            <v>2054.16</v>
          </cell>
          <cell r="O16">
            <v>2016.39</v>
          </cell>
          <cell r="P16">
            <v>2017.02</v>
          </cell>
          <cell r="Q16">
            <v>2044.16</v>
          </cell>
          <cell r="R16">
            <v>2030.71</v>
          </cell>
          <cell r="S16">
            <v>2025.59</v>
          </cell>
          <cell r="T16">
            <v>2026.34</v>
          </cell>
          <cell r="U16">
            <v>2033.74</v>
          </cell>
          <cell r="V16">
            <v>2025.65</v>
          </cell>
          <cell r="W16">
            <v>2034.22</v>
          </cell>
          <cell r="X16">
            <v>2044.41</v>
          </cell>
          <cell r="Y16">
            <v>2046.02</v>
          </cell>
          <cell r="Z16">
            <v>2089.0100000000002</v>
          </cell>
          <cell r="AA16">
            <v>2054.9499999999998</v>
          </cell>
          <cell r="AB16">
            <v>2054.5500000000002</v>
          </cell>
          <cell r="AC16">
            <v>2099.88</v>
          </cell>
          <cell r="AD16">
            <v>2023.22</v>
          </cell>
          <cell r="AE16">
            <v>2043.88</v>
          </cell>
          <cell r="AF16">
            <v>2093.1799999999998</v>
          </cell>
          <cell r="AG16">
            <v>2035.21</v>
          </cell>
          <cell r="AH16">
            <v>2049.29</v>
          </cell>
          <cell r="AI16">
            <v>2026.34</v>
          </cell>
          <cell r="AJ16">
            <v>2049</v>
          </cell>
          <cell r="AK16">
            <v>1994.74</v>
          </cell>
          <cell r="AL16">
            <v>2044.09</v>
          </cell>
          <cell r="AM16">
            <v>2102.62</v>
          </cell>
          <cell r="AN16">
            <v>2062.54</v>
          </cell>
          <cell r="AO16">
            <v>2073.7600000000002</v>
          </cell>
          <cell r="AP16">
            <v>2073.61</v>
          </cell>
          <cell r="AQ16">
            <v>2086.92</v>
          </cell>
          <cell r="AR16">
            <v>2029.9</v>
          </cell>
          <cell r="AS16">
            <v>2098.56</v>
          </cell>
          <cell r="AT16">
            <v>2064.9499999999998</v>
          </cell>
          <cell r="AU16">
            <v>2070.48</v>
          </cell>
          <cell r="AV16">
            <v>2083.94</v>
          </cell>
          <cell r="AW16">
            <v>2049.41</v>
          </cell>
          <cell r="AX16">
            <v>1986.1</v>
          </cell>
          <cell r="AY16">
            <v>2025.36</v>
          </cell>
          <cell r="AZ16">
            <v>1966.49</v>
          </cell>
          <cell r="BA16">
            <v>1966.49</v>
          </cell>
        </row>
        <row r="17">
          <cell r="A17" t="str">
            <v>V0500H35B25</v>
          </cell>
          <cell r="B17">
            <v>500</v>
          </cell>
          <cell r="C17">
            <v>3500</v>
          </cell>
          <cell r="D17">
            <v>2500</v>
          </cell>
          <cell r="E17">
            <v>10</v>
          </cell>
          <cell r="F17">
            <v>2</v>
          </cell>
          <cell r="G17">
            <v>0</v>
          </cell>
          <cell r="H17">
            <v>300</v>
          </cell>
          <cell r="I17">
            <v>50</v>
          </cell>
          <cell r="J17">
            <v>531.4</v>
          </cell>
          <cell r="K17" t="str">
            <v>Q-11002948</v>
          </cell>
          <cell r="L17" t="str">
            <v>\\hokukon-net2\hop\Program\01_MVPシステム_容量別組立図\.\02_余裕高0_6m\pdf\FB600_0500m3-MVP-3500-組-B2500_Q-11002948.pdf</v>
          </cell>
          <cell r="M17">
            <v>2108.8000000000002</v>
          </cell>
          <cell r="N17">
            <v>2127.77</v>
          </cell>
          <cell r="O17">
            <v>2089.61</v>
          </cell>
          <cell r="P17">
            <v>2090.25</v>
          </cell>
          <cell r="Q17">
            <v>2117.5700000000002</v>
          </cell>
          <cell r="R17">
            <v>2103.89</v>
          </cell>
          <cell r="S17">
            <v>2098.56</v>
          </cell>
          <cell r="T17">
            <v>2099.34</v>
          </cell>
          <cell r="U17">
            <v>2107.48</v>
          </cell>
          <cell r="V17">
            <v>2099.15</v>
          </cell>
          <cell r="W17">
            <v>2107.94</v>
          </cell>
          <cell r="X17">
            <v>2118.4899999999998</v>
          </cell>
          <cell r="Y17">
            <v>2120.16</v>
          </cell>
          <cell r="Z17">
            <v>2164.0300000000002</v>
          </cell>
          <cell r="AA17">
            <v>2129.5700000000002</v>
          </cell>
          <cell r="AB17">
            <v>2128.89</v>
          </cell>
          <cell r="AC17">
            <v>2174.66</v>
          </cell>
          <cell r="AD17">
            <v>2096.64</v>
          </cell>
          <cell r="AE17">
            <v>2117.83</v>
          </cell>
          <cell r="AF17">
            <v>2168.04</v>
          </cell>
          <cell r="AG17">
            <v>2109.29</v>
          </cell>
          <cell r="AH17">
            <v>2123.58</v>
          </cell>
          <cell r="AI17">
            <v>2100.42</v>
          </cell>
          <cell r="AJ17">
            <v>2123.1799999999998</v>
          </cell>
          <cell r="AK17">
            <v>2067.9499999999998</v>
          </cell>
          <cell r="AL17">
            <v>2117.9</v>
          </cell>
          <cell r="AM17">
            <v>2177.41</v>
          </cell>
          <cell r="AN17">
            <v>2136.73</v>
          </cell>
          <cell r="AO17">
            <v>2147.9499999999998</v>
          </cell>
          <cell r="AP17">
            <v>2147.91</v>
          </cell>
          <cell r="AQ17">
            <v>2161.48</v>
          </cell>
          <cell r="AR17">
            <v>2103.15</v>
          </cell>
          <cell r="AS17">
            <v>2172.9499999999998</v>
          </cell>
          <cell r="AT17">
            <v>2139.11</v>
          </cell>
          <cell r="AU17">
            <v>2144.79</v>
          </cell>
          <cell r="AV17">
            <v>2158.19</v>
          </cell>
          <cell r="AW17">
            <v>2123.1799999999998</v>
          </cell>
          <cell r="AX17">
            <v>2059.11</v>
          </cell>
          <cell r="AY17">
            <v>2098.6799999999998</v>
          </cell>
          <cell r="AZ17">
            <v>2039.05</v>
          </cell>
          <cell r="BA17">
            <v>2039.05</v>
          </cell>
        </row>
        <row r="18">
          <cell r="A18" t="str">
            <v>V0500H35B20</v>
          </cell>
          <cell r="B18">
            <v>500</v>
          </cell>
          <cell r="C18">
            <v>3500</v>
          </cell>
          <cell r="D18">
            <v>2000</v>
          </cell>
          <cell r="E18">
            <v>11</v>
          </cell>
          <cell r="F18">
            <v>2</v>
          </cell>
          <cell r="G18">
            <v>0</v>
          </cell>
          <cell r="H18">
            <v>300</v>
          </cell>
          <cell r="I18">
            <v>50</v>
          </cell>
          <cell r="J18">
            <v>530.5</v>
          </cell>
          <cell r="K18" t="str">
            <v>Q-11002947</v>
          </cell>
          <cell r="L18" t="str">
            <v>\\hokukon-net2\hop\Program\01_MVPシステム_容量別組立図\.\02_余裕高0_6m\pdf\FB600_0500m3-MVP-3500-組-B2000_Q-11002947.pdf</v>
          </cell>
          <cell r="M18">
            <v>2166.64</v>
          </cell>
          <cell r="N18">
            <v>2185.62</v>
          </cell>
          <cell r="O18">
            <v>2147.66</v>
          </cell>
          <cell r="P18">
            <v>2148.3000000000002</v>
          </cell>
          <cell r="Q18">
            <v>2175.36</v>
          </cell>
          <cell r="R18">
            <v>2161.71</v>
          </cell>
          <cell r="S18">
            <v>2156.23</v>
          </cell>
          <cell r="T18">
            <v>2157</v>
          </cell>
          <cell r="U18">
            <v>2165.87</v>
          </cell>
          <cell r="V18">
            <v>2157.4499999999998</v>
          </cell>
          <cell r="W18">
            <v>2166.33</v>
          </cell>
          <cell r="X18">
            <v>2177.14</v>
          </cell>
          <cell r="Y18">
            <v>2178.8200000000002</v>
          </cell>
          <cell r="Z18">
            <v>2222.9699999999998</v>
          </cell>
          <cell r="AA18">
            <v>2188.56</v>
          </cell>
          <cell r="AB18">
            <v>2187.62</v>
          </cell>
          <cell r="AC18">
            <v>2233.08</v>
          </cell>
          <cell r="AD18">
            <v>2154.7199999999998</v>
          </cell>
          <cell r="AE18">
            <v>2176.15</v>
          </cell>
          <cell r="AF18">
            <v>2226.59</v>
          </cell>
          <cell r="AG18">
            <v>2167.9499999999998</v>
          </cell>
          <cell r="AH18">
            <v>2182.31</v>
          </cell>
          <cell r="AI18">
            <v>2159.2199999999998</v>
          </cell>
          <cell r="AJ18">
            <v>2181.7600000000002</v>
          </cell>
          <cell r="AK18">
            <v>2126.33</v>
          </cell>
          <cell r="AL18">
            <v>2176.21</v>
          </cell>
          <cell r="AM18">
            <v>2235.86</v>
          </cell>
          <cell r="AN18">
            <v>2195.16</v>
          </cell>
          <cell r="AO18">
            <v>2206.19</v>
          </cell>
          <cell r="AP18">
            <v>2206.33</v>
          </cell>
          <cell r="AQ18">
            <v>2219.9499999999998</v>
          </cell>
          <cell r="AR18">
            <v>2161</v>
          </cell>
          <cell r="AS18">
            <v>2230.9699999999998</v>
          </cell>
          <cell r="AT18">
            <v>2197.4</v>
          </cell>
          <cell r="AU18">
            <v>2203.1</v>
          </cell>
          <cell r="AV18">
            <v>2216.2800000000002</v>
          </cell>
          <cell r="AW18">
            <v>2181.25</v>
          </cell>
          <cell r="AX18">
            <v>2117.35</v>
          </cell>
          <cell r="AY18">
            <v>2156.65</v>
          </cell>
          <cell r="AZ18">
            <v>2097.08</v>
          </cell>
          <cell r="BA18">
            <v>2097.08</v>
          </cell>
        </row>
        <row r="19">
          <cell r="A19" t="str">
            <v>V0500H40B30</v>
          </cell>
          <cell r="B19">
            <v>500</v>
          </cell>
          <cell r="C19">
            <v>4000</v>
          </cell>
          <cell r="D19">
            <v>3000</v>
          </cell>
          <cell r="E19">
            <v>8</v>
          </cell>
          <cell r="F19">
            <v>2</v>
          </cell>
          <cell r="G19">
            <v>0</v>
          </cell>
          <cell r="H19">
            <v>350</v>
          </cell>
          <cell r="I19">
            <v>70</v>
          </cell>
          <cell r="J19">
            <v>554.1</v>
          </cell>
          <cell r="K19" t="str">
            <v>Q-11002952</v>
          </cell>
          <cell r="L19" t="str">
            <v>\\hokukon-net2\hop\Program\01_MVPシステム_容量別組立図\.\02_余裕高0_6m\pdf\FB600_0500m3-MVP-4000-組-B3000_Q-11002952.pdf</v>
          </cell>
          <cell r="M19">
            <v>2244.16</v>
          </cell>
          <cell r="N19">
            <v>2263.4899999999998</v>
          </cell>
          <cell r="O19">
            <v>2225.65</v>
          </cell>
          <cell r="P19">
            <v>2226.2800000000002</v>
          </cell>
          <cell r="Q19">
            <v>2253.02</v>
          </cell>
          <cell r="R19">
            <v>2239.4</v>
          </cell>
          <cell r="S19">
            <v>2233.96</v>
          </cell>
          <cell r="T19">
            <v>2234.71</v>
          </cell>
          <cell r="U19">
            <v>2242.19</v>
          </cell>
          <cell r="V19">
            <v>2234.2600000000002</v>
          </cell>
          <cell r="W19">
            <v>2242.7399999999998</v>
          </cell>
          <cell r="X19">
            <v>2252.81</v>
          </cell>
          <cell r="Y19">
            <v>2254.08</v>
          </cell>
          <cell r="Z19">
            <v>2297.34</v>
          </cell>
          <cell r="AA19">
            <v>2263.2600000000002</v>
          </cell>
          <cell r="AB19">
            <v>2263.08</v>
          </cell>
          <cell r="AC19">
            <v>2307.91</v>
          </cell>
          <cell r="AD19">
            <v>2229.0700000000002</v>
          </cell>
          <cell r="AE19">
            <v>2250.58</v>
          </cell>
          <cell r="AF19">
            <v>2299.83</v>
          </cell>
          <cell r="AG19">
            <v>2240.79</v>
          </cell>
          <cell r="AH19">
            <v>2255.16</v>
          </cell>
          <cell r="AI19">
            <v>2232.2399999999998</v>
          </cell>
          <cell r="AJ19">
            <v>2254.38</v>
          </cell>
          <cell r="AK19">
            <v>2204.73</v>
          </cell>
          <cell r="AL19">
            <v>2254.66</v>
          </cell>
          <cell r="AM19">
            <v>2313.12</v>
          </cell>
          <cell r="AN19">
            <v>2273.2199999999998</v>
          </cell>
          <cell r="AO19">
            <v>2284.52</v>
          </cell>
          <cell r="AP19">
            <v>2284.41</v>
          </cell>
          <cell r="AQ19">
            <v>2298.04</v>
          </cell>
          <cell r="AR19">
            <v>2235.59</v>
          </cell>
          <cell r="AS19">
            <v>2304.2800000000002</v>
          </cell>
          <cell r="AT19">
            <v>2271.62</v>
          </cell>
          <cell r="AU19">
            <v>2276.87</v>
          </cell>
          <cell r="AV19">
            <v>2289.89</v>
          </cell>
          <cell r="AW19">
            <v>2254.77</v>
          </cell>
          <cell r="AX19">
            <v>2190.87</v>
          </cell>
          <cell r="AY19">
            <v>2230.2600000000002</v>
          </cell>
          <cell r="AZ19">
            <v>2171</v>
          </cell>
          <cell r="BA19">
            <v>2171</v>
          </cell>
        </row>
        <row r="20">
          <cell r="A20" t="str">
            <v>V0500H40B25</v>
          </cell>
          <cell r="B20">
            <v>500</v>
          </cell>
          <cell r="C20">
            <v>4000</v>
          </cell>
          <cell r="D20">
            <v>2500</v>
          </cell>
          <cell r="E20">
            <v>8</v>
          </cell>
          <cell r="F20">
            <v>2</v>
          </cell>
          <cell r="G20">
            <v>0</v>
          </cell>
          <cell r="H20">
            <v>350</v>
          </cell>
          <cell r="I20">
            <v>70</v>
          </cell>
          <cell r="J20">
            <v>509.9</v>
          </cell>
          <cell r="K20" t="str">
            <v>Q-11002951</v>
          </cell>
          <cell r="L20" t="str">
            <v>\\hokukon-net2\hop\Program\01_MVPシステム_容量別組立図\.\02_余裕高0_6m\pdf\FB600_0500m3-MVP-4000-組-B2500_Q-11002951.pdf</v>
          </cell>
          <cell r="M20">
            <v>2163.2199999999998</v>
          </cell>
          <cell r="N20">
            <v>2181.2800000000002</v>
          </cell>
          <cell r="O20">
            <v>2146.5300000000002</v>
          </cell>
          <cell r="P20">
            <v>2147.11</v>
          </cell>
          <cell r="Q20">
            <v>2171.36</v>
          </cell>
          <cell r="R20">
            <v>2158.67</v>
          </cell>
          <cell r="S20">
            <v>2153.35</v>
          </cell>
          <cell r="T20">
            <v>2154.04</v>
          </cell>
          <cell r="U20">
            <v>2162.54</v>
          </cell>
          <cell r="V20">
            <v>2155.02</v>
          </cell>
          <cell r="W20">
            <v>2162.89</v>
          </cell>
          <cell r="X20">
            <v>2172.81</v>
          </cell>
          <cell r="Y20">
            <v>2174.0700000000002</v>
          </cell>
          <cell r="Z20">
            <v>2214.66</v>
          </cell>
          <cell r="AA20">
            <v>2183.1</v>
          </cell>
          <cell r="AB20">
            <v>2182.4499999999998</v>
          </cell>
          <cell r="AC20">
            <v>2223.29</v>
          </cell>
          <cell r="AD20">
            <v>2149.2600000000002</v>
          </cell>
          <cell r="AE20">
            <v>2169.7600000000002</v>
          </cell>
          <cell r="AF20">
            <v>2215.77</v>
          </cell>
          <cell r="AG20">
            <v>2161.35</v>
          </cell>
          <cell r="AH20">
            <v>2174.81</v>
          </cell>
          <cell r="AI20">
            <v>2153.6999999999998</v>
          </cell>
          <cell r="AJ20">
            <v>2173.73</v>
          </cell>
          <cell r="AK20">
            <v>2127.8000000000002</v>
          </cell>
          <cell r="AL20">
            <v>2173.9699999999998</v>
          </cell>
          <cell r="AM20">
            <v>2228.37</v>
          </cell>
          <cell r="AN20">
            <v>2191.56</v>
          </cell>
          <cell r="AO20">
            <v>2201.63</v>
          </cell>
          <cell r="AP20">
            <v>2201.8200000000002</v>
          </cell>
          <cell r="AQ20">
            <v>2214.56</v>
          </cell>
          <cell r="AR20">
            <v>2155.02</v>
          </cell>
          <cell r="AS20">
            <v>2218.83</v>
          </cell>
          <cell r="AT20">
            <v>2189.17</v>
          </cell>
          <cell r="AU20">
            <v>2194.08</v>
          </cell>
          <cell r="AV20">
            <v>2205.71</v>
          </cell>
          <cell r="AW20">
            <v>2173</v>
          </cell>
          <cell r="AX20">
            <v>2113.96</v>
          </cell>
          <cell r="AY20">
            <v>2150.11</v>
          </cell>
          <cell r="AZ20">
            <v>2095.2199999999998</v>
          </cell>
          <cell r="BA20">
            <v>2095.2199999999998</v>
          </cell>
        </row>
        <row r="21">
          <cell r="A21" t="str">
            <v>V0500H40B20</v>
          </cell>
          <cell r="B21">
            <v>500</v>
          </cell>
          <cell r="C21">
            <v>4000</v>
          </cell>
          <cell r="D21">
            <v>2000</v>
          </cell>
          <cell r="E21">
            <v>9</v>
          </cell>
          <cell r="F21">
            <v>2</v>
          </cell>
          <cell r="G21">
            <v>0</v>
          </cell>
          <cell r="H21">
            <v>350</v>
          </cell>
          <cell r="I21">
            <v>70</v>
          </cell>
          <cell r="J21">
            <v>519.70000000000005</v>
          </cell>
          <cell r="K21" t="str">
            <v>Q-11002950</v>
          </cell>
          <cell r="L21" t="str">
            <v>\\hokukon-net2\hop\Program\01_MVPシステム_容量別組立図\.\02_余裕高0_6m\pdf\FB600_0500m3-MVP-4000-組-B2000_Q-11002950.pdf</v>
          </cell>
          <cell r="M21">
            <v>2263.39</v>
          </cell>
          <cell r="N21">
            <v>2281.75</v>
          </cell>
          <cell r="O21">
            <v>2246.44</v>
          </cell>
          <cell r="P21">
            <v>2247.04</v>
          </cell>
          <cell r="Q21">
            <v>2271.61</v>
          </cell>
          <cell r="R21">
            <v>2258.69</v>
          </cell>
          <cell r="S21">
            <v>2253.1799999999998</v>
          </cell>
          <cell r="T21">
            <v>2253.89</v>
          </cell>
          <cell r="U21">
            <v>2262.94</v>
          </cell>
          <cell r="V21">
            <v>2255.1999999999998</v>
          </cell>
          <cell r="W21">
            <v>2263.29</v>
          </cell>
          <cell r="X21">
            <v>2273.52</v>
          </cell>
          <cell r="Y21">
            <v>2274.85</v>
          </cell>
          <cell r="Z21">
            <v>2316.38</v>
          </cell>
          <cell r="AA21">
            <v>2284.27</v>
          </cell>
          <cell r="AB21">
            <v>2283.46</v>
          </cell>
          <cell r="AC21">
            <v>2324.9</v>
          </cell>
          <cell r="AD21">
            <v>2249.27</v>
          </cell>
          <cell r="AE21">
            <v>2270.27</v>
          </cell>
          <cell r="AF21">
            <v>2317.2800000000002</v>
          </cell>
          <cell r="AG21">
            <v>2261.8000000000002</v>
          </cell>
          <cell r="AH21">
            <v>2275.5300000000002</v>
          </cell>
          <cell r="AI21">
            <v>2254.1</v>
          </cell>
          <cell r="AJ21">
            <v>2274.4</v>
          </cell>
          <cell r="AK21">
            <v>2227.66</v>
          </cell>
          <cell r="AL21">
            <v>2274.63</v>
          </cell>
          <cell r="AM21">
            <v>2330.15</v>
          </cell>
          <cell r="AN21">
            <v>2292.59</v>
          </cell>
          <cell r="AO21">
            <v>2302.77</v>
          </cell>
          <cell r="AP21">
            <v>2303.04</v>
          </cell>
          <cell r="AQ21">
            <v>2316.08</v>
          </cell>
          <cell r="AR21">
            <v>2254.91</v>
          </cell>
          <cell r="AS21">
            <v>2320.0300000000002</v>
          </cell>
          <cell r="AT21">
            <v>2289.96</v>
          </cell>
          <cell r="AU21">
            <v>2294.9899999999998</v>
          </cell>
          <cell r="AV21">
            <v>2306.69</v>
          </cell>
          <cell r="AW21">
            <v>2273.34</v>
          </cell>
          <cell r="AX21">
            <v>2213.3200000000002</v>
          </cell>
          <cell r="AY21">
            <v>2249.94</v>
          </cell>
          <cell r="AZ21">
            <v>2194.09</v>
          </cell>
          <cell r="BA21">
            <v>2194.09</v>
          </cell>
        </row>
        <row r="22">
          <cell r="A22" t="str">
            <v>V0500H45B30</v>
          </cell>
          <cell r="B22">
            <v>500</v>
          </cell>
          <cell r="C22">
            <v>4500</v>
          </cell>
          <cell r="D22">
            <v>3000</v>
          </cell>
          <cell r="E22">
            <v>7</v>
          </cell>
          <cell r="F22">
            <v>2</v>
          </cell>
          <cell r="G22">
            <v>0</v>
          </cell>
          <cell r="H22">
            <v>350</v>
          </cell>
          <cell r="I22">
            <v>70</v>
          </cell>
          <cell r="J22">
            <v>562.1</v>
          </cell>
          <cell r="K22" t="str">
            <v>Q-11002955</v>
          </cell>
          <cell r="L22" t="str">
            <v>\\hokukon-net2\hop\Program\01_MVPシステム_容量別組立図\.\02_余裕高0_6m\pdf\FB600_0500m3-MVP-4500-組-B3000_Q-11002955.pdf</v>
          </cell>
          <cell r="M22">
            <v>2174.9299999999998</v>
          </cell>
          <cell r="N22">
            <v>2192.52</v>
          </cell>
          <cell r="O22">
            <v>2159.27</v>
          </cell>
          <cell r="P22">
            <v>2159.83</v>
          </cell>
          <cell r="Q22">
            <v>2182.73</v>
          </cell>
          <cell r="R22">
            <v>2170.36</v>
          </cell>
          <cell r="S22">
            <v>2164.96</v>
          </cell>
          <cell r="T22">
            <v>2165.63</v>
          </cell>
          <cell r="U22">
            <v>2175.42</v>
          </cell>
          <cell r="V22">
            <v>2168.04</v>
          </cell>
          <cell r="W22">
            <v>2175.52</v>
          </cell>
          <cell r="X22">
            <v>2185.66</v>
          </cell>
          <cell r="Y22">
            <v>2186.92</v>
          </cell>
          <cell r="Z22">
            <v>2226.44</v>
          </cell>
          <cell r="AA22">
            <v>2196.02</v>
          </cell>
          <cell r="AB22">
            <v>2195.0300000000002</v>
          </cell>
          <cell r="AC22">
            <v>2233.59</v>
          </cell>
          <cell r="AD22">
            <v>2161.38</v>
          </cell>
          <cell r="AE22">
            <v>2181.62</v>
          </cell>
          <cell r="AF22">
            <v>2226.31</v>
          </cell>
          <cell r="AG22">
            <v>2174.27</v>
          </cell>
          <cell r="AH22">
            <v>2187.35</v>
          </cell>
          <cell r="AI22">
            <v>2167.04</v>
          </cell>
          <cell r="AJ22">
            <v>2186.0100000000002</v>
          </cell>
          <cell r="AK22">
            <v>2141.6799999999998</v>
          </cell>
          <cell r="AL22">
            <v>2186.08</v>
          </cell>
          <cell r="AM22">
            <v>2238.7399999999998</v>
          </cell>
          <cell r="AN22">
            <v>2203.5100000000002</v>
          </cell>
          <cell r="AO22">
            <v>2212.94</v>
          </cell>
          <cell r="AP22">
            <v>2213.2600000000002</v>
          </cell>
          <cell r="AQ22">
            <v>2225.64</v>
          </cell>
          <cell r="AR22">
            <v>2166.73</v>
          </cell>
          <cell r="AS22">
            <v>2228.2600000000002</v>
          </cell>
          <cell r="AT22">
            <v>2200.27</v>
          </cell>
          <cell r="AU22">
            <v>2204.89</v>
          </cell>
          <cell r="AV22">
            <v>2215.9</v>
          </cell>
          <cell r="AW22">
            <v>2184.3000000000002</v>
          </cell>
          <cell r="AX22">
            <v>2127.4699999999998</v>
          </cell>
          <cell r="AY22">
            <v>2161.9699999999998</v>
          </cell>
          <cell r="AZ22">
            <v>2109.19</v>
          </cell>
          <cell r="BA22">
            <v>2109.19</v>
          </cell>
        </row>
        <row r="23">
          <cell r="A23" t="str">
            <v>V0500H45B25</v>
          </cell>
          <cell r="B23">
            <v>500</v>
          </cell>
          <cell r="C23">
            <v>4500</v>
          </cell>
          <cell r="D23">
            <v>2500</v>
          </cell>
          <cell r="E23">
            <v>7</v>
          </cell>
          <cell r="F23">
            <v>2</v>
          </cell>
          <cell r="G23">
            <v>0</v>
          </cell>
          <cell r="H23">
            <v>350</v>
          </cell>
          <cell r="I23">
            <v>70</v>
          </cell>
          <cell r="J23">
            <v>517.29999999999995</v>
          </cell>
          <cell r="K23" t="str">
            <v>Q-11002954</v>
          </cell>
          <cell r="L23" t="str">
            <v>\\hokukon-net2\hop\Program\01_MVPシステム_容量別組立図\.\02_余裕高0_6m\pdf\FB600_0500m3-MVP-4500-組-B2500_Q-11002954.pdf</v>
          </cell>
          <cell r="M23">
            <v>2094.9699999999998</v>
          </cell>
          <cell r="N23">
            <v>2111.44</v>
          </cell>
          <cell r="O23">
            <v>2080.92</v>
          </cell>
          <cell r="P23">
            <v>2081.4499999999998</v>
          </cell>
          <cell r="Q23">
            <v>2102.16</v>
          </cell>
          <cell r="R23">
            <v>2090.65</v>
          </cell>
          <cell r="S23">
            <v>2085.41</v>
          </cell>
          <cell r="T23">
            <v>2086.02</v>
          </cell>
          <cell r="U23">
            <v>2096.5500000000002</v>
          </cell>
          <cell r="V23">
            <v>2089.54</v>
          </cell>
          <cell r="W23">
            <v>2096.4299999999998</v>
          </cell>
          <cell r="X23">
            <v>2106.38</v>
          </cell>
          <cell r="Y23">
            <v>2107.63</v>
          </cell>
          <cell r="Z23">
            <v>2144.6999999999998</v>
          </cell>
          <cell r="AA23">
            <v>2116.5100000000002</v>
          </cell>
          <cell r="AB23">
            <v>2115.16</v>
          </cell>
          <cell r="AC23">
            <v>2150.2399999999998</v>
          </cell>
          <cell r="AD23">
            <v>2082.42</v>
          </cell>
          <cell r="AE23">
            <v>2101.71</v>
          </cell>
          <cell r="AF23">
            <v>2143.44</v>
          </cell>
          <cell r="AG23">
            <v>2095.4899999999998</v>
          </cell>
          <cell r="AH23">
            <v>2107.8000000000002</v>
          </cell>
          <cell r="AI23">
            <v>2089.08</v>
          </cell>
          <cell r="AJ23">
            <v>2106.1999999999998</v>
          </cell>
          <cell r="AK23">
            <v>2065.15</v>
          </cell>
          <cell r="AL23">
            <v>2106.29</v>
          </cell>
          <cell r="AM23">
            <v>2155.29</v>
          </cell>
          <cell r="AN23">
            <v>2122.75</v>
          </cell>
          <cell r="AO23">
            <v>2131.14</v>
          </cell>
          <cell r="AP23">
            <v>2131.7199999999998</v>
          </cell>
          <cell r="AQ23">
            <v>2143.2600000000002</v>
          </cell>
          <cell r="AR23">
            <v>2087.21</v>
          </cell>
          <cell r="AS23">
            <v>2144.35</v>
          </cell>
          <cell r="AT23">
            <v>2118.96</v>
          </cell>
          <cell r="AU23">
            <v>2123.2399999999998</v>
          </cell>
          <cell r="AV23">
            <v>2133.08</v>
          </cell>
          <cell r="AW23">
            <v>2103.63</v>
          </cell>
          <cell r="AX23">
            <v>2051.09</v>
          </cell>
          <cell r="AY23">
            <v>2082.7800000000002</v>
          </cell>
          <cell r="AZ23">
            <v>2033.88</v>
          </cell>
          <cell r="BA23">
            <v>2033.88</v>
          </cell>
        </row>
        <row r="24">
          <cell r="A24" t="str">
            <v>V0500H45B20</v>
          </cell>
          <cell r="B24">
            <v>500</v>
          </cell>
          <cell r="C24">
            <v>4500</v>
          </cell>
          <cell r="D24">
            <v>2000</v>
          </cell>
          <cell r="E24">
            <v>8</v>
          </cell>
          <cell r="F24">
            <v>2</v>
          </cell>
          <cell r="G24">
            <v>0</v>
          </cell>
          <cell r="H24">
            <v>350</v>
          </cell>
          <cell r="I24">
            <v>70</v>
          </cell>
          <cell r="J24">
            <v>534.29999999999995</v>
          </cell>
          <cell r="K24" t="str">
            <v>Q-11002953</v>
          </cell>
          <cell r="L24" t="str">
            <v>\\hokukon-net2\hop\Program\01_MVPシステム_容量別組立図\.\02_余裕高0_6m\pdf\FB600_0500m3-MVP-4500-組-B2000_Q-11002953.pdf</v>
          </cell>
          <cell r="M24">
            <v>2214.4499999999998</v>
          </cell>
          <cell r="N24">
            <v>2231.39</v>
          </cell>
          <cell r="O24">
            <v>2200.0300000000002</v>
          </cell>
          <cell r="P24">
            <v>2200.56</v>
          </cell>
          <cell r="Q24">
            <v>2221.8000000000002</v>
          </cell>
          <cell r="R24">
            <v>2209.9</v>
          </cell>
          <cell r="S24">
            <v>2204.4</v>
          </cell>
          <cell r="T24">
            <v>2205.0500000000002</v>
          </cell>
          <cell r="U24">
            <v>2216.23</v>
          </cell>
          <cell r="V24">
            <v>2208.94</v>
          </cell>
          <cell r="W24">
            <v>2216.15</v>
          </cell>
          <cell r="X24">
            <v>2226.5300000000002</v>
          </cell>
          <cell r="Y24">
            <v>2227.84</v>
          </cell>
          <cell r="Z24">
            <v>2266.25</v>
          </cell>
          <cell r="AA24">
            <v>2237.27</v>
          </cell>
          <cell r="AB24">
            <v>2235.6799999999998</v>
          </cell>
          <cell r="AC24">
            <v>2271.71</v>
          </cell>
          <cell r="AD24">
            <v>2201.61</v>
          </cell>
          <cell r="AE24">
            <v>2221.64</v>
          </cell>
          <cell r="AF24">
            <v>2264.7800000000002</v>
          </cell>
          <cell r="AG24">
            <v>2215.33</v>
          </cell>
          <cell r="AH24">
            <v>2227.9699999999998</v>
          </cell>
          <cell r="AI24">
            <v>2208.8000000000002</v>
          </cell>
          <cell r="AJ24">
            <v>2226.2800000000002</v>
          </cell>
          <cell r="AK24">
            <v>2184.13</v>
          </cell>
          <cell r="AL24">
            <v>2226.39</v>
          </cell>
          <cell r="AM24">
            <v>2276.96</v>
          </cell>
          <cell r="AN24">
            <v>2243.4</v>
          </cell>
          <cell r="AO24">
            <v>2251.94</v>
          </cell>
          <cell r="AP24">
            <v>2252.61</v>
          </cell>
          <cell r="AQ24">
            <v>2264.58</v>
          </cell>
          <cell r="AR24">
            <v>2206.27</v>
          </cell>
          <cell r="AS24">
            <v>2265.31</v>
          </cell>
          <cell r="AT24">
            <v>2239.3000000000002</v>
          </cell>
          <cell r="AU24">
            <v>2243.79</v>
          </cell>
          <cell r="AV24">
            <v>2253.7199999999998</v>
          </cell>
          <cell r="AW24">
            <v>2223.35</v>
          </cell>
          <cell r="AX24">
            <v>2169.37</v>
          </cell>
          <cell r="AY24">
            <v>2201.7800000000002</v>
          </cell>
          <cell r="AZ24">
            <v>2151.48</v>
          </cell>
          <cell r="BA24">
            <v>2151.48</v>
          </cell>
        </row>
        <row r="25">
          <cell r="A25" t="str">
            <v>V1000H15B30</v>
          </cell>
          <cell r="B25">
            <v>1000</v>
          </cell>
          <cell r="C25">
            <v>1500</v>
          </cell>
          <cell r="D25">
            <v>3000</v>
          </cell>
          <cell r="E25">
            <v>26</v>
          </cell>
          <cell r="F25">
            <v>3</v>
          </cell>
          <cell r="G25">
            <v>0</v>
          </cell>
          <cell r="H25">
            <v>350</v>
          </cell>
          <cell r="I25">
            <v>50</v>
          </cell>
          <cell r="J25">
            <v>1036.8</v>
          </cell>
          <cell r="K25" t="str">
            <v>Q-11002958</v>
          </cell>
          <cell r="L25" t="str">
            <v>\\hokukon-net2\hop\Program\01_MVPシステム_容量別組立図\.\02_余裕高0_6m\pdf\FB600_1000m3-MVP-1500-組-B3000_Q-11002958.pdf</v>
          </cell>
          <cell r="M25">
            <v>7128.51</v>
          </cell>
          <cell r="N25">
            <v>7237.19</v>
          </cell>
          <cell r="O25">
            <v>6978.51</v>
          </cell>
          <cell r="P25">
            <v>6982.36</v>
          </cell>
          <cell r="Q25">
            <v>7185.84</v>
          </cell>
          <cell r="R25">
            <v>7103.4</v>
          </cell>
          <cell r="S25">
            <v>7086.54</v>
          </cell>
          <cell r="T25">
            <v>7091.18</v>
          </cell>
          <cell r="U25">
            <v>7033.17</v>
          </cell>
          <cell r="V25">
            <v>6994.13</v>
          </cell>
          <cell r="W25">
            <v>7048.68</v>
          </cell>
          <cell r="X25">
            <v>7073.43</v>
          </cell>
          <cell r="Y25">
            <v>7076.28</v>
          </cell>
          <cell r="Z25">
            <v>7318.46</v>
          </cell>
          <cell r="AA25">
            <v>7106.64</v>
          </cell>
          <cell r="AB25">
            <v>7133.88</v>
          </cell>
          <cell r="AC25">
            <v>7466.84</v>
          </cell>
          <cell r="AD25">
            <v>7039.35</v>
          </cell>
          <cell r="AE25">
            <v>7140.11</v>
          </cell>
          <cell r="AF25">
            <v>7428.14</v>
          </cell>
          <cell r="AG25">
            <v>7033.18</v>
          </cell>
          <cell r="AH25">
            <v>7110.38</v>
          </cell>
          <cell r="AI25">
            <v>6961.02</v>
          </cell>
          <cell r="AJ25">
            <v>7131.76</v>
          </cell>
          <cell r="AK25">
            <v>6802.55</v>
          </cell>
          <cell r="AL25">
            <v>7121.8</v>
          </cell>
          <cell r="AM25">
            <v>7477.56</v>
          </cell>
          <cell r="AN25">
            <v>7213.72</v>
          </cell>
          <cell r="AO25">
            <v>7309.54</v>
          </cell>
          <cell r="AP25">
            <v>7289.94</v>
          </cell>
          <cell r="AQ25">
            <v>7370.39</v>
          </cell>
          <cell r="AR25">
            <v>7087.64</v>
          </cell>
          <cell r="AS25">
            <v>7516.98</v>
          </cell>
          <cell r="AT25">
            <v>7271.26</v>
          </cell>
          <cell r="AU25">
            <v>7308.13</v>
          </cell>
          <cell r="AV25">
            <v>7412.77</v>
          </cell>
          <cell r="AW25">
            <v>7286.05</v>
          </cell>
          <cell r="AX25">
            <v>6794.39</v>
          </cell>
          <cell r="AY25">
            <v>7062.9</v>
          </cell>
          <cell r="AZ25">
            <v>6689.43</v>
          </cell>
          <cell r="BA25">
            <v>6689.43</v>
          </cell>
        </row>
        <row r="26">
          <cell r="A26" t="str">
            <v>V1000H15B25</v>
          </cell>
          <cell r="B26">
            <v>1000</v>
          </cell>
          <cell r="C26">
            <v>1500</v>
          </cell>
          <cell r="D26">
            <v>2500</v>
          </cell>
          <cell r="E26">
            <v>27</v>
          </cell>
          <cell r="F26">
            <v>3</v>
          </cell>
          <cell r="G26">
            <v>0</v>
          </cell>
          <cell r="H26">
            <v>350</v>
          </cell>
          <cell r="I26">
            <v>50</v>
          </cell>
          <cell r="J26">
            <v>1000.6</v>
          </cell>
          <cell r="K26" t="str">
            <v>Q-11002957</v>
          </cell>
          <cell r="L26" t="str">
            <v>\\hokukon-net2\hop\Program\01_MVPシステム_容量別組立図\.\02_余裕高0_6m\pdf\FB600_1000m3-MVP-1500-組-B2500_Q-11002957.pdf</v>
          </cell>
          <cell r="M26">
            <v>7015.89</v>
          </cell>
          <cell r="N26">
            <v>7121.15</v>
          </cell>
          <cell r="O26">
            <v>6871.45</v>
          </cell>
          <cell r="P26">
            <v>6875.17</v>
          </cell>
          <cell r="Q26">
            <v>7071.07</v>
          </cell>
          <cell r="R26">
            <v>6991.18</v>
          </cell>
          <cell r="S26">
            <v>6974.32</v>
          </cell>
          <cell r="T26">
            <v>6978.81</v>
          </cell>
          <cell r="U26">
            <v>6925.6</v>
          </cell>
          <cell r="V26">
            <v>6887.42</v>
          </cell>
          <cell r="W26">
            <v>6940.42</v>
          </cell>
          <cell r="X26">
            <v>6965.4</v>
          </cell>
          <cell r="Y26">
            <v>6968.29</v>
          </cell>
          <cell r="Z26">
            <v>7203.71</v>
          </cell>
          <cell r="AA26">
            <v>6998.92</v>
          </cell>
          <cell r="AB26">
            <v>7024.23</v>
          </cell>
          <cell r="AC26">
            <v>7345.33</v>
          </cell>
          <cell r="AD26">
            <v>6930.29</v>
          </cell>
          <cell r="AE26">
            <v>7028.81</v>
          </cell>
          <cell r="AF26">
            <v>7308.34</v>
          </cell>
          <cell r="AG26">
            <v>6926.57</v>
          </cell>
          <cell r="AH26">
            <v>7001.42</v>
          </cell>
          <cell r="AI26">
            <v>6857.26</v>
          </cell>
          <cell r="AJ26">
            <v>7021.56</v>
          </cell>
          <cell r="AK26">
            <v>6702.33</v>
          </cell>
          <cell r="AL26">
            <v>7010.98</v>
          </cell>
          <cell r="AM26">
            <v>7355.83</v>
          </cell>
          <cell r="AN26">
            <v>7100.57</v>
          </cell>
          <cell r="AO26">
            <v>7192.56</v>
          </cell>
          <cell r="AP26">
            <v>7174.11</v>
          </cell>
          <cell r="AQ26">
            <v>7252.24</v>
          </cell>
          <cell r="AR26">
            <v>6976.16</v>
          </cell>
          <cell r="AS26">
            <v>7392.16</v>
          </cell>
          <cell r="AT26">
            <v>7155.5</v>
          </cell>
          <cell r="AU26">
            <v>7191.32</v>
          </cell>
          <cell r="AV26">
            <v>7291.65</v>
          </cell>
          <cell r="AW26">
            <v>7092.71</v>
          </cell>
          <cell r="AX26">
            <v>6693.65</v>
          </cell>
          <cell r="AY26">
            <v>6952.62</v>
          </cell>
          <cell r="AZ26">
            <v>6591.43</v>
          </cell>
          <cell r="BA26">
            <v>6591.43</v>
          </cell>
        </row>
        <row r="27">
          <cell r="A27" t="str">
            <v>V1000H15B20</v>
          </cell>
          <cell r="B27">
            <v>1000</v>
          </cell>
          <cell r="C27">
            <v>1500</v>
          </cell>
          <cell r="D27">
            <v>2000</v>
          </cell>
          <cell r="E27">
            <v>30</v>
          </cell>
          <cell r="F27">
            <v>3</v>
          </cell>
          <cell r="G27">
            <v>0</v>
          </cell>
          <cell r="H27">
            <v>350</v>
          </cell>
          <cell r="I27">
            <v>50</v>
          </cell>
          <cell r="J27">
            <v>1025.8</v>
          </cell>
          <cell r="K27" t="str">
            <v>Q-11002956</v>
          </cell>
          <cell r="L27" t="str">
            <v>\\hokukon-net2\hop\Program\01_MVPシステム_容量別組立図\.\02_余裕高0_6m\pdf\FB600_1000m3-MVP-1500-組-B2000_Q-11002956.pdf</v>
          </cell>
          <cell r="M27">
            <v>7327.5</v>
          </cell>
          <cell r="N27">
            <v>7435.59</v>
          </cell>
          <cell r="O27">
            <v>7179.73</v>
          </cell>
          <cell r="P27">
            <v>7183.55</v>
          </cell>
          <cell r="Q27">
            <v>7383.85</v>
          </cell>
          <cell r="R27">
            <v>7301.7</v>
          </cell>
          <cell r="S27">
            <v>7283.87</v>
          </cell>
          <cell r="T27">
            <v>7288.49</v>
          </cell>
          <cell r="U27">
            <v>7236.36</v>
          </cell>
          <cell r="V27">
            <v>7196.76</v>
          </cell>
          <cell r="W27">
            <v>7251.48</v>
          </cell>
          <cell r="X27">
            <v>7278.05</v>
          </cell>
          <cell r="Y27">
            <v>7281.13</v>
          </cell>
          <cell r="Z27">
            <v>7523.97</v>
          </cell>
          <cell r="AA27">
            <v>7313.89</v>
          </cell>
          <cell r="AB27">
            <v>7338.86</v>
          </cell>
          <cell r="AC27">
            <v>7667.77</v>
          </cell>
          <cell r="AD27">
            <v>7240.42</v>
          </cell>
          <cell r="AE27">
            <v>7342.51</v>
          </cell>
          <cell r="AF27">
            <v>7630.38</v>
          </cell>
          <cell r="AG27">
            <v>7238.54</v>
          </cell>
          <cell r="AH27">
            <v>7315.45</v>
          </cell>
          <cell r="AI27">
            <v>7167.82</v>
          </cell>
          <cell r="AJ27">
            <v>7335.69</v>
          </cell>
          <cell r="AK27">
            <v>7007.12</v>
          </cell>
          <cell r="AL27">
            <v>7323.77</v>
          </cell>
          <cell r="AM27">
            <v>7678.54</v>
          </cell>
          <cell r="AN27">
            <v>7416.33</v>
          </cell>
          <cell r="AO27">
            <v>7510.13</v>
          </cell>
          <cell r="AP27">
            <v>7491.65</v>
          </cell>
          <cell r="AQ27">
            <v>7572.19</v>
          </cell>
          <cell r="AR27">
            <v>7286.5</v>
          </cell>
          <cell r="AS27">
            <v>7714.39</v>
          </cell>
          <cell r="AT27">
            <v>7472.28</v>
          </cell>
          <cell r="AU27">
            <v>7509.34</v>
          </cell>
          <cell r="AV27">
            <v>7611.42</v>
          </cell>
          <cell r="AW27">
            <v>7407.13</v>
          </cell>
          <cell r="AX27">
            <v>6997.76</v>
          </cell>
          <cell r="AY27">
            <v>7262.83</v>
          </cell>
          <cell r="AZ27">
            <v>6892.15</v>
          </cell>
          <cell r="BA27">
            <v>6892.15</v>
          </cell>
        </row>
        <row r="28">
          <cell r="A28" t="str">
            <v>V1000H20B30</v>
          </cell>
          <cell r="B28">
            <v>1000</v>
          </cell>
          <cell r="C28">
            <v>2000</v>
          </cell>
          <cell r="D28">
            <v>3000</v>
          </cell>
          <cell r="E28">
            <v>23</v>
          </cell>
          <cell r="F28">
            <v>2</v>
          </cell>
          <cell r="G28">
            <v>0</v>
          </cell>
          <cell r="H28">
            <v>350</v>
          </cell>
          <cell r="I28">
            <v>50</v>
          </cell>
          <cell r="J28">
            <v>1021.8</v>
          </cell>
          <cell r="K28" t="str">
            <v>Q-11002961</v>
          </cell>
          <cell r="L28" t="str">
            <v>\\hokukon-net2\hop\Program\01_MVPシステム_容量別組立図\.\02_余裕高0_6m\pdf\FB600_1000m3-MVP-2000-組-B3000_Q-11002961.pdf</v>
          </cell>
          <cell r="M28">
            <v>4890.96</v>
          </cell>
          <cell r="N28">
            <v>4961.55</v>
          </cell>
          <cell r="O28">
            <v>4795.59</v>
          </cell>
          <cell r="P28">
            <v>4798.07</v>
          </cell>
          <cell r="Q28">
            <v>4927.51</v>
          </cell>
          <cell r="R28">
            <v>4874.42</v>
          </cell>
          <cell r="S28">
            <v>4862.84</v>
          </cell>
          <cell r="T28">
            <v>4865.84</v>
          </cell>
          <cell r="U28">
            <v>4832.6899999999996</v>
          </cell>
          <cell r="V28">
            <v>4807.05</v>
          </cell>
          <cell r="W28">
            <v>4842.18</v>
          </cell>
          <cell r="X28">
            <v>4859.6499999999996</v>
          </cell>
          <cell r="Y28">
            <v>4861.58</v>
          </cell>
          <cell r="Z28">
            <v>5018.76</v>
          </cell>
          <cell r="AA28">
            <v>4882.03</v>
          </cell>
          <cell r="AB28">
            <v>4898.6899999999996</v>
          </cell>
          <cell r="AC28">
            <v>5111.37</v>
          </cell>
          <cell r="AD28">
            <v>4833.2700000000004</v>
          </cell>
          <cell r="AE28">
            <v>4899.74</v>
          </cell>
          <cell r="AF28">
            <v>5086.18</v>
          </cell>
          <cell r="AG28">
            <v>4832.7</v>
          </cell>
          <cell r="AH28">
            <v>4882.8900000000003</v>
          </cell>
          <cell r="AI28">
            <v>4786.8900000000003</v>
          </cell>
          <cell r="AJ28">
            <v>4895.8100000000004</v>
          </cell>
          <cell r="AK28">
            <v>4683.1400000000003</v>
          </cell>
          <cell r="AL28">
            <v>4889.08</v>
          </cell>
          <cell r="AM28">
            <v>5119.1499999999996</v>
          </cell>
          <cell r="AN28">
            <v>4949.5600000000004</v>
          </cell>
          <cell r="AO28">
            <v>5010.3999999999996</v>
          </cell>
          <cell r="AP28">
            <v>4998.47</v>
          </cell>
          <cell r="AQ28">
            <v>5050.57</v>
          </cell>
          <cell r="AR28">
            <v>4864.42</v>
          </cell>
          <cell r="AS28">
            <v>5141.3</v>
          </cell>
          <cell r="AT28">
            <v>4984.49</v>
          </cell>
          <cell r="AU28">
            <v>5007.93</v>
          </cell>
          <cell r="AV28">
            <v>5074.6000000000004</v>
          </cell>
          <cell r="AW28">
            <v>4941.6899999999996</v>
          </cell>
          <cell r="AX28">
            <v>4675.6099999999997</v>
          </cell>
          <cell r="AY28">
            <v>4848.25</v>
          </cell>
          <cell r="AZ28">
            <v>4607.1899999999996</v>
          </cell>
          <cell r="BA28">
            <v>4607.1899999999996</v>
          </cell>
        </row>
        <row r="29">
          <cell r="A29" t="str">
            <v>V1000H20B25</v>
          </cell>
          <cell r="B29">
            <v>1000</v>
          </cell>
          <cell r="C29">
            <v>2000</v>
          </cell>
          <cell r="D29">
            <v>2500</v>
          </cell>
          <cell r="E29">
            <v>25</v>
          </cell>
          <cell r="F29">
            <v>2</v>
          </cell>
          <cell r="G29">
            <v>0</v>
          </cell>
          <cell r="H29">
            <v>350</v>
          </cell>
          <cell r="I29">
            <v>50</v>
          </cell>
          <cell r="J29">
            <v>1035.8</v>
          </cell>
          <cell r="K29" t="str">
            <v>Q-11002960</v>
          </cell>
          <cell r="L29" t="str">
            <v>\\hokukon-net2\hop\Program\01_MVPシステム_容量別組立図\.\02_余裕高0_6m\pdf\FB600_1000m3-MVP-2000-組-B2500_Q-11002960.pdf</v>
          </cell>
          <cell r="M29">
            <v>5043.34</v>
          </cell>
          <cell r="N29">
            <v>5115.04</v>
          </cell>
          <cell r="O29">
            <v>4946.76</v>
          </cell>
          <cell r="P29">
            <v>4949.28</v>
          </cell>
          <cell r="Q29">
            <v>5080.26</v>
          </cell>
          <cell r="R29">
            <v>5026.28</v>
          </cell>
          <cell r="S29">
            <v>5014.2299999999996</v>
          </cell>
          <cell r="T29">
            <v>5017.2700000000004</v>
          </cell>
          <cell r="U29">
            <v>4985.08</v>
          </cell>
          <cell r="V29">
            <v>4958.8100000000004</v>
          </cell>
          <cell r="W29">
            <v>4994.6400000000003</v>
          </cell>
          <cell r="X29">
            <v>5012.9399999999996</v>
          </cell>
          <cell r="Y29">
            <v>5014.95</v>
          </cell>
          <cell r="Z29">
            <v>5175.2</v>
          </cell>
          <cell r="AA29">
            <v>5036.42</v>
          </cell>
          <cell r="AB29">
            <v>5052.78</v>
          </cell>
          <cell r="AC29">
            <v>5268.29</v>
          </cell>
          <cell r="AD29">
            <v>4985.1499999999996</v>
          </cell>
          <cell r="AE29">
            <v>5053.18</v>
          </cell>
          <cell r="AF29">
            <v>5243.03</v>
          </cell>
          <cell r="AG29">
            <v>4985.7</v>
          </cell>
          <cell r="AH29">
            <v>5036.72</v>
          </cell>
          <cell r="AI29">
            <v>4939.4399999999996</v>
          </cell>
          <cell r="AJ29">
            <v>5049.59</v>
          </cell>
          <cell r="AK29">
            <v>4833.16</v>
          </cell>
          <cell r="AL29">
            <v>5042.1899999999996</v>
          </cell>
          <cell r="AM29">
            <v>5276.24</v>
          </cell>
          <cell r="AN29">
            <v>5103.9399999999996</v>
          </cell>
          <cell r="AO29">
            <v>5165.37</v>
          </cell>
          <cell r="AP29">
            <v>5153.5200000000004</v>
          </cell>
          <cell r="AQ29">
            <v>5206.6099999999997</v>
          </cell>
          <cell r="AR29">
            <v>5016.26</v>
          </cell>
          <cell r="AS29">
            <v>5297.87</v>
          </cell>
          <cell r="AT29">
            <v>5139.13</v>
          </cell>
          <cell r="AU29">
            <v>5163.0600000000004</v>
          </cell>
          <cell r="AV29">
            <v>5230.24</v>
          </cell>
          <cell r="AW29">
            <v>5095.24</v>
          </cell>
          <cell r="AX29">
            <v>4825.2</v>
          </cell>
          <cell r="AY29">
            <v>5000.09</v>
          </cell>
          <cell r="AZ29">
            <v>4755.34</v>
          </cell>
          <cell r="BA29">
            <v>4755.34</v>
          </cell>
        </row>
        <row r="30">
          <cell r="A30" t="str">
            <v>V1000H20B20</v>
          </cell>
          <cell r="B30">
            <v>1000</v>
          </cell>
          <cell r="C30">
            <v>2000</v>
          </cell>
          <cell r="D30">
            <v>2000</v>
          </cell>
          <cell r="E30">
            <v>19</v>
          </cell>
          <cell r="F30">
            <v>3</v>
          </cell>
          <cell r="G30">
            <v>0</v>
          </cell>
          <cell r="H30">
            <v>350</v>
          </cell>
          <cell r="I30">
            <v>50</v>
          </cell>
          <cell r="J30">
            <v>1025.5</v>
          </cell>
          <cell r="K30" t="str">
            <v>Q-11002959</v>
          </cell>
          <cell r="L30" t="str">
            <v>\\hokukon-net2\hop\Program\01_MVPシステム_容量別組立図\.\02_余裕高0_6m\pdf\FB600_1000m3-MVP-2000-組-B2000_Q-11002959.pdf</v>
          </cell>
          <cell r="M30">
            <v>5123.8</v>
          </cell>
          <cell r="N30">
            <v>5194.97</v>
          </cell>
          <cell r="O30">
            <v>5030.1400000000003</v>
          </cell>
          <cell r="P30">
            <v>5032.63</v>
          </cell>
          <cell r="Q30">
            <v>5160.22</v>
          </cell>
          <cell r="R30">
            <v>5106.76</v>
          </cell>
          <cell r="S30">
            <v>5094.1000000000004</v>
          </cell>
          <cell r="T30">
            <v>5097.1000000000004</v>
          </cell>
          <cell r="U30">
            <v>5070.4399999999996</v>
          </cell>
          <cell r="V30">
            <v>5043.99</v>
          </cell>
          <cell r="W30">
            <v>5079.1499999999996</v>
          </cell>
          <cell r="X30">
            <v>5099.0200000000004</v>
          </cell>
          <cell r="Y30">
            <v>5101.3500000000004</v>
          </cell>
          <cell r="Z30">
            <v>5260.69</v>
          </cell>
          <cell r="AA30">
            <v>5124.0200000000004</v>
          </cell>
          <cell r="AB30">
            <v>5138.59</v>
          </cell>
          <cell r="AC30">
            <v>5348.82</v>
          </cell>
          <cell r="AD30">
            <v>5067.1499999999996</v>
          </cell>
          <cell r="AE30">
            <v>5135.78</v>
          </cell>
          <cell r="AF30">
            <v>5324.03</v>
          </cell>
          <cell r="AG30">
            <v>5071.6499999999996</v>
          </cell>
          <cell r="AH30">
            <v>5122.5</v>
          </cell>
          <cell r="AI30">
            <v>5026.84</v>
          </cell>
          <cell r="AJ30">
            <v>5133.97</v>
          </cell>
          <cell r="AK30">
            <v>4920</v>
          </cell>
          <cell r="AL30">
            <v>5125.78</v>
          </cell>
          <cell r="AM30">
            <v>5356.99</v>
          </cell>
          <cell r="AN30">
            <v>5259.15</v>
          </cell>
          <cell r="AO30">
            <v>5247.06</v>
          </cell>
          <cell r="AP30">
            <v>5236.24</v>
          </cell>
          <cell r="AQ30">
            <v>5288.75</v>
          </cell>
          <cell r="AR30">
            <v>5097.0200000000004</v>
          </cell>
          <cell r="AS30">
            <v>5374.8</v>
          </cell>
          <cell r="AT30">
            <v>5220.47</v>
          </cell>
          <cell r="AU30">
            <v>5243.92</v>
          </cell>
          <cell r="AV30">
            <v>5309.03</v>
          </cell>
          <cell r="AW30">
            <v>5175.7</v>
          </cell>
          <cell r="AX30">
            <v>4910.16</v>
          </cell>
          <cell r="AY30">
            <v>5081.5</v>
          </cell>
          <cell r="AZ30">
            <v>4840.49</v>
          </cell>
          <cell r="BA30">
            <v>4840.49</v>
          </cell>
        </row>
        <row r="31">
          <cell r="A31" t="str">
            <v>V1000H25B30</v>
          </cell>
          <cell r="B31">
            <v>1000</v>
          </cell>
          <cell r="C31">
            <v>2500</v>
          </cell>
          <cell r="D31">
            <v>3000</v>
          </cell>
          <cell r="E31">
            <v>20</v>
          </cell>
          <cell r="F31">
            <v>3</v>
          </cell>
          <cell r="G31">
            <v>0</v>
          </cell>
          <cell r="H31">
            <v>300</v>
          </cell>
          <cell r="I31">
            <v>50</v>
          </cell>
          <cell r="J31">
            <v>1041.7</v>
          </cell>
          <cell r="K31" t="str">
            <v>Q-11002964</v>
          </cell>
          <cell r="L31" t="str">
            <v>\\hokukon-net2\hop\Program\01_MVPシステム_容量別組立図\.\02_余裕高0_6m\pdf\FB600_1000m3-MVP-2500-組-B3000_Q-11002964.pdf</v>
          </cell>
          <cell r="M31">
            <v>4623.6899999999996</v>
          </cell>
          <cell r="N31">
            <v>4673.99</v>
          </cell>
          <cell r="O31">
            <v>4561.38</v>
          </cell>
          <cell r="P31">
            <v>4563.1499999999996</v>
          </cell>
          <cell r="Q31">
            <v>4649.51</v>
          </cell>
          <cell r="R31">
            <v>4612.26</v>
          </cell>
          <cell r="S31">
            <v>4601.53</v>
          </cell>
          <cell r="T31">
            <v>4603.67</v>
          </cell>
          <cell r="U31">
            <v>4598.99</v>
          </cell>
          <cell r="V31">
            <v>4578.66</v>
          </cell>
          <cell r="W31">
            <v>4604.2</v>
          </cell>
          <cell r="X31">
            <v>4623.84</v>
          </cell>
          <cell r="Y31">
            <v>4626.9399999999996</v>
          </cell>
          <cell r="Z31">
            <v>4742.87</v>
          </cell>
          <cell r="AA31">
            <v>4646.25</v>
          </cell>
          <cell r="AB31">
            <v>4651.93</v>
          </cell>
          <cell r="AC31">
            <v>4793.0600000000004</v>
          </cell>
          <cell r="AD31">
            <v>4587.96</v>
          </cell>
          <cell r="AE31">
            <v>4638.8999999999996</v>
          </cell>
          <cell r="AF31">
            <v>4774.51</v>
          </cell>
          <cell r="AG31">
            <v>4602.6899999999996</v>
          </cell>
          <cell r="AH31">
            <v>4640.1499999999996</v>
          </cell>
          <cell r="AI31">
            <v>4573.3999999999996</v>
          </cell>
          <cell r="AJ31">
            <v>4645.25</v>
          </cell>
          <cell r="AK31">
            <v>4492.8900000000003</v>
          </cell>
          <cell r="AL31">
            <v>4634.99</v>
          </cell>
          <cell r="AM31">
            <v>4798.67</v>
          </cell>
          <cell r="AN31">
            <v>4680.84</v>
          </cell>
          <cell r="AO31">
            <v>4719.0200000000004</v>
          </cell>
          <cell r="AP31">
            <v>4714.71</v>
          </cell>
          <cell r="AQ31">
            <v>4751.29</v>
          </cell>
          <cell r="AR31">
            <v>4607.95</v>
          </cell>
          <cell r="AS31">
            <v>4803.3900000000003</v>
          </cell>
          <cell r="AT31">
            <v>4698.83</v>
          </cell>
          <cell r="AU31">
            <v>4715.4399999999996</v>
          </cell>
          <cell r="AV31">
            <v>4758.91</v>
          </cell>
          <cell r="AW31">
            <v>4662.5</v>
          </cell>
          <cell r="AX31">
            <v>4480.24</v>
          </cell>
          <cell r="AY31">
            <v>4596.28</v>
          </cell>
          <cell r="AZ31">
            <v>4428.05</v>
          </cell>
          <cell r="BA31">
            <v>4428.05</v>
          </cell>
        </row>
        <row r="32">
          <cell r="A32" t="str">
            <v>V1000H25B25</v>
          </cell>
          <cell r="B32">
            <v>1000</v>
          </cell>
          <cell r="C32">
            <v>2500</v>
          </cell>
          <cell r="D32">
            <v>2500</v>
          </cell>
          <cell r="E32">
            <v>22</v>
          </cell>
          <cell r="F32">
            <v>3</v>
          </cell>
          <cell r="G32">
            <v>0</v>
          </cell>
          <cell r="H32">
            <v>300</v>
          </cell>
          <cell r="I32">
            <v>50</v>
          </cell>
          <cell r="J32">
            <v>1045.7</v>
          </cell>
          <cell r="K32" t="str">
            <v>Q-11002963</v>
          </cell>
          <cell r="L32" t="str">
            <v>\\hokukon-net2\hop\Program\01_MVPシステム_容量別組立図\.\02_余裕高0_6m\pdf\FB600_1000m3-MVP-2500-組-B2500_Q-11002963.pdf</v>
          </cell>
          <cell r="M32">
            <v>4787.43</v>
          </cell>
          <cell r="N32">
            <v>4838.03</v>
          </cell>
          <cell r="O32">
            <v>4725.25</v>
          </cell>
          <cell r="P32">
            <v>4727.03</v>
          </cell>
          <cell r="Q32">
            <v>4813.2</v>
          </cell>
          <cell r="R32">
            <v>4775.6499999999996</v>
          </cell>
          <cell r="S32">
            <v>4764.46</v>
          </cell>
          <cell r="T32">
            <v>4766.6099999999997</v>
          </cell>
          <cell r="U32">
            <v>4763.96</v>
          </cell>
          <cell r="V32">
            <v>4743.2</v>
          </cell>
          <cell r="W32">
            <v>4769.13</v>
          </cell>
          <cell r="X32">
            <v>4789.63</v>
          </cell>
          <cell r="Y32">
            <v>4792.82</v>
          </cell>
          <cell r="Z32">
            <v>4910.26</v>
          </cell>
          <cell r="AA32">
            <v>4813.25</v>
          </cell>
          <cell r="AB32">
            <v>4818.1499999999996</v>
          </cell>
          <cell r="AC32">
            <v>4959.38</v>
          </cell>
          <cell r="AD32">
            <v>4752.1400000000003</v>
          </cell>
          <cell r="AE32">
            <v>4804.1099999999997</v>
          </cell>
          <cell r="AF32">
            <v>4941.16</v>
          </cell>
          <cell r="AG32">
            <v>4768.5600000000004</v>
          </cell>
          <cell r="AH32">
            <v>4806.3500000000004</v>
          </cell>
          <cell r="AI32">
            <v>4739.49</v>
          </cell>
          <cell r="AJ32">
            <v>4811.09</v>
          </cell>
          <cell r="AK32">
            <v>4657.26</v>
          </cell>
          <cell r="AL32">
            <v>4799.9399999999996</v>
          </cell>
          <cell r="AM32">
            <v>4965.03</v>
          </cell>
          <cell r="AN32">
            <v>4846.46</v>
          </cell>
          <cell r="AO32">
            <v>4884.34</v>
          </cell>
          <cell r="AP32">
            <v>4880.3999999999996</v>
          </cell>
          <cell r="AQ32">
            <v>4917.43</v>
          </cell>
          <cell r="AR32">
            <v>4771.47</v>
          </cell>
          <cell r="AS32">
            <v>4968.5600000000004</v>
          </cell>
          <cell r="AT32">
            <v>4864.17</v>
          </cell>
          <cell r="AU32">
            <v>4881.04</v>
          </cell>
          <cell r="AV32">
            <v>4924.05</v>
          </cell>
          <cell r="AW32">
            <v>4827.05</v>
          </cell>
          <cell r="AX32">
            <v>4644.1400000000003</v>
          </cell>
          <cell r="AY32">
            <v>4760.13</v>
          </cell>
          <cell r="AZ32">
            <v>4591.12</v>
          </cell>
          <cell r="BA32">
            <v>4591.12</v>
          </cell>
        </row>
        <row r="33">
          <cell r="A33" t="str">
            <v>V1000H25B20</v>
          </cell>
          <cell r="B33">
            <v>1000</v>
          </cell>
          <cell r="C33">
            <v>2500</v>
          </cell>
          <cell r="D33">
            <v>2000</v>
          </cell>
          <cell r="E33">
            <v>19</v>
          </cell>
          <cell r="F33">
            <v>4</v>
          </cell>
          <cell r="G33">
            <v>0</v>
          </cell>
          <cell r="H33">
            <v>300</v>
          </cell>
          <cell r="I33">
            <v>50</v>
          </cell>
          <cell r="J33">
            <v>1060</v>
          </cell>
          <cell r="K33" t="str">
            <v>Q-11002962</v>
          </cell>
          <cell r="L33" t="str">
            <v>\\hokukon-net2\hop\Program\01_MVPシステム_容量別組立図\.\02_余裕高0_6m\pdf\FB600_1000m3-MVP-2500-組-B2000_Q-11002962.pdf</v>
          </cell>
          <cell r="M33">
            <v>5043.63</v>
          </cell>
          <cell r="N33">
            <v>5095.2299999999996</v>
          </cell>
          <cell r="O33">
            <v>4982.05</v>
          </cell>
          <cell r="P33">
            <v>4983.87</v>
          </cell>
          <cell r="Q33">
            <v>5069.7</v>
          </cell>
          <cell r="R33">
            <v>5031.59</v>
          </cell>
          <cell r="S33">
            <v>5019.4799999999996</v>
          </cell>
          <cell r="T33">
            <v>5021.66</v>
          </cell>
          <cell r="U33">
            <v>5023.7</v>
          </cell>
          <cell r="V33">
            <v>5002.16</v>
          </cell>
          <cell r="W33">
            <v>5028.43</v>
          </cell>
          <cell r="X33">
            <v>5050.93</v>
          </cell>
          <cell r="Y33">
            <v>5054.38</v>
          </cell>
          <cell r="Z33">
            <v>5174.74</v>
          </cell>
          <cell r="AA33">
            <v>5076.5</v>
          </cell>
          <cell r="AB33">
            <v>5080.08</v>
          </cell>
          <cell r="AC33">
            <v>5221.08</v>
          </cell>
          <cell r="AD33">
            <v>5008.66</v>
          </cell>
          <cell r="AE33">
            <v>5062.75</v>
          </cell>
          <cell r="AF33">
            <v>5202.74</v>
          </cell>
          <cell r="AG33">
            <v>5029.0200000000004</v>
          </cell>
          <cell r="AH33">
            <v>5067.9399999999996</v>
          </cell>
          <cell r="AI33">
            <v>5000.37</v>
          </cell>
          <cell r="AJ33">
            <v>5071.62</v>
          </cell>
          <cell r="AK33">
            <v>4914.9799999999996</v>
          </cell>
          <cell r="AL33">
            <v>5059.3100000000004</v>
          </cell>
          <cell r="AM33">
            <v>5227.1099999999997</v>
          </cell>
          <cell r="AN33">
            <v>5107.33</v>
          </cell>
          <cell r="AO33">
            <v>5144.6000000000004</v>
          </cell>
          <cell r="AP33">
            <v>5141.58</v>
          </cell>
          <cell r="AQ33">
            <v>5179.22</v>
          </cell>
          <cell r="AR33">
            <v>5027.54</v>
          </cell>
          <cell r="AS33">
            <v>5227.5600000000004</v>
          </cell>
          <cell r="AT33">
            <v>5123.72</v>
          </cell>
          <cell r="AU33">
            <v>5140.67</v>
          </cell>
          <cell r="AV33">
            <v>5183.2</v>
          </cell>
          <cell r="AW33">
            <v>5084.6099999999997</v>
          </cell>
          <cell r="AX33">
            <v>4900.0200000000004</v>
          </cell>
          <cell r="AY33">
            <v>5016.47</v>
          </cell>
          <cell r="AZ33">
            <v>4845.3599999999997</v>
          </cell>
          <cell r="BA33">
            <v>4845.3599999999997</v>
          </cell>
        </row>
        <row r="34">
          <cell r="A34" t="str">
            <v>V1000H30B30</v>
          </cell>
          <cell r="B34">
            <v>1000</v>
          </cell>
          <cell r="C34">
            <v>3000</v>
          </cell>
          <cell r="D34">
            <v>3000</v>
          </cell>
          <cell r="E34">
            <v>16</v>
          </cell>
          <cell r="F34">
            <v>3</v>
          </cell>
          <cell r="G34">
            <v>0</v>
          </cell>
          <cell r="H34">
            <v>300</v>
          </cell>
          <cell r="I34">
            <v>50</v>
          </cell>
          <cell r="J34">
            <v>1061.3</v>
          </cell>
          <cell r="K34" t="str">
            <v>Q-11002967</v>
          </cell>
          <cell r="L34" t="str">
            <v>\\hokukon-net2\hop\Program\01_MVPシステム_容量別組立図\.\02_余裕高0_6m\pdf\FB600_1000m3-MVP-3000-組-B3000_Q-11002967.pdf</v>
          </cell>
          <cell r="M34">
            <v>4078.18</v>
          </cell>
          <cell r="N34">
            <v>4119.7299999999996</v>
          </cell>
          <cell r="O34">
            <v>4029.2</v>
          </cell>
          <cell r="P34">
            <v>4030.65</v>
          </cell>
          <cell r="Q34">
            <v>4098.8999999999996</v>
          </cell>
          <cell r="R34">
            <v>4068.12</v>
          </cell>
          <cell r="S34">
            <v>4058.31</v>
          </cell>
          <cell r="T34">
            <v>4060.05</v>
          </cell>
          <cell r="U34">
            <v>4062.81</v>
          </cell>
          <cell r="V34">
            <v>4045.55</v>
          </cell>
          <cell r="W34">
            <v>4065.97</v>
          </cell>
          <cell r="X34">
            <v>4084.35</v>
          </cell>
          <cell r="Y34">
            <v>4087.48</v>
          </cell>
          <cell r="Z34">
            <v>4183.53</v>
          </cell>
          <cell r="AA34">
            <v>4105.05</v>
          </cell>
          <cell r="AB34">
            <v>4107.6000000000004</v>
          </cell>
          <cell r="AC34">
            <v>4219.67</v>
          </cell>
          <cell r="AD34">
            <v>4049.89</v>
          </cell>
          <cell r="AE34">
            <v>4093.49</v>
          </cell>
          <cell r="AF34">
            <v>4205</v>
          </cell>
          <cell r="AG34">
            <v>4066.74</v>
          </cell>
          <cell r="AH34">
            <v>4097.4799999999996</v>
          </cell>
          <cell r="AI34">
            <v>4044.02</v>
          </cell>
          <cell r="AJ34">
            <v>4100.24</v>
          </cell>
          <cell r="AK34">
            <v>3975.97</v>
          </cell>
          <cell r="AL34">
            <v>4090.92</v>
          </cell>
          <cell r="AM34">
            <v>4224.91</v>
          </cell>
          <cell r="AN34">
            <v>4129.9799999999996</v>
          </cell>
          <cell r="AO34">
            <v>4159.3900000000003</v>
          </cell>
          <cell r="AP34">
            <v>4156.54</v>
          </cell>
          <cell r="AQ34">
            <v>4186.83</v>
          </cell>
          <cell r="AR34">
            <v>4065.03</v>
          </cell>
          <cell r="AS34">
            <v>4224.08</v>
          </cell>
          <cell r="AT34">
            <v>4141.76</v>
          </cell>
          <cell r="AU34">
            <v>4155.3100000000004</v>
          </cell>
          <cell r="AV34">
            <v>4188.8999999999996</v>
          </cell>
          <cell r="AW34">
            <v>4110.38</v>
          </cell>
          <cell r="AX34">
            <v>3962.65</v>
          </cell>
          <cell r="AY34">
            <v>4055.8</v>
          </cell>
          <cell r="AZ34">
            <v>3919.53</v>
          </cell>
          <cell r="BA34">
            <v>3919.53</v>
          </cell>
        </row>
        <row r="35">
          <cell r="A35" t="str">
            <v>V1000H30B25</v>
          </cell>
          <cell r="B35">
            <v>1000</v>
          </cell>
          <cell r="C35">
            <v>3000</v>
          </cell>
          <cell r="D35">
            <v>2500</v>
          </cell>
          <cell r="E35">
            <v>17</v>
          </cell>
          <cell r="F35">
            <v>3</v>
          </cell>
          <cell r="G35">
            <v>0</v>
          </cell>
          <cell r="H35">
            <v>300</v>
          </cell>
          <cell r="I35">
            <v>50</v>
          </cell>
          <cell r="J35">
            <v>1029.7</v>
          </cell>
          <cell r="K35" t="str">
            <v>Q-11002966</v>
          </cell>
          <cell r="L35" t="str">
            <v>\\hokukon-net2\hop\Program\01_MVPシステム_容量別組立図\.\02_余裕高0_6m\pdf\FB600_1000m3-MVP-3000-組-B2500_Q-11002966.pdf</v>
          </cell>
          <cell r="M35">
            <v>4088.73</v>
          </cell>
          <cell r="N35">
            <v>4129.21</v>
          </cell>
          <cell r="O35">
            <v>4041.61</v>
          </cell>
          <cell r="P35">
            <v>4043.01</v>
          </cell>
          <cell r="Q35">
            <v>4108.76</v>
          </cell>
          <cell r="R35">
            <v>4078.79</v>
          </cell>
          <cell r="S35">
            <v>4068.87</v>
          </cell>
          <cell r="T35">
            <v>4070.57</v>
          </cell>
          <cell r="U35">
            <v>4075.18</v>
          </cell>
          <cell r="V35">
            <v>4058.11</v>
          </cell>
          <cell r="W35">
            <v>4078.14</v>
          </cell>
          <cell r="X35">
            <v>4096.71</v>
          </cell>
          <cell r="Y35">
            <v>4099.82</v>
          </cell>
          <cell r="Z35">
            <v>4193.96</v>
          </cell>
          <cell r="AA35">
            <v>4117.6899999999996</v>
          </cell>
          <cell r="AB35">
            <v>4119.53</v>
          </cell>
          <cell r="AC35">
            <v>4227.8</v>
          </cell>
          <cell r="AD35">
            <v>4061.69</v>
          </cell>
          <cell r="AE35">
            <v>4104.75</v>
          </cell>
          <cell r="AF35">
            <v>4213.7700000000004</v>
          </cell>
          <cell r="AG35">
            <v>4079.58</v>
          </cell>
          <cell r="AH35">
            <v>4109.6400000000003</v>
          </cell>
          <cell r="AI35">
            <v>4057.84</v>
          </cell>
          <cell r="AJ35">
            <v>4111.97</v>
          </cell>
          <cell r="AK35">
            <v>3990.58</v>
          </cell>
          <cell r="AL35">
            <v>4102.2700000000004</v>
          </cell>
          <cell r="AM35">
            <v>4232.96</v>
          </cell>
          <cell r="AN35">
            <v>4140.63</v>
          </cell>
          <cell r="AO35">
            <v>4168.78</v>
          </cell>
          <cell r="AP35">
            <v>4166.3900000000003</v>
          </cell>
          <cell r="AQ35">
            <v>4195.99</v>
          </cell>
          <cell r="AR35">
            <v>4075.89</v>
          </cell>
          <cell r="AS35">
            <v>4230.9799999999996</v>
          </cell>
          <cell r="AT35">
            <v>4151.62</v>
          </cell>
          <cell r="AU35">
            <v>4164.8500000000004</v>
          </cell>
          <cell r="AV35">
            <v>4196.9799999999996</v>
          </cell>
          <cell r="AW35">
            <v>4120.51</v>
          </cell>
          <cell r="AX35">
            <v>3977.13</v>
          </cell>
          <cell r="AY35">
            <v>4067.19</v>
          </cell>
          <cell r="AZ35">
            <v>3934.71</v>
          </cell>
          <cell r="BA35">
            <v>3934.71</v>
          </cell>
        </row>
        <row r="36">
          <cell r="A36" t="str">
            <v>V1000H30B20</v>
          </cell>
          <cell r="B36">
            <v>1000</v>
          </cell>
          <cell r="C36">
            <v>3000</v>
          </cell>
          <cell r="D36">
            <v>2000</v>
          </cell>
          <cell r="E36">
            <v>19</v>
          </cell>
          <cell r="F36">
            <v>3</v>
          </cell>
          <cell r="G36">
            <v>0</v>
          </cell>
          <cell r="H36">
            <v>300</v>
          </cell>
          <cell r="I36">
            <v>50</v>
          </cell>
          <cell r="J36">
            <v>1040.2</v>
          </cell>
          <cell r="K36" t="str">
            <v>Q-11002965</v>
          </cell>
          <cell r="L36" t="str">
            <v>\\hokukon-net2\hop\Program\01_MVPシステム_容量別組立図\.\02_余裕高0_6m\pdf\FB600_1000m3-MVP-3000-組-B2000_Q-11002965.pdf</v>
          </cell>
          <cell r="M36">
            <v>4278.16</v>
          </cell>
          <cell r="N36">
            <v>4319.1099999999997</v>
          </cell>
          <cell r="O36">
            <v>4230.97</v>
          </cell>
          <cell r="P36">
            <v>4232.3900000000003</v>
          </cell>
          <cell r="Q36">
            <v>4298.1899999999996</v>
          </cell>
          <cell r="R36">
            <v>4267.78</v>
          </cell>
          <cell r="S36">
            <v>4257.34</v>
          </cell>
          <cell r="T36">
            <v>4259.0600000000004</v>
          </cell>
          <cell r="U36">
            <v>4265.83</v>
          </cell>
          <cell r="V36">
            <v>4248.26</v>
          </cell>
          <cell r="W36">
            <v>4268.74</v>
          </cell>
          <cell r="X36">
            <v>4288.28</v>
          </cell>
          <cell r="Y36">
            <v>4291.53</v>
          </cell>
          <cell r="Z36">
            <v>4387.6099999999997</v>
          </cell>
          <cell r="AA36">
            <v>4310.6499999999996</v>
          </cell>
          <cell r="AB36">
            <v>4311.66</v>
          </cell>
          <cell r="AC36">
            <v>4420.45</v>
          </cell>
          <cell r="AD36">
            <v>4251.51</v>
          </cell>
          <cell r="AE36">
            <v>4295.8</v>
          </cell>
          <cell r="AF36">
            <v>4406.72</v>
          </cell>
          <cell r="AG36">
            <v>4271.24</v>
          </cell>
          <cell r="AH36">
            <v>4301.7</v>
          </cell>
          <cell r="AI36">
            <v>4249.62</v>
          </cell>
          <cell r="AJ36">
            <v>4303.6499999999996</v>
          </cell>
          <cell r="AK36">
            <v>4180.33</v>
          </cell>
          <cell r="AL36">
            <v>4293</v>
          </cell>
          <cell r="AM36">
            <v>4425.66</v>
          </cell>
          <cell r="AN36">
            <v>4332.2299999999996</v>
          </cell>
          <cell r="AO36">
            <v>4360.1400000000003</v>
          </cell>
          <cell r="AP36">
            <v>4358.1400000000003</v>
          </cell>
          <cell r="AQ36">
            <v>4388.28</v>
          </cell>
          <cell r="AR36">
            <v>4265.05</v>
          </cell>
          <cell r="AS36">
            <v>4422.41</v>
          </cell>
          <cell r="AT36">
            <v>4342.95</v>
          </cell>
          <cell r="AU36">
            <v>4356.54</v>
          </cell>
          <cell r="AV36">
            <v>4388.25</v>
          </cell>
          <cell r="AW36">
            <v>4310.91</v>
          </cell>
          <cell r="AX36">
            <v>4166.3</v>
          </cell>
          <cell r="AY36">
            <v>4256.6400000000003</v>
          </cell>
          <cell r="AZ36">
            <v>4122.88</v>
          </cell>
          <cell r="BA36">
            <v>4122.88</v>
          </cell>
        </row>
        <row r="37">
          <cell r="A37" t="str">
            <v>V1000H35B30</v>
          </cell>
          <cell r="B37">
            <v>1000</v>
          </cell>
          <cell r="C37">
            <v>3500</v>
          </cell>
          <cell r="D37">
            <v>3000</v>
          </cell>
          <cell r="E37">
            <v>13</v>
          </cell>
          <cell r="F37">
            <v>3</v>
          </cell>
          <cell r="G37">
            <v>0</v>
          </cell>
          <cell r="H37">
            <v>300</v>
          </cell>
          <cell r="I37">
            <v>50</v>
          </cell>
          <cell r="J37">
            <v>1051.5999999999999</v>
          </cell>
          <cell r="K37" t="str">
            <v>Q-11002970</v>
          </cell>
          <cell r="L37" t="str">
            <v>\\hokukon-net2\hop\Program\01_MVPシステム_容量別組立図\.\02_余裕高0_6m\pdf\FB600_1000m3-MVP-3500-組-B3000_Q-11002970.pdf</v>
          </cell>
          <cell r="M37">
            <v>3649.6</v>
          </cell>
          <cell r="N37">
            <v>3684.71</v>
          </cell>
          <cell r="O37">
            <v>3610.56</v>
          </cell>
          <cell r="P37">
            <v>3611.77</v>
          </cell>
          <cell r="Q37">
            <v>3666.72</v>
          </cell>
          <cell r="R37">
            <v>3641.13</v>
          </cell>
          <cell r="S37">
            <v>3632.24</v>
          </cell>
          <cell r="T37">
            <v>3633.68</v>
          </cell>
          <cell r="U37">
            <v>3640.58</v>
          </cell>
          <cell r="V37">
            <v>3625.8</v>
          </cell>
          <cell r="W37">
            <v>3642.5</v>
          </cell>
          <cell r="X37">
            <v>3659.37</v>
          </cell>
          <cell r="Y37">
            <v>3662.19</v>
          </cell>
          <cell r="Z37">
            <v>3742.91</v>
          </cell>
          <cell r="AA37">
            <v>3677.84</v>
          </cell>
          <cell r="AB37">
            <v>3678.76</v>
          </cell>
          <cell r="AC37">
            <v>3769.43</v>
          </cell>
          <cell r="AD37">
            <v>3626.28</v>
          </cell>
          <cell r="AE37">
            <v>3663.82</v>
          </cell>
          <cell r="AF37">
            <v>3757.08</v>
          </cell>
          <cell r="AG37">
            <v>3643.81</v>
          </cell>
          <cell r="AH37">
            <v>3669.95</v>
          </cell>
          <cell r="AI37">
            <v>3625.74</v>
          </cell>
          <cell r="AJ37">
            <v>3671.02</v>
          </cell>
          <cell r="AK37">
            <v>3567.71</v>
          </cell>
          <cell r="AL37">
            <v>3662.91</v>
          </cell>
          <cell r="AM37">
            <v>3774.38</v>
          </cell>
          <cell r="AN37">
            <v>3696.44</v>
          </cell>
          <cell r="AO37">
            <v>3719.68</v>
          </cell>
          <cell r="AP37">
            <v>3718.16</v>
          </cell>
          <cell r="AQ37">
            <v>3743.38</v>
          </cell>
          <cell r="AR37">
            <v>3638.6</v>
          </cell>
          <cell r="AS37">
            <v>3770.37</v>
          </cell>
          <cell r="AT37">
            <v>3703.95</v>
          </cell>
          <cell r="AU37">
            <v>3714.99</v>
          </cell>
          <cell r="AV37">
            <v>3741.98</v>
          </cell>
          <cell r="AW37">
            <v>3676.55</v>
          </cell>
          <cell r="AX37">
            <v>3554.43</v>
          </cell>
          <cell r="AY37">
            <v>3630.97</v>
          </cell>
          <cell r="AZ37">
            <v>3518.09</v>
          </cell>
          <cell r="BA37">
            <v>3518.09</v>
          </cell>
        </row>
        <row r="38">
          <cell r="A38" t="str">
            <v>V1000H35B25</v>
          </cell>
          <cell r="B38">
            <v>1000</v>
          </cell>
          <cell r="C38">
            <v>3500</v>
          </cell>
          <cell r="D38">
            <v>2500</v>
          </cell>
          <cell r="E38">
            <v>20</v>
          </cell>
          <cell r="F38">
            <v>2</v>
          </cell>
          <cell r="G38">
            <v>0</v>
          </cell>
          <cell r="H38">
            <v>300</v>
          </cell>
          <cell r="I38">
            <v>50</v>
          </cell>
          <cell r="J38">
            <v>1030.8</v>
          </cell>
          <cell r="K38" t="str">
            <v>Q-11002969</v>
          </cell>
          <cell r="L38" t="str">
            <v>\\hokukon-net2\hop\Program\01_MVPシステム_容量別組立図\.\02_余裕高0_6m\pdf\FB600_1000m3-MVP-3500-組-B2500_Q-11002969.pdf</v>
          </cell>
          <cell r="M38">
            <v>3674.13</v>
          </cell>
          <cell r="N38">
            <v>3708.31</v>
          </cell>
          <cell r="O38">
            <v>3634.91</v>
          </cell>
          <cell r="P38">
            <v>3636.1</v>
          </cell>
          <cell r="Q38">
            <v>3690.73</v>
          </cell>
          <cell r="R38">
            <v>3665.59</v>
          </cell>
          <cell r="S38">
            <v>3657</v>
          </cell>
          <cell r="T38">
            <v>3658.42</v>
          </cell>
          <cell r="U38">
            <v>3663.7</v>
          </cell>
          <cell r="V38">
            <v>3649.15</v>
          </cell>
          <cell r="W38">
            <v>3666.11</v>
          </cell>
          <cell r="X38">
            <v>3682.16</v>
          </cell>
          <cell r="Y38">
            <v>3684.78</v>
          </cell>
          <cell r="Z38">
            <v>3764.4</v>
          </cell>
          <cell r="AA38">
            <v>3700.31</v>
          </cell>
          <cell r="AB38">
            <v>3701.42</v>
          </cell>
          <cell r="AC38">
            <v>3791.83</v>
          </cell>
          <cell r="AD38">
            <v>3651.59</v>
          </cell>
          <cell r="AE38">
            <v>3688.22</v>
          </cell>
          <cell r="AF38">
            <v>3780.17</v>
          </cell>
          <cell r="AG38">
            <v>3667.63</v>
          </cell>
          <cell r="AH38">
            <v>3693.02</v>
          </cell>
          <cell r="AI38">
            <v>3649.64</v>
          </cell>
          <cell r="AJ38">
            <v>3694.63</v>
          </cell>
          <cell r="AK38">
            <v>3592.51</v>
          </cell>
          <cell r="AL38">
            <v>3686.26</v>
          </cell>
          <cell r="AM38">
            <v>3796.35</v>
          </cell>
          <cell r="AN38">
            <v>3718.93</v>
          </cell>
          <cell r="AO38">
            <v>3742.18</v>
          </cell>
          <cell r="AP38">
            <v>3740.43</v>
          </cell>
          <cell r="AQ38">
            <v>3765.48</v>
          </cell>
          <cell r="AR38">
            <v>3663.31</v>
          </cell>
          <cell r="AS38">
            <v>3793.79</v>
          </cell>
          <cell r="AT38">
            <v>3727.56</v>
          </cell>
          <cell r="AU38">
            <v>3738.81</v>
          </cell>
          <cell r="AV38">
            <v>3765.36</v>
          </cell>
          <cell r="AW38">
            <v>3701.03</v>
          </cell>
          <cell r="AX38">
            <v>3580.6</v>
          </cell>
          <cell r="AY38">
            <v>3655.96</v>
          </cell>
          <cell r="AZ38">
            <v>3544.77</v>
          </cell>
          <cell r="BA38">
            <v>3544.77</v>
          </cell>
        </row>
        <row r="39">
          <cell r="A39" t="str">
            <v>V1000H35B20</v>
          </cell>
          <cell r="B39">
            <v>1000</v>
          </cell>
          <cell r="C39">
            <v>3500</v>
          </cell>
          <cell r="D39">
            <v>2000</v>
          </cell>
          <cell r="E39">
            <v>15</v>
          </cell>
          <cell r="F39">
            <v>3</v>
          </cell>
          <cell r="G39">
            <v>0</v>
          </cell>
          <cell r="H39">
            <v>300</v>
          </cell>
          <cell r="I39">
            <v>50</v>
          </cell>
          <cell r="J39">
            <v>1001.2</v>
          </cell>
          <cell r="K39" t="str">
            <v>Q-11002968</v>
          </cell>
          <cell r="L39" t="str">
            <v>\\hokukon-net2\hop\Program\01_MVPシステム_容量別組立図\.\02_余裕高0_6m\pdf\FB600_1000m3-MVP-3500-組-B2000_Q-11002968.pdf</v>
          </cell>
          <cell r="M39">
            <v>3726.54</v>
          </cell>
          <cell r="N39">
            <v>3760.21</v>
          </cell>
          <cell r="O39">
            <v>3690.17</v>
          </cell>
          <cell r="P39">
            <v>3691.31</v>
          </cell>
          <cell r="Q39">
            <v>3742.61</v>
          </cell>
          <cell r="R39">
            <v>3718.04</v>
          </cell>
          <cell r="S39">
            <v>3708.86</v>
          </cell>
          <cell r="T39">
            <v>3710.25</v>
          </cell>
          <cell r="U39">
            <v>3720.54</v>
          </cell>
          <cell r="V39">
            <v>3705.91</v>
          </cell>
          <cell r="W39">
            <v>3722.15</v>
          </cell>
          <cell r="X39">
            <v>3739.59</v>
          </cell>
          <cell r="Y39">
            <v>3742.46</v>
          </cell>
          <cell r="Z39">
            <v>3820.96</v>
          </cell>
          <cell r="AA39">
            <v>3758.96</v>
          </cell>
          <cell r="AB39">
            <v>3758.54</v>
          </cell>
          <cell r="AC39">
            <v>3843.79</v>
          </cell>
          <cell r="AD39">
            <v>3705.17</v>
          </cell>
          <cell r="AE39">
            <v>3742.31</v>
          </cell>
          <cell r="AF39">
            <v>3832.53</v>
          </cell>
          <cell r="AG39">
            <v>3724.81</v>
          </cell>
          <cell r="AH39">
            <v>3750.06</v>
          </cell>
          <cell r="AI39">
            <v>3708.21</v>
          </cell>
          <cell r="AJ39">
            <v>3750.36</v>
          </cell>
          <cell r="AK39">
            <v>3650.74</v>
          </cell>
          <cell r="AL39">
            <v>3741.4</v>
          </cell>
          <cell r="AM39">
            <v>3848.63</v>
          </cell>
          <cell r="AN39">
            <v>3774.18</v>
          </cell>
          <cell r="AO39">
            <v>3795.48</v>
          </cell>
          <cell r="AP39">
            <v>3794.75</v>
          </cell>
          <cell r="AQ39">
            <v>3819.16</v>
          </cell>
          <cell r="AR39">
            <v>3715.9</v>
          </cell>
          <cell r="AS39">
            <v>3842.53</v>
          </cell>
          <cell r="AT39">
            <v>3780.46</v>
          </cell>
          <cell r="AU39">
            <v>3791.16</v>
          </cell>
          <cell r="AV39">
            <v>3815.84</v>
          </cell>
          <cell r="AW39">
            <v>3753.16</v>
          </cell>
          <cell r="AX39">
            <v>3637.08</v>
          </cell>
          <cell r="AY39">
            <v>3709.12</v>
          </cell>
          <cell r="AZ39">
            <v>3601.47</v>
          </cell>
          <cell r="BA39">
            <v>3601.47</v>
          </cell>
        </row>
        <row r="40">
          <cell r="A40" t="str">
            <v>V1000H40B30</v>
          </cell>
          <cell r="B40">
            <v>1000</v>
          </cell>
          <cell r="C40">
            <v>4000</v>
          </cell>
          <cell r="D40">
            <v>3000</v>
          </cell>
          <cell r="E40">
            <v>11</v>
          </cell>
          <cell r="F40">
            <v>3</v>
          </cell>
          <cell r="G40">
            <v>0</v>
          </cell>
          <cell r="H40">
            <v>350</v>
          </cell>
          <cell r="I40">
            <v>70</v>
          </cell>
          <cell r="J40">
            <v>1060.4000000000001</v>
          </cell>
          <cell r="K40" t="str">
            <v>Q-11002973</v>
          </cell>
          <cell r="L40" t="str">
            <v>\\hokukon-net2\hop\Program\01_MVPシステム_容量別組立図\.\02_余裕高0_6m\pdf\FB600_1000m3-MVP-4000-組-B3000_Q-11002973.pdf</v>
          </cell>
          <cell r="M40">
            <v>3829.57</v>
          </cell>
          <cell r="N40">
            <v>3864.19</v>
          </cell>
          <cell r="O40">
            <v>3793.57</v>
          </cell>
          <cell r="P40">
            <v>3794.69</v>
          </cell>
          <cell r="Q40">
            <v>3846.2</v>
          </cell>
          <cell r="R40">
            <v>3821.6</v>
          </cell>
          <cell r="S40">
            <v>3812.6</v>
          </cell>
          <cell r="T40">
            <v>3813.96</v>
          </cell>
          <cell r="U40">
            <v>3820.92</v>
          </cell>
          <cell r="V40">
            <v>3807.12</v>
          </cell>
          <cell r="W40">
            <v>3822.73</v>
          </cell>
          <cell r="X40">
            <v>3838.69</v>
          </cell>
          <cell r="Y40">
            <v>3840.8</v>
          </cell>
          <cell r="Z40">
            <v>3918.07</v>
          </cell>
          <cell r="AA40">
            <v>3856.07</v>
          </cell>
          <cell r="AB40">
            <v>3857.3</v>
          </cell>
          <cell r="AC40">
            <v>3942.53</v>
          </cell>
          <cell r="AD40">
            <v>3802.48</v>
          </cell>
          <cell r="AE40">
            <v>3839.73</v>
          </cell>
          <cell r="AF40">
            <v>3928.36</v>
          </cell>
          <cell r="AG40">
            <v>3818.77</v>
          </cell>
          <cell r="AH40">
            <v>3844.38</v>
          </cell>
          <cell r="AI40">
            <v>3802.3</v>
          </cell>
          <cell r="AJ40">
            <v>3844.37</v>
          </cell>
          <cell r="AK40">
            <v>3754</v>
          </cell>
          <cell r="AL40">
            <v>3845.68</v>
          </cell>
          <cell r="AM40">
            <v>3951.54</v>
          </cell>
          <cell r="AN40">
            <v>3877.76</v>
          </cell>
          <cell r="AO40">
            <v>3899.91</v>
          </cell>
          <cell r="AP40">
            <v>3898.62</v>
          </cell>
          <cell r="AQ40">
            <v>3923.17</v>
          </cell>
          <cell r="AR40">
            <v>3814.11</v>
          </cell>
          <cell r="AS40">
            <v>3939.48</v>
          </cell>
          <cell r="AT40">
            <v>3877.92</v>
          </cell>
          <cell r="AU40">
            <v>3888.01</v>
          </cell>
          <cell r="AV40">
            <v>3912.81</v>
          </cell>
          <cell r="AW40">
            <v>3849.54</v>
          </cell>
          <cell r="AX40">
            <v>3732.3</v>
          </cell>
          <cell r="AY40">
            <v>3805.39</v>
          </cell>
          <cell r="AZ40">
            <v>3697.25</v>
          </cell>
          <cell r="BA40">
            <v>3697.25</v>
          </cell>
        </row>
        <row r="41">
          <cell r="A41" t="str">
            <v>V1000H40B25</v>
          </cell>
          <cell r="B41">
            <v>1000</v>
          </cell>
          <cell r="C41">
            <v>4000</v>
          </cell>
          <cell r="D41">
            <v>2500</v>
          </cell>
          <cell r="E41">
            <v>17</v>
          </cell>
          <cell r="F41">
            <v>2</v>
          </cell>
          <cell r="G41">
            <v>0</v>
          </cell>
          <cell r="H41">
            <v>350</v>
          </cell>
          <cell r="I41">
            <v>70</v>
          </cell>
          <cell r="J41">
            <v>1041.5</v>
          </cell>
          <cell r="K41" t="str">
            <v>Q-11002972</v>
          </cell>
          <cell r="L41" t="str">
            <v>\\hokukon-net2\hop\Program\01_MVPシステム_容量別組立図\.\02_余裕高0_6m\pdf\FB600_1000m3-MVP-4000-組-B2500_Q-11002972.pdf</v>
          </cell>
          <cell r="M41">
            <v>3882.88</v>
          </cell>
          <cell r="N41">
            <v>3916.42</v>
          </cell>
          <cell r="O41">
            <v>3846.45</v>
          </cell>
          <cell r="P41">
            <v>3847.57</v>
          </cell>
          <cell r="Q41">
            <v>3899</v>
          </cell>
          <cell r="R41">
            <v>3874.79</v>
          </cell>
          <cell r="S41">
            <v>3866.12</v>
          </cell>
          <cell r="T41">
            <v>3867.46</v>
          </cell>
          <cell r="U41">
            <v>3872.24</v>
          </cell>
          <cell r="V41">
            <v>3858.78</v>
          </cell>
          <cell r="W41">
            <v>3874.78</v>
          </cell>
          <cell r="X41">
            <v>3889.73</v>
          </cell>
          <cell r="Y41">
            <v>3891.62</v>
          </cell>
          <cell r="Z41">
            <v>3967.78</v>
          </cell>
          <cell r="AA41">
            <v>3906.7</v>
          </cell>
          <cell r="AB41">
            <v>3908.26</v>
          </cell>
          <cell r="AC41">
            <v>3993.48</v>
          </cell>
          <cell r="AD41">
            <v>3856.41</v>
          </cell>
          <cell r="AE41">
            <v>3892.57</v>
          </cell>
          <cell r="AF41">
            <v>3979.91</v>
          </cell>
          <cell r="AG41">
            <v>3870.79</v>
          </cell>
          <cell r="AH41">
            <v>3895.54</v>
          </cell>
          <cell r="AI41">
            <v>3854.27</v>
          </cell>
          <cell r="AJ41">
            <v>3896.22</v>
          </cell>
          <cell r="AK41">
            <v>3807.4</v>
          </cell>
          <cell r="AL41">
            <v>3897.54</v>
          </cell>
          <cell r="AM41">
            <v>4001.98</v>
          </cell>
          <cell r="AN41">
            <v>3928.75</v>
          </cell>
          <cell r="AO41">
            <v>3950.97</v>
          </cell>
          <cell r="AP41">
            <v>3949.36</v>
          </cell>
          <cell r="AQ41">
            <v>3973.79</v>
          </cell>
          <cell r="AR41">
            <v>3867.32</v>
          </cell>
          <cell r="AS41">
            <v>3991.51</v>
          </cell>
          <cell r="AT41">
            <v>3929.9</v>
          </cell>
          <cell r="AU41">
            <v>3940.25</v>
          </cell>
          <cell r="AV41">
            <v>3964.74</v>
          </cell>
          <cell r="AW41">
            <v>3902.47</v>
          </cell>
          <cell r="AX41">
            <v>3786.92</v>
          </cell>
          <cell r="AY41">
            <v>3858.85</v>
          </cell>
          <cell r="AZ41">
            <v>3752.38</v>
          </cell>
          <cell r="BA41">
            <v>3752.38</v>
          </cell>
        </row>
        <row r="42">
          <cell r="A42" t="str">
            <v>V1000H40B20</v>
          </cell>
          <cell r="B42">
            <v>1000</v>
          </cell>
          <cell r="C42">
            <v>4000</v>
          </cell>
          <cell r="D42">
            <v>2000</v>
          </cell>
          <cell r="E42">
            <v>13</v>
          </cell>
          <cell r="F42">
            <v>3</v>
          </cell>
          <cell r="G42">
            <v>0</v>
          </cell>
          <cell r="H42">
            <v>350</v>
          </cell>
          <cell r="I42">
            <v>70</v>
          </cell>
          <cell r="J42">
            <v>1033.5999999999999</v>
          </cell>
          <cell r="K42" t="str">
            <v>Q-11002971</v>
          </cell>
          <cell r="L42" t="str">
            <v>\\hokukon-net2\hop\Program\01_MVPシステム_容量別組立図\.\02_余裕高0_6m\pdf\FB600_1000m3-MVP-4000-組-B2000_Q-11002971.pdf</v>
          </cell>
          <cell r="M42">
            <v>4017.55</v>
          </cell>
          <cell r="N42">
            <v>4051.51</v>
          </cell>
          <cell r="O42">
            <v>3983.12</v>
          </cell>
          <cell r="P42">
            <v>3984.22</v>
          </cell>
          <cell r="Q42">
            <v>4033.54</v>
          </cell>
          <cell r="R42">
            <v>4009.38</v>
          </cell>
          <cell r="S42">
            <v>3999.98</v>
          </cell>
          <cell r="T42">
            <v>4001.33</v>
          </cell>
          <cell r="U42">
            <v>4011.1</v>
          </cell>
          <cell r="V42">
            <v>3997.19</v>
          </cell>
          <cell r="W42">
            <v>4012.68</v>
          </cell>
          <cell r="X42">
            <v>4029.39</v>
          </cell>
          <cell r="Y42">
            <v>4031.62</v>
          </cell>
          <cell r="Z42">
            <v>4108.3500000000004</v>
          </cell>
          <cell r="AA42">
            <v>4047.94</v>
          </cell>
          <cell r="AB42">
            <v>4048.02</v>
          </cell>
          <cell r="AC42">
            <v>4130.08</v>
          </cell>
          <cell r="AD42">
            <v>3991.35</v>
          </cell>
          <cell r="AE42">
            <v>4028.83</v>
          </cell>
          <cell r="AF42">
            <v>4116.32</v>
          </cell>
          <cell r="AG42">
            <v>4009.45</v>
          </cell>
          <cell r="AH42">
            <v>4034.68</v>
          </cell>
          <cell r="AI42">
            <v>3993.96</v>
          </cell>
          <cell r="AJ42">
            <v>4034.07</v>
          </cell>
          <cell r="AK42">
            <v>3946.06</v>
          </cell>
          <cell r="AL42">
            <v>4035.35</v>
          </cell>
          <cell r="AM42">
            <v>4139.3900000000003</v>
          </cell>
          <cell r="AN42">
            <v>4067.33</v>
          </cell>
          <cell r="AO42">
            <v>4088.21</v>
          </cell>
          <cell r="AP42">
            <v>4087.56</v>
          </cell>
          <cell r="AQ42">
            <v>4111.84</v>
          </cell>
          <cell r="AR42">
            <v>4001.72</v>
          </cell>
          <cell r="AS42">
            <v>4124.8599999999997</v>
          </cell>
          <cell r="AT42">
            <v>4065.79</v>
          </cell>
          <cell r="AU42">
            <v>4075.88</v>
          </cell>
          <cell r="AV42">
            <v>4099.1000000000004</v>
          </cell>
          <cell r="AW42">
            <v>4036.94</v>
          </cell>
          <cell r="AX42">
            <v>3922.91</v>
          </cell>
          <cell r="AY42">
            <v>3993.34</v>
          </cell>
          <cell r="AZ42">
            <v>3887.87</v>
          </cell>
          <cell r="BA42">
            <v>3887.87</v>
          </cell>
        </row>
        <row r="43">
          <cell r="A43" t="str">
            <v>V1000H45B30</v>
          </cell>
          <cell r="B43">
            <v>1000</v>
          </cell>
          <cell r="C43">
            <v>4500</v>
          </cell>
          <cell r="D43">
            <v>3000</v>
          </cell>
          <cell r="E43">
            <v>13</v>
          </cell>
          <cell r="F43">
            <v>2</v>
          </cell>
          <cell r="G43">
            <v>0</v>
          </cell>
          <cell r="H43">
            <v>350</v>
          </cell>
          <cell r="I43">
            <v>70</v>
          </cell>
          <cell r="J43">
            <v>1003.8</v>
          </cell>
          <cell r="K43" t="str">
            <v>Q-11002976</v>
          </cell>
          <cell r="L43" t="str">
            <v>\\hokukon-net2\hop\Program\01_MVPシステム_容量別組立図\.\02_余裕高0_6m\pdf\FB600_1000m3-MVP-4500-組-B3000_Q-11002976.pdf</v>
          </cell>
          <cell r="M43">
            <v>3417.93</v>
          </cell>
          <cell r="N43">
            <v>3446.56</v>
          </cell>
          <cell r="O43">
            <v>3387.93</v>
          </cell>
          <cell r="P43">
            <v>3388.87</v>
          </cell>
          <cell r="Q43">
            <v>3431.46</v>
          </cell>
          <cell r="R43">
            <v>3410.81</v>
          </cell>
          <cell r="S43">
            <v>3403.02</v>
          </cell>
          <cell r="T43">
            <v>3404.16</v>
          </cell>
          <cell r="U43">
            <v>3411.06</v>
          </cell>
          <cell r="V43">
            <v>3399.5</v>
          </cell>
          <cell r="W43">
            <v>3412.8</v>
          </cell>
          <cell r="X43">
            <v>3426.46</v>
          </cell>
          <cell r="Y43">
            <v>3428.17</v>
          </cell>
          <cell r="Z43">
            <v>3493.2</v>
          </cell>
          <cell r="AA43">
            <v>3441.49</v>
          </cell>
          <cell r="AB43">
            <v>3442.24</v>
          </cell>
          <cell r="AC43">
            <v>3512.81</v>
          </cell>
          <cell r="AD43">
            <v>3395.39</v>
          </cell>
          <cell r="AE43">
            <v>3426.79</v>
          </cell>
          <cell r="AF43">
            <v>3501.22</v>
          </cell>
          <cell r="AG43">
            <v>3409.77</v>
          </cell>
          <cell r="AH43">
            <v>3430.92</v>
          </cell>
          <cell r="AI43">
            <v>3396.12</v>
          </cell>
          <cell r="AJ43">
            <v>3430.93</v>
          </cell>
          <cell r="AK43">
            <v>3355.79</v>
          </cell>
          <cell r="AL43">
            <v>3431.78</v>
          </cell>
          <cell r="AM43">
            <v>3520.41</v>
          </cell>
          <cell r="AN43">
            <v>3459.04</v>
          </cell>
          <cell r="AO43">
            <v>3477.26</v>
          </cell>
          <cell r="AP43">
            <v>3476.21</v>
          </cell>
          <cell r="AQ43">
            <v>3496.98</v>
          </cell>
          <cell r="AR43">
            <v>3404.37</v>
          </cell>
          <cell r="AS43">
            <v>3509.28</v>
          </cell>
          <cell r="AT43">
            <v>3458.35</v>
          </cell>
          <cell r="AU43">
            <v>3466.84</v>
          </cell>
          <cell r="AV43">
            <v>3487.22</v>
          </cell>
          <cell r="AW43">
            <v>3434.39</v>
          </cell>
          <cell r="AX43">
            <v>3336.87</v>
          </cell>
          <cell r="AY43">
            <v>3397.18</v>
          </cell>
          <cell r="AZ43">
            <v>3307.3</v>
          </cell>
          <cell r="BA43">
            <v>3307.3</v>
          </cell>
        </row>
        <row r="44">
          <cell r="A44" t="str">
            <v>V1000H45B25</v>
          </cell>
          <cell r="B44">
            <v>1000</v>
          </cell>
          <cell r="C44">
            <v>4500</v>
          </cell>
          <cell r="D44">
            <v>2500</v>
          </cell>
          <cell r="E44">
            <v>15</v>
          </cell>
          <cell r="F44">
            <v>2</v>
          </cell>
          <cell r="G44">
            <v>0</v>
          </cell>
          <cell r="H44">
            <v>350</v>
          </cell>
          <cell r="I44">
            <v>70</v>
          </cell>
          <cell r="J44">
            <v>1059.4000000000001</v>
          </cell>
          <cell r="K44" t="str">
            <v>Q-11002975</v>
          </cell>
          <cell r="L44" t="str">
            <v>\\hokukon-net2\hop\Program\01_MVPシステム_容量別組立図\.\02_余裕高0_6m\pdf\FB600_1000m3-MVP-4500-組-B2500_Q-11002975.pdf</v>
          </cell>
          <cell r="M44">
            <v>3703.9</v>
          </cell>
          <cell r="N44">
            <v>3734.12</v>
          </cell>
          <cell r="O44">
            <v>3672.35</v>
          </cell>
          <cell r="P44">
            <v>3673.34</v>
          </cell>
          <cell r="Q44">
            <v>3718.14</v>
          </cell>
          <cell r="R44">
            <v>3696.34</v>
          </cell>
          <cell r="S44">
            <v>3688</v>
          </cell>
          <cell r="T44">
            <v>3689.21</v>
          </cell>
          <cell r="U44">
            <v>3696.9</v>
          </cell>
          <cell r="V44">
            <v>3684.62</v>
          </cell>
          <cell r="W44">
            <v>3698.8</v>
          </cell>
          <cell r="X44">
            <v>3713.36</v>
          </cell>
          <cell r="Y44">
            <v>3715.18</v>
          </cell>
          <cell r="Z44">
            <v>3784.08</v>
          </cell>
          <cell r="AA44">
            <v>3729.61</v>
          </cell>
          <cell r="AB44">
            <v>3730.13</v>
          </cell>
          <cell r="AC44">
            <v>3804.45</v>
          </cell>
          <cell r="AD44">
            <v>3680.28</v>
          </cell>
          <cell r="AE44">
            <v>3713.6</v>
          </cell>
          <cell r="AF44">
            <v>3792.31</v>
          </cell>
          <cell r="AG44">
            <v>3695.75</v>
          </cell>
          <cell r="AH44">
            <v>3718.08</v>
          </cell>
          <cell r="AI44">
            <v>3681.49</v>
          </cell>
          <cell r="AJ44">
            <v>3717.97</v>
          </cell>
          <cell r="AK44">
            <v>3638.88</v>
          </cell>
          <cell r="AL44">
            <v>3718.95</v>
          </cell>
          <cell r="AM44">
            <v>3812.57</v>
          </cell>
          <cell r="AN44">
            <v>3747.74</v>
          </cell>
          <cell r="AO44">
            <v>3766.81</v>
          </cell>
          <cell r="AP44">
            <v>3765.83</v>
          </cell>
          <cell r="AQ44">
            <v>3787.83</v>
          </cell>
          <cell r="AR44">
            <v>3689.44</v>
          </cell>
          <cell r="AS44">
            <v>3800.36</v>
          </cell>
          <cell r="AT44">
            <v>3746.78</v>
          </cell>
          <cell r="AU44">
            <v>3755.89</v>
          </cell>
          <cell r="AV44">
            <v>3777.08</v>
          </cell>
          <cell r="AW44">
            <v>3721.28</v>
          </cell>
          <cell r="AX44">
            <v>3618.56</v>
          </cell>
          <cell r="AY44">
            <v>3681.92</v>
          </cell>
          <cell r="AZ44">
            <v>3587.19</v>
          </cell>
          <cell r="BA44">
            <v>3587.19</v>
          </cell>
        </row>
        <row r="45">
          <cell r="A45" t="str">
            <v>V1000H45B20</v>
          </cell>
          <cell r="B45">
            <v>1000</v>
          </cell>
          <cell r="C45">
            <v>4500</v>
          </cell>
          <cell r="D45">
            <v>2000</v>
          </cell>
          <cell r="E45">
            <v>16</v>
          </cell>
          <cell r="F45">
            <v>2</v>
          </cell>
          <cell r="G45">
            <v>0</v>
          </cell>
          <cell r="H45">
            <v>350</v>
          </cell>
          <cell r="I45">
            <v>70</v>
          </cell>
          <cell r="J45">
            <v>1029.5999999999999</v>
          </cell>
          <cell r="K45" t="str">
            <v>Q-11002974</v>
          </cell>
          <cell r="L45" t="str">
            <v>\\hokukon-net2\hop\Program\01_MVPシステム_容量別組立図\.\02_余裕高0_6m\pdf\FB600_1000m3-MVP-4500-組-B2000_Q-11002974.pdf</v>
          </cell>
          <cell r="M45">
            <v>3772.81</v>
          </cell>
          <cell r="N45">
            <v>3802.4</v>
          </cell>
          <cell r="O45">
            <v>3742.46</v>
          </cell>
          <cell r="P45">
            <v>3743.43</v>
          </cell>
          <cell r="Q45">
            <v>3786.57</v>
          </cell>
          <cell r="R45">
            <v>3765.18</v>
          </cell>
          <cell r="S45">
            <v>3756.7</v>
          </cell>
          <cell r="T45">
            <v>3757.86</v>
          </cell>
          <cell r="U45">
            <v>3767.25</v>
          </cell>
          <cell r="V45">
            <v>3755</v>
          </cell>
          <cell r="W45">
            <v>3768.98</v>
          </cell>
          <cell r="X45">
            <v>3783.91</v>
          </cell>
          <cell r="Y45">
            <v>3785.78</v>
          </cell>
          <cell r="Z45">
            <v>3853.79</v>
          </cell>
          <cell r="AA45">
            <v>3800.64</v>
          </cell>
          <cell r="AB45">
            <v>3800.49</v>
          </cell>
          <cell r="AC45">
            <v>3872.31</v>
          </cell>
          <cell r="AD45">
            <v>3749.86</v>
          </cell>
          <cell r="AE45">
            <v>3783.09</v>
          </cell>
          <cell r="AF45">
            <v>3860.48</v>
          </cell>
          <cell r="AG45">
            <v>3766.39</v>
          </cell>
          <cell r="AH45">
            <v>3788.31</v>
          </cell>
          <cell r="AI45">
            <v>3752.8</v>
          </cell>
          <cell r="AJ45">
            <v>3787.82</v>
          </cell>
          <cell r="AK45">
            <v>3710.76</v>
          </cell>
          <cell r="AL45">
            <v>3788.75</v>
          </cell>
          <cell r="AM45">
            <v>3880.55</v>
          </cell>
          <cell r="AN45">
            <v>3817.32</v>
          </cell>
          <cell r="AO45">
            <v>3835.47</v>
          </cell>
          <cell r="AP45">
            <v>3834.86</v>
          </cell>
          <cell r="AQ45">
            <v>3856.54</v>
          </cell>
          <cell r="AR45">
            <v>3758.28</v>
          </cell>
          <cell r="AS45">
            <v>3866.94</v>
          </cell>
          <cell r="AT45">
            <v>3815.32</v>
          </cell>
          <cell r="AU45">
            <v>3824.32</v>
          </cell>
          <cell r="AV45">
            <v>3844.41</v>
          </cell>
          <cell r="AW45">
            <v>3789.72</v>
          </cell>
          <cell r="AX45">
            <v>3689.67</v>
          </cell>
          <cell r="AY45">
            <v>3750.98</v>
          </cell>
          <cell r="AZ45">
            <v>3658.57</v>
          </cell>
          <cell r="BA45">
            <v>3658.57</v>
          </cell>
        </row>
        <row r="46">
          <cell r="A46" t="str">
            <v>V2000H15B30</v>
          </cell>
          <cell r="B46">
            <v>2000</v>
          </cell>
          <cell r="C46">
            <v>1500</v>
          </cell>
          <cell r="D46">
            <v>3000</v>
          </cell>
          <cell r="E46">
            <v>40</v>
          </cell>
          <cell r="F46">
            <v>4</v>
          </cell>
          <cell r="G46">
            <v>0</v>
          </cell>
          <cell r="H46">
            <v>350</v>
          </cell>
          <cell r="I46">
            <v>50</v>
          </cell>
          <cell r="J46">
            <v>2033</v>
          </cell>
          <cell r="K46" t="str">
            <v>Q-11002979</v>
          </cell>
          <cell r="L46" t="str">
            <v>\\hokukon-net2\hop\Program\01_MVPシステム_容量別組立図\.\02_余裕高0_6m\pdf\FB600_2000m3-MVP-1500-組-B3000_Q-11002979.pdf</v>
          </cell>
          <cell r="M46">
            <v>13520.42</v>
          </cell>
          <cell r="N46">
            <v>13728.54</v>
          </cell>
          <cell r="O46">
            <v>13227.39</v>
          </cell>
          <cell r="P46">
            <v>13234.8</v>
          </cell>
          <cell r="Q46">
            <v>13631.85</v>
          </cell>
          <cell r="R46">
            <v>13472.78</v>
          </cell>
          <cell r="S46">
            <v>13442.38</v>
          </cell>
          <cell r="T46">
            <v>13451.32</v>
          </cell>
          <cell r="U46">
            <v>13327.01</v>
          </cell>
          <cell r="V46">
            <v>13253.11</v>
          </cell>
          <cell r="W46">
            <v>13358.67</v>
          </cell>
          <cell r="X46">
            <v>13401.74</v>
          </cell>
          <cell r="Y46">
            <v>13406.91</v>
          </cell>
          <cell r="Z46">
            <v>13870.7</v>
          </cell>
          <cell r="AA46">
            <v>13462.98</v>
          </cell>
          <cell r="AB46">
            <v>13518.23</v>
          </cell>
          <cell r="AC46">
            <v>14166.03</v>
          </cell>
          <cell r="AD46">
            <v>13348.92</v>
          </cell>
          <cell r="AE46">
            <v>13538.96</v>
          </cell>
          <cell r="AF46">
            <v>14091.92</v>
          </cell>
          <cell r="AG46">
            <v>13327.08</v>
          </cell>
          <cell r="AH46">
            <v>13474.51</v>
          </cell>
          <cell r="AI46">
            <v>13185.9</v>
          </cell>
          <cell r="AJ46">
            <v>13518.35</v>
          </cell>
          <cell r="AK46">
            <v>12884.96</v>
          </cell>
          <cell r="AL46">
            <v>13500.26</v>
          </cell>
          <cell r="AM46">
            <v>14184.27</v>
          </cell>
          <cell r="AN46">
            <v>13674.06</v>
          </cell>
          <cell r="AO46">
            <v>13861.56</v>
          </cell>
          <cell r="AP46">
            <v>13821.68</v>
          </cell>
          <cell r="AQ46">
            <v>13976.27</v>
          </cell>
          <cell r="AR46">
            <v>13441.98</v>
          </cell>
          <cell r="AS46">
            <v>14269.57</v>
          </cell>
          <cell r="AT46">
            <v>13791.21</v>
          </cell>
          <cell r="AU46">
            <v>13863.15</v>
          </cell>
          <cell r="AV46">
            <v>14067.1</v>
          </cell>
          <cell r="AW46">
            <v>13672.07</v>
          </cell>
          <cell r="AX46">
            <v>12875.8</v>
          </cell>
          <cell r="AY46">
            <v>13394.79</v>
          </cell>
          <cell r="AZ46">
            <v>12675.33</v>
          </cell>
          <cell r="BA46">
            <v>12675.33</v>
          </cell>
        </row>
        <row r="47">
          <cell r="A47" t="str">
            <v>V2000H15B25</v>
          </cell>
          <cell r="B47">
            <v>2000</v>
          </cell>
          <cell r="C47">
            <v>1500</v>
          </cell>
          <cell r="D47">
            <v>2500</v>
          </cell>
          <cell r="E47">
            <v>43</v>
          </cell>
          <cell r="F47">
            <v>4</v>
          </cell>
          <cell r="G47">
            <v>0</v>
          </cell>
          <cell r="H47">
            <v>350</v>
          </cell>
          <cell r="I47">
            <v>50</v>
          </cell>
          <cell r="J47">
            <v>2025.2</v>
          </cell>
          <cell r="K47" t="str">
            <v>Q-11002978</v>
          </cell>
          <cell r="L47" t="str">
            <v>\\hokukon-net2\hop\Program\01_MVPシステム_容量別組立図\.\02_余裕高0_6m\pdf\FB600_2000m3-MVP-1500-組-B2500_Q-11002978.pdf</v>
          </cell>
          <cell r="M47">
            <v>13720.53</v>
          </cell>
          <cell r="N47">
            <v>13928.31</v>
          </cell>
          <cell r="O47">
            <v>13429.26</v>
          </cell>
          <cell r="P47">
            <v>13436.65</v>
          </cell>
          <cell r="Q47">
            <v>13831.18</v>
          </cell>
          <cell r="R47">
            <v>13672.23</v>
          </cell>
          <cell r="S47">
            <v>13640.9</v>
          </cell>
          <cell r="T47">
            <v>13649.83</v>
          </cell>
          <cell r="U47">
            <v>13530.82</v>
          </cell>
          <cell r="V47">
            <v>13456.33</v>
          </cell>
          <cell r="W47">
            <v>13562.15</v>
          </cell>
          <cell r="X47">
            <v>13606.98</v>
          </cell>
          <cell r="Y47">
            <v>13612.36</v>
          </cell>
          <cell r="Z47">
            <v>14077.23</v>
          </cell>
          <cell r="AA47">
            <v>13670.69</v>
          </cell>
          <cell r="AB47">
            <v>13723.9</v>
          </cell>
          <cell r="AC47">
            <v>14368.62</v>
          </cell>
          <cell r="AD47">
            <v>13550.83</v>
          </cell>
          <cell r="AE47">
            <v>13742.27</v>
          </cell>
          <cell r="AF47">
            <v>14295.64</v>
          </cell>
          <cell r="AG47">
            <v>13532.94</v>
          </cell>
          <cell r="AH47">
            <v>13680.24</v>
          </cell>
          <cell r="AI47">
            <v>13392.93</v>
          </cell>
          <cell r="AJ47">
            <v>13723.08</v>
          </cell>
          <cell r="AK47">
            <v>13089.63</v>
          </cell>
          <cell r="AL47">
            <v>13703.11</v>
          </cell>
          <cell r="AM47">
            <v>14386.91</v>
          </cell>
          <cell r="AN47">
            <v>13877.67</v>
          </cell>
          <cell r="AO47">
            <v>14063.5</v>
          </cell>
          <cell r="AP47">
            <v>14024.59</v>
          </cell>
          <cell r="AQ47">
            <v>14179.44</v>
          </cell>
          <cell r="AR47">
            <v>13641.93</v>
          </cell>
          <cell r="AS47">
            <v>14469</v>
          </cell>
          <cell r="AT47">
            <v>13993.5</v>
          </cell>
          <cell r="AU47">
            <v>14065.69</v>
          </cell>
          <cell r="AV47">
            <v>14267.47</v>
          </cell>
          <cell r="AW47">
            <v>13873.18</v>
          </cell>
          <cell r="AX47">
            <v>13079.34</v>
          </cell>
          <cell r="AY47">
            <v>13595.67</v>
          </cell>
          <cell r="AZ47">
            <v>12878.09</v>
          </cell>
          <cell r="BA47">
            <v>12878.09</v>
          </cell>
        </row>
        <row r="48">
          <cell r="A48" t="str">
            <v>V2000H15B20</v>
          </cell>
          <cell r="B48">
            <v>2000</v>
          </cell>
          <cell r="C48">
            <v>1500</v>
          </cell>
          <cell r="D48">
            <v>2000</v>
          </cell>
          <cell r="E48">
            <v>47</v>
          </cell>
          <cell r="F48">
            <v>4</v>
          </cell>
          <cell r="G48">
            <v>0</v>
          </cell>
          <cell r="H48">
            <v>350</v>
          </cell>
          <cell r="I48">
            <v>50</v>
          </cell>
          <cell r="J48">
            <v>2038.6</v>
          </cell>
          <cell r="K48" t="str">
            <v>Q-11002977</v>
          </cell>
          <cell r="L48" t="str">
            <v>\\hokukon-net2\hop\Program\01_MVPシステム_容量別組立図\.\02_余裕高0_6m\pdf\FB600_2000m3-MVP-1500-組-B2000_Q-11002977.pdf</v>
          </cell>
          <cell r="M48">
            <v>14107.96</v>
          </cell>
          <cell r="N48">
            <v>14317.64</v>
          </cell>
          <cell r="O48">
            <v>13815.44</v>
          </cell>
          <cell r="P48">
            <v>13822.91</v>
          </cell>
          <cell r="Q48">
            <v>14218.93</v>
          </cell>
          <cell r="R48">
            <v>14058.36</v>
          </cell>
          <cell r="S48">
            <v>14025.63</v>
          </cell>
          <cell r="T48">
            <v>14034.66</v>
          </cell>
          <cell r="U48">
            <v>14114.01</v>
          </cell>
          <cell r="V48">
            <v>13844.36</v>
          </cell>
          <cell r="W48">
            <v>13951.68</v>
          </cell>
          <cell r="X48">
            <v>13998.97</v>
          </cell>
          <cell r="Y48">
            <v>14004.67</v>
          </cell>
          <cell r="Z48">
            <v>14475.95</v>
          </cell>
          <cell r="AA48">
            <v>14066.27</v>
          </cell>
          <cell r="AB48">
            <v>14117.71</v>
          </cell>
          <cell r="AC48">
            <v>14766.09</v>
          </cell>
          <cell r="AD48">
            <v>13938.47</v>
          </cell>
          <cell r="AE48">
            <v>14133.66</v>
          </cell>
          <cell r="AF48">
            <v>14693.64</v>
          </cell>
          <cell r="AG48">
            <v>13924.88</v>
          </cell>
          <cell r="AH48">
            <v>14073.66</v>
          </cell>
          <cell r="AI48">
            <v>13784.67</v>
          </cell>
          <cell r="AJ48">
            <v>14115.82</v>
          </cell>
          <cell r="AK48">
            <v>13475.29</v>
          </cell>
          <cell r="AL48">
            <v>14093.49</v>
          </cell>
          <cell r="AM48">
            <v>14784.6</v>
          </cell>
          <cell r="AN48">
            <v>14270.82</v>
          </cell>
          <cell r="AO48">
            <v>14456.81</v>
          </cell>
          <cell r="AP48">
            <v>14418.63</v>
          </cell>
          <cell r="AQ48">
            <v>14575.44</v>
          </cell>
          <cell r="AR48">
            <v>14028.3</v>
          </cell>
          <cell r="AS48">
            <v>14863.97</v>
          </cell>
          <cell r="AT48">
            <v>14386.46</v>
          </cell>
          <cell r="AU48">
            <v>14459.79</v>
          </cell>
          <cell r="AV48">
            <v>14661.29</v>
          </cell>
          <cell r="AW48">
            <v>14263.49</v>
          </cell>
          <cell r="AX48">
            <v>13463.65</v>
          </cell>
          <cell r="AY48">
            <v>13982.64</v>
          </cell>
          <cell r="AZ48">
            <v>13259.26</v>
          </cell>
          <cell r="BA48">
            <v>13259.26</v>
          </cell>
        </row>
        <row r="49">
          <cell r="A49" t="str">
            <v>V2000H20B30</v>
          </cell>
          <cell r="B49">
            <v>2000</v>
          </cell>
          <cell r="C49">
            <v>2000</v>
          </cell>
          <cell r="D49">
            <v>3000</v>
          </cell>
          <cell r="E49">
            <v>26</v>
          </cell>
          <cell r="F49">
            <v>4</v>
          </cell>
          <cell r="G49">
            <v>0</v>
          </cell>
          <cell r="H49">
            <v>350</v>
          </cell>
          <cell r="I49">
            <v>50</v>
          </cell>
          <cell r="J49">
            <v>2077.1999999999998</v>
          </cell>
          <cell r="K49" t="str">
            <v>Q-11002982</v>
          </cell>
          <cell r="L49" t="str">
            <v>\\hokukon-net2\hop\Program\01_MVPシステム_容量別組立図\.\02_余裕高0_6m\pdf\FB600_2000m3-MVP-2000-組-B3000_Q-11002982.pdf</v>
          </cell>
          <cell r="M49">
            <v>9500.09</v>
          </cell>
          <cell r="N49">
            <v>9639.0400000000009</v>
          </cell>
          <cell r="O49">
            <v>9309.26</v>
          </cell>
          <cell r="P49">
            <v>9314.15</v>
          </cell>
          <cell r="Q49">
            <v>9573.6200000000008</v>
          </cell>
          <cell r="R49">
            <v>9468.25</v>
          </cell>
          <cell r="S49">
            <v>9446.69</v>
          </cell>
          <cell r="T49">
            <v>9452.61</v>
          </cell>
          <cell r="U49">
            <v>9379.84</v>
          </cell>
          <cell r="V49">
            <v>9330.02</v>
          </cell>
          <cell r="W49">
            <v>9399.34</v>
          </cell>
          <cell r="X49">
            <v>9431.2900000000009</v>
          </cell>
          <cell r="Y49">
            <v>9435.14</v>
          </cell>
          <cell r="Z49">
            <v>9744.16</v>
          </cell>
          <cell r="AA49">
            <v>9474.0499999999993</v>
          </cell>
          <cell r="AB49">
            <v>9508.44</v>
          </cell>
          <cell r="AC49">
            <v>9932.58</v>
          </cell>
          <cell r="AD49">
            <v>9386.5300000000007</v>
          </cell>
          <cell r="AE49">
            <v>9515.2999999999993</v>
          </cell>
          <cell r="AF49">
            <v>9882.83</v>
          </cell>
          <cell r="AG49">
            <v>9379.6</v>
          </cell>
          <cell r="AH49">
            <v>9478.36</v>
          </cell>
          <cell r="AI49">
            <v>9287.65</v>
          </cell>
          <cell r="AJ49">
            <v>9505.1299999999992</v>
          </cell>
          <cell r="AK49">
            <v>9085.34</v>
          </cell>
          <cell r="AL49">
            <v>9492.59</v>
          </cell>
          <cell r="AM49">
            <v>9946.2099999999991</v>
          </cell>
          <cell r="AN49">
            <v>9609.98</v>
          </cell>
          <cell r="AO49">
            <v>9731.93</v>
          </cell>
          <cell r="AP49">
            <v>9707.1299999999992</v>
          </cell>
          <cell r="AQ49">
            <v>9809.67</v>
          </cell>
          <cell r="AR49">
            <v>9448.07</v>
          </cell>
          <cell r="AS49">
            <v>9995.44</v>
          </cell>
          <cell r="AT49">
            <v>9682.76</v>
          </cell>
          <cell r="AU49">
            <v>9729.56</v>
          </cell>
          <cell r="AV49">
            <v>9862.94</v>
          </cell>
          <cell r="AW49">
            <v>9600.68</v>
          </cell>
          <cell r="AX49">
            <v>9074.2999999999993</v>
          </cell>
          <cell r="AY49">
            <v>9416.6200000000008</v>
          </cell>
          <cell r="AZ49">
            <v>8940.25</v>
          </cell>
          <cell r="BA49">
            <v>8940.25</v>
          </cell>
        </row>
        <row r="50">
          <cell r="A50" t="str">
            <v>V2000H20B25</v>
          </cell>
          <cell r="B50">
            <v>2000</v>
          </cell>
          <cell r="C50">
            <v>2000</v>
          </cell>
          <cell r="D50">
            <v>2500</v>
          </cell>
          <cell r="E50">
            <v>28</v>
          </cell>
          <cell r="F50">
            <v>4</v>
          </cell>
          <cell r="G50">
            <v>0</v>
          </cell>
          <cell r="H50">
            <v>350</v>
          </cell>
          <cell r="I50">
            <v>50</v>
          </cell>
          <cell r="J50">
            <v>2071.6</v>
          </cell>
          <cell r="K50" t="str">
            <v>Q-11002981</v>
          </cell>
          <cell r="L50" t="str">
            <v>\\hokukon-net2\hop\Program\01_MVPシステム_容量別組立図\.\02_余裕高0_6m\pdf\FB600_2000m3-MVP-2000-組-B2500_Q-11002981.pdf</v>
          </cell>
          <cell r="M50">
            <v>9652.89</v>
          </cell>
          <cell r="N50">
            <v>9791.69</v>
          </cell>
          <cell r="O50">
            <v>9463.1</v>
          </cell>
          <cell r="P50">
            <v>9467.99</v>
          </cell>
          <cell r="Q50">
            <v>9725.9599999999991</v>
          </cell>
          <cell r="R50">
            <v>9620.6</v>
          </cell>
          <cell r="S50">
            <v>9598.4599999999991</v>
          </cell>
          <cell r="T50">
            <v>9604.3799999999992</v>
          </cell>
          <cell r="U50">
            <v>9534.98</v>
          </cell>
          <cell r="V50">
            <v>9484.75</v>
          </cell>
          <cell r="W50">
            <v>9554.27</v>
          </cell>
          <cell r="X50">
            <v>9587.36</v>
          </cell>
          <cell r="Y50">
            <v>9591.36</v>
          </cell>
          <cell r="Z50">
            <v>9901.23</v>
          </cell>
          <cell r="AA50">
            <v>9631.76</v>
          </cell>
          <cell r="AB50">
            <v>9664.83</v>
          </cell>
          <cell r="AC50">
            <v>10087.200000000001</v>
          </cell>
          <cell r="AD50">
            <v>9540.49</v>
          </cell>
          <cell r="AE50">
            <v>9670.2099999999991</v>
          </cell>
          <cell r="AF50">
            <v>10038.200000000001</v>
          </cell>
          <cell r="AG50">
            <v>9536.08</v>
          </cell>
          <cell r="AH50">
            <v>9634.7900000000009</v>
          </cell>
          <cell r="AI50">
            <v>9444.8700000000008</v>
          </cell>
          <cell r="AJ50">
            <v>9660.94</v>
          </cell>
          <cell r="AK50">
            <v>9240.92</v>
          </cell>
          <cell r="AL50">
            <v>9647.16</v>
          </cell>
          <cell r="AM50">
            <v>10100.85</v>
          </cell>
          <cell r="AN50">
            <v>9765.09</v>
          </cell>
          <cell r="AO50">
            <v>9886.02</v>
          </cell>
          <cell r="AP50">
            <v>9861.84</v>
          </cell>
          <cell r="AQ50">
            <v>9964.59</v>
          </cell>
          <cell r="AR50">
            <v>9713.41</v>
          </cell>
          <cell r="AS50">
            <v>10148.040000000001</v>
          </cell>
          <cell r="AT50">
            <v>9837.09</v>
          </cell>
          <cell r="AU50">
            <v>9884.07</v>
          </cell>
          <cell r="AV50">
            <v>10016.1</v>
          </cell>
          <cell r="AW50">
            <v>9754.2199999999993</v>
          </cell>
          <cell r="AX50">
            <v>9229.2000000000007</v>
          </cell>
          <cell r="AY50">
            <v>9569.92</v>
          </cell>
          <cell r="AZ50">
            <v>9094.56</v>
          </cell>
          <cell r="BA50">
            <v>9094.56</v>
          </cell>
        </row>
        <row r="51">
          <cell r="A51" t="str">
            <v>V2000H20B20</v>
          </cell>
          <cell r="B51">
            <v>2000</v>
          </cell>
          <cell r="C51">
            <v>2000</v>
          </cell>
          <cell r="D51">
            <v>2000</v>
          </cell>
          <cell r="E51">
            <v>30</v>
          </cell>
          <cell r="F51">
            <v>4</v>
          </cell>
          <cell r="G51">
            <v>0</v>
          </cell>
          <cell r="H51">
            <v>350</v>
          </cell>
          <cell r="I51">
            <v>50</v>
          </cell>
          <cell r="J51">
            <v>2043.7</v>
          </cell>
          <cell r="K51" t="str">
            <v>Q-11002980</v>
          </cell>
          <cell r="L51" t="str">
            <v>\\hokukon-net2\hop\Program\01_MVPシステム_容量別組立図\.\02_余裕高0_6m\pdf\FB600_2000m3-MVP-2000-組-B2000_Q-11002980.pdf</v>
          </cell>
          <cell r="M51">
            <v>9742.06</v>
          </cell>
          <cell r="N51">
            <v>9879.33</v>
          </cell>
          <cell r="O51">
            <v>9555.41</v>
          </cell>
          <cell r="P51">
            <v>9560.25</v>
          </cell>
          <cell r="Q51">
            <v>9813.86</v>
          </cell>
          <cell r="R51">
            <v>9709.56</v>
          </cell>
          <cell r="S51">
            <v>9686.92</v>
          </cell>
          <cell r="T51">
            <v>9692.77</v>
          </cell>
          <cell r="U51">
            <v>9628.2199999999993</v>
          </cell>
          <cell r="V51">
            <v>9577.99</v>
          </cell>
          <cell r="W51">
            <v>9647.0300000000007</v>
          </cell>
          <cell r="X51">
            <v>9681.2000000000007</v>
          </cell>
          <cell r="Y51">
            <v>9685.34</v>
          </cell>
          <cell r="Z51">
            <v>9993.18</v>
          </cell>
          <cell r="AA51">
            <v>9727.1200000000008</v>
          </cell>
          <cell r="AB51">
            <v>9758.2800000000007</v>
          </cell>
          <cell r="AC51">
            <v>10174.299999999999</v>
          </cell>
          <cell r="AD51">
            <v>9632.07</v>
          </cell>
          <cell r="AE51">
            <v>9761.7199999999993</v>
          </cell>
          <cell r="AF51">
            <v>10126.629999999999</v>
          </cell>
          <cell r="AG51">
            <v>9746.11</v>
          </cell>
          <cell r="AH51">
            <v>9728.5499999999993</v>
          </cell>
          <cell r="AI51">
            <v>9541.39</v>
          </cell>
          <cell r="AJ51">
            <v>9753.65</v>
          </cell>
          <cell r="AK51">
            <v>9337.51</v>
          </cell>
          <cell r="AL51">
            <v>9738.58</v>
          </cell>
          <cell r="AM51">
            <v>10187.89</v>
          </cell>
          <cell r="AN51">
            <v>9856.02</v>
          </cell>
          <cell r="AO51">
            <v>9974.52</v>
          </cell>
          <cell r="AP51">
            <v>9951.35</v>
          </cell>
          <cell r="AQ51">
            <v>10053.32</v>
          </cell>
          <cell r="AR51">
            <v>9690.2999999999993</v>
          </cell>
          <cell r="AS51">
            <v>10232.08</v>
          </cell>
          <cell r="AT51">
            <v>9926.26</v>
          </cell>
          <cell r="AU51">
            <v>9973</v>
          </cell>
          <cell r="AV51">
            <v>10102.120000000001</v>
          </cell>
          <cell r="AW51">
            <v>9843.2199999999993</v>
          </cell>
          <cell r="AX51">
            <v>9324.94</v>
          </cell>
          <cell r="AY51">
            <v>9660.4599999999991</v>
          </cell>
          <cell r="AZ51">
            <v>9190.9599999999991</v>
          </cell>
          <cell r="BA51">
            <v>9190.9599999999991</v>
          </cell>
        </row>
        <row r="52">
          <cell r="A52" t="str">
            <v>V2000H25B30</v>
          </cell>
          <cell r="B52">
            <v>2000</v>
          </cell>
          <cell r="C52">
            <v>2500</v>
          </cell>
          <cell r="D52">
            <v>3000</v>
          </cell>
          <cell r="E52">
            <v>25</v>
          </cell>
          <cell r="F52">
            <v>5</v>
          </cell>
          <cell r="G52">
            <v>0</v>
          </cell>
          <cell r="H52">
            <v>300</v>
          </cell>
          <cell r="I52">
            <v>50</v>
          </cell>
          <cell r="J52">
            <v>2059.1999999999998</v>
          </cell>
          <cell r="K52" t="str">
            <v>Q-11002985</v>
          </cell>
          <cell r="L52" t="str">
            <v>\\hokukon-net2\hop\Program\01_MVPシステム_容量別組立図\.\02_余裕高0_6m\pdf\FB600_2000m3-MVP-2500-組-B3000_Q-11002985.pdf</v>
          </cell>
          <cell r="M52">
            <v>8609.07</v>
          </cell>
          <cell r="N52">
            <v>8705.07</v>
          </cell>
          <cell r="O52">
            <v>8486.3799999999992</v>
          </cell>
          <cell r="P52">
            <v>8489.7800000000007</v>
          </cell>
          <cell r="Q52">
            <v>8659.66</v>
          </cell>
          <cell r="R52">
            <v>8587.9599999999991</v>
          </cell>
          <cell r="S52">
            <v>8568.9599999999991</v>
          </cell>
          <cell r="T52">
            <v>8573.06</v>
          </cell>
          <cell r="U52">
            <v>8554.1200000000008</v>
          </cell>
          <cell r="V52">
            <v>8516.1299999999992</v>
          </cell>
          <cell r="W52">
            <v>8565.41</v>
          </cell>
          <cell r="X52">
            <v>8599.61</v>
          </cell>
          <cell r="Y52">
            <v>8605.1200000000008</v>
          </cell>
          <cell r="Z52">
            <v>8825.59</v>
          </cell>
          <cell r="AA52">
            <v>8639.86</v>
          </cell>
          <cell r="AB52">
            <v>8653.43</v>
          </cell>
          <cell r="AC52">
            <v>8929.49</v>
          </cell>
          <cell r="AD52">
            <v>8539.65</v>
          </cell>
          <cell r="AE52">
            <v>8634.51</v>
          </cell>
          <cell r="AF52">
            <v>8893.6299999999992</v>
          </cell>
          <cell r="AG52">
            <v>8560.4599999999991</v>
          </cell>
          <cell r="AH52">
            <v>8631.7900000000009</v>
          </cell>
          <cell r="AI52">
            <v>8502.26</v>
          </cell>
          <cell r="AJ52">
            <v>8643.59</v>
          </cell>
          <cell r="AK52">
            <v>8351.17</v>
          </cell>
          <cell r="AL52">
            <v>8625.16</v>
          </cell>
          <cell r="AM52">
            <v>8938.7000000000007</v>
          </cell>
          <cell r="AN52">
            <v>8710.69</v>
          </cell>
          <cell r="AO52">
            <v>8786.58</v>
          </cell>
          <cell r="AP52">
            <v>8776.86</v>
          </cell>
          <cell r="AQ52">
            <v>8846.68</v>
          </cell>
          <cell r="AR52">
            <v>8578.85</v>
          </cell>
          <cell r="AS52">
            <v>8954.9500000000007</v>
          </cell>
          <cell r="AT52">
            <v>8749.83</v>
          </cell>
          <cell r="AU52">
            <v>8782.1</v>
          </cell>
          <cell r="AV52">
            <v>8868.11</v>
          </cell>
          <cell r="AW52">
            <v>8683.1200000000008</v>
          </cell>
          <cell r="AX52">
            <v>8331.69</v>
          </cell>
          <cell r="AY52">
            <v>8556.61</v>
          </cell>
          <cell r="AZ52">
            <v>8232.59</v>
          </cell>
          <cell r="BA52">
            <v>8232.59</v>
          </cell>
        </row>
        <row r="53">
          <cell r="A53" t="str">
            <v>V2000H25B25</v>
          </cell>
          <cell r="B53">
            <v>2000</v>
          </cell>
          <cell r="C53">
            <v>2500</v>
          </cell>
          <cell r="D53">
            <v>2500</v>
          </cell>
          <cell r="E53">
            <v>27</v>
          </cell>
          <cell r="F53">
            <v>5</v>
          </cell>
          <cell r="G53">
            <v>0</v>
          </cell>
          <cell r="H53">
            <v>300</v>
          </cell>
          <cell r="I53">
            <v>50</v>
          </cell>
          <cell r="J53">
            <v>2022.6</v>
          </cell>
          <cell r="K53" t="str">
            <v>Q-11002984</v>
          </cell>
          <cell r="L53" t="str">
            <v>\\hokukon-net2\hop\Program\01_MVPシステム_容量別組立図\.\02_余裕高0_6m\pdf\FB600_2000m3-MVP-2500-組-B2500_Q-11002984.pdf</v>
          </cell>
          <cell r="M53">
            <v>8747.9699999999993</v>
          </cell>
          <cell r="N53">
            <v>8842.4599999999991</v>
          </cell>
          <cell r="O53">
            <v>8628.2999999999993</v>
          </cell>
          <cell r="P53">
            <v>8631.66</v>
          </cell>
          <cell r="Q53">
            <v>8797.35</v>
          </cell>
          <cell r="R53">
            <v>8726.67</v>
          </cell>
          <cell r="S53">
            <v>8707.14</v>
          </cell>
          <cell r="T53">
            <v>8711.19</v>
          </cell>
          <cell r="U53">
            <v>8696.84</v>
          </cell>
          <cell r="V53">
            <v>8658.85</v>
          </cell>
          <cell r="W53">
            <v>8707.75</v>
          </cell>
          <cell r="X53">
            <v>8742.94</v>
          </cell>
          <cell r="Y53">
            <v>8748.52</v>
          </cell>
          <cell r="Z53">
            <v>8967.1</v>
          </cell>
          <cell r="AA53">
            <v>8784.7199999999993</v>
          </cell>
          <cell r="AB53">
            <v>8796.4500000000007</v>
          </cell>
          <cell r="AC53">
            <v>9066.4699999999993</v>
          </cell>
          <cell r="AD53">
            <v>8680.92</v>
          </cell>
          <cell r="AE53">
            <v>8775.7199999999993</v>
          </cell>
          <cell r="AF53">
            <v>9031.9599999999991</v>
          </cell>
          <cell r="AG53">
            <v>8704.73</v>
          </cell>
          <cell r="AH53">
            <v>8775.18</v>
          </cell>
          <cell r="AI53">
            <v>8648.25</v>
          </cell>
          <cell r="AJ53">
            <v>8785.9599999999991</v>
          </cell>
          <cell r="AK53">
            <v>8497.11</v>
          </cell>
          <cell r="AL53">
            <v>8766.2199999999993</v>
          </cell>
          <cell r="AM53">
            <v>9075.5400000000009</v>
          </cell>
          <cell r="AN53">
            <v>8851.17</v>
          </cell>
          <cell r="AO53">
            <v>8924.76</v>
          </cell>
          <cell r="AP53">
            <v>8916.07</v>
          </cell>
          <cell r="AQ53">
            <v>8985.1299999999992</v>
          </cell>
          <cell r="AR53">
            <v>8718.02</v>
          </cell>
          <cell r="AS53">
            <v>9089.02</v>
          </cell>
          <cell r="AT53">
            <v>8888.83</v>
          </cell>
          <cell r="AU53">
            <v>8920.8799999999992</v>
          </cell>
          <cell r="AV53">
            <v>9004.06</v>
          </cell>
          <cell r="AW53">
            <v>8821.9699999999993</v>
          </cell>
          <cell r="AX53">
            <v>8477.07</v>
          </cell>
          <cell r="AY53">
            <v>8696.9</v>
          </cell>
          <cell r="AZ53">
            <v>8378.4699999999993</v>
          </cell>
          <cell r="BA53">
            <v>8378.4699999999993</v>
          </cell>
        </row>
        <row r="54">
          <cell r="A54" t="str">
            <v>V2000H25B20</v>
          </cell>
          <cell r="B54">
            <v>2000</v>
          </cell>
          <cell r="C54">
            <v>2500</v>
          </cell>
          <cell r="D54">
            <v>2000</v>
          </cell>
          <cell r="E54">
            <v>30</v>
          </cell>
          <cell r="F54">
            <v>5</v>
          </cell>
          <cell r="G54">
            <v>0</v>
          </cell>
          <cell r="H54">
            <v>300</v>
          </cell>
          <cell r="I54">
            <v>50</v>
          </cell>
          <cell r="J54">
            <v>2023.7</v>
          </cell>
          <cell r="K54" t="str">
            <v>Q-11002983</v>
          </cell>
          <cell r="L54" t="str">
            <v>\\hokukon-net2\hop\Program\01_MVPシステム_容量別組立図\.\02_余裕高0_6m\pdf\FB600_2000m3-MVP-2500-組-B2000_Q-11002983.pdf</v>
          </cell>
          <cell r="M54">
            <v>9093.35</v>
          </cell>
          <cell r="N54">
            <v>9188.07</v>
          </cell>
          <cell r="O54">
            <v>8974.58</v>
          </cell>
          <cell r="P54">
            <v>8977.9500000000007</v>
          </cell>
          <cell r="Q54">
            <v>9142.39</v>
          </cell>
          <cell r="R54">
            <v>9071.4</v>
          </cell>
          <cell r="S54">
            <v>9050.89</v>
          </cell>
          <cell r="T54">
            <v>9054.9500000000007</v>
          </cell>
          <cell r="U54">
            <v>9045.34</v>
          </cell>
          <cell r="V54">
            <v>9006.56</v>
          </cell>
          <cell r="W54">
            <v>9056.1</v>
          </cell>
          <cell r="X54">
            <v>9093.11</v>
          </cell>
          <cell r="Y54">
            <v>9098.8700000000008</v>
          </cell>
          <cell r="Z54">
            <v>9319.83</v>
          </cell>
          <cell r="AA54">
            <v>9137.49</v>
          </cell>
          <cell r="AB54">
            <v>9147.4</v>
          </cell>
          <cell r="AC54">
            <v>9416.2800000000007</v>
          </cell>
          <cell r="AD54">
            <v>9027.67</v>
          </cell>
          <cell r="AE54">
            <v>9124.33</v>
          </cell>
          <cell r="AF54">
            <v>9382.64</v>
          </cell>
          <cell r="AG54">
            <v>9055.2900000000009</v>
          </cell>
          <cell r="AH54">
            <v>9126.1200000000008</v>
          </cell>
          <cell r="AI54">
            <v>8999.5499999999993</v>
          </cell>
          <cell r="AJ54">
            <v>9136.0300000000007</v>
          </cell>
          <cell r="AK54">
            <v>8845.19</v>
          </cell>
          <cell r="AL54">
            <v>9114.32</v>
          </cell>
          <cell r="AM54">
            <v>9425.32</v>
          </cell>
          <cell r="AN54">
            <v>9200.34</v>
          </cell>
          <cell r="AO54">
            <v>9272.8799999999992</v>
          </cell>
          <cell r="AP54">
            <v>9265.17</v>
          </cell>
          <cell r="AQ54">
            <v>9334.83</v>
          </cell>
          <cell r="AR54">
            <v>9063.08</v>
          </cell>
          <cell r="AS54">
            <v>9436.06</v>
          </cell>
          <cell r="AT54">
            <v>9237.23</v>
          </cell>
          <cell r="AU54">
            <v>9269.7199999999993</v>
          </cell>
          <cell r="AV54">
            <v>9351.4500000000007</v>
          </cell>
          <cell r="AW54">
            <v>9168.8799999999992</v>
          </cell>
          <cell r="AX54">
            <v>8824.24</v>
          </cell>
          <cell r="AY54">
            <v>9042.84</v>
          </cell>
          <cell r="AZ54">
            <v>8724.14</v>
          </cell>
          <cell r="BA54">
            <v>8724.14</v>
          </cell>
        </row>
        <row r="55">
          <cell r="A55" t="str">
            <v>V2000H30B30</v>
          </cell>
          <cell r="B55">
            <v>2000</v>
          </cell>
          <cell r="C55">
            <v>3000</v>
          </cell>
          <cell r="D55">
            <v>3000</v>
          </cell>
          <cell r="E55">
            <v>24</v>
          </cell>
          <cell r="F55">
            <v>4</v>
          </cell>
          <cell r="G55">
            <v>0</v>
          </cell>
          <cell r="H55">
            <v>300</v>
          </cell>
          <cell r="I55">
            <v>50</v>
          </cell>
          <cell r="J55">
            <v>2036.2</v>
          </cell>
          <cell r="K55" t="str">
            <v>Q-11002988</v>
          </cell>
          <cell r="L55" t="str">
            <v>\\hokukon-net2\hop\Program\01_MVPシステム_容量別組立図\.\02_余裕高0_6m\pdf\FB600_2000m3-MVP-3000-組-B3000_Q-11002988.pdf</v>
          </cell>
          <cell r="M55">
            <v>7288.62</v>
          </cell>
          <cell r="N55">
            <v>7364.91</v>
          </cell>
          <cell r="O55">
            <v>7193.95</v>
          </cell>
          <cell r="P55">
            <v>7196.64</v>
          </cell>
          <cell r="Q55">
            <v>7327.65</v>
          </cell>
          <cell r="R55">
            <v>7270.16</v>
          </cell>
          <cell r="S55">
            <v>7253.58</v>
          </cell>
          <cell r="T55">
            <v>7256.82</v>
          </cell>
          <cell r="U55">
            <v>7251.18</v>
          </cell>
          <cell r="V55">
            <v>7220.02</v>
          </cell>
          <cell r="W55">
            <v>7258.62</v>
          </cell>
          <cell r="X55">
            <v>7288.9</v>
          </cell>
          <cell r="Y55">
            <v>7294.29</v>
          </cell>
          <cell r="Z55">
            <v>7470.9</v>
          </cell>
          <cell r="AA55">
            <v>7325.02</v>
          </cell>
          <cell r="AB55">
            <v>7332.28</v>
          </cell>
          <cell r="AC55">
            <v>7546.4</v>
          </cell>
          <cell r="AD55">
            <v>7235.6</v>
          </cell>
          <cell r="AE55">
            <v>7313.55</v>
          </cell>
          <cell r="AF55">
            <v>7519.55</v>
          </cell>
          <cell r="AG55">
            <v>7258.65</v>
          </cell>
          <cell r="AH55">
            <v>7314.6</v>
          </cell>
          <cell r="AI55">
            <v>7214.34</v>
          </cell>
          <cell r="AJ55">
            <v>7322.16</v>
          </cell>
          <cell r="AK55">
            <v>7091.16</v>
          </cell>
          <cell r="AL55">
            <v>7305.67</v>
          </cell>
          <cell r="AM55">
            <v>7554.36</v>
          </cell>
          <cell r="AN55">
            <v>7375.81</v>
          </cell>
          <cell r="AO55">
            <v>7433.11</v>
          </cell>
          <cell r="AP55">
            <v>7426.05</v>
          </cell>
          <cell r="AQ55">
            <v>7482.17</v>
          </cell>
          <cell r="AR55">
            <v>7263.87</v>
          </cell>
          <cell r="AS55">
            <v>7560.73</v>
          </cell>
          <cell r="AT55">
            <v>7402.96</v>
          </cell>
          <cell r="AU55">
            <v>7429.02</v>
          </cell>
          <cell r="AV55">
            <v>7493.58</v>
          </cell>
          <cell r="AW55">
            <v>7348.09</v>
          </cell>
          <cell r="AX55">
            <v>7071.9</v>
          </cell>
          <cell r="AY55">
            <v>7247.07</v>
          </cell>
          <cell r="AZ55">
            <v>6993.02</v>
          </cell>
          <cell r="BA55">
            <v>6993.02</v>
          </cell>
        </row>
        <row r="56">
          <cell r="A56" t="str">
            <v>V2000H30B25</v>
          </cell>
          <cell r="B56">
            <v>2000</v>
          </cell>
          <cell r="C56">
            <v>3000</v>
          </cell>
          <cell r="D56">
            <v>2500</v>
          </cell>
          <cell r="E56">
            <v>26</v>
          </cell>
          <cell r="F56">
            <v>4</v>
          </cell>
          <cell r="G56">
            <v>0</v>
          </cell>
          <cell r="H56">
            <v>300</v>
          </cell>
          <cell r="I56">
            <v>50</v>
          </cell>
          <cell r="J56">
            <v>2009.4</v>
          </cell>
          <cell r="K56" t="str">
            <v>Q-11002987</v>
          </cell>
          <cell r="L56" t="str">
            <v>\\hokukon-net2\hop\Program\01_MVPシステム_容量別組立図\.\02_余裕高0_6m\pdf\FB600_2000m3-MVP-3000-組-B2500_Q-11002987.pdf</v>
          </cell>
          <cell r="M56">
            <v>7440.12</v>
          </cell>
          <cell r="N56">
            <v>7515.6</v>
          </cell>
          <cell r="O56">
            <v>7347.35</v>
          </cell>
          <cell r="P56">
            <v>7350.02</v>
          </cell>
          <cell r="Q56">
            <v>7478.42</v>
          </cell>
          <cell r="R56">
            <v>7421.49</v>
          </cell>
          <cell r="S56">
            <v>7404.45</v>
          </cell>
          <cell r="T56">
            <v>7407.65</v>
          </cell>
          <cell r="U56">
            <v>7405.46</v>
          </cell>
          <cell r="V56">
            <v>7374.17</v>
          </cell>
          <cell r="W56">
            <v>7412.66</v>
          </cell>
          <cell r="X56">
            <v>7443.82</v>
          </cell>
          <cell r="Y56">
            <v>7449.28</v>
          </cell>
          <cell r="Z56">
            <v>7625.19</v>
          </cell>
          <cell r="AA56">
            <v>7481.2</v>
          </cell>
          <cell r="AB56">
            <v>7487.14</v>
          </cell>
          <cell r="AC56">
            <v>7697.57</v>
          </cell>
          <cell r="AD56">
            <v>7388.67</v>
          </cell>
          <cell r="AE56">
            <v>7466.92</v>
          </cell>
          <cell r="AF56">
            <v>7671.62</v>
          </cell>
          <cell r="AG56">
            <v>7414.12</v>
          </cell>
          <cell r="AH56">
            <v>7469.65</v>
          </cell>
          <cell r="AI56">
            <v>7370.94</v>
          </cell>
          <cell r="AJ56">
            <v>7476.49</v>
          </cell>
          <cell r="AK56">
            <v>7247.18</v>
          </cell>
          <cell r="AL56">
            <v>7458.91</v>
          </cell>
          <cell r="AM56">
            <v>7705.48</v>
          </cell>
          <cell r="AN56">
            <v>7528.91</v>
          </cell>
          <cell r="AO56">
            <v>7584.73</v>
          </cell>
          <cell r="AP56">
            <v>7578.45</v>
          </cell>
          <cell r="AQ56">
            <v>7634.2</v>
          </cell>
          <cell r="AR56">
            <v>7415.53</v>
          </cell>
          <cell r="AS56">
            <v>7709.78</v>
          </cell>
          <cell r="AT56">
            <v>7555.07</v>
          </cell>
          <cell r="AU56">
            <v>7581.05</v>
          </cell>
          <cell r="AV56">
            <v>7643.76</v>
          </cell>
          <cell r="AW56">
            <v>7499.83</v>
          </cell>
          <cell r="AX56">
            <v>7227.43</v>
          </cell>
          <cell r="AY56">
            <v>7399.49</v>
          </cell>
          <cell r="AZ56">
            <v>7148.57</v>
          </cell>
          <cell r="BA56">
            <v>7148.57</v>
          </cell>
        </row>
        <row r="57">
          <cell r="A57" t="str">
            <v>V2000H30B20</v>
          </cell>
          <cell r="B57">
            <v>2000</v>
          </cell>
          <cell r="C57">
            <v>3000</v>
          </cell>
          <cell r="D57">
            <v>2000</v>
          </cell>
          <cell r="E57">
            <v>29</v>
          </cell>
          <cell r="F57">
            <v>4</v>
          </cell>
          <cell r="G57">
            <v>0</v>
          </cell>
          <cell r="H57">
            <v>300</v>
          </cell>
          <cell r="I57">
            <v>50</v>
          </cell>
          <cell r="J57">
            <v>2022.2</v>
          </cell>
          <cell r="K57" t="str">
            <v>Q-11002986</v>
          </cell>
          <cell r="L57" t="str">
            <v>\\hokukon-net2\hop\Program\01_MVPシステム_容量別組立図\.\02_余裕高0_6m\pdf\FB600_2000m3-MVP-3000-組-B2000_Q-11002986.pdf</v>
          </cell>
          <cell r="M57">
            <v>7789.5</v>
          </cell>
          <cell r="N57">
            <v>7865.63</v>
          </cell>
          <cell r="O57">
            <v>7696.96</v>
          </cell>
          <cell r="P57">
            <v>7699.65</v>
          </cell>
          <cell r="Q57">
            <v>7827.67</v>
          </cell>
          <cell r="R57">
            <v>7770.08</v>
          </cell>
          <cell r="S57">
            <v>7752.04</v>
          </cell>
          <cell r="T57">
            <v>7755.29</v>
          </cell>
          <cell r="U57">
            <v>7757.39</v>
          </cell>
          <cell r="V57">
            <v>7725.18</v>
          </cell>
          <cell r="W57">
            <v>7764.43</v>
          </cell>
          <cell r="X57">
            <v>7797.4</v>
          </cell>
          <cell r="Y57">
            <v>7803.13</v>
          </cell>
          <cell r="Z57">
            <v>7982.22</v>
          </cell>
          <cell r="AA57">
            <v>7837.4</v>
          </cell>
          <cell r="AB57">
            <v>7841.67</v>
          </cell>
          <cell r="AC57">
            <v>8052.32</v>
          </cell>
          <cell r="AD57">
            <v>7739.01</v>
          </cell>
          <cell r="AE57">
            <v>7819.38</v>
          </cell>
          <cell r="AF57">
            <v>8027.07</v>
          </cell>
          <cell r="AG57">
            <v>7767.97</v>
          </cell>
          <cell r="AH57">
            <v>7824.08</v>
          </cell>
          <cell r="AI57">
            <v>7725.2</v>
          </cell>
          <cell r="AJ57">
            <v>7830.17</v>
          </cell>
          <cell r="AK57">
            <v>7597.88</v>
          </cell>
          <cell r="AL57">
            <v>7810.77</v>
          </cell>
          <cell r="AM57">
            <v>8060.28</v>
          </cell>
          <cell r="AN57">
            <v>7882.24</v>
          </cell>
          <cell r="AO57">
            <v>7937.39</v>
          </cell>
          <cell r="AP57">
            <v>7931.84</v>
          </cell>
          <cell r="AQ57">
            <v>7988.51</v>
          </cell>
          <cell r="AR57">
            <v>7764.45</v>
          </cell>
          <cell r="AS57">
            <v>8062.06</v>
          </cell>
          <cell r="AT57">
            <v>7907.75</v>
          </cell>
          <cell r="AU57">
            <v>7934.32</v>
          </cell>
          <cell r="AV57">
            <v>7996.01</v>
          </cell>
          <cell r="AW57">
            <v>7850.88</v>
          </cell>
          <cell r="AX57">
            <v>7577.07</v>
          </cell>
          <cell r="AY57">
            <v>7749.05</v>
          </cell>
          <cell r="AZ57">
            <v>7496.55</v>
          </cell>
          <cell r="BA57">
            <v>7496.55</v>
          </cell>
        </row>
        <row r="58">
          <cell r="A58" t="str">
            <v>V2000H35B30</v>
          </cell>
          <cell r="B58">
            <v>2000</v>
          </cell>
          <cell r="C58">
            <v>3500</v>
          </cell>
          <cell r="D58">
            <v>3000</v>
          </cell>
          <cell r="E58">
            <v>20</v>
          </cell>
          <cell r="F58">
            <v>4</v>
          </cell>
          <cell r="G58">
            <v>0</v>
          </cell>
          <cell r="H58">
            <v>300</v>
          </cell>
          <cell r="I58">
            <v>50</v>
          </cell>
          <cell r="J58">
            <v>2061.6</v>
          </cell>
          <cell r="K58" t="str">
            <v>Q-11002991</v>
          </cell>
          <cell r="L58" t="str">
            <v>\\hokukon-net2\hop\Program\01_MVPシステム_容量別組立図\.\02_余裕高0_6m\pdf\FB600_2000m3-MVP-3500-組-B3000_Q-11002991.pdf</v>
          </cell>
          <cell r="M58">
            <v>6552.96</v>
          </cell>
          <cell r="N58">
            <v>6618.14</v>
          </cell>
          <cell r="O58">
            <v>6475.07</v>
          </cell>
          <cell r="P58">
            <v>6477.35</v>
          </cell>
          <cell r="Q58">
            <v>6585.83</v>
          </cell>
          <cell r="R58">
            <v>6537.24</v>
          </cell>
          <cell r="S58">
            <v>6522.33</v>
          </cell>
          <cell r="T58">
            <v>6525.08</v>
          </cell>
          <cell r="U58">
            <v>6526.13</v>
          </cell>
          <cell r="V58">
            <v>6499.27</v>
          </cell>
          <cell r="W58">
            <v>6531.49</v>
          </cell>
          <cell r="X58">
            <v>6559.09</v>
          </cell>
          <cell r="Y58">
            <v>6563.95</v>
          </cell>
          <cell r="Z58">
            <v>6714.23</v>
          </cell>
          <cell r="AA58">
            <v>6591.22</v>
          </cell>
          <cell r="AB58">
            <v>6595.82</v>
          </cell>
          <cell r="AC58">
            <v>6773.57</v>
          </cell>
          <cell r="AD58">
            <v>6508.41</v>
          </cell>
          <cell r="AE58">
            <v>6575.9</v>
          </cell>
          <cell r="AF58">
            <v>6750.68</v>
          </cell>
          <cell r="AG58">
            <v>6532.35</v>
          </cell>
          <cell r="AH58">
            <v>6580.39</v>
          </cell>
          <cell r="AI58">
            <v>6495.96</v>
          </cell>
          <cell r="AJ58">
            <v>6585.23</v>
          </cell>
          <cell r="AK58">
            <v>6390.07</v>
          </cell>
          <cell r="AL58">
            <v>6570.84</v>
          </cell>
          <cell r="AM58">
            <v>6781.01</v>
          </cell>
          <cell r="AN58">
            <v>6631.44</v>
          </cell>
          <cell r="AO58">
            <v>6678.33</v>
          </cell>
          <cell r="AP58">
            <v>6673.41</v>
          </cell>
          <cell r="AQ58">
            <v>6720.91</v>
          </cell>
          <cell r="AR58">
            <v>6532.02</v>
          </cell>
          <cell r="AS58">
            <v>6782.24</v>
          </cell>
          <cell r="AT58">
            <v>6651.49</v>
          </cell>
          <cell r="AU58">
            <v>6673.21</v>
          </cell>
          <cell r="AV58">
            <v>6726.6</v>
          </cell>
          <cell r="AW58">
            <v>6603.46</v>
          </cell>
          <cell r="AX58">
            <v>6371.01</v>
          </cell>
          <cell r="AY58">
            <v>6517.86</v>
          </cell>
          <cell r="AZ58">
            <v>6303.75</v>
          </cell>
          <cell r="BA58">
            <v>6303.75</v>
          </cell>
        </row>
        <row r="59">
          <cell r="A59" t="str">
            <v>V2000H35B25</v>
          </cell>
          <cell r="B59">
            <v>2000</v>
          </cell>
          <cell r="C59">
            <v>3500</v>
          </cell>
          <cell r="D59">
            <v>2500</v>
          </cell>
          <cell r="E59">
            <v>22</v>
          </cell>
          <cell r="F59">
            <v>4</v>
          </cell>
          <cell r="G59">
            <v>0</v>
          </cell>
          <cell r="H59">
            <v>300</v>
          </cell>
          <cell r="I59">
            <v>50</v>
          </cell>
          <cell r="J59">
            <v>2064.1999999999998</v>
          </cell>
          <cell r="K59" t="str">
            <v>Q-11002990</v>
          </cell>
          <cell r="L59" t="str">
            <v>\\hokukon-net2\hop\Program\01_MVPシステム_容量別組立図\.\02_余裕高0_6m\pdf\FB600_2000m3-MVP-3500-組-B2500_Q-11002990.pdf</v>
          </cell>
          <cell r="M59">
            <v>6782.23</v>
          </cell>
          <cell r="N59">
            <v>6847.54</v>
          </cell>
          <cell r="O59">
            <v>6704.87</v>
          </cell>
          <cell r="P59">
            <v>6707.15</v>
          </cell>
          <cell r="Q59">
            <v>6814.84</v>
          </cell>
          <cell r="R59">
            <v>6766</v>
          </cell>
          <cell r="S59">
            <v>6750.49</v>
          </cell>
          <cell r="T59">
            <v>6753.23</v>
          </cell>
          <cell r="U59">
            <v>6757.35</v>
          </cell>
          <cell r="V59">
            <v>6729.99</v>
          </cell>
          <cell r="W59">
            <v>6762.56</v>
          </cell>
          <cell r="X59">
            <v>6791.32</v>
          </cell>
          <cell r="Y59">
            <v>6796.34</v>
          </cell>
          <cell r="Z59">
            <v>6948.14</v>
          </cell>
          <cell r="AA59">
            <v>6825.15</v>
          </cell>
          <cell r="AB59">
            <v>6828.54</v>
          </cell>
          <cell r="AC59">
            <v>7005.57</v>
          </cell>
          <cell r="AD59">
            <v>6738.56</v>
          </cell>
          <cell r="AE59">
            <v>6807.23</v>
          </cell>
          <cell r="AF59">
            <v>6983.28</v>
          </cell>
          <cell r="AG59">
            <v>6764.88</v>
          </cell>
          <cell r="AH59">
            <v>6813.1</v>
          </cell>
          <cell r="AI59">
            <v>6728.97</v>
          </cell>
          <cell r="AJ59">
            <v>6817.39</v>
          </cell>
          <cell r="AK59">
            <v>6621.07</v>
          </cell>
          <cell r="AL59">
            <v>6801.79</v>
          </cell>
          <cell r="AM59">
            <v>7013.01</v>
          </cell>
          <cell r="AN59">
            <v>6863.12</v>
          </cell>
          <cell r="AO59">
            <v>6909.31</v>
          </cell>
          <cell r="AP59">
            <v>6904.94</v>
          </cell>
          <cell r="AQ59">
            <v>6952.85</v>
          </cell>
          <cell r="AR59">
            <v>6761.06</v>
          </cell>
          <cell r="AS59">
            <v>7012.45</v>
          </cell>
          <cell r="AT59">
            <v>6882.62</v>
          </cell>
          <cell r="AU59">
            <v>6904.67</v>
          </cell>
          <cell r="AV59">
            <v>6957.05</v>
          </cell>
          <cell r="AW59">
            <v>6833.67</v>
          </cell>
          <cell r="AX59">
            <v>6601.34</v>
          </cell>
          <cell r="AY59">
            <v>6747.42</v>
          </cell>
          <cell r="AZ59">
            <v>6533.23</v>
          </cell>
          <cell r="BA59">
            <v>6533.23</v>
          </cell>
        </row>
        <row r="60">
          <cell r="A60" t="str">
            <v>V2000H35B20</v>
          </cell>
          <cell r="B60">
            <v>2000</v>
          </cell>
          <cell r="C60">
            <v>3500</v>
          </cell>
          <cell r="D60">
            <v>2000</v>
          </cell>
          <cell r="E60">
            <v>24</v>
          </cell>
          <cell r="F60">
            <v>4</v>
          </cell>
          <cell r="G60">
            <v>0</v>
          </cell>
          <cell r="H60">
            <v>300</v>
          </cell>
          <cell r="I60">
            <v>50</v>
          </cell>
          <cell r="J60">
            <v>2032</v>
          </cell>
          <cell r="K60" t="str">
            <v>Q-11002989</v>
          </cell>
          <cell r="L60" t="str">
            <v>\\hokukon-net2\hop\Program\01_MVPシステム_容量別組立図\.\02_余裕高0_6m\pdf\FB600_2000m3-MVP-3500-組-B2000_Q-11002989.pdf</v>
          </cell>
          <cell r="M60">
            <v>6954.81</v>
          </cell>
          <cell r="N60">
            <v>7019.33</v>
          </cell>
          <cell r="O60">
            <v>6879.39</v>
          </cell>
          <cell r="P60">
            <v>6990.23</v>
          </cell>
          <cell r="Q60">
            <v>6986.71</v>
          </cell>
          <cell r="R60">
            <v>6938.44</v>
          </cell>
          <cell r="S60">
            <v>6922.45</v>
          </cell>
          <cell r="T60">
            <v>6925.16</v>
          </cell>
          <cell r="U60">
            <v>6932.76</v>
          </cell>
          <cell r="V60">
            <v>6905.26</v>
          </cell>
          <cell r="W60">
            <v>6937.74</v>
          </cell>
          <cell r="X60">
            <v>6967.4</v>
          </cell>
          <cell r="Y60">
            <v>6972.48</v>
          </cell>
          <cell r="Z60">
            <v>7123.62</v>
          </cell>
          <cell r="AA60">
            <v>7002.47</v>
          </cell>
          <cell r="AB60">
            <v>7004.54</v>
          </cell>
          <cell r="AC60">
            <v>7177.88</v>
          </cell>
          <cell r="AD60">
            <v>6912.73</v>
          </cell>
          <cell r="AE60">
            <v>6981.7</v>
          </cell>
          <cell r="AF60">
            <v>7156.49</v>
          </cell>
          <cell r="AG60">
            <v>6941.48</v>
          </cell>
          <cell r="AH60">
            <v>6989.31</v>
          </cell>
          <cell r="AI60">
            <v>6906.69</v>
          </cell>
          <cell r="AJ60">
            <v>6992.83</v>
          </cell>
          <cell r="AK60">
            <v>6798.22</v>
          </cell>
          <cell r="AL60">
            <v>6976.17</v>
          </cell>
          <cell r="AM60">
            <v>7185.28</v>
          </cell>
          <cell r="AN60">
            <v>7037.37</v>
          </cell>
          <cell r="AO60">
            <v>7082.06</v>
          </cell>
          <cell r="AP60">
            <v>7078.47</v>
          </cell>
          <cell r="AQ60">
            <v>7126.04</v>
          </cell>
          <cell r="AR60">
            <v>7033.15</v>
          </cell>
          <cell r="AS60">
            <v>7182.6</v>
          </cell>
          <cell r="AT60">
            <v>7055.86</v>
          </cell>
          <cell r="AU60">
            <v>7077.79</v>
          </cell>
          <cell r="AV60">
            <v>7128.34</v>
          </cell>
          <cell r="AW60">
            <v>7006.52</v>
          </cell>
          <cell r="AX60">
            <v>6777.96</v>
          </cell>
          <cell r="AY60">
            <v>6920.92</v>
          </cell>
          <cell r="AZ60">
            <v>6709.88</v>
          </cell>
          <cell r="BA60">
            <v>6709.88</v>
          </cell>
        </row>
        <row r="61">
          <cell r="A61" t="str">
            <v>V2000H40B30</v>
          </cell>
          <cell r="B61">
            <v>2000</v>
          </cell>
          <cell r="C61">
            <v>4000</v>
          </cell>
          <cell r="D61">
            <v>3000</v>
          </cell>
          <cell r="E61">
            <v>17</v>
          </cell>
          <cell r="F61">
            <v>4</v>
          </cell>
          <cell r="G61">
            <v>0</v>
          </cell>
          <cell r="H61">
            <v>350</v>
          </cell>
          <cell r="I61">
            <v>70</v>
          </cell>
          <cell r="J61">
            <v>2083</v>
          </cell>
          <cell r="K61" t="str">
            <v>Q-11002994</v>
          </cell>
          <cell r="L61" t="str">
            <v>\\hokukon-net2\hop\Program\01_MVPシステム_容量別組立図\.\02_余裕高0_6m\pdf\FB600_2000m3-MVP-4000-組-B3000_Q-11002994.pdf</v>
          </cell>
          <cell r="M61">
            <v>6813.35</v>
          </cell>
          <cell r="N61">
            <v>6877.39</v>
          </cell>
          <cell r="O61">
            <v>6741.15</v>
          </cell>
          <cell r="P61">
            <v>6743.28</v>
          </cell>
          <cell r="Q61">
            <v>6845.26</v>
          </cell>
          <cell r="R61">
            <v>6798.92</v>
          </cell>
          <cell r="S61">
            <v>6784.01</v>
          </cell>
          <cell r="T61">
            <v>6786.58</v>
          </cell>
          <cell r="U61">
            <v>6786.75</v>
          </cell>
          <cell r="V61">
            <v>6761.9</v>
          </cell>
          <cell r="W61">
            <v>6791.92</v>
          </cell>
          <cell r="X61">
            <v>6817.43</v>
          </cell>
          <cell r="Y61">
            <v>6820.86</v>
          </cell>
          <cell r="Z61">
            <v>6963.91</v>
          </cell>
          <cell r="AA61">
            <v>6847.06</v>
          </cell>
          <cell r="AB61">
            <v>6852.43</v>
          </cell>
          <cell r="AC61">
            <v>7019.95</v>
          </cell>
          <cell r="AD61">
            <v>6762.4</v>
          </cell>
          <cell r="AE61">
            <v>6828.71</v>
          </cell>
          <cell r="AF61">
            <v>6994</v>
          </cell>
          <cell r="AG61">
            <v>6783.03</v>
          </cell>
          <cell r="AH61">
            <v>6830.01</v>
          </cell>
          <cell r="AI61">
            <v>6749.81</v>
          </cell>
          <cell r="AJ61">
            <v>6832.95</v>
          </cell>
          <cell r="AK61">
            <v>6662.05</v>
          </cell>
          <cell r="AL61">
            <v>6835.78</v>
          </cell>
          <cell r="AM61">
            <v>7034.6</v>
          </cell>
          <cell r="AN61">
            <v>6893.15</v>
          </cell>
          <cell r="AO61">
            <v>6937.97</v>
          </cell>
          <cell r="AP61">
            <v>6933.41</v>
          </cell>
          <cell r="AQ61">
            <v>6979.37</v>
          </cell>
          <cell r="AR61">
            <v>6784.92</v>
          </cell>
          <cell r="AS61">
            <v>7022.27</v>
          </cell>
          <cell r="AT61">
            <v>6900.47</v>
          </cell>
          <cell r="AU61">
            <v>6920.51</v>
          </cell>
          <cell r="AV61">
            <v>6969.78</v>
          </cell>
          <cell r="AW61">
            <v>6851.31</v>
          </cell>
          <cell r="AX61">
            <v>6628.62</v>
          </cell>
          <cell r="AY61">
            <v>6768.82</v>
          </cell>
          <cell r="AZ61">
            <v>6564.26</v>
          </cell>
          <cell r="BA61">
            <v>6564.26</v>
          </cell>
        </row>
        <row r="62">
          <cell r="A62" t="str">
            <v>V2000H40B25</v>
          </cell>
          <cell r="B62">
            <v>2000</v>
          </cell>
          <cell r="C62">
            <v>4000</v>
          </cell>
          <cell r="D62">
            <v>2500</v>
          </cell>
          <cell r="E62">
            <v>24</v>
          </cell>
          <cell r="F62">
            <v>3</v>
          </cell>
          <cell r="G62">
            <v>0</v>
          </cell>
          <cell r="H62">
            <v>350</v>
          </cell>
          <cell r="I62">
            <v>70</v>
          </cell>
          <cell r="J62">
            <v>2056.6</v>
          </cell>
          <cell r="K62" t="str">
            <v>Q-11002993</v>
          </cell>
          <cell r="L62" t="str">
            <v>\\hokukon-net2\hop\Program\01_MVPシステム_容量別組立図\.\02_余裕高0_6m\pdf\FB600_2000m3-MVP-4000-組-B2500_Q-11002993.pdf</v>
          </cell>
          <cell r="M62">
            <v>6998.34</v>
          </cell>
          <cell r="N62">
            <v>7061.33</v>
          </cell>
          <cell r="O62">
            <v>6926.21</v>
          </cell>
          <cell r="P62">
            <v>6928.31</v>
          </cell>
          <cell r="Q62">
            <v>7029.63</v>
          </cell>
          <cell r="R62">
            <v>6983.67</v>
          </cell>
          <cell r="S62">
            <v>6968.8</v>
          </cell>
          <cell r="T62">
            <v>6971.35</v>
          </cell>
          <cell r="U62">
            <v>6970.8</v>
          </cell>
          <cell r="V62">
            <v>6946.1</v>
          </cell>
          <cell r="W62">
            <v>6976.64</v>
          </cell>
          <cell r="X62">
            <v>7001.63</v>
          </cell>
          <cell r="Y62">
            <v>7004.92</v>
          </cell>
          <cell r="Z62">
            <v>7147.28</v>
          </cell>
          <cell r="AA62">
            <v>7031.54</v>
          </cell>
          <cell r="AB62">
            <v>7036.71</v>
          </cell>
          <cell r="AC62">
            <v>7203.42</v>
          </cell>
          <cell r="AD62">
            <v>6948.25</v>
          </cell>
          <cell r="AE62">
            <v>7013.91</v>
          </cell>
          <cell r="AF62">
            <v>7178.16</v>
          </cell>
          <cell r="AG62">
            <v>6968.03</v>
          </cell>
          <cell r="AH62">
            <v>7014.19</v>
          </cell>
          <cell r="AI62">
            <v>6935.09</v>
          </cell>
          <cell r="AJ62">
            <v>7017.5</v>
          </cell>
          <cell r="AK62">
            <v>6848.54</v>
          </cell>
          <cell r="AL62">
            <v>7020.33</v>
          </cell>
          <cell r="AM62">
            <v>7217.82</v>
          </cell>
          <cell r="AN62">
            <v>7077.08</v>
          </cell>
          <cell r="AO62">
            <v>7121.54</v>
          </cell>
          <cell r="AP62">
            <v>7116.99</v>
          </cell>
          <cell r="AQ62">
            <v>7162.93</v>
          </cell>
          <cell r="AR62">
            <v>6969.51</v>
          </cell>
          <cell r="AS62">
            <v>7205.71</v>
          </cell>
          <cell r="AT62">
            <v>7084.59</v>
          </cell>
          <cell r="AU62">
            <v>7104.98</v>
          </cell>
          <cell r="AV62">
            <v>7153.34</v>
          </cell>
          <cell r="AW62">
            <v>7035.86</v>
          </cell>
          <cell r="AX62">
            <v>6815.41</v>
          </cell>
          <cell r="AY62">
            <v>6953.75</v>
          </cell>
          <cell r="AZ62">
            <v>6751.25</v>
          </cell>
          <cell r="BA62">
            <v>6751.25</v>
          </cell>
        </row>
        <row r="63">
          <cell r="A63" t="str">
            <v>V2000H40B20</v>
          </cell>
          <cell r="B63">
            <v>2000</v>
          </cell>
          <cell r="C63">
            <v>4000</v>
          </cell>
          <cell r="D63">
            <v>2000</v>
          </cell>
          <cell r="E63">
            <v>20</v>
          </cell>
          <cell r="F63">
            <v>4</v>
          </cell>
          <cell r="G63">
            <v>0</v>
          </cell>
          <cell r="H63">
            <v>350</v>
          </cell>
          <cell r="I63">
            <v>70</v>
          </cell>
          <cell r="J63">
            <v>2015.8</v>
          </cell>
          <cell r="K63" t="str">
            <v>Q-11002992</v>
          </cell>
          <cell r="L63" t="str">
            <v>\\hokukon-net2\hop\Program\01_MVPシステム_容量別組立図\.\02_余裕高0_6m\pdf\FB600_2000m3-MVP-4000-組-B2000_Q-11002992.pdf</v>
          </cell>
          <cell r="M63">
            <v>7177.16</v>
          </cell>
          <cell r="N63">
            <v>7239.71</v>
          </cell>
          <cell r="O63">
            <v>7108.49</v>
          </cell>
          <cell r="P63">
            <v>7110.56</v>
          </cell>
          <cell r="Q63">
            <v>7207.74</v>
          </cell>
          <cell r="R63">
            <v>7162.44</v>
          </cell>
          <cell r="S63">
            <v>7146.77</v>
          </cell>
          <cell r="T63">
            <v>7149.27</v>
          </cell>
          <cell r="U63">
            <v>7155.22</v>
          </cell>
          <cell r="V63">
            <v>7130.26</v>
          </cell>
          <cell r="W63">
            <v>7159.93</v>
          </cell>
          <cell r="X63">
            <v>7186.88</v>
          </cell>
          <cell r="Y63">
            <v>7190.55</v>
          </cell>
          <cell r="Z63">
            <v>7331.95</v>
          </cell>
          <cell r="AA63">
            <v>7218.73</v>
          </cell>
          <cell r="AB63">
            <v>7221.75</v>
          </cell>
          <cell r="AC63">
            <v>7382.16</v>
          </cell>
          <cell r="AD63">
            <v>7128.22</v>
          </cell>
          <cell r="AE63">
            <v>7194.79</v>
          </cell>
          <cell r="AF63">
            <v>7357.13</v>
          </cell>
          <cell r="AG63">
            <v>7152.55</v>
          </cell>
          <cell r="AH63">
            <v>7198.59</v>
          </cell>
          <cell r="AI63">
            <v>7121.45</v>
          </cell>
          <cell r="AJ63">
            <v>7200.24</v>
          </cell>
          <cell r="AK63">
            <v>7034.8</v>
          </cell>
          <cell r="AL63">
            <v>7203.03</v>
          </cell>
          <cell r="AM63">
            <v>7397.42</v>
          </cell>
          <cell r="AN63">
            <v>7259.98</v>
          </cell>
          <cell r="AO63">
            <v>7302.04</v>
          </cell>
          <cell r="AP63">
            <v>7298.83</v>
          </cell>
          <cell r="AQ63">
            <v>7344.08</v>
          </cell>
          <cell r="AR63">
            <v>7148.13</v>
          </cell>
          <cell r="AS63">
            <v>7380.02</v>
          </cell>
          <cell r="AT63">
            <v>7263.83</v>
          </cell>
          <cell r="AU63">
            <v>7283.78</v>
          </cell>
          <cell r="AV63">
            <v>7329.58</v>
          </cell>
          <cell r="AW63">
            <v>7213.85</v>
          </cell>
          <cell r="AX63">
            <v>6998.5</v>
          </cell>
          <cell r="AY63">
            <v>7132.78</v>
          </cell>
          <cell r="AZ63">
            <v>6934.39</v>
          </cell>
          <cell r="BA63">
            <v>6934.39</v>
          </cell>
        </row>
        <row r="64">
          <cell r="A64" t="str">
            <v>V2000H45B30</v>
          </cell>
          <cell r="B64">
            <v>2000</v>
          </cell>
          <cell r="C64">
            <v>4500</v>
          </cell>
          <cell r="D64">
            <v>3000</v>
          </cell>
          <cell r="E64">
            <v>19</v>
          </cell>
          <cell r="F64">
            <v>3</v>
          </cell>
          <cell r="G64">
            <v>0</v>
          </cell>
          <cell r="H64">
            <v>350</v>
          </cell>
          <cell r="I64">
            <v>70</v>
          </cell>
          <cell r="J64">
            <v>2053.1999999999998</v>
          </cell>
          <cell r="K64" t="str">
            <v>Q-11002997</v>
          </cell>
          <cell r="L64" t="str">
            <v>\\hokukon-net2\hop\Program\01_MVPシステム_容量別組立図\.\02_余裕高0_6m\pdf\FB600_2000m3-MVP-4500-組-B3000_Q-11002997.pdf</v>
          </cell>
          <cell r="M64">
            <v>6275</v>
          </cell>
          <cell r="N64">
            <v>6330.03</v>
          </cell>
          <cell r="O64">
            <v>6212.87</v>
          </cell>
          <cell r="P64">
            <v>6214.71</v>
          </cell>
          <cell r="Q64">
            <v>6302.04</v>
          </cell>
          <cell r="R64">
            <v>6261.52</v>
          </cell>
          <cell r="S64">
            <v>6247.9</v>
          </cell>
          <cell r="T64">
            <v>6250.12</v>
          </cell>
          <cell r="U64">
            <v>6253.42</v>
          </cell>
          <cell r="V64">
            <v>6231.79</v>
          </cell>
          <cell r="W64">
            <v>6258.25</v>
          </cell>
          <cell r="X64">
            <v>6281.29</v>
          </cell>
          <cell r="Y64">
            <v>6284.25</v>
          </cell>
          <cell r="Z64">
            <v>6409.38</v>
          </cell>
          <cell r="AA64">
            <v>6308.2</v>
          </cell>
          <cell r="AB64">
            <v>6312.1</v>
          </cell>
          <cell r="AC64">
            <v>6455.51</v>
          </cell>
          <cell r="AD64">
            <v>6231</v>
          </cell>
          <cell r="AE64">
            <v>6289.23</v>
          </cell>
          <cell r="AF64">
            <v>6433.47</v>
          </cell>
          <cell r="AG64">
            <v>6251.18</v>
          </cell>
          <cell r="AH64">
            <v>6291.48</v>
          </cell>
          <cell r="AI64">
            <v>6222.67</v>
          </cell>
          <cell r="AJ64">
            <v>6293.81</v>
          </cell>
          <cell r="AK64">
            <v>6146.45</v>
          </cell>
          <cell r="AL64">
            <v>6295.72</v>
          </cell>
          <cell r="AM64">
            <v>6468.44</v>
          </cell>
          <cell r="AN64">
            <v>6346.61</v>
          </cell>
          <cell r="AO64">
            <v>6384.68</v>
          </cell>
          <cell r="AP64">
            <v>6380.92</v>
          </cell>
          <cell r="AQ64">
            <v>6421.27</v>
          </cell>
          <cell r="AR64">
            <v>6248.93</v>
          </cell>
          <cell r="AS64">
            <v>6454.87</v>
          </cell>
          <cell r="AT64">
            <v>6350.82</v>
          </cell>
          <cell r="AU64">
            <v>6368.18</v>
          </cell>
          <cell r="AV64">
            <v>6410.05</v>
          </cell>
          <cell r="AW64">
            <v>6307.4</v>
          </cell>
          <cell r="AX64">
            <v>6115.34</v>
          </cell>
          <cell r="AY64">
            <v>6235.29</v>
          </cell>
          <cell r="AZ64">
            <v>6058.95</v>
          </cell>
          <cell r="BA64">
            <v>6058.95</v>
          </cell>
        </row>
        <row r="65">
          <cell r="A65" t="str">
            <v>V2000H45B25</v>
          </cell>
          <cell r="B65">
            <v>2000</v>
          </cell>
          <cell r="C65">
            <v>4500</v>
          </cell>
          <cell r="D65">
            <v>2500</v>
          </cell>
          <cell r="E65">
            <v>21</v>
          </cell>
          <cell r="F65">
            <v>3</v>
          </cell>
          <cell r="G65">
            <v>0</v>
          </cell>
          <cell r="H65">
            <v>350</v>
          </cell>
          <cell r="I65">
            <v>70</v>
          </cell>
          <cell r="J65">
            <v>2072.1</v>
          </cell>
          <cell r="K65" t="str">
            <v>Q-11002996</v>
          </cell>
          <cell r="L65" t="str">
            <v>\\hokukon-net2\hop\Program\01_MVPシステム_容量別組立図\.\02_余裕高0_6m\pdf\FB600_2000m3-MVP-4500-組-B2500_Q-11002996.pdf</v>
          </cell>
          <cell r="M65">
            <v>6578.57</v>
          </cell>
          <cell r="N65">
            <v>6634.34</v>
          </cell>
          <cell r="O65">
            <v>6516.29</v>
          </cell>
          <cell r="P65">
            <v>6518.17</v>
          </cell>
          <cell r="Q65">
            <v>6605.76</v>
          </cell>
          <cell r="R65">
            <v>6564.69</v>
          </cell>
          <cell r="S65">
            <v>6550.5</v>
          </cell>
          <cell r="T65">
            <v>6552.76</v>
          </cell>
          <cell r="U65">
            <v>6558.15</v>
          </cell>
          <cell r="V65">
            <v>6535.97</v>
          </cell>
          <cell r="W65">
            <v>6562.96</v>
          </cell>
          <cell r="X65">
            <v>6587.02</v>
          </cell>
          <cell r="Y65">
            <v>6590.14</v>
          </cell>
          <cell r="Z65">
            <v>6717.56</v>
          </cell>
          <cell r="AA65">
            <v>6615.4</v>
          </cell>
          <cell r="AB65">
            <v>6618.48</v>
          </cell>
          <cell r="AC65">
            <v>6762.68</v>
          </cell>
          <cell r="AD65">
            <v>6534.33</v>
          </cell>
          <cell r="AE65">
            <v>6594.04</v>
          </cell>
          <cell r="AF65">
            <v>6740.51</v>
          </cell>
          <cell r="AG65">
            <v>6556.29</v>
          </cell>
          <cell r="AH65">
            <v>6597.17</v>
          </cell>
          <cell r="AI65">
            <v>6527.92</v>
          </cell>
          <cell r="AJ65">
            <v>6599.06</v>
          </cell>
          <cell r="AK65">
            <v>6450.38</v>
          </cell>
          <cell r="AL65">
            <v>6601.08</v>
          </cell>
          <cell r="AM65">
            <v>6776.14</v>
          </cell>
          <cell r="AN65">
            <v>6652.93</v>
          </cell>
          <cell r="AO65">
            <v>6690.86</v>
          </cell>
          <cell r="AP65">
            <v>6687.5</v>
          </cell>
          <cell r="AQ65">
            <v>6728.54</v>
          </cell>
          <cell r="AR65">
            <v>6551.7</v>
          </cell>
          <cell r="AS65">
            <v>6760.45</v>
          </cell>
          <cell r="AT65">
            <v>6656.01</v>
          </cell>
          <cell r="AU65">
            <v>6673.8</v>
          </cell>
          <cell r="AV65">
            <v>6715.32</v>
          </cell>
          <cell r="AW65">
            <v>6611.3</v>
          </cell>
          <cell r="AX65">
            <v>6417.51</v>
          </cell>
          <cell r="AY65">
            <v>6538.04</v>
          </cell>
          <cell r="AZ65">
            <v>6359.89</v>
          </cell>
          <cell r="BA65">
            <v>6359.89</v>
          </cell>
        </row>
        <row r="66">
          <cell r="A66" t="str">
            <v>V2000H45B20</v>
          </cell>
          <cell r="B66">
            <v>2000</v>
          </cell>
          <cell r="C66">
            <v>4500</v>
          </cell>
          <cell r="D66">
            <v>2000</v>
          </cell>
          <cell r="E66">
            <v>18</v>
          </cell>
          <cell r="F66">
            <v>4</v>
          </cell>
          <cell r="G66">
            <v>0</v>
          </cell>
          <cell r="H66">
            <v>350</v>
          </cell>
          <cell r="I66">
            <v>70</v>
          </cell>
          <cell r="J66">
            <v>2088.5</v>
          </cell>
          <cell r="K66" t="str">
            <v>Q-11002995</v>
          </cell>
          <cell r="L66" t="str">
            <v>\\hokukon-net2\hop\Program\01_MVPシステム_容量別組立図\.\02_余裕高0_6m\pdf\FB600_2000m3-MVP-4500-組-B2000_Q-11002995.pdf</v>
          </cell>
          <cell r="M66">
            <v>6950.12</v>
          </cell>
          <cell r="N66">
            <v>7007.07</v>
          </cell>
          <cell r="O66">
            <v>6889.54</v>
          </cell>
          <cell r="P66">
            <v>6891.41</v>
          </cell>
          <cell r="Q66">
            <v>6977.34</v>
          </cell>
          <cell r="R66">
            <v>6935.47</v>
          </cell>
          <cell r="S66">
            <v>6919.95</v>
          </cell>
          <cell r="T66">
            <v>6922.22</v>
          </cell>
          <cell r="U66">
            <v>6934.78</v>
          </cell>
          <cell r="V66">
            <v>6911.6</v>
          </cell>
          <cell r="W66">
            <v>6938.69</v>
          </cell>
          <cell r="X66">
            <v>6965.6</v>
          </cell>
          <cell r="Y66">
            <v>6969.18</v>
          </cell>
          <cell r="Z66">
            <v>7099.67</v>
          </cell>
          <cell r="AA66">
            <v>6997.05</v>
          </cell>
          <cell r="AB66">
            <v>6997.88</v>
          </cell>
          <cell r="AC66">
            <v>7139.83</v>
          </cell>
          <cell r="AD66">
            <v>6905.67</v>
          </cell>
          <cell r="AE66">
            <v>6968.27</v>
          </cell>
          <cell r="AF66">
            <v>7117.42</v>
          </cell>
          <cell r="AG66">
            <v>6933.3</v>
          </cell>
          <cell r="AH66">
            <v>6975.14</v>
          </cell>
          <cell r="AI66">
            <v>6905.93</v>
          </cell>
          <cell r="AJ66">
            <v>6975.34</v>
          </cell>
          <cell r="AK66">
            <v>6825.95</v>
          </cell>
          <cell r="AL66">
            <v>6977.31</v>
          </cell>
          <cell r="AM66">
            <v>7154.56</v>
          </cell>
          <cell r="AN66">
            <v>7031.15</v>
          </cell>
          <cell r="AO66">
            <v>7067.63</v>
          </cell>
          <cell r="AP66">
            <v>7065.53</v>
          </cell>
          <cell r="AQ66">
            <v>7107.26</v>
          </cell>
          <cell r="AR66">
            <v>6921.77</v>
          </cell>
          <cell r="AS66">
            <v>7132.58</v>
          </cell>
          <cell r="AT66">
            <v>7030.27</v>
          </cell>
          <cell r="AU66">
            <v>7048.23</v>
          </cell>
          <cell r="AV66">
            <v>7088.21</v>
          </cell>
          <cell r="AW66">
            <v>6982.86</v>
          </cell>
          <cell r="AX66">
            <v>6788.55</v>
          </cell>
          <cell r="AY66">
            <v>6908.29</v>
          </cell>
          <cell r="AZ66">
            <v>6729.16</v>
          </cell>
          <cell r="BA66">
            <v>6729.16</v>
          </cell>
        </row>
        <row r="67">
          <cell r="A67" t="str">
            <v>V3000H15B30</v>
          </cell>
          <cell r="B67">
            <v>3000</v>
          </cell>
          <cell r="C67">
            <v>1500</v>
          </cell>
          <cell r="D67">
            <v>3000</v>
          </cell>
          <cell r="E67">
            <v>49</v>
          </cell>
          <cell r="F67">
            <v>5</v>
          </cell>
          <cell r="G67">
            <v>0</v>
          </cell>
          <cell r="H67">
            <v>350</v>
          </cell>
          <cell r="I67">
            <v>50</v>
          </cell>
          <cell r="J67">
            <v>3035.6</v>
          </cell>
          <cell r="K67" t="str">
            <v>Q-12001288</v>
          </cell>
          <cell r="L67" t="str">
            <v>\\hokukon-net2\hop\Program\01_MVPシステム_容量別組立図\.\02_余裕高0_6m\pdf\FB600_3000m3-MVP-1500-組-B3000_Q-12001288.pdf</v>
          </cell>
          <cell r="M67">
            <v>19880.53</v>
          </cell>
          <cell r="N67">
            <v>20187.79</v>
          </cell>
          <cell r="O67">
            <v>19444.25</v>
          </cell>
          <cell r="P67">
            <v>19455.21</v>
          </cell>
          <cell r="Q67">
            <v>20046.22</v>
          </cell>
          <cell r="R67">
            <v>19810.55</v>
          </cell>
          <cell r="S67">
            <v>19766.900000000001</v>
          </cell>
          <cell r="T67">
            <v>19780.12</v>
          </cell>
          <cell r="U67">
            <v>19588.2</v>
          </cell>
          <cell r="V67">
            <v>19479.64</v>
          </cell>
          <cell r="W67">
            <v>19636.099999999999</v>
          </cell>
          <cell r="X67">
            <v>19697.009999999998</v>
          </cell>
          <cell r="Y67">
            <v>19704.46</v>
          </cell>
          <cell r="Z67">
            <v>20389.21</v>
          </cell>
          <cell r="AA67">
            <v>19785.919999999998</v>
          </cell>
          <cell r="AB67">
            <v>19869.41</v>
          </cell>
          <cell r="AC67">
            <v>20832.32</v>
          </cell>
          <cell r="AD67">
            <v>19626.900000000001</v>
          </cell>
          <cell r="AE67">
            <v>19905.599999999999</v>
          </cell>
          <cell r="AF67">
            <v>20722.8</v>
          </cell>
          <cell r="AG67">
            <v>19588.3</v>
          </cell>
          <cell r="AH67">
            <v>19805.73</v>
          </cell>
          <cell r="AI67">
            <v>19377.87</v>
          </cell>
          <cell r="AJ67">
            <v>19872.27</v>
          </cell>
          <cell r="AK67">
            <v>18935.28</v>
          </cell>
          <cell r="AL67">
            <v>19846.2</v>
          </cell>
          <cell r="AM67">
            <v>20857.7</v>
          </cell>
          <cell r="AN67">
            <v>20101.310000000001</v>
          </cell>
          <cell r="AO67">
            <v>20380.66</v>
          </cell>
          <cell r="AP67">
            <v>20320.32</v>
          </cell>
          <cell r="AQ67">
            <v>20548.86</v>
          </cell>
          <cell r="AR67">
            <v>19764.669999999998</v>
          </cell>
          <cell r="AS67">
            <v>20989.87</v>
          </cell>
          <cell r="AT67">
            <v>20278.71</v>
          </cell>
          <cell r="AU67">
            <v>20385.759999999998</v>
          </cell>
          <cell r="AV67">
            <v>20689.18</v>
          </cell>
          <cell r="AW67">
            <v>20105.02</v>
          </cell>
          <cell r="AX67">
            <v>18925.849999999999</v>
          </cell>
          <cell r="AY67">
            <v>19695.150000000001</v>
          </cell>
          <cell r="AZ67">
            <v>18630.28</v>
          </cell>
          <cell r="BA67">
            <v>18630.28</v>
          </cell>
        </row>
        <row r="68">
          <cell r="A68" t="str">
            <v>V3000H15B25</v>
          </cell>
          <cell r="B68">
            <v>3000</v>
          </cell>
          <cell r="C68">
            <v>1500</v>
          </cell>
          <cell r="D68">
            <v>2500</v>
          </cell>
          <cell r="E68">
            <v>45</v>
          </cell>
          <cell r="F68">
            <v>6</v>
          </cell>
          <cell r="G68">
            <v>0</v>
          </cell>
          <cell r="H68">
            <v>350</v>
          </cell>
          <cell r="I68">
            <v>50</v>
          </cell>
          <cell r="J68">
            <v>3053.2</v>
          </cell>
          <cell r="K68" t="str">
            <v>Q-12001287</v>
          </cell>
          <cell r="L68" t="str">
            <v>\\hokukon-net2\hop\Program\01_MVPシステム_容量別組立図\.\02_余裕高0_6m\pdf\FB600_3000m3-MVP-1500-組-B2500_Q-12001287.pdf</v>
          </cell>
          <cell r="M68">
            <v>20391.669999999998</v>
          </cell>
          <cell r="N68">
            <v>20701.05</v>
          </cell>
          <cell r="O68">
            <v>19955.490000000002</v>
          </cell>
          <cell r="P68">
            <v>19966.509999999998</v>
          </cell>
          <cell r="Q68">
            <v>20557.8</v>
          </cell>
          <cell r="R68">
            <v>20320.36</v>
          </cell>
          <cell r="S68">
            <v>20274.72</v>
          </cell>
          <cell r="T68">
            <v>20288.05</v>
          </cell>
          <cell r="U68">
            <v>20104.96</v>
          </cell>
          <cell r="V68">
            <v>19994.53</v>
          </cell>
          <cell r="W68">
            <v>20152.25</v>
          </cell>
          <cell r="X68">
            <v>20217.04</v>
          </cell>
          <cell r="Y68">
            <v>20225.150000000001</v>
          </cell>
          <cell r="Z68">
            <v>20917.12</v>
          </cell>
          <cell r="AA68">
            <v>20311.02</v>
          </cell>
          <cell r="AB68">
            <v>20391.419999999998</v>
          </cell>
          <cell r="AC68">
            <v>21355.88</v>
          </cell>
          <cell r="AD68">
            <v>20139.18</v>
          </cell>
          <cell r="AE68">
            <v>20422.61</v>
          </cell>
          <cell r="AF68">
            <v>21247.040000000001</v>
          </cell>
          <cell r="AG68">
            <v>20107.97</v>
          </cell>
          <cell r="AH68">
            <v>20327.32</v>
          </cell>
          <cell r="AI68">
            <v>19898.09</v>
          </cell>
          <cell r="AJ68">
            <v>20392.11</v>
          </cell>
          <cell r="AK68">
            <v>19447.939999999999</v>
          </cell>
          <cell r="AL68">
            <v>20362.86</v>
          </cell>
          <cell r="AM68">
            <v>21381.63</v>
          </cell>
          <cell r="AN68">
            <v>20621.43</v>
          </cell>
          <cell r="AO68">
            <v>20899.86</v>
          </cell>
          <cell r="AP68">
            <v>20840.939999999999</v>
          </cell>
          <cell r="AQ68">
            <v>21071.45</v>
          </cell>
          <cell r="AR68">
            <v>20274.91</v>
          </cell>
          <cell r="AS68">
            <v>21508.35</v>
          </cell>
          <cell r="AT68">
            <v>20797.2</v>
          </cell>
          <cell r="AU68">
            <v>20905.259999999998</v>
          </cell>
          <cell r="AV68">
            <v>21207.39</v>
          </cell>
          <cell r="AW68">
            <v>20619.73</v>
          </cell>
          <cell r="AX68">
            <v>19435.7</v>
          </cell>
          <cell r="AY68">
            <v>20206.41</v>
          </cell>
          <cell r="AZ68">
            <v>19136.490000000002</v>
          </cell>
          <cell r="BA68">
            <v>19136.490000000002</v>
          </cell>
        </row>
        <row r="69">
          <cell r="A69" t="str">
            <v>V3000H15B20</v>
          </cell>
          <cell r="B69">
            <v>3000</v>
          </cell>
          <cell r="C69">
            <v>1500</v>
          </cell>
          <cell r="D69">
            <v>2000</v>
          </cell>
          <cell r="E69">
            <v>49</v>
          </cell>
          <cell r="F69">
            <v>6</v>
          </cell>
          <cell r="G69">
            <v>0</v>
          </cell>
          <cell r="H69">
            <v>350</v>
          </cell>
          <cell r="I69">
            <v>50</v>
          </cell>
          <cell r="J69">
            <v>3051.6</v>
          </cell>
          <cell r="K69" t="str">
            <v>Q-12001286</v>
          </cell>
          <cell r="L69" t="str">
            <v>\\hokukon-net2\hop\Program\01_MVPシステム_容量別組立図\.\02_余裕高0_6m\pdf\FB600_3000m3-MVP-1500-組-B2000_Q-12001286.pdf</v>
          </cell>
          <cell r="M69">
            <v>20829.96</v>
          </cell>
          <cell r="N69">
            <v>21139.79</v>
          </cell>
          <cell r="O69">
            <v>20395.36</v>
          </cell>
          <cell r="P69">
            <v>20406.400000000001</v>
          </cell>
          <cell r="Q69">
            <v>20995.34</v>
          </cell>
          <cell r="R69">
            <v>20757.28</v>
          </cell>
          <cell r="S69">
            <v>20709.88</v>
          </cell>
          <cell r="T69">
            <v>20723.22</v>
          </cell>
          <cell r="U69">
            <v>20548.79</v>
          </cell>
          <cell r="V69">
            <v>20436.900000000001</v>
          </cell>
          <cell r="W69">
            <v>20595.66</v>
          </cell>
          <cell r="X69">
            <v>20663.72</v>
          </cell>
          <cell r="Y69">
            <v>20672.25</v>
          </cell>
          <cell r="Z69">
            <v>21368.5</v>
          </cell>
          <cell r="AA69">
            <v>20762.48</v>
          </cell>
          <cell r="AB69">
            <v>20839.5</v>
          </cell>
          <cell r="AC69">
            <v>21801.919999999998</v>
          </cell>
          <cell r="AD69">
            <v>20579.939999999999</v>
          </cell>
          <cell r="AE69">
            <v>20866.8</v>
          </cell>
          <cell r="AF69">
            <v>21694.79</v>
          </cell>
          <cell r="AG69">
            <v>20555.509999999998</v>
          </cell>
          <cell r="AH69">
            <v>20775.37</v>
          </cell>
          <cell r="AI69">
            <v>20346.98</v>
          </cell>
          <cell r="AJ69">
            <v>20838.599999999999</v>
          </cell>
          <cell r="AK69">
            <v>19891.11</v>
          </cell>
          <cell r="AL69">
            <v>20805.900000000001</v>
          </cell>
          <cell r="AM69">
            <v>21827.74</v>
          </cell>
          <cell r="AN69">
            <v>21066.62</v>
          </cell>
          <cell r="AO69">
            <v>21343.08</v>
          </cell>
          <cell r="AP69">
            <v>21285.69</v>
          </cell>
          <cell r="AQ69">
            <v>21517.4</v>
          </cell>
          <cell r="AR69">
            <v>20712.55</v>
          </cell>
          <cell r="AS69">
            <v>21949.35</v>
          </cell>
          <cell r="AT69">
            <v>21240.81</v>
          </cell>
          <cell r="AU69">
            <v>21349.72</v>
          </cell>
          <cell r="AV69">
            <v>21649.03</v>
          </cell>
          <cell r="AW69">
            <v>21060.71</v>
          </cell>
          <cell r="AX69">
            <v>19876.990000000002</v>
          </cell>
          <cell r="AY69">
            <v>20645.57</v>
          </cell>
          <cell r="AZ69">
            <v>19575.37</v>
          </cell>
          <cell r="BA69">
            <v>19575.37</v>
          </cell>
        </row>
        <row r="70">
          <cell r="A70" t="str">
            <v>V3000H20B30</v>
          </cell>
          <cell r="B70">
            <v>3000</v>
          </cell>
          <cell r="C70">
            <v>2000</v>
          </cell>
          <cell r="D70">
            <v>3000</v>
          </cell>
          <cell r="E70">
            <v>38</v>
          </cell>
          <cell r="F70">
            <v>4</v>
          </cell>
          <cell r="G70">
            <v>0</v>
          </cell>
          <cell r="H70">
            <v>350</v>
          </cell>
          <cell r="I70">
            <v>50</v>
          </cell>
          <cell r="J70">
            <v>3009.8</v>
          </cell>
          <cell r="K70" t="str">
            <v>Q-12001291</v>
          </cell>
          <cell r="L70" t="str">
            <v>\\hokukon-net2\hop\Program\01_MVPシステム_容量別組立図\.\02_余裕高0_6m\pdf\FB600_3000m3-MVP-2000-組-B3000_Q-12001291.pdf</v>
          </cell>
          <cell r="M70">
            <v>13459.11</v>
          </cell>
          <cell r="N70">
            <v>13657.75</v>
          </cell>
          <cell r="O70">
            <v>13181.6</v>
          </cell>
          <cell r="P70">
            <v>13351.51</v>
          </cell>
          <cell r="Q70">
            <v>13565.13</v>
          </cell>
          <cell r="R70">
            <v>13413.67</v>
          </cell>
          <cell r="S70">
            <v>13384.2</v>
          </cell>
          <cell r="T70">
            <v>13392.7</v>
          </cell>
          <cell r="U70">
            <v>13278.45</v>
          </cell>
          <cell r="V70">
            <v>13207.75</v>
          </cell>
          <cell r="W70">
            <v>13307.98</v>
          </cell>
          <cell r="X70">
            <v>13350.39</v>
          </cell>
          <cell r="Y70">
            <v>13355.49</v>
          </cell>
          <cell r="Z70">
            <v>13797.72</v>
          </cell>
          <cell r="AA70">
            <v>13409.59</v>
          </cell>
          <cell r="AB70">
            <v>13461.27</v>
          </cell>
          <cell r="AC70">
            <v>14075.83</v>
          </cell>
          <cell r="AD70">
            <v>13295.91</v>
          </cell>
          <cell r="AE70">
            <v>13478.01</v>
          </cell>
          <cell r="AF70">
            <v>14004.86</v>
          </cell>
          <cell r="AG70">
            <v>13278.31</v>
          </cell>
          <cell r="AH70">
            <v>13419.12</v>
          </cell>
          <cell r="AI70">
            <v>13144.57</v>
          </cell>
          <cell r="AJ70">
            <v>13459.86</v>
          </cell>
          <cell r="AK70">
            <v>12856.92</v>
          </cell>
          <cell r="AL70">
            <v>13442.5</v>
          </cell>
          <cell r="AM70">
            <v>14093.81</v>
          </cell>
          <cell r="AN70">
            <v>13608.9</v>
          </cell>
          <cell r="AO70">
            <v>13786.44</v>
          </cell>
          <cell r="AP70">
            <v>13749.15</v>
          </cell>
          <cell r="AQ70">
            <v>13896.37</v>
          </cell>
          <cell r="AR70">
            <v>13384.47</v>
          </cell>
          <cell r="AS70">
            <v>14171.83</v>
          </cell>
          <cell r="AT70">
            <v>13718.35</v>
          </cell>
          <cell r="AU70">
            <v>13786.4</v>
          </cell>
          <cell r="AV70">
            <v>13979.81</v>
          </cell>
          <cell r="AW70">
            <v>13603.52</v>
          </cell>
          <cell r="AX70">
            <v>12846.05</v>
          </cell>
          <cell r="AY70">
            <v>13339.46</v>
          </cell>
          <cell r="AZ70">
            <v>12654.65</v>
          </cell>
          <cell r="BA70">
            <v>12654.65</v>
          </cell>
        </row>
        <row r="71">
          <cell r="A71" t="str">
            <v>V3000H20B25</v>
          </cell>
          <cell r="B71">
            <v>3000</v>
          </cell>
          <cell r="C71">
            <v>2000</v>
          </cell>
          <cell r="D71">
            <v>2500</v>
          </cell>
          <cell r="E71">
            <v>34</v>
          </cell>
          <cell r="F71">
            <v>5</v>
          </cell>
          <cell r="G71">
            <v>0</v>
          </cell>
          <cell r="H71">
            <v>350</v>
          </cell>
          <cell r="I71">
            <v>50</v>
          </cell>
          <cell r="J71">
            <v>3057.5</v>
          </cell>
          <cell r="K71" t="str">
            <v>Q-12001290</v>
          </cell>
          <cell r="L71" t="str">
            <v>\\hokukon-net2\hop\Program\01_MVPシステム_容量別組立図\.\02_余裕高0_6m\pdf\FB600_3000m3-MVP-2000-組-B2500_Q-12001290.pdf</v>
          </cell>
          <cell r="M71">
            <v>13958.33</v>
          </cell>
          <cell r="N71">
            <v>14160.37</v>
          </cell>
          <cell r="O71">
            <v>13678.75</v>
          </cell>
          <cell r="P71">
            <v>13685.91</v>
          </cell>
          <cell r="Q71">
            <v>14065.66</v>
          </cell>
          <cell r="R71">
            <v>13911.6</v>
          </cell>
          <cell r="S71">
            <v>13880.4</v>
          </cell>
          <cell r="T71">
            <v>13889.04</v>
          </cell>
          <cell r="U71">
            <v>13780.65</v>
          </cell>
          <cell r="V71">
            <v>13707.95</v>
          </cell>
          <cell r="W71">
            <v>13809.78</v>
          </cell>
          <cell r="X71">
            <v>13855.56</v>
          </cell>
          <cell r="Y71">
            <v>13861.22</v>
          </cell>
          <cell r="Z71">
            <v>14312.42</v>
          </cell>
          <cell r="AA71">
            <v>13918.92</v>
          </cell>
          <cell r="AB71">
            <v>13968.75</v>
          </cell>
          <cell r="AC71">
            <v>14589.41</v>
          </cell>
          <cell r="AD71">
            <v>13794.34</v>
          </cell>
          <cell r="AE71">
            <v>13981.55</v>
          </cell>
          <cell r="AF71">
            <v>14518.09</v>
          </cell>
          <cell r="AG71">
            <v>13782.31</v>
          </cell>
          <cell r="AH71">
            <v>13925.81</v>
          </cell>
          <cell r="AI71">
            <v>13647.82</v>
          </cell>
          <cell r="AJ71">
            <v>13965.49</v>
          </cell>
          <cell r="AK71">
            <v>13352.3</v>
          </cell>
          <cell r="AL71">
            <v>13945.9</v>
          </cell>
          <cell r="AM71">
            <v>14607.94</v>
          </cell>
          <cell r="AN71">
            <v>14116.32</v>
          </cell>
          <cell r="AO71">
            <v>14294.62</v>
          </cell>
          <cell r="AP71">
            <v>14258.11</v>
          </cell>
          <cell r="AQ71">
            <v>14407.98</v>
          </cell>
          <cell r="AR71">
            <v>13882.36</v>
          </cell>
          <cell r="AS71">
            <v>14682.21</v>
          </cell>
          <cell r="AT71">
            <v>14225.1</v>
          </cell>
          <cell r="AU71">
            <v>14294.29</v>
          </cell>
          <cell r="AV71">
            <v>14488.5</v>
          </cell>
          <cell r="AW71">
            <v>14106.4</v>
          </cell>
          <cell r="AX71">
            <v>13338.87</v>
          </cell>
          <cell r="AY71">
            <v>13837.62</v>
          </cell>
          <cell r="AZ71">
            <v>13143.19</v>
          </cell>
          <cell r="BA71">
            <v>13143.19</v>
          </cell>
        </row>
        <row r="72">
          <cell r="A72" t="str">
            <v>V3000H20B20</v>
          </cell>
          <cell r="B72">
            <v>3000</v>
          </cell>
          <cell r="C72">
            <v>2000</v>
          </cell>
          <cell r="D72">
            <v>2000</v>
          </cell>
          <cell r="E72">
            <v>37</v>
          </cell>
          <cell r="F72">
            <v>5</v>
          </cell>
          <cell r="G72">
            <v>0</v>
          </cell>
          <cell r="H72">
            <v>350</v>
          </cell>
          <cell r="I72">
            <v>50</v>
          </cell>
          <cell r="J72">
            <v>3057.3</v>
          </cell>
          <cell r="K72" t="str">
            <v>Q-12001289</v>
          </cell>
          <cell r="L72" t="str">
            <v>\\hokukon-net2\hop\Program\01_MVPシステム_容量別組立図\.\02_余裕高0_6m\pdf\FB600_3000m3-MVP-2000-組-B2000_Q-12001289.pdf</v>
          </cell>
          <cell r="M72">
            <v>14276.17</v>
          </cell>
          <cell r="N72">
            <v>14478.55</v>
          </cell>
          <cell r="O72">
            <v>13997.49</v>
          </cell>
          <cell r="P72">
            <v>14004.66</v>
          </cell>
          <cell r="Q72">
            <v>14383.03</v>
          </cell>
          <cell r="R72">
            <v>14228.51</v>
          </cell>
          <cell r="S72">
            <v>14196.19</v>
          </cell>
          <cell r="T72">
            <v>14204.85</v>
          </cell>
          <cell r="U72">
            <v>14101.97</v>
          </cell>
          <cell r="V72">
            <v>14028.34</v>
          </cell>
          <cell r="W72">
            <v>14130.85</v>
          </cell>
          <cell r="X72">
            <v>14178.74</v>
          </cell>
          <cell r="Y72">
            <v>14184.69</v>
          </cell>
          <cell r="Z72">
            <v>14638.78</v>
          </cell>
          <cell r="AA72">
            <v>14245.15</v>
          </cell>
          <cell r="AB72">
            <v>14292.86</v>
          </cell>
          <cell r="AC72">
            <v>14912.41</v>
          </cell>
          <cell r="AD72">
            <v>14113.68</v>
          </cell>
          <cell r="AE72">
            <v>14303.14</v>
          </cell>
          <cell r="AF72">
            <v>14842.15</v>
          </cell>
          <cell r="AG72">
            <v>14105.99</v>
          </cell>
          <cell r="AH72">
            <v>14249.88</v>
          </cell>
          <cell r="AI72">
            <v>13972.34</v>
          </cell>
          <cell r="AJ72">
            <v>14288.57</v>
          </cell>
          <cell r="AK72">
            <v>13673.05</v>
          </cell>
          <cell r="AL72">
            <v>14266.76</v>
          </cell>
          <cell r="AM72">
            <v>14931</v>
          </cell>
          <cell r="AN72">
            <v>14438.64</v>
          </cell>
          <cell r="AO72">
            <v>14615.74</v>
          </cell>
          <cell r="AP72">
            <v>14580.2</v>
          </cell>
          <cell r="AQ72">
            <v>14730.89</v>
          </cell>
          <cell r="AR72">
            <v>14199.75</v>
          </cell>
          <cell r="AS72">
            <v>15002.01</v>
          </cell>
          <cell r="AT72">
            <v>14546.41</v>
          </cell>
          <cell r="AU72">
            <v>14616.18</v>
          </cell>
          <cell r="AV72">
            <v>14808.65</v>
          </cell>
          <cell r="AW72">
            <v>14425.98</v>
          </cell>
          <cell r="AX72">
            <v>13658.39</v>
          </cell>
          <cell r="AY72">
            <v>14155.94</v>
          </cell>
          <cell r="AZ72">
            <v>13461.09</v>
          </cell>
          <cell r="BA72">
            <v>13461.09</v>
          </cell>
        </row>
        <row r="73">
          <cell r="A73" t="str">
            <v>V3000H25B30</v>
          </cell>
          <cell r="B73">
            <v>3000</v>
          </cell>
          <cell r="C73">
            <v>2500</v>
          </cell>
          <cell r="D73">
            <v>3000</v>
          </cell>
          <cell r="E73">
            <v>37</v>
          </cell>
          <cell r="F73">
            <v>5</v>
          </cell>
          <cell r="G73">
            <v>0</v>
          </cell>
          <cell r="H73">
            <v>300</v>
          </cell>
          <cell r="I73">
            <v>50</v>
          </cell>
          <cell r="J73">
            <v>3022.9</v>
          </cell>
          <cell r="K73" t="str">
            <v>Q-12001294</v>
          </cell>
          <cell r="L73" t="str">
            <v>\\hokukon-net2\hop\Program\01_MVPシステム_容量別組立図\.\02_余裕高0_6m\pdf\FB600_3000m3-MVP-2500-組-B3000_Q-12001294.pdf</v>
          </cell>
          <cell r="M73">
            <v>12263.97</v>
          </cell>
          <cell r="N73">
            <v>12402.18</v>
          </cell>
          <cell r="O73">
            <v>12082.57</v>
          </cell>
          <cell r="P73">
            <v>12087.52</v>
          </cell>
          <cell r="Q73">
            <v>12337.55</v>
          </cell>
          <cell r="R73">
            <v>12233.37</v>
          </cell>
          <cell r="S73">
            <v>12207.32</v>
          </cell>
          <cell r="T73">
            <v>12213.29</v>
          </cell>
          <cell r="U73">
            <v>12175.45</v>
          </cell>
          <cell r="V73">
            <v>12121.27</v>
          </cell>
          <cell r="W73">
            <v>12193.36</v>
          </cell>
          <cell r="X73">
            <v>12239.27</v>
          </cell>
          <cell r="Y73">
            <v>12246.78</v>
          </cell>
          <cell r="Z73">
            <v>12564.55</v>
          </cell>
          <cell r="AA73">
            <v>12295.45</v>
          </cell>
          <cell r="AB73">
            <v>12317.53</v>
          </cell>
          <cell r="AC73">
            <v>12723.24</v>
          </cell>
          <cell r="AD73">
            <v>12162.78</v>
          </cell>
          <cell r="AE73">
            <v>12297.5</v>
          </cell>
          <cell r="AF73">
            <v>12671.82</v>
          </cell>
          <cell r="AG73">
            <v>12185.02</v>
          </cell>
          <cell r="AH73">
            <v>12287.08</v>
          </cell>
          <cell r="AI73">
            <v>12098.71</v>
          </cell>
          <cell r="AJ73">
            <v>12306.7</v>
          </cell>
          <cell r="AK73">
            <v>11882.78</v>
          </cell>
          <cell r="AL73">
            <v>12280.73</v>
          </cell>
          <cell r="AM73">
            <v>12734.93</v>
          </cell>
          <cell r="AN73">
            <v>12402.4</v>
          </cell>
          <cell r="AO73">
            <v>12514.92</v>
          </cell>
          <cell r="AP73">
            <v>12499.12</v>
          </cell>
          <cell r="AQ73">
            <v>12600.28</v>
          </cell>
          <cell r="AR73">
            <v>12219.6</v>
          </cell>
          <cell r="AS73">
            <v>12766.18</v>
          </cell>
          <cell r="AT73">
            <v>12464.13</v>
          </cell>
          <cell r="AU73">
            <v>12511.89</v>
          </cell>
          <cell r="AV73">
            <v>12638.45</v>
          </cell>
          <cell r="AW73">
            <v>12370.81</v>
          </cell>
          <cell r="AX73">
            <v>11859.89</v>
          </cell>
          <cell r="AY73">
            <v>12187.68</v>
          </cell>
          <cell r="AZ73">
            <v>11717.34</v>
          </cell>
          <cell r="BA73">
            <v>11717.34</v>
          </cell>
        </row>
        <row r="74">
          <cell r="A74" t="str">
            <v>V3000H25B25</v>
          </cell>
          <cell r="B74">
            <v>3000</v>
          </cell>
          <cell r="C74">
            <v>2500</v>
          </cell>
          <cell r="D74">
            <v>2500</v>
          </cell>
          <cell r="E74">
            <v>34</v>
          </cell>
          <cell r="F74">
            <v>6</v>
          </cell>
          <cell r="G74">
            <v>0</v>
          </cell>
          <cell r="H74">
            <v>300</v>
          </cell>
          <cell r="I74">
            <v>50</v>
          </cell>
          <cell r="J74">
            <v>3002.4</v>
          </cell>
          <cell r="K74" t="str">
            <v>Q-12001293</v>
          </cell>
          <cell r="L74" t="str">
            <v>\\hokukon-net2\hop\Program\01_MVPシステム_容量別組立図\.\02_余裕高0_6m\pdf\FB600_3000m3-MVP-2500-組-B2500_Q-12001293.pdf</v>
          </cell>
          <cell r="M74">
            <v>12618.31</v>
          </cell>
          <cell r="N74">
            <v>12756.06</v>
          </cell>
          <cell r="O74">
            <v>12440.25</v>
          </cell>
          <cell r="P74">
            <v>12445.17</v>
          </cell>
          <cell r="Q74">
            <v>12691.16</v>
          </cell>
          <cell r="R74">
            <v>12587.45</v>
          </cell>
          <cell r="S74">
            <v>12560.15</v>
          </cell>
          <cell r="T74">
            <v>12566.08</v>
          </cell>
          <cell r="U74">
            <v>12536.48</v>
          </cell>
          <cell r="V74">
            <v>12481.65</v>
          </cell>
          <cell r="W74">
            <v>12553.67</v>
          </cell>
          <cell r="X74">
            <v>12602.24</v>
          </cell>
          <cell r="Y74">
            <v>12610</v>
          </cell>
          <cell r="Z74">
            <v>12928.5</v>
          </cell>
          <cell r="AA74">
            <v>12661.36</v>
          </cell>
          <cell r="AB74">
            <v>12680.67</v>
          </cell>
          <cell r="AC74">
            <v>13080.66</v>
          </cell>
          <cell r="AD74">
            <v>12519.52</v>
          </cell>
          <cell r="AE74">
            <v>12656</v>
          </cell>
          <cell r="AF74">
            <v>13030.27</v>
          </cell>
          <cell r="AG74">
            <v>12547.96</v>
          </cell>
          <cell r="AH74">
            <v>12650.29</v>
          </cell>
          <cell r="AI74">
            <v>12463.56</v>
          </cell>
          <cell r="AJ74">
            <v>12668.02</v>
          </cell>
          <cell r="AK74">
            <v>12244.89</v>
          </cell>
          <cell r="AL74">
            <v>12639.89</v>
          </cell>
          <cell r="AM74">
            <v>13092.6</v>
          </cell>
          <cell r="AN74">
            <v>12762.32</v>
          </cell>
          <cell r="AO74">
            <v>12872.26</v>
          </cell>
          <cell r="AP74">
            <v>12858.2</v>
          </cell>
          <cell r="AQ74">
            <v>12959.18</v>
          </cell>
          <cell r="AR74">
            <v>12574.18</v>
          </cell>
          <cell r="AS74">
            <v>13118.6</v>
          </cell>
          <cell r="AT74">
            <v>12821.52</v>
          </cell>
          <cell r="AU74">
            <v>12869.04</v>
          </cell>
          <cell r="AV74">
            <v>12992.76</v>
          </cell>
          <cell r="AW74">
            <v>12726.3</v>
          </cell>
          <cell r="AX74">
            <v>12219.85</v>
          </cell>
          <cell r="AY74">
            <v>12543.47</v>
          </cell>
          <cell r="AZ74">
            <v>12076.31</v>
          </cell>
          <cell r="BA74">
            <v>12076.31</v>
          </cell>
        </row>
        <row r="75">
          <cell r="A75" t="str">
            <v>V3000H25B20</v>
          </cell>
          <cell r="B75">
            <v>3000</v>
          </cell>
          <cell r="C75">
            <v>2500</v>
          </cell>
          <cell r="D75">
            <v>2000</v>
          </cell>
          <cell r="E75">
            <v>38</v>
          </cell>
          <cell r="F75">
            <v>6</v>
          </cell>
          <cell r="G75">
            <v>0</v>
          </cell>
          <cell r="H75">
            <v>300</v>
          </cell>
          <cell r="I75">
            <v>50</v>
          </cell>
          <cell r="J75">
            <v>3018.5</v>
          </cell>
          <cell r="K75" t="str">
            <v>Q-12001292</v>
          </cell>
          <cell r="L75" t="str">
            <v>\\hokukon-net2\hop\Program\01_MVPシステム_容量別組立図\.\02_余裕高0_6m\pdf\FB600_3000m3-MVP-2500-組-B2000_Q-12001292.pdf</v>
          </cell>
          <cell r="M75">
            <v>13194.09</v>
          </cell>
          <cell r="N75">
            <v>13332.82</v>
          </cell>
          <cell r="O75">
            <v>13016.47</v>
          </cell>
          <cell r="P75">
            <v>13226.14</v>
          </cell>
          <cell r="Q75">
            <v>13266.77</v>
          </cell>
          <cell r="R75">
            <v>13162.14</v>
          </cell>
          <cell r="S75">
            <v>13133.25</v>
          </cell>
          <cell r="T75">
            <v>13139.24</v>
          </cell>
          <cell r="U75">
            <v>13116.37</v>
          </cell>
          <cell r="V75">
            <v>13060.12</v>
          </cell>
          <cell r="W75">
            <v>13133.47</v>
          </cell>
          <cell r="X75">
            <v>13184.89</v>
          </cell>
          <cell r="Y75">
            <v>13192.94</v>
          </cell>
          <cell r="Z75">
            <v>13516.49</v>
          </cell>
          <cell r="AA75">
            <v>13248.1</v>
          </cell>
          <cell r="AB75">
            <v>13264.85</v>
          </cell>
          <cell r="AC75">
            <v>13665.13</v>
          </cell>
          <cell r="AD75">
            <v>13096.84</v>
          </cell>
          <cell r="AE75">
            <v>13236.69</v>
          </cell>
          <cell r="AF75">
            <v>13615.8</v>
          </cell>
          <cell r="AG75">
            <v>13130.96</v>
          </cell>
          <cell r="AH75">
            <v>13234.35</v>
          </cell>
          <cell r="AI75">
            <v>13047.22</v>
          </cell>
          <cell r="AJ75">
            <v>13250.9</v>
          </cell>
          <cell r="AK75">
            <v>12822.8</v>
          </cell>
          <cell r="AL75">
            <v>13219.72</v>
          </cell>
          <cell r="AM75">
            <v>13677.06</v>
          </cell>
          <cell r="AN75">
            <v>13344.26</v>
          </cell>
          <cell r="AO75">
            <v>13453.21</v>
          </cell>
          <cell r="AP75">
            <v>13440.55</v>
          </cell>
          <cell r="AQ75">
            <v>13542.88</v>
          </cell>
          <cell r="AR75">
            <v>13149.27</v>
          </cell>
          <cell r="AS75">
            <v>13699.26</v>
          </cell>
          <cell r="AT75">
            <v>13402.71</v>
          </cell>
          <cell r="AU75">
            <v>13451.14</v>
          </cell>
          <cell r="AV75">
            <v>13573.31</v>
          </cell>
          <cell r="AW75">
            <v>13304.86</v>
          </cell>
          <cell r="AX75">
            <v>12796.36</v>
          </cell>
          <cell r="AY75">
            <v>13119.73</v>
          </cell>
          <cell r="AZ75">
            <v>12649.94</v>
          </cell>
          <cell r="BA75">
            <v>12649.94</v>
          </cell>
        </row>
        <row r="76">
          <cell r="A76" t="str">
            <v>V3000H30B30</v>
          </cell>
          <cell r="B76">
            <v>3000</v>
          </cell>
          <cell r="C76">
            <v>3000</v>
          </cell>
          <cell r="D76">
            <v>3000</v>
          </cell>
          <cell r="E76">
            <v>29</v>
          </cell>
          <cell r="F76">
            <v>5</v>
          </cell>
          <cell r="G76">
            <v>0</v>
          </cell>
          <cell r="H76">
            <v>300</v>
          </cell>
          <cell r="I76">
            <v>50</v>
          </cell>
          <cell r="J76">
            <v>3008.3</v>
          </cell>
          <cell r="K76" t="str">
            <v>Q-12001297</v>
          </cell>
          <cell r="L76" t="str">
            <v>\\hokukon-net2\hop\Program\01_MVPシステム_容量別組立図\.\02_余裕高0_6m\pdf\FB600_3000m3-MVP-3000-組-B3000_Q-12001297.pdf</v>
          </cell>
          <cell r="M76">
            <v>10411.15</v>
          </cell>
          <cell r="N76">
            <v>10521.66</v>
          </cell>
          <cell r="O76">
            <v>10271.129999999999</v>
          </cell>
          <cell r="P76">
            <v>10275.040000000001</v>
          </cell>
          <cell r="Q76">
            <v>10468.34</v>
          </cell>
          <cell r="R76">
            <v>10384.44</v>
          </cell>
          <cell r="S76">
            <v>10361.34</v>
          </cell>
          <cell r="T76">
            <v>10366.049999999999</v>
          </cell>
          <cell r="U76">
            <v>10351.219999999999</v>
          </cell>
          <cell r="V76">
            <v>10306.44</v>
          </cell>
          <cell r="W76">
            <v>10362.93</v>
          </cell>
          <cell r="X76">
            <v>10404.69</v>
          </cell>
          <cell r="Y76">
            <v>10412.299999999999</v>
          </cell>
          <cell r="Z76">
            <v>10668.18</v>
          </cell>
          <cell r="AA76">
            <v>10455.84</v>
          </cell>
          <cell r="AB76">
            <v>10467.94</v>
          </cell>
          <cell r="AC76">
            <v>10783.19</v>
          </cell>
          <cell r="AD76">
            <v>10333.65</v>
          </cell>
          <cell r="AE76">
            <v>10445.24</v>
          </cell>
          <cell r="AF76">
            <v>10744.34</v>
          </cell>
          <cell r="AG76">
            <v>10362.17</v>
          </cell>
          <cell r="AH76">
            <v>10442.89</v>
          </cell>
          <cell r="AI76">
            <v>10296.370000000001</v>
          </cell>
          <cell r="AJ76">
            <v>10455.39</v>
          </cell>
          <cell r="AK76">
            <v>10119.1</v>
          </cell>
          <cell r="AL76">
            <v>10431.89</v>
          </cell>
          <cell r="AM76">
            <v>10793.64</v>
          </cell>
          <cell r="AN76">
            <v>10532.49</v>
          </cell>
          <cell r="AO76">
            <v>10617.51</v>
          </cell>
          <cell r="AP76">
            <v>10606.18</v>
          </cell>
          <cell r="AQ76">
            <v>10687.74</v>
          </cell>
          <cell r="AR76">
            <v>10374.91</v>
          </cell>
          <cell r="AS76">
            <v>10807.79</v>
          </cell>
          <cell r="AT76">
            <v>10575.21</v>
          </cell>
          <cell r="AU76">
            <v>10613.68</v>
          </cell>
          <cell r="AV76">
            <v>10708.99</v>
          </cell>
          <cell r="AW76">
            <v>10497.49</v>
          </cell>
          <cell r="AX76">
            <v>10094.450000000001</v>
          </cell>
          <cell r="AY76">
            <v>10350.68</v>
          </cell>
          <cell r="AZ76">
            <v>9980.43</v>
          </cell>
          <cell r="BA76">
            <v>9980.43</v>
          </cell>
        </row>
        <row r="77">
          <cell r="A77" t="str">
            <v>V3000H30B25</v>
          </cell>
          <cell r="B77">
            <v>3000</v>
          </cell>
          <cell r="C77">
            <v>3000</v>
          </cell>
          <cell r="D77">
            <v>2500</v>
          </cell>
          <cell r="E77">
            <v>32</v>
          </cell>
          <cell r="F77">
            <v>5</v>
          </cell>
          <cell r="G77">
            <v>0</v>
          </cell>
          <cell r="H77">
            <v>300</v>
          </cell>
          <cell r="I77">
            <v>50</v>
          </cell>
          <cell r="J77">
            <v>3018.8</v>
          </cell>
          <cell r="K77" t="str">
            <v>Q-12001296</v>
          </cell>
          <cell r="L77" t="str">
            <v>\\hokukon-net2\hop\Program\01_MVPシステム_容量別組立図\.\02_余裕高0_6m\pdf\FB600_3000m3-MVP-3000-組-B2500_Q-12001296.pdf</v>
          </cell>
          <cell r="M77">
            <v>10810.1</v>
          </cell>
          <cell r="N77">
            <v>10921.16</v>
          </cell>
          <cell r="O77">
            <v>10670.52</v>
          </cell>
          <cell r="P77">
            <v>10674.47</v>
          </cell>
          <cell r="Q77">
            <v>10867.11</v>
          </cell>
          <cell r="R77">
            <v>10782.66</v>
          </cell>
          <cell r="S77">
            <v>10758.51</v>
          </cell>
          <cell r="T77">
            <v>10763.26</v>
          </cell>
          <cell r="U77">
            <v>10753.05</v>
          </cell>
          <cell r="V77">
            <v>10707.37</v>
          </cell>
          <cell r="W77">
            <v>10764.66</v>
          </cell>
          <cell r="X77">
            <v>10808.3</v>
          </cell>
          <cell r="Y77">
            <v>10816.12</v>
          </cell>
          <cell r="Z77">
            <v>11075.12</v>
          </cell>
          <cell r="AA77">
            <v>10862.19</v>
          </cell>
          <cell r="AB77">
            <v>10872.51</v>
          </cell>
          <cell r="AC77">
            <v>11187.56</v>
          </cell>
          <cell r="AD77">
            <v>10733.75</v>
          </cell>
          <cell r="AE77">
            <v>10847.51</v>
          </cell>
          <cell r="AF77">
            <v>11149.5</v>
          </cell>
          <cell r="AG77">
            <v>10766.07</v>
          </cell>
          <cell r="AH77">
            <v>10847.42</v>
          </cell>
          <cell r="AI77">
            <v>10700.82</v>
          </cell>
          <cell r="AJ77">
            <v>10859.08</v>
          </cell>
          <cell r="AK77">
            <v>10519.88</v>
          </cell>
          <cell r="AL77">
            <v>10833.57</v>
          </cell>
          <cell r="AM77">
            <v>11198.04</v>
          </cell>
          <cell r="AN77">
            <v>10935.56</v>
          </cell>
          <cell r="AO77">
            <v>11019.77</v>
          </cell>
          <cell r="AP77">
            <v>11009.35</v>
          </cell>
          <cell r="AQ77">
            <v>11091.74</v>
          </cell>
          <cell r="AR77">
            <v>10773.44</v>
          </cell>
          <cell r="AS77">
            <v>11209.52</v>
          </cell>
          <cell r="AT77">
            <v>10977.63</v>
          </cell>
          <cell r="AU77">
            <v>11016.66</v>
          </cell>
          <cell r="AV77">
            <v>11110.79</v>
          </cell>
          <cell r="AW77">
            <v>10898.21</v>
          </cell>
          <cell r="AX77">
            <v>10494.25</v>
          </cell>
          <cell r="AY77">
            <v>10750.02</v>
          </cell>
          <cell r="AZ77">
            <v>10378.44</v>
          </cell>
          <cell r="BA77">
            <v>10378.44</v>
          </cell>
        </row>
        <row r="78">
          <cell r="A78" t="str">
            <v>V3000H30B20</v>
          </cell>
          <cell r="B78">
            <v>3000</v>
          </cell>
          <cell r="C78">
            <v>3000</v>
          </cell>
          <cell r="D78">
            <v>2000</v>
          </cell>
          <cell r="E78">
            <v>36</v>
          </cell>
          <cell r="F78">
            <v>5</v>
          </cell>
          <cell r="G78">
            <v>0</v>
          </cell>
          <cell r="H78">
            <v>300</v>
          </cell>
          <cell r="I78">
            <v>50</v>
          </cell>
          <cell r="J78">
            <v>3058.8</v>
          </cell>
          <cell r="K78" t="str">
            <v>Q-12001295</v>
          </cell>
          <cell r="L78" t="str">
            <v>\\hokukon-net2\hop\Program\01_MVPシステム_容量別組立図\.\02_余裕高0_6m\pdf\FB600_3000m3-MVP-3000-組-B2000_Q-12001295.pdf</v>
          </cell>
          <cell r="M78">
            <v>11412.87</v>
          </cell>
          <cell r="N78">
            <v>11525.59</v>
          </cell>
          <cell r="O78">
            <v>11272.66</v>
          </cell>
          <cell r="P78">
            <v>11276.67</v>
          </cell>
          <cell r="Q78">
            <v>11470.06</v>
          </cell>
          <cell r="R78">
            <v>11384.03</v>
          </cell>
          <cell r="S78">
            <v>11358.29</v>
          </cell>
          <cell r="T78">
            <v>11363.11</v>
          </cell>
          <cell r="U78">
            <v>11359.13</v>
          </cell>
          <cell r="V78">
            <v>11311.81</v>
          </cell>
          <cell r="W78">
            <v>11370.6</v>
          </cell>
          <cell r="X78">
            <v>11417.18</v>
          </cell>
          <cell r="Y78">
            <v>11425.46</v>
          </cell>
          <cell r="Z78">
            <v>11690.87</v>
          </cell>
          <cell r="AA78">
            <v>11475.37</v>
          </cell>
          <cell r="AB78">
            <v>11483.28</v>
          </cell>
          <cell r="AC78">
            <v>11800.77</v>
          </cell>
          <cell r="AD78">
            <v>11337.46</v>
          </cell>
          <cell r="AE78">
            <v>11455.14</v>
          </cell>
          <cell r="AF78">
            <v>11763.57</v>
          </cell>
          <cell r="AG78">
            <v>11375.18</v>
          </cell>
          <cell r="AH78">
            <v>11457.87</v>
          </cell>
          <cell r="AI78">
            <v>11310.1</v>
          </cell>
          <cell r="AJ78">
            <v>11468.54</v>
          </cell>
          <cell r="AK78">
            <v>11122.65</v>
          </cell>
          <cell r="AL78">
            <v>11440.1</v>
          </cell>
          <cell r="AM78">
            <v>11811.35</v>
          </cell>
          <cell r="AN78">
            <v>11544.9</v>
          </cell>
          <cell r="AO78">
            <v>11628.7</v>
          </cell>
          <cell r="AP78">
            <v>11619.28</v>
          </cell>
          <cell r="AQ78">
            <v>11703.57</v>
          </cell>
          <cell r="AR78">
            <v>11375.26</v>
          </cell>
          <cell r="AS78">
            <v>11819.29</v>
          </cell>
          <cell r="AT78">
            <v>11586.4</v>
          </cell>
          <cell r="AU78">
            <v>11626.61</v>
          </cell>
          <cell r="AV78">
            <v>11719.8</v>
          </cell>
          <cell r="AW78">
            <v>11504.09</v>
          </cell>
          <cell r="AX78">
            <v>11095.4</v>
          </cell>
          <cell r="AY78">
            <v>11352.7</v>
          </cell>
          <cell r="AZ78">
            <v>10976.34</v>
          </cell>
          <cell r="BA78">
            <v>10976.34</v>
          </cell>
        </row>
        <row r="79">
          <cell r="A79" t="str">
            <v>V3000H35B30</v>
          </cell>
          <cell r="B79">
            <v>3000</v>
          </cell>
          <cell r="C79">
            <v>3500</v>
          </cell>
          <cell r="D79">
            <v>3000</v>
          </cell>
          <cell r="E79">
            <v>30</v>
          </cell>
          <cell r="F79">
            <v>4</v>
          </cell>
          <cell r="G79">
            <v>0</v>
          </cell>
          <cell r="H79">
            <v>300</v>
          </cell>
          <cell r="I79">
            <v>50</v>
          </cell>
          <cell r="J79">
            <v>3060.5</v>
          </cell>
          <cell r="K79" t="str">
            <v>Q-12001300</v>
          </cell>
          <cell r="L79" t="str">
            <v>\\hokukon-net2\hop\Program\01_MVPシステム_容量別組立図\.\02_余裕高0_6m\pdf\FB600_3000m3-MVP-3500-組-B3000_Q-12001300.pdf</v>
          </cell>
          <cell r="M79">
            <v>9325.4</v>
          </cell>
          <cell r="N79">
            <v>9419.5</v>
          </cell>
          <cell r="O79">
            <v>9208.01</v>
          </cell>
          <cell r="P79">
            <v>9211.33</v>
          </cell>
          <cell r="Q79">
            <v>9373.65</v>
          </cell>
          <cell r="R79">
            <v>9302.61</v>
          </cell>
          <cell r="S79">
            <v>9282.44</v>
          </cell>
          <cell r="T79">
            <v>9286.4500000000007</v>
          </cell>
          <cell r="U79">
            <v>9277.57</v>
          </cell>
          <cell r="V79">
            <v>9239.23</v>
          </cell>
          <cell r="W79">
            <v>9287.0300000000007</v>
          </cell>
          <cell r="X79">
            <v>9323.66</v>
          </cell>
          <cell r="Y79">
            <v>9330.24</v>
          </cell>
          <cell r="Z79">
            <v>9547.9500000000007</v>
          </cell>
          <cell r="AA79">
            <v>9368.1</v>
          </cell>
          <cell r="AB79">
            <v>9377.34</v>
          </cell>
          <cell r="AC79">
            <v>9642.6</v>
          </cell>
          <cell r="AD79">
            <v>9259.9500000000007</v>
          </cell>
          <cell r="AE79">
            <v>9355.58</v>
          </cell>
          <cell r="AF79">
            <v>9609.65</v>
          </cell>
          <cell r="AG79">
            <v>9286.9</v>
          </cell>
          <cell r="AH79">
            <v>9355.82</v>
          </cell>
          <cell r="AI79">
            <v>9231.84</v>
          </cell>
          <cell r="AJ79">
            <v>9365.43</v>
          </cell>
          <cell r="AK79">
            <v>9080.36</v>
          </cell>
          <cell r="AL79">
            <v>9345.17</v>
          </cell>
          <cell r="AM79">
            <v>9651.94</v>
          </cell>
          <cell r="AN79">
            <v>9431.35</v>
          </cell>
          <cell r="AO79">
            <v>9502.41</v>
          </cell>
          <cell r="AP79">
            <v>9493.49</v>
          </cell>
          <cell r="AQ79">
            <v>9562.77</v>
          </cell>
          <cell r="AR79">
            <v>9294.7000000000007</v>
          </cell>
          <cell r="AS79">
            <v>9661.3799999999992</v>
          </cell>
          <cell r="AT79">
            <v>9465.77</v>
          </cell>
          <cell r="AU79">
            <v>9498.2999999999993</v>
          </cell>
          <cell r="AV79">
            <v>9578.27</v>
          </cell>
          <cell r="AW79">
            <v>9398.83</v>
          </cell>
          <cell r="AX79">
            <v>9057.75</v>
          </cell>
          <cell r="AY79">
            <v>9274.1299999999992</v>
          </cell>
          <cell r="AZ79">
            <v>8960.67</v>
          </cell>
          <cell r="BA79">
            <v>8960.67</v>
          </cell>
        </row>
        <row r="80">
          <cell r="A80" t="str">
            <v>V3000H35B25</v>
          </cell>
          <cell r="B80">
            <v>3000</v>
          </cell>
          <cell r="C80">
            <v>3500</v>
          </cell>
          <cell r="D80">
            <v>2500</v>
          </cell>
          <cell r="E80">
            <v>27</v>
          </cell>
          <cell r="F80">
            <v>5</v>
          </cell>
          <cell r="G80">
            <v>0</v>
          </cell>
          <cell r="H80">
            <v>300</v>
          </cell>
          <cell r="I80">
            <v>50</v>
          </cell>
          <cell r="J80">
            <v>3090</v>
          </cell>
          <cell r="K80" t="str">
            <v>Q-12001299</v>
          </cell>
          <cell r="L80" t="str">
            <v>\\hokukon-net2\hop\Program\01_MVPシステム_容量別組立図\.\02_余裕高0_6m\pdf\FB600_3000m3-MVP-3500-組-B2500_Q-12001299.pdf</v>
          </cell>
          <cell r="M80">
            <v>9771.7900000000009</v>
          </cell>
          <cell r="N80">
            <v>9867.2999999999993</v>
          </cell>
          <cell r="O80">
            <v>9655.4599999999991</v>
          </cell>
          <cell r="P80">
            <v>9658.82</v>
          </cell>
          <cell r="Q80">
            <v>9820.17</v>
          </cell>
          <cell r="R80">
            <v>9748.08</v>
          </cell>
          <cell r="S80">
            <v>9726.35</v>
          </cell>
          <cell r="T80">
            <v>9730.4</v>
          </cell>
          <cell r="U80">
            <v>9729.23</v>
          </cell>
          <cell r="V80">
            <v>9689.58</v>
          </cell>
          <cell r="W80">
            <v>9737.91</v>
          </cell>
          <cell r="X80">
            <v>9777.7000000000007</v>
          </cell>
          <cell r="Y80">
            <v>9784.81</v>
          </cell>
          <cell r="Z80">
            <v>10006.99</v>
          </cell>
          <cell r="AA80">
            <v>9825.89</v>
          </cell>
          <cell r="AB80">
            <v>9832.58</v>
          </cell>
          <cell r="AC80">
            <v>10097.11</v>
          </cell>
          <cell r="AD80">
            <v>9707.2099999999991</v>
          </cell>
          <cell r="AE80">
            <v>9806.26</v>
          </cell>
          <cell r="AF80">
            <v>10064.6</v>
          </cell>
          <cell r="AG80">
            <v>9740.43</v>
          </cell>
          <cell r="AH80">
            <v>9810.61</v>
          </cell>
          <cell r="AI80">
            <v>9686.16</v>
          </cell>
          <cell r="AJ80">
            <v>9818.59</v>
          </cell>
          <cell r="AK80">
            <v>9529.56</v>
          </cell>
          <cell r="AL80">
            <v>9796.16</v>
          </cell>
          <cell r="AM80">
            <v>10106.879999999999</v>
          </cell>
          <cell r="AN80">
            <v>9884.82</v>
          </cell>
          <cell r="AO80">
            <v>9954.59</v>
          </cell>
          <cell r="AP80">
            <v>9946.9599999999991</v>
          </cell>
          <cell r="AQ80">
            <v>10017.379999999999</v>
          </cell>
          <cell r="AR80">
            <v>9740.4500000000007</v>
          </cell>
          <cell r="AS80">
            <v>10111.35</v>
          </cell>
          <cell r="AT80">
            <v>9917.07</v>
          </cell>
          <cell r="AU80">
            <v>9950.0499999999993</v>
          </cell>
          <cell r="AV80">
            <v>10028.61</v>
          </cell>
          <cell r="AW80">
            <v>9847.2900000000009</v>
          </cell>
          <cell r="AX80">
            <v>9504.2000000000007</v>
          </cell>
          <cell r="AY80">
            <v>9720.6</v>
          </cell>
          <cell r="AZ80">
            <v>9404.77</v>
          </cell>
          <cell r="BA80">
            <v>9404.77</v>
          </cell>
        </row>
        <row r="81">
          <cell r="A81" t="str">
            <v>V3000H35B20</v>
          </cell>
          <cell r="B81">
            <v>3000</v>
          </cell>
          <cell r="C81">
            <v>3500</v>
          </cell>
          <cell r="D81">
            <v>2000</v>
          </cell>
          <cell r="E81">
            <v>30</v>
          </cell>
          <cell r="F81">
            <v>5</v>
          </cell>
          <cell r="G81">
            <v>0</v>
          </cell>
          <cell r="H81">
            <v>300</v>
          </cell>
          <cell r="I81">
            <v>50</v>
          </cell>
          <cell r="J81">
            <v>3091.9</v>
          </cell>
          <cell r="K81" t="str">
            <v>Q-12001298</v>
          </cell>
          <cell r="L81" t="str">
            <v>\\hokukon-net2\hop\Program\01_MVPシステム_容量別組立図\.\02_余裕高0_6m\pdf\FB600_3000m3-MVP-3500-組-B2000_Q-12001298.pdf</v>
          </cell>
          <cell r="M81">
            <v>10185.76</v>
          </cell>
          <cell r="N81">
            <v>10281.530000000001</v>
          </cell>
          <cell r="O81">
            <v>10070.39</v>
          </cell>
          <cell r="P81">
            <v>10073.76</v>
          </cell>
          <cell r="Q81">
            <v>10233.799999999999</v>
          </cell>
          <cell r="R81">
            <v>10161.41</v>
          </cell>
          <cell r="S81">
            <v>10138.66</v>
          </cell>
          <cell r="T81">
            <v>10142.719999999999</v>
          </cell>
          <cell r="U81">
            <v>10146.540000000001</v>
          </cell>
          <cell r="V81">
            <v>10106.07</v>
          </cell>
          <cell r="W81">
            <v>10155.040000000001</v>
          </cell>
          <cell r="X81">
            <v>10196.73</v>
          </cell>
          <cell r="Y81">
            <v>10204.040000000001</v>
          </cell>
          <cell r="Z81">
            <v>10428.68</v>
          </cell>
          <cell r="AA81">
            <v>10247.6</v>
          </cell>
          <cell r="AB81">
            <v>10252.39</v>
          </cell>
          <cell r="AC81">
            <v>10515.69</v>
          </cell>
          <cell r="AD81">
            <v>10122.629999999999</v>
          </cell>
          <cell r="AE81">
            <v>10223.6</v>
          </cell>
          <cell r="AF81">
            <v>10484.06</v>
          </cell>
          <cell r="AG81">
            <v>10159.83</v>
          </cell>
          <cell r="AH81">
            <v>10230.42</v>
          </cell>
          <cell r="AI81">
            <v>10106.36</v>
          </cell>
          <cell r="AJ81">
            <v>10237.459999999999</v>
          </cell>
          <cell r="AK81">
            <v>9946.44</v>
          </cell>
          <cell r="AL81">
            <v>10213.030000000001</v>
          </cell>
          <cell r="AM81">
            <v>10525.45</v>
          </cell>
          <cell r="AN81">
            <v>10302.82</v>
          </cell>
          <cell r="AO81">
            <v>10371.48</v>
          </cell>
          <cell r="AP81">
            <v>10364.84</v>
          </cell>
          <cell r="AQ81">
            <v>10435.870000000001</v>
          </cell>
          <cell r="AR81">
            <v>10154.129999999999</v>
          </cell>
          <cell r="AS81">
            <v>10527.01</v>
          </cell>
          <cell r="AT81">
            <v>10334.200000000001</v>
          </cell>
          <cell r="AU81">
            <v>10367.620000000001</v>
          </cell>
          <cell r="AV81">
            <v>10444.67</v>
          </cell>
          <cell r="AW81">
            <v>10262.86</v>
          </cell>
          <cell r="AX81">
            <v>9920.0400000000009</v>
          </cell>
          <cell r="AY81">
            <v>10135.17</v>
          </cell>
          <cell r="AZ81">
            <v>9819.11</v>
          </cell>
          <cell r="BA81">
            <v>9819.11</v>
          </cell>
        </row>
        <row r="82">
          <cell r="A82" t="str">
            <v>V3000H40B30</v>
          </cell>
          <cell r="B82">
            <v>3000</v>
          </cell>
          <cell r="C82">
            <v>4000</v>
          </cell>
          <cell r="D82">
            <v>3000</v>
          </cell>
          <cell r="E82">
            <v>21</v>
          </cell>
          <cell r="F82">
            <v>5</v>
          </cell>
          <cell r="G82">
            <v>0</v>
          </cell>
          <cell r="H82">
            <v>350</v>
          </cell>
          <cell r="I82">
            <v>70</v>
          </cell>
          <cell r="J82">
            <v>3139.1</v>
          </cell>
          <cell r="K82" t="str">
            <v>Q-12001302</v>
          </cell>
          <cell r="L82" t="str">
            <v>\\hokukon-net2\hop\Program\01_MVPシステム_容量別組立図\.\02_余裕高0_6m\pdf\FB600_3000m3-MVP-4000-組-B3000_Q-12001302.pdf</v>
          </cell>
          <cell r="M82">
            <v>9799.8700000000008</v>
          </cell>
          <cell r="N82">
            <v>9893.9699999999993</v>
          </cell>
          <cell r="O82">
            <v>9690.41</v>
          </cell>
          <cell r="P82">
            <v>9693.5499999999993</v>
          </cell>
          <cell r="Q82">
            <v>9847.5499999999993</v>
          </cell>
          <cell r="R82">
            <v>9778.9500000000007</v>
          </cell>
          <cell r="S82">
            <v>9758.2000000000007</v>
          </cell>
          <cell r="T82">
            <v>9762.01</v>
          </cell>
          <cell r="U82">
            <v>9754.11</v>
          </cell>
          <cell r="V82">
            <v>9718.06</v>
          </cell>
          <cell r="W82">
            <v>9762.82</v>
          </cell>
          <cell r="X82">
            <v>9797.68</v>
          </cell>
          <cell r="Y82">
            <v>9802.44</v>
          </cell>
          <cell r="Z82">
            <v>10012.39</v>
          </cell>
          <cell r="AA82">
            <v>9839.52</v>
          </cell>
          <cell r="AB82">
            <v>9849.4</v>
          </cell>
          <cell r="AC82">
            <v>10101.52</v>
          </cell>
          <cell r="AD82">
            <v>9724.57</v>
          </cell>
          <cell r="AE82">
            <v>9820.2000000000007</v>
          </cell>
          <cell r="AF82">
            <v>10063.61</v>
          </cell>
          <cell r="AG82">
            <v>9748.76</v>
          </cell>
          <cell r="AH82">
            <v>9817.4699999999993</v>
          </cell>
          <cell r="AI82">
            <v>9698.2099999999991</v>
          </cell>
          <cell r="AJ82">
            <v>9823.67</v>
          </cell>
          <cell r="AK82">
            <v>9570.4</v>
          </cell>
          <cell r="AL82">
            <v>9828.07</v>
          </cell>
          <cell r="AM82">
            <v>10121.77</v>
          </cell>
          <cell r="AN82">
            <v>9910.9599999999991</v>
          </cell>
          <cell r="AO82">
            <v>9979.23</v>
          </cell>
          <cell r="AP82">
            <v>9971.18</v>
          </cell>
          <cell r="AQ82">
            <v>10038.94</v>
          </cell>
          <cell r="AR82">
            <v>9758.2800000000007</v>
          </cell>
          <cell r="AS82">
            <v>10110.07</v>
          </cell>
          <cell r="AT82">
            <v>9926.24</v>
          </cell>
          <cell r="AU82">
            <v>9956.5300000000007</v>
          </cell>
          <cell r="AV82">
            <v>10031</v>
          </cell>
          <cell r="AW82">
            <v>9856.26</v>
          </cell>
          <cell r="AX82">
            <v>9525.7000000000007</v>
          </cell>
          <cell r="AY82">
            <v>9734.68</v>
          </cell>
          <cell r="AZ82">
            <v>9431.6</v>
          </cell>
          <cell r="BA82">
            <v>9431.6</v>
          </cell>
        </row>
        <row r="83">
          <cell r="A83" t="str">
            <v>V3000H40B25</v>
          </cell>
          <cell r="B83">
            <v>3000</v>
          </cell>
          <cell r="C83">
            <v>4000</v>
          </cell>
          <cell r="D83">
            <v>2500</v>
          </cell>
          <cell r="E83">
            <v>23</v>
          </cell>
          <cell r="F83">
            <v>5</v>
          </cell>
          <cell r="G83">
            <v>0</v>
          </cell>
          <cell r="H83">
            <v>350</v>
          </cell>
          <cell r="I83">
            <v>70</v>
          </cell>
          <cell r="J83">
            <v>3127.6</v>
          </cell>
          <cell r="K83" t="str">
            <v>Q-12001302</v>
          </cell>
          <cell r="L83" t="str">
            <v>\\hokukon-net2\hop\Program\01_MVPシステム_容量別組立図\.\02_余裕高0_6m\pdf\FB600_3000m3-MVP-4000-組-B2500_Q-12001302.pdf</v>
          </cell>
          <cell r="M83">
            <v>10157.780000000001</v>
          </cell>
          <cell r="N83">
            <v>10251.84</v>
          </cell>
          <cell r="O83">
            <v>10049.61</v>
          </cell>
          <cell r="P83">
            <v>10052.76</v>
          </cell>
          <cell r="Q83">
            <v>10205.02</v>
          </cell>
          <cell r="R83">
            <v>10136.379999999999</v>
          </cell>
          <cell r="S83">
            <v>10114.879999999999</v>
          </cell>
          <cell r="T83">
            <v>10118.67</v>
          </cell>
          <cell r="U83">
            <v>10114.66</v>
          </cell>
          <cell r="V83">
            <v>10078.14</v>
          </cell>
          <cell r="W83">
            <v>10123.17</v>
          </cell>
          <cell r="X83">
            <v>10159.4</v>
          </cell>
          <cell r="Y83">
            <v>10164.370000000001</v>
          </cell>
          <cell r="Z83">
            <v>10375.42</v>
          </cell>
          <cell r="AA83">
            <v>10203.34</v>
          </cell>
          <cell r="AB83">
            <v>10211.58</v>
          </cell>
          <cell r="AC83">
            <v>10461.5</v>
          </cell>
          <cell r="AD83">
            <v>10083.07</v>
          </cell>
          <cell r="AE83">
            <v>10179.98</v>
          </cell>
          <cell r="AF83">
            <v>10423.9</v>
          </cell>
          <cell r="AG83">
            <v>10110.11</v>
          </cell>
          <cell r="AH83">
            <v>10178.85</v>
          </cell>
          <cell r="AI83">
            <v>10060.52</v>
          </cell>
          <cell r="AJ83">
            <v>10184.18</v>
          </cell>
          <cell r="AK83">
            <v>9932.17</v>
          </cell>
          <cell r="AL83">
            <v>10188.68</v>
          </cell>
          <cell r="AM83">
            <v>10482.36</v>
          </cell>
          <cell r="AN83">
            <v>10272.120000000001</v>
          </cell>
          <cell r="AO83">
            <v>10339.14</v>
          </cell>
          <cell r="AP83">
            <v>10331.950000000001</v>
          </cell>
          <cell r="AQ83">
            <v>10399.969999999999</v>
          </cell>
          <cell r="AR83">
            <v>10115.23</v>
          </cell>
          <cell r="AS83">
            <v>10467.01</v>
          </cell>
          <cell r="AT83">
            <v>10285.16</v>
          </cell>
          <cell r="AU83">
            <v>10315.799999999999</v>
          </cell>
          <cell r="AV83">
            <v>10388.52</v>
          </cell>
          <cell r="AW83">
            <v>10213.84</v>
          </cell>
          <cell r="AX83">
            <v>9884.9500000000007</v>
          </cell>
          <cell r="AY83">
            <v>10091.959999999999</v>
          </cell>
          <cell r="AZ83">
            <v>9790.02</v>
          </cell>
          <cell r="BA83">
            <v>9790.02</v>
          </cell>
        </row>
        <row r="84">
          <cell r="A84" t="str">
            <v>V3000H40B20</v>
          </cell>
          <cell r="B84">
            <v>3000</v>
          </cell>
          <cell r="C84">
            <v>4000</v>
          </cell>
          <cell r="D84">
            <v>2000</v>
          </cell>
          <cell r="E84">
            <v>25</v>
          </cell>
          <cell r="F84">
            <v>5</v>
          </cell>
          <cell r="G84">
            <v>0</v>
          </cell>
          <cell r="H84">
            <v>350</v>
          </cell>
          <cell r="I84">
            <v>70</v>
          </cell>
          <cell r="J84">
            <v>3065.1</v>
          </cell>
          <cell r="K84" t="str">
            <v>Q-12001301</v>
          </cell>
          <cell r="L84" t="str">
            <v>\\hokukon-net2\hop\Program\01_MVPシステム_容量別組立図\.\02_余裕高0_6m\pdf\FB600_3000m3-MVP-4000-組-B2000_Q-12001301.pdf</v>
          </cell>
          <cell r="M84">
            <v>10442.59</v>
          </cell>
          <cell r="N84">
            <v>10535.25</v>
          </cell>
          <cell r="O84">
            <v>10337.49</v>
          </cell>
          <cell r="P84">
            <v>10340.6</v>
          </cell>
          <cell r="Q84">
            <v>10488.67</v>
          </cell>
          <cell r="R84">
            <v>10421.040000000001</v>
          </cell>
          <cell r="S84">
            <v>10398.99</v>
          </cell>
          <cell r="T84">
            <v>10402.74</v>
          </cell>
          <cell r="U84">
            <v>10403.379999999999</v>
          </cell>
          <cell r="V84">
            <v>10366.82</v>
          </cell>
          <cell r="W84">
            <v>10411.450000000001</v>
          </cell>
          <cell r="X84">
            <v>10448.75</v>
          </cell>
          <cell r="Y84">
            <v>10453.92</v>
          </cell>
          <cell r="Z84">
            <v>10663.13</v>
          </cell>
          <cell r="AA84">
            <v>10494.32</v>
          </cell>
          <cell r="AB84">
            <v>10500.72</v>
          </cell>
          <cell r="AC84">
            <v>10744.33</v>
          </cell>
          <cell r="AD84">
            <v>10369.67</v>
          </cell>
          <cell r="AE84">
            <v>10466.540000000001</v>
          </cell>
          <cell r="AF84">
            <v>10707.55</v>
          </cell>
          <cell r="AG84">
            <v>10399.61</v>
          </cell>
          <cell r="AH84">
            <v>10467.459999999999</v>
          </cell>
          <cell r="AI84">
            <v>10351.82</v>
          </cell>
          <cell r="AJ84">
            <v>10471.75</v>
          </cell>
          <cell r="AK84">
            <v>10224.64</v>
          </cell>
          <cell r="AL84">
            <v>10476.18</v>
          </cell>
          <cell r="AM84">
            <v>10765.66</v>
          </cell>
          <cell r="AN84">
            <v>10559.11</v>
          </cell>
          <cell r="AO84">
            <v>10623.77</v>
          </cell>
          <cell r="AP84">
            <v>10617.69</v>
          </cell>
          <cell r="AQ84">
            <v>10684.95</v>
          </cell>
          <cell r="AR84">
            <v>10399.73</v>
          </cell>
          <cell r="AS84">
            <v>10746.31</v>
          </cell>
          <cell r="AT84">
            <v>10569.31</v>
          </cell>
          <cell r="AU84">
            <v>10599.79</v>
          </cell>
          <cell r="AV84">
            <v>10669.66</v>
          </cell>
          <cell r="AW84">
            <v>10497.52</v>
          </cell>
          <cell r="AX84">
            <v>10175.25</v>
          </cell>
          <cell r="AY84">
            <v>10377.07</v>
          </cell>
          <cell r="AZ84">
            <v>10080.719999999999</v>
          </cell>
          <cell r="BA84">
            <v>10080.719999999999</v>
          </cell>
        </row>
        <row r="85">
          <cell r="A85" t="str">
            <v>V3000H45B30</v>
          </cell>
          <cell r="B85">
            <v>3000</v>
          </cell>
          <cell r="C85">
            <v>4500</v>
          </cell>
          <cell r="D85">
            <v>3000</v>
          </cell>
          <cell r="E85">
            <v>22</v>
          </cell>
          <cell r="F85">
            <v>4</v>
          </cell>
          <cell r="G85">
            <v>0</v>
          </cell>
          <cell r="H85">
            <v>350</v>
          </cell>
          <cell r="I85">
            <v>70</v>
          </cell>
          <cell r="J85">
            <v>3067.4</v>
          </cell>
          <cell r="K85" t="str">
            <v>Q-12001306</v>
          </cell>
          <cell r="L85" t="str">
            <v>\\hokukon-net2\hop\Program\01_MVPシステム_容量別組立図\.\02_余裕高0_6m\pdf\FB600_3000m3-MVP-4500-組-B3000_Q-12001306.pdf</v>
          </cell>
          <cell r="M85">
            <v>8928.09</v>
          </cell>
          <cell r="N85">
            <v>9008.2199999999993</v>
          </cell>
          <cell r="O85">
            <v>8835.15</v>
          </cell>
          <cell r="P85">
            <v>8837.84</v>
          </cell>
          <cell r="Q85">
            <v>8968.07</v>
          </cell>
          <cell r="R85">
            <v>8908.5300000000007</v>
          </cell>
          <cell r="S85">
            <v>8889.52</v>
          </cell>
          <cell r="T85">
            <v>8892.7800000000007</v>
          </cell>
          <cell r="U85">
            <v>8891.81</v>
          </cell>
          <cell r="V85">
            <v>8860.67</v>
          </cell>
          <cell r="W85">
            <v>8899.65</v>
          </cell>
          <cell r="X85">
            <v>8931.31</v>
          </cell>
          <cell r="Y85">
            <v>8935.48</v>
          </cell>
          <cell r="Z85">
            <v>9117.59</v>
          </cell>
          <cell r="AA85">
            <v>8969.42</v>
          </cell>
          <cell r="AB85">
            <v>8976.4699999999993</v>
          </cell>
          <cell r="AC85">
            <v>9189.6200000000008</v>
          </cell>
          <cell r="AD85">
            <v>8863.61</v>
          </cell>
          <cell r="AE85">
            <v>8947.18</v>
          </cell>
          <cell r="AF85">
            <v>9157.7099999999991</v>
          </cell>
          <cell r="AG85">
            <v>8888.7000000000007</v>
          </cell>
          <cell r="AH85">
            <v>8947.11</v>
          </cell>
          <cell r="AI85">
            <v>8845.8700000000008</v>
          </cell>
          <cell r="AJ85">
            <v>8951.83</v>
          </cell>
          <cell r="AK85">
            <v>8735.67</v>
          </cell>
          <cell r="AL85">
            <v>8954.76</v>
          </cell>
          <cell r="AM85">
            <v>9207.4599999999991</v>
          </cell>
          <cell r="AN85">
            <v>9027.9500000000007</v>
          </cell>
          <cell r="AO85">
            <v>9085.11</v>
          </cell>
          <cell r="AP85">
            <v>9078.61</v>
          </cell>
          <cell r="AQ85">
            <v>9137.56</v>
          </cell>
          <cell r="AR85">
            <v>8890.01</v>
          </cell>
          <cell r="AS85">
            <v>9192.2000000000007</v>
          </cell>
          <cell r="AT85">
            <v>9037.23</v>
          </cell>
          <cell r="AU85">
            <v>9063.1</v>
          </cell>
          <cell r="AV85">
            <v>9125.6200000000008</v>
          </cell>
          <cell r="AW85">
            <v>8975.67</v>
          </cell>
          <cell r="AX85">
            <v>8693.5</v>
          </cell>
          <cell r="AY85">
            <v>8870.34</v>
          </cell>
          <cell r="AZ85">
            <v>8611.66</v>
          </cell>
          <cell r="BA85">
            <v>8611.66</v>
          </cell>
        </row>
        <row r="86">
          <cell r="A86" t="str">
            <v>V3000H45B25</v>
          </cell>
          <cell r="B86">
            <v>3000</v>
          </cell>
          <cell r="C86">
            <v>4500</v>
          </cell>
          <cell r="D86">
            <v>2500</v>
          </cell>
          <cell r="E86">
            <v>20</v>
          </cell>
          <cell r="F86">
            <v>5</v>
          </cell>
          <cell r="G86">
            <v>0</v>
          </cell>
          <cell r="H86">
            <v>350</v>
          </cell>
          <cell r="I86">
            <v>70</v>
          </cell>
          <cell r="J86">
            <v>3132.8</v>
          </cell>
          <cell r="K86" t="str">
            <v>Q-12001305</v>
          </cell>
          <cell r="L86" t="str">
            <v>\\hokukon-net2\hop\Program\01_MVPシステム_容量別組立図\.\02_余裕高0_6m\pdf\FB600_3000m3-MVP-4500-組-B2500_Q-12001305.pdf</v>
          </cell>
          <cell r="M86">
            <v>9511.06</v>
          </cell>
          <cell r="N86">
            <v>9593.77</v>
          </cell>
          <cell r="O86">
            <v>9418.31</v>
          </cell>
          <cell r="P86">
            <v>9421.07</v>
          </cell>
          <cell r="Q86">
            <v>9551.73</v>
          </cell>
          <cell r="R86">
            <v>9490.48</v>
          </cell>
          <cell r="S86">
            <v>9469.7900000000009</v>
          </cell>
          <cell r="T86">
            <v>9473.1299999999992</v>
          </cell>
          <cell r="U86">
            <v>9479.3700000000008</v>
          </cell>
          <cell r="V86">
            <v>9446.67</v>
          </cell>
          <cell r="W86">
            <v>9486.4</v>
          </cell>
          <cell r="X86">
            <v>9521.5</v>
          </cell>
          <cell r="Y86">
            <v>9526.2000000000007</v>
          </cell>
          <cell r="Z86">
            <v>9714.5</v>
          </cell>
          <cell r="AA86">
            <v>9563.44</v>
          </cell>
          <cell r="AB86">
            <v>9568.2199999999993</v>
          </cell>
          <cell r="AC86">
            <v>9782.75</v>
          </cell>
          <cell r="AD86">
            <v>9445.35</v>
          </cell>
          <cell r="AE86">
            <v>9533.2999999999993</v>
          </cell>
          <cell r="AF86">
            <v>9750.06</v>
          </cell>
          <cell r="AG86">
            <v>9476.59</v>
          </cell>
          <cell r="AH86">
            <v>9537</v>
          </cell>
          <cell r="AI86">
            <v>9434.1</v>
          </cell>
          <cell r="AJ86">
            <v>9540.06</v>
          </cell>
          <cell r="AK86">
            <v>9319.58</v>
          </cell>
          <cell r="AL86">
            <v>9543.07</v>
          </cell>
          <cell r="AM86">
            <v>9802.2199999999993</v>
          </cell>
          <cell r="AN86">
            <v>9619.4</v>
          </cell>
          <cell r="AO86">
            <v>9676.0300000000007</v>
          </cell>
          <cell r="AP86">
            <v>9670.77</v>
          </cell>
          <cell r="AQ86">
            <v>9731.4</v>
          </cell>
          <cell r="AR86">
            <v>9470.93</v>
          </cell>
          <cell r="AS86">
            <v>9780.33</v>
          </cell>
          <cell r="AT86">
            <v>9624.89</v>
          </cell>
          <cell r="AU86">
            <v>9651.44</v>
          </cell>
          <cell r="AV86">
            <v>9713.33</v>
          </cell>
          <cell r="AW86">
            <v>9559.49</v>
          </cell>
          <cell r="AX86">
            <v>9272.11</v>
          </cell>
          <cell r="AY86">
            <v>9451.1</v>
          </cell>
          <cell r="AZ86">
            <v>9187.08</v>
          </cell>
          <cell r="BA86">
            <v>9187.08</v>
          </cell>
        </row>
        <row r="87">
          <cell r="A87" t="str">
            <v>V3000H45B20</v>
          </cell>
          <cell r="B87">
            <v>3000</v>
          </cell>
          <cell r="C87">
            <v>4500</v>
          </cell>
          <cell r="D87">
            <v>2000</v>
          </cell>
          <cell r="E87">
            <v>22</v>
          </cell>
          <cell r="F87">
            <v>5</v>
          </cell>
          <cell r="G87">
            <v>0</v>
          </cell>
          <cell r="H87">
            <v>350</v>
          </cell>
          <cell r="I87">
            <v>70</v>
          </cell>
          <cell r="J87">
            <v>3105</v>
          </cell>
          <cell r="K87" t="str">
            <v>Q-12001304</v>
          </cell>
          <cell r="L87" t="str">
            <v>\\hokukon-net2\hop\Program\01_MVPシステム_容量別組立図\.\02_余裕高0_6m\pdf\FB600_3000m3-MVP-4500-組-B2000_Q-12001304.pdf</v>
          </cell>
          <cell r="M87">
            <v>9882.7199999999993</v>
          </cell>
          <cell r="N87">
            <v>9965.01</v>
          </cell>
          <cell r="O87">
            <v>9791.77</v>
          </cell>
          <cell r="P87">
            <v>9794.52</v>
          </cell>
          <cell r="Q87">
            <v>9922.7000000000007</v>
          </cell>
          <cell r="R87">
            <v>9861.56</v>
          </cell>
          <cell r="S87">
            <v>9840.07</v>
          </cell>
          <cell r="T87">
            <v>9843.4</v>
          </cell>
          <cell r="U87">
            <v>9854.19</v>
          </cell>
          <cell r="V87">
            <v>9821.08</v>
          </cell>
          <cell r="W87">
            <v>9861.0400000000009</v>
          </cell>
          <cell r="X87">
            <v>9897.58</v>
          </cell>
          <cell r="Y87">
            <v>9902.49</v>
          </cell>
          <cell r="Z87">
            <v>10091.39</v>
          </cell>
          <cell r="AA87">
            <v>9941.74</v>
          </cell>
          <cell r="AB87">
            <v>9944.69</v>
          </cell>
          <cell r="AC87">
            <v>10155.74</v>
          </cell>
          <cell r="AD87">
            <v>9817.93</v>
          </cell>
          <cell r="AE87">
            <v>9906.9699999999993</v>
          </cell>
          <cell r="AF87">
            <v>10123.6</v>
          </cell>
          <cell r="AG87">
            <v>9852.42</v>
          </cell>
          <cell r="AH87">
            <v>9912.56</v>
          </cell>
          <cell r="AI87">
            <v>9811.11</v>
          </cell>
          <cell r="AJ87">
            <v>9914.6200000000008</v>
          </cell>
          <cell r="AK87">
            <v>9696.4599999999991</v>
          </cell>
          <cell r="AL87">
            <v>9917.66</v>
          </cell>
          <cell r="AM87">
            <v>10175.82</v>
          </cell>
          <cell r="AN87">
            <v>9994.4599999999991</v>
          </cell>
          <cell r="AO87">
            <v>10049.44</v>
          </cell>
          <cell r="AP87">
            <v>10045.120000000001</v>
          </cell>
          <cell r="AQ87">
            <v>10105.870000000001</v>
          </cell>
          <cell r="AR87">
            <v>9841.52</v>
          </cell>
          <cell r="AS87">
            <v>10149.719999999999</v>
          </cell>
          <cell r="AT87">
            <v>9997.2199999999993</v>
          </cell>
          <cell r="AU87">
            <v>10024.01</v>
          </cell>
          <cell r="AV87">
            <v>10083.73</v>
          </cell>
          <cell r="AW87">
            <v>9930.57</v>
          </cell>
          <cell r="AX87">
            <v>9646.19</v>
          </cell>
          <cell r="AY87">
            <v>9822.19</v>
          </cell>
          <cell r="AZ87">
            <v>9560.52</v>
          </cell>
          <cell r="BA87">
            <v>9560.52</v>
          </cell>
        </row>
        <row r="88">
          <cell r="A88" t="str">
            <v>V5000H15B30</v>
          </cell>
          <cell r="B88">
            <v>5000</v>
          </cell>
          <cell r="C88">
            <v>1500</v>
          </cell>
          <cell r="D88">
            <v>3000</v>
          </cell>
          <cell r="E88">
            <v>60</v>
          </cell>
          <cell r="F88">
            <v>7</v>
          </cell>
          <cell r="G88">
            <v>0</v>
          </cell>
          <cell r="H88">
            <v>350</v>
          </cell>
          <cell r="I88">
            <v>50</v>
          </cell>
          <cell r="J88">
            <v>5058.6000000000004</v>
          </cell>
          <cell r="K88" t="str">
            <v>Q-11003000</v>
          </cell>
          <cell r="L88" t="str">
            <v>\\hokukon-net2\hop\Program\01_MVPシステム_容量別組立図\.\02_余裕高0_6m\pdf\FB600_5000m3-MVP-1500-組-B3000_Q-11003000.pdf</v>
          </cell>
          <cell r="M88">
            <v>32615.66</v>
          </cell>
          <cell r="N88">
            <v>33121.72</v>
          </cell>
          <cell r="O88">
            <v>31891.32</v>
          </cell>
          <cell r="P88">
            <v>31909.39</v>
          </cell>
          <cell r="Q88">
            <v>32890.629999999997</v>
          </cell>
          <cell r="R88">
            <v>32501.1</v>
          </cell>
          <cell r="S88">
            <v>32431.25</v>
          </cell>
          <cell r="T88">
            <v>32453.09</v>
          </cell>
          <cell r="U88">
            <v>32123.49</v>
          </cell>
          <cell r="V88">
            <v>31945.61</v>
          </cell>
          <cell r="W88">
            <v>32204.18</v>
          </cell>
          <cell r="X88">
            <v>32300.05</v>
          </cell>
          <cell r="Y88">
            <v>32312.14</v>
          </cell>
          <cell r="Z88">
            <v>33439.71</v>
          </cell>
          <cell r="AA88">
            <v>32444.13</v>
          </cell>
          <cell r="AB88">
            <v>32584.7</v>
          </cell>
          <cell r="AC88">
            <v>34180.85</v>
          </cell>
          <cell r="AD88">
            <v>32197.4</v>
          </cell>
          <cell r="AE88">
            <v>32653.21</v>
          </cell>
          <cell r="AF88">
            <v>34000.370000000003</v>
          </cell>
          <cell r="AG88">
            <v>32123.54</v>
          </cell>
          <cell r="AH88">
            <v>32481.3</v>
          </cell>
          <cell r="AI88">
            <v>31773.8</v>
          </cell>
          <cell r="AJ88">
            <v>32593.68</v>
          </cell>
          <cell r="AK88">
            <v>31047.74</v>
          </cell>
          <cell r="AL88">
            <v>32551.8</v>
          </cell>
          <cell r="AM88">
            <v>34220.1</v>
          </cell>
          <cell r="AN88">
            <v>32969.519999999997</v>
          </cell>
          <cell r="AO88">
            <v>33433.64</v>
          </cell>
          <cell r="AP88">
            <v>33331.870000000003</v>
          </cell>
          <cell r="AQ88">
            <v>33708.629999999997</v>
          </cell>
          <cell r="AR88">
            <v>32424.82</v>
          </cell>
          <cell r="AS88">
            <v>34447.86</v>
          </cell>
          <cell r="AT88">
            <v>33268.800000000003</v>
          </cell>
          <cell r="AU88">
            <v>33446.480000000003</v>
          </cell>
          <cell r="AV88">
            <v>33949.9</v>
          </cell>
          <cell r="AW88">
            <v>32986.370000000003</v>
          </cell>
          <cell r="AX88">
            <v>31038.880000000001</v>
          </cell>
          <cell r="AY88">
            <v>32310.68</v>
          </cell>
          <cell r="AZ88">
            <v>30552.799999999999</v>
          </cell>
          <cell r="BA88">
            <v>30552.799999999999</v>
          </cell>
        </row>
        <row r="89">
          <cell r="A89" t="str">
            <v>V5000H15B25</v>
          </cell>
          <cell r="B89">
            <v>5000</v>
          </cell>
          <cell r="C89">
            <v>1500</v>
          </cell>
          <cell r="D89">
            <v>2500</v>
          </cell>
          <cell r="E89">
            <v>65</v>
          </cell>
          <cell r="F89">
            <v>7</v>
          </cell>
          <cell r="G89">
            <v>0</v>
          </cell>
          <cell r="H89">
            <v>350</v>
          </cell>
          <cell r="I89">
            <v>50</v>
          </cell>
          <cell r="J89">
            <v>5060.7</v>
          </cell>
          <cell r="K89" t="str">
            <v>Q-11002999</v>
          </cell>
          <cell r="L89" t="str">
            <v>\\hokukon-net2\hop\Program\01_MVPシステム_容量別組立図\.\02_余裕高0_6m\pdf\FB600_5000m3-MVP-1500-組-B2500_Q-11002999.pdf</v>
          </cell>
          <cell r="M89">
            <v>33258.199999999997</v>
          </cell>
          <cell r="N89">
            <v>33765.31</v>
          </cell>
          <cell r="O89">
            <v>32535.43</v>
          </cell>
          <cell r="P89">
            <v>32553.54</v>
          </cell>
          <cell r="Q89">
            <v>33532.35</v>
          </cell>
          <cell r="R89">
            <v>33141.57</v>
          </cell>
          <cell r="S89">
            <v>33069.21</v>
          </cell>
          <cell r="T89">
            <v>33091.1</v>
          </cell>
          <cell r="U89">
            <v>32773.42</v>
          </cell>
          <cell r="V89">
            <v>32593.35</v>
          </cell>
          <cell r="W89">
            <v>32853.599999999999</v>
          </cell>
          <cell r="X89">
            <v>32954.14</v>
          </cell>
          <cell r="Y89">
            <v>32966.89</v>
          </cell>
          <cell r="Z89">
            <v>34101.46</v>
          </cell>
          <cell r="AA89">
            <v>33105.11</v>
          </cell>
          <cell r="AB89">
            <v>33241.050000000003</v>
          </cell>
          <cell r="AC89">
            <v>34835.69</v>
          </cell>
          <cell r="AD89">
            <v>32843.11</v>
          </cell>
          <cell r="AE89">
            <v>33304.1</v>
          </cell>
          <cell r="AF89">
            <v>34657.46</v>
          </cell>
          <cell r="AG89">
            <v>32778.74</v>
          </cell>
          <cell r="AH89">
            <v>33137.519999999997</v>
          </cell>
          <cell r="AI89">
            <v>32430.61</v>
          </cell>
          <cell r="AJ89">
            <v>33247.79</v>
          </cell>
          <cell r="AK89">
            <v>31695.85</v>
          </cell>
          <cell r="AL89">
            <v>33200.97</v>
          </cell>
          <cell r="AM89">
            <v>34875.019999999997</v>
          </cell>
          <cell r="AN89">
            <v>33622.1</v>
          </cell>
          <cell r="AO89">
            <v>34083.83</v>
          </cell>
          <cell r="AP89">
            <v>33984.129999999997</v>
          </cell>
          <cell r="AQ89">
            <v>34362.9</v>
          </cell>
          <cell r="AR89">
            <v>33066.26</v>
          </cell>
          <cell r="AS89">
            <v>35095.78</v>
          </cell>
          <cell r="AT89">
            <v>33919.43</v>
          </cell>
          <cell r="AU89">
            <v>34098.47</v>
          </cell>
          <cell r="AV89">
            <v>34598.33</v>
          </cell>
          <cell r="AW89">
            <v>33633.03</v>
          </cell>
          <cell r="AX89">
            <v>31684.35</v>
          </cell>
          <cell r="AY89">
            <v>32954.199999999997</v>
          </cell>
          <cell r="AZ89">
            <v>31194.43</v>
          </cell>
          <cell r="BA89">
            <v>31194.43</v>
          </cell>
        </row>
        <row r="90">
          <cell r="A90" t="str">
            <v>V5000H15B20</v>
          </cell>
          <cell r="B90">
            <v>5000</v>
          </cell>
          <cell r="C90">
            <v>1500</v>
          </cell>
          <cell r="D90">
            <v>2000</v>
          </cell>
          <cell r="E90">
            <v>62</v>
          </cell>
          <cell r="F90">
            <v>8</v>
          </cell>
          <cell r="G90">
            <v>0</v>
          </cell>
          <cell r="H90">
            <v>350</v>
          </cell>
          <cell r="I90">
            <v>50</v>
          </cell>
          <cell r="J90">
            <v>5019.6000000000004</v>
          </cell>
          <cell r="K90" t="str">
            <v>Q-11002998</v>
          </cell>
          <cell r="L90" t="str">
            <v>\\hokukon-net2\hop\Program\01_MVPシステム_容量別組立図\.\02_余裕高0_6m\pdf\FB600_5000m3-MVP-1500-組-B2000_Q-11002998.pdf</v>
          </cell>
          <cell r="M90">
            <v>33770.53</v>
          </cell>
          <cell r="N90">
            <v>34274.31</v>
          </cell>
          <cell r="O90">
            <v>33057.550000000003</v>
          </cell>
          <cell r="P90">
            <v>33075.54</v>
          </cell>
          <cell r="Q90">
            <v>34041.39</v>
          </cell>
          <cell r="R90">
            <v>33652.81</v>
          </cell>
          <cell r="S90">
            <v>33577.78</v>
          </cell>
          <cell r="T90">
            <v>33599.54</v>
          </cell>
          <cell r="U90">
            <v>33301.78</v>
          </cell>
          <cell r="V90">
            <v>33120.699999999997</v>
          </cell>
          <cell r="W90">
            <v>33380.03</v>
          </cell>
          <cell r="X90">
            <v>33949.03</v>
          </cell>
          <cell r="Y90">
            <v>33499.760000000002</v>
          </cell>
          <cell r="Z90">
            <v>34632.14</v>
          </cell>
          <cell r="AA90">
            <v>33644.49</v>
          </cell>
          <cell r="AB90">
            <v>33772.9</v>
          </cell>
          <cell r="AC90">
            <v>35348.959999999999</v>
          </cell>
          <cell r="AD90">
            <v>33363.47</v>
          </cell>
          <cell r="AE90">
            <v>33826.81</v>
          </cell>
          <cell r="AF90">
            <v>35174.83</v>
          </cell>
          <cell r="AG90">
            <v>33313.07</v>
          </cell>
          <cell r="AH90">
            <v>33670.120000000003</v>
          </cell>
          <cell r="AI90">
            <v>32970.660000000003</v>
          </cell>
          <cell r="AJ90">
            <v>33775.99</v>
          </cell>
          <cell r="AK90">
            <v>32231.94</v>
          </cell>
          <cell r="AL90">
            <v>33723.660000000003</v>
          </cell>
          <cell r="AM90">
            <v>35388.239999999998</v>
          </cell>
          <cell r="AN90">
            <v>34145.18</v>
          </cell>
          <cell r="AO90">
            <v>34599</v>
          </cell>
          <cell r="AP90">
            <v>34503.18</v>
          </cell>
          <cell r="AQ90">
            <v>34880.54</v>
          </cell>
          <cell r="AR90">
            <v>33579.42</v>
          </cell>
          <cell r="AS90">
            <v>35596.589999999997</v>
          </cell>
          <cell r="AT90">
            <v>34436.080000000002</v>
          </cell>
          <cell r="AU90">
            <v>34614.75</v>
          </cell>
          <cell r="AV90">
            <v>35105.22</v>
          </cell>
          <cell r="AW90">
            <v>34146.94</v>
          </cell>
          <cell r="AX90">
            <v>32216.1</v>
          </cell>
          <cell r="AY90">
            <v>33470.92</v>
          </cell>
          <cell r="AZ90">
            <v>31726.13</v>
          </cell>
          <cell r="BA90">
            <v>31726.13</v>
          </cell>
        </row>
        <row r="91">
          <cell r="A91" t="str">
            <v>V5000H20B30</v>
          </cell>
          <cell r="B91">
            <v>5000</v>
          </cell>
          <cell r="C91">
            <v>2000</v>
          </cell>
          <cell r="D91">
            <v>3000</v>
          </cell>
          <cell r="E91">
            <v>44</v>
          </cell>
          <cell r="F91">
            <v>6</v>
          </cell>
          <cell r="G91">
            <v>0</v>
          </cell>
          <cell r="H91">
            <v>350</v>
          </cell>
          <cell r="I91">
            <v>50</v>
          </cell>
          <cell r="J91">
            <v>5026.1000000000004</v>
          </cell>
          <cell r="K91" t="str">
            <v>Q-11003003</v>
          </cell>
          <cell r="L91" t="str">
            <v>\\hokukon-net2\hop\Program\01_MVPシステム_容量別組立図\.\02_余裕高0_6m\pdf\FB600_5000m3-MVP-2000-組-B3000_Q-11003003.pdf</v>
          </cell>
          <cell r="M91">
            <v>21987.599999999999</v>
          </cell>
          <cell r="N91">
            <v>22314.41</v>
          </cell>
          <cell r="O91">
            <v>21526.55</v>
          </cell>
          <cell r="P91">
            <v>21538.17</v>
          </cell>
          <cell r="Q91">
            <v>22163.72</v>
          </cell>
          <cell r="R91">
            <v>21913.42</v>
          </cell>
          <cell r="S91">
            <v>21866.52</v>
          </cell>
          <cell r="T91">
            <v>21880.55</v>
          </cell>
          <cell r="U91">
            <v>21682.15</v>
          </cell>
          <cell r="V91">
            <v>21566.55</v>
          </cell>
          <cell r="W91">
            <v>21732.02</v>
          </cell>
          <cell r="X91">
            <v>21798.45</v>
          </cell>
          <cell r="Y91">
            <v>21806.74</v>
          </cell>
          <cell r="Z91">
            <v>22534.14</v>
          </cell>
          <cell r="AA91">
            <v>21894.07</v>
          </cell>
          <cell r="AB91">
            <v>21981.38</v>
          </cell>
          <cell r="AC91">
            <v>23000.41</v>
          </cell>
          <cell r="AD91">
            <v>21718.73</v>
          </cell>
          <cell r="AE91">
            <v>22015.8</v>
          </cell>
          <cell r="AF91">
            <v>22883.54</v>
          </cell>
          <cell r="AG91">
            <v>21681.82</v>
          </cell>
          <cell r="AH91">
            <v>21913.26</v>
          </cell>
          <cell r="AI91">
            <v>21459.29</v>
          </cell>
          <cell r="AJ91">
            <v>21982.39</v>
          </cell>
          <cell r="AK91">
            <v>20988.32</v>
          </cell>
          <cell r="AL91">
            <v>21954.68</v>
          </cell>
          <cell r="AM91">
            <v>23027.93</v>
          </cell>
          <cell r="AN91">
            <v>22226.44</v>
          </cell>
          <cell r="AO91">
            <v>22521.67</v>
          </cell>
          <cell r="AP91">
            <v>22458.49</v>
          </cell>
          <cell r="AQ91">
            <v>22700.93</v>
          </cell>
          <cell r="AR91">
            <v>21864.79</v>
          </cell>
          <cell r="AS91">
            <v>23164.09</v>
          </cell>
          <cell r="AT91">
            <v>22412.05</v>
          </cell>
          <cell r="AU91">
            <v>22525.040000000001</v>
          </cell>
          <cell r="AV91">
            <v>22846.18</v>
          </cell>
          <cell r="AW91">
            <v>22226.02</v>
          </cell>
          <cell r="AX91">
            <v>20975.61</v>
          </cell>
          <cell r="AY91">
            <v>21791.05</v>
          </cell>
          <cell r="AZ91">
            <v>20661.3</v>
          </cell>
          <cell r="BA91">
            <v>20661.3</v>
          </cell>
        </row>
        <row r="92">
          <cell r="A92" t="str">
            <v>V5000H20B25</v>
          </cell>
          <cell r="B92">
            <v>5000</v>
          </cell>
          <cell r="C92">
            <v>2000</v>
          </cell>
          <cell r="D92">
            <v>2500</v>
          </cell>
          <cell r="E92">
            <v>48</v>
          </cell>
          <cell r="F92">
            <v>6</v>
          </cell>
          <cell r="G92">
            <v>0</v>
          </cell>
          <cell r="H92">
            <v>350</v>
          </cell>
          <cell r="I92">
            <v>50</v>
          </cell>
          <cell r="J92">
            <v>5066.1000000000004</v>
          </cell>
          <cell r="K92" t="str">
            <v>Q-11003002</v>
          </cell>
          <cell r="L92" t="str">
            <v>\\hokukon-net2\hop\Program\01_MVPシステム_容量別組立図\.\02_余裕高0_6m\pdf\FB600_5000m3-MVP-2000-組-B2500_Q-11003002.pdf</v>
          </cell>
          <cell r="M92">
            <v>22609.279999999999</v>
          </cell>
          <cell r="N92">
            <v>22939.119999999999</v>
          </cell>
          <cell r="O92">
            <v>22145.84</v>
          </cell>
          <cell r="P92">
            <v>22157.58</v>
          </cell>
          <cell r="Q92">
            <v>22786.18</v>
          </cell>
          <cell r="R92">
            <v>22533.27</v>
          </cell>
          <cell r="S92">
            <v>22484.44</v>
          </cell>
          <cell r="T92">
            <v>22498.62</v>
          </cell>
          <cell r="U92">
            <v>22306.22</v>
          </cell>
          <cell r="V92">
            <v>22188.42</v>
          </cell>
          <cell r="W92">
            <v>22356.17</v>
          </cell>
          <cell r="X92">
            <v>22426.01</v>
          </cell>
          <cell r="Y92">
            <v>22434.75</v>
          </cell>
          <cell r="Z92">
            <v>23171.87</v>
          </cell>
          <cell r="AA92">
            <v>22526.67</v>
          </cell>
          <cell r="AB92">
            <v>22611.69</v>
          </cell>
          <cell r="AC92">
            <v>23637.23</v>
          </cell>
          <cell r="AD92">
            <v>22340.49</v>
          </cell>
          <cell r="AE92">
            <v>22643</v>
          </cell>
          <cell r="AF92">
            <v>23520.959999999999</v>
          </cell>
          <cell r="AG92">
            <v>22309.25</v>
          </cell>
          <cell r="AH92">
            <v>22543.02</v>
          </cell>
          <cell r="AI92">
            <v>22086.13</v>
          </cell>
          <cell r="AJ92">
            <v>22611.35</v>
          </cell>
          <cell r="AK92">
            <v>21606.22</v>
          </cell>
          <cell r="AL92">
            <v>22580.28</v>
          </cell>
          <cell r="AM92">
            <v>23664.98</v>
          </cell>
          <cell r="AN92">
            <v>22856.15</v>
          </cell>
          <cell r="AO92">
            <v>23152.02</v>
          </cell>
          <cell r="AP92">
            <v>23089.68</v>
          </cell>
          <cell r="AQ92">
            <v>23335.16</v>
          </cell>
          <cell r="AR92">
            <v>22484.92</v>
          </cell>
          <cell r="AS92">
            <v>23797.79</v>
          </cell>
          <cell r="AT92">
            <v>23041.95</v>
          </cell>
          <cell r="AU92">
            <v>23156.639999999999</v>
          </cell>
          <cell r="AV92">
            <v>23477.87</v>
          </cell>
          <cell r="AW92">
            <v>22852.080000000002</v>
          </cell>
          <cell r="AX92">
            <v>21591.84</v>
          </cell>
          <cell r="AY92">
            <v>22411.97</v>
          </cell>
          <cell r="AZ92">
            <v>21272.83</v>
          </cell>
          <cell r="BA92">
            <v>21272.83</v>
          </cell>
        </row>
        <row r="93">
          <cell r="A93" t="str">
            <v>V5000H20B20</v>
          </cell>
          <cell r="B93">
            <v>5000</v>
          </cell>
          <cell r="C93">
            <v>2000</v>
          </cell>
          <cell r="D93">
            <v>2000</v>
          </cell>
          <cell r="E93">
            <v>52</v>
          </cell>
          <cell r="F93">
            <v>6</v>
          </cell>
          <cell r="G93">
            <v>0</v>
          </cell>
          <cell r="H93">
            <v>350</v>
          </cell>
          <cell r="I93">
            <v>50</v>
          </cell>
          <cell r="J93">
            <v>5038.8</v>
          </cell>
          <cell r="K93" t="str">
            <v>Q-11003001</v>
          </cell>
          <cell r="L93" t="str">
            <v>\\hokukon-net2\hop\Program\01_MVPシステム_容量別組立図\.\02_余裕高0_6m\pdf\FB600_5000m3-MVP-2000-組-B2000_Q-11003001.pdf</v>
          </cell>
          <cell r="M93">
            <v>23030.58</v>
          </cell>
          <cell r="N93">
            <v>23359.32</v>
          </cell>
          <cell r="O93">
            <v>22571.11</v>
          </cell>
          <cell r="P93">
            <v>22582.81</v>
          </cell>
          <cell r="Q93">
            <v>23205.84</v>
          </cell>
          <cell r="R93">
            <v>22953.48</v>
          </cell>
          <cell r="S93">
            <v>22902.99</v>
          </cell>
          <cell r="T93">
            <v>22917.13</v>
          </cell>
          <cell r="U93">
            <v>22735.1</v>
          </cell>
          <cell r="V93">
            <v>22616.31</v>
          </cell>
          <cell r="W93">
            <v>22784.32</v>
          </cell>
          <cell r="X93">
            <v>22857.360000000001</v>
          </cell>
          <cell r="Y93">
            <v>22866.560000000001</v>
          </cell>
          <cell r="Z93">
            <v>23604.73</v>
          </cell>
          <cell r="AA93">
            <v>22962.66</v>
          </cell>
          <cell r="AB93">
            <v>23043.66</v>
          </cell>
          <cell r="AC93">
            <v>24061.95</v>
          </cell>
          <cell r="AD93">
            <v>22765.72</v>
          </cell>
          <cell r="AE93">
            <v>23070.44</v>
          </cell>
          <cell r="AF93">
            <v>23948.03</v>
          </cell>
          <cell r="AG93">
            <v>22742</v>
          </cell>
          <cell r="AH93">
            <v>22975.25</v>
          </cell>
          <cell r="AI93">
            <v>22521.46</v>
          </cell>
          <cell r="AJ93">
            <v>23041.52</v>
          </cell>
          <cell r="AK93">
            <v>22037.71</v>
          </cell>
          <cell r="AL93">
            <v>23006.95</v>
          </cell>
          <cell r="AM93">
            <v>24089.68</v>
          </cell>
          <cell r="AN93">
            <v>23283.82</v>
          </cell>
          <cell r="AO93">
            <v>23576.14</v>
          </cell>
          <cell r="AP93">
            <v>23515.759999999998</v>
          </cell>
          <cell r="AQ93">
            <v>23761.32</v>
          </cell>
          <cell r="AR93">
            <v>22906.16</v>
          </cell>
          <cell r="AS93">
            <v>24216.25</v>
          </cell>
          <cell r="AT93">
            <v>23466.92</v>
          </cell>
          <cell r="AU93">
            <v>23581.96</v>
          </cell>
          <cell r="AV93">
            <v>23898.59</v>
          </cell>
          <cell r="AW93">
            <v>23275.09</v>
          </cell>
          <cell r="AX93">
            <v>22021.25</v>
          </cell>
          <cell r="AY93">
            <v>22835.14</v>
          </cell>
          <cell r="AZ93">
            <v>21701.16</v>
          </cell>
          <cell r="BA93">
            <v>21701.16</v>
          </cell>
        </row>
        <row r="94">
          <cell r="A94" t="str">
            <v>V5000H25B30</v>
          </cell>
          <cell r="B94">
            <v>5000</v>
          </cell>
          <cell r="C94">
            <v>2500</v>
          </cell>
          <cell r="D94">
            <v>3000</v>
          </cell>
          <cell r="E94">
            <v>45</v>
          </cell>
          <cell r="F94">
            <v>7</v>
          </cell>
          <cell r="G94">
            <v>0</v>
          </cell>
          <cell r="H94">
            <v>300</v>
          </cell>
          <cell r="I94">
            <v>50</v>
          </cell>
          <cell r="J94">
            <v>5027.3999999999996</v>
          </cell>
          <cell r="K94" t="str">
            <v>Q-11003006</v>
          </cell>
          <cell r="L94" t="str">
            <v>\\hokukon-net2\hop\Program\01_MVPシステム_容量別組立図\.\02_余裕高0_6m\pdf\FB600_5000m3-MVP-2500-組-B3000_Q-11003006.pdf</v>
          </cell>
          <cell r="M94">
            <v>19784.55</v>
          </cell>
          <cell r="N94">
            <v>20010.400000000001</v>
          </cell>
          <cell r="O94">
            <v>19483.189999999999</v>
          </cell>
          <cell r="P94">
            <v>19491.3</v>
          </cell>
          <cell r="Q94">
            <v>19906.3</v>
          </cell>
          <cell r="R94">
            <v>19735.2</v>
          </cell>
          <cell r="S94">
            <v>19694.47</v>
          </cell>
          <cell r="T94">
            <v>19704.259999999998</v>
          </cell>
          <cell r="U94">
            <v>19629.650000000001</v>
          </cell>
          <cell r="V94">
            <v>19542.080000000002</v>
          </cell>
          <cell r="W94">
            <v>19660.66</v>
          </cell>
          <cell r="X94">
            <v>19731.59</v>
          </cell>
          <cell r="Y94">
            <v>19743.330000000002</v>
          </cell>
          <cell r="Z94">
            <v>20261.8</v>
          </cell>
          <cell r="AA94">
            <v>19820.349999999999</v>
          </cell>
          <cell r="AB94">
            <v>19859.849999999999</v>
          </cell>
          <cell r="AC94">
            <v>20531.61</v>
          </cell>
          <cell r="AD94">
            <v>19617.490000000002</v>
          </cell>
          <cell r="AE94">
            <v>19834.8</v>
          </cell>
          <cell r="AF94">
            <v>20447.11</v>
          </cell>
          <cell r="AG94">
            <v>19644.599999999999</v>
          </cell>
          <cell r="AH94">
            <v>19811.07</v>
          </cell>
          <cell r="AI94">
            <v>19500.54</v>
          </cell>
          <cell r="AJ94">
            <v>19845.89</v>
          </cell>
          <cell r="AK94">
            <v>19150.71</v>
          </cell>
          <cell r="AL94">
            <v>19804.79</v>
          </cell>
          <cell r="AM94">
            <v>20548.87</v>
          </cell>
          <cell r="AN94">
            <v>20001.259999999998</v>
          </cell>
          <cell r="AO94">
            <v>20189</v>
          </cell>
          <cell r="AP94">
            <v>20161.27</v>
          </cell>
          <cell r="AQ94">
            <v>20326.7</v>
          </cell>
          <cell r="AR94">
            <v>19711.580000000002</v>
          </cell>
          <cell r="AS94">
            <v>20609.18</v>
          </cell>
          <cell r="AT94">
            <v>20108.23</v>
          </cell>
          <cell r="AU94">
            <v>20187.150000000001</v>
          </cell>
          <cell r="AV94">
            <v>20397.78</v>
          </cell>
          <cell r="AW94">
            <v>19959.080000000002</v>
          </cell>
          <cell r="AX94">
            <v>19119.27</v>
          </cell>
          <cell r="AY94">
            <v>19659.48</v>
          </cell>
          <cell r="AZ94">
            <v>18886.84</v>
          </cell>
          <cell r="BA94">
            <v>18886.84</v>
          </cell>
        </row>
        <row r="95">
          <cell r="A95" t="str">
            <v>V5000H25B25</v>
          </cell>
          <cell r="B95">
            <v>5000</v>
          </cell>
          <cell r="C95">
            <v>2500</v>
          </cell>
          <cell r="D95">
            <v>2500</v>
          </cell>
          <cell r="E95">
            <v>44</v>
          </cell>
          <cell r="F95">
            <v>8</v>
          </cell>
          <cell r="G95">
            <v>0</v>
          </cell>
          <cell r="H95">
            <v>300</v>
          </cell>
          <cell r="I95">
            <v>50</v>
          </cell>
          <cell r="J95">
            <v>5074.1000000000004</v>
          </cell>
          <cell r="K95" t="str">
            <v>Q-11003005</v>
          </cell>
          <cell r="L95" t="str">
            <v>\\hokukon-net2\hop\Program\01_MVPシステム_容量別組立図\.\02_余裕高0_6m\pdf\FB600_5000m3-MVP-2500-組-B2500_Q-11003005.pdf</v>
          </cell>
          <cell r="M95">
            <v>20682.47</v>
          </cell>
          <cell r="N95">
            <v>20910.93</v>
          </cell>
          <cell r="O95">
            <v>20381.16</v>
          </cell>
          <cell r="P95">
            <v>20389.37</v>
          </cell>
          <cell r="Q95">
            <v>20804.8</v>
          </cell>
          <cell r="R95">
            <v>20631.72</v>
          </cell>
          <cell r="S95">
            <v>20588.45</v>
          </cell>
          <cell r="T95">
            <v>20598.330000000002</v>
          </cell>
          <cell r="U95">
            <v>20534.5</v>
          </cell>
          <cell r="V95">
            <v>20444.53</v>
          </cell>
          <cell r="W95">
            <v>20565.150000000001</v>
          </cell>
          <cell r="X95">
            <v>20640.95</v>
          </cell>
          <cell r="Y95">
            <v>20653.21</v>
          </cell>
          <cell r="Z95">
            <v>21181.01</v>
          </cell>
          <cell r="AA95">
            <v>20735.86</v>
          </cell>
          <cell r="AB95">
            <v>20771.72</v>
          </cell>
          <cell r="AC95">
            <v>21445.7</v>
          </cell>
          <cell r="AD95">
            <v>20516.79</v>
          </cell>
          <cell r="AE95">
            <v>20740.07</v>
          </cell>
          <cell r="AF95">
            <v>21361.86</v>
          </cell>
          <cell r="AG95">
            <v>20553.25</v>
          </cell>
          <cell r="AH95">
            <v>20722.41</v>
          </cell>
          <cell r="AI95">
            <v>20409.78</v>
          </cell>
          <cell r="AJ95">
            <v>20755.189999999999</v>
          </cell>
          <cell r="AK95">
            <v>20050.18</v>
          </cell>
          <cell r="AL95">
            <v>20709.79</v>
          </cell>
          <cell r="AM95">
            <v>21463.31</v>
          </cell>
          <cell r="AN95">
            <v>20910.29</v>
          </cell>
          <cell r="AO95">
            <v>21097.119999999999</v>
          </cell>
          <cell r="AP95">
            <v>21071.56</v>
          </cell>
          <cell r="AQ95">
            <v>21239.4</v>
          </cell>
          <cell r="AR95">
            <v>20608.52</v>
          </cell>
          <cell r="AS95">
            <v>21517.24</v>
          </cell>
          <cell r="AT95">
            <v>21015.759999999998</v>
          </cell>
          <cell r="AU95">
            <v>21095.85</v>
          </cell>
          <cell r="AV95">
            <v>21305.24</v>
          </cell>
          <cell r="AW95">
            <v>20861.66</v>
          </cell>
          <cell r="AX95">
            <v>20015.669999999998</v>
          </cell>
          <cell r="AY95">
            <v>20557.73</v>
          </cell>
          <cell r="AZ95">
            <v>19778.060000000001</v>
          </cell>
          <cell r="BA95">
            <v>19778.060000000001</v>
          </cell>
        </row>
        <row r="96">
          <cell r="A96" t="str">
            <v>V5000H25B20</v>
          </cell>
          <cell r="B96">
            <v>5000</v>
          </cell>
          <cell r="C96">
            <v>2500</v>
          </cell>
          <cell r="D96">
            <v>2000</v>
          </cell>
          <cell r="E96">
            <v>49</v>
          </cell>
          <cell r="F96">
            <v>8</v>
          </cell>
          <cell r="G96">
            <v>0</v>
          </cell>
          <cell r="H96">
            <v>300</v>
          </cell>
          <cell r="I96">
            <v>50</v>
          </cell>
          <cell r="J96">
            <v>5076.3</v>
          </cell>
          <cell r="K96" t="str">
            <v>Q-11003004</v>
          </cell>
          <cell r="L96" t="str">
            <v>\\hokukon-net2\hop\Program\01_MVPシステム_容量別組立図\.\02_余裕高0_6m\pdf\FB600_5000m3-MVP-2500-組-B2000_Q-11003004.pdf</v>
          </cell>
          <cell r="M96">
            <v>21564.01</v>
          </cell>
          <cell r="N96">
            <v>21792.95</v>
          </cell>
          <cell r="O96">
            <v>21264.91</v>
          </cell>
          <cell r="P96">
            <v>21273.15</v>
          </cell>
          <cell r="Q96">
            <v>21685.49</v>
          </cell>
          <cell r="R96">
            <v>21511.7</v>
          </cell>
          <cell r="S96">
            <v>21466.02</v>
          </cell>
          <cell r="T96">
            <v>21475.94</v>
          </cell>
          <cell r="U96">
            <v>21423.67</v>
          </cell>
          <cell r="V96">
            <v>21331.8</v>
          </cell>
          <cell r="W96">
            <v>21454.03</v>
          </cell>
          <cell r="X96">
            <v>21534.23</v>
          </cell>
          <cell r="Y96">
            <v>21546.880000000001</v>
          </cell>
          <cell r="Z96">
            <v>22080.49</v>
          </cell>
          <cell r="AA96">
            <v>21635.48</v>
          </cell>
          <cell r="AB96">
            <v>21666.91</v>
          </cell>
          <cell r="AC96">
            <v>22338.01</v>
          </cell>
          <cell r="AD96">
            <v>21401.74</v>
          </cell>
          <cell r="AE96">
            <v>21629.55</v>
          </cell>
          <cell r="AF96">
            <v>22256.34</v>
          </cell>
          <cell r="AG96">
            <v>21447.51</v>
          </cell>
          <cell r="AH96">
            <v>21617.67</v>
          </cell>
          <cell r="AI96">
            <v>21305.87</v>
          </cell>
          <cell r="AJ96">
            <v>21648.31</v>
          </cell>
          <cell r="AK96">
            <v>20938.41</v>
          </cell>
          <cell r="AL96">
            <v>21597.99</v>
          </cell>
          <cell r="AM96">
            <v>22355.48</v>
          </cell>
          <cell r="AN96">
            <v>21801</v>
          </cell>
          <cell r="AO96">
            <v>21985.26</v>
          </cell>
          <cell r="AP96">
            <v>21962.18</v>
          </cell>
          <cell r="AQ96">
            <v>22131.4</v>
          </cell>
          <cell r="AR96">
            <v>21489.29</v>
          </cell>
          <cell r="AS96">
            <v>22402.85</v>
          </cell>
          <cell r="AT96">
            <v>21904.720000000001</v>
          </cell>
          <cell r="AU96">
            <v>21985.89</v>
          </cell>
          <cell r="AV96">
            <v>22191.71</v>
          </cell>
          <cell r="AW96">
            <v>21746.99</v>
          </cell>
          <cell r="AX96">
            <v>20901.84</v>
          </cell>
          <cell r="AY96">
            <v>21440.73</v>
          </cell>
          <cell r="AZ96">
            <v>20660.509999999998</v>
          </cell>
          <cell r="BA96">
            <v>20660.509999999998</v>
          </cell>
        </row>
        <row r="97">
          <cell r="A97" t="str">
            <v>V5000H30B30</v>
          </cell>
          <cell r="B97">
            <v>5000</v>
          </cell>
          <cell r="C97">
            <v>3000</v>
          </cell>
          <cell r="D97">
            <v>3000</v>
          </cell>
          <cell r="E97">
            <v>41</v>
          </cell>
          <cell r="F97">
            <v>6</v>
          </cell>
          <cell r="G97">
            <v>0</v>
          </cell>
          <cell r="H97">
            <v>300</v>
          </cell>
          <cell r="I97">
            <v>50</v>
          </cell>
          <cell r="J97">
            <v>5011.6000000000004</v>
          </cell>
          <cell r="K97" t="str">
            <v>Q-11003009</v>
          </cell>
          <cell r="L97" t="str">
            <v>\\hokukon-net2\hop\Program\01_MVPシステム_容量別組立図\.\02_余裕高0_6m\pdf\FB600_5000m3-MVP-3000-組-B3000_Q-11003009.pdf</v>
          </cell>
          <cell r="M97">
            <v>16714.259999999998</v>
          </cell>
          <cell r="N97">
            <v>16894.32</v>
          </cell>
          <cell r="O97">
            <v>16479.830000000002</v>
          </cell>
          <cell r="P97">
            <v>16486.259999999998</v>
          </cell>
          <cell r="Q97">
            <v>16808.599999999999</v>
          </cell>
          <cell r="R97">
            <v>16670.599999999999</v>
          </cell>
          <cell r="S97">
            <v>16634.810000000001</v>
          </cell>
          <cell r="T97">
            <v>16642.57</v>
          </cell>
          <cell r="U97">
            <v>16604.36</v>
          </cell>
          <cell r="V97">
            <v>16532.060000000001</v>
          </cell>
          <cell r="W97">
            <v>16625.580000000002</v>
          </cell>
          <cell r="X97">
            <v>16689.11</v>
          </cell>
          <cell r="Y97">
            <v>16701.02</v>
          </cell>
          <cell r="Z97">
            <v>17118.310000000001</v>
          </cell>
          <cell r="AA97">
            <v>16770.080000000002</v>
          </cell>
          <cell r="AB97">
            <v>16793.099999999999</v>
          </cell>
          <cell r="AC97">
            <v>17317.75</v>
          </cell>
          <cell r="AD97">
            <v>16586.439999999999</v>
          </cell>
          <cell r="AE97">
            <v>16765.650000000001</v>
          </cell>
          <cell r="AF97">
            <v>17254.689999999999</v>
          </cell>
          <cell r="AG97">
            <v>16622.64</v>
          </cell>
          <cell r="AH97">
            <v>16753.439999999999</v>
          </cell>
          <cell r="AI97">
            <v>16512.009999999998</v>
          </cell>
          <cell r="AJ97">
            <v>16777.14</v>
          </cell>
          <cell r="AK97">
            <v>16225.41</v>
          </cell>
          <cell r="AL97">
            <v>16739.63</v>
          </cell>
          <cell r="AM97">
            <v>17332.64</v>
          </cell>
          <cell r="AN97">
            <v>16901.59</v>
          </cell>
          <cell r="AO97">
            <v>17044.43</v>
          </cell>
          <cell r="AP97">
            <v>17023.560000000001</v>
          </cell>
          <cell r="AQ97">
            <v>17157.23</v>
          </cell>
          <cell r="AR97">
            <v>16654.28</v>
          </cell>
          <cell r="AS97">
            <v>17366.080000000002</v>
          </cell>
          <cell r="AT97">
            <v>16978.39</v>
          </cell>
          <cell r="AU97">
            <v>17042.63</v>
          </cell>
          <cell r="AV97">
            <v>17201.689999999999</v>
          </cell>
          <cell r="AW97">
            <v>16855.34</v>
          </cell>
          <cell r="AX97">
            <v>16192.09</v>
          </cell>
          <cell r="AY97">
            <v>16614.97</v>
          </cell>
          <cell r="AZ97">
            <v>16006.62</v>
          </cell>
          <cell r="BA97">
            <v>16006.62</v>
          </cell>
        </row>
        <row r="98">
          <cell r="A98" t="str">
            <v>V5000H30B25</v>
          </cell>
          <cell r="B98">
            <v>5000</v>
          </cell>
          <cell r="C98">
            <v>3000</v>
          </cell>
          <cell r="D98">
            <v>2500</v>
          </cell>
          <cell r="E98">
            <v>46</v>
          </cell>
          <cell r="F98">
            <v>6</v>
          </cell>
          <cell r="G98">
            <v>0</v>
          </cell>
          <cell r="H98">
            <v>300</v>
          </cell>
          <cell r="I98">
            <v>50</v>
          </cell>
          <cell r="J98">
            <v>5109.3999999999996</v>
          </cell>
          <cell r="K98" t="str">
            <v>Q-11003008</v>
          </cell>
          <cell r="L98" t="str">
            <v>\\hokukon-net2\hop\Program\01_MVPシステム_容量別組立図\.\02_余裕高0_6m\pdf\FB600_5000m3-MVP-3000-組-B2500_Q-11003008.pdf</v>
          </cell>
          <cell r="M98">
            <v>17659.560000000001</v>
          </cell>
          <cell r="N98">
            <v>17843.36</v>
          </cell>
          <cell r="O98">
            <v>17422.099999999999</v>
          </cell>
          <cell r="P98">
            <v>17428.669999999998</v>
          </cell>
          <cell r="Q98">
            <v>17755.05</v>
          </cell>
          <cell r="R98">
            <v>17613.89</v>
          </cell>
          <cell r="S98">
            <v>17575.810000000001</v>
          </cell>
          <cell r="T98">
            <v>17583.740000000002</v>
          </cell>
          <cell r="U98">
            <v>17552.57</v>
          </cell>
          <cell r="V98">
            <v>17477.599999999999</v>
          </cell>
          <cell r="W98">
            <v>17573.97</v>
          </cell>
          <cell r="X98">
            <v>17641.650000000001</v>
          </cell>
          <cell r="Y98">
            <v>17654.13</v>
          </cell>
          <cell r="Z98">
            <v>18083.28</v>
          </cell>
          <cell r="AA98">
            <v>17728.59</v>
          </cell>
          <cell r="AB98">
            <v>17748.95</v>
          </cell>
          <cell r="AC98">
            <v>18281.689999999999</v>
          </cell>
          <cell r="AD98">
            <v>17531.740000000002</v>
          </cell>
          <cell r="AE98">
            <v>17717.400000000001</v>
          </cell>
          <cell r="AF98">
            <v>18219.05</v>
          </cell>
          <cell r="AG98">
            <v>17574.8</v>
          </cell>
          <cell r="AH98">
            <v>17708.59</v>
          </cell>
          <cell r="AI98">
            <v>17463.32</v>
          </cell>
          <cell r="AJ98">
            <v>17731.34</v>
          </cell>
          <cell r="AK98">
            <v>17165.96</v>
          </cell>
          <cell r="AL98">
            <v>17689.77</v>
          </cell>
          <cell r="AM98">
            <v>18296.759999999998</v>
          </cell>
          <cell r="AN98">
            <v>17856.599999999999</v>
          </cell>
          <cell r="AO98">
            <v>18000.37</v>
          </cell>
          <cell r="AP98">
            <v>17980.63</v>
          </cell>
          <cell r="AQ98">
            <v>18117.849999999999</v>
          </cell>
          <cell r="AR98">
            <v>17597.89</v>
          </cell>
          <cell r="AS98">
            <v>18326.39</v>
          </cell>
          <cell r="AT98">
            <v>17933.650000000001</v>
          </cell>
          <cell r="AU98">
            <v>17999.95</v>
          </cell>
          <cell r="AV98">
            <v>18159.46</v>
          </cell>
          <cell r="AW98">
            <v>17805.900000000001</v>
          </cell>
          <cell r="AX98">
            <v>17130.599999999999</v>
          </cell>
          <cell r="AY98">
            <v>17559.36</v>
          </cell>
          <cell r="AZ98">
            <v>16939.23</v>
          </cell>
          <cell r="BA98">
            <v>16939.23</v>
          </cell>
        </row>
        <row r="99">
          <cell r="A99" t="str">
            <v>V5000H30B20</v>
          </cell>
          <cell r="B99">
            <v>5000</v>
          </cell>
          <cell r="C99">
            <v>3000</v>
          </cell>
          <cell r="D99">
            <v>2000</v>
          </cell>
          <cell r="E99">
            <v>44</v>
          </cell>
          <cell r="F99">
            <v>7</v>
          </cell>
          <cell r="G99">
            <v>0</v>
          </cell>
          <cell r="H99">
            <v>300</v>
          </cell>
          <cell r="I99">
            <v>50</v>
          </cell>
          <cell r="J99">
            <v>5088.8999999999996</v>
          </cell>
          <cell r="K99" t="str">
            <v>Q-11003007</v>
          </cell>
          <cell r="L99" t="str">
            <v>\\hokukon-net2\hop\Program\01_MVPシステム_容量別組立図\.\02_余裕高0_6m\pdf\FB600_5000m3-MVP-3000-組-B2000_Q-11003007.pdf</v>
          </cell>
          <cell r="M99">
            <v>18372.38</v>
          </cell>
          <cell r="N99">
            <v>18556.02</v>
          </cell>
          <cell r="O99">
            <v>18139.259999999998</v>
          </cell>
          <cell r="P99">
            <v>18145.830000000002</v>
          </cell>
          <cell r="Q99">
            <v>18466.63</v>
          </cell>
          <cell r="R99">
            <v>18325.29</v>
          </cell>
          <cell r="S99">
            <v>18284.77</v>
          </cell>
          <cell r="T99">
            <v>18292.7</v>
          </cell>
          <cell r="U99">
            <v>18275.560000000001</v>
          </cell>
          <cell r="V99">
            <v>18198.98</v>
          </cell>
          <cell r="W99">
            <v>18295.759999999998</v>
          </cell>
          <cell r="X99">
            <v>18368.25</v>
          </cell>
          <cell r="Y99">
            <v>18381.490000000002</v>
          </cell>
          <cell r="Z99">
            <v>18814.09</v>
          </cell>
          <cell r="AA99">
            <v>18461.57</v>
          </cell>
          <cell r="AB99">
            <v>18476.77</v>
          </cell>
          <cell r="AC99">
            <v>19002.36</v>
          </cell>
          <cell r="AD99">
            <v>18248.580000000002</v>
          </cell>
          <cell r="AE99">
            <v>18438.259999999998</v>
          </cell>
          <cell r="AF99">
            <v>18942</v>
          </cell>
          <cell r="AG99">
            <v>18302.28</v>
          </cell>
          <cell r="AH99">
            <v>18436.400000000001</v>
          </cell>
          <cell r="AI99">
            <v>18193.57</v>
          </cell>
          <cell r="AJ99">
            <v>18456.23</v>
          </cell>
          <cell r="AK99">
            <v>17889.84</v>
          </cell>
          <cell r="AL99">
            <v>18410.3</v>
          </cell>
          <cell r="AM99">
            <v>19017.63</v>
          </cell>
          <cell r="AN99">
            <v>18579.439999999999</v>
          </cell>
          <cell r="AO99">
            <v>18719.16</v>
          </cell>
          <cell r="AP99">
            <v>18702</v>
          </cell>
          <cell r="AQ99">
            <v>18839.86</v>
          </cell>
          <cell r="AR99">
            <v>18310.259999999998</v>
          </cell>
          <cell r="AS99">
            <v>19038.490000000002</v>
          </cell>
          <cell r="AT99">
            <v>18652.650000000001</v>
          </cell>
          <cell r="AU99">
            <v>18719.41</v>
          </cell>
          <cell r="AV99">
            <v>18874.02</v>
          </cell>
          <cell r="AW99">
            <v>18521.41</v>
          </cell>
          <cell r="AX99">
            <v>17850.87</v>
          </cell>
          <cell r="AY99">
            <v>18273.97</v>
          </cell>
          <cell r="AZ99">
            <v>17657.22</v>
          </cell>
          <cell r="BA99">
            <v>17657.22</v>
          </cell>
        </row>
        <row r="100">
          <cell r="A100" t="str">
            <v>V5000H35B30</v>
          </cell>
          <cell r="B100">
            <v>5000</v>
          </cell>
          <cell r="C100">
            <v>3500</v>
          </cell>
          <cell r="D100">
            <v>3000</v>
          </cell>
          <cell r="E100">
            <v>41</v>
          </cell>
          <cell r="F100">
            <v>5</v>
          </cell>
          <cell r="G100">
            <v>0</v>
          </cell>
          <cell r="H100">
            <v>300</v>
          </cell>
          <cell r="I100">
            <v>50</v>
          </cell>
          <cell r="J100">
            <v>5108.5</v>
          </cell>
          <cell r="K100" t="str">
            <v>Q-11003012</v>
          </cell>
          <cell r="L100" t="str">
            <v>\\hokukon-net2\hop\Program\01_MVPシステム_容量別組立図\.\02_余裕高0_6m\pdf\FB600_5000m3-MVP-3500-組-B3000_Q-11003012.pdf</v>
          </cell>
          <cell r="M100">
            <v>14924.82</v>
          </cell>
          <cell r="N100">
            <v>15078.2</v>
          </cell>
          <cell r="O100">
            <v>14727.95</v>
          </cell>
          <cell r="P100">
            <v>14733.42</v>
          </cell>
          <cell r="Q100">
            <v>15004.6</v>
          </cell>
          <cell r="R100">
            <v>14887.71</v>
          </cell>
          <cell r="S100">
            <v>14856.5</v>
          </cell>
          <cell r="T100">
            <v>14863.07</v>
          </cell>
          <cell r="U100">
            <v>14836.13</v>
          </cell>
          <cell r="V100">
            <v>14774.28</v>
          </cell>
          <cell r="W100">
            <v>14853.4</v>
          </cell>
          <cell r="X100">
            <v>14909.14</v>
          </cell>
          <cell r="Y100">
            <v>14919.44</v>
          </cell>
          <cell r="Z100">
            <v>15274.49</v>
          </cell>
          <cell r="AA100">
            <v>14979.3</v>
          </cell>
          <cell r="AB100">
            <v>14997.39</v>
          </cell>
          <cell r="AC100">
            <v>15439.43</v>
          </cell>
          <cell r="AD100">
            <v>14816.81</v>
          </cell>
          <cell r="AE100">
            <v>14970.28</v>
          </cell>
          <cell r="AF100">
            <v>15385.82</v>
          </cell>
          <cell r="AG100">
            <v>14851.62</v>
          </cell>
          <cell r="AH100">
            <v>14963.3</v>
          </cell>
          <cell r="AI100">
            <v>14758.86</v>
          </cell>
          <cell r="AJ100">
            <v>14981.95</v>
          </cell>
          <cell r="AK100">
            <v>14514.03</v>
          </cell>
          <cell r="AL100">
            <v>14949.67</v>
          </cell>
          <cell r="AM100">
            <v>15452.78</v>
          </cell>
          <cell r="AN100">
            <v>15088.34</v>
          </cell>
          <cell r="AO100">
            <v>15208.01</v>
          </cell>
          <cell r="AP100">
            <v>15191.33</v>
          </cell>
          <cell r="AQ100">
            <v>15304.85</v>
          </cell>
          <cell r="AR100">
            <v>14874.1</v>
          </cell>
          <cell r="AS100">
            <v>15477.32</v>
          </cell>
          <cell r="AT100">
            <v>15150.81</v>
          </cell>
          <cell r="AU100">
            <v>15205.13</v>
          </cell>
          <cell r="AV100">
            <v>15338.86</v>
          </cell>
          <cell r="AW100">
            <v>15044.86</v>
          </cell>
          <cell r="AX100">
            <v>14483.18</v>
          </cell>
          <cell r="AY100">
            <v>14840.67</v>
          </cell>
          <cell r="AZ100">
            <v>14325.27</v>
          </cell>
          <cell r="BA100">
            <v>14325.27</v>
          </cell>
        </row>
        <row r="101">
          <cell r="A101" t="str">
            <v>V5000H35B25</v>
          </cell>
          <cell r="B101">
            <v>5000</v>
          </cell>
          <cell r="C101">
            <v>3500</v>
          </cell>
          <cell r="D101">
            <v>2500</v>
          </cell>
          <cell r="E101">
            <v>38</v>
          </cell>
          <cell r="F101">
            <v>6</v>
          </cell>
          <cell r="G101">
            <v>0</v>
          </cell>
          <cell r="H101">
            <v>300</v>
          </cell>
          <cell r="I101">
            <v>50</v>
          </cell>
          <cell r="J101">
            <v>5116.6000000000004</v>
          </cell>
          <cell r="K101" t="str">
            <v>Q-11003011</v>
          </cell>
          <cell r="L101" t="str">
            <v>\\hokukon-net2\hop\Program\01_MVPシステム_容量別組立図\.\02_余裕高0_6m\pdf\FB600_5000m3-MVP-3500-組-B2500_Q-11003011.pdf</v>
          </cell>
          <cell r="M101">
            <v>15524.38</v>
          </cell>
          <cell r="N101">
            <v>15678.54</v>
          </cell>
          <cell r="O101">
            <v>15330.01</v>
          </cell>
          <cell r="P101">
            <v>15335.49</v>
          </cell>
          <cell r="Q101">
            <v>15603.69</v>
          </cell>
          <cell r="R101">
            <v>15486.04</v>
          </cell>
          <cell r="S101">
            <v>15452.85</v>
          </cell>
          <cell r="T101">
            <v>15459.45</v>
          </cell>
          <cell r="U101">
            <v>15443.14</v>
          </cell>
          <cell r="V101">
            <v>15379.81</v>
          </cell>
          <cell r="W101">
            <v>15459.43</v>
          </cell>
          <cell r="X101">
            <v>15519.15</v>
          </cell>
          <cell r="Y101">
            <v>15530.09</v>
          </cell>
          <cell r="Z101">
            <v>15889.32</v>
          </cell>
          <cell r="AA101">
            <v>15594.33</v>
          </cell>
          <cell r="AB101">
            <v>15608.67</v>
          </cell>
          <cell r="AC101">
            <v>16047.19</v>
          </cell>
          <cell r="AD101">
            <v>15418.6</v>
          </cell>
          <cell r="AE101">
            <v>15575.86</v>
          </cell>
          <cell r="AF101">
            <v>15994.87</v>
          </cell>
          <cell r="AG101">
            <v>15461.74</v>
          </cell>
          <cell r="AH101">
            <v>15574.29</v>
          </cell>
          <cell r="AI101">
            <v>15370.64</v>
          </cell>
          <cell r="AJ101">
            <v>15590.7</v>
          </cell>
          <cell r="AK101">
            <v>15119.97</v>
          </cell>
          <cell r="AL101">
            <v>15555.24</v>
          </cell>
          <cell r="AM101">
            <v>16060.87</v>
          </cell>
          <cell r="AN101">
            <v>15696.4</v>
          </cell>
          <cell r="AO101">
            <v>15813.56</v>
          </cell>
          <cell r="AP101">
            <v>15798.74</v>
          </cell>
          <cell r="AQ101">
            <v>15913.23</v>
          </cell>
          <cell r="AR101">
            <v>15473</v>
          </cell>
          <cell r="AS101">
            <v>16078.66</v>
          </cell>
          <cell r="AT101">
            <v>15755.91</v>
          </cell>
          <cell r="AU101">
            <v>15810.73</v>
          </cell>
          <cell r="AV101">
            <v>15941.49</v>
          </cell>
          <cell r="AW101">
            <v>15646.79</v>
          </cell>
          <cell r="AX101">
            <v>15085.94</v>
          </cell>
          <cell r="AY101">
            <v>15441.01</v>
          </cell>
          <cell r="AZ101">
            <v>14925.66</v>
          </cell>
          <cell r="BA101">
            <v>14925.66</v>
          </cell>
        </row>
        <row r="102">
          <cell r="A102" t="str">
            <v>V5000H35B20</v>
          </cell>
          <cell r="B102">
            <v>5000</v>
          </cell>
          <cell r="C102">
            <v>3500</v>
          </cell>
          <cell r="D102">
            <v>2000</v>
          </cell>
          <cell r="E102">
            <v>42</v>
          </cell>
          <cell r="F102">
            <v>6</v>
          </cell>
          <cell r="G102">
            <v>0</v>
          </cell>
          <cell r="H102">
            <v>300</v>
          </cell>
          <cell r="I102">
            <v>50</v>
          </cell>
          <cell r="J102">
            <v>5089.6000000000004</v>
          </cell>
          <cell r="K102" t="str">
            <v>Q-11003010</v>
          </cell>
          <cell r="L102" t="str">
            <v>\\hokukon-net2\hop\Program\01_MVPシステム_容量別組立図\.\02_余裕高0_6m\pdf\FB600_5000m3-MVP-3500-組-B2000_Q-11003010.pdf</v>
          </cell>
          <cell r="M102">
            <v>16144.32</v>
          </cell>
          <cell r="N102">
            <v>16298.04</v>
          </cell>
          <cell r="O102">
            <v>15952.67</v>
          </cell>
          <cell r="P102">
            <v>15958.13</v>
          </cell>
          <cell r="Q102">
            <v>16222.55</v>
          </cell>
          <cell r="R102">
            <v>16104.99</v>
          </cell>
          <cell r="S102">
            <v>16070.23</v>
          </cell>
          <cell r="T102">
            <v>16076.8</v>
          </cell>
          <cell r="U102">
            <v>16069.28</v>
          </cell>
          <cell r="V102">
            <v>16004.9</v>
          </cell>
          <cell r="W102">
            <v>16085.13</v>
          </cell>
          <cell r="X102">
            <v>16147.77</v>
          </cell>
          <cell r="Y102">
            <v>16159.06</v>
          </cell>
          <cell r="Z102">
            <v>16520.5</v>
          </cell>
          <cell r="AA102">
            <v>16227.2</v>
          </cell>
          <cell r="AB102">
            <v>16238.15</v>
          </cell>
          <cell r="AC102">
            <v>16672.04</v>
          </cell>
          <cell r="AD102">
            <v>16041.59</v>
          </cell>
          <cell r="AE102">
            <v>16201.31</v>
          </cell>
          <cell r="AF102">
            <v>16621.560000000001</v>
          </cell>
          <cell r="AG102">
            <v>16091.35</v>
          </cell>
          <cell r="AH102">
            <v>16203.95</v>
          </cell>
          <cell r="AI102">
            <v>16002.13</v>
          </cell>
          <cell r="AJ102">
            <v>16218.65</v>
          </cell>
          <cell r="AK102">
            <v>15747.22</v>
          </cell>
          <cell r="AL102">
            <v>16179.96</v>
          </cell>
          <cell r="AM102">
            <v>16685.669999999998</v>
          </cell>
          <cell r="AN102">
            <v>16322.34</v>
          </cell>
          <cell r="AO102">
            <v>16436.900000000001</v>
          </cell>
          <cell r="AP102">
            <v>16423.82</v>
          </cell>
          <cell r="AQ102">
            <v>16538.75</v>
          </cell>
          <cell r="AR102">
            <v>16092.69</v>
          </cell>
          <cell r="AS102">
            <v>16698.259999999998</v>
          </cell>
          <cell r="AT102">
            <v>16379.94</v>
          </cell>
          <cell r="AU102">
            <v>16435.2</v>
          </cell>
          <cell r="AV102">
            <v>16562.55</v>
          </cell>
          <cell r="AW102">
            <v>16268.72</v>
          </cell>
          <cell r="AX102">
            <v>15711.5</v>
          </cell>
          <cell r="AY102">
            <v>16062.37</v>
          </cell>
          <cell r="AZ102">
            <v>15549.58</v>
          </cell>
          <cell r="BA102">
            <v>15549.58</v>
          </cell>
        </row>
        <row r="103">
          <cell r="A103" t="str">
            <v>V5000H40B30</v>
          </cell>
          <cell r="B103">
            <v>5000</v>
          </cell>
          <cell r="C103">
            <v>4000</v>
          </cell>
          <cell r="D103">
            <v>3000</v>
          </cell>
          <cell r="E103">
            <v>29</v>
          </cell>
          <cell r="F103">
            <v>6</v>
          </cell>
          <cell r="G103">
            <v>0</v>
          </cell>
          <cell r="H103">
            <v>350</v>
          </cell>
          <cell r="I103">
            <v>70</v>
          </cell>
          <cell r="J103">
            <v>5099.5</v>
          </cell>
          <cell r="K103" t="str">
            <v>Q-11003015</v>
          </cell>
          <cell r="L103" t="str">
            <v>\\hokukon-net2\hop\Program\01_MVPシステム_容量別組立図\.\02_余裕高0_6m\pdf\FB600_5000m3-MVP-4000-組-B3000_Q-11003015.pdf</v>
          </cell>
          <cell r="M103">
            <v>15174.47</v>
          </cell>
          <cell r="N103">
            <v>15323.18</v>
          </cell>
          <cell r="O103">
            <v>14994.88</v>
          </cell>
          <cell r="P103">
            <v>14999.91</v>
          </cell>
          <cell r="Q103">
            <v>15251.09</v>
          </cell>
          <cell r="R103">
            <v>15141.69</v>
          </cell>
          <cell r="S103">
            <v>15110.89</v>
          </cell>
          <cell r="T103">
            <v>15116.96</v>
          </cell>
          <cell r="U103">
            <v>15089.55</v>
          </cell>
          <cell r="V103">
            <v>15033.35</v>
          </cell>
          <cell r="W103">
            <v>15105.5</v>
          </cell>
          <cell r="X103">
            <v>15155.84</v>
          </cell>
          <cell r="Y103">
            <v>15162.82</v>
          </cell>
          <cell r="Z103">
            <v>15494.72</v>
          </cell>
          <cell r="AA103">
            <v>15218.99</v>
          </cell>
          <cell r="AB103">
            <v>15238.28</v>
          </cell>
          <cell r="AC103">
            <v>15648.36</v>
          </cell>
          <cell r="AD103">
            <v>15054.36</v>
          </cell>
          <cell r="AE103">
            <v>15202.54</v>
          </cell>
          <cell r="AF103">
            <v>15588.8</v>
          </cell>
          <cell r="AG103">
            <v>15081.48</v>
          </cell>
          <cell r="AH103">
            <v>15189.5</v>
          </cell>
          <cell r="AI103">
            <v>14998.3</v>
          </cell>
          <cell r="AJ103">
            <v>15202.85</v>
          </cell>
          <cell r="AK103">
            <v>14798.13</v>
          </cell>
          <cell r="AL103">
            <v>15210.26</v>
          </cell>
          <cell r="AM103">
            <v>15678.02</v>
          </cell>
          <cell r="AN103">
            <v>15338.98</v>
          </cell>
          <cell r="AO103">
            <v>15451.4</v>
          </cell>
          <cell r="AP103">
            <v>15436.18</v>
          </cell>
          <cell r="AQ103">
            <v>15543.93</v>
          </cell>
          <cell r="AR103">
            <v>15108.79</v>
          </cell>
          <cell r="AS103">
            <v>15671.25</v>
          </cell>
          <cell r="AT103">
            <v>15371.4</v>
          </cell>
          <cell r="AU103">
            <v>15420.89</v>
          </cell>
          <cell r="AV103">
            <v>15542.53</v>
          </cell>
          <cell r="AW103">
            <v>15264.68</v>
          </cell>
          <cell r="AX103">
            <v>14735.39</v>
          </cell>
          <cell r="AY103">
            <v>15071.52</v>
          </cell>
          <cell r="AZ103">
            <v>14587.19</v>
          </cell>
          <cell r="BA103">
            <v>14587.19</v>
          </cell>
        </row>
        <row r="104">
          <cell r="A104" t="str">
            <v>V5000H40B25</v>
          </cell>
          <cell r="B104">
            <v>5000</v>
          </cell>
          <cell r="C104">
            <v>4000</v>
          </cell>
          <cell r="D104">
            <v>2500</v>
          </cell>
          <cell r="E104">
            <v>32</v>
          </cell>
          <cell r="F104">
            <v>6</v>
          </cell>
          <cell r="G104">
            <v>0</v>
          </cell>
          <cell r="H104">
            <v>350</v>
          </cell>
          <cell r="I104">
            <v>70</v>
          </cell>
          <cell r="J104">
            <v>5115.8999999999996</v>
          </cell>
          <cell r="K104" t="str">
            <v>Q-11003014</v>
          </cell>
          <cell r="L104" t="str">
            <v>\\hokukon-net2\hop\Program\01_MVPシステム_容量別組立図\.\02_余裕高0_6m\pdf\FB600_5000m3-MVP-4000-組-B2500_Q-11003014.pdf</v>
          </cell>
          <cell r="M104">
            <v>15875.64</v>
          </cell>
          <cell r="N104">
            <v>16025.37</v>
          </cell>
          <cell r="O104">
            <v>15696.84</v>
          </cell>
          <cell r="P104">
            <v>15701.89</v>
          </cell>
          <cell r="Q104">
            <v>15952.13</v>
          </cell>
          <cell r="R104">
            <v>15841.9</v>
          </cell>
          <cell r="S104">
            <v>15809.7</v>
          </cell>
          <cell r="T104">
            <v>15815.82</v>
          </cell>
          <cell r="U104">
            <v>15794.29</v>
          </cell>
          <cell r="V104">
            <v>15736.89</v>
          </cell>
          <cell r="W104">
            <v>15810.06</v>
          </cell>
          <cell r="X104">
            <v>15862.91</v>
          </cell>
          <cell r="Y104">
            <v>15870.25</v>
          </cell>
          <cell r="Z104">
            <v>16206.25</v>
          </cell>
          <cell r="AA104">
            <v>15929.82</v>
          </cell>
          <cell r="AB104">
            <v>15946.66</v>
          </cell>
          <cell r="AC104">
            <v>16356.14</v>
          </cell>
          <cell r="AD104">
            <v>15755.66</v>
          </cell>
          <cell r="AE104">
            <v>15906.9</v>
          </cell>
          <cell r="AF104">
            <v>16296.7</v>
          </cell>
          <cell r="AG104">
            <v>15787.44</v>
          </cell>
          <cell r="AH104">
            <v>15896.28</v>
          </cell>
          <cell r="AI104">
            <v>15705.19</v>
          </cell>
          <cell r="AJ104">
            <v>15908.34</v>
          </cell>
          <cell r="AK104">
            <v>15502.77</v>
          </cell>
          <cell r="AL104">
            <v>15915.97</v>
          </cell>
          <cell r="AM104">
            <v>16387.03</v>
          </cell>
          <cell r="AN104">
            <v>16046.45</v>
          </cell>
          <cell r="AO104">
            <v>16157.72</v>
          </cell>
          <cell r="AP104">
            <v>16143.74</v>
          </cell>
          <cell r="AQ104">
            <v>16252.66</v>
          </cell>
          <cell r="AR104">
            <v>15807.99</v>
          </cell>
          <cell r="AS104">
            <v>16374.43</v>
          </cell>
          <cell r="AT104">
            <v>16075.56</v>
          </cell>
          <cell r="AU104">
            <v>16126</v>
          </cell>
          <cell r="AV104">
            <v>16245.72</v>
          </cell>
          <cell r="AW104">
            <v>15966.03</v>
          </cell>
          <cell r="AX104">
            <v>15435.64</v>
          </cell>
          <cell r="AY104">
            <v>15771</v>
          </cell>
          <cell r="AZ104">
            <v>15285.06</v>
          </cell>
          <cell r="BA104">
            <v>15285.06</v>
          </cell>
        </row>
        <row r="105">
          <cell r="A105" t="str">
            <v>V5000H40B20</v>
          </cell>
          <cell r="B105">
            <v>5000</v>
          </cell>
          <cell r="C105">
            <v>4000</v>
          </cell>
          <cell r="D105">
            <v>2000</v>
          </cell>
          <cell r="E105">
            <v>35</v>
          </cell>
          <cell r="F105">
            <v>6</v>
          </cell>
          <cell r="G105">
            <v>0</v>
          </cell>
          <cell r="H105">
            <v>350</v>
          </cell>
          <cell r="I105">
            <v>70</v>
          </cell>
          <cell r="J105">
            <v>5040.6000000000004</v>
          </cell>
          <cell r="K105" t="str">
            <v>Q-11003013</v>
          </cell>
          <cell r="L105" t="str">
            <v>\\hokukon-net2\hop\Program\01_MVPシステム_容量別組立図\.\02_余裕高0_6m\pdf\FB600_5000m3-MVP-4000-組-B2000_Q-11003013.pdf</v>
          </cell>
          <cell r="M105">
            <v>16443.669999999998</v>
          </cell>
          <cell r="N105">
            <v>16591.95</v>
          </cell>
          <cell r="O105">
            <v>16268.9</v>
          </cell>
          <cell r="P105">
            <v>16273.92</v>
          </cell>
          <cell r="Q105">
            <v>16518.66</v>
          </cell>
          <cell r="R105">
            <v>16409.439999999999</v>
          </cell>
          <cell r="S105">
            <v>16376.15</v>
          </cell>
          <cell r="T105">
            <v>16382.2</v>
          </cell>
          <cell r="U105">
            <v>16368.21</v>
          </cell>
          <cell r="V105">
            <v>16310.45</v>
          </cell>
          <cell r="W105">
            <v>16383.39</v>
          </cell>
          <cell r="X105">
            <v>16438.330000000002</v>
          </cell>
          <cell r="Y105">
            <v>16446</v>
          </cell>
          <cell r="Z105">
            <v>16780.97</v>
          </cell>
          <cell r="AA105">
            <v>16508.400000000001</v>
          </cell>
          <cell r="AB105">
            <v>16522.2</v>
          </cell>
          <cell r="AC105">
            <v>16923.73</v>
          </cell>
          <cell r="AD105">
            <v>16325.94</v>
          </cell>
          <cell r="AE105">
            <v>16478.03</v>
          </cell>
          <cell r="AF105">
            <v>16865.29</v>
          </cell>
          <cell r="AG105">
            <v>16362.71</v>
          </cell>
          <cell r="AH105">
            <v>16470.7</v>
          </cell>
          <cell r="AI105">
            <v>16282.97</v>
          </cell>
          <cell r="AJ105">
            <v>16481.080000000002</v>
          </cell>
          <cell r="AK105">
            <v>16081.31</v>
          </cell>
          <cell r="AL105">
            <v>16488.71</v>
          </cell>
          <cell r="AM105">
            <v>16955.53</v>
          </cell>
          <cell r="AN105">
            <v>16619.07</v>
          </cell>
          <cell r="AO105">
            <v>16727.07</v>
          </cell>
          <cell r="AP105">
            <v>16714.84</v>
          </cell>
          <cell r="AQ105">
            <v>16823.18</v>
          </cell>
          <cell r="AR105">
            <v>16375.03</v>
          </cell>
          <cell r="AS105">
            <v>16936.23</v>
          </cell>
          <cell r="AT105">
            <v>16643.669999999998</v>
          </cell>
          <cell r="AU105">
            <v>16694.21</v>
          </cell>
          <cell r="AV105">
            <v>16809.78</v>
          </cell>
          <cell r="AW105">
            <v>16532.68</v>
          </cell>
          <cell r="AX105">
            <v>16010.17</v>
          </cell>
          <cell r="AY105">
            <v>16338.88</v>
          </cell>
          <cell r="AZ105">
            <v>15859.36</v>
          </cell>
          <cell r="BA105">
            <v>15859.36</v>
          </cell>
        </row>
        <row r="106">
          <cell r="A106" t="str">
            <v>V5000H45B30</v>
          </cell>
          <cell r="B106">
            <v>5000</v>
          </cell>
          <cell r="C106">
            <v>4500</v>
          </cell>
          <cell r="D106">
            <v>3000</v>
          </cell>
          <cell r="E106">
            <v>30</v>
          </cell>
          <cell r="F106">
            <v>5</v>
          </cell>
          <cell r="G106">
            <v>0</v>
          </cell>
          <cell r="H106">
            <v>350</v>
          </cell>
          <cell r="I106">
            <v>70</v>
          </cell>
          <cell r="J106">
            <v>5099.8999999999996</v>
          </cell>
          <cell r="K106" t="str">
            <v>Q-11003018</v>
          </cell>
          <cell r="L106" t="str">
            <v>\\hokukon-net2\hop\Program\01_MVPシステム_容量別組立図\.\02_余裕高0_6m\pdf\FB600_5000m3-MVP-4500-組-B3000_Q-11003018.pdf</v>
          </cell>
          <cell r="M106">
            <v>14077.35</v>
          </cell>
          <cell r="N106">
            <v>14206.61</v>
          </cell>
          <cell r="O106">
            <v>13921.29</v>
          </cell>
          <cell r="P106">
            <v>13925.69</v>
          </cell>
          <cell r="Q106">
            <v>14142.99</v>
          </cell>
          <cell r="R106">
            <v>14045.9</v>
          </cell>
          <cell r="S106">
            <v>14016.97</v>
          </cell>
          <cell r="T106">
            <v>14022.3</v>
          </cell>
          <cell r="U106">
            <v>14007.37</v>
          </cell>
          <cell r="V106">
            <v>13957.84</v>
          </cell>
          <cell r="W106">
            <v>14022.11</v>
          </cell>
          <cell r="X106">
            <v>14068.94</v>
          </cell>
          <cell r="Y106">
            <v>14075.17</v>
          </cell>
          <cell r="Z106">
            <v>14369.34</v>
          </cell>
          <cell r="AA106">
            <v>14127.82</v>
          </cell>
          <cell r="AB106">
            <v>14142.53</v>
          </cell>
          <cell r="AC106">
            <v>14497.02</v>
          </cell>
          <cell r="AD106">
            <v>13972.27</v>
          </cell>
          <cell r="AE106">
            <v>14104.46</v>
          </cell>
          <cell r="AF106">
            <v>14445.93</v>
          </cell>
          <cell r="AG106">
            <v>14002.84</v>
          </cell>
          <cell r="AH106">
            <v>14096.55</v>
          </cell>
          <cell r="AI106">
            <v>13930.67</v>
          </cell>
          <cell r="AJ106">
            <v>14107.38</v>
          </cell>
          <cell r="AK106">
            <v>13754.46</v>
          </cell>
          <cell r="AL106">
            <v>14112.45</v>
          </cell>
          <cell r="AM106">
            <v>14523.65</v>
          </cell>
          <cell r="AN106">
            <v>14228.67</v>
          </cell>
          <cell r="AO106">
            <v>14324.97</v>
          </cell>
          <cell r="AP106">
            <v>14312.22</v>
          </cell>
          <cell r="AQ106">
            <v>14408.03</v>
          </cell>
          <cell r="AR106">
            <v>14015.73</v>
          </cell>
          <cell r="AS106">
            <v>14509.42</v>
          </cell>
          <cell r="AT106">
            <v>14251</v>
          </cell>
          <cell r="AU106">
            <v>14294.17</v>
          </cell>
          <cell r="AV106">
            <v>14398.64</v>
          </cell>
          <cell r="AW106">
            <v>14155.07</v>
          </cell>
          <cell r="AX106">
            <v>13693.39</v>
          </cell>
          <cell r="AY106">
            <v>13984.16</v>
          </cell>
          <cell r="AZ106">
            <v>13561.74</v>
          </cell>
          <cell r="BA106">
            <v>13561.74</v>
          </cell>
        </row>
        <row r="107">
          <cell r="A107" t="str">
            <v>V5000H45B25</v>
          </cell>
          <cell r="B107">
            <v>5000</v>
          </cell>
          <cell r="C107">
            <v>4500</v>
          </cell>
          <cell r="D107">
            <v>2500</v>
          </cell>
          <cell r="E107">
            <v>28</v>
          </cell>
          <cell r="F107">
            <v>6</v>
          </cell>
          <cell r="G107">
            <v>0</v>
          </cell>
          <cell r="H107">
            <v>350</v>
          </cell>
          <cell r="I107">
            <v>70</v>
          </cell>
          <cell r="J107">
            <v>5150.1000000000004</v>
          </cell>
          <cell r="K107" t="str">
            <v>Q-11003017</v>
          </cell>
          <cell r="L107" t="str">
            <v>\\hokukon-net2\hop\Program\01_MVPシステム_容量別組立図\.\02_余裕高0_6m\pdf\FB600_5000m3-MVP-4500-組-B2500_Q-11003017.pdf</v>
          </cell>
          <cell r="M107">
            <v>14845.99</v>
          </cell>
          <cell r="N107">
            <v>14977.59</v>
          </cell>
          <cell r="O107">
            <v>14691.08</v>
          </cell>
          <cell r="P107">
            <v>14695.53</v>
          </cell>
          <cell r="Q107">
            <v>14912</v>
          </cell>
          <cell r="R107">
            <v>14813.26</v>
          </cell>
          <cell r="S107">
            <v>14782.32</v>
          </cell>
          <cell r="T107">
            <v>14787.7</v>
          </cell>
          <cell r="U107">
            <v>14782.11</v>
          </cell>
          <cell r="V107">
            <v>14730.82</v>
          </cell>
          <cell r="W107">
            <v>14795.96</v>
          </cell>
          <cell r="X107">
            <v>14846.83</v>
          </cell>
          <cell r="Y107">
            <v>14853.72</v>
          </cell>
          <cell r="Z107">
            <v>15154.2</v>
          </cell>
          <cell r="AA107">
            <v>14910.62</v>
          </cell>
          <cell r="AB107">
            <v>14922.15</v>
          </cell>
          <cell r="AC107">
            <v>15276.21</v>
          </cell>
          <cell r="AD107">
            <v>14740.21</v>
          </cell>
          <cell r="AE107">
            <v>14877.25</v>
          </cell>
          <cell r="AF107">
            <v>15224.65</v>
          </cell>
          <cell r="AG107">
            <v>14778.41</v>
          </cell>
          <cell r="AH107">
            <v>14873.91</v>
          </cell>
          <cell r="AI107">
            <v>14707.2</v>
          </cell>
          <cell r="AJ107">
            <v>14882.6</v>
          </cell>
          <cell r="AK107">
            <v>14526.73</v>
          </cell>
          <cell r="AL107">
            <v>14887.8</v>
          </cell>
          <cell r="AM107">
            <v>15304.75</v>
          </cell>
          <cell r="AN107">
            <v>15007.27</v>
          </cell>
          <cell r="AO107">
            <v>15102.23</v>
          </cell>
          <cell r="AP107">
            <v>15091.16</v>
          </cell>
          <cell r="AQ107">
            <v>15188.65</v>
          </cell>
          <cell r="AR107">
            <v>14781.82</v>
          </cell>
          <cell r="AS107">
            <v>15281.92</v>
          </cell>
          <cell r="AT107">
            <v>15024.52</v>
          </cell>
          <cell r="AU107">
            <v>15068.52</v>
          </cell>
          <cell r="AV107">
            <v>15171.23</v>
          </cell>
          <cell r="AW107">
            <v>14924.27</v>
          </cell>
          <cell r="AX107">
            <v>14459.08</v>
          </cell>
          <cell r="AY107">
            <v>14750.38</v>
          </cell>
          <cell r="AZ107">
            <v>14323.98</v>
          </cell>
          <cell r="BA107">
            <v>14323.98</v>
          </cell>
        </row>
        <row r="108">
          <cell r="A108" t="str">
            <v>V5000H45B20</v>
          </cell>
          <cell r="B108">
            <v>5000</v>
          </cell>
          <cell r="C108">
            <v>4500</v>
          </cell>
          <cell r="D108">
            <v>2000</v>
          </cell>
          <cell r="E108">
            <v>31</v>
          </cell>
          <cell r="F108">
            <v>6</v>
          </cell>
          <cell r="G108">
            <v>0</v>
          </cell>
          <cell r="H108">
            <v>350</v>
          </cell>
          <cell r="I108">
            <v>70</v>
          </cell>
          <cell r="J108">
            <v>5134</v>
          </cell>
          <cell r="K108" t="str">
            <v>Q-11003016</v>
          </cell>
          <cell r="L108" t="str">
            <v>\\hokukon-net2\hop\Program\01_MVPシステム_容量別組立図\.\02_余裕高0_6m\pdf\FB600_5000m3-MVP-4500-組-B2000_Q-11003016.pdf</v>
          </cell>
          <cell r="M108">
            <v>15556.93</v>
          </cell>
          <cell r="N108">
            <v>15688.62</v>
          </cell>
          <cell r="O108">
            <v>15403.97</v>
          </cell>
          <cell r="P108">
            <v>15408.43</v>
          </cell>
          <cell r="Q108">
            <v>15622.2</v>
          </cell>
          <cell r="R108">
            <v>15523.05</v>
          </cell>
          <cell r="S108">
            <v>15490.64</v>
          </cell>
          <cell r="T108">
            <v>15496.01</v>
          </cell>
          <cell r="U108">
            <v>15497.71</v>
          </cell>
          <cell r="V108">
            <v>15445.48</v>
          </cell>
          <cell r="W108">
            <v>15511.39</v>
          </cell>
          <cell r="X108">
            <v>15564.9</v>
          </cell>
          <cell r="Y108">
            <v>15572.14</v>
          </cell>
          <cell r="Z108">
            <v>15875.41</v>
          </cell>
          <cell r="AA108">
            <v>15632.68</v>
          </cell>
          <cell r="AB108">
            <v>15641.27</v>
          </cell>
          <cell r="AC108">
            <v>15991.89</v>
          </cell>
          <cell r="AD108">
            <v>15451.99</v>
          </cell>
          <cell r="AE108">
            <v>15591.64</v>
          </cell>
          <cell r="AF108">
            <v>15940.91</v>
          </cell>
          <cell r="AG108">
            <v>15495.66</v>
          </cell>
          <cell r="AH108">
            <v>15591.28</v>
          </cell>
          <cell r="AI108">
            <v>15425.94</v>
          </cell>
          <cell r="AJ108">
            <v>15598.45</v>
          </cell>
          <cell r="AK108">
            <v>15244.15</v>
          </cell>
          <cell r="AL108">
            <v>15603.7</v>
          </cell>
          <cell r="AM108">
            <v>16021.59</v>
          </cell>
          <cell r="AN108">
            <v>15724.65</v>
          </cell>
          <cell r="AO108">
            <v>15817.51</v>
          </cell>
          <cell r="AP108">
            <v>15807.89</v>
          </cell>
          <cell r="AQ108">
            <v>15906.18</v>
          </cell>
          <cell r="AR108">
            <v>15490.6</v>
          </cell>
          <cell r="AS108">
            <v>15991.8</v>
          </cell>
          <cell r="AT108">
            <v>15737.6</v>
          </cell>
          <cell r="AU108">
            <v>15782.3</v>
          </cell>
          <cell r="AV108">
            <v>15882.08</v>
          </cell>
          <cell r="AW108">
            <v>15634.71</v>
          </cell>
          <cell r="AX108">
            <v>15171.6</v>
          </cell>
          <cell r="AY108">
            <v>15459.81</v>
          </cell>
          <cell r="AZ108">
            <v>15034.63</v>
          </cell>
          <cell r="BA108">
            <v>15034.63</v>
          </cell>
        </row>
      </sheetData>
      <sheetData sheetId="6" refreshError="1"/>
      <sheetData sheetId="7" refreshError="1">
        <row r="4">
          <cell r="H4" t="str">
            <v>H2500</v>
          </cell>
        </row>
        <row r="6">
          <cell r="AE6">
            <v>0.3</v>
          </cell>
        </row>
        <row r="7">
          <cell r="T7">
            <v>56403.02</v>
          </cell>
        </row>
        <row r="13">
          <cell r="AC13" t="str">
            <v>-</v>
          </cell>
        </row>
        <row r="14">
          <cell r="AC14" t="str">
            <v>名古屋営業所</v>
          </cell>
        </row>
        <row r="15">
          <cell r="AC15" t="str">
            <v>寺下</v>
          </cell>
        </row>
        <row r="34">
          <cell r="P34" t="str">
            <v>中部</v>
          </cell>
        </row>
        <row r="35">
          <cell r="F35" t="str">
            <v>ラフテレーン</v>
          </cell>
          <cell r="J35">
            <v>50</v>
          </cell>
        </row>
        <row r="36">
          <cell r="F36" t="str">
            <v>トラック</v>
          </cell>
          <cell r="J36">
            <v>4.9000000000000004</v>
          </cell>
        </row>
      </sheetData>
      <sheetData sheetId="8" refreshError="1"/>
      <sheetData sheetId="9" refreshError="1">
        <row r="3">
          <cell r="B3" t="str">
            <v>型枠工(一般)</v>
          </cell>
          <cell r="C3" t="str">
            <v>型枠工(基礎)</v>
          </cell>
          <cell r="D3" t="str">
            <v>基礎砕石</v>
          </cell>
          <cell r="E3" t="str">
            <v>鉄筋工(加工組立)</v>
          </cell>
          <cell r="H3" t="str">
            <v>なし</v>
          </cell>
          <cell r="I3" t="str">
            <v>35超え80t吊以下</v>
          </cell>
          <cell r="J3" t="str">
            <v>80越え150t吊以下</v>
          </cell>
          <cell r="K3" t="str">
            <v>150越え300t吊以下</v>
          </cell>
          <cell r="N3" t="str">
            <v>なし</v>
          </cell>
          <cell r="O3" t="str">
            <v>80t以上120t以下</v>
          </cell>
          <cell r="P3" t="str">
            <v>120t越え160t以下</v>
          </cell>
          <cell r="Q3" t="str">
            <v>160t越え360t以下</v>
          </cell>
          <cell r="T3" t="str">
            <v>なし</v>
          </cell>
          <cell r="U3" t="str">
            <v>35超え80t吊以下</v>
          </cell>
          <cell r="V3" t="str">
            <v>80越え150t吊以下</v>
          </cell>
          <cell r="W3" t="str">
            <v>150越え300t吊以下</v>
          </cell>
          <cell r="Z3" t="str">
            <v>なし</v>
          </cell>
          <cell r="AA3" t="str">
            <v>80t以上120t以下</v>
          </cell>
          <cell r="AB3" t="str">
            <v>120t越え160t以下</v>
          </cell>
          <cell r="AC3" t="str">
            <v>160t越え360t以下</v>
          </cell>
        </row>
        <row r="4">
          <cell r="B4">
            <v>8324</v>
          </cell>
          <cell r="C4">
            <v>4327</v>
          </cell>
          <cell r="D4">
            <v>1239</v>
          </cell>
          <cell r="E4">
            <v>64000</v>
          </cell>
          <cell r="H4">
            <v>0</v>
          </cell>
          <cell r="I4">
            <v>237200</v>
          </cell>
          <cell r="J4">
            <v>586200</v>
          </cell>
          <cell r="K4">
            <v>1070000</v>
          </cell>
          <cell r="N4">
            <v>0</v>
          </cell>
          <cell r="O4">
            <v>428800</v>
          </cell>
          <cell r="P4">
            <v>563100</v>
          </cell>
          <cell r="Q4">
            <v>1154000</v>
          </cell>
          <cell r="T4">
            <v>0</v>
          </cell>
          <cell r="U4">
            <v>735400</v>
          </cell>
          <cell r="V4">
            <v>1451000</v>
          </cell>
          <cell r="W4">
            <v>2640000</v>
          </cell>
          <cell r="Z4">
            <v>0</v>
          </cell>
          <cell r="AA4">
            <v>955800</v>
          </cell>
          <cell r="AB4">
            <v>1279000</v>
          </cell>
          <cell r="AC4">
            <v>2596000</v>
          </cell>
        </row>
        <row r="5">
          <cell r="B5">
            <v>8554</v>
          </cell>
          <cell r="C5">
            <v>4428</v>
          </cell>
          <cell r="D5">
            <v>1259</v>
          </cell>
          <cell r="E5">
            <v>66000</v>
          </cell>
          <cell r="H5">
            <v>0</v>
          </cell>
          <cell r="I5">
            <v>231900</v>
          </cell>
          <cell r="J5">
            <v>575800</v>
          </cell>
          <cell r="K5">
            <v>1051000</v>
          </cell>
          <cell r="N5">
            <v>0</v>
          </cell>
          <cell r="O5">
            <v>422000</v>
          </cell>
          <cell r="P5">
            <v>554000</v>
          </cell>
          <cell r="Q5">
            <v>1135000</v>
          </cell>
          <cell r="T5">
            <v>0</v>
          </cell>
          <cell r="U5">
            <v>718900</v>
          </cell>
          <cell r="V5">
            <v>1425000</v>
          </cell>
          <cell r="W5">
            <v>2593000</v>
          </cell>
          <cell r="Z5">
            <v>0</v>
          </cell>
          <cell r="AA5">
            <v>940700</v>
          </cell>
          <cell r="AB5">
            <v>1258000</v>
          </cell>
          <cell r="AC5">
            <v>2555000</v>
          </cell>
        </row>
        <row r="6">
          <cell r="B6">
            <v>9222</v>
          </cell>
          <cell r="C6">
            <v>4838</v>
          </cell>
          <cell r="D6">
            <v>1369</v>
          </cell>
          <cell r="E6">
            <v>66000</v>
          </cell>
          <cell r="H6">
            <v>0</v>
          </cell>
          <cell r="I6">
            <v>240600</v>
          </cell>
          <cell r="J6">
            <v>592800</v>
          </cell>
          <cell r="K6">
            <v>1082000</v>
          </cell>
          <cell r="N6">
            <v>0</v>
          </cell>
          <cell r="O6">
            <v>433100</v>
          </cell>
          <cell r="P6">
            <v>568800</v>
          </cell>
          <cell r="Q6">
            <v>1165000</v>
          </cell>
          <cell r="T6">
            <v>0</v>
          </cell>
          <cell r="U6">
            <v>745700</v>
          </cell>
          <cell r="V6">
            <v>1467000</v>
          </cell>
          <cell r="W6">
            <v>2669000</v>
          </cell>
          <cell r="Z6">
            <v>0</v>
          </cell>
          <cell r="AA6">
            <v>965200</v>
          </cell>
          <cell r="AB6">
            <v>1292000</v>
          </cell>
          <cell r="AC6">
            <v>2622000</v>
          </cell>
        </row>
        <row r="7">
          <cell r="B7">
            <v>7861</v>
          </cell>
          <cell r="C7">
            <v>4028</v>
          </cell>
          <cell r="D7">
            <v>1259</v>
          </cell>
          <cell r="E7">
            <v>64000</v>
          </cell>
          <cell r="H7">
            <v>0</v>
          </cell>
          <cell r="I7">
            <v>228600</v>
          </cell>
          <cell r="J7">
            <v>569200</v>
          </cell>
          <cell r="K7">
            <v>1039000</v>
          </cell>
          <cell r="N7">
            <v>0</v>
          </cell>
          <cell r="O7">
            <v>417800</v>
          </cell>
          <cell r="P7">
            <v>548300</v>
          </cell>
          <cell r="Q7">
            <v>1124000</v>
          </cell>
          <cell r="T7">
            <v>0</v>
          </cell>
          <cell r="U7">
            <v>708600</v>
          </cell>
          <cell r="V7">
            <v>1409000</v>
          </cell>
          <cell r="W7">
            <v>2564000</v>
          </cell>
          <cell r="Z7">
            <v>0</v>
          </cell>
          <cell r="AA7">
            <v>931200</v>
          </cell>
          <cell r="AB7">
            <v>1245000</v>
          </cell>
          <cell r="AC7">
            <v>2529000</v>
          </cell>
        </row>
        <row r="8">
          <cell r="B8">
            <v>7874</v>
          </cell>
          <cell r="C8">
            <v>4055</v>
          </cell>
          <cell r="D8">
            <v>1199</v>
          </cell>
          <cell r="E8">
            <v>64000</v>
          </cell>
          <cell r="H8">
            <v>0</v>
          </cell>
          <cell r="I8">
            <v>229200</v>
          </cell>
          <cell r="J8">
            <v>570200</v>
          </cell>
          <cell r="K8">
            <v>1042000</v>
          </cell>
          <cell r="N8">
            <v>0</v>
          </cell>
          <cell r="O8">
            <v>418700</v>
          </cell>
          <cell r="P8">
            <v>549400</v>
          </cell>
          <cell r="Q8">
            <v>1126000</v>
          </cell>
          <cell r="T8">
            <v>0</v>
          </cell>
          <cell r="U8">
            <v>710700</v>
          </cell>
          <cell r="V8">
            <v>1412000</v>
          </cell>
          <cell r="W8">
            <v>2570000</v>
          </cell>
          <cell r="Z8">
            <v>0</v>
          </cell>
          <cell r="AA8">
            <v>933100</v>
          </cell>
          <cell r="AB8">
            <v>1248000</v>
          </cell>
          <cell r="AC8">
            <v>2534000</v>
          </cell>
        </row>
        <row r="9">
          <cell r="B9">
            <v>7596</v>
          </cell>
          <cell r="C9">
            <v>3873</v>
          </cell>
          <cell r="D9">
            <v>1198</v>
          </cell>
          <cell r="E9">
            <v>66000</v>
          </cell>
          <cell r="H9">
            <v>0</v>
          </cell>
          <cell r="I9">
            <v>240600</v>
          </cell>
          <cell r="J9">
            <v>592800</v>
          </cell>
          <cell r="K9">
            <v>1082000</v>
          </cell>
          <cell r="N9">
            <v>0</v>
          </cell>
          <cell r="O9">
            <v>433100</v>
          </cell>
          <cell r="P9">
            <v>568800</v>
          </cell>
          <cell r="Q9">
            <v>1165000</v>
          </cell>
          <cell r="T9">
            <v>0</v>
          </cell>
          <cell r="U9">
            <v>745700</v>
          </cell>
          <cell r="V9">
            <v>1467000</v>
          </cell>
          <cell r="W9">
            <v>2669000</v>
          </cell>
          <cell r="Z9">
            <v>0</v>
          </cell>
          <cell r="AA9">
            <v>965200</v>
          </cell>
          <cell r="AB9">
            <v>1292000</v>
          </cell>
          <cell r="AC9">
            <v>2622000</v>
          </cell>
        </row>
        <row r="10">
          <cell r="B10">
            <v>7850</v>
          </cell>
          <cell r="C10">
            <v>4002</v>
          </cell>
          <cell r="D10">
            <v>1216</v>
          </cell>
          <cell r="E10">
            <v>63000</v>
          </cell>
          <cell r="H10">
            <v>0</v>
          </cell>
          <cell r="I10">
            <v>214000</v>
          </cell>
          <cell r="J10">
            <v>543300</v>
          </cell>
          <cell r="K10">
            <v>992300</v>
          </cell>
          <cell r="N10">
            <v>0</v>
          </cell>
          <cell r="O10">
            <v>399000</v>
          </cell>
          <cell r="P10">
            <v>523600</v>
          </cell>
          <cell r="Q10">
            <v>1073000</v>
          </cell>
          <cell r="T10">
            <v>0</v>
          </cell>
          <cell r="U10">
            <v>663400</v>
          </cell>
          <cell r="V10">
            <v>1345000</v>
          </cell>
          <cell r="W10">
            <v>2447000</v>
          </cell>
          <cell r="Z10">
            <v>0</v>
          </cell>
          <cell r="AA10">
            <v>889400</v>
          </cell>
          <cell r="AB10">
            <v>1189000</v>
          </cell>
          <cell r="AC10">
            <v>2415000</v>
          </cell>
        </row>
        <row r="11">
          <cell r="B11">
            <v>7660</v>
          </cell>
          <cell r="C11">
            <v>3921</v>
          </cell>
          <cell r="D11">
            <v>1086</v>
          </cell>
          <cell r="E11">
            <v>63000</v>
          </cell>
          <cell r="H11">
            <v>0</v>
          </cell>
          <cell r="I11">
            <v>212700</v>
          </cell>
          <cell r="J11">
            <v>540600</v>
          </cell>
          <cell r="K11">
            <v>987600</v>
          </cell>
          <cell r="N11">
            <v>0</v>
          </cell>
          <cell r="O11">
            <v>397300</v>
          </cell>
          <cell r="P11">
            <v>521299.99999999994</v>
          </cell>
          <cell r="Q11">
            <v>1069000</v>
          </cell>
          <cell r="T11">
            <v>0</v>
          </cell>
          <cell r="U11">
            <v>659300</v>
          </cell>
          <cell r="V11">
            <v>1338000</v>
          </cell>
          <cell r="W11">
            <v>2436000</v>
          </cell>
          <cell r="Z11">
            <v>0</v>
          </cell>
          <cell r="AA11">
            <v>885600</v>
          </cell>
          <cell r="AB11">
            <v>1184000</v>
          </cell>
          <cell r="AC11">
            <v>2405000</v>
          </cell>
        </row>
        <row r="12">
          <cell r="B12">
            <v>7767</v>
          </cell>
          <cell r="C12">
            <v>3957</v>
          </cell>
          <cell r="D12">
            <v>1252</v>
          </cell>
          <cell r="E12">
            <v>63000</v>
          </cell>
          <cell r="H12">
            <v>0</v>
          </cell>
          <cell r="I12">
            <v>212700</v>
          </cell>
          <cell r="J12">
            <v>540600</v>
          </cell>
          <cell r="K12">
            <v>987600</v>
          </cell>
          <cell r="N12">
            <v>0</v>
          </cell>
          <cell r="O12">
            <v>397300</v>
          </cell>
          <cell r="P12">
            <v>521299.99999999994</v>
          </cell>
          <cell r="Q12">
            <v>1069000</v>
          </cell>
          <cell r="T12">
            <v>0</v>
          </cell>
          <cell r="U12">
            <v>659300</v>
          </cell>
          <cell r="V12">
            <v>1338000</v>
          </cell>
          <cell r="W12">
            <v>2436000</v>
          </cell>
          <cell r="Z12">
            <v>0</v>
          </cell>
          <cell r="AA12">
            <v>885600</v>
          </cell>
          <cell r="AB12">
            <v>1184000</v>
          </cell>
          <cell r="AC12">
            <v>2405000</v>
          </cell>
        </row>
        <row r="13">
          <cell r="B13">
            <v>8091</v>
          </cell>
          <cell r="C13">
            <v>4138</v>
          </cell>
          <cell r="D13">
            <v>1113</v>
          </cell>
          <cell r="E13">
            <v>64000</v>
          </cell>
          <cell r="H13">
            <v>0</v>
          </cell>
          <cell r="I13">
            <v>222700</v>
          </cell>
          <cell r="J13">
            <v>560300</v>
          </cell>
          <cell r="K13">
            <v>1023000</v>
          </cell>
          <cell r="N13">
            <v>0</v>
          </cell>
          <cell r="O13">
            <v>410000</v>
          </cell>
          <cell r="P13">
            <v>538400</v>
          </cell>
          <cell r="Q13">
            <v>1103000</v>
          </cell>
          <cell r="T13">
            <v>0</v>
          </cell>
          <cell r="U13">
            <v>690200</v>
          </cell>
          <cell r="V13">
            <v>1387000</v>
          </cell>
          <cell r="W13">
            <v>2523000</v>
          </cell>
          <cell r="Z13">
            <v>0</v>
          </cell>
          <cell r="AA13">
            <v>913900</v>
          </cell>
          <cell r="AB13">
            <v>1223000</v>
          </cell>
          <cell r="AC13">
            <v>2482000</v>
          </cell>
        </row>
        <row r="14">
          <cell r="B14">
            <v>7919</v>
          </cell>
          <cell r="C14">
            <v>4035</v>
          </cell>
          <cell r="D14">
            <v>1162</v>
          </cell>
          <cell r="E14">
            <v>64000</v>
          </cell>
          <cell r="H14">
            <v>0</v>
          </cell>
          <cell r="I14">
            <v>228000</v>
          </cell>
          <cell r="J14">
            <v>570800</v>
          </cell>
          <cell r="K14">
            <v>1042000</v>
          </cell>
          <cell r="N14">
            <v>0</v>
          </cell>
          <cell r="O14">
            <v>416800</v>
          </cell>
          <cell r="P14">
            <v>547500</v>
          </cell>
          <cell r="Q14">
            <v>1122000</v>
          </cell>
          <cell r="T14">
            <v>0</v>
          </cell>
          <cell r="U14">
            <v>706700</v>
          </cell>
          <cell r="V14">
            <v>1413000</v>
          </cell>
          <cell r="W14">
            <v>2570000</v>
          </cell>
          <cell r="Z14">
            <v>0</v>
          </cell>
          <cell r="AA14">
            <v>929000</v>
          </cell>
          <cell r="AB14">
            <v>1244000</v>
          </cell>
          <cell r="AC14">
            <v>2524000</v>
          </cell>
        </row>
        <row r="15">
          <cell r="B15">
            <v>8255</v>
          </cell>
          <cell r="C15">
            <v>4201</v>
          </cell>
          <cell r="D15">
            <v>1092</v>
          </cell>
          <cell r="E15">
            <v>64000</v>
          </cell>
          <cell r="H15">
            <v>0</v>
          </cell>
          <cell r="I15">
            <v>231300</v>
          </cell>
          <cell r="J15">
            <v>577400</v>
          </cell>
          <cell r="K15">
            <v>1054000</v>
          </cell>
          <cell r="N15">
            <v>0</v>
          </cell>
          <cell r="O15">
            <v>421100</v>
          </cell>
          <cell r="P15">
            <v>553200</v>
          </cell>
          <cell r="Q15">
            <v>1133000</v>
          </cell>
          <cell r="T15">
            <v>0</v>
          </cell>
          <cell r="U15">
            <v>717000</v>
          </cell>
          <cell r="V15">
            <v>1429000</v>
          </cell>
          <cell r="W15">
            <v>2600000</v>
          </cell>
          <cell r="Z15">
            <v>0</v>
          </cell>
          <cell r="AA15">
            <v>938500</v>
          </cell>
          <cell r="AB15">
            <v>1256000</v>
          </cell>
          <cell r="AC15">
            <v>2550000</v>
          </cell>
        </row>
        <row r="16">
          <cell r="B16">
            <v>8251</v>
          </cell>
          <cell r="C16">
            <v>4194</v>
          </cell>
          <cell r="D16">
            <v>1123</v>
          </cell>
          <cell r="E16">
            <v>64000</v>
          </cell>
          <cell r="H16">
            <v>0</v>
          </cell>
          <cell r="I16">
            <v>232600</v>
          </cell>
          <cell r="J16">
            <v>580000</v>
          </cell>
          <cell r="K16">
            <v>1058000</v>
          </cell>
          <cell r="N16">
            <v>0</v>
          </cell>
          <cell r="O16">
            <v>422800</v>
          </cell>
          <cell r="P16">
            <v>555500</v>
          </cell>
          <cell r="Q16">
            <v>1138000</v>
          </cell>
          <cell r="T16">
            <v>0</v>
          </cell>
          <cell r="U16">
            <v>721200</v>
          </cell>
          <cell r="V16">
            <v>1436000</v>
          </cell>
          <cell r="W16">
            <v>2611000</v>
          </cell>
          <cell r="Z16">
            <v>0</v>
          </cell>
          <cell r="AA16">
            <v>942200</v>
          </cell>
          <cell r="AB16">
            <v>1262000</v>
          </cell>
          <cell r="AC16">
            <v>2560000</v>
          </cell>
        </row>
        <row r="17">
          <cell r="B17">
            <v>8208</v>
          </cell>
          <cell r="C17">
            <v>4186</v>
          </cell>
          <cell r="D17">
            <v>1361</v>
          </cell>
          <cell r="E17">
            <v>61000</v>
          </cell>
          <cell r="H17">
            <v>0</v>
          </cell>
          <cell r="I17">
            <v>225300</v>
          </cell>
          <cell r="J17">
            <v>565600</v>
          </cell>
          <cell r="K17">
            <v>1032000</v>
          </cell>
          <cell r="N17">
            <v>0</v>
          </cell>
          <cell r="O17">
            <v>413400</v>
          </cell>
          <cell r="P17">
            <v>543000</v>
          </cell>
          <cell r="Q17">
            <v>1112000</v>
          </cell>
          <cell r="T17">
            <v>0</v>
          </cell>
          <cell r="U17">
            <v>698500</v>
          </cell>
          <cell r="V17">
            <v>1400000</v>
          </cell>
          <cell r="W17">
            <v>2547000</v>
          </cell>
          <cell r="Z17">
            <v>0</v>
          </cell>
          <cell r="AA17">
            <v>921500</v>
          </cell>
          <cell r="AB17">
            <v>1233000</v>
          </cell>
          <cell r="AC17">
            <v>2503000</v>
          </cell>
        </row>
        <row r="18">
          <cell r="B18">
            <v>7409</v>
          </cell>
          <cell r="C18">
            <v>3749</v>
          </cell>
          <cell r="D18">
            <v>1351</v>
          </cell>
          <cell r="E18">
            <v>62000</v>
          </cell>
          <cell r="H18">
            <v>0</v>
          </cell>
          <cell r="I18">
            <v>220000</v>
          </cell>
          <cell r="J18">
            <v>555100</v>
          </cell>
          <cell r="K18">
            <v>1013000</v>
          </cell>
          <cell r="N18">
            <v>0</v>
          </cell>
          <cell r="O18">
            <v>406700</v>
          </cell>
          <cell r="P18">
            <v>533900</v>
          </cell>
          <cell r="Q18">
            <v>1094000</v>
          </cell>
          <cell r="T18">
            <v>0</v>
          </cell>
          <cell r="U18">
            <v>682000</v>
          </cell>
          <cell r="V18">
            <v>1374000</v>
          </cell>
          <cell r="W18">
            <v>2500000</v>
          </cell>
          <cell r="Z18">
            <v>0</v>
          </cell>
          <cell r="AA18">
            <v>906400</v>
          </cell>
          <cell r="AB18">
            <v>1212000</v>
          </cell>
          <cell r="AC18">
            <v>2462000</v>
          </cell>
        </row>
        <row r="19">
          <cell r="B19">
            <v>7247</v>
          </cell>
          <cell r="C19">
            <v>3687</v>
          </cell>
          <cell r="D19">
            <v>1191</v>
          </cell>
          <cell r="E19">
            <v>62000</v>
          </cell>
          <cell r="H19">
            <v>0</v>
          </cell>
          <cell r="I19">
            <v>215900</v>
          </cell>
          <cell r="J19">
            <v>535400</v>
          </cell>
          <cell r="K19">
            <v>977800</v>
          </cell>
          <cell r="N19">
            <v>0</v>
          </cell>
          <cell r="O19">
            <v>391400</v>
          </cell>
          <cell r="P19">
            <v>514100</v>
          </cell>
          <cell r="Q19">
            <v>1053000</v>
          </cell>
          <cell r="T19">
            <v>0</v>
          </cell>
          <cell r="U19">
            <v>669200</v>
          </cell>
          <cell r="V19">
            <v>1325000</v>
          </cell>
          <cell r="W19">
            <v>2411000</v>
          </cell>
          <cell r="Z19">
            <v>0</v>
          </cell>
          <cell r="AA19">
            <v>872500</v>
          </cell>
          <cell r="AB19">
            <v>1168000</v>
          </cell>
          <cell r="AC19">
            <v>2370000</v>
          </cell>
        </row>
        <row r="20">
          <cell r="B20">
            <v>7895</v>
          </cell>
          <cell r="C20">
            <v>4037</v>
          </cell>
          <cell r="D20">
            <v>1336</v>
          </cell>
          <cell r="E20">
            <v>60000</v>
          </cell>
          <cell r="H20">
            <v>0</v>
          </cell>
          <cell r="I20">
            <v>231800</v>
          </cell>
          <cell r="J20">
            <v>566900</v>
          </cell>
          <cell r="K20">
            <v>1034000</v>
          </cell>
          <cell r="N20">
            <v>0</v>
          </cell>
          <cell r="O20">
            <v>411800</v>
          </cell>
          <cell r="P20">
            <v>541500</v>
          </cell>
          <cell r="Q20">
            <v>1109000</v>
          </cell>
          <cell r="T20">
            <v>0</v>
          </cell>
          <cell r="U20">
            <v>718700</v>
          </cell>
          <cell r="V20">
            <v>1403000</v>
          </cell>
          <cell r="W20">
            <v>2552000</v>
          </cell>
          <cell r="Z20">
            <v>0</v>
          </cell>
          <cell r="AA20">
            <v>917800</v>
          </cell>
          <cell r="AB20">
            <v>1230000</v>
          </cell>
          <cell r="AC20">
            <v>2494000</v>
          </cell>
        </row>
        <row r="21">
          <cell r="B21">
            <v>7933</v>
          </cell>
          <cell r="C21">
            <v>4025</v>
          </cell>
          <cell r="D21">
            <v>1298</v>
          </cell>
          <cell r="E21">
            <v>59000</v>
          </cell>
          <cell r="H21">
            <v>0</v>
          </cell>
          <cell r="I21">
            <v>226500</v>
          </cell>
          <cell r="J21">
            <v>556400</v>
          </cell>
          <cell r="K21">
            <v>1015000</v>
          </cell>
          <cell r="N21">
            <v>0</v>
          </cell>
          <cell r="O21">
            <v>405000</v>
          </cell>
          <cell r="P21">
            <v>532300</v>
          </cell>
          <cell r="Q21">
            <v>1090000</v>
          </cell>
          <cell r="T21">
            <v>0</v>
          </cell>
          <cell r="U21">
            <v>702200</v>
          </cell>
          <cell r="V21">
            <v>1377000</v>
          </cell>
          <cell r="W21">
            <v>2505000</v>
          </cell>
          <cell r="Z21">
            <v>0</v>
          </cell>
          <cell r="AA21">
            <v>902700</v>
          </cell>
          <cell r="AB21">
            <v>1209000</v>
          </cell>
          <cell r="AC21">
            <v>2453000</v>
          </cell>
        </row>
        <row r="22">
          <cell r="B22">
            <v>8124</v>
          </cell>
          <cell r="C22">
            <v>4162</v>
          </cell>
          <cell r="D22">
            <v>1206</v>
          </cell>
          <cell r="E22">
            <v>58000</v>
          </cell>
          <cell r="H22">
            <v>0</v>
          </cell>
          <cell r="I22">
            <v>217900</v>
          </cell>
          <cell r="J22">
            <v>548000</v>
          </cell>
          <cell r="K22">
            <v>1000000</v>
          </cell>
          <cell r="N22">
            <v>0</v>
          </cell>
          <cell r="O22">
            <v>401100</v>
          </cell>
          <cell r="P22">
            <v>526600</v>
          </cell>
          <cell r="Q22">
            <v>1079000</v>
          </cell>
          <cell r="T22">
            <v>0</v>
          </cell>
          <cell r="U22">
            <v>675400</v>
          </cell>
          <cell r="V22">
            <v>1356000</v>
          </cell>
          <cell r="W22">
            <v>2468000</v>
          </cell>
          <cell r="Z22">
            <v>0</v>
          </cell>
          <cell r="AA22">
            <v>893900</v>
          </cell>
          <cell r="AB22">
            <v>1196000</v>
          </cell>
          <cell r="AC22">
            <v>2428000</v>
          </cell>
        </row>
        <row r="23">
          <cell r="B23">
            <v>7984</v>
          </cell>
          <cell r="C23">
            <v>4047</v>
          </cell>
          <cell r="D23">
            <v>1222</v>
          </cell>
          <cell r="E23">
            <v>58000</v>
          </cell>
          <cell r="H23">
            <v>0</v>
          </cell>
          <cell r="I23">
            <v>216500</v>
          </cell>
          <cell r="J23">
            <v>545400</v>
          </cell>
          <cell r="K23">
            <v>996000</v>
          </cell>
          <cell r="N23">
            <v>0</v>
          </cell>
          <cell r="O23">
            <v>399400</v>
          </cell>
          <cell r="P23">
            <v>524400</v>
          </cell>
          <cell r="Q23">
            <v>1074000</v>
          </cell>
          <cell r="T23">
            <v>0</v>
          </cell>
          <cell r="U23">
            <v>671300</v>
          </cell>
          <cell r="V23">
            <v>1350000</v>
          </cell>
          <cell r="W23">
            <v>2456000</v>
          </cell>
          <cell r="Z23">
            <v>0</v>
          </cell>
          <cell r="AA23">
            <v>890200</v>
          </cell>
          <cell r="AB23">
            <v>1191000</v>
          </cell>
          <cell r="AC23">
            <v>2418000</v>
          </cell>
        </row>
        <row r="24">
          <cell r="B24">
            <v>8182</v>
          </cell>
          <cell r="C24">
            <v>4198</v>
          </cell>
          <cell r="D24">
            <v>1235</v>
          </cell>
          <cell r="E24">
            <v>57000</v>
          </cell>
          <cell r="H24">
            <v>0</v>
          </cell>
          <cell r="I24">
            <v>223900</v>
          </cell>
          <cell r="J24">
            <v>559800</v>
          </cell>
          <cell r="K24">
            <v>1022000</v>
          </cell>
          <cell r="N24">
            <v>0</v>
          </cell>
          <cell r="O24">
            <v>408700</v>
          </cell>
          <cell r="P24">
            <v>536900</v>
          </cell>
          <cell r="Q24">
            <v>1100000</v>
          </cell>
          <cell r="T24">
            <v>0</v>
          </cell>
          <cell r="U24">
            <v>694000</v>
          </cell>
          <cell r="V24">
            <v>1386000</v>
          </cell>
          <cell r="W24">
            <v>2521000</v>
          </cell>
          <cell r="Z24">
            <v>0</v>
          </cell>
          <cell r="AA24">
            <v>910900</v>
          </cell>
          <cell r="AB24">
            <v>1219000</v>
          </cell>
          <cell r="AC24">
            <v>2475000</v>
          </cell>
        </row>
        <row r="25">
          <cell r="B25">
            <v>7737</v>
          </cell>
          <cell r="C25">
            <v>3955</v>
          </cell>
          <cell r="D25">
            <v>1235</v>
          </cell>
          <cell r="E25">
            <v>58000</v>
          </cell>
          <cell r="H25">
            <v>0</v>
          </cell>
          <cell r="I25">
            <v>217200</v>
          </cell>
          <cell r="J25">
            <v>546700</v>
          </cell>
          <cell r="K25">
            <v>998400</v>
          </cell>
          <cell r="N25">
            <v>0</v>
          </cell>
          <cell r="O25">
            <v>400200</v>
          </cell>
          <cell r="P25">
            <v>525500</v>
          </cell>
          <cell r="Q25">
            <v>1077000</v>
          </cell>
          <cell r="T25">
            <v>0</v>
          </cell>
          <cell r="U25">
            <v>673400</v>
          </cell>
          <cell r="V25">
            <v>1353000</v>
          </cell>
          <cell r="W25">
            <v>2462000</v>
          </cell>
          <cell r="Z25">
            <v>0</v>
          </cell>
          <cell r="AA25">
            <v>892100</v>
          </cell>
          <cell r="AB25">
            <v>1193000</v>
          </cell>
          <cell r="AC25">
            <v>2423000</v>
          </cell>
        </row>
        <row r="26">
          <cell r="B26">
            <v>6974</v>
          </cell>
          <cell r="C26">
            <v>3550</v>
          </cell>
          <cell r="D26">
            <v>1294</v>
          </cell>
          <cell r="E26">
            <v>60000</v>
          </cell>
          <cell r="H26">
            <v>0</v>
          </cell>
          <cell r="I26">
            <v>198800</v>
          </cell>
          <cell r="J26">
            <v>498800</v>
          </cell>
          <cell r="K26">
            <v>910900</v>
          </cell>
          <cell r="N26">
            <v>0</v>
          </cell>
          <cell r="O26">
            <v>365200</v>
          </cell>
          <cell r="P26">
            <v>479500</v>
          </cell>
          <cell r="Q26">
            <v>982900</v>
          </cell>
          <cell r="T26">
            <v>0</v>
          </cell>
          <cell r="U26">
            <v>616200</v>
          </cell>
          <cell r="V26">
            <v>1235000</v>
          </cell>
          <cell r="W26">
            <v>2246000</v>
          </cell>
          <cell r="Z26">
            <v>0</v>
          </cell>
          <cell r="AA26">
            <v>814000</v>
          </cell>
          <cell r="AB26">
            <v>1089000</v>
          </cell>
          <cell r="AC26">
            <v>2211000</v>
          </cell>
        </row>
        <row r="27">
          <cell r="B27">
            <v>7175</v>
          </cell>
          <cell r="C27">
            <v>3640</v>
          </cell>
          <cell r="D27">
            <v>1101</v>
          </cell>
          <cell r="E27">
            <v>51000</v>
          </cell>
          <cell r="H27">
            <v>0</v>
          </cell>
          <cell r="I27">
            <v>200100</v>
          </cell>
          <cell r="J27">
            <v>501400</v>
          </cell>
          <cell r="K27">
            <v>915700</v>
          </cell>
          <cell r="N27">
            <v>0</v>
          </cell>
          <cell r="O27">
            <v>366900</v>
          </cell>
          <cell r="P27">
            <v>481800</v>
          </cell>
          <cell r="Q27">
            <v>987600</v>
          </cell>
          <cell r="T27">
            <v>0</v>
          </cell>
          <cell r="U27">
            <v>620300</v>
          </cell>
          <cell r="V27">
            <v>1241000</v>
          </cell>
          <cell r="W27">
            <v>2258000</v>
          </cell>
          <cell r="Z27">
            <v>0</v>
          </cell>
          <cell r="AA27">
            <v>817800</v>
          </cell>
          <cell r="AB27">
            <v>1094000</v>
          </cell>
          <cell r="AC27">
            <v>2221000</v>
          </cell>
        </row>
        <row r="28">
          <cell r="B28">
            <v>7397</v>
          </cell>
          <cell r="C28">
            <v>3756</v>
          </cell>
          <cell r="D28">
            <v>1096</v>
          </cell>
          <cell r="E28">
            <v>51000</v>
          </cell>
          <cell r="H28">
            <v>0</v>
          </cell>
          <cell r="I28">
            <v>196800</v>
          </cell>
          <cell r="J28">
            <v>494800</v>
          </cell>
          <cell r="K28">
            <v>903800</v>
          </cell>
          <cell r="N28">
            <v>0</v>
          </cell>
          <cell r="O28">
            <v>362700</v>
          </cell>
          <cell r="P28">
            <v>476100</v>
          </cell>
          <cell r="Q28">
            <v>976000</v>
          </cell>
          <cell r="T28">
            <v>0</v>
          </cell>
          <cell r="U28">
            <v>610000</v>
          </cell>
          <cell r="V28">
            <v>1225000</v>
          </cell>
          <cell r="W28">
            <v>2229000</v>
          </cell>
          <cell r="Z28">
            <v>0</v>
          </cell>
          <cell r="AA28">
            <v>808400</v>
          </cell>
          <cell r="AB28">
            <v>1081000</v>
          </cell>
          <cell r="AC28">
            <v>2195000</v>
          </cell>
        </row>
        <row r="29">
          <cell r="B29">
            <v>7610</v>
          </cell>
          <cell r="C29">
            <v>3889</v>
          </cell>
          <cell r="D29">
            <v>983</v>
          </cell>
          <cell r="E29">
            <v>51000</v>
          </cell>
          <cell r="H29">
            <v>0</v>
          </cell>
          <cell r="I29">
            <v>205400</v>
          </cell>
          <cell r="J29">
            <v>511900</v>
          </cell>
          <cell r="K29">
            <v>934700</v>
          </cell>
          <cell r="N29">
            <v>0</v>
          </cell>
          <cell r="O29">
            <v>373700</v>
          </cell>
          <cell r="P29">
            <v>490900</v>
          </cell>
          <cell r="Q29">
            <v>1006000</v>
          </cell>
          <cell r="T29">
            <v>0</v>
          </cell>
          <cell r="U29">
            <v>636800</v>
          </cell>
          <cell r="V29">
            <v>1267000</v>
          </cell>
          <cell r="W29">
            <v>2305000</v>
          </cell>
          <cell r="Z29">
            <v>0</v>
          </cell>
          <cell r="AA29">
            <v>832900</v>
          </cell>
          <cell r="AB29">
            <v>1115000</v>
          </cell>
          <cell r="AC29">
            <v>2263000</v>
          </cell>
        </row>
        <row r="30">
          <cell r="B30">
            <v>7323</v>
          </cell>
          <cell r="C30">
            <v>3720</v>
          </cell>
          <cell r="D30">
            <v>1025</v>
          </cell>
          <cell r="E30">
            <v>51000</v>
          </cell>
          <cell r="H30">
            <v>0</v>
          </cell>
          <cell r="I30">
            <v>192100</v>
          </cell>
          <cell r="J30">
            <v>485700</v>
          </cell>
          <cell r="K30">
            <v>887100</v>
          </cell>
          <cell r="N30">
            <v>0</v>
          </cell>
          <cell r="O30">
            <v>356800</v>
          </cell>
          <cell r="P30">
            <v>468100</v>
          </cell>
          <cell r="Q30">
            <v>959900</v>
          </cell>
          <cell r="T30">
            <v>0</v>
          </cell>
          <cell r="U30">
            <v>595500</v>
          </cell>
          <cell r="V30">
            <v>1202000</v>
          </cell>
          <cell r="W30">
            <v>2188000</v>
          </cell>
          <cell r="Z30">
            <v>0</v>
          </cell>
          <cell r="AA30">
            <v>795200</v>
          </cell>
          <cell r="AB30">
            <v>1063000</v>
          </cell>
          <cell r="AC30">
            <v>2159000</v>
          </cell>
        </row>
        <row r="31">
          <cell r="B31">
            <v>7572</v>
          </cell>
          <cell r="C31">
            <v>3860</v>
          </cell>
          <cell r="D31">
            <v>1132</v>
          </cell>
          <cell r="E31">
            <v>51000</v>
          </cell>
          <cell r="H31">
            <v>0</v>
          </cell>
          <cell r="I31">
            <v>206700</v>
          </cell>
          <cell r="J31">
            <v>514500</v>
          </cell>
          <cell r="K31">
            <v>939400</v>
          </cell>
          <cell r="N31">
            <v>0</v>
          </cell>
          <cell r="O31">
            <v>375400</v>
          </cell>
          <cell r="P31">
            <v>493200</v>
          </cell>
          <cell r="Q31">
            <v>1010000</v>
          </cell>
          <cell r="T31">
            <v>0</v>
          </cell>
          <cell r="U31">
            <v>640900</v>
          </cell>
          <cell r="V31">
            <v>1274000</v>
          </cell>
          <cell r="W31">
            <v>2317000</v>
          </cell>
          <cell r="Z31">
            <v>0</v>
          </cell>
          <cell r="AA31">
            <v>836700</v>
          </cell>
          <cell r="AB31">
            <v>1120000</v>
          </cell>
          <cell r="AC31">
            <v>2273000</v>
          </cell>
        </row>
        <row r="32">
          <cell r="B32">
            <v>7655</v>
          </cell>
          <cell r="C32">
            <v>3905</v>
          </cell>
          <cell r="D32">
            <v>1114</v>
          </cell>
          <cell r="E32">
            <v>51000</v>
          </cell>
          <cell r="H32">
            <v>0</v>
          </cell>
          <cell r="I32">
            <v>202100</v>
          </cell>
          <cell r="J32">
            <v>505300</v>
          </cell>
          <cell r="K32">
            <v>922800</v>
          </cell>
          <cell r="N32">
            <v>0</v>
          </cell>
          <cell r="O32">
            <v>369500</v>
          </cell>
          <cell r="P32">
            <v>485200</v>
          </cell>
          <cell r="Q32">
            <v>994500</v>
          </cell>
          <cell r="T32">
            <v>0</v>
          </cell>
          <cell r="U32">
            <v>626500</v>
          </cell>
          <cell r="V32">
            <v>1251000</v>
          </cell>
          <cell r="W32">
            <v>2276000</v>
          </cell>
          <cell r="Z32">
            <v>0</v>
          </cell>
          <cell r="AA32">
            <v>823500</v>
          </cell>
          <cell r="AB32">
            <v>1102000</v>
          </cell>
          <cell r="AC32">
            <v>2237000</v>
          </cell>
        </row>
        <row r="33">
          <cell r="B33">
            <v>6469</v>
          </cell>
          <cell r="C33">
            <v>3332</v>
          </cell>
          <cell r="D33">
            <v>1225</v>
          </cell>
          <cell r="E33">
            <v>55000</v>
          </cell>
          <cell r="H33">
            <v>0</v>
          </cell>
          <cell r="I33">
            <v>189000</v>
          </cell>
          <cell r="J33">
            <v>491100</v>
          </cell>
          <cell r="K33">
            <v>897500</v>
          </cell>
          <cell r="N33">
            <v>0</v>
          </cell>
          <cell r="O33">
            <v>363300</v>
          </cell>
          <cell r="P33">
            <v>476100</v>
          </cell>
          <cell r="Q33">
            <v>977000</v>
          </cell>
          <cell r="T33">
            <v>0</v>
          </cell>
          <cell r="U33">
            <v>586000</v>
          </cell>
          <cell r="V33">
            <v>1216000</v>
          </cell>
          <cell r="W33">
            <v>2213000</v>
          </cell>
          <cell r="Z33">
            <v>0</v>
          </cell>
          <cell r="AA33">
            <v>809800</v>
          </cell>
          <cell r="AB33">
            <v>1081000</v>
          </cell>
          <cell r="AC33">
            <v>2198000</v>
          </cell>
        </row>
        <row r="34">
          <cell r="B34">
            <v>6438</v>
          </cell>
          <cell r="C34">
            <v>3292</v>
          </cell>
          <cell r="D34">
            <v>1398</v>
          </cell>
          <cell r="E34">
            <v>55000</v>
          </cell>
          <cell r="H34">
            <v>0</v>
          </cell>
          <cell r="I34">
            <v>191000</v>
          </cell>
          <cell r="J34">
            <v>495100</v>
          </cell>
          <cell r="K34">
            <v>904600</v>
          </cell>
          <cell r="N34">
            <v>0</v>
          </cell>
          <cell r="O34">
            <v>365900</v>
          </cell>
          <cell r="P34">
            <v>479500</v>
          </cell>
          <cell r="Q34">
            <v>983900</v>
          </cell>
          <cell r="T34">
            <v>0</v>
          </cell>
          <cell r="U34">
            <v>592200</v>
          </cell>
          <cell r="V34">
            <v>1225000</v>
          </cell>
          <cell r="W34">
            <v>2231000</v>
          </cell>
          <cell r="Z34">
            <v>0</v>
          </cell>
          <cell r="AA34">
            <v>815400</v>
          </cell>
          <cell r="AB34">
            <v>1089000</v>
          </cell>
          <cell r="AC34">
            <v>2213000</v>
          </cell>
        </row>
        <row r="35">
          <cell r="B35">
            <v>6937</v>
          </cell>
          <cell r="C35">
            <v>3545</v>
          </cell>
          <cell r="D35">
            <v>1121</v>
          </cell>
          <cell r="E35">
            <v>52000</v>
          </cell>
          <cell r="H35">
            <v>0</v>
          </cell>
          <cell r="I35">
            <v>197700</v>
          </cell>
          <cell r="J35">
            <v>508200</v>
          </cell>
          <cell r="K35">
            <v>928400</v>
          </cell>
          <cell r="N35">
            <v>0</v>
          </cell>
          <cell r="O35">
            <v>374300</v>
          </cell>
          <cell r="P35">
            <v>490900</v>
          </cell>
          <cell r="Q35">
            <v>1006000</v>
          </cell>
          <cell r="T35">
            <v>0</v>
          </cell>
          <cell r="U35">
            <v>612800</v>
          </cell>
          <cell r="V35">
            <v>1258000</v>
          </cell>
          <cell r="W35">
            <v>2290000</v>
          </cell>
          <cell r="Z35">
            <v>0</v>
          </cell>
          <cell r="AA35">
            <v>834300</v>
          </cell>
          <cell r="AB35">
            <v>1115000</v>
          </cell>
          <cell r="AC35">
            <v>2265000</v>
          </cell>
        </row>
        <row r="36">
          <cell r="B36">
            <v>6885</v>
          </cell>
          <cell r="C36">
            <v>3500</v>
          </cell>
          <cell r="D36">
            <v>1026</v>
          </cell>
          <cell r="E36">
            <v>52000</v>
          </cell>
          <cell r="H36">
            <v>0</v>
          </cell>
          <cell r="I36">
            <v>199700</v>
          </cell>
          <cell r="J36">
            <v>512100</v>
          </cell>
          <cell r="K36">
            <v>935500</v>
          </cell>
          <cell r="N36">
            <v>0</v>
          </cell>
          <cell r="O36">
            <v>376900</v>
          </cell>
          <cell r="P36">
            <v>494300</v>
          </cell>
          <cell r="Q36">
            <v>1013000</v>
          </cell>
          <cell r="T36">
            <v>0</v>
          </cell>
          <cell r="U36">
            <v>619000</v>
          </cell>
          <cell r="V36">
            <v>1268000</v>
          </cell>
          <cell r="W36">
            <v>2307000</v>
          </cell>
          <cell r="Z36">
            <v>0</v>
          </cell>
          <cell r="AA36">
            <v>840000</v>
          </cell>
          <cell r="AB36">
            <v>1123000</v>
          </cell>
          <cell r="AC36">
            <v>2280000</v>
          </cell>
        </row>
        <row r="37">
          <cell r="B37">
            <v>6558</v>
          </cell>
          <cell r="C37">
            <v>3334</v>
          </cell>
          <cell r="D37">
            <v>1170</v>
          </cell>
          <cell r="E37">
            <v>54000</v>
          </cell>
          <cell r="H37">
            <v>0</v>
          </cell>
          <cell r="I37">
            <v>191000</v>
          </cell>
          <cell r="J37">
            <v>495100</v>
          </cell>
          <cell r="K37">
            <v>904600</v>
          </cell>
          <cell r="N37">
            <v>0</v>
          </cell>
          <cell r="O37">
            <v>365900</v>
          </cell>
          <cell r="P37">
            <v>479500</v>
          </cell>
          <cell r="Q37">
            <v>983900</v>
          </cell>
          <cell r="T37">
            <v>0</v>
          </cell>
          <cell r="U37">
            <v>592200</v>
          </cell>
          <cell r="V37">
            <v>1225000</v>
          </cell>
          <cell r="W37">
            <v>2231000</v>
          </cell>
          <cell r="Z37">
            <v>0</v>
          </cell>
          <cell r="AA37">
            <v>815400</v>
          </cell>
          <cell r="AB37">
            <v>1089000</v>
          </cell>
          <cell r="AC37">
            <v>2213000</v>
          </cell>
        </row>
        <row r="38">
          <cell r="B38">
            <v>7104</v>
          </cell>
          <cell r="C38">
            <v>3602</v>
          </cell>
          <cell r="D38">
            <v>1123</v>
          </cell>
          <cell r="E38">
            <v>54000</v>
          </cell>
          <cell r="H38">
            <v>0</v>
          </cell>
          <cell r="I38">
            <v>209300</v>
          </cell>
          <cell r="J38">
            <v>534100</v>
          </cell>
          <cell r="K38">
            <v>975700</v>
          </cell>
          <cell r="N38">
            <v>0</v>
          </cell>
          <cell r="O38">
            <v>393100</v>
          </cell>
          <cell r="P38">
            <v>515600</v>
          </cell>
          <cell r="Q38">
            <v>1057000</v>
          </cell>
          <cell r="T38">
            <v>0</v>
          </cell>
          <cell r="U38">
            <v>649000</v>
          </cell>
          <cell r="V38">
            <v>1322000</v>
          </cell>
          <cell r="W38">
            <v>2406000</v>
          </cell>
          <cell r="Z38">
            <v>0</v>
          </cell>
          <cell r="AA38">
            <v>876200</v>
          </cell>
          <cell r="AB38">
            <v>1171000</v>
          </cell>
          <cell r="AC38">
            <v>2379000</v>
          </cell>
        </row>
        <row r="39">
          <cell r="B39">
            <v>7146</v>
          </cell>
          <cell r="C39">
            <v>3614</v>
          </cell>
          <cell r="D39">
            <v>1192</v>
          </cell>
          <cell r="E39">
            <v>54000</v>
          </cell>
          <cell r="H39">
            <v>0</v>
          </cell>
          <cell r="I39">
            <v>214700</v>
          </cell>
          <cell r="J39">
            <v>544600</v>
          </cell>
          <cell r="K39">
            <v>994700</v>
          </cell>
          <cell r="N39">
            <v>0</v>
          </cell>
          <cell r="O39">
            <v>399900</v>
          </cell>
          <cell r="P39">
            <v>524700</v>
          </cell>
          <cell r="Q39">
            <v>1075000</v>
          </cell>
          <cell r="T39">
            <v>0</v>
          </cell>
          <cell r="U39">
            <v>665500</v>
          </cell>
          <cell r="V39">
            <v>1348000</v>
          </cell>
          <cell r="W39">
            <v>2453000</v>
          </cell>
          <cell r="Z39">
            <v>0</v>
          </cell>
          <cell r="AA39">
            <v>891300</v>
          </cell>
          <cell r="AB39">
            <v>1192000</v>
          </cell>
          <cell r="AC39">
            <v>2420000</v>
          </cell>
        </row>
        <row r="40">
          <cell r="B40">
            <v>6882</v>
          </cell>
          <cell r="C40">
            <v>3505</v>
          </cell>
          <cell r="D40">
            <v>1146</v>
          </cell>
          <cell r="E40">
            <v>54000</v>
          </cell>
          <cell r="H40">
            <v>0</v>
          </cell>
          <cell r="I40">
            <v>206700</v>
          </cell>
          <cell r="J40">
            <v>528900</v>
          </cell>
          <cell r="K40">
            <v>966200</v>
          </cell>
          <cell r="N40">
            <v>0</v>
          </cell>
          <cell r="O40">
            <v>389700</v>
          </cell>
          <cell r="P40">
            <v>511100</v>
          </cell>
          <cell r="Q40">
            <v>1048000</v>
          </cell>
          <cell r="T40">
            <v>0</v>
          </cell>
          <cell r="U40">
            <v>640700</v>
          </cell>
          <cell r="V40">
            <v>1309000</v>
          </cell>
          <cell r="W40">
            <v>2383000</v>
          </cell>
          <cell r="Z40">
            <v>0</v>
          </cell>
          <cell r="AA40">
            <v>868600</v>
          </cell>
          <cell r="AB40">
            <v>1161000</v>
          </cell>
          <cell r="AC40">
            <v>2358000</v>
          </cell>
        </row>
        <row r="41">
          <cell r="B41">
            <v>6815</v>
          </cell>
          <cell r="C41">
            <v>3470</v>
          </cell>
          <cell r="D41">
            <v>1148</v>
          </cell>
          <cell r="E41">
            <v>54000</v>
          </cell>
          <cell r="H41">
            <v>0</v>
          </cell>
          <cell r="I41">
            <v>205300</v>
          </cell>
          <cell r="J41">
            <v>526200</v>
          </cell>
          <cell r="K41">
            <v>961400</v>
          </cell>
          <cell r="N41">
            <v>0</v>
          </cell>
          <cell r="O41">
            <v>388000</v>
          </cell>
          <cell r="P41">
            <v>508800</v>
          </cell>
          <cell r="Q41">
            <v>1043000</v>
          </cell>
          <cell r="T41">
            <v>0</v>
          </cell>
          <cell r="U41">
            <v>636600</v>
          </cell>
          <cell r="V41">
            <v>1303000</v>
          </cell>
          <cell r="W41">
            <v>2371000</v>
          </cell>
          <cell r="Z41">
            <v>0</v>
          </cell>
          <cell r="AA41">
            <v>864800</v>
          </cell>
          <cell r="AB41">
            <v>1156000</v>
          </cell>
          <cell r="AC41">
            <v>2348000</v>
          </cell>
        </row>
        <row r="42">
          <cell r="B42">
            <v>7198</v>
          </cell>
          <cell r="C42">
            <v>3645</v>
          </cell>
          <cell r="D42">
            <v>1242</v>
          </cell>
          <cell r="E42">
            <v>56000</v>
          </cell>
          <cell r="H42">
            <v>0</v>
          </cell>
          <cell r="I42">
            <v>209100</v>
          </cell>
          <cell r="J42">
            <v>536500</v>
          </cell>
          <cell r="K42">
            <v>979900</v>
          </cell>
          <cell r="N42">
            <v>0</v>
          </cell>
          <cell r="O42">
            <v>394100</v>
          </cell>
          <cell r="P42">
            <v>517100</v>
          </cell>
          <cell r="Q42">
            <v>1060000</v>
          </cell>
          <cell r="T42">
            <v>0</v>
          </cell>
          <cell r="U42">
            <v>648200</v>
          </cell>
          <cell r="V42">
            <v>1328000</v>
          </cell>
          <cell r="W42">
            <v>2417000</v>
          </cell>
          <cell r="Z42">
            <v>0</v>
          </cell>
          <cell r="AA42">
            <v>878400</v>
          </cell>
          <cell r="AB42">
            <v>1174000</v>
          </cell>
          <cell r="AC42">
            <v>2385000</v>
          </cell>
        </row>
        <row r="43">
          <cell r="B43">
            <v>7169</v>
          </cell>
          <cell r="C43">
            <v>3712</v>
          </cell>
          <cell r="D43">
            <v>1253</v>
          </cell>
          <cell r="E43">
            <v>55000</v>
          </cell>
          <cell r="H43">
            <v>0</v>
          </cell>
          <cell r="I43">
            <v>193100</v>
          </cell>
          <cell r="J43">
            <v>505000</v>
          </cell>
          <cell r="K43">
            <v>922800</v>
          </cell>
          <cell r="N43">
            <v>0</v>
          </cell>
          <cell r="O43">
            <v>373800</v>
          </cell>
          <cell r="P43">
            <v>489800</v>
          </cell>
          <cell r="Q43">
            <v>1005000</v>
          </cell>
          <cell r="T43">
            <v>0</v>
          </cell>
          <cell r="U43">
            <v>598700</v>
          </cell>
          <cell r="V43">
            <v>1250000</v>
          </cell>
          <cell r="W43">
            <v>2276000</v>
          </cell>
          <cell r="Z43">
            <v>0</v>
          </cell>
          <cell r="AA43">
            <v>833100</v>
          </cell>
          <cell r="AB43">
            <v>1112000</v>
          </cell>
          <cell r="AC43">
            <v>2261000</v>
          </cell>
        </row>
        <row r="44">
          <cell r="B44">
            <v>6870</v>
          </cell>
          <cell r="C44">
            <v>3510</v>
          </cell>
          <cell r="D44">
            <v>1164</v>
          </cell>
          <cell r="E44">
            <v>55000</v>
          </cell>
          <cell r="H44">
            <v>0</v>
          </cell>
          <cell r="I44">
            <v>198500</v>
          </cell>
          <cell r="J44">
            <v>515500</v>
          </cell>
          <cell r="K44">
            <v>941900</v>
          </cell>
          <cell r="N44">
            <v>0</v>
          </cell>
          <cell r="O44">
            <v>380600</v>
          </cell>
          <cell r="P44">
            <v>498900</v>
          </cell>
          <cell r="Q44">
            <v>1023000</v>
          </cell>
          <cell r="T44">
            <v>0</v>
          </cell>
          <cell r="U44">
            <v>615200</v>
          </cell>
          <cell r="V44">
            <v>1276000</v>
          </cell>
          <cell r="W44">
            <v>2323000</v>
          </cell>
          <cell r="Z44">
            <v>0</v>
          </cell>
          <cell r="AA44">
            <v>848200</v>
          </cell>
          <cell r="AB44">
            <v>1133000</v>
          </cell>
          <cell r="AC44">
            <v>2302000</v>
          </cell>
        </row>
        <row r="45">
          <cell r="B45">
            <v>6988</v>
          </cell>
          <cell r="C45">
            <v>3562</v>
          </cell>
          <cell r="D45">
            <v>1180</v>
          </cell>
          <cell r="E45">
            <v>59000</v>
          </cell>
          <cell r="H45">
            <v>0</v>
          </cell>
          <cell r="I45">
            <v>201100</v>
          </cell>
          <cell r="J45">
            <v>520700.00000000006</v>
          </cell>
          <cell r="K45">
            <v>951400</v>
          </cell>
          <cell r="N45">
            <v>0</v>
          </cell>
          <cell r="O45">
            <v>384000</v>
          </cell>
          <cell r="P45">
            <v>503500</v>
          </cell>
          <cell r="Q45">
            <v>1032000</v>
          </cell>
          <cell r="T45">
            <v>0</v>
          </cell>
          <cell r="U45">
            <v>623500</v>
          </cell>
          <cell r="V45">
            <v>1289000</v>
          </cell>
          <cell r="W45">
            <v>2346000</v>
          </cell>
          <cell r="Z45">
            <v>0</v>
          </cell>
          <cell r="AA45">
            <v>855800</v>
          </cell>
          <cell r="AB45">
            <v>1143000</v>
          </cell>
          <cell r="AC45">
            <v>2323000</v>
          </cell>
        </row>
        <row r="46">
          <cell r="B46">
            <v>6725</v>
          </cell>
          <cell r="C46">
            <v>3430</v>
          </cell>
          <cell r="D46">
            <v>1109</v>
          </cell>
          <cell r="E46">
            <v>54000</v>
          </cell>
          <cell r="H46">
            <v>0</v>
          </cell>
          <cell r="I46">
            <v>195100</v>
          </cell>
          <cell r="J46">
            <v>508900</v>
          </cell>
          <cell r="K46">
            <v>930000</v>
          </cell>
          <cell r="N46">
            <v>0</v>
          </cell>
          <cell r="O46">
            <v>376300</v>
          </cell>
          <cell r="P46">
            <v>493200</v>
          </cell>
          <cell r="Q46">
            <v>1012000</v>
          </cell>
          <cell r="T46">
            <v>0</v>
          </cell>
          <cell r="U46">
            <v>604900</v>
          </cell>
          <cell r="V46">
            <v>1260000</v>
          </cell>
          <cell r="W46">
            <v>2293000</v>
          </cell>
          <cell r="Z46">
            <v>0</v>
          </cell>
          <cell r="AA46">
            <v>838800</v>
          </cell>
          <cell r="AB46">
            <v>1120000</v>
          </cell>
          <cell r="AC46">
            <v>2276000</v>
          </cell>
        </row>
        <row r="47">
          <cell r="B47">
            <v>6880</v>
          </cell>
          <cell r="C47">
            <v>3532</v>
          </cell>
          <cell r="D47">
            <v>1240</v>
          </cell>
          <cell r="E47">
            <v>53000</v>
          </cell>
          <cell r="H47">
            <v>0</v>
          </cell>
          <cell r="I47">
            <v>209100</v>
          </cell>
          <cell r="J47">
            <v>536500</v>
          </cell>
          <cell r="K47">
            <v>979900</v>
          </cell>
          <cell r="N47">
            <v>0</v>
          </cell>
          <cell r="O47">
            <v>394100</v>
          </cell>
          <cell r="P47">
            <v>517100</v>
          </cell>
          <cell r="Q47">
            <v>1060000</v>
          </cell>
          <cell r="T47">
            <v>0</v>
          </cell>
          <cell r="U47">
            <v>648200</v>
          </cell>
          <cell r="V47">
            <v>1328000</v>
          </cell>
          <cell r="W47">
            <v>2417000</v>
          </cell>
          <cell r="Z47">
            <v>0</v>
          </cell>
          <cell r="AA47">
            <v>878400</v>
          </cell>
          <cell r="AB47">
            <v>1174000</v>
          </cell>
          <cell r="AC47">
            <v>2385000</v>
          </cell>
        </row>
        <row r="48">
          <cell r="B48">
            <v>7522</v>
          </cell>
          <cell r="C48">
            <v>3870</v>
          </cell>
          <cell r="D48">
            <v>1244</v>
          </cell>
          <cell r="E48">
            <v>55000</v>
          </cell>
          <cell r="H48">
            <v>0</v>
          </cell>
          <cell r="I48">
            <v>222400</v>
          </cell>
          <cell r="J48">
            <v>562700</v>
          </cell>
          <cell r="K48">
            <v>1027000</v>
          </cell>
          <cell r="N48">
            <v>0</v>
          </cell>
          <cell r="O48">
            <v>411100</v>
          </cell>
          <cell r="P48">
            <v>539900</v>
          </cell>
          <cell r="Q48">
            <v>1106000</v>
          </cell>
          <cell r="T48">
            <v>0</v>
          </cell>
          <cell r="U48">
            <v>689500</v>
          </cell>
          <cell r="V48">
            <v>1393000</v>
          </cell>
          <cell r="W48">
            <v>2534000</v>
          </cell>
          <cell r="Z48">
            <v>0</v>
          </cell>
          <cell r="AA48">
            <v>916200</v>
          </cell>
          <cell r="AB48">
            <v>1226000</v>
          </cell>
          <cell r="AC48">
            <v>2489000</v>
          </cell>
        </row>
        <row r="49">
          <cell r="B49">
            <v>9751</v>
          </cell>
          <cell r="C49">
            <v>5017</v>
          </cell>
          <cell r="D49">
            <v>1645</v>
          </cell>
          <cell r="E49">
            <v>50000</v>
          </cell>
          <cell r="H49">
            <v>0</v>
          </cell>
          <cell r="I49">
            <v>241800</v>
          </cell>
          <cell r="J49">
            <v>595200</v>
          </cell>
          <cell r="K49">
            <v>1086000</v>
          </cell>
          <cell r="N49">
            <v>0</v>
          </cell>
          <cell r="O49">
            <v>431600</v>
          </cell>
          <cell r="P49">
            <v>567700</v>
          </cell>
          <cell r="Q49">
            <v>1162000</v>
          </cell>
          <cell r="T49">
            <v>0</v>
          </cell>
          <cell r="U49">
            <v>749700</v>
          </cell>
          <cell r="V49">
            <v>1473000</v>
          </cell>
          <cell r="W49">
            <v>2679000</v>
          </cell>
          <cell r="Z49">
            <v>0</v>
          </cell>
          <cell r="AA49">
            <v>961900</v>
          </cell>
          <cell r="AB49">
            <v>1289000</v>
          </cell>
          <cell r="AC49">
            <v>2615000</v>
          </cell>
        </row>
        <row r="52">
          <cell r="A52" t="str">
            <v>2019.4建設物価</v>
          </cell>
        </row>
        <row r="54">
          <cell r="B54">
            <v>20</v>
          </cell>
          <cell r="C54">
            <v>25</v>
          </cell>
          <cell r="D54">
            <v>35</v>
          </cell>
          <cell r="E54">
            <v>45</v>
          </cell>
          <cell r="F54">
            <v>50</v>
          </cell>
          <cell r="G54">
            <v>60</v>
          </cell>
          <cell r="H54">
            <v>70</v>
          </cell>
          <cell r="I54">
            <v>80</v>
          </cell>
          <cell r="J54">
            <v>90</v>
          </cell>
          <cell r="K54">
            <v>100</v>
          </cell>
          <cell r="L54">
            <v>120</v>
          </cell>
          <cell r="M54">
            <v>150</v>
          </cell>
          <cell r="N54">
            <v>200</v>
          </cell>
          <cell r="O54">
            <v>4.9000000000000004</v>
          </cell>
          <cell r="P54">
            <v>100</v>
          </cell>
          <cell r="Q54">
            <v>120</v>
          </cell>
          <cell r="R54">
            <v>160</v>
          </cell>
          <cell r="S54">
            <v>200</v>
          </cell>
        </row>
        <row r="55">
          <cell r="A55" t="str">
            <v>関東</v>
          </cell>
          <cell r="B55">
            <v>50000</v>
          </cell>
          <cell r="C55">
            <v>53000</v>
          </cell>
          <cell r="D55">
            <v>73000</v>
          </cell>
          <cell r="E55">
            <v>90000</v>
          </cell>
          <cell r="F55">
            <v>95000</v>
          </cell>
          <cell r="G55">
            <v>106000</v>
          </cell>
          <cell r="H55">
            <v>130000</v>
          </cell>
          <cell r="I55">
            <v>84950</v>
          </cell>
          <cell r="J55">
            <v>96600</v>
          </cell>
          <cell r="K55">
            <v>109650</v>
          </cell>
          <cell r="L55">
            <v>114000</v>
          </cell>
          <cell r="M55">
            <v>138200</v>
          </cell>
          <cell r="N55">
            <v>155800</v>
          </cell>
          <cell r="O55">
            <v>41000</v>
          </cell>
          <cell r="P55">
            <v>200000</v>
          </cell>
          <cell r="Q55">
            <v>225000</v>
          </cell>
          <cell r="R55">
            <v>310000</v>
          </cell>
          <cell r="S55">
            <v>430000</v>
          </cell>
        </row>
        <row r="56">
          <cell r="A56" t="str">
            <v>近畿</v>
          </cell>
          <cell r="B56">
            <v>45000</v>
          </cell>
          <cell r="C56">
            <v>50000</v>
          </cell>
          <cell r="D56">
            <v>70000</v>
          </cell>
          <cell r="E56">
            <v>81000</v>
          </cell>
          <cell r="F56">
            <v>87000</v>
          </cell>
          <cell r="G56">
            <v>99000</v>
          </cell>
          <cell r="H56">
            <v>137000</v>
          </cell>
          <cell r="I56">
            <v>71910</v>
          </cell>
          <cell r="J56">
            <v>80080</v>
          </cell>
          <cell r="K56">
            <v>87040</v>
          </cell>
          <cell r="L56">
            <v>92260</v>
          </cell>
          <cell r="M56">
            <v>109940</v>
          </cell>
          <cell r="N56">
            <v>134060</v>
          </cell>
          <cell r="O56">
            <v>37000</v>
          </cell>
          <cell r="P56">
            <v>200000</v>
          </cell>
          <cell r="Q56">
            <v>225000</v>
          </cell>
          <cell r="R56">
            <v>290000</v>
          </cell>
          <cell r="S56">
            <v>420000</v>
          </cell>
        </row>
        <row r="57">
          <cell r="A57" t="str">
            <v>中部</v>
          </cell>
          <cell r="B57">
            <v>47000</v>
          </cell>
          <cell r="C57">
            <v>52000</v>
          </cell>
          <cell r="D57">
            <v>74000</v>
          </cell>
          <cell r="E57">
            <v>87000</v>
          </cell>
          <cell r="F57">
            <v>93000</v>
          </cell>
          <cell r="G57">
            <v>106000</v>
          </cell>
          <cell r="H57">
            <v>144000</v>
          </cell>
          <cell r="I57">
            <v>78860</v>
          </cell>
          <cell r="J57">
            <v>84000</v>
          </cell>
          <cell r="K57">
            <v>92260</v>
          </cell>
          <cell r="L57">
            <v>103560</v>
          </cell>
          <cell r="M57">
            <v>117330</v>
          </cell>
          <cell r="N57">
            <v>138840</v>
          </cell>
          <cell r="O57">
            <v>39000</v>
          </cell>
          <cell r="P57">
            <v>200000</v>
          </cell>
          <cell r="Q57">
            <v>225000</v>
          </cell>
          <cell r="R57">
            <v>301000</v>
          </cell>
          <cell r="S57">
            <v>417000</v>
          </cell>
        </row>
        <row r="58">
          <cell r="A58" t="str">
            <v>中国</v>
          </cell>
          <cell r="B58">
            <v>52000</v>
          </cell>
          <cell r="C58">
            <v>55000</v>
          </cell>
          <cell r="D58">
            <v>78000</v>
          </cell>
          <cell r="E58">
            <v>88000</v>
          </cell>
          <cell r="F58">
            <v>98000</v>
          </cell>
          <cell r="G58">
            <v>110000</v>
          </cell>
          <cell r="H58">
            <v>150000</v>
          </cell>
          <cell r="I58">
            <v>75530</v>
          </cell>
          <cell r="J58">
            <v>80480</v>
          </cell>
          <cell r="K58">
            <v>92980</v>
          </cell>
          <cell r="L58">
            <v>101310</v>
          </cell>
          <cell r="M58">
            <v>112110</v>
          </cell>
          <cell r="N58">
            <v>139400</v>
          </cell>
          <cell r="O58">
            <v>38000</v>
          </cell>
          <cell r="P58">
            <v>200000</v>
          </cell>
          <cell r="Q58">
            <v>230000</v>
          </cell>
          <cell r="R58">
            <v>320000</v>
          </cell>
          <cell r="S58">
            <v>470000</v>
          </cell>
        </row>
        <row r="59">
          <cell r="A59" t="str">
            <v>四国</v>
          </cell>
          <cell r="B59">
            <v>48000</v>
          </cell>
          <cell r="C59">
            <v>53000</v>
          </cell>
          <cell r="D59">
            <v>73000</v>
          </cell>
          <cell r="E59">
            <v>86000</v>
          </cell>
          <cell r="F59">
            <v>95000</v>
          </cell>
          <cell r="G59">
            <v>107000</v>
          </cell>
          <cell r="H59">
            <v>140000</v>
          </cell>
          <cell r="I59">
            <v>83860</v>
          </cell>
          <cell r="J59">
            <v>92980</v>
          </cell>
          <cell r="K59">
            <v>101310</v>
          </cell>
          <cell r="L59">
            <v>109650</v>
          </cell>
          <cell r="M59">
            <v>120440</v>
          </cell>
          <cell r="N59">
            <v>137320</v>
          </cell>
          <cell r="O59">
            <v>38000</v>
          </cell>
          <cell r="P59">
            <v>196000</v>
          </cell>
          <cell r="Q59">
            <v>233000</v>
          </cell>
          <cell r="R59">
            <v>328000</v>
          </cell>
          <cell r="S59">
            <v>470000</v>
          </cell>
        </row>
        <row r="60">
          <cell r="A60" t="str">
            <v>北陸</v>
          </cell>
          <cell r="B60">
            <v>46000</v>
          </cell>
          <cell r="C60">
            <v>52000</v>
          </cell>
          <cell r="D60">
            <v>74000</v>
          </cell>
          <cell r="E60">
            <v>85000</v>
          </cell>
          <cell r="F60">
            <v>90000</v>
          </cell>
          <cell r="G60">
            <v>102000</v>
          </cell>
          <cell r="H60">
            <v>125000</v>
          </cell>
          <cell r="I60">
            <v>79690</v>
          </cell>
          <cell r="J60">
            <v>92980</v>
          </cell>
          <cell r="K60">
            <v>94650</v>
          </cell>
          <cell r="L60">
            <v>109650</v>
          </cell>
          <cell r="M60">
            <v>112110</v>
          </cell>
          <cell r="N60">
            <v>137320</v>
          </cell>
          <cell r="O60">
            <v>36000</v>
          </cell>
          <cell r="P60">
            <v>195000</v>
          </cell>
          <cell r="Q60">
            <v>226000</v>
          </cell>
          <cell r="R60">
            <v>317000</v>
          </cell>
          <cell r="S60">
            <v>464000</v>
          </cell>
        </row>
        <row r="61">
          <cell r="A61" t="str">
            <v>東北</v>
          </cell>
          <cell r="B61">
            <v>53000</v>
          </cell>
          <cell r="C61">
            <v>58000</v>
          </cell>
          <cell r="D61">
            <v>80000</v>
          </cell>
          <cell r="E61">
            <v>92000</v>
          </cell>
          <cell r="F61">
            <v>99000</v>
          </cell>
          <cell r="G61">
            <v>110000</v>
          </cell>
          <cell r="H61">
            <v>140000</v>
          </cell>
          <cell r="I61">
            <v>83860</v>
          </cell>
          <cell r="J61">
            <v>92980</v>
          </cell>
          <cell r="K61">
            <v>105480</v>
          </cell>
          <cell r="L61">
            <v>109650</v>
          </cell>
          <cell r="M61">
            <v>128780</v>
          </cell>
          <cell r="N61">
            <v>149820</v>
          </cell>
          <cell r="O61">
            <v>43000</v>
          </cell>
          <cell r="P61">
            <v>210000</v>
          </cell>
          <cell r="Q61">
            <v>240000</v>
          </cell>
          <cell r="R61">
            <v>340000</v>
          </cell>
          <cell r="S61">
            <v>450000</v>
          </cell>
        </row>
        <row r="62">
          <cell r="A62" t="str">
            <v>九州</v>
          </cell>
          <cell r="B62">
            <v>48000</v>
          </cell>
          <cell r="C62">
            <v>51000</v>
          </cell>
          <cell r="D62">
            <v>75000</v>
          </cell>
          <cell r="E62">
            <v>87000</v>
          </cell>
          <cell r="F62">
            <v>94000</v>
          </cell>
          <cell r="G62">
            <v>102000</v>
          </cell>
          <cell r="H62">
            <v>140000</v>
          </cell>
          <cell r="I62">
            <v>79280</v>
          </cell>
          <cell r="J62">
            <v>87560</v>
          </cell>
          <cell r="K62">
            <v>96310</v>
          </cell>
          <cell r="L62">
            <v>106310</v>
          </cell>
          <cell r="M62">
            <v>113360</v>
          </cell>
          <cell r="N62">
            <v>135240</v>
          </cell>
          <cell r="O62">
            <v>37000</v>
          </cell>
          <cell r="P62">
            <v>200000</v>
          </cell>
          <cell r="Q62">
            <v>241000</v>
          </cell>
          <cell r="R62">
            <v>349000</v>
          </cell>
          <cell r="S62">
            <v>470000</v>
          </cell>
        </row>
        <row r="63">
          <cell r="A63" t="str">
            <v>沖縄</v>
          </cell>
          <cell r="B63">
            <v>48000</v>
          </cell>
          <cell r="C63">
            <v>52000</v>
          </cell>
          <cell r="D63">
            <v>73000</v>
          </cell>
          <cell r="E63">
            <v>87000</v>
          </cell>
          <cell r="F63">
            <v>93000</v>
          </cell>
          <cell r="G63">
            <v>100000</v>
          </cell>
          <cell r="H63">
            <v>160000</v>
          </cell>
          <cell r="I63">
            <v>92190</v>
          </cell>
          <cell r="J63">
            <v>105480</v>
          </cell>
          <cell r="K63">
            <v>113810</v>
          </cell>
          <cell r="L63">
            <v>122150</v>
          </cell>
          <cell r="M63">
            <v>137110</v>
          </cell>
          <cell r="N63">
            <v>158150</v>
          </cell>
          <cell r="O63">
            <v>36000</v>
          </cell>
          <cell r="P63">
            <v>228000</v>
          </cell>
          <cell r="Q63">
            <v>270000</v>
          </cell>
          <cell r="R63">
            <v>380000</v>
          </cell>
          <cell r="S63">
            <v>590000</v>
          </cell>
        </row>
        <row r="72">
          <cell r="I72">
            <v>80</v>
          </cell>
          <cell r="J72">
            <v>90</v>
          </cell>
          <cell r="K72">
            <v>100</v>
          </cell>
          <cell r="L72">
            <v>120</v>
          </cell>
          <cell r="M72">
            <v>150</v>
          </cell>
          <cell r="N72">
            <v>200</v>
          </cell>
        </row>
        <row r="73">
          <cell r="A73" t="str">
            <v>H1500①ふた部材下</v>
          </cell>
          <cell r="B73" t="str">
            <v>H1500</v>
          </cell>
          <cell r="C73" t="str">
            <v>①ふた部材下</v>
          </cell>
          <cell r="D73">
            <v>36360</v>
          </cell>
          <cell r="E73">
            <v>63800</v>
          </cell>
          <cell r="H73" t="str">
            <v>関東</v>
          </cell>
          <cell r="I73">
            <v>1750000</v>
          </cell>
          <cell r="J73">
            <v>2000000</v>
          </cell>
          <cell r="K73">
            <v>2300000</v>
          </cell>
          <cell r="L73">
            <v>2400000</v>
          </cell>
          <cell r="M73">
            <v>2900000</v>
          </cell>
          <cell r="N73">
            <v>3300000</v>
          </cell>
        </row>
        <row r="74">
          <cell r="A74" t="str">
            <v>H1500②本体部材下</v>
          </cell>
          <cell r="B74" t="str">
            <v>H1500</v>
          </cell>
          <cell r="C74" t="str">
            <v>②本体部材下</v>
          </cell>
          <cell r="D74">
            <v>44110</v>
          </cell>
          <cell r="E74">
            <v>77400</v>
          </cell>
          <cell r="H74" t="str">
            <v>近畿</v>
          </cell>
          <cell r="I74">
            <v>1450000</v>
          </cell>
          <cell r="J74">
            <v>1620000</v>
          </cell>
          <cell r="K74">
            <v>1780000</v>
          </cell>
          <cell r="L74">
            <v>1900000</v>
          </cell>
          <cell r="M74">
            <v>2250000</v>
          </cell>
          <cell r="N74">
            <v>2800000</v>
          </cell>
        </row>
        <row r="75">
          <cell r="A75" t="str">
            <v>H2000①ふた部材下</v>
          </cell>
          <cell r="B75" t="str">
            <v>H2000</v>
          </cell>
          <cell r="C75" t="str">
            <v>①ふた部材下</v>
          </cell>
          <cell r="D75">
            <v>52250</v>
          </cell>
          <cell r="E75">
            <v>95000</v>
          </cell>
          <cell r="H75" t="str">
            <v>中部</v>
          </cell>
          <cell r="I75">
            <v>1610000</v>
          </cell>
          <cell r="J75">
            <v>1710000</v>
          </cell>
          <cell r="K75">
            <v>1900000</v>
          </cell>
          <cell r="L75">
            <v>2160000</v>
          </cell>
          <cell r="M75">
            <v>2420000</v>
          </cell>
          <cell r="N75">
            <v>2910000</v>
          </cell>
        </row>
        <row r="76">
          <cell r="A76" t="str">
            <v>H2000②本体部材下</v>
          </cell>
          <cell r="B76" t="str">
            <v>H2000</v>
          </cell>
          <cell r="C76" t="str">
            <v>②本体部材下</v>
          </cell>
          <cell r="D76">
            <v>52740</v>
          </cell>
          <cell r="E76">
            <v>95900</v>
          </cell>
          <cell r="H76" t="str">
            <v>中国</v>
          </cell>
          <cell r="I76">
            <v>1600000</v>
          </cell>
          <cell r="J76">
            <v>1700000</v>
          </cell>
          <cell r="K76">
            <v>2000000</v>
          </cell>
          <cell r="L76">
            <v>2200000</v>
          </cell>
          <cell r="M76">
            <v>2400000</v>
          </cell>
          <cell r="N76">
            <v>3050000</v>
          </cell>
        </row>
        <row r="77">
          <cell r="A77" t="str">
            <v>H2500①ふた部材下</v>
          </cell>
          <cell r="B77" t="str">
            <v>H2500</v>
          </cell>
          <cell r="C77" t="str">
            <v>①ふた部材下</v>
          </cell>
          <cell r="D77">
            <v>64460</v>
          </cell>
          <cell r="E77">
            <v>117200</v>
          </cell>
          <cell r="H77" t="str">
            <v>四国</v>
          </cell>
          <cell r="I77">
            <v>1800000</v>
          </cell>
          <cell r="J77">
            <v>2000000</v>
          </cell>
          <cell r="K77">
            <v>2200000</v>
          </cell>
          <cell r="L77">
            <v>2400000</v>
          </cell>
          <cell r="M77">
            <v>2600000</v>
          </cell>
          <cell r="N77">
            <v>3000000</v>
          </cell>
        </row>
        <row r="78">
          <cell r="A78" t="str">
            <v>H2500②本体部材下</v>
          </cell>
          <cell r="B78" t="str">
            <v>H2500</v>
          </cell>
          <cell r="C78" t="str">
            <v>②本体部材下</v>
          </cell>
          <cell r="D78">
            <v>78320</v>
          </cell>
          <cell r="E78">
            <v>142400</v>
          </cell>
          <cell r="H78" t="str">
            <v>北陸</v>
          </cell>
          <cell r="I78">
            <v>1700000</v>
          </cell>
          <cell r="J78">
            <v>2000000</v>
          </cell>
          <cell r="K78">
            <v>2040000</v>
          </cell>
          <cell r="L78">
            <v>2400000</v>
          </cell>
          <cell r="M78">
            <v>2400000</v>
          </cell>
          <cell r="N78">
            <v>3000000</v>
          </cell>
        </row>
        <row r="79">
          <cell r="A79" t="str">
            <v>H3000①ふた部材下</v>
          </cell>
          <cell r="B79" t="str">
            <v>H3000</v>
          </cell>
          <cell r="C79" t="str">
            <v>①ふた部材下</v>
          </cell>
          <cell r="D79">
            <v>70560</v>
          </cell>
          <cell r="E79">
            <v>128300</v>
          </cell>
          <cell r="H79" t="str">
            <v>東北</v>
          </cell>
          <cell r="I79">
            <v>1800000</v>
          </cell>
          <cell r="J79">
            <v>2000000</v>
          </cell>
          <cell r="K79">
            <v>2300000</v>
          </cell>
          <cell r="L79">
            <v>2400000</v>
          </cell>
          <cell r="M79">
            <v>2800000</v>
          </cell>
          <cell r="N79">
            <v>3300000</v>
          </cell>
        </row>
        <row r="80">
          <cell r="A80" t="str">
            <v>H3000②本体部材下</v>
          </cell>
          <cell r="B80" t="str">
            <v>H3000</v>
          </cell>
          <cell r="C80" t="str">
            <v>②本体部材下</v>
          </cell>
          <cell r="D80">
            <v>85090</v>
          </cell>
          <cell r="E80">
            <v>172900</v>
          </cell>
          <cell r="H80" t="str">
            <v>九州</v>
          </cell>
          <cell r="I80">
            <v>1690000</v>
          </cell>
          <cell r="J80">
            <v>1870000</v>
          </cell>
          <cell r="K80">
            <v>2080000</v>
          </cell>
          <cell r="L80">
            <v>2320000</v>
          </cell>
          <cell r="M80">
            <v>2430000</v>
          </cell>
          <cell r="N80">
            <v>2950000</v>
          </cell>
        </row>
        <row r="81">
          <cell r="A81" t="str">
            <v>H3500①ふた部材下</v>
          </cell>
          <cell r="B81" t="str">
            <v>H3500</v>
          </cell>
          <cell r="C81" t="str">
            <v>①ふた部材下</v>
          </cell>
          <cell r="D81">
            <v>87720</v>
          </cell>
          <cell r="E81">
            <v>159500</v>
          </cell>
          <cell r="H81" t="str">
            <v>沖縄</v>
          </cell>
          <cell r="I81">
            <v>2000000</v>
          </cell>
          <cell r="J81">
            <v>2300000</v>
          </cell>
          <cell r="K81">
            <v>2500000</v>
          </cell>
          <cell r="L81">
            <v>2700000</v>
          </cell>
          <cell r="M81">
            <v>3000000</v>
          </cell>
          <cell r="N81">
            <v>3500000</v>
          </cell>
        </row>
        <row r="82">
          <cell r="A82" t="str">
            <v>H3500②本体部材下</v>
          </cell>
          <cell r="B82" t="str">
            <v>H3500</v>
          </cell>
          <cell r="C82" t="str">
            <v>②本体部材下</v>
          </cell>
          <cell r="D82">
            <v>109570</v>
          </cell>
          <cell r="E82">
            <v>217400</v>
          </cell>
        </row>
        <row r="83">
          <cell r="A83" t="str">
            <v>H4000①ふた部材下</v>
          </cell>
          <cell r="B83" t="str">
            <v>H4000</v>
          </cell>
          <cell r="C83" t="str">
            <v>①ふた部材下</v>
          </cell>
          <cell r="D83">
            <v>104880</v>
          </cell>
          <cell r="E83">
            <v>190700</v>
          </cell>
        </row>
        <row r="84">
          <cell r="A84" t="str">
            <v>H4000②本体部材下</v>
          </cell>
          <cell r="B84" t="str">
            <v>H4000</v>
          </cell>
          <cell r="C84" t="str">
            <v>②本体部材下</v>
          </cell>
          <cell r="D84">
            <v>127390</v>
          </cell>
          <cell r="E84">
            <v>249800</v>
          </cell>
        </row>
        <row r="85">
          <cell r="A85" t="str">
            <v>H4500①ふた部材下</v>
          </cell>
          <cell r="B85" t="str">
            <v>H4500</v>
          </cell>
          <cell r="C85" t="str">
            <v>①ふた部材下</v>
          </cell>
          <cell r="D85">
            <v>110990</v>
          </cell>
          <cell r="E85">
            <v>201800</v>
          </cell>
        </row>
        <row r="86">
          <cell r="A86" t="str">
            <v>H4500②本体部材下</v>
          </cell>
          <cell r="B86" t="str">
            <v>H4500</v>
          </cell>
          <cell r="C86" t="str">
            <v>②本体部材下</v>
          </cell>
          <cell r="D86">
            <v>147560</v>
          </cell>
          <cell r="E86">
            <v>268300</v>
          </cell>
        </row>
        <row r="87">
          <cell r="A87" t="str">
            <v>リアガード3段</v>
          </cell>
          <cell r="B87" t="str">
            <v>3段</v>
          </cell>
          <cell r="C87" t="str">
            <v>-</v>
          </cell>
          <cell r="D87">
            <v>45000</v>
          </cell>
          <cell r="E87">
            <v>60000</v>
          </cell>
        </row>
        <row r="88">
          <cell r="A88" t="str">
            <v>リアガード4段</v>
          </cell>
          <cell r="B88" t="str">
            <v>4段</v>
          </cell>
          <cell r="C88" t="str">
            <v>-</v>
          </cell>
          <cell r="D88">
            <v>60000</v>
          </cell>
          <cell r="E88">
            <v>80000</v>
          </cell>
        </row>
        <row r="89">
          <cell r="A89" t="str">
            <v>リアガード5段</v>
          </cell>
          <cell r="B89" t="str">
            <v>5段</v>
          </cell>
          <cell r="C89" t="str">
            <v>-</v>
          </cell>
          <cell r="D89">
            <v>75000</v>
          </cell>
          <cell r="E89">
            <v>100000</v>
          </cell>
        </row>
      </sheetData>
      <sheetData sheetId="10" refreshError="1">
        <row r="1">
          <cell r="A1">
            <v>2018</v>
          </cell>
        </row>
        <row r="3">
          <cell r="C3" t="str">
            <v>特殊作業員</v>
          </cell>
          <cell r="D3" t="str">
            <v>普通作業員</v>
          </cell>
          <cell r="E3" t="str">
            <v>軽作業員</v>
          </cell>
          <cell r="F3" t="str">
            <v>とび工</v>
          </cell>
          <cell r="G3" t="str">
            <v>ブロック工</v>
          </cell>
          <cell r="H3" t="str">
            <v>運転手（特殊）</v>
          </cell>
          <cell r="I3" t="str">
            <v>橋りょう世話役</v>
          </cell>
          <cell r="J3" t="str">
            <v>世話役</v>
          </cell>
          <cell r="K3" t="str">
            <v>型わく工</v>
          </cell>
          <cell r="L3" t="str">
            <v>左官</v>
          </cell>
          <cell r="M3" t="str">
            <v>防水工</v>
          </cell>
          <cell r="N3" t="str">
            <v>鉄筋工</v>
          </cell>
          <cell r="O3" t="str">
            <v>塗装工</v>
          </cell>
          <cell r="P3" t="str">
            <v>運転手（一般）</v>
          </cell>
          <cell r="Q3" t="str">
            <v>大工</v>
          </cell>
          <cell r="R3" t="str">
            <v>はつり工</v>
          </cell>
          <cell r="S3" t="str">
            <v>交通誘導員A</v>
          </cell>
          <cell r="T3" t="str">
            <v>交通誘導員B</v>
          </cell>
          <cell r="U3" t="str">
            <v>地域</v>
          </cell>
        </row>
        <row r="4">
          <cell r="B4" t="str">
            <v>北海道</v>
          </cell>
          <cell r="C4">
            <v>20500</v>
          </cell>
          <cell r="D4">
            <v>16900</v>
          </cell>
          <cell r="E4">
            <v>14000</v>
          </cell>
          <cell r="F4">
            <v>22600</v>
          </cell>
          <cell r="G4">
            <v>21600</v>
          </cell>
          <cell r="H4">
            <v>20200</v>
          </cell>
          <cell r="I4">
            <v>36700</v>
          </cell>
          <cell r="J4">
            <v>21500</v>
          </cell>
          <cell r="K4">
            <v>22300</v>
          </cell>
          <cell r="L4">
            <v>23900</v>
          </cell>
          <cell r="M4">
            <v>25100</v>
          </cell>
          <cell r="N4">
            <v>23100</v>
          </cell>
          <cell r="O4">
            <v>23100</v>
          </cell>
          <cell r="P4">
            <v>17200</v>
          </cell>
          <cell r="Q4">
            <v>23900</v>
          </cell>
          <cell r="R4">
            <v>24200</v>
          </cell>
          <cell r="S4">
            <v>13700</v>
          </cell>
          <cell r="T4">
            <v>11600</v>
          </cell>
          <cell r="U4" t="str">
            <v>北海道</v>
          </cell>
        </row>
        <row r="5">
          <cell r="B5" t="str">
            <v>青森</v>
          </cell>
          <cell r="C5">
            <v>23800</v>
          </cell>
          <cell r="D5">
            <v>17500</v>
          </cell>
          <cell r="E5">
            <v>13400</v>
          </cell>
          <cell r="F5">
            <v>23600</v>
          </cell>
          <cell r="G5">
            <v>25400</v>
          </cell>
          <cell r="H5">
            <v>25700</v>
          </cell>
          <cell r="I5">
            <v>35600</v>
          </cell>
          <cell r="J5">
            <v>25600</v>
          </cell>
          <cell r="K5">
            <v>28500</v>
          </cell>
          <cell r="L5">
            <v>25500</v>
          </cell>
          <cell r="M5">
            <v>22300</v>
          </cell>
          <cell r="N5">
            <v>25100</v>
          </cell>
          <cell r="O5">
            <v>21100</v>
          </cell>
          <cell r="P5">
            <v>23400</v>
          </cell>
          <cell r="Q5">
            <v>25300</v>
          </cell>
          <cell r="R5">
            <v>23500</v>
          </cell>
          <cell r="S5">
            <v>12700</v>
          </cell>
          <cell r="T5">
            <v>11200</v>
          </cell>
          <cell r="U5" t="str">
            <v>東北</v>
          </cell>
        </row>
        <row r="6">
          <cell r="B6" t="str">
            <v>岩手</v>
          </cell>
          <cell r="C6">
            <v>22900</v>
          </cell>
          <cell r="D6">
            <v>18900</v>
          </cell>
          <cell r="E6">
            <v>13900</v>
          </cell>
          <cell r="F6">
            <v>22600</v>
          </cell>
          <cell r="G6">
            <v>26600</v>
          </cell>
          <cell r="H6">
            <v>25400</v>
          </cell>
          <cell r="I6">
            <v>36800</v>
          </cell>
          <cell r="J6">
            <v>25500</v>
          </cell>
          <cell r="K6">
            <v>28700</v>
          </cell>
          <cell r="L6">
            <v>27000</v>
          </cell>
          <cell r="M6">
            <v>22400</v>
          </cell>
          <cell r="N6">
            <v>24900</v>
          </cell>
          <cell r="O6">
            <v>22000</v>
          </cell>
          <cell r="P6">
            <v>21500</v>
          </cell>
          <cell r="Q6">
            <v>25900</v>
          </cell>
          <cell r="R6">
            <v>23500</v>
          </cell>
          <cell r="S6">
            <v>13600</v>
          </cell>
          <cell r="T6">
            <v>11800</v>
          </cell>
          <cell r="U6" t="str">
            <v>東北</v>
          </cell>
        </row>
        <row r="7">
          <cell r="B7" t="str">
            <v>宮城</v>
          </cell>
          <cell r="C7">
            <v>24200</v>
          </cell>
          <cell r="D7">
            <v>18800</v>
          </cell>
          <cell r="E7">
            <v>14900</v>
          </cell>
          <cell r="F7">
            <v>25600</v>
          </cell>
          <cell r="G7">
            <v>27300</v>
          </cell>
          <cell r="H7">
            <v>26600</v>
          </cell>
          <cell r="I7">
            <v>40100</v>
          </cell>
          <cell r="J7">
            <v>25600</v>
          </cell>
          <cell r="K7">
            <v>32300</v>
          </cell>
          <cell r="L7">
            <v>29200</v>
          </cell>
          <cell r="M7">
            <v>24400</v>
          </cell>
          <cell r="N7">
            <v>29900</v>
          </cell>
          <cell r="O7">
            <v>25700</v>
          </cell>
          <cell r="P7">
            <v>23900</v>
          </cell>
          <cell r="Q7">
            <v>28100</v>
          </cell>
          <cell r="R7">
            <v>23200</v>
          </cell>
          <cell r="S7">
            <v>14900</v>
          </cell>
          <cell r="T7">
            <v>12700</v>
          </cell>
          <cell r="U7" t="str">
            <v>東北</v>
          </cell>
        </row>
        <row r="8">
          <cell r="B8" t="str">
            <v>秋田</v>
          </cell>
          <cell r="C8">
            <v>22400</v>
          </cell>
          <cell r="D8">
            <v>17700</v>
          </cell>
          <cell r="E8">
            <v>14300</v>
          </cell>
          <cell r="F8">
            <v>23300</v>
          </cell>
          <cell r="G8">
            <v>26600</v>
          </cell>
          <cell r="H8">
            <v>24700</v>
          </cell>
          <cell r="I8">
            <v>36600</v>
          </cell>
          <cell r="J8">
            <v>26400</v>
          </cell>
          <cell r="K8">
            <v>25600</v>
          </cell>
          <cell r="L8">
            <v>25700</v>
          </cell>
          <cell r="M8">
            <v>22800</v>
          </cell>
          <cell r="N8">
            <v>25600</v>
          </cell>
          <cell r="O8">
            <v>22700</v>
          </cell>
          <cell r="P8">
            <v>23900</v>
          </cell>
          <cell r="Q8">
            <v>27800</v>
          </cell>
          <cell r="R8">
            <v>23500</v>
          </cell>
          <cell r="S8">
            <v>12800</v>
          </cell>
          <cell r="T8">
            <v>11000</v>
          </cell>
          <cell r="U8" t="str">
            <v>東北</v>
          </cell>
        </row>
        <row r="9">
          <cell r="B9" t="str">
            <v>山形</v>
          </cell>
          <cell r="C9">
            <v>22500</v>
          </cell>
          <cell r="D9">
            <v>17700</v>
          </cell>
          <cell r="E9">
            <v>15000</v>
          </cell>
          <cell r="F9">
            <v>23400</v>
          </cell>
          <cell r="G9">
            <v>27400</v>
          </cell>
          <cell r="H9">
            <v>23400</v>
          </cell>
          <cell r="I9">
            <v>35800</v>
          </cell>
          <cell r="J9">
            <v>24700</v>
          </cell>
          <cell r="K9">
            <v>26100</v>
          </cell>
          <cell r="L9">
            <v>25300</v>
          </cell>
          <cell r="M9">
            <v>25500</v>
          </cell>
          <cell r="N9">
            <v>26100</v>
          </cell>
          <cell r="O9">
            <v>25300</v>
          </cell>
          <cell r="P9">
            <v>21200</v>
          </cell>
          <cell r="Q9">
            <v>24200</v>
          </cell>
          <cell r="R9">
            <v>23500</v>
          </cell>
          <cell r="S9">
            <v>14500</v>
          </cell>
          <cell r="T9">
            <v>12400</v>
          </cell>
          <cell r="U9" t="str">
            <v>東北</v>
          </cell>
        </row>
        <row r="10">
          <cell r="B10" t="str">
            <v>福島</v>
          </cell>
          <cell r="C10">
            <v>24300</v>
          </cell>
          <cell r="D10">
            <v>18700</v>
          </cell>
          <cell r="E10">
            <v>16200</v>
          </cell>
          <cell r="F10">
            <v>25400</v>
          </cell>
          <cell r="G10">
            <v>27800</v>
          </cell>
          <cell r="H10">
            <v>22600</v>
          </cell>
          <cell r="I10">
            <v>35800</v>
          </cell>
          <cell r="J10">
            <v>23300</v>
          </cell>
          <cell r="K10">
            <v>24200</v>
          </cell>
          <cell r="L10">
            <v>25400</v>
          </cell>
          <cell r="M10">
            <v>25200</v>
          </cell>
          <cell r="N10">
            <v>26400</v>
          </cell>
          <cell r="O10">
            <v>25400</v>
          </cell>
          <cell r="P10">
            <v>20400</v>
          </cell>
          <cell r="Q10">
            <v>26900</v>
          </cell>
          <cell r="R10">
            <v>23300</v>
          </cell>
          <cell r="S10">
            <v>14900</v>
          </cell>
          <cell r="T10">
            <v>12700</v>
          </cell>
          <cell r="U10" t="str">
            <v>東北</v>
          </cell>
        </row>
        <row r="11">
          <cell r="B11" t="str">
            <v>茨城</v>
          </cell>
          <cell r="C11">
            <v>21500</v>
          </cell>
          <cell r="D11">
            <v>19900</v>
          </cell>
          <cell r="E11">
            <v>13900</v>
          </cell>
          <cell r="F11">
            <v>25300</v>
          </cell>
          <cell r="G11">
            <v>25100</v>
          </cell>
          <cell r="H11">
            <v>23300</v>
          </cell>
          <cell r="I11">
            <v>33000</v>
          </cell>
          <cell r="J11">
            <v>23100</v>
          </cell>
          <cell r="K11">
            <v>24500</v>
          </cell>
          <cell r="L11">
            <v>26400</v>
          </cell>
          <cell r="M11">
            <v>26600</v>
          </cell>
          <cell r="N11">
            <v>24800</v>
          </cell>
          <cell r="O11">
            <v>24600</v>
          </cell>
          <cell r="P11">
            <v>19200</v>
          </cell>
          <cell r="Q11">
            <v>25600</v>
          </cell>
          <cell r="R11">
            <v>24600</v>
          </cell>
          <cell r="S11">
            <v>14400</v>
          </cell>
          <cell r="T11">
            <v>13100</v>
          </cell>
          <cell r="U11" t="str">
            <v>関東</v>
          </cell>
        </row>
        <row r="12">
          <cell r="B12" t="str">
            <v>栃木</v>
          </cell>
          <cell r="C12">
            <v>21300</v>
          </cell>
          <cell r="D12">
            <v>18700</v>
          </cell>
          <cell r="E12">
            <v>13800</v>
          </cell>
          <cell r="F12">
            <v>24000</v>
          </cell>
          <cell r="G12">
            <v>25200</v>
          </cell>
          <cell r="H12">
            <v>21000</v>
          </cell>
          <cell r="I12">
            <v>33400</v>
          </cell>
          <cell r="J12">
            <v>23000</v>
          </cell>
          <cell r="K12">
            <v>24400</v>
          </cell>
          <cell r="L12">
            <v>26700</v>
          </cell>
          <cell r="M12">
            <v>27500</v>
          </cell>
          <cell r="N12">
            <v>24900</v>
          </cell>
          <cell r="O12">
            <v>26000</v>
          </cell>
          <cell r="P12">
            <v>20000</v>
          </cell>
          <cell r="Q12">
            <v>26000</v>
          </cell>
          <cell r="R12">
            <v>24800</v>
          </cell>
          <cell r="S12">
            <v>14000</v>
          </cell>
          <cell r="T12">
            <v>12100</v>
          </cell>
          <cell r="U12" t="str">
            <v>関東</v>
          </cell>
        </row>
        <row r="13">
          <cell r="B13" t="str">
            <v>群馬</v>
          </cell>
          <cell r="C13">
            <v>21300</v>
          </cell>
          <cell r="D13">
            <v>19700</v>
          </cell>
          <cell r="E13">
            <v>14700</v>
          </cell>
          <cell r="F13">
            <v>22800</v>
          </cell>
          <cell r="G13">
            <v>25000</v>
          </cell>
          <cell r="H13">
            <v>21300</v>
          </cell>
          <cell r="I13">
            <v>33300</v>
          </cell>
          <cell r="J13">
            <v>23100</v>
          </cell>
          <cell r="K13">
            <v>24200</v>
          </cell>
          <cell r="L13">
            <v>23500</v>
          </cell>
          <cell r="M13">
            <v>25300</v>
          </cell>
          <cell r="N13">
            <v>24100</v>
          </cell>
          <cell r="O13">
            <v>22600</v>
          </cell>
          <cell r="P13">
            <v>17900</v>
          </cell>
          <cell r="Q13">
            <v>25100</v>
          </cell>
          <cell r="R13">
            <v>24800</v>
          </cell>
          <cell r="S13">
            <v>13400</v>
          </cell>
          <cell r="T13">
            <v>11800</v>
          </cell>
          <cell r="U13" t="str">
            <v>関東</v>
          </cell>
        </row>
        <row r="14">
          <cell r="B14" t="str">
            <v>埼玉</v>
          </cell>
          <cell r="C14">
            <v>22900</v>
          </cell>
          <cell r="D14">
            <v>20200</v>
          </cell>
          <cell r="E14">
            <v>14600</v>
          </cell>
          <cell r="F14">
            <v>26400</v>
          </cell>
          <cell r="G14">
            <v>25300</v>
          </cell>
          <cell r="H14">
            <v>24200</v>
          </cell>
          <cell r="I14">
            <v>33600</v>
          </cell>
          <cell r="J14">
            <v>23400</v>
          </cell>
          <cell r="K14">
            <v>25600</v>
          </cell>
          <cell r="L14">
            <v>26500</v>
          </cell>
          <cell r="M14">
            <v>28500</v>
          </cell>
          <cell r="N14">
            <v>26700</v>
          </cell>
          <cell r="O14">
            <v>26400</v>
          </cell>
          <cell r="P14">
            <v>21100</v>
          </cell>
          <cell r="Q14">
            <v>25300</v>
          </cell>
          <cell r="R14">
            <v>24800</v>
          </cell>
          <cell r="S14">
            <v>14300</v>
          </cell>
          <cell r="T14">
            <v>12600</v>
          </cell>
          <cell r="U14" t="str">
            <v>関東</v>
          </cell>
        </row>
        <row r="15">
          <cell r="B15" t="str">
            <v>千葉</v>
          </cell>
          <cell r="C15">
            <v>23700</v>
          </cell>
          <cell r="D15">
            <v>19900</v>
          </cell>
          <cell r="E15">
            <v>14500</v>
          </cell>
          <cell r="F15">
            <v>27300</v>
          </cell>
          <cell r="G15">
            <v>25300</v>
          </cell>
          <cell r="H15">
            <v>23600</v>
          </cell>
          <cell r="I15">
            <v>33600</v>
          </cell>
          <cell r="J15">
            <v>23900</v>
          </cell>
          <cell r="K15">
            <v>24800</v>
          </cell>
          <cell r="L15">
            <v>27000</v>
          </cell>
          <cell r="M15">
            <v>28600</v>
          </cell>
          <cell r="N15">
            <v>27700</v>
          </cell>
          <cell r="O15">
            <v>26600</v>
          </cell>
          <cell r="P15">
            <v>21000</v>
          </cell>
          <cell r="Q15">
            <v>25300</v>
          </cell>
          <cell r="R15">
            <v>24800</v>
          </cell>
          <cell r="S15">
            <v>14700</v>
          </cell>
          <cell r="T15">
            <v>12800</v>
          </cell>
          <cell r="U15" t="str">
            <v>関東</v>
          </cell>
        </row>
        <row r="16">
          <cell r="B16" t="str">
            <v>東京</v>
          </cell>
          <cell r="C16">
            <v>24200</v>
          </cell>
          <cell r="D16">
            <v>21100</v>
          </cell>
          <cell r="E16">
            <v>15100</v>
          </cell>
          <cell r="F16">
            <v>27000</v>
          </cell>
          <cell r="G16">
            <v>25300</v>
          </cell>
          <cell r="H16">
            <v>23800</v>
          </cell>
          <cell r="I16">
            <v>34000</v>
          </cell>
          <cell r="J16">
            <v>24600</v>
          </cell>
          <cell r="K16">
            <v>25700</v>
          </cell>
          <cell r="L16">
            <v>27300</v>
          </cell>
          <cell r="M16">
            <v>29600</v>
          </cell>
          <cell r="N16">
            <v>27200</v>
          </cell>
          <cell r="O16">
            <v>27900</v>
          </cell>
          <cell r="P16">
            <v>19700</v>
          </cell>
          <cell r="Q16">
            <v>25300</v>
          </cell>
          <cell r="R16">
            <v>24800</v>
          </cell>
          <cell r="S16">
            <v>15200</v>
          </cell>
          <cell r="T16">
            <v>13200</v>
          </cell>
          <cell r="U16" t="str">
            <v>関東</v>
          </cell>
        </row>
        <row r="17">
          <cell r="B17" t="str">
            <v>神奈川</v>
          </cell>
          <cell r="C17">
            <v>24400</v>
          </cell>
          <cell r="D17">
            <v>21100</v>
          </cell>
          <cell r="E17">
            <v>14800</v>
          </cell>
          <cell r="F17">
            <v>27100</v>
          </cell>
          <cell r="G17">
            <v>25100</v>
          </cell>
          <cell r="H17">
            <v>24700</v>
          </cell>
          <cell r="I17">
            <v>33200</v>
          </cell>
          <cell r="J17">
            <v>25100</v>
          </cell>
          <cell r="K17">
            <v>25600</v>
          </cell>
          <cell r="L17">
            <v>26600</v>
          </cell>
          <cell r="M17">
            <v>27100</v>
          </cell>
          <cell r="N17">
            <v>25600</v>
          </cell>
          <cell r="O17">
            <v>27900</v>
          </cell>
          <cell r="P17">
            <v>21100</v>
          </cell>
          <cell r="Q17">
            <v>25300</v>
          </cell>
          <cell r="R17">
            <v>24800</v>
          </cell>
          <cell r="S17">
            <v>15100</v>
          </cell>
          <cell r="T17">
            <v>13200</v>
          </cell>
          <cell r="U17" t="str">
            <v>関東</v>
          </cell>
        </row>
        <row r="18">
          <cell r="B18" t="str">
            <v>山梨</v>
          </cell>
          <cell r="C18">
            <v>23300</v>
          </cell>
          <cell r="D18">
            <v>21000</v>
          </cell>
          <cell r="E18">
            <v>14500</v>
          </cell>
          <cell r="F18">
            <v>24200</v>
          </cell>
          <cell r="G18">
            <v>24900</v>
          </cell>
          <cell r="H18">
            <v>23800</v>
          </cell>
          <cell r="I18">
            <v>32700</v>
          </cell>
          <cell r="J18">
            <v>23800</v>
          </cell>
          <cell r="K18">
            <v>25700</v>
          </cell>
          <cell r="L18">
            <v>26200</v>
          </cell>
          <cell r="M18">
            <v>26700</v>
          </cell>
          <cell r="N18">
            <v>25100</v>
          </cell>
          <cell r="O18">
            <v>26400</v>
          </cell>
          <cell r="P18">
            <v>20600</v>
          </cell>
          <cell r="Q18">
            <v>25400</v>
          </cell>
          <cell r="R18">
            <v>24800</v>
          </cell>
          <cell r="S18">
            <v>13800</v>
          </cell>
          <cell r="T18">
            <v>12100</v>
          </cell>
          <cell r="U18" t="str">
            <v>関東</v>
          </cell>
        </row>
        <row r="19">
          <cell r="B19" t="str">
            <v>長野</v>
          </cell>
          <cell r="C19">
            <v>22500</v>
          </cell>
          <cell r="D19">
            <v>19400</v>
          </cell>
          <cell r="E19">
            <v>15400</v>
          </cell>
          <cell r="F19">
            <v>23900</v>
          </cell>
          <cell r="G19">
            <v>23600</v>
          </cell>
          <cell r="H19">
            <v>21400</v>
          </cell>
          <cell r="I19">
            <v>32500</v>
          </cell>
          <cell r="J19">
            <v>23200</v>
          </cell>
          <cell r="K19">
            <v>22700</v>
          </cell>
          <cell r="L19">
            <v>22800</v>
          </cell>
          <cell r="M19">
            <v>25100</v>
          </cell>
          <cell r="N19">
            <v>23600</v>
          </cell>
          <cell r="O19">
            <v>23800</v>
          </cell>
          <cell r="P19">
            <v>18600</v>
          </cell>
          <cell r="Q19">
            <v>25000</v>
          </cell>
          <cell r="R19">
            <v>25100</v>
          </cell>
          <cell r="S19">
            <v>12800</v>
          </cell>
          <cell r="T19">
            <v>10900</v>
          </cell>
          <cell r="U19" t="str">
            <v>関東</v>
          </cell>
        </row>
        <row r="20">
          <cell r="B20" t="str">
            <v>新潟</v>
          </cell>
          <cell r="C20">
            <v>22000</v>
          </cell>
          <cell r="D20">
            <v>18600</v>
          </cell>
          <cell r="E20">
            <v>16300</v>
          </cell>
          <cell r="F20">
            <v>23300</v>
          </cell>
          <cell r="G20">
            <v>23900</v>
          </cell>
          <cell r="H20">
            <v>21800</v>
          </cell>
          <cell r="I20">
            <v>33000</v>
          </cell>
          <cell r="J20">
            <v>21400</v>
          </cell>
          <cell r="K20">
            <v>23200</v>
          </cell>
          <cell r="L20">
            <v>23200</v>
          </cell>
          <cell r="M20">
            <v>23600</v>
          </cell>
          <cell r="N20">
            <v>24400</v>
          </cell>
          <cell r="O20">
            <v>23800</v>
          </cell>
          <cell r="P20">
            <v>19100</v>
          </cell>
          <cell r="Q20">
            <v>23600</v>
          </cell>
          <cell r="R20">
            <v>23000</v>
          </cell>
          <cell r="S20">
            <v>14200</v>
          </cell>
          <cell r="T20">
            <v>12400</v>
          </cell>
          <cell r="U20" t="str">
            <v>北陸</v>
          </cell>
        </row>
        <row r="21">
          <cell r="B21" t="str">
            <v>富山</v>
          </cell>
          <cell r="C21">
            <v>24500</v>
          </cell>
          <cell r="D21">
            <v>19700</v>
          </cell>
          <cell r="E21">
            <v>15200</v>
          </cell>
          <cell r="F21">
            <v>26100</v>
          </cell>
          <cell r="G21">
            <v>24900</v>
          </cell>
          <cell r="H21">
            <v>23000</v>
          </cell>
          <cell r="I21">
            <v>33900</v>
          </cell>
          <cell r="J21">
            <v>22700</v>
          </cell>
          <cell r="K21">
            <v>25700</v>
          </cell>
          <cell r="L21">
            <v>24000</v>
          </cell>
          <cell r="M21">
            <v>23600</v>
          </cell>
          <cell r="N21">
            <v>26300</v>
          </cell>
          <cell r="O21">
            <v>25400</v>
          </cell>
          <cell r="P21">
            <v>19100</v>
          </cell>
          <cell r="Q21">
            <v>24200</v>
          </cell>
          <cell r="R21">
            <v>22900</v>
          </cell>
          <cell r="S21">
            <v>14100</v>
          </cell>
          <cell r="T21">
            <v>12800</v>
          </cell>
          <cell r="U21" t="str">
            <v>北陸</v>
          </cell>
        </row>
        <row r="22">
          <cell r="B22" t="str">
            <v>石川</v>
          </cell>
          <cell r="C22">
            <v>23600</v>
          </cell>
          <cell r="D22">
            <v>20300</v>
          </cell>
          <cell r="E22">
            <v>15100</v>
          </cell>
          <cell r="F22">
            <v>26100</v>
          </cell>
          <cell r="G22">
            <v>24900</v>
          </cell>
          <cell r="H22">
            <v>22500</v>
          </cell>
          <cell r="I22">
            <v>34400</v>
          </cell>
          <cell r="J22">
            <v>24200</v>
          </cell>
          <cell r="K22">
            <v>25100</v>
          </cell>
          <cell r="L22">
            <v>23500</v>
          </cell>
          <cell r="M22">
            <v>24500</v>
          </cell>
          <cell r="N22">
            <v>25800</v>
          </cell>
          <cell r="O22">
            <v>24900</v>
          </cell>
          <cell r="P22">
            <v>19900</v>
          </cell>
          <cell r="Q22">
            <v>24100</v>
          </cell>
          <cell r="R22">
            <v>22900</v>
          </cell>
          <cell r="S22">
            <v>14600</v>
          </cell>
          <cell r="T22">
            <v>12700</v>
          </cell>
          <cell r="U22" t="str">
            <v>北陸</v>
          </cell>
        </row>
        <row r="23">
          <cell r="B23" t="str">
            <v>岐阜</v>
          </cell>
          <cell r="C23">
            <v>22200</v>
          </cell>
          <cell r="D23">
            <v>19800</v>
          </cell>
          <cell r="E23">
            <v>14700</v>
          </cell>
          <cell r="F23">
            <v>25400</v>
          </cell>
          <cell r="G23">
            <v>26300</v>
          </cell>
          <cell r="H23">
            <v>23000</v>
          </cell>
          <cell r="I23">
            <v>32800</v>
          </cell>
          <cell r="J23">
            <v>23600</v>
          </cell>
          <cell r="K23">
            <v>26000</v>
          </cell>
          <cell r="L23">
            <v>23600</v>
          </cell>
          <cell r="M23">
            <v>24100</v>
          </cell>
          <cell r="N23">
            <v>24300</v>
          </cell>
          <cell r="O23">
            <v>24600</v>
          </cell>
          <cell r="P23">
            <v>19900</v>
          </cell>
          <cell r="Q23">
            <v>26200</v>
          </cell>
          <cell r="R23">
            <v>24800</v>
          </cell>
          <cell r="S23">
            <v>14200</v>
          </cell>
          <cell r="T23">
            <v>12800</v>
          </cell>
          <cell r="U23" t="str">
            <v>中部</v>
          </cell>
        </row>
        <row r="24">
          <cell r="B24" t="str">
            <v>静岡</v>
          </cell>
          <cell r="C24">
            <v>22000</v>
          </cell>
          <cell r="D24">
            <v>20900</v>
          </cell>
          <cell r="E24">
            <v>13400</v>
          </cell>
          <cell r="F24">
            <v>24600</v>
          </cell>
          <cell r="G24">
            <v>27500</v>
          </cell>
          <cell r="H24">
            <v>22500</v>
          </cell>
          <cell r="I24">
            <v>33100</v>
          </cell>
          <cell r="J24">
            <v>23800</v>
          </cell>
          <cell r="K24">
            <v>24600</v>
          </cell>
          <cell r="L24">
            <v>25000</v>
          </cell>
          <cell r="M24">
            <v>26500</v>
          </cell>
          <cell r="N24">
            <v>24900</v>
          </cell>
          <cell r="O24">
            <v>26200</v>
          </cell>
          <cell r="P24">
            <v>20200</v>
          </cell>
          <cell r="Q24">
            <v>26200</v>
          </cell>
          <cell r="R24">
            <v>24900</v>
          </cell>
          <cell r="S24">
            <v>14700</v>
          </cell>
          <cell r="T24">
            <v>12700</v>
          </cell>
          <cell r="U24" t="str">
            <v>中部</v>
          </cell>
        </row>
        <row r="25">
          <cell r="B25" t="str">
            <v>愛知</v>
          </cell>
          <cell r="C25">
            <v>23100</v>
          </cell>
          <cell r="D25">
            <v>19800</v>
          </cell>
          <cell r="E25">
            <v>15100</v>
          </cell>
          <cell r="F25">
            <v>26100</v>
          </cell>
          <cell r="G25">
            <v>27500</v>
          </cell>
          <cell r="H25">
            <v>22700</v>
          </cell>
          <cell r="I25">
            <v>32400</v>
          </cell>
          <cell r="J25">
            <v>23600</v>
          </cell>
          <cell r="K25">
            <v>26300</v>
          </cell>
          <cell r="L25">
            <v>24300</v>
          </cell>
          <cell r="M25">
            <v>26000</v>
          </cell>
          <cell r="N25">
            <v>24300</v>
          </cell>
          <cell r="O25">
            <v>25700</v>
          </cell>
          <cell r="P25">
            <v>20500</v>
          </cell>
          <cell r="Q25">
            <v>26200</v>
          </cell>
          <cell r="R25">
            <v>24800</v>
          </cell>
          <cell r="S25">
            <v>15100</v>
          </cell>
          <cell r="T25">
            <v>13000</v>
          </cell>
          <cell r="U25" t="str">
            <v>中部</v>
          </cell>
        </row>
        <row r="26">
          <cell r="B26" t="str">
            <v>三重</v>
          </cell>
          <cell r="C26">
            <v>22100</v>
          </cell>
          <cell r="D26">
            <v>19100</v>
          </cell>
          <cell r="E26">
            <v>14300</v>
          </cell>
          <cell r="F26">
            <v>26700</v>
          </cell>
          <cell r="G26">
            <v>24900</v>
          </cell>
          <cell r="H26">
            <v>22300</v>
          </cell>
          <cell r="I26">
            <v>33700</v>
          </cell>
          <cell r="J26">
            <v>22800</v>
          </cell>
          <cell r="K26">
            <v>24600</v>
          </cell>
          <cell r="L26">
            <v>23800</v>
          </cell>
          <cell r="M26">
            <v>25900</v>
          </cell>
          <cell r="N26">
            <v>24600</v>
          </cell>
          <cell r="O26">
            <v>25000</v>
          </cell>
          <cell r="P26">
            <v>19700</v>
          </cell>
          <cell r="Q26">
            <v>26200</v>
          </cell>
          <cell r="R26">
            <v>24900</v>
          </cell>
          <cell r="S26">
            <v>14400</v>
          </cell>
          <cell r="T26">
            <v>12400</v>
          </cell>
          <cell r="U26" t="str">
            <v>中部</v>
          </cell>
        </row>
        <row r="27">
          <cell r="B27" t="str">
            <v>福井</v>
          </cell>
          <cell r="C27">
            <v>20100</v>
          </cell>
          <cell r="D27">
            <v>17100</v>
          </cell>
          <cell r="E27">
            <v>13000</v>
          </cell>
          <cell r="F27">
            <v>21800</v>
          </cell>
          <cell r="G27">
            <v>22200</v>
          </cell>
          <cell r="H27">
            <v>19400</v>
          </cell>
          <cell r="I27">
            <v>32100</v>
          </cell>
          <cell r="J27">
            <v>22100</v>
          </cell>
          <cell r="K27">
            <v>21900</v>
          </cell>
          <cell r="L27">
            <v>21400</v>
          </cell>
          <cell r="M27">
            <v>22500</v>
          </cell>
          <cell r="N27">
            <v>22100</v>
          </cell>
          <cell r="O27">
            <v>23500</v>
          </cell>
          <cell r="P27">
            <v>19000</v>
          </cell>
          <cell r="Q27">
            <v>20600</v>
          </cell>
          <cell r="R27">
            <v>22700</v>
          </cell>
          <cell r="S27">
            <v>13400</v>
          </cell>
          <cell r="T27">
            <v>11800</v>
          </cell>
          <cell r="U27" t="str">
            <v>近畿</v>
          </cell>
        </row>
        <row r="28">
          <cell r="B28" t="str">
            <v>滋賀</v>
          </cell>
          <cell r="C28">
            <v>20300</v>
          </cell>
          <cell r="D28">
            <v>18300</v>
          </cell>
          <cell r="E28">
            <v>13900</v>
          </cell>
          <cell r="F28">
            <v>23100</v>
          </cell>
          <cell r="G28">
            <v>22900</v>
          </cell>
          <cell r="H28">
            <v>20500</v>
          </cell>
          <cell r="I28">
            <v>31700</v>
          </cell>
          <cell r="J28">
            <v>22300</v>
          </cell>
          <cell r="K28">
            <v>22200</v>
          </cell>
          <cell r="L28">
            <v>22100</v>
          </cell>
          <cell r="M28">
            <v>23100</v>
          </cell>
          <cell r="N28">
            <v>23200</v>
          </cell>
          <cell r="O28">
            <v>23500</v>
          </cell>
          <cell r="P28">
            <v>18200</v>
          </cell>
          <cell r="Q28">
            <v>21500</v>
          </cell>
          <cell r="R28">
            <v>22600</v>
          </cell>
          <cell r="S28">
            <v>12900</v>
          </cell>
          <cell r="T28">
            <v>10900</v>
          </cell>
          <cell r="U28" t="str">
            <v>近畿</v>
          </cell>
        </row>
        <row r="29">
          <cell r="B29" t="str">
            <v>京都</v>
          </cell>
          <cell r="C29">
            <v>19800</v>
          </cell>
          <cell r="D29">
            <v>19100</v>
          </cell>
          <cell r="E29">
            <v>13100</v>
          </cell>
          <cell r="F29">
            <v>22800</v>
          </cell>
          <cell r="G29">
            <v>23100</v>
          </cell>
          <cell r="H29">
            <v>19500</v>
          </cell>
          <cell r="I29">
            <v>31700</v>
          </cell>
          <cell r="J29">
            <v>22000</v>
          </cell>
          <cell r="K29">
            <v>22900</v>
          </cell>
          <cell r="L29">
            <v>22400</v>
          </cell>
          <cell r="M29">
            <v>23100</v>
          </cell>
          <cell r="N29">
            <v>22400</v>
          </cell>
          <cell r="O29">
            <v>24300</v>
          </cell>
          <cell r="P29">
            <v>17400</v>
          </cell>
          <cell r="Q29">
            <v>21300</v>
          </cell>
          <cell r="R29">
            <v>22600</v>
          </cell>
          <cell r="S29">
            <v>13000</v>
          </cell>
          <cell r="T29">
            <v>10500</v>
          </cell>
          <cell r="U29" t="str">
            <v>近畿</v>
          </cell>
        </row>
        <row r="30">
          <cell r="B30" t="str">
            <v>大阪</v>
          </cell>
          <cell r="C30">
            <v>21200</v>
          </cell>
          <cell r="D30">
            <v>18700</v>
          </cell>
          <cell r="E30">
            <v>13000</v>
          </cell>
          <cell r="F30">
            <v>24300</v>
          </cell>
          <cell r="G30">
            <v>22900</v>
          </cell>
          <cell r="H30">
            <v>21000</v>
          </cell>
          <cell r="I30">
            <v>32300</v>
          </cell>
          <cell r="J30">
            <v>22800</v>
          </cell>
          <cell r="K30">
            <v>24100</v>
          </cell>
          <cell r="L30">
            <v>22500</v>
          </cell>
          <cell r="M30">
            <v>23200</v>
          </cell>
          <cell r="N30">
            <v>22800</v>
          </cell>
          <cell r="O30">
            <v>25000</v>
          </cell>
          <cell r="P30">
            <v>17600</v>
          </cell>
          <cell r="Q30">
            <v>20900</v>
          </cell>
          <cell r="R30">
            <v>22600</v>
          </cell>
          <cell r="S30">
            <v>12800</v>
          </cell>
          <cell r="T30">
            <v>11100</v>
          </cell>
          <cell r="U30" t="str">
            <v>近畿</v>
          </cell>
        </row>
        <row r="31">
          <cell r="B31" t="str">
            <v>兵庫</v>
          </cell>
          <cell r="C31">
            <v>19100</v>
          </cell>
          <cell r="D31">
            <v>18900</v>
          </cell>
          <cell r="E31">
            <v>12500</v>
          </cell>
          <cell r="F31">
            <v>23100</v>
          </cell>
          <cell r="G31">
            <v>23000</v>
          </cell>
          <cell r="H31">
            <v>19700</v>
          </cell>
          <cell r="I31">
            <v>32000</v>
          </cell>
          <cell r="J31">
            <v>21700</v>
          </cell>
          <cell r="K31">
            <v>22700</v>
          </cell>
          <cell r="L31">
            <v>21400</v>
          </cell>
          <cell r="M31">
            <v>22400</v>
          </cell>
          <cell r="N31">
            <v>21400</v>
          </cell>
          <cell r="O31">
            <v>22400</v>
          </cell>
          <cell r="P31">
            <v>17400</v>
          </cell>
          <cell r="Q31">
            <v>21200</v>
          </cell>
          <cell r="R31">
            <v>22600</v>
          </cell>
          <cell r="S31">
            <v>13100</v>
          </cell>
          <cell r="T31">
            <v>10900</v>
          </cell>
          <cell r="U31" t="str">
            <v>近畿</v>
          </cell>
        </row>
        <row r="32">
          <cell r="B32" t="str">
            <v>奈良</v>
          </cell>
          <cell r="C32">
            <v>21400</v>
          </cell>
          <cell r="D32">
            <v>18800</v>
          </cell>
          <cell r="E32">
            <v>13800</v>
          </cell>
          <cell r="F32">
            <v>23600</v>
          </cell>
          <cell r="G32">
            <v>23100</v>
          </cell>
          <cell r="H32">
            <v>20300</v>
          </cell>
          <cell r="I32">
            <v>31500</v>
          </cell>
          <cell r="J32">
            <v>23000</v>
          </cell>
          <cell r="K32">
            <v>23800</v>
          </cell>
          <cell r="L32">
            <v>23000</v>
          </cell>
          <cell r="M32">
            <v>23100</v>
          </cell>
          <cell r="N32">
            <v>22900</v>
          </cell>
          <cell r="O32">
            <v>24900</v>
          </cell>
          <cell r="P32">
            <v>17800</v>
          </cell>
          <cell r="Q32">
            <v>21500</v>
          </cell>
          <cell r="R32">
            <v>22600</v>
          </cell>
          <cell r="S32">
            <v>13200</v>
          </cell>
          <cell r="T32">
            <v>11000</v>
          </cell>
          <cell r="U32" t="str">
            <v>近畿</v>
          </cell>
        </row>
        <row r="33">
          <cell r="B33" t="str">
            <v>和歌山</v>
          </cell>
          <cell r="C33">
            <v>20700</v>
          </cell>
          <cell r="D33">
            <v>19000</v>
          </cell>
          <cell r="E33">
            <v>13000</v>
          </cell>
          <cell r="F33">
            <v>23400</v>
          </cell>
          <cell r="G33">
            <v>23100</v>
          </cell>
          <cell r="H33">
            <v>19100</v>
          </cell>
          <cell r="I33">
            <v>31600</v>
          </cell>
          <cell r="J33">
            <v>23000</v>
          </cell>
          <cell r="K33">
            <v>24200</v>
          </cell>
          <cell r="L33">
            <v>22600</v>
          </cell>
          <cell r="M33">
            <v>22900</v>
          </cell>
          <cell r="N33">
            <v>22000</v>
          </cell>
          <cell r="O33">
            <v>24300</v>
          </cell>
          <cell r="P33">
            <v>17300</v>
          </cell>
          <cell r="Q33">
            <v>21300</v>
          </cell>
          <cell r="R33">
            <v>22600</v>
          </cell>
          <cell r="S33">
            <v>12800</v>
          </cell>
          <cell r="T33">
            <v>10900</v>
          </cell>
          <cell r="U33" t="str">
            <v>近畿</v>
          </cell>
        </row>
        <row r="34">
          <cell r="B34" t="str">
            <v>鳥取</v>
          </cell>
          <cell r="C34">
            <v>18200</v>
          </cell>
          <cell r="D34">
            <v>14800</v>
          </cell>
          <cell r="E34">
            <v>13000</v>
          </cell>
          <cell r="F34">
            <v>21300</v>
          </cell>
          <cell r="G34">
            <v>19200</v>
          </cell>
          <cell r="H34">
            <v>17000</v>
          </cell>
          <cell r="I34">
            <v>29500</v>
          </cell>
          <cell r="J34">
            <v>19800</v>
          </cell>
          <cell r="K34">
            <v>20700</v>
          </cell>
          <cell r="L34">
            <v>20200</v>
          </cell>
          <cell r="M34">
            <v>22700</v>
          </cell>
          <cell r="N34">
            <v>21000</v>
          </cell>
          <cell r="O34">
            <v>20900</v>
          </cell>
          <cell r="P34">
            <v>14900</v>
          </cell>
          <cell r="Q34">
            <v>21000</v>
          </cell>
          <cell r="R34">
            <v>20900</v>
          </cell>
          <cell r="S34">
            <v>13400</v>
          </cell>
          <cell r="T34">
            <v>10700</v>
          </cell>
          <cell r="U34" t="str">
            <v>中国</v>
          </cell>
        </row>
        <row r="35">
          <cell r="B35" t="str">
            <v>島根</v>
          </cell>
          <cell r="C35">
            <v>18500</v>
          </cell>
          <cell r="D35">
            <v>15900</v>
          </cell>
          <cell r="E35">
            <v>13100</v>
          </cell>
          <cell r="F35">
            <v>21200</v>
          </cell>
          <cell r="G35">
            <v>19200</v>
          </cell>
          <cell r="H35">
            <v>18500</v>
          </cell>
          <cell r="I35">
            <v>29200</v>
          </cell>
          <cell r="J35">
            <v>19000</v>
          </cell>
          <cell r="K35">
            <v>20000</v>
          </cell>
          <cell r="L35">
            <v>19500</v>
          </cell>
          <cell r="M35">
            <v>21600</v>
          </cell>
          <cell r="N35">
            <v>20300</v>
          </cell>
          <cell r="O35">
            <v>19400</v>
          </cell>
          <cell r="P35">
            <v>15200</v>
          </cell>
          <cell r="Q35">
            <v>21400</v>
          </cell>
          <cell r="R35">
            <v>20900</v>
          </cell>
          <cell r="S35">
            <v>13400</v>
          </cell>
          <cell r="T35">
            <v>11400</v>
          </cell>
          <cell r="U35" t="str">
            <v>中国</v>
          </cell>
        </row>
        <row r="36">
          <cell r="B36" t="str">
            <v>岡山</v>
          </cell>
          <cell r="C36">
            <v>19600</v>
          </cell>
          <cell r="D36">
            <v>17300</v>
          </cell>
          <cell r="E36">
            <v>13300</v>
          </cell>
          <cell r="F36">
            <v>22100</v>
          </cell>
          <cell r="G36">
            <v>19200</v>
          </cell>
          <cell r="H36">
            <v>19900</v>
          </cell>
          <cell r="I36">
            <v>29500</v>
          </cell>
          <cell r="J36">
            <v>20400</v>
          </cell>
          <cell r="K36">
            <v>21500</v>
          </cell>
          <cell r="L36">
            <v>20500</v>
          </cell>
          <cell r="M36">
            <v>23000</v>
          </cell>
          <cell r="N36">
            <v>21600</v>
          </cell>
          <cell r="O36">
            <v>20800</v>
          </cell>
          <cell r="P36">
            <v>17100</v>
          </cell>
          <cell r="Q36">
            <v>21000</v>
          </cell>
          <cell r="R36">
            <v>20900</v>
          </cell>
          <cell r="S36">
            <v>13900</v>
          </cell>
          <cell r="T36">
            <v>12000</v>
          </cell>
          <cell r="U36" t="str">
            <v>中国</v>
          </cell>
        </row>
        <row r="37">
          <cell r="B37" t="str">
            <v>広島</v>
          </cell>
          <cell r="C37">
            <v>19900</v>
          </cell>
          <cell r="D37">
            <v>18000</v>
          </cell>
          <cell r="E37">
            <v>13200</v>
          </cell>
          <cell r="F37">
            <v>21800</v>
          </cell>
          <cell r="G37">
            <v>19300</v>
          </cell>
          <cell r="H37">
            <v>20300</v>
          </cell>
          <cell r="I37">
            <v>29600</v>
          </cell>
          <cell r="J37">
            <v>19800</v>
          </cell>
          <cell r="K37">
            <v>20900</v>
          </cell>
          <cell r="L37">
            <v>20200</v>
          </cell>
          <cell r="M37">
            <v>22200</v>
          </cell>
          <cell r="N37">
            <v>21400</v>
          </cell>
          <cell r="O37">
            <v>19800</v>
          </cell>
          <cell r="P37">
            <v>17100</v>
          </cell>
          <cell r="Q37">
            <v>21300</v>
          </cell>
          <cell r="R37">
            <v>20900</v>
          </cell>
          <cell r="S37">
            <v>13900</v>
          </cell>
          <cell r="T37">
            <v>11800</v>
          </cell>
          <cell r="U37" t="str">
            <v>中国</v>
          </cell>
        </row>
        <row r="38">
          <cell r="B38" t="str">
            <v>山口</v>
          </cell>
          <cell r="C38">
            <v>18600</v>
          </cell>
          <cell r="D38">
            <v>16600</v>
          </cell>
          <cell r="E38">
            <v>13200</v>
          </cell>
          <cell r="F38">
            <v>21900</v>
          </cell>
          <cell r="G38">
            <v>19300</v>
          </cell>
          <cell r="H38">
            <v>18800</v>
          </cell>
          <cell r="I38">
            <v>29600</v>
          </cell>
          <cell r="J38">
            <v>20300</v>
          </cell>
          <cell r="K38">
            <v>20100</v>
          </cell>
          <cell r="L38">
            <v>20000</v>
          </cell>
          <cell r="M38">
            <v>22000</v>
          </cell>
          <cell r="N38">
            <v>20900</v>
          </cell>
          <cell r="O38">
            <v>19200</v>
          </cell>
          <cell r="P38">
            <v>16500</v>
          </cell>
          <cell r="Q38">
            <v>21600</v>
          </cell>
          <cell r="R38">
            <v>21000</v>
          </cell>
          <cell r="S38">
            <v>13700</v>
          </cell>
          <cell r="T38">
            <v>11400</v>
          </cell>
          <cell r="U38" t="str">
            <v>中国</v>
          </cell>
        </row>
        <row r="39">
          <cell r="B39" t="str">
            <v>徳島</v>
          </cell>
          <cell r="C39">
            <v>20400</v>
          </cell>
          <cell r="D39">
            <v>18300</v>
          </cell>
          <cell r="E39">
            <v>13700</v>
          </cell>
          <cell r="F39">
            <v>21700</v>
          </cell>
          <cell r="G39">
            <v>26600</v>
          </cell>
          <cell r="H39">
            <v>18300</v>
          </cell>
          <cell r="I39">
            <v>29000</v>
          </cell>
          <cell r="J39">
            <v>20800</v>
          </cell>
          <cell r="K39">
            <v>21300</v>
          </cell>
          <cell r="L39">
            <v>22000</v>
          </cell>
          <cell r="M39">
            <v>21700</v>
          </cell>
          <cell r="N39">
            <v>20700</v>
          </cell>
          <cell r="O39">
            <v>20300</v>
          </cell>
          <cell r="P39">
            <v>17100</v>
          </cell>
          <cell r="Q39">
            <v>21200</v>
          </cell>
          <cell r="R39">
            <v>20900</v>
          </cell>
          <cell r="S39">
            <v>13400</v>
          </cell>
          <cell r="T39">
            <v>12000</v>
          </cell>
          <cell r="U39" t="str">
            <v>四国</v>
          </cell>
        </row>
        <row r="40">
          <cell r="B40" t="str">
            <v>香川</v>
          </cell>
          <cell r="C40">
            <v>21200</v>
          </cell>
          <cell r="D40">
            <v>18800</v>
          </cell>
          <cell r="E40">
            <v>13700</v>
          </cell>
          <cell r="F40">
            <v>21800</v>
          </cell>
          <cell r="G40">
            <v>27300</v>
          </cell>
          <cell r="H40">
            <v>19600</v>
          </cell>
          <cell r="I40">
            <v>29300</v>
          </cell>
          <cell r="J40">
            <v>20800</v>
          </cell>
          <cell r="K40">
            <v>21200</v>
          </cell>
          <cell r="L40">
            <v>22000</v>
          </cell>
          <cell r="M40">
            <v>21800</v>
          </cell>
          <cell r="N40">
            <v>20900</v>
          </cell>
          <cell r="O40">
            <v>20300</v>
          </cell>
          <cell r="P40">
            <v>17900</v>
          </cell>
          <cell r="Q40">
            <v>21200</v>
          </cell>
          <cell r="R40">
            <v>20900</v>
          </cell>
          <cell r="S40">
            <v>13500</v>
          </cell>
          <cell r="T40">
            <v>12100</v>
          </cell>
          <cell r="U40" t="str">
            <v>四国</v>
          </cell>
        </row>
        <row r="41">
          <cell r="B41" t="str">
            <v>愛媛</v>
          </cell>
          <cell r="C41">
            <v>20000</v>
          </cell>
          <cell r="D41">
            <v>16400</v>
          </cell>
          <cell r="E41">
            <v>13300</v>
          </cell>
          <cell r="F41">
            <v>21600</v>
          </cell>
          <cell r="G41">
            <v>26500</v>
          </cell>
          <cell r="H41">
            <v>19900</v>
          </cell>
          <cell r="I41">
            <v>28300</v>
          </cell>
          <cell r="J41">
            <v>21800</v>
          </cell>
          <cell r="K41">
            <v>21100</v>
          </cell>
          <cell r="L41">
            <v>21800</v>
          </cell>
          <cell r="M41">
            <v>21500</v>
          </cell>
          <cell r="N41">
            <v>19700</v>
          </cell>
          <cell r="O41">
            <v>20200</v>
          </cell>
          <cell r="P41">
            <v>17600</v>
          </cell>
          <cell r="Q41">
            <v>21200</v>
          </cell>
          <cell r="R41">
            <v>20900</v>
          </cell>
          <cell r="S41">
            <v>12900</v>
          </cell>
          <cell r="T41">
            <v>10900</v>
          </cell>
          <cell r="U41" t="str">
            <v>四国</v>
          </cell>
        </row>
        <row r="42">
          <cell r="B42" t="str">
            <v>高知</v>
          </cell>
          <cell r="C42">
            <v>19800</v>
          </cell>
          <cell r="D42">
            <v>16700</v>
          </cell>
          <cell r="E42">
            <v>14100</v>
          </cell>
          <cell r="F42">
            <v>22000</v>
          </cell>
          <cell r="G42">
            <v>26500</v>
          </cell>
          <cell r="H42">
            <v>20300</v>
          </cell>
          <cell r="I42">
            <v>29000</v>
          </cell>
          <cell r="J42">
            <v>20600</v>
          </cell>
          <cell r="K42">
            <v>20800</v>
          </cell>
          <cell r="L42">
            <v>21700</v>
          </cell>
          <cell r="M42">
            <v>21500</v>
          </cell>
          <cell r="N42">
            <v>19800</v>
          </cell>
          <cell r="O42">
            <v>20500</v>
          </cell>
          <cell r="P42">
            <v>18000</v>
          </cell>
          <cell r="Q42">
            <v>21200</v>
          </cell>
          <cell r="R42">
            <v>20900</v>
          </cell>
          <cell r="S42">
            <v>12300</v>
          </cell>
          <cell r="T42">
            <v>10400</v>
          </cell>
          <cell r="U42" t="str">
            <v>四国</v>
          </cell>
        </row>
        <row r="43">
          <cell r="B43" t="str">
            <v>福岡</v>
          </cell>
          <cell r="C43">
            <v>21500</v>
          </cell>
          <cell r="D43">
            <v>19200</v>
          </cell>
          <cell r="E43">
            <v>13500</v>
          </cell>
          <cell r="F43">
            <v>23100</v>
          </cell>
          <cell r="G43">
            <v>23200</v>
          </cell>
          <cell r="H43">
            <v>20900</v>
          </cell>
          <cell r="I43">
            <v>33000</v>
          </cell>
          <cell r="J43">
            <v>22600</v>
          </cell>
          <cell r="K43">
            <v>22400</v>
          </cell>
          <cell r="L43">
            <v>22600</v>
          </cell>
          <cell r="M43">
            <v>22300</v>
          </cell>
          <cell r="N43">
            <v>22400</v>
          </cell>
          <cell r="O43">
            <v>23100</v>
          </cell>
          <cell r="P43">
            <v>18000</v>
          </cell>
          <cell r="Q43">
            <v>23800</v>
          </cell>
          <cell r="R43">
            <v>20400</v>
          </cell>
          <cell r="S43">
            <v>13200</v>
          </cell>
          <cell r="T43">
            <v>11700</v>
          </cell>
          <cell r="U43" t="str">
            <v>九州</v>
          </cell>
        </row>
        <row r="44">
          <cell r="B44" t="str">
            <v>佐賀</v>
          </cell>
          <cell r="C44">
            <v>19000</v>
          </cell>
          <cell r="D44">
            <v>16400</v>
          </cell>
          <cell r="E44">
            <v>13000</v>
          </cell>
          <cell r="F44">
            <v>21700</v>
          </cell>
          <cell r="G44">
            <v>23500</v>
          </cell>
          <cell r="H44">
            <v>23000</v>
          </cell>
          <cell r="I44">
            <v>33300</v>
          </cell>
          <cell r="J44">
            <v>21600</v>
          </cell>
          <cell r="K44">
            <v>24200</v>
          </cell>
          <cell r="L44">
            <v>22700</v>
          </cell>
          <cell r="M44">
            <v>22400</v>
          </cell>
          <cell r="N44">
            <v>22000</v>
          </cell>
          <cell r="O44">
            <v>23800</v>
          </cell>
          <cell r="P44">
            <v>18600</v>
          </cell>
          <cell r="Q44">
            <v>23900</v>
          </cell>
          <cell r="R44">
            <v>20400</v>
          </cell>
          <cell r="S44">
            <v>13100</v>
          </cell>
          <cell r="T44">
            <v>11500</v>
          </cell>
          <cell r="U44" t="str">
            <v>九州</v>
          </cell>
        </row>
        <row r="45">
          <cell r="B45" t="str">
            <v>長崎</v>
          </cell>
          <cell r="C45">
            <v>19800</v>
          </cell>
          <cell r="D45">
            <v>17300</v>
          </cell>
          <cell r="E45">
            <v>13800</v>
          </cell>
          <cell r="F45">
            <v>21600</v>
          </cell>
          <cell r="G45">
            <v>23300</v>
          </cell>
          <cell r="H45">
            <v>19600</v>
          </cell>
          <cell r="I45">
            <v>33200</v>
          </cell>
          <cell r="J45">
            <v>21200</v>
          </cell>
          <cell r="K45">
            <v>22100</v>
          </cell>
          <cell r="L45">
            <v>22600</v>
          </cell>
          <cell r="M45">
            <v>22100</v>
          </cell>
          <cell r="N45">
            <v>21900</v>
          </cell>
          <cell r="O45">
            <v>23400</v>
          </cell>
          <cell r="P45">
            <v>17200</v>
          </cell>
          <cell r="Q45">
            <v>23800</v>
          </cell>
          <cell r="R45">
            <v>20500</v>
          </cell>
          <cell r="S45">
            <v>13300</v>
          </cell>
          <cell r="T45">
            <v>12200</v>
          </cell>
          <cell r="U45" t="str">
            <v>九州</v>
          </cell>
        </row>
        <row r="46">
          <cell r="B46" t="str">
            <v>熊本</v>
          </cell>
          <cell r="C46">
            <v>20200</v>
          </cell>
          <cell r="D46">
            <v>17700</v>
          </cell>
          <cell r="E46">
            <v>14500</v>
          </cell>
          <cell r="F46">
            <v>22600</v>
          </cell>
          <cell r="G46">
            <v>23100</v>
          </cell>
          <cell r="H46">
            <v>20400</v>
          </cell>
          <cell r="I46">
            <v>32100</v>
          </cell>
          <cell r="J46">
            <v>22100</v>
          </cell>
          <cell r="K46">
            <v>22300</v>
          </cell>
          <cell r="L46">
            <v>22300</v>
          </cell>
          <cell r="M46">
            <v>22300</v>
          </cell>
          <cell r="N46">
            <v>22600</v>
          </cell>
          <cell r="O46">
            <v>23300</v>
          </cell>
          <cell r="P46">
            <v>17700</v>
          </cell>
          <cell r="Q46">
            <v>23800</v>
          </cell>
          <cell r="R46">
            <v>20600</v>
          </cell>
          <cell r="S46">
            <v>12900</v>
          </cell>
          <cell r="T46">
            <v>11100</v>
          </cell>
          <cell r="U46" t="str">
            <v>九州</v>
          </cell>
        </row>
        <row r="47">
          <cell r="B47" t="str">
            <v>大分</v>
          </cell>
          <cell r="C47">
            <v>19300</v>
          </cell>
          <cell r="D47">
            <v>16500</v>
          </cell>
          <cell r="E47">
            <v>13700</v>
          </cell>
          <cell r="F47">
            <v>22200</v>
          </cell>
          <cell r="G47">
            <v>22800</v>
          </cell>
          <cell r="H47">
            <v>21800</v>
          </cell>
          <cell r="I47">
            <v>32500</v>
          </cell>
          <cell r="J47">
            <v>22300</v>
          </cell>
          <cell r="K47">
            <v>21600</v>
          </cell>
          <cell r="L47">
            <v>22400</v>
          </cell>
          <cell r="M47">
            <v>22300</v>
          </cell>
          <cell r="N47">
            <v>22400</v>
          </cell>
          <cell r="O47">
            <v>22300</v>
          </cell>
          <cell r="P47">
            <v>19800</v>
          </cell>
          <cell r="Q47">
            <v>23500</v>
          </cell>
          <cell r="R47">
            <v>20400</v>
          </cell>
          <cell r="S47">
            <v>13100</v>
          </cell>
          <cell r="T47">
            <v>10600</v>
          </cell>
          <cell r="U47" t="str">
            <v>九州</v>
          </cell>
        </row>
        <row r="48">
          <cell r="B48" t="str">
            <v>宮崎</v>
          </cell>
          <cell r="C48">
            <v>21500</v>
          </cell>
          <cell r="D48">
            <v>16100</v>
          </cell>
          <cell r="E48">
            <v>13800</v>
          </cell>
          <cell r="F48">
            <v>22400</v>
          </cell>
          <cell r="G48">
            <v>22800</v>
          </cell>
          <cell r="H48">
            <v>21800</v>
          </cell>
          <cell r="I48">
            <v>33000</v>
          </cell>
          <cell r="J48">
            <v>22600</v>
          </cell>
          <cell r="K48">
            <v>22600</v>
          </cell>
          <cell r="L48">
            <v>22300</v>
          </cell>
          <cell r="M48">
            <v>22000</v>
          </cell>
          <cell r="N48">
            <v>21100</v>
          </cell>
          <cell r="O48">
            <v>22800</v>
          </cell>
          <cell r="P48">
            <v>18400</v>
          </cell>
          <cell r="Q48">
            <v>23300</v>
          </cell>
          <cell r="R48">
            <v>20400</v>
          </cell>
          <cell r="S48">
            <v>13100</v>
          </cell>
          <cell r="T48">
            <v>10200</v>
          </cell>
          <cell r="U48" t="str">
            <v>九州</v>
          </cell>
        </row>
        <row r="49">
          <cell r="B49" t="str">
            <v>鹿児島</v>
          </cell>
          <cell r="C49">
            <v>23600</v>
          </cell>
          <cell r="D49">
            <v>17400</v>
          </cell>
          <cell r="E49">
            <v>14800</v>
          </cell>
          <cell r="F49">
            <v>22800</v>
          </cell>
          <cell r="G49">
            <v>22800</v>
          </cell>
          <cell r="H49">
            <v>24100</v>
          </cell>
          <cell r="I49">
            <v>33300</v>
          </cell>
          <cell r="J49">
            <v>24500</v>
          </cell>
          <cell r="K49">
            <v>24900</v>
          </cell>
          <cell r="L49">
            <v>22700</v>
          </cell>
          <cell r="M49">
            <v>22100</v>
          </cell>
          <cell r="N49">
            <v>22300</v>
          </cell>
          <cell r="O49">
            <v>23200</v>
          </cell>
          <cell r="P49">
            <v>21100</v>
          </cell>
          <cell r="Q49">
            <v>23900</v>
          </cell>
          <cell r="R49">
            <v>20400</v>
          </cell>
          <cell r="S49">
            <v>14000</v>
          </cell>
          <cell r="T49">
            <v>11900</v>
          </cell>
          <cell r="U49" t="str">
            <v>九州</v>
          </cell>
        </row>
        <row r="50">
          <cell r="B50" t="str">
            <v>沖縄</v>
          </cell>
          <cell r="C50">
            <v>21200</v>
          </cell>
          <cell r="D50">
            <v>18700</v>
          </cell>
          <cell r="E50">
            <v>14400</v>
          </cell>
          <cell r="F50">
            <v>27300</v>
          </cell>
          <cell r="G50">
            <v>17200</v>
          </cell>
          <cell r="H50">
            <v>24100</v>
          </cell>
          <cell r="I50">
            <v>38400</v>
          </cell>
          <cell r="J50">
            <v>24000</v>
          </cell>
          <cell r="K50">
            <v>25800</v>
          </cell>
          <cell r="L50">
            <v>24900</v>
          </cell>
          <cell r="M50">
            <v>29500</v>
          </cell>
          <cell r="N50">
            <v>25000</v>
          </cell>
          <cell r="O50">
            <v>23700</v>
          </cell>
          <cell r="P50">
            <v>21200</v>
          </cell>
          <cell r="Q50">
            <v>23800</v>
          </cell>
          <cell r="R50">
            <v>17400</v>
          </cell>
          <cell r="S50">
            <v>11700</v>
          </cell>
          <cell r="T50">
            <v>10300</v>
          </cell>
          <cell r="U50" t="str">
            <v>沖縄</v>
          </cell>
        </row>
      </sheetData>
      <sheetData sheetId="11" refreshError="1">
        <row r="5">
          <cell r="C5" t="str">
            <v>大阪</v>
          </cell>
        </row>
        <row r="6">
          <cell r="C6" t="str">
            <v>H4500</v>
          </cell>
        </row>
        <row r="7">
          <cell r="C7">
            <v>5000</v>
          </cell>
        </row>
        <row r="8">
          <cell r="C8">
            <v>2</v>
          </cell>
        </row>
        <row r="9">
          <cell r="C9">
            <v>0</v>
          </cell>
          <cell r="H9">
            <v>2370.3049999999998</v>
          </cell>
        </row>
        <row r="12">
          <cell r="C12">
            <v>45</v>
          </cell>
        </row>
      </sheetData>
      <sheetData sheetId="12" refreshError="1">
        <row r="3">
          <cell r="B3" t="str">
            <v>関東営業所</v>
          </cell>
          <cell r="C3" t="str">
            <v>東京都千代田区麹町5-7-2(4F)
TEL:03-3263-0102  FAX:03-3263-2005</v>
          </cell>
        </row>
        <row r="4">
          <cell r="B4" t="str">
            <v>神奈川営業所</v>
          </cell>
          <cell r="C4" t="str">
            <v>神奈川県相模原市緑区西橋本5-1-1(ラ・フロール4階 4-F号室)
TEL:042-703-7390  FAX:042-703-7391</v>
          </cell>
        </row>
        <row r="5">
          <cell r="B5" t="str">
            <v>東北営業所</v>
          </cell>
          <cell r="C5" t="str">
            <v>宮城県仙台市青葉区錦町1-10-11(5F)
TEL:022-706-4016  FAX:022-212-5113</v>
          </cell>
        </row>
        <row r="6">
          <cell r="B6" t="str">
            <v>大阪営業所</v>
          </cell>
          <cell r="C6" t="str">
            <v>大阪府吹田市垂水町3-15-27（ホクコン大阪ビル5F）
TEL:06-6380-3650  FAX:06-6368-3486</v>
          </cell>
        </row>
        <row r="7">
          <cell r="B7" t="str">
            <v>和歌山営業所</v>
          </cell>
          <cell r="C7" t="str">
            <v>和歌山県和歌山市太田1-6-13（駅前第一ビル4F）
TEL:073-473-1280  FAX:073-473-1282</v>
          </cell>
        </row>
        <row r="8">
          <cell r="B8" t="str">
            <v>兵庫営業所</v>
          </cell>
          <cell r="C8" t="str">
            <v>兵庫県明石市本町1-2-29（明石追手ビル7F 703）
TEL:078-915-0017  FAX:078-915-0037</v>
          </cell>
        </row>
        <row r="9">
          <cell r="B9" t="str">
            <v>京都営業所</v>
          </cell>
          <cell r="C9" t="str">
            <v>京都府城陽市寺田南堤下8-1
TEL:0774-52-3389  FAX:0774-52-6702</v>
          </cell>
        </row>
        <row r="10">
          <cell r="B10" t="str">
            <v>奈良営業所</v>
          </cell>
          <cell r="C10" t="str">
            <v>奈良県奈良市北之庄町41-2（キノシタビル3F）
TEL:0742-50-3500  FAX:0742-50-3501</v>
          </cell>
        </row>
        <row r="11">
          <cell r="B11" t="str">
            <v>滋賀営業所</v>
          </cell>
          <cell r="C11" t="str">
            <v>滋賀県愛知郡愛荘町岩倉635
TEL:0749-37-2525  FAX:0749-37-2526</v>
          </cell>
        </row>
        <row r="12">
          <cell r="B12" t="str">
            <v>北近畿営業所</v>
          </cell>
          <cell r="C12" t="str">
            <v>京都府福知山市和久市町142-1
TEL:0773-22-2857  FAX:0773-22-6542</v>
          </cell>
        </row>
        <row r="13">
          <cell r="B13" t="str">
            <v>石川営業所</v>
          </cell>
          <cell r="C13" t="str">
            <v>石川県金沢市西念2-2-1（デスタン12ビル2F）
TEL:076-263-1321  FAX:076-263-1325</v>
          </cell>
        </row>
        <row r="14">
          <cell r="B14" t="str">
            <v>富山営業所</v>
          </cell>
          <cell r="C14" t="str">
            <v>富山県富山市布瀬本町4-12
TEL:076-422-0811  FAX:076-491-1473</v>
          </cell>
        </row>
        <row r="15">
          <cell r="B15" t="str">
            <v>魚津営業所</v>
          </cell>
          <cell r="C15" t="str">
            <v>富山県魚津市上村木1-14-14（ルネ宮田ビル２Ｆ）
TEL:0765-22-7720  FAX:0765-22-7727</v>
          </cell>
        </row>
        <row r="16">
          <cell r="B16" t="str">
            <v>福井営業所</v>
          </cell>
          <cell r="C16" t="str">
            <v>福井県福井市今市町66-20-2（ホクコン本社ビル）
TEL:0776-38-6360　　FAX:0776-38-6361</v>
          </cell>
        </row>
        <row r="17">
          <cell r="B17" t="str">
            <v>小浜営業所</v>
          </cell>
          <cell r="C17" t="str">
            <v>福井県小浜市千種1-3-20（千種ビル2A-1）
TEL:0770-52-1894  FAX:0770-52-2980</v>
          </cell>
        </row>
        <row r="18">
          <cell r="B18" t="str">
            <v>名古屋営業所</v>
          </cell>
          <cell r="C18" t="str">
            <v>愛知県名古屋市中村区岩塚本通2-1-2　MSビル3F
TEL:052-419-1010  FAX:052-413-1003</v>
          </cell>
        </row>
        <row r="19">
          <cell r="B19" t="str">
            <v>三河営業所</v>
          </cell>
          <cell r="C19" t="str">
            <v>愛知県岡崎市吹矢町89（鶴田ビル2F）
TEL:0564-22-7152  FAX:0564-22-7153</v>
          </cell>
        </row>
        <row r="20">
          <cell r="B20" t="str">
            <v>三重営業所</v>
          </cell>
          <cell r="C20" t="str">
            <v>三重県津市栄町2-478
TEL:059-226-2631  FAX:059-226-2665</v>
          </cell>
        </row>
        <row r="21">
          <cell r="B21" t="str">
            <v>岐阜営業所</v>
          </cell>
          <cell r="C21" t="str">
            <v>岐阜県岐阜市茜部菱野1-54（栄進ビル3F）
TEL:058-268-8730  FAX:058-268-8725</v>
          </cell>
        </row>
        <row r="22">
          <cell r="B22" t="str">
            <v>静岡営業所</v>
          </cell>
          <cell r="C22" t="str">
            <v>静岡県静岡市葵区黒金町59-6（大同生命静岡ビル10F）
TEL:054-250-0015  FAX:054-250-0017</v>
          </cell>
        </row>
        <row r="23">
          <cell r="B23" t="str">
            <v>富士営業所</v>
          </cell>
          <cell r="C23" t="str">
            <v>静岡県富士市加島町9-17（フェリックス富士4階）
TEL:0545-32-7541  FAX:0545-32-7547</v>
          </cell>
        </row>
        <row r="24">
          <cell r="B24" t="str">
            <v>山陰営業所</v>
          </cell>
          <cell r="C24" t="str">
            <v>鳥取県西伯郡大山町神原113-4
TEL:0859-53-4511  FAX:0859-53-4701</v>
          </cell>
        </row>
        <row r="25">
          <cell r="B25" t="str">
            <v>鳥取営業所</v>
          </cell>
          <cell r="C25" t="str">
            <v>鳥取県鳥取市秋里882-11（シティハイツアキサト101）
TEL:0857-23-4261  FAX:0857-23-6320</v>
          </cell>
        </row>
        <row r="26">
          <cell r="B26" t="str">
            <v>島根営業所</v>
          </cell>
          <cell r="C26" t="str">
            <v>島根県出雲市大津新崎町1-46-2（栄光ビル2FB）
TEL:0853-22-4511  FAX:0853-22-4531</v>
          </cell>
        </row>
      </sheetData>
      <sheetData sheetId="13" refreshError="1"/>
      <sheetData sheetId="14" refreshError="1"/>
      <sheetData sheetId="15" refreshError="1"/>
      <sheetData sheetId="16" refreshError="1"/>
      <sheetData sheetId="17" refreshError="1">
        <row r="74">
          <cell r="C74">
            <v>101</v>
          </cell>
        </row>
      </sheetData>
      <sheetData sheetId="18" refreshError="1"/>
      <sheetData sheetId="19" refreshError="1"/>
      <sheetData sheetId="20" refreshError="1"/>
      <sheetData sheetId="21" refreshError="1">
        <row r="2">
          <cell r="AI2">
            <v>0</v>
          </cell>
        </row>
        <row r="99">
          <cell r="AL99">
            <v>2500</v>
          </cell>
        </row>
      </sheetData>
      <sheetData sheetId="22" refreshError="1"/>
      <sheetData sheetId="23" refreshError="1"/>
      <sheetData sheetId="24" refreshError="1">
        <row r="160">
          <cell r="B160">
            <v>150</v>
          </cell>
          <cell r="C160">
            <v>202</v>
          </cell>
          <cell r="D160">
            <v>250</v>
          </cell>
        </row>
        <row r="161">
          <cell r="B161">
            <v>200</v>
          </cell>
          <cell r="C161">
            <v>254</v>
          </cell>
          <cell r="D161">
            <v>300</v>
          </cell>
        </row>
        <row r="162">
          <cell r="B162">
            <v>250</v>
          </cell>
          <cell r="C162">
            <v>306</v>
          </cell>
          <cell r="D162">
            <v>350</v>
          </cell>
        </row>
        <row r="163">
          <cell r="B163">
            <v>300</v>
          </cell>
          <cell r="C163">
            <v>360</v>
          </cell>
          <cell r="D163">
            <v>450</v>
          </cell>
        </row>
        <row r="164">
          <cell r="B164">
            <v>350</v>
          </cell>
          <cell r="C164">
            <v>414</v>
          </cell>
          <cell r="D164">
            <v>450</v>
          </cell>
        </row>
        <row r="165">
          <cell r="B165">
            <v>400</v>
          </cell>
          <cell r="C165">
            <v>470</v>
          </cell>
          <cell r="D165">
            <v>550</v>
          </cell>
        </row>
        <row r="166">
          <cell r="B166">
            <v>450</v>
          </cell>
          <cell r="C166">
            <v>526</v>
          </cell>
          <cell r="D166">
            <v>600</v>
          </cell>
        </row>
        <row r="167">
          <cell r="B167">
            <v>500</v>
          </cell>
          <cell r="C167">
            <v>584</v>
          </cell>
          <cell r="D167">
            <v>650</v>
          </cell>
        </row>
        <row r="168">
          <cell r="B168">
            <v>600</v>
          </cell>
          <cell r="C168">
            <v>700</v>
          </cell>
          <cell r="D168">
            <v>800</v>
          </cell>
        </row>
        <row r="169">
          <cell r="B169">
            <v>700</v>
          </cell>
          <cell r="C169">
            <v>816</v>
          </cell>
          <cell r="D169">
            <v>900</v>
          </cell>
        </row>
        <row r="170">
          <cell r="B170">
            <v>800</v>
          </cell>
          <cell r="C170">
            <v>932</v>
          </cell>
          <cell r="D170">
            <v>1000</v>
          </cell>
        </row>
        <row r="171">
          <cell r="B171">
            <v>900</v>
          </cell>
          <cell r="C171">
            <v>1050</v>
          </cell>
          <cell r="D171">
            <v>1150</v>
          </cell>
        </row>
        <row r="172">
          <cell r="B172">
            <v>1000</v>
          </cell>
          <cell r="C172">
            <v>1164</v>
          </cell>
          <cell r="D172">
            <v>1250</v>
          </cell>
        </row>
        <row r="173">
          <cell r="B173">
            <v>1100</v>
          </cell>
          <cell r="C173">
            <v>1276</v>
          </cell>
          <cell r="D173">
            <v>1350</v>
          </cell>
        </row>
        <row r="174">
          <cell r="B174">
            <v>1200</v>
          </cell>
          <cell r="C174">
            <v>1390</v>
          </cell>
          <cell r="D174">
            <v>1500</v>
          </cell>
        </row>
        <row r="175">
          <cell r="B175">
            <v>1350</v>
          </cell>
          <cell r="C175">
            <v>1556</v>
          </cell>
          <cell r="D175">
            <v>1650</v>
          </cell>
        </row>
        <row r="179">
          <cell r="B179">
            <v>50</v>
          </cell>
          <cell r="C179">
            <v>60</v>
          </cell>
          <cell r="D179">
            <v>150</v>
          </cell>
        </row>
        <row r="180">
          <cell r="B180">
            <v>65</v>
          </cell>
          <cell r="C180">
            <v>76</v>
          </cell>
          <cell r="D180">
            <v>150</v>
          </cell>
        </row>
        <row r="181">
          <cell r="B181">
            <v>75</v>
          </cell>
          <cell r="C181">
            <v>89</v>
          </cell>
          <cell r="D181">
            <v>150</v>
          </cell>
        </row>
        <row r="182">
          <cell r="B182">
            <v>100</v>
          </cell>
          <cell r="C182">
            <v>114</v>
          </cell>
          <cell r="D182">
            <v>200</v>
          </cell>
        </row>
        <row r="183">
          <cell r="B183">
            <v>125</v>
          </cell>
          <cell r="C183">
            <v>140</v>
          </cell>
          <cell r="D183">
            <v>200</v>
          </cell>
        </row>
        <row r="184">
          <cell r="B184">
            <v>150</v>
          </cell>
          <cell r="C184">
            <v>165</v>
          </cell>
          <cell r="D184">
            <v>250</v>
          </cell>
        </row>
        <row r="185">
          <cell r="B185">
            <v>200</v>
          </cell>
          <cell r="C185">
            <v>216</v>
          </cell>
          <cell r="D185">
            <v>300</v>
          </cell>
        </row>
        <row r="186">
          <cell r="B186">
            <v>250</v>
          </cell>
          <cell r="C186">
            <v>267</v>
          </cell>
          <cell r="D186">
            <v>350</v>
          </cell>
        </row>
        <row r="187">
          <cell r="B187">
            <v>300</v>
          </cell>
          <cell r="C187">
            <v>318</v>
          </cell>
          <cell r="D187">
            <v>400</v>
          </cell>
        </row>
        <row r="188">
          <cell r="B188">
            <v>350</v>
          </cell>
          <cell r="C188">
            <v>370</v>
          </cell>
          <cell r="D188">
            <v>450</v>
          </cell>
        </row>
        <row r="189">
          <cell r="B189">
            <v>400</v>
          </cell>
          <cell r="C189">
            <v>420</v>
          </cell>
          <cell r="D189">
            <v>500</v>
          </cell>
        </row>
        <row r="190">
          <cell r="B190">
            <v>450</v>
          </cell>
          <cell r="C190">
            <v>470</v>
          </cell>
          <cell r="D190">
            <v>550</v>
          </cell>
        </row>
        <row r="191">
          <cell r="B191">
            <v>500</v>
          </cell>
          <cell r="C191">
            <v>520</v>
          </cell>
          <cell r="D191">
            <v>600</v>
          </cell>
        </row>
        <row r="192">
          <cell r="B192">
            <v>600</v>
          </cell>
          <cell r="C192">
            <v>630</v>
          </cell>
          <cell r="D192">
            <v>700</v>
          </cell>
        </row>
      </sheetData>
      <sheetData sheetId="25" refreshError="1">
        <row r="3">
          <cell r="D3" t="str">
            <v>1500本体A</v>
          </cell>
          <cell r="E3">
            <v>6820</v>
          </cell>
          <cell r="F3" t="str">
            <v>H1500</v>
          </cell>
        </row>
        <row r="4">
          <cell r="D4" t="str">
            <v>1500本体A1</v>
          </cell>
          <cell r="E4">
            <v>7230</v>
          </cell>
          <cell r="F4" t="str">
            <v>H1500</v>
          </cell>
        </row>
        <row r="5">
          <cell r="D5" t="str">
            <v>1500本体A3</v>
          </cell>
          <cell r="E5">
            <v>7255</v>
          </cell>
          <cell r="F5" t="str">
            <v>H1500</v>
          </cell>
        </row>
        <row r="6">
          <cell r="D6" t="str">
            <v>1500本体A4</v>
          </cell>
          <cell r="E6">
            <v>6410</v>
          </cell>
          <cell r="F6" t="str">
            <v>H1500</v>
          </cell>
        </row>
        <row r="7">
          <cell r="D7" t="str">
            <v>1500本体A5</v>
          </cell>
          <cell r="E7">
            <v>6820</v>
          </cell>
          <cell r="F7" t="str">
            <v>H1500</v>
          </cell>
        </row>
        <row r="8">
          <cell r="D8" t="str">
            <v>1500本体B</v>
          </cell>
          <cell r="E8">
            <v>6580</v>
          </cell>
          <cell r="F8" t="str">
            <v>H1500</v>
          </cell>
        </row>
        <row r="9">
          <cell r="D9" t="str">
            <v>1500本体B1</v>
          </cell>
          <cell r="E9">
            <v>6990</v>
          </cell>
          <cell r="F9" t="str">
            <v>H1500</v>
          </cell>
        </row>
        <row r="10">
          <cell r="D10" t="str">
            <v>1500本体B2</v>
          </cell>
          <cell r="E10">
            <v>7400</v>
          </cell>
          <cell r="F10" t="str">
            <v>H1500</v>
          </cell>
        </row>
        <row r="11">
          <cell r="D11" t="str">
            <v>1500本体B3</v>
          </cell>
          <cell r="E11">
            <v>7185</v>
          </cell>
          <cell r="F11" t="str">
            <v>H1500</v>
          </cell>
        </row>
        <row r="12">
          <cell r="D12" t="str">
            <v>1500本体B4</v>
          </cell>
          <cell r="E12">
            <v>7015</v>
          </cell>
          <cell r="F12" t="str">
            <v>H1500</v>
          </cell>
        </row>
        <row r="13">
          <cell r="D13" t="str">
            <v>1500本体B5</v>
          </cell>
          <cell r="E13">
            <v>7425</v>
          </cell>
          <cell r="F13" t="str">
            <v>H1500</v>
          </cell>
        </row>
        <row r="14">
          <cell r="D14" t="str">
            <v>1500本体C</v>
          </cell>
          <cell r="E14">
            <v>7060</v>
          </cell>
          <cell r="F14" t="str">
            <v>H1500</v>
          </cell>
        </row>
        <row r="15">
          <cell r="D15" t="str">
            <v>1500端面A</v>
          </cell>
          <cell r="E15">
            <v>6880</v>
          </cell>
          <cell r="F15" t="str">
            <v>H1500</v>
          </cell>
        </row>
        <row r="16">
          <cell r="D16" t="str">
            <v>1500端面B</v>
          </cell>
          <cell r="E16">
            <v>6880</v>
          </cell>
          <cell r="F16" t="str">
            <v>H1500</v>
          </cell>
        </row>
        <row r="17">
          <cell r="D17" t="str">
            <v>1500端面C</v>
          </cell>
          <cell r="E17">
            <v>7075</v>
          </cell>
          <cell r="F17" t="str">
            <v>H1500</v>
          </cell>
        </row>
        <row r="18">
          <cell r="D18" t="str">
            <v>1500端面D15A</v>
          </cell>
          <cell r="E18">
            <v>3525</v>
          </cell>
          <cell r="F18" t="str">
            <v>3000×1900×250</v>
          </cell>
          <cell r="G18" t="str">
            <v>B=3.0m</v>
          </cell>
        </row>
        <row r="19">
          <cell r="D19" t="str">
            <v>1500端面D15B</v>
          </cell>
          <cell r="E19">
            <v>2930</v>
          </cell>
          <cell r="F19" t="str">
            <v>2500×1900×250</v>
          </cell>
          <cell r="G19" t="str">
            <v>B=2.5m</v>
          </cell>
        </row>
        <row r="20">
          <cell r="D20" t="str">
            <v>1500端面D15C</v>
          </cell>
          <cell r="E20">
            <v>2340</v>
          </cell>
          <cell r="F20" t="str">
            <v>2000×1900×250</v>
          </cell>
          <cell r="G20" t="str">
            <v>B=2.0m</v>
          </cell>
        </row>
        <row r="21">
          <cell r="D21" t="str">
            <v>1500端面D15D</v>
          </cell>
          <cell r="E21">
            <v>3620</v>
          </cell>
          <cell r="F21" t="str">
            <v>3000×1950×250</v>
          </cell>
          <cell r="G21" t="str">
            <v>B=3.0m,ふたt=250</v>
          </cell>
        </row>
        <row r="22">
          <cell r="D22" t="str">
            <v>1500端面D15E</v>
          </cell>
          <cell r="E22">
            <v>3010</v>
          </cell>
          <cell r="F22" t="str">
            <v>2500×1950×250</v>
          </cell>
          <cell r="G22" t="str">
            <v>B=2.5m,ふたt=250</v>
          </cell>
        </row>
        <row r="23">
          <cell r="D23" t="str">
            <v>1500端面D15F</v>
          </cell>
          <cell r="E23">
            <v>2400</v>
          </cell>
          <cell r="F23" t="str">
            <v>2000×1950×250</v>
          </cell>
          <cell r="G23" t="str">
            <v>B=2.0m,ふたt=250</v>
          </cell>
        </row>
        <row r="24">
          <cell r="D24" t="str">
            <v>1500端面E</v>
          </cell>
          <cell r="E24">
            <v>6685</v>
          </cell>
          <cell r="F24" t="str">
            <v>H1500</v>
          </cell>
        </row>
        <row r="25">
          <cell r="D25" t="str">
            <v>1500ふたA1A</v>
          </cell>
          <cell r="E25">
            <v>2940</v>
          </cell>
          <cell r="F25" t="str">
            <v>3000×2000×200</v>
          </cell>
          <cell r="G25" t="str">
            <v>B=3.0m,L=2.0m</v>
          </cell>
        </row>
        <row r="26">
          <cell r="D26" t="str">
            <v>1500ふたA2A</v>
          </cell>
          <cell r="E26">
            <v>2445</v>
          </cell>
          <cell r="F26" t="str">
            <v>2500×2000×200</v>
          </cell>
          <cell r="G26" t="str">
            <v>B=2.5m,L=2.0m</v>
          </cell>
        </row>
        <row r="27">
          <cell r="D27" t="str">
            <v>1500ふたA3A</v>
          </cell>
          <cell r="E27">
            <v>1945</v>
          </cell>
          <cell r="F27" t="str">
            <v>2000×2000×200</v>
          </cell>
          <cell r="G27" t="str">
            <v>B=2.0m,L=2.0m</v>
          </cell>
        </row>
        <row r="28">
          <cell r="D28" t="str">
            <v>1500ふたA4A</v>
          </cell>
          <cell r="E28">
            <v>1090</v>
          </cell>
          <cell r="F28" t="str">
            <v>3000× 750×200</v>
          </cell>
          <cell r="G28" t="str">
            <v>B=3.0m,L=0.75m</v>
          </cell>
        </row>
        <row r="29">
          <cell r="D29" t="str">
            <v>1500ふたA5A</v>
          </cell>
          <cell r="E29">
            <v>905</v>
          </cell>
          <cell r="F29" t="str">
            <v>2500× 750×200</v>
          </cell>
          <cell r="G29" t="str">
            <v>B=2.5m,L=0.75m</v>
          </cell>
        </row>
        <row r="30">
          <cell r="D30" t="str">
            <v>1500ふたA6A</v>
          </cell>
          <cell r="E30">
            <v>720</v>
          </cell>
          <cell r="F30" t="str">
            <v>2000× 750×200</v>
          </cell>
          <cell r="G30" t="str">
            <v>B=2.0m,L=0.75m</v>
          </cell>
        </row>
        <row r="31">
          <cell r="D31" t="str">
            <v>1500ふたA1B</v>
          </cell>
          <cell r="E31">
            <v>3680</v>
          </cell>
          <cell r="F31" t="str">
            <v>3000×2000×250</v>
          </cell>
          <cell r="G31" t="str">
            <v>B=3.0m,L=2.0m,t=250</v>
          </cell>
        </row>
        <row r="32">
          <cell r="D32" t="str">
            <v>1500ふたA2B</v>
          </cell>
          <cell r="E32">
            <v>3055</v>
          </cell>
          <cell r="F32" t="str">
            <v>2500×2000×250</v>
          </cell>
          <cell r="G32" t="str">
            <v>B=2.5m,L=2.0m,t=250</v>
          </cell>
        </row>
        <row r="33">
          <cell r="D33" t="str">
            <v>1500ふたA3B</v>
          </cell>
          <cell r="E33">
            <v>2435</v>
          </cell>
          <cell r="F33" t="str">
            <v>2000×2000×250</v>
          </cell>
          <cell r="G33" t="str">
            <v>B=2.0m,L=2.0m,t=250</v>
          </cell>
        </row>
        <row r="34">
          <cell r="D34" t="str">
            <v>1500ふたA4B</v>
          </cell>
          <cell r="E34">
            <v>1365</v>
          </cell>
          <cell r="F34" t="str">
            <v>3000× 750×250</v>
          </cell>
          <cell r="G34" t="str">
            <v>B=3.0m,L=0.75m,t=250</v>
          </cell>
        </row>
        <row r="35">
          <cell r="D35" t="str">
            <v>1500ふたA5B</v>
          </cell>
          <cell r="E35">
            <v>1135</v>
          </cell>
          <cell r="F35" t="str">
            <v>2500× 750×250</v>
          </cell>
          <cell r="G35" t="str">
            <v>B=2.5m,L=0.75m,t=250</v>
          </cell>
        </row>
        <row r="36">
          <cell r="D36" t="str">
            <v>1500ふたA6B</v>
          </cell>
          <cell r="E36">
            <v>905</v>
          </cell>
          <cell r="F36" t="str">
            <v>2000× 750×250</v>
          </cell>
          <cell r="G36" t="str">
            <v>B=2.0m,L=0.75m,t=250</v>
          </cell>
        </row>
        <row r="37">
          <cell r="D37" t="str">
            <v>2000本体A</v>
          </cell>
          <cell r="E37">
            <v>7570</v>
          </cell>
          <cell r="F37" t="str">
            <v>H2000</v>
          </cell>
        </row>
        <row r="38">
          <cell r="D38" t="str">
            <v>2000本体A1</v>
          </cell>
          <cell r="E38">
            <v>8230</v>
          </cell>
          <cell r="F38" t="str">
            <v>H2000</v>
          </cell>
        </row>
        <row r="39">
          <cell r="D39" t="str">
            <v>2000本体A3</v>
          </cell>
          <cell r="E39">
            <v>8300</v>
          </cell>
          <cell r="F39" t="str">
            <v>H2000</v>
          </cell>
        </row>
        <row r="40">
          <cell r="D40" t="str">
            <v>2000本体A4</v>
          </cell>
          <cell r="E40">
            <v>6910</v>
          </cell>
          <cell r="F40" t="str">
            <v>H2000</v>
          </cell>
        </row>
        <row r="41">
          <cell r="D41" t="str">
            <v>2000本体A5</v>
          </cell>
          <cell r="E41">
            <v>7570</v>
          </cell>
          <cell r="F41" t="str">
            <v>H2000</v>
          </cell>
        </row>
        <row r="42">
          <cell r="D42" t="str">
            <v>2000本体B</v>
          </cell>
          <cell r="E42">
            <v>7080</v>
          </cell>
          <cell r="F42" t="str">
            <v>H2000</v>
          </cell>
        </row>
        <row r="43">
          <cell r="D43" t="str">
            <v>2000本体B1</v>
          </cell>
          <cell r="E43">
            <v>7740</v>
          </cell>
          <cell r="F43" t="str">
            <v>H2000</v>
          </cell>
        </row>
        <row r="44">
          <cell r="D44" t="str">
            <v>2000本体B2</v>
          </cell>
          <cell r="E44">
            <v>8400</v>
          </cell>
          <cell r="F44" t="str">
            <v>H2000</v>
          </cell>
        </row>
        <row r="45">
          <cell r="D45" t="str">
            <v>2000本体B3</v>
          </cell>
          <cell r="E45">
            <v>8185</v>
          </cell>
          <cell r="F45" t="str">
            <v>H2000</v>
          </cell>
        </row>
        <row r="46">
          <cell r="D46" t="str">
            <v>2000本体B4</v>
          </cell>
          <cell r="E46">
            <v>7805</v>
          </cell>
          <cell r="F46" t="str">
            <v>H2000</v>
          </cell>
        </row>
        <row r="47">
          <cell r="D47" t="str">
            <v>2000本体B5</v>
          </cell>
          <cell r="E47">
            <v>8465</v>
          </cell>
          <cell r="F47" t="str">
            <v>H2000</v>
          </cell>
        </row>
        <row r="48">
          <cell r="D48" t="str">
            <v>2000本体C</v>
          </cell>
          <cell r="E48">
            <v>8060</v>
          </cell>
          <cell r="F48" t="str">
            <v>H2000</v>
          </cell>
        </row>
        <row r="49">
          <cell r="D49" t="str">
            <v>2000端面A</v>
          </cell>
          <cell r="E49">
            <v>8360</v>
          </cell>
          <cell r="F49" t="str">
            <v>H2000</v>
          </cell>
        </row>
        <row r="50">
          <cell r="D50" t="str">
            <v>2000端面B</v>
          </cell>
          <cell r="E50">
            <v>8360</v>
          </cell>
          <cell r="F50" t="str">
            <v>H2000</v>
          </cell>
        </row>
        <row r="51">
          <cell r="D51" t="str">
            <v>2000端面C</v>
          </cell>
          <cell r="E51">
            <v>8595</v>
          </cell>
          <cell r="F51" t="str">
            <v>H2000</v>
          </cell>
        </row>
        <row r="52">
          <cell r="D52" t="str">
            <v>2000端面D20A</v>
          </cell>
          <cell r="E52">
            <v>4455</v>
          </cell>
          <cell r="F52" t="str">
            <v>3000×2400×250</v>
          </cell>
        </row>
        <row r="53">
          <cell r="D53" t="str">
            <v>2000端面D20B</v>
          </cell>
          <cell r="E53">
            <v>3705</v>
          </cell>
          <cell r="F53" t="str">
            <v>2500×2400×250</v>
          </cell>
        </row>
        <row r="54">
          <cell r="D54" t="str">
            <v>2000端面D20C</v>
          </cell>
          <cell r="E54">
            <v>2955</v>
          </cell>
          <cell r="F54" t="str">
            <v>2000×2400×250</v>
          </cell>
        </row>
        <row r="55">
          <cell r="D55" t="str">
            <v>2000端面D20D</v>
          </cell>
          <cell r="E55">
            <v>4545</v>
          </cell>
          <cell r="F55" t="str">
            <v>3000×2450×250</v>
          </cell>
        </row>
        <row r="56">
          <cell r="D56" t="str">
            <v>2000端面D20E</v>
          </cell>
          <cell r="E56">
            <v>3780</v>
          </cell>
          <cell r="F56" t="str">
            <v>2500×2450×250</v>
          </cell>
        </row>
        <row r="57">
          <cell r="D57" t="str">
            <v>2000端面D20F</v>
          </cell>
          <cell r="E57">
            <v>3015</v>
          </cell>
          <cell r="F57" t="str">
            <v>2000×2450×250</v>
          </cell>
        </row>
        <row r="58">
          <cell r="D58" t="str">
            <v>2000端面E</v>
          </cell>
          <cell r="E58">
            <v>8120</v>
          </cell>
          <cell r="F58" t="str">
            <v>H2000</v>
          </cell>
        </row>
        <row r="59">
          <cell r="D59" t="str">
            <v>2000ふたA1A</v>
          </cell>
          <cell r="E59">
            <v>2940</v>
          </cell>
          <cell r="F59" t="str">
            <v>3000×2000×200</v>
          </cell>
          <cell r="G59" t="str">
            <v>B=3.0m,L=2.0m</v>
          </cell>
        </row>
        <row r="60">
          <cell r="D60" t="str">
            <v>2000ふたA2A</v>
          </cell>
          <cell r="E60">
            <v>2445</v>
          </cell>
          <cell r="F60" t="str">
            <v>2500×2000×200</v>
          </cell>
          <cell r="G60" t="str">
            <v>B=2.5m,L=2.0m</v>
          </cell>
        </row>
        <row r="61">
          <cell r="D61" t="str">
            <v>2000ふたA3A</v>
          </cell>
          <cell r="E61">
            <v>1945</v>
          </cell>
          <cell r="F61" t="str">
            <v>2000×2000×200</v>
          </cell>
          <cell r="G61" t="str">
            <v>B=2.0m,L=2.0m</v>
          </cell>
        </row>
        <row r="62">
          <cell r="D62" t="str">
            <v>2000ふたA4A</v>
          </cell>
          <cell r="E62">
            <v>1090</v>
          </cell>
          <cell r="F62" t="str">
            <v>3000× 750×200</v>
          </cell>
          <cell r="G62" t="str">
            <v>B=3.0m,L=0.75m</v>
          </cell>
        </row>
        <row r="63">
          <cell r="D63" t="str">
            <v>2000ふたA5A</v>
          </cell>
          <cell r="E63">
            <v>905</v>
          </cell>
          <cell r="F63" t="str">
            <v>2500× 750×200</v>
          </cell>
          <cell r="G63" t="str">
            <v>B=2.5m,L=0.75m</v>
          </cell>
        </row>
        <row r="64">
          <cell r="D64" t="str">
            <v>2000ふたA6A</v>
          </cell>
          <cell r="E64">
            <v>720</v>
          </cell>
          <cell r="F64" t="str">
            <v>2000× 750×200</v>
          </cell>
          <cell r="G64" t="str">
            <v>B=2.0m,L=0.75m</v>
          </cell>
        </row>
        <row r="65">
          <cell r="D65" t="str">
            <v>2000ふたA1B</v>
          </cell>
          <cell r="E65">
            <v>3680</v>
          </cell>
          <cell r="F65" t="str">
            <v>3000×2000×250</v>
          </cell>
          <cell r="G65" t="str">
            <v>B=3.0m,L=2.0m,t=250</v>
          </cell>
        </row>
        <row r="66">
          <cell r="D66" t="str">
            <v>2000ふたA2B</v>
          </cell>
          <cell r="E66">
            <v>3055</v>
          </cell>
          <cell r="F66" t="str">
            <v>2500×2000×250</v>
          </cell>
          <cell r="G66" t="str">
            <v>B=2.5m,L=2.0m,t=250</v>
          </cell>
        </row>
        <row r="67">
          <cell r="D67" t="str">
            <v>2000ふたA3B</v>
          </cell>
          <cell r="E67">
            <v>2435</v>
          </cell>
          <cell r="F67" t="str">
            <v>2000×2000×250</v>
          </cell>
          <cell r="G67" t="str">
            <v>B=2.0m,L=2.0m,t=250</v>
          </cell>
        </row>
        <row r="68">
          <cell r="D68" t="str">
            <v>2000ふたA4B</v>
          </cell>
          <cell r="E68">
            <v>1365</v>
          </cell>
          <cell r="F68" t="str">
            <v>3000× 750×250</v>
          </cell>
          <cell r="G68" t="str">
            <v>B=3.0m,L=0.75m,t=250</v>
          </cell>
        </row>
        <row r="69">
          <cell r="D69" t="str">
            <v>2000ふたA5B</v>
          </cell>
          <cell r="E69">
            <v>1135</v>
          </cell>
          <cell r="F69" t="str">
            <v>2500× 750×250</v>
          </cell>
          <cell r="G69" t="str">
            <v>B=2.5m,L=0.75m,t=250</v>
          </cell>
        </row>
        <row r="70">
          <cell r="D70" t="str">
            <v>2000ふたA6B</v>
          </cell>
          <cell r="E70">
            <v>905</v>
          </cell>
          <cell r="F70" t="str">
            <v>2000× 750×250</v>
          </cell>
          <cell r="G70" t="str">
            <v>B=2.0m,L=0.75m,t=250</v>
          </cell>
        </row>
        <row r="71">
          <cell r="D71" t="str">
            <v>2500本体A</v>
          </cell>
          <cell r="E71">
            <v>6550</v>
          </cell>
          <cell r="F71" t="str">
            <v>H2500</v>
          </cell>
        </row>
        <row r="72">
          <cell r="D72" t="str">
            <v>2500本体A1</v>
          </cell>
          <cell r="E72">
            <v>7390</v>
          </cell>
          <cell r="F72" t="str">
            <v>H2500</v>
          </cell>
        </row>
        <row r="73">
          <cell r="D73" t="str">
            <v>2500本体A3</v>
          </cell>
          <cell r="E73">
            <v>7520</v>
          </cell>
          <cell r="F73" t="str">
            <v>H2500</v>
          </cell>
        </row>
        <row r="74">
          <cell r="D74" t="str">
            <v>2500本体A4</v>
          </cell>
          <cell r="E74">
            <v>5705</v>
          </cell>
          <cell r="F74" t="str">
            <v>H2500</v>
          </cell>
        </row>
        <row r="75">
          <cell r="D75" t="str">
            <v>2500本体A5</v>
          </cell>
          <cell r="E75">
            <v>6550</v>
          </cell>
          <cell r="F75" t="str">
            <v>H2500</v>
          </cell>
        </row>
        <row r="76">
          <cell r="D76" t="str">
            <v>2500本体B</v>
          </cell>
          <cell r="E76">
            <v>5835</v>
          </cell>
          <cell r="F76" t="str">
            <v>H2500</v>
          </cell>
        </row>
        <row r="77">
          <cell r="D77" t="str">
            <v>2500本体B1</v>
          </cell>
          <cell r="E77">
            <v>6675</v>
          </cell>
          <cell r="F77" t="str">
            <v>H2500</v>
          </cell>
        </row>
        <row r="78">
          <cell r="D78" t="str">
            <v>2500本体B2</v>
          </cell>
          <cell r="E78">
            <v>7515</v>
          </cell>
          <cell r="F78" t="str">
            <v>H2500</v>
          </cell>
        </row>
        <row r="79">
          <cell r="D79" t="str">
            <v>2500本体B3</v>
          </cell>
          <cell r="E79">
            <v>7345</v>
          </cell>
          <cell r="F79" t="str">
            <v>H2500</v>
          </cell>
        </row>
        <row r="80">
          <cell r="D80" t="str">
            <v>2500本体B4</v>
          </cell>
          <cell r="E80">
            <v>6805</v>
          </cell>
          <cell r="F80" t="str">
            <v>H2500</v>
          </cell>
        </row>
        <row r="81">
          <cell r="D81" t="str">
            <v>2500本体B5</v>
          </cell>
          <cell r="E81">
            <v>7645</v>
          </cell>
          <cell r="F81" t="str">
            <v>H2500</v>
          </cell>
        </row>
        <row r="82">
          <cell r="D82" t="str">
            <v>2500本体C</v>
          </cell>
          <cell r="E82">
            <v>7260</v>
          </cell>
          <cell r="F82" t="str">
            <v>H2500</v>
          </cell>
        </row>
        <row r="83">
          <cell r="D83" t="str">
            <v>2500端面A</v>
          </cell>
          <cell r="E83">
            <v>7210</v>
          </cell>
          <cell r="F83" t="str">
            <v>H2500</v>
          </cell>
        </row>
        <row r="84">
          <cell r="D84" t="str">
            <v>2500端面B</v>
          </cell>
          <cell r="E84">
            <v>7210</v>
          </cell>
          <cell r="F84" t="str">
            <v>H2500</v>
          </cell>
        </row>
        <row r="85">
          <cell r="D85" t="str">
            <v>2500端面C</v>
          </cell>
          <cell r="E85">
            <v>7465</v>
          </cell>
          <cell r="F85" t="str">
            <v>H2500</v>
          </cell>
        </row>
        <row r="86">
          <cell r="D86" t="str">
            <v>2500端面D25A</v>
          </cell>
          <cell r="E86">
            <v>5380</v>
          </cell>
          <cell r="F86" t="str">
            <v>3000×2900×250</v>
          </cell>
        </row>
        <row r="87">
          <cell r="D87" t="str">
            <v>2500端面D25B</v>
          </cell>
          <cell r="E87">
            <v>4475</v>
          </cell>
          <cell r="F87" t="str">
            <v>2500×2900×250</v>
          </cell>
        </row>
        <row r="88">
          <cell r="D88" t="str">
            <v>2500端面D25C</v>
          </cell>
          <cell r="E88">
            <v>3570</v>
          </cell>
          <cell r="F88" t="str">
            <v>2000×2900×250</v>
          </cell>
        </row>
        <row r="89">
          <cell r="D89" t="str">
            <v>2500端面D25D</v>
          </cell>
          <cell r="E89">
            <v>5475</v>
          </cell>
          <cell r="F89" t="str">
            <v>3000×2950×250</v>
          </cell>
        </row>
        <row r="90">
          <cell r="D90" t="str">
            <v>2500端面D25E</v>
          </cell>
          <cell r="E90">
            <v>4555</v>
          </cell>
          <cell r="F90" t="str">
            <v>2500×2950×250</v>
          </cell>
        </row>
        <row r="91">
          <cell r="D91" t="str">
            <v>2500端面D25F</v>
          </cell>
          <cell r="E91">
            <v>3630</v>
          </cell>
          <cell r="F91" t="str">
            <v>2000×2950×250</v>
          </cell>
        </row>
        <row r="92">
          <cell r="D92" t="str">
            <v>2500端面E</v>
          </cell>
          <cell r="E92">
            <v>6950</v>
          </cell>
          <cell r="F92" t="str">
            <v>H2500</v>
          </cell>
        </row>
        <row r="93">
          <cell r="D93" t="str">
            <v>2500ふたB1A</v>
          </cell>
          <cell r="E93">
            <v>2200</v>
          </cell>
          <cell r="F93" t="str">
            <v>3000×1500×200</v>
          </cell>
          <cell r="G93" t="str">
            <v>B=3.0m,L=1.5m</v>
          </cell>
        </row>
        <row r="94">
          <cell r="D94" t="str">
            <v>2500ふたB2A</v>
          </cell>
          <cell r="E94">
            <v>1830</v>
          </cell>
          <cell r="F94" t="str">
            <v>2500×1500×200</v>
          </cell>
          <cell r="G94" t="str">
            <v>B=2.5m,L=1.5m</v>
          </cell>
        </row>
        <row r="95">
          <cell r="D95" t="str">
            <v>2500ふたB3A</v>
          </cell>
          <cell r="E95">
            <v>1455</v>
          </cell>
          <cell r="F95" t="str">
            <v>2000×1500×200</v>
          </cell>
          <cell r="G95" t="str">
            <v>B=2.0m,L=1.5m</v>
          </cell>
        </row>
        <row r="96">
          <cell r="D96" t="str">
            <v>2500ふたB4A</v>
          </cell>
          <cell r="E96">
            <v>720</v>
          </cell>
          <cell r="F96" t="str">
            <v>3000× 500×200</v>
          </cell>
          <cell r="G96" t="str">
            <v>B=3.0m,L=0.50m</v>
          </cell>
        </row>
        <row r="97">
          <cell r="D97" t="str">
            <v>2500ふたB5A</v>
          </cell>
          <cell r="E97">
            <v>600</v>
          </cell>
          <cell r="F97" t="str">
            <v>2500× 500×200</v>
          </cell>
          <cell r="G97" t="str">
            <v>B=2.5m,L=0.50m</v>
          </cell>
        </row>
        <row r="98">
          <cell r="D98" t="str">
            <v>2500ふたB6A</v>
          </cell>
          <cell r="E98">
            <v>475</v>
          </cell>
          <cell r="F98" t="str">
            <v>2000× 500×200</v>
          </cell>
          <cell r="G98" t="str">
            <v>B=2.0m,L=0.50m</v>
          </cell>
        </row>
        <row r="99">
          <cell r="D99" t="str">
            <v>2500ふたB1B</v>
          </cell>
          <cell r="E99">
            <v>2755</v>
          </cell>
          <cell r="F99" t="str">
            <v>3000×1500×250</v>
          </cell>
          <cell r="G99" t="str">
            <v>B=3.0m,L=1.5m,t=250</v>
          </cell>
        </row>
        <row r="100">
          <cell r="D100" t="str">
            <v>2500ふたB2B</v>
          </cell>
          <cell r="E100">
            <v>2290</v>
          </cell>
          <cell r="F100" t="str">
            <v>2500×1500×250</v>
          </cell>
          <cell r="G100" t="str">
            <v>B=2.5m,L=1.5m,t=250</v>
          </cell>
        </row>
        <row r="101">
          <cell r="D101" t="str">
            <v>2500ふたB3B</v>
          </cell>
          <cell r="E101">
            <v>1820</v>
          </cell>
          <cell r="F101" t="str">
            <v>2000×1500×250</v>
          </cell>
          <cell r="G101" t="str">
            <v>B=2.0m,L=1.5m,t=250</v>
          </cell>
        </row>
        <row r="102">
          <cell r="D102" t="str">
            <v>2500ふたB4B</v>
          </cell>
          <cell r="E102">
            <v>905</v>
          </cell>
          <cell r="F102" t="str">
            <v>3000× 500×250</v>
          </cell>
          <cell r="G102" t="str">
            <v>B=3.0m,L=0.50m,t=250</v>
          </cell>
        </row>
        <row r="103">
          <cell r="D103" t="str">
            <v>2500ふたB5B</v>
          </cell>
          <cell r="E103">
            <v>750</v>
          </cell>
          <cell r="F103" t="str">
            <v>2500× 500×250</v>
          </cell>
          <cell r="G103" t="str">
            <v>B=2.5m,L=0.50m,t=250</v>
          </cell>
        </row>
        <row r="104">
          <cell r="D104" t="str">
            <v>2500ふたB6B</v>
          </cell>
          <cell r="E104">
            <v>595</v>
          </cell>
          <cell r="F104" t="str">
            <v>2000× 500×250</v>
          </cell>
          <cell r="G104" t="str">
            <v>B=2.0m,L=0.50m,t=250</v>
          </cell>
        </row>
        <row r="105">
          <cell r="D105" t="str">
            <v>3000本体A</v>
          </cell>
          <cell r="E105">
            <v>7250</v>
          </cell>
          <cell r="F105" t="str">
            <v>H3000</v>
          </cell>
        </row>
        <row r="106">
          <cell r="D106" t="str">
            <v>3000本体A1</v>
          </cell>
          <cell r="E106">
            <v>8325</v>
          </cell>
          <cell r="F106" t="str">
            <v>H3000</v>
          </cell>
        </row>
        <row r="107">
          <cell r="D107" t="str">
            <v>3000本体A3</v>
          </cell>
          <cell r="E107">
            <v>8500</v>
          </cell>
          <cell r="F107" t="str">
            <v>H3000</v>
          </cell>
        </row>
        <row r="108">
          <cell r="D108" t="str">
            <v>3000本体A4</v>
          </cell>
          <cell r="E108">
            <v>6175</v>
          </cell>
          <cell r="F108" t="str">
            <v>H3000</v>
          </cell>
        </row>
        <row r="109">
          <cell r="D109" t="str">
            <v>3000本体A5</v>
          </cell>
          <cell r="E109">
            <v>7250</v>
          </cell>
          <cell r="F109" t="str">
            <v>H3000</v>
          </cell>
        </row>
        <row r="110">
          <cell r="D110" t="str">
            <v>3000本体B</v>
          </cell>
          <cell r="E110">
            <v>6305</v>
          </cell>
          <cell r="F110" t="str">
            <v>H3000</v>
          </cell>
        </row>
        <row r="111">
          <cell r="D111" t="str">
            <v>3000本体B1</v>
          </cell>
          <cell r="E111">
            <v>7380</v>
          </cell>
          <cell r="F111" t="str">
            <v>H3000</v>
          </cell>
        </row>
        <row r="112">
          <cell r="D112" t="str">
            <v>3000本体B2</v>
          </cell>
          <cell r="E112">
            <v>8455</v>
          </cell>
          <cell r="F112" t="str">
            <v>H3000</v>
          </cell>
        </row>
        <row r="113">
          <cell r="D113" t="str">
            <v>3000本体B3</v>
          </cell>
          <cell r="E113">
            <v>8285</v>
          </cell>
          <cell r="F113" t="str">
            <v>H3000</v>
          </cell>
        </row>
        <row r="114">
          <cell r="D114" t="str">
            <v>3000本体B4</v>
          </cell>
          <cell r="E114">
            <v>7550</v>
          </cell>
          <cell r="F114" t="str">
            <v>H3000</v>
          </cell>
        </row>
        <row r="115">
          <cell r="D115" t="str">
            <v>3000本体B5</v>
          </cell>
          <cell r="E115">
            <v>8625</v>
          </cell>
          <cell r="F115" t="str">
            <v>H3000</v>
          </cell>
        </row>
        <row r="116">
          <cell r="D116" t="str">
            <v>3000本体C</v>
          </cell>
          <cell r="E116">
            <v>8200</v>
          </cell>
          <cell r="F116" t="str">
            <v>H3000</v>
          </cell>
        </row>
        <row r="117">
          <cell r="D117" t="str">
            <v>3000端面A</v>
          </cell>
          <cell r="E117">
            <v>8345</v>
          </cell>
          <cell r="F117" t="str">
            <v>H3000</v>
          </cell>
        </row>
        <row r="118">
          <cell r="D118" t="str">
            <v>3000端面B</v>
          </cell>
          <cell r="E118">
            <v>8345</v>
          </cell>
          <cell r="F118" t="str">
            <v>H3000</v>
          </cell>
        </row>
        <row r="119">
          <cell r="D119" t="str">
            <v>3000端面C</v>
          </cell>
          <cell r="E119">
            <v>8645</v>
          </cell>
          <cell r="F119" t="str">
            <v>H3000</v>
          </cell>
        </row>
        <row r="120">
          <cell r="D120" t="str">
            <v>3000端面D30A</v>
          </cell>
          <cell r="E120">
            <v>6310</v>
          </cell>
          <cell r="F120" t="str">
            <v>3000×3400×250</v>
          </cell>
        </row>
        <row r="121">
          <cell r="D121" t="str">
            <v>3000端面D30B</v>
          </cell>
          <cell r="E121">
            <v>5250</v>
          </cell>
          <cell r="F121" t="str">
            <v>2500×3400×250</v>
          </cell>
        </row>
        <row r="122">
          <cell r="D122" t="str">
            <v>3000端面D30C</v>
          </cell>
          <cell r="E122">
            <v>4185</v>
          </cell>
          <cell r="F122" t="str">
            <v>2000×3400×250</v>
          </cell>
        </row>
        <row r="123">
          <cell r="D123" t="str">
            <v>3000端面D30D</v>
          </cell>
          <cell r="E123">
            <v>6405</v>
          </cell>
          <cell r="F123" t="str">
            <v>3000×3450×250</v>
          </cell>
        </row>
        <row r="124">
          <cell r="D124" t="str">
            <v>3000端面D30E</v>
          </cell>
          <cell r="E124">
            <v>5325</v>
          </cell>
          <cell r="F124" t="str">
            <v>2500×3450×250</v>
          </cell>
        </row>
        <row r="125">
          <cell r="D125" t="str">
            <v>3000端面D30F</v>
          </cell>
          <cell r="E125">
            <v>4245</v>
          </cell>
          <cell r="F125" t="str">
            <v>2000×3450×250</v>
          </cell>
        </row>
        <row r="126">
          <cell r="D126" t="str">
            <v>3000端面E</v>
          </cell>
          <cell r="E126">
            <v>8045</v>
          </cell>
          <cell r="F126" t="str">
            <v>H3000</v>
          </cell>
        </row>
        <row r="127">
          <cell r="D127" t="str">
            <v>3000ふたB1A</v>
          </cell>
          <cell r="E127">
            <v>2200</v>
          </cell>
          <cell r="F127" t="str">
            <v>3000×1500×200</v>
          </cell>
          <cell r="G127" t="str">
            <v>B=3.0m,L=1.5m</v>
          </cell>
        </row>
        <row r="128">
          <cell r="D128" t="str">
            <v>3000ふたB2A</v>
          </cell>
          <cell r="E128">
            <v>1830</v>
          </cell>
          <cell r="F128" t="str">
            <v>2500×1500×200</v>
          </cell>
          <cell r="G128" t="str">
            <v>B=2.5m,L=1.5m</v>
          </cell>
        </row>
        <row r="129">
          <cell r="D129" t="str">
            <v>3000ふたB3A</v>
          </cell>
          <cell r="E129">
            <v>1455</v>
          </cell>
          <cell r="F129" t="str">
            <v>2000×1500×200</v>
          </cell>
          <cell r="G129" t="str">
            <v>B=2.0m,L=1.5m</v>
          </cell>
        </row>
        <row r="130">
          <cell r="D130" t="str">
            <v>3000ふたB4A</v>
          </cell>
          <cell r="E130">
            <v>720</v>
          </cell>
          <cell r="F130" t="str">
            <v>3000× 500×200</v>
          </cell>
          <cell r="G130" t="str">
            <v>B=3.0m,L=0.50m</v>
          </cell>
        </row>
        <row r="131">
          <cell r="D131" t="str">
            <v>3000ふたB5A</v>
          </cell>
          <cell r="E131">
            <v>600</v>
          </cell>
          <cell r="F131" t="str">
            <v>2500× 500×200</v>
          </cell>
          <cell r="G131" t="str">
            <v>B=2.5m,L=0.50m</v>
          </cell>
        </row>
        <row r="132">
          <cell r="D132" t="str">
            <v>3000ふたB6A</v>
          </cell>
          <cell r="E132">
            <v>475</v>
          </cell>
          <cell r="F132" t="str">
            <v>2000× 500×200</v>
          </cell>
          <cell r="G132" t="str">
            <v>B=2.0m,L=0.50m</v>
          </cell>
        </row>
        <row r="133">
          <cell r="D133" t="str">
            <v>3000ふたB1B</v>
          </cell>
          <cell r="E133">
            <v>2755</v>
          </cell>
          <cell r="F133" t="str">
            <v>3000×1500×250</v>
          </cell>
          <cell r="G133" t="str">
            <v>B=3.0m,L=1.5m,t=250</v>
          </cell>
        </row>
        <row r="134">
          <cell r="D134" t="str">
            <v>3000ふたB2B</v>
          </cell>
          <cell r="E134">
            <v>2290</v>
          </cell>
          <cell r="F134" t="str">
            <v>2500×1500×250</v>
          </cell>
          <cell r="G134" t="str">
            <v>B=2.5m,L=1.5m,t=250</v>
          </cell>
        </row>
        <row r="135">
          <cell r="D135" t="str">
            <v>3000ふたB3B</v>
          </cell>
          <cell r="E135">
            <v>1820</v>
          </cell>
          <cell r="F135" t="str">
            <v>2000×1500×250</v>
          </cell>
          <cell r="G135" t="str">
            <v>B=2.0m,L=1.5m,t=250</v>
          </cell>
        </row>
        <row r="136">
          <cell r="D136" t="str">
            <v>3000ふたB4B</v>
          </cell>
          <cell r="E136">
            <v>905</v>
          </cell>
          <cell r="F136" t="str">
            <v>3000× 500×250</v>
          </cell>
          <cell r="G136" t="str">
            <v>B=3.0m,L=0.50m,t=250</v>
          </cell>
        </row>
        <row r="137">
          <cell r="D137" t="str">
            <v>3000ふたB5B</v>
          </cell>
          <cell r="E137">
            <v>750</v>
          </cell>
          <cell r="F137" t="str">
            <v>2500× 500×250</v>
          </cell>
          <cell r="G137" t="str">
            <v>B=2.5m,L=0.50m,t=250</v>
          </cell>
        </row>
        <row r="138">
          <cell r="D138" t="str">
            <v>3000ふたB6B</v>
          </cell>
          <cell r="E138">
            <v>595</v>
          </cell>
          <cell r="F138" t="str">
            <v>2000× 500×250</v>
          </cell>
          <cell r="G138" t="str">
            <v>B=2.0m,L=0.50m,t=250</v>
          </cell>
        </row>
        <row r="139">
          <cell r="D139" t="str">
            <v>3500本体A</v>
          </cell>
          <cell r="E139">
            <v>7955</v>
          </cell>
          <cell r="F139" t="str">
            <v>H3500</v>
          </cell>
        </row>
        <row r="140">
          <cell r="D140" t="str">
            <v>3500本体A1</v>
          </cell>
          <cell r="E140">
            <v>9265</v>
          </cell>
        </row>
        <row r="141">
          <cell r="D141" t="str">
            <v>3500本体A3</v>
          </cell>
          <cell r="E141">
            <v>9480</v>
          </cell>
          <cell r="F141" t="str">
            <v>H3500</v>
          </cell>
        </row>
        <row r="142">
          <cell r="D142" t="str">
            <v>3500本体A4</v>
          </cell>
          <cell r="E142">
            <v>6645</v>
          </cell>
          <cell r="F142" t="str">
            <v>H3500</v>
          </cell>
        </row>
        <row r="143">
          <cell r="D143" t="str">
            <v>3500本体A5</v>
          </cell>
          <cell r="E143">
            <v>7955</v>
          </cell>
          <cell r="F143" t="str">
            <v>H3500</v>
          </cell>
        </row>
        <row r="144">
          <cell r="D144" t="str">
            <v>3500本体B</v>
          </cell>
          <cell r="E144">
            <v>6770</v>
          </cell>
          <cell r="F144" t="str">
            <v>H3500</v>
          </cell>
        </row>
        <row r="145">
          <cell r="D145" t="str">
            <v>3500本体B1</v>
          </cell>
          <cell r="E145">
            <v>8080</v>
          </cell>
          <cell r="F145" t="str">
            <v>H3500</v>
          </cell>
        </row>
        <row r="146">
          <cell r="D146" t="str">
            <v>3500本体B2</v>
          </cell>
          <cell r="E146">
            <v>9390</v>
          </cell>
          <cell r="F146" t="str">
            <v>H3500</v>
          </cell>
        </row>
        <row r="147">
          <cell r="D147" t="str">
            <v>3500本体B3</v>
          </cell>
          <cell r="E147">
            <v>9220</v>
          </cell>
          <cell r="F147" t="str">
            <v>H3500</v>
          </cell>
        </row>
        <row r="148">
          <cell r="D148" t="str">
            <v>3500本体B4</v>
          </cell>
          <cell r="E148">
            <v>8295</v>
          </cell>
          <cell r="F148" t="str">
            <v>H3500</v>
          </cell>
        </row>
        <row r="149">
          <cell r="D149" t="str">
            <v>3500本体B5</v>
          </cell>
          <cell r="E149">
            <v>9605</v>
          </cell>
          <cell r="F149" t="str">
            <v>H3500</v>
          </cell>
        </row>
        <row r="150">
          <cell r="D150" t="str">
            <v>3500本体C</v>
          </cell>
          <cell r="E150">
            <v>9135</v>
          </cell>
          <cell r="F150" t="str">
            <v>H3500</v>
          </cell>
        </row>
        <row r="151">
          <cell r="D151" t="str">
            <v>3500端面A</v>
          </cell>
          <cell r="E151">
            <v>9480</v>
          </cell>
          <cell r="F151" t="str">
            <v>H3500</v>
          </cell>
        </row>
        <row r="152">
          <cell r="D152" t="str">
            <v>3500端面B</v>
          </cell>
          <cell r="E152">
            <v>9480</v>
          </cell>
          <cell r="F152" t="str">
            <v>H3500</v>
          </cell>
        </row>
        <row r="153">
          <cell r="D153" t="str">
            <v>3500端面C</v>
          </cell>
          <cell r="E153">
            <v>9820</v>
          </cell>
          <cell r="F153" t="str">
            <v>H3500</v>
          </cell>
        </row>
        <row r="154">
          <cell r="D154" t="str">
            <v>3500端面D35A</v>
          </cell>
          <cell r="E154">
            <v>7240</v>
          </cell>
          <cell r="F154" t="str">
            <v>3000×3900×250</v>
          </cell>
        </row>
        <row r="155">
          <cell r="D155" t="str">
            <v>3500端面D35B</v>
          </cell>
          <cell r="E155">
            <v>6020</v>
          </cell>
          <cell r="F155" t="str">
            <v>2500×3900×250</v>
          </cell>
        </row>
        <row r="156">
          <cell r="D156" t="str">
            <v>3500端面D35C</v>
          </cell>
          <cell r="E156">
            <v>4800</v>
          </cell>
          <cell r="F156" t="str">
            <v>2000×3900×250</v>
          </cell>
        </row>
        <row r="157">
          <cell r="D157" t="str">
            <v>3500端面D35D</v>
          </cell>
          <cell r="E157">
            <v>7330</v>
          </cell>
          <cell r="F157" t="str">
            <v>3000×3950×250</v>
          </cell>
        </row>
        <row r="158">
          <cell r="D158" t="str">
            <v>3500端面D35E</v>
          </cell>
          <cell r="E158">
            <v>6095</v>
          </cell>
          <cell r="F158" t="str">
            <v>2500×3950×250</v>
          </cell>
        </row>
        <row r="159">
          <cell r="D159" t="str">
            <v>3500端面D35F</v>
          </cell>
          <cell r="E159">
            <v>4860</v>
          </cell>
          <cell r="F159" t="str">
            <v>2000×3950×250</v>
          </cell>
        </row>
        <row r="160">
          <cell r="D160" t="str">
            <v>3500端面E</v>
          </cell>
          <cell r="E160">
            <v>9140</v>
          </cell>
          <cell r="F160" t="str">
            <v>H3500</v>
          </cell>
        </row>
        <row r="161">
          <cell r="D161" t="str">
            <v>3500ふたB1A</v>
          </cell>
          <cell r="E161">
            <v>2200</v>
          </cell>
          <cell r="F161" t="str">
            <v>3000×1500×200</v>
          </cell>
          <cell r="G161" t="str">
            <v>B=3.0m,L=1.5m</v>
          </cell>
        </row>
        <row r="162">
          <cell r="D162" t="str">
            <v>3500ふたB2A</v>
          </cell>
          <cell r="E162">
            <v>1830</v>
          </cell>
          <cell r="F162" t="str">
            <v>2500×1500×200</v>
          </cell>
          <cell r="G162" t="str">
            <v>B=2.5m,L=1.5m</v>
          </cell>
        </row>
        <row r="163">
          <cell r="D163" t="str">
            <v>3500ふたB3A</v>
          </cell>
          <cell r="E163">
            <v>1455</v>
          </cell>
          <cell r="F163" t="str">
            <v>2000×1500×200</v>
          </cell>
          <cell r="G163" t="str">
            <v>B=2.0m,L=1.5m</v>
          </cell>
        </row>
        <row r="164">
          <cell r="D164" t="str">
            <v>3500ふたB4A</v>
          </cell>
          <cell r="E164">
            <v>720</v>
          </cell>
          <cell r="F164" t="str">
            <v>3000× 500×200</v>
          </cell>
          <cell r="G164" t="str">
            <v>B=3.0m,L=0.50m</v>
          </cell>
        </row>
        <row r="165">
          <cell r="D165" t="str">
            <v>3500ふたB5A</v>
          </cell>
          <cell r="E165">
            <v>600</v>
          </cell>
          <cell r="F165" t="str">
            <v>2500× 500×200</v>
          </cell>
          <cell r="G165" t="str">
            <v>B=2.5m,L=0.50m</v>
          </cell>
        </row>
        <row r="166">
          <cell r="D166" t="str">
            <v>3500ふたB6A</v>
          </cell>
          <cell r="E166">
            <v>475</v>
          </cell>
          <cell r="F166" t="str">
            <v>2000× 500×200</v>
          </cell>
          <cell r="G166" t="str">
            <v>B=2.0m,L=0.50m</v>
          </cell>
        </row>
        <row r="167">
          <cell r="D167" t="str">
            <v>3500ふたB1B</v>
          </cell>
          <cell r="E167">
            <v>2755</v>
          </cell>
          <cell r="F167" t="str">
            <v>3000×1500×250</v>
          </cell>
          <cell r="G167" t="str">
            <v>B=3.0m,L=1.5m,t=250</v>
          </cell>
        </row>
        <row r="168">
          <cell r="D168" t="str">
            <v>3500ふたB2B</v>
          </cell>
          <cell r="E168">
            <v>2290</v>
          </cell>
          <cell r="F168" t="str">
            <v>2500×1500×250</v>
          </cell>
          <cell r="G168" t="str">
            <v>B=2.5m,L=1.5m,t=250</v>
          </cell>
        </row>
        <row r="169">
          <cell r="D169" t="str">
            <v>3500ふたB3B</v>
          </cell>
          <cell r="E169">
            <v>1820</v>
          </cell>
          <cell r="F169" t="str">
            <v>2000×1500×250</v>
          </cell>
          <cell r="G169" t="str">
            <v>B=2.0m,L=1.5m,t=250</v>
          </cell>
        </row>
        <row r="170">
          <cell r="D170" t="str">
            <v>3500ふたB4B</v>
          </cell>
          <cell r="E170">
            <v>905</v>
          </cell>
          <cell r="F170" t="str">
            <v>3000× 500×250</v>
          </cell>
          <cell r="G170" t="str">
            <v>B=3.0m,L=0.50m,t=250</v>
          </cell>
        </row>
        <row r="171">
          <cell r="D171" t="str">
            <v>3500ふたB5B</v>
          </cell>
          <cell r="E171">
            <v>750</v>
          </cell>
          <cell r="F171" t="str">
            <v>2500× 500×250</v>
          </cell>
          <cell r="G171" t="str">
            <v>B=2.5m,L=0.50m,t=250</v>
          </cell>
        </row>
        <row r="172">
          <cell r="D172" t="str">
            <v>3500ふたB6B</v>
          </cell>
          <cell r="E172">
            <v>595</v>
          </cell>
          <cell r="F172" t="str">
            <v>2000× 500×250</v>
          </cell>
          <cell r="G172" t="str">
            <v>B=2.0m,L=0.50m,t=250</v>
          </cell>
        </row>
        <row r="173">
          <cell r="D173" t="str">
            <v>4000本体A</v>
          </cell>
          <cell r="E173">
            <v>10485</v>
          </cell>
          <cell r="F173" t="str">
            <v>H4000</v>
          </cell>
        </row>
        <row r="174">
          <cell r="D174" t="str">
            <v>4000本体A1</v>
          </cell>
          <cell r="E174">
            <v>12340</v>
          </cell>
          <cell r="F174" t="str">
            <v>H4000</v>
          </cell>
        </row>
        <row r="175">
          <cell r="D175" t="str">
            <v>4000本体A3</v>
          </cell>
          <cell r="E175">
            <v>12595</v>
          </cell>
          <cell r="F175" t="str">
            <v>H4000</v>
          </cell>
        </row>
        <row r="176">
          <cell r="D176" t="str">
            <v>4000本体A4</v>
          </cell>
          <cell r="E176">
            <v>8635</v>
          </cell>
          <cell r="F176" t="str">
            <v>H4000</v>
          </cell>
        </row>
        <row r="177">
          <cell r="D177" t="str">
            <v>4000本体A5</v>
          </cell>
          <cell r="E177">
            <v>10485</v>
          </cell>
          <cell r="F177" t="str">
            <v>H4000</v>
          </cell>
        </row>
        <row r="178">
          <cell r="D178" t="str">
            <v>4000本体B</v>
          </cell>
          <cell r="E178">
            <v>8760</v>
          </cell>
          <cell r="F178" t="str">
            <v>H4000</v>
          </cell>
        </row>
        <row r="179">
          <cell r="D179" t="str">
            <v>4000本体B1</v>
          </cell>
          <cell r="E179">
            <v>10615</v>
          </cell>
          <cell r="F179" t="str">
            <v>H4000</v>
          </cell>
        </row>
        <row r="180">
          <cell r="D180" t="str">
            <v>4000本体B2</v>
          </cell>
          <cell r="E180">
            <v>12465</v>
          </cell>
          <cell r="F180" t="str">
            <v>H4000</v>
          </cell>
        </row>
        <row r="181">
          <cell r="D181" t="str">
            <v>4000本体B3</v>
          </cell>
          <cell r="E181">
            <v>12295</v>
          </cell>
          <cell r="F181" t="str">
            <v>H4000</v>
          </cell>
        </row>
        <row r="182">
          <cell r="D182" t="str">
            <v>4000本体B4</v>
          </cell>
          <cell r="E182">
            <v>10870</v>
          </cell>
          <cell r="F182" t="str">
            <v>H4000</v>
          </cell>
        </row>
        <row r="183">
          <cell r="D183" t="str">
            <v>4000本体B5</v>
          </cell>
          <cell r="E183">
            <v>12725</v>
          </cell>
          <cell r="F183" t="str">
            <v>H4000</v>
          </cell>
        </row>
        <row r="184">
          <cell r="D184" t="str">
            <v>4000本体C</v>
          </cell>
          <cell r="E184">
            <v>12210</v>
          </cell>
          <cell r="F184" t="str">
            <v>H4000</v>
          </cell>
        </row>
        <row r="185">
          <cell r="D185" t="str">
            <v>4000端面A</v>
          </cell>
          <cell r="E185">
            <v>11685</v>
          </cell>
          <cell r="F185" t="str">
            <v>H4000</v>
          </cell>
        </row>
        <row r="186">
          <cell r="D186" t="str">
            <v>4000端面B</v>
          </cell>
          <cell r="E186">
            <v>11685</v>
          </cell>
          <cell r="F186" t="str">
            <v>H4000</v>
          </cell>
        </row>
        <row r="187">
          <cell r="D187" t="str">
            <v>4000端面C</v>
          </cell>
          <cell r="E187">
            <v>12070</v>
          </cell>
          <cell r="F187" t="str">
            <v>H4000</v>
          </cell>
        </row>
        <row r="188">
          <cell r="D188" t="str">
            <v>4000端面D40A</v>
          </cell>
          <cell r="E188">
            <v>8260</v>
          </cell>
          <cell r="F188" t="str">
            <v>3000×4450×250</v>
          </cell>
        </row>
        <row r="189">
          <cell r="D189" t="str">
            <v>4000端面D40B</v>
          </cell>
          <cell r="E189">
            <v>6870</v>
          </cell>
          <cell r="F189" t="str">
            <v>2500×4450×250</v>
          </cell>
        </row>
        <row r="190">
          <cell r="D190" t="str">
            <v>4000端面D40C</v>
          </cell>
          <cell r="E190">
            <v>5480</v>
          </cell>
          <cell r="F190" t="str">
            <v>2000×4450×250</v>
          </cell>
        </row>
        <row r="191">
          <cell r="D191" t="str">
            <v>4000端面D40D</v>
          </cell>
          <cell r="E191">
            <v>8350</v>
          </cell>
          <cell r="F191" t="str">
            <v>3000×4500×250</v>
          </cell>
        </row>
        <row r="192">
          <cell r="D192" t="str">
            <v>4000端面D40E</v>
          </cell>
          <cell r="E192">
            <v>6945</v>
          </cell>
          <cell r="F192" t="str">
            <v>2500×4500×250</v>
          </cell>
        </row>
        <row r="193">
          <cell r="D193" t="str">
            <v>4000端面D40F</v>
          </cell>
          <cell r="E193">
            <v>5540</v>
          </cell>
          <cell r="F193" t="str">
            <v>2000×4500×250</v>
          </cell>
        </row>
        <row r="194">
          <cell r="D194" t="str">
            <v>4000端面E</v>
          </cell>
          <cell r="E194">
            <v>11300</v>
          </cell>
          <cell r="F194" t="str">
            <v>H4000</v>
          </cell>
        </row>
        <row r="195">
          <cell r="D195" t="str">
            <v>4000ふたB1A</v>
          </cell>
          <cell r="E195">
            <v>2200</v>
          </cell>
          <cell r="F195" t="str">
            <v>3000×1500×200</v>
          </cell>
          <cell r="G195" t="str">
            <v>B=3.0m,L=1.5m</v>
          </cell>
        </row>
        <row r="196">
          <cell r="D196" t="str">
            <v>4000ふたB2A</v>
          </cell>
          <cell r="E196">
            <v>1830</v>
          </cell>
          <cell r="F196" t="str">
            <v>2500×1500×200</v>
          </cell>
          <cell r="G196" t="str">
            <v>B=2.5m,L=1.5m</v>
          </cell>
        </row>
        <row r="197">
          <cell r="D197" t="str">
            <v>4000ふたB3A</v>
          </cell>
          <cell r="E197">
            <v>1455</v>
          </cell>
          <cell r="F197" t="str">
            <v>2000×1500×200</v>
          </cell>
          <cell r="G197" t="str">
            <v>B=2.0m,L=1.5m</v>
          </cell>
        </row>
        <row r="198">
          <cell r="D198" t="str">
            <v>4000ふたB4A</v>
          </cell>
          <cell r="E198">
            <v>720</v>
          </cell>
          <cell r="F198" t="str">
            <v>3000× 500×200</v>
          </cell>
          <cell r="G198" t="str">
            <v>B=3.0m,L=0.50m</v>
          </cell>
        </row>
        <row r="199">
          <cell r="D199" t="str">
            <v>4000ふたB5A</v>
          </cell>
          <cell r="E199">
            <v>600</v>
          </cell>
          <cell r="F199" t="str">
            <v>2500× 500×200</v>
          </cell>
          <cell r="G199" t="str">
            <v>B=2.5m,L=0.50m</v>
          </cell>
        </row>
        <row r="200">
          <cell r="D200" t="str">
            <v>4000ふたB6A</v>
          </cell>
          <cell r="E200">
            <v>475</v>
          </cell>
          <cell r="F200" t="str">
            <v>2000× 500×200</v>
          </cell>
          <cell r="G200" t="str">
            <v>B=2.0m,L=0.50m</v>
          </cell>
        </row>
        <row r="201">
          <cell r="D201" t="str">
            <v>4000ふたB1B</v>
          </cell>
          <cell r="E201">
            <v>2755</v>
          </cell>
          <cell r="F201" t="str">
            <v>3000×1500×250</v>
          </cell>
          <cell r="G201" t="str">
            <v>B=3.0m,L=1.5m,t=250</v>
          </cell>
        </row>
        <row r="202">
          <cell r="D202" t="str">
            <v>4000ふたB2B</v>
          </cell>
          <cell r="E202">
            <v>2290</v>
          </cell>
          <cell r="F202" t="str">
            <v>2500×1500×250</v>
          </cell>
          <cell r="G202" t="str">
            <v>B=2.5m,L=1.5m,t=250</v>
          </cell>
        </row>
        <row r="203">
          <cell r="D203" t="str">
            <v>4000ふたB3B</v>
          </cell>
          <cell r="E203">
            <v>1820</v>
          </cell>
          <cell r="F203" t="str">
            <v>2000×1500×250</v>
          </cell>
          <cell r="G203" t="str">
            <v>B=2.0m,L=1.5m,t=250</v>
          </cell>
        </row>
        <row r="204">
          <cell r="D204" t="str">
            <v>4000ふたB4B</v>
          </cell>
          <cell r="E204">
            <v>905</v>
          </cell>
          <cell r="F204" t="str">
            <v>3000× 500×250</v>
          </cell>
          <cell r="G204" t="str">
            <v>B=3.0m,L=0.50m,t=250</v>
          </cell>
        </row>
        <row r="205">
          <cell r="D205" t="str">
            <v>4000ふたB5B</v>
          </cell>
          <cell r="E205">
            <v>750</v>
          </cell>
          <cell r="F205" t="str">
            <v>2500× 500×250</v>
          </cell>
          <cell r="G205" t="str">
            <v>B=2.5m,L=0.50m,t=250</v>
          </cell>
        </row>
        <row r="206">
          <cell r="D206" t="str">
            <v>4000ふたB6B</v>
          </cell>
          <cell r="E206">
            <v>595</v>
          </cell>
          <cell r="F206" t="str">
            <v>2000× 500×250</v>
          </cell>
          <cell r="G206" t="str">
            <v>B=2.0m,L=0.50m,t=250</v>
          </cell>
        </row>
        <row r="207">
          <cell r="D207" t="str">
            <v>4500本体A</v>
          </cell>
          <cell r="E207">
            <v>11330</v>
          </cell>
          <cell r="F207" t="str">
            <v>H4500</v>
          </cell>
        </row>
        <row r="208">
          <cell r="D208" t="str">
            <v>4500本体A1</v>
          </cell>
          <cell r="E208">
            <v>13465</v>
          </cell>
          <cell r="F208" t="str">
            <v>H4500</v>
          </cell>
        </row>
        <row r="209">
          <cell r="D209" t="str">
            <v>4500本体A3</v>
          </cell>
          <cell r="E209">
            <v>13765</v>
          </cell>
          <cell r="F209" t="str">
            <v>H4500</v>
          </cell>
        </row>
        <row r="210">
          <cell r="D210" t="str">
            <v>4500本体A4</v>
          </cell>
          <cell r="E210">
            <v>9195</v>
          </cell>
          <cell r="F210" t="str">
            <v>H4500</v>
          </cell>
        </row>
        <row r="211">
          <cell r="D211" t="str">
            <v>4500本体A5</v>
          </cell>
          <cell r="E211">
            <v>11330</v>
          </cell>
          <cell r="F211" t="str">
            <v>H4500</v>
          </cell>
        </row>
        <row r="212">
          <cell r="D212" t="str">
            <v>4500本体B</v>
          </cell>
          <cell r="E212">
            <v>9325</v>
          </cell>
          <cell r="F212" t="str">
            <v>H4500</v>
          </cell>
        </row>
        <row r="213">
          <cell r="D213" t="str">
            <v>4500本体B1</v>
          </cell>
          <cell r="E213">
            <v>11455</v>
          </cell>
          <cell r="F213" t="str">
            <v>H4500</v>
          </cell>
        </row>
        <row r="214">
          <cell r="D214" t="str">
            <v>4500本体B2</v>
          </cell>
          <cell r="E214">
            <v>13590</v>
          </cell>
          <cell r="F214" t="str">
            <v>H4500</v>
          </cell>
        </row>
        <row r="215">
          <cell r="D215" t="str">
            <v>4500本体B3</v>
          </cell>
          <cell r="E215">
            <v>13420</v>
          </cell>
          <cell r="F215" t="str">
            <v>H4500</v>
          </cell>
        </row>
        <row r="216">
          <cell r="D216" t="str">
            <v>4500本体B4</v>
          </cell>
          <cell r="E216">
            <v>11755</v>
          </cell>
          <cell r="F216" t="str">
            <v>H4500</v>
          </cell>
        </row>
        <row r="217">
          <cell r="D217" t="str">
            <v>4500本体B5</v>
          </cell>
          <cell r="E217">
            <v>13890</v>
          </cell>
          <cell r="F217" t="str">
            <v>H4500</v>
          </cell>
        </row>
        <row r="218">
          <cell r="D218" t="str">
            <v>4500本体C</v>
          </cell>
          <cell r="E218">
            <v>13335</v>
          </cell>
          <cell r="F218" t="str">
            <v>H4500</v>
          </cell>
        </row>
        <row r="219">
          <cell r="D219" t="str">
            <v>4500端面A</v>
          </cell>
          <cell r="E219">
            <v>12915</v>
          </cell>
          <cell r="F219" t="str">
            <v>H4500</v>
          </cell>
        </row>
        <row r="220">
          <cell r="D220" t="str">
            <v>4500端面B</v>
          </cell>
          <cell r="E220">
            <v>12915</v>
          </cell>
          <cell r="F220" t="str">
            <v>H4500</v>
          </cell>
        </row>
        <row r="221">
          <cell r="D221" t="str">
            <v>4500端面C</v>
          </cell>
          <cell r="E221">
            <v>13340</v>
          </cell>
          <cell r="F221" t="str">
            <v>H4500</v>
          </cell>
        </row>
        <row r="222">
          <cell r="D222" t="str">
            <v>4500端面D45A</v>
          </cell>
          <cell r="E222">
            <v>9185</v>
          </cell>
          <cell r="F222" t="str">
            <v>3000×4950×250</v>
          </cell>
        </row>
        <row r="223">
          <cell r="D223" t="str">
            <v>4500端面D45B</v>
          </cell>
          <cell r="E223">
            <v>7640</v>
          </cell>
          <cell r="F223" t="str">
            <v>2500×4950×250</v>
          </cell>
        </row>
        <row r="224">
          <cell r="D224" t="str">
            <v>4500端面D45C</v>
          </cell>
          <cell r="E224">
            <v>6095</v>
          </cell>
          <cell r="F224" t="str">
            <v>2000×4950×250</v>
          </cell>
        </row>
        <row r="225">
          <cell r="D225" t="str">
            <v>4500端面D45D</v>
          </cell>
          <cell r="E225">
            <v>9280</v>
          </cell>
          <cell r="F225" t="str">
            <v>3000×5000×250</v>
          </cell>
        </row>
        <row r="226">
          <cell r="D226" t="str">
            <v>4500端面D45E</v>
          </cell>
          <cell r="E226">
            <v>7715</v>
          </cell>
          <cell r="F226" t="str">
            <v>2500×5000×250</v>
          </cell>
        </row>
        <row r="227">
          <cell r="D227" t="str">
            <v>4500端面D45F</v>
          </cell>
          <cell r="E227">
            <v>6155</v>
          </cell>
          <cell r="F227" t="str">
            <v>2000×5000×250</v>
          </cell>
        </row>
        <row r="228">
          <cell r="D228" t="str">
            <v>4500端面E</v>
          </cell>
          <cell r="E228">
            <v>12490</v>
          </cell>
          <cell r="F228" t="str">
            <v>H4500</v>
          </cell>
        </row>
        <row r="229">
          <cell r="D229" t="str">
            <v>4500ふたB1A</v>
          </cell>
          <cell r="E229">
            <v>2200</v>
          </cell>
          <cell r="F229" t="str">
            <v>3000×1500×200</v>
          </cell>
          <cell r="G229" t="str">
            <v>B=3.0m,L=1.5m</v>
          </cell>
        </row>
        <row r="230">
          <cell r="D230" t="str">
            <v>4500ふたB2A</v>
          </cell>
          <cell r="E230">
            <v>1830</v>
          </cell>
          <cell r="F230" t="str">
            <v>2500×1500×200</v>
          </cell>
          <cell r="G230" t="str">
            <v>B=2.5m,L=1.5m</v>
          </cell>
        </row>
        <row r="231">
          <cell r="D231" t="str">
            <v>4500ふたB3A</v>
          </cell>
          <cell r="E231">
            <v>1455</v>
          </cell>
          <cell r="F231" t="str">
            <v>2000×1500×200</v>
          </cell>
          <cell r="G231" t="str">
            <v>B=2.0m,L=1.5m</v>
          </cell>
        </row>
        <row r="232">
          <cell r="D232" t="str">
            <v>4500ふたB4A</v>
          </cell>
          <cell r="E232">
            <v>720</v>
          </cell>
          <cell r="F232" t="str">
            <v>3000× 500×200</v>
          </cell>
          <cell r="G232" t="str">
            <v>B=3.0m,L=0.50m</v>
          </cell>
        </row>
        <row r="233">
          <cell r="D233" t="str">
            <v>4500ふたB5A</v>
          </cell>
          <cell r="E233">
            <v>600</v>
          </cell>
          <cell r="F233" t="str">
            <v>2500× 500×200</v>
          </cell>
          <cell r="G233" t="str">
            <v>B=2.5m,L=0.50m</v>
          </cell>
        </row>
        <row r="234">
          <cell r="D234" t="str">
            <v>4500ふたB6A</v>
          </cell>
          <cell r="E234">
            <v>475</v>
          </cell>
          <cell r="F234" t="str">
            <v>2000× 500×200</v>
          </cell>
          <cell r="G234" t="str">
            <v>B=2.0m,L=0.50m</v>
          </cell>
        </row>
        <row r="235">
          <cell r="D235" t="str">
            <v>4500ふたB1B</v>
          </cell>
          <cell r="E235">
            <v>2755</v>
          </cell>
          <cell r="F235" t="str">
            <v>3000×1500×250</v>
          </cell>
          <cell r="G235" t="str">
            <v>B=3.0m,L=1.5m,t=250</v>
          </cell>
        </row>
        <row r="236">
          <cell r="D236" t="str">
            <v>4500ふたB2B</v>
          </cell>
          <cell r="E236">
            <v>2290</v>
          </cell>
          <cell r="F236" t="str">
            <v>2500×1500×250</v>
          </cell>
          <cell r="G236" t="str">
            <v>B=2.5m,L=1.5m,t=250</v>
          </cell>
        </row>
        <row r="237">
          <cell r="D237" t="str">
            <v>4500ふたB3B</v>
          </cell>
          <cell r="E237">
            <v>1820</v>
          </cell>
          <cell r="F237" t="str">
            <v>2000×1500×250</v>
          </cell>
          <cell r="G237" t="str">
            <v>B=2.0m,L=1.5m,t=250</v>
          </cell>
        </row>
        <row r="238">
          <cell r="D238" t="str">
            <v>4500ふたB4B</v>
          </cell>
          <cell r="E238">
            <v>905</v>
          </cell>
          <cell r="F238" t="str">
            <v>3000× 500×250</v>
          </cell>
          <cell r="G238" t="str">
            <v>B=3.0m,L=0.50m,t=250</v>
          </cell>
        </row>
        <row r="239">
          <cell r="D239" t="str">
            <v>4500ふたB5B</v>
          </cell>
          <cell r="E239">
            <v>750</v>
          </cell>
          <cell r="F239" t="str">
            <v>2500× 500×250</v>
          </cell>
          <cell r="G239" t="str">
            <v>B=2.5m,L=0.50m,t=250</v>
          </cell>
        </row>
        <row r="240">
          <cell r="D240" t="str">
            <v>4500ふたB6B</v>
          </cell>
          <cell r="E240">
            <v>595</v>
          </cell>
          <cell r="F240" t="str">
            <v>2000× 500×250</v>
          </cell>
          <cell r="G240" t="str">
            <v>B=2.0m,L=0.50m,t=250</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row r="23">
          <cell r="B23" t="str">
            <v>3000×200×2000</v>
          </cell>
          <cell r="C23">
            <v>3000</v>
          </cell>
          <cell r="D23">
            <v>200</v>
          </cell>
          <cell r="E23">
            <v>2000</v>
          </cell>
          <cell r="F23" t="str">
            <v>A1A</v>
          </cell>
        </row>
        <row r="24">
          <cell r="B24" t="str">
            <v>2500×200×2000</v>
          </cell>
          <cell r="C24">
            <v>2500</v>
          </cell>
          <cell r="D24">
            <v>200</v>
          </cell>
          <cell r="E24">
            <v>2000</v>
          </cell>
          <cell r="F24" t="str">
            <v>A2A</v>
          </cell>
        </row>
        <row r="25">
          <cell r="B25" t="str">
            <v>2000×200×2000</v>
          </cell>
          <cell r="C25">
            <v>2000</v>
          </cell>
          <cell r="D25">
            <v>200</v>
          </cell>
          <cell r="E25">
            <v>2000</v>
          </cell>
          <cell r="F25" t="str">
            <v>A3A</v>
          </cell>
        </row>
        <row r="26">
          <cell r="B26" t="str">
            <v>3000×200×750</v>
          </cell>
          <cell r="C26">
            <v>3000</v>
          </cell>
          <cell r="D26">
            <v>200</v>
          </cell>
          <cell r="E26">
            <v>750</v>
          </cell>
          <cell r="F26" t="str">
            <v>A4A</v>
          </cell>
        </row>
        <row r="27">
          <cell r="B27" t="str">
            <v>2500×200×750</v>
          </cell>
          <cell r="C27">
            <v>2500</v>
          </cell>
          <cell r="D27">
            <v>200</v>
          </cell>
          <cell r="E27">
            <v>750</v>
          </cell>
          <cell r="F27" t="str">
            <v>A5A</v>
          </cell>
        </row>
        <row r="28">
          <cell r="B28" t="str">
            <v>2000×200×750</v>
          </cell>
          <cell r="C28">
            <v>2000</v>
          </cell>
          <cell r="D28">
            <v>200</v>
          </cell>
          <cell r="E28">
            <v>750</v>
          </cell>
          <cell r="F28" t="str">
            <v>A6A</v>
          </cell>
        </row>
        <row r="29">
          <cell r="B29" t="str">
            <v>3000×200×1500</v>
          </cell>
          <cell r="C29">
            <v>3000</v>
          </cell>
          <cell r="D29">
            <v>200</v>
          </cell>
          <cell r="E29">
            <v>1500</v>
          </cell>
          <cell r="F29" t="str">
            <v>B1A</v>
          </cell>
        </row>
        <row r="30">
          <cell r="B30" t="str">
            <v>2500×200×1500</v>
          </cell>
          <cell r="C30">
            <v>2500</v>
          </cell>
          <cell r="D30">
            <v>200</v>
          </cell>
          <cell r="E30">
            <v>1500</v>
          </cell>
          <cell r="F30" t="str">
            <v>B2A</v>
          </cell>
        </row>
        <row r="31">
          <cell r="B31" t="str">
            <v>2000×200×1500</v>
          </cell>
          <cell r="C31">
            <v>2000</v>
          </cell>
          <cell r="D31">
            <v>200</v>
          </cell>
          <cell r="E31">
            <v>1500</v>
          </cell>
          <cell r="F31" t="str">
            <v>B3A</v>
          </cell>
        </row>
        <row r="32">
          <cell r="B32" t="str">
            <v>3000×200×500</v>
          </cell>
          <cell r="C32">
            <v>3000</v>
          </cell>
          <cell r="D32">
            <v>200</v>
          </cell>
          <cell r="E32">
            <v>500</v>
          </cell>
          <cell r="F32" t="str">
            <v>B4A</v>
          </cell>
        </row>
        <row r="33">
          <cell r="B33" t="str">
            <v>2500×200×500</v>
          </cell>
          <cell r="C33">
            <v>2500</v>
          </cell>
          <cell r="D33">
            <v>200</v>
          </cell>
          <cell r="E33">
            <v>500</v>
          </cell>
          <cell r="F33" t="str">
            <v>B5A</v>
          </cell>
        </row>
        <row r="34">
          <cell r="B34" t="str">
            <v>2000×200×500</v>
          </cell>
          <cell r="C34">
            <v>2000</v>
          </cell>
          <cell r="D34">
            <v>200</v>
          </cell>
          <cell r="E34">
            <v>500</v>
          </cell>
          <cell r="F34" t="str">
            <v>B6A</v>
          </cell>
        </row>
        <row r="35">
          <cell r="B35" t="str">
            <v>3000×250×2000</v>
          </cell>
          <cell r="C35">
            <v>3000</v>
          </cell>
          <cell r="D35">
            <v>250</v>
          </cell>
          <cell r="E35">
            <v>2000</v>
          </cell>
          <cell r="F35" t="str">
            <v>A1B</v>
          </cell>
        </row>
        <row r="36">
          <cell r="B36" t="str">
            <v>2500×250×2000</v>
          </cell>
          <cell r="C36">
            <v>2500</v>
          </cell>
          <cell r="D36">
            <v>250</v>
          </cell>
          <cell r="E36">
            <v>2000</v>
          </cell>
          <cell r="F36" t="str">
            <v>A2B</v>
          </cell>
        </row>
        <row r="37">
          <cell r="B37" t="str">
            <v>2000×250×2000</v>
          </cell>
          <cell r="C37">
            <v>2000</v>
          </cell>
          <cell r="D37">
            <v>250</v>
          </cell>
          <cell r="E37">
            <v>2000</v>
          </cell>
          <cell r="F37" t="str">
            <v>A3B</v>
          </cell>
        </row>
        <row r="38">
          <cell r="B38" t="str">
            <v>3000×250×750</v>
          </cell>
          <cell r="C38">
            <v>3000</v>
          </cell>
          <cell r="D38">
            <v>250</v>
          </cell>
          <cell r="E38">
            <v>750</v>
          </cell>
          <cell r="F38" t="str">
            <v>A4B</v>
          </cell>
        </row>
        <row r="39">
          <cell r="B39" t="str">
            <v>2500×250×750</v>
          </cell>
          <cell r="C39">
            <v>2500</v>
          </cell>
          <cell r="D39">
            <v>250</v>
          </cell>
          <cell r="E39">
            <v>750</v>
          </cell>
          <cell r="F39" t="str">
            <v>A5B</v>
          </cell>
        </row>
        <row r="40">
          <cell r="B40" t="str">
            <v>2000×250×750</v>
          </cell>
          <cell r="C40">
            <v>2000</v>
          </cell>
          <cell r="D40">
            <v>250</v>
          </cell>
          <cell r="E40">
            <v>750</v>
          </cell>
          <cell r="F40" t="str">
            <v>A6B</v>
          </cell>
        </row>
        <row r="41">
          <cell r="B41" t="str">
            <v>3000×250×1500</v>
          </cell>
          <cell r="C41">
            <v>3000</v>
          </cell>
          <cell r="D41">
            <v>250</v>
          </cell>
          <cell r="E41">
            <v>1500</v>
          </cell>
          <cell r="F41" t="str">
            <v>B1B</v>
          </cell>
        </row>
        <row r="42">
          <cell r="B42" t="str">
            <v>2500×250×1500</v>
          </cell>
          <cell r="C42">
            <v>2500</v>
          </cell>
          <cell r="D42">
            <v>250</v>
          </cell>
          <cell r="E42">
            <v>1500</v>
          </cell>
          <cell r="F42" t="str">
            <v>B2B</v>
          </cell>
        </row>
        <row r="43">
          <cell r="B43" t="str">
            <v>2000×250×500</v>
          </cell>
          <cell r="C43">
            <v>2000</v>
          </cell>
          <cell r="D43">
            <v>250</v>
          </cell>
          <cell r="E43">
            <v>500</v>
          </cell>
          <cell r="F43" t="str">
            <v>B3B</v>
          </cell>
        </row>
        <row r="44">
          <cell r="B44" t="str">
            <v>3000×250×500</v>
          </cell>
          <cell r="C44">
            <v>3000</v>
          </cell>
          <cell r="D44">
            <v>250</v>
          </cell>
          <cell r="E44">
            <v>500</v>
          </cell>
          <cell r="F44" t="str">
            <v>B4B</v>
          </cell>
        </row>
        <row r="45">
          <cell r="B45" t="str">
            <v>2500×250×500</v>
          </cell>
          <cell r="C45">
            <v>2500</v>
          </cell>
          <cell r="D45">
            <v>250</v>
          </cell>
          <cell r="E45">
            <v>500</v>
          </cell>
          <cell r="F45" t="str">
            <v>B5B</v>
          </cell>
        </row>
        <row r="46">
          <cell r="B46" t="str">
            <v>2000×250×500</v>
          </cell>
          <cell r="C46">
            <v>2000</v>
          </cell>
          <cell r="D46">
            <v>250</v>
          </cell>
          <cell r="E46">
            <v>500</v>
          </cell>
          <cell r="F46" t="str">
            <v>B6B</v>
          </cell>
        </row>
        <row r="50">
          <cell r="B50" t="str">
            <v>3000×1900×250</v>
          </cell>
          <cell r="C50">
            <v>1500</v>
          </cell>
          <cell r="D50">
            <v>3000</v>
          </cell>
          <cell r="E50">
            <v>200</v>
          </cell>
          <cell r="F50">
            <v>250</v>
          </cell>
          <cell r="G50" t="str">
            <v>端面D15A</v>
          </cell>
        </row>
        <row r="51">
          <cell r="B51" t="str">
            <v>2500×1900×250</v>
          </cell>
          <cell r="C51">
            <v>1500</v>
          </cell>
          <cell r="D51">
            <v>2500</v>
          </cell>
          <cell r="E51">
            <v>200</v>
          </cell>
          <cell r="F51">
            <v>250</v>
          </cell>
          <cell r="G51" t="str">
            <v>端面D15B</v>
          </cell>
        </row>
        <row r="52">
          <cell r="B52" t="str">
            <v>2000×1900×250</v>
          </cell>
          <cell r="C52">
            <v>1500</v>
          </cell>
          <cell r="D52">
            <v>2000</v>
          </cell>
          <cell r="E52">
            <v>200</v>
          </cell>
          <cell r="F52">
            <v>250</v>
          </cell>
          <cell r="G52" t="str">
            <v>端面D15C</v>
          </cell>
        </row>
        <row r="53">
          <cell r="B53" t="str">
            <v>3000×1950×250</v>
          </cell>
          <cell r="C53">
            <v>1500</v>
          </cell>
          <cell r="D53">
            <v>3000</v>
          </cell>
          <cell r="E53">
            <v>250</v>
          </cell>
          <cell r="F53">
            <v>250</v>
          </cell>
          <cell r="G53" t="str">
            <v>端面D15D</v>
          </cell>
        </row>
        <row r="54">
          <cell r="B54" t="str">
            <v>2500×1950×250</v>
          </cell>
          <cell r="C54">
            <v>1500</v>
          </cell>
          <cell r="D54">
            <v>2500</v>
          </cell>
          <cell r="E54">
            <v>250</v>
          </cell>
          <cell r="F54">
            <v>250</v>
          </cell>
          <cell r="G54" t="str">
            <v>端面D15E</v>
          </cell>
        </row>
        <row r="55">
          <cell r="B55" t="str">
            <v>2000×1950×250</v>
          </cell>
          <cell r="C55">
            <v>1500</v>
          </cell>
          <cell r="D55">
            <v>2000</v>
          </cell>
          <cell r="E55">
            <v>250</v>
          </cell>
          <cell r="F55">
            <v>250</v>
          </cell>
          <cell r="G55" t="str">
            <v>端面D15F</v>
          </cell>
        </row>
        <row r="56">
          <cell r="B56" t="str">
            <v>3000×2400×250</v>
          </cell>
          <cell r="C56">
            <v>2000</v>
          </cell>
          <cell r="D56">
            <v>3000</v>
          </cell>
          <cell r="E56">
            <v>200</v>
          </cell>
          <cell r="F56">
            <v>250</v>
          </cell>
          <cell r="G56" t="str">
            <v>端面D20A</v>
          </cell>
        </row>
        <row r="57">
          <cell r="B57" t="str">
            <v>2500×2400×250</v>
          </cell>
          <cell r="C57">
            <v>2000</v>
          </cell>
          <cell r="D57">
            <v>2500</v>
          </cell>
          <cell r="E57">
            <v>200</v>
          </cell>
          <cell r="F57">
            <v>250</v>
          </cell>
          <cell r="G57" t="str">
            <v>端面D20B</v>
          </cell>
        </row>
        <row r="58">
          <cell r="B58" t="str">
            <v>2000×2400×250</v>
          </cell>
          <cell r="C58">
            <v>2000</v>
          </cell>
          <cell r="D58">
            <v>2000</v>
          </cell>
          <cell r="E58">
            <v>200</v>
          </cell>
          <cell r="F58">
            <v>250</v>
          </cell>
          <cell r="G58" t="str">
            <v>端面D20C</v>
          </cell>
        </row>
        <row r="59">
          <cell r="B59" t="str">
            <v>3000×2450×250</v>
          </cell>
          <cell r="C59">
            <v>2000</v>
          </cell>
          <cell r="D59">
            <v>3000</v>
          </cell>
          <cell r="E59">
            <v>250</v>
          </cell>
          <cell r="F59">
            <v>250</v>
          </cell>
          <cell r="G59" t="str">
            <v>端面D20D</v>
          </cell>
        </row>
        <row r="60">
          <cell r="B60" t="str">
            <v>2500×2450×250</v>
          </cell>
          <cell r="C60">
            <v>2000</v>
          </cell>
          <cell r="D60">
            <v>2500</v>
          </cell>
          <cell r="E60">
            <v>250</v>
          </cell>
          <cell r="F60">
            <v>250</v>
          </cell>
          <cell r="G60" t="str">
            <v>端面D20E</v>
          </cell>
        </row>
        <row r="61">
          <cell r="B61" t="str">
            <v>2000×2450×250</v>
          </cell>
          <cell r="C61">
            <v>2000</v>
          </cell>
          <cell r="D61">
            <v>2000</v>
          </cell>
          <cell r="E61">
            <v>250</v>
          </cell>
          <cell r="F61">
            <v>250</v>
          </cell>
          <cell r="G61" t="str">
            <v>端面D20F</v>
          </cell>
        </row>
        <row r="62">
          <cell r="B62" t="str">
            <v>3000×2900×250</v>
          </cell>
          <cell r="C62">
            <v>2500</v>
          </cell>
          <cell r="D62">
            <v>3000</v>
          </cell>
          <cell r="E62">
            <v>200</v>
          </cell>
          <cell r="F62">
            <v>250</v>
          </cell>
          <cell r="G62" t="str">
            <v>端面D25A</v>
          </cell>
        </row>
        <row r="63">
          <cell r="B63" t="str">
            <v>2500×2900×250</v>
          </cell>
          <cell r="C63">
            <v>2500</v>
          </cell>
          <cell r="D63">
            <v>2500</v>
          </cell>
          <cell r="E63">
            <v>200</v>
          </cell>
          <cell r="F63">
            <v>250</v>
          </cell>
          <cell r="G63" t="str">
            <v>端面D25B</v>
          </cell>
        </row>
        <row r="64">
          <cell r="B64" t="str">
            <v>2000×2900×250</v>
          </cell>
          <cell r="C64">
            <v>2500</v>
          </cell>
          <cell r="D64">
            <v>2000</v>
          </cell>
          <cell r="E64">
            <v>200</v>
          </cell>
          <cell r="F64">
            <v>250</v>
          </cell>
          <cell r="G64" t="str">
            <v>端面D25C</v>
          </cell>
        </row>
        <row r="65">
          <cell r="B65" t="str">
            <v>3000×2950×250</v>
          </cell>
          <cell r="C65">
            <v>2500</v>
          </cell>
          <cell r="D65">
            <v>3000</v>
          </cell>
          <cell r="E65">
            <v>250</v>
          </cell>
          <cell r="F65">
            <v>250</v>
          </cell>
          <cell r="G65" t="str">
            <v>端面D25D</v>
          </cell>
        </row>
        <row r="66">
          <cell r="B66" t="str">
            <v>2500×2950×250</v>
          </cell>
          <cell r="C66">
            <v>2500</v>
          </cell>
          <cell r="D66">
            <v>2500</v>
          </cell>
          <cell r="E66">
            <v>250</v>
          </cell>
          <cell r="F66">
            <v>250</v>
          </cell>
          <cell r="G66" t="str">
            <v>端面D25E</v>
          </cell>
        </row>
        <row r="67">
          <cell r="B67" t="str">
            <v>2000×2950×250</v>
          </cell>
          <cell r="C67">
            <v>2500</v>
          </cell>
          <cell r="D67">
            <v>2000</v>
          </cell>
          <cell r="E67">
            <v>250</v>
          </cell>
          <cell r="F67">
            <v>250</v>
          </cell>
          <cell r="G67" t="str">
            <v>端面D25F</v>
          </cell>
        </row>
        <row r="68">
          <cell r="B68" t="str">
            <v>3000×3400×250</v>
          </cell>
          <cell r="C68">
            <v>3000</v>
          </cell>
          <cell r="D68">
            <v>3000</v>
          </cell>
          <cell r="E68">
            <v>200</v>
          </cell>
          <cell r="F68">
            <v>250</v>
          </cell>
          <cell r="G68" t="str">
            <v>端面D30A</v>
          </cell>
        </row>
        <row r="69">
          <cell r="B69" t="str">
            <v>2500×3400×250</v>
          </cell>
          <cell r="C69">
            <v>3000</v>
          </cell>
          <cell r="D69">
            <v>2500</v>
          </cell>
          <cell r="E69">
            <v>200</v>
          </cell>
          <cell r="F69">
            <v>250</v>
          </cell>
          <cell r="G69" t="str">
            <v>端面D30B</v>
          </cell>
        </row>
        <row r="70">
          <cell r="B70" t="str">
            <v>2000×3400×250</v>
          </cell>
          <cell r="C70">
            <v>3000</v>
          </cell>
          <cell r="D70">
            <v>2000</v>
          </cell>
          <cell r="E70">
            <v>200</v>
          </cell>
          <cell r="F70">
            <v>250</v>
          </cell>
          <cell r="G70" t="str">
            <v>端面D30C</v>
          </cell>
        </row>
        <row r="71">
          <cell r="B71" t="str">
            <v>3000×3450×250</v>
          </cell>
          <cell r="C71">
            <v>3000</v>
          </cell>
          <cell r="D71">
            <v>3000</v>
          </cell>
          <cell r="E71">
            <v>250</v>
          </cell>
          <cell r="F71">
            <v>250</v>
          </cell>
          <cell r="G71" t="str">
            <v>端面D30D</v>
          </cell>
        </row>
        <row r="72">
          <cell r="B72" t="str">
            <v>2500×3450×250</v>
          </cell>
          <cell r="C72">
            <v>3000</v>
          </cell>
          <cell r="D72">
            <v>2500</v>
          </cell>
          <cell r="E72">
            <v>250</v>
          </cell>
          <cell r="F72">
            <v>250</v>
          </cell>
          <cell r="G72" t="str">
            <v>端面D30E</v>
          </cell>
        </row>
        <row r="73">
          <cell r="B73" t="str">
            <v>2000×3450×250</v>
          </cell>
          <cell r="C73">
            <v>3000</v>
          </cell>
          <cell r="D73">
            <v>2000</v>
          </cell>
          <cell r="E73">
            <v>250</v>
          </cell>
          <cell r="F73">
            <v>250</v>
          </cell>
          <cell r="G73" t="str">
            <v>端面D30F</v>
          </cell>
        </row>
        <row r="74">
          <cell r="B74" t="str">
            <v>3000×3900×250</v>
          </cell>
          <cell r="C74">
            <v>3500</v>
          </cell>
          <cell r="D74">
            <v>3000</v>
          </cell>
          <cell r="E74">
            <v>200</v>
          </cell>
          <cell r="F74">
            <v>250</v>
          </cell>
          <cell r="G74" t="str">
            <v>端面D35A</v>
          </cell>
        </row>
        <row r="75">
          <cell r="B75" t="str">
            <v>2500×3900×250</v>
          </cell>
          <cell r="C75">
            <v>3500</v>
          </cell>
          <cell r="D75">
            <v>2500</v>
          </cell>
          <cell r="E75">
            <v>200</v>
          </cell>
          <cell r="F75">
            <v>250</v>
          </cell>
          <cell r="G75" t="str">
            <v>端面D35B</v>
          </cell>
        </row>
        <row r="76">
          <cell r="B76" t="str">
            <v>2000×3900×250</v>
          </cell>
          <cell r="C76">
            <v>3500</v>
          </cell>
          <cell r="D76">
            <v>2000</v>
          </cell>
          <cell r="E76">
            <v>200</v>
          </cell>
          <cell r="F76">
            <v>250</v>
          </cell>
          <cell r="G76" t="str">
            <v>端面D35C</v>
          </cell>
        </row>
        <row r="77">
          <cell r="B77" t="str">
            <v>3000×3950×250</v>
          </cell>
          <cell r="C77">
            <v>3500</v>
          </cell>
          <cell r="D77">
            <v>3000</v>
          </cell>
          <cell r="E77">
            <v>250</v>
          </cell>
          <cell r="F77">
            <v>250</v>
          </cell>
          <cell r="G77" t="str">
            <v>端面D35D</v>
          </cell>
        </row>
        <row r="78">
          <cell r="B78" t="str">
            <v>2500×3950×250</v>
          </cell>
          <cell r="C78">
            <v>3500</v>
          </cell>
          <cell r="D78">
            <v>2500</v>
          </cell>
          <cell r="E78">
            <v>250</v>
          </cell>
          <cell r="F78">
            <v>250</v>
          </cell>
          <cell r="G78" t="str">
            <v>端面D35E</v>
          </cell>
        </row>
        <row r="79">
          <cell r="B79" t="str">
            <v>2000×3950×250</v>
          </cell>
          <cell r="C79">
            <v>3500</v>
          </cell>
          <cell r="D79">
            <v>2000</v>
          </cell>
          <cell r="E79">
            <v>250</v>
          </cell>
          <cell r="F79">
            <v>250</v>
          </cell>
          <cell r="G79" t="str">
            <v>端面D35F</v>
          </cell>
        </row>
        <row r="80">
          <cell r="B80" t="str">
            <v>3000×4400×250</v>
          </cell>
          <cell r="C80">
            <v>4000</v>
          </cell>
          <cell r="D80">
            <v>3000</v>
          </cell>
          <cell r="E80">
            <v>200</v>
          </cell>
          <cell r="F80">
            <v>250</v>
          </cell>
          <cell r="G80" t="str">
            <v>端面D40A</v>
          </cell>
        </row>
        <row r="81">
          <cell r="B81" t="str">
            <v>2500×4400×250</v>
          </cell>
          <cell r="C81">
            <v>4000</v>
          </cell>
          <cell r="D81">
            <v>2500</v>
          </cell>
          <cell r="E81">
            <v>200</v>
          </cell>
          <cell r="F81">
            <v>250</v>
          </cell>
          <cell r="G81" t="str">
            <v>端面D40B</v>
          </cell>
        </row>
        <row r="82">
          <cell r="B82" t="str">
            <v>2000×4400×250</v>
          </cell>
          <cell r="C82">
            <v>4000</v>
          </cell>
          <cell r="D82">
            <v>2000</v>
          </cell>
          <cell r="E82">
            <v>200</v>
          </cell>
          <cell r="F82">
            <v>250</v>
          </cell>
          <cell r="G82" t="str">
            <v>端面D40C</v>
          </cell>
        </row>
        <row r="83">
          <cell r="B83" t="str">
            <v>3000×4450×250</v>
          </cell>
          <cell r="C83">
            <v>4000</v>
          </cell>
          <cell r="D83">
            <v>3000</v>
          </cell>
          <cell r="E83">
            <v>250</v>
          </cell>
          <cell r="F83">
            <v>250</v>
          </cell>
          <cell r="G83" t="str">
            <v>端面D40D</v>
          </cell>
        </row>
        <row r="84">
          <cell r="B84" t="str">
            <v>2500×4450×250</v>
          </cell>
          <cell r="C84">
            <v>4000</v>
          </cell>
          <cell r="D84">
            <v>2500</v>
          </cell>
          <cell r="E84">
            <v>250</v>
          </cell>
          <cell r="F84">
            <v>250</v>
          </cell>
          <cell r="G84" t="str">
            <v>端面D40E</v>
          </cell>
        </row>
        <row r="85">
          <cell r="B85" t="str">
            <v>2000×4450×250</v>
          </cell>
          <cell r="C85">
            <v>4000</v>
          </cell>
          <cell r="D85">
            <v>2000</v>
          </cell>
          <cell r="E85">
            <v>250</v>
          </cell>
          <cell r="F85">
            <v>250</v>
          </cell>
          <cell r="G85" t="str">
            <v>端面D40F</v>
          </cell>
        </row>
        <row r="86">
          <cell r="B86" t="str">
            <v>3000×4900×250</v>
          </cell>
          <cell r="C86">
            <v>4500</v>
          </cell>
          <cell r="D86">
            <v>3000</v>
          </cell>
          <cell r="E86">
            <v>200</v>
          </cell>
          <cell r="F86">
            <v>250</v>
          </cell>
          <cell r="G86" t="str">
            <v>端面D45A</v>
          </cell>
        </row>
        <row r="87">
          <cell r="B87" t="str">
            <v>2500×4900×250</v>
          </cell>
          <cell r="C87">
            <v>4500</v>
          </cell>
          <cell r="D87">
            <v>2500</v>
          </cell>
          <cell r="E87">
            <v>200</v>
          </cell>
          <cell r="F87">
            <v>250</v>
          </cell>
          <cell r="G87" t="str">
            <v>端面D45B</v>
          </cell>
        </row>
        <row r="88">
          <cell r="B88" t="str">
            <v>2000×4900×250</v>
          </cell>
          <cell r="C88">
            <v>4500</v>
          </cell>
          <cell r="D88">
            <v>2000</v>
          </cell>
          <cell r="E88">
            <v>200</v>
          </cell>
          <cell r="F88">
            <v>250</v>
          </cell>
          <cell r="G88" t="str">
            <v>端面D45C</v>
          </cell>
        </row>
        <row r="89">
          <cell r="B89" t="str">
            <v>3000×4950×250</v>
          </cell>
          <cell r="C89">
            <v>4500</v>
          </cell>
          <cell r="D89">
            <v>3000</v>
          </cell>
          <cell r="E89">
            <v>250</v>
          </cell>
          <cell r="F89">
            <v>250</v>
          </cell>
          <cell r="G89" t="str">
            <v>端面D45D</v>
          </cell>
        </row>
        <row r="90">
          <cell r="B90" t="str">
            <v>2500×4950×250</v>
          </cell>
          <cell r="C90">
            <v>4500</v>
          </cell>
          <cell r="D90">
            <v>2500</v>
          </cell>
          <cell r="E90">
            <v>250</v>
          </cell>
          <cell r="F90">
            <v>250</v>
          </cell>
          <cell r="G90" t="str">
            <v>端面D45E</v>
          </cell>
        </row>
        <row r="91">
          <cell r="B91" t="str">
            <v>2000×4950×250</v>
          </cell>
          <cell r="C91">
            <v>4500</v>
          </cell>
          <cell r="D91">
            <v>2000</v>
          </cell>
          <cell r="E91">
            <v>250</v>
          </cell>
          <cell r="F91">
            <v>250</v>
          </cell>
          <cell r="G91" t="str">
            <v>端面D45F</v>
          </cell>
        </row>
      </sheetData>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組織員会より】JTB様へ "/>
      <sheetName val="一覧①"/>
      <sheetName val="担当割"/>
      <sheetName val="担当割 (2)"/>
      <sheetName val="西田のみ宿泊施設DB"/>
      <sheetName val="宿泊施設DB"/>
      <sheetName val="選手ファミリーホテル状況整理"/>
      <sheetName val="サマリー"/>
      <sheetName val="交渉優先度検討　担当割エクセル"/>
      <sheetName val="選手ファミリーホテル状況整理（0403時点）"/>
      <sheetName val="基本事項DB"/>
      <sheetName val="客室DB"/>
      <sheetName val="ファンクションルームDB"/>
      <sheetName val="旧宿泊施設DB（削除様子見）"/>
      <sheetName val="訪問スケジュール"/>
      <sheetName val="DB"/>
      <sheetName val="食事課題施設のみ抽出"/>
      <sheetName val="2024-04月報告リスト"/>
      <sheetName val="2024-05月報告リスト"/>
      <sheetName val="2024-06月報告リスト"/>
      <sheetName val="2024-07月報告リスト"/>
      <sheetName val="FNB集計用"/>
      <sheetName val="2024-08月報告リスト"/>
      <sheetName val="2024-09月報告リスト"/>
      <sheetName val="2024-10月報告リスト"/>
      <sheetName val="2024-11月報告リスト"/>
      <sheetName val="2024-12月報告リスト"/>
      <sheetName val="2025-01月報告リスト"/>
      <sheetName val="2025-02月報告リスト"/>
      <sheetName val="2025-03月報告リスト"/>
      <sheetName val="1"/>
      <sheetName val="2"/>
      <sheetName val="4"/>
      <sheetName val="5"/>
      <sheetName val="7"/>
      <sheetName val="8"/>
      <sheetName val="9"/>
      <sheetName val="10"/>
      <sheetName val="11"/>
      <sheetName val="12"/>
      <sheetName val="13"/>
      <sheetName val="15"/>
      <sheetName val="19"/>
      <sheetName val="20"/>
      <sheetName val="21"/>
      <sheetName val="22"/>
      <sheetName val="23"/>
      <sheetName val="24"/>
      <sheetName val="25"/>
      <sheetName val="26"/>
      <sheetName val="27"/>
      <sheetName val="28"/>
      <sheetName val="32"/>
      <sheetName val="34"/>
      <sheetName val="35"/>
      <sheetName val="38"/>
      <sheetName val="39"/>
      <sheetName val="40"/>
      <sheetName val="41"/>
      <sheetName val="42"/>
      <sheetName val="43"/>
      <sheetName val="44"/>
      <sheetName val="45"/>
      <sheetName val="46"/>
      <sheetName val="47"/>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3"/>
      <sheetName val="74"/>
      <sheetName val="75"/>
      <sheetName val="76"/>
      <sheetName val="77"/>
      <sheetName val="78"/>
      <sheetName val="79"/>
      <sheetName val="80"/>
      <sheetName val="81"/>
      <sheetName val="82"/>
      <sheetName val="83"/>
      <sheetName val="84"/>
      <sheetName val="86"/>
      <sheetName val="87"/>
      <sheetName val="90"/>
      <sheetName val="92"/>
      <sheetName val="93"/>
      <sheetName val="94"/>
      <sheetName val="95"/>
      <sheetName val="96"/>
      <sheetName val="98"/>
      <sheetName val="99"/>
      <sheetName val="100"/>
      <sheetName val="101"/>
      <sheetName val="102"/>
      <sheetName val="103"/>
      <sheetName val="104"/>
      <sheetName val="105"/>
      <sheetName val="106"/>
      <sheetName val="107"/>
      <sheetName val="108"/>
      <sheetName val="111"/>
      <sheetName val="112"/>
      <sheetName val="114"/>
      <sheetName val="115"/>
      <sheetName val="116"/>
      <sheetName val="117"/>
      <sheetName val="118"/>
      <sheetName val="119"/>
      <sheetName val="120"/>
      <sheetName val="121"/>
      <sheetName val="122"/>
      <sheetName val="123"/>
      <sheetName val="124"/>
      <sheetName val="125"/>
      <sheetName val="126"/>
      <sheetName val="127"/>
      <sheetName val="128"/>
      <sheetName val="129"/>
      <sheetName val="130"/>
      <sheetName val="133"/>
      <sheetName val="138"/>
      <sheetName val="139"/>
      <sheetName val="140"/>
      <sheetName val="142"/>
      <sheetName val="143"/>
      <sheetName val="144"/>
      <sheetName val="145"/>
      <sheetName val="146"/>
      <sheetName val="147"/>
      <sheetName val="149"/>
      <sheetName val="150"/>
      <sheetName val="151"/>
      <sheetName val="152"/>
      <sheetName val="154"/>
      <sheetName val="155"/>
      <sheetName val="156"/>
      <sheetName val="157"/>
      <sheetName val="158"/>
      <sheetName val="159"/>
      <sheetName val="160"/>
      <sheetName val="161"/>
      <sheetName val="162"/>
      <sheetName val="163"/>
      <sheetName val="164"/>
      <sheetName val="165"/>
      <sheetName val="166"/>
      <sheetName val="167"/>
      <sheetName val="168"/>
      <sheetName val="171"/>
      <sheetName val="172"/>
      <sheetName val="173"/>
      <sheetName val="175"/>
      <sheetName val="174"/>
      <sheetName val="176"/>
      <sheetName val="177"/>
      <sheetName val="179"/>
      <sheetName val="180"/>
      <sheetName val="181"/>
      <sheetName val="182"/>
      <sheetName val="183"/>
      <sheetName val="184"/>
      <sheetName val="186"/>
      <sheetName val="187"/>
      <sheetName val="191"/>
      <sheetName val="188"/>
      <sheetName val="189"/>
      <sheetName val="192"/>
      <sheetName val="193"/>
      <sheetName val="194"/>
      <sheetName val="195"/>
      <sheetName val="196"/>
      <sheetName val="200"/>
      <sheetName val="201"/>
      <sheetName val="202"/>
      <sheetName val="203"/>
      <sheetName val="204"/>
      <sheetName val="205"/>
      <sheetName val="206"/>
      <sheetName val="207"/>
      <sheetName val="208"/>
      <sheetName val="210"/>
      <sheetName val="211"/>
      <sheetName val="212"/>
      <sheetName val="213"/>
      <sheetName val="214"/>
      <sheetName val="216"/>
      <sheetName val="219"/>
      <sheetName val="220"/>
      <sheetName val="221"/>
      <sheetName val="222"/>
      <sheetName val="223"/>
      <sheetName val="224"/>
      <sheetName val="225"/>
      <sheetName val="226"/>
      <sheetName val="227"/>
      <sheetName val="228"/>
      <sheetName val="229"/>
      <sheetName val="230"/>
      <sheetName val="231"/>
      <sheetName val="232"/>
      <sheetName val="234"/>
      <sheetName val="235"/>
      <sheetName val="238"/>
      <sheetName val="239"/>
      <sheetName val="240"/>
      <sheetName val="241"/>
      <sheetName val="242"/>
      <sheetName val="243"/>
      <sheetName val="244"/>
      <sheetName val="245"/>
      <sheetName val="247"/>
      <sheetName val="249"/>
      <sheetName val="250"/>
      <sheetName val="251"/>
      <sheetName val="252"/>
      <sheetName val="253"/>
      <sheetName val="255"/>
      <sheetName val="256"/>
      <sheetName val="257"/>
      <sheetName val="260"/>
      <sheetName val="261"/>
      <sheetName val="262"/>
      <sheetName val="263"/>
      <sheetName val="266"/>
      <sheetName val="267"/>
      <sheetName val="268"/>
      <sheetName val="269"/>
      <sheetName val="270"/>
      <sheetName val="271"/>
      <sheetName val="272"/>
      <sheetName val="273"/>
      <sheetName val="275"/>
      <sheetName val="276"/>
      <sheetName val="277"/>
      <sheetName val="278"/>
      <sheetName val="279"/>
      <sheetName val="280"/>
      <sheetName val="281"/>
      <sheetName val="282"/>
      <sheetName val="283"/>
      <sheetName val="284"/>
      <sheetName val="285"/>
      <sheetName val="287"/>
      <sheetName val="288"/>
      <sheetName val="289"/>
      <sheetName val="290"/>
      <sheetName val="292"/>
      <sheetName val="293"/>
      <sheetName val="295"/>
      <sheetName val="296"/>
      <sheetName val="297"/>
      <sheetName val="298"/>
      <sheetName val="299"/>
      <sheetName val="300"/>
      <sheetName val="301"/>
      <sheetName val="302"/>
      <sheetName val="303"/>
      <sheetName val="304"/>
      <sheetName val="305"/>
      <sheetName val="306"/>
      <sheetName val="307"/>
      <sheetName val="308"/>
      <sheetName val="310"/>
      <sheetName val="311"/>
      <sheetName val="312"/>
      <sheetName val="313"/>
      <sheetName val="315"/>
      <sheetName val="316"/>
      <sheetName val="317"/>
      <sheetName val="319"/>
      <sheetName val="320"/>
      <sheetName val="321"/>
      <sheetName val="322"/>
      <sheetName val="323"/>
      <sheetName val="324"/>
      <sheetName val="1001"/>
      <sheetName val="1002"/>
      <sheetName val="1003"/>
      <sheetName val="1004"/>
      <sheetName val="1006"/>
      <sheetName val="1007"/>
      <sheetName val="1008"/>
      <sheetName val="1009"/>
      <sheetName val="1010"/>
      <sheetName val="1011"/>
      <sheetName val="1012"/>
      <sheetName val="1013"/>
      <sheetName val="1015"/>
      <sheetName val="1016"/>
      <sheetName val="1017"/>
      <sheetName val="1018"/>
      <sheetName val="1021"/>
      <sheetName val="1022"/>
      <sheetName val="1023"/>
      <sheetName val="1027"/>
      <sheetName val="1028"/>
      <sheetName val="1029"/>
      <sheetName val="1030"/>
      <sheetName val="1031"/>
      <sheetName val="1032"/>
      <sheetName val="1033"/>
      <sheetName val="1034"/>
      <sheetName val="1035"/>
      <sheetName val="1036"/>
      <sheetName val="1037"/>
      <sheetName val="1038"/>
      <sheetName val="1039"/>
      <sheetName val="1040"/>
      <sheetName val="1041"/>
      <sheetName val="1042"/>
      <sheetName val="1043"/>
      <sheetName val="1044"/>
      <sheetName val="1045"/>
      <sheetName val="1046"/>
      <sheetName val="2001"/>
      <sheetName val="2002"/>
      <sheetName val="2003"/>
      <sheetName val="2004"/>
      <sheetName val="2005"/>
      <sheetName val="2006"/>
      <sheetName val="2007"/>
      <sheetName val="2008"/>
      <sheetName val="2009"/>
      <sheetName val="2010"/>
      <sheetName val="2011"/>
      <sheetName val="2012"/>
      <sheetName val="2013"/>
      <sheetName val="2014"/>
      <sheetName val="2015"/>
      <sheetName val="2016"/>
      <sheetName val="2017"/>
      <sheetName val="2018"/>
      <sheetName val="2019"/>
      <sheetName val="2020"/>
      <sheetName val="2021"/>
      <sheetName val="2022"/>
      <sheetName val="2023"/>
      <sheetName val="2024"/>
      <sheetName val="2025"/>
      <sheetName val="2026"/>
      <sheetName val="2027"/>
      <sheetName val="2028"/>
      <sheetName val="2029"/>
      <sheetName val="2030"/>
      <sheetName val="2031"/>
      <sheetName val="2032"/>
      <sheetName val="2033"/>
      <sheetName val="2034"/>
      <sheetName val="2035"/>
      <sheetName val="2036"/>
      <sheetName val="2037"/>
      <sheetName val="2038"/>
      <sheetName val="2039"/>
      <sheetName val="2040"/>
      <sheetName val="2041"/>
      <sheetName val="2042"/>
      <sheetName val="2043"/>
      <sheetName val="2044"/>
      <sheetName val="2045"/>
      <sheetName val="2046"/>
      <sheetName val="2047"/>
      <sheetName val="2048"/>
      <sheetName val="2049"/>
      <sheetName val="2050"/>
      <sheetName val="2051"/>
      <sheetName val="2052"/>
      <sheetName val="2053"/>
      <sheetName val="トヨタ自動車三ケ日研修所"/>
      <sheetName val="3025"/>
      <sheetName val="別添2　交渉優先度と客室提供率 (前サバキ)"/>
      <sheetName val="編集用サマリ"/>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E2" t="str">
            <v>交渉中（易）</v>
          </cell>
          <cell r="F2" t="str">
            <v>恒川</v>
          </cell>
          <cell r="G2" t="str">
            <v>訪問</v>
          </cell>
          <cell r="H2" t="str">
            <v>名古屋</v>
          </cell>
          <cell r="I2" t="str">
            <v>◎</v>
          </cell>
          <cell r="K2" t="str">
            <v>100%</v>
          </cell>
          <cell r="L2" t="str">
            <v>→</v>
          </cell>
          <cell r="M2" t="str">
            <v>宴会場</v>
          </cell>
          <cell r="N2" t="str">
            <v>→</v>
          </cell>
        </row>
        <row r="3">
          <cell r="E3" t="str">
            <v>交渉中（普通）</v>
          </cell>
          <cell r="F3" t="str">
            <v>片山</v>
          </cell>
          <cell r="G3" t="str">
            <v>架電</v>
          </cell>
          <cell r="H3" t="str">
            <v>一宮</v>
          </cell>
          <cell r="I3" t="str">
            <v>○</v>
          </cell>
          <cell r="K3" t="str">
            <v>100％未満～80％</v>
          </cell>
          <cell r="L3" t="str">
            <v>⤴</v>
          </cell>
          <cell r="M3" t="str">
            <v>会議室</v>
          </cell>
          <cell r="N3" t="str">
            <v>⤴</v>
          </cell>
        </row>
        <row r="4">
          <cell r="E4" t="str">
            <v>交渉中（難）</v>
          </cell>
          <cell r="F4" t="str">
            <v>梶村</v>
          </cell>
          <cell r="G4" t="str">
            <v>メール</v>
          </cell>
          <cell r="H4" t="str">
            <v>知多</v>
          </cell>
          <cell r="I4" t="str">
            <v>△</v>
          </cell>
          <cell r="K4" t="str">
            <v>80％未満～50％</v>
          </cell>
          <cell r="L4" t="str">
            <v>未定・検討中</v>
          </cell>
          <cell r="M4" t="str">
            <v>未定・検討中</v>
          </cell>
          <cell r="N4" t="str">
            <v>⤵</v>
          </cell>
        </row>
        <row r="5">
          <cell r="E5" t="str">
            <v>契約伺い提出済</v>
          </cell>
          <cell r="F5" t="str">
            <v>嶋崎</v>
          </cell>
          <cell r="G5" t="str">
            <v>その他</v>
          </cell>
          <cell r="H5" t="str">
            <v>豊田</v>
          </cell>
          <cell r="I5" t="str">
            <v>×</v>
          </cell>
          <cell r="K5" t="str">
            <v>50％未満</v>
          </cell>
          <cell r="L5" t="str">
            <v>ー</v>
          </cell>
          <cell r="M5" t="str">
            <v>ー</v>
          </cell>
          <cell r="N5" t="str">
            <v>新規</v>
          </cell>
        </row>
        <row r="6">
          <cell r="E6" t="str">
            <v>AINAGOC押印中</v>
          </cell>
          <cell r="F6" t="str">
            <v>鄭</v>
          </cell>
          <cell r="H6" t="str">
            <v>蒲郡</v>
          </cell>
          <cell r="I6" t="str">
            <v>ー</v>
          </cell>
          <cell r="K6" t="str">
            <v>未定・検討中</v>
          </cell>
        </row>
        <row r="7">
          <cell r="E7" t="str">
            <v>宿泊施設押印中</v>
          </cell>
          <cell r="F7" t="str">
            <v>河合</v>
          </cell>
          <cell r="H7" t="str">
            <v>豊橋</v>
          </cell>
        </row>
        <row r="8">
          <cell r="E8" t="str">
            <v>契約済み</v>
          </cell>
          <cell r="F8" t="str">
            <v>木原</v>
          </cell>
          <cell r="H8" t="str">
            <v>愛知県外</v>
          </cell>
        </row>
        <row r="9">
          <cell r="E9" t="str">
            <v>契約締結不可</v>
          </cell>
          <cell r="F9" t="str">
            <v>船橋</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4">
          <cell r="C4">
            <v>1</v>
          </cell>
        </row>
        <row r="5">
          <cell r="C5">
            <v>8</v>
          </cell>
        </row>
        <row r="6">
          <cell r="C6">
            <v>12</v>
          </cell>
        </row>
        <row r="7">
          <cell r="C7">
            <v>5</v>
          </cell>
        </row>
        <row r="8">
          <cell r="C8">
            <v>15</v>
          </cell>
        </row>
        <row r="9">
          <cell r="C9">
            <v>20</v>
          </cell>
        </row>
        <row r="10">
          <cell r="C10">
            <v>9</v>
          </cell>
        </row>
        <row r="11">
          <cell r="C11">
            <v>10</v>
          </cell>
        </row>
        <row r="12">
          <cell r="C12">
            <v>11</v>
          </cell>
        </row>
        <row r="13">
          <cell r="C13">
            <v>24</v>
          </cell>
        </row>
        <row r="14">
          <cell r="C14">
            <v>13</v>
          </cell>
        </row>
        <row r="15">
          <cell r="C15">
            <v>34</v>
          </cell>
        </row>
        <row r="16">
          <cell r="C16">
            <v>19</v>
          </cell>
        </row>
        <row r="17">
          <cell r="C17">
            <v>39</v>
          </cell>
        </row>
        <row r="18">
          <cell r="C18">
            <v>61</v>
          </cell>
        </row>
        <row r="19">
          <cell r="C19">
            <v>22</v>
          </cell>
        </row>
        <row r="20">
          <cell r="C20">
            <v>23</v>
          </cell>
        </row>
        <row r="21">
          <cell r="C21">
            <v>70</v>
          </cell>
        </row>
        <row r="22">
          <cell r="C22">
            <v>25</v>
          </cell>
        </row>
        <row r="23">
          <cell r="C23">
            <v>26</v>
          </cell>
        </row>
        <row r="24">
          <cell r="C24">
            <v>27</v>
          </cell>
        </row>
        <row r="25">
          <cell r="C25">
            <v>28</v>
          </cell>
        </row>
        <row r="26">
          <cell r="C26">
            <v>32</v>
          </cell>
        </row>
        <row r="27">
          <cell r="C27">
            <v>79</v>
          </cell>
        </row>
        <row r="28">
          <cell r="C28">
            <v>35</v>
          </cell>
        </row>
        <row r="29">
          <cell r="C29">
            <v>38</v>
          </cell>
        </row>
        <row r="30">
          <cell r="C30">
            <v>80</v>
          </cell>
        </row>
        <row r="31">
          <cell r="C31">
            <v>40</v>
          </cell>
        </row>
        <row r="32">
          <cell r="C32">
            <v>41</v>
          </cell>
        </row>
        <row r="33">
          <cell r="C33">
            <v>42</v>
          </cell>
        </row>
        <row r="34">
          <cell r="C34">
            <v>43</v>
          </cell>
        </row>
        <row r="35">
          <cell r="C35">
            <v>44</v>
          </cell>
        </row>
        <row r="36">
          <cell r="C36">
            <v>45</v>
          </cell>
        </row>
        <row r="37">
          <cell r="C37">
            <v>46</v>
          </cell>
        </row>
        <row r="38">
          <cell r="C38">
            <v>47</v>
          </cell>
        </row>
        <row r="39">
          <cell r="C39">
            <v>49</v>
          </cell>
        </row>
        <row r="40">
          <cell r="C40">
            <v>50</v>
          </cell>
        </row>
        <row r="41">
          <cell r="C41">
            <v>51</v>
          </cell>
        </row>
        <row r="42">
          <cell r="C42">
            <v>52</v>
          </cell>
        </row>
        <row r="43">
          <cell r="C43">
            <v>53</v>
          </cell>
        </row>
        <row r="44">
          <cell r="C44">
            <v>54</v>
          </cell>
        </row>
        <row r="45">
          <cell r="C45">
            <v>55</v>
          </cell>
        </row>
        <row r="46">
          <cell r="C46">
            <v>56</v>
          </cell>
        </row>
        <row r="47">
          <cell r="C47">
            <v>57</v>
          </cell>
        </row>
        <row r="48">
          <cell r="C48">
            <v>58</v>
          </cell>
        </row>
        <row r="49">
          <cell r="C49">
            <v>59</v>
          </cell>
        </row>
        <row r="50">
          <cell r="C50">
            <v>60</v>
          </cell>
        </row>
        <row r="51">
          <cell r="C51">
            <v>81</v>
          </cell>
        </row>
        <row r="52">
          <cell r="C52">
            <v>62</v>
          </cell>
        </row>
        <row r="53">
          <cell r="C53">
            <v>63</v>
          </cell>
        </row>
        <row r="54">
          <cell r="C54">
            <v>64</v>
          </cell>
        </row>
        <row r="55">
          <cell r="C55">
            <v>92</v>
          </cell>
        </row>
        <row r="56">
          <cell r="C56">
            <v>66</v>
          </cell>
        </row>
        <row r="57">
          <cell r="C57">
            <v>67</v>
          </cell>
        </row>
        <row r="58">
          <cell r="C58">
            <v>68</v>
          </cell>
        </row>
        <row r="59">
          <cell r="C59">
            <v>69</v>
          </cell>
        </row>
        <row r="60">
          <cell r="C60">
            <v>93</v>
          </cell>
        </row>
        <row r="61">
          <cell r="C61">
            <v>71</v>
          </cell>
        </row>
        <row r="62">
          <cell r="C62">
            <v>73</v>
          </cell>
        </row>
        <row r="63">
          <cell r="C63">
            <v>74</v>
          </cell>
        </row>
        <row r="64">
          <cell r="C64">
            <v>75</v>
          </cell>
        </row>
        <row r="65">
          <cell r="C65">
            <v>76</v>
          </cell>
        </row>
        <row r="66">
          <cell r="C66">
            <v>77</v>
          </cell>
        </row>
        <row r="67">
          <cell r="C67">
            <v>78</v>
          </cell>
        </row>
        <row r="68">
          <cell r="C68">
            <v>96</v>
          </cell>
        </row>
        <row r="69">
          <cell r="C69">
            <v>105</v>
          </cell>
        </row>
        <row r="70">
          <cell r="C70">
            <v>121</v>
          </cell>
        </row>
        <row r="71">
          <cell r="C71">
            <v>82</v>
          </cell>
        </row>
        <row r="72">
          <cell r="C72">
            <v>83</v>
          </cell>
        </row>
        <row r="73">
          <cell r="C73">
            <v>84</v>
          </cell>
        </row>
        <row r="74">
          <cell r="C74">
            <v>86</v>
          </cell>
        </row>
        <row r="75">
          <cell r="C75">
            <v>87</v>
          </cell>
        </row>
        <row r="76">
          <cell r="C76">
            <v>90</v>
          </cell>
        </row>
        <row r="77">
          <cell r="C77">
            <v>133</v>
          </cell>
        </row>
        <row r="78">
          <cell r="C78">
            <v>159</v>
          </cell>
        </row>
        <row r="79">
          <cell r="C79">
            <v>94</v>
          </cell>
        </row>
        <row r="80">
          <cell r="C80">
            <v>95</v>
          </cell>
        </row>
        <row r="81">
          <cell r="C81">
            <v>160</v>
          </cell>
        </row>
        <row r="82">
          <cell r="C82">
            <v>98</v>
          </cell>
        </row>
        <row r="83">
          <cell r="C83">
            <v>99</v>
          </cell>
        </row>
        <row r="84">
          <cell r="C84">
            <v>100</v>
          </cell>
        </row>
        <row r="85">
          <cell r="C85">
            <v>101</v>
          </cell>
        </row>
        <row r="86">
          <cell r="C86">
            <v>102</v>
          </cell>
        </row>
        <row r="87">
          <cell r="C87">
            <v>103</v>
          </cell>
        </row>
        <row r="88">
          <cell r="C88">
            <v>104</v>
          </cell>
        </row>
        <row r="89">
          <cell r="C89">
            <v>172</v>
          </cell>
        </row>
        <row r="90">
          <cell r="C90">
            <v>106</v>
          </cell>
        </row>
        <row r="91">
          <cell r="C91">
            <v>107</v>
          </cell>
        </row>
        <row r="92">
          <cell r="C92">
            <v>108</v>
          </cell>
        </row>
        <row r="93">
          <cell r="C93">
            <v>111</v>
          </cell>
        </row>
        <row r="94">
          <cell r="C94">
            <v>112</v>
          </cell>
        </row>
        <row r="95">
          <cell r="C95">
            <v>177</v>
          </cell>
        </row>
        <row r="96">
          <cell r="C96">
            <v>115</v>
          </cell>
        </row>
        <row r="97">
          <cell r="C97">
            <v>116</v>
          </cell>
        </row>
        <row r="98">
          <cell r="C98">
            <v>117</v>
          </cell>
        </row>
        <row r="99">
          <cell r="C99">
            <v>118</v>
          </cell>
        </row>
        <row r="100">
          <cell r="C100">
            <v>119</v>
          </cell>
        </row>
        <row r="101">
          <cell r="C101">
            <v>120</v>
          </cell>
        </row>
        <row r="102">
          <cell r="C102">
            <v>201</v>
          </cell>
        </row>
        <row r="103">
          <cell r="C103">
            <v>122</v>
          </cell>
        </row>
        <row r="104">
          <cell r="C104">
            <v>123</v>
          </cell>
        </row>
        <row r="105">
          <cell r="C105">
            <v>124</v>
          </cell>
        </row>
        <row r="106">
          <cell r="C106">
            <v>125</v>
          </cell>
        </row>
        <row r="107">
          <cell r="C107">
            <v>126</v>
          </cell>
        </row>
        <row r="108">
          <cell r="C108">
            <v>206</v>
          </cell>
        </row>
        <row r="109">
          <cell r="C109">
            <v>128</v>
          </cell>
        </row>
        <row r="110">
          <cell r="C110">
            <v>129</v>
          </cell>
        </row>
        <row r="111">
          <cell r="C111">
            <v>130</v>
          </cell>
        </row>
        <row r="112">
          <cell r="C112">
            <v>210</v>
          </cell>
        </row>
        <row r="113">
          <cell r="C113">
            <v>138</v>
          </cell>
        </row>
        <row r="114">
          <cell r="C114">
            <v>139</v>
          </cell>
        </row>
        <row r="115">
          <cell r="C115">
            <v>140</v>
          </cell>
        </row>
        <row r="116">
          <cell r="C116">
            <v>142</v>
          </cell>
        </row>
        <row r="117">
          <cell r="C117">
            <v>143</v>
          </cell>
        </row>
        <row r="118">
          <cell r="C118">
            <v>144</v>
          </cell>
        </row>
        <row r="119">
          <cell r="C119">
            <v>145</v>
          </cell>
        </row>
        <row r="120">
          <cell r="C120">
            <v>146</v>
          </cell>
        </row>
        <row r="121">
          <cell r="C121">
            <v>147</v>
          </cell>
        </row>
        <row r="122">
          <cell r="C122">
            <v>149</v>
          </cell>
        </row>
        <row r="123">
          <cell r="C123">
            <v>150</v>
          </cell>
        </row>
        <row r="124">
          <cell r="C124">
            <v>151</v>
          </cell>
        </row>
        <row r="125">
          <cell r="C125">
            <v>152</v>
          </cell>
        </row>
        <row r="126">
          <cell r="C126">
            <v>154</v>
          </cell>
        </row>
        <row r="127">
          <cell r="C127">
            <v>155</v>
          </cell>
        </row>
        <row r="128">
          <cell r="C128">
            <v>156</v>
          </cell>
        </row>
        <row r="129">
          <cell r="C129">
            <v>157</v>
          </cell>
        </row>
        <row r="130">
          <cell r="C130">
            <v>158</v>
          </cell>
        </row>
        <row r="131">
          <cell r="C131">
            <v>219</v>
          </cell>
        </row>
        <row r="132">
          <cell r="C132">
            <v>220</v>
          </cell>
        </row>
        <row r="133">
          <cell r="C133">
            <v>161</v>
          </cell>
        </row>
        <row r="134">
          <cell r="C134">
            <v>162</v>
          </cell>
        </row>
        <row r="135">
          <cell r="C135">
            <v>163</v>
          </cell>
        </row>
        <row r="136">
          <cell r="C136">
            <v>164</v>
          </cell>
        </row>
        <row r="137">
          <cell r="C137">
            <v>165</v>
          </cell>
        </row>
        <row r="138">
          <cell r="C138">
            <v>166</v>
          </cell>
        </row>
        <row r="139">
          <cell r="C139">
            <v>167</v>
          </cell>
        </row>
        <row r="140">
          <cell r="C140">
            <v>168</v>
          </cell>
        </row>
        <row r="141">
          <cell r="C141">
            <v>171</v>
          </cell>
        </row>
        <row r="142">
          <cell r="C142">
            <v>227</v>
          </cell>
        </row>
        <row r="143">
          <cell r="C143">
            <v>173</v>
          </cell>
        </row>
        <row r="144">
          <cell r="C144">
            <v>174</v>
          </cell>
        </row>
        <row r="145">
          <cell r="C145">
            <v>175</v>
          </cell>
        </row>
        <row r="146">
          <cell r="C146">
            <v>176</v>
          </cell>
        </row>
        <row r="147">
          <cell r="C147">
            <v>292</v>
          </cell>
        </row>
        <row r="148">
          <cell r="C148">
            <v>179</v>
          </cell>
        </row>
        <row r="149">
          <cell r="C149">
            <v>180</v>
          </cell>
        </row>
        <row r="150">
          <cell r="C150">
            <v>181</v>
          </cell>
        </row>
        <row r="151">
          <cell r="C151">
            <v>182</v>
          </cell>
        </row>
        <row r="152">
          <cell r="C152">
            <v>183</v>
          </cell>
        </row>
        <row r="153">
          <cell r="C153">
            <v>184</v>
          </cell>
        </row>
        <row r="154">
          <cell r="C154">
            <v>186</v>
          </cell>
        </row>
        <row r="155">
          <cell r="C155">
            <v>187</v>
          </cell>
        </row>
        <row r="156">
          <cell r="C156">
            <v>188</v>
          </cell>
        </row>
        <row r="157">
          <cell r="C157">
            <v>189</v>
          </cell>
        </row>
        <row r="158">
          <cell r="C158">
            <v>191</v>
          </cell>
        </row>
        <row r="159">
          <cell r="C159">
            <v>192</v>
          </cell>
        </row>
        <row r="160">
          <cell r="C160">
            <v>193</v>
          </cell>
        </row>
        <row r="161">
          <cell r="C161">
            <v>194</v>
          </cell>
        </row>
        <row r="162">
          <cell r="C162">
            <v>195</v>
          </cell>
        </row>
        <row r="163">
          <cell r="C163">
            <v>196</v>
          </cell>
        </row>
        <row r="164">
          <cell r="C164">
            <v>200</v>
          </cell>
        </row>
        <row r="165">
          <cell r="C165">
            <v>293</v>
          </cell>
        </row>
        <row r="166">
          <cell r="C166">
            <v>202</v>
          </cell>
        </row>
        <row r="167">
          <cell r="C167">
            <v>203</v>
          </cell>
        </row>
        <row r="168">
          <cell r="C168">
            <v>204</v>
          </cell>
        </row>
        <row r="169">
          <cell r="C169">
            <v>205</v>
          </cell>
        </row>
        <row r="170">
          <cell r="C170">
            <v>301</v>
          </cell>
        </row>
        <row r="171">
          <cell r="C171">
            <v>207</v>
          </cell>
        </row>
        <row r="172">
          <cell r="C172">
            <v>208</v>
          </cell>
        </row>
        <row r="173">
          <cell r="C173">
            <v>1002</v>
          </cell>
        </row>
        <row r="174">
          <cell r="C174">
            <v>211</v>
          </cell>
        </row>
        <row r="175">
          <cell r="C175">
            <v>212</v>
          </cell>
        </row>
        <row r="176">
          <cell r="C176">
            <v>213</v>
          </cell>
        </row>
        <row r="177">
          <cell r="C177">
            <v>214</v>
          </cell>
        </row>
        <row r="178">
          <cell r="C178">
            <v>216</v>
          </cell>
        </row>
        <row r="179">
          <cell r="C179">
            <v>1003</v>
          </cell>
        </row>
        <row r="180">
          <cell r="C180">
            <v>1012</v>
          </cell>
        </row>
        <row r="181">
          <cell r="C181">
            <v>1013</v>
          </cell>
        </row>
        <row r="182">
          <cell r="C182">
            <v>222</v>
          </cell>
        </row>
        <row r="183">
          <cell r="C183">
            <v>223</v>
          </cell>
        </row>
        <row r="184">
          <cell r="C184">
            <v>224</v>
          </cell>
        </row>
        <row r="185">
          <cell r="C185">
            <v>225</v>
          </cell>
        </row>
        <row r="186">
          <cell r="C186">
            <v>226</v>
          </cell>
        </row>
        <row r="187">
          <cell r="C187">
            <v>1015</v>
          </cell>
        </row>
        <row r="188">
          <cell r="C188">
            <v>228</v>
          </cell>
        </row>
        <row r="189">
          <cell r="C189">
            <v>1018</v>
          </cell>
        </row>
        <row r="190">
          <cell r="C190">
            <v>230</v>
          </cell>
        </row>
        <row r="191">
          <cell r="C191">
            <v>231</v>
          </cell>
        </row>
        <row r="192">
          <cell r="C192">
            <v>232</v>
          </cell>
        </row>
        <row r="193">
          <cell r="C193">
            <v>234</v>
          </cell>
        </row>
        <row r="194">
          <cell r="C194">
            <v>235</v>
          </cell>
        </row>
        <row r="195">
          <cell r="C195">
            <v>1028</v>
          </cell>
        </row>
        <row r="196">
          <cell r="C196">
            <v>239</v>
          </cell>
        </row>
        <row r="197">
          <cell r="C197">
            <v>240</v>
          </cell>
        </row>
        <row r="198">
          <cell r="C198">
            <v>1031</v>
          </cell>
        </row>
        <row r="199">
          <cell r="C199">
            <v>242</v>
          </cell>
        </row>
        <row r="200">
          <cell r="C200">
            <v>243</v>
          </cell>
        </row>
        <row r="201">
          <cell r="C201">
            <v>244</v>
          </cell>
        </row>
        <row r="202">
          <cell r="C202">
            <v>1036</v>
          </cell>
        </row>
        <row r="203">
          <cell r="C203">
            <v>1037</v>
          </cell>
        </row>
        <row r="204">
          <cell r="C204">
            <v>2007</v>
          </cell>
        </row>
        <row r="205">
          <cell r="C205">
            <v>2008</v>
          </cell>
        </row>
        <row r="206">
          <cell r="C206">
            <v>2010</v>
          </cell>
        </row>
        <row r="207">
          <cell r="C207">
            <v>2012</v>
          </cell>
        </row>
        <row r="208">
          <cell r="C208">
            <v>253</v>
          </cell>
        </row>
        <row r="209">
          <cell r="C209">
            <v>255</v>
          </cell>
        </row>
        <row r="210">
          <cell r="C210">
            <v>256</v>
          </cell>
        </row>
        <row r="211">
          <cell r="C211">
            <v>2016</v>
          </cell>
        </row>
        <row r="212">
          <cell r="C212">
            <v>2018</v>
          </cell>
        </row>
        <row r="213">
          <cell r="C213">
            <v>2019</v>
          </cell>
        </row>
        <row r="214">
          <cell r="C214">
            <v>262</v>
          </cell>
        </row>
        <row r="215">
          <cell r="C215">
            <v>263</v>
          </cell>
        </row>
        <row r="216">
          <cell r="C216">
            <v>266</v>
          </cell>
        </row>
        <row r="217">
          <cell r="C217">
            <v>267</v>
          </cell>
        </row>
        <row r="218">
          <cell r="C218">
            <v>268</v>
          </cell>
        </row>
        <row r="219">
          <cell r="C219">
            <v>269</v>
          </cell>
        </row>
        <row r="220">
          <cell r="C220">
            <v>270</v>
          </cell>
        </row>
        <row r="221">
          <cell r="C221">
            <v>271</v>
          </cell>
        </row>
        <row r="222">
          <cell r="C222">
            <v>272</v>
          </cell>
        </row>
        <row r="223">
          <cell r="C223">
            <v>273</v>
          </cell>
        </row>
        <row r="224">
          <cell r="C224">
            <v>2022</v>
          </cell>
        </row>
        <row r="225">
          <cell r="C225">
            <v>276</v>
          </cell>
        </row>
        <row r="226">
          <cell r="C226">
            <v>277</v>
          </cell>
        </row>
        <row r="227">
          <cell r="C227">
            <v>2026</v>
          </cell>
        </row>
        <row r="228">
          <cell r="C228">
            <v>279</v>
          </cell>
        </row>
        <row r="229">
          <cell r="C229">
            <v>280</v>
          </cell>
        </row>
        <row r="230">
          <cell r="C230">
            <v>2027</v>
          </cell>
        </row>
        <row r="231">
          <cell r="C231">
            <v>282</v>
          </cell>
        </row>
        <row r="232">
          <cell r="C232">
            <v>283</v>
          </cell>
        </row>
        <row r="233">
          <cell r="C233">
            <v>284</v>
          </cell>
        </row>
        <row r="234">
          <cell r="C234">
            <v>285</v>
          </cell>
        </row>
        <row r="235">
          <cell r="C235">
            <v>287</v>
          </cell>
        </row>
        <row r="236">
          <cell r="C236">
            <v>288</v>
          </cell>
        </row>
        <row r="237">
          <cell r="C237">
            <v>289</v>
          </cell>
        </row>
        <row r="238">
          <cell r="C238">
            <v>290</v>
          </cell>
        </row>
        <row r="239">
          <cell r="C239">
            <v>2032</v>
          </cell>
        </row>
        <row r="240">
          <cell r="C240">
            <v>2037</v>
          </cell>
        </row>
        <row r="241">
          <cell r="C241">
            <v>295</v>
          </cell>
        </row>
        <row r="242">
          <cell r="C242">
            <v>296</v>
          </cell>
        </row>
        <row r="243">
          <cell r="C243">
            <v>297</v>
          </cell>
        </row>
        <row r="244">
          <cell r="C244">
            <v>2040</v>
          </cell>
        </row>
        <row r="245">
          <cell r="C245">
            <v>2042</v>
          </cell>
        </row>
        <row r="246">
          <cell r="C246">
            <v>2045</v>
          </cell>
        </row>
        <row r="247">
          <cell r="C247">
            <v>2046</v>
          </cell>
        </row>
        <row r="248">
          <cell r="C248">
            <v>2047</v>
          </cell>
        </row>
        <row r="249">
          <cell r="C249">
            <v>303</v>
          </cell>
        </row>
        <row r="250">
          <cell r="C250">
            <v>2052</v>
          </cell>
        </row>
        <row r="251">
          <cell r="C251">
            <v>305</v>
          </cell>
        </row>
        <row r="252">
          <cell r="C252">
            <v>306</v>
          </cell>
        </row>
        <row r="253">
          <cell r="C253">
            <v>307</v>
          </cell>
        </row>
        <row r="254">
          <cell r="C254">
            <v>308</v>
          </cell>
        </row>
        <row r="255">
          <cell r="C255">
            <v>310</v>
          </cell>
        </row>
        <row r="256">
          <cell r="C256">
            <v>311</v>
          </cell>
        </row>
        <row r="257">
          <cell r="C257">
            <v>312</v>
          </cell>
        </row>
        <row r="258">
          <cell r="C258">
            <v>313</v>
          </cell>
        </row>
        <row r="259">
          <cell r="C259">
            <v>315</v>
          </cell>
        </row>
        <row r="260">
          <cell r="C260">
            <v>316</v>
          </cell>
        </row>
        <row r="261">
          <cell r="C261">
            <v>317</v>
          </cell>
        </row>
        <row r="262">
          <cell r="C262">
            <v>319</v>
          </cell>
        </row>
        <row r="263">
          <cell r="C263">
            <v>320</v>
          </cell>
        </row>
        <row r="264">
          <cell r="C264">
            <v>321</v>
          </cell>
        </row>
        <row r="265">
          <cell r="C265">
            <v>322</v>
          </cell>
        </row>
        <row r="266">
          <cell r="C266">
            <v>323</v>
          </cell>
        </row>
        <row r="267">
          <cell r="C267">
            <v>324</v>
          </cell>
        </row>
        <row r="268">
          <cell r="C268">
            <v>1001</v>
          </cell>
        </row>
        <row r="269">
          <cell r="C269">
            <v>7</v>
          </cell>
        </row>
        <row r="270">
          <cell r="C270">
            <v>114</v>
          </cell>
        </row>
        <row r="271">
          <cell r="C271">
            <v>1004</v>
          </cell>
        </row>
        <row r="272">
          <cell r="C272">
            <v>1006</v>
          </cell>
        </row>
        <row r="273">
          <cell r="C273">
            <v>241</v>
          </cell>
        </row>
        <row r="274">
          <cell r="C274">
            <v>2030</v>
          </cell>
        </row>
        <row r="275">
          <cell r="C275">
            <v>1009</v>
          </cell>
        </row>
        <row r="276">
          <cell r="C276">
            <v>1010</v>
          </cell>
        </row>
        <row r="277">
          <cell r="C277">
            <v>1011</v>
          </cell>
        </row>
        <row r="278">
          <cell r="C278">
            <v>2</v>
          </cell>
        </row>
        <row r="279">
          <cell r="C279">
            <v>4</v>
          </cell>
        </row>
        <row r="280">
          <cell r="C280">
            <v>21</v>
          </cell>
        </row>
        <row r="281">
          <cell r="C281">
            <v>1016</v>
          </cell>
        </row>
        <row r="282">
          <cell r="C282">
            <v>1017</v>
          </cell>
        </row>
        <row r="283">
          <cell r="C283">
            <v>247</v>
          </cell>
        </row>
        <row r="284">
          <cell r="C284">
            <v>252</v>
          </cell>
        </row>
        <row r="285">
          <cell r="C285">
            <v>1022</v>
          </cell>
        </row>
        <row r="286">
          <cell r="C286">
            <v>1023</v>
          </cell>
        </row>
        <row r="287">
          <cell r="C287">
            <v>1027</v>
          </cell>
        </row>
        <row r="288">
          <cell r="C288">
            <v>257</v>
          </cell>
        </row>
        <row r="289">
          <cell r="C289">
            <v>1029</v>
          </cell>
        </row>
        <row r="290">
          <cell r="C290">
            <v>260</v>
          </cell>
        </row>
        <row r="291">
          <cell r="C291">
            <v>261</v>
          </cell>
        </row>
        <row r="292">
          <cell r="C292">
            <v>1032</v>
          </cell>
        </row>
        <row r="293">
          <cell r="C293">
            <v>1033</v>
          </cell>
        </row>
        <row r="294">
          <cell r="C294">
            <v>1034</v>
          </cell>
        </row>
        <row r="295">
          <cell r="C295">
            <v>1035</v>
          </cell>
        </row>
        <row r="296">
          <cell r="C296">
            <v>2011</v>
          </cell>
        </row>
        <row r="297">
          <cell r="C297">
            <v>65</v>
          </cell>
        </row>
        <row r="298">
          <cell r="C298">
            <v>2001</v>
          </cell>
        </row>
        <row r="299">
          <cell r="C299">
            <v>2002</v>
          </cell>
        </row>
        <row r="300">
          <cell r="C300">
            <v>2003</v>
          </cell>
        </row>
        <row r="301">
          <cell r="C301">
            <v>2004</v>
          </cell>
        </row>
        <row r="302">
          <cell r="C302">
            <v>2005</v>
          </cell>
        </row>
        <row r="303">
          <cell r="C303">
            <v>2006</v>
          </cell>
        </row>
        <row r="304">
          <cell r="C304">
            <v>2049</v>
          </cell>
        </row>
        <row r="305">
          <cell r="C305">
            <v>221</v>
          </cell>
        </row>
        <row r="306">
          <cell r="C306">
            <v>2009</v>
          </cell>
        </row>
        <row r="307">
          <cell r="C307">
            <v>229</v>
          </cell>
        </row>
        <row r="308">
          <cell r="C308">
            <v>238</v>
          </cell>
        </row>
        <row r="309">
          <cell r="C309">
            <v>245</v>
          </cell>
        </row>
        <row r="310">
          <cell r="C310">
            <v>2013</v>
          </cell>
        </row>
        <row r="311">
          <cell r="C311">
            <v>2014</v>
          </cell>
        </row>
        <row r="312">
          <cell r="C312">
            <v>2015</v>
          </cell>
        </row>
        <row r="313">
          <cell r="C313">
            <v>249</v>
          </cell>
        </row>
        <row r="314">
          <cell r="C314">
            <v>2017</v>
          </cell>
        </row>
        <row r="315">
          <cell r="C315">
            <v>250</v>
          </cell>
        </row>
        <row r="316">
          <cell r="C316">
            <v>251</v>
          </cell>
        </row>
        <row r="317">
          <cell r="C317">
            <v>2020</v>
          </cell>
        </row>
        <row r="318">
          <cell r="C318">
            <v>2021</v>
          </cell>
        </row>
        <row r="319">
          <cell r="C319">
            <v>275</v>
          </cell>
        </row>
        <row r="320">
          <cell r="C320">
            <v>2023</v>
          </cell>
        </row>
        <row r="321">
          <cell r="C321">
            <v>2024</v>
          </cell>
        </row>
        <row r="322">
          <cell r="C322">
            <v>2025</v>
          </cell>
        </row>
        <row r="323">
          <cell r="C323">
            <v>278</v>
          </cell>
        </row>
        <row r="324">
          <cell r="C324">
            <v>281</v>
          </cell>
        </row>
        <row r="325">
          <cell r="C325">
            <v>2028</v>
          </cell>
        </row>
        <row r="326">
          <cell r="C326">
            <v>2029</v>
          </cell>
        </row>
        <row r="327">
          <cell r="C327">
            <v>298</v>
          </cell>
        </row>
        <row r="328">
          <cell r="C328">
            <v>2031</v>
          </cell>
        </row>
        <row r="329">
          <cell r="C329">
            <v>299</v>
          </cell>
        </row>
        <row r="330">
          <cell r="C330">
            <v>2033</v>
          </cell>
        </row>
        <row r="331">
          <cell r="C331">
            <v>2034</v>
          </cell>
        </row>
        <row r="332">
          <cell r="C332">
            <v>2035</v>
          </cell>
        </row>
        <row r="333">
          <cell r="C333">
            <v>2036</v>
          </cell>
        </row>
        <row r="334">
          <cell r="C334">
            <v>300</v>
          </cell>
        </row>
        <row r="335">
          <cell r="C335">
            <v>302</v>
          </cell>
        </row>
        <row r="336">
          <cell r="C336">
            <v>2039</v>
          </cell>
        </row>
        <row r="337">
          <cell r="C337">
            <v>304</v>
          </cell>
        </row>
        <row r="338">
          <cell r="C338">
            <v>2041</v>
          </cell>
        </row>
        <row r="339">
          <cell r="C339">
            <v>1007</v>
          </cell>
        </row>
        <row r="340">
          <cell r="C340">
            <v>2043</v>
          </cell>
        </row>
        <row r="341">
          <cell r="C341">
            <v>2044</v>
          </cell>
        </row>
        <row r="342">
          <cell r="C342">
            <v>1008</v>
          </cell>
        </row>
        <row r="343">
          <cell r="C343">
            <v>1021</v>
          </cell>
        </row>
        <row r="344">
          <cell r="C344">
            <v>1030</v>
          </cell>
        </row>
        <row r="345">
          <cell r="C345">
            <v>2048</v>
          </cell>
        </row>
        <row r="346">
          <cell r="C346">
            <v>2038</v>
          </cell>
        </row>
        <row r="347">
          <cell r="C347">
            <v>2050</v>
          </cell>
        </row>
        <row r="348">
          <cell r="C348">
            <v>2051</v>
          </cell>
        </row>
        <row r="349">
          <cell r="C349">
            <v>127</v>
          </cell>
        </row>
      </sheetData>
      <sheetData sheetId="389"/>
      <sheetData sheetId="39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契約期間"/>
      <sheetName val="別紙1-1）客室提供条件"/>
      <sheetName val="別紙1-2）ファンクションルーム提供条件（確保する場合）"/>
      <sheetName val="別表"/>
      <sheetName val="会場形態"/>
    </sheetNames>
    <sheetDataSet>
      <sheetData sheetId="0"/>
      <sheetData sheetId="1">
        <row r="2">
          <cell r="C2" t="str">
            <v>平野屋</v>
          </cell>
        </row>
      </sheetData>
      <sheetData sheetId="2"/>
      <sheetData sheetId="3"/>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ルートイングランティア小牧</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コートヤードバイマリオット</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名古屋マリオットアソシアホテル</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sheetData sheetId="1"/>
      <sheetData sheetId="2"/>
      <sheetData sheetId="3"/>
      <sheetData sheetId="4"/>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 val="Sheet1"/>
    </sheetNames>
    <sheetDataSet>
      <sheetData sheetId="0" refreshError="1"/>
      <sheetData sheetId="1">
        <row r="2">
          <cell r="C2" t="str">
            <v>ANAクラウンプラザグランコート名古屋</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 sheetId="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アパホテル＜名古屋栄駅前＞EXCELLENT</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2）ファンクションルーム提供条件（確保する場合）"/>
      <sheetName val="別紙1-1）客室提供条件"/>
      <sheetName val="別表"/>
      <sheetName val="Sheet1"/>
    </sheetNames>
    <sheetDataSet>
      <sheetData sheetId="0" refreshError="1"/>
      <sheetData sheetId="1" refreshError="1"/>
      <sheetData sheetId="2">
        <row r="2">
          <cell r="C2" t="str">
            <v>名古屋東急ホテル</v>
          </cell>
        </row>
      </sheetData>
      <sheetData sheetId="3" refreshError="1"/>
      <sheetData sheetId="4">
        <row r="2">
          <cell r="A2" t="str">
            <v>宴会場</v>
          </cell>
        </row>
        <row r="3">
          <cell r="A3" t="str">
            <v>会議室</v>
          </cell>
        </row>
        <row r="4">
          <cell r="A4" t="str">
            <v>レストラン</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しない場合）"/>
      <sheetName val="別表"/>
      <sheetName val="会場形態"/>
    </sheetNames>
    <sheetDataSet>
      <sheetData sheetId="0" refreshError="1"/>
      <sheetData sheetId="1"/>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契約期間"/>
      <sheetName val="別紙1-1）客室提供条件"/>
      <sheetName val="別紙1-2）ファンクションルーム提供条件（確保しない場合）"/>
      <sheetName val="別表"/>
      <sheetName val="会場形態"/>
    </sheetNames>
    <sheetDataSet>
      <sheetData sheetId="0" refreshError="1"/>
      <sheetData sheetId="1"/>
      <sheetData sheetId="2" refreshError="1"/>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和室利用の場合）"/>
      <sheetName val="別紙1-1）客室提供条件（和室利用無しの場合）"/>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全トヨタ労連研修センター　つどいの丘</v>
          </cell>
        </row>
      </sheetData>
      <sheetData sheetId="2" refreshError="1"/>
      <sheetData sheetId="3"/>
      <sheetData sheetId="4" refreshError="1"/>
      <sheetData sheetId="5" refreshError="1"/>
      <sheetData sheetId="6">
        <row r="2">
          <cell r="A2" t="str">
            <v>宴会場</v>
          </cell>
        </row>
        <row r="3">
          <cell r="A3" t="str">
            <v>会議室</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名鉄トヨタホテル</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sheetData sheetId="2" refreshError="1"/>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別紙1-2）ファンクションルーム提供条件（確保する場合）"/>
      <sheetName val="別紙1-2）ファンクションルーム提供条件（確保しない場合）"/>
      <sheetName val="別紙4"/>
      <sheetName val="Sheet1"/>
    </sheetNames>
    <sheetDataSet>
      <sheetData sheetId="0"/>
      <sheetData sheetId="1"/>
      <sheetData sheetId="2"/>
      <sheetData sheetId="3">
        <row r="2">
          <cell r="A2" t="str">
            <v>宴会場</v>
          </cell>
        </row>
        <row r="3">
          <cell r="A3" t="str">
            <v>会議室</v>
          </cell>
        </row>
        <row r="4">
          <cell r="A4" t="str">
            <v>レストラン</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契約期間"/>
      <sheetName val="別紙1-1）ファンクションルーム提供条件（確保する場合）"/>
      <sheetName val="別表"/>
      <sheetName val="Sheet1"/>
    </sheetNames>
    <sheetDataSet>
      <sheetData sheetId="0"/>
      <sheetData sheetId="1"/>
      <sheetData sheetId="2"/>
      <sheetData sheetId="3">
        <row r="2">
          <cell r="A2" t="str">
            <v>宴会場</v>
          </cell>
        </row>
        <row r="3">
          <cell r="A3" t="str">
            <v>会議室</v>
          </cell>
        </row>
        <row r="4">
          <cell r="A4" t="str">
            <v>レストラン</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sheetData sheetId="2" refreshError="1"/>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変なホテル　ラグーナテンボス</v>
          </cell>
        </row>
      </sheetData>
      <sheetData sheetId="2" refreshError="1"/>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蒲郡ホテル</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A2" t="str">
            <v>ホテル竹島</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別紙1-1）客室提供条件"/>
      <sheetName val="別紙1-2）ファンクションルーム提供条件（確保する場合）"/>
      <sheetName val="別紙4"/>
      <sheetName val="Sheet1"/>
    </sheetNames>
    <sheetDataSet>
      <sheetData sheetId="0"/>
      <sheetData sheetId="1"/>
      <sheetData sheetId="2"/>
      <sheetData sheetId="3">
        <row r="2">
          <cell r="A2" t="str">
            <v>宴会場</v>
          </cell>
        </row>
        <row r="3">
          <cell r="A3" t="str">
            <v>会議室</v>
          </cell>
        </row>
        <row r="4">
          <cell r="A4" t="str">
            <v>レストラン</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sheetData sheetId="1"/>
      <sheetData sheetId="2"/>
      <sheetData sheetId="3"/>
      <sheetData sheetId="4"/>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Jホテルりんくう</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sheetData sheetId="2" refreshError="1"/>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ホテルルートイン新城</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A2" t="str">
            <v>ホテル海陽閣</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伊良湖オーシャンリゾート</v>
          </cell>
        </row>
      </sheetData>
      <sheetData sheetId="2"/>
      <sheetData sheetId="3" refreshError="1"/>
      <sheetData sheetId="4" refreshError="1"/>
      <sheetData sheetId="5">
        <row r="2">
          <cell r="A2" t="str">
            <v>宴会場</v>
          </cell>
        </row>
        <row r="3">
          <cell r="A3" t="str">
            <v>会議室</v>
          </cell>
        </row>
        <row r="4">
          <cell r="A4" t="str">
            <v>レストラン個室</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ホテルアゴーラリージェンシー大阪堺</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つま恋リゾート　彩の郷</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sheetData sheetId="1">
        <row r="2">
          <cell r="C2" t="str">
            <v>掛川グランドホテル</v>
          </cell>
        </row>
      </sheetData>
      <sheetData sheetId="2"/>
      <sheetData sheetId="3"/>
      <sheetData sheetId="4"/>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5フロア貸切)"/>
      <sheetName val="別紙1-2）ファンクションルーム提供条件（確保する場合）"/>
      <sheetName val="別表"/>
      <sheetName val="会場形態"/>
    </sheetNames>
    <sheetDataSet>
      <sheetData sheetId="0" refreshError="1"/>
      <sheetData sheetId="1" refreshError="1"/>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ホテルラフォーレ修善寺</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しない場合）"/>
      <sheetName val="別紙1-2）ファンクションルーム提供条件（確保する場合）"/>
      <sheetName val="別表"/>
      <sheetName val="会場形態"/>
    </sheetNames>
    <sheetDataSet>
      <sheetData sheetId="0" refreshError="1"/>
      <sheetData sheetId="1">
        <row r="2">
          <cell r="C2" t="str">
            <v>岐阜グランドホテル</v>
          </cell>
        </row>
      </sheetData>
      <sheetData sheetId="2" refreshError="1"/>
      <sheetData sheetId="3"/>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efreshError="1"/>
      <sheetData sheetId="2"/>
      <sheetData sheetId="3" refreshError="1"/>
      <sheetData sheetId="4" refreshError="1"/>
      <sheetData sheetId="5">
        <row r="2">
          <cell r="A2" t="str">
            <v>宴会場</v>
          </cell>
        </row>
        <row r="3">
          <cell r="A3" t="str">
            <v>会議室</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大垣フォーラムホテル</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Sheet1"/>
    </sheetNames>
    <sheetDataSet>
      <sheetData sheetId="0" refreshError="1"/>
      <sheetData sheetId="1"/>
      <sheetData sheetId="2"/>
      <sheetData sheetId="3" refreshError="1"/>
      <sheetData sheetId="4">
        <row r="2">
          <cell r="A2" t="str">
            <v>宴会場</v>
          </cell>
        </row>
        <row r="3">
          <cell r="A3" t="str">
            <v>会議室</v>
          </cell>
        </row>
        <row r="4">
          <cell r="A4" t="str">
            <v>レストラン</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表"/>
      <sheetName val="会場形態"/>
    </sheetNames>
    <sheetDataSet>
      <sheetData sheetId="0" refreshError="1"/>
      <sheetData sheetId="1">
        <row r="2">
          <cell r="C2" t="str">
            <v>クインテッサホテル　大垣</v>
          </cell>
        </row>
      </sheetData>
      <sheetData sheetId="2"/>
      <sheetData sheetId="3" refreshError="1"/>
      <sheetData sheetId="4">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日本青年館ホテル</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会場形態"/>
    </sheetNames>
    <sheetDataSet>
      <sheetData sheetId="0" refreshError="1"/>
      <sheetData sheetId="1">
        <row r="2">
          <cell r="C2" t="str">
            <v>東京ベイ潮見プリンスホテル</v>
          </cell>
        </row>
      </sheetData>
      <sheetData sheetId="2"/>
      <sheetData sheetId="3" refreshError="1"/>
      <sheetData sheetId="4" refreshError="1"/>
      <sheetData sheetId="5">
        <row r="2">
          <cell r="A2" t="str">
            <v>宴会場</v>
          </cell>
        </row>
        <row r="3">
          <cell r="A3" t="str">
            <v>会議室</v>
          </cell>
        </row>
        <row r="4">
          <cell r="A4" t="str">
            <v>レストラン</v>
          </cell>
        </row>
        <row r="5">
          <cell r="A5" t="str">
            <v>ホール</v>
          </cell>
        </row>
        <row r="6">
          <cell r="A6" t="str">
            <v>座敷</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
      <sheetName val="別紙1-1）客室提供条件"/>
      <sheetName val="別紙1-2）ファンクションルーム提供条件（確保する場合）"/>
      <sheetName val="別紙1-2）ファンクションルーム提供条件（確保しない場合）"/>
      <sheetName val="別表"/>
      <sheetName val="Sheet1"/>
    </sheetNames>
    <sheetDataSet>
      <sheetData sheetId="0" refreshError="1"/>
      <sheetData sheetId="1"/>
      <sheetData sheetId="2" refreshError="1"/>
      <sheetData sheetId="3" refreshError="1"/>
      <sheetData sheetId="4" refreshError="1"/>
      <sheetData sheetId="5">
        <row r="2">
          <cell r="A2" t="str">
            <v>宴会場</v>
          </cell>
        </row>
        <row r="3">
          <cell r="A3" t="str">
            <v>会議室</v>
          </cell>
        </row>
        <row r="4">
          <cell r="A4" t="str">
            <v>レストラン</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
      <sheetName val="表紙"/>
      <sheetName val="Ａ・Ｂ代価"/>
      <sheetName val="Ｃ代価"/>
      <sheetName val="Ｄ代価"/>
      <sheetName val="Ｅ代価"/>
      <sheetName val="Ｆ代価"/>
    </sheetNames>
    <sheetDataSet>
      <sheetData sheetId="0">
        <row r="4">
          <cell r="G4">
            <v>250</v>
          </cell>
        </row>
        <row r="5">
          <cell r="G5">
            <v>238.2</v>
          </cell>
        </row>
        <row r="6">
          <cell r="G6">
            <v>236.4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W概算"/>
      <sheetName val="CW概略図"/>
      <sheetName val="CW施工日数"/>
      <sheetName val="mst"/>
      <sheetName val="mst_CW桝"/>
      <sheetName val="mst_規格"/>
      <sheetName val="mst_労務"/>
      <sheetName val="mst_営業所"/>
      <sheetName val="mst_物価版"/>
    </sheetNames>
    <sheetDataSet>
      <sheetData sheetId="0"/>
      <sheetData sheetId="1"/>
      <sheetData sheetId="2"/>
      <sheetData sheetId="3" refreshError="1"/>
      <sheetData sheetId="4" refreshError="1"/>
      <sheetData sheetId="5">
        <row r="13">
          <cell r="AM13">
            <v>0.1</v>
          </cell>
          <cell r="AN13">
            <v>0.1</v>
          </cell>
          <cell r="AO13">
            <v>0.7</v>
          </cell>
          <cell r="AP13">
            <v>0.5</v>
          </cell>
        </row>
        <row r="14">
          <cell r="AM14">
            <v>0.1</v>
          </cell>
          <cell r="AN14">
            <v>0.1</v>
          </cell>
          <cell r="AO14">
            <v>0.7</v>
          </cell>
          <cell r="AP14">
            <v>0.5</v>
          </cell>
        </row>
        <row r="15">
          <cell r="AM15">
            <v>0.1</v>
          </cell>
          <cell r="AN15">
            <v>0.1</v>
          </cell>
          <cell r="AO15">
            <v>0.8</v>
          </cell>
          <cell r="AP15">
            <v>0.6</v>
          </cell>
        </row>
        <row r="16">
          <cell r="AM16">
            <v>0.1</v>
          </cell>
          <cell r="AN16">
            <v>0.1</v>
          </cell>
          <cell r="AO16">
            <v>0.9</v>
          </cell>
          <cell r="AP16">
            <v>0.7</v>
          </cell>
        </row>
        <row r="17">
          <cell r="AM17">
            <v>0.1</v>
          </cell>
          <cell r="AN17">
            <v>0.1</v>
          </cell>
          <cell r="AO17">
            <v>0.7</v>
          </cell>
          <cell r="AP17">
            <v>0.5</v>
          </cell>
        </row>
      </sheetData>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経営企画課"/>
      <sheetName val="人事"/>
      <sheetName val="調整"/>
      <sheetName val="ﾏｰｹﾃｨﾝｸﾞ"/>
      <sheetName val="国際"/>
      <sheetName val="競技一・二"/>
      <sheetName val="宿泊"/>
      <sheetName val="計画一"/>
      <sheetName val="計画二"/>
      <sheetName val="情報ｼｽﾃﾑ"/>
      <sheetName val="マスタ"/>
      <sheetName val="検算"/>
      <sheetName val="全体一覧表(アジア)"/>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ofV36SbOE2v2WcxLrNazT3z5gecpTpBgG4IVrXr7SSj2ZRh-gSWSJfUP4Opj2Qr" itemId="01HBQ53TEXXNXP532TCNEZ7LT3XWO3EFCK">
      <xxl21:absoluteUrl r:id="rId2"/>
    </xxl21:alternateUrls>
    <sheetNames>
      <sheetName val="選手ファミリーホテル状況整理（0409）"/>
      <sheetName val="選手ファミリーホテル状況整理（0403）"/>
      <sheetName val="【250610】アジア選手"/>
      <sheetName val="競技情報DB(15,000ver)"/>
      <sheetName val="宿泊施設DB"/>
      <sheetName val="配宿意図"/>
      <sheetName val="基本事項DB"/>
      <sheetName val="客室DB"/>
      <sheetName val="ファンクションルームDB"/>
      <sheetName val="宿泊施設DBマスター"/>
      <sheetName val="Accessデータ0219"/>
      <sheetName val="【202503】パラ選手"/>
      <sheetName val="0024_ホテルメルパルク名古屋"/>
      <sheetName val="【250327】アジパラファミリー"/>
      <sheetName val="0012_ルートイン小牧　別紙1-1"/>
      <sheetName val="0012_ルートイン小牧　別紙1-2"/>
      <sheetName val="0024_ホテルメルパルク名古屋　別紙1-1"/>
      <sheetName val="0024_ホテルメルパルク名古屋　別紙1-2"/>
      <sheetName val="0024_ホテルメルパルク名古屋　別紙1-3"/>
      <sheetName val="0040_名古屋マリオット　別紙1-1"/>
      <sheetName val="0040_名古屋マリオット　別紙1-2"/>
      <sheetName val="0064_名古屋プリンス　別紙1-1"/>
      <sheetName val="0064_名古屋プリンス　別紙1-2"/>
      <sheetName val="0094_ヒルトン名古屋　別紙1-1"/>
      <sheetName val="0094_ヒルトン名古屋　別紙1-2"/>
      <sheetName val="0094_ヒルトン名古屋　別紙1-3"/>
      <sheetName val="0105_ANAクラウン　別紙1-1"/>
      <sheetName val="0105_ANAクラウン　別紙1-2"/>
      <sheetName val="0105_ANAクラウン　別紙1-3"/>
      <sheetName val="0111　アパEXCELLENT_別紙1-1"/>
      <sheetName val="0111_アパEXCELLENT 別紙1-2"/>
      <sheetName val="0121_名古屋東急　別紙1-1"/>
      <sheetName val="0121_名古屋東急　別紙1-2"/>
      <sheetName val="0121名古屋東急"/>
      <sheetName val="0159_JALシティ錦　別紙1-1"/>
      <sheetName val="0167_グリーンリッチ　別紙1-1"/>
      <sheetName val="0201_つどいの丘　別紙1-1"/>
      <sheetName val="0201_つどいの丘　別紙1-2"/>
      <sheetName val="0206_トヨタキャッスル　別紙1-1"/>
      <sheetName val="0206_トヨタキャッスル　別紙1-2"/>
      <sheetName val="0210_名鉄トヨタ　別紙1-1"/>
      <sheetName val="0210_名鉄トヨタ　別紙1-2"/>
      <sheetName val="0219_東横三河Ⅱ　別紙1-1"/>
      <sheetName val="0200_東横三河Ⅰ　別紙1-1"/>
      <sheetName val="0221_グランドティアラ　別紙1-1"/>
      <sheetName val="0221_グランドティアラ　別紙1-2"/>
      <sheetName val="0221_グランドティアラ　別紙1-3"/>
      <sheetName val="0223_ドーミー三河安城　別紙1-1"/>
      <sheetName val="0245_変なホテル　別紙1-1"/>
      <sheetName val="0245_変なホテル　別紙1-2"/>
      <sheetName val="0249_明山荘　別紙1-1"/>
      <sheetName val="0249_明山荘　別紙1-2"/>
      <sheetName val="0252_ホテル平野屋　別紙1-1"/>
      <sheetName val="0252_ホテル平野屋　別紙1-2"/>
      <sheetName val="0253_蒲郡ホテル　別紙1-1"/>
      <sheetName val="0253_蒲郡ホテル　別紙1-2"/>
      <sheetName val="0261_ホテル竹島　別紙1-1"/>
      <sheetName val="0261_ホテル竹島　別紙1-2"/>
      <sheetName val="0281_ロワジール豊橋　別紙1-1"/>
      <sheetName val="0281_ロワジール豊橋　別紙1-2"/>
      <sheetName val="0298_フォーポイント中部　別紙1-1"/>
      <sheetName val="0299_東横中部国際Ⅱ　別紙1-1"/>
      <sheetName val="0299_東横中部国際Ⅱ　別紙1-3"/>
      <sheetName val="0300_東横中部国際Ⅰ　別紙1-1"/>
      <sheetName val="0300_東横中部国際Ⅰ　別紙1-2"/>
      <sheetName val="0301_Jホテルりんくう　別紙1-1"/>
      <sheetName val="0301_Jホテルりんくう　別紙1-2"/>
      <sheetName val="0302_セントレアホテル　別紙1-1"/>
      <sheetName val="1003_ルートイン新城　別紙1-1"/>
      <sheetName val="1003_ルートイン新城　別紙1-2"/>
      <sheetName val="1007_ミュースタイル　別紙1-1"/>
      <sheetName val="1007_ミュースタイル　別紙1-2"/>
      <sheetName val="1015_三河海陽閣　別紙1-1"/>
      <sheetName val="1015_三河海陽閣　別紙1-2"/>
      <sheetName val="1021_コートヤード　別紙1-1"/>
      <sheetName val="1021_コートヤード　別紙1-2"/>
      <sheetName val="1021_コートヤード　別紙1-3"/>
      <sheetName val="1027_TIAD 別紙1-1"/>
      <sheetName val="1027_TIAD 別紙1-2"/>
      <sheetName val="変なホテル"/>
      <sheetName val="ロワジール豊橋"/>
      <sheetName val="トヨタキャッスル"/>
      <sheetName val="名鉄トヨタ"/>
      <sheetName val="コンコルド浜松"/>
      <sheetName val="東京ベイ潮見"/>
      <sheetName val="アジアResults0120"/>
      <sheetName val="1029_伊良湖オーシャン　別紙1-1"/>
      <sheetName val="1029_伊良湖オーシャン　別紙1-2"/>
      <sheetName val="2007_シェラトン都ホテル大阪"/>
      <sheetName val="2007_シェラトン都ホテル　別紙1-3"/>
      <sheetName val="2008_アゴーラ堺　別紙1-1"/>
      <sheetName val="2008_アゴーラ堺　別紙1-2"/>
      <sheetName val="2016_つま恋リゾート　別紙1-1"/>
      <sheetName val="2016_つま恋リゾート　別紙1-2"/>
      <sheetName val="2018_掛川グランド　別紙1-1"/>
      <sheetName val="2018_掛川グランド　別紙1-2"/>
      <sheetName val="2022_ラフォーレ修善寺 別紙1-1"/>
      <sheetName val="2022_ラフォーレ修善寺 別紙1-2"/>
      <sheetName val="2026_岐阜グランド　別紙1-1"/>
      <sheetName val="2026_岐阜グランド　別紙1-2"/>
      <sheetName val="2027_岐阜都　別紙1-1"/>
      <sheetName val="2027_岐阜都　別紙1-2"/>
      <sheetName val="2032_大垣フォーラム　別紙1-1"/>
      <sheetName val="2032_大垣フォーラム　別紙1-2"/>
      <sheetName val="2041_コンコルド浜松　別紙1-1"/>
      <sheetName val="2041_コンコルド浜松　別紙1-2"/>
      <sheetName val="2045_クインテッサ大垣　別紙1-1"/>
      <sheetName val="2045_クインテッサ大垣　別紙1-2"/>
      <sheetName val="2049_青年館ホテル　別紙1-1"/>
      <sheetName val="2049_青年館ホテル　別紙1-2"/>
      <sheetName val="2051_ベイ潮見プリンス　別紙1-1"/>
      <sheetName val="2051_ベイ潮見プリンス　別紙1-2"/>
      <sheetName val="3001_グランドニッコー台場　別紙1-1"/>
      <sheetName val="3001_グランドニッコー台場　別紙1-3"/>
      <sheetName val="アジアResults1031"/>
      <sheetName val="パラResults0121"/>
      <sheetName val="1月15日時点"/>
      <sheetName val="10月31日時点"/>
      <sheetName val="パラResults1031"/>
      <sheetName val="宿泊施設DB（Access）"/>
      <sheetName val="机上計算（非表示）_日本青年館ホテ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8">
          <cell r="BS28">
            <v>60203792.000000015</v>
          </cell>
          <cell r="BV28">
            <v>294503792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1">
          <cell r="A1" t="str">
            <v>施設No.</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ow r="1">
          <cell r="A1" t="str">
            <v>施設No.</v>
          </cell>
        </row>
      </sheetData>
      <sheetData sheetId="116">
        <row r="1">
          <cell r="A1" t="str">
            <v>施設No.</v>
          </cell>
        </row>
      </sheetData>
      <sheetData sheetId="117">
        <row r="1">
          <cell r="A1" t="str">
            <v>施設No.</v>
          </cell>
        </row>
      </sheetData>
      <sheetData sheetId="118"/>
      <sheetData sheetId="119"/>
      <sheetData sheetId="120"/>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
      <sheetName val="財政見通し積算"/>
      <sheetName val="債務負担行為積算  (数式)"/>
      <sheetName val="消費者物価平均指数　IMF"/>
      <sheetName val="物価（案1）"/>
      <sheetName val="物価（案2）"/>
      <sheetName val="物価（案3）"/>
      <sheetName val="案3元データ"/>
      <sheetName val="アジア選手（v4）"/>
      <sheetName val="アジアファミスポ(v13)"/>
      <sheetName val="アジア技術役員(DCO以外 0611)"/>
      <sheetName val="アジア技術役員 (DCO 0611) "/>
      <sheetName val="【アジア】飲食提供経費シュミレーション"/>
      <sheetName val="注意点"/>
      <sheetName val="アジアメディア（v13）"/>
      <sheetName val="パラ選手・チーム役員 (0531)"/>
      <sheetName val="パラファミスポ(0530)"/>
      <sheetName val="パラメディア"/>
      <sheetName val="シン・パラ技術役員"/>
      <sheetName val="シン・パラ技術役員 (DCO)"/>
      <sheetName val="まとめ（考え方）"/>
      <sheetName val="契約期間上 宿泊期間  (2024財政見通し用）"/>
      <sheetName val="契約期間上　カレンダー確保泊数 (2024財政見通し用）"/>
      <sheetName val="0001_アパホテル&lt;尾張一宮駅&gt;"/>
      <sheetName val="0002_東横INN名古屋尾張一宮駅前"/>
      <sheetName val="0004_ホテルルートイン一宮駅前"/>
      <sheetName val="0007_一宮グリーンホテル"/>
      <sheetName val="008_ホテルプラザ勝川"/>
      <sheetName val="0010_春日井中央ホテル"/>
      <sheetName val="0012_ルートイングランディア小牧"/>
      <sheetName val="0015_名鉄小牧ホテル"/>
      <sheetName val="0020_あいち健康の森　健康科学総合センター"/>
      <sheetName val="0021_公立学校共済組合　名古屋宿泊所　ホテルルブラ王山"/>
      <sheetName val="0022_ホテルルートイン　名古屋今池駅前"/>
      <sheetName val="0024_ホテルメルパルク名古屋"/>
      <sheetName val="0026_名鉄イン名古屋駅前"/>
      <sheetName val="0027_HOTEL LiVEMAX名古屋桜通口"/>
      <sheetName val="0034_サイプレスホテル名古屋駅前"/>
      <sheetName val="0038_東横INN名古屋駅桜通口本館"/>
      <sheetName val="0039_ザサイプレスメルキュールホテル名古屋"/>
      <sheetName val="0040_名古屋マリオットアソシアホテル"/>
      <sheetName val="0041_三交イン名古屋新幹線口"/>
      <sheetName val="0042_スーパーホテル名古屋駅前"/>
      <sheetName val="0043_チサンイン名古屋"/>
      <sheetName val="0044_ホテルパレス名古屋"/>
      <sheetName val="0047_東横INN名古屋駅新幹線口"/>
      <sheetName val="0049_名鉄グランドホテル"/>
      <sheetName val="0050_ダイワロイネットホテル名古屋駅前"/>
      <sheetName val="0051_ダイワロイネットホテル名古屋新幹線口"/>
      <sheetName val="0052_名鉄イン名古屋桜通"/>
      <sheetName val="0053_ヴィアイン名古屋新幹線口"/>
      <sheetName val="0054_ザロイヤルパークキャンバス名古屋"/>
      <sheetName val="0055_ホテルリソル名古屋"/>
      <sheetName val="0056_ストリングスホテル 名古屋"/>
      <sheetName val="0057_リッチモンドホテル名古屋新幹線口"/>
      <sheetName val="0059_三井ガーデンホテル名古屋プレミア"/>
      <sheetName val="0060_ダイワロイネットホテル名古屋太閤通口"/>
      <sheetName val="0061_名鉄イン名古屋駅新幹線口"/>
      <sheetName val="0062_名古屋JRゲートタワーホテル"/>
      <sheetName val="0063_HOTEL LiVEMAX名駅"/>
      <sheetName val="0064_名古屋プリンスホテルスカイタワー"/>
      <sheetName val="0065_くれたけインプレミアム名古屋納屋橋"/>
      <sheetName val="0066_三交イン名古屋新幹線口ANNEX"/>
      <sheetName val="0067_東横INN名駅南"/>
      <sheetName val="0068_HOTELLiVEMAXBUDGET名古屋太閤通口"/>
      <sheetName val="0069_ヴィアイン名古屋駅前椿町"/>
      <sheetName val="0070_ベッセルホテルカンパーナ名古屋"/>
      <sheetName val="0071_アットインホテル名古屋駅"/>
      <sheetName val="0073_Hamilton Hotel-BLUE-名駅南"/>
      <sheetName val="0074_スマイルホテル名古屋新幹線口"/>
      <sheetName val="0075_R&amp;Bホテル名古屋新幹線口"/>
      <sheetName val="0076_コンフォートホテル名古屋新幹線口"/>
      <sheetName val="0077_相鉄フレッサイン名古屋駅桜通口"/>
      <sheetName val="0078_三交インGrande名古屋-HOTEL＆SPA-"/>
      <sheetName val="0079_ニッコースタイル名古屋"/>
      <sheetName val="0080_アパホテル&lt;名古屋駅新幹線口北&gt;"/>
      <sheetName val="0081_イビススタイルズ名古屋"/>
      <sheetName val="0082_アパホテル&lt;名古屋駅新幹線口南&gt;"/>
      <sheetName val="0083_R&amp;Bホテル名古屋駅前"/>
      <sheetName val="0084_コンフォートホテル名古屋名駅南"/>
      <sheetName val="0090_名古屋観光ホテル"/>
      <sheetName val="0092_国家公務員共済組合連合会名古屋共済会館"/>
      <sheetName val="0093_都心の天然温泉名古屋クラウンホテル"/>
      <sheetName val="0094_ヒルトン名古屋"/>
      <sheetName val="0096_アイリス愛知"/>
      <sheetName val="0099_名古屋ガーデンパレス"/>
      <sheetName val="0101_東京第一ホテル錦"/>
      <sheetName val="0105_ANAクラウンプラザホテルグランコート名古屋"/>
      <sheetName val="0111_アパホテル&lt;名古屋錦&gt; EXCELLENT"/>
      <sheetName val="0114_リッチモンドホテル名古屋納屋橋"/>
      <sheetName val="0115_ザ・ビー名古屋"/>
      <sheetName val="0117_ホテルウィングインターナショナル名古屋"/>
      <sheetName val="0121_名古屋東急ホテル"/>
      <sheetName val="0127_名古屋クレストンホテル"/>
      <sheetName val="0130_ホテル シルク・トゥリー名古屋"/>
      <sheetName val="0133_アパホテル＜名古屋栄＞"/>
      <sheetName val="0139_ドーミーインPREMIUM名古屋栄"/>
      <sheetName val="0140_名古屋金山ホテル"/>
      <sheetName val="0141_プリンセスガーデンホテル"/>
      <sheetName val="0146_ホテルビスタ名古屋〔錦〕 "/>
      <sheetName val="0154_ダイワロイネットホテル名古屋納屋橋"/>
      <sheetName val="0158_ベッセルイン栄駅前"/>
      <sheetName val="0159_ホテルJALシティ名古屋 錦"/>
      <sheetName val="0160_西鉄ホテルクルーム名古屋"/>
      <sheetName val="0161_ダイワロイネットホテル名古屋伏見"/>
      <sheetName val="0167_グリーンリッチホテル名古屋錦"/>
      <sheetName val="0168_ホテルフォルツァ栄"/>
      <sheetName val="0172_サイプレスガーデンホテル"/>
      <sheetName val="0177_邦和セミナープラザ"/>
      <sheetName val="179_LEGOLAND Japan Hotel"/>
      <sheetName val="180_名古屋笠寺ホテル"/>
      <sheetName val="0184_犬山セントラルホテル"/>
      <sheetName val="0186_ホテルユニゾ名古屋駅前"/>
      <sheetName val="188_名鉄イン刈谷"/>
      <sheetName val="189_コンフォートホテル刈谷"/>
      <sheetName val="0192_パークホテル刈谷"/>
      <sheetName val="0193_アクセスイン刈谷"/>
      <sheetName val="0200_アットインホテル豊田市駅"/>
      <sheetName val="0201_全トヨタ労連研修センター つどいの丘"/>
      <sheetName val="0206_トヨタキャッスルホテル"/>
      <sheetName val="0207_豊田プレステージホテル"/>
      <sheetName val="0208_東横INN豊田駅前"/>
      <sheetName val="0210_名鉄トヨタホテル"/>
      <sheetName val="0211_ホテル松風"/>
      <sheetName val="0212_ホテルルートイン豊田陣中"/>
      <sheetName val="0213_ホテルルートイン豊田元町"/>
      <sheetName val="0214_HOTEL LiVEMAX愛知豊田駅前"/>
      <sheetName val="0219_東横INN三河安城駅新幹線南口2"/>
      <sheetName val="0220_東横INN三河安城駅新幹線南口1"/>
      <sheetName val="0221_ホテルグランドティアラ南名古屋"/>
      <sheetName val="0222_HOTEL LiVEMAX三河安城駅前"/>
      <sheetName val="0223_天然温泉三州の湯ドーミーインEXPRESS三河安城"/>
      <sheetName val="0227_ホテルクラウンパレス知立"/>
      <sheetName val="0228_東横INN名鉄知立駅前"/>
      <sheetName val="0229_岡崎オーワホテル"/>
      <sheetName val="0231_グランドイン東岡崎"/>
      <sheetName val="0232_HOTEL LiVEＭAX岡崎"/>
      <sheetName val="0234_MyHotelOkazaKi"/>
      <sheetName val="0238_岡崎ニューグランドホテル"/>
      <sheetName val="0239_アクセスイン西尾"/>
      <sheetName val="0240_株式会社竜宮ホテル"/>
      <sheetName val="0241_株式会社三河湾リゾート・リンクス"/>
      <sheetName val="0242_吉良かん"/>
      <sheetName val="0243_三河湾ヒルズ・ホテル"/>
      <sheetName val="0245_変なホテルラグーナテンボス"/>
      <sheetName val="0247_株式会社鈴岡"/>
      <sheetName val="0249_ホテル明山荘"/>
      <sheetName val="0250_松風園"/>
      <sheetName val="0251_株式会社三谷温泉ひがきホテル"/>
      <sheetName val="0252_株式会社平野屋"/>
      <sheetName val="0253_蒲郡ホテル"/>
      <sheetName val="0257_和のリゾートはづ"/>
      <sheetName val="0260_蒲郡クラシックホテル"/>
      <sheetName val="0261_ホテル竹島"/>
      <sheetName val="0269_ホテルルートイン豊川インター"/>
      <sheetName val="0275_シーパレスリゾート"/>
      <sheetName val="0278_ホテルアソシア豊橋"/>
      <sheetName val="0281_ロワジール豊橋"/>
      <sheetName val="0282_ホテルアークリッシュ豊橋"/>
      <sheetName val="0283_東横INN豊橋駅東口"/>
      <sheetName val="0287_コンフォートホテル豊橋"/>
      <sheetName val="0288_ホテルルートイン豊橋駅前"/>
      <sheetName val="0290_ジャストインプレミアム豊橋駅新幹線口"/>
      <sheetName val="0292_マーレホテル東海"/>
      <sheetName val="0293_ザ・カトーホテル"/>
      <sheetName val="0295_東海シティホテル"/>
      <sheetName val="0298_フォーポイントバイシェラトン名古屋中部空港"/>
      <sheetName val="0299_東横INN中部国際空港2"/>
      <sheetName val="0300_東横INN中部国際空港1"/>
      <sheetName val="0302_中部国際空港セントレアホテル"/>
      <sheetName val="0303_J・HOTEL ANNEX"/>
      <sheetName val="0304_J・ホテルりんくう"/>
      <sheetName val="0305_ホテルルートイン常滑駅前グランドアネックス"/>
      <sheetName val="0306_ホテルルートイン常滑駅前"/>
      <sheetName val="0307_スプリングサニーホテル名古屋常滑駅前"/>
      <sheetName val="0319_ホテルルートイン半田亀崎"/>
      <sheetName val="0320_アズイン半田インター"/>
      <sheetName val="0321_半田ステーションホテル"/>
      <sheetName val="0322_名鉄イン知多半田駅前"/>
      <sheetName val="0323_センターワンホテル半田"/>
      <sheetName val="0324_カンデオホテルズ半田"/>
      <sheetName val="1002ルートイングランティア東海Spa＆Relaxation"/>
      <sheetName val="1003_ホテルルートイン新城"/>
      <sheetName val="1004_モンブランホテルラフィネ名古屋駅前"/>
      <sheetName val="1006_相鉄フレッサイン名古屋駅新幹線口"/>
      <sheetName val="1007_ホテルミュースタイル犬山エクスペリエンス"/>
      <sheetName val="1008_ホテルインディゴ犬山有楽苑"/>
      <sheetName val="1010_天の丸"/>
      <sheetName val="1012_ホテルたつき"/>
      <sheetName val="1013_西浦グランドホテル吉慶"/>
      <sheetName val="1015_ホテル三河　海陽閣"/>
      <sheetName val="1016_くれたけインプレミアム名駅南"/>
      <sheetName val="1017_HOTEL LiVEMAX名古屋桜通口"/>
      <sheetName val="1018_アパホテル&lt;名古屋駅前&gt;"/>
      <sheetName val="1021_コートヤードバイマリオット名古屋"/>
      <sheetName val="1027_TIAD"/>
      <sheetName val="1028_蒲郡ホテル＜別館＞"/>
      <sheetName val="1029_伊良湖オーシャンリゾート"/>
      <sheetName val="1030_伊良湖シーパーク＆スパ"/>
      <sheetName val="1032_ザロイヤルパークアイコニック名古屋"/>
      <sheetName val="1033_エスパシオ　ナゴヤキャッスル"/>
      <sheetName val="1034_コンラッド名古屋"/>
      <sheetName val="1035_JICA中部"/>
      <sheetName val="1036_衣浦グランドホテル"/>
      <sheetName val="2001_アパホテル&lt;岐阜羽島駅前&gt;"/>
      <sheetName val="2007_シェラトン都ホテル大阪"/>
      <sheetName val="2008_ホテルアゴーラリージェンシー大阪堺"/>
      <sheetName val="2009_帝国ホテル大阪"/>
      <sheetName val="2010_神戸西神オリエンタルホテル"/>
      <sheetName val="2011_ANAクラウンプラザホテル神戸"/>
      <sheetName val="2012_シーサイドホテル舞子ビラ神戸"/>
      <sheetName val="2013_ホテルオークラ神戸"/>
      <sheetName val="2015_京都ホテルオークラ "/>
      <sheetName val="2016_つま恋リゾート彩の郷"/>
      <sheetName val="2018_掛川グランドホテル"/>
      <sheetName val="2019_THE HAMANAKO"/>
      <sheetName val="2021_オークラアクトシティホテル浜松"/>
      <sheetName val="2022_ホテルラフォーレ修善寺"/>
      <sheetName val="2024_富士山三島東急ホテル"/>
      <sheetName val="2025_伊豆マリオット修善寺"/>
      <sheetName val="2026_岐阜グランドホテル"/>
      <sheetName val="2027_都ホテル岐阜長良川"/>
      <sheetName val="2028_ホテルグランヴェール岐山（公立共済やすらぎの里）"/>
      <sheetName val="2030_ホテルリソル岐阜"/>
      <sheetName val="2032_大垣フォーラムホテル"/>
      <sheetName val="2034_ホテルルートイン各務原"/>
      <sheetName val="2036_ホテルルートイン羽島駅前"/>
      <sheetName val="2037_ホテルコーヨー"/>
      <sheetName val="2038_京都 東急ホテル"/>
      <sheetName val="2040_リーガロイヤルホテル京都"/>
      <sheetName val="2041_ホテルコンコルド浜松"/>
      <sheetName val="2042_神戸ポートピアホテル"/>
      <sheetName val="2043_パレスホテル掛川"/>
      <sheetName val="2044_くれたけインプレミアム大垣駅前"/>
      <sheetName val="2045_クインテッサホテル大垣"/>
      <sheetName val="2046_ホテルナガシマ"/>
      <sheetName val="2048_東京イーストサイドホテル櫂会"/>
      <sheetName val="2050_二子玉川エクセルホテル東急"/>
      <sheetName val="2051_東京ベイ潮見プリンスホテル"/>
      <sheetName val="3000_ルートイン愛知東郷町"/>
      <sheetName val="3001-_グランドニッコー東京　台場"/>
      <sheetName val="3002-_長島温泉ガーデンホテルオリーブ"/>
      <sheetName val="3003-_長島温泉 ホテル花水木"/>
      <sheetName val="3004-_東横イン富士山三島駅"/>
      <sheetName val="3005-_アパホテル新大阪駅前"/>
      <sheetName val="3006-_アパホテル＆リゾート東京ベイ潮見"/>
      <sheetName val="-_東横イン浜松駅北口"/>
      <sheetName val="-_オースタット国際ホテル多治見"/>
      <sheetName val="-_THE OKURA TOKYO"/>
      <sheetName val="-_帝国ホテル　東京"/>
      <sheetName val="-_東横イン京都四条烏丸"/>
      <sheetName val="-_東横イン大阪なんば日本橋"/>
      <sheetName val="-_東横イン神戸三ノ宮1"/>
      <sheetName val="-_ホテルイースト21東京"/>
      <sheetName val="オリジナル"/>
      <sheetName val="マスター1_項目コード"/>
      <sheetName val="マスター2_施設情報"/>
      <sheetName val="ボツ債務負担行為積算 "/>
    </sheetNames>
    <sheetDataSet>
      <sheetData sheetId="0"/>
      <sheetData sheetId="1">
        <row r="22">
          <cell r="C22">
            <v>8762124192</v>
          </cell>
        </row>
      </sheetData>
      <sheetData sheetId="2">
        <row r="4">
          <cell r="C4">
            <v>33756.68006176599</v>
          </cell>
          <cell r="D4">
            <v>11937</v>
          </cell>
          <cell r="E4">
            <v>32</v>
          </cell>
          <cell r="F4">
            <v>12894511676.713619</v>
          </cell>
          <cell r="G4">
            <v>1.22</v>
          </cell>
          <cell r="H4">
            <v>15731304246</v>
          </cell>
          <cell r="I4">
            <v>15731304246</v>
          </cell>
          <cell r="J4"/>
          <cell r="K4">
            <v>8762124192</v>
          </cell>
          <cell r="L4">
            <v>10689791514.24</v>
          </cell>
        </row>
        <row r="5">
          <cell r="C5">
            <v>35104.891152886055</v>
          </cell>
          <cell r="D5">
            <v>9962</v>
          </cell>
          <cell r="E5">
            <v>32</v>
          </cell>
          <cell r="F5">
            <v>11190877621.281628</v>
          </cell>
          <cell r="G5">
            <v>1.22</v>
          </cell>
          <cell r="H5">
            <v>13652870698</v>
          </cell>
          <cell r="I5">
            <v>13652870698</v>
          </cell>
          <cell r="J5" t="str">
            <v>不要？</v>
          </cell>
          <cell r="K5">
            <v>7859948168</v>
          </cell>
          <cell r="L5">
            <v>9589136764.9599991</v>
          </cell>
        </row>
        <row r="6">
          <cell r="C6">
            <v>104002.92796907018</v>
          </cell>
          <cell r="D6">
            <v>1645</v>
          </cell>
          <cell r="E6">
            <v>32</v>
          </cell>
          <cell r="F6">
            <v>5474714128.2918539</v>
          </cell>
          <cell r="G6">
            <v>1.22</v>
          </cell>
          <cell r="H6">
            <v>6679151237</v>
          </cell>
          <cell r="I6">
            <v>20710310555</v>
          </cell>
          <cell r="J6"/>
          <cell r="K6">
            <v>3701286602.1386881</v>
          </cell>
          <cell r="L6">
            <v>4515569654.6091995</v>
          </cell>
        </row>
        <row r="7">
          <cell r="C7">
            <v>48153.528237378385</v>
          </cell>
          <cell r="D7">
            <v>2560</v>
          </cell>
          <cell r="E7">
            <v>32</v>
          </cell>
          <cell r="F7">
            <v>3944737033.2060375</v>
          </cell>
          <cell r="G7">
            <v>1.22</v>
          </cell>
          <cell r="H7">
            <v>4812579181</v>
          </cell>
          <cell r="J7"/>
          <cell r="K7">
            <v>2385760498.811594</v>
          </cell>
          <cell r="L7">
            <v>2910627808.5501447</v>
          </cell>
        </row>
        <row r="8">
          <cell r="C8">
            <v>67393.896602434077</v>
          </cell>
          <cell r="D8">
            <v>286</v>
          </cell>
          <cell r="E8">
            <v>36</v>
          </cell>
          <cell r="F8">
            <v>693887559.41866124</v>
          </cell>
          <cell r="G8">
            <v>1.22</v>
          </cell>
          <cell r="H8">
            <v>846542823</v>
          </cell>
          <cell r="J8"/>
          <cell r="K8">
            <v>719947332</v>
          </cell>
          <cell r="L8">
            <v>878335745.03999996</v>
          </cell>
        </row>
        <row r="9">
          <cell r="C9">
            <v>25177.548217762269</v>
          </cell>
          <cell r="D9">
            <v>3000</v>
          </cell>
          <cell r="E9">
            <v>32</v>
          </cell>
          <cell r="F9">
            <v>2417044628.9051776</v>
          </cell>
          <cell r="G9">
            <v>1.22</v>
          </cell>
          <cell r="H9">
            <v>2948794448</v>
          </cell>
          <cell r="J9"/>
          <cell r="K9">
            <v>2055749958.4638913</v>
          </cell>
          <cell r="L9">
            <v>2508014949.3259473</v>
          </cell>
        </row>
        <row r="10">
          <cell r="C10">
            <v>34913.680110890979</v>
          </cell>
          <cell r="D10">
            <v>3354</v>
          </cell>
          <cell r="E10">
            <v>32</v>
          </cell>
          <cell r="F10">
            <v>3747215458.9417071</v>
          </cell>
          <cell r="G10">
            <v>1.22</v>
          </cell>
          <cell r="H10">
            <v>4571602860</v>
          </cell>
          <cell r="K10">
            <v>1124950544.6765776</v>
          </cell>
          <cell r="L10">
            <v>1372439664.5054245</v>
          </cell>
        </row>
        <row r="11">
          <cell r="C11">
            <v>43282.835946779458</v>
          </cell>
          <cell r="D11">
            <v>504</v>
          </cell>
          <cell r="E11">
            <v>32</v>
          </cell>
          <cell r="F11">
            <v>698065578.14965916</v>
          </cell>
          <cell r="G11">
            <v>1.22</v>
          </cell>
          <cell r="H11">
            <v>851640006</v>
          </cell>
          <cell r="K11">
            <v>457682948.48613292</v>
          </cell>
          <cell r="L11">
            <v>558373197.15308213</v>
          </cell>
        </row>
        <row r="12">
          <cell r="C12">
            <v>48113.182737500872</v>
          </cell>
          <cell r="D12">
            <v>4988</v>
          </cell>
          <cell r="E12">
            <v>18</v>
          </cell>
          <cell r="F12">
            <v>4319793998.9037781</v>
          </cell>
          <cell r="G12">
            <v>1.22</v>
          </cell>
          <cell r="H12">
            <v>5270148679</v>
          </cell>
          <cell r="I12">
            <v>5270148679</v>
          </cell>
          <cell r="K12">
            <v>3773583233.408268</v>
          </cell>
          <cell r="L12">
            <v>4603771544.7580872</v>
          </cell>
        </row>
        <row r="13">
          <cell r="C13">
            <v>48113.182737500872</v>
          </cell>
          <cell r="D13">
            <v>4988</v>
          </cell>
          <cell r="E13">
            <v>18</v>
          </cell>
          <cell r="F13">
            <v>4319793998.9037781</v>
          </cell>
          <cell r="G13">
            <v>1.22</v>
          </cell>
          <cell r="H13">
            <v>5270148679</v>
          </cell>
          <cell r="I13">
            <v>5270148679</v>
          </cell>
          <cell r="J13" t="str">
            <v>不要？</v>
          </cell>
          <cell r="K13">
            <v>3773583233.408268</v>
          </cell>
          <cell r="L13">
            <v>4603771544.7580872</v>
          </cell>
        </row>
        <row r="14">
          <cell r="C14">
            <v>163100.01822323463</v>
          </cell>
          <cell r="D14">
            <v>370</v>
          </cell>
          <cell r="E14">
            <v>18</v>
          </cell>
          <cell r="F14">
            <v>1086246121.3667426</v>
          </cell>
          <cell r="G14">
            <v>1.22</v>
          </cell>
          <cell r="H14">
            <v>1325220269</v>
          </cell>
          <cell r="I14">
            <v>4852210296</v>
          </cell>
          <cell r="K14">
            <v>784511087.65375853</v>
          </cell>
          <cell r="L14">
            <v>957103526.93758535</v>
          </cell>
        </row>
        <row r="15">
          <cell r="C15">
            <v>62210.379825525553</v>
          </cell>
          <cell r="D15">
            <v>1560</v>
          </cell>
          <cell r="E15">
            <v>18</v>
          </cell>
          <cell r="F15">
            <v>1746867465.5007577</v>
          </cell>
          <cell r="G15">
            <v>1.22</v>
          </cell>
          <cell r="H15">
            <v>2131178308</v>
          </cell>
          <cell r="K15">
            <v>851237005.14489949</v>
          </cell>
          <cell r="L15">
            <v>1038509146.2767774</v>
          </cell>
        </row>
        <row r="16">
          <cell r="C16">
            <v>53988.663793103449</v>
          </cell>
          <cell r="D16">
            <v>116</v>
          </cell>
          <cell r="E16">
            <v>19</v>
          </cell>
          <cell r="F16">
            <v>118991015</v>
          </cell>
          <cell r="G16">
            <v>1.22</v>
          </cell>
          <cell r="H16">
            <v>145169039</v>
          </cell>
          <cell r="K16">
            <v>106465645</v>
          </cell>
          <cell r="L16">
            <v>129888086.89999999</v>
          </cell>
        </row>
        <row r="17">
          <cell r="C17">
            <v>20629.837335522443</v>
          </cell>
          <cell r="D17">
            <v>1600</v>
          </cell>
          <cell r="E17">
            <v>18</v>
          </cell>
          <cell r="F17">
            <v>594139315.26304626</v>
          </cell>
          <cell r="G17">
            <v>1.22</v>
          </cell>
          <cell r="H17">
            <v>724849965</v>
          </cell>
          <cell r="K17">
            <v>546790803.79759121</v>
          </cell>
          <cell r="L17">
            <v>667084780.63306129</v>
          </cell>
        </row>
        <row r="18">
          <cell r="C18">
            <v>23446.05186421199</v>
          </cell>
          <cell r="D18">
            <v>812</v>
          </cell>
          <cell r="E18">
            <v>18</v>
          </cell>
          <cell r="F18">
            <v>342687494.04732245</v>
          </cell>
          <cell r="G18">
            <v>1.22</v>
          </cell>
          <cell r="H18">
            <v>418078743</v>
          </cell>
          <cell r="K18">
            <v>196443986.23141339</v>
          </cell>
          <cell r="L18">
            <v>239661663.20232433</v>
          </cell>
        </row>
        <row r="19">
          <cell r="C19">
            <v>40204.982042345626</v>
          </cell>
          <cell r="D19">
            <v>122</v>
          </cell>
          <cell r="E19">
            <v>18</v>
          </cell>
          <cell r="F19">
            <v>88290140.564990997</v>
          </cell>
          <cell r="G19">
            <v>1.22</v>
          </cell>
          <cell r="H19">
            <v>107713972</v>
          </cell>
          <cell r="K19">
            <v>46172588.91794765</v>
          </cell>
          <cell r="L19">
            <v>56330558.479896128</v>
          </cell>
        </row>
        <row r="20">
          <cell r="C20" t="str">
            <v>-</v>
          </cell>
          <cell r="D20" t="str">
            <v>-</v>
          </cell>
          <cell r="E20" t="str">
            <v>-</v>
          </cell>
          <cell r="F20">
            <v>38167191614.273361</v>
          </cell>
          <cell r="G20" t="str">
            <v>-</v>
          </cell>
          <cell r="H20">
            <v>46563973776</v>
          </cell>
          <cell r="I20">
            <v>46563973776</v>
          </cell>
          <cell r="K20">
            <v>25512706426.730766</v>
          </cell>
          <cell r="L20">
            <v>31125501840.611534</v>
          </cell>
        </row>
        <row r="24">
          <cell r="C24">
            <v>535555.17040860734</v>
          </cell>
          <cell r="D24">
            <v>465</v>
          </cell>
          <cell r="E24">
            <v>33</v>
          </cell>
          <cell r="F24">
            <v>8218094089.9200792</v>
          </cell>
          <cell r="G24">
            <v>1.22</v>
          </cell>
          <cell r="H24">
            <v>10026074790</v>
          </cell>
          <cell r="I24">
            <v>10026074790</v>
          </cell>
          <cell r="J24"/>
          <cell r="K24">
            <v>4910934146</v>
          </cell>
          <cell r="L24">
            <v>5991339658.1199999</v>
          </cell>
        </row>
        <row r="25">
          <cell r="C25">
            <v>2025837.3020833333</v>
          </cell>
          <cell r="D25">
            <v>56</v>
          </cell>
          <cell r="E25">
            <v>33</v>
          </cell>
          <cell r="F25">
            <v>3743747334.25</v>
          </cell>
          <cell r="G25">
            <v>1.22</v>
          </cell>
          <cell r="H25">
            <v>4567371748</v>
          </cell>
          <cell r="I25">
            <v>6082352041</v>
          </cell>
          <cell r="J25"/>
          <cell r="K25">
            <v>1895857531</v>
          </cell>
          <cell r="L25">
            <v>2312946187.8200002</v>
          </cell>
        </row>
        <row r="26">
          <cell r="C26"/>
          <cell r="D26"/>
          <cell r="E26"/>
          <cell r="F26"/>
          <cell r="G26">
            <v>1.22</v>
          </cell>
          <cell r="H26">
            <v>0</v>
          </cell>
          <cell r="J26"/>
          <cell r="K26"/>
          <cell r="L26">
            <v>0</v>
          </cell>
        </row>
        <row r="27">
          <cell r="C27">
            <v>500922.6</v>
          </cell>
          <cell r="D27">
            <v>67</v>
          </cell>
          <cell r="E27">
            <v>37</v>
          </cell>
          <cell r="F27">
            <v>1241787125.3999999</v>
          </cell>
          <cell r="G27">
            <v>1.22</v>
          </cell>
          <cell r="H27">
            <v>1514980293</v>
          </cell>
          <cell r="J27"/>
          <cell r="K27">
            <v>530888760</v>
          </cell>
          <cell r="L27">
            <v>647684287.19999993</v>
          </cell>
        </row>
        <row r="28">
          <cell r="C28">
            <v>1158248.935561944</v>
          </cell>
          <cell r="D28">
            <v>259</v>
          </cell>
          <cell r="E28">
            <v>19</v>
          </cell>
          <cell r="F28">
            <v>5699743011.9003267</v>
          </cell>
          <cell r="G28">
            <v>1.22</v>
          </cell>
          <cell r="H28">
            <v>6953686475</v>
          </cell>
          <cell r="I28">
            <v>6953686475</v>
          </cell>
          <cell r="K28">
            <v>2338780960</v>
          </cell>
          <cell r="L28">
            <v>2853312771.1999998</v>
          </cell>
        </row>
        <row r="29">
          <cell r="C29">
            <v>2529412.3125</v>
          </cell>
          <cell r="D29">
            <v>16</v>
          </cell>
          <cell r="E29">
            <v>19</v>
          </cell>
          <cell r="F29">
            <v>768941343</v>
          </cell>
          <cell r="G29">
            <v>1.22</v>
          </cell>
          <cell r="H29">
            <v>938108439</v>
          </cell>
          <cell r="I29">
            <v>1069432802</v>
          </cell>
          <cell r="K29">
            <v>526117761</v>
          </cell>
          <cell r="L29">
            <v>641863668.41999996</v>
          </cell>
        </row>
        <row r="30">
          <cell r="C30">
            <v>768878</v>
          </cell>
          <cell r="D30">
            <v>7</v>
          </cell>
          <cell r="E30">
            <v>20</v>
          </cell>
          <cell r="F30">
            <v>107642920</v>
          </cell>
          <cell r="G30">
            <v>1.22</v>
          </cell>
          <cell r="H30">
            <v>131324363</v>
          </cell>
          <cell r="K30">
            <v>13070926</v>
          </cell>
          <cell r="L30">
            <v>15946529.719999999</v>
          </cell>
        </row>
        <row r="31">
          <cell r="C31" t="str">
            <v>-</v>
          </cell>
          <cell r="D31" t="str">
            <v>-</v>
          </cell>
          <cell r="E31" t="str">
            <v>-</v>
          </cell>
          <cell r="F31">
            <v>19779955824.470406</v>
          </cell>
          <cell r="G31" t="str">
            <v>-</v>
          </cell>
          <cell r="H31">
            <v>24131546108</v>
          </cell>
          <cell r="I31">
            <v>24131546108</v>
          </cell>
          <cell r="K31">
            <v>10215650084</v>
          </cell>
          <cell r="L31">
            <v>12463093102.48</v>
          </cell>
        </row>
        <row r="36">
          <cell r="I36">
            <v>52550041632</v>
          </cell>
        </row>
        <row r="37">
          <cell r="I37">
            <v>18145478252</v>
          </cell>
        </row>
        <row r="38">
          <cell r="I38">
            <v>70695519884</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
      <sheetName val="財政見通し積算"/>
      <sheetName val="債務負担行為積算  (数式)"/>
      <sheetName val="消費者物価平均指数　IMF"/>
      <sheetName val="物価（案1）"/>
      <sheetName val="物価（案2）"/>
      <sheetName val="物価（案3）"/>
      <sheetName val="案3元データ"/>
      <sheetName val="アジア選手（v4）"/>
      <sheetName val="アジアファミスポ(v13)"/>
      <sheetName val="アジア技術役員(DCO以外 0611)"/>
      <sheetName val="アジア技術役員 (DCO 0611) "/>
      <sheetName val="【アジア】飲食提供経費シュミレーション"/>
      <sheetName val="注意点"/>
      <sheetName val="アジアメディア（v13）"/>
      <sheetName val="パラ選手・チーム役員 (0531)"/>
      <sheetName val="パラファミスポ(0530)"/>
      <sheetName val="パラメディア"/>
      <sheetName val="シン・パラ技術役員"/>
      <sheetName val="シン・パラ技術役員 (DCO)"/>
      <sheetName val="まとめ（考え方）"/>
      <sheetName val="契約期間上 宿泊期間  (2024財政見通し用）"/>
      <sheetName val="契約期間上　カレンダー確保泊数 (2024財政見通し用）"/>
      <sheetName val="0001_アパホテル&lt;尾張一宮駅&gt;"/>
      <sheetName val="0002_東横INN名古屋尾張一宮駅前"/>
      <sheetName val="0004_ホテルルートイン一宮駅前"/>
      <sheetName val="0007_一宮グリーンホテル"/>
      <sheetName val="008_ホテルプラザ勝川"/>
      <sheetName val="0010_春日井中央ホテル"/>
      <sheetName val="0012_ルートイングランディア小牧"/>
      <sheetName val="0015_名鉄小牧ホテル"/>
      <sheetName val="0020_あいち健康の森　健康科学総合センター"/>
      <sheetName val="0021_公立学校共済組合　名古屋宿泊所　ホテルルブラ王山"/>
      <sheetName val="0022_ホテルルートイン　名古屋今池駅前"/>
      <sheetName val="0024_ホテルメルパルク名古屋"/>
      <sheetName val="0026_名鉄イン名古屋駅前"/>
      <sheetName val="0027_HOTEL LiVEMAX名古屋桜通口"/>
      <sheetName val="0034_サイプレスホテル名古屋駅前"/>
      <sheetName val="0038_東横INN名古屋駅桜通口本館"/>
      <sheetName val="0039_ザサイプレスメルキュールホテル名古屋"/>
      <sheetName val="0040_名古屋マリオットアソシアホテル"/>
      <sheetName val="0041_三交イン名古屋新幹線口"/>
      <sheetName val="0042_スーパーホテル名古屋駅前"/>
      <sheetName val="0043_チサンイン名古屋"/>
      <sheetName val="0044_ホテルパレス名古屋"/>
      <sheetName val="0047_東横INN名古屋駅新幹線口"/>
      <sheetName val="0049_名鉄グランドホテル"/>
      <sheetName val="0050_ダイワロイネットホテル名古屋駅前"/>
      <sheetName val="0051_ダイワロイネットホテル名古屋新幹線口"/>
      <sheetName val="0052_名鉄イン名古屋桜通"/>
      <sheetName val="0053_ヴィアイン名古屋新幹線口"/>
      <sheetName val="0054_ザロイヤルパークキャンバス名古屋"/>
      <sheetName val="0055_ホテルリソル名古屋"/>
      <sheetName val="0056_ストリングスホテル 名古屋"/>
      <sheetName val="0057_リッチモンドホテル名古屋新幹線口"/>
      <sheetName val="0059_三井ガーデンホテル名古屋プレミア"/>
      <sheetName val="0060_ダイワロイネットホテル名古屋太閤通口"/>
      <sheetName val="0061_名鉄イン名古屋駅新幹線口"/>
      <sheetName val="0062_名古屋JRゲートタワーホテル"/>
      <sheetName val="0063_HOTEL LiVEMAX名駅"/>
      <sheetName val="0064_名古屋プリンスホテルスカイタワー"/>
      <sheetName val="0065_くれたけインプレミアム名古屋納屋橋"/>
      <sheetName val="0066_三交イン名古屋新幹線口ANNEX"/>
      <sheetName val="0067_東横INN名駅南"/>
      <sheetName val="0068_HOTELLiVEMAXBUDGET名古屋太閤通口"/>
      <sheetName val="0069_ヴィアイン名古屋駅前椿町"/>
      <sheetName val="0070_ベッセルホテルカンパーナ名古屋"/>
      <sheetName val="0071_アットインホテル名古屋駅"/>
      <sheetName val="0073_Hamilton Hotel-BLUE-名駅南"/>
      <sheetName val="0074_スマイルホテル名古屋新幹線口"/>
      <sheetName val="0075_R&amp;Bホテル名古屋新幹線口"/>
      <sheetName val="0076_コンフォートホテル名古屋新幹線口"/>
      <sheetName val="0077_相鉄フレッサイン名古屋駅桜通口"/>
      <sheetName val="0078_三交インGrande名古屋-HOTEL＆SPA-"/>
      <sheetName val="0079_ニッコースタイル名古屋"/>
      <sheetName val="0080_アパホテル&lt;名古屋駅新幹線口北&gt;"/>
      <sheetName val="0081_イビススタイルズ名古屋"/>
      <sheetName val="0082_アパホテル&lt;名古屋駅新幹線口南&gt;"/>
      <sheetName val="0083_R&amp;Bホテル名古屋駅前"/>
      <sheetName val="0084_コンフォートホテル名古屋名駅南"/>
      <sheetName val="0090_名古屋観光ホテル"/>
      <sheetName val="0092_国家公務員共済組合連合会名古屋共済会館"/>
      <sheetName val="0093_都心の天然温泉名古屋クラウンホテル"/>
      <sheetName val="0094_ヒルトン名古屋"/>
      <sheetName val="0096_アイリス愛知"/>
      <sheetName val="0099_名古屋ガーデンパレス"/>
      <sheetName val="0101_東京第一ホテル錦"/>
      <sheetName val="0105_ANAクラウンプラザホテルグランコート名古屋"/>
      <sheetName val="0111_アパホテル&lt;名古屋錦&gt; EXCELLENT"/>
      <sheetName val="0114_リッチモンドホテル名古屋納屋橋"/>
      <sheetName val="0115_ザ・ビー名古屋"/>
      <sheetName val="0117_ホテルウィングインターナショナル名古屋"/>
      <sheetName val="0121_名古屋東急ホテル"/>
      <sheetName val="0127_名古屋クレストンホテル"/>
      <sheetName val="0130_ホテル シルク・トゥリー名古屋"/>
      <sheetName val="0133_アパホテル＜名古屋栄＞"/>
      <sheetName val="0139_ドーミーインPREMIUM名古屋栄"/>
      <sheetName val="0140_名古屋金山ホテル"/>
      <sheetName val="0141_プリンセスガーデンホテル"/>
      <sheetName val="0146_ホテルビスタ名古屋〔錦〕 "/>
      <sheetName val="0154_ダイワロイネットホテル名古屋納屋橋"/>
      <sheetName val="0158_ベッセルイン栄駅前"/>
      <sheetName val="0159_ホテルJALシティ名古屋 錦"/>
      <sheetName val="0160_西鉄ホテルクルーム名古屋"/>
      <sheetName val="0161_ダイワロイネットホテル名古屋伏見"/>
      <sheetName val="0167_グリーンリッチホテル名古屋錦"/>
      <sheetName val="0168_ホテルフォルツァ栄"/>
      <sheetName val="0172_サイプレスガーデンホテル"/>
      <sheetName val="0177_邦和セミナープラザ"/>
      <sheetName val="179_LEGOLAND Japan Hotel"/>
      <sheetName val="180_名古屋笠寺ホテル"/>
      <sheetName val="0184_犬山セントラルホテル"/>
      <sheetName val="0186_ホテルユニゾ名古屋駅前"/>
      <sheetName val="188_名鉄イン刈谷"/>
      <sheetName val="189_コンフォートホテル刈谷"/>
      <sheetName val="0192_パークホテル刈谷"/>
      <sheetName val="0193_アクセスイン刈谷"/>
      <sheetName val="0200_アットインホテル豊田市駅"/>
      <sheetName val="0201_全トヨタ労連研修センター つどいの丘"/>
      <sheetName val="0206_トヨタキャッスルホテル"/>
      <sheetName val="0207_豊田プレステージホテル"/>
      <sheetName val="0208_東横INN豊田駅前"/>
      <sheetName val="0210_名鉄トヨタホテル"/>
      <sheetName val="0211_ホテル松風"/>
      <sheetName val="0212_ホテルルートイン豊田陣中"/>
      <sheetName val="0213_ホテルルートイン豊田元町"/>
      <sheetName val="0214_HOTEL LiVEMAX愛知豊田駅前"/>
      <sheetName val="0219_東横INN三河安城駅新幹線南口2"/>
      <sheetName val="0220_東横INN三河安城駅新幹線南口1"/>
      <sheetName val="0221_ホテルグランドティアラ南名古屋"/>
      <sheetName val="0222_HOTEL LiVEMAX三河安城駅前"/>
      <sheetName val="0223_天然温泉三州の湯ドーミーインEXPRESS三河安城"/>
      <sheetName val="0227_ホテルクラウンパレス知立"/>
      <sheetName val="0228_東横INN名鉄知立駅前"/>
      <sheetName val="0229_岡崎オーワホテル"/>
      <sheetName val="0231_グランドイン東岡崎"/>
      <sheetName val="0232_HOTEL LiVEＭAX岡崎"/>
      <sheetName val="0234_MyHotelOkazaKi"/>
      <sheetName val="0238_岡崎ニューグランドホテル"/>
      <sheetName val="0239_アクセスイン西尾"/>
      <sheetName val="0240_株式会社竜宮ホテル"/>
      <sheetName val="0241_株式会社三河湾リゾート・リンクス"/>
      <sheetName val="0242_吉良かん"/>
      <sheetName val="0243_三河湾ヒルズ・ホテル"/>
      <sheetName val="0245_変なホテルラグーナテンボス"/>
      <sheetName val="0247_株式会社鈴岡"/>
      <sheetName val="0249_ホテル明山荘"/>
      <sheetName val="0250_松風園"/>
      <sheetName val="0251_株式会社三谷温泉ひがきホテル"/>
      <sheetName val="0252_株式会社平野屋"/>
      <sheetName val="0253_蒲郡ホテル"/>
      <sheetName val="0257_和のリゾートはづ"/>
      <sheetName val="0260_蒲郡クラシックホテル"/>
      <sheetName val="0261_ホテル竹島"/>
      <sheetName val="0269_ホテルルートイン豊川インター"/>
      <sheetName val="0275_シーパレスリゾート"/>
      <sheetName val="0278_ホテルアソシア豊橋"/>
      <sheetName val="0281_ロワジール豊橋"/>
      <sheetName val="0282_ホテルアークリッシュ豊橋"/>
      <sheetName val="0283_東横INN豊橋駅東口"/>
      <sheetName val="0287_コンフォートホテル豊橋"/>
      <sheetName val="0288_ホテルルートイン豊橋駅前"/>
      <sheetName val="0290_ジャストインプレミアム豊橋駅新幹線口"/>
      <sheetName val="0292_マーレホテル東海"/>
      <sheetName val="0293_ザ・カトーホテル"/>
      <sheetName val="0295_東海シティホテル"/>
      <sheetName val="0298_フォーポイントバイシェラトン名古屋中部空港"/>
      <sheetName val="0299_東横INN中部国際空港2"/>
      <sheetName val="0300_東横INN中部国際空港1"/>
      <sheetName val="0302_中部国際空港セントレアホテル"/>
      <sheetName val="0303_J・HOTEL ANNEX"/>
      <sheetName val="0304_J・ホテルりんくう"/>
      <sheetName val="0305_ホテルルートイン常滑駅前グランドアネックス"/>
      <sheetName val="0306_ホテルルートイン常滑駅前"/>
      <sheetName val="0307_スプリングサニーホテル名古屋常滑駅前"/>
      <sheetName val="0319_ホテルルートイン半田亀崎"/>
      <sheetName val="0320_アズイン半田インター"/>
      <sheetName val="0321_半田ステーションホテル"/>
      <sheetName val="0322_名鉄イン知多半田駅前"/>
      <sheetName val="0323_センターワンホテル半田"/>
      <sheetName val="0324_カンデオホテルズ半田"/>
      <sheetName val="1002ルートイングランティア東海Spa＆Relaxation"/>
      <sheetName val="1003_ホテルルートイン新城"/>
      <sheetName val="1004_モンブランホテルラフィネ名古屋駅前"/>
      <sheetName val="1006_相鉄フレッサイン名古屋駅新幹線口"/>
      <sheetName val="1007_ホテルミュースタイル犬山エクスペリエンス"/>
      <sheetName val="1008_ホテルインディゴ犬山有楽苑"/>
      <sheetName val="1010_天の丸"/>
      <sheetName val="1012_ホテルたつき"/>
      <sheetName val="1013_西浦グランドホテル吉慶"/>
      <sheetName val="1015_ホテル三河　海陽閣"/>
      <sheetName val="1016_くれたけインプレミアム名駅南"/>
      <sheetName val="1017_HOTEL LiVEMAX名古屋桜通口"/>
      <sheetName val="1018_アパホテル&lt;名古屋駅前&gt;"/>
      <sheetName val="1021_コートヤードバイマリオット名古屋"/>
      <sheetName val="1027_TIAD"/>
      <sheetName val="1028_蒲郡ホテル＜別館＞"/>
      <sheetName val="1029_伊良湖オーシャンリゾート"/>
      <sheetName val="1030_伊良湖シーパーク＆スパ"/>
      <sheetName val="1032_ザロイヤルパークアイコニック名古屋"/>
      <sheetName val="1033_エスパシオ　ナゴヤキャッスル"/>
      <sheetName val="1034_コンラッド名古屋"/>
      <sheetName val="1035_JICA中部"/>
      <sheetName val="1036_衣浦グランドホテル"/>
      <sheetName val="2001_アパホテル&lt;岐阜羽島駅前&gt;"/>
      <sheetName val="2007_シェラトン都ホテル大阪"/>
      <sheetName val="2008_ホテルアゴーラリージェンシー大阪堺"/>
      <sheetName val="2009_帝国ホテル大阪"/>
      <sheetName val="2010_神戸西神オリエンタルホテル"/>
      <sheetName val="2011_ANAクラウンプラザホテル神戸"/>
      <sheetName val="2012_シーサイドホテル舞子ビラ神戸"/>
      <sheetName val="2013_ホテルオークラ神戸"/>
      <sheetName val="2015_京都ホテルオークラ "/>
      <sheetName val="2016_つま恋リゾート彩の郷"/>
      <sheetName val="2018_掛川グランドホテル"/>
      <sheetName val="2019_THE HAMANAKO"/>
      <sheetName val="2021_オークラアクトシティホテル浜松"/>
      <sheetName val="2022_ホテルラフォーレ修善寺"/>
      <sheetName val="2024_富士山三島東急ホテル"/>
      <sheetName val="2025_伊豆マリオット修善寺"/>
      <sheetName val="2026_岐阜グランドホテル"/>
      <sheetName val="2027_都ホテル岐阜長良川"/>
      <sheetName val="2028_ホテルグランヴェール岐山（公立共済やすらぎの里）"/>
      <sheetName val="2030_ホテルリソル岐阜"/>
      <sheetName val="2032_大垣フォーラムホテル"/>
      <sheetName val="2034_ホテルルートイン各務原"/>
      <sheetName val="2036_ホテルルートイン羽島駅前"/>
      <sheetName val="2037_ホテルコーヨー"/>
      <sheetName val="2038_京都 東急ホテル"/>
      <sheetName val="2040_リーガロイヤルホテル京都"/>
      <sheetName val="2041_ホテルコンコルド浜松"/>
      <sheetName val="2042_神戸ポートピアホテル"/>
      <sheetName val="2043_パレスホテル掛川"/>
      <sheetName val="2044_くれたけインプレミアム大垣駅前"/>
      <sheetName val="2045_クインテッサホテル大垣"/>
      <sheetName val="2046_ホテルナガシマ"/>
      <sheetName val="2048_東京イーストサイドホテル櫂会"/>
      <sheetName val="2050_二子玉川エクセルホテル東急"/>
      <sheetName val="2051_東京ベイ潮見プリンスホテル"/>
      <sheetName val="3000_ルートイン愛知東郷町"/>
      <sheetName val="3001-_グランドニッコー東京　台場"/>
      <sheetName val="3002-_長島温泉ガーデンホテルオリーブ"/>
      <sheetName val="3003-_長島温泉 ホテル花水木"/>
      <sheetName val="3004-_東横イン富士山三島駅"/>
      <sheetName val="3005-_アパホテル新大阪駅前"/>
      <sheetName val="3006-_アパホテル＆リゾート東京ベイ潮見"/>
      <sheetName val="-_東横イン浜松駅北口"/>
      <sheetName val="-_オースタット国際ホテル多治見"/>
      <sheetName val="-_THE OKURA TOKYO"/>
      <sheetName val="-_帝国ホテル　東京"/>
      <sheetName val="-_東横イン京都四条烏丸"/>
      <sheetName val="-_東横イン大阪なんば日本橋"/>
      <sheetName val="-_東横イン神戸三ノ宮1"/>
      <sheetName val="-_ホテルイースト21東京"/>
      <sheetName val="オリジナル"/>
      <sheetName val="マスター1_項目コード"/>
      <sheetName val="マスター2_施設情報"/>
      <sheetName val="ボツ債務負担行為積算 "/>
    </sheetNames>
    <sheetDataSet>
      <sheetData sheetId="0"/>
      <sheetData sheetId="1">
        <row r="22">
          <cell r="C22">
            <v>8762124192</v>
          </cell>
        </row>
      </sheetData>
      <sheetData sheetId="2">
        <row r="4">
          <cell r="C4">
            <v>33756.68006176599</v>
          </cell>
          <cell r="D4">
            <v>11937</v>
          </cell>
          <cell r="E4">
            <v>32</v>
          </cell>
          <cell r="F4">
            <v>12894511676.713619</v>
          </cell>
          <cell r="G4">
            <v>1.22</v>
          </cell>
          <cell r="H4">
            <v>15731304246</v>
          </cell>
          <cell r="I4">
            <v>15731304246</v>
          </cell>
          <cell r="J4"/>
          <cell r="K4">
            <v>8762124192</v>
          </cell>
          <cell r="L4">
            <v>10689791514.24</v>
          </cell>
        </row>
        <row r="5">
          <cell r="C5">
            <v>35104.891152886055</v>
          </cell>
          <cell r="D5">
            <v>9962</v>
          </cell>
          <cell r="E5">
            <v>32</v>
          </cell>
          <cell r="F5">
            <v>11190877621.281628</v>
          </cell>
          <cell r="G5">
            <v>1.22</v>
          </cell>
          <cell r="H5">
            <v>13652870698</v>
          </cell>
          <cell r="I5">
            <v>13652870698</v>
          </cell>
          <cell r="J5" t="str">
            <v>不要？</v>
          </cell>
          <cell r="K5">
            <v>7859948168</v>
          </cell>
          <cell r="L5">
            <v>9589136764.9599991</v>
          </cell>
        </row>
        <row r="6">
          <cell r="C6">
            <v>104002.92796907018</v>
          </cell>
          <cell r="D6">
            <v>1645</v>
          </cell>
          <cell r="E6">
            <v>32</v>
          </cell>
          <cell r="F6">
            <v>5474714128.2918539</v>
          </cell>
          <cell r="G6">
            <v>1.22</v>
          </cell>
          <cell r="H6">
            <v>6679151237</v>
          </cell>
          <cell r="I6">
            <v>20710310555</v>
          </cell>
          <cell r="J6"/>
          <cell r="K6">
            <v>3701286602.1386881</v>
          </cell>
          <cell r="L6">
            <v>4515569654.6091995</v>
          </cell>
        </row>
        <row r="7">
          <cell r="C7">
            <v>48153.528237378385</v>
          </cell>
          <cell r="D7">
            <v>2560</v>
          </cell>
          <cell r="E7">
            <v>32</v>
          </cell>
          <cell r="F7">
            <v>3944737033.2060375</v>
          </cell>
          <cell r="G7">
            <v>1.22</v>
          </cell>
          <cell r="H7">
            <v>4812579181</v>
          </cell>
          <cell r="J7"/>
          <cell r="K7">
            <v>2385760498.811594</v>
          </cell>
          <cell r="L7">
            <v>2910627808.5501447</v>
          </cell>
        </row>
        <row r="8">
          <cell r="C8">
            <v>67393.896602434077</v>
          </cell>
          <cell r="D8">
            <v>286</v>
          </cell>
          <cell r="E8">
            <v>36</v>
          </cell>
          <cell r="F8">
            <v>693887559.41866124</v>
          </cell>
          <cell r="G8">
            <v>1.22</v>
          </cell>
          <cell r="H8">
            <v>846542823</v>
          </cell>
          <cell r="J8"/>
          <cell r="K8">
            <v>719947332</v>
          </cell>
          <cell r="L8">
            <v>878335745.03999996</v>
          </cell>
        </row>
        <row r="9">
          <cell r="C9">
            <v>25177.548217762269</v>
          </cell>
          <cell r="D9">
            <v>3000</v>
          </cell>
          <cell r="E9">
            <v>32</v>
          </cell>
          <cell r="F9">
            <v>2417044628.9051776</v>
          </cell>
          <cell r="G9">
            <v>1.22</v>
          </cell>
          <cell r="H9">
            <v>2948794448</v>
          </cell>
          <cell r="J9"/>
          <cell r="K9">
            <v>2055749958.4638913</v>
          </cell>
          <cell r="L9">
            <v>2508014949.3259473</v>
          </cell>
        </row>
        <row r="10">
          <cell r="C10">
            <v>34913.680110890979</v>
          </cell>
          <cell r="D10">
            <v>3354</v>
          </cell>
          <cell r="E10">
            <v>32</v>
          </cell>
          <cell r="F10">
            <v>3747215458.9417071</v>
          </cell>
          <cell r="G10">
            <v>1.22</v>
          </cell>
          <cell r="H10">
            <v>4571602860</v>
          </cell>
          <cell r="K10">
            <v>1124950544.6765776</v>
          </cell>
          <cell r="L10">
            <v>1372439664.5054245</v>
          </cell>
        </row>
        <row r="11">
          <cell r="C11">
            <v>43282.835946779458</v>
          </cell>
          <cell r="D11">
            <v>504</v>
          </cell>
          <cell r="E11">
            <v>32</v>
          </cell>
          <cell r="F11">
            <v>698065578.14965916</v>
          </cell>
          <cell r="G11">
            <v>1.22</v>
          </cell>
          <cell r="H11">
            <v>851640006</v>
          </cell>
          <cell r="K11">
            <v>457682948.48613292</v>
          </cell>
          <cell r="L11">
            <v>558373197.15308213</v>
          </cell>
        </row>
        <row r="12">
          <cell r="C12">
            <v>48113.182737500872</v>
          </cell>
          <cell r="D12">
            <v>4988</v>
          </cell>
          <cell r="E12">
            <v>18</v>
          </cell>
          <cell r="F12">
            <v>4319793998.9037781</v>
          </cell>
          <cell r="G12">
            <v>1.22</v>
          </cell>
          <cell r="H12">
            <v>5270148679</v>
          </cell>
          <cell r="I12">
            <v>5270148679</v>
          </cell>
          <cell r="K12">
            <v>4245281137.5843015</v>
          </cell>
          <cell r="L12">
            <v>5179242987.8528481</v>
          </cell>
        </row>
        <row r="13">
          <cell r="C13">
            <v>48113.182737500872</v>
          </cell>
          <cell r="D13">
            <v>4988</v>
          </cell>
          <cell r="E13">
            <v>18</v>
          </cell>
          <cell r="F13">
            <v>4319793998.9037781</v>
          </cell>
          <cell r="G13">
            <v>1.22</v>
          </cell>
          <cell r="H13">
            <v>5270148679</v>
          </cell>
          <cell r="I13">
            <v>5270148679</v>
          </cell>
          <cell r="J13" t="str">
            <v>不要？</v>
          </cell>
          <cell r="K13">
            <v>4245281137.5843015</v>
          </cell>
          <cell r="L13">
            <v>5179242987.8528481</v>
          </cell>
        </row>
        <row r="14">
          <cell r="C14">
            <v>163100.01822323463</v>
          </cell>
          <cell r="D14">
            <v>370</v>
          </cell>
          <cell r="E14">
            <v>18</v>
          </cell>
          <cell r="F14">
            <v>1086246121.3667426</v>
          </cell>
          <cell r="G14">
            <v>1.22</v>
          </cell>
          <cell r="H14">
            <v>1325220269</v>
          </cell>
          <cell r="I14">
            <v>4852210296</v>
          </cell>
          <cell r="K14">
            <v>784511087.65375853</v>
          </cell>
          <cell r="L14">
            <v>957103526.93758535</v>
          </cell>
        </row>
        <row r="15">
          <cell r="C15">
            <v>62210.379825525553</v>
          </cell>
          <cell r="D15">
            <v>1560</v>
          </cell>
          <cell r="E15">
            <v>18</v>
          </cell>
          <cell r="F15">
            <v>1746867465.5007577</v>
          </cell>
          <cell r="G15">
            <v>1.22</v>
          </cell>
          <cell r="H15">
            <v>2131178308</v>
          </cell>
          <cell r="K15">
            <v>851237005.14489949</v>
          </cell>
          <cell r="L15">
            <v>1038509146.2767774</v>
          </cell>
        </row>
        <row r="16">
          <cell r="C16">
            <v>53988.663793103449</v>
          </cell>
          <cell r="D16">
            <v>116</v>
          </cell>
          <cell r="E16">
            <v>19</v>
          </cell>
          <cell r="F16">
            <v>118991015</v>
          </cell>
          <cell r="G16">
            <v>1.22</v>
          </cell>
          <cell r="H16">
            <v>145169039</v>
          </cell>
          <cell r="K16">
            <v>118991015</v>
          </cell>
          <cell r="L16">
            <v>145169038.29999998</v>
          </cell>
        </row>
        <row r="17">
          <cell r="C17">
            <v>20629.837335522443</v>
          </cell>
          <cell r="D17">
            <v>1600</v>
          </cell>
          <cell r="E17">
            <v>18</v>
          </cell>
          <cell r="F17">
            <v>594139315.26304626</v>
          </cell>
          <cell r="G17">
            <v>1.22</v>
          </cell>
          <cell r="H17">
            <v>724849965</v>
          </cell>
          <cell r="K17">
            <v>546790803.79759121</v>
          </cell>
          <cell r="L17">
            <v>667084780.63306129</v>
          </cell>
        </row>
        <row r="18">
          <cell r="C18">
            <v>23446.05186421199</v>
          </cell>
          <cell r="D18">
            <v>812</v>
          </cell>
          <cell r="E18">
            <v>18</v>
          </cell>
          <cell r="F18">
            <v>342687494.04732245</v>
          </cell>
          <cell r="G18">
            <v>1.22</v>
          </cell>
          <cell r="H18">
            <v>418078743</v>
          </cell>
          <cell r="K18">
            <v>196443986.23141339</v>
          </cell>
          <cell r="L18">
            <v>239661663.20232433</v>
          </cell>
        </row>
        <row r="19">
          <cell r="C19">
            <v>40204.982042345626</v>
          </cell>
          <cell r="D19">
            <v>122</v>
          </cell>
          <cell r="E19">
            <v>18</v>
          </cell>
          <cell r="F19">
            <v>88290140.564990997</v>
          </cell>
          <cell r="G19">
            <v>1.22</v>
          </cell>
          <cell r="H19">
            <v>107713972</v>
          </cell>
          <cell r="K19">
            <v>46172588.91794765</v>
          </cell>
          <cell r="L19">
            <v>56330558.479896128</v>
          </cell>
        </row>
        <row r="20">
          <cell r="C20" t="str">
            <v>-</v>
          </cell>
          <cell r="D20" t="str">
            <v>-</v>
          </cell>
          <cell r="E20" t="str">
            <v>-</v>
          </cell>
          <cell r="F20">
            <v>38167191614.273361</v>
          </cell>
          <cell r="G20" t="str">
            <v>-</v>
          </cell>
          <cell r="H20">
            <v>46563973776</v>
          </cell>
          <cell r="I20">
            <v>46563973776</v>
          </cell>
          <cell r="K20">
            <v>25996929700.906799</v>
          </cell>
          <cell r="L20">
            <v>31716254235.106293</v>
          </cell>
        </row>
        <row r="24">
          <cell r="C24">
            <v>535555.17040860734</v>
          </cell>
          <cell r="D24">
            <v>465</v>
          </cell>
          <cell r="E24">
            <v>33</v>
          </cell>
          <cell r="F24">
            <v>8218094089.9200792</v>
          </cell>
          <cell r="G24">
            <v>1.22</v>
          </cell>
          <cell r="H24">
            <v>10026074790</v>
          </cell>
          <cell r="I24">
            <v>10026074790</v>
          </cell>
          <cell r="J24"/>
          <cell r="K24">
            <v>4910934146</v>
          </cell>
          <cell r="L24">
            <v>5991339658.1199999</v>
          </cell>
        </row>
        <row r="25">
          <cell r="C25">
            <v>2025837.3020833333</v>
          </cell>
          <cell r="D25">
            <v>56</v>
          </cell>
          <cell r="E25">
            <v>33</v>
          </cell>
          <cell r="F25">
            <v>3743747334.25</v>
          </cell>
          <cell r="G25">
            <v>1.22</v>
          </cell>
          <cell r="H25">
            <v>4567371748</v>
          </cell>
          <cell r="I25">
            <v>6487398830</v>
          </cell>
          <cell r="J25"/>
          <cell r="K25">
            <v>1895857531</v>
          </cell>
          <cell r="L25">
            <v>2312946187.8200002</v>
          </cell>
        </row>
        <row r="26">
          <cell r="C26"/>
          <cell r="D26"/>
          <cell r="E26"/>
          <cell r="F26"/>
          <cell r="G26">
            <v>1.22</v>
          </cell>
          <cell r="H26">
            <v>0</v>
          </cell>
          <cell r="J26"/>
          <cell r="K26"/>
          <cell r="L26">
            <v>0</v>
          </cell>
        </row>
        <row r="27">
          <cell r="C27">
            <v>634849.8142857143</v>
          </cell>
          <cell r="D27">
            <v>67</v>
          </cell>
          <cell r="E27">
            <v>37</v>
          </cell>
          <cell r="F27">
            <v>1573792689.6142857</v>
          </cell>
          <cell r="G27">
            <v>1.22</v>
          </cell>
          <cell r="H27">
            <v>1920027082</v>
          </cell>
          <cell r="J27"/>
          <cell r="K27">
            <v>764465724</v>
          </cell>
          <cell r="L27">
            <v>932648183.27999997</v>
          </cell>
        </row>
        <row r="28">
          <cell r="C28">
            <v>1158248.935561944</v>
          </cell>
          <cell r="D28">
            <v>259</v>
          </cell>
          <cell r="E28">
            <v>19</v>
          </cell>
          <cell r="F28">
            <v>5699743011.9003267</v>
          </cell>
          <cell r="G28">
            <v>1.22</v>
          </cell>
          <cell r="H28">
            <v>6953686475</v>
          </cell>
          <cell r="I28">
            <v>6953686475</v>
          </cell>
          <cell r="K28">
            <v>2631128580</v>
          </cell>
          <cell r="L28">
            <v>3209976867.5999999</v>
          </cell>
        </row>
        <row r="29">
          <cell r="C29">
            <v>2529412.3125</v>
          </cell>
          <cell r="D29">
            <v>16</v>
          </cell>
          <cell r="E29">
            <v>19</v>
          </cell>
          <cell r="F29">
            <v>768941343</v>
          </cell>
          <cell r="G29">
            <v>1.22</v>
          </cell>
          <cell r="H29">
            <v>938108439</v>
          </cell>
          <cell r="I29">
            <v>1115182338</v>
          </cell>
          <cell r="K29">
            <v>526117761</v>
          </cell>
          <cell r="L29">
            <v>641863668.41999996</v>
          </cell>
        </row>
        <row r="30">
          <cell r="C30">
            <v>1036732.4285714285</v>
          </cell>
          <cell r="D30">
            <v>7</v>
          </cell>
          <cell r="E30">
            <v>20</v>
          </cell>
          <cell r="F30">
            <v>145142540</v>
          </cell>
          <cell r="G30">
            <v>1.22</v>
          </cell>
          <cell r="H30">
            <v>177073899</v>
          </cell>
          <cell r="K30">
            <v>137885413</v>
          </cell>
          <cell r="L30">
            <v>168220203.85999998</v>
          </cell>
        </row>
        <row r="31">
          <cell r="C31" t="str">
            <v>-</v>
          </cell>
          <cell r="D31" t="str">
            <v>-</v>
          </cell>
          <cell r="E31" t="str">
            <v>-</v>
          </cell>
          <cell r="F31">
            <v>20149461008.684692</v>
          </cell>
          <cell r="G31" t="str">
            <v>-</v>
          </cell>
          <cell r="H31">
            <v>24582342433</v>
          </cell>
          <cell r="I31">
            <v>24582342433</v>
          </cell>
          <cell r="K31">
            <v>10866389155</v>
          </cell>
          <cell r="L31">
            <v>13256994769.100002</v>
          </cell>
        </row>
        <row r="36">
          <cell r="I36">
            <v>52955088421</v>
          </cell>
        </row>
        <row r="37">
          <cell r="I37">
            <v>18191227788</v>
          </cell>
        </row>
        <row r="38">
          <cell r="I38">
            <v>71146316209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406総長説明用】アジア選手団宿泊施設想定"/>
      <sheetName val="没"/>
      <sheetName val="①配宿シュミレーション(15,000人ver)"/>
      <sheetName val="競技情報DB(15,000人ver)"/>
      <sheetName val="②配宿シュミレーション(12,000人ver)"/>
      <sheetName val="競技情報DB(12,000人ver)"/>
      <sheetName val="宿泊施設DB"/>
      <sheetName val="和風旅館まとめ"/>
      <sheetName val="【個別検討①】蒲郡(西浦)温泉郷"/>
      <sheetName val="【個別検討②】バレーボール"/>
      <sheetName val="【個別検討②’】岡崎会場施設候補エリア図"/>
      <sheetName val="【個別検討③】サッカー日程（15,000・12,000共通)"/>
      <sheetName val="【個別検討③'】サッカー配宿施設整理"/>
      <sheetName val="パラ4,000人ver(20240606時点)"/>
      <sheetName val="【アジア】競技団体等要望とりまとめ"/>
      <sheetName val="【アジアパラ】競技団体等要望とりまとめ"/>
      <sheetName val="【参考】計量・サウナに係る競技課ヒアリング"/>
    </sheetNames>
    <sheetDataSet>
      <sheetData sheetId="0"/>
      <sheetData sheetId="1"/>
      <sheetData sheetId="2"/>
      <sheetData sheetId="3">
        <row r="114">
          <cell r="D114">
            <v>13819</v>
          </cell>
          <cell r="E114">
            <v>0</v>
          </cell>
          <cell r="F114">
            <v>0</v>
          </cell>
          <cell r="G114">
            <v>0</v>
          </cell>
          <cell r="H114">
            <v>323</v>
          </cell>
          <cell r="I114">
            <v>587</v>
          </cell>
          <cell r="J114">
            <v>1247</v>
          </cell>
          <cell r="K114">
            <v>2219</v>
          </cell>
          <cell r="L114">
            <v>2282</v>
          </cell>
          <cell r="M114">
            <v>2624</v>
          </cell>
          <cell r="N114">
            <v>3565</v>
          </cell>
          <cell r="O114">
            <v>3565</v>
          </cell>
          <cell r="P114">
            <v>7623</v>
          </cell>
          <cell r="Q114">
            <v>8395</v>
          </cell>
          <cell r="R114">
            <v>8761</v>
          </cell>
          <cell r="S114">
            <v>9364</v>
          </cell>
          <cell r="T114">
            <v>10996</v>
          </cell>
          <cell r="U114">
            <v>11110</v>
          </cell>
          <cell r="V114">
            <v>11741</v>
          </cell>
          <cell r="W114">
            <v>12426</v>
          </cell>
          <cell r="X114">
            <v>12913</v>
          </cell>
          <cell r="Y114">
            <v>13293</v>
          </cell>
          <cell r="Z114">
            <v>13536</v>
          </cell>
          <cell r="AA114">
            <v>12898</v>
          </cell>
          <cell r="AB114">
            <v>12885</v>
          </cell>
          <cell r="AC114">
            <v>12214</v>
          </cell>
          <cell r="AD114">
            <v>11538</v>
          </cell>
          <cell r="AE114">
            <v>10773</v>
          </cell>
          <cell r="AF114">
            <v>10021</v>
          </cell>
          <cell r="AG114">
            <v>7781</v>
          </cell>
          <cell r="AH114">
            <v>7058</v>
          </cell>
          <cell r="AI114">
            <v>6746</v>
          </cell>
          <cell r="AJ114">
            <v>5158</v>
          </cell>
          <cell r="AK114">
            <v>954</v>
          </cell>
          <cell r="AL114">
            <v>0</v>
          </cell>
          <cell r="AM114">
            <v>0</v>
          </cell>
        </row>
      </sheetData>
      <sheetData sheetId="4"/>
      <sheetData sheetId="5">
        <row r="99">
          <cell r="D99">
            <v>11189</v>
          </cell>
          <cell r="E99">
            <v>0</v>
          </cell>
          <cell r="F99">
            <v>0</v>
          </cell>
          <cell r="G99">
            <v>0</v>
          </cell>
          <cell r="H99">
            <v>263</v>
          </cell>
          <cell r="I99">
            <v>527</v>
          </cell>
          <cell r="J99">
            <v>1187</v>
          </cell>
          <cell r="K99">
            <v>1961</v>
          </cell>
          <cell r="L99">
            <v>2012</v>
          </cell>
          <cell r="M99">
            <v>2264</v>
          </cell>
          <cell r="N99">
            <v>3146</v>
          </cell>
          <cell r="O99">
            <v>3146</v>
          </cell>
          <cell r="P99">
            <v>6376</v>
          </cell>
          <cell r="Q99">
            <v>7017</v>
          </cell>
          <cell r="R99">
            <v>7278</v>
          </cell>
          <cell r="S99">
            <v>7774</v>
          </cell>
          <cell r="T99">
            <v>9082</v>
          </cell>
          <cell r="U99">
            <v>9189</v>
          </cell>
          <cell r="V99">
            <v>9702</v>
          </cell>
          <cell r="W99">
            <v>10238</v>
          </cell>
          <cell r="X99">
            <v>10636</v>
          </cell>
          <cell r="Y99">
            <v>10936</v>
          </cell>
          <cell r="Z99">
            <v>11028</v>
          </cell>
          <cell r="AA99">
            <v>10483</v>
          </cell>
          <cell r="AB99">
            <v>10471</v>
          </cell>
          <cell r="AC99">
            <v>9924</v>
          </cell>
          <cell r="AD99">
            <v>9339</v>
          </cell>
          <cell r="AE99">
            <v>8715</v>
          </cell>
          <cell r="AF99">
            <v>8091</v>
          </cell>
          <cell r="AG99">
            <v>6074</v>
          </cell>
          <cell r="AH99">
            <v>5498</v>
          </cell>
          <cell r="AI99">
            <v>5498</v>
          </cell>
          <cell r="AJ99">
            <v>4239</v>
          </cell>
          <cell r="AK99">
            <v>782</v>
          </cell>
          <cell r="AL99">
            <v>0</v>
          </cell>
          <cell r="AM99">
            <v>0</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406総長説明用】アジア選手団宿泊施設想定"/>
      <sheetName val="没"/>
      <sheetName val="①配宿シュミレーション(15,000人ver)"/>
      <sheetName val="競技情報DB(15,000人ver)"/>
      <sheetName val="2回転検討用"/>
      <sheetName val="競技人数積算"/>
      <sheetName val="【202408財政見通し見直し用】アジア競技大会選手団 (2)"/>
      <sheetName val="botu 【202408財政見通し見直し用】"/>
      <sheetName val="②配宿シュミレーション(12,000人ver)"/>
      <sheetName val="競技情報DB(12,000人ver)"/>
      <sheetName val="宿泊施設DB"/>
      <sheetName val="和風旅館まとめ"/>
      <sheetName val="【個別検討①】蒲郡(西浦)温泉郷"/>
      <sheetName val="【個別検討②】バレーボール"/>
      <sheetName val="【個別検討②’】岡崎会場施設候補エリア図"/>
      <sheetName val="【個別検討③】サッカー日程（15,000・12,000共通)"/>
      <sheetName val="【20240820】サッカー日程（男子16女子16） (2)"/>
      <sheetName val="【個別検討③'】サッカー配宿施設整理"/>
      <sheetName val="パラ4,000人ver(20240606時点)"/>
      <sheetName val="【アジア】競技団体等要望とりまとめ"/>
      <sheetName val="【アジアパラ】競技団体等要望とりまとめ"/>
      <sheetName val="【参考】計量・サウナに係る競技課ヒアリング"/>
    </sheetNames>
    <sheetDataSet>
      <sheetData sheetId="0"/>
      <sheetData sheetId="1"/>
      <sheetData sheetId="2"/>
      <sheetData sheetId="3">
        <row r="112">
          <cell r="E112">
            <v>0</v>
          </cell>
          <cell r="F112">
            <v>0</v>
          </cell>
          <cell r="G112">
            <v>0</v>
          </cell>
          <cell r="H112">
            <v>0</v>
          </cell>
          <cell r="I112">
            <v>0</v>
          </cell>
          <cell r="J112">
            <v>1056</v>
          </cell>
          <cell r="K112">
            <v>1056</v>
          </cell>
          <cell r="L112">
            <v>1056</v>
          </cell>
          <cell r="M112">
            <v>1794</v>
          </cell>
          <cell r="N112">
            <v>1866</v>
          </cell>
          <cell r="O112">
            <v>2064</v>
          </cell>
          <cell r="P112">
            <v>3131</v>
          </cell>
          <cell r="Q112">
            <v>3281</v>
          </cell>
          <cell r="R112">
            <v>7557</v>
          </cell>
          <cell r="S112">
            <v>8637</v>
          </cell>
          <cell r="T112">
            <v>9548</v>
          </cell>
          <cell r="U112">
            <v>10493</v>
          </cell>
          <cell r="V112">
            <v>12127</v>
          </cell>
          <cell r="W112">
            <v>12231</v>
          </cell>
          <cell r="X112">
            <v>12977</v>
          </cell>
          <cell r="Y112">
            <v>13719</v>
          </cell>
          <cell r="Z112">
            <v>13219</v>
          </cell>
          <cell r="AA112">
            <v>12985</v>
          </cell>
          <cell r="AB112">
            <v>12093</v>
          </cell>
          <cell r="AC112">
            <v>12465</v>
          </cell>
          <cell r="AD112">
            <v>11337</v>
          </cell>
          <cell r="AE112">
            <v>11205</v>
          </cell>
          <cell r="AF112">
            <v>8113</v>
          </cell>
          <cell r="AG112">
            <v>7300</v>
          </cell>
          <cell r="AH112">
            <v>6844</v>
          </cell>
          <cell r="AI112">
            <v>5945</v>
          </cell>
          <cell r="AJ112">
            <v>24</v>
          </cell>
          <cell r="AK112">
            <v>0</v>
          </cell>
          <cell r="AL112">
            <v>0</v>
          </cell>
          <cell r="AM112">
            <v>0</v>
          </cell>
        </row>
      </sheetData>
      <sheetData sheetId="4"/>
      <sheetData sheetId="5"/>
      <sheetData sheetId="6"/>
      <sheetData sheetId="7"/>
      <sheetData sheetId="8">
        <row r="6">
          <cell r="AO6"/>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row>
        <row r="7">
          <cell r="AO7"/>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row>
        <row r="8">
          <cell r="AO8"/>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row>
        <row r="9">
          <cell r="AO9"/>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row>
        <row r="10">
          <cell r="AO10" t="str">
            <v>リッチモンドホテル名古屋納屋橋　合計</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row>
        <row r="11">
          <cell r="AO11"/>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row>
        <row r="12">
          <cell r="AO12"/>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row>
        <row r="13">
          <cell r="AO13"/>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row>
        <row r="14">
          <cell r="AO14"/>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row>
        <row r="15">
          <cell r="AO15" t="str">
            <v>サイプレス　ガーデンホテル　合計</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row>
        <row r="16">
          <cell r="AO16"/>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row>
        <row r="17">
          <cell r="AO17"/>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row>
        <row r="18">
          <cell r="AO18"/>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row>
        <row r="19">
          <cell r="AO19"/>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row>
        <row r="20">
          <cell r="AO20" t="str">
            <v>ニッコースタイル名古屋　合計</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row>
        <row r="21">
          <cell r="AO21"/>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row>
        <row r="22">
          <cell r="AO22"/>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row>
        <row r="23">
          <cell r="AO23"/>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row>
        <row r="24">
          <cell r="AO24"/>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row>
        <row r="25">
          <cell r="AO25" t="str">
            <v>アイリス 愛知　合計</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row>
        <row r="26">
          <cell r="AO26"/>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row>
        <row r="27">
          <cell r="AO27"/>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row>
        <row r="28">
          <cell r="AO28"/>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row>
        <row r="29">
          <cell r="AO29"/>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row>
        <row r="30">
          <cell r="AO30" t="str">
            <v>邦和セミナープラザ　合計</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row>
        <row r="31">
          <cell r="AO31"/>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row>
        <row r="32">
          <cell r="AO32"/>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row>
        <row r="33">
          <cell r="AO33"/>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row>
        <row r="34">
          <cell r="AO34"/>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row>
        <row r="35">
          <cell r="AO35" t="str">
            <v>JICA中部　合計</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row>
        <row r="36">
          <cell r="AO36"/>
          <cell r="AP36">
            <v>0</v>
          </cell>
          <cell r="AQ36">
            <v>0</v>
          </cell>
          <cell r="AR36">
            <v>0</v>
          </cell>
          <cell r="AS36">
            <v>0</v>
          </cell>
          <cell r="AT36">
            <v>0</v>
          </cell>
          <cell r="AU36">
            <v>0</v>
          </cell>
          <cell r="AV36">
            <v>58</v>
          </cell>
          <cell r="AW36">
            <v>116</v>
          </cell>
          <cell r="AX36">
            <v>116</v>
          </cell>
          <cell r="AY36">
            <v>116</v>
          </cell>
          <cell r="AZ36">
            <v>116</v>
          </cell>
          <cell r="BA36">
            <v>116</v>
          </cell>
          <cell r="BB36">
            <v>116</v>
          </cell>
          <cell r="BC36">
            <v>116</v>
          </cell>
          <cell r="BD36">
            <v>116</v>
          </cell>
          <cell r="BE36">
            <v>116</v>
          </cell>
          <cell r="BF36">
            <v>116</v>
          </cell>
          <cell r="BG36">
            <v>116</v>
          </cell>
          <cell r="BH36">
            <v>116</v>
          </cell>
          <cell r="BI36">
            <v>58</v>
          </cell>
          <cell r="BJ36">
            <v>58</v>
          </cell>
          <cell r="BK36">
            <v>58</v>
          </cell>
          <cell r="BL36">
            <v>58</v>
          </cell>
          <cell r="BM36">
            <v>0</v>
          </cell>
          <cell r="BN36">
            <v>0</v>
          </cell>
          <cell r="BO36">
            <v>0</v>
          </cell>
          <cell r="BP36">
            <v>0</v>
          </cell>
          <cell r="BQ36">
            <v>0</v>
          </cell>
          <cell r="BR36">
            <v>0</v>
          </cell>
          <cell r="BS36">
            <v>0</v>
          </cell>
          <cell r="BT36">
            <v>0</v>
          </cell>
          <cell r="BU36">
            <v>0</v>
          </cell>
          <cell r="BV36">
            <v>0</v>
          </cell>
          <cell r="BW36">
            <v>0</v>
          </cell>
          <cell r="BX36">
            <v>0</v>
          </cell>
        </row>
        <row r="37">
          <cell r="AO37"/>
          <cell r="AP37">
            <v>0</v>
          </cell>
          <cell r="AQ37">
            <v>0</v>
          </cell>
          <cell r="AR37">
            <v>0</v>
          </cell>
          <cell r="AS37">
            <v>0</v>
          </cell>
          <cell r="AT37">
            <v>0</v>
          </cell>
          <cell r="AU37">
            <v>0</v>
          </cell>
          <cell r="AV37">
            <v>0</v>
          </cell>
          <cell r="AW37">
            <v>116</v>
          </cell>
          <cell r="AX37">
            <v>116</v>
          </cell>
          <cell r="AY37">
            <v>116</v>
          </cell>
          <cell r="AZ37">
            <v>116</v>
          </cell>
          <cell r="BA37">
            <v>116</v>
          </cell>
          <cell r="BB37">
            <v>116</v>
          </cell>
          <cell r="BC37">
            <v>116</v>
          </cell>
          <cell r="BD37">
            <v>116</v>
          </cell>
          <cell r="BE37">
            <v>116</v>
          </cell>
          <cell r="BF37">
            <v>116</v>
          </cell>
          <cell r="BG37">
            <v>116</v>
          </cell>
          <cell r="BH37">
            <v>116</v>
          </cell>
          <cell r="BI37">
            <v>116</v>
          </cell>
          <cell r="BJ37">
            <v>116</v>
          </cell>
          <cell r="BK37">
            <v>116</v>
          </cell>
          <cell r="BL37">
            <v>116</v>
          </cell>
          <cell r="BM37">
            <v>116</v>
          </cell>
          <cell r="BN37">
            <v>0</v>
          </cell>
          <cell r="BO37">
            <v>0</v>
          </cell>
          <cell r="BP37">
            <v>0</v>
          </cell>
          <cell r="BQ37">
            <v>0</v>
          </cell>
          <cell r="BR37">
            <v>0</v>
          </cell>
          <cell r="BS37">
            <v>0</v>
          </cell>
          <cell r="BT37">
            <v>0</v>
          </cell>
          <cell r="BU37">
            <v>0</v>
          </cell>
          <cell r="BV37">
            <v>0</v>
          </cell>
          <cell r="BW37">
            <v>0</v>
          </cell>
          <cell r="BX37">
            <v>0</v>
          </cell>
        </row>
        <row r="38">
          <cell r="AO38"/>
          <cell r="AP38">
            <v>0</v>
          </cell>
          <cell r="AQ38">
            <v>0</v>
          </cell>
          <cell r="AR38">
            <v>0</v>
          </cell>
          <cell r="AS38">
            <v>0</v>
          </cell>
          <cell r="AT38">
            <v>0</v>
          </cell>
          <cell r="AU38">
            <v>0</v>
          </cell>
          <cell r="AV38">
            <v>58</v>
          </cell>
          <cell r="AW38">
            <v>116</v>
          </cell>
          <cell r="AX38">
            <v>116</v>
          </cell>
          <cell r="AY38">
            <v>116</v>
          </cell>
          <cell r="AZ38">
            <v>116</v>
          </cell>
          <cell r="BA38">
            <v>116</v>
          </cell>
          <cell r="BB38">
            <v>116</v>
          </cell>
          <cell r="BC38">
            <v>116</v>
          </cell>
          <cell r="BD38">
            <v>116</v>
          </cell>
          <cell r="BE38">
            <v>116</v>
          </cell>
          <cell r="BF38">
            <v>116</v>
          </cell>
          <cell r="BG38">
            <v>116</v>
          </cell>
          <cell r="BH38">
            <v>66</v>
          </cell>
          <cell r="BI38">
            <v>58</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row>
        <row r="39">
          <cell r="AO39"/>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row>
        <row r="40">
          <cell r="AO40" t="str">
            <v>ANAクラウンプラザホテル　グランコート名古屋　合計</v>
          </cell>
          <cell r="AP40">
            <v>0</v>
          </cell>
          <cell r="AQ40">
            <v>0</v>
          </cell>
          <cell r="AR40">
            <v>0</v>
          </cell>
          <cell r="AS40">
            <v>0</v>
          </cell>
          <cell r="AT40">
            <v>0</v>
          </cell>
          <cell r="AU40">
            <v>0</v>
          </cell>
          <cell r="AV40">
            <v>116</v>
          </cell>
          <cell r="AW40">
            <v>348</v>
          </cell>
          <cell r="AX40">
            <v>348</v>
          </cell>
          <cell r="AY40">
            <v>348</v>
          </cell>
          <cell r="AZ40">
            <v>348</v>
          </cell>
          <cell r="BA40">
            <v>348</v>
          </cell>
          <cell r="BB40">
            <v>348</v>
          </cell>
          <cell r="BC40">
            <v>348</v>
          </cell>
          <cell r="BD40">
            <v>348</v>
          </cell>
          <cell r="BE40">
            <v>348</v>
          </cell>
          <cell r="BF40">
            <v>348</v>
          </cell>
          <cell r="BG40">
            <v>348</v>
          </cell>
          <cell r="BH40">
            <v>298</v>
          </cell>
          <cell r="BI40">
            <v>232</v>
          </cell>
          <cell r="BJ40">
            <v>174</v>
          </cell>
          <cell r="BK40">
            <v>174</v>
          </cell>
          <cell r="BL40">
            <v>174</v>
          </cell>
          <cell r="BM40">
            <v>116</v>
          </cell>
          <cell r="BN40">
            <v>0</v>
          </cell>
          <cell r="BO40">
            <v>0</v>
          </cell>
          <cell r="BP40">
            <v>0</v>
          </cell>
          <cell r="BQ40">
            <v>0</v>
          </cell>
          <cell r="BR40">
            <v>0</v>
          </cell>
          <cell r="BS40">
            <v>0</v>
          </cell>
          <cell r="BT40">
            <v>0</v>
          </cell>
          <cell r="BU40">
            <v>0</v>
          </cell>
          <cell r="BV40">
            <v>0</v>
          </cell>
          <cell r="BW40">
            <v>0</v>
          </cell>
          <cell r="BX40">
            <v>0</v>
          </cell>
        </row>
        <row r="41">
          <cell r="AO41"/>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row>
        <row r="42">
          <cell r="AO42"/>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row>
        <row r="43">
          <cell r="AO43"/>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row>
        <row r="44">
          <cell r="AO44"/>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row>
        <row r="45">
          <cell r="AO45" t="str">
            <v>くれたけインプレミアム名古屋納屋橋　合計</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row>
        <row r="46">
          <cell r="AO46"/>
          <cell r="AP46">
            <v>0</v>
          </cell>
          <cell r="AQ46">
            <v>0</v>
          </cell>
          <cell r="AR46">
            <v>0</v>
          </cell>
          <cell r="AS46">
            <v>0</v>
          </cell>
          <cell r="AT46">
            <v>0</v>
          </cell>
          <cell r="AU46">
            <v>0</v>
          </cell>
          <cell r="AV46">
            <v>0</v>
          </cell>
          <cell r="AW46">
            <v>0</v>
          </cell>
          <cell r="AX46">
            <v>0</v>
          </cell>
          <cell r="AY46">
            <v>0</v>
          </cell>
          <cell r="AZ46">
            <v>0</v>
          </cell>
          <cell r="BA46">
            <v>0</v>
          </cell>
          <cell r="BB46">
            <v>273</v>
          </cell>
          <cell r="BC46">
            <v>273</v>
          </cell>
          <cell r="BD46">
            <v>273</v>
          </cell>
          <cell r="BE46">
            <v>273</v>
          </cell>
          <cell r="BF46">
            <v>273</v>
          </cell>
          <cell r="BG46">
            <v>273</v>
          </cell>
          <cell r="BH46">
            <v>273</v>
          </cell>
          <cell r="BI46">
            <v>273</v>
          </cell>
          <cell r="BJ46">
            <v>273</v>
          </cell>
          <cell r="BK46">
            <v>273</v>
          </cell>
          <cell r="BL46">
            <v>273</v>
          </cell>
          <cell r="BM46">
            <v>273</v>
          </cell>
          <cell r="BN46">
            <v>273</v>
          </cell>
          <cell r="BO46">
            <v>273</v>
          </cell>
          <cell r="BP46">
            <v>273</v>
          </cell>
          <cell r="BQ46">
            <v>0</v>
          </cell>
          <cell r="BR46">
            <v>0</v>
          </cell>
          <cell r="BS46">
            <v>0</v>
          </cell>
          <cell r="BT46">
            <v>0</v>
          </cell>
          <cell r="BU46">
            <v>0</v>
          </cell>
          <cell r="BV46">
            <v>0</v>
          </cell>
          <cell r="BW46">
            <v>0</v>
          </cell>
          <cell r="BX46">
            <v>0</v>
          </cell>
        </row>
        <row r="47">
          <cell r="AO47"/>
          <cell r="AP47">
            <v>0</v>
          </cell>
          <cell r="AQ47">
            <v>0</v>
          </cell>
          <cell r="AR47">
            <v>0</v>
          </cell>
          <cell r="AS47">
            <v>0</v>
          </cell>
          <cell r="AT47">
            <v>0</v>
          </cell>
          <cell r="AU47">
            <v>0</v>
          </cell>
          <cell r="AV47">
            <v>0</v>
          </cell>
          <cell r="AW47">
            <v>0</v>
          </cell>
          <cell r="AX47">
            <v>0</v>
          </cell>
          <cell r="AY47">
            <v>0</v>
          </cell>
          <cell r="AZ47">
            <v>0</v>
          </cell>
          <cell r="BA47">
            <v>0</v>
          </cell>
          <cell r="BB47">
            <v>36</v>
          </cell>
          <cell r="BC47">
            <v>36</v>
          </cell>
          <cell r="BD47">
            <v>36</v>
          </cell>
          <cell r="BE47">
            <v>36</v>
          </cell>
          <cell r="BF47">
            <v>36</v>
          </cell>
          <cell r="BG47">
            <v>36</v>
          </cell>
          <cell r="BH47">
            <v>36</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row>
        <row r="48">
          <cell r="AO48"/>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row>
        <row r="49">
          <cell r="AO49"/>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row>
        <row r="50">
          <cell r="AO50" t="str">
            <v>ベッセルホテルカンパーナ名古屋　合計</v>
          </cell>
          <cell r="AP50">
            <v>0</v>
          </cell>
          <cell r="AQ50">
            <v>0</v>
          </cell>
          <cell r="AR50">
            <v>0</v>
          </cell>
          <cell r="AS50">
            <v>0</v>
          </cell>
          <cell r="AT50">
            <v>0</v>
          </cell>
          <cell r="AU50">
            <v>0</v>
          </cell>
          <cell r="AV50">
            <v>0</v>
          </cell>
          <cell r="AW50">
            <v>0</v>
          </cell>
          <cell r="AX50">
            <v>0</v>
          </cell>
          <cell r="AY50">
            <v>0</v>
          </cell>
          <cell r="AZ50">
            <v>0</v>
          </cell>
          <cell r="BA50">
            <v>0</v>
          </cell>
          <cell r="BB50">
            <v>309</v>
          </cell>
          <cell r="BC50">
            <v>309</v>
          </cell>
          <cell r="BD50">
            <v>309</v>
          </cell>
          <cell r="BE50">
            <v>309</v>
          </cell>
          <cell r="BF50">
            <v>309</v>
          </cell>
          <cell r="BG50">
            <v>309</v>
          </cell>
          <cell r="BH50">
            <v>309</v>
          </cell>
          <cell r="BI50">
            <v>273</v>
          </cell>
          <cell r="BJ50">
            <v>273</v>
          </cell>
          <cell r="BK50">
            <v>273</v>
          </cell>
          <cell r="BL50">
            <v>273</v>
          </cell>
          <cell r="BM50">
            <v>273</v>
          </cell>
          <cell r="BN50">
            <v>273</v>
          </cell>
          <cell r="BO50">
            <v>273</v>
          </cell>
          <cell r="BP50">
            <v>273</v>
          </cell>
          <cell r="BQ50">
            <v>0</v>
          </cell>
          <cell r="BR50">
            <v>0</v>
          </cell>
          <cell r="BS50">
            <v>0</v>
          </cell>
          <cell r="BT50">
            <v>0</v>
          </cell>
          <cell r="BU50">
            <v>0</v>
          </cell>
          <cell r="BV50">
            <v>0</v>
          </cell>
          <cell r="BW50">
            <v>0</v>
          </cell>
          <cell r="BX50">
            <v>0</v>
          </cell>
        </row>
        <row r="51">
          <cell r="AO51"/>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row>
        <row r="52">
          <cell r="AO52"/>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row>
        <row r="53">
          <cell r="AO53"/>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row>
        <row r="54">
          <cell r="AO54"/>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row>
        <row r="55">
          <cell r="AO55" t="str">
            <v>アパホテル＜名古屋駅前＞　合計</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row>
        <row r="56">
          <cell r="AO56"/>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row>
        <row r="57">
          <cell r="AO57"/>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row>
        <row r="58">
          <cell r="AO58"/>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row>
        <row r="59">
          <cell r="AO59"/>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row>
        <row r="60">
          <cell r="AO60" t="str">
            <v>アパホテル＜名古屋駅前北＞　合計</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row>
        <row r="61">
          <cell r="AO61"/>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row>
        <row r="62">
          <cell r="AO62"/>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row>
        <row r="63">
          <cell r="AO63"/>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row>
        <row r="64">
          <cell r="AO64"/>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row>
        <row r="65">
          <cell r="AO65" t="str">
            <v>名鉄イン名古屋駅新幹線口　合計</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row>
        <row r="66">
          <cell r="AO66"/>
          <cell r="AP66">
            <v>0</v>
          </cell>
          <cell r="AQ66">
            <v>0</v>
          </cell>
          <cell r="AR66">
            <v>0</v>
          </cell>
          <cell r="AS66">
            <v>0</v>
          </cell>
          <cell r="AT66">
            <v>0</v>
          </cell>
          <cell r="AU66">
            <v>0</v>
          </cell>
          <cell r="AV66">
            <v>58</v>
          </cell>
          <cell r="AW66">
            <v>116</v>
          </cell>
          <cell r="AX66">
            <v>116</v>
          </cell>
          <cell r="AY66">
            <v>116</v>
          </cell>
          <cell r="AZ66">
            <v>116</v>
          </cell>
          <cell r="BA66">
            <v>116</v>
          </cell>
          <cell r="BB66">
            <v>116</v>
          </cell>
          <cell r="BC66">
            <v>116</v>
          </cell>
          <cell r="BD66">
            <v>116</v>
          </cell>
          <cell r="BE66">
            <v>116</v>
          </cell>
          <cell r="BF66">
            <v>116</v>
          </cell>
          <cell r="BG66">
            <v>116</v>
          </cell>
          <cell r="BH66">
            <v>116</v>
          </cell>
          <cell r="BI66">
            <v>58</v>
          </cell>
          <cell r="BJ66">
            <v>58</v>
          </cell>
          <cell r="BK66">
            <v>58</v>
          </cell>
          <cell r="BL66">
            <v>58</v>
          </cell>
          <cell r="BM66">
            <v>0</v>
          </cell>
          <cell r="BN66">
            <v>0</v>
          </cell>
          <cell r="BO66">
            <v>0</v>
          </cell>
          <cell r="BP66">
            <v>0</v>
          </cell>
          <cell r="BQ66">
            <v>0</v>
          </cell>
          <cell r="BR66">
            <v>0</v>
          </cell>
          <cell r="BS66">
            <v>0</v>
          </cell>
          <cell r="BT66">
            <v>0</v>
          </cell>
          <cell r="BU66">
            <v>0</v>
          </cell>
          <cell r="BV66">
            <v>0</v>
          </cell>
          <cell r="BW66">
            <v>0</v>
          </cell>
          <cell r="BX66">
            <v>0</v>
          </cell>
        </row>
        <row r="67">
          <cell r="AO67"/>
          <cell r="AP67">
            <v>0</v>
          </cell>
          <cell r="AQ67">
            <v>0</v>
          </cell>
          <cell r="AR67">
            <v>0</v>
          </cell>
          <cell r="AS67">
            <v>0</v>
          </cell>
          <cell r="AT67">
            <v>0</v>
          </cell>
          <cell r="AU67">
            <v>0</v>
          </cell>
          <cell r="AV67">
            <v>0</v>
          </cell>
          <cell r="AW67">
            <v>0</v>
          </cell>
          <cell r="AX67">
            <v>0</v>
          </cell>
          <cell r="AY67">
            <v>0</v>
          </cell>
          <cell r="AZ67">
            <v>0</v>
          </cell>
          <cell r="BA67">
            <v>0</v>
          </cell>
          <cell r="BB67">
            <v>113</v>
          </cell>
          <cell r="BC67">
            <v>113</v>
          </cell>
          <cell r="BD67">
            <v>113</v>
          </cell>
          <cell r="BE67">
            <v>113</v>
          </cell>
          <cell r="BF67">
            <v>113</v>
          </cell>
          <cell r="BG67">
            <v>113</v>
          </cell>
          <cell r="BH67">
            <v>113</v>
          </cell>
          <cell r="BI67">
            <v>113</v>
          </cell>
          <cell r="BJ67">
            <v>113</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row>
        <row r="68">
          <cell r="AO68"/>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row>
        <row r="69">
          <cell r="AO69"/>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row>
        <row r="70">
          <cell r="AO70" t="str">
            <v>ホテルメルパルク名古屋　合計</v>
          </cell>
          <cell r="AP70">
            <v>0</v>
          </cell>
          <cell r="AQ70">
            <v>0</v>
          </cell>
          <cell r="AR70">
            <v>0</v>
          </cell>
          <cell r="AS70">
            <v>0</v>
          </cell>
          <cell r="AT70">
            <v>0</v>
          </cell>
          <cell r="AU70">
            <v>0</v>
          </cell>
          <cell r="AV70">
            <v>58</v>
          </cell>
          <cell r="AW70">
            <v>116</v>
          </cell>
          <cell r="AX70">
            <v>116</v>
          </cell>
          <cell r="AY70">
            <v>116</v>
          </cell>
          <cell r="AZ70">
            <v>116</v>
          </cell>
          <cell r="BA70">
            <v>116</v>
          </cell>
          <cell r="BB70">
            <v>229</v>
          </cell>
          <cell r="BC70">
            <v>229</v>
          </cell>
          <cell r="BD70">
            <v>229</v>
          </cell>
          <cell r="BE70">
            <v>229</v>
          </cell>
          <cell r="BF70">
            <v>229</v>
          </cell>
          <cell r="BG70">
            <v>229</v>
          </cell>
          <cell r="BH70">
            <v>229</v>
          </cell>
          <cell r="BI70">
            <v>171</v>
          </cell>
          <cell r="BJ70">
            <v>171</v>
          </cell>
          <cell r="BK70">
            <v>58</v>
          </cell>
          <cell r="BL70">
            <v>58</v>
          </cell>
          <cell r="BM70">
            <v>0</v>
          </cell>
          <cell r="BN70">
            <v>0</v>
          </cell>
          <cell r="BO70">
            <v>0</v>
          </cell>
          <cell r="BP70">
            <v>0</v>
          </cell>
          <cell r="BQ70">
            <v>0</v>
          </cell>
          <cell r="BR70">
            <v>0</v>
          </cell>
          <cell r="BS70">
            <v>0</v>
          </cell>
          <cell r="BT70">
            <v>0</v>
          </cell>
          <cell r="BU70">
            <v>0</v>
          </cell>
          <cell r="BV70">
            <v>0</v>
          </cell>
          <cell r="BW70">
            <v>0</v>
          </cell>
          <cell r="BX70">
            <v>0</v>
          </cell>
        </row>
        <row r="71">
          <cell r="AO71"/>
          <cell r="AP71">
            <v>0</v>
          </cell>
          <cell r="AQ71">
            <v>0</v>
          </cell>
          <cell r="AR71">
            <v>0</v>
          </cell>
          <cell r="AS71">
            <v>0</v>
          </cell>
          <cell r="AT71">
            <v>0</v>
          </cell>
          <cell r="AU71">
            <v>0</v>
          </cell>
          <cell r="AV71">
            <v>0</v>
          </cell>
          <cell r="AW71">
            <v>0</v>
          </cell>
          <cell r="AX71">
            <v>0</v>
          </cell>
          <cell r="AY71">
            <v>0</v>
          </cell>
          <cell r="AZ71">
            <v>0</v>
          </cell>
          <cell r="BA71">
            <v>0</v>
          </cell>
          <cell r="BB71">
            <v>269</v>
          </cell>
          <cell r="BC71">
            <v>269</v>
          </cell>
          <cell r="BD71">
            <v>269</v>
          </cell>
          <cell r="BE71">
            <v>269</v>
          </cell>
          <cell r="BF71">
            <v>269</v>
          </cell>
          <cell r="BG71">
            <v>269</v>
          </cell>
          <cell r="BH71">
            <v>269</v>
          </cell>
          <cell r="BI71">
            <v>269</v>
          </cell>
          <cell r="BJ71">
            <v>269</v>
          </cell>
          <cell r="BK71">
            <v>269</v>
          </cell>
          <cell r="BL71">
            <v>269</v>
          </cell>
          <cell r="BM71">
            <v>269</v>
          </cell>
          <cell r="BN71">
            <v>269</v>
          </cell>
          <cell r="BO71">
            <v>269</v>
          </cell>
          <cell r="BP71">
            <v>269</v>
          </cell>
          <cell r="BQ71">
            <v>269</v>
          </cell>
          <cell r="BR71">
            <v>269</v>
          </cell>
          <cell r="BS71">
            <v>269</v>
          </cell>
          <cell r="BT71">
            <v>269</v>
          </cell>
          <cell r="BU71">
            <v>0</v>
          </cell>
          <cell r="BV71">
            <v>0</v>
          </cell>
          <cell r="BW71">
            <v>0</v>
          </cell>
          <cell r="BX71">
            <v>0</v>
          </cell>
        </row>
        <row r="72">
          <cell r="AO72"/>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row>
        <row r="73">
          <cell r="AO73"/>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row>
        <row r="74">
          <cell r="AO74"/>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row>
        <row r="75">
          <cell r="AO75" t="str">
            <v>西鉄ホテルクルーム名古屋　合計</v>
          </cell>
          <cell r="AP75">
            <v>0</v>
          </cell>
          <cell r="AQ75">
            <v>0</v>
          </cell>
          <cell r="AR75">
            <v>0</v>
          </cell>
          <cell r="AS75">
            <v>0</v>
          </cell>
          <cell r="AT75">
            <v>0</v>
          </cell>
          <cell r="AU75">
            <v>0</v>
          </cell>
          <cell r="AV75">
            <v>0</v>
          </cell>
          <cell r="AW75">
            <v>0</v>
          </cell>
          <cell r="AX75">
            <v>0</v>
          </cell>
          <cell r="AY75">
            <v>0</v>
          </cell>
          <cell r="AZ75">
            <v>0</v>
          </cell>
          <cell r="BA75">
            <v>0</v>
          </cell>
          <cell r="BB75">
            <v>269</v>
          </cell>
          <cell r="BC75">
            <v>269</v>
          </cell>
          <cell r="BD75">
            <v>269</v>
          </cell>
          <cell r="BE75">
            <v>269</v>
          </cell>
          <cell r="BF75">
            <v>269</v>
          </cell>
          <cell r="BG75">
            <v>269</v>
          </cell>
          <cell r="BH75">
            <v>269</v>
          </cell>
          <cell r="BI75">
            <v>269</v>
          </cell>
          <cell r="BJ75">
            <v>269</v>
          </cell>
          <cell r="BK75">
            <v>269</v>
          </cell>
          <cell r="BL75">
            <v>269</v>
          </cell>
          <cell r="BM75">
            <v>269</v>
          </cell>
          <cell r="BN75">
            <v>269</v>
          </cell>
          <cell r="BO75">
            <v>269</v>
          </cell>
          <cell r="BP75">
            <v>269</v>
          </cell>
          <cell r="BQ75">
            <v>269</v>
          </cell>
          <cell r="BR75">
            <v>269</v>
          </cell>
          <cell r="BS75">
            <v>269</v>
          </cell>
          <cell r="BT75">
            <v>269</v>
          </cell>
          <cell r="BU75">
            <v>0</v>
          </cell>
          <cell r="BV75">
            <v>0</v>
          </cell>
          <cell r="BW75">
            <v>0</v>
          </cell>
          <cell r="BX75">
            <v>0</v>
          </cell>
        </row>
        <row r="76">
          <cell r="AO76"/>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row>
        <row r="77">
          <cell r="AO77"/>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row>
        <row r="78">
          <cell r="AO78"/>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row>
        <row r="79">
          <cell r="AO79"/>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row>
        <row r="80">
          <cell r="AO80" t="str">
            <v>ザサイプレスメルキュールホテル名古屋　合計</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row>
        <row r="81">
          <cell r="AO81"/>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row>
        <row r="82">
          <cell r="AO82"/>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row>
        <row r="83">
          <cell r="AO83"/>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row>
        <row r="84">
          <cell r="AO84"/>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row>
        <row r="85">
          <cell r="AO85" t="str">
            <v>ホテルJALシティ名古屋　錦　合計</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row>
        <row r="86">
          <cell r="AO86"/>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row>
        <row r="87">
          <cell r="AO87"/>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row>
        <row r="88">
          <cell r="AO88"/>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row>
        <row r="89">
          <cell r="AO89"/>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row>
        <row r="90">
          <cell r="AO90" t="str">
            <v>コートヤードバイマリオット名古屋　合計</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row>
        <row r="91">
          <cell r="AO91"/>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row>
        <row r="92">
          <cell r="AO92"/>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row>
        <row r="93">
          <cell r="AO93"/>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row>
        <row r="94">
          <cell r="AO94"/>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row>
        <row r="95">
          <cell r="AO95" t="str">
            <v>イビススタイルズ名古屋　合計</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row>
        <row r="96">
          <cell r="AO96"/>
          <cell r="AP96">
            <v>0</v>
          </cell>
          <cell r="AQ96">
            <v>0</v>
          </cell>
          <cell r="AR96">
            <v>0</v>
          </cell>
          <cell r="AS96">
            <v>0</v>
          </cell>
          <cell r="AT96">
            <v>0</v>
          </cell>
          <cell r="AU96">
            <v>187</v>
          </cell>
          <cell r="AV96">
            <v>187</v>
          </cell>
          <cell r="AW96">
            <v>187</v>
          </cell>
          <cell r="AX96">
            <v>187</v>
          </cell>
          <cell r="AY96">
            <v>187</v>
          </cell>
          <cell r="AZ96">
            <v>187</v>
          </cell>
          <cell r="BA96">
            <v>187</v>
          </cell>
          <cell r="BB96">
            <v>187</v>
          </cell>
          <cell r="BC96">
            <v>187</v>
          </cell>
          <cell r="BD96">
            <v>187</v>
          </cell>
          <cell r="BE96">
            <v>187</v>
          </cell>
          <cell r="BF96">
            <v>187</v>
          </cell>
          <cell r="BG96">
            <v>187</v>
          </cell>
          <cell r="BH96">
            <v>187</v>
          </cell>
          <cell r="BI96">
            <v>187</v>
          </cell>
          <cell r="BJ96">
            <v>187</v>
          </cell>
          <cell r="BK96">
            <v>187</v>
          </cell>
          <cell r="BL96">
            <v>187</v>
          </cell>
          <cell r="BM96">
            <v>187</v>
          </cell>
          <cell r="BN96">
            <v>187</v>
          </cell>
          <cell r="BO96">
            <v>187</v>
          </cell>
          <cell r="BP96">
            <v>187</v>
          </cell>
          <cell r="BQ96">
            <v>187</v>
          </cell>
          <cell r="BR96">
            <v>187</v>
          </cell>
          <cell r="BS96">
            <v>187</v>
          </cell>
          <cell r="BT96">
            <v>187</v>
          </cell>
          <cell r="BU96">
            <v>0</v>
          </cell>
          <cell r="BV96">
            <v>0</v>
          </cell>
          <cell r="BW96">
            <v>0</v>
          </cell>
          <cell r="BX96">
            <v>0</v>
          </cell>
        </row>
        <row r="97">
          <cell r="AO97"/>
          <cell r="AP97">
            <v>0</v>
          </cell>
          <cell r="AQ97">
            <v>0</v>
          </cell>
          <cell r="AR97">
            <v>0</v>
          </cell>
          <cell r="AS97">
            <v>0</v>
          </cell>
          <cell r="AT97">
            <v>0</v>
          </cell>
          <cell r="AU97">
            <v>187</v>
          </cell>
          <cell r="AV97">
            <v>187</v>
          </cell>
          <cell r="AW97">
            <v>187</v>
          </cell>
          <cell r="AX97">
            <v>187</v>
          </cell>
          <cell r="AY97">
            <v>187</v>
          </cell>
          <cell r="AZ97">
            <v>187</v>
          </cell>
          <cell r="BA97">
            <v>187</v>
          </cell>
          <cell r="BB97">
            <v>187</v>
          </cell>
          <cell r="BC97">
            <v>187</v>
          </cell>
          <cell r="BD97">
            <v>187</v>
          </cell>
          <cell r="BE97">
            <v>187</v>
          </cell>
          <cell r="BF97">
            <v>187</v>
          </cell>
          <cell r="BG97">
            <v>187</v>
          </cell>
          <cell r="BH97">
            <v>187</v>
          </cell>
          <cell r="BI97">
            <v>187</v>
          </cell>
          <cell r="BJ97">
            <v>187</v>
          </cell>
          <cell r="BK97">
            <v>187</v>
          </cell>
          <cell r="BL97">
            <v>187</v>
          </cell>
          <cell r="BM97">
            <v>187</v>
          </cell>
          <cell r="BN97">
            <v>187</v>
          </cell>
          <cell r="BO97">
            <v>187</v>
          </cell>
          <cell r="BP97">
            <v>187</v>
          </cell>
          <cell r="BQ97">
            <v>187</v>
          </cell>
          <cell r="BR97">
            <v>187</v>
          </cell>
          <cell r="BS97">
            <v>187</v>
          </cell>
          <cell r="BT97">
            <v>187</v>
          </cell>
          <cell r="BU97">
            <v>0</v>
          </cell>
          <cell r="BV97">
            <v>0</v>
          </cell>
          <cell r="BW97">
            <v>0</v>
          </cell>
          <cell r="BX97">
            <v>0</v>
          </cell>
        </row>
        <row r="98">
          <cell r="AO98"/>
          <cell r="AP98">
            <v>0</v>
          </cell>
          <cell r="AQ98">
            <v>0</v>
          </cell>
          <cell r="AR98">
            <v>0</v>
          </cell>
          <cell r="AS98">
            <v>0</v>
          </cell>
          <cell r="AT98">
            <v>0</v>
          </cell>
          <cell r="AU98">
            <v>0</v>
          </cell>
          <cell r="AV98">
            <v>0</v>
          </cell>
          <cell r="AW98">
            <v>0</v>
          </cell>
          <cell r="AX98">
            <v>0</v>
          </cell>
          <cell r="AY98">
            <v>0</v>
          </cell>
          <cell r="AZ98">
            <v>0</v>
          </cell>
          <cell r="BA98">
            <v>0</v>
          </cell>
          <cell r="BB98">
            <v>247</v>
          </cell>
          <cell r="BC98">
            <v>247</v>
          </cell>
          <cell r="BD98">
            <v>247</v>
          </cell>
          <cell r="BE98">
            <v>247</v>
          </cell>
          <cell r="BF98">
            <v>247</v>
          </cell>
          <cell r="BG98">
            <v>247</v>
          </cell>
          <cell r="BH98">
            <v>247</v>
          </cell>
          <cell r="BI98">
            <v>247</v>
          </cell>
          <cell r="BJ98">
            <v>247</v>
          </cell>
          <cell r="BK98">
            <v>247</v>
          </cell>
          <cell r="BL98">
            <v>0</v>
          </cell>
          <cell r="BM98">
            <v>0</v>
          </cell>
          <cell r="BN98">
            <v>0</v>
          </cell>
          <cell r="BO98">
            <v>0</v>
          </cell>
          <cell r="BP98">
            <v>0</v>
          </cell>
          <cell r="BQ98">
            <v>0</v>
          </cell>
          <cell r="BR98">
            <v>0</v>
          </cell>
          <cell r="BS98">
            <v>0</v>
          </cell>
          <cell r="BT98">
            <v>0</v>
          </cell>
          <cell r="BU98">
            <v>0</v>
          </cell>
          <cell r="BV98">
            <v>0</v>
          </cell>
          <cell r="BW98">
            <v>0</v>
          </cell>
          <cell r="BX98">
            <v>0</v>
          </cell>
        </row>
        <row r="99">
          <cell r="AO99"/>
          <cell r="AP99">
            <v>0</v>
          </cell>
          <cell r="AQ99">
            <v>0</v>
          </cell>
          <cell r="AR99">
            <v>0</v>
          </cell>
          <cell r="AS99">
            <v>0</v>
          </cell>
          <cell r="AT99">
            <v>0</v>
          </cell>
          <cell r="AU99">
            <v>0</v>
          </cell>
          <cell r="AV99">
            <v>0</v>
          </cell>
          <cell r="AW99">
            <v>0</v>
          </cell>
          <cell r="AX99">
            <v>0</v>
          </cell>
          <cell r="AY99">
            <v>36</v>
          </cell>
          <cell r="AZ99">
            <v>36</v>
          </cell>
          <cell r="BA99">
            <v>36</v>
          </cell>
          <cell r="BB99">
            <v>36</v>
          </cell>
          <cell r="BC99">
            <v>36</v>
          </cell>
          <cell r="BD99">
            <v>36</v>
          </cell>
          <cell r="BE99">
            <v>36</v>
          </cell>
          <cell r="BF99">
            <v>36</v>
          </cell>
          <cell r="BG99">
            <v>36</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row>
        <row r="100">
          <cell r="AO100"/>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43</v>
          </cell>
          <cell r="BJ100">
            <v>43</v>
          </cell>
          <cell r="BK100">
            <v>43</v>
          </cell>
          <cell r="BL100">
            <v>43</v>
          </cell>
          <cell r="BM100">
            <v>43</v>
          </cell>
          <cell r="BN100">
            <v>0</v>
          </cell>
          <cell r="BO100">
            <v>0</v>
          </cell>
          <cell r="BP100">
            <v>0</v>
          </cell>
          <cell r="BQ100">
            <v>0</v>
          </cell>
          <cell r="BR100">
            <v>0</v>
          </cell>
          <cell r="BS100">
            <v>0</v>
          </cell>
          <cell r="BT100">
            <v>0</v>
          </cell>
          <cell r="BU100">
            <v>0</v>
          </cell>
          <cell r="BV100">
            <v>0</v>
          </cell>
          <cell r="BW100">
            <v>0</v>
          </cell>
          <cell r="BX100">
            <v>0</v>
          </cell>
        </row>
        <row r="101">
          <cell r="AO101"/>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35</v>
          </cell>
          <cell r="BG101">
            <v>35</v>
          </cell>
          <cell r="BH101">
            <v>35</v>
          </cell>
          <cell r="BI101">
            <v>35</v>
          </cell>
          <cell r="BJ101">
            <v>35</v>
          </cell>
          <cell r="BK101">
            <v>35</v>
          </cell>
          <cell r="BL101">
            <v>35</v>
          </cell>
          <cell r="BM101">
            <v>35</v>
          </cell>
          <cell r="BN101">
            <v>35</v>
          </cell>
          <cell r="BO101">
            <v>0</v>
          </cell>
          <cell r="BP101">
            <v>0</v>
          </cell>
          <cell r="BQ101">
            <v>0</v>
          </cell>
          <cell r="BR101">
            <v>0</v>
          </cell>
          <cell r="BS101">
            <v>0</v>
          </cell>
          <cell r="BT101">
            <v>0</v>
          </cell>
          <cell r="BU101">
            <v>0</v>
          </cell>
          <cell r="BV101">
            <v>0</v>
          </cell>
          <cell r="BW101">
            <v>0</v>
          </cell>
          <cell r="BX101">
            <v>0</v>
          </cell>
        </row>
        <row r="102">
          <cell r="AO102" t="str">
            <v>名古屋東急ホテル　合計</v>
          </cell>
          <cell r="AP102">
            <v>0</v>
          </cell>
          <cell r="AQ102">
            <v>0</v>
          </cell>
          <cell r="AR102">
            <v>0</v>
          </cell>
          <cell r="AS102">
            <v>0</v>
          </cell>
          <cell r="AT102">
            <v>0</v>
          </cell>
          <cell r="AU102">
            <v>374</v>
          </cell>
          <cell r="AV102">
            <v>374</v>
          </cell>
          <cell r="AW102">
            <v>374</v>
          </cell>
          <cell r="AX102">
            <v>374</v>
          </cell>
          <cell r="AY102">
            <v>410</v>
          </cell>
          <cell r="AZ102">
            <v>410</v>
          </cell>
          <cell r="BA102">
            <v>410</v>
          </cell>
          <cell r="BB102">
            <v>657</v>
          </cell>
          <cell r="BC102">
            <v>657</v>
          </cell>
          <cell r="BD102">
            <v>657</v>
          </cell>
          <cell r="BE102">
            <v>657</v>
          </cell>
          <cell r="BF102">
            <v>692</v>
          </cell>
          <cell r="BG102">
            <v>692</v>
          </cell>
          <cell r="BH102">
            <v>656</v>
          </cell>
          <cell r="BI102">
            <v>699</v>
          </cell>
          <cell r="BJ102">
            <v>699</v>
          </cell>
          <cell r="BK102">
            <v>699</v>
          </cell>
          <cell r="BL102">
            <v>452</v>
          </cell>
          <cell r="BM102">
            <v>452</v>
          </cell>
          <cell r="BN102">
            <v>409</v>
          </cell>
          <cell r="BO102">
            <v>374</v>
          </cell>
          <cell r="BP102">
            <v>374</v>
          </cell>
          <cell r="BQ102">
            <v>374</v>
          </cell>
          <cell r="BR102">
            <v>374</v>
          </cell>
          <cell r="BS102">
            <v>374</v>
          </cell>
          <cell r="BT102">
            <v>374</v>
          </cell>
          <cell r="BU102">
            <v>0</v>
          </cell>
          <cell r="BV102">
            <v>0</v>
          </cell>
          <cell r="BW102">
            <v>0</v>
          </cell>
          <cell r="BX102">
            <v>0</v>
          </cell>
        </row>
        <row r="103">
          <cell r="AO103"/>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row>
        <row r="104">
          <cell r="AO104"/>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row>
        <row r="105">
          <cell r="AO105"/>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row>
        <row r="106">
          <cell r="AO106"/>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row>
        <row r="107">
          <cell r="AO107" t="str">
            <v>名古屋クレストンホテル　合計</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row>
        <row r="108">
          <cell r="AO108"/>
          <cell r="AP108">
            <v>0</v>
          </cell>
          <cell r="AQ108">
            <v>0</v>
          </cell>
          <cell r="AR108">
            <v>0</v>
          </cell>
          <cell r="AS108">
            <v>0</v>
          </cell>
          <cell r="AT108">
            <v>0</v>
          </cell>
          <cell r="AU108">
            <v>0</v>
          </cell>
          <cell r="AV108">
            <v>0</v>
          </cell>
          <cell r="AW108">
            <v>0</v>
          </cell>
          <cell r="AX108">
            <v>0</v>
          </cell>
          <cell r="AY108">
            <v>0</v>
          </cell>
          <cell r="AZ108">
            <v>0</v>
          </cell>
          <cell r="BA108">
            <v>0</v>
          </cell>
          <cell r="BB108">
            <v>250</v>
          </cell>
          <cell r="BC108">
            <v>250</v>
          </cell>
          <cell r="BD108">
            <v>250</v>
          </cell>
          <cell r="BE108">
            <v>250</v>
          </cell>
          <cell r="BF108">
            <v>250</v>
          </cell>
          <cell r="BG108">
            <v>250</v>
          </cell>
          <cell r="BH108">
            <v>250</v>
          </cell>
          <cell r="BI108">
            <v>250</v>
          </cell>
          <cell r="BJ108">
            <v>250</v>
          </cell>
          <cell r="BK108">
            <v>250</v>
          </cell>
          <cell r="BL108">
            <v>250</v>
          </cell>
          <cell r="BM108">
            <v>250</v>
          </cell>
          <cell r="BN108">
            <v>250</v>
          </cell>
          <cell r="BO108">
            <v>250</v>
          </cell>
          <cell r="BP108">
            <v>250</v>
          </cell>
          <cell r="BQ108">
            <v>0</v>
          </cell>
          <cell r="BR108">
            <v>0</v>
          </cell>
          <cell r="BS108">
            <v>0</v>
          </cell>
          <cell r="BT108">
            <v>0</v>
          </cell>
          <cell r="BU108">
            <v>0</v>
          </cell>
          <cell r="BV108">
            <v>0</v>
          </cell>
          <cell r="BW108">
            <v>0</v>
          </cell>
          <cell r="BX108">
            <v>0</v>
          </cell>
        </row>
        <row r="109">
          <cell r="AO109"/>
          <cell r="AP109">
            <v>0</v>
          </cell>
          <cell r="AQ109">
            <v>0</v>
          </cell>
          <cell r="AR109">
            <v>0</v>
          </cell>
          <cell r="AS109">
            <v>0</v>
          </cell>
          <cell r="AT109">
            <v>0</v>
          </cell>
          <cell r="AU109">
            <v>0</v>
          </cell>
          <cell r="AV109">
            <v>0</v>
          </cell>
          <cell r="AW109">
            <v>0</v>
          </cell>
          <cell r="AX109">
            <v>0</v>
          </cell>
          <cell r="AY109">
            <v>0</v>
          </cell>
          <cell r="AZ109">
            <v>0</v>
          </cell>
          <cell r="BA109">
            <v>0</v>
          </cell>
          <cell r="BB109">
            <v>166</v>
          </cell>
          <cell r="BC109">
            <v>166</v>
          </cell>
          <cell r="BD109">
            <v>166</v>
          </cell>
          <cell r="BE109">
            <v>166</v>
          </cell>
          <cell r="BF109">
            <v>166</v>
          </cell>
          <cell r="BG109">
            <v>166</v>
          </cell>
          <cell r="BH109">
            <v>166</v>
          </cell>
          <cell r="BI109">
            <v>166</v>
          </cell>
          <cell r="BJ109">
            <v>166</v>
          </cell>
          <cell r="BK109">
            <v>166</v>
          </cell>
          <cell r="BL109">
            <v>166</v>
          </cell>
          <cell r="BM109">
            <v>166</v>
          </cell>
          <cell r="BN109">
            <v>166</v>
          </cell>
          <cell r="BO109">
            <v>166</v>
          </cell>
          <cell r="BP109">
            <v>166</v>
          </cell>
          <cell r="BQ109">
            <v>166</v>
          </cell>
          <cell r="BR109">
            <v>166</v>
          </cell>
          <cell r="BS109">
            <v>0</v>
          </cell>
          <cell r="BT109">
            <v>0</v>
          </cell>
          <cell r="BU109">
            <v>0</v>
          </cell>
          <cell r="BV109">
            <v>0</v>
          </cell>
          <cell r="BW109">
            <v>0</v>
          </cell>
          <cell r="BX109">
            <v>0</v>
          </cell>
        </row>
        <row r="110">
          <cell r="AO110"/>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row>
        <row r="111">
          <cell r="AO111"/>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row>
        <row r="112">
          <cell r="AO112" t="str">
            <v>都心の天然温泉　名古屋クラウンホテル　合計</v>
          </cell>
          <cell r="AP112">
            <v>0</v>
          </cell>
          <cell r="AQ112">
            <v>0</v>
          </cell>
          <cell r="AR112">
            <v>0</v>
          </cell>
          <cell r="AS112">
            <v>0</v>
          </cell>
          <cell r="AT112">
            <v>0</v>
          </cell>
          <cell r="AU112">
            <v>0</v>
          </cell>
          <cell r="AV112">
            <v>0</v>
          </cell>
          <cell r="AW112">
            <v>0</v>
          </cell>
          <cell r="AX112">
            <v>0</v>
          </cell>
          <cell r="AY112">
            <v>0</v>
          </cell>
          <cell r="AZ112">
            <v>0</v>
          </cell>
          <cell r="BA112">
            <v>0</v>
          </cell>
          <cell r="BB112">
            <v>416</v>
          </cell>
          <cell r="BC112">
            <v>416</v>
          </cell>
          <cell r="BD112">
            <v>416</v>
          </cell>
          <cell r="BE112">
            <v>416</v>
          </cell>
          <cell r="BF112">
            <v>416</v>
          </cell>
          <cell r="BG112">
            <v>416</v>
          </cell>
          <cell r="BH112">
            <v>416</v>
          </cell>
          <cell r="BI112">
            <v>416</v>
          </cell>
          <cell r="BJ112">
            <v>416</v>
          </cell>
          <cell r="BK112">
            <v>416</v>
          </cell>
          <cell r="BL112">
            <v>416</v>
          </cell>
          <cell r="BM112">
            <v>416</v>
          </cell>
          <cell r="BN112">
            <v>416</v>
          </cell>
          <cell r="BO112">
            <v>416</v>
          </cell>
          <cell r="BP112">
            <v>416</v>
          </cell>
          <cell r="BQ112">
            <v>166</v>
          </cell>
          <cell r="BR112">
            <v>166</v>
          </cell>
          <cell r="BS112">
            <v>0</v>
          </cell>
          <cell r="BT112">
            <v>0</v>
          </cell>
          <cell r="BU112">
            <v>0</v>
          </cell>
          <cell r="BV112">
            <v>0</v>
          </cell>
          <cell r="BW112">
            <v>0</v>
          </cell>
          <cell r="BX112">
            <v>0</v>
          </cell>
        </row>
        <row r="113">
          <cell r="AO113"/>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row>
        <row r="114">
          <cell r="AO114"/>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row>
        <row r="115">
          <cell r="AO115"/>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row>
        <row r="116">
          <cell r="AO116"/>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row>
        <row r="117">
          <cell r="AO117" t="str">
            <v>公立学校共済組合　名古屋宿泊所　ホテルルブラ王山　合計</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row>
        <row r="118">
          <cell r="AO118"/>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row>
        <row r="119">
          <cell r="AO119"/>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row>
        <row r="120">
          <cell r="AO120"/>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row>
        <row r="121">
          <cell r="AO121"/>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row>
        <row r="122">
          <cell r="AO122" t="str">
            <v>サイプレスホテル名古屋駅前　合計</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row>
        <row r="123">
          <cell r="AO123"/>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row>
        <row r="124">
          <cell r="AO124"/>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row>
        <row r="125">
          <cell r="AO125"/>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row>
        <row r="126">
          <cell r="AO126"/>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row>
        <row r="127">
          <cell r="AO127" t="str">
            <v>国家公務員共済組合連合会 名古屋共済会館　合計</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row>
        <row r="128">
          <cell r="AO128"/>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row>
        <row r="129">
          <cell r="AO129"/>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row>
        <row r="130">
          <cell r="AO130"/>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row>
        <row r="131">
          <cell r="AO131"/>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row>
        <row r="132">
          <cell r="AO132" t="str">
            <v>アパホテル＜名古屋栄＞　合計</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row>
        <row r="133">
          <cell r="AO133"/>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row>
        <row r="134">
          <cell r="AO134"/>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row>
        <row r="135">
          <cell r="AO135"/>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row>
        <row r="136">
          <cell r="AO136"/>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row>
        <row r="137">
          <cell r="AO137" t="str">
            <v>ホテルルートインGrand名古屋藤が丘　合計</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row>
        <row r="138">
          <cell r="AO138"/>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row>
        <row r="139">
          <cell r="AO139"/>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row>
        <row r="140">
          <cell r="AO140"/>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row>
        <row r="141">
          <cell r="AO141"/>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row>
        <row r="142">
          <cell r="AO142" t="str">
            <v>ヒルトン名古屋　合計</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row>
        <row r="143">
          <cell r="AO143"/>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row>
        <row r="144">
          <cell r="AO144"/>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row>
        <row r="145">
          <cell r="AO145"/>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row>
        <row r="146">
          <cell r="AO146"/>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row>
        <row r="147">
          <cell r="AO147" t="str">
            <v>TIAD　合計</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row>
        <row r="148">
          <cell r="AO148"/>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row>
        <row r="149">
          <cell r="AO149"/>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row>
        <row r="150">
          <cell r="AO150"/>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row>
        <row r="151">
          <cell r="AO151"/>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row>
        <row r="152">
          <cell r="AO152" t="str">
            <v>エスパシオナゴヤキャッスル　合計</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row>
        <row r="153">
          <cell r="AO153"/>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row>
        <row r="154">
          <cell r="AO154"/>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row>
        <row r="155">
          <cell r="AO155"/>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row>
        <row r="156">
          <cell r="AO156"/>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row>
        <row r="157">
          <cell r="AO157" t="str">
            <v>名古屋プリンスホテルスカイタワー　合計</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row>
        <row r="158">
          <cell r="AO158"/>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row>
        <row r="159">
          <cell r="AO159"/>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row>
        <row r="160">
          <cell r="AO160"/>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row>
        <row r="161">
          <cell r="AO161"/>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row>
        <row r="162">
          <cell r="AO162" t="str">
            <v>名古屋ガーデンパレス　合計</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row>
        <row r="163">
          <cell r="AO163"/>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row>
        <row r="164">
          <cell r="AO164"/>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row>
        <row r="165">
          <cell r="AO165"/>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row>
        <row r="166">
          <cell r="AO166"/>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row>
        <row r="167">
          <cell r="AO167" t="str">
            <v>東京第一ホテル錦　合計</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row>
        <row r="168">
          <cell r="AO168"/>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row>
        <row r="169">
          <cell r="AO169"/>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row>
        <row r="170">
          <cell r="AO170"/>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row>
        <row r="171">
          <cell r="AO171"/>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row>
        <row r="172">
          <cell r="AO172" t="str">
            <v>ザロイヤルパークキャンバス名古屋　合計</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row>
        <row r="173">
          <cell r="AO173"/>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806</v>
          </cell>
          <cell r="BH173">
            <v>806</v>
          </cell>
          <cell r="BI173">
            <v>806</v>
          </cell>
          <cell r="BJ173">
            <v>806</v>
          </cell>
          <cell r="BK173">
            <v>806</v>
          </cell>
          <cell r="BL173">
            <v>806</v>
          </cell>
          <cell r="BM173">
            <v>806</v>
          </cell>
          <cell r="BN173">
            <v>806</v>
          </cell>
          <cell r="BO173">
            <v>806</v>
          </cell>
          <cell r="BP173">
            <v>806</v>
          </cell>
          <cell r="BQ173">
            <v>0</v>
          </cell>
          <cell r="BR173">
            <v>0</v>
          </cell>
          <cell r="BS173">
            <v>0</v>
          </cell>
          <cell r="BT173">
            <v>0</v>
          </cell>
          <cell r="BU173">
            <v>0</v>
          </cell>
          <cell r="BV173">
            <v>0</v>
          </cell>
          <cell r="BW173">
            <v>0</v>
          </cell>
          <cell r="BX173">
            <v>0</v>
          </cell>
        </row>
        <row r="174">
          <cell r="AO174"/>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225</v>
          </cell>
          <cell r="BG174">
            <v>225</v>
          </cell>
          <cell r="BH174">
            <v>225</v>
          </cell>
          <cell r="BI174">
            <v>225</v>
          </cell>
          <cell r="BJ174">
            <v>225</v>
          </cell>
          <cell r="BK174">
            <v>225</v>
          </cell>
          <cell r="BL174">
            <v>225</v>
          </cell>
          <cell r="BM174">
            <v>225</v>
          </cell>
          <cell r="BN174">
            <v>225</v>
          </cell>
          <cell r="BO174">
            <v>0</v>
          </cell>
          <cell r="BP174">
            <v>0</v>
          </cell>
          <cell r="BQ174">
            <v>0</v>
          </cell>
          <cell r="BR174">
            <v>0</v>
          </cell>
          <cell r="BS174">
            <v>0</v>
          </cell>
          <cell r="BT174">
            <v>0</v>
          </cell>
          <cell r="BU174">
            <v>0</v>
          </cell>
          <cell r="BV174">
            <v>0</v>
          </cell>
          <cell r="BW174">
            <v>0</v>
          </cell>
          <cell r="BX174">
            <v>0</v>
          </cell>
        </row>
        <row r="175">
          <cell r="AO175"/>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39</v>
          </cell>
          <cell r="BI175">
            <v>39</v>
          </cell>
          <cell r="BJ175">
            <v>39</v>
          </cell>
          <cell r="BK175">
            <v>39</v>
          </cell>
          <cell r="BL175">
            <v>39</v>
          </cell>
          <cell r="BM175">
            <v>0</v>
          </cell>
          <cell r="BN175">
            <v>0</v>
          </cell>
          <cell r="BO175">
            <v>0</v>
          </cell>
          <cell r="BP175">
            <v>0</v>
          </cell>
          <cell r="BQ175">
            <v>0</v>
          </cell>
          <cell r="BR175">
            <v>0</v>
          </cell>
          <cell r="BS175">
            <v>0</v>
          </cell>
          <cell r="BT175">
            <v>0</v>
          </cell>
          <cell r="BU175">
            <v>0</v>
          </cell>
          <cell r="BV175">
            <v>0</v>
          </cell>
          <cell r="BW175">
            <v>0</v>
          </cell>
          <cell r="BX175">
            <v>0</v>
          </cell>
        </row>
        <row r="176">
          <cell r="AO176"/>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22</v>
          </cell>
          <cell r="BK176">
            <v>22</v>
          </cell>
          <cell r="BL176">
            <v>22</v>
          </cell>
          <cell r="BM176">
            <v>22</v>
          </cell>
          <cell r="BN176">
            <v>22</v>
          </cell>
          <cell r="BO176">
            <v>22</v>
          </cell>
          <cell r="BP176">
            <v>0</v>
          </cell>
          <cell r="BQ176">
            <v>0</v>
          </cell>
          <cell r="BR176">
            <v>0</v>
          </cell>
          <cell r="BS176">
            <v>0</v>
          </cell>
          <cell r="BT176">
            <v>0</v>
          </cell>
          <cell r="BU176">
            <v>0</v>
          </cell>
          <cell r="BV176">
            <v>0</v>
          </cell>
          <cell r="BW176">
            <v>0</v>
          </cell>
          <cell r="BX176">
            <v>0</v>
          </cell>
        </row>
        <row r="177">
          <cell r="AO177"/>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147</v>
          </cell>
          <cell r="BH177">
            <v>147</v>
          </cell>
          <cell r="BI177">
            <v>147</v>
          </cell>
          <cell r="BJ177">
            <v>147</v>
          </cell>
          <cell r="BK177">
            <v>147</v>
          </cell>
          <cell r="BL177">
            <v>147</v>
          </cell>
          <cell r="BM177">
            <v>147</v>
          </cell>
          <cell r="BN177">
            <v>147</v>
          </cell>
          <cell r="BO177">
            <v>0</v>
          </cell>
          <cell r="BP177">
            <v>0</v>
          </cell>
          <cell r="BQ177">
            <v>0</v>
          </cell>
          <cell r="BR177">
            <v>0</v>
          </cell>
          <cell r="BS177">
            <v>0</v>
          </cell>
          <cell r="BT177">
            <v>0</v>
          </cell>
          <cell r="BU177">
            <v>0</v>
          </cell>
          <cell r="BV177">
            <v>0</v>
          </cell>
          <cell r="BW177">
            <v>0</v>
          </cell>
          <cell r="BX177">
            <v>0</v>
          </cell>
        </row>
        <row r="178">
          <cell r="AO178"/>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134</v>
          </cell>
          <cell r="BH178">
            <v>134</v>
          </cell>
          <cell r="BI178">
            <v>134</v>
          </cell>
          <cell r="BJ178">
            <v>134</v>
          </cell>
          <cell r="BK178">
            <v>134</v>
          </cell>
          <cell r="BL178">
            <v>134</v>
          </cell>
          <cell r="BM178">
            <v>134</v>
          </cell>
          <cell r="BN178">
            <v>134</v>
          </cell>
          <cell r="BO178">
            <v>134</v>
          </cell>
          <cell r="BP178">
            <v>134</v>
          </cell>
          <cell r="BQ178">
            <v>0</v>
          </cell>
          <cell r="BR178">
            <v>0</v>
          </cell>
          <cell r="BS178">
            <v>0</v>
          </cell>
          <cell r="BT178">
            <v>0</v>
          </cell>
          <cell r="BU178">
            <v>0</v>
          </cell>
          <cell r="BV178">
            <v>0</v>
          </cell>
          <cell r="BW178">
            <v>0</v>
          </cell>
          <cell r="BX178">
            <v>0</v>
          </cell>
        </row>
        <row r="179">
          <cell r="AO179"/>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283</v>
          </cell>
          <cell r="BH179">
            <v>283</v>
          </cell>
          <cell r="BI179">
            <v>283</v>
          </cell>
          <cell r="BJ179">
            <v>283</v>
          </cell>
          <cell r="BK179">
            <v>283</v>
          </cell>
          <cell r="BL179">
            <v>283</v>
          </cell>
          <cell r="BM179">
            <v>283</v>
          </cell>
          <cell r="BN179">
            <v>283</v>
          </cell>
          <cell r="BO179">
            <v>0</v>
          </cell>
          <cell r="BP179">
            <v>0</v>
          </cell>
          <cell r="BQ179">
            <v>0</v>
          </cell>
          <cell r="BR179">
            <v>0</v>
          </cell>
          <cell r="BS179">
            <v>0</v>
          </cell>
          <cell r="BT179">
            <v>0</v>
          </cell>
          <cell r="BU179">
            <v>0</v>
          </cell>
          <cell r="BV179">
            <v>0</v>
          </cell>
          <cell r="BW179">
            <v>0</v>
          </cell>
          <cell r="BX179">
            <v>0</v>
          </cell>
        </row>
        <row r="180">
          <cell r="AO180"/>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187</v>
          </cell>
          <cell r="BN180">
            <v>187</v>
          </cell>
          <cell r="BO180">
            <v>187</v>
          </cell>
          <cell r="BP180">
            <v>187</v>
          </cell>
          <cell r="BQ180">
            <v>187</v>
          </cell>
          <cell r="BR180">
            <v>187</v>
          </cell>
          <cell r="BS180">
            <v>187</v>
          </cell>
          <cell r="BT180">
            <v>187</v>
          </cell>
          <cell r="BU180">
            <v>0</v>
          </cell>
          <cell r="BV180">
            <v>0</v>
          </cell>
          <cell r="BW180">
            <v>0</v>
          </cell>
          <cell r="BX180">
            <v>0</v>
          </cell>
        </row>
        <row r="181">
          <cell r="AO181"/>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125</v>
          </cell>
          <cell r="BN181">
            <v>125</v>
          </cell>
          <cell r="BO181">
            <v>125</v>
          </cell>
          <cell r="BP181">
            <v>125</v>
          </cell>
          <cell r="BQ181">
            <v>125</v>
          </cell>
          <cell r="BR181">
            <v>125</v>
          </cell>
          <cell r="BS181">
            <v>125</v>
          </cell>
          <cell r="BT181">
            <v>125</v>
          </cell>
          <cell r="BU181">
            <v>0</v>
          </cell>
          <cell r="BV181">
            <v>0</v>
          </cell>
          <cell r="BW181">
            <v>0</v>
          </cell>
          <cell r="BX181">
            <v>0</v>
          </cell>
        </row>
        <row r="182">
          <cell r="AO182"/>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199</v>
          </cell>
          <cell r="BJ182">
            <v>199</v>
          </cell>
          <cell r="BK182">
            <v>199</v>
          </cell>
          <cell r="BL182">
            <v>199</v>
          </cell>
          <cell r="BM182">
            <v>199</v>
          </cell>
          <cell r="BN182">
            <v>199</v>
          </cell>
          <cell r="BO182">
            <v>199</v>
          </cell>
          <cell r="BP182">
            <v>199</v>
          </cell>
          <cell r="BQ182">
            <v>199</v>
          </cell>
          <cell r="BR182">
            <v>199</v>
          </cell>
          <cell r="BS182">
            <v>199</v>
          </cell>
          <cell r="BT182">
            <v>199</v>
          </cell>
          <cell r="BU182">
            <v>0</v>
          </cell>
          <cell r="BV182">
            <v>0</v>
          </cell>
          <cell r="BW182">
            <v>0</v>
          </cell>
          <cell r="BX182">
            <v>0</v>
          </cell>
        </row>
        <row r="183">
          <cell r="AO183"/>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203</v>
          </cell>
          <cell r="BE183">
            <v>203</v>
          </cell>
          <cell r="BF183">
            <v>203</v>
          </cell>
          <cell r="BG183">
            <v>203</v>
          </cell>
          <cell r="BH183">
            <v>203</v>
          </cell>
          <cell r="BI183">
            <v>203</v>
          </cell>
          <cell r="BJ183">
            <v>203</v>
          </cell>
          <cell r="BK183">
            <v>203</v>
          </cell>
          <cell r="BL183">
            <v>203</v>
          </cell>
          <cell r="BM183">
            <v>203</v>
          </cell>
          <cell r="BN183">
            <v>203</v>
          </cell>
          <cell r="BO183">
            <v>203</v>
          </cell>
          <cell r="BP183">
            <v>203</v>
          </cell>
          <cell r="BQ183">
            <v>0</v>
          </cell>
          <cell r="BR183">
            <v>0</v>
          </cell>
          <cell r="BS183">
            <v>0</v>
          </cell>
          <cell r="BT183">
            <v>0</v>
          </cell>
          <cell r="BU183">
            <v>0</v>
          </cell>
          <cell r="BV183">
            <v>0</v>
          </cell>
          <cell r="BW183">
            <v>0</v>
          </cell>
          <cell r="BX183">
            <v>0</v>
          </cell>
        </row>
        <row r="184">
          <cell r="AO184"/>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321</v>
          </cell>
          <cell r="BN184">
            <v>321</v>
          </cell>
          <cell r="BO184">
            <v>321</v>
          </cell>
          <cell r="BP184">
            <v>321</v>
          </cell>
          <cell r="BQ184">
            <v>321</v>
          </cell>
          <cell r="BR184">
            <v>321</v>
          </cell>
          <cell r="BS184">
            <v>321</v>
          </cell>
          <cell r="BT184">
            <v>321</v>
          </cell>
          <cell r="BU184">
            <v>0</v>
          </cell>
          <cell r="BV184">
            <v>0</v>
          </cell>
          <cell r="BW184">
            <v>0</v>
          </cell>
          <cell r="BX184">
            <v>0</v>
          </cell>
        </row>
        <row r="185">
          <cell r="AO185"/>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125</v>
          </cell>
          <cell r="BJ185">
            <v>125</v>
          </cell>
          <cell r="BK185">
            <v>125</v>
          </cell>
          <cell r="BL185">
            <v>125</v>
          </cell>
          <cell r="BM185">
            <v>125</v>
          </cell>
          <cell r="BN185">
            <v>125</v>
          </cell>
          <cell r="BO185">
            <v>125</v>
          </cell>
          <cell r="BP185">
            <v>125</v>
          </cell>
          <cell r="BQ185">
            <v>125</v>
          </cell>
          <cell r="BR185">
            <v>125</v>
          </cell>
          <cell r="BS185">
            <v>125</v>
          </cell>
          <cell r="BT185">
            <v>125</v>
          </cell>
          <cell r="BU185">
            <v>0</v>
          </cell>
          <cell r="BV185">
            <v>0</v>
          </cell>
          <cell r="BW185">
            <v>0</v>
          </cell>
          <cell r="BX185">
            <v>0</v>
          </cell>
        </row>
        <row r="186">
          <cell r="AO186"/>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177</v>
          </cell>
          <cell r="BG186">
            <v>177</v>
          </cell>
          <cell r="BH186">
            <v>177</v>
          </cell>
          <cell r="BI186">
            <v>177</v>
          </cell>
          <cell r="BJ186">
            <v>177</v>
          </cell>
          <cell r="BK186">
            <v>177</v>
          </cell>
          <cell r="BL186">
            <v>177</v>
          </cell>
          <cell r="BM186">
            <v>177</v>
          </cell>
          <cell r="BN186">
            <v>177</v>
          </cell>
          <cell r="BO186">
            <v>177</v>
          </cell>
          <cell r="BP186">
            <v>177</v>
          </cell>
          <cell r="BQ186">
            <v>0</v>
          </cell>
          <cell r="BR186">
            <v>0</v>
          </cell>
          <cell r="BS186">
            <v>0</v>
          </cell>
          <cell r="BT186">
            <v>0</v>
          </cell>
          <cell r="BU186">
            <v>0</v>
          </cell>
          <cell r="BV186">
            <v>0</v>
          </cell>
          <cell r="BW186">
            <v>0</v>
          </cell>
          <cell r="BX186">
            <v>0</v>
          </cell>
        </row>
        <row r="187">
          <cell r="AO187"/>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246</v>
          </cell>
          <cell r="BO187">
            <v>246</v>
          </cell>
          <cell r="BP187">
            <v>246</v>
          </cell>
          <cell r="BQ187">
            <v>246</v>
          </cell>
          <cell r="BR187">
            <v>246</v>
          </cell>
          <cell r="BS187">
            <v>246</v>
          </cell>
          <cell r="BT187">
            <v>246</v>
          </cell>
          <cell r="BU187">
            <v>0</v>
          </cell>
          <cell r="BV187">
            <v>0</v>
          </cell>
          <cell r="BW187">
            <v>0</v>
          </cell>
          <cell r="BX187">
            <v>0</v>
          </cell>
        </row>
        <row r="188">
          <cell r="AO188"/>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118</v>
          </cell>
          <cell r="BK188">
            <v>118</v>
          </cell>
          <cell r="BL188">
            <v>118</v>
          </cell>
          <cell r="BM188">
            <v>118</v>
          </cell>
          <cell r="BN188">
            <v>118</v>
          </cell>
          <cell r="BO188">
            <v>118</v>
          </cell>
          <cell r="BP188">
            <v>118</v>
          </cell>
          <cell r="BQ188">
            <v>0</v>
          </cell>
          <cell r="BR188">
            <v>0</v>
          </cell>
          <cell r="BS188">
            <v>0</v>
          </cell>
          <cell r="BT188">
            <v>0</v>
          </cell>
          <cell r="BU188">
            <v>0</v>
          </cell>
          <cell r="BV188">
            <v>0</v>
          </cell>
          <cell r="BW188">
            <v>0</v>
          </cell>
          <cell r="BX188">
            <v>0</v>
          </cell>
        </row>
        <row r="189">
          <cell r="AO189"/>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90</v>
          </cell>
          <cell r="BE189">
            <v>90</v>
          </cell>
          <cell r="BF189">
            <v>90</v>
          </cell>
          <cell r="BG189">
            <v>90</v>
          </cell>
          <cell r="BH189">
            <v>90</v>
          </cell>
          <cell r="BI189">
            <v>90</v>
          </cell>
          <cell r="BJ189">
            <v>90</v>
          </cell>
          <cell r="BK189">
            <v>90</v>
          </cell>
          <cell r="BL189">
            <v>90</v>
          </cell>
          <cell r="BM189">
            <v>90</v>
          </cell>
          <cell r="BN189">
            <v>90</v>
          </cell>
          <cell r="BO189">
            <v>90</v>
          </cell>
          <cell r="BP189">
            <v>90</v>
          </cell>
          <cell r="BQ189">
            <v>90</v>
          </cell>
          <cell r="BR189">
            <v>90</v>
          </cell>
          <cell r="BS189">
            <v>90</v>
          </cell>
          <cell r="BT189">
            <v>0</v>
          </cell>
          <cell r="BU189">
            <v>0</v>
          </cell>
          <cell r="BV189">
            <v>0</v>
          </cell>
          <cell r="BW189">
            <v>0</v>
          </cell>
          <cell r="BX189">
            <v>0</v>
          </cell>
        </row>
        <row r="190">
          <cell r="AO190"/>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13</v>
          </cell>
          <cell r="BQ190">
            <v>13</v>
          </cell>
          <cell r="BR190">
            <v>13</v>
          </cell>
          <cell r="BS190">
            <v>13</v>
          </cell>
          <cell r="BT190">
            <v>13</v>
          </cell>
          <cell r="BU190">
            <v>13</v>
          </cell>
          <cell r="BV190">
            <v>0</v>
          </cell>
          <cell r="BW190">
            <v>0</v>
          </cell>
          <cell r="BX190">
            <v>0</v>
          </cell>
        </row>
        <row r="191">
          <cell r="AO191"/>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289</v>
          </cell>
          <cell r="BI191">
            <v>289</v>
          </cell>
          <cell r="BJ191">
            <v>289</v>
          </cell>
          <cell r="BK191">
            <v>289</v>
          </cell>
          <cell r="BL191">
            <v>289</v>
          </cell>
          <cell r="BM191">
            <v>289</v>
          </cell>
          <cell r="BN191">
            <v>289</v>
          </cell>
          <cell r="BO191">
            <v>289</v>
          </cell>
          <cell r="BP191">
            <v>289</v>
          </cell>
          <cell r="BQ191">
            <v>289</v>
          </cell>
          <cell r="BR191">
            <v>289</v>
          </cell>
          <cell r="BS191">
            <v>289</v>
          </cell>
          <cell r="BT191">
            <v>289</v>
          </cell>
          <cell r="BU191">
            <v>0</v>
          </cell>
          <cell r="BV191">
            <v>0</v>
          </cell>
          <cell r="BW191">
            <v>0</v>
          </cell>
          <cell r="BX191">
            <v>0</v>
          </cell>
        </row>
        <row r="192">
          <cell r="AO192"/>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116</v>
          </cell>
          <cell r="BQ192">
            <v>116</v>
          </cell>
          <cell r="BR192">
            <v>116</v>
          </cell>
          <cell r="BS192">
            <v>116</v>
          </cell>
          <cell r="BT192">
            <v>116</v>
          </cell>
          <cell r="BU192">
            <v>0</v>
          </cell>
          <cell r="BV192">
            <v>0</v>
          </cell>
          <cell r="BW192">
            <v>0</v>
          </cell>
          <cell r="BX192">
            <v>0</v>
          </cell>
        </row>
        <row r="193">
          <cell r="AO193"/>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row>
        <row r="194">
          <cell r="AO194"/>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row>
        <row r="195">
          <cell r="AO195"/>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row>
        <row r="196">
          <cell r="AO196"/>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row>
        <row r="197">
          <cell r="AO197" t="str">
            <v>【ホテルシップ】　合計</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293</v>
          </cell>
          <cell r="BE197">
            <v>293</v>
          </cell>
          <cell r="BF197">
            <v>695</v>
          </cell>
          <cell r="BG197">
            <v>2065</v>
          </cell>
          <cell r="BH197">
            <v>2393</v>
          </cell>
          <cell r="BI197">
            <v>2717</v>
          </cell>
          <cell r="BJ197">
            <v>2857</v>
          </cell>
          <cell r="BK197">
            <v>2857</v>
          </cell>
          <cell r="BL197">
            <v>2857</v>
          </cell>
          <cell r="BM197">
            <v>3451</v>
          </cell>
          <cell r="BN197">
            <v>3697</v>
          </cell>
          <cell r="BO197">
            <v>3042</v>
          </cell>
          <cell r="BP197">
            <v>3149</v>
          </cell>
          <cell r="BQ197">
            <v>1711</v>
          </cell>
          <cell r="BR197">
            <v>1711</v>
          </cell>
          <cell r="BS197">
            <v>1711</v>
          </cell>
          <cell r="BT197">
            <v>1621</v>
          </cell>
          <cell r="BU197">
            <v>13</v>
          </cell>
          <cell r="BV197">
            <v>0</v>
          </cell>
          <cell r="BW197">
            <v>0</v>
          </cell>
          <cell r="BX197">
            <v>0</v>
          </cell>
        </row>
        <row r="198">
          <cell r="AO198"/>
          <cell r="AP198">
            <v>0</v>
          </cell>
          <cell r="AQ198">
            <v>0</v>
          </cell>
          <cell r="AR198">
            <v>0</v>
          </cell>
          <cell r="AS198">
            <v>0</v>
          </cell>
          <cell r="AT198">
            <v>0</v>
          </cell>
          <cell r="AU198">
            <v>0</v>
          </cell>
          <cell r="AV198">
            <v>0</v>
          </cell>
          <cell r="AW198">
            <v>0</v>
          </cell>
          <cell r="AX198">
            <v>0</v>
          </cell>
          <cell r="AY198">
            <v>0</v>
          </cell>
          <cell r="AZ198">
            <v>0</v>
          </cell>
          <cell r="BA198">
            <v>83</v>
          </cell>
          <cell r="BB198">
            <v>83</v>
          </cell>
          <cell r="BC198">
            <v>83</v>
          </cell>
          <cell r="BD198">
            <v>83</v>
          </cell>
          <cell r="BE198">
            <v>83</v>
          </cell>
          <cell r="BF198">
            <v>83</v>
          </cell>
          <cell r="BG198">
            <v>83</v>
          </cell>
          <cell r="BH198">
            <v>83</v>
          </cell>
          <cell r="BI198">
            <v>83</v>
          </cell>
          <cell r="BJ198">
            <v>83</v>
          </cell>
          <cell r="BK198">
            <v>83</v>
          </cell>
          <cell r="BL198">
            <v>83</v>
          </cell>
          <cell r="BM198">
            <v>83</v>
          </cell>
          <cell r="BN198">
            <v>0</v>
          </cell>
          <cell r="BO198">
            <v>0</v>
          </cell>
          <cell r="BP198">
            <v>0</v>
          </cell>
          <cell r="BQ198">
            <v>0</v>
          </cell>
          <cell r="BR198">
            <v>0</v>
          </cell>
          <cell r="BS198">
            <v>0</v>
          </cell>
          <cell r="BT198">
            <v>0</v>
          </cell>
          <cell r="BU198">
            <v>0</v>
          </cell>
          <cell r="BV198">
            <v>0</v>
          </cell>
          <cell r="BW198">
            <v>0</v>
          </cell>
          <cell r="BX198">
            <v>0</v>
          </cell>
        </row>
        <row r="199">
          <cell r="AO199"/>
          <cell r="AP199">
            <v>0</v>
          </cell>
          <cell r="AQ199">
            <v>0</v>
          </cell>
          <cell r="AR199">
            <v>0</v>
          </cell>
          <cell r="AS199">
            <v>0</v>
          </cell>
          <cell r="AT199">
            <v>0</v>
          </cell>
          <cell r="AU199">
            <v>0</v>
          </cell>
          <cell r="AV199">
            <v>0</v>
          </cell>
          <cell r="AW199">
            <v>0</v>
          </cell>
          <cell r="AX199">
            <v>0</v>
          </cell>
          <cell r="AY199">
            <v>0</v>
          </cell>
          <cell r="AZ199">
            <v>0</v>
          </cell>
          <cell r="BA199">
            <v>83</v>
          </cell>
          <cell r="BB199">
            <v>83</v>
          </cell>
          <cell r="BC199">
            <v>83</v>
          </cell>
          <cell r="BD199">
            <v>83</v>
          </cell>
          <cell r="BE199">
            <v>83</v>
          </cell>
          <cell r="BF199">
            <v>83</v>
          </cell>
          <cell r="BG199">
            <v>83</v>
          </cell>
          <cell r="BH199">
            <v>83</v>
          </cell>
          <cell r="BI199">
            <v>83</v>
          </cell>
          <cell r="BJ199">
            <v>83</v>
          </cell>
          <cell r="BK199">
            <v>83</v>
          </cell>
          <cell r="BL199">
            <v>83</v>
          </cell>
          <cell r="BM199">
            <v>83</v>
          </cell>
          <cell r="BN199">
            <v>0</v>
          </cell>
          <cell r="BO199">
            <v>0</v>
          </cell>
          <cell r="BP199">
            <v>0</v>
          </cell>
          <cell r="BQ199">
            <v>0</v>
          </cell>
          <cell r="BR199">
            <v>0</v>
          </cell>
          <cell r="BS199">
            <v>0</v>
          </cell>
          <cell r="BT199">
            <v>0</v>
          </cell>
          <cell r="BU199">
            <v>0</v>
          </cell>
          <cell r="BV199">
            <v>0</v>
          </cell>
          <cell r="BW199">
            <v>0</v>
          </cell>
          <cell r="BX199">
            <v>0</v>
          </cell>
        </row>
        <row r="200">
          <cell r="AO200"/>
          <cell r="AP200">
            <v>0</v>
          </cell>
          <cell r="AQ200">
            <v>0</v>
          </cell>
          <cell r="AR200">
            <v>0</v>
          </cell>
          <cell r="AS200">
            <v>0</v>
          </cell>
          <cell r="AT200">
            <v>0</v>
          </cell>
          <cell r="AU200">
            <v>0</v>
          </cell>
          <cell r="AV200">
            <v>0</v>
          </cell>
          <cell r="AW200">
            <v>0</v>
          </cell>
          <cell r="AX200">
            <v>0</v>
          </cell>
          <cell r="AY200">
            <v>0</v>
          </cell>
          <cell r="AZ200">
            <v>0</v>
          </cell>
          <cell r="BA200">
            <v>0</v>
          </cell>
          <cell r="BB200">
            <v>60</v>
          </cell>
          <cell r="BC200">
            <v>60</v>
          </cell>
          <cell r="BD200">
            <v>60</v>
          </cell>
          <cell r="BE200">
            <v>60</v>
          </cell>
          <cell r="BF200">
            <v>60</v>
          </cell>
          <cell r="BG200">
            <v>60</v>
          </cell>
          <cell r="BH200">
            <v>60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row>
        <row r="201">
          <cell r="AO201"/>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row>
        <row r="202">
          <cell r="AO202" t="str">
            <v>ベストウェスタンプラス名古屋栄　合計</v>
          </cell>
          <cell r="AP202">
            <v>0</v>
          </cell>
          <cell r="AQ202">
            <v>0</v>
          </cell>
          <cell r="AR202">
            <v>0</v>
          </cell>
          <cell r="AS202">
            <v>0</v>
          </cell>
          <cell r="AT202">
            <v>0</v>
          </cell>
          <cell r="AU202">
            <v>0</v>
          </cell>
          <cell r="AV202">
            <v>0</v>
          </cell>
          <cell r="AW202">
            <v>0</v>
          </cell>
          <cell r="AX202">
            <v>0</v>
          </cell>
          <cell r="AY202">
            <v>0</v>
          </cell>
          <cell r="AZ202">
            <v>0</v>
          </cell>
          <cell r="BA202">
            <v>166</v>
          </cell>
          <cell r="BB202">
            <v>226</v>
          </cell>
          <cell r="BC202">
            <v>226</v>
          </cell>
          <cell r="BD202">
            <v>226</v>
          </cell>
          <cell r="BE202">
            <v>226</v>
          </cell>
          <cell r="BF202">
            <v>226</v>
          </cell>
          <cell r="BG202">
            <v>226</v>
          </cell>
          <cell r="BH202">
            <v>226</v>
          </cell>
          <cell r="BI202">
            <v>166</v>
          </cell>
          <cell r="BJ202">
            <v>166</v>
          </cell>
          <cell r="BK202">
            <v>166</v>
          </cell>
          <cell r="BL202">
            <v>166</v>
          </cell>
          <cell r="BM202">
            <v>166</v>
          </cell>
          <cell r="BN202">
            <v>0</v>
          </cell>
          <cell r="BO202">
            <v>0</v>
          </cell>
          <cell r="BP202">
            <v>0</v>
          </cell>
          <cell r="BQ202">
            <v>0</v>
          </cell>
          <cell r="BR202">
            <v>0</v>
          </cell>
          <cell r="BS202">
            <v>0</v>
          </cell>
          <cell r="BT202">
            <v>0</v>
          </cell>
          <cell r="BU202">
            <v>0</v>
          </cell>
          <cell r="BV202">
            <v>0</v>
          </cell>
          <cell r="BW202">
            <v>0</v>
          </cell>
          <cell r="BX202">
            <v>0</v>
          </cell>
        </row>
        <row r="203">
          <cell r="AO203"/>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row>
        <row r="204">
          <cell r="AO204"/>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row>
        <row r="205">
          <cell r="AO205"/>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BX205">
            <v>0</v>
          </cell>
        </row>
        <row r="206">
          <cell r="AO206"/>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row>
        <row r="207">
          <cell r="AO207" t="str">
            <v>グリーンリッチホテル名古屋錦　合計</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row>
        <row r="208">
          <cell r="AO208"/>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row>
        <row r="209">
          <cell r="AO209"/>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row>
        <row r="210">
          <cell r="AO210"/>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row>
        <row r="211">
          <cell r="AO211"/>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row>
        <row r="212">
          <cell r="AO212" t="str">
            <v>ダイワロイネットホテル名古屋新幹線口　合計</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row>
        <row r="213">
          <cell r="AO213"/>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row>
        <row r="214">
          <cell r="AO214"/>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row>
        <row r="215">
          <cell r="AO215"/>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row>
        <row r="216">
          <cell r="AO216"/>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row>
        <row r="217">
          <cell r="AO217" t="str">
            <v>ダイワロイネットホテル名古屋太閤通口　合計</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row>
        <row r="218">
          <cell r="AO218"/>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row>
        <row r="219">
          <cell r="AO219"/>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row>
        <row r="220">
          <cell r="AO220"/>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row>
        <row r="221">
          <cell r="AO221"/>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row>
        <row r="222">
          <cell r="AO222" t="str">
            <v>DEL style 名古屋納屋橋（旧：ダイワロイネットホテル名古屋納屋橋）　合計</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row>
        <row r="223">
          <cell r="AO223"/>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row>
        <row r="224">
          <cell r="AO224"/>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row>
        <row r="225">
          <cell r="AO225"/>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row>
        <row r="226">
          <cell r="AO226"/>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row>
        <row r="227">
          <cell r="AO227" t="str">
            <v>モンブランホテルラフィネ名古屋駅前　合計</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row>
        <row r="228">
          <cell r="AO228"/>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row>
        <row r="229">
          <cell r="AO229"/>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row>
        <row r="230">
          <cell r="AO230"/>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row>
        <row r="231">
          <cell r="AO231"/>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row>
        <row r="232">
          <cell r="AO232" t="str">
            <v>名古屋ビーズホテル　合計</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row>
        <row r="233">
          <cell r="AO233"/>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row>
        <row r="234">
          <cell r="AO234"/>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row>
        <row r="235">
          <cell r="AO235"/>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row>
        <row r="236">
          <cell r="AO236"/>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row>
        <row r="237">
          <cell r="AO237" t="str">
            <v>ホテル京阪名古屋　合計</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row>
        <row r="238">
          <cell r="AO238"/>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row>
        <row r="239">
          <cell r="AO239"/>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row>
        <row r="240">
          <cell r="AO240"/>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row>
        <row r="241">
          <cell r="AO241"/>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row>
        <row r="242">
          <cell r="AO242" t="str">
            <v>ホテルフォルツァ名古屋栄　合計</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row>
        <row r="243">
          <cell r="AO243"/>
          <cell r="AP243">
            <v>0</v>
          </cell>
          <cell r="AQ243">
            <v>0</v>
          </cell>
          <cell r="AR243">
            <v>0</v>
          </cell>
          <cell r="AS243">
            <v>0</v>
          </cell>
          <cell r="AT243">
            <v>0</v>
          </cell>
          <cell r="AU243">
            <v>0</v>
          </cell>
          <cell r="AV243">
            <v>0</v>
          </cell>
          <cell r="AW243">
            <v>0</v>
          </cell>
          <cell r="AX243">
            <v>0</v>
          </cell>
          <cell r="AY243">
            <v>0</v>
          </cell>
          <cell r="AZ243">
            <v>0</v>
          </cell>
          <cell r="BA243">
            <v>135</v>
          </cell>
          <cell r="BB243">
            <v>135</v>
          </cell>
          <cell r="BC243">
            <v>135</v>
          </cell>
          <cell r="BD243">
            <v>135</v>
          </cell>
          <cell r="BE243">
            <v>135</v>
          </cell>
          <cell r="BF243">
            <v>135</v>
          </cell>
          <cell r="BG243">
            <v>135</v>
          </cell>
          <cell r="BH243">
            <v>135</v>
          </cell>
          <cell r="BI243">
            <v>135</v>
          </cell>
          <cell r="BJ243">
            <v>135</v>
          </cell>
          <cell r="BK243">
            <v>135</v>
          </cell>
          <cell r="BL243">
            <v>135</v>
          </cell>
          <cell r="BM243">
            <v>135</v>
          </cell>
          <cell r="BN243">
            <v>135</v>
          </cell>
          <cell r="BO243">
            <v>135</v>
          </cell>
          <cell r="BP243">
            <v>135</v>
          </cell>
          <cell r="BQ243">
            <v>135</v>
          </cell>
          <cell r="BR243">
            <v>135</v>
          </cell>
          <cell r="BS243">
            <v>135</v>
          </cell>
          <cell r="BT243">
            <v>135</v>
          </cell>
          <cell r="BU243">
            <v>0</v>
          </cell>
          <cell r="BV243">
            <v>0</v>
          </cell>
          <cell r="BW243">
            <v>0</v>
          </cell>
          <cell r="BX243">
            <v>0</v>
          </cell>
        </row>
        <row r="244">
          <cell r="AO244"/>
          <cell r="AP244">
            <v>0</v>
          </cell>
          <cell r="AQ244">
            <v>0</v>
          </cell>
          <cell r="AR244">
            <v>0</v>
          </cell>
          <cell r="AS244">
            <v>0</v>
          </cell>
          <cell r="AT244">
            <v>0</v>
          </cell>
          <cell r="AU244">
            <v>0</v>
          </cell>
          <cell r="AV244">
            <v>0</v>
          </cell>
          <cell r="AW244">
            <v>0</v>
          </cell>
          <cell r="AX244">
            <v>0</v>
          </cell>
          <cell r="AY244">
            <v>0</v>
          </cell>
          <cell r="AZ244">
            <v>0</v>
          </cell>
          <cell r="BA244">
            <v>101</v>
          </cell>
          <cell r="BB244">
            <v>101</v>
          </cell>
          <cell r="BC244">
            <v>101</v>
          </cell>
          <cell r="BD244">
            <v>101</v>
          </cell>
          <cell r="BE244">
            <v>101</v>
          </cell>
          <cell r="BF244">
            <v>101</v>
          </cell>
          <cell r="BG244">
            <v>101</v>
          </cell>
          <cell r="BH244">
            <v>101</v>
          </cell>
          <cell r="BI244">
            <v>101</v>
          </cell>
          <cell r="BJ244">
            <v>101</v>
          </cell>
          <cell r="BK244">
            <v>101</v>
          </cell>
          <cell r="BL244">
            <v>101</v>
          </cell>
          <cell r="BM244">
            <v>101</v>
          </cell>
          <cell r="BN244">
            <v>101</v>
          </cell>
          <cell r="BO244">
            <v>101</v>
          </cell>
          <cell r="BP244">
            <v>101</v>
          </cell>
          <cell r="BQ244">
            <v>101</v>
          </cell>
          <cell r="BR244">
            <v>101</v>
          </cell>
          <cell r="BS244">
            <v>101</v>
          </cell>
          <cell r="BT244">
            <v>101</v>
          </cell>
          <cell r="BU244">
            <v>0</v>
          </cell>
          <cell r="BV244">
            <v>0</v>
          </cell>
          <cell r="BW244">
            <v>0</v>
          </cell>
          <cell r="BX244">
            <v>0</v>
          </cell>
        </row>
        <row r="245">
          <cell r="AO245"/>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row>
        <row r="246">
          <cell r="AO246"/>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row>
        <row r="247">
          <cell r="AO247" t="str">
            <v>アパホテル&lt;名古屋錦&gt; EXCELLENT　合計</v>
          </cell>
          <cell r="AP247">
            <v>0</v>
          </cell>
          <cell r="AQ247">
            <v>0</v>
          </cell>
          <cell r="AR247">
            <v>0</v>
          </cell>
          <cell r="AS247">
            <v>0</v>
          </cell>
          <cell r="AT247">
            <v>0</v>
          </cell>
          <cell r="AU247">
            <v>0</v>
          </cell>
          <cell r="AV247">
            <v>0</v>
          </cell>
          <cell r="AW247">
            <v>0</v>
          </cell>
          <cell r="AX247">
            <v>0</v>
          </cell>
          <cell r="AY247">
            <v>0</v>
          </cell>
          <cell r="AZ247">
            <v>0</v>
          </cell>
          <cell r="BA247">
            <v>236</v>
          </cell>
          <cell r="BB247">
            <v>236</v>
          </cell>
          <cell r="BC247">
            <v>236</v>
          </cell>
          <cell r="BD247">
            <v>236</v>
          </cell>
          <cell r="BE247">
            <v>236</v>
          </cell>
          <cell r="BF247">
            <v>236</v>
          </cell>
          <cell r="BG247">
            <v>236</v>
          </cell>
          <cell r="BH247">
            <v>236</v>
          </cell>
          <cell r="BI247">
            <v>236</v>
          </cell>
          <cell r="BJ247">
            <v>236</v>
          </cell>
          <cell r="BK247">
            <v>236</v>
          </cell>
          <cell r="BL247">
            <v>236</v>
          </cell>
          <cell r="BM247">
            <v>236</v>
          </cell>
          <cell r="BN247">
            <v>236</v>
          </cell>
          <cell r="BO247">
            <v>236</v>
          </cell>
          <cell r="BP247">
            <v>236</v>
          </cell>
          <cell r="BQ247">
            <v>236</v>
          </cell>
          <cell r="BR247">
            <v>236</v>
          </cell>
          <cell r="BS247">
            <v>236</v>
          </cell>
          <cell r="BT247">
            <v>236</v>
          </cell>
          <cell r="BU247">
            <v>0</v>
          </cell>
          <cell r="BV247">
            <v>0</v>
          </cell>
          <cell r="BW247">
            <v>0</v>
          </cell>
          <cell r="BX247">
            <v>0</v>
          </cell>
        </row>
        <row r="248">
          <cell r="AO248"/>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row>
        <row r="249">
          <cell r="AO249"/>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row>
        <row r="250">
          <cell r="AO250"/>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row>
        <row r="251">
          <cell r="AO251"/>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row>
        <row r="252">
          <cell r="AO252" t="str">
            <v>ベッセルイン栄駅前　合計</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row>
        <row r="253">
          <cell r="AO253"/>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row>
        <row r="254">
          <cell r="AO254"/>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row>
        <row r="255">
          <cell r="AO255"/>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row>
        <row r="256">
          <cell r="AO256"/>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row>
        <row r="257">
          <cell r="AO257" t="str">
            <v>名古屋金山ホテル　合計</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row>
        <row r="258">
          <cell r="AO258"/>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row>
        <row r="259">
          <cell r="AO259"/>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row>
        <row r="260">
          <cell r="AO260"/>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row>
        <row r="261">
          <cell r="AO261"/>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row>
        <row r="262">
          <cell r="AO262" t="str">
            <v>名古屋笠寺ホテル　合計</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row>
        <row r="263">
          <cell r="AO263"/>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row>
        <row r="264">
          <cell r="AO264"/>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row>
        <row r="265">
          <cell r="AO265"/>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row>
        <row r="266">
          <cell r="AO266"/>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row>
        <row r="267">
          <cell r="AO267" t="str">
            <v>ホテルルートイン名古屋栄　合計</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row>
        <row r="268">
          <cell r="AO268"/>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row>
        <row r="269">
          <cell r="AO269"/>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row>
        <row r="270">
          <cell r="AO270"/>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row>
        <row r="271">
          <cell r="AO271"/>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row>
        <row r="272">
          <cell r="AO272" t="str">
            <v>ホテルルートイン名古屋東別院　合計</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row>
        <row r="273">
          <cell r="AO273"/>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row>
        <row r="274">
          <cell r="AO274"/>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BX274">
            <v>0</v>
          </cell>
        </row>
        <row r="275">
          <cell r="AO275"/>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BX275">
            <v>0</v>
          </cell>
        </row>
        <row r="276">
          <cell r="AO276"/>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row>
        <row r="277">
          <cell r="AO277" t="str">
            <v>ホテルルートイン名古屋今池駅前　合計</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row>
        <row r="278">
          <cell r="AO278"/>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row>
        <row r="279">
          <cell r="AO279"/>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row>
        <row r="280">
          <cell r="AO280"/>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row>
        <row r="281">
          <cell r="AO281"/>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row>
        <row r="282">
          <cell r="AO282" t="str">
            <v>アパホテル＜尾張一宮駅前＞　合計</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row>
        <row r="283">
          <cell r="AO283"/>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row>
        <row r="284">
          <cell r="AO284"/>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row>
        <row r="285">
          <cell r="AO285"/>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row>
        <row r="286">
          <cell r="AO286"/>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row>
        <row r="287">
          <cell r="AO287" t="str">
            <v>東横INN名古屋尾張一宮駅前　合計</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row>
        <row r="288">
          <cell r="AO288"/>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row>
        <row r="289">
          <cell r="AO289"/>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row>
        <row r="290">
          <cell r="AO290"/>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row>
        <row r="291">
          <cell r="AO291"/>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row>
        <row r="292">
          <cell r="AO292" t="str">
            <v>ホテルルートイン一宮駅前　合計</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row>
        <row r="293">
          <cell r="AO293"/>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row>
        <row r="294">
          <cell r="AO294"/>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row>
        <row r="295">
          <cell r="AO295"/>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row>
        <row r="296">
          <cell r="AO296"/>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row>
        <row r="297">
          <cell r="AO297" t="str">
            <v>一宮グリーンホテル　合計</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row>
        <row r="298">
          <cell r="AO298"/>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row>
        <row r="299">
          <cell r="AO299"/>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row>
        <row r="300">
          <cell r="AO300"/>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row>
        <row r="301">
          <cell r="AO301"/>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row>
        <row r="302">
          <cell r="AO302" t="str">
            <v>ホテルインディゴ犬山有楽苑　合計</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row>
        <row r="303">
          <cell r="AO303"/>
          <cell r="AP303">
            <v>0</v>
          </cell>
          <cell r="AQ303">
            <v>0</v>
          </cell>
          <cell r="AR303">
            <v>0</v>
          </cell>
          <cell r="AS303">
            <v>0</v>
          </cell>
          <cell r="AT303">
            <v>0</v>
          </cell>
          <cell r="AU303">
            <v>0</v>
          </cell>
          <cell r="AV303">
            <v>0</v>
          </cell>
          <cell r="AW303">
            <v>0</v>
          </cell>
          <cell r="AX303">
            <v>0</v>
          </cell>
          <cell r="AY303">
            <v>0</v>
          </cell>
          <cell r="AZ303">
            <v>168</v>
          </cell>
          <cell r="BA303">
            <v>168</v>
          </cell>
          <cell r="BB303">
            <v>168</v>
          </cell>
          <cell r="BC303">
            <v>168</v>
          </cell>
          <cell r="BD303">
            <v>168</v>
          </cell>
          <cell r="BE303">
            <v>168</v>
          </cell>
          <cell r="BF303">
            <v>168</v>
          </cell>
          <cell r="BG303">
            <v>168</v>
          </cell>
          <cell r="BH303">
            <v>168</v>
          </cell>
          <cell r="BI303">
            <v>168</v>
          </cell>
          <cell r="BJ303">
            <v>168</v>
          </cell>
          <cell r="BK303">
            <v>168</v>
          </cell>
          <cell r="BL303">
            <v>168</v>
          </cell>
          <cell r="BM303">
            <v>168</v>
          </cell>
          <cell r="BN303">
            <v>168</v>
          </cell>
          <cell r="BO303">
            <v>168</v>
          </cell>
          <cell r="BP303">
            <v>168</v>
          </cell>
          <cell r="BQ303">
            <v>168</v>
          </cell>
          <cell r="BR303">
            <v>168</v>
          </cell>
          <cell r="BS303">
            <v>168</v>
          </cell>
          <cell r="BT303">
            <v>168</v>
          </cell>
          <cell r="BU303">
            <v>0</v>
          </cell>
          <cell r="BV303">
            <v>0</v>
          </cell>
          <cell r="BW303">
            <v>0</v>
          </cell>
          <cell r="BX303">
            <v>0</v>
          </cell>
        </row>
        <row r="304">
          <cell r="AO304"/>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row>
        <row r="305">
          <cell r="AO305"/>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row>
        <row r="306">
          <cell r="AO306"/>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row>
        <row r="307">
          <cell r="AO307" t="str">
            <v>ホテルミュースタイル犬山エクスペリエンス　合計</v>
          </cell>
          <cell r="AP307">
            <v>0</v>
          </cell>
          <cell r="AQ307">
            <v>0</v>
          </cell>
          <cell r="AR307">
            <v>0</v>
          </cell>
          <cell r="AS307">
            <v>0</v>
          </cell>
          <cell r="AT307">
            <v>0</v>
          </cell>
          <cell r="AU307">
            <v>0</v>
          </cell>
          <cell r="AV307">
            <v>0</v>
          </cell>
          <cell r="AW307">
            <v>0</v>
          </cell>
          <cell r="AX307">
            <v>0</v>
          </cell>
          <cell r="AY307">
            <v>0</v>
          </cell>
          <cell r="AZ307">
            <v>168</v>
          </cell>
          <cell r="BA307">
            <v>168</v>
          </cell>
          <cell r="BB307">
            <v>168</v>
          </cell>
          <cell r="BC307">
            <v>168</v>
          </cell>
          <cell r="BD307">
            <v>168</v>
          </cell>
          <cell r="BE307">
            <v>168</v>
          </cell>
          <cell r="BF307">
            <v>168</v>
          </cell>
          <cell r="BG307">
            <v>168</v>
          </cell>
          <cell r="BH307">
            <v>168</v>
          </cell>
          <cell r="BI307">
            <v>168</v>
          </cell>
          <cell r="BJ307">
            <v>168</v>
          </cell>
          <cell r="BK307">
            <v>168</v>
          </cell>
          <cell r="BL307">
            <v>168</v>
          </cell>
          <cell r="BM307">
            <v>168</v>
          </cell>
          <cell r="BN307">
            <v>168</v>
          </cell>
          <cell r="BO307">
            <v>168</v>
          </cell>
          <cell r="BP307">
            <v>168</v>
          </cell>
          <cell r="BQ307">
            <v>168</v>
          </cell>
          <cell r="BR307">
            <v>168</v>
          </cell>
          <cell r="BS307">
            <v>168</v>
          </cell>
          <cell r="BT307">
            <v>168</v>
          </cell>
          <cell r="BU307">
            <v>0</v>
          </cell>
          <cell r="BV307">
            <v>0</v>
          </cell>
          <cell r="BW307">
            <v>0</v>
          </cell>
          <cell r="BX307">
            <v>0</v>
          </cell>
        </row>
        <row r="308">
          <cell r="AO308"/>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row>
        <row r="309">
          <cell r="AO309"/>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row>
        <row r="310">
          <cell r="AO310"/>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row>
        <row r="311">
          <cell r="AO311"/>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row>
        <row r="312">
          <cell r="AO312" t="str">
            <v>ホテルプラザ勝川　合計</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row>
        <row r="313">
          <cell r="AO313"/>
          <cell r="AP313">
            <v>0</v>
          </cell>
          <cell r="AQ313">
            <v>0</v>
          </cell>
          <cell r="AR313">
            <v>0</v>
          </cell>
          <cell r="AS313">
            <v>0</v>
          </cell>
          <cell r="AT313">
            <v>0</v>
          </cell>
          <cell r="AU313">
            <v>0</v>
          </cell>
          <cell r="AV313">
            <v>0</v>
          </cell>
          <cell r="AW313">
            <v>0</v>
          </cell>
          <cell r="AX313">
            <v>0</v>
          </cell>
          <cell r="AY313">
            <v>0</v>
          </cell>
          <cell r="AZ313">
            <v>187</v>
          </cell>
          <cell r="BA313">
            <v>187</v>
          </cell>
          <cell r="BB313">
            <v>187</v>
          </cell>
          <cell r="BC313">
            <v>187</v>
          </cell>
          <cell r="BD313">
            <v>187</v>
          </cell>
          <cell r="BE313">
            <v>187</v>
          </cell>
          <cell r="BF313">
            <v>187</v>
          </cell>
          <cell r="BG313">
            <v>187</v>
          </cell>
          <cell r="BH313">
            <v>187</v>
          </cell>
          <cell r="BI313">
            <v>187</v>
          </cell>
          <cell r="BJ313">
            <v>187</v>
          </cell>
          <cell r="BK313">
            <v>187</v>
          </cell>
          <cell r="BL313">
            <v>187</v>
          </cell>
          <cell r="BM313">
            <v>187</v>
          </cell>
          <cell r="BN313">
            <v>187</v>
          </cell>
          <cell r="BO313">
            <v>187</v>
          </cell>
          <cell r="BP313">
            <v>187</v>
          </cell>
          <cell r="BQ313">
            <v>187</v>
          </cell>
          <cell r="BR313">
            <v>187</v>
          </cell>
          <cell r="BS313">
            <v>187</v>
          </cell>
          <cell r="BT313">
            <v>187</v>
          </cell>
          <cell r="BU313">
            <v>0</v>
          </cell>
          <cell r="BV313">
            <v>0</v>
          </cell>
          <cell r="BW313">
            <v>0</v>
          </cell>
          <cell r="BX313">
            <v>0</v>
          </cell>
        </row>
        <row r="314">
          <cell r="AO314"/>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row>
        <row r="315">
          <cell r="AO315"/>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row>
        <row r="316">
          <cell r="AO316"/>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row>
        <row r="317">
          <cell r="AO317" t="str">
            <v>ルートイングランティア小牧　合計</v>
          </cell>
          <cell r="AP317">
            <v>0</v>
          </cell>
          <cell r="AQ317">
            <v>0</v>
          </cell>
          <cell r="AR317">
            <v>0</v>
          </cell>
          <cell r="AS317">
            <v>0</v>
          </cell>
          <cell r="AT317">
            <v>0</v>
          </cell>
          <cell r="AU317">
            <v>0</v>
          </cell>
          <cell r="AV317">
            <v>0</v>
          </cell>
          <cell r="AW317">
            <v>0</v>
          </cell>
          <cell r="AX317">
            <v>0</v>
          </cell>
          <cell r="AY317">
            <v>0</v>
          </cell>
          <cell r="AZ317">
            <v>187</v>
          </cell>
          <cell r="BA317">
            <v>187</v>
          </cell>
          <cell r="BB317">
            <v>187</v>
          </cell>
          <cell r="BC317">
            <v>187</v>
          </cell>
          <cell r="BD317">
            <v>187</v>
          </cell>
          <cell r="BE317">
            <v>187</v>
          </cell>
          <cell r="BF317">
            <v>187</v>
          </cell>
          <cell r="BG317">
            <v>187</v>
          </cell>
          <cell r="BH317">
            <v>187</v>
          </cell>
          <cell r="BI317">
            <v>187</v>
          </cell>
          <cell r="BJ317">
            <v>187</v>
          </cell>
          <cell r="BK317">
            <v>187</v>
          </cell>
          <cell r="BL317">
            <v>187</v>
          </cell>
          <cell r="BM317">
            <v>187</v>
          </cell>
          <cell r="BN317">
            <v>187</v>
          </cell>
          <cell r="BO317">
            <v>187</v>
          </cell>
          <cell r="BP317">
            <v>187</v>
          </cell>
          <cell r="BQ317">
            <v>187</v>
          </cell>
          <cell r="BR317">
            <v>187</v>
          </cell>
          <cell r="BS317">
            <v>187</v>
          </cell>
          <cell r="BT317">
            <v>187</v>
          </cell>
          <cell r="BU317">
            <v>0</v>
          </cell>
          <cell r="BV317">
            <v>0</v>
          </cell>
          <cell r="BW317">
            <v>0</v>
          </cell>
          <cell r="BX317">
            <v>0</v>
          </cell>
        </row>
        <row r="318">
          <cell r="AO318"/>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row>
        <row r="319">
          <cell r="AO319"/>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row>
        <row r="320">
          <cell r="AO320"/>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row>
        <row r="321">
          <cell r="AO321"/>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row>
        <row r="322">
          <cell r="AO322" t="str">
            <v>名鉄小牧ホテル　合計</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row>
        <row r="323">
          <cell r="AO323"/>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row>
        <row r="324">
          <cell r="AO324"/>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cell r="BX324">
            <v>0</v>
          </cell>
        </row>
        <row r="325">
          <cell r="AO325"/>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row>
        <row r="326">
          <cell r="AO326"/>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row>
        <row r="327">
          <cell r="AO327" t="str">
            <v>ホテルルートイン尾張瀬戸駅前　合計</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row>
        <row r="328">
          <cell r="AO328"/>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row>
        <row r="329">
          <cell r="AO329"/>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O329">
            <v>0</v>
          </cell>
          <cell r="BP329">
            <v>0</v>
          </cell>
          <cell r="BQ329">
            <v>0</v>
          </cell>
          <cell r="BR329">
            <v>0</v>
          </cell>
          <cell r="BS329">
            <v>0</v>
          </cell>
          <cell r="BT329">
            <v>0</v>
          </cell>
          <cell r="BU329">
            <v>0</v>
          </cell>
          <cell r="BV329">
            <v>0</v>
          </cell>
          <cell r="BW329">
            <v>0</v>
          </cell>
          <cell r="BX329">
            <v>0</v>
          </cell>
        </row>
        <row r="330">
          <cell r="AO330"/>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row>
        <row r="331">
          <cell r="AO331"/>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row>
        <row r="332">
          <cell r="AO332" t="str">
            <v>ホテルルートイン愛知東郷町　合計</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row>
        <row r="333">
          <cell r="AO333"/>
          <cell r="AP333">
            <v>0</v>
          </cell>
          <cell r="AQ333">
            <v>0</v>
          </cell>
          <cell r="AR333">
            <v>0</v>
          </cell>
          <cell r="AS333">
            <v>0</v>
          </cell>
          <cell r="AT333">
            <v>0</v>
          </cell>
          <cell r="AU333">
            <v>0</v>
          </cell>
          <cell r="AV333">
            <v>0</v>
          </cell>
          <cell r="AW333">
            <v>0</v>
          </cell>
          <cell r="AX333">
            <v>0</v>
          </cell>
          <cell r="AY333">
            <v>0</v>
          </cell>
          <cell r="AZ333">
            <v>619</v>
          </cell>
          <cell r="BA333">
            <v>619</v>
          </cell>
          <cell r="BB333">
            <v>619</v>
          </cell>
          <cell r="BC333">
            <v>619</v>
          </cell>
          <cell r="BD333">
            <v>619</v>
          </cell>
          <cell r="BE333">
            <v>619</v>
          </cell>
          <cell r="BF333">
            <v>619</v>
          </cell>
          <cell r="BG333">
            <v>619</v>
          </cell>
          <cell r="BH333">
            <v>619</v>
          </cell>
          <cell r="BI333">
            <v>619</v>
          </cell>
          <cell r="BJ333">
            <v>619</v>
          </cell>
          <cell r="BK333">
            <v>619</v>
          </cell>
          <cell r="BL333">
            <v>619</v>
          </cell>
          <cell r="BM333">
            <v>619</v>
          </cell>
          <cell r="BN333">
            <v>619</v>
          </cell>
          <cell r="BO333">
            <v>619</v>
          </cell>
          <cell r="BP333">
            <v>619</v>
          </cell>
          <cell r="BQ333">
            <v>619</v>
          </cell>
          <cell r="BR333">
            <v>0</v>
          </cell>
          <cell r="BS333">
            <v>0</v>
          </cell>
          <cell r="BT333">
            <v>0</v>
          </cell>
          <cell r="BU333">
            <v>0</v>
          </cell>
          <cell r="BV333">
            <v>0</v>
          </cell>
          <cell r="BW333">
            <v>0</v>
          </cell>
          <cell r="BX333">
            <v>0</v>
          </cell>
        </row>
        <row r="334">
          <cell r="AO334"/>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49</v>
          </cell>
          <cell r="BH334">
            <v>49</v>
          </cell>
          <cell r="BI334">
            <v>49</v>
          </cell>
          <cell r="BJ334">
            <v>49</v>
          </cell>
          <cell r="BK334">
            <v>49</v>
          </cell>
          <cell r="BL334">
            <v>49</v>
          </cell>
          <cell r="BM334">
            <v>49</v>
          </cell>
          <cell r="BN334">
            <v>49</v>
          </cell>
          <cell r="BO334">
            <v>0</v>
          </cell>
          <cell r="BP334">
            <v>0</v>
          </cell>
          <cell r="BQ334">
            <v>0</v>
          </cell>
          <cell r="BR334">
            <v>0</v>
          </cell>
          <cell r="BS334">
            <v>0</v>
          </cell>
          <cell r="BT334">
            <v>0</v>
          </cell>
          <cell r="BU334">
            <v>0</v>
          </cell>
          <cell r="BV334">
            <v>0</v>
          </cell>
          <cell r="BW334">
            <v>0</v>
          </cell>
          <cell r="BX334">
            <v>0</v>
          </cell>
        </row>
        <row r="335">
          <cell r="AO335"/>
          <cell r="AP335">
            <v>0</v>
          </cell>
          <cell r="AQ335">
            <v>0</v>
          </cell>
          <cell r="AR335">
            <v>0</v>
          </cell>
          <cell r="AS335">
            <v>0</v>
          </cell>
          <cell r="AT335">
            <v>0</v>
          </cell>
          <cell r="AU335">
            <v>0</v>
          </cell>
          <cell r="AV335">
            <v>0</v>
          </cell>
          <cell r="AW335">
            <v>0</v>
          </cell>
          <cell r="AX335">
            <v>0</v>
          </cell>
          <cell r="AY335">
            <v>0</v>
          </cell>
          <cell r="AZ335">
            <v>62</v>
          </cell>
          <cell r="BA335">
            <v>62</v>
          </cell>
          <cell r="BB335">
            <v>62</v>
          </cell>
          <cell r="BC335">
            <v>62</v>
          </cell>
          <cell r="BD335">
            <v>62</v>
          </cell>
          <cell r="BE335">
            <v>62</v>
          </cell>
          <cell r="BF335">
            <v>62</v>
          </cell>
          <cell r="BG335">
            <v>62</v>
          </cell>
          <cell r="BH335">
            <v>62</v>
          </cell>
          <cell r="BI335">
            <v>62</v>
          </cell>
          <cell r="BJ335">
            <v>62</v>
          </cell>
          <cell r="BK335">
            <v>62</v>
          </cell>
          <cell r="BL335">
            <v>62</v>
          </cell>
          <cell r="BM335">
            <v>62</v>
          </cell>
          <cell r="BN335">
            <v>62</v>
          </cell>
          <cell r="BO335">
            <v>62</v>
          </cell>
          <cell r="BP335">
            <v>62</v>
          </cell>
          <cell r="BQ335">
            <v>62</v>
          </cell>
          <cell r="BR335">
            <v>62</v>
          </cell>
          <cell r="BS335">
            <v>62</v>
          </cell>
          <cell r="BT335">
            <v>62</v>
          </cell>
          <cell r="BU335">
            <v>0</v>
          </cell>
          <cell r="BV335">
            <v>0</v>
          </cell>
          <cell r="BW335">
            <v>0</v>
          </cell>
          <cell r="BX335">
            <v>0</v>
          </cell>
        </row>
        <row r="336">
          <cell r="AO336"/>
          <cell r="AP336">
            <v>0</v>
          </cell>
          <cell r="AQ336">
            <v>0</v>
          </cell>
          <cell r="AR336">
            <v>0</v>
          </cell>
          <cell r="AS336">
            <v>0</v>
          </cell>
          <cell r="AT336">
            <v>0</v>
          </cell>
          <cell r="AU336">
            <v>0</v>
          </cell>
          <cell r="AV336">
            <v>0</v>
          </cell>
          <cell r="AW336">
            <v>0</v>
          </cell>
          <cell r="AX336">
            <v>0</v>
          </cell>
          <cell r="AY336">
            <v>0</v>
          </cell>
          <cell r="AZ336">
            <v>52</v>
          </cell>
          <cell r="BA336">
            <v>52</v>
          </cell>
          <cell r="BB336">
            <v>52</v>
          </cell>
          <cell r="BC336">
            <v>52</v>
          </cell>
          <cell r="BD336">
            <v>52</v>
          </cell>
          <cell r="BE336">
            <v>52</v>
          </cell>
          <cell r="BF336">
            <v>52</v>
          </cell>
          <cell r="BG336">
            <v>52</v>
          </cell>
          <cell r="BH336">
            <v>52</v>
          </cell>
          <cell r="BI336">
            <v>52</v>
          </cell>
          <cell r="BJ336">
            <v>52</v>
          </cell>
          <cell r="BK336">
            <v>52</v>
          </cell>
          <cell r="BL336">
            <v>52</v>
          </cell>
          <cell r="BM336">
            <v>52</v>
          </cell>
          <cell r="BN336">
            <v>52</v>
          </cell>
          <cell r="BO336">
            <v>52</v>
          </cell>
          <cell r="BP336">
            <v>52</v>
          </cell>
          <cell r="BQ336">
            <v>52</v>
          </cell>
          <cell r="BR336">
            <v>52</v>
          </cell>
          <cell r="BS336">
            <v>52</v>
          </cell>
          <cell r="BT336">
            <v>52</v>
          </cell>
          <cell r="BU336">
            <v>0</v>
          </cell>
          <cell r="BV336">
            <v>0</v>
          </cell>
          <cell r="BW336">
            <v>0</v>
          </cell>
          <cell r="BX336">
            <v>0</v>
          </cell>
        </row>
        <row r="337">
          <cell r="AO337"/>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row>
        <row r="338">
          <cell r="AO338"/>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v>
          </cell>
          <cell r="BV338">
            <v>0</v>
          </cell>
          <cell r="BW338">
            <v>0</v>
          </cell>
          <cell r="BX338">
            <v>0</v>
          </cell>
        </row>
        <row r="339">
          <cell r="AO339"/>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row>
        <row r="340">
          <cell r="AO340"/>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row>
        <row r="341">
          <cell r="AO341"/>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row>
        <row r="342">
          <cell r="AO342" t="str">
            <v>東横INN中部国際空港２　合計</v>
          </cell>
          <cell r="AP342">
            <v>0</v>
          </cell>
          <cell r="AQ342">
            <v>0</v>
          </cell>
          <cell r="AR342">
            <v>0</v>
          </cell>
          <cell r="AS342">
            <v>0</v>
          </cell>
          <cell r="AT342">
            <v>0</v>
          </cell>
          <cell r="AU342">
            <v>0</v>
          </cell>
          <cell r="AV342">
            <v>0</v>
          </cell>
          <cell r="AW342">
            <v>0</v>
          </cell>
          <cell r="AX342">
            <v>0</v>
          </cell>
          <cell r="AY342">
            <v>0</v>
          </cell>
          <cell r="AZ342">
            <v>733</v>
          </cell>
          <cell r="BA342">
            <v>733</v>
          </cell>
          <cell r="BB342">
            <v>733</v>
          </cell>
          <cell r="BC342">
            <v>733</v>
          </cell>
          <cell r="BD342">
            <v>733</v>
          </cell>
          <cell r="BE342">
            <v>733</v>
          </cell>
          <cell r="BF342">
            <v>733</v>
          </cell>
          <cell r="BG342">
            <v>782</v>
          </cell>
          <cell r="BH342">
            <v>782</v>
          </cell>
          <cell r="BI342">
            <v>782</v>
          </cell>
          <cell r="BJ342">
            <v>782</v>
          </cell>
          <cell r="BK342">
            <v>782</v>
          </cell>
          <cell r="BL342">
            <v>782</v>
          </cell>
          <cell r="BM342">
            <v>782</v>
          </cell>
          <cell r="BN342">
            <v>782</v>
          </cell>
          <cell r="BO342">
            <v>733</v>
          </cell>
          <cell r="BP342">
            <v>733</v>
          </cell>
          <cell r="BQ342">
            <v>733</v>
          </cell>
          <cell r="BR342">
            <v>114</v>
          </cell>
          <cell r="BS342">
            <v>114</v>
          </cell>
          <cell r="BT342">
            <v>114</v>
          </cell>
          <cell r="BU342">
            <v>0</v>
          </cell>
          <cell r="BV342">
            <v>0</v>
          </cell>
          <cell r="BW342">
            <v>0</v>
          </cell>
          <cell r="BX342">
            <v>0</v>
          </cell>
        </row>
        <row r="343">
          <cell r="AO343"/>
          <cell r="AP343">
            <v>0</v>
          </cell>
          <cell r="AQ343">
            <v>0</v>
          </cell>
          <cell r="AR343">
            <v>0</v>
          </cell>
          <cell r="AS343">
            <v>0</v>
          </cell>
          <cell r="AT343">
            <v>0</v>
          </cell>
          <cell r="AU343">
            <v>0</v>
          </cell>
          <cell r="AV343">
            <v>0</v>
          </cell>
          <cell r="AW343">
            <v>0</v>
          </cell>
          <cell r="AX343">
            <v>0</v>
          </cell>
          <cell r="AY343">
            <v>0</v>
          </cell>
          <cell r="AZ343">
            <v>0</v>
          </cell>
          <cell r="BA343">
            <v>0</v>
          </cell>
          <cell r="BB343">
            <v>125</v>
          </cell>
          <cell r="BC343">
            <v>125</v>
          </cell>
          <cell r="BD343">
            <v>125</v>
          </cell>
          <cell r="BE343">
            <v>125</v>
          </cell>
          <cell r="BF343">
            <v>125</v>
          </cell>
          <cell r="BG343">
            <v>125</v>
          </cell>
          <cell r="BH343">
            <v>125</v>
          </cell>
          <cell r="BI343">
            <v>125</v>
          </cell>
          <cell r="BJ343">
            <v>125</v>
          </cell>
          <cell r="BK343">
            <v>125</v>
          </cell>
          <cell r="BL343">
            <v>125</v>
          </cell>
          <cell r="BM343">
            <v>0</v>
          </cell>
          <cell r="BN343">
            <v>0</v>
          </cell>
          <cell r="BO343">
            <v>0</v>
          </cell>
          <cell r="BP343">
            <v>0</v>
          </cell>
          <cell r="BQ343">
            <v>0</v>
          </cell>
          <cell r="BR343">
            <v>0</v>
          </cell>
          <cell r="BS343">
            <v>0</v>
          </cell>
          <cell r="BT343">
            <v>0</v>
          </cell>
          <cell r="BU343">
            <v>0</v>
          </cell>
          <cell r="BV343">
            <v>0</v>
          </cell>
          <cell r="BW343">
            <v>0</v>
          </cell>
          <cell r="BX343">
            <v>0</v>
          </cell>
        </row>
        <row r="344">
          <cell r="AO344"/>
          <cell r="AP344">
            <v>0</v>
          </cell>
          <cell r="AQ344">
            <v>0</v>
          </cell>
          <cell r="AR344">
            <v>0</v>
          </cell>
          <cell r="AS344">
            <v>0</v>
          </cell>
          <cell r="AT344">
            <v>0</v>
          </cell>
          <cell r="AU344">
            <v>0</v>
          </cell>
          <cell r="AV344">
            <v>0</v>
          </cell>
          <cell r="AW344">
            <v>0</v>
          </cell>
          <cell r="AX344">
            <v>0</v>
          </cell>
          <cell r="AY344">
            <v>0</v>
          </cell>
          <cell r="AZ344">
            <v>0</v>
          </cell>
          <cell r="BA344">
            <v>0</v>
          </cell>
          <cell r="BB344">
            <v>94</v>
          </cell>
          <cell r="BC344">
            <v>94</v>
          </cell>
          <cell r="BD344">
            <v>94</v>
          </cell>
          <cell r="BE344">
            <v>94</v>
          </cell>
          <cell r="BF344">
            <v>94</v>
          </cell>
          <cell r="BG344">
            <v>94</v>
          </cell>
          <cell r="BH344">
            <v>94</v>
          </cell>
          <cell r="BI344">
            <v>94</v>
          </cell>
          <cell r="BJ344">
            <v>94</v>
          </cell>
          <cell r="BK344">
            <v>94</v>
          </cell>
          <cell r="BL344">
            <v>94</v>
          </cell>
          <cell r="BM344">
            <v>0</v>
          </cell>
          <cell r="BN344">
            <v>0</v>
          </cell>
          <cell r="BO344">
            <v>0</v>
          </cell>
          <cell r="BP344">
            <v>0</v>
          </cell>
          <cell r="BQ344">
            <v>0</v>
          </cell>
          <cell r="BR344">
            <v>0</v>
          </cell>
          <cell r="BS344">
            <v>0</v>
          </cell>
          <cell r="BT344">
            <v>0</v>
          </cell>
          <cell r="BU344">
            <v>0</v>
          </cell>
          <cell r="BV344">
            <v>0</v>
          </cell>
          <cell r="BW344">
            <v>0</v>
          </cell>
          <cell r="BX344">
            <v>0</v>
          </cell>
        </row>
        <row r="345">
          <cell r="AO345"/>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16</v>
          </cell>
          <cell r="BJ345">
            <v>16</v>
          </cell>
          <cell r="BK345">
            <v>16</v>
          </cell>
          <cell r="BL345">
            <v>16</v>
          </cell>
          <cell r="BM345">
            <v>16</v>
          </cell>
          <cell r="BN345">
            <v>16</v>
          </cell>
          <cell r="BO345">
            <v>0</v>
          </cell>
          <cell r="BP345">
            <v>0</v>
          </cell>
          <cell r="BQ345">
            <v>0</v>
          </cell>
          <cell r="BR345">
            <v>0</v>
          </cell>
          <cell r="BS345">
            <v>0</v>
          </cell>
          <cell r="BT345">
            <v>0</v>
          </cell>
          <cell r="BU345">
            <v>0</v>
          </cell>
          <cell r="BV345">
            <v>0</v>
          </cell>
          <cell r="BW345">
            <v>0</v>
          </cell>
          <cell r="BX345">
            <v>0</v>
          </cell>
        </row>
        <row r="346">
          <cell r="AO346"/>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38</v>
          </cell>
          <cell r="BJ346">
            <v>38</v>
          </cell>
          <cell r="BK346">
            <v>38</v>
          </cell>
          <cell r="BL346">
            <v>38</v>
          </cell>
          <cell r="BM346">
            <v>38</v>
          </cell>
          <cell r="BN346">
            <v>38</v>
          </cell>
          <cell r="BO346">
            <v>0</v>
          </cell>
          <cell r="BP346">
            <v>0</v>
          </cell>
          <cell r="BQ346">
            <v>0</v>
          </cell>
          <cell r="BR346">
            <v>0</v>
          </cell>
          <cell r="BS346">
            <v>0</v>
          </cell>
          <cell r="BT346">
            <v>0</v>
          </cell>
          <cell r="BU346">
            <v>0</v>
          </cell>
          <cell r="BV346">
            <v>0</v>
          </cell>
          <cell r="BW346">
            <v>0</v>
          </cell>
          <cell r="BX346">
            <v>0</v>
          </cell>
        </row>
        <row r="347">
          <cell r="AO347" t="str">
            <v>東横INN中部国際空港1　合計</v>
          </cell>
          <cell r="AP347">
            <v>0</v>
          </cell>
          <cell r="AQ347">
            <v>0</v>
          </cell>
          <cell r="AR347">
            <v>0</v>
          </cell>
          <cell r="AS347">
            <v>0</v>
          </cell>
          <cell r="AT347">
            <v>0</v>
          </cell>
          <cell r="AU347">
            <v>0</v>
          </cell>
          <cell r="AV347">
            <v>0</v>
          </cell>
          <cell r="AW347">
            <v>0</v>
          </cell>
          <cell r="AX347">
            <v>0</v>
          </cell>
          <cell r="AY347">
            <v>0</v>
          </cell>
          <cell r="AZ347">
            <v>0</v>
          </cell>
          <cell r="BA347">
            <v>0</v>
          </cell>
          <cell r="BB347">
            <v>219</v>
          </cell>
          <cell r="BC347">
            <v>219</v>
          </cell>
          <cell r="BD347">
            <v>219</v>
          </cell>
          <cell r="BE347">
            <v>219</v>
          </cell>
          <cell r="BF347">
            <v>219</v>
          </cell>
          <cell r="BG347">
            <v>219</v>
          </cell>
          <cell r="BH347">
            <v>219</v>
          </cell>
          <cell r="BI347">
            <v>273</v>
          </cell>
          <cell r="BJ347">
            <v>273</v>
          </cell>
          <cell r="BK347">
            <v>273</v>
          </cell>
          <cell r="BL347">
            <v>273</v>
          </cell>
          <cell r="BM347">
            <v>54</v>
          </cell>
          <cell r="BN347">
            <v>54</v>
          </cell>
          <cell r="BO347">
            <v>0</v>
          </cell>
          <cell r="BP347">
            <v>0</v>
          </cell>
          <cell r="BQ347">
            <v>0</v>
          </cell>
          <cell r="BR347">
            <v>0</v>
          </cell>
          <cell r="BS347">
            <v>0</v>
          </cell>
          <cell r="BT347">
            <v>0</v>
          </cell>
          <cell r="BU347">
            <v>0</v>
          </cell>
          <cell r="BV347">
            <v>0</v>
          </cell>
          <cell r="BW347">
            <v>0</v>
          </cell>
          <cell r="BX347">
            <v>0</v>
          </cell>
        </row>
        <row r="348">
          <cell r="AO348"/>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0</v>
          </cell>
          <cell r="BP348">
            <v>0</v>
          </cell>
          <cell r="BQ348">
            <v>0</v>
          </cell>
          <cell r="BR348">
            <v>0</v>
          </cell>
          <cell r="BS348">
            <v>0</v>
          </cell>
          <cell r="BT348">
            <v>0</v>
          </cell>
          <cell r="BU348">
            <v>0</v>
          </cell>
          <cell r="BV348">
            <v>0</v>
          </cell>
          <cell r="BW348">
            <v>0</v>
          </cell>
          <cell r="BX348">
            <v>0</v>
          </cell>
        </row>
        <row r="349">
          <cell r="AO349"/>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v>
          </cell>
          <cell r="BT349">
            <v>0</v>
          </cell>
          <cell r="BU349">
            <v>0</v>
          </cell>
          <cell r="BV349">
            <v>0</v>
          </cell>
          <cell r="BW349">
            <v>0</v>
          </cell>
          <cell r="BX349">
            <v>0</v>
          </cell>
        </row>
        <row r="350">
          <cell r="AO350"/>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v>
          </cell>
          <cell r="BT350">
            <v>0</v>
          </cell>
          <cell r="BU350">
            <v>0</v>
          </cell>
          <cell r="BV350">
            <v>0</v>
          </cell>
          <cell r="BW350">
            <v>0</v>
          </cell>
          <cell r="BX350">
            <v>0</v>
          </cell>
        </row>
        <row r="351">
          <cell r="AO351"/>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v>0</v>
          </cell>
          <cell r="BW351">
            <v>0</v>
          </cell>
          <cell r="BX351">
            <v>0</v>
          </cell>
        </row>
        <row r="352">
          <cell r="AO352" t="str">
            <v>コンフォートホテル中部国際空港　合計</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0</v>
          </cell>
          <cell r="BQ352">
            <v>0</v>
          </cell>
          <cell r="BR352">
            <v>0</v>
          </cell>
          <cell r="BS352">
            <v>0</v>
          </cell>
          <cell r="BT352">
            <v>0</v>
          </cell>
          <cell r="BU352">
            <v>0</v>
          </cell>
          <cell r="BV352">
            <v>0</v>
          </cell>
          <cell r="BW352">
            <v>0</v>
          </cell>
          <cell r="BX352">
            <v>0</v>
          </cell>
        </row>
        <row r="353">
          <cell r="AO353"/>
          <cell r="AP353">
            <v>0</v>
          </cell>
          <cell r="AQ353">
            <v>0</v>
          </cell>
          <cell r="AR353">
            <v>0</v>
          </cell>
          <cell r="AS353">
            <v>0</v>
          </cell>
          <cell r="AT353">
            <v>0</v>
          </cell>
          <cell r="AU353">
            <v>0</v>
          </cell>
          <cell r="AV353">
            <v>0</v>
          </cell>
          <cell r="AW353">
            <v>0</v>
          </cell>
          <cell r="AX353">
            <v>0</v>
          </cell>
          <cell r="AY353">
            <v>0</v>
          </cell>
          <cell r="AZ353">
            <v>0</v>
          </cell>
          <cell r="BA353">
            <v>0</v>
          </cell>
          <cell r="BB353">
            <v>311</v>
          </cell>
          <cell r="BC353">
            <v>311</v>
          </cell>
          <cell r="BD353">
            <v>311</v>
          </cell>
          <cell r="BE353">
            <v>311</v>
          </cell>
          <cell r="BF353">
            <v>311</v>
          </cell>
          <cell r="BG353">
            <v>311</v>
          </cell>
          <cell r="BH353">
            <v>311</v>
          </cell>
          <cell r="BI353">
            <v>311</v>
          </cell>
          <cell r="BJ353">
            <v>311</v>
          </cell>
          <cell r="BK353">
            <v>311</v>
          </cell>
          <cell r="BL353">
            <v>311</v>
          </cell>
          <cell r="BM353">
            <v>311</v>
          </cell>
          <cell r="BN353">
            <v>311</v>
          </cell>
          <cell r="BO353">
            <v>0</v>
          </cell>
          <cell r="BP353">
            <v>0</v>
          </cell>
          <cell r="BQ353">
            <v>0</v>
          </cell>
          <cell r="BR353">
            <v>0</v>
          </cell>
          <cell r="BS353">
            <v>0</v>
          </cell>
          <cell r="BT353">
            <v>0</v>
          </cell>
          <cell r="BU353">
            <v>0</v>
          </cell>
          <cell r="BV353">
            <v>0</v>
          </cell>
          <cell r="BW353">
            <v>0</v>
          </cell>
          <cell r="BX353">
            <v>0</v>
          </cell>
        </row>
        <row r="354">
          <cell r="AO354"/>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cell r="BR354">
            <v>0</v>
          </cell>
          <cell r="BS354">
            <v>0</v>
          </cell>
          <cell r="BT354">
            <v>0</v>
          </cell>
          <cell r="BU354">
            <v>0</v>
          </cell>
          <cell r="BV354">
            <v>0</v>
          </cell>
          <cell r="BW354">
            <v>0</v>
          </cell>
          <cell r="BX354">
            <v>0</v>
          </cell>
        </row>
        <row r="355">
          <cell r="AO355"/>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row>
        <row r="356">
          <cell r="AO356"/>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row>
        <row r="357">
          <cell r="AO357" t="str">
            <v>フォーポイント　バイ　シェラトン名古屋　中部国際空港　合計</v>
          </cell>
          <cell r="AP357">
            <v>0</v>
          </cell>
          <cell r="AQ357">
            <v>0</v>
          </cell>
          <cell r="AR357">
            <v>0</v>
          </cell>
          <cell r="AS357">
            <v>0</v>
          </cell>
          <cell r="AT357">
            <v>0</v>
          </cell>
          <cell r="AU357">
            <v>0</v>
          </cell>
          <cell r="AV357">
            <v>0</v>
          </cell>
          <cell r="AW357">
            <v>0</v>
          </cell>
          <cell r="AX357">
            <v>0</v>
          </cell>
          <cell r="AY357">
            <v>0</v>
          </cell>
          <cell r="AZ357">
            <v>0</v>
          </cell>
          <cell r="BA357">
            <v>0</v>
          </cell>
          <cell r="BB357">
            <v>311</v>
          </cell>
          <cell r="BC357">
            <v>311</v>
          </cell>
          <cell r="BD357">
            <v>311</v>
          </cell>
          <cell r="BE357">
            <v>311</v>
          </cell>
          <cell r="BF357">
            <v>311</v>
          </cell>
          <cell r="BG357">
            <v>311</v>
          </cell>
          <cell r="BH357">
            <v>311</v>
          </cell>
          <cell r="BI357">
            <v>311</v>
          </cell>
          <cell r="BJ357">
            <v>311</v>
          </cell>
          <cell r="BK357">
            <v>311</v>
          </cell>
          <cell r="BL357">
            <v>311</v>
          </cell>
          <cell r="BM357">
            <v>311</v>
          </cell>
          <cell r="BN357">
            <v>311</v>
          </cell>
          <cell r="BO357">
            <v>0</v>
          </cell>
          <cell r="BP357">
            <v>0</v>
          </cell>
          <cell r="BQ357">
            <v>0</v>
          </cell>
          <cell r="BR357">
            <v>0</v>
          </cell>
          <cell r="BS357">
            <v>0</v>
          </cell>
          <cell r="BT357">
            <v>0</v>
          </cell>
          <cell r="BU357">
            <v>0</v>
          </cell>
          <cell r="BV357">
            <v>0</v>
          </cell>
          <cell r="BW357">
            <v>0</v>
          </cell>
          <cell r="BX357">
            <v>0</v>
          </cell>
        </row>
        <row r="358">
          <cell r="AO358"/>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row>
        <row r="359">
          <cell r="AO359"/>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row>
        <row r="360">
          <cell r="AO360"/>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row>
        <row r="361">
          <cell r="AO361"/>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row>
        <row r="362">
          <cell r="AO362" t="str">
            <v>中部国際空港セントレアホテル　合計</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row>
        <row r="363">
          <cell r="AO363"/>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row>
        <row r="364">
          <cell r="AO364"/>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row>
        <row r="365">
          <cell r="AO365"/>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row>
        <row r="366">
          <cell r="AO366"/>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cell r="BX366">
            <v>0</v>
          </cell>
        </row>
        <row r="367">
          <cell r="AO367" t="str">
            <v>J･ホテルりんくう　合計</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row>
        <row r="368">
          <cell r="AO368"/>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row>
        <row r="369">
          <cell r="AO369"/>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row>
        <row r="370">
          <cell r="AO370"/>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row>
        <row r="371">
          <cell r="AO371"/>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row>
        <row r="372">
          <cell r="AO372" t="str">
            <v>あいち健康の森　健康科学総合センター　合計</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row>
        <row r="373">
          <cell r="AO373"/>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row>
        <row r="374">
          <cell r="AO374"/>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row>
        <row r="375">
          <cell r="AO375"/>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row>
        <row r="376">
          <cell r="AO376"/>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row>
        <row r="377">
          <cell r="AO377" t="str">
            <v>マーレホテル東海　合計</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row>
        <row r="378">
          <cell r="AO378"/>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row>
        <row r="379">
          <cell r="AO379"/>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row>
        <row r="380">
          <cell r="AO380"/>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row>
        <row r="381">
          <cell r="AO381"/>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row>
        <row r="382">
          <cell r="AO382" t="str">
            <v>ザ・カトーホテル　合計</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row>
        <row r="383">
          <cell r="AO383"/>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row>
        <row r="384">
          <cell r="AO384"/>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row>
        <row r="385">
          <cell r="AO385"/>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row>
        <row r="386">
          <cell r="AO386"/>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row>
        <row r="387">
          <cell r="AO387" t="str">
            <v>ルートイングランティア東海Spa &amp; Relaxation　合計</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row>
        <row r="388">
          <cell r="AO388"/>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row>
        <row r="389">
          <cell r="AO389"/>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row>
        <row r="390">
          <cell r="AO390"/>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row>
        <row r="391">
          <cell r="AO391"/>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row>
        <row r="392">
          <cell r="AO392" t="str">
            <v>衣浦グランドホテル　合計</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row>
        <row r="393">
          <cell r="AO393"/>
          <cell r="AP393">
            <v>0</v>
          </cell>
          <cell r="AQ393">
            <v>0</v>
          </cell>
          <cell r="AR393">
            <v>0</v>
          </cell>
          <cell r="AS393">
            <v>0</v>
          </cell>
          <cell r="AT393">
            <v>0</v>
          </cell>
          <cell r="AU393">
            <v>0</v>
          </cell>
          <cell r="AV393">
            <v>0</v>
          </cell>
          <cell r="AW393">
            <v>0</v>
          </cell>
          <cell r="AX393">
            <v>0</v>
          </cell>
          <cell r="AY393">
            <v>0</v>
          </cell>
          <cell r="AZ393">
            <v>0</v>
          </cell>
          <cell r="BA393">
            <v>0</v>
          </cell>
          <cell r="BB393">
            <v>125</v>
          </cell>
          <cell r="BC393">
            <v>125</v>
          </cell>
          <cell r="BD393">
            <v>125</v>
          </cell>
          <cell r="BE393">
            <v>125</v>
          </cell>
          <cell r="BF393">
            <v>125</v>
          </cell>
          <cell r="BG393">
            <v>125</v>
          </cell>
          <cell r="BH393">
            <v>125</v>
          </cell>
          <cell r="BI393">
            <v>125</v>
          </cell>
          <cell r="BJ393">
            <v>125</v>
          </cell>
          <cell r="BK393">
            <v>125</v>
          </cell>
          <cell r="BL393">
            <v>125</v>
          </cell>
          <cell r="BM393">
            <v>125</v>
          </cell>
          <cell r="BN393">
            <v>125</v>
          </cell>
          <cell r="BO393">
            <v>125</v>
          </cell>
          <cell r="BP393">
            <v>125</v>
          </cell>
          <cell r="BQ393">
            <v>0</v>
          </cell>
          <cell r="BR393">
            <v>0</v>
          </cell>
          <cell r="BS393">
            <v>0</v>
          </cell>
          <cell r="BT393">
            <v>0</v>
          </cell>
          <cell r="BU393">
            <v>0</v>
          </cell>
          <cell r="BV393">
            <v>0</v>
          </cell>
          <cell r="BW393">
            <v>0</v>
          </cell>
          <cell r="BX393">
            <v>0</v>
          </cell>
        </row>
        <row r="394">
          <cell r="AO394"/>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row>
        <row r="395">
          <cell r="AO395"/>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row>
        <row r="396">
          <cell r="AO396"/>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cell r="BX396">
            <v>0</v>
          </cell>
        </row>
        <row r="397">
          <cell r="AO397" t="str">
            <v>ホテルグランドティアラ南名古屋　合計</v>
          </cell>
          <cell r="AP397">
            <v>0</v>
          </cell>
          <cell r="AQ397">
            <v>0</v>
          </cell>
          <cell r="AR397">
            <v>0</v>
          </cell>
          <cell r="AS397">
            <v>0</v>
          </cell>
          <cell r="AT397">
            <v>0</v>
          </cell>
          <cell r="AU397">
            <v>0</v>
          </cell>
          <cell r="AV397">
            <v>0</v>
          </cell>
          <cell r="AW397">
            <v>0</v>
          </cell>
          <cell r="AX397">
            <v>0</v>
          </cell>
          <cell r="AY397">
            <v>0</v>
          </cell>
          <cell r="AZ397">
            <v>0</v>
          </cell>
          <cell r="BA397">
            <v>0</v>
          </cell>
          <cell r="BB397">
            <v>125</v>
          </cell>
          <cell r="BC397">
            <v>125</v>
          </cell>
          <cell r="BD397">
            <v>125</v>
          </cell>
          <cell r="BE397">
            <v>125</v>
          </cell>
          <cell r="BF397">
            <v>125</v>
          </cell>
          <cell r="BG397">
            <v>125</v>
          </cell>
          <cell r="BH397">
            <v>125</v>
          </cell>
          <cell r="BI397">
            <v>125</v>
          </cell>
          <cell r="BJ397">
            <v>125</v>
          </cell>
          <cell r="BK397">
            <v>125</v>
          </cell>
          <cell r="BL397">
            <v>125</v>
          </cell>
          <cell r="BM397">
            <v>125</v>
          </cell>
          <cell r="BN397">
            <v>125</v>
          </cell>
          <cell r="BO397">
            <v>125</v>
          </cell>
          <cell r="BP397">
            <v>125</v>
          </cell>
          <cell r="BQ397">
            <v>0</v>
          </cell>
          <cell r="BR397">
            <v>0</v>
          </cell>
          <cell r="BS397">
            <v>0</v>
          </cell>
          <cell r="BT397">
            <v>0</v>
          </cell>
          <cell r="BU397">
            <v>0</v>
          </cell>
          <cell r="BV397">
            <v>0</v>
          </cell>
          <cell r="BW397">
            <v>0</v>
          </cell>
          <cell r="BX397">
            <v>0</v>
          </cell>
        </row>
        <row r="398">
          <cell r="AO398"/>
          <cell r="AP398">
            <v>0</v>
          </cell>
          <cell r="AQ398">
            <v>0</v>
          </cell>
          <cell r="AR398">
            <v>0</v>
          </cell>
          <cell r="AS398">
            <v>0</v>
          </cell>
          <cell r="AT398">
            <v>0</v>
          </cell>
          <cell r="AU398">
            <v>0</v>
          </cell>
          <cell r="AV398">
            <v>0</v>
          </cell>
          <cell r="AW398">
            <v>0</v>
          </cell>
          <cell r="AX398">
            <v>0</v>
          </cell>
          <cell r="AY398">
            <v>0</v>
          </cell>
          <cell r="AZ398">
            <v>0</v>
          </cell>
          <cell r="BA398">
            <v>0</v>
          </cell>
          <cell r="BB398">
            <v>200</v>
          </cell>
          <cell r="BC398">
            <v>200</v>
          </cell>
          <cell r="BD398">
            <v>200</v>
          </cell>
          <cell r="BE398">
            <v>200</v>
          </cell>
          <cell r="BF398">
            <v>200</v>
          </cell>
          <cell r="BG398">
            <v>200</v>
          </cell>
          <cell r="BH398">
            <v>200</v>
          </cell>
          <cell r="BI398">
            <v>200</v>
          </cell>
          <cell r="BJ398">
            <v>200</v>
          </cell>
          <cell r="BK398">
            <v>200</v>
          </cell>
          <cell r="BL398">
            <v>200</v>
          </cell>
          <cell r="BM398">
            <v>200</v>
          </cell>
          <cell r="BN398">
            <v>200</v>
          </cell>
          <cell r="BO398">
            <v>200</v>
          </cell>
          <cell r="BP398">
            <v>200</v>
          </cell>
          <cell r="BQ398">
            <v>0</v>
          </cell>
          <cell r="BR398">
            <v>0</v>
          </cell>
          <cell r="BS398">
            <v>0</v>
          </cell>
          <cell r="BT398">
            <v>0</v>
          </cell>
          <cell r="BU398">
            <v>0</v>
          </cell>
          <cell r="BV398">
            <v>0</v>
          </cell>
          <cell r="BW398">
            <v>0</v>
          </cell>
          <cell r="BX398">
            <v>0</v>
          </cell>
        </row>
        <row r="399">
          <cell r="AO399"/>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0</v>
          </cell>
        </row>
        <row r="400">
          <cell r="AO400"/>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row>
        <row r="401">
          <cell r="AO401"/>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row>
        <row r="402">
          <cell r="AO402" t="str">
            <v>東横INN三河安城駅新幹線南口２　合計</v>
          </cell>
          <cell r="AP402">
            <v>0</v>
          </cell>
          <cell r="AQ402">
            <v>0</v>
          </cell>
          <cell r="AR402">
            <v>0</v>
          </cell>
          <cell r="AS402">
            <v>0</v>
          </cell>
          <cell r="AT402">
            <v>0</v>
          </cell>
          <cell r="AU402">
            <v>0</v>
          </cell>
          <cell r="AV402">
            <v>0</v>
          </cell>
          <cell r="AW402">
            <v>0</v>
          </cell>
          <cell r="AX402">
            <v>0</v>
          </cell>
          <cell r="AY402">
            <v>0</v>
          </cell>
          <cell r="AZ402">
            <v>0</v>
          </cell>
          <cell r="BA402">
            <v>0</v>
          </cell>
          <cell r="BB402">
            <v>200</v>
          </cell>
          <cell r="BC402">
            <v>200</v>
          </cell>
          <cell r="BD402">
            <v>200</v>
          </cell>
          <cell r="BE402">
            <v>200</v>
          </cell>
          <cell r="BF402">
            <v>200</v>
          </cell>
          <cell r="BG402">
            <v>200</v>
          </cell>
          <cell r="BH402">
            <v>200</v>
          </cell>
          <cell r="BI402">
            <v>200</v>
          </cell>
          <cell r="BJ402">
            <v>200</v>
          </cell>
          <cell r="BK402">
            <v>200</v>
          </cell>
          <cell r="BL402">
            <v>200</v>
          </cell>
          <cell r="BM402">
            <v>200</v>
          </cell>
          <cell r="BN402">
            <v>200</v>
          </cell>
          <cell r="BO402">
            <v>200</v>
          </cell>
          <cell r="BP402">
            <v>200</v>
          </cell>
          <cell r="BQ402">
            <v>0</v>
          </cell>
          <cell r="BR402">
            <v>0</v>
          </cell>
          <cell r="BS402">
            <v>0</v>
          </cell>
          <cell r="BT402">
            <v>0</v>
          </cell>
          <cell r="BU402">
            <v>0</v>
          </cell>
          <cell r="BV402">
            <v>0</v>
          </cell>
          <cell r="BW402">
            <v>0</v>
          </cell>
          <cell r="BX402">
            <v>0</v>
          </cell>
        </row>
        <row r="403">
          <cell r="AO403"/>
          <cell r="AP403">
            <v>0</v>
          </cell>
          <cell r="AQ403">
            <v>0</v>
          </cell>
          <cell r="AR403">
            <v>0</v>
          </cell>
          <cell r="AS403">
            <v>0</v>
          </cell>
          <cell r="AT403">
            <v>0</v>
          </cell>
          <cell r="AU403">
            <v>0</v>
          </cell>
          <cell r="AV403">
            <v>0</v>
          </cell>
          <cell r="AW403">
            <v>0</v>
          </cell>
          <cell r="AX403">
            <v>0</v>
          </cell>
          <cell r="AY403">
            <v>0</v>
          </cell>
          <cell r="AZ403">
            <v>0</v>
          </cell>
          <cell r="BA403">
            <v>0</v>
          </cell>
          <cell r="BB403">
            <v>70</v>
          </cell>
          <cell r="BC403">
            <v>70</v>
          </cell>
          <cell r="BD403">
            <v>70</v>
          </cell>
          <cell r="BE403">
            <v>70</v>
          </cell>
          <cell r="BF403">
            <v>70</v>
          </cell>
          <cell r="BG403">
            <v>70</v>
          </cell>
          <cell r="BH403">
            <v>70</v>
          </cell>
          <cell r="BI403">
            <v>70</v>
          </cell>
          <cell r="BJ403">
            <v>70</v>
          </cell>
          <cell r="BK403">
            <v>70</v>
          </cell>
          <cell r="BL403">
            <v>70</v>
          </cell>
          <cell r="BM403">
            <v>70</v>
          </cell>
          <cell r="BN403">
            <v>70</v>
          </cell>
          <cell r="BO403">
            <v>70</v>
          </cell>
          <cell r="BP403">
            <v>70</v>
          </cell>
          <cell r="BQ403">
            <v>0</v>
          </cell>
          <cell r="BR403">
            <v>0</v>
          </cell>
          <cell r="BS403">
            <v>0</v>
          </cell>
          <cell r="BT403">
            <v>0</v>
          </cell>
          <cell r="BU403">
            <v>0</v>
          </cell>
          <cell r="BV403">
            <v>0</v>
          </cell>
          <cell r="BW403">
            <v>0</v>
          </cell>
          <cell r="BX403">
            <v>0</v>
          </cell>
        </row>
        <row r="404">
          <cell r="AO404"/>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cell r="BX404">
            <v>0</v>
          </cell>
        </row>
        <row r="405">
          <cell r="AO405"/>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0</v>
          </cell>
          <cell r="BT405">
            <v>0</v>
          </cell>
          <cell r="BU405">
            <v>0</v>
          </cell>
          <cell r="BV405">
            <v>0</v>
          </cell>
          <cell r="BW405">
            <v>0</v>
          </cell>
          <cell r="BX405">
            <v>0</v>
          </cell>
        </row>
        <row r="406">
          <cell r="AO406"/>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row>
        <row r="407">
          <cell r="AO407" t="str">
            <v>東横INN三河安城駅新幹線南口１　合計</v>
          </cell>
          <cell r="AP407">
            <v>0</v>
          </cell>
          <cell r="AQ407">
            <v>0</v>
          </cell>
          <cell r="AR407">
            <v>0</v>
          </cell>
          <cell r="AS407">
            <v>0</v>
          </cell>
          <cell r="AT407">
            <v>0</v>
          </cell>
          <cell r="AU407">
            <v>0</v>
          </cell>
          <cell r="AV407">
            <v>0</v>
          </cell>
          <cell r="AW407">
            <v>0</v>
          </cell>
          <cell r="AX407">
            <v>0</v>
          </cell>
          <cell r="AY407">
            <v>0</v>
          </cell>
          <cell r="AZ407">
            <v>0</v>
          </cell>
          <cell r="BA407">
            <v>0</v>
          </cell>
          <cell r="BB407">
            <v>70</v>
          </cell>
          <cell r="BC407">
            <v>70</v>
          </cell>
          <cell r="BD407">
            <v>70</v>
          </cell>
          <cell r="BE407">
            <v>70</v>
          </cell>
          <cell r="BF407">
            <v>70</v>
          </cell>
          <cell r="BG407">
            <v>70</v>
          </cell>
          <cell r="BH407">
            <v>70</v>
          </cell>
          <cell r="BI407">
            <v>70</v>
          </cell>
          <cell r="BJ407">
            <v>70</v>
          </cell>
          <cell r="BK407">
            <v>70</v>
          </cell>
          <cell r="BL407">
            <v>70</v>
          </cell>
          <cell r="BM407">
            <v>70</v>
          </cell>
          <cell r="BN407">
            <v>70</v>
          </cell>
          <cell r="BO407">
            <v>70</v>
          </cell>
          <cell r="BP407">
            <v>70</v>
          </cell>
          <cell r="BQ407">
            <v>0</v>
          </cell>
          <cell r="BR407">
            <v>0</v>
          </cell>
          <cell r="BS407">
            <v>0</v>
          </cell>
          <cell r="BT407">
            <v>0</v>
          </cell>
          <cell r="BU407">
            <v>0</v>
          </cell>
          <cell r="BV407">
            <v>0</v>
          </cell>
          <cell r="BW407">
            <v>0</v>
          </cell>
          <cell r="BX407">
            <v>0</v>
          </cell>
        </row>
        <row r="408">
          <cell r="AO408"/>
          <cell r="AP408">
            <v>0</v>
          </cell>
          <cell r="AQ408">
            <v>0</v>
          </cell>
          <cell r="AR408">
            <v>0</v>
          </cell>
          <cell r="AS408">
            <v>0</v>
          </cell>
          <cell r="AT408">
            <v>0</v>
          </cell>
          <cell r="AU408">
            <v>0</v>
          </cell>
          <cell r="AV408">
            <v>0</v>
          </cell>
          <cell r="AW408">
            <v>0</v>
          </cell>
          <cell r="AX408">
            <v>0</v>
          </cell>
          <cell r="AY408">
            <v>0</v>
          </cell>
          <cell r="AZ408">
            <v>0</v>
          </cell>
          <cell r="BA408">
            <v>0</v>
          </cell>
          <cell r="BB408">
            <v>112</v>
          </cell>
          <cell r="BC408">
            <v>112</v>
          </cell>
          <cell r="BD408">
            <v>112</v>
          </cell>
          <cell r="BE408">
            <v>112</v>
          </cell>
          <cell r="BF408">
            <v>112</v>
          </cell>
          <cell r="BG408">
            <v>112</v>
          </cell>
          <cell r="BH408">
            <v>112</v>
          </cell>
          <cell r="BI408">
            <v>112</v>
          </cell>
          <cell r="BJ408">
            <v>112</v>
          </cell>
          <cell r="BK408">
            <v>112</v>
          </cell>
          <cell r="BL408">
            <v>112</v>
          </cell>
          <cell r="BM408">
            <v>112</v>
          </cell>
          <cell r="BN408">
            <v>112</v>
          </cell>
          <cell r="BO408">
            <v>112</v>
          </cell>
          <cell r="BP408">
            <v>112</v>
          </cell>
          <cell r="BQ408">
            <v>0</v>
          </cell>
          <cell r="BR408">
            <v>0</v>
          </cell>
          <cell r="BS408">
            <v>0</v>
          </cell>
          <cell r="BT408">
            <v>0</v>
          </cell>
          <cell r="BU408">
            <v>0</v>
          </cell>
          <cell r="BV408">
            <v>0</v>
          </cell>
          <cell r="BW408">
            <v>0</v>
          </cell>
          <cell r="BX408">
            <v>0</v>
          </cell>
        </row>
        <row r="409">
          <cell r="AO409"/>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row>
        <row r="410">
          <cell r="AO410"/>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cell r="BX410">
            <v>0</v>
          </cell>
        </row>
        <row r="411">
          <cell r="AO411"/>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row>
        <row r="412">
          <cell r="AO412" t="str">
            <v>天然温泉　三州の湯　ドーミーイン　EXPRESS　三河安城　合計</v>
          </cell>
          <cell r="AP412">
            <v>0</v>
          </cell>
          <cell r="AQ412">
            <v>0</v>
          </cell>
          <cell r="AR412">
            <v>0</v>
          </cell>
          <cell r="AS412">
            <v>0</v>
          </cell>
          <cell r="AT412">
            <v>0</v>
          </cell>
          <cell r="AU412">
            <v>0</v>
          </cell>
          <cell r="AV412">
            <v>0</v>
          </cell>
          <cell r="AW412">
            <v>0</v>
          </cell>
          <cell r="AX412">
            <v>0</v>
          </cell>
          <cell r="AY412">
            <v>0</v>
          </cell>
          <cell r="AZ412">
            <v>0</v>
          </cell>
          <cell r="BA412">
            <v>0</v>
          </cell>
          <cell r="BB412">
            <v>112</v>
          </cell>
          <cell r="BC412">
            <v>112</v>
          </cell>
          <cell r="BD412">
            <v>112</v>
          </cell>
          <cell r="BE412">
            <v>112</v>
          </cell>
          <cell r="BF412">
            <v>112</v>
          </cell>
          <cell r="BG412">
            <v>112</v>
          </cell>
          <cell r="BH412">
            <v>112</v>
          </cell>
          <cell r="BI412">
            <v>112</v>
          </cell>
          <cell r="BJ412">
            <v>112</v>
          </cell>
          <cell r="BK412">
            <v>112</v>
          </cell>
          <cell r="BL412">
            <v>112</v>
          </cell>
          <cell r="BM412">
            <v>112</v>
          </cell>
          <cell r="BN412">
            <v>112</v>
          </cell>
          <cell r="BO412">
            <v>112</v>
          </cell>
          <cell r="BP412">
            <v>112</v>
          </cell>
          <cell r="BQ412">
            <v>0</v>
          </cell>
          <cell r="BR412">
            <v>0</v>
          </cell>
          <cell r="BS412">
            <v>0</v>
          </cell>
          <cell r="BT412">
            <v>0</v>
          </cell>
          <cell r="BU412">
            <v>0</v>
          </cell>
          <cell r="BV412">
            <v>0</v>
          </cell>
          <cell r="BW412">
            <v>0</v>
          </cell>
          <cell r="BX412">
            <v>0</v>
          </cell>
        </row>
        <row r="413">
          <cell r="AO413"/>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cell r="BX413">
            <v>0</v>
          </cell>
        </row>
        <row r="414">
          <cell r="AO414"/>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row>
        <row r="415">
          <cell r="AO415"/>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row>
        <row r="416">
          <cell r="AO416"/>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row>
        <row r="417">
          <cell r="AO417" t="str">
            <v>ホテルクラウンパレス知立　合計</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row>
        <row r="418">
          <cell r="AO418"/>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56</v>
          </cell>
          <cell r="BG418">
            <v>56</v>
          </cell>
          <cell r="BH418">
            <v>56</v>
          </cell>
          <cell r="BI418">
            <v>56</v>
          </cell>
          <cell r="BJ418">
            <v>56</v>
          </cell>
          <cell r="BK418">
            <v>56</v>
          </cell>
          <cell r="BL418">
            <v>56</v>
          </cell>
          <cell r="BM418">
            <v>56</v>
          </cell>
          <cell r="BN418">
            <v>56</v>
          </cell>
          <cell r="BO418">
            <v>56</v>
          </cell>
          <cell r="BP418">
            <v>56</v>
          </cell>
          <cell r="BQ418">
            <v>56</v>
          </cell>
          <cell r="BR418">
            <v>56</v>
          </cell>
          <cell r="BS418">
            <v>56</v>
          </cell>
          <cell r="BT418">
            <v>56</v>
          </cell>
          <cell r="BU418">
            <v>0</v>
          </cell>
          <cell r="BV418">
            <v>0</v>
          </cell>
          <cell r="BW418">
            <v>0</v>
          </cell>
          <cell r="BX418">
            <v>0</v>
          </cell>
        </row>
        <row r="419">
          <cell r="AO419"/>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row>
        <row r="420">
          <cell r="AO420"/>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row>
        <row r="421">
          <cell r="AO421"/>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row>
        <row r="422">
          <cell r="AO422" t="str">
            <v>全トヨタ労連研修センター　つどいの丘　合計</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56</v>
          </cell>
          <cell r="BG422">
            <v>56</v>
          </cell>
          <cell r="BH422">
            <v>56</v>
          </cell>
          <cell r="BI422">
            <v>56</v>
          </cell>
          <cell r="BJ422">
            <v>56</v>
          </cell>
          <cell r="BK422">
            <v>56</v>
          </cell>
          <cell r="BL422">
            <v>56</v>
          </cell>
          <cell r="BM422">
            <v>56</v>
          </cell>
          <cell r="BN422">
            <v>56</v>
          </cell>
          <cell r="BO422">
            <v>56</v>
          </cell>
          <cell r="BP422">
            <v>56</v>
          </cell>
          <cell r="BQ422">
            <v>56</v>
          </cell>
          <cell r="BR422">
            <v>56</v>
          </cell>
          <cell r="BS422">
            <v>56</v>
          </cell>
          <cell r="BT422">
            <v>56</v>
          </cell>
          <cell r="BU422">
            <v>0</v>
          </cell>
          <cell r="BV422">
            <v>0</v>
          </cell>
          <cell r="BW422">
            <v>0</v>
          </cell>
          <cell r="BX422">
            <v>0</v>
          </cell>
        </row>
        <row r="423">
          <cell r="AO423"/>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120</v>
          </cell>
          <cell r="BG423">
            <v>120</v>
          </cell>
          <cell r="BH423">
            <v>120</v>
          </cell>
          <cell r="BI423">
            <v>120</v>
          </cell>
          <cell r="BJ423">
            <v>120</v>
          </cell>
          <cell r="BK423">
            <v>120</v>
          </cell>
          <cell r="BL423">
            <v>120</v>
          </cell>
          <cell r="BM423">
            <v>120</v>
          </cell>
          <cell r="BN423">
            <v>120</v>
          </cell>
          <cell r="BO423">
            <v>120</v>
          </cell>
          <cell r="BP423">
            <v>120</v>
          </cell>
          <cell r="BQ423">
            <v>120</v>
          </cell>
          <cell r="BR423">
            <v>120</v>
          </cell>
          <cell r="BS423">
            <v>0</v>
          </cell>
          <cell r="BT423">
            <v>0</v>
          </cell>
          <cell r="BU423">
            <v>0</v>
          </cell>
          <cell r="BV423">
            <v>0</v>
          </cell>
          <cell r="BW423">
            <v>0</v>
          </cell>
          <cell r="BX423">
            <v>0</v>
          </cell>
        </row>
        <row r="424">
          <cell r="AO424"/>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row>
        <row r="425">
          <cell r="AO425"/>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cell r="BM425">
            <v>0</v>
          </cell>
          <cell r="BN425">
            <v>0</v>
          </cell>
          <cell r="BO425">
            <v>0</v>
          </cell>
          <cell r="BP425">
            <v>0</v>
          </cell>
          <cell r="BQ425">
            <v>0</v>
          </cell>
          <cell r="BR425">
            <v>0</v>
          </cell>
          <cell r="BS425">
            <v>0</v>
          </cell>
          <cell r="BT425">
            <v>0</v>
          </cell>
          <cell r="BU425">
            <v>0</v>
          </cell>
          <cell r="BV425">
            <v>0</v>
          </cell>
          <cell r="BW425">
            <v>0</v>
          </cell>
          <cell r="BX425">
            <v>0</v>
          </cell>
        </row>
        <row r="426">
          <cell r="AO426"/>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row>
        <row r="427">
          <cell r="AO427" t="str">
            <v>ホテルトヨタキャッスル　合計</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120</v>
          </cell>
          <cell r="BG427">
            <v>120</v>
          </cell>
          <cell r="BH427">
            <v>120</v>
          </cell>
          <cell r="BI427">
            <v>120</v>
          </cell>
          <cell r="BJ427">
            <v>120</v>
          </cell>
          <cell r="BK427">
            <v>120</v>
          </cell>
          <cell r="BL427">
            <v>120</v>
          </cell>
          <cell r="BM427">
            <v>120</v>
          </cell>
          <cell r="BN427">
            <v>120</v>
          </cell>
          <cell r="BO427">
            <v>120</v>
          </cell>
          <cell r="BP427">
            <v>120</v>
          </cell>
          <cell r="BQ427">
            <v>120</v>
          </cell>
          <cell r="BR427">
            <v>120</v>
          </cell>
          <cell r="BS427">
            <v>0</v>
          </cell>
          <cell r="BT427">
            <v>0</v>
          </cell>
          <cell r="BU427">
            <v>0</v>
          </cell>
          <cell r="BV427">
            <v>0</v>
          </cell>
          <cell r="BW427">
            <v>0</v>
          </cell>
          <cell r="BX427">
            <v>0</v>
          </cell>
        </row>
        <row r="428">
          <cell r="AO428"/>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100</v>
          </cell>
          <cell r="BG428">
            <v>100</v>
          </cell>
          <cell r="BH428">
            <v>100</v>
          </cell>
          <cell r="BI428">
            <v>100</v>
          </cell>
          <cell r="BJ428">
            <v>100</v>
          </cell>
          <cell r="BK428">
            <v>100</v>
          </cell>
          <cell r="BL428">
            <v>100</v>
          </cell>
          <cell r="BM428">
            <v>100</v>
          </cell>
          <cell r="BN428">
            <v>100</v>
          </cell>
          <cell r="BO428">
            <v>100</v>
          </cell>
          <cell r="BP428">
            <v>100</v>
          </cell>
          <cell r="BQ428">
            <v>100</v>
          </cell>
          <cell r="BR428">
            <v>100</v>
          </cell>
          <cell r="BS428">
            <v>0</v>
          </cell>
          <cell r="BT428">
            <v>0</v>
          </cell>
          <cell r="BU428">
            <v>0</v>
          </cell>
          <cell r="BV428">
            <v>0</v>
          </cell>
          <cell r="BW428">
            <v>0</v>
          </cell>
          <cell r="BX428">
            <v>0</v>
          </cell>
        </row>
        <row r="429">
          <cell r="AO429"/>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row>
        <row r="430">
          <cell r="AO430"/>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row>
        <row r="431">
          <cell r="AO431"/>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row>
        <row r="432">
          <cell r="AO432" t="str">
            <v>名鉄トヨタホテル　合計</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100</v>
          </cell>
          <cell r="BG432">
            <v>100</v>
          </cell>
          <cell r="BH432">
            <v>100</v>
          </cell>
          <cell r="BI432">
            <v>100</v>
          </cell>
          <cell r="BJ432">
            <v>100</v>
          </cell>
          <cell r="BK432">
            <v>100</v>
          </cell>
          <cell r="BL432">
            <v>100</v>
          </cell>
          <cell r="BM432">
            <v>100</v>
          </cell>
          <cell r="BN432">
            <v>100</v>
          </cell>
          <cell r="BO432">
            <v>100</v>
          </cell>
          <cell r="BP432">
            <v>100</v>
          </cell>
          <cell r="BQ432">
            <v>100</v>
          </cell>
          <cell r="BR432">
            <v>100</v>
          </cell>
          <cell r="BS432">
            <v>0</v>
          </cell>
          <cell r="BT432">
            <v>0</v>
          </cell>
          <cell r="BU432">
            <v>0</v>
          </cell>
          <cell r="BV432">
            <v>0</v>
          </cell>
          <cell r="BW432">
            <v>0</v>
          </cell>
          <cell r="BX432">
            <v>0</v>
          </cell>
        </row>
        <row r="433">
          <cell r="AO433"/>
          <cell r="AP433">
            <v>0</v>
          </cell>
          <cell r="AQ433">
            <v>0</v>
          </cell>
          <cell r="AR433">
            <v>0</v>
          </cell>
          <cell r="AS433">
            <v>0</v>
          </cell>
          <cell r="AT433">
            <v>0</v>
          </cell>
          <cell r="AU433">
            <v>0</v>
          </cell>
          <cell r="AV433">
            <v>0</v>
          </cell>
          <cell r="AW433">
            <v>0</v>
          </cell>
          <cell r="AX433">
            <v>80</v>
          </cell>
          <cell r="AY433">
            <v>80</v>
          </cell>
          <cell r="AZ433">
            <v>80</v>
          </cell>
          <cell r="BA433">
            <v>80</v>
          </cell>
          <cell r="BB433">
            <v>80</v>
          </cell>
          <cell r="BC433">
            <v>80</v>
          </cell>
          <cell r="BD433">
            <v>80</v>
          </cell>
          <cell r="BE433">
            <v>80</v>
          </cell>
          <cell r="BF433">
            <v>80</v>
          </cell>
          <cell r="BG433">
            <v>80</v>
          </cell>
          <cell r="BH433">
            <v>80</v>
          </cell>
          <cell r="BI433">
            <v>80</v>
          </cell>
          <cell r="BJ433">
            <v>80</v>
          </cell>
          <cell r="BK433">
            <v>80</v>
          </cell>
          <cell r="BL433">
            <v>80</v>
          </cell>
          <cell r="BM433">
            <v>80</v>
          </cell>
          <cell r="BN433">
            <v>80</v>
          </cell>
          <cell r="BO433">
            <v>80</v>
          </cell>
          <cell r="BP433">
            <v>80</v>
          </cell>
          <cell r="BQ433">
            <v>80</v>
          </cell>
          <cell r="BR433">
            <v>80</v>
          </cell>
          <cell r="BS433">
            <v>80</v>
          </cell>
          <cell r="BT433">
            <v>80</v>
          </cell>
          <cell r="BU433">
            <v>0</v>
          </cell>
          <cell r="BV433">
            <v>0</v>
          </cell>
          <cell r="BW433">
            <v>0</v>
          </cell>
          <cell r="BX433">
            <v>0</v>
          </cell>
        </row>
        <row r="434">
          <cell r="AO434"/>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row>
        <row r="435">
          <cell r="AO435"/>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row>
        <row r="436">
          <cell r="AO436"/>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0</v>
          </cell>
          <cell r="BW436">
            <v>0</v>
          </cell>
          <cell r="BX436">
            <v>0</v>
          </cell>
        </row>
        <row r="437">
          <cell r="AO437" t="str">
            <v>岡崎オーワホテル　合計</v>
          </cell>
          <cell r="AP437">
            <v>0</v>
          </cell>
          <cell r="AQ437">
            <v>0</v>
          </cell>
          <cell r="AR437">
            <v>0</v>
          </cell>
          <cell r="AS437">
            <v>0</v>
          </cell>
          <cell r="AT437">
            <v>0</v>
          </cell>
          <cell r="AU437">
            <v>0</v>
          </cell>
          <cell r="AV437">
            <v>0</v>
          </cell>
          <cell r="AW437">
            <v>0</v>
          </cell>
          <cell r="AX437">
            <v>80</v>
          </cell>
          <cell r="AY437">
            <v>80</v>
          </cell>
          <cell r="AZ437">
            <v>80</v>
          </cell>
          <cell r="BA437">
            <v>80</v>
          </cell>
          <cell r="BB437">
            <v>80</v>
          </cell>
          <cell r="BC437">
            <v>80</v>
          </cell>
          <cell r="BD437">
            <v>80</v>
          </cell>
          <cell r="BE437">
            <v>80</v>
          </cell>
          <cell r="BF437">
            <v>80</v>
          </cell>
          <cell r="BG437">
            <v>80</v>
          </cell>
          <cell r="BH437">
            <v>80</v>
          </cell>
          <cell r="BI437">
            <v>80</v>
          </cell>
          <cell r="BJ437">
            <v>80</v>
          </cell>
          <cell r="BK437">
            <v>80</v>
          </cell>
          <cell r="BL437">
            <v>80</v>
          </cell>
          <cell r="BM437">
            <v>80</v>
          </cell>
          <cell r="BN437">
            <v>80</v>
          </cell>
          <cell r="BO437">
            <v>80</v>
          </cell>
          <cell r="BP437">
            <v>80</v>
          </cell>
          <cell r="BQ437">
            <v>80</v>
          </cell>
          <cell r="BR437">
            <v>80</v>
          </cell>
          <cell r="BS437">
            <v>80</v>
          </cell>
          <cell r="BT437">
            <v>80</v>
          </cell>
          <cell r="BU437">
            <v>0</v>
          </cell>
          <cell r="BV437">
            <v>0</v>
          </cell>
          <cell r="BW437">
            <v>0</v>
          </cell>
          <cell r="BX437">
            <v>0</v>
          </cell>
        </row>
        <row r="438">
          <cell r="AO438"/>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row>
        <row r="439">
          <cell r="AO439"/>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0</v>
          </cell>
          <cell r="BX439">
            <v>0</v>
          </cell>
        </row>
        <row r="440">
          <cell r="AO440"/>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row>
        <row r="441">
          <cell r="AO441"/>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row>
        <row r="442">
          <cell r="AO442" t="str">
            <v>岡崎ニューグランドホテル　合計</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row>
        <row r="443">
          <cell r="AO443"/>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row>
        <row r="444">
          <cell r="AO444"/>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0</v>
          </cell>
        </row>
        <row r="445">
          <cell r="AO445"/>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cell r="BX445">
            <v>0</v>
          </cell>
        </row>
        <row r="446">
          <cell r="AO446"/>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row>
        <row r="447">
          <cell r="AO447" t="str">
            <v>株式会社竜宮ホテル　合計</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row>
        <row r="448">
          <cell r="AO448"/>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row>
        <row r="449">
          <cell r="AO449"/>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row>
        <row r="450">
          <cell r="AO450"/>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row>
        <row r="451">
          <cell r="AO451"/>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row>
        <row r="452">
          <cell r="AO452" t="str">
            <v>株式会社三河湾リゾート・リンクス　合計</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cell r="BX452">
            <v>0</v>
          </cell>
        </row>
        <row r="453">
          <cell r="AO453"/>
          <cell r="AP453">
            <v>0</v>
          </cell>
          <cell r="AQ453">
            <v>0</v>
          </cell>
          <cell r="AR453">
            <v>0</v>
          </cell>
          <cell r="AS453">
            <v>0</v>
          </cell>
          <cell r="AT453">
            <v>0</v>
          </cell>
          <cell r="AU453">
            <v>0</v>
          </cell>
          <cell r="AV453">
            <v>0</v>
          </cell>
          <cell r="AW453">
            <v>0</v>
          </cell>
          <cell r="AX453">
            <v>170</v>
          </cell>
          <cell r="AY453">
            <v>170</v>
          </cell>
          <cell r="AZ453">
            <v>170</v>
          </cell>
          <cell r="BA453">
            <v>170</v>
          </cell>
          <cell r="BB453">
            <v>170</v>
          </cell>
          <cell r="BC453">
            <v>170</v>
          </cell>
          <cell r="BD453">
            <v>170</v>
          </cell>
          <cell r="BE453">
            <v>170</v>
          </cell>
          <cell r="BF453">
            <v>170</v>
          </cell>
          <cell r="BG453">
            <v>170</v>
          </cell>
          <cell r="BH453">
            <v>170</v>
          </cell>
          <cell r="BI453">
            <v>170</v>
          </cell>
          <cell r="BJ453">
            <v>170</v>
          </cell>
          <cell r="BK453">
            <v>170</v>
          </cell>
          <cell r="BL453">
            <v>170</v>
          </cell>
          <cell r="BM453">
            <v>170</v>
          </cell>
          <cell r="BN453">
            <v>170</v>
          </cell>
          <cell r="BO453">
            <v>170</v>
          </cell>
          <cell r="BP453">
            <v>170</v>
          </cell>
          <cell r="BQ453">
            <v>170</v>
          </cell>
          <cell r="BR453">
            <v>170</v>
          </cell>
          <cell r="BS453">
            <v>170</v>
          </cell>
          <cell r="BT453">
            <v>170</v>
          </cell>
          <cell r="BU453">
            <v>0</v>
          </cell>
          <cell r="BV453">
            <v>0</v>
          </cell>
          <cell r="BW453">
            <v>0</v>
          </cell>
          <cell r="BX453">
            <v>0</v>
          </cell>
        </row>
        <row r="454">
          <cell r="AO454"/>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row>
        <row r="455">
          <cell r="AO455"/>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row>
        <row r="456">
          <cell r="AO456"/>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row>
        <row r="457">
          <cell r="AO457" t="str">
            <v>ホテル明山荘　合計</v>
          </cell>
          <cell r="AP457">
            <v>0</v>
          </cell>
          <cell r="AQ457">
            <v>0</v>
          </cell>
          <cell r="AR457">
            <v>0</v>
          </cell>
          <cell r="AS457">
            <v>0</v>
          </cell>
          <cell r="AT457">
            <v>0</v>
          </cell>
          <cell r="AU457">
            <v>0</v>
          </cell>
          <cell r="AV457">
            <v>0</v>
          </cell>
          <cell r="AW457">
            <v>0</v>
          </cell>
          <cell r="AX457">
            <v>170</v>
          </cell>
          <cell r="AY457">
            <v>170</v>
          </cell>
          <cell r="AZ457">
            <v>170</v>
          </cell>
          <cell r="BA457">
            <v>170</v>
          </cell>
          <cell r="BB457">
            <v>170</v>
          </cell>
          <cell r="BC457">
            <v>170</v>
          </cell>
          <cell r="BD457">
            <v>170</v>
          </cell>
          <cell r="BE457">
            <v>170</v>
          </cell>
          <cell r="BF457">
            <v>170</v>
          </cell>
          <cell r="BG457">
            <v>170</v>
          </cell>
          <cell r="BH457">
            <v>170</v>
          </cell>
          <cell r="BI457">
            <v>170</v>
          </cell>
          <cell r="BJ457">
            <v>170</v>
          </cell>
          <cell r="BK457">
            <v>170</v>
          </cell>
          <cell r="BL457">
            <v>170</v>
          </cell>
          <cell r="BM457">
            <v>170</v>
          </cell>
          <cell r="BN457">
            <v>170</v>
          </cell>
          <cell r="BO457">
            <v>170</v>
          </cell>
          <cell r="BP457">
            <v>170</v>
          </cell>
          <cell r="BQ457">
            <v>170</v>
          </cell>
          <cell r="BR457">
            <v>170</v>
          </cell>
          <cell r="BS457">
            <v>170</v>
          </cell>
          <cell r="BT457">
            <v>170</v>
          </cell>
          <cell r="BU457">
            <v>0</v>
          </cell>
          <cell r="BV457">
            <v>0</v>
          </cell>
          <cell r="BW457">
            <v>0</v>
          </cell>
          <cell r="BX457">
            <v>0</v>
          </cell>
        </row>
        <row r="458">
          <cell r="AO458"/>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row>
        <row r="459">
          <cell r="AO459"/>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row>
        <row r="460">
          <cell r="AO460"/>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row>
        <row r="461">
          <cell r="AO461"/>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cell r="BM461">
            <v>0</v>
          </cell>
          <cell r="BN461">
            <v>0</v>
          </cell>
          <cell r="BO461">
            <v>0</v>
          </cell>
          <cell r="BP461">
            <v>0</v>
          </cell>
          <cell r="BQ461">
            <v>0</v>
          </cell>
          <cell r="BR461">
            <v>0</v>
          </cell>
          <cell r="BS461">
            <v>0</v>
          </cell>
          <cell r="BT461">
            <v>0</v>
          </cell>
          <cell r="BU461">
            <v>0</v>
          </cell>
          <cell r="BV461">
            <v>0</v>
          </cell>
          <cell r="BW461">
            <v>0</v>
          </cell>
          <cell r="BX461">
            <v>0</v>
          </cell>
        </row>
        <row r="462">
          <cell r="AO462" t="str">
            <v>松風園　合計</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row>
        <row r="463">
          <cell r="AO463"/>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row>
        <row r="464">
          <cell r="AO464"/>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row>
        <row r="465">
          <cell r="AO465"/>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row>
        <row r="466">
          <cell r="AO466"/>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row>
        <row r="467">
          <cell r="AO467" t="str">
            <v>株式会社三谷温泉ひがきホテル　合計</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row>
        <row r="468">
          <cell r="AO468"/>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188</v>
          </cell>
          <cell r="BE468">
            <v>188</v>
          </cell>
          <cell r="BF468">
            <v>188</v>
          </cell>
          <cell r="BG468">
            <v>188</v>
          </cell>
          <cell r="BH468">
            <v>188</v>
          </cell>
          <cell r="BI468">
            <v>188</v>
          </cell>
          <cell r="BJ468">
            <v>188</v>
          </cell>
          <cell r="BK468">
            <v>188</v>
          </cell>
          <cell r="BL468">
            <v>188</v>
          </cell>
          <cell r="BM468">
            <v>188</v>
          </cell>
          <cell r="BN468">
            <v>188</v>
          </cell>
          <cell r="BO468">
            <v>188</v>
          </cell>
          <cell r="BP468">
            <v>188</v>
          </cell>
          <cell r="BQ468">
            <v>188</v>
          </cell>
          <cell r="BR468">
            <v>188</v>
          </cell>
          <cell r="BS468">
            <v>188</v>
          </cell>
          <cell r="BT468">
            <v>188</v>
          </cell>
          <cell r="BU468">
            <v>0</v>
          </cell>
          <cell r="BV468">
            <v>0</v>
          </cell>
          <cell r="BW468">
            <v>0</v>
          </cell>
          <cell r="BX468">
            <v>0</v>
          </cell>
        </row>
        <row r="469">
          <cell r="AO469"/>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row>
        <row r="470">
          <cell r="AO470"/>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row>
        <row r="471">
          <cell r="AO471"/>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row>
        <row r="472">
          <cell r="AO472" t="str">
            <v>株式会社平野屋　合計</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188</v>
          </cell>
          <cell r="BE472">
            <v>188</v>
          </cell>
          <cell r="BF472">
            <v>188</v>
          </cell>
          <cell r="BG472">
            <v>188</v>
          </cell>
          <cell r="BH472">
            <v>188</v>
          </cell>
          <cell r="BI472">
            <v>188</v>
          </cell>
          <cell r="BJ472">
            <v>188</v>
          </cell>
          <cell r="BK472">
            <v>188</v>
          </cell>
          <cell r="BL472">
            <v>188</v>
          </cell>
          <cell r="BM472">
            <v>188</v>
          </cell>
          <cell r="BN472">
            <v>188</v>
          </cell>
          <cell r="BO472">
            <v>188</v>
          </cell>
          <cell r="BP472">
            <v>188</v>
          </cell>
          <cell r="BQ472">
            <v>188</v>
          </cell>
          <cell r="BR472">
            <v>188</v>
          </cell>
          <cell r="BS472">
            <v>188</v>
          </cell>
          <cell r="BT472">
            <v>188</v>
          </cell>
          <cell r="BU472">
            <v>0</v>
          </cell>
          <cell r="BV472">
            <v>0</v>
          </cell>
          <cell r="BW472">
            <v>0</v>
          </cell>
          <cell r="BX472">
            <v>0</v>
          </cell>
        </row>
        <row r="473">
          <cell r="AO473"/>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row>
        <row r="474">
          <cell r="AO474"/>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row>
        <row r="475">
          <cell r="AO475"/>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row>
        <row r="476">
          <cell r="AO476"/>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row>
        <row r="477">
          <cell r="AO477" t="str">
            <v>ホテル三河　海陽閣　合計</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row>
        <row r="478">
          <cell r="AO478"/>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187</v>
          </cell>
          <cell r="BJ478">
            <v>187</v>
          </cell>
          <cell r="BK478">
            <v>187</v>
          </cell>
          <cell r="BL478">
            <v>187</v>
          </cell>
          <cell r="BM478">
            <v>187</v>
          </cell>
          <cell r="BN478">
            <v>187</v>
          </cell>
          <cell r="BO478">
            <v>187</v>
          </cell>
          <cell r="BP478">
            <v>187</v>
          </cell>
          <cell r="BQ478">
            <v>187</v>
          </cell>
          <cell r="BR478">
            <v>187</v>
          </cell>
          <cell r="BS478">
            <v>187</v>
          </cell>
          <cell r="BT478">
            <v>187</v>
          </cell>
          <cell r="BU478">
            <v>0</v>
          </cell>
          <cell r="BV478">
            <v>0</v>
          </cell>
          <cell r="BW478">
            <v>0</v>
          </cell>
          <cell r="BX478">
            <v>0</v>
          </cell>
        </row>
        <row r="479">
          <cell r="AO479"/>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row>
        <row r="480">
          <cell r="AO480"/>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row>
        <row r="481">
          <cell r="AO481"/>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row>
        <row r="482">
          <cell r="AO482" t="str">
            <v>変なホテル　ラグーナテンボス　合計</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187</v>
          </cell>
          <cell r="BJ482">
            <v>187</v>
          </cell>
          <cell r="BK482">
            <v>187</v>
          </cell>
          <cell r="BL482">
            <v>187</v>
          </cell>
          <cell r="BM482">
            <v>187</v>
          </cell>
          <cell r="BN482">
            <v>187</v>
          </cell>
          <cell r="BO482">
            <v>187</v>
          </cell>
          <cell r="BP482">
            <v>187</v>
          </cell>
          <cell r="BQ482">
            <v>187</v>
          </cell>
          <cell r="BR482">
            <v>187</v>
          </cell>
          <cell r="BS482">
            <v>187</v>
          </cell>
          <cell r="BT482">
            <v>187</v>
          </cell>
          <cell r="BU482">
            <v>0</v>
          </cell>
          <cell r="BV482">
            <v>0</v>
          </cell>
          <cell r="BW482">
            <v>0</v>
          </cell>
          <cell r="BX482">
            <v>0</v>
          </cell>
        </row>
        <row r="483">
          <cell r="AO483"/>
          <cell r="AP483">
            <v>0</v>
          </cell>
          <cell r="AQ483">
            <v>0</v>
          </cell>
          <cell r="AR483">
            <v>0</v>
          </cell>
          <cell r="AS483">
            <v>0</v>
          </cell>
          <cell r="AT483">
            <v>0</v>
          </cell>
          <cell r="AU483">
            <v>0</v>
          </cell>
          <cell r="AV483">
            <v>0</v>
          </cell>
          <cell r="AW483">
            <v>0</v>
          </cell>
          <cell r="AX483">
            <v>0</v>
          </cell>
          <cell r="AY483">
            <v>0</v>
          </cell>
          <cell r="AZ483">
            <v>0</v>
          </cell>
          <cell r="BA483">
            <v>0</v>
          </cell>
          <cell r="BB483">
            <v>83</v>
          </cell>
          <cell r="BC483">
            <v>83</v>
          </cell>
          <cell r="BD483">
            <v>83</v>
          </cell>
          <cell r="BE483">
            <v>83</v>
          </cell>
          <cell r="BF483">
            <v>83</v>
          </cell>
          <cell r="BG483">
            <v>83</v>
          </cell>
          <cell r="BH483">
            <v>83</v>
          </cell>
          <cell r="BI483">
            <v>83</v>
          </cell>
          <cell r="BJ483">
            <v>83</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row>
        <row r="484">
          <cell r="AO484"/>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62</v>
          </cell>
          <cell r="BE484">
            <v>62</v>
          </cell>
          <cell r="BF484">
            <v>62</v>
          </cell>
          <cell r="BG484">
            <v>62</v>
          </cell>
          <cell r="BH484">
            <v>62</v>
          </cell>
          <cell r="BI484">
            <v>62</v>
          </cell>
          <cell r="BJ484">
            <v>62</v>
          </cell>
          <cell r="BK484">
            <v>62</v>
          </cell>
          <cell r="BL484">
            <v>62</v>
          </cell>
          <cell r="BM484">
            <v>62</v>
          </cell>
          <cell r="BN484">
            <v>62</v>
          </cell>
          <cell r="BO484">
            <v>62</v>
          </cell>
          <cell r="BP484">
            <v>62</v>
          </cell>
          <cell r="BQ484">
            <v>62</v>
          </cell>
          <cell r="BR484">
            <v>62</v>
          </cell>
          <cell r="BS484">
            <v>62</v>
          </cell>
          <cell r="BT484">
            <v>62</v>
          </cell>
          <cell r="BU484">
            <v>0</v>
          </cell>
          <cell r="BV484">
            <v>0</v>
          </cell>
          <cell r="BW484">
            <v>0</v>
          </cell>
          <cell r="BX484">
            <v>0</v>
          </cell>
        </row>
        <row r="485">
          <cell r="AO485"/>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row>
        <row r="486">
          <cell r="AO486"/>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row>
        <row r="487">
          <cell r="AO487" t="str">
            <v>ホテル竹島　合計</v>
          </cell>
          <cell r="AP487">
            <v>0</v>
          </cell>
          <cell r="AQ487">
            <v>0</v>
          </cell>
          <cell r="AR487">
            <v>0</v>
          </cell>
          <cell r="AS487">
            <v>0</v>
          </cell>
          <cell r="AT487">
            <v>0</v>
          </cell>
          <cell r="AU487">
            <v>0</v>
          </cell>
          <cell r="AV487">
            <v>0</v>
          </cell>
          <cell r="AW487">
            <v>0</v>
          </cell>
          <cell r="AX487">
            <v>0</v>
          </cell>
          <cell r="AY487">
            <v>0</v>
          </cell>
          <cell r="AZ487">
            <v>0</v>
          </cell>
          <cell r="BA487">
            <v>0</v>
          </cell>
          <cell r="BB487">
            <v>83</v>
          </cell>
          <cell r="BC487">
            <v>83</v>
          </cell>
          <cell r="BD487">
            <v>145</v>
          </cell>
          <cell r="BE487">
            <v>145</v>
          </cell>
          <cell r="BF487">
            <v>145</v>
          </cell>
          <cell r="BG487">
            <v>145</v>
          </cell>
          <cell r="BH487">
            <v>145</v>
          </cell>
          <cell r="BI487">
            <v>145</v>
          </cell>
          <cell r="BJ487">
            <v>145</v>
          </cell>
          <cell r="BK487">
            <v>62</v>
          </cell>
          <cell r="BL487">
            <v>62</v>
          </cell>
          <cell r="BM487">
            <v>62</v>
          </cell>
          <cell r="BN487">
            <v>62</v>
          </cell>
          <cell r="BO487">
            <v>62</v>
          </cell>
          <cell r="BP487">
            <v>62</v>
          </cell>
          <cell r="BQ487">
            <v>62</v>
          </cell>
          <cell r="BR487">
            <v>62</v>
          </cell>
          <cell r="BS487">
            <v>62</v>
          </cell>
          <cell r="BT487">
            <v>62</v>
          </cell>
          <cell r="BU487">
            <v>0</v>
          </cell>
          <cell r="BV487">
            <v>0</v>
          </cell>
          <cell r="BW487">
            <v>0</v>
          </cell>
          <cell r="BX487">
            <v>0</v>
          </cell>
        </row>
        <row r="488">
          <cell r="AO488"/>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row>
        <row r="489">
          <cell r="AO489"/>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row>
        <row r="490">
          <cell r="AO490"/>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row>
        <row r="491">
          <cell r="AO491"/>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row>
        <row r="492">
          <cell r="AO492" t="str">
            <v>蒲郡クラシックホテル　合計</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row>
        <row r="493">
          <cell r="AO493"/>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row>
        <row r="494">
          <cell r="AO494"/>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row>
        <row r="495">
          <cell r="AO495"/>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row>
        <row r="496">
          <cell r="AO496"/>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row>
        <row r="497">
          <cell r="AO497" t="str">
            <v>蒲郡ホテル＜別館＞　合計</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row>
        <row r="498">
          <cell r="AO498"/>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row>
        <row r="499">
          <cell r="AO499"/>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row>
        <row r="500">
          <cell r="AO500"/>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row>
        <row r="501">
          <cell r="AO501"/>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row>
        <row r="502">
          <cell r="AO502" t="str">
            <v>株式会社鈴岡　合計</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row>
        <row r="503">
          <cell r="AO503"/>
          <cell r="AP503">
            <v>0</v>
          </cell>
          <cell r="AQ503">
            <v>0</v>
          </cell>
          <cell r="AR503">
            <v>0</v>
          </cell>
          <cell r="AS503">
            <v>0</v>
          </cell>
          <cell r="AT503">
            <v>0</v>
          </cell>
          <cell r="AU503">
            <v>0</v>
          </cell>
          <cell r="AV503">
            <v>0</v>
          </cell>
          <cell r="AW503">
            <v>0</v>
          </cell>
          <cell r="AX503">
            <v>0</v>
          </cell>
          <cell r="AY503">
            <v>0</v>
          </cell>
          <cell r="AZ503">
            <v>0</v>
          </cell>
          <cell r="BA503">
            <v>0</v>
          </cell>
          <cell r="BB503">
            <v>252</v>
          </cell>
          <cell r="BC503">
            <v>252</v>
          </cell>
          <cell r="BD503">
            <v>252</v>
          </cell>
          <cell r="BE503">
            <v>252</v>
          </cell>
          <cell r="BF503">
            <v>252</v>
          </cell>
          <cell r="BG503">
            <v>252</v>
          </cell>
          <cell r="BH503">
            <v>252</v>
          </cell>
          <cell r="BI503">
            <v>252</v>
          </cell>
          <cell r="BJ503">
            <v>252</v>
          </cell>
          <cell r="BK503">
            <v>252</v>
          </cell>
          <cell r="BL503">
            <v>252</v>
          </cell>
          <cell r="BM503">
            <v>252</v>
          </cell>
          <cell r="BN503">
            <v>252</v>
          </cell>
          <cell r="BO503">
            <v>252</v>
          </cell>
          <cell r="BP503">
            <v>252</v>
          </cell>
          <cell r="BQ503">
            <v>252</v>
          </cell>
          <cell r="BR503">
            <v>252</v>
          </cell>
          <cell r="BS503">
            <v>252</v>
          </cell>
          <cell r="BT503">
            <v>0</v>
          </cell>
          <cell r="BU503">
            <v>0</v>
          </cell>
          <cell r="BV503">
            <v>0</v>
          </cell>
          <cell r="BW503">
            <v>0</v>
          </cell>
          <cell r="BX503">
            <v>0</v>
          </cell>
        </row>
        <row r="504">
          <cell r="AO504"/>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row>
        <row r="505">
          <cell r="AO505"/>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row>
        <row r="506">
          <cell r="AO506"/>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row>
        <row r="507">
          <cell r="AO507" t="str">
            <v>ホテル東海園　合計</v>
          </cell>
          <cell r="AP507">
            <v>0</v>
          </cell>
          <cell r="AQ507">
            <v>0</v>
          </cell>
          <cell r="AR507">
            <v>0</v>
          </cell>
          <cell r="AS507">
            <v>0</v>
          </cell>
          <cell r="AT507">
            <v>0</v>
          </cell>
          <cell r="AU507">
            <v>0</v>
          </cell>
          <cell r="AV507">
            <v>0</v>
          </cell>
          <cell r="AW507">
            <v>0</v>
          </cell>
          <cell r="AX507">
            <v>0</v>
          </cell>
          <cell r="AY507">
            <v>0</v>
          </cell>
          <cell r="AZ507">
            <v>0</v>
          </cell>
          <cell r="BA507">
            <v>0</v>
          </cell>
          <cell r="BB507">
            <v>252</v>
          </cell>
          <cell r="BC507">
            <v>252</v>
          </cell>
          <cell r="BD507">
            <v>252</v>
          </cell>
          <cell r="BE507">
            <v>252</v>
          </cell>
          <cell r="BF507">
            <v>252</v>
          </cell>
          <cell r="BG507">
            <v>252</v>
          </cell>
          <cell r="BH507">
            <v>252</v>
          </cell>
          <cell r="BI507">
            <v>252</v>
          </cell>
          <cell r="BJ507">
            <v>252</v>
          </cell>
          <cell r="BK507">
            <v>252</v>
          </cell>
          <cell r="BL507">
            <v>252</v>
          </cell>
          <cell r="BM507">
            <v>252</v>
          </cell>
          <cell r="BN507">
            <v>252</v>
          </cell>
          <cell r="BO507">
            <v>252</v>
          </cell>
          <cell r="BP507">
            <v>252</v>
          </cell>
          <cell r="BQ507">
            <v>252</v>
          </cell>
          <cell r="BR507">
            <v>252</v>
          </cell>
          <cell r="BS507">
            <v>252</v>
          </cell>
          <cell r="BT507">
            <v>0</v>
          </cell>
          <cell r="BU507">
            <v>0</v>
          </cell>
          <cell r="BV507">
            <v>0</v>
          </cell>
          <cell r="BW507">
            <v>0</v>
          </cell>
          <cell r="BX507">
            <v>0</v>
          </cell>
        </row>
        <row r="508">
          <cell r="AO508"/>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row>
        <row r="509">
          <cell r="AO509"/>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row>
        <row r="510">
          <cell r="AO510"/>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row>
        <row r="511">
          <cell r="AO511"/>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row>
        <row r="512">
          <cell r="AO512" t="str">
            <v>和のリゾートはづ　合計</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row>
        <row r="513">
          <cell r="AO513"/>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row>
        <row r="514">
          <cell r="AO514"/>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row>
        <row r="515">
          <cell r="AO515"/>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row>
        <row r="516">
          <cell r="AO516"/>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row>
        <row r="517">
          <cell r="AO517" t="str">
            <v>ホテルたつき　合計</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row>
        <row r="518">
          <cell r="AO518"/>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row>
        <row r="519">
          <cell r="AO519"/>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row>
        <row r="520">
          <cell r="AO520"/>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row>
        <row r="521">
          <cell r="AO521"/>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row>
        <row r="522">
          <cell r="AO522" t="str">
            <v>西浦グランドホテル吉慶　合計</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row>
        <row r="523">
          <cell r="AO523"/>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row>
        <row r="524">
          <cell r="AO524"/>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row>
        <row r="525">
          <cell r="AO525"/>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row>
        <row r="526">
          <cell r="AO526"/>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row>
        <row r="527">
          <cell r="AO527" t="str">
            <v>蒲郡ホテル　合計</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row>
        <row r="528">
          <cell r="AO528"/>
          <cell r="AP528">
            <v>0</v>
          </cell>
          <cell r="AQ528">
            <v>0</v>
          </cell>
          <cell r="AR528">
            <v>0</v>
          </cell>
          <cell r="AS528">
            <v>0</v>
          </cell>
          <cell r="AT528">
            <v>0</v>
          </cell>
          <cell r="AU528">
            <v>0</v>
          </cell>
          <cell r="AV528">
            <v>0</v>
          </cell>
          <cell r="AW528">
            <v>0</v>
          </cell>
          <cell r="AX528">
            <v>0</v>
          </cell>
          <cell r="AY528">
            <v>0</v>
          </cell>
          <cell r="AZ528">
            <v>0</v>
          </cell>
          <cell r="BA528">
            <v>101</v>
          </cell>
          <cell r="BB528">
            <v>101</v>
          </cell>
          <cell r="BC528">
            <v>101</v>
          </cell>
          <cell r="BD528">
            <v>101</v>
          </cell>
          <cell r="BE528">
            <v>101</v>
          </cell>
          <cell r="BF528">
            <v>101</v>
          </cell>
          <cell r="BG528">
            <v>101</v>
          </cell>
          <cell r="BH528">
            <v>101</v>
          </cell>
          <cell r="BI528">
            <v>101</v>
          </cell>
          <cell r="BJ528">
            <v>101</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row>
        <row r="529">
          <cell r="AO529"/>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row>
        <row r="530">
          <cell r="AO530"/>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row>
        <row r="531">
          <cell r="AO531"/>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row>
        <row r="532">
          <cell r="AO532" t="str">
            <v>ホテルルートイン新城　合計</v>
          </cell>
          <cell r="AP532">
            <v>0</v>
          </cell>
          <cell r="AQ532">
            <v>0</v>
          </cell>
          <cell r="AR532">
            <v>0</v>
          </cell>
          <cell r="AS532">
            <v>0</v>
          </cell>
          <cell r="AT532">
            <v>0</v>
          </cell>
          <cell r="AU532">
            <v>0</v>
          </cell>
          <cell r="AV532">
            <v>0</v>
          </cell>
          <cell r="AW532">
            <v>0</v>
          </cell>
          <cell r="AX532">
            <v>0</v>
          </cell>
          <cell r="AY532">
            <v>0</v>
          </cell>
          <cell r="AZ532">
            <v>0</v>
          </cell>
          <cell r="BA532">
            <v>101</v>
          </cell>
          <cell r="BB532">
            <v>101</v>
          </cell>
          <cell r="BC532">
            <v>101</v>
          </cell>
          <cell r="BD532">
            <v>101</v>
          </cell>
          <cell r="BE532">
            <v>101</v>
          </cell>
          <cell r="BF532">
            <v>101</v>
          </cell>
          <cell r="BG532">
            <v>101</v>
          </cell>
          <cell r="BH532">
            <v>101</v>
          </cell>
          <cell r="BI532">
            <v>101</v>
          </cell>
          <cell r="BJ532">
            <v>101</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row>
        <row r="533">
          <cell r="AO533"/>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62</v>
          </cell>
          <cell r="BI533">
            <v>62</v>
          </cell>
          <cell r="BJ533">
            <v>62</v>
          </cell>
          <cell r="BK533">
            <v>62</v>
          </cell>
          <cell r="BL533">
            <v>62</v>
          </cell>
          <cell r="BM533">
            <v>62</v>
          </cell>
          <cell r="BN533">
            <v>62</v>
          </cell>
          <cell r="BO533">
            <v>62</v>
          </cell>
          <cell r="BP533">
            <v>62</v>
          </cell>
          <cell r="BQ533">
            <v>0</v>
          </cell>
          <cell r="BR533">
            <v>0</v>
          </cell>
          <cell r="BS533">
            <v>0</v>
          </cell>
          <cell r="BT533">
            <v>0</v>
          </cell>
          <cell r="BU533">
            <v>0</v>
          </cell>
          <cell r="BV533">
            <v>0</v>
          </cell>
          <cell r="BW533">
            <v>0</v>
          </cell>
          <cell r="BX533">
            <v>0</v>
          </cell>
        </row>
        <row r="534">
          <cell r="AO534"/>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row>
        <row r="535">
          <cell r="AO535"/>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row>
        <row r="536">
          <cell r="AO536"/>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row>
        <row r="537">
          <cell r="AO537" t="str">
            <v>伊良湖リゾート＆コンベンションホテル（旧伊良湖シーパーク＆スパ）　合計</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62</v>
          </cell>
          <cell r="BI537">
            <v>62</v>
          </cell>
          <cell r="BJ537">
            <v>62</v>
          </cell>
          <cell r="BK537">
            <v>62</v>
          </cell>
          <cell r="BL537">
            <v>62</v>
          </cell>
          <cell r="BM537">
            <v>62</v>
          </cell>
          <cell r="BN537">
            <v>62</v>
          </cell>
          <cell r="BO537">
            <v>62</v>
          </cell>
          <cell r="BP537">
            <v>62</v>
          </cell>
          <cell r="BQ537">
            <v>0</v>
          </cell>
          <cell r="BR537">
            <v>0</v>
          </cell>
          <cell r="BS537">
            <v>0</v>
          </cell>
          <cell r="BT537">
            <v>0</v>
          </cell>
          <cell r="BU537">
            <v>0</v>
          </cell>
          <cell r="BV537">
            <v>0</v>
          </cell>
          <cell r="BW537">
            <v>0</v>
          </cell>
          <cell r="BX537">
            <v>0</v>
          </cell>
        </row>
        <row r="538">
          <cell r="AO538"/>
          <cell r="AP538">
            <v>0</v>
          </cell>
          <cell r="AQ538">
            <v>0</v>
          </cell>
          <cell r="AR538">
            <v>0</v>
          </cell>
          <cell r="AS538">
            <v>0</v>
          </cell>
          <cell r="AT538">
            <v>0</v>
          </cell>
          <cell r="AU538">
            <v>0</v>
          </cell>
          <cell r="AV538">
            <v>0</v>
          </cell>
          <cell r="AW538">
            <v>0</v>
          </cell>
          <cell r="AX538">
            <v>0</v>
          </cell>
          <cell r="AY538">
            <v>0</v>
          </cell>
          <cell r="AZ538">
            <v>0</v>
          </cell>
          <cell r="BA538">
            <v>0</v>
          </cell>
          <cell r="BB538">
            <v>224</v>
          </cell>
          <cell r="BC538">
            <v>224</v>
          </cell>
          <cell r="BD538">
            <v>224</v>
          </cell>
          <cell r="BE538">
            <v>224</v>
          </cell>
          <cell r="BF538">
            <v>224</v>
          </cell>
          <cell r="BG538">
            <v>224</v>
          </cell>
          <cell r="BH538">
            <v>224</v>
          </cell>
          <cell r="BI538">
            <v>224</v>
          </cell>
          <cell r="BJ538">
            <v>224</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row>
        <row r="539">
          <cell r="AO539"/>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cell r="BM539">
            <v>0</v>
          </cell>
          <cell r="BN539">
            <v>208</v>
          </cell>
          <cell r="BO539">
            <v>208</v>
          </cell>
          <cell r="BP539">
            <v>208</v>
          </cell>
          <cell r="BQ539">
            <v>208</v>
          </cell>
          <cell r="BR539">
            <v>208</v>
          </cell>
          <cell r="BS539">
            <v>208</v>
          </cell>
          <cell r="BT539">
            <v>208</v>
          </cell>
          <cell r="BU539">
            <v>0</v>
          </cell>
          <cell r="BV539">
            <v>0</v>
          </cell>
          <cell r="BW539">
            <v>0</v>
          </cell>
          <cell r="BX539">
            <v>0</v>
          </cell>
        </row>
        <row r="540">
          <cell r="AO540"/>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row>
        <row r="541">
          <cell r="AO541"/>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row>
        <row r="542">
          <cell r="AO542" t="str">
            <v>ロワジールホテル豊橋　合計</v>
          </cell>
          <cell r="AP542">
            <v>0</v>
          </cell>
          <cell r="AQ542">
            <v>0</v>
          </cell>
          <cell r="AR542">
            <v>0</v>
          </cell>
          <cell r="AS542">
            <v>0</v>
          </cell>
          <cell r="AT542">
            <v>0</v>
          </cell>
          <cell r="AU542">
            <v>0</v>
          </cell>
          <cell r="AV542">
            <v>0</v>
          </cell>
          <cell r="AW542">
            <v>0</v>
          </cell>
          <cell r="AX542">
            <v>0</v>
          </cell>
          <cell r="AY542">
            <v>0</v>
          </cell>
          <cell r="AZ542">
            <v>0</v>
          </cell>
          <cell r="BA542">
            <v>0</v>
          </cell>
          <cell r="BB542">
            <v>224</v>
          </cell>
          <cell r="BC542">
            <v>224</v>
          </cell>
          <cell r="BD542">
            <v>224</v>
          </cell>
          <cell r="BE542">
            <v>224</v>
          </cell>
          <cell r="BF542">
            <v>224</v>
          </cell>
          <cell r="BG542">
            <v>224</v>
          </cell>
          <cell r="BH542">
            <v>224</v>
          </cell>
          <cell r="BI542">
            <v>224</v>
          </cell>
          <cell r="BJ542">
            <v>224</v>
          </cell>
          <cell r="BK542">
            <v>0</v>
          </cell>
          <cell r="BL542">
            <v>0</v>
          </cell>
          <cell r="BM542">
            <v>0</v>
          </cell>
          <cell r="BN542">
            <v>208</v>
          </cell>
          <cell r="BO542">
            <v>208</v>
          </cell>
          <cell r="BP542">
            <v>208</v>
          </cell>
          <cell r="BQ542">
            <v>208</v>
          </cell>
          <cell r="BR542">
            <v>208</v>
          </cell>
          <cell r="BS542">
            <v>208</v>
          </cell>
          <cell r="BT542">
            <v>208</v>
          </cell>
          <cell r="BU542">
            <v>0</v>
          </cell>
          <cell r="BV542">
            <v>0</v>
          </cell>
          <cell r="BW542">
            <v>0</v>
          </cell>
          <cell r="BX542">
            <v>0</v>
          </cell>
        </row>
        <row r="543">
          <cell r="AO543"/>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row>
        <row r="544">
          <cell r="AO544"/>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row>
        <row r="545">
          <cell r="AO545"/>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row>
        <row r="546">
          <cell r="AO546"/>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row>
        <row r="547">
          <cell r="AO547" t="str">
            <v>ホテルアソシア豊橋　合計</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row>
        <row r="548">
          <cell r="AO548"/>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row>
        <row r="549">
          <cell r="AO549"/>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cell r="BM549">
            <v>0</v>
          </cell>
          <cell r="BN549">
            <v>0</v>
          </cell>
          <cell r="BO549">
            <v>0</v>
          </cell>
          <cell r="BP549">
            <v>0</v>
          </cell>
          <cell r="BQ549">
            <v>0</v>
          </cell>
          <cell r="BR549">
            <v>0</v>
          </cell>
          <cell r="BS549">
            <v>0</v>
          </cell>
          <cell r="BT549">
            <v>0</v>
          </cell>
          <cell r="BU549">
            <v>0</v>
          </cell>
          <cell r="BV549">
            <v>0</v>
          </cell>
          <cell r="BW549">
            <v>0</v>
          </cell>
          <cell r="BX549">
            <v>0</v>
          </cell>
        </row>
        <row r="550">
          <cell r="AO550"/>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row>
        <row r="551">
          <cell r="AO551"/>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row>
        <row r="552">
          <cell r="AO552" t="str">
            <v>シーパレスリゾート　合計</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0</v>
          </cell>
          <cell r="BT552">
            <v>0</v>
          </cell>
          <cell r="BU552">
            <v>0</v>
          </cell>
          <cell r="BV552">
            <v>0</v>
          </cell>
          <cell r="BW552">
            <v>0</v>
          </cell>
          <cell r="BX552">
            <v>0</v>
          </cell>
        </row>
        <row r="553">
          <cell r="AO553"/>
          <cell r="AP553">
            <v>0</v>
          </cell>
          <cell r="AQ553">
            <v>0</v>
          </cell>
          <cell r="AR553">
            <v>0</v>
          </cell>
          <cell r="AS553">
            <v>0</v>
          </cell>
          <cell r="AT553">
            <v>0</v>
          </cell>
          <cell r="AU553">
            <v>0</v>
          </cell>
          <cell r="AV553">
            <v>0</v>
          </cell>
          <cell r="AW553">
            <v>0</v>
          </cell>
          <cell r="AX553">
            <v>0</v>
          </cell>
          <cell r="AY553">
            <v>0</v>
          </cell>
          <cell r="AZ553">
            <v>168</v>
          </cell>
          <cell r="BA553">
            <v>168</v>
          </cell>
          <cell r="BB553">
            <v>168</v>
          </cell>
          <cell r="BC553">
            <v>168</v>
          </cell>
          <cell r="BD553">
            <v>168</v>
          </cell>
          <cell r="BE553">
            <v>168</v>
          </cell>
          <cell r="BF553">
            <v>168</v>
          </cell>
          <cell r="BG553">
            <v>168</v>
          </cell>
          <cell r="BH553">
            <v>168</v>
          </cell>
          <cell r="BI553">
            <v>168</v>
          </cell>
          <cell r="BJ553">
            <v>168</v>
          </cell>
          <cell r="BK553">
            <v>168</v>
          </cell>
          <cell r="BL553">
            <v>168</v>
          </cell>
          <cell r="BM553">
            <v>168</v>
          </cell>
          <cell r="BN553">
            <v>168</v>
          </cell>
          <cell r="BO553">
            <v>168</v>
          </cell>
          <cell r="BP553">
            <v>168</v>
          </cell>
          <cell r="BQ553">
            <v>168</v>
          </cell>
          <cell r="BR553">
            <v>168</v>
          </cell>
          <cell r="BS553">
            <v>168</v>
          </cell>
          <cell r="BT553">
            <v>168</v>
          </cell>
          <cell r="BU553">
            <v>0</v>
          </cell>
          <cell r="BV553">
            <v>0</v>
          </cell>
          <cell r="BW553">
            <v>0</v>
          </cell>
          <cell r="BX553">
            <v>0</v>
          </cell>
        </row>
        <row r="554">
          <cell r="AO554"/>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row>
        <row r="555">
          <cell r="AO555"/>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row>
        <row r="556">
          <cell r="AO556"/>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row>
        <row r="557">
          <cell r="AO557" t="str">
            <v>岐阜グランドホテル　合計</v>
          </cell>
          <cell r="AP557">
            <v>0</v>
          </cell>
          <cell r="AQ557">
            <v>0</v>
          </cell>
          <cell r="AR557">
            <v>0</v>
          </cell>
          <cell r="AS557">
            <v>0</v>
          </cell>
          <cell r="AT557">
            <v>0</v>
          </cell>
          <cell r="AU557">
            <v>0</v>
          </cell>
          <cell r="AV557">
            <v>0</v>
          </cell>
          <cell r="AW557">
            <v>0</v>
          </cell>
          <cell r="AX557">
            <v>0</v>
          </cell>
          <cell r="AY557">
            <v>0</v>
          </cell>
          <cell r="AZ557">
            <v>168</v>
          </cell>
          <cell r="BA557">
            <v>168</v>
          </cell>
          <cell r="BB557">
            <v>168</v>
          </cell>
          <cell r="BC557">
            <v>168</v>
          </cell>
          <cell r="BD557">
            <v>168</v>
          </cell>
          <cell r="BE557">
            <v>168</v>
          </cell>
          <cell r="BF557">
            <v>168</v>
          </cell>
          <cell r="BG557">
            <v>168</v>
          </cell>
          <cell r="BH557">
            <v>168</v>
          </cell>
          <cell r="BI557">
            <v>168</v>
          </cell>
          <cell r="BJ557">
            <v>168</v>
          </cell>
          <cell r="BK557">
            <v>168</v>
          </cell>
          <cell r="BL557">
            <v>168</v>
          </cell>
          <cell r="BM557">
            <v>168</v>
          </cell>
          <cell r="BN557">
            <v>168</v>
          </cell>
          <cell r="BO557">
            <v>168</v>
          </cell>
          <cell r="BP557">
            <v>168</v>
          </cell>
          <cell r="BQ557">
            <v>168</v>
          </cell>
          <cell r="BR557">
            <v>168</v>
          </cell>
          <cell r="BS557">
            <v>168</v>
          </cell>
          <cell r="BT557">
            <v>168</v>
          </cell>
          <cell r="BU557">
            <v>0</v>
          </cell>
          <cell r="BV557">
            <v>0</v>
          </cell>
          <cell r="BW557">
            <v>0</v>
          </cell>
          <cell r="BX557">
            <v>0</v>
          </cell>
        </row>
        <row r="558">
          <cell r="AO558"/>
          <cell r="AP558">
            <v>0</v>
          </cell>
          <cell r="AQ558">
            <v>0</v>
          </cell>
          <cell r="AR558">
            <v>0</v>
          </cell>
          <cell r="AS558">
            <v>0</v>
          </cell>
          <cell r="AT558">
            <v>0</v>
          </cell>
          <cell r="AU558">
            <v>0</v>
          </cell>
          <cell r="AV558">
            <v>0</v>
          </cell>
          <cell r="AW558">
            <v>0</v>
          </cell>
          <cell r="AX558">
            <v>0</v>
          </cell>
          <cell r="AY558">
            <v>0</v>
          </cell>
          <cell r="AZ558">
            <v>226</v>
          </cell>
          <cell r="BA558">
            <v>226</v>
          </cell>
          <cell r="BB558">
            <v>226</v>
          </cell>
          <cell r="BC558">
            <v>226</v>
          </cell>
          <cell r="BD558">
            <v>226</v>
          </cell>
          <cell r="BE558">
            <v>226</v>
          </cell>
          <cell r="BF558">
            <v>226</v>
          </cell>
          <cell r="BG558">
            <v>226</v>
          </cell>
          <cell r="BH558">
            <v>226</v>
          </cell>
          <cell r="BI558">
            <v>226</v>
          </cell>
          <cell r="BJ558">
            <v>226</v>
          </cell>
          <cell r="BK558">
            <v>226</v>
          </cell>
          <cell r="BL558">
            <v>226</v>
          </cell>
          <cell r="BM558">
            <v>226</v>
          </cell>
          <cell r="BN558">
            <v>226</v>
          </cell>
          <cell r="BO558">
            <v>226</v>
          </cell>
          <cell r="BP558">
            <v>226</v>
          </cell>
          <cell r="BQ558">
            <v>226</v>
          </cell>
          <cell r="BR558">
            <v>226</v>
          </cell>
          <cell r="BS558">
            <v>226</v>
          </cell>
          <cell r="BT558">
            <v>226</v>
          </cell>
          <cell r="BU558">
            <v>0</v>
          </cell>
          <cell r="BV558">
            <v>0</v>
          </cell>
          <cell r="BW558">
            <v>0</v>
          </cell>
          <cell r="BX558">
            <v>0</v>
          </cell>
        </row>
        <row r="559">
          <cell r="AO559"/>
          <cell r="AP559">
            <v>0</v>
          </cell>
          <cell r="AQ559">
            <v>0</v>
          </cell>
          <cell r="AR559">
            <v>0</v>
          </cell>
          <cell r="AS559">
            <v>0</v>
          </cell>
          <cell r="AT559">
            <v>0</v>
          </cell>
          <cell r="AU559">
            <v>0</v>
          </cell>
          <cell r="AV559">
            <v>58</v>
          </cell>
          <cell r="AW559">
            <v>116</v>
          </cell>
          <cell r="AX559">
            <v>116</v>
          </cell>
          <cell r="AY559">
            <v>116</v>
          </cell>
          <cell r="AZ559">
            <v>116</v>
          </cell>
          <cell r="BA559">
            <v>116</v>
          </cell>
          <cell r="BB559">
            <v>116</v>
          </cell>
          <cell r="BC559">
            <v>116</v>
          </cell>
          <cell r="BD559">
            <v>116</v>
          </cell>
          <cell r="BE559">
            <v>116</v>
          </cell>
          <cell r="BF559">
            <v>116</v>
          </cell>
          <cell r="BG559">
            <v>116</v>
          </cell>
          <cell r="BH559">
            <v>66</v>
          </cell>
          <cell r="BI559">
            <v>58</v>
          </cell>
          <cell r="BJ559">
            <v>0</v>
          </cell>
          <cell r="BK559">
            <v>0</v>
          </cell>
          <cell r="BL559">
            <v>0</v>
          </cell>
          <cell r="BM559">
            <v>0</v>
          </cell>
          <cell r="BN559">
            <v>0</v>
          </cell>
          <cell r="BO559">
            <v>0</v>
          </cell>
          <cell r="BP559">
            <v>0</v>
          </cell>
          <cell r="BQ559">
            <v>0</v>
          </cell>
          <cell r="BR559">
            <v>0</v>
          </cell>
          <cell r="BS559">
            <v>0</v>
          </cell>
          <cell r="BT559">
            <v>0</v>
          </cell>
          <cell r="BU559">
            <v>0</v>
          </cell>
          <cell r="BV559">
            <v>0</v>
          </cell>
          <cell r="BW559">
            <v>0</v>
          </cell>
          <cell r="BX559">
            <v>0</v>
          </cell>
        </row>
        <row r="560">
          <cell r="AO560"/>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0</v>
          </cell>
          <cell r="BU560">
            <v>0</v>
          </cell>
          <cell r="BV560">
            <v>0</v>
          </cell>
          <cell r="BW560">
            <v>0</v>
          </cell>
          <cell r="BX560">
            <v>0</v>
          </cell>
        </row>
        <row r="561">
          <cell r="AO561"/>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0</v>
          </cell>
          <cell r="BU561">
            <v>0</v>
          </cell>
          <cell r="BV561">
            <v>0</v>
          </cell>
          <cell r="BW561">
            <v>0</v>
          </cell>
          <cell r="BX561">
            <v>0</v>
          </cell>
        </row>
        <row r="562">
          <cell r="AO562" t="str">
            <v>都ホテル岐阜長良川　合計</v>
          </cell>
          <cell r="AP562">
            <v>0</v>
          </cell>
          <cell r="AQ562">
            <v>0</v>
          </cell>
          <cell r="AR562">
            <v>0</v>
          </cell>
          <cell r="AS562">
            <v>0</v>
          </cell>
          <cell r="AT562">
            <v>0</v>
          </cell>
          <cell r="AU562">
            <v>0</v>
          </cell>
          <cell r="AV562">
            <v>58</v>
          </cell>
          <cell r="AW562">
            <v>116</v>
          </cell>
          <cell r="AX562">
            <v>116</v>
          </cell>
          <cell r="AY562">
            <v>116</v>
          </cell>
          <cell r="AZ562">
            <v>342</v>
          </cell>
          <cell r="BA562">
            <v>342</v>
          </cell>
          <cell r="BB562">
            <v>342</v>
          </cell>
          <cell r="BC562">
            <v>342</v>
          </cell>
          <cell r="BD562">
            <v>342</v>
          </cell>
          <cell r="BE562">
            <v>342</v>
          </cell>
          <cell r="BF562">
            <v>342</v>
          </cell>
          <cell r="BG562">
            <v>342</v>
          </cell>
          <cell r="BH562">
            <v>292</v>
          </cell>
          <cell r="BI562">
            <v>284</v>
          </cell>
          <cell r="BJ562">
            <v>226</v>
          </cell>
          <cell r="BK562">
            <v>226</v>
          </cell>
          <cell r="BL562">
            <v>226</v>
          </cell>
          <cell r="BM562">
            <v>226</v>
          </cell>
          <cell r="BN562">
            <v>226</v>
          </cell>
          <cell r="BO562">
            <v>226</v>
          </cell>
          <cell r="BP562">
            <v>226</v>
          </cell>
          <cell r="BQ562">
            <v>226</v>
          </cell>
          <cell r="BR562">
            <v>226</v>
          </cell>
          <cell r="BS562">
            <v>226</v>
          </cell>
          <cell r="BT562">
            <v>226</v>
          </cell>
          <cell r="BU562">
            <v>0</v>
          </cell>
          <cell r="BV562">
            <v>0</v>
          </cell>
          <cell r="BW562">
            <v>0</v>
          </cell>
          <cell r="BX562">
            <v>0</v>
          </cell>
        </row>
        <row r="563">
          <cell r="AO563"/>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cell r="BX563">
            <v>0</v>
          </cell>
        </row>
        <row r="564">
          <cell r="AO564"/>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row>
        <row r="565">
          <cell r="AO565"/>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row>
        <row r="566">
          <cell r="AO566"/>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row>
        <row r="567">
          <cell r="AO567" t="str">
            <v>ホテルリソル岐阜　合計</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cell r="BX567">
            <v>0</v>
          </cell>
        </row>
        <row r="568">
          <cell r="AO568"/>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row>
        <row r="569">
          <cell r="AO569"/>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row>
        <row r="570">
          <cell r="AO570"/>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row>
        <row r="571">
          <cell r="AO571"/>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row>
        <row r="572">
          <cell r="AO572" t="str">
            <v>オースタット国際ホテル多治見　合計</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cell r="BM572">
            <v>0</v>
          </cell>
          <cell r="BN572">
            <v>0</v>
          </cell>
          <cell r="BO572">
            <v>0</v>
          </cell>
          <cell r="BP572">
            <v>0</v>
          </cell>
          <cell r="BQ572">
            <v>0</v>
          </cell>
          <cell r="BR572">
            <v>0</v>
          </cell>
          <cell r="BS572">
            <v>0</v>
          </cell>
          <cell r="BT572">
            <v>0</v>
          </cell>
          <cell r="BU572">
            <v>0</v>
          </cell>
          <cell r="BV572">
            <v>0</v>
          </cell>
          <cell r="BW572">
            <v>0</v>
          </cell>
          <cell r="BX572">
            <v>0</v>
          </cell>
        </row>
        <row r="573">
          <cell r="AO573"/>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row>
        <row r="574">
          <cell r="AO574"/>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row>
        <row r="575">
          <cell r="AO575"/>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0</v>
          </cell>
          <cell r="BV575">
            <v>0</v>
          </cell>
          <cell r="BW575">
            <v>0</v>
          </cell>
          <cell r="BX575">
            <v>0</v>
          </cell>
        </row>
        <row r="576">
          <cell r="AO576"/>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row>
        <row r="577">
          <cell r="AO577" t="str">
            <v>大垣フォーラムホテル　合計</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cell r="BM577">
            <v>0</v>
          </cell>
          <cell r="BN577">
            <v>0</v>
          </cell>
          <cell r="BO577">
            <v>0</v>
          </cell>
          <cell r="BP577">
            <v>0</v>
          </cell>
          <cell r="BQ577">
            <v>0</v>
          </cell>
          <cell r="BR577">
            <v>0</v>
          </cell>
          <cell r="BS577">
            <v>0</v>
          </cell>
          <cell r="BT577">
            <v>0</v>
          </cell>
          <cell r="BU577">
            <v>0</v>
          </cell>
          <cell r="BV577">
            <v>0</v>
          </cell>
          <cell r="BW577">
            <v>0</v>
          </cell>
          <cell r="BX577">
            <v>0</v>
          </cell>
        </row>
        <row r="578">
          <cell r="AO578"/>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cell r="BM578">
            <v>0</v>
          </cell>
          <cell r="BN578">
            <v>0</v>
          </cell>
          <cell r="BO578">
            <v>0</v>
          </cell>
          <cell r="BP578">
            <v>0</v>
          </cell>
          <cell r="BQ578">
            <v>0</v>
          </cell>
          <cell r="BR578">
            <v>0</v>
          </cell>
          <cell r="BS578">
            <v>0</v>
          </cell>
          <cell r="BT578">
            <v>0</v>
          </cell>
          <cell r="BU578">
            <v>0</v>
          </cell>
          <cell r="BV578">
            <v>0</v>
          </cell>
          <cell r="BW578">
            <v>0</v>
          </cell>
          <cell r="BX578">
            <v>0</v>
          </cell>
        </row>
        <row r="579">
          <cell r="AO579"/>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cell r="BM579">
            <v>0</v>
          </cell>
          <cell r="BN579">
            <v>0</v>
          </cell>
          <cell r="BO579">
            <v>0</v>
          </cell>
          <cell r="BP579">
            <v>0</v>
          </cell>
          <cell r="BQ579">
            <v>0</v>
          </cell>
          <cell r="BR579">
            <v>0</v>
          </cell>
          <cell r="BS579">
            <v>0</v>
          </cell>
          <cell r="BT579">
            <v>0</v>
          </cell>
          <cell r="BU579">
            <v>0</v>
          </cell>
          <cell r="BV579">
            <v>0</v>
          </cell>
          <cell r="BW579">
            <v>0</v>
          </cell>
          <cell r="BX579">
            <v>0</v>
          </cell>
        </row>
        <row r="580">
          <cell r="AO580"/>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cell r="BM580">
            <v>0</v>
          </cell>
          <cell r="BN580">
            <v>0</v>
          </cell>
          <cell r="BO580">
            <v>0</v>
          </cell>
          <cell r="BP580">
            <v>0</v>
          </cell>
          <cell r="BQ580">
            <v>0</v>
          </cell>
          <cell r="BR580">
            <v>0</v>
          </cell>
          <cell r="BS580">
            <v>0</v>
          </cell>
          <cell r="BT580">
            <v>0</v>
          </cell>
          <cell r="BU580">
            <v>0</v>
          </cell>
          <cell r="BV580">
            <v>0</v>
          </cell>
          <cell r="BW580">
            <v>0</v>
          </cell>
          <cell r="BX580">
            <v>0</v>
          </cell>
        </row>
        <row r="581">
          <cell r="AO581"/>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cell r="BM581">
            <v>0</v>
          </cell>
          <cell r="BN581">
            <v>0</v>
          </cell>
          <cell r="BO581">
            <v>0</v>
          </cell>
          <cell r="BP581">
            <v>0</v>
          </cell>
          <cell r="BQ581">
            <v>0</v>
          </cell>
          <cell r="BR581">
            <v>0</v>
          </cell>
          <cell r="BS581">
            <v>0</v>
          </cell>
          <cell r="BT581">
            <v>0</v>
          </cell>
          <cell r="BU581">
            <v>0</v>
          </cell>
          <cell r="BV581">
            <v>0</v>
          </cell>
          <cell r="BW581">
            <v>0</v>
          </cell>
          <cell r="BX581">
            <v>0</v>
          </cell>
        </row>
        <row r="582">
          <cell r="AO582" t="str">
            <v>クインテッサホテル 大垣　合計</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cell r="BM582">
            <v>0</v>
          </cell>
          <cell r="BN582">
            <v>0</v>
          </cell>
          <cell r="BO582">
            <v>0</v>
          </cell>
          <cell r="BP582">
            <v>0</v>
          </cell>
          <cell r="BQ582">
            <v>0</v>
          </cell>
          <cell r="BR582">
            <v>0</v>
          </cell>
          <cell r="BS582">
            <v>0</v>
          </cell>
          <cell r="BT582">
            <v>0</v>
          </cell>
          <cell r="BU582">
            <v>0</v>
          </cell>
          <cell r="BV582">
            <v>0</v>
          </cell>
          <cell r="BW582">
            <v>0</v>
          </cell>
          <cell r="BX582">
            <v>0</v>
          </cell>
        </row>
        <row r="583">
          <cell r="AO583"/>
          <cell r="AP583">
            <v>0</v>
          </cell>
          <cell r="AQ583">
            <v>0</v>
          </cell>
          <cell r="AR583">
            <v>0</v>
          </cell>
          <cell r="AS583">
            <v>0</v>
          </cell>
          <cell r="AT583">
            <v>0</v>
          </cell>
          <cell r="AU583">
            <v>0</v>
          </cell>
          <cell r="AV583">
            <v>0</v>
          </cell>
          <cell r="AW583">
            <v>0</v>
          </cell>
          <cell r="AX583">
            <v>0</v>
          </cell>
          <cell r="AY583">
            <v>0</v>
          </cell>
          <cell r="AZ583">
            <v>0</v>
          </cell>
          <cell r="BA583">
            <v>0</v>
          </cell>
          <cell r="BB583">
            <v>291</v>
          </cell>
          <cell r="BC583">
            <v>291</v>
          </cell>
          <cell r="BD583">
            <v>291</v>
          </cell>
          <cell r="BE583">
            <v>291</v>
          </cell>
          <cell r="BF583">
            <v>291</v>
          </cell>
          <cell r="BG583">
            <v>291</v>
          </cell>
          <cell r="BH583">
            <v>291</v>
          </cell>
          <cell r="BI583">
            <v>291</v>
          </cell>
          <cell r="BJ583">
            <v>291</v>
          </cell>
          <cell r="BK583">
            <v>291</v>
          </cell>
          <cell r="BL583">
            <v>291</v>
          </cell>
          <cell r="BM583">
            <v>0</v>
          </cell>
          <cell r="BN583">
            <v>0</v>
          </cell>
          <cell r="BO583">
            <v>0</v>
          </cell>
          <cell r="BP583">
            <v>0</v>
          </cell>
          <cell r="BQ583">
            <v>0</v>
          </cell>
          <cell r="BR583">
            <v>0</v>
          </cell>
          <cell r="BS583">
            <v>0</v>
          </cell>
          <cell r="BT583">
            <v>0</v>
          </cell>
          <cell r="BU583">
            <v>0</v>
          </cell>
          <cell r="BV583">
            <v>0</v>
          </cell>
          <cell r="BW583">
            <v>0</v>
          </cell>
          <cell r="BX583">
            <v>0</v>
          </cell>
        </row>
        <row r="584">
          <cell r="AO584"/>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cell r="BX584">
            <v>0</v>
          </cell>
        </row>
        <row r="585">
          <cell r="AO585"/>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0</v>
          </cell>
          <cell r="BN585">
            <v>0</v>
          </cell>
          <cell r="BO585">
            <v>0</v>
          </cell>
          <cell r="BP585">
            <v>0</v>
          </cell>
          <cell r="BQ585">
            <v>0</v>
          </cell>
          <cell r="BR585">
            <v>0</v>
          </cell>
          <cell r="BS585">
            <v>0</v>
          </cell>
          <cell r="BT585">
            <v>0</v>
          </cell>
          <cell r="BU585">
            <v>0</v>
          </cell>
          <cell r="BV585">
            <v>0</v>
          </cell>
          <cell r="BW585">
            <v>0</v>
          </cell>
          <cell r="BX585">
            <v>0</v>
          </cell>
        </row>
        <row r="586">
          <cell r="AO586"/>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cell r="BM586">
            <v>0</v>
          </cell>
          <cell r="BN586">
            <v>0</v>
          </cell>
          <cell r="BO586">
            <v>0</v>
          </cell>
          <cell r="BP586">
            <v>0</v>
          </cell>
          <cell r="BQ586">
            <v>0</v>
          </cell>
          <cell r="BR586">
            <v>0</v>
          </cell>
          <cell r="BS586">
            <v>0</v>
          </cell>
          <cell r="BT586">
            <v>0</v>
          </cell>
          <cell r="BU586">
            <v>0</v>
          </cell>
          <cell r="BV586">
            <v>0</v>
          </cell>
          <cell r="BW586">
            <v>0</v>
          </cell>
          <cell r="BX586">
            <v>0</v>
          </cell>
        </row>
        <row r="587">
          <cell r="AO587" t="str">
            <v>ホテルコーヨー　合計</v>
          </cell>
          <cell r="AP587">
            <v>0</v>
          </cell>
          <cell r="AQ587">
            <v>0</v>
          </cell>
          <cell r="AR587">
            <v>0</v>
          </cell>
          <cell r="AS587">
            <v>0</v>
          </cell>
          <cell r="AT587">
            <v>0</v>
          </cell>
          <cell r="AU587">
            <v>0</v>
          </cell>
          <cell r="AV587">
            <v>0</v>
          </cell>
          <cell r="AW587">
            <v>0</v>
          </cell>
          <cell r="AX587">
            <v>0</v>
          </cell>
          <cell r="AY587">
            <v>0</v>
          </cell>
          <cell r="AZ587">
            <v>0</v>
          </cell>
          <cell r="BA587">
            <v>0</v>
          </cell>
          <cell r="BB587">
            <v>291</v>
          </cell>
          <cell r="BC587">
            <v>291</v>
          </cell>
          <cell r="BD587">
            <v>291</v>
          </cell>
          <cell r="BE587">
            <v>291</v>
          </cell>
          <cell r="BF587">
            <v>291</v>
          </cell>
          <cell r="BG587">
            <v>291</v>
          </cell>
          <cell r="BH587">
            <v>291</v>
          </cell>
          <cell r="BI587">
            <v>291</v>
          </cell>
          <cell r="BJ587">
            <v>291</v>
          </cell>
          <cell r="BK587">
            <v>291</v>
          </cell>
          <cell r="BL587">
            <v>291</v>
          </cell>
          <cell r="BM587">
            <v>0</v>
          </cell>
          <cell r="BN587">
            <v>0</v>
          </cell>
          <cell r="BO587">
            <v>0</v>
          </cell>
          <cell r="BP587">
            <v>0</v>
          </cell>
          <cell r="BQ587">
            <v>0</v>
          </cell>
          <cell r="BR587">
            <v>0</v>
          </cell>
          <cell r="BS587">
            <v>0</v>
          </cell>
          <cell r="BT587">
            <v>0</v>
          </cell>
          <cell r="BU587">
            <v>0</v>
          </cell>
          <cell r="BV587">
            <v>0</v>
          </cell>
          <cell r="BW587">
            <v>0</v>
          </cell>
          <cell r="BX587">
            <v>0</v>
          </cell>
        </row>
        <row r="588">
          <cell r="AO588"/>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row>
        <row r="589">
          <cell r="AO589"/>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row>
        <row r="590">
          <cell r="AO590"/>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cell r="BX590">
            <v>0</v>
          </cell>
        </row>
        <row r="591">
          <cell r="AO591"/>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cell r="BM591">
            <v>0</v>
          </cell>
          <cell r="BN591">
            <v>0</v>
          </cell>
          <cell r="BO591">
            <v>0</v>
          </cell>
          <cell r="BP591">
            <v>0</v>
          </cell>
          <cell r="BQ591">
            <v>0</v>
          </cell>
          <cell r="BR591">
            <v>0</v>
          </cell>
          <cell r="BS591">
            <v>0</v>
          </cell>
          <cell r="BT591">
            <v>0</v>
          </cell>
          <cell r="BU591">
            <v>0</v>
          </cell>
          <cell r="BV591">
            <v>0</v>
          </cell>
          <cell r="BW591">
            <v>0</v>
          </cell>
          <cell r="BX591">
            <v>0</v>
          </cell>
        </row>
        <row r="592">
          <cell r="AO592" t="str">
            <v>ホテルナガシマ　合計</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row>
        <row r="593">
          <cell r="AO593"/>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152</v>
          </cell>
          <cell r="BM593">
            <v>152</v>
          </cell>
          <cell r="BN593">
            <v>152</v>
          </cell>
          <cell r="BO593">
            <v>152</v>
          </cell>
          <cell r="BP593">
            <v>152</v>
          </cell>
          <cell r="BQ593">
            <v>152</v>
          </cell>
          <cell r="BR593">
            <v>152</v>
          </cell>
          <cell r="BS593">
            <v>152</v>
          </cell>
          <cell r="BT593">
            <v>0</v>
          </cell>
          <cell r="BU593">
            <v>0</v>
          </cell>
          <cell r="BV593">
            <v>0</v>
          </cell>
          <cell r="BW593">
            <v>0</v>
          </cell>
          <cell r="BX593">
            <v>0</v>
          </cell>
        </row>
        <row r="594">
          <cell r="AO594"/>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row>
        <row r="595">
          <cell r="AO595"/>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cell r="BX595">
            <v>0</v>
          </cell>
        </row>
        <row r="596">
          <cell r="AO596"/>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row>
        <row r="597">
          <cell r="AO597" t="str">
            <v>ホテルラフォーレ修善寺　合計</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152</v>
          </cell>
          <cell r="BM597">
            <v>152</v>
          </cell>
          <cell r="BN597">
            <v>152</v>
          </cell>
          <cell r="BO597">
            <v>152</v>
          </cell>
          <cell r="BP597">
            <v>152</v>
          </cell>
          <cell r="BQ597">
            <v>152</v>
          </cell>
          <cell r="BR597">
            <v>152</v>
          </cell>
          <cell r="BS597">
            <v>152</v>
          </cell>
          <cell r="BT597">
            <v>0</v>
          </cell>
          <cell r="BU597">
            <v>0</v>
          </cell>
          <cell r="BV597">
            <v>0</v>
          </cell>
          <cell r="BW597">
            <v>0</v>
          </cell>
          <cell r="BX597">
            <v>0</v>
          </cell>
        </row>
        <row r="598">
          <cell r="AO598"/>
          <cell r="AP598">
            <v>0</v>
          </cell>
          <cell r="AQ598">
            <v>0</v>
          </cell>
          <cell r="AR598">
            <v>0</v>
          </cell>
          <cell r="AS598">
            <v>0</v>
          </cell>
          <cell r="AT598">
            <v>0</v>
          </cell>
          <cell r="AU598">
            <v>0</v>
          </cell>
          <cell r="AV598">
            <v>0</v>
          </cell>
          <cell r="AW598">
            <v>116</v>
          </cell>
          <cell r="AX598">
            <v>116</v>
          </cell>
          <cell r="AY598">
            <v>116</v>
          </cell>
          <cell r="AZ598">
            <v>116</v>
          </cell>
          <cell r="BA598">
            <v>116</v>
          </cell>
          <cell r="BB598">
            <v>116</v>
          </cell>
          <cell r="BC598">
            <v>116</v>
          </cell>
          <cell r="BD598">
            <v>116</v>
          </cell>
          <cell r="BE598">
            <v>116</v>
          </cell>
          <cell r="BF598">
            <v>116</v>
          </cell>
          <cell r="BG598">
            <v>116</v>
          </cell>
          <cell r="BH598">
            <v>174</v>
          </cell>
          <cell r="BI598">
            <v>116</v>
          </cell>
          <cell r="BJ598">
            <v>116</v>
          </cell>
          <cell r="BK598">
            <v>116</v>
          </cell>
          <cell r="BL598">
            <v>116</v>
          </cell>
          <cell r="BM598">
            <v>116</v>
          </cell>
          <cell r="BN598">
            <v>116</v>
          </cell>
          <cell r="BO598">
            <v>116</v>
          </cell>
          <cell r="BP598">
            <v>116</v>
          </cell>
          <cell r="BQ598">
            <v>116</v>
          </cell>
          <cell r="BR598">
            <v>116</v>
          </cell>
          <cell r="BS598">
            <v>116</v>
          </cell>
          <cell r="BT598">
            <v>0</v>
          </cell>
          <cell r="BU598">
            <v>0</v>
          </cell>
          <cell r="BV598">
            <v>0</v>
          </cell>
          <cell r="BW598">
            <v>0</v>
          </cell>
          <cell r="BX598">
            <v>0</v>
          </cell>
        </row>
        <row r="599">
          <cell r="AO599"/>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row>
        <row r="600">
          <cell r="AO600"/>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row>
        <row r="601">
          <cell r="AO601"/>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cell r="BX601">
            <v>0</v>
          </cell>
        </row>
        <row r="602">
          <cell r="AO602" t="str">
            <v>つま恋リゾート　彩の郷　合計</v>
          </cell>
          <cell r="AP602">
            <v>0</v>
          </cell>
          <cell r="AQ602">
            <v>0</v>
          </cell>
          <cell r="AR602">
            <v>0</v>
          </cell>
          <cell r="AS602">
            <v>0</v>
          </cell>
          <cell r="AT602">
            <v>0</v>
          </cell>
          <cell r="AU602">
            <v>0</v>
          </cell>
          <cell r="AV602">
            <v>0</v>
          </cell>
          <cell r="AW602">
            <v>116</v>
          </cell>
          <cell r="AX602">
            <v>116</v>
          </cell>
          <cell r="AY602">
            <v>116</v>
          </cell>
          <cell r="AZ602">
            <v>116</v>
          </cell>
          <cell r="BA602">
            <v>116</v>
          </cell>
          <cell r="BB602">
            <v>116</v>
          </cell>
          <cell r="BC602">
            <v>116</v>
          </cell>
          <cell r="BD602">
            <v>116</v>
          </cell>
          <cell r="BE602">
            <v>116</v>
          </cell>
          <cell r="BF602">
            <v>116</v>
          </cell>
          <cell r="BG602">
            <v>116</v>
          </cell>
          <cell r="BH602">
            <v>174</v>
          </cell>
          <cell r="BI602">
            <v>116</v>
          </cell>
          <cell r="BJ602">
            <v>116</v>
          </cell>
          <cell r="BK602">
            <v>116</v>
          </cell>
          <cell r="BL602">
            <v>116</v>
          </cell>
          <cell r="BM602">
            <v>116</v>
          </cell>
          <cell r="BN602">
            <v>116</v>
          </cell>
          <cell r="BO602">
            <v>116</v>
          </cell>
          <cell r="BP602">
            <v>116</v>
          </cell>
          <cell r="BQ602">
            <v>116</v>
          </cell>
          <cell r="BR602">
            <v>116</v>
          </cell>
          <cell r="BS602">
            <v>116</v>
          </cell>
          <cell r="BT602">
            <v>0</v>
          </cell>
          <cell r="BU602">
            <v>0</v>
          </cell>
          <cell r="BV602">
            <v>0</v>
          </cell>
          <cell r="BW602">
            <v>0</v>
          </cell>
          <cell r="BX602">
            <v>0</v>
          </cell>
        </row>
        <row r="603">
          <cell r="AO603"/>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row>
        <row r="604">
          <cell r="AO604"/>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row>
        <row r="605">
          <cell r="AO605"/>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row>
        <row r="606">
          <cell r="AO606"/>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cell r="BX606">
            <v>0</v>
          </cell>
        </row>
        <row r="607">
          <cell r="AO607" t="str">
            <v>掛川グランドホテル　合計</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row>
        <row r="608">
          <cell r="AO608"/>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99</v>
          </cell>
          <cell r="BJ608">
            <v>99</v>
          </cell>
          <cell r="BK608">
            <v>99</v>
          </cell>
          <cell r="BL608">
            <v>99</v>
          </cell>
          <cell r="BM608">
            <v>99</v>
          </cell>
          <cell r="BN608">
            <v>99</v>
          </cell>
          <cell r="BO608">
            <v>99</v>
          </cell>
          <cell r="BP608">
            <v>0</v>
          </cell>
          <cell r="BQ608">
            <v>0</v>
          </cell>
          <cell r="BR608">
            <v>0</v>
          </cell>
          <cell r="BS608">
            <v>0</v>
          </cell>
          <cell r="BT608">
            <v>0</v>
          </cell>
          <cell r="BU608">
            <v>0</v>
          </cell>
          <cell r="BV608">
            <v>0</v>
          </cell>
          <cell r="BW608">
            <v>0</v>
          </cell>
          <cell r="BX608">
            <v>0</v>
          </cell>
        </row>
        <row r="609">
          <cell r="AO609"/>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row>
        <row r="610">
          <cell r="AO610"/>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row>
        <row r="611">
          <cell r="AO611"/>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row>
        <row r="612">
          <cell r="AO612" t="str">
            <v>ホテルコンコルド浜松　合計</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99</v>
          </cell>
          <cell r="BJ612">
            <v>99</v>
          </cell>
          <cell r="BK612">
            <v>99</v>
          </cell>
          <cell r="BL612">
            <v>99</v>
          </cell>
          <cell r="BM612">
            <v>99</v>
          </cell>
          <cell r="BN612">
            <v>99</v>
          </cell>
          <cell r="BO612">
            <v>99</v>
          </cell>
          <cell r="BP612">
            <v>0</v>
          </cell>
          <cell r="BQ612">
            <v>0</v>
          </cell>
          <cell r="BR612">
            <v>0</v>
          </cell>
          <cell r="BS612">
            <v>0</v>
          </cell>
          <cell r="BT612">
            <v>0</v>
          </cell>
          <cell r="BU612">
            <v>0</v>
          </cell>
          <cell r="BV612">
            <v>0</v>
          </cell>
          <cell r="BW612">
            <v>0</v>
          </cell>
          <cell r="BX612">
            <v>0</v>
          </cell>
        </row>
        <row r="613">
          <cell r="AO613"/>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row>
        <row r="614">
          <cell r="AO614"/>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row>
        <row r="615">
          <cell r="AO615"/>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row>
        <row r="616">
          <cell r="AO616"/>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row>
        <row r="617">
          <cell r="AO617" t="str">
            <v>THE HAMANAKO（グランドメルキュール浜名湖リゾート＆スパ）　合計</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row>
        <row r="618">
          <cell r="AO618"/>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row>
        <row r="619">
          <cell r="AO619"/>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row>
        <row r="620">
          <cell r="AO620"/>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row>
        <row r="621">
          <cell r="AO621"/>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row>
        <row r="622">
          <cell r="AO622" t="str">
            <v>京都　東急ホテル　合計</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row>
        <row r="623">
          <cell r="AO623"/>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row>
        <row r="624">
          <cell r="AO624"/>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row>
        <row r="625">
          <cell r="AO625"/>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row>
        <row r="626">
          <cell r="AO626"/>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row>
        <row r="627">
          <cell r="AO627" t="str">
            <v>リーガロイヤルホテル京都　合計</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row>
        <row r="628">
          <cell r="AO628"/>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row>
        <row r="629">
          <cell r="AO629"/>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row>
        <row r="630">
          <cell r="AO630"/>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row>
        <row r="631">
          <cell r="AO631"/>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row>
        <row r="632">
          <cell r="AO632" t="str">
            <v>シェラトン都ホテル大阪　合計</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row>
        <row r="633">
          <cell r="AO633"/>
          <cell r="AP633">
            <v>0</v>
          </cell>
          <cell r="AQ633">
            <v>0</v>
          </cell>
          <cell r="AR633">
            <v>0</v>
          </cell>
          <cell r="AS633">
            <v>0</v>
          </cell>
          <cell r="AT633">
            <v>0</v>
          </cell>
          <cell r="AU633">
            <v>0</v>
          </cell>
          <cell r="AV633">
            <v>0</v>
          </cell>
          <cell r="AW633">
            <v>116</v>
          </cell>
          <cell r="AX633">
            <v>116</v>
          </cell>
          <cell r="AY633">
            <v>116</v>
          </cell>
          <cell r="AZ633">
            <v>116</v>
          </cell>
          <cell r="BA633">
            <v>116</v>
          </cell>
          <cell r="BB633">
            <v>116</v>
          </cell>
          <cell r="BC633">
            <v>116</v>
          </cell>
          <cell r="BD633">
            <v>116</v>
          </cell>
          <cell r="BE633">
            <v>116</v>
          </cell>
          <cell r="BF633">
            <v>116</v>
          </cell>
          <cell r="BG633">
            <v>116</v>
          </cell>
          <cell r="BH633">
            <v>116</v>
          </cell>
          <cell r="BI633">
            <v>116</v>
          </cell>
          <cell r="BJ633">
            <v>116</v>
          </cell>
          <cell r="BK633">
            <v>116</v>
          </cell>
          <cell r="BL633">
            <v>116</v>
          </cell>
          <cell r="BM633">
            <v>116</v>
          </cell>
          <cell r="BN633">
            <v>116</v>
          </cell>
          <cell r="BO633">
            <v>116</v>
          </cell>
          <cell r="BP633">
            <v>116</v>
          </cell>
          <cell r="BQ633">
            <v>0</v>
          </cell>
          <cell r="BR633">
            <v>0</v>
          </cell>
          <cell r="BS633">
            <v>0</v>
          </cell>
          <cell r="BT633">
            <v>0</v>
          </cell>
          <cell r="BU633">
            <v>0</v>
          </cell>
          <cell r="BV633">
            <v>0</v>
          </cell>
          <cell r="BW633">
            <v>0</v>
          </cell>
          <cell r="BX633">
            <v>0</v>
          </cell>
        </row>
        <row r="634">
          <cell r="AO634"/>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row>
        <row r="635">
          <cell r="AO635"/>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row>
        <row r="636">
          <cell r="AO636"/>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row>
        <row r="637">
          <cell r="AO637" t="str">
            <v>ホテルアゴーラリージェンシー大阪堺　合計</v>
          </cell>
          <cell r="AP637">
            <v>0</v>
          </cell>
          <cell r="AQ637">
            <v>0</v>
          </cell>
          <cell r="AR637">
            <v>0</v>
          </cell>
          <cell r="AS637">
            <v>0</v>
          </cell>
          <cell r="AT637">
            <v>0</v>
          </cell>
          <cell r="AU637">
            <v>0</v>
          </cell>
          <cell r="AV637">
            <v>0</v>
          </cell>
          <cell r="AW637">
            <v>116</v>
          </cell>
          <cell r="AX637">
            <v>116</v>
          </cell>
          <cell r="AY637">
            <v>116</v>
          </cell>
          <cell r="AZ637">
            <v>116</v>
          </cell>
          <cell r="BA637">
            <v>116</v>
          </cell>
          <cell r="BB637">
            <v>116</v>
          </cell>
          <cell r="BC637">
            <v>116</v>
          </cell>
          <cell r="BD637">
            <v>116</v>
          </cell>
          <cell r="BE637">
            <v>116</v>
          </cell>
          <cell r="BF637">
            <v>116</v>
          </cell>
          <cell r="BG637">
            <v>116</v>
          </cell>
          <cell r="BH637">
            <v>116</v>
          </cell>
          <cell r="BI637">
            <v>116</v>
          </cell>
          <cell r="BJ637">
            <v>116</v>
          </cell>
          <cell r="BK637">
            <v>116</v>
          </cell>
          <cell r="BL637">
            <v>116</v>
          </cell>
          <cell r="BM637">
            <v>116</v>
          </cell>
          <cell r="BN637">
            <v>116</v>
          </cell>
          <cell r="BO637">
            <v>116</v>
          </cell>
          <cell r="BP637">
            <v>116</v>
          </cell>
          <cell r="BQ637">
            <v>0</v>
          </cell>
          <cell r="BR637">
            <v>0</v>
          </cell>
          <cell r="BS637">
            <v>0</v>
          </cell>
          <cell r="BT637">
            <v>0</v>
          </cell>
          <cell r="BU637">
            <v>0</v>
          </cell>
          <cell r="BV637">
            <v>0</v>
          </cell>
          <cell r="BW637">
            <v>0</v>
          </cell>
          <cell r="BX637">
            <v>0</v>
          </cell>
        </row>
        <row r="638">
          <cell r="AO638"/>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row>
        <row r="639">
          <cell r="AO639"/>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row>
        <row r="640">
          <cell r="AO640"/>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row>
        <row r="641">
          <cell r="AO641"/>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row>
        <row r="642">
          <cell r="AO642" t="str">
            <v>神戸西神オリエンタルホテル　合計</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row>
        <row r="643">
          <cell r="AO643"/>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row>
        <row r="644">
          <cell r="AO644"/>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cell r="BM644">
            <v>0</v>
          </cell>
          <cell r="BN644">
            <v>0</v>
          </cell>
          <cell r="BO644">
            <v>0</v>
          </cell>
          <cell r="BP644">
            <v>0</v>
          </cell>
          <cell r="BQ644">
            <v>0</v>
          </cell>
          <cell r="BR644">
            <v>0</v>
          </cell>
          <cell r="BS644">
            <v>0</v>
          </cell>
          <cell r="BT644">
            <v>0</v>
          </cell>
          <cell r="BU644">
            <v>0</v>
          </cell>
          <cell r="BV644">
            <v>0</v>
          </cell>
          <cell r="BW644">
            <v>0</v>
          </cell>
          <cell r="BX644">
            <v>0</v>
          </cell>
        </row>
        <row r="645">
          <cell r="AO645"/>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cell r="BM645">
            <v>0</v>
          </cell>
          <cell r="BN645">
            <v>0</v>
          </cell>
          <cell r="BO645">
            <v>0</v>
          </cell>
          <cell r="BP645">
            <v>0</v>
          </cell>
          <cell r="BQ645">
            <v>0</v>
          </cell>
          <cell r="BR645">
            <v>0</v>
          </cell>
          <cell r="BS645">
            <v>0</v>
          </cell>
          <cell r="BT645">
            <v>0</v>
          </cell>
          <cell r="BU645">
            <v>0</v>
          </cell>
          <cell r="BV645">
            <v>0</v>
          </cell>
          <cell r="BW645">
            <v>0</v>
          </cell>
          <cell r="BX645">
            <v>0</v>
          </cell>
        </row>
        <row r="646">
          <cell r="AO646"/>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cell r="BM646">
            <v>0</v>
          </cell>
          <cell r="BN646">
            <v>0</v>
          </cell>
          <cell r="BO646">
            <v>0</v>
          </cell>
          <cell r="BP646">
            <v>0</v>
          </cell>
          <cell r="BQ646">
            <v>0</v>
          </cell>
          <cell r="BR646">
            <v>0</v>
          </cell>
          <cell r="BS646">
            <v>0</v>
          </cell>
          <cell r="BT646">
            <v>0</v>
          </cell>
          <cell r="BU646">
            <v>0</v>
          </cell>
          <cell r="BV646">
            <v>0</v>
          </cell>
          <cell r="BW646">
            <v>0</v>
          </cell>
          <cell r="BX646">
            <v>0</v>
          </cell>
        </row>
        <row r="647">
          <cell r="AO647" t="str">
            <v>ANAクラウンプラザホテル　神戸　合計</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cell r="BX647">
            <v>0</v>
          </cell>
        </row>
        <row r="648">
          <cell r="AO648"/>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row>
        <row r="649">
          <cell r="AO649"/>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cell r="BM649">
            <v>0</v>
          </cell>
          <cell r="BN649">
            <v>0</v>
          </cell>
          <cell r="BO649">
            <v>0</v>
          </cell>
          <cell r="BP649">
            <v>0</v>
          </cell>
          <cell r="BQ649">
            <v>0</v>
          </cell>
          <cell r="BR649">
            <v>0</v>
          </cell>
          <cell r="BS649">
            <v>0</v>
          </cell>
          <cell r="BT649">
            <v>0</v>
          </cell>
          <cell r="BU649">
            <v>0</v>
          </cell>
          <cell r="BV649">
            <v>0</v>
          </cell>
          <cell r="BW649">
            <v>0</v>
          </cell>
          <cell r="BX649">
            <v>0</v>
          </cell>
        </row>
        <row r="650">
          <cell r="AO650"/>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row>
        <row r="651">
          <cell r="AO651"/>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cell r="BX651">
            <v>0</v>
          </cell>
        </row>
        <row r="652">
          <cell r="AO652" t="str">
            <v>シーサイドホテル舞子ビラ神戸　合計</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row>
        <row r="653">
          <cell r="AO653"/>
          <cell r="AP653">
            <v>0</v>
          </cell>
          <cell r="AQ653">
            <v>0</v>
          </cell>
          <cell r="AR653">
            <v>0</v>
          </cell>
          <cell r="AS653">
            <v>0</v>
          </cell>
          <cell r="AT653">
            <v>0</v>
          </cell>
          <cell r="AU653">
            <v>0</v>
          </cell>
          <cell r="AV653">
            <v>0</v>
          </cell>
          <cell r="AW653">
            <v>116</v>
          </cell>
          <cell r="AX653">
            <v>116</v>
          </cell>
          <cell r="AY653">
            <v>116</v>
          </cell>
          <cell r="AZ653">
            <v>116</v>
          </cell>
          <cell r="BA653">
            <v>116</v>
          </cell>
          <cell r="BB653">
            <v>116</v>
          </cell>
          <cell r="BC653">
            <v>116</v>
          </cell>
          <cell r="BD653">
            <v>116</v>
          </cell>
          <cell r="BE653">
            <v>116</v>
          </cell>
          <cell r="BF653">
            <v>116</v>
          </cell>
          <cell r="BG653">
            <v>116</v>
          </cell>
          <cell r="BH653">
            <v>116</v>
          </cell>
          <cell r="BI653">
            <v>116</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row>
        <row r="654">
          <cell r="AO654"/>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row>
        <row r="655">
          <cell r="AO655"/>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cell r="BX655">
            <v>0</v>
          </cell>
        </row>
        <row r="656">
          <cell r="AO656"/>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cell r="BX656">
            <v>0</v>
          </cell>
        </row>
        <row r="657">
          <cell r="AO657" t="str">
            <v>神戸ポートピアホテル　合計</v>
          </cell>
          <cell r="AP657">
            <v>0</v>
          </cell>
          <cell r="AQ657">
            <v>0</v>
          </cell>
          <cell r="AR657">
            <v>0</v>
          </cell>
          <cell r="AS657">
            <v>0</v>
          </cell>
          <cell r="AT657">
            <v>0</v>
          </cell>
          <cell r="AU657">
            <v>0</v>
          </cell>
          <cell r="AV657">
            <v>0</v>
          </cell>
          <cell r="AW657">
            <v>116</v>
          </cell>
          <cell r="AX657">
            <v>116</v>
          </cell>
          <cell r="AY657">
            <v>116</v>
          </cell>
          <cell r="AZ657">
            <v>116</v>
          </cell>
          <cell r="BA657">
            <v>116</v>
          </cell>
          <cell r="BB657">
            <v>116</v>
          </cell>
          <cell r="BC657">
            <v>116</v>
          </cell>
          <cell r="BD657">
            <v>116</v>
          </cell>
          <cell r="BE657">
            <v>116</v>
          </cell>
          <cell r="BF657">
            <v>116</v>
          </cell>
          <cell r="BG657">
            <v>116</v>
          </cell>
          <cell r="BH657">
            <v>116</v>
          </cell>
          <cell r="BI657">
            <v>116</v>
          </cell>
          <cell r="BJ657">
            <v>0</v>
          </cell>
          <cell r="BK657">
            <v>0</v>
          </cell>
          <cell r="BL657">
            <v>0</v>
          </cell>
          <cell r="BM657">
            <v>0</v>
          </cell>
          <cell r="BN657">
            <v>0</v>
          </cell>
          <cell r="BO657">
            <v>0</v>
          </cell>
          <cell r="BP657">
            <v>0</v>
          </cell>
          <cell r="BQ657">
            <v>0</v>
          </cell>
          <cell r="BR657">
            <v>0</v>
          </cell>
          <cell r="BS657">
            <v>0</v>
          </cell>
          <cell r="BT657">
            <v>0</v>
          </cell>
          <cell r="BU657">
            <v>0</v>
          </cell>
          <cell r="BV657">
            <v>0</v>
          </cell>
          <cell r="BW657">
            <v>0</v>
          </cell>
          <cell r="BX657">
            <v>0</v>
          </cell>
        </row>
        <row r="658">
          <cell r="AO658"/>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cell r="BM658">
            <v>0</v>
          </cell>
          <cell r="BN658">
            <v>0</v>
          </cell>
          <cell r="BO658">
            <v>0</v>
          </cell>
          <cell r="BP658">
            <v>0</v>
          </cell>
          <cell r="BQ658">
            <v>0</v>
          </cell>
          <cell r="BR658">
            <v>0</v>
          </cell>
          <cell r="BS658">
            <v>0</v>
          </cell>
          <cell r="BT658">
            <v>0</v>
          </cell>
          <cell r="BU658">
            <v>0</v>
          </cell>
          <cell r="BV658">
            <v>0</v>
          </cell>
          <cell r="BW658">
            <v>0</v>
          </cell>
          <cell r="BX658">
            <v>0</v>
          </cell>
        </row>
        <row r="659">
          <cell r="AO659"/>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row>
        <row r="660">
          <cell r="AO660"/>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cell r="BM660">
            <v>0</v>
          </cell>
          <cell r="BN660">
            <v>0</v>
          </cell>
          <cell r="BO660">
            <v>0</v>
          </cell>
          <cell r="BP660">
            <v>0</v>
          </cell>
          <cell r="BQ660">
            <v>0</v>
          </cell>
          <cell r="BR660">
            <v>0</v>
          </cell>
          <cell r="BS660">
            <v>0</v>
          </cell>
          <cell r="BT660">
            <v>0</v>
          </cell>
          <cell r="BU660">
            <v>0</v>
          </cell>
          <cell r="BV660">
            <v>0</v>
          </cell>
          <cell r="BW660">
            <v>0</v>
          </cell>
          <cell r="BX660">
            <v>0</v>
          </cell>
        </row>
        <row r="661">
          <cell r="AO661"/>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cell r="BM661">
            <v>0</v>
          </cell>
          <cell r="BN661">
            <v>0</v>
          </cell>
          <cell r="BO661">
            <v>0</v>
          </cell>
          <cell r="BP661">
            <v>0</v>
          </cell>
          <cell r="BQ661">
            <v>0</v>
          </cell>
          <cell r="BR661">
            <v>0</v>
          </cell>
          <cell r="BS661">
            <v>0</v>
          </cell>
          <cell r="BT661">
            <v>0</v>
          </cell>
          <cell r="BU661">
            <v>0</v>
          </cell>
          <cell r="BV661">
            <v>0</v>
          </cell>
          <cell r="BW661">
            <v>0</v>
          </cell>
          <cell r="BX661">
            <v>0</v>
          </cell>
        </row>
        <row r="662">
          <cell r="AO662" t="str">
            <v>ラビスタ東京ベイ　合計</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row>
        <row r="663">
          <cell r="AO663"/>
          <cell r="AP663">
            <v>0</v>
          </cell>
          <cell r="AQ663">
            <v>0</v>
          </cell>
          <cell r="AR663">
            <v>0</v>
          </cell>
          <cell r="AS663">
            <v>0</v>
          </cell>
          <cell r="AT663">
            <v>0</v>
          </cell>
          <cell r="AU663">
            <v>0</v>
          </cell>
          <cell r="AV663">
            <v>0</v>
          </cell>
          <cell r="AW663">
            <v>0</v>
          </cell>
          <cell r="AX663">
            <v>0</v>
          </cell>
          <cell r="AY663">
            <v>0</v>
          </cell>
          <cell r="AZ663">
            <v>0</v>
          </cell>
          <cell r="BA663">
            <v>0</v>
          </cell>
          <cell r="BB663">
            <v>430</v>
          </cell>
          <cell r="BC663">
            <v>430</v>
          </cell>
          <cell r="BD663">
            <v>430</v>
          </cell>
          <cell r="BE663">
            <v>430</v>
          </cell>
          <cell r="BF663">
            <v>430</v>
          </cell>
          <cell r="BG663">
            <v>430</v>
          </cell>
          <cell r="BH663">
            <v>430</v>
          </cell>
          <cell r="BI663">
            <v>430</v>
          </cell>
          <cell r="BJ663">
            <v>430</v>
          </cell>
          <cell r="BK663">
            <v>430</v>
          </cell>
          <cell r="BL663">
            <v>430</v>
          </cell>
          <cell r="BM663">
            <v>0</v>
          </cell>
          <cell r="BN663">
            <v>0</v>
          </cell>
          <cell r="BO663">
            <v>0</v>
          </cell>
          <cell r="BP663">
            <v>0</v>
          </cell>
          <cell r="BQ663">
            <v>0</v>
          </cell>
          <cell r="BR663">
            <v>0</v>
          </cell>
          <cell r="BS663">
            <v>0</v>
          </cell>
          <cell r="BT663">
            <v>0</v>
          </cell>
          <cell r="BU663">
            <v>0</v>
          </cell>
          <cell r="BV663">
            <v>0</v>
          </cell>
          <cell r="BW663">
            <v>0</v>
          </cell>
          <cell r="BX663">
            <v>0</v>
          </cell>
        </row>
        <row r="664">
          <cell r="AO664"/>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79</v>
          </cell>
          <cell r="BJ664">
            <v>79</v>
          </cell>
          <cell r="BK664">
            <v>79</v>
          </cell>
          <cell r="BL664">
            <v>79</v>
          </cell>
          <cell r="BM664">
            <v>79</v>
          </cell>
          <cell r="BN664">
            <v>79</v>
          </cell>
          <cell r="BO664">
            <v>79</v>
          </cell>
          <cell r="BP664">
            <v>79</v>
          </cell>
          <cell r="BQ664">
            <v>79</v>
          </cell>
          <cell r="BR664">
            <v>79</v>
          </cell>
          <cell r="BS664">
            <v>0</v>
          </cell>
          <cell r="BT664">
            <v>0</v>
          </cell>
          <cell r="BU664">
            <v>0</v>
          </cell>
          <cell r="BV664">
            <v>0</v>
          </cell>
          <cell r="BW664">
            <v>0</v>
          </cell>
          <cell r="BX664">
            <v>0</v>
          </cell>
        </row>
        <row r="665">
          <cell r="AO665"/>
          <cell r="AP665">
            <v>0</v>
          </cell>
          <cell r="AQ665">
            <v>0</v>
          </cell>
          <cell r="AR665">
            <v>0</v>
          </cell>
          <cell r="AS665">
            <v>0</v>
          </cell>
          <cell r="AT665">
            <v>0</v>
          </cell>
          <cell r="AU665">
            <v>0</v>
          </cell>
          <cell r="AV665">
            <v>0</v>
          </cell>
          <cell r="AW665">
            <v>0</v>
          </cell>
          <cell r="AX665">
            <v>0</v>
          </cell>
          <cell r="AY665">
            <v>0</v>
          </cell>
          <cell r="AZ665">
            <v>138</v>
          </cell>
          <cell r="BA665">
            <v>138</v>
          </cell>
          <cell r="BB665">
            <v>138</v>
          </cell>
          <cell r="BC665">
            <v>138</v>
          </cell>
          <cell r="BD665">
            <v>138</v>
          </cell>
          <cell r="BE665">
            <v>138</v>
          </cell>
          <cell r="BF665">
            <v>138</v>
          </cell>
          <cell r="BG665">
            <v>138</v>
          </cell>
          <cell r="BH665">
            <v>138</v>
          </cell>
          <cell r="BI665">
            <v>138</v>
          </cell>
          <cell r="BJ665">
            <v>138</v>
          </cell>
          <cell r="BK665">
            <v>138</v>
          </cell>
          <cell r="BL665">
            <v>138</v>
          </cell>
          <cell r="BM665">
            <v>138</v>
          </cell>
          <cell r="BN665">
            <v>138</v>
          </cell>
          <cell r="BO665">
            <v>138</v>
          </cell>
          <cell r="BP665">
            <v>138</v>
          </cell>
          <cell r="BQ665">
            <v>138</v>
          </cell>
          <cell r="BR665">
            <v>138</v>
          </cell>
          <cell r="BS665">
            <v>138</v>
          </cell>
          <cell r="BT665">
            <v>0</v>
          </cell>
          <cell r="BU665">
            <v>0</v>
          </cell>
          <cell r="BV665">
            <v>0</v>
          </cell>
          <cell r="BW665">
            <v>0</v>
          </cell>
          <cell r="BX665">
            <v>0</v>
          </cell>
        </row>
        <row r="666">
          <cell r="AO666"/>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0</v>
          </cell>
          <cell r="BJ666">
            <v>0</v>
          </cell>
          <cell r="BK666">
            <v>0</v>
          </cell>
          <cell r="BL666">
            <v>0</v>
          </cell>
          <cell r="BM666">
            <v>0</v>
          </cell>
          <cell r="BN666">
            <v>0</v>
          </cell>
          <cell r="BO666">
            <v>0</v>
          </cell>
          <cell r="BP666">
            <v>0</v>
          </cell>
          <cell r="BQ666">
            <v>0</v>
          </cell>
          <cell r="BR666">
            <v>0</v>
          </cell>
          <cell r="BS666">
            <v>0</v>
          </cell>
          <cell r="BT666">
            <v>0</v>
          </cell>
          <cell r="BU666">
            <v>0</v>
          </cell>
          <cell r="BV666">
            <v>0</v>
          </cell>
          <cell r="BW666">
            <v>0</v>
          </cell>
          <cell r="BX666">
            <v>0</v>
          </cell>
        </row>
        <row r="667">
          <cell r="AO667" t="str">
            <v>東京ベイ潮見プリンスホテル　合計</v>
          </cell>
          <cell r="AP667">
            <v>0</v>
          </cell>
          <cell r="AQ667">
            <v>0</v>
          </cell>
          <cell r="AR667">
            <v>0</v>
          </cell>
          <cell r="AS667">
            <v>0</v>
          </cell>
          <cell r="AT667">
            <v>0</v>
          </cell>
          <cell r="AU667">
            <v>0</v>
          </cell>
          <cell r="AV667">
            <v>0</v>
          </cell>
          <cell r="AW667">
            <v>0</v>
          </cell>
          <cell r="AX667">
            <v>0</v>
          </cell>
          <cell r="AY667">
            <v>0</v>
          </cell>
          <cell r="AZ667">
            <v>138</v>
          </cell>
          <cell r="BA667">
            <v>138</v>
          </cell>
          <cell r="BB667">
            <v>568</v>
          </cell>
          <cell r="BC667">
            <v>568</v>
          </cell>
          <cell r="BD667">
            <v>568</v>
          </cell>
          <cell r="BE667">
            <v>568</v>
          </cell>
          <cell r="BF667">
            <v>568</v>
          </cell>
          <cell r="BG667">
            <v>568</v>
          </cell>
          <cell r="BH667">
            <v>568</v>
          </cell>
          <cell r="BI667">
            <v>647</v>
          </cell>
          <cell r="BJ667">
            <v>647</v>
          </cell>
          <cell r="BK667">
            <v>647</v>
          </cell>
          <cell r="BL667">
            <v>647</v>
          </cell>
          <cell r="BM667">
            <v>217</v>
          </cell>
          <cell r="BN667">
            <v>217</v>
          </cell>
          <cell r="BO667">
            <v>217</v>
          </cell>
          <cell r="BP667">
            <v>217</v>
          </cell>
          <cell r="BQ667">
            <v>217</v>
          </cell>
          <cell r="BR667">
            <v>217</v>
          </cell>
          <cell r="BS667">
            <v>138</v>
          </cell>
          <cell r="BT667">
            <v>0</v>
          </cell>
          <cell r="BU667">
            <v>0</v>
          </cell>
          <cell r="BV667">
            <v>0</v>
          </cell>
          <cell r="BW667">
            <v>0</v>
          </cell>
          <cell r="BX667">
            <v>0</v>
          </cell>
        </row>
        <row r="668">
          <cell r="AO668" t="str">
            <v>総合計</v>
          </cell>
          <cell r="AP668">
            <v>0</v>
          </cell>
          <cell r="AQ668">
            <v>0</v>
          </cell>
          <cell r="AR668">
            <v>0</v>
          </cell>
          <cell r="AS668">
            <v>0</v>
          </cell>
          <cell r="AT668">
            <v>0</v>
          </cell>
          <cell r="AU668">
            <v>374</v>
          </cell>
          <cell r="AV668">
            <v>606</v>
          </cell>
          <cell r="AW668">
            <v>1302</v>
          </cell>
          <cell r="AX668">
            <v>1552</v>
          </cell>
          <cell r="AY668">
            <v>1588</v>
          </cell>
          <cell r="AZ668">
            <v>3208</v>
          </cell>
          <cell r="BA668">
            <v>3711</v>
          </cell>
          <cell r="BB668">
            <v>7442</v>
          </cell>
          <cell r="BC668">
            <v>7442</v>
          </cell>
          <cell r="BD668">
            <v>7985</v>
          </cell>
          <cell r="BE668">
            <v>7985</v>
          </cell>
          <cell r="BF668">
            <v>8698</v>
          </cell>
          <cell r="BG668">
            <v>10117</v>
          </cell>
          <cell r="BH668">
            <v>10429</v>
          </cell>
          <cell r="BI668">
            <v>10929</v>
          </cell>
          <cell r="BJ668">
            <v>10837</v>
          </cell>
          <cell r="BK668">
            <v>10316</v>
          </cell>
          <cell r="BL668">
            <v>10221</v>
          </cell>
          <cell r="BM668">
            <v>9759</v>
          </cell>
          <cell r="BN668">
            <v>9888</v>
          </cell>
          <cell r="BO668">
            <v>8784</v>
          </cell>
          <cell r="BP668">
            <v>8792</v>
          </cell>
          <cell r="BQ668">
            <v>6146</v>
          </cell>
          <cell r="BR668">
            <v>5527</v>
          </cell>
          <cell r="BS668">
            <v>5062</v>
          </cell>
          <cell r="BT668">
            <v>4314</v>
          </cell>
          <cell r="BU668">
            <v>13</v>
          </cell>
          <cell r="BV668">
            <v>0</v>
          </cell>
          <cell r="BW668">
            <v>0</v>
          </cell>
          <cell r="BX668">
            <v>0</v>
          </cell>
        </row>
        <row r="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cell r="BL669"/>
          <cell r="BM669"/>
          <cell r="BN669"/>
          <cell r="BO669"/>
          <cell r="BP669"/>
          <cell r="BQ669"/>
          <cell r="BR669"/>
          <cell r="BS669"/>
          <cell r="BT669"/>
          <cell r="BU669"/>
          <cell r="BV669"/>
          <cell r="BW669"/>
          <cell r="BX669"/>
        </row>
        <row r="670">
          <cell r="AO670" t="str">
            <v>チェック</v>
          </cell>
          <cell r="AP670">
            <v>0</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row>
        <row r="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cell r="BL671"/>
          <cell r="BM671"/>
          <cell r="BN671"/>
          <cell r="BO671"/>
          <cell r="BP671"/>
          <cell r="BQ671"/>
          <cell r="BR671"/>
          <cell r="BS671"/>
          <cell r="BT671"/>
          <cell r="BU671"/>
          <cell r="BV671"/>
          <cell r="BW671"/>
          <cell r="BX671"/>
        </row>
        <row r="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cell r="BL672"/>
          <cell r="BM672"/>
          <cell r="BN672"/>
          <cell r="BO672"/>
          <cell r="BP672"/>
          <cell r="BQ672"/>
          <cell r="BR672"/>
          <cell r="BS672"/>
          <cell r="BT672"/>
          <cell r="BU672"/>
          <cell r="BV672"/>
          <cell r="BW672"/>
          <cell r="BX672"/>
        </row>
        <row r="673">
          <cell r="AO673"/>
          <cell r="AP673">
            <v>5</v>
          </cell>
          <cell r="AQ673">
            <v>6</v>
          </cell>
          <cell r="AR673">
            <v>7</v>
          </cell>
          <cell r="AS673">
            <v>8</v>
          </cell>
          <cell r="AT673">
            <v>9</v>
          </cell>
          <cell r="AU673">
            <v>10</v>
          </cell>
          <cell r="AV673">
            <v>11</v>
          </cell>
          <cell r="AW673">
            <v>12</v>
          </cell>
          <cell r="AX673">
            <v>13</v>
          </cell>
          <cell r="AY673">
            <v>14</v>
          </cell>
          <cell r="AZ673">
            <v>15</v>
          </cell>
          <cell r="BA673">
            <v>16</v>
          </cell>
          <cell r="BB673">
            <v>17</v>
          </cell>
          <cell r="BC673">
            <v>18</v>
          </cell>
          <cell r="BD673">
            <v>19</v>
          </cell>
          <cell r="BE673">
            <v>20</v>
          </cell>
          <cell r="BF673">
            <v>21</v>
          </cell>
          <cell r="BG673">
            <v>22</v>
          </cell>
          <cell r="BH673">
            <v>23</v>
          </cell>
          <cell r="BI673">
            <v>24</v>
          </cell>
          <cell r="BJ673">
            <v>25</v>
          </cell>
          <cell r="BK673">
            <v>26</v>
          </cell>
          <cell r="BL673">
            <v>27</v>
          </cell>
          <cell r="BM673">
            <v>28</v>
          </cell>
          <cell r="BN673">
            <v>29</v>
          </cell>
          <cell r="BO673">
            <v>30</v>
          </cell>
          <cell r="BP673">
            <v>31</v>
          </cell>
          <cell r="BQ673">
            <v>32</v>
          </cell>
          <cell r="BR673">
            <v>33</v>
          </cell>
          <cell r="BS673">
            <v>34</v>
          </cell>
          <cell r="BT673">
            <v>35</v>
          </cell>
          <cell r="BU673">
            <v>36</v>
          </cell>
          <cell r="BV673">
            <v>37</v>
          </cell>
          <cell r="BW673">
            <v>38</v>
          </cell>
          <cell r="BX673">
            <v>39</v>
          </cell>
        </row>
      </sheetData>
      <sheetData sheetId="9">
        <row r="6">
          <cell r="A6" t="str">
            <v>競泳</v>
          </cell>
          <cell r="B6" t="str">
            <v>東京都</v>
          </cell>
          <cell r="C6" t="str">
            <v>東京アクアティクスセンター</v>
          </cell>
          <cell r="D6">
            <v>430</v>
          </cell>
        </row>
        <row r="7">
          <cell r="A7" t="str">
            <v>飛込</v>
          </cell>
          <cell r="B7" t="str">
            <v>東京都</v>
          </cell>
          <cell r="C7" t="str">
            <v>東京アクアティクスセンター</v>
          </cell>
          <cell r="D7">
            <v>79</v>
          </cell>
        </row>
        <row r="8">
          <cell r="A8" t="str">
            <v>アーティスティックスイミング</v>
          </cell>
          <cell r="B8" t="str">
            <v>浜松市</v>
          </cell>
          <cell r="C8" t="str">
            <v>古橋廣之進記念浜松市総合水泳場［ToBiO］</v>
          </cell>
          <cell r="D8">
            <v>99</v>
          </cell>
        </row>
        <row r="9">
          <cell r="A9" t="str">
            <v>水球（男子）</v>
          </cell>
          <cell r="B9" t="str">
            <v>名古屋市</v>
          </cell>
          <cell r="C9" t="str">
            <v>名古屋市総合体育館［レインボープール］</v>
          </cell>
          <cell r="D9">
            <v>135</v>
          </cell>
        </row>
        <row r="10">
          <cell r="A10" t="str">
            <v>水球（女子）</v>
          </cell>
          <cell r="B10" t="str">
            <v>名古屋市</v>
          </cell>
          <cell r="C10" t="str">
            <v>名古屋市総合体育館［レインボープール］</v>
          </cell>
          <cell r="D10">
            <v>101</v>
          </cell>
        </row>
        <row r="11">
          <cell r="A11" t="str">
            <v>マラソンスイミング</v>
          </cell>
          <cell r="B11" t="str">
            <v>常滑市</v>
          </cell>
          <cell r="C11" t="str">
            <v>新舞子マリンパーク</v>
          </cell>
          <cell r="D11">
            <v>38</v>
          </cell>
        </row>
        <row r="12">
          <cell r="A12" t="str">
            <v>アーチェリー</v>
          </cell>
          <cell r="B12" t="str">
            <v>岡崎市</v>
          </cell>
          <cell r="C12" t="str">
            <v>岡崎中央総合公園多目的広場</v>
          </cell>
          <cell r="D12">
            <v>289</v>
          </cell>
        </row>
        <row r="13">
          <cell r="A13" t="str">
            <v>陸上競技（トラック／フィールド）</v>
          </cell>
          <cell r="B13" t="str">
            <v>名古屋市</v>
          </cell>
          <cell r="C13" t="str">
            <v>名古屋市瑞穂公園陸上競技場</v>
          </cell>
          <cell r="D13">
            <v>806</v>
          </cell>
        </row>
        <row r="14">
          <cell r="A14" t="str">
            <v>陸上競技（マラソン）</v>
          </cell>
          <cell r="B14" t="str">
            <v>名古屋市</v>
          </cell>
          <cell r="C14" t="str">
            <v>名古屋市瑞穂公園陸上競技場（都心コース）</v>
          </cell>
          <cell r="D14">
            <v>43</v>
          </cell>
        </row>
        <row r="15">
          <cell r="A15" t="str">
            <v>陸上競技（競歩）</v>
          </cell>
          <cell r="B15" t="str">
            <v>名古屋市</v>
          </cell>
          <cell r="C15" t="str">
            <v>愛知県庁・名古屋市役所周辺コース</v>
          </cell>
          <cell r="D15">
            <v>35</v>
          </cell>
        </row>
        <row r="16">
          <cell r="A16" t="str">
            <v>バドミントン</v>
          </cell>
          <cell r="B16" t="str">
            <v>一宮市</v>
          </cell>
          <cell r="C16" t="str">
            <v>一宮市総合体育館</v>
          </cell>
          <cell r="D16">
            <v>273</v>
          </cell>
        </row>
        <row r="17">
          <cell r="A17" t="str">
            <v>バスケットボール（5×５／男子）</v>
          </cell>
          <cell r="B17" t="str">
            <v>刈谷市</v>
          </cell>
          <cell r="C17" t="str">
            <v>ウィングアリーナ刈谷</v>
          </cell>
          <cell r="D17">
            <v>187</v>
          </cell>
        </row>
        <row r="18">
          <cell r="A18" t="str">
            <v>バスケットボール（5×５／女子）</v>
          </cell>
          <cell r="B18" t="str">
            <v>刈谷市</v>
          </cell>
          <cell r="C18" t="str">
            <v>ウィングアリーナ刈谷</v>
          </cell>
          <cell r="D18">
            <v>187</v>
          </cell>
        </row>
        <row r="19">
          <cell r="A19" t="str">
            <v>バスケットボール（3×３／男子）</v>
          </cell>
          <cell r="B19" t="str">
            <v>名古屋市</v>
          </cell>
          <cell r="C19" t="str">
            <v>金城ふ頭駅前特設コート</v>
          </cell>
          <cell r="D19">
            <v>83</v>
          </cell>
        </row>
        <row r="20">
          <cell r="A20" t="str">
            <v>バスケットボール（3×３／女子）</v>
          </cell>
          <cell r="B20" t="str">
            <v>名古屋市</v>
          </cell>
          <cell r="C20" t="str">
            <v>金城ふ頭駅前特設コート</v>
          </cell>
          <cell r="D20">
            <v>83</v>
          </cell>
        </row>
        <row r="21">
          <cell r="A21" t="str">
            <v>ボクシング</v>
          </cell>
          <cell r="B21" t="str">
            <v>西尾市</v>
          </cell>
          <cell r="C21" t="str">
            <v>西尾市総合体育館</v>
          </cell>
          <cell r="D21">
            <v>252</v>
          </cell>
        </row>
        <row r="22">
          <cell r="A22" t="str">
            <v>カヌー・カヤック（スプリント）</v>
          </cell>
          <cell r="B22" t="str">
            <v>三好市</v>
          </cell>
          <cell r="C22" t="str">
            <v>三好池</v>
          </cell>
          <cell r="D22">
            <v>225</v>
          </cell>
        </row>
        <row r="23">
          <cell r="A23" t="str">
            <v>カヌー・カヤック（スラローム）</v>
          </cell>
          <cell r="B23" t="str">
            <v>豊田市</v>
          </cell>
          <cell r="C23" t="str">
            <v>矢作川カヌースラロームコース</v>
          </cell>
          <cell r="D23">
            <v>56</v>
          </cell>
        </row>
        <row r="24">
          <cell r="A24" t="str">
            <v>自転車競技（トラックレース）</v>
          </cell>
          <cell r="B24" t="str">
            <v>伊豆市</v>
          </cell>
          <cell r="C24" t="str">
            <v>伊豆ベロドローム</v>
          </cell>
          <cell r="D24">
            <v>152</v>
          </cell>
        </row>
        <row r="25">
          <cell r="A25" t="str">
            <v>自転車競技（ロードレース）</v>
          </cell>
          <cell r="B25" t="str">
            <v>新城市</v>
          </cell>
          <cell r="C25" t="str">
            <v>新城市内発着コース</v>
          </cell>
          <cell r="D25">
            <v>101</v>
          </cell>
        </row>
        <row r="26">
          <cell r="A26" t="str">
            <v>自転車競技（マウンテンバイク）</v>
          </cell>
          <cell r="B26" t="str">
            <v>名古屋市</v>
          </cell>
          <cell r="C26" t="str">
            <v>小幡緑地</v>
          </cell>
          <cell r="D26">
            <v>39</v>
          </cell>
        </row>
        <row r="27">
          <cell r="A27" t="str">
            <v>自転車競技（BMXレース）</v>
          </cell>
          <cell r="B27" t="str">
            <v>名古屋市</v>
          </cell>
          <cell r="C27" t="str">
            <v>名古屋市競輪場BMXレースコース</v>
          </cell>
          <cell r="D27">
            <v>22</v>
          </cell>
        </row>
        <row r="28">
          <cell r="A28" t="str">
            <v>自転車競技（BMXフリースタイル）</v>
          </cell>
          <cell r="B28" t="str">
            <v>常滑市</v>
          </cell>
          <cell r="C28" t="str">
            <v>愛知県国際展示場［Aichi Sky Expo］</v>
          </cell>
          <cell r="D28">
            <v>16</v>
          </cell>
        </row>
        <row r="29">
          <cell r="A29" t="str">
            <v>馬術</v>
          </cell>
          <cell r="B29" t="str">
            <v>東京都</v>
          </cell>
          <cell r="C29" t="str">
            <v>JRA馬事公苑</v>
          </cell>
          <cell r="D29">
            <v>138</v>
          </cell>
        </row>
        <row r="30">
          <cell r="A30" t="str">
            <v>フェンシング</v>
          </cell>
          <cell r="B30" t="str">
            <v>常滑市</v>
          </cell>
          <cell r="C30" t="str">
            <v>愛知県国際展示場［Aichi Sky Expo］</v>
          </cell>
          <cell r="D30">
            <v>311</v>
          </cell>
        </row>
        <row r="31">
          <cell r="A31" t="str">
            <v>サッカー（豊田／予選）</v>
          </cell>
          <cell r="B31" t="str">
            <v>豊田市</v>
          </cell>
          <cell r="C31" t="str">
            <v>豊田スタジアム</v>
          </cell>
          <cell r="D31">
            <v>116</v>
          </cell>
        </row>
        <row r="32">
          <cell r="A32" t="str">
            <v>サッカー（豊田／決勝）</v>
          </cell>
          <cell r="B32"/>
          <cell r="C32"/>
          <cell r="D32">
            <v>116</v>
          </cell>
        </row>
        <row r="33">
          <cell r="A33" t="str">
            <v>サッカー（静岡）</v>
          </cell>
          <cell r="B33" t="str">
            <v>袋井市</v>
          </cell>
          <cell r="C33" t="str">
            <v>小笠山総合運動公園エコパスタジアム</v>
          </cell>
          <cell r="D33">
            <v>116</v>
          </cell>
        </row>
        <row r="34">
          <cell r="A34" t="str">
            <v>サッカー（大阪）</v>
          </cell>
          <cell r="B34" t="str">
            <v>大阪市</v>
          </cell>
          <cell r="C34" t="str">
            <v>長居陸上競技場</v>
          </cell>
          <cell r="D34">
            <v>116</v>
          </cell>
        </row>
        <row r="35">
          <cell r="A35" t="str">
            <v>サッカー（神戸）</v>
          </cell>
          <cell r="B35" t="str">
            <v>神戸市</v>
          </cell>
          <cell r="C35" t="str">
            <v>ユニバー記念競技場</v>
          </cell>
          <cell r="D35">
            <v>116</v>
          </cell>
        </row>
        <row r="36">
          <cell r="A36" t="str">
            <v>サッカー（港）</v>
          </cell>
          <cell r="B36" t="str">
            <v>名古屋市</v>
          </cell>
          <cell r="C36" t="str">
            <v>名古屋市港サッカー場</v>
          </cell>
          <cell r="D36">
            <v>116</v>
          </cell>
        </row>
        <row r="37">
          <cell r="A37" t="str">
            <v>サッカー（瑞穂）</v>
          </cell>
          <cell r="B37" t="str">
            <v>刈谷市</v>
          </cell>
          <cell r="C37" t="str">
            <v>ウェーブスタジアム刈谷</v>
          </cell>
          <cell r="D37">
            <v>116</v>
          </cell>
        </row>
        <row r="38">
          <cell r="A38" t="str">
            <v>サッカー（刈谷）</v>
          </cell>
          <cell r="B38" t="str">
            <v>名古屋市</v>
          </cell>
          <cell r="C38" t="str">
            <v>名古屋市瑞穂公園ラグビー場</v>
          </cell>
          <cell r="D38">
            <v>116</v>
          </cell>
        </row>
        <row r="39">
          <cell r="A39" t="str">
            <v>サッカー（岐阜）</v>
          </cell>
          <cell r="B39" t="str">
            <v>岐阜市</v>
          </cell>
          <cell r="C39" t="str">
            <v>長良川競技場</v>
          </cell>
          <cell r="D39">
            <v>116</v>
          </cell>
        </row>
        <row r="40">
          <cell r="A40" t="str">
            <v>ゴルフ</v>
          </cell>
          <cell r="B40" t="str">
            <v>名古屋市</v>
          </cell>
          <cell r="C40" t="str">
            <v>愛知カンツリー俱楽部東山コース</v>
          </cell>
          <cell r="D40">
            <v>147</v>
          </cell>
        </row>
        <row r="41">
          <cell r="A41" t="str">
            <v>体操</v>
          </cell>
          <cell r="B41" t="str">
            <v>名古屋市</v>
          </cell>
          <cell r="C41" t="str">
            <v>名古屋市総合体育館［レインボーホール］</v>
          </cell>
          <cell r="D41">
            <v>134</v>
          </cell>
        </row>
        <row r="42">
          <cell r="A42" t="str">
            <v>新体操</v>
          </cell>
          <cell r="B42" t="str">
            <v>名古屋市</v>
          </cell>
          <cell r="C42" t="str">
            <v>名古屋市総合体育館［レインボーホール］</v>
          </cell>
          <cell r="D42">
            <v>36</v>
          </cell>
        </row>
        <row r="43">
          <cell r="A43" t="str">
            <v>トランポリン</v>
          </cell>
          <cell r="B43" t="str">
            <v>名古屋市</v>
          </cell>
          <cell r="C43" t="str">
            <v>名古屋市総合体育館［レインボーホール］</v>
          </cell>
          <cell r="D43">
            <v>13</v>
          </cell>
        </row>
        <row r="44">
          <cell r="A44" t="str">
            <v>ハンドボール（男子）</v>
          </cell>
          <cell r="B44" t="str">
            <v>春日井市</v>
          </cell>
          <cell r="C44" t="str">
            <v>春日井市総合体育館</v>
          </cell>
          <cell r="D44">
            <v>250</v>
          </cell>
        </row>
        <row r="45">
          <cell r="A45" t="str">
            <v>ハンドボール（女子）</v>
          </cell>
          <cell r="B45" t="str">
            <v>稲沢市</v>
          </cell>
          <cell r="C45" t="str">
            <v>豊田合成記念体育館［エントリオ］</v>
          </cell>
          <cell r="D45">
            <v>166</v>
          </cell>
        </row>
        <row r="46">
          <cell r="A46" t="str">
            <v>ホッケー①</v>
          </cell>
          <cell r="B46" t="str">
            <v>各務原市</v>
          </cell>
          <cell r="C46" t="str">
            <v>岐阜県グリーンスタジアム</v>
          </cell>
          <cell r="D46">
            <v>168</v>
          </cell>
        </row>
        <row r="47">
          <cell r="A47" t="str">
            <v>ホッケー②</v>
          </cell>
          <cell r="B47" t="str">
            <v>各務原市</v>
          </cell>
          <cell r="C47" t="str">
            <v>岐阜県グリーンスタジアム</v>
          </cell>
          <cell r="D47">
            <v>226</v>
          </cell>
        </row>
        <row r="48">
          <cell r="A48" t="str">
            <v>ホッケー③</v>
          </cell>
          <cell r="B48" t="str">
            <v>各務原市</v>
          </cell>
          <cell r="C48" t="str">
            <v>岐阜県グリーンスタジアム</v>
          </cell>
          <cell r="D48">
            <v>168</v>
          </cell>
        </row>
        <row r="49">
          <cell r="A49" t="str">
            <v>柔道</v>
          </cell>
          <cell r="B49" t="str">
            <v>名古屋市</v>
          </cell>
          <cell r="C49" t="str">
            <v>愛知国際アリーナ</v>
          </cell>
          <cell r="D49">
            <v>283</v>
          </cell>
        </row>
        <row r="50">
          <cell r="A50" t="str">
            <v>近代五種</v>
          </cell>
          <cell r="B50" t="str">
            <v>安城市</v>
          </cell>
          <cell r="C50" t="str">
            <v>安城市総合運動公園陸上競技場他</v>
          </cell>
          <cell r="D50">
            <v>36</v>
          </cell>
        </row>
        <row r="51">
          <cell r="A51" t="str">
            <v>ローイング</v>
          </cell>
          <cell r="B51" t="str">
            <v>海津市</v>
          </cell>
          <cell r="C51" t="str">
            <v>長良川国際レガッタコース</v>
          </cell>
          <cell r="D51">
            <v>291</v>
          </cell>
        </row>
        <row r="52">
          <cell r="A52" t="str">
            <v>ラグビー（男子）</v>
          </cell>
          <cell r="B52" t="str">
            <v>名古屋市</v>
          </cell>
          <cell r="C52" t="str">
            <v>名古屋市瑞穂公園ラグビー場</v>
          </cell>
          <cell r="D52">
            <v>187</v>
          </cell>
        </row>
        <row r="53">
          <cell r="A53" t="str">
            <v>ラグビー（女子）</v>
          </cell>
          <cell r="B53" t="str">
            <v>名古屋市</v>
          </cell>
          <cell r="C53" t="str">
            <v>名古屋市瑞穂公園ラグビー場</v>
          </cell>
          <cell r="D53">
            <v>125</v>
          </cell>
        </row>
        <row r="54">
          <cell r="A54" t="str">
            <v>セーリング</v>
          </cell>
          <cell r="B54" t="str">
            <v>蒲郡市</v>
          </cell>
          <cell r="C54" t="str">
            <v>海陽ヨットハーバー</v>
          </cell>
          <cell r="D54">
            <v>187</v>
          </cell>
        </row>
        <row r="55">
          <cell r="A55" t="str">
            <v>射撃①</v>
          </cell>
          <cell r="B55" t="str">
            <v>豊田市</v>
          </cell>
          <cell r="C55" t="str">
            <v>愛知県総合射撃場</v>
          </cell>
          <cell r="D55">
            <v>125</v>
          </cell>
        </row>
        <row r="56">
          <cell r="A56" t="str">
            <v>射撃②</v>
          </cell>
          <cell r="B56" t="str">
            <v>豊田市</v>
          </cell>
          <cell r="C56" t="str">
            <v>愛知県総合射撃場</v>
          </cell>
          <cell r="D56">
            <v>200</v>
          </cell>
        </row>
        <row r="57">
          <cell r="A57" t="str">
            <v>射撃③</v>
          </cell>
          <cell r="B57" t="str">
            <v>豊田市</v>
          </cell>
          <cell r="C57" t="str">
            <v>愛知県総合射撃場</v>
          </cell>
          <cell r="D57">
            <v>70</v>
          </cell>
        </row>
        <row r="58">
          <cell r="A58" t="str">
            <v>射撃④</v>
          </cell>
          <cell r="B58" t="str">
            <v>豊田市</v>
          </cell>
          <cell r="C58" t="str">
            <v>愛知県総合射撃場</v>
          </cell>
          <cell r="D58">
            <v>112</v>
          </cell>
        </row>
        <row r="59">
          <cell r="A59" t="str">
            <v>卓球①</v>
          </cell>
          <cell r="B59" t="str">
            <v>豊田市</v>
          </cell>
          <cell r="C59" t="str">
            <v>スカイホール豊田</v>
          </cell>
          <cell r="D59">
            <v>120</v>
          </cell>
        </row>
        <row r="60">
          <cell r="A60" t="str">
            <v>卓球②</v>
          </cell>
          <cell r="B60" t="str">
            <v>豊田市</v>
          </cell>
          <cell r="C60" t="str">
            <v>スカイホール豊田</v>
          </cell>
          <cell r="D60">
            <v>100</v>
          </cell>
        </row>
        <row r="61">
          <cell r="A61" t="str">
            <v>テコンドー</v>
          </cell>
          <cell r="B61" t="str">
            <v>豊橋市</v>
          </cell>
          <cell r="C61" t="str">
            <v>豊橋市総合体育館</v>
          </cell>
          <cell r="D61">
            <v>208</v>
          </cell>
        </row>
        <row r="62">
          <cell r="A62" t="str">
            <v>テニス</v>
          </cell>
          <cell r="B62" t="str">
            <v>名古屋市</v>
          </cell>
          <cell r="C62" t="str">
            <v>名古屋市東山公園テニスセンター</v>
          </cell>
          <cell r="D62">
            <v>199</v>
          </cell>
        </row>
        <row r="63">
          <cell r="A63" t="str">
            <v>ソフトテニス</v>
          </cell>
          <cell r="B63" t="str">
            <v>名古屋市</v>
          </cell>
          <cell r="C63" t="str">
            <v>名古屋市東山公園テニスセンター</v>
          </cell>
          <cell r="D63">
            <v>113</v>
          </cell>
        </row>
        <row r="64">
          <cell r="A64" t="str">
            <v>トライアスロン</v>
          </cell>
          <cell r="B64" t="str">
            <v>蒲郡市</v>
          </cell>
          <cell r="C64" t="str">
            <v>蒲郡市内特設コース</v>
          </cell>
          <cell r="D64">
            <v>83</v>
          </cell>
        </row>
        <row r="65">
          <cell r="A65" t="str">
            <v>バレーボール（男子）①</v>
          </cell>
          <cell r="B65" t="str">
            <v>岡崎市</v>
          </cell>
          <cell r="C65" t="str">
            <v>岡崎市中央総合公園総合体育館</v>
          </cell>
          <cell r="D65">
            <v>80</v>
          </cell>
        </row>
        <row r="66">
          <cell r="A66" t="str">
            <v>バレーボール（男子）②</v>
          </cell>
          <cell r="B66" t="str">
            <v>岡崎市</v>
          </cell>
          <cell r="C66" t="str">
            <v>岡崎市中央総合公園総合体育館</v>
          </cell>
          <cell r="D66">
            <v>170</v>
          </cell>
        </row>
        <row r="67">
          <cell r="A67" t="str">
            <v>バレーボール（女子）</v>
          </cell>
          <cell r="B67" t="str">
            <v>小牧市</v>
          </cell>
          <cell r="C67" t="str">
            <v>小牧市スポーツ公園総合体育館</v>
          </cell>
          <cell r="D67">
            <v>187</v>
          </cell>
        </row>
        <row r="68">
          <cell r="A68" t="str">
            <v>ビーチバレーボール（男子）</v>
          </cell>
          <cell r="B68" t="str">
            <v>碧南市</v>
          </cell>
          <cell r="C68" t="str">
            <v>碧南緑地ビーチコート</v>
          </cell>
          <cell r="D68">
            <v>62</v>
          </cell>
        </row>
        <row r="69">
          <cell r="A69" t="str">
            <v>ビーチバレーボール（女子）</v>
          </cell>
          <cell r="B69" t="str">
            <v>碧南市</v>
          </cell>
          <cell r="C69" t="str">
            <v>碧南緑地ビーチコート</v>
          </cell>
          <cell r="D69">
            <v>52</v>
          </cell>
        </row>
        <row r="70">
          <cell r="A70" t="str">
            <v>ウェイトリフティング</v>
          </cell>
          <cell r="B70" t="str">
            <v>名古屋市</v>
          </cell>
          <cell r="C70" t="str">
            <v>名古屋市中小企業振興会館</v>
          </cell>
          <cell r="D70">
            <v>203</v>
          </cell>
        </row>
        <row r="71">
          <cell r="A71" t="str">
            <v>レスリング</v>
          </cell>
          <cell r="B71" t="str">
            <v>名古屋市</v>
          </cell>
          <cell r="C71" t="str">
            <v>愛知国際アリーナ</v>
          </cell>
          <cell r="D71">
            <v>321</v>
          </cell>
        </row>
        <row r="72">
          <cell r="A72" t="str">
            <v>ブレイキン</v>
          </cell>
          <cell r="B72" t="str">
            <v>名古屋市</v>
          </cell>
          <cell r="C72" t="str">
            <v>（愛知県体育館）</v>
          </cell>
          <cell r="D72">
            <v>60</v>
          </cell>
        </row>
        <row r="73">
          <cell r="A73" t="str">
            <v>スケートボード</v>
          </cell>
          <cell r="B73" t="str">
            <v>常滑市</v>
          </cell>
          <cell r="C73" t="str">
            <v>愛知県国際展示場［Aichi Sky Expo］</v>
          </cell>
          <cell r="D73">
            <v>49</v>
          </cell>
        </row>
        <row r="74">
          <cell r="A74" t="str">
            <v>サーフィン</v>
          </cell>
          <cell r="B74" t="str">
            <v>田原市</v>
          </cell>
          <cell r="C74" t="str">
            <v>田原市赤羽根町大石河岸（ロングビーチ）他</v>
          </cell>
          <cell r="D74">
            <v>62</v>
          </cell>
        </row>
        <row r="75">
          <cell r="A75" t="str">
            <v>スポーツクライミング</v>
          </cell>
          <cell r="B75" t="str">
            <v>名古屋市</v>
          </cell>
          <cell r="C75" t="str">
            <v>名古屋市国際展示場［ポートメッセなごや］</v>
          </cell>
          <cell r="D75">
            <v>125</v>
          </cell>
        </row>
        <row r="76">
          <cell r="A76" t="str">
            <v>野球①</v>
          </cell>
          <cell r="B76" t="str">
            <v>岡崎／豊橋</v>
          </cell>
          <cell r="C76" t="str">
            <v>岡崎市中央総合公園／豊橋市民球場</v>
          </cell>
          <cell r="D76">
            <v>188</v>
          </cell>
        </row>
        <row r="77">
          <cell r="A77" t="str">
            <v>野球②</v>
          </cell>
          <cell r="B77" t="str">
            <v>岡崎／豊橋</v>
          </cell>
          <cell r="C77" t="str">
            <v>岡崎市中央総合公園／豊橋市民球場</v>
          </cell>
          <cell r="D77">
            <v>62</v>
          </cell>
        </row>
        <row r="78">
          <cell r="A78" t="str">
            <v>ソフトボール</v>
          </cell>
          <cell r="B78" t="str">
            <v>安城市</v>
          </cell>
          <cell r="C78" t="str">
            <v>安城市総合公園ソフトボール場</v>
          </cell>
          <cell r="D78">
            <v>177</v>
          </cell>
        </row>
        <row r="79">
          <cell r="A79" t="str">
            <v>カバディ（男子）</v>
          </cell>
          <cell r="B79" t="str">
            <v>東海市</v>
          </cell>
          <cell r="C79" t="str">
            <v>東海市民体育館</v>
          </cell>
          <cell r="D79">
            <v>125</v>
          </cell>
        </row>
        <row r="80">
          <cell r="A80" t="str">
            <v>カバディ（女子）</v>
          </cell>
          <cell r="B80" t="str">
            <v>東海市</v>
          </cell>
          <cell r="C80" t="str">
            <v>東海市民体育館</v>
          </cell>
          <cell r="D80">
            <v>94</v>
          </cell>
        </row>
        <row r="81">
          <cell r="A81" t="str">
            <v>柔術</v>
          </cell>
          <cell r="B81" t="str">
            <v>名古屋市</v>
          </cell>
          <cell r="C81" t="str">
            <v>愛知県武道館</v>
          </cell>
          <cell r="D81">
            <v>246</v>
          </cell>
        </row>
        <row r="82">
          <cell r="A82" t="str">
            <v>クラッシュ</v>
          </cell>
          <cell r="B82" t="str">
            <v>名古屋市</v>
          </cell>
          <cell r="C82" t="str">
            <v>愛知県武道館</v>
          </cell>
          <cell r="D82">
            <v>118</v>
          </cell>
        </row>
        <row r="83">
          <cell r="A83" t="str">
            <v>武術太極拳</v>
          </cell>
          <cell r="B83" t="str">
            <v>名古屋市</v>
          </cell>
          <cell r="C83" t="str">
            <v>愛知県武道館</v>
          </cell>
          <cell r="D83">
            <v>247</v>
          </cell>
        </row>
        <row r="84">
          <cell r="A84" t="str">
            <v>セパタクロー</v>
          </cell>
          <cell r="B84" t="str">
            <v>名古屋市</v>
          </cell>
          <cell r="C84" t="str">
            <v>名古屋市瑞穂公園体育館</v>
          </cell>
          <cell r="D84">
            <v>269</v>
          </cell>
        </row>
        <row r="85">
          <cell r="A85" t="str">
            <v>スカッシュ</v>
          </cell>
          <cell r="B85" t="str">
            <v>名古屋市</v>
          </cell>
          <cell r="C85" t="str">
            <v>名古屋市金城ふ頭アリーナ</v>
          </cell>
          <cell r="D85">
            <v>90</v>
          </cell>
        </row>
        <row r="86">
          <cell r="A86" t="str">
            <v>空手</v>
          </cell>
          <cell r="B86" t="str">
            <v>豊橋市</v>
          </cell>
          <cell r="C86" t="str">
            <v>豊橋市総合体育館</v>
          </cell>
          <cell r="D86">
            <v>224</v>
          </cell>
        </row>
        <row r="87">
          <cell r="A87" t="str">
            <v>eスポーツ</v>
          </cell>
          <cell r="B87" t="str">
            <v>常滑市</v>
          </cell>
          <cell r="C87" t="str">
            <v>愛知県国際展示場［Aichi Sky Expo］</v>
          </cell>
          <cell r="D87">
            <v>619</v>
          </cell>
        </row>
        <row r="88">
          <cell r="A88"/>
          <cell r="B88"/>
          <cell r="C88"/>
          <cell r="D88"/>
        </row>
        <row r="89">
          <cell r="A89"/>
          <cell r="B89"/>
          <cell r="C89"/>
          <cell r="D89"/>
        </row>
        <row r="90">
          <cell r="A90"/>
          <cell r="B90"/>
          <cell r="C90"/>
          <cell r="D90"/>
        </row>
        <row r="91">
          <cell r="A91"/>
          <cell r="B91"/>
          <cell r="C91"/>
          <cell r="D91"/>
        </row>
        <row r="92">
          <cell r="A92"/>
          <cell r="B92"/>
          <cell r="C92"/>
          <cell r="D92"/>
        </row>
        <row r="93">
          <cell r="A93"/>
          <cell r="B93"/>
          <cell r="C93"/>
          <cell r="D93"/>
        </row>
        <row r="94">
          <cell r="A94"/>
          <cell r="B94"/>
          <cell r="C94"/>
          <cell r="D94"/>
        </row>
        <row r="95">
          <cell r="A95"/>
          <cell r="B95"/>
          <cell r="C95"/>
          <cell r="D95"/>
        </row>
        <row r="96">
          <cell r="A96"/>
          <cell r="B96"/>
          <cell r="C96"/>
          <cell r="D96"/>
        </row>
        <row r="97">
          <cell r="A97"/>
          <cell r="B97"/>
          <cell r="C97"/>
          <cell r="D97"/>
        </row>
        <row r="98">
          <cell r="A98"/>
          <cell r="B98"/>
          <cell r="C98"/>
          <cell r="D98"/>
        </row>
        <row r="99">
          <cell r="A99" t="str">
            <v>－</v>
          </cell>
          <cell r="B99" t="str">
            <v>－</v>
          </cell>
          <cell r="C99"/>
          <cell r="D99"/>
        </row>
        <row r="100">
          <cell r="A100"/>
          <cell r="B100"/>
          <cell r="C100" t="str">
            <v>宿泊者数</v>
          </cell>
          <cell r="D100">
            <v>12801</v>
          </cell>
          <cell r="E100">
            <v>0</v>
          </cell>
          <cell r="F100">
            <v>0</v>
          </cell>
          <cell r="G100">
            <v>0</v>
          </cell>
          <cell r="H100">
            <v>0</v>
          </cell>
          <cell r="I100">
            <v>0</v>
          </cell>
          <cell r="J100">
            <v>374</v>
          </cell>
          <cell r="K100">
            <v>606</v>
          </cell>
          <cell r="L100">
            <v>1302</v>
          </cell>
          <cell r="M100">
            <v>1552</v>
          </cell>
          <cell r="N100">
            <v>1588</v>
          </cell>
          <cell r="O100">
            <v>3208</v>
          </cell>
          <cell r="P100">
            <v>3711</v>
          </cell>
          <cell r="Q100">
            <v>7442</v>
          </cell>
          <cell r="R100">
            <v>7442</v>
          </cell>
          <cell r="S100">
            <v>7985</v>
          </cell>
          <cell r="T100">
            <v>7985</v>
          </cell>
          <cell r="U100">
            <v>8698</v>
          </cell>
          <cell r="V100">
            <v>10117</v>
          </cell>
          <cell r="W100">
            <v>10429</v>
          </cell>
          <cell r="X100">
            <v>10929</v>
          </cell>
          <cell r="Y100">
            <v>10837</v>
          </cell>
          <cell r="Z100">
            <v>10316</v>
          </cell>
          <cell r="AA100">
            <v>10221</v>
          </cell>
          <cell r="AB100">
            <v>9759</v>
          </cell>
          <cell r="AC100">
            <v>9888</v>
          </cell>
          <cell r="AD100">
            <v>8784</v>
          </cell>
          <cell r="AE100">
            <v>8792</v>
          </cell>
          <cell r="AF100">
            <v>6146</v>
          </cell>
          <cell r="AG100">
            <v>5527</v>
          </cell>
          <cell r="AH100">
            <v>5062</v>
          </cell>
          <cell r="AI100">
            <v>4314</v>
          </cell>
          <cell r="AJ100">
            <v>13</v>
          </cell>
          <cell r="AK100">
            <v>0</v>
          </cell>
          <cell r="AL100">
            <v>0</v>
          </cell>
          <cell r="AM100">
            <v>0</v>
          </cell>
        </row>
        <row r="101">
          <cell r="C101" t="str">
            <v>クルーズ船配宿競技</v>
          </cell>
          <cell r="D101"/>
        </row>
        <row r="102">
          <cell r="C102" t="str">
            <v>チェック</v>
          </cell>
          <cell r="D102"/>
        </row>
        <row r="103">
          <cell r="A103" t="str">
            <v>【パラ】アーチェリー①</v>
          </cell>
          <cell r="B103" t="str">
            <v>岡崎市</v>
          </cell>
          <cell r="C103" t="str">
            <v>岡崎市中央総合公園多目的広場</v>
          </cell>
          <cell r="D103">
            <v>132</v>
          </cell>
        </row>
        <row r="104">
          <cell r="A104" t="str">
            <v>【パラ】アーチェリー②</v>
          </cell>
          <cell r="B104" t="str">
            <v>岡崎市</v>
          </cell>
          <cell r="C104" t="str">
            <v>岡崎市中央総合公園多目的広場</v>
          </cell>
          <cell r="D104">
            <v>66</v>
          </cell>
        </row>
        <row r="105">
          <cell r="A105" t="str">
            <v>【パラ】陸上①</v>
          </cell>
          <cell r="B105" t="str">
            <v>名古屋市</v>
          </cell>
          <cell r="C105" t="str">
            <v>瑞穂公園陸上競技場</v>
          </cell>
          <cell r="D105">
            <v>336</v>
          </cell>
        </row>
        <row r="106">
          <cell r="A106" t="str">
            <v>【パラ】陸上②</v>
          </cell>
          <cell r="B106" t="str">
            <v>名古屋市</v>
          </cell>
          <cell r="C106" t="str">
            <v>瑞穂公園陸上競技場</v>
          </cell>
          <cell r="D106">
            <v>224</v>
          </cell>
        </row>
        <row r="107">
          <cell r="A107" t="str">
            <v>【パラ】陸上③</v>
          </cell>
          <cell r="B107" t="str">
            <v>名古屋市</v>
          </cell>
          <cell r="C107" t="str">
            <v>瑞穂公園陸上競技場</v>
          </cell>
          <cell r="D107">
            <v>224</v>
          </cell>
        </row>
        <row r="108">
          <cell r="A108" t="str">
            <v>【パラ】陸上④</v>
          </cell>
          <cell r="B108" t="str">
            <v>名古屋市</v>
          </cell>
          <cell r="C108" t="str">
            <v>瑞穂公園陸上競技場</v>
          </cell>
          <cell r="D108">
            <v>112</v>
          </cell>
        </row>
        <row r="109">
          <cell r="A109" t="str">
            <v>【パラ】陸上⑤</v>
          </cell>
          <cell r="B109" t="str">
            <v>名古屋市</v>
          </cell>
          <cell r="C109" t="str">
            <v>瑞穂公園陸上競技場</v>
          </cell>
          <cell r="D109">
            <v>140</v>
          </cell>
        </row>
        <row r="110">
          <cell r="A110" t="str">
            <v>【パラ】バドミントン①</v>
          </cell>
          <cell r="B110" t="str">
            <v>刈谷市</v>
          </cell>
          <cell r="C110" t="str">
            <v>ウィングアリーナ刈谷</v>
          </cell>
          <cell r="D110">
            <v>187</v>
          </cell>
        </row>
        <row r="111">
          <cell r="A111" t="str">
            <v>【パラ】バドミントン②</v>
          </cell>
          <cell r="B111" t="str">
            <v>刈谷市</v>
          </cell>
          <cell r="C111" t="str">
            <v>ウィングアリーナ刈谷</v>
          </cell>
          <cell r="D111">
            <v>85</v>
          </cell>
        </row>
        <row r="112">
          <cell r="A112" t="str">
            <v>【パラ】ボッチャ①</v>
          </cell>
          <cell r="B112" t="str">
            <v>名古屋市</v>
          </cell>
          <cell r="C112" t="str">
            <v>名古屋市総合体育館</v>
          </cell>
          <cell r="D112">
            <v>28</v>
          </cell>
        </row>
        <row r="113">
          <cell r="A113" t="str">
            <v>【パラ】ボッチャ②</v>
          </cell>
          <cell r="B113" t="str">
            <v>名古屋市</v>
          </cell>
          <cell r="C113" t="str">
            <v>名古屋市総合体育館</v>
          </cell>
          <cell r="D113">
            <v>28</v>
          </cell>
        </row>
        <row r="114">
          <cell r="A114" t="str">
            <v>【パラ】ボッチャ③</v>
          </cell>
          <cell r="B114" t="str">
            <v>名古屋市</v>
          </cell>
          <cell r="C114" t="str">
            <v>名古屋市総合体育館</v>
          </cell>
          <cell r="D114">
            <v>42</v>
          </cell>
        </row>
        <row r="115">
          <cell r="A115" t="str">
            <v>【パラ】ボッチャ④</v>
          </cell>
          <cell r="B115" t="str">
            <v>名古屋市</v>
          </cell>
          <cell r="C115" t="str">
            <v>名古屋市総合体育館</v>
          </cell>
          <cell r="D115">
            <v>42</v>
          </cell>
        </row>
        <row r="116">
          <cell r="A116" t="str">
            <v>【パラ】サイクリング（トラック）</v>
          </cell>
          <cell r="B116" t="str">
            <v>伊豆市</v>
          </cell>
          <cell r="C116" t="str">
            <v>伊豆ベロドローム（トラック）</v>
          </cell>
          <cell r="D116">
            <v>80</v>
          </cell>
        </row>
        <row r="117">
          <cell r="A117" t="str">
            <v>【パラ】サイクリング（ロード）</v>
          </cell>
          <cell r="B117" t="str">
            <v>瀬戸市</v>
          </cell>
          <cell r="C117" t="str">
            <v>未定（モリコロパーク検討中）</v>
          </cell>
          <cell r="D117">
            <v>120</v>
          </cell>
        </row>
        <row r="118">
          <cell r="A118" t="str">
            <v>【パラ】ブラインドフットボール</v>
          </cell>
          <cell r="B118" t="str">
            <v>名古屋市</v>
          </cell>
          <cell r="C118" t="str">
            <v>名古屋市鶴舞公園多目的グラウンド</v>
          </cell>
          <cell r="D118">
            <v>77</v>
          </cell>
        </row>
        <row r="119">
          <cell r="A119" t="str">
            <v>【パラ】ゴールボール</v>
          </cell>
          <cell r="B119" t="str">
            <v>豊橋市</v>
          </cell>
          <cell r="C119" t="str">
            <v>豊橋市総合体育館</v>
          </cell>
          <cell r="D119">
            <v>145</v>
          </cell>
        </row>
        <row r="120">
          <cell r="A120" t="str">
            <v>【パラ】柔道</v>
          </cell>
          <cell r="B120" t="str">
            <v>名古屋市</v>
          </cell>
          <cell r="C120" t="str">
            <v>愛知県武道館</v>
          </cell>
          <cell r="D120">
            <v>157</v>
          </cell>
        </row>
        <row r="121">
          <cell r="A121" t="str">
            <v>【パラ】パワーリフティング①</v>
          </cell>
          <cell r="B121" t="str">
            <v>名古屋市</v>
          </cell>
          <cell r="C121" t="str">
            <v>名古屋市中小企業振興会館</v>
          </cell>
          <cell r="D121">
            <v>110</v>
          </cell>
        </row>
        <row r="122">
          <cell r="A122" t="str">
            <v>【パラ】パワーリフティング②</v>
          </cell>
          <cell r="B122" t="str">
            <v>名古屋市</v>
          </cell>
          <cell r="C122" t="str">
            <v>名古屋市中小企業振興会館</v>
          </cell>
          <cell r="D122">
            <v>110</v>
          </cell>
        </row>
        <row r="123">
          <cell r="A123" t="str">
            <v>【パラ】パワーリフティング③</v>
          </cell>
          <cell r="B123" t="str">
            <v>名古屋市</v>
          </cell>
          <cell r="C123" t="str">
            <v>名古屋市中小企業振興会館</v>
          </cell>
          <cell r="D123">
            <v>60</v>
          </cell>
        </row>
        <row r="124">
          <cell r="A124" t="str">
            <v>【パラ】射撃①</v>
          </cell>
          <cell r="B124" t="str">
            <v>豊田市</v>
          </cell>
          <cell r="C124" t="str">
            <v>愛知県総合射撃場</v>
          </cell>
          <cell r="D124">
            <v>50</v>
          </cell>
        </row>
        <row r="125">
          <cell r="A125" t="str">
            <v>【パラ】射撃②</v>
          </cell>
          <cell r="B125" t="str">
            <v>豊田市</v>
          </cell>
          <cell r="C125" t="str">
            <v>愛知県総合射撃場</v>
          </cell>
          <cell r="D125">
            <v>130</v>
          </cell>
        </row>
        <row r="126">
          <cell r="A126" t="str">
            <v>【パラ】シッティングバレーボール①</v>
          </cell>
          <cell r="B126" t="str">
            <v>岡崎市</v>
          </cell>
          <cell r="C126" t="str">
            <v>岡崎市中央総合公園総合体育館</v>
          </cell>
          <cell r="D126">
            <v>72</v>
          </cell>
        </row>
        <row r="127">
          <cell r="A127" t="str">
            <v>【パラ】シッティングバレーボール②</v>
          </cell>
          <cell r="B127" t="str">
            <v>岡崎市</v>
          </cell>
          <cell r="C127" t="str">
            <v>岡崎市中央総合公園総合体育館</v>
          </cell>
          <cell r="D127">
            <v>144</v>
          </cell>
        </row>
        <row r="128">
          <cell r="A128" t="str">
            <v>【パラ】水泳①</v>
          </cell>
          <cell r="B128" t="str">
            <v>名古屋市</v>
          </cell>
          <cell r="C128" t="str">
            <v>名古屋市総合体育館</v>
          </cell>
          <cell r="D128">
            <v>288</v>
          </cell>
        </row>
        <row r="129">
          <cell r="A129" t="str">
            <v>【パラ】水泳②</v>
          </cell>
          <cell r="B129" t="str">
            <v>名古屋市</v>
          </cell>
          <cell r="C129" t="str">
            <v>名古屋市総合体育館</v>
          </cell>
          <cell r="D129">
            <v>144</v>
          </cell>
        </row>
        <row r="130">
          <cell r="A130" t="str">
            <v>【パラ】卓球①</v>
          </cell>
          <cell r="B130" t="str">
            <v>一宮市</v>
          </cell>
          <cell r="C130" t="str">
            <v>一宮市総合体育館</v>
          </cell>
          <cell r="D130">
            <v>165</v>
          </cell>
        </row>
        <row r="131">
          <cell r="A131" t="str">
            <v>【パラ】卓球②</v>
          </cell>
          <cell r="B131" t="str">
            <v>一宮市</v>
          </cell>
          <cell r="C131" t="str">
            <v>一宮市総合体育館</v>
          </cell>
          <cell r="D131">
            <v>132</v>
          </cell>
        </row>
        <row r="132">
          <cell r="A132" t="str">
            <v>【パラ】テコンドー</v>
          </cell>
          <cell r="B132" t="str">
            <v>名古屋市</v>
          </cell>
          <cell r="C132" t="str">
            <v>パロマ瑞穂アリーナ</v>
          </cell>
          <cell r="D132">
            <v>77</v>
          </cell>
        </row>
        <row r="133">
          <cell r="A133" t="str">
            <v>【パラ】車いすバスケットボール①</v>
          </cell>
          <cell r="B133" t="str">
            <v>名古屋市</v>
          </cell>
          <cell r="C133" t="str">
            <v>愛知県新体育館</v>
          </cell>
          <cell r="D133">
            <v>96</v>
          </cell>
        </row>
        <row r="134">
          <cell r="A134" t="str">
            <v>【パラ】車いすバスケットボール②</v>
          </cell>
          <cell r="B134" t="str">
            <v>名古屋市</v>
          </cell>
          <cell r="C134" t="str">
            <v>愛知県新体育館</v>
          </cell>
          <cell r="D134">
            <v>96</v>
          </cell>
        </row>
        <row r="135">
          <cell r="A135" t="str">
            <v>【パラ】車いすバスケットボール③</v>
          </cell>
          <cell r="B135" t="str">
            <v>名古屋市</v>
          </cell>
          <cell r="C135" t="str">
            <v>愛知県新体育館</v>
          </cell>
          <cell r="D135">
            <v>72</v>
          </cell>
        </row>
        <row r="136">
          <cell r="A136" t="str">
            <v>【パラ】車いすフェンシング</v>
          </cell>
          <cell r="B136" t="str">
            <v>名古屋市</v>
          </cell>
          <cell r="C136" t="str">
            <v>名古屋市稲永スポーツセンター</v>
          </cell>
          <cell r="D136">
            <v>145</v>
          </cell>
        </row>
        <row r="137">
          <cell r="A137" t="str">
            <v>【パラ】車いすテニス</v>
          </cell>
          <cell r="B137" t="str">
            <v>名古屋市</v>
          </cell>
          <cell r="C137" t="str">
            <v>名古屋市東山公園テニスセンター</v>
          </cell>
          <cell r="D137">
            <v>54</v>
          </cell>
        </row>
        <row r="138">
          <cell r="A138" t="str">
            <v>【パラ】車いすラグビー</v>
          </cell>
          <cell r="B138" t="str">
            <v>名古屋市</v>
          </cell>
          <cell r="C138" t="str">
            <v>未定（名古屋市枇杷島スポーツセンター検討中）</v>
          </cell>
          <cell r="D138">
            <v>62</v>
          </cell>
        </row>
        <row r="139">
          <cell r="A139"/>
          <cell r="B139"/>
          <cell r="C139" t="str">
            <v>宿泊者数</v>
          </cell>
          <cell r="D139"/>
        </row>
        <row r="140">
          <cell r="D140">
            <v>4232</v>
          </cell>
        </row>
      </sheetData>
      <sheetData sheetId="10">
        <row r="3">
          <cell r="A3">
            <v>7</v>
          </cell>
          <cell r="B3" t="str">
            <v>一宮グリーンホテル</v>
          </cell>
          <cell r="D3">
            <v>44</v>
          </cell>
          <cell r="E3">
            <v>44</v>
          </cell>
          <cell r="J3">
            <v>1</v>
          </cell>
          <cell r="R3" t="str">
            <v>宿泊施設</v>
          </cell>
          <cell r="S3">
            <v>50</v>
          </cell>
          <cell r="T3" t="str">
            <v>高</v>
          </cell>
          <cell r="U3" t="str">
            <v>－</v>
          </cell>
          <cell r="V3" t="str">
            <v>－</v>
          </cell>
          <cell r="W3" t="str">
            <v>○</v>
          </cell>
          <cell r="X3" t="str">
            <v>路上1台</v>
          </cell>
        </row>
        <row r="4">
          <cell r="A4">
            <v>8</v>
          </cell>
          <cell r="B4" t="str">
            <v>ホテルプラザ勝川</v>
          </cell>
          <cell r="D4">
            <v>90</v>
          </cell>
          <cell r="E4">
            <v>102</v>
          </cell>
          <cell r="J4">
            <v>10</v>
          </cell>
          <cell r="R4" t="str">
            <v>宿泊施設</v>
          </cell>
          <cell r="S4">
            <v>50</v>
          </cell>
          <cell r="T4" t="str">
            <v>中</v>
          </cell>
          <cell r="U4" t="str">
            <v>－</v>
          </cell>
          <cell r="V4" t="str">
            <v>－</v>
          </cell>
          <cell r="W4" t="str">
            <v>－</v>
          </cell>
          <cell r="X4" t="str">
            <v>専用乗降場所（屋根無）3台</v>
          </cell>
        </row>
        <row r="5">
          <cell r="A5">
            <v>12</v>
          </cell>
          <cell r="B5" t="str">
            <v>ルートイングランティア小牧</v>
          </cell>
          <cell r="D5">
            <v>224</v>
          </cell>
          <cell r="E5">
            <v>241</v>
          </cell>
          <cell r="J5">
            <v>11</v>
          </cell>
          <cell r="R5" t="str">
            <v>宿泊施設</v>
          </cell>
          <cell r="S5">
            <v>82</v>
          </cell>
          <cell r="T5" t="str">
            <v>高</v>
          </cell>
          <cell r="U5" t="str">
            <v>○</v>
          </cell>
          <cell r="V5" t="str">
            <v>○(ｼﾞﾑ内等)</v>
          </cell>
          <cell r="W5" t="str">
            <v>○</v>
          </cell>
          <cell r="X5" t="str">
            <v>玄関前（屋根無）1台</v>
          </cell>
        </row>
        <row r="6">
          <cell r="A6">
            <v>13</v>
          </cell>
          <cell r="B6" t="str">
            <v>小牧セントラルホテル</v>
          </cell>
          <cell r="D6">
            <v>103</v>
          </cell>
          <cell r="E6">
            <v>103</v>
          </cell>
          <cell r="J6">
            <v>1</v>
          </cell>
          <cell r="R6" t="str">
            <v>ケータリング</v>
          </cell>
          <cell r="S6">
            <v>35</v>
          </cell>
          <cell r="T6" t="str">
            <v>調査中</v>
          </cell>
          <cell r="U6" t="str">
            <v>－</v>
          </cell>
          <cell r="V6" t="str">
            <v>－</v>
          </cell>
          <cell r="W6" t="str">
            <v>調査中</v>
          </cell>
          <cell r="X6" t="str">
            <v>玄関前（屋根無）1台</v>
          </cell>
        </row>
        <row r="7">
          <cell r="A7">
            <v>15</v>
          </cell>
          <cell r="B7" t="str">
            <v>名鉄小牧ホテル</v>
          </cell>
          <cell r="D7">
            <v>73</v>
          </cell>
          <cell r="E7">
            <v>90</v>
          </cell>
          <cell r="J7">
            <v>7</v>
          </cell>
          <cell r="R7" t="str">
            <v>宿泊施設</v>
          </cell>
          <cell r="S7">
            <v>59</v>
          </cell>
          <cell r="T7" t="str">
            <v>中</v>
          </cell>
          <cell r="U7" t="str">
            <v>○</v>
          </cell>
          <cell r="V7" t="str">
            <v>○(ｼﾞﾑ内等)</v>
          </cell>
          <cell r="W7" t="str">
            <v>○</v>
          </cell>
          <cell r="X7" t="str">
            <v>付近に乗降場無し（小牧駅前ロータリー）</v>
          </cell>
        </row>
        <row r="8">
          <cell r="A8">
            <v>20</v>
          </cell>
          <cell r="B8" t="str">
            <v>あいち健康の森　健康科学総合センター</v>
          </cell>
          <cell r="D8">
            <v>63</v>
          </cell>
          <cell r="E8">
            <v>80</v>
          </cell>
          <cell r="J8">
            <v>11</v>
          </cell>
          <cell r="R8" t="str">
            <v>宿泊施設</v>
          </cell>
          <cell r="S8">
            <v>140</v>
          </cell>
          <cell r="T8" t="str">
            <v>中</v>
          </cell>
          <cell r="U8" t="str">
            <v>○</v>
          </cell>
          <cell r="V8" t="str">
            <v>○</v>
          </cell>
          <cell r="W8" t="str">
            <v>○</v>
          </cell>
          <cell r="X8" t="str">
            <v>玄関前（屋根無）1台</v>
          </cell>
        </row>
        <row r="9">
          <cell r="A9">
            <v>21</v>
          </cell>
          <cell r="B9" t="str">
            <v>公立学校共済組合　名古屋宿泊所　ホテルルブラ王山</v>
          </cell>
          <cell r="D9">
            <v>56</v>
          </cell>
          <cell r="E9">
            <v>74</v>
          </cell>
          <cell r="J9">
            <v>15</v>
          </cell>
          <cell r="R9" t="str">
            <v>宿泊施設</v>
          </cell>
          <cell r="S9">
            <v>60</v>
          </cell>
          <cell r="T9" t="str">
            <v>中</v>
          </cell>
          <cell r="U9" t="str">
            <v>－</v>
          </cell>
          <cell r="V9" t="str">
            <v>－</v>
          </cell>
          <cell r="W9" t="str">
            <v>－</v>
          </cell>
          <cell r="X9" t="str">
            <v>路上1台</v>
          </cell>
        </row>
        <row r="10">
          <cell r="A10">
            <v>23</v>
          </cell>
          <cell r="B10" t="str">
            <v>第二富士ホテル</v>
          </cell>
          <cell r="D10">
            <v>153</v>
          </cell>
          <cell r="E10">
            <v>158</v>
          </cell>
          <cell r="J10">
            <v>3</v>
          </cell>
          <cell r="R10" t="str">
            <v>ケータリング</v>
          </cell>
          <cell r="S10">
            <v>26</v>
          </cell>
          <cell r="T10" t="str">
            <v>調査中</v>
          </cell>
          <cell r="U10" t="str">
            <v>－</v>
          </cell>
          <cell r="V10" t="str">
            <v>－</v>
          </cell>
          <cell r="W10" t="str">
            <v>調査中</v>
          </cell>
          <cell r="X10" t="str">
            <v>路上1台</v>
          </cell>
        </row>
        <row r="11">
          <cell r="A11">
            <v>24</v>
          </cell>
          <cell r="B11" t="str">
            <v>ホテルメルパルク名古屋</v>
          </cell>
          <cell r="D11">
            <v>243</v>
          </cell>
          <cell r="E11">
            <v>322</v>
          </cell>
          <cell r="J11">
            <v>16</v>
          </cell>
          <cell r="R11" t="str">
            <v>宿泊施設</v>
          </cell>
          <cell r="S11">
            <v>122</v>
          </cell>
          <cell r="T11" t="str">
            <v>低</v>
          </cell>
          <cell r="U11" t="str">
            <v>－</v>
          </cell>
          <cell r="V11" t="str">
            <v>－</v>
          </cell>
          <cell r="W11" t="str">
            <v>－</v>
          </cell>
          <cell r="X11" t="str">
            <v>玄関前（屋根付）3台</v>
          </cell>
        </row>
        <row r="12">
          <cell r="A12">
            <v>39</v>
          </cell>
          <cell r="B12" t="str">
            <v>ザサイプレスメルキュールホテル名古屋</v>
          </cell>
          <cell r="D12">
            <v>115</v>
          </cell>
          <cell r="E12">
            <v>154</v>
          </cell>
          <cell r="J12">
            <v>3</v>
          </cell>
          <cell r="R12" t="str">
            <v>宿泊施設</v>
          </cell>
          <cell r="S12">
            <v>52</v>
          </cell>
          <cell r="T12" t="str">
            <v>中</v>
          </cell>
          <cell r="U12" t="str">
            <v>－</v>
          </cell>
          <cell r="V12" t="str">
            <v>－</v>
          </cell>
          <cell r="W12" t="str">
            <v>－</v>
          </cell>
          <cell r="X12" t="str">
            <v>路上2台</v>
          </cell>
        </row>
        <row r="13">
          <cell r="A13">
            <v>44</v>
          </cell>
          <cell r="B13" t="str">
            <v>ホテル パレス名古屋</v>
          </cell>
          <cell r="D13">
            <v>100</v>
          </cell>
          <cell r="E13">
            <v>99</v>
          </cell>
          <cell r="J13">
            <v>0</v>
          </cell>
          <cell r="R13" t="str">
            <v>ケータリング</v>
          </cell>
          <cell r="S13">
            <v>50</v>
          </cell>
          <cell r="T13" t="str">
            <v>調査中</v>
          </cell>
          <cell r="U13" t="str">
            <v>－</v>
          </cell>
          <cell r="V13" t="str">
            <v>－</v>
          </cell>
          <cell r="W13" t="str">
            <v>調査中</v>
          </cell>
          <cell r="X13" t="str">
            <v>専用乗降場所（屋根無）3台</v>
          </cell>
        </row>
        <row r="14">
          <cell r="A14">
            <v>54</v>
          </cell>
          <cell r="B14" t="str">
            <v>ザロイヤルパークキャンバス名古屋</v>
          </cell>
          <cell r="D14">
            <v>153</v>
          </cell>
          <cell r="E14">
            <v>179</v>
          </cell>
          <cell r="J14">
            <v>0</v>
          </cell>
          <cell r="R14" t="str">
            <v>宿泊施設</v>
          </cell>
          <cell r="S14">
            <v>30</v>
          </cell>
          <cell r="T14" t="str">
            <v>調査中</v>
          </cell>
          <cell r="U14" t="str">
            <v>－</v>
          </cell>
          <cell r="V14" t="str">
            <v>－</v>
          </cell>
          <cell r="W14" t="str">
            <v>－</v>
          </cell>
          <cell r="X14" t="str">
            <v>路上1台</v>
          </cell>
        </row>
        <row r="15">
          <cell r="A15">
            <v>65</v>
          </cell>
          <cell r="B15" t="str">
            <v>くれたけインプレミアム名古屋納屋橋</v>
          </cell>
          <cell r="D15">
            <v>166</v>
          </cell>
          <cell r="E15">
            <v>191</v>
          </cell>
          <cell r="J15">
            <v>0</v>
          </cell>
          <cell r="R15" t="str">
            <v>ケータリング</v>
          </cell>
          <cell r="S15">
            <v>38</v>
          </cell>
          <cell r="T15" t="str">
            <v>高</v>
          </cell>
          <cell r="U15" t="str">
            <v>－</v>
          </cell>
          <cell r="V15" t="str">
            <v>－</v>
          </cell>
          <cell r="W15" t="str">
            <v>○</v>
          </cell>
          <cell r="X15" t="str">
            <v>路上1台</v>
          </cell>
        </row>
        <row r="16">
          <cell r="A16">
            <v>67</v>
          </cell>
          <cell r="B16" t="str">
            <v>東横INN名古屋名駅南</v>
          </cell>
          <cell r="D16">
            <v>805</v>
          </cell>
          <cell r="E16">
            <v>806</v>
          </cell>
          <cell r="J16">
            <v>1</v>
          </cell>
          <cell r="R16" t="str">
            <v>ケータリング</v>
          </cell>
          <cell r="S16">
            <v>130</v>
          </cell>
          <cell r="T16" t="str">
            <v>高</v>
          </cell>
          <cell r="U16" t="str">
            <v>－</v>
          </cell>
          <cell r="V16" t="str">
            <v>－</v>
          </cell>
          <cell r="W16" t="str">
            <v>○</v>
          </cell>
          <cell r="X16" t="str">
            <v>路上1台</v>
          </cell>
        </row>
        <row r="17">
          <cell r="A17">
            <v>70</v>
          </cell>
          <cell r="B17" t="str">
            <v>ベッセルホテルカンパーナ名古屋</v>
          </cell>
          <cell r="D17">
            <v>233</v>
          </cell>
          <cell r="E17">
            <v>343</v>
          </cell>
          <cell r="J17">
            <v>0</v>
          </cell>
          <cell r="R17" t="str">
            <v>宿泊施設</v>
          </cell>
          <cell r="S17">
            <v>106</v>
          </cell>
          <cell r="T17" t="str">
            <v>中</v>
          </cell>
          <cell r="U17" t="str">
            <v>－</v>
          </cell>
          <cell r="V17" t="str">
            <v>ﾐｽﾄｻｳﾅ</v>
          </cell>
          <cell r="W17" t="str">
            <v>○</v>
          </cell>
          <cell r="X17" t="str">
            <v>路上1台</v>
          </cell>
        </row>
        <row r="18">
          <cell r="A18">
            <v>79</v>
          </cell>
          <cell r="B18" t="str">
            <v>ニッコースタイル名古屋</v>
          </cell>
          <cell r="D18">
            <v>191</v>
          </cell>
          <cell r="E18">
            <v>292</v>
          </cell>
          <cell r="J18">
            <v>0</v>
          </cell>
          <cell r="R18" t="str">
            <v>宿泊施設</v>
          </cell>
          <cell r="S18">
            <v>62</v>
          </cell>
          <cell r="T18" t="str">
            <v>中</v>
          </cell>
          <cell r="U18" t="str">
            <v>○</v>
          </cell>
          <cell r="V18" t="str">
            <v>－</v>
          </cell>
          <cell r="W18" t="str">
            <v>－</v>
          </cell>
          <cell r="X18" t="str">
            <v>路上1台</v>
          </cell>
        </row>
        <row r="19">
          <cell r="A19">
            <v>81</v>
          </cell>
          <cell r="B19" t="str">
            <v>イビススタイルズ名古屋</v>
          </cell>
          <cell r="D19">
            <v>142</v>
          </cell>
          <cell r="E19">
            <v>200</v>
          </cell>
          <cell r="J19">
            <v>1</v>
          </cell>
          <cell r="R19" t="str">
            <v>宿泊施設</v>
          </cell>
          <cell r="S19">
            <v>95</v>
          </cell>
          <cell r="T19" t="str">
            <v>中</v>
          </cell>
          <cell r="U19" t="str">
            <v>－</v>
          </cell>
          <cell r="V19" t="str">
            <v>－</v>
          </cell>
          <cell r="W19" t="str">
            <v>－</v>
          </cell>
          <cell r="X19" t="str">
            <v>路上2台</v>
          </cell>
        </row>
        <row r="20">
          <cell r="A20">
            <v>92</v>
          </cell>
          <cell r="B20" t="str">
            <v>国家公務員共済組合連合会 名古屋共済会館</v>
          </cell>
          <cell r="D20">
            <v>106</v>
          </cell>
          <cell r="E20">
            <v>146</v>
          </cell>
          <cell r="J20">
            <v>8</v>
          </cell>
          <cell r="R20" t="str">
            <v>宿泊施設</v>
          </cell>
          <cell r="S20">
            <v>48</v>
          </cell>
          <cell r="T20" t="str">
            <v>中</v>
          </cell>
          <cell r="U20" t="str">
            <v>－</v>
          </cell>
          <cell r="V20" t="str">
            <v>－</v>
          </cell>
          <cell r="W20" t="str">
            <v>○</v>
          </cell>
          <cell r="X20" t="str">
            <v>玄関前（屋根付）1台</v>
          </cell>
        </row>
        <row r="21">
          <cell r="A21">
            <v>96</v>
          </cell>
          <cell r="B21" t="str">
            <v>アイリス 愛知</v>
          </cell>
          <cell r="D21">
            <v>72</v>
          </cell>
          <cell r="E21">
            <v>72</v>
          </cell>
          <cell r="J21">
            <v>17</v>
          </cell>
          <cell r="R21" t="str">
            <v>宿泊施設</v>
          </cell>
          <cell r="S21">
            <v>72</v>
          </cell>
          <cell r="T21" t="str">
            <v>中</v>
          </cell>
          <cell r="U21" t="str">
            <v>－</v>
          </cell>
          <cell r="V21" t="str">
            <v>－</v>
          </cell>
          <cell r="W21" t="str">
            <v>－</v>
          </cell>
          <cell r="X21" t="str">
            <v>玄関前（屋根無）1台</v>
          </cell>
        </row>
        <row r="22">
          <cell r="A22">
            <v>105</v>
          </cell>
          <cell r="B22" t="str">
            <v>ANAクラウンプラザホテル　グランコート名古屋</v>
          </cell>
          <cell r="D22">
            <v>245</v>
          </cell>
          <cell r="E22">
            <v>358</v>
          </cell>
          <cell r="J22">
            <v>19</v>
          </cell>
          <cell r="R22" t="str">
            <v>宿泊施設</v>
          </cell>
          <cell r="S22">
            <v>154</v>
          </cell>
          <cell r="T22" t="str">
            <v>－</v>
          </cell>
          <cell r="U22" t="str">
            <v>○</v>
          </cell>
          <cell r="V22" t="str">
            <v>－</v>
          </cell>
          <cell r="W22" t="str">
            <v>－</v>
          </cell>
          <cell r="X22" t="str">
            <v>路上2台</v>
          </cell>
        </row>
        <row r="23">
          <cell r="A23">
            <v>117</v>
          </cell>
          <cell r="B23" t="str">
            <v>ホテルウィングインターナショナル名古屋</v>
          </cell>
          <cell r="D23">
            <v>224</v>
          </cell>
          <cell r="E23">
            <v>231</v>
          </cell>
          <cell r="J23">
            <v>4</v>
          </cell>
          <cell r="R23" t="str">
            <v>宿泊施設</v>
          </cell>
          <cell r="S23">
            <v>40</v>
          </cell>
          <cell r="T23" t="str">
            <v>調査中</v>
          </cell>
          <cell r="U23" t="str">
            <v>－</v>
          </cell>
          <cell r="V23" t="str">
            <v>－</v>
          </cell>
          <cell r="W23" t="str">
            <v>調査中</v>
          </cell>
          <cell r="X23" t="str">
            <v>路上1台</v>
          </cell>
        </row>
        <row r="24">
          <cell r="A24">
            <v>121</v>
          </cell>
          <cell r="B24" t="str">
            <v>名古屋東急ホテル</v>
          </cell>
          <cell r="D24">
            <v>565</v>
          </cell>
          <cell r="E24">
            <v>776</v>
          </cell>
          <cell r="J24">
            <v>15</v>
          </cell>
          <cell r="R24" t="str">
            <v>宿泊施設</v>
          </cell>
          <cell r="S24">
            <v>116</v>
          </cell>
          <cell r="T24" t="str">
            <v>－</v>
          </cell>
          <cell r="U24" t="str">
            <v>○</v>
          </cell>
          <cell r="V24" t="str">
            <v>○(ｼﾞﾑ内等)</v>
          </cell>
          <cell r="W24" t="str">
            <v>－</v>
          </cell>
          <cell r="X24" t="str">
            <v>玄関前（屋根付）2台</v>
          </cell>
        </row>
        <row r="25">
          <cell r="A25">
            <v>127</v>
          </cell>
          <cell r="B25" t="str">
            <v>名古屋クレストンホテル</v>
          </cell>
          <cell r="D25">
            <v>63</v>
          </cell>
          <cell r="E25">
            <v>76</v>
          </cell>
          <cell r="J25">
            <v>6</v>
          </cell>
          <cell r="R25" t="str">
            <v>宿泊施設</v>
          </cell>
          <cell r="S25">
            <v>40</v>
          </cell>
          <cell r="T25" t="str">
            <v>中</v>
          </cell>
          <cell r="U25" t="str">
            <v>－</v>
          </cell>
          <cell r="V25" t="str">
            <v>－</v>
          </cell>
          <cell r="W25" t="str">
            <v>－</v>
          </cell>
          <cell r="X25" t="str">
            <v>路上1台</v>
          </cell>
        </row>
        <row r="26">
          <cell r="A26">
            <v>140</v>
          </cell>
          <cell r="B26" t="str">
            <v>名古屋金山ホテル</v>
          </cell>
          <cell r="D26">
            <v>190</v>
          </cell>
          <cell r="E26">
            <v>208</v>
          </cell>
          <cell r="J26">
            <v>7</v>
          </cell>
          <cell r="R26" t="str">
            <v>宿泊施設</v>
          </cell>
          <cell r="S26">
            <v>150</v>
          </cell>
          <cell r="T26" t="str">
            <v>調査中</v>
          </cell>
          <cell r="U26" t="str">
            <v>－</v>
          </cell>
          <cell r="V26" t="str">
            <v>－</v>
          </cell>
          <cell r="W26" t="str">
            <v>調査中</v>
          </cell>
          <cell r="X26" t="str">
            <v>路上1台</v>
          </cell>
        </row>
        <row r="27">
          <cell r="A27">
            <v>159</v>
          </cell>
          <cell r="B27" t="str">
            <v>ホテルJALシティ名古屋　錦</v>
          </cell>
          <cell r="D27">
            <v>216</v>
          </cell>
          <cell r="E27">
            <v>333</v>
          </cell>
          <cell r="J27">
            <v>0</v>
          </cell>
          <cell r="R27" t="str">
            <v>宿泊施設</v>
          </cell>
          <cell r="S27">
            <v>95</v>
          </cell>
          <cell r="T27" t="str">
            <v>中</v>
          </cell>
          <cell r="U27" t="str">
            <v>－</v>
          </cell>
          <cell r="V27" t="str">
            <v>－</v>
          </cell>
          <cell r="W27" t="str">
            <v>－</v>
          </cell>
          <cell r="X27" t="str">
            <v>路上1台</v>
          </cell>
        </row>
        <row r="28">
          <cell r="A28">
            <v>172</v>
          </cell>
          <cell r="B28" t="str">
            <v>サイプレス　ガーデンホテル</v>
          </cell>
          <cell r="D28">
            <v>204</v>
          </cell>
          <cell r="E28">
            <v>251</v>
          </cell>
          <cell r="J28">
            <v>9</v>
          </cell>
          <cell r="R28" t="str">
            <v>宿泊施設</v>
          </cell>
          <cell r="S28">
            <v>70</v>
          </cell>
          <cell r="T28" t="str">
            <v>中</v>
          </cell>
          <cell r="U28" t="str">
            <v>○</v>
          </cell>
          <cell r="V28" t="str">
            <v>－</v>
          </cell>
          <cell r="W28" t="str">
            <v>○</v>
          </cell>
          <cell r="X28" t="str">
            <v>路上1台</v>
          </cell>
        </row>
        <row r="29">
          <cell r="A29">
            <v>174</v>
          </cell>
          <cell r="B29" t="str">
            <v>熱田の杜ホテル深翠苑</v>
          </cell>
          <cell r="D29">
            <v>36</v>
          </cell>
          <cell r="E29">
            <v>31</v>
          </cell>
          <cell r="J29">
            <v>2</v>
          </cell>
          <cell r="R29" t="str">
            <v>宿泊施設</v>
          </cell>
          <cell r="S29">
            <v>70</v>
          </cell>
          <cell r="T29" t="str">
            <v>調査中</v>
          </cell>
          <cell r="U29" t="str">
            <v>－</v>
          </cell>
          <cell r="V29" t="str">
            <v>－</v>
          </cell>
          <cell r="W29" t="str">
            <v>調査中</v>
          </cell>
          <cell r="X29" t="str">
            <v>専用乗降場所（屋根無）3台</v>
          </cell>
        </row>
        <row r="30">
          <cell r="A30">
            <v>177</v>
          </cell>
          <cell r="B30" t="str">
            <v>邦和セミナープラザ</v>
          </cell>
          <cell r="D30">
            <v>73</v>
          </cell>
          <cell r="E30">
            <v>99</v>
          </cell>
          <cell r="J30">
            <v>20</v>
          </cell>
          <cell r="R30" t="str">
            <v>宿泊施設</v>
          </cell>
          <cell r="S30">
            <v>180</v>
          </cell>
          <cell r="T30" t="str">
            <v>中</v>
          </cell>
          <cell r="U30" t="str">
            <v>○</v>
          </cell>
          <cell r="V30" t="str">
            <v>○</v>
          </cell>
          <cell r="W30" t="str">
            <v>○</v>
          </cell>
          <cell r="X30" t="str">
            <v>路上1台</v>
          </cell>
        </row>
        <row r="31">
          <cell r="A31">
            <v>179</v>
          </cell>
          <cell r="B31" t="str">
            <v>LEGOLAND Japan Hotel</v>
          </cell>
          <cell r="D31">
            <v>252</v>
          </cell>
          <cell r="E31">
            <v>270</v>
          </cell>
          <cell r="J31">
            <v>0</v>
          </cell>
          <cell r="R31" t="str">
            <v>宿泊施設</v>
          </cell>
          <cell r="S31">
            <v>360</v>
          </cell>
          <cell r="T31" t="str">
            <v>調査中</v>
          </cell>
          <cell r="U31" t="str">
            <v>－</v>
          </cell>
          <cell r="V31" t="str">
            <v>－</v>
          </cell>
          <cell r="W31" t="str">
            <v>調査中</v>
          </cell>
          <cell r="X31" t="str">
            <v>玄関前（屋根無）1台</v>
          </cell>
        </row>
        <row r="32">
          <cell r="A32">
            <v>180</v>
          </cell>
          <cell r="B32" t="str">
            <v>名古屋笠寺ホテル</v>
          </cell>
          <cell r="D32">
            <v>179</v>
          </cell>
          <cell r="E32">
            <v>193</v>
          </cell>
          <cell r="J32">
            <v>2</v>
          </cell>
          <cell r="R32" t="str">
            <v>宿泊施設</v>
          </cell>
          <cell r="S32">
            <v>216</v>
          </cell>
          <cell r="T32" t="str">
            <v>中</v>
          </cell>
          <cell r="U32" t="str">
            <v>－</v>
          </cell>
          <cell r="V32" t="str">
            <v>○(ｼﾞﾑ内等)</v>
          </cell>
          <cell r="W32" t="str">
            <v>調査中</v>
          </cell>
          <cell r="X32" t="str">
            <v>玄関前（屋根無）1台</v>
          </cell>
        </row>
        <row r="33">
          <cell r="A33">
            <v>183</v>
          </cell>
          <cell r="B33" t="str">
            <v>天然温泉ホテルリブマックスPREMIUM名古屋丸の内</v>
          </cell>
          <cell r="D33">
            <v>156</v>
          </cell>
          <cell r="E33">
            <v>164</v>
          </cell>
          <cell r="J33">
            <v>0</v>
          </cell>
          <cell r="R33" t="str">
            <v>宿泊施設</v>
          </cell>
          <cell r="S33">
            <v>62</v>
          </cell>
          <cell r="T33" t="str">
            <v>調査中</v>
          </cell>
          <cell r="U33" t="str">
            <v>－</v>
          </cell>
          <cell r="V33" t="str">
            <v>○</v>
          </cell>
          <cell r="W33" t="str">
            <v>調査中</v>
          </cell>
          <cell r="X33" t="str">
            <v>路上1台</v>
          </cell>
        </row>
        <row r="34">
          <cell r="A34">
            <v>194</v>
          </cell>
          <cell r="B34" t="str">
            <v>ホテル東洋イン刈谷</v>
          </cell>
          <cell r="D34">
            <v>142</v>
          </cell>
          <cell r="E34">
            <v>142</v>
          </cell>
          <cell r="J34">
            <v>1</v>
          </cell>
          <cell r="R34" t="str">
            <v>ケータリング</v>
          </cell>
          <cell r="S34">
            <v>40</v>
          </cell>
          <cell r="T34" t="str">
            <v>調査中</v>
          </cell>
          <cell r="U34" t="str">
            <v>－</v>
          </cell>
          <cell r="V34" t="str">
            <v>－</v>
          </cell>
          <cell r="W34" t="str">
            <v>調査中</v>
          </cell>
          <cell r="X34" t="str">
            <v>専用乗降場所（屋根無）1台</v>
          </cell>
        </row>
        <row r="35">
          <cell r="A35">
            <v>195</v>
          </cell>
          <cell r="B35" t="str">
            <v>ロイヤルホテルうお八</v>
          </cell>
          <cell r="D35">
            <v>159</v>
          </cell>
          <cell r="E35">
            <v>216</v>
          </cell>
          <cell r="J35">
            <v>8</v>
          </cell>
          <cell r="R35" t="str">
            <v>宿泊施設</v>
          </cell>
          <cell r="S35">
            <v>40</v>
          </cell>
          <cell r="T35" t="str">
            <v>調査中</v>
          </cell>
          <cell r="U35" t="str">
            <v>－</v>
          </cell>
          <cell r="V35" t="str">
            <v>－</v>
          </cell>
          <cell r="W35" t="str">
            <v>調査中</v>
          </cell>
          <cell r="X35" t="str">
            <v>玄関前（屋根無）1台</v>
          </cell>
        </row>
        <row r="36">
          <cell r="A36">
            <v>196</v>
          </cell>
          <cell r="B36" t="str">
            <v>シティホテルアンティーズ</v>
          </cell>
          <cell r="D36">
            <v>67</v>
          </cell>
          <cell r="E36">
            <v>77</v>
          </cell>
          <cell r="J36">
            <v>2</v>
          </cell>
          <cell r="R36" t="str">
            <v>ケータリング</v>
          </cell>
          <cell r="S36">
            <v>40</v>
          </cell>
          <cell r="T36" t="str">
            <v>調査中</v>
          </cell>
          <cell r="U36" t="str">
            <v>－</v>
          </cell>
          <cell r="V36" t="str">
            <v>－</v>
          </cell>
          <cell r="W36" t="str">
            <v>調査中</v>
          </cell>
          <cell r="X36" t="str">
            <v>専用乗降場所（屋根無）1台</v>
          </cell>
        </row>
        <row r="37">
          <cell r="A37">
            <v>201</v>
          </cell>
          <cell r="B37" t="str">
            <v>全トヨタ労連研修センター　つどいの丘</v>
          </cell>
          <cell r="D37">
            <v>69</v>
          </cell>
          <cell r="E37">
            <v>106</v>
          </cell>
          <cell r="J37">
            <v>19</v>
          </cell>
          <cell r="R37" t="str">
            <v>宿泊施設</v>
          </cell>
          <cell r="S37">
            <v>106</v>
          </cell>
          <cell r="T37" t="str">
            <v>調査中</v>
          </cell>
          <cell r="U37" t="str">
            <v>－</v>
          </cell>
          <cell r="V37" t="str">
            <v>○</v>
          </cell>
          <cell r="W37" t="str">
            <v>○</v>
          </cell>
          <cell r="X37" t="str">
            <v>玄関前（屋根付）3台</v>
          </cell>
        </row>
        <row r="38">
          <cell r="A38">
            <v>202</v>
          </cell>
          <cell r="B38" t="str">
            <v>ビジネスホテルこさなぎ</v>
          </cell>
          <cell r="D38">
            <v>56</v>
          </cell>
          <cell r="E38">
            <v>50</v>
          </cell>
          <cell r="J38">
            <v>1</v>
          </cell>
          <cell r="R38" t="str">
            <v>宿泊施設</v>
          </cell>
          <cell r="S38">
            <v>45</v>
          </cell>
          <cell r="T38" t="str">
            <v>調査中</v>
          </cell>
          <cell r="U38" t="str">
            <v>○</v>
          </cell>
          <cell r="V38" t="str">
            <v>－</v>
          </cell>
          <cell r="W38" t="str">
            <v>調査中</v>
          </cell>
          <cell r="X38" t="str">
            <v>専用乗降場所（屋根無）2台</v>
          </cell>
        </row>
        <row r="39">
          <cell r="A39">
            <v>206</v>
          </cell>
          <cell r="B39" t="str">
            <v>ホテルトヨタキャッスル</v>
          </cell>
          <cell r="D39">
            <v>151</v>
          </cell>
          <cell r="E39">
            <v>191</v>
          </cell>
          <cell r="J39">
            <v>6</v>
          </cell>
          <cell r="R39" t="str">
            <v>宿泊施設</v>
          </cell>
          <cell r="S39">
            <v>60</v>
          </cell>
          <cell r="T39" t="str">
            <v>－</v>
          </cell>
          <cell r="U39" t="str">
            <v>○</v>
          </cell>
          <cell r="V39" t="str">
            <v>－</v>
          </cell>
          <cell r="W39" t="str">
            <v>－</v>
          </cell>
          <cell r="X39" t="str">
            <v>玄関前（屋根付）1台</v>
          </cell>
        </row>
        <row r="40">
          <cell r="A40">
            <v>207</v>
          </cell>
          <cell r="B40" t="str">
            <v>豊田プレステージホテル</v>
          </cell>
          <cell r="D40">
            <v>115</v>
          </cell>
          <cell r="E40">
            <v>119</v>
          </cell>
          <cell r="J40">
            <v>2</v>
          </cell>
          <cell r="R40" t="str">
            <v>宿泊施設</v>
          </cell>
          <cell r="S40">
            <v>40</v>
          </cell>
          <cell r="T40" t="str">
            <v>調査中</v>
          </cell>
          <cell r="U40" t="str">
            <v>－</v>
          </cell>
          <cell r="V40" t="str">
            <v>－</v>
          </cell>
          <cell r="W40" t="str">
            <v>調査中</v>
          </cell>
          <cell r="X40" t="str">
            <v>路上1台</v>
          </cell>
        </row>
        <row r="41">
          <cell r="A41">
            <v>210</v>
          </cell>
          <cell r="B41" t="str">
            <v>名鉄トヨタホテル</v>
          </cell>
          <cell r="D41">
            <v>99</v>
          </cell>
          <cell r="E41">
            <v>128</v>
          </cell>
          <cell r="J41">
            <v>6</v>
          </cell>
          <cell r="R41" t="str">
            <v>宿泊施設</v>
          </cell>
          <cell r="S41">
            <v>76</v>
          </cell>
          <cell r="T41" t="str">
            <v>－</v>
          </cell>
          <cell r="U41" t="str">
            <v>－</v>
          </cell>
          <cell r="V41" t="str">
            <v>－</v>
          </cell>
          <cell r="W41" t="str">
            <v>－</v>
          </cell>
          <cell r="X41" t="str">
            <v>玄関前（屋根無）2台</v>
          </cell>
        </row>
        <row r="42">
          <cell r="A42">
            <v>211</v>
          </cell>
          <cell r="B42" t="str">
            <v>ホテル松風</v>
          </cell>
          <cell r="D42">
            <v>68</v>
          </cell>
          <cell r="E42">
            <v>59</v>
          </cell>
          <cell r="J42">
            <v>4</v>
          </cell>
          <cell r="R42" t="str">
            <v>宿泊施設</v>
          </cell>
          <cell r="S42">
            <v>70</v>
          </cell>
          <cell r="T42" t="str">
            <v>中</v>
          </cell>
          <cell r="U42" t="str">
            <v>－</v>
          </cell>
          <cell r="V42" t="str">
            <v>－</v>
          </cell>
          <cell r="W42" t="str">
            <v>調査中</v>
          </cell>
          <cell r="X42" t="str">
            <v>専用乗降場所（屋根無）2台</v>
          </cell>
        </row>
        <row r="43">
          <cell r="A43">
            <v>221</v>
          </cell>
          <cell r="B43" t="str">
            <v>ホテルグランドティアラ南名古屋</v>
          </cell>
          <cell r="D43">
            <v>108</v>
          </cell>
          <cell r="E43">
            <v>162</v>
          </cell>
          <cell r="J43">
            <v>11</v>
          </cell>
          <cell r="R43" t="str">
            <v>宿泊施設</v>
          </cell>
          <cell r="S43">
            <v>40</v>
          </cell>
          <cell r="T43" t="str">
            <v>中</v>
          </cell>
          <cell r="U43" t="str">
            <v>－</v>
          </cell>
          <cell r="V43" t="str">
            <v>○</v>
          </cell>
          <cell r="W43" t="str">
            <v>○</v>
          </cell>
          <cell r="X43" t="str">
            <v>玄関前（屋根無）2台</v>
          </cell>
        </row>
        <row r="44">
          <cell r="A44">
            <v>223</v>
          </cell>
          <cell r="B44" t="str">
            <v>天然温泉　三州の湯　ドーミーイン　EXPRESS　三河安城</v>
          </cell>
          <cell r="D44">
            <v>128</v>
          </cell>
          <cell r="E44">
            <v>142</v>
          </cell>
          <cell r="J44">
            <v>0</v>
          </cell>
          <cell r="R44" t="str">
            <v>ケータリング</v>
          </cell>
          <cell r="S44">
            <v>40</v>
          </cell>
          <cell r="T44" t="str">
            <v>調査中</v>
          </cell>
          <cell r="U44" t="str">
            <v>－</v>
          </cell>
          <cell r="V44" t="str">
            <v>○</v>
          </cell>
          <cell r="W44" t="str">
            <v>○</v>
          </cell>
          <cell r="X44" t="str">
            <v>専用乗降場所（屋根無）1台</v>
          </cell>
        </row>
        <row r="45">
          <cell r="A45">
            <v>226</v>
          </cell>
          <cell r="B45" t="str">
            <v>ホテルルートイン知立</v>
          </cell>
          <cell r="D45">
            <v>158</v>
          </cell>
          <cell r="E45">
            <v>158</v>
          </cell>
          <cell r="J45">
            <v>0</v>
          </cell>
          <cell r="R45" t="str">
            <v>宿泊施設</v>
          </cell>
          <cell r="S45">
            <v>62</v>
          </cell>
          <cell r="T45" t="str">
            <v>調査中</v>
          </cell>
          <cell r="U45" t="str">
            <v>－</v>
          </cell>
          <cell r="V45" t="str">
            <v>－</v>
          </cell>
          <cell r="W45" t="str">
            <v>－</v>
          </cell>
          <cell r="X45" t="str">
            <v>専用乗降場所（屋根無）2台</v>
          </cell>
        </row>
        <row r="46">
          <cell r="A46">
            <v>227</v>
          </cell>
          <cell r="B46" t="str">
            <v>ホテルクラウンパレス知立</v>
          </cell>
          <cell r="D46">
            <v>105</v>
          </cell>
          <cell r="E46">
            <v>126</v>
          </cell>
          <cell r="J46">
            <v>9</v>
          </cell>
          <cell r="R46" t="str">
            <v>宿泊施設</v>
          </cell>
          <cell r="S46">
            <v>70</v>
          </cell>
          <cell r="T46" t="str">
            <v>低</v>
          </cell>
          <cell r="U46" t="str">
            <v>－</v>
          </cell>
          <cell r="V46" t="str">
            <v>－</v>
          </cell>
          <cell r="W46" t="str">
            <v>－</v>
          </cell>
          <cell r="X46" t="str">
            <v>玄関前（屋根無）1台</v>
          </cell>
        </row>
        <row r="47">
          <cell r="A47">
            <v>229</v>
          </cell>
          <cell r="B47" t="str">
            <v>岡崎オーワホテル</v>
          </cell>
          <cell r="D47">
            <v>107</v>
          </cell>
          <cell r="E47">
            <v>119</v>
          </cell>
          <cell r="J47">
            <v>2</v>
          </cell>
          <cell r="R47" t="str">
            <v>宿泊施設</v>
          </cell>
          <cell r="S47">
            <v>50</v>
          </cell>
          <cell r="T47" t="str">
            <v>中</v>
          </cell>
          <cell r="U47" t="str">
            <v>－</v>
          </cell>
          <cell r="V47" t="str">
            <v>－</v>
          </cell>
          <cell r="W47" t="str">
            <v>－</v>
          </cell>
          <cell r="X47" t="str">
            <v>専用乗降場所（屋根無）3台</v>
          </cell>
        </row>
        <row r="48">
          <cell r="A48">
            <v>231</v>
          </cell>
          <cell r="B48" t="str">
            <v>グランドイン東岡崎</v>
          </cell>
          <cell r="D48">
            <v>102</v>
          </cell>
          <cell r="E48">
            <v>125</v>
          </cell>
          <cell r="J48">
            <v>1</v>
          </cell>
          <cell r="R48" t="str">
            <v>ケータリング</v>
          </cell>
          <cell r="S48">
            <v>28</v>
          </cell>
          <cell r="T48" t="str">
            <v>中</v>
          </cell>
          <cell r="U48" t="str">
            <v>－</v>
          </cell>
          <cell r="V48" t="str">
            <v>－</v>
          </cell>
          <cell r="W48" t="str">
            <v>調査中</v>
          </cell>
          <cell r="X48" t="str">
            <v>付近に乗降場無し（東岡崎駅前ロータリー）</v>
          </cell>
        </row>
        <row r="49">
          <cell r="A49">
            <v>238</v>
          </cell>
          <cell r="B49" t="str">
            <v>岡崎ニューグランドホテル</v>
          </cell>
          <cell r="D49">
            <v>90</v>
          </cell>
          <cell r="E49">
            <v>94</v>
          </cell>
          <cell r="J49">
            <v>12</v>
          </cell>
          <cell r="R49" t="str">
            <v>宿泊施設</v>
          </cell>
          <cell r="S49">
            <v>60</v>
          </cell>
          <cell r="T49" t="str">
            <v>中</v>
          </cell>
          <cell r="U49" t="str">
            <v>－</v>
          </cell>
          <cell r="V49" t="str">
            <v>ﾐｽﾄｻｳﾅ</v>
          </cell>
          <cell r="W49" t="str">
            <v>－</v>
          </cell>
          <cell r="X49" t="str">
            <v>玄関前（屋根無）1台</v>
          </cell>
        </row>
        <row r="50">
          <cell r="A50">
            <v>239</v>
          </cell>
          <cell r="B50" t="str">
            <v>アクセスイン西尾</v>
          </cell>
          <cell r="D50">
            <v>87</v>
          </cell>
          <cell r="E50">
            <v>87</v>
          </cell>
          <cell r="J50">
            <v>0</v>
          </cell>
          <cell r="R50" t="str">
            <v>宿泊施設</v>
          </cell>
          <cell r="S50">
            <v>80</v>
          </cell>
          <cell r="T50" t="str">
            <v>高</v>
          </cell>
          <cell r="U50" t="str">
            <v>－</v>
          </cell>
          <cell r="V50" t="str">
            <v>－</v>
          </cell>
          <cell r="W50" t="str">
            <v>調査中</v>
          </cell>
          <cell r="X50" t="str">
            <v>専用乗降場所（屋根無）1台</v>
          </cell>
        </row>
        <row r="51">
          <cell r="A51">
            <v>240</v>
          </cell>
          <cell r="B51" t="str">
            <v>株式会社竜宮ホテル</v>
          </cell>
          <cell r="D51">
            <v>48</v>
          </cell>
          <cell r="E51">
            <v>66</v>
          </cell>
          <cell r="J51">
            <v>5</v>
          </cell>
          <cell r="R51" t="str">
            <v>宿泊施設</v>
          </cell>
          <cell r="S51">
            <v>64</v>
          </cell>
          <cell r="T51" t="str">
            <v>調査中</v>
          </cell>
          <cell r="U51" t="str">
            <v>－</v>
          </cell>
          <cell r="V51" t="str">
            <v>－</v>
          </cell>
          <cell r="W51" t="str">
            <v>－</v>
          </cell>
          <cell r="X51" t="str">
            <v>専用乗降場所（屋根無）5台</v>
          </cell>
        </row>
        <row r="52">
          <cell r="A52">
            <v>241</v>
          </cell>
          <cell r="B52" t="str">
            <v>株式会社三河湾リゾート・リンクス</v>
          </cell>
          <cell r="D52">
            <v>152</v>
          </cell>
          <cell r="E52">
            <v>362</v>
          </cell>
          <cell r="J52">
            <v>10</v>
          </cell>
          <cell r="R52" t="str">
            <v>宿泊施設</v>
          </cell>
          <cell r="S52">
            <v>120</v>
          </cell>
          <cell r="T52" t="str">
            <v>－</v>
          </cell>
          <cell r="U52" t="str">
            <v>－</v>
          </cell>
          <cell r="V52" t="str">
            <v>○</v>
          </cell>
          <cell r="W52" t="str">
            <v>○</v>
          </cell>
          <cell r="X52" t="str">
            <v>玄関前（屋根付）1台</v>
          </cell>
        </row>
        <row r="53">
          <cell r="A53">
            <v>243</v>
          </cell>
          <cell r="B53" t="str">
            <v>三河湾ヒルズ・ホテル</v>
          </cell>
          <cell r="D53">
            <v>61</v>
          </cell>
          <cell r="E53">
            <v>89</v>
          </cell>
          <cell r="J53">
            <v>9</v>
          </cell>
          <cell r="R53" t="str">
            <v>宿泊施設</v>
          </cell>
          <cell r="S53">
            <v>104</v>
          </cell>
          <cell r="T53" t="str">
            <v>中</v>
          </cell>
          <cell r="U53" t="str">
            <v>－</v>
          </cell>
          <cell r="V53" t="str">
            <v>○</v>
          </cell>
          <cell r="W53" t="str">
            <v>調査中</v>
          </cell>
          <cell r="X53" t="str">
            <v>玄関前（屋根無）1台</v>
          </cell>
        </row>
        <row r="54">
          <cell r="A54">
            <v>245</v>
          </cell>
          <cell r="B54" t="str">
            <v>変なホテル　ラグーナテンボス</v>
          </cell>
          <cell r="D54">
            <v>100</v>
          </cell>
          <cell r="E54">
            <v>200</v>
          </cell>
          <cell r="J54">
            <v>0</v>
          </cell>
          <cell r="R54" t="str">
            <v>宿泊施設</v>
          </cell>
          <cell r="S54">
            <v>216</v>
          </cell>
          <cell r="T54" t="str">
            <v>中</v>
          </cell>
          <cell r="U54" t="str">
            <v>－</v>
          </cell>
          <cell r="V54" t="str">
            <v>－</v>
          </cell>
          <cell r="W54" t="str">
            <v>○</v>
          </cell>
          <cell r="X54" t="str">
            <v>玄関前（屋根無）1台</v>
          </cell>
        </row>
        <row r="55">
          <cell r="A55">
            <v>247</v>
          </cell>
          <cell r="B55" t="str">
            <v>株式会社鈴岡</v>
          </cell>
          <cell r="D55">
            <v>50</v>
          </cell>
          <cell r="E55">
            <v>81</v>
          </cell>
          <cell r="J55">
            <v>16</v>
          </cell>
          <cell r="R55" t="str">
            <v>宿泊施設</v>
          </cell>
          <cell r="S55">
            <v>150</v>
          </cell>
          <cell r="T55" t="str">
            <v>中</v>
          </cell>
          <cell r="U55" t="str">
            <v>－</v>
          </cell>
          <cell r="V55" t="str">
            <v>－</v>
          </cell>
          <cell r="W55" t="str">
            <v>－</v>
          </cell>
          <cell r="X55" t="str">
            <v>専用乗降場所（屋根無）2台</v>
          </cell>
        </row>
        <row r="56">
          <cell r="A56">
            <v>249</v>
          </cell>
          <cell r="B56" t="str">
            <v>ホテル明山荘</v>
          </cell>
          <cell r="D56">
            <v>101</v>
          </cell>
          <cell r="E56">
            <v>245</v>
          </cell>
          <cell r="J56">
            <v>20</v>
          </cell>
          <cell r="R56" t="str">
            <v>宿泊施設</v>
          </cell>
          <cell r="S56">
            <v>100</v>
          </cell>
          <cell r="T56" t="str">
            <v>中</v>
          </cell>
          <cell r="U56" t="str">
            <v>－</v>
          </cell>
          <cell r="V56" t="str">
            <v>○</v>
          </cell>
          <cell r="W56" t="str">
            <v>○</v>
          </cell>
          <cell r="X56" t="str">
            <v>玄関前（屋根付）3台</v>
          </cell>
        </row>
        <row r="57">
          <cell r="A57">
            <v>250</v>
          </cell>
          <cell r="B57" t="str">
            <v>松風園</v>
          </cell>
          <cell r="D57">
            <v>50</v>
          </cell>
          <cell r="E57">
            <v>100</v>
          </cell>
          <cell r="J57">
            <v>16</v>
          </cell>
          <cell r="R57" t="str">
            <v>宿泊施設</v>
          </cell>
          <cell r="S57">
            <v>200</v>
          </cell>
          <cell r="T57" t="str">
            <v>中</v>
          </cell>
          <cell r="U57" t="str">
            <v>－</v>
          </cell>
          <cell r="V57" t="str">
            <v>－</v>
          </cell>
          <cell r="W57" t="str">
            <v>－</v>
          </cell>
          <cell r="X57" t="str">
            <v>玄関前（屋根無）2台</v>
          </cell>
        </row>
        <row r="58">
          <cell r="A58">
            <v>251</v>
          </cell>
          <cell r="B58" t="str">
            <v>株式会社三谷温泉ひがきホテル</v>
          </cell>
          <cell r="D58">
            <v>62</v>
          </cell>
          <cell r="E58">
            <v>145</v>
          </cell>
          <cell r="J58">
            <v>13</v>
          </cell>
          <cell r="R58" t="str">
            <v>宿泊施設</v>
          </cell>
          <cell r="S58">
            <v>140</v>
          </cell>
          <cell r="T58" t="str">
            <v>中</v>
          </cell>
          <cell r="U58" t="str">
            <v>－</v>
          </cell>
          <cell r="V58" t="str">
            <v>－</v>
          </cell>
          <cell r="W58" t="str">
            <v>－</v>
          </cell>
          <cell r="X58" t="str">
            <v>玄関前（屋根無）1台</v>
          </cell>
        </row>
        <row r="59">
          <cell r="A59">
            <v>252</v>
          </cell>
          <cell r="B59" t="str">
            <v>株式会社平野屋</v>
          </cell>
          <cell r="D59">
            <v>70</v>
          </cell>
          <cell r="E59">
            <v>227</v>
          </cell>
          <cell r="J59">
            <v>14</v>
          </cell>
          <cell r="R59" t="str">
            <v>宿泊施設</v>
          </cell>
          <cell r="S59">
            <v>125</v>
          </cell>
          <cell r="T59" t="str">
            <v>中</v>
          </cell>
          <cell r="U59" t="str">
            <v>－</v>
          </cell>
          <cell r="V59" t="str">
            <v>○</v>
          </cell>
          <cell r="W59" t="str">
            <v>－</v>
          </cell>
          <cell r="X59" t="str">
            <v>玄関前（屋根付）2台</v>
          </cell>
        </row>
        <row r="60">
          <cell r="A60">
            <v>253</v>
          </cell>
          <cell r="B60" t="str">
            <v>蒲郡ホテル</v>
          </cell>
          <cell r="D60">
            <v>111</v>
          </cell>
          <cell r="E60">
            <v>176</v>
          </cell>
          <cell r="J60">
            <v>2</v>
          </cell>
          <cell r="R60" t="str">
            <v>ケータリング</v>
          </cell>
          <cell r="S60">
            <v>64</v>
          </cell>
          <cell r="T60" t="str">
            <v>中</v>
          </cell>
          <cell r="U60" t="str">
            <v>－</v>
          </cell>
          <cell r="V60" t="str">
            <v>－</v>
          </cell>
          <cell r="W60" t="str">
            <v>○</v>
          </cell>
          <cell r="X60" t="str">
            <v>玄関前（屋根無）1台</v>
          </cell>
        </row>
        <row r="61">
          <cell r="A61">
            <v>256</v>
          </cell>
          <cell r="B61" t="str">
            <v>ホテル東海園</v>
          </cell>
          <cell r="D61">
            <v>82</v>
          </cell>
          <cell r="E61">
            <v>269</v>
          </cell>
          <cell r="J61">
            <v>16</v>
          </cell>
          <cell r="R61" t="str">
            <v>宿泊施設</v>
          </cell>
          <cell r="S61">
            <v>120</v>
          </cell>
          <cell r="T61" t="str">
            <v>調査中</v>
          </cell>
          <cell r="U61" t="str">
            <v>－</v>
          </cell>
          <cell r="V61" t="str">
            <v>○</v>
          </cell>
          <cell r="W61" t="str">
            <v>調査中</v>
          </cell>
          <cell r="X61" t="str">
            <v>専用乗降場所（屋根無）5台</v>
          </cell>
        </row>
        <row r="62">
          <cell r="A62">
            <v>257</v>
          </cell>
          <cell r="B62" t="str">
            <v>和のリゾートはづ</v>
          </cell>
          <cell r="D62">
            <v>41</v>
          </cell>
          <cell r="E62">
            <v>82</v>
          </cell>
          <cell r="J62">
            <v>8</v>
          </cell>
          <cell r="R62" t="str">
            <v>宿泊施設</v>
          </cell>
          <cell r="S62">
            <v>96</v>
          </cell>
          <cell r="T62" t="str">
            <v>中</v>
          </cell>
          <cell r="U62" t="str">
            <v>－</v>
          </cell>
          <cell r="V62" t="str">
            <v>－</v>
          </cell>
          <cell r="W62" t="str">
            <v>－</v>
          </cell>
          <cell r="X62" t="str">
            <v>玄関前（屋根無）2台</v>
          </cell>
        </row>
        <row r="63">
          <cell r="A63">
            <v>260</v>
          </cell>
          <cell r="B63" t="str">
            <v>蒲郡クラシックホテル</v>
          </cell>
          <cell r="D63">
            <v>27</v>
          </cell>
          <cell r="E63">
            <v>53</v>
          </cell>
          <cell r="J63">
            <v>12</v>
          </cell>
          <cell r="R63" t="str">
            <v>宿泊施設</v>
          </cell>
          <cell r="S63">
            <v>40</v>
          </cell>
          <cell r="T63" t="str">
            <v>中</v>
          </cell>
          <cell r="U63" t="str">
            <v>－</v>
          </cell>
          <cell r="V63" t="str">
            <v>－</v>
          </cell>
          <cell r="W63" t="str">
            <v>－</v>
          </cell>
          <cell r="X63" t="str">
            <v>専用乗降場所（屋根無）2台</v>
          </cell>
        </row>
        <row r="64">
          <cell r="A64">
            <v>261</v>
          </cell>
          <cell r="B64" t="str">
            <v>ホテル竹島</v>
          </cell>
          <cell r="D64">
            <v>82</v>
          </cell>
          <cell r="E64">
            <v>191</v>
          </cell>
          <cell r="J64">
            <v>18</v>
          </cell>
          <cell r="R64" t="str">
            <v>宿泊施設</v>
          </cell>
          <cell r="S64">
            <v>200</v>
          </cell>
          <cell r="T64" t="str">
            <v>中</v>
          </cell>
          <cell r="U64" t="str">
            <v>－</v>
          </cell>
          <cell r="V64" t="str">
            <v>－</v>
          </cell>
          <cell r="W64" t="str">
            <v>－</v>
          </cell>
          <cell r="X64" t="str">
            <v>玄関前（屋根無）4台</v>
          </cell>
        </row>
        <row r="65">
          <cell r="A65">
            <v>262</v>
          </cell>
          <cell r="B65" t="str">
            <v>田原シティホテル</v>
          </cell>
          <cell r="D65">
            <v>89</v>
          </cell>
          <cell r="E65">
            <v>93</v>
          </cell>
          <cell r="J65">
            <v>0</v>
          </cell>
          <cell r="R65" t="str">
            <v>宿泊施設</v>
          </cell>
          <cell r="S65">
            <v>45</v>
          </cell>
          <cell r="T65" t="str">
            <v>調査中</v>
          </cell>
          <cell r="U65" t="str">
            <v>－</v>
          </cell>
          <cell r="V65" t="str">
            <v>－</v>
          </cell>
          <cell r="W65" t="str">
            <v>調査中</v>
          </cell>
          <cell r="X65" t="str">
            <v>専用乗降場所（屋根無）1台</v>
          </cell>
        </row>
        <row r="66">
          <cell r="A66">
            <v>263</v>
          </cell>
          <cell r="B66" t="str">
            <v>休暇村伊良湖</v>
          </cell>
          <cell r="D66">
            <v>57</v>
          </cell>
          <cell r="E66">
            <v>29</v>
          </cell>
          <cell r="J66">
            <v>4</v>
          </cell>
          <cell r="R66" t="str">
            <v>宿泊施設</v>
          </cell>
          <cell r="S66">
            <v>200</v>
          </cell>
          <cell r="T66" t="str">
            <v>調査中</v>
          </cell>
          <cell r="U66" t="str">
            <v>－</v>
          </cell>
          <cell r="V66" t="str">
            <v>－</v>
          </cell>
          <cell r="W66" t="str">
            <v>調査中</v>
          </cell>
          <cell r="X66" t="str">
            <v>玄関前（屋根無）5台</v>
          </cell>
        </row>
        <row r="67">
          <cell r="A67">
            <v>266</v>
          </cell>
          <cell r="B67" t="str">
            <v>ウインドシティホテル</v>
          </cell>
          <cell r="D67">
            <v>105</v>
          </cell>
          <cell r="E67">
            <v>106</v>
          </cell>
          <cell r="J67">
            <v>1</v>
          </cell>
          <cell r="R67" t="str">
            <v>宿泊施設</v>
          </cell>
          <cell r="S67">
            <v>42</v>
          </cell>
          <cell r="T67" t="str">
            <v>調査中</v>
          </cell>
          <cell r="U67" t="str">
            <v>－</v>
          </cell>
          <cell r="V67" t="str">
            <v>－</v>
          </cell>
          <cell r="W67" t="str">
            <v>調査中</v>
          </cell>
          <cell r="X67" t="str">
            <v>玄関前（屋根無）1台</v>
          </cell>
        </row>
        <row r="68">
          <cell r="A68">
            <v>267</v>
          </cell>
          <cell r="B68" t="str">
            <v>キャッスルイン豊川</v>
          </cell>
          <cell r="D68">
            <v>100</v>
          </cell>
          <cell r="E68">
            <v>111</v>
          </cell>
          <cell r="J68">
            <v>2</v>
          </cell>
          <cell r="R68" t="str">
            <v>宿泊施設</v>
          </cell>
          <cell r="S68">
            <v>157</v>
          </cell>
          <cell r="T68" t="str">
            <v>調査中</v>
          </cell>
          <cell r="U68" t="str">
            <v>－</v>
          </cell>
          <cell r="V68" t="str">
            <v>○(ｼﾞﾑ内等)</v>
          </cell>
          <cell r="W68" t="str">
            <v>調査中</v>
          </cell>
          <cell r="X68" t="str">
            <v>専用乗降場所（屋根無）2台</v>
          </cell>
        </row>
        <row r="69">
          <cell r="A69">
            <v>268</v>
          </cell>
          <cell r="B69" t="str">
            <v>豊川グランドホテル</v>
          </cell>
          <cell r="D69">
            <v>58</v>
          </cell>
          <cell r="E69">
            <v>47</v>
          </cell>
          <cell r="J69">
            <v>4</v>
          </cell>
          <cell r="R69" t="str">
            <v>ケータリング</v>
          </cell>
          <cell r="S69">
            <v>80</v>
          </cell>
          <cell r="T69" t="str">
            <v>調査中</v>
          </cell>
          <cell r="U69" t="str">
            <v>－</v>
          </cell>
          <cell r="V69" t="str">
            <v>－</v>
          </cell>
          <cell r="W69" t="str">
            <v>調査中</v>
          </cell>
          <cell r="X69" t="str">
            <v>専用乗降場所（屋根無）1台</v>
          </cell>
        </row>
        <row r="70">
          <cell r="A70">
            <v>269</v>
          </cell>
          <cell r="B70" t="str">
            <v>ホテルルートイン豊川インター</v>
          </cell>
          <cell r="D70">
            <v>162</v>
          </cell>
          <cell r="E70">
            <v>162</v>
          </cell>
          <cell r="J70">
            <v>0</v>
          </cell>
          <cell r="R70" t="str">
            <v>宿泊施設</v>
          </cell>
          <cell r="S70">
            <v>60</v>
          </cell>
          <cell r="T70" t="str">
            <v>高</v>
          </cell>
          <cell r="U70" t="str">
            <v>－</v>
          </cell>
          <cell r="V70" t="str">
            <v>－</v>
          </cell>
          <cell r="W70" t="str">
            <v>調査中</v>
          </cell>
          <cell r="X70" t="str">
            <v>玄関前（屋根付）2台</v>
          </cell>
        </row>
        <row r="71">
          <cell r="A71">
            <v>273</v>
          </cell>
          <cell r="B71" t="str">
            <v>豊川ビジネスホテル</v>
          </cell>
          <cell r="D71">
            <v>71</v>
          </cell>
          <cell r="E71">
            <v>63</v>
          </cell>
          <cell r="J71">
            <v>1</v>
          </cell>
          <cell r="R71" t="str">
            <v>ケータリング</v>
          </cell>
          <cell r="S71">
            <v>18</v>
          </cell>
          <cell r="T71" t="str">
            <v>調査中</v>
          </cell>
          <cell r="U71" t="str">
            <v>－</v>
          </cell>
          <cell r="V71" t="str">
            <v>－</v>
          </cell>
          <cell r="W71" t="str">
            <v>調査中</v>
          </cell>
          <cell r="X71" t="str">
            <v>専用乗降場所（屋根無）2台</v>
          </cell>
        </row>
        <row r="72">
          <cell r="A72">
            <v>275</v>
          </cell>
          <cell r="B72" t="str">
            <v>シーパレスリゾート</v>
          </cell>
          <cell r="D72">
            <v>54</v>
          </cell>
          <cell r="E72">
            <v>180</v>
          </cell>
          <cell r="J72">
            <v>8</v>
          </cell>
          <cell r="R72" t="str">
            <v>宿泊施設</v>
          </cell>
          <cell r="S72">
            <v>130</v>
          </cell>
          <cell r="T72" t="str">
            <v>中</v>
          </cell>
          <cell r="U72" t="str">
            <v>－</v>
          </cell>
          <cell r="V72" t="str">
            <v>○</v>
          </cell>
          <cell r="W72" t="str">
            <v>－</v>
          </cell>
          <cell r="X72" t="str">
            <v>専用乗降場所（屋根無）6台</v>
          </cell>
        </row>
        <row r="73">
          <cell r="A73">
            <v>276</v>
          </cell>
          <cell r="B73" t="str">
            <v>ニュー東洋ホテル2</v>
          </cell>
          <cell r="D73">
            <v>87</v>
          </cell>
          <cell r="E73">
            <v>85</v>
          </cell>
          <cell r="J73">
            <v>2</v>
          </cell>
          <cell r="R73" t="str">
            <v>宿泊施設</v>
          </cell>
          <cell r="S73">
            <v>23</v>
          </cell>
          <cell r="T73" t="str">
            <v>調査中</v>
          </cell>
          <cell r="U73" t="str">
            <v>－</v>
          </cell>
          <cell r="V73" t="str">
            <v>－</v>
          </cell>
          <cell r="W73" t="str">
            <v>調査中</v>
          </cell>
          <cell r="X73" t="str">
            <v>専用乗降場所（屋根無）2台</v>
          </cell>
        </row>
        <row r="74">
          <cell r="A74">
            <v>278</v>
          </cell>
          <cell r="B74" t="str">
            <v>ホテルアソシア豊橋</v>
          </cell>
          <cell r="D74">
            <v>222</v>
          </cell>
          <cell r="E74">
            <v>277</v>
          </cell>
          <cell r="J74">
            <v>9</v>
          </cell>
          <cell r="R74" t="str">
            <v>宿泊施設</v>
          </cell>
          <cell r="S74">
            <v>84</v>
          </cell>
          <cell r="T74" t="str">
            <v>低</v>
          </cell>
          <cell r="U74" t="str">
            <v>－</v>
          </cell>
          <cell r="V74" t="str">
            <v>－</v>
          </cell>
          <cell r="W74" t="str">
            <v>－</v>
          </cell>
          <cell r="X74" t="str">
            <v>玄関前（屋根付）1台</v>
          </cell>
        </row>
        <row r="75">
          <cell r="A75">
            <v>281</v>
          </cell>
          <cell r="B75" t="str">
            <v>ロワジールホテル豊橋</v>
          </cell>
          <cell r="D75">
            <v>377</v>
          </cell>
          <cell r="E75">
            <v>643</v>
          </cell>
          <cell r="J75">
            <v>24</v>
          </cell>
          <cell r="R75" t="str">
            <v>宿泊施設</v>
          </cell>
          <cell r="S75">
            <v>122</v>
          </cell>
          <cell r="T75" t="str">
            <v>低</v>
          </cell>
          <cell r="U75" t="str">
            <v>○</v>
          </cell>
          <cell r="V75" t="str">
            <v>○(ｼﾞﾑ内等)</v>
          </cell>
          <cell r="W75" t="str">
            <v>○</v>
          </cell>
          <cell r="X75" t="str">
            <v>玄関前（屋根付）2台</v>
          </cell>
        </row>
        <row r="76">
          <cell r="A76">
            <v>282</v>
          </cell>
          <cell r="B76" t="str">
            <v>ホテルアークリッシュ豊橋</v>
          </cell>
          <cell r="D76">
            <v>91</v>
          </cell>
          <cell r="E76">
            <v>109</v>
          </cell>
          <cell r="J76">
            <v>8</v>
          </cell>
          <cell r="R76" t="str">
            <v>宿泊施設</v>
          </cell>
          <cell r="S76">
            <v>38</v>
          </cell>
          <cell r="T76" t="str">
            <v>中</v>
          </cell>
          <cell r="U76" t="str">
            <v>○</v>
          </cell>
          <cell r="V76" t="str">
            <v>－</v>
          </cell>
          <cell r="W76" t="str">
            <v>調査中</v>
          </cell>
          <cell r="X76" t="str">
            <v>路上1台</v>
          </cell>
        </row>
        <row r="77">
          <cell r="A77">
            <v>292</v>
          </cell>
          <cell r="B77" t="str">
            <v>マーレホテル東海</v>
          </cell>
          <cell r="D77">
            <v>113</v>
          </cell>
          <cell r="E77">
            <v>113</v>
          </cell>
          <cell r="J77">
            <v>0</v>
          </cell>
          <cell r="R77" t="str">
            <v>宿泊施設</v>
          </cell>
          <cell r="S77">
            <v>40</v>
          </cell>
          <cell r="T77" t="str">
            <v>中</v>
          </cell>
          <cell r="U77" t="str">
            <v>－</v>
          </cell>
          <cell r="V77" t="str">
            <v>ﾐｽﾄｻｳﾅ</v>
          </cell>
          <cell r="W77" t="str">
            <v>○</v>
          </cell>
          <cell r="X77" t="str">
            <v>専用乗降場所（屋根無）2台</v>
          </cell>
        </row>
        <row r="78">
          <cell r="A78">
            <v>293</v>
          </cell>
          <cell r="B78" t="str">
            <v>ザ・カトーホテル</v>
          </cell>
          <cell r="D78">
            <v>113</v>
          </cell>
          <cell r="E78">
            <v>97</v>
          </cell>
          <cell r="J78">
            <v>0</v>
          </cell>
          <cell r="R78" t="str">
            <v>宿泊施設</v>
          </cell>
          <cell r="S78">
            <v>30</v>
          </cell>
          <cell r="T78" t="str">
            <v>中</v>
          </cell>
          <cell r="U78" t="str">
            <v>－</v>
          </cell>
          <cell r="V78" t="str">
            <v>ﾐｽﾄｻｳﾅ</v>
          </cell>
          <cell r="W78" t="str">
            <v>○</v>
          </cell>
          <cell r="X78" t="str">
            <v>専用乗降場所（屋根無）2台</v>
          </cell>
        </row>
        <row r="79">
          <cell r="A79">
            <v>295</v>
          </cell>
          <cell r="B79" t="str">
            <v>東海シティホテル</v>
          </cell>
          <cell r="D79">
            <v>53</v>
          </cell>
          <cell r="E79">
            <v>55</v>
          </cell>
          <cell r="J79">
            <v>1</v>
          </cell>
          <cell r="R79" t="str">
            <v>宿泊施設</v>
          </cell>
          <cell r="S79">
            <v>50</v>
          </cell>
          <cell r="T79" t="str">
            <v>高</v>
          </cell>
          <cell r="U79" t="str">
            <v>－</v>
          </cell>
          <cell r="V79" t="str">
            <v>－</v>
          </cell>
          <cell r="W79" t="str">
            <v>調査中</v>
          </cell>
          <cell r="X79" t="str">
            <v>専用乗降場所（屋根無）2台</v>
          </cell>
        </row>
        <row r="80">
          <cell r="A80">
            <v>298</v>
          </cell>
          <cell r="B80" t="str">
            <v>フォーポイント　バイ　シェラトン名古屋　中部国際空港</v>
          </cell>
          <cell r="D80">
            <v>319</v>
          </cell>
          <cell r="E80">
            <v>427</v>
          </cell>
          <cell r="J80">
            <v>1</v>
          </cell>
          <cell r="R80" t="str">
            <v>宿泊施設</v>
          </cell>
          <cell r="S80">
            <v>140</v>
          </cell>
          <cell r="T80" t="str">
            <v>中</v>
          </cell>
          <cell r="U80" t="str">
            <v>○</v>
          </cell>
          <cell r="V80" t="str">
            <v>－</v>
          </cell>
          <cell r="W80" t="str">
            <v>－</v>
          </cell>
          <cell r="X80" t="str">
            <v>専用乗降場所（屋根無）2台</v>
          </cell>
        </row>
        <row r="81">
          <cell r="A81">
            <v>299</v>
          </cell>
          <cell r="B81" t="str">
            <v>東横INN中部国際空港２</v>
          </cell>
          <cell r="D81">
            <v>1286</v>
          </cell>
          <cell r="E81">
            <v>1287</v>
          </cell>
          <cell r="J81">
            <v>0</v>
          </cell>
          <cell r="R81" t="str">
            <v>ケータリング</v>
          </cell>
          <cell r="S81">
            <v>380</v>
          </cell>
          <cell r="T81" t="str">
            <v>高</v>
          </cell>
          <cell r="U81" t="str">
            <v>－</v>
          </cell>
          <cell r="V81" t="str">
            <v>－</v>
          </cell>
          <cell r="W81" t="str">
            <v>○</v>
          </cell>
          <cell r="X81" t="str">
            <v>路上2台</v>
          </cell>
        </row>
        <row r="82">
          <cell r="A82">
            <v>300</v>
          </cell>
          <cell r="B82" t="str">
            <v>東横INN中部国際空港1</v>
          </cell>
          <cell r="D82">
            <v>988</v>
          </cell>
          <cell r="E82">
            <v>1014</v>
          </cell>
          <cell r="J82">
            <v>1</v>
          </cell>
          <cell r="R82" t="str">
            <v>ケータリング</v>
          </cell>
          <cell r="S82">
            <v>180</v>
          </cell>
          <cell r="T82" t="str">
            <v>高</v>
          </cell>
          <cell r="U82" t="str">
            <v>－</v>
          </cell>
          <cell r="V82" t="str">
            <v>－</v>
          </cell>
          <cell r="W82" t="str">
            <v>○</v>
          </cell>
          <cell r="X82" t="str">
            <v>玄関前（屋根無）1台</v>
          </cell>
        </row>
        <row r="83">
          <cell r="A83">
            <v>302</v>
          </cell>
          <cell r="B83" t="str">
            <v>中部国際空港セントレアホテル</v>
          </cell>
          <cell r="D83">
            <v>381</v>
          </cell>
          <cell r="E83">
            <v>546</v>
          </cell>
          <cell r="J83">
            <v>1</v>
          </cell>
          <cell r="R83" t="str">
            <v>宿泊施設</v>
          </cell>
          <cell r="S83">
            <v>106</v>
          </cell>
          <cell r="T83" t="str">
            <v>中</v>
          </cell>
          <cell r="U83" t="str">
            <v>－</v>
          </cell>
          <cell r="V83" t="str">
            <v>－</v>
          </cell>
          <cell r="W83" t="str">
            <v>○</v>
          </cell>
          <cell r="X83" t="str">
            <v>付近に乗降場無し（空港乗降場所）</v>
          </cell>
        </row>
        <row r="84">
          <cell r="A84">
            <v>301</v>
          </cell>
          <cell r="B84" t="str">
            <v>コンフォートホテル中部国際空港</v>
          </cell>
          <cell r="D84">
            <v>347</v>
          </cell>
          <cell r="E84">
            <v>505</v>
          </cell>
          <cell r="J84">
            <v>0</v>
          </cell>
          <cell r="R84" t="str">
            <v>ケータリング</v>
          </cell>
          <cell r="S84">
            <v>100</v>
          </cell>
          <cell r="T84" t="str">
            <v>高</v>
          </cell>
          <cell r="U84" t="str">
            <v>○</v>
          </cell>
          <cell r="V84" t="str">
            <v>－</v>
          </cell>
          <cell r="W84" t="str">
            <v>○</v>
          </cell>
          <cell r="X84" t="str">
            <v>路上2台</v>
          </cell>
        </row>
        <row r="85">
          <cell r="A85">
            <v>303</v>
          </cell>
          <cell r="B85" t="str">
            <v>J･HOTEL ANNEX</v>
          </cell>
          <cell r="D85">
            <v>38</v>
          </cell>
          <cell r="E85">
            <v>76</v>
          </cell>
          <cell r="J85">
            <v>0</v>
          </cell>
          <cell r="R85" t="str">
            <v>宿泊施設</v>
          </cell>
          <cell r="S85">
            <v>80</v>
          </cell>
          <cell r="T85" t="str">
            <v>調査中</v>
          </cell>
          <cell r="U85" t="str">
            <v>－</v>
          </cell>
          <cell r="V85" t="str">
            <v>○(ｼﾞﾑ内等)</v>
          </cell>
          <cell r="W85" t="str">
            <v>調査中</v>
          </cell>
          <cell r="X85" t="str">
            <v>付近に乗降場無し（りんくう駅前ロータリー）</v>
          </cell>
        </row>
        <row r="86">
          <cell r="A86">
            <v>304</v>
          </cell>
          <cell r="B86" t="str">
            <v>J･ホテルりんくう</v>
          </cell>
          <cell r="D86">
            <v>180</v>
          </cell>
          <cell r="E86">
            <v>246</v>
          </cell>
          <cell r="J86">
            <v>3</v>
          </cell>
          <cell r="R86" t="str">
            <v>宿泊施設</v>
          </cell>
          <cell r="S86">
            <v>80</v>
          </cell>
          <cell r="T86" t="str">
            <v>中</v>
          </cell>
          <cell r="U86" t="str">
            <v>－</v>
          </cell>
          <cell r="V86" t="str">
            <v>○(ｼﾞﾑ内等)</v>
          </cell>
          <cell r="W86" t="str">
            <v>○</v>
          </cell>
          <cell r="X86" t="str">
            <v>付近に乗降場無し（りんくう駅前ロータリー）</v>
          </cell>
        </row>
        <row r="87">
          <cell r="A87">
            <v>305</v>
          </cell>
          <cell r="B87" t="str">
            <v>ホテルルートイン常滑駅前グランドアネックス</v>
          </cell>
          <cell r="D87">
            <v>106</v>
          </cell>
          <cell r="E87">
            <v>106</v>
          </cell>
          <cell r="J87">
            <v>0</v>
          </cell>
          <cell r="R87" t="str">
            <v>宿泊施設</v>
          </cell>
          <cell r="S87">
            <v>94</v>
          </cell>
          <cell r="T87" t="str">
            <v>高</v>
          </cell>
          <cell r="U87" t="str">
            <v>－</v>
          </cell>
          <cell r="V87" t="str">
            <v>－</v>
          </cell>
          <cell r="W87" t="str">
            <v>調査中</v>
          </cell>
          <cell r="X87" t="str">
            <v>専用乗降場所（屋根無）1台</v>
          </cell>
        </row>
        <row r="88">
          <cell r="A88">
            <v>307</v>
          </cell>
          <cell r="B88" t="str">
            <v>スプリングサニーホテル名古屋常滑駅前</v>
          </cell>
          <cell r="D88">
            <v>194</v>
          </cell>
          <cell r="E88">
            <v>354</v>
          </cell>
          <cell r="J88">
            <v>0</v>
          </cell>
          <cell r="R88" t="str">
            <v>宿泊施設</v>
          </cell>
          <cell r="S88">
            <v>100</v>
          </cell>
          <cell r="T88" t="str">
            <v>高</v>
          </cell>
          <cell r="U88" t="str">
            <v>－</v>
          </cell>
          <cell r="V88" t="str">
            <v>－</v>
          </cell>
          <cell r="W88" t="str">
            <v>調査中</v>
          </cell>
          <cell r="X88" t="str">
            <v>専用乗降場所（屋根無）2台</v>
          </cell>
        </row>
        <row r="89">
          <cell r="A89">
            <v>310</v>
          </cell>
          <cell r="B89" t="str">
            <v>南知多温泉　源氏香</v>
          </cell>
          <cell r="D89">
            <v>28</v>
          </cell>
          <cell r="E89">
            <v>6</v>
          </cell>
          <cell r="J89">
            <v>3</v>
          </cell>
          <cell r="R89" t="str">
            <v>宿泊施設</v>
          </cell>
          <cell r="S89">
            <v>30</v>
          </cell>
          <cell r="T89" t="str">
            <v>調査中</v>
          </cell>
          <cell r="U89" t="str">
            <v>－</v>
          </cell>
          <cell r="V89" t="str">
            <v>○</v>
          </cell>
          <cell r="W89" t="str">
            <v>調査中</v>
          </cell>
          <cell r="X89" t="str">
            <v>玄関前（屋根無）1台</v>
          </cell>
        </row>
        <row r="90">
          <cell r="A90">
            <v>311</v>
          </cell>
          <cell r="B90" t="str">
            <v>グランドホテル山海館</v>
          </cell>
          <cell r="D90">
            <v>36</v>
          </cell>
          <cell r="E90">
            <v>0</v>
          </cell>
          <cell r="J90">
            <v>7</v>
          </cell>
          <cell r="R90" t="str">
            <v>宿泊施設</v>
          </cell>
          <cell r="S90">
            <v>200</v>
          </cell>
          <cell r="T90" t="str">
            <v>調査中</v>
          </cell>
          <cell r="U90" t="str">
            <v>－</v>
          </cell>
          <cell r="V90" t="str">
            <v>－</v>
          </cell>
          <cell r="W90" t="str">
            <v>調査中</v>
          </cell>
          <cell r="X90" t="str">
            <v>玄関前（屋根無）2台</v>
          </cell>
        </row>
        <row r="91">
          <cell r="A91">
            <v>312</v>
          </cell>
          <cell r="B91" t="str">
            <v>イイネ！ホテルレシーア南知多</v>
          </cell>
          <cell r="D91">
            <v>41</v>
          </cell>
          <cell r="E91">
            <v>36</v>
          </cell>
          <cell r="J91">
            <v>6</v>
          </cell>
          <cell r="R91" t="str">
            <v>宿泊施設</v>
          </cell>
          <cell r="S91">
            <v>23</v>
          </cell>
          <cell r="T91" t="str">
            <v>調査中</v>
          </cell>
          <cell r="U91" t="str">
            <v>－</v>
          </cell>
          <cell r="V91" t="str">
            <v>－</v>
          </cell>
          <cell r="W91" t="str">
            <v>調査中</v>
          </cell>
          <cell r="X91" t="str">
            <v>玄関前（屋根無）1台</v>
          </cell>
        </row>
        <row r="92">
          <cell r="A92">
            <v>313</v>
          </cell>
          <cell r="B92" t="str">
            <v>和風旅館　粛 海風</v>
          </cell>
          <cell r="D92">
            <v>29</v>
          </cell>
          <cell r="E92">
            <v>2</v>
          </cell>
          <cell r="J92">
            <v>2</v>
          </cell>
          <cell r="R92" t="str">
            <v>宿泊施設</v>
          </cell>
          <cell r="S92">
            <v>115</v>
          </cell>
          <cell r="T92" t="str">
            <v>調査中</v>
          </cell>
          <cell r="U92" t="str">
            <v>－</v>
          </cell>
          <cell r="V92" t="str">
            <v>－</v>
          </cell>
          <cell r="W92" t="str">
            <v>調査中</v>
          </cell>
          <cell r="X92" t="str">
            <v>玄関前（屋根無）1台</v>
          </cell>
        </row>
        <row r="93">
          <cell r="A93">
            <v>315</v>
          </cell>
          <cell r="B93" t="str">
            <v>オテル・ド・マロニエ内海温泉</v>
          </cell>
          <cell r="D93">
            <v>64</v>
          </cell>
          <cell r="E93">
            <v>82</v>
          </cell>
          <cell r="J93">
            <v>5</v>
          </cell>
          <cell r="R93" t="str">
            <v>宿泊施設</v>
          </cell>
          <cell r="S93">
            <v>76</v>
          </cell>
          <cell r="T93" t="str">
            <v>調査中</v>
          </cell>
          <cell r="U93" t="str">
            <v>－</v>
          </cell>
          <cell r="V93" t="str">
            <v>○</v>
          </cell>
          <cell r="W93" t="str">
            <v>調査中</v>
          </cell>
          <cell r="X93" t="str">
            <v>玄関前（屋根無）1台</v>
          </cell>
        </row>
        <row r="94">
          <cell r="A94">
            <v>316</v>
          </cell>
          <cell r="B94" t="str">
            <v>水軍伝説の風薫る宿 花乃丸</v>
          </cell>
          <cell r="D94">
            <v>48</v>
          </cell>
          <cell r="E94">
            <v>26</v>
          </cell>
          <cell r="J94">
            <v>7</v>
          </cell>
          <cell r="R94" t="str">
            <v>宿泊施設</v>
          </cell>
          <cell r="S94">
            <v>27</v>
          </cell>
          <cell r="T94" t="str">
            <v>調査中</v>
          </cell>
          <cell r="U94" t="str">
            <v>－</v>
          </cell>
          <cell r="V94" t="str">
            <v>－</v>
          </cell>
          <cell r="W94" t="str">
            <v>調査中</v>
          </cell>
          <cell r="X94" t="str">
            <v>玄関前（屋根無）1台</v>
          </cell>
        </row>
        <row r="95">
          <cell r="A95">
            <v>317</v>
          </cell>
          <cell r="B95" t="str">
            <v xml:space="preserve">愛知県美浜自然の家  </v>
          </cell>
          <cell r="D95">
            <v>60</v>
          </cell>
          <cell r="E95">
            <v>48</v>
          </cell>
          <cell r="J95">
            <v>16</v>
          </cell>
          <cell r="R95" t="str">
            <v>宿泊施設</v>
          </cell>
          <cell r="S95">
            <v>228</v>
          </cell>
          <cell r="T95" t="str">
            <v>調査中</v>
          </cell>
          <cell r="U95" t="str">
            <v>－</v>
          </cell>
          <cell r="V95" t="str">
            <v>－</v>
          </cell>
          <cell r="W95" t="str">
            <v>調査中</v>
          </cell>
          <cell r="X95" t="str">
            <v>専用乗降場所（屋根無）10台</v>
          </cell>
        </row>
        <row r="96">
          <cell r="A96">
            <v>1002</v>
          </cell>
          <cell r="B96" t="str">
            <v>ルートイングランティア東海Spa &amp; Relaxation</v>
          </cell>
          <cell r="D96">
            <v>212</v>
          </cell>
          <cell r="E96">
            <v>212</v>
          </cell>
          <cell r="J96">
            <v>0</v>
          </cell>
          <cell r="R96" t="str">
            <v>宿泊施設</v>
          </cell>
          <cell r="S96">
            <v>159</v>
          </cell>
          <cell r="T96" t="str">
            <v>高</v>
          </cell>
          <cell r="U96" t="str">
            <v>－</v>
          </cell>
          <cell r="V96" t="str">
            <v>○(ｼﾞﾑ内等)</v>
          </cell>
          <cell r="W96" t="str">
            <v>○</v>
          </cell>
          <cell r="X96" t="str">
            <v>専用乗降場所（屋根無）3台</v>
          </cell>
        </row>
        <row r="97">
          <cell r="A97">
            <v>1003</v>
          </cell>
          <cell r="B97" t="str">
            <v>ホテルルートイン新城</v>
          </cell>
          <cell r="D97">
            <v>184</v>
          </cell>
          <cell r="E97">
            <v>186</v>
          </cell>
          <cell r="J97">
            <v>0</v>
          </cell>
          <cell r="R97" t="str">
            <v>宿泊施設</v>
          </cell>
          <cell r="S97">
            <v>92</v>
          </cell>
          <cell r="T97" t="str">
            <v>高</v>
          </cell>
          <cell r="U97" t="str">
            <v>－</v>
          </cell>
          <cell r="V97" t="str">
            <v>－</v>
          </cell>
          <cell r="W97" t="str">
            <v>○</v>
          </cell>
          <cell r="X97" t="str">
            <v>専用乗降場所（屋根無）3台</v>
          </cell>
        </row>
        <row r="98">
          <cell r="A98">
            <v>1008</v>
          </cell>
          <cell r="B98" t="str">
            <v>ホテルインディゴ犬山有楽苑</v>
          </cell>
          <cell r="D98">
            <v>154</v>
          </cell>
          <cell r="E98">
            <v>253</v>
          </cell>
          <cell r="J98">
            <v>4</v>
          </cell>
          <cell r="R98" t="str">
            <v>宿泊施設</v>
          </cell>
          <cell r="S98">
            <v>130</v>
          </cell>
          <cell r="T98" t="str">
            <v>中</v>
          </cell>
          <cell r="U98" t="str">
            <v>○</v>
          </cell>
          <cell r="V98" t="str">
            <v>○</v>
          </cell>
          <cell r="W98" t="str">
            <v>－</v>
          </cell>
          <cell r="X98" t="str">
            <v>玄関前（屋根付）1台</v>
          </cell>
        </row>
        <row r="99">
          <cell r="A99">
            <v>1009</v>
          </cell>
          <cell r="B99" t="str">
            <v>灯屋　迎帆楼</v>
          </cell>
          <cell r="D99">
            <v>10</v>
          </cell>
          <cell r="E99">
            <v>20</v>
          </cell>
          <cell r="J99">
            <v>0</v>
          </cell>
          <cell r="R99" t="str">
            <v>宿泊施設</v>
          </cell>
          <cell r="S99">
            <v>40</v>
          </cell>
          <cell r="T99" t="str">
            <v>調査中</v>
          </cell>
          <cell r="U99" t="str">
            <v>－</v>
          </cell>
          <cell r="V99" t="str">
            <v>－</v>
          </cell>
          <cell r="W99" t="str">
            <v>調査中</v>
          </cell>
          <cell r="X99" t="str">
            <v>路上1台</v>
          </cell>
        </row>
        <row r="100">
          <cell r="A100">
            <v>1010</v>
          </cell>
          <cell r="B100" t="str">
            <v>天の丸</v>
          </cell>
          <cell r="D100">
            <v>37</v>
          </cell>
          <cell r="E100">
            <v>40</v>
          </cell>
          <cell r="J100">
            <v>11</v>
          </cell>
          <cell r="R100" t="str">
            <v>宿泊施設</v>
          </cell>
          <cell r="S100">
            <v>30</v>
          </cell>
          <cell r="T100" t="str">
            <v>調査中</v>
          </cell>
          <cell r="U100" t="str">
            <v>－</v>
          </cell>
          <cell r="V100" t="str">
            <v>－</v>
          </cell>
          <cell r="W100" t="str">
            <v>－</v>
          </cell>
          <cell r="X100" t="str">
            <v>専用乗降場所（屋根無）2台</v>
          </cell>
        </row>
        <row r="101">
          <cell r="A101">
            <v>1012</v>
          </cell>
          <cell r="B101" t="str">
            <v>ホテルたつき</v>
          </cell>
          <cell r="D101">
            <v>73</v>
          </cell>
          <cell r="E101">
            <v>146</v>
          </cell>
          <cell r="J101">
            <v>18</v>
          </cell>
          <cell r="R101" t="str">
            <v>宿泊施設</v>
          </cell>
          <cell r="S101">
            <v>250</v>
          </cell>
          <cell r="T101" t="str">
            <v>中</v>
          </cell>
          <cell r="U101" t="str">
            <v>－</v>
          </cell>
          <cell r="V101" t="str">
            <v>－</v>
          </cell>
          <cell r="W101" t="str">
            <v>－</v>
          </cell>
          <cell r="X101" t="str">
            <v>玄関前（屋根無）1台</v>
          </cell>
        </row>
        <row r="102">
          <cell r="A102">
            <v>1013</v>
          </cell>
          <cell r="B102" t="str">
            <v>西浦グランドホテル吉慶</v>
          </cell>
          <cell r="D102">
            <v>42</v>
          </cell>
          <cell r="E102">
            <v>84</v>
          </cell>
          <cell r="J102">
            <v>6</v>
          </cell>
          <cell r="R102" t="str">
            <v>宿泊施設</v>
          </cell>
          <cell r="S102">
            <v>70</v>
          </cell>
          <cell r="T102" t="str">
            <v>中</v>
          </cell>
          <cell r="U102" t="str">
            <v>－</v>
          </cell>
          <cell r="V102" t="str">
            <v>－</v>
          </cell>
          <cell r="W102" t="str">
            <v>－</v>
          </cell>
          <cell r="X102" t="str">
            <v>玄関前（屋根無）1台</v>
          </cell>
        </row>
        <row r="103">
          <cell r="A103">
            <v>1015</v>
          </cell>
          <cell r="B103" t="str">
            <v>ホテル三河　海陽閣</v>
          </cell>
          <cell r="D103">
            <v>30</v>
          </cell>
          <cell r="E103">
            <v>60</v>
          </cell>
          <cell r="J103">
            <v>6</v>
          </cell>
          <cell r="R103" t="str">
            <v>宿泊施設</v>
          </cell>
          <cell r="S103">
            <v>30</v>
          </cell>
          <cell r="T103" t="str">
            <v>中</v>
          </cell>
          <cell r="U103" t="str">
            <v>－</v>
          </cell>
          <cell r="V103" t="str">
            <v>○</v>
          </cell>
          <cell r="W103" t="str">
            <v>○</v>
          </cell>
          <cell r="X103" t="str">
            <v>玄関前（屋根付）1台</v>
          </cell>
        </row>
        <row r="104">
          <cell r="A104">
            <v>1016</v>
          </cell>
          <cell r="B104" t="str">
            <v>くれたけインプレミアム名駅南</v>
          </cell>
          <cell r="D104">
            <v>147</v>
          </cell>
          <cell r="E104">
            <v>159</v>
          </cell>
          <cell r="J104">
            <v>0</v>
          </cell>
          <cell r="R104" t="str">
            <v>ケータリング</v>
          </cell>
          <cell r="S104">
            <v>46</v>
          </cell>
          <cell r="T104" t="str">
            <v>調査中</v>
          </cell>
          <cell r="U104" t="str">
            <v>－</v>
          </cell>
          <cell r="V104" t="str">
            <v>ﾐｽﾄｻｳﾅ</v>
          </cell>
          <cell r="W104" t="str">
            <v>調査中</v>
          </cell>
          <cell r="X104" t="str">
            <v>路上1台</v>
          </cell>
        </row>
        <row r="105">
          <cell r="A105">
            <v>1021</v>
          </cell>
          <cell r="B105" t="str">
            <v>コートヤードバイマリオット名古屋</v>
          </cell>
          <cell r="D105">
            <v>360</v>
          </cell>
          <cell r="E105">
            <v>500</v>
          </cell>
          <cell r="J105">
            <v>7</v>
          </cell>
          <cell r="R105" t="str">
            <v>宿泊施設</v>
          </cell>
          <cell r="S105">
            <v>100</v>
          </cell>
          <cell r="T105" t="str">
            <v>中</v>
          </cell>
          <cell r="U105" t="str">
            <v>○</v>
          </cell>
          <cell r="V105" t="str">
            <v>－</v>
          </cell>
          <cell r="W105" t="str">
            <v>調査中</v>
          </cell>
          <cell r="X105" t="str">
            <v>玄関前（屋根付）2台</v>
          </cell>
        </row>
        <row r="106">
          <cell r="A106">
            <v>1028</v>
          </cell>
          <cell r="B106" t="str">
            <v>蒲郡ホテル＜別館＞</v>
          </cell>
          <cell r="D106">
            <v>25</v>
          </cell>
          <cell r="E106">
            <v>54</v>
          </cell>
          <cell r="J106">
            <v>1</v>
          </cell>
          <cell r="R106" t="str">
            <v>ケータリング</v>
          </cell>
          <cell r="S106">
            <v>80</v>
          </cell>
          <cell r="T106" t="str">
            <v>中</v>
          </cell>
          <cell r="U106" t="str">
            <v>－</v>
          </cell>
          <cell r="V106" t="str">
            <v>－</v>
          </cell>
          <cell r="W106" t="str">
            <v>－</v>
          </cell>
          <cell r="X106" t="str">
            <v>玄関前（屋根付）1台</v>
          </cell>
        </row>
        <row r="107">
          <cell r="A107">
            <v>1029</v>
          </cell>
          <cell r="B107" t="str">
            <v>伊良湖オーシャンリゾート</v>
          </cell>
          <cell r="D107">
            <v>147</v>
          </cell>
          <cell r="E107">
            <v>316</v>
          </cell>
          <cell r="J107">
            <v>6</v>
          </cell>
          <cell r="R107" t="str">
            <v>宿泊施設</v>
          </cell>
          <cell r="S107" t="str">
            <v>調査中</v>
          </cell>
          <cell r="T107" t="str">
            <v>中</v>
          </cell>
          <cell r="U107" t="str">
            <v>－</v>
          </cell>
          <cell r="V107" t="str">
            <v>○</v>
          </cell>
          <cell r="W107" t="str">
            <v>調査中</v>
          </cell>
          <cell r="X107" t="str">
            <v>玄関前（屋根付）1台</v>
          </cell>
        </row>
        <row r="108">
          <cell r="A108">
            <v>1030</v>
          </cell>
          <cell r="B108" t="str">
            <v>伊良湖リゾート＆コンベンションホテル（旧伊良湖シーパーク＆スパ）</v>
          </cell>
          <cell r="D108">
            <v>67</v>
          </cell>
          <cell r="E108">
            <v>110</v>
          </cell>
          <cell r="J108">
            <v>9</v>
          </cell>
          <cell r="R108" t="str">
            <v>宿泊施設</v>
          </cell>
          <cell r="S108" t="str">
            <v>調査中</v>
          </cell>
          <cell r="T108" t="str">
            <v>中</v>
          </cell>
          <cell r="U108" t="str">
            <v>－</v>
          </cell>
          <cell r="V108" t="str">
            <v>○</v>
          </cell>
          <cell r="W108" t="str">
            <v>調査中</v>
          </cell>
          <cell r="X108" t="str">
            <v>玄関前（屋根付）3台</v>
          </cell>
        </row>
        <row r="109">
          <cell r="A109">
            <v>2004</v>
          </cell>
          <cell r="B109" t="str">
            <v>アパホテル＜浜松駅南＞</v>
          </cell>
          <cell r="D109">
            <v>177</v>
          </cell>
          <cell r="E109">
            <v>177</v>
          </cell>
          <cell r="J109">
            <v>1</v>
          </cell>
          <cell r="R109" t="str">
            <v>宿泊施設</v>
          </cell>
          <cell r="S109">
            <v>30</v>
          </cell>
          <cell r="T109" t="str">
            <v>調査中</v>
          </cell>
          <cell r="U109" t="str">
            <v>－</v>
          </cell>
          <cell r="V109" t="str">
            <v>－</v>
          </cell>
          <cell r="W109" t="str">
            <v>調査中</v>
          </cell>
          <cell r="X109" t="str">
            <v>専用乗降場所（屋根無）1台</v>
          </cell>
        </row>
        <row r="110">
          <cell r="A110">
            <v>2007</v>
          </cell>
          <cell r="B110" t="str">
            <v>シェラトン都ホテル大阪</v>
          </cell>
          <cell r="D110">
            <v>578</v>
          </cell>
          <cell r="E110">
            <v>933</v>
          </cell>
          <cell r="J110">
            <v>24</v>
          </cell>
          <cell r="R110" t="str">
            <v>宿泊施設</v>
          </cell>
          <cell r="S110">
            <v>120</v>
          </cell>
          <cell r="T110" t="str">
            <v>－</v>
          </cell>
          <cell r="U110" t="str">
            <v>○</v>
          </cell>
          <cell r="V110" t="str">
            <v>○(ｼﾞﾑ内等)</v>
          </cell>
          <cell r="W110" t="str">
            <v>－</v>
          </cell>
          <cell r="X110" t="str">
            <v>玄関前（屋根付）3台</v>
          </cell>
        </row>
        <row r="111">
          <cell r="A111">
            <v>2008</v>
          </cell>
          <cell r="B111" t="str">
            <v>ホテルアゴーラリージェンシー大阪堺</v>
          </cell>
          <cell r="D111">
            <v>241</v>
          </cell>
          <cell r="E111">
            <v>456</v>
          </cell>
          <cell r="J111">
            <v>20</v>
          </cell>
          <cell r="R111" t="str">
            <v>宿泊施設</v>
          </cell>
          <cell r="S111">
            <v>170</v>
          </cell>
          <cell r="T111" t="str">
            <v>低</v>
          </cell>
          <cell r="U111" t="str">
            <v>－</v>
          </cell>
          <cell r="V111" t="str">
            <v>－</v>
          </cell>
          <cell r="W111" t="str">
            <v>－</v>
          </cell>
          <cell r="X111" t="str">
            <v>玄関前（屋根付）7台</v>
          </cell>
        </row>
        <row r="112">
          <cell r="A112">
            <v>2009</v>
          </cell>
          <cell r="B112" t="str">
            <v>帝国ホテル 大阪</v>
          </cell>
          <cell r="D112">
            <v>378</v>
          </cell>
          <cell r="E112">
            <v>620</v>
          </cell>
          <cell r="J112">
            <v>24</v>
          </cell>
          <cell r="R112" t="str">
            <v>宿泊施設</v>
          </cell>
          <cell r="S112">
            <v>100</v>
          </cell>
          <cell r="T112" t="str">
            <v>－</v>
          </cell>
          <cell r="U112" t="str">
            <v>○</v>
          </cell>
          <cell r="V112" t="str">
            <v>○(ｼﾞﾑ内等)</v>
          </cell>
          <cell r="W112" t="str">
            <v>調査中</v>
          </cell>
          <cell r="X112" t="str">
            <v>玄関前（屋根無）4台</v>
          </cell>
        </row>
        <row r="113">
          <cell r="A113">
            <v>2010</v>
          </cell>
          <cell r="B113" t="str">
            <v>神戸西神オリエンタルホテル</v>
          </cell>
          <cell r="D113">
            <v>184</v>
          </cell>
          <cell r="E113">
            <v>287</v>
          </cell>
          <cell r="J113">
            <v>6</v>
          </cell>
          <cell r="R113" t="str">
            <v>宿泊施設</v>
          </cell>
          <cell r="S113">
            <v>155</v>
          </cell>
          <cell r="T113" t="str">
            <v>－</v>
          </cell>
          <cell r="U113" t="str">
            <v>○</v>
          </cell>
          <cell r="V113" t="str">
            <v>○(ｼﾞﾑ内等)</v>
          </cell>
          <cell r="W113" t="str">
            <v>○</v>
          </cell>
          <cell r="X113" t="str">
            <v>玄関前（屋根付）2台</v>
          </cell>
        </row>
        <row r="114">
          <cell r="A114">
            <v>2011</v>
          </cell>
          <cell r="B114" t="str">
            <v>ANAクラウンプラザホテル　神戸</v>
          </cell>
          <cell r="D114">
            <v>592</v>
          </cell>
          <cell r="E114">
            <v>912</v>
          </cell>
          <cell r="J114">
            <v>18</v>
          </cell>
          <cell r="R114" t="str">
            <v>宿泊施設</v>
          </cell>
          <cell r="S114">
            <v>80</v>
          </cell>
          <cell r="T114" t="str">
            <v>－</v>
          </cell>
          <cell r="U114" t="str">
            <v>○</v>
          </cell>
          <cell r="V114" t="str">
            <v>○(ｼﾞﾑ内等)</v>
          </cell>
          <cell r="W114" t="str">
            <v>－</v>
          </cell>
          <cell r="X114" t="str">
            <v>玄関前（屋根付）2台</v>
          </cell>
        </row>
        <row r="115">
          <cell r="A115">
            <v>2012</v>
          </cell>
          <cell r="B115" t="str">
            <v>シーサイドホテル舞子ビラ神戸</v>
          </cell>
          <cell r="D115">
            <v>247</v>
          </cell>
          <cell r="E115">
            <v>379</v>
          </cell>
          <cell r="J115">
            <v>19</v>
          </cell>
          <cell r="R115" t="str">
            <v>宿泊施設</v>
          </cell>
          <cell r="S115">
            <v>100</v>
          </cell>
          <cell r="T115" t="str">
            <v>低</v>
          </cell>
          <cell r="U115" t="str">
            <v>○</v>
          </cell>
          <cell r="V115" t="str">
            <v>○</v>
          </cell>
          <cell r="W115" t="str">
            <v>○</v>
          </cell>
          <cell r="X115" t="str">
            <v>玄関前（屋根付）2台</v>
          </cell>
        </row>
        <row r="116">
          <cell r="A116">
            <v>2013</v>
          </cell>
          <cell r="B116" t="str">
            <v>ホテルオークラ神戸</v>
          </cell>
          <cell r="D116">
            <v>460</v>
          </cell>
          <cell r="E116">
            <v>790</v>
          </cell>
          <cell r="J116">
            <v>14</v>
          </cell>
          <cell r="R116" t="str">
            <v>宿泊施設</v>
          </cell>
          <cell r="S116">
            <v>120</v>
          </cell>
          <cell r="T116" t="str">
            <v>－</v>
          </cell>
          <cell r="U116" t="str">
            <v>○</v>
          </cell>
          <cell r="V116" t="str">
            <v>○(ｼﾞﾑ内等)</v>
          </cell>
          <cell r="W116" t="str">
            <v>調査中</v>
          </cell>
          <cell r="X116" t="str">
            <v>玄関前（屋根付）4台</v>
          </cell>
        </row>
        <row r="117">
          <cell r="A117">
            <v>2014</v>
          </cell>
          <cell r="B117" t="str">
            <v>（仮称）　アゴーラ　プレイス　大阪堺</v>
          </cell>
          <cell r="D117">
            <v>350</v>
          </cell>
          <cell r="E117">
            <v>350</v>
          </cell>
          <cell r="J117">
            <v>1</v>
          </cell>
          <cell r="R117" t="str">
            <v>調査中</v>
          </cell>
          <cell r="S117" t="str">
            <v>調査中</v>
          </cell>
          <cell r="T117" t="str">
            <v>調査中</v>
          </cell>
          <cell r="U117" t="str">
            <v>－</v>
          </cell>
          <cell r="V117" t="str">
            <v>－</v>
          </cell>
          <cell r="W117" t="str">
            <v>調査中</v>
          </cell>
          <cell r="X117" t="str">
            <v>開業前で未定</v>
          </cell>
        </row>
        <row r="118">
          <cell r="A118">
            <v>2015</v>
          </cell>
          <cell r="B118" t="str">
            <v>京都ホテルオークラ</v>
          </cell>
          <cell r="D118">
            <v>321</v>
          </cell>
          <cell r="E118">
            <v>576</v>
          </cell>
          <cell r="J118">
            <v>12</v>
          </cell>
          <cell r="R118" t="str">
            <v>宿泊施設</v>
          </cell>
          <cell r="S118">
            <v>120</v>
          </cell>
          <cell r="T118" t="str">
            <v>－</v>
          </cell>
          <cell r="U118" t="str">
            <v>○</v>
          </cell>
          <cell r="V118" t="str">
            <v>○(ｼﾞﾑ内等)</v>
          </cell>
          <cell r="W118" t="str">
            <v>調査中</v>
          </cell>
          <cell r="X118" t="str">
            <v>路上1台</v>
          </cell>
        </row>
        <row r="119">
          <cell r="A119">
            <v>2016</v>
          </cell>
          <cell r="B119" t="str">
            <v>つま恋リゾート　彩の郷</v>
          </cell>
          <cell r="D119">
            <v>232</v>
          </cell>
          <cell r="E119">
            <v>718</v>
          </cell>
          <cell r="J119">
            <v>40</v>
          </cell>
          <cell r="R119" t="str">
            <v>宿泊施設</v>
          </cell>
          <cell r="S119">
            <v>100</v>
          </cell>
          <cell r="T119" t="str">
            <v>中</v>
          </cell>
          <cell r="U119" t="str">
            <v>－</v>
          </cell>
          <cell r="V119" t="str">
            <v>○</v>
          </cell>
          <cell r="W119" t="str">
            <v>○</v>
          </cell>
          <cell r="X119" t="str">
            <v>玄関前（屋根付）3台</v>
          </cell>
        </row>
        <row r="120">
          <cell r="A120">
            <v>2017</v>
          </cell>
          <cell r="B120" t="str">
            <v>葛城 北の丸</v>
          </cell>
          <cell r="D120">
            <v>49</v>
          </cell>
          <cell r="E120">
            <v>77</v>
          </cell>
          <cell r="J120">
            <v>6</v>
          </cell>
          <cell r="R120" t="str">
            <v>宿泊施設</v>
          </cell>
          <cell r="S120">
            <v>48</v>
          </cell>
          <cell r="T120" t="str">
            <v>調査中</v>
          </cell>
          <cell r="U120" t="str">
            <v>－</v>
          </cell>
          <cell r="V120" t="str">
            <v>－</v>
          </cell>
          <cell r="W120" t="str">
            <v>調査中</v>
          </cell>
          <cell r="X120" t="str">
            <v>専用乗降場所（屋根無）3台</v>
          </cell>
        </row>
        <row r="121">
          <cell r="A121">
            <v>2018</v>
          </cell>
          <cell r="B121" t="str">
            <v>掛川グランドホテル</v>
          </cell>
          <cell r="D121">
            <v>92</v>
          </cell>
          <cell r="E121">
            <v>148</v>
          </cell>
          <cell r="J121">
            <v>8</v>
          </cell>
          <cell r="R121" t="str">
            <v>宿泊施設</v>
          </cell>
          <cell r="S121">
            <v>53</v>
          </cell>
          <cell r="T121" t="str">
            <v>低</v>
          </cell>
          <cell r="U121" t="str">
            <v>－</v>
          </cell>
          <cell r="V121" t="str">
            <v>－</v>
          </cell>
          <cell r="W121" t="str">
            <v>○</v>
          </cell>
          <cell r="X121" t="str">
            <v>玄関前（屋根付）1台</v>
          </cell>
        </row>
        <row r="122">
          <cell r="A122">
            <v>2019</v>
          </cell>
          <cell r="B122" t="str">
            <v>THE HAMANAKO（グランドメルキュール浜名湖リゾート＆スパ）</v>
          </cell>
          <cell r="D122">
            <v>369</v>
          </cell>
          <cell r="E122">
            <v>641</v>
          </cell>
          <cell r="J122">
            <v>2</v>
          </cell>
          <cell r="R122" t="str">
            <v>宿泊施設</v>
          </cell>
          <cell r="S122">
            <v>250</v>
          </cell>
          <cell r="T122" t="str">
            <v>調査中</v>
          </cell>
          <cell r="U122" t="str">
            <v>－</v>
          </cell>
          <cell r="V122" t="str">
            <v>ﾐｽﾄｻｳﾅ</v>
          </cell>
          <cell r="W122" t="str">
            <v>○</v>
          </cell>
          <cell r="X122" t="str">
            <v>玄関前（屋根付）3台</v>
          </cell>
        </row>
        <row r="123">
          <cell r="A123">
            <v>2020</v>
          </cell>
          <cell r="B123" t="str">
            <v>浜名湖リゾート＆スパTHE OCEAN</v>
          </cell>
          <cell r="D123">
            <v>103</v>
          </cell>
          <cell r="E123">
            <v>119</v>
          </cell>
          <cell r="J123">
            <v>3</v>
          </cell>
          <cell r="R123" t="str">
            <v>宿泊施設</v>
          </cell>
          <cell r="S123">
            <v>80</v>
          </cell>
          <cell r="T123" t="str">
            <v>調査中</v>
          </cell>
          <cell r="U123" t="str">
            <v>－</v>
          </cell>
          <cell r="V123" t="str">
            <v>－</v>
          </cell>
          <cell r="W123" t="str">
            <v>調査中</v>
          </cell>
          <cell r="X123" t="str">
            <v>付近に乗降場無し（海浜公園駐車場）</v>
          </cell>
        </row>
        <row r="124">
          <cell r="A124">
            <v>2021</v>
          </cell>
          <cell r="B124" t="str">
            <v>オークラアクトシティホテル浜松</v>
          </cell>
          <cell r="D124">
            <v>322</v>
          </cell>
          <cell r="E124">
            <v>521</v>
          </cell>
          <cell r="J124">
            <v>11</v>
          </cell>
          <cell r="R124" t="str">
            <v>宿泊施設</v>
          </cell>
          <cell r="S124">
            <v>146</v>
          </cell>
          <cell r="T124" t="str">
            <v>低</v>
          </cell>
          <cell r="U124" t="str">
            <v>○</v>
          </cell>
          <cell r="V124" t="str">
            <v>○(ｼﾞﾑ内等)</v>
          </cell>
          <cell r="W124" t="str">
            <v>調査中</v>
          </cell>
          <cell r="X124" t="str">
            <v>玄関前（屋根付）2台</v>
          </cell>
        </row>
        <row r="125">
          <cell r="A125">
            <v>2022</v>
          </cell>
          <cell r="B125" t="str">
            <v>ホテルラフォーレ修善寺</v>
          </cell>
          <cell r="D125">
            <v>212</v>
          </cell>
          <cell r="E125">
            <v>522</v>
          </cell>
          <cell r="J125">
            <v>12</v>
          </cell>
          <cell r="R125" t="str">
            <v>宿泊施設</v>
          </cell>
          <cell r="S125">
            <v>122</v>
          </cell>
          <cell r="T125" t="str">
            <v>中</v>
          </cell>
          <cell r="U125" t="str">
            <v>－</v>
          </cell>
          <cell r="V125" t="str">
            <v>○</v>
          </cell>
          <cell r="W125" t="str">
            <v>○</v>
          </cell>
          <cell r="X125" t="str">
            <v>専用乗降場所（屋根無）3台</v>
          </cell>
        </row>
        <row r="126">
          <cell r="A126">
            <v>2023</v>
          </cell>
          <cell r="B126" t="str">
            <v>伊豆温泉村　ホテルオリーブの木</v>
          </cell>
          <cell r="D126">
            <v>40</v>
          </cell>
          <cell r="E126">
            <v>80</v>
          </cell>
          <cell r="J126">
            <v>3</v>
          </cell>
          <cell r="R126" t="str">
            <v>宿泊施設</v>
          </cell>
          <cell r="S126">
            <v>60</v>
          </cell>
          <cell r="T126" t="str">
            <v>調査中</v>
          </cell>
          <cell r="U126" t="str">
            <v>－</v>
          </cell>
          <cell r="V126" t="str">
            <v>○</v>
          </cell>
          <cell r="W126" t="str">
            <v>調査中</v>
          </cell>
          <cell r="X126" t="str">
            <v>専用乗降場所（屋根無）3台</v>
          </cell>
        </row>
        <row r="127">
          <cell r="A127">
            <v>2024</v>
          </cell>
          <cell r="B127" t="str">
            <v>富士山三島東急ホテル</v>
          </cell>
          <cell r="D127">
            <v>165</v>
          </cell>
          <cell r="E127">
            <v>307</v>
          </cell>
          <cell r="J127" t="str">
            <v>(1)</v>
          </cell>
          <cell r="R127" t="str">
            <v>宿泊施設</v>
          </cell>
          <cell r="S127">
            <v>134</v>
          </cell>
          <cell r="T127" t="str">
            <v>調査中</v>
          </cell>
          <cell r="U127" t="str">
            <v>○</v>
          </cell>
          <cell r="V127" t="str">
            <v>○</v>
          </cell>
          <cell r="W127" t="str">
            <v>調査中</v>
          </cell>
          <cell r="X127" t="str">
            <v>路上1台</v>
          </cell>
        </row>
        <row r="128">
          <cell r="A128">
            <v>2025</v>
          </cell>
          <cell r="B128" t="str">
            <v>伊豆マリオットホテル修善寺</v>
          </cell>
          <cell r="D128">
            <v>128</v>
          </cell>
          <cell r="E128">
            <v>223</v>
          </cell>
          <cell r="J128">
            <v>3</v>
          </cell>
          <cell r="R128" t="str">
            <v>宿泊施設</v>
          </cell>
          <cell r="S128">
            <v>168</v>
          </cell>
          <cell r="T128" t="str">
            <v>中</v>
          </cell>
          <cell r="U128" t="str">
            <v>○</v>
          </cell>
          <cell r="V128" t="str">
            <v>○</v>
          </cell>
          <cell r="W128" t="str">
            <v>調査中</v>
          </cell>
          <cell r="X128" t="str">
            <v>玄関前（屋根無）2台</v>
          </cell>
        </row>
        <row r="129">
          <cell r="A129">
            <v>2026</v>
          </cell>
          <cell r="B129" t="str">
            <v>岐阜グランドホテル</v>
          </cell>
          <cell r="D129">
            <v>158</v>
          </cell>
          <cell r="E129">
            <v>184</v>
          </cell>
          <cell r="J129">
            <v>14</v>
          </cell>
          <cell r="R129" t="str">
            <v>宿泊施設</v>
          </cell>
          <cell r="S129">
            <v>150</v>
          </cell>
          <cell r="T129" t="str">
            <v>中</v>
          </cell>
          <cell r="U129" t="str">
            <v>－</v>
          </cell>
          <cell r="V129" t="str">
            <v>○</v>
          </cell>
          <cell r="W129" t="str">
            <v>－</v>
          </cell>
          <cell r="X129" t="str">
            <v>玄関前（屋根無）2台</v>
          </cell>
        </row>
        <row r="130">
          <cell r="A130">
            <v>2027</v>
          </cell>
          <cell r="B130" t="str">
            <v>都ホテル岐阜長良川</v>
          </cell>
          <cell r="D130">
            <v>192</v>
          </cell>
          <cell r="E130">
            <v>348</v>
          </cell>
          <cell r="J130">
            <v>16</v>
          </cell>
          <cell r="R130" t="str">
            <v>宿泊施設</v>
          </cell>
          <cell r="S130">
            <v>142</v>
          </cell>
          <cell r="T130" t="str">
            <v>－</v>
          </cell>
          <cell r="U130" t="str">
            <v>○</v>
          </cell>
          <cell r="V130" t="str">
            <v>○(ｼﾞﾑ内等)</v>
          </cell>
          <cell r="W130" t="str">
            <v>－</v>
          </cell>
          <cell r="X130" t="str">
            <v>玄関前（屋根付）2台</v>
          </cell>
        </row>
        <row r="131">
          <cell r="A131">
            <v>2028</v>
          </cell>
          <cell r="B131" t="str">
            <v>ホテルグランヴェール岐山（公立共済やすらぎの里）</v>
          </cell>
          <cell r="D131">
            <v>60</v>
          </cell>
          <cell r="E131">
            <v>64</v>
          </cell>
          <cell r="J131">
            <v>16</v>
          </cell>
          <cell r="R131" t="str">
            <v>宿泊施設</v>
          </cell>
          <cell r="S131">
            <v>68</v>
          </cell>
          <cell r="T131" t="str">
            <v>中</v>
          </cell>
          <cell r="U131" t="str">
            <v>－</v>
          </cell>
          <cell r="V131" t="str">
            <v>－</v>
          </cell>
          <cell r="W131" t="str">
            <v>調査中</v>
          </cell>
          <cell r="X131" t="str">
            <v>玄関前（屋根無）1台</v>
          </cell>
        </row>
        <row r="132">
          <cell r="A132">
            <v>2029</v>
          </cell>
          <cell r="B132" t="str">
            <v>岐阜キャッスルイン</v>
          </cell>
          <cell r="D132">
            <v>116</v>
          </cell>
          <cell r="E132">
            <v>134</v>
          </cell>
          <cell r="J132">
            <v>7</v>
          </cell>
          <cell r="R132" t="str">
            <v>ケータリング</v>
          </cell>
          <cell r="S132">
            <v>36</v>
          </cell>
          <cell r="T132" t="str">
            <v>調査中</v>
          </cell>
          <cell r="U132" t="str">
            <v>－</v>
          </cell>
          <cell r="V132" t="str">
            <v>－</v>
          </cell>
          <cell r="W132" t="str">
            <v>調査中</v>
          </cell>
          <cell r="X132" t="str">
            <v>玄関前（屋根付）1台</v>
          </cell>
        </row>
        <row r="133">
          <cell r="A133">
            <v>2030</v>
          </cell>
          <cell r="B133" t="str">
            <v>ホテルリソル岐阜</v>
          </cell>
          <cell r="D133">
            <v>120</v>
          </cell>
          <cell r="E133">
            <v>163</v>
          </cell>
          <cell r="J133">
            <v>3</v>
          </cell>
          <cell r="R133" t="str">
            <v>宿泊施設</v>
          </cell>
          <cell r="S133">
            <v>36</v>
          </cell>
          <cell r="T133" t="str">
            <v>高</v>
          </cell>
          <cell r="U133" t="str">
            <v>－</v>
          </cell>
          <cell r="V133" t="str">
            <v>－</v>
          </cell>
          <cell r="W133" t="str">
            <v>－</v>
          </cell>
          <cell r="X133" t="str">
            <v>付近に乗降場無し（岐阜駅バス駐車場）</v>
          </cell>
        </row>
        <row r="134">
          <cell r="A134">
            <v>2032</v>
          </cell>
          <cell r="B134" t="str">
            <v>大垣フォーラムホテル</v>
          </cell>
          <cell r="D134">
            <v>70</v>
          </cell>
          <cell r="E134">
            <v>132</v>
          </cell>
          <cell r="J134">
            <v>23</v>
          </cell>
          <cell r="R134" t="str">
            <v>宿泊施設</v>
          </cell>
          <cell r="S134">
            <v>100</v>
          </cell>
          <cell r="T134" t="str">
            <v>中</v>
          </cell>
          <cell r="U134" t="str">
            <v>－</v>
          </cell>
          <cell r="V134" t="str">
            <v>－</v>
          </cell>
          <cell r="W134" t="str">
            <v>○</v>
          </cell>
          <cell r="X134" t="str">
            <v>玄関前（屋根付）3台</v>
          </cell>
        </row>
        <row r="135">
          <cell r="A135">
            <v>2034</v>
          </cell>
          <cell r="B135" t="str">
            <v>ホテルルートイン各務原</v>
          </cell>
          <cell r="D135">
            <v>155</v>
          </cell>
          <cell r="E135">
            <v>155</v>
          </cell>
          <cell r="J135">
            <v>2</v>
          </cell>
          <cell r="R135" t="str">
            <v>宿泊施設</v>
          </cell>
          <cell r="S135">
            <v>70</v>
          </cell>
          <cell r="T135" t="str">
            <v>高</v>
          </cell>
          <cell r="U135" t="str">
            <v>－</v>
          </cell>
          <cell r="V135" t="str">
            <v>－</v>
          </cell>
          <cell r="W135" t="str">
            <v>調査中</v>
          </cell>
          <cell r="X135" t="str">
            <v>玄関前（屋根付）1台</v>
          </cell>
        </row>
        <row r="136">
          <cell r="A136">
            <v>2037</v>
          </cell>
          <cell r="B136" t="str">
            <v>ホテルコーヨー</v>
          </cell>
          <cell r="D136">
            <v>265</v>
          </cell>
          <cell r="E136">
            <v>297</v>
          </cell>
          <cell r="J136">
            <v>8</v>
          </cell>
          <cell r="R136" t="str">
            <v>宿泊施設</v>
          </cell>
          <cell r="S136">
            <v>172</v>
          </cell>
          <cell r="T136" t="str">
            <v>中</v>
          </cell>
          <cell r="U136" t="str">
            <v>－</v>
          </cell>
          <cell r="V136" t="str">
            <v>－</v>
          </cell>
          <cell r="W136" t="str">
            <v>－</v>
          </cell>
          <cell r="X136" t="str">
            <v>玄関前（屋根付）2台</v>
          </cell>
        </row>
        <row r="137">
          <cell r="A137">
            <v>2038</v>
          </cell>
          <cell r="B137" t="str">
            <v>京都　東急ホテル</v>
          </cell>
          <cell r="D137">
            <v>408</v>
          </cell>
          <cell r="E137">
            <v>743</v>
          </cell>
          <cell r="J137">
            <v>11</v>
          </cell>
          <cell r="R137" t="str">
            <v>宿泊施設</v>
          </cell>
          <cell r="S137">
            <v>200</v>
          </cell>
          <cell r="T137" t="str">
            <v>－</v>
          </cell>
          <cell r="U137" t="str">
            <v>○</v>
          </cell>
          <cell r="V137" t="str">
            <v>－</v>
          </cell>
          <cell r="W137" t="str">
            <v>－</v>
          </cell>
          <cell r="X137" t="str">
            <v>玄関前（屋根無）2台</v>
          </cell>
        </row>
        <row r="138">
          <cell r="A138">
            <v>2039</v>
          </cell>
          <cell r="B138" t="str">
            <v>ホテル日航プリンセス京都</v>
          </cell>
          <cell r="D138">
            <v>216</v>
          </cell>
          <cell r="E138">
            <v>421</v>
          </cell>
          <cell r="J138">
            <v>9</v>
          </cell>
          <cell r="R138" t="str">
            <v>宿泊施設</v>
          </cell>
          <cell r="S138">
            <v>88</v>
          </cell>
          <cell r="T138" t="str">
            <v>調査中</v>
          </cell>
          <cell r="U138" t="str">
            <v>○</v>
          </cell>
          <cell r="V138" t="str">
            <v>－</v>
          </cell>
          <cell r="W138" t="str">
            <v>調査中</v>
          </cell>
          <cell r="X138" t="str">
            <v>玄関前（屋根無）3台</v>
          </cell>
        </row>
        <row r="139">
          <cell r="A139">
            <v>2040</v>
          </cell>
          <cell r="B139" t="str">
            <v>リーガロイヤルホテル京都</v>
          </cell>
          <cell r="D139">
            <v>489</v>
          </cell>
          <cell r="E139">
            <v>921</v>
          </cell>
          <cell r="J139">
            <v>21</v>
          </cell>
          <cell r="R139" t="str">
            <v>宿泊施設</v>
          </cell>
          <cell r="S139">
            <v>210</v>
          </cell>
          <cell r="T139" t="str">
            <v>－</v>
          </cell>
          <cell r="U139" t="str">
            <v>○</v>
          </cell>
          <cell r="V139" t="str">
            <v>ﾐｽﾄｻｳﾅ</v>
          </cell>
          <cell r="W139" t="str">
            <v>－</v>
          </cell>
          <cell r="X139" t="str">
            <v>玄関前（屋根付）3台</v>
          </cell>
        </row>
        <row r="140">
          <cell r="A140">
            <v>2041</v>
          </cell>
          <cell r="B140" t="str">
            <v>ホテルコンコルド浜松</v>
          </cell>
          <cell r="D140">
            <v>232</v>
          </cell>
          <cell r="E140">
            <v>306</v>
          </cell>
          <cell r="J140">
            <v>10</v>
          </cell>
          <cell r="R140" t="str">
            <v>宿泊施設</v>
          </cell>
          <cell r="S140" t="str">
            <v>調査中</v>
          </cell>
          <cell r="T140" t="str">
            <v>調査中</v>
          </cell>
          <cell r="U140" t="str">
            <v>－</v>
          </cell>
          <cell r="V140" t="str">
            <v>－</v>
          </cell>
          <cell r="W140" t="str">
            <v>調査中</v>
          </cell>
          <cell r="X140" t="str">
            <v>玄関前（屋根付）2台</v>
          </cell>
        </row>
        <row r="141">
          <cell r="A141">
            <v>2042</v>
          </cell>
          <cell r="B141" t="str">
            <v>神戸ポートピアホテル</v>
          </cell>
          <cell r="D141">
            <v>746</v>
          </cell>
          <cell r="E141">
            <v>1320</v>
          </cell>
          <cell r="J141">
            <v>37</v>
          </cell>
          <cell r="R141" t="str">
            <v>宿泊施設</v>
          </cell>
          <cell r="S141">
            <v>117</v>
          </cell>
          <cell r="T141" t="str">
            <v>－</v>
          </cell>
          <cell r="U141" t="str">
            <v>○</v>
          </cell>
          <cell r="V141" t="str">
            <v>○(ｼﾞﾑ内等)</v>
          </cell>
          <cell r="W141" t="str">
            <v>－</v>
          </cell>
          <cell r="X141" t="str">
            <v>専用乗降場所（屋根付）1台</v>
          </cell>
        </row>
        <row r="142">
          <cell r="A142">
            <v>2043</v>
          </cell>
          <cell r="B142" t="str">
            <v>パレスホテル掛川</v>
          </cell>
          <cell r="D142">
            <v>63</v>
          </cell>
          <cell r="E142">
            <v>72</v>
          </cell>
          <cell r="J142">
            <v>11</v>
          </cell>
          <cell r="R142" t="str">
            <v>宿泊施設</v>
          </cell>
          <cell r="S142" t="str">
            <v>調査中</v>
          </cell>
          <cell r="T142" t="str">
            <v>－</v>
          </cell>
          <cell r="U142" t="str">
            <v>－</v>
          </cell>
          <cell r="V142" t="str">
            <v>－</v>
          </cell>
          <cell r="W142" t="str">
            <v>調査中</v>
          </cell>
          <cell r="X142" t="str">
            <v>玄関前（屋根付）1台</v>
          </cell>
        </row>
        <row r="143">
          <cell r="A143">
            <v>2045</v>
          </cell>
          <cell r="B143" t="str">
            <v>クインテッサホテル 大垣</v>
          </cell>
          <cell r="D143">
            <v>98</v>
          </cell>
          <cell r="E143">
            <v>119</v>
          </cell>
          <cell r="J143">
            <v>7</v>
          </cell>
          <cell r="R143" t="str">
            <v>宿泊施設</v>
          </cell>
          <cell r="S143">
            <v>30</v>
          </cell>
          <cell r="T143" t="str">
            <v>中</v>
          </cell>
          <cell r="U143" t="str">
            <v>－</v>
          </cell>
          <cell r="V143" t="str">
            <v>－</v>
          </cell>
          <cell r="W143" t="str">
            <v>○</v>
          </cell>
          <cell r="X143" t="str">
            <v>路上2台</v>
          </cell>
        </row>
        <row r="144">
          <cell r="A144">
            <v>2046</v>
          </cell>
          <cell r="B144" t="str">
            <v>ホテルナガシマ</v>
          </cell>
          <cell r="D144">
            <v>95</v>
          </cell>
          <cell r="E144">
            <v>190</v>
          </cell>
          <cell r="J144">
            <v>1</v>
          </cell>
          <cell r="R144" t="str">
            <v>宿泊施設</v>
          </cell>
          <cell r="S144">
            <v>165</v>
          </cell>
          <cell r="T144" t="str">
            <v>中</v>
          </cell>
          <cell r="U144" t="str">
            <v>－</v>
          </cell>
          <cell r="V144" t="str">
            <v>○</v>
          </cell>
          <cell r="W144" t="str">
            <v>－</v>
          </cell>
          <cell r="X144" t="str">
            <v>玄関前（屋根無）2台</v>
          </cell>
        </row>
        <row r="145">
          <cell r="A145" t="str">
            <v>－</v>
          </cell>
          <cell r="B145" t="str">
            <v>JICA中部</v>
          </cell>
          <cell r="D145">
            <v>80</v>
          </cell>
          <cell r="E145">
            <v>82</v>
          </cell>
          <cell r="J145" t="str">
            <v>調査中</v>
          </cell>
          <cell r="R145" t="str">
            <v>調査中</v>
          </cell>
          <cell r="S145" t="str">
            <v>調査中</v>
          </cell>
          <cell r="T145" t="str">
            <v>中</v>
          </cell>
          <cell r="U145" t="str">
            <v>調査中</v>
          </cell>
          <cell r="V145" t="str">
            <v>調査中</v>
          </cell>
          <cell r="W145" t="str">
            <v>調査中</v>
          </cell>
          <cell r="X145" t="str">
            <v>調査中</v>
          </cell>
        </row>
        <row r="146">
          <cell r="A146">
            <v>1018</v>
          </cell>
          <cell r="B146" t="str">
            <v>アパホテル＜名古屋駅前＞</v>
          </cell>
          <cell r="D146">
            <v>403</v>
          </cell>
          <cell r="E146">
            <v>403</v>
          </cell>
          <cell r="J146">
            <v>0</v>
          </cell>
          <cell r="R146" t="str">
            <v>ケータリング</v>
          </cell>
          <cell r="S146">
            <v>83</v>
          </cell>
          <cell r="T146" t="str">
            <v>高</v>
          </cell>
          <cell r="U146" t="str">
            <v>－</v>
          </cell>
          <cell r="V146" t="str">
            <v>－</v>
          </cell>
          <cell r="W146" t="str">
            <v>○</v>
          </cell>
          <cell r="X146" t="str">
            <v>付近に乗降場無し（路上不可）</v>
          </cell>
        </row>
        <row r="147">
          <cell r="A147">
            <v>80</v>
          </cell>
          <cell r="B147" t="str">
            <v>アパホテル＜名古屋駅前北＞</v>
          </cell>
          <cell r="D147">
            <v>288</v>
          </cell>
          <cell r="E147">
            <v>288</v>
          </cell>
          <cell r="J147">
            <v>0</v>
          </cell>
          <cell r="R147" t="str">
            <v>ケータリング</v>
          </cell>
          <cell r="S147">
            <v>44</v>
          </cell>
          <cell r="T147" t="str">
            <v>高</v>
          </cell>
          <cell r="U147" t="str">
            <v>－</v>
          </cell>
          <cell r="V147" t="str">
            <v>－</v>
          </cell>
          <cell r="W147" t="str">
            <v>○</v>
          </cell>
          <cell r="X147" t="str">
            <v>付近に乗降場無し（路上不可）</v>
          </cell>
        </row>
        <row r="148">
          <cell r="A148">
            <v>61</v>
          </cell>
          <cell r="B148" t="str">
            <v>名鉄イン名古屋駅新幹線口</v>
          </cell>
          <cell r="D148">
            <v>313</v>
          </cell>
          <cell r="E148">
            <v>333</v>
          </cell>
          <cell r="J148">
            <v>0</v>
          </cell>
          <cell r="R148" t="str">
            <v>ケータリング</v>
          </cell>
          <cell r="S148">
            <v>36</v>
          </cell>
          <cell r="T148" t="str">
            <v>高</v>
          </cell>
          <cell r="U148" t="str">
            <v>－</v>
          </cell>
          <cell r="V148" t="str">
            <v>－</v>
          </cell>
          <cell r="W148" t="str">
            <v>○</v>
          </cell>
          <cell r="X148" t="str">
            <v>付近に乗降場無し（路上不可）</v>
          </cell>
        </row>
        <row r="149">
          <cell r="A149">
            <v>160</v>
          </cell>
          <cell r="B149" t="str">
            <v>西鉄ホテルクルーム名古屋</v>
          </cell>
          <cell r="D149">
            <v>242</v>
          </cell>
          <cell r="E149">
            <v>286</v>
          </cell>
          <cell r="J149">
            <v>0</v>
          </cell>
          <cell r="R149" t="str">
            <v>宿泊施設</v>
          </cell>
          <cell r="S149">
            <v>58</v>
          </cell>
          <cell r="T149" t="str">
            <v>中</v>
          </cell>
          <cell r="U149" t="str">
            <v>－</v>
          </cell>
          <cell r="V149" t="str">
            <v>－</v>
          </cell>
          <cell r="W149" t="str">
            <v>○</v>
          </cell>
          <cell r="X149" t="str">
            <v>路上1台</v>
          </cell>
        </row>
        <row r="150">
          <cell r="A150"/>
          <cell r="B150" t="str">
            <v>ホテルラフォーレ修善寺　ゲストハウス棟</v>
          </cell>
          <cell r="D150"/>
          <cell r="E150"/>
          <cell r="J150"/>
          <cell r="R150"/>
          <cell r="S150" t="str">
            <v>調査中</v>
          </cell>
          <cell r="T150" t="str">
            <v>調査中</v>
          </cell>
          <cell r="U150" t="str">
            <v>調査中</v>
          </cell>
          <cell r="V150" t="str">
            <v>調査中</v>
          </cell>
          <cell r="W150" t="str">
            <v>調査中</v>
          </cell>
          <cell r="X150" t="str">
            <v>調査中</v>
          </cell>
        </row>
        <row r="151">
          <cell r="A151">
            <v>114</v>
          </cell>
          <cell r="B151" t="str">
            <v>リッチモンドホテル名古屋納屋橋</v>
          </cell>
          <cell r="D151">
            <v>238</v>
          </cell>
          <cell r="E151">
            <v>261</v>
          </cell>
          <cell r="J151">
            <v>0</v>
          </cell>
          <cell r="R151" t="str">
            <v>ケータリング</v>
          </cell>
          <cell r="S151">
            <v>80</v>
          </cell>
          <cell r="T151" t="str">
            <v>高</v>
          </cell>
          <cell r="U151" t="str">
            <v>－</v>
          </cell>
          <cell r="V151" t="str">
            <v>－</v>
          </cell>
          <cell r="W151" t="str">
            <v>○</v>
          </cell>
          <cell r="X151" t="str">
            <v>路上1台</v>
          </cell>
        </row>
        <row r="152">
          <cell r="A152">
            <v>93</v>
          </cell>
          <cell r="B152" t="str">
            <v>都心の天然温泉　名古屋クラウンホテル</v>
          </cell>
          <cell r="D152">
            <v>580</v>
          </cell>
          <cell r="E152">
            <v>681</v>
          </cell>
          <cell r="J152">
            <v>12</v>
          </cell>
          <cell r="R152" t="str">
            <v>宿泊施設</v>
          </cell>
          <cell r="S152">
            <v>120</v>
          </cell>
          <cell r="T152" t="str">
            <v>中</v>
          </cell>
          <cell r="U152" t="str">
            <v>－</v>
          </cell>
          <cell r="V152" t="str">
            <v>－</v>
          </cell>
          <cell r="W152" t="str">
            <v>○</v>
          </cell>
          <cell r="X152" t="str">
            <v>路上2台</v>
          </cell>
        </row>
        <row r="153">
          <cell r="A153">
            <v>34</v>
          </cell>
          <cell r="B153" t="str">
            <v>サイプレスホテル名古屋駅前</v>
          </cell>
          <cell r="D153">
            <v>271</v>
          </cell>
          <cell r="E153">
            <v>309</v>
          </cell>
          <cell r="J153">
            <v>10</v>
          </cell>
          <cell r="R153" t="str">
            <v>宿泊施設</v>
          </cell>
          <cell r="S153">
            <v>112</v>
          </cell>
          <cell r="T153" t="str">
            <v>中</v>
          </cell>
          <cell r="U153" t="str">
            <v>－</v>
          </cell>
          <cell r="V153" t="str">
            <v>－</v>
          </cell>
          <cell r="W153" t="str">
            <v>○</v>
          </cell>
          <cell r="X153" t="str">
            <v>路上2台</v>
          </cell>
        </row>
        <row r="154">
          <cell r="A154">
            <v>133</v>
          </cell>
          <cell r="B154" t="str">
            <v>アパホテル＜名古屋栄＞</v>
          </cell>
          <cell r="D154">
            <v>400</v>
          </cell>
          <cell r="E154">
            <v>401</v>
          </cell>
          <cell r="J154">
            <v>0</v>
          </cell>
          <cell r="R154" t="str">
            <v>ケータリング</v>
          </cell>
          <cell r="S154">
            <v>75</v>
          </cell>
          <cell r="T154" t="str">
            <v>高</v>
          </cell>
          <cell r="U154" t="str">
            <v>－</v>
          </cell>
          <cell r="V154" t="str">
            <v>－</v>
          </cell>
          <cell r="W154" t="str">
            <v>○</v>
          </cell>
          <cell r="X154" t="str">
            <v>路上1台</v>
          </cell>
        </row>
        <row r="155">
          <cell r="A155" t="str">
            <v>－</v>
          </cell>
          <cell r="B155" t="str">
            <v>ホテルルートインGrand名古屋藤が丘</v>
          </cell>
          <cell r="D155">
            <v>230</v>
          </cell>
          <cell r="E155" t="str">
            <v>調査中</v>
          </cell>
          <cell r="J155" t="str">
            <v>調査中</v>
          </cell>
          <cell r="R155" t="str">
            <v>調査中</v>
          </cell>
          <cell r="S155" t="str">
            <v>調査中</v>
          </cell>
          <cell r="T155" t="str">
            <v>高</v>
          </cell>
          <cell r="U155" t="str">
            <v>調査中</v>
          </cell>
          <cell r="V155" t="str">
            <v>調査中</v>
          </cell>
          <cell r="W155" t="str">
            <v>調査中</v>
          </cell>
          <cell r="X155" t="str">
            <v>調査中</v>
          </cell>
        </row>
        <row r="156">
          <cell r="A156">
            <v>1</v>
          </cell>
          <cell r="B156" t="str">
            <v>アパホテル＜尾張一宮駅前＞</v>
          </cell>
          <cell r="D156">
            <v>75</v>
          </cell>
          <cell r="E156">
            <v>87</v>
          </cell>
          <cell r="J156">
            <v>2</v>
          </cell>
          <cell r="R156" t="str">
            <v>ケータリング</v>
          </cell>
          <cell r="S156">
            <v>30</v>
          </cell>
          <cell r="T156" t="str">
            <v>高</v>
          </cell>
          <cell r="U156" t="str">
            <v>－</v>
          </cell>
          <cell r="V156" t="str">
            <v>－</v>
          </cell>
          <cell r="W156" t="str">
            <v>－</v>
          </cell>
          <cell r="X156" t="str">
            <v>路上</v>
          </cell>
        </row>
        <row r="157">
          <cell r="A157">
            <v>2</v>
          </cell>
          <cell r="B157" t="str">
            <v>東横INN名古屋尾張一宮駅前</v>
          </cell>
          <cell r="D157">
            <v>116</v>
          </cell>
          <cell r="E157">
            <v>116</v>
          </cell>
          <cell r="J157">
            <v>0</v>
          </cell>
          <cell r="R157" t="str">
            <v>ケータリング</v>
          </cell>
          <cell r="S157">
            <v>15</v>
          </cell>
          <cell r="T157" t="str">
            <v>高</v>
          </cell>
          <cell r="U157" t="str">
            <v>－</v>
          </cell>
          <cell r="V157" t="str">
            <v>－</v>
          </cell>
          <cell r="W157" t="str">
            <v>○</v>
          </cell>
          <cell r="X157" t="str">
            <v>路上</v>
          </cell>
        </row>
        <row r="158">
          <cell r="A158">
            <v>4</v>
          </cell>
          <cell r="B158" t="str">
            <v>ホテル　ルートイン一宮駅前</v>
          </cell>
          <cell r="D158">
            <v>149</v>
          </cell>
          <cell r="E158">
            <v>149</v>
          </cell>
          <cell r="J158">
            <v>0</v>
          </cell>
          <cell r="R158" t="str">
            <v>ケータリング</v>
          </cell>
          <cell r="S158">
            <v>43</v>
          </cell>
          <cell r="T158" t="str">
            <v>高</v>
          </cell>
          <cell r="U158" t="str">
            <v>－</v>
          </cell>
          <cell r="V158" t="str">
            <v>－</v>
          </cell>
          <cell r="W158" t="str">
            <v>○</v>
          </cell>
          <cell r="X158" t="str">
            <v>路上1台</v>
          </cell>
        </row>
        <row r="159">
          <cell r="A159">
            <v>1007</v>
          </cell>
          <cell r="B159" t="str">
            <v>ホテルミュースタイル犬山エクスペリエンス</v>
          </cell>
          <cell r="D159">
            <v>118</v>
          </cell>
          <cell r="E159">
            <v>192</v>
          </cell>
          <cell r="J159">
            <v>1</v>
          </cell>
          <cell r="R159" t="str">
            <v>ケータリング</v>
          </cell>
          <cell r="S159">
            <v>72</v>
          </cell>
          <cell r="T159" t="str">
            <v>中</v>
          </cell>
          <cell r="U159" t="str">
            <v>－</v>
          </cell>
          <cell r="V159" t="str">
            <v>○</v>
          </cell>
          <cell r="W159" t="str">
            <v>○</v>
          </cell>
          <cell r="X159" t="str">
            <v>玄関前（屋根無）1台</v>
          </cell>
        </row>
        <row r="160">
          <cell r="A160" t="str">
            <v>－</v>
          </cell>
          <cell r="B160" t="str">
            <v>ホテルルートイン尾張瀬戸駅前</v>
          </cell>
          <cell r="D160">
            <v>245</v>
          </cell>
          <cell r="E160">
            <v>247</v>
          </cell>
          <cell r="J160">
            <v>0</v>
          </cell>
          <cell r="R160" t="str">
            <v>宿泊施設</v>
          </cell>
          <cell r="S160" t="str">
            <v>調査中</v>
          </cell>
          <cell r="T160" t="str">
            <v>高</v>
          </cell>
          <cell r="U160" t="str">
            <v>調査中</v>
          </cell>
          <cell r="V160" t="str">
            <v>－</v>
          </cell>
          <cell r="W160" t="str">
            <v>調査中</v>
          </cell>
          <cell r="X160" t="str">
            <v>調査中</v>
          </cell>
        </row>
        <row r="161">
          <cell r="A161" t="str">
            <v>－</v>
          </cell>
          <cell r="B161" t="str">
            <v>衣浦グランドホテル</v>
          </cell>
          <cell r="D161" t="str">
            <v>調査中</v>
          </cell>
          <cell r="E161" t="str">
            <v>調査中</v>
          </cell>
          <cell r="J161" t="str">
            <v>調査中</v>
          </cell>
          <cell r="R161" t="str">
            <v>調査中</v>
          </cell>
          <cell r="S161" t="str">
            <v>調査中</v>
          </cell>
          <cell r="T161" t="str">
            <v>中</v>
          </cell>
          <cell r="U161" t="str">
            <v>調査中</v>
          </cell>
          <cell r="V161" t="str">
            <v>調査中</v>
          </cell>
          <cell r="W161" t="str">
            <v>調査中</v>
          </cell>
          <cell r="X161" t="str">
            <v>調査中</v>
          </cell>
        </row>
        <row r="162">
          <cell r="A162">
            <v>219</v>
          </cell>
          <cell r="B162" t="str">
            <v>東横INN三河安城駅新幹線南口２</v>
          </cell>
          <cell r="D162">
            <v>246</v>
          </cell>
          <cell r="E162">
            <v>247</v>
          </cell>
          <cell r="J162">
            <v>0</v>
          </cell>
          <cell r="R162" t="str">
            <v>ケータリング</v>
          </cell>
          <cell r="S162">
            <v>40</v>
          </cell>
          <cell r="T162" t="str">
            <v>高</v>
          </cell>
          <cell r="U162" t="str">
            <v>－</v>
          </cell>
          <cell r="V162" t="str">
            <v>－</v>
          </cell>
          <cell r="W162" t="str">
            <v>○</v>
          </cell>
          <cell r="X162" t="str">
            <v>路上1台</v>
          </cell>
        </row>
        <row r="163">
          <cell r="A163">
            <v>220</v>
          </cell>
          <cell r="B163" t="str">
            <v>東横INN三河安城駅新幹線南口１</v>
          </cell>
          <cell r="D163">
            <v>143</v>
          </cell>
          <cell r="E163">
            <v>144</v>
          </cell>
          <cell r="J163">
            <v>0</v>
          </cell>
          <cell r="R163" t="str">
            <v>ケータリング</v>
          </cell>
          <cell r="S163">
            <v>16</v>
          </cell>
          <cell r="T163" t="str">
            <v>高</v>
          </cell>
          <cell r="U163" t="str">
            <v>－</v>
          </cell>
          <cell r="V163" t="str">
            <v>－</v>
          </cell>
          <cell r="W163" t="str">
            <v>○</v>
          </cell>
          <cell r="X163" t="str">
            <v>路上1台</v>
          </cell>
        </row>
        <row r="164">
          <cell r="A164" t="str">
            <v>－</v>
          </cell>
          <cell r="B164" t="str">
            <v>オースタット国際ホテル多治見</v>
          </cell>
          <cell r="D164">
            <v>112</v>
          </cell>
          <cell r="E164">
            <v>170</v>
          </cell>
          <cell r="J164">
            <v>3</v>
          </cell>
          <cell r="R164" t="str">
            <v>宿泊施設</v>
          </cell>
          <cell r="S164" t="str">
            <v>調査中</v>
          </cell>
          <cell r="T164" t="str">
            <v>中</v>
          </cell>
          <cell r="U164" t="str">
            <v>調査中</v>
          </cell>
          <cell r="V164" t="str">
            <v>－</v>
          </cell>
          <cell r="W164" t="str">
            <v>調査中</v>
          </cell>
          <cell r="X164" t="str">
            <v>調査中</v>
          </cell>
        </row>
        <row r="165">
          <cell r="A165">
            <v>2047</v>
          </cell>
          <cell r="B165" t="str">
            <v>ラビスタ東京ベイ</v>
          </cell>
          <cell r="D165">
            <v>570</v>
          </cell>
          <cell r="E165">
            <v>972</v>
          </cell>
          <cell r="J165" t="str">
            <v>調査中</v>
          </cell>
          <cell r="R165" t="str">
            <v>宿泊施設</v>
          </cell>
          <cell r="S165" t="str">
            <v>調査中</v>
          </cell>
          <cell r="T165" t="str">
            <v>低</v>
          </cell>
          <cell r="U165" t="str">
            <v>調査中</v>
          </cell>
          <cell r="V165" t="str">
            <v>○</v>
          </cell>
          <cell r="W165" t="str">
            <v>調査中</v>
          </cell>
          <cell r="X165" t="str">
            <v>調査中</v>
          </cell>
        </row>
        <row r="166">
          <cell r="A166" t="str">
            <v>－</v>
          </cell>
          <cell r="B166" t="str">
            <v>日本青年館ホテル</v>
          </cell>
          <cell r="D166">
            <v>220</v>
          </cell>
          <cell r="E166" t="str">
            <v>調査中</v>
          </cell>
          <cell r="J166" t="str">
            <v>調査中</v>
          </cell>
          <cell r="R166" t="str">
            <v>調査中</v>
          </cell>
          <cell r="S166" t="str">
            <v>調査中</v>
          </cell>
          <cell r="T166" t="str">
            <v>－</v>
          </cell>
          <cell r="U166" t="str">
            <v>調査中</v>
          </cell>
          <cell r="V166" t="str">
            <v>－</v>
          </cell>
          <cell r="W166" t="str">
            <v>調査中</v>
          </cell>
          <cell r="X166" t="str">
            <v>調査中</v>
          </cell>
        </row>
        <row r="167">
          <cell r="A167"/>
          <cell r="B167" t="str">
            <v>東京ベイ潮見プリンスホテル</v>
          </cell>
          <cell r="D167">
            <v>605</v>
          </cell>
          <cell r="E167">
            <v>1210</v>
          </cell>
          <cell r="J167">
            <v>1</v>
          </cell>
          <cell r="R167" t="str">
            <v>宿泊施設</v>
          </cell>
          <cell r="S167">
            <v>420</v>
          </cell>
          <cell r="T167" t="str">
            <v>調査中</v>
          </cell>
          <cell r="U167" t="str">
            <v>○</v>
          </cell>
          <cell r="V167" t="str">
            <v>○</v>
          </cell>
          <cell r="W167" t="str">
            <v>○</v>
          </cell>
          <cell r="X167" t="str">
            <v>玄関前（屋根無）4台</v>
          </cell>
        </row>
        <row r="168">
          <cell r="A168" t="str">
            <v/>
          </cell>
          <cell r="B168" t="str">
            <v>ホテルKOYO別館</v>
          </cell>
          <cell r="D168"/>
          <cell r="E168"/>
          <cell r="J168"/>
          <cell r="R168" t="str">
            <v>調査中</v>
          </cell>
          <cell r="S168" t="str">
            <v>調査中</v>
          </cell>
          <cell r="T168" t="str">
            <v>調査中</v>
          </cell>
          <cell r="U168" t="str">
            <v>調査中</v>
          </cell>
          <cell r="V168" t="str">
            <v>－</v>
          </cell>
          <cell r="W168" t="str">
            <v>調査中</v>
          </cell>
          <cell r="X168" t="str">
            <v>調査中</v>
          </cell>
        </row>
        <row r="169">
          <cell r="A169" t="str">
            <v/>
          </cell>
          <cell r="B169" t="str">
            <v>ホテルリステル浜名湖</v>
          </cell>
          <cell r="D169"/>
          <cell r="E169"/>
          <cell r="J169"/>
          <cell r="R169" t="str">
            <v>調査中</v>
          </cell>
          <cell r="S169" t="str">
            <v>調査中</v>
          </cell>
          <cell r="T169" t="str">
            <v>調査中</v>
          </cell>
          <cell r="U169" t="str">
            <v>調査中</v>
          </cell>
          <cell r="V169" t="str">
            <v>○</v>
          </cell>
          <cell r="W169" t="str">
            <v>調査中</v>
          </cell>
          <cell r="X169" t="str">
            <v>調査中</v>
          </cell>
        </row>
        <row r="170">
          <cell r="A170" t="str">
            <v/>
          </cell>
          <cell r="B170" t="str">
            <v>浜名湖レークサイド</v>
          </cell>
          <cell r="D170"/>
          <cell r="E170"/>
          <cell r="J170"/>
          <cell r="R170" t="str">
            <v>調査中</v>
          </cell>
          <cell r="S170" t="str">
            <v>調査中</v>
          </cell>
          <cell r="T170" t="str">
            <v>調査中</v>
          </cell>
          <cell r="U170" t="str">
            <v>調査中</v>
          </cell>
          <cell r="V170" t="str">
            <v>○</v>
          </cell>
          <cell r="W170" t="str">
            <v>調査中</v>
          </cell>
          <cell r="X170" t="str">
            <v>調査中</v>
          </cell>
        </row>
        <row r="171">
          <cell r="A171" t="str">
            <v/>
          </cell>
          <cell r="B171" t="str">
            <v>グリーンプラザ浜名湖</v>
          </cell>
          <cell r="D171"/>
          <cell r="E171"/>
          <cell r="J171"/>
          <cell r="R171" t="str">
            <v>調査中</v>
          </cell>
          <cell r="S171" t="str">
            <v>調査中</v>
          </cell>
          <cell r="T171" t="str">
            <v>調査中</v>
          </cell>
          <cell r="U171" t="str">
            <v>調査中</v>
          </cell>
          <cell r="V171" t="str">
            <v>－</v>
          </cell>
          <cell r="W171" t="str">
            <v>調査中</v>
          </cell>
          <cell r="X171" t="str">
            <v>調査中</v>
          </cell>
        </row>
        <row r="172">
          <cell r="A172" t="str">
            <v/>
          </cell>
          <cell r="B172" t="str">
            <v>東急ハーヴェストクラブ浜名湖</v>
          </cell>
          <cell r="D172"/>
          <cell r="E172"/>
          <cell r="J172"/>
          <cell r="R172" t="str">
            <v>調査中</v>
          </cell>
          <cell r="S172" t="str">
            <v>調査中</v>
          </cell>
          <cell r="T172" t="str">
            <v>調査中</v>
          </cell>
          <cell r="U172" t="str">
            <v>調査中</v>
          </cell>
          <cell r="V172" t="str">
            <v>○</v>
          </cell>
          <cell r="W172" t="str">
            <v>調査中</v>
          </cell>
          <cell r="X172" t="str">
            <v>調査中</v>
          </cell>
        </row>
        <row r="173">
          <cell r="A173" t="str">
            <v/>
          </cell>
          <cell r="B173" t="str">
            <v>スポーツマンハウス鈴鹿</v>
          </cell>
          <cell r="D173"/>
          <cell r="E173">
            <v>66</v>
          </cell>
          <cell r="J173"/>
          <cell r="R173" t="str">
            <v>宿泊施設</v>
          </cell>
          <cell r="S173" t="str">
            <v>調査中</v>
          </cell>
          <cell r="T173" t="str">
            <v>調査中</v>
          </cell>
          <cell r="U173" t="str">
            <v>調査中</v>
          </cell>
          <cell r="V173" t="str">
            <v>○</v>
          </cell>
          <cell r="W173" t="str">
            <v>調査中</v>
          </cell>
          <cell r="X173" t="str">
            <v>調査中</v>
          </cell>
        </row>
        <row r="174">
          <cell r="A174" t="str">
            <v/>
          </cell>
          <cell r="B174" t="str">
            <v>鈴鹿サーキットホテル THE MAIN</v>
          </cell>
          <cell r="D174"/>
          <cell r="E174">
            <v>152</v>
          </cell>
          <cell r="J174"/>
          <cell r="R174" t="str">
            <v>宿泊施設</v>
          </cell>
          <cell r="S174" t="str">
            <v>調査中</v>
          </cell>
          <cell r="T174" t="str">
            <v>調査中</v>
          </cell>
          <cell r="U174" t="str">
            <v>調査中</v>
          </cell>
          <cell r="V174" t="str">
            <v>－</v>
          </cell>
          <cell r="W174" t="str">
            <v>調査中</v>
          </cell>
          <cell r="X174" t="str">
            <v>調査中</v>
          </cell>
        </row>
        <row r="175">
          <cell r="A175">
            <v>51</v>
          </cell>
          <cell r="B175" t="str">
            <v>ダイワロイネットホテル名古屋新幹線口</v>
          </cell>
          <cell r="D175">
            <v>165</v>
          </cell>
          <cell r="E175">
            <v>207</v>
          </cell>
          <cell r="J175">
            <v>1</v>
          </cell>
          <cell r="R175" t="str">
            <v>ケータリング</v>
          </cell>
          <cell r="S175" t="str">
            <v>調査中</v>
          </cell>
          <cell r="T175" t="str">
            <v>調査中</v>
          </cell>
          <cell r="U175" t="str">
            <v>－</v>
          </cell>
          <cell r="V175" t="str">
            <v>－</v>
          </cell>
          <cell r="W175" t="str">
            <v>調査中</v>
          </cell>
          <cell r="X175" t="str">
            <v>付近に乗降場無し（路上不可）</v>
          </cell>
        </row>
        <row r="176">
          <cell r="A176" t="str">
            <v/>
          </cell>
          <cell r="B176" t="str">
            <v>DEL style 名古屋納屋橋（旧：ダイワロイネットホテル名古屋納屋橋）</v>
          </cell>
          <cell r="D176">
            <v>246</v>
          </cell>
          <cell r="E176">
            <v>342</v>
          </cell>
          <cell r="J176">
            <v>0</v>
          </cell>
          <cell r="R176" t="str">
            <v>ケータリング</v>
          </cell>
          <cell r="S176">
            <v>62</v>
          </cell>
          <cell r="T176" t="str">
            <v>調査中</v>
          </cell>
          <cell r="U176" t="str">
            <v>調査中</v>
          </cell>
          <cell r="V176" t="str">
            <v>－</v>
          </cell>
          <cell r="W176" t="str">
            <v>調査中</v>
          </cell>
          <cell r="X176" t="str">
            <v>調査中</v>
          </cell>
        </row>
        <row r="177">
          <cell r="A177">
            <v>1004</v>
          </cell>
          <cell r="B177" t="str">
            <v>モンブランホテルラフィネ名古屋駅前</v>
          </cell>
          <cell r="D177">
            <v>239</v>
          </cell>
          <cell r="E177">
            <v>289</v>
          </cell>
          <cell r="J177">
            <v>1</v>
          </cell>
          <cell r="R177" t="str">
            <v>宿泊施設</v>
          </cell>
          <cell r="S177">
            <v>69</v>
          </cell>
          <cell r="T177" t="str">
            <v>調査中</v>
          </cell>
          <cell r="U177" t="str">
            <v>－</v>
          </cell>
          <cell r="V177" t="str">
            <v>－</v>
          </cell>
          <cell r="W177" t="str">
            <v>調査中</v>
          </cell>
          <cell r="X177" t="str">
            <v>路上1台</v>
          </cell>
        </row>
        <row r="178">
          <cell r="A178">
            <v>103</v>
          </cell>
          <cell r="B178" t="str">
            <v>名古屋ビーズホテル</v>
          </cell>
          <cell r="D178">
            <v>324</v>
          </cell>
          <cell r="E178">
            <v>358</v>
          </cell>
          <cell r="J178">
            <v>0</v>
          </cell>
          <cell r="R178" t="str">
            <v>ケータリング</v>
          </cell>
          <cell r="S178">
            <v>70</v>
          </cell>
          <cell r="T178" t="str">
            <v>調査中</v>
          </cell>
          <cell r="U178" t="str">
            <v>○</v>
          </cell>
          <cell r="V178" t="str">
            <v>○</v>
          </cell>
          <cell r="W178" t="str">
            <v>調査中</v>
          </cell>
          <cell r="X178" t="str">
            <v>路上1台</v>
          </cell>
        </row>
        <row r="179">
          <cell r="A179">
            <v>165</v>
          </cell>
          <cell r="B179" t="str">
            <v>ホテル京阪　名古屋</v>
          </cell>
          <cell r="D179">
            <v>247</v>
          </cell>
          <cell r="E179">
            <v>360</v>
          </cell>
          <cell r="J179">
            <v>0</v>
          </cell>
          <cell r="R179" t="str">
            <v>ケータリング</v>
          </cell>
          <cell r="S179">
            <v>88</v>
          </cell>
          <cell r="T179" t="str">
            <v>調査中</v>
          </cell>
          <cell r="U179" t="str">
            <v>－</v>
          </cell>
          <cell r="V179" t="str">
            <v>－</v>
          </cell>
          <cell r="W179" t="str">
            <v>調査中</v>
          </cell>
          <cell r="X179" t="str">
            <v>路上1台</v>
          </cell>
        </row>
        <row r="180">
          <cell r="A180">
            <v>168</v>
          </cell>
          <cell r="B180" t="str">
            <v>ホテルフォルツァ名古屋栄</v>
          </cell>
          <cell r="D180">
            <v>195</v>
          </cell>
          <cell r="E180">
            <v>247</v>
          </cell>
          <cell r="J180">
            <v>0</v>
          </cell>
          <cell r="R180" t="str">
            <v>ケータリング</v>
          </cell>
          <cell r="S180">
            <v>45</v>
          </cell>
          <cell r="T180" t="str">
            <v>調査中</v>
          </cell>
          <cell r="U180" t="str">
            <v>－</v>
          </cell>
          <cell r="V180" t="str">
            <v>－</v>
          </cell>
          <cell r="W180" t="str">
            <v>調査中</v>
          </cell>
          <cell r="X180" t="str">
            <v>路上1台</v>
          </cell>
        </row>
        <row r="181">
          <cell r="A181">
            <v>158</v>
          </cell>
          <cell r="B181" t="str">
            <v>ベッセルイン栄駅前</v>
          </cell>
          <cell r="D181">
            <v>225</v>
          </cell>
          <cell r="E181">
            <v>237</v>
          </cell>
          <cell r="J181">
            <v>0</v>
          </cell>
          <cell r="R181" t="str">
            <v>ケータリング</v>
          </cell>
          <cell r="S181">
            <v>87</v>
          </cell>
          <cell r="T181" t="str">
            <v>調査中</v>
          </cell>
          <cell r="U181" t="str">
            <v>－</v>
          </cell>
          <cell r="V181" t="str">
            <v>－</v>
          </cell>
          <cell r="W181" t="str">
            <v>調査中</v>
          </cell>
          <cell r="X181" t="str">
            <v>路上1台</v>
          </cell>
        </row>
        <row r="182">
          <cell r="A182">
            <v>111</v>
          </cell>
          <cell r="B182" t="str">
            <v>アパホテル&lt;名古屋錦&gt; EXCELLENT</v>
          </cell>
          <cell r="D182">
            <v>250</v>
          </cell>
          <cell r="E182">
            <v>264</v>
          </cell>
          <cell r="J182">
            <v>4</v>
          </cell>
          <cell r="R182" t="str">
            <v>ケータリング</v>
          </cell>
          <cell r="S182">
            <v>26</v>
          </cell>
          <cell r="T182" t="str">
            <v>調査中</v>
          </cell>
          <cell r="U182" t="str">
            <v>○</v>
          </cell>
          <cell r="V182" t="str">
            <v>－</v>
          </cell>
          <cell r="W182" t="str">
            <v>○</v>
          </cell>
          <cell r="X182" t="str">
            <v>路上1台</v>
          </cell>
        </row>
        <row r="183">
          <cell r="A183">
            <v>124</v>
          </cell>
          <cell r="B183" t="str">
            <v>ホテルルートイン名古屋栄</v>
          </cell>
          <cell r="D183">
            <v>363</v>
          </cell>
          <cell r="E183">
            <v>363</v>
          </cell>
          <cell r="J183">
            <v>0</v>
          </cell>
          <cell r="R183" t="str">
            <v>ケータリング</v>
          </cell>
          <cell r="S183">
            <v>107</v>
          </cell>
          <cell r="T183" t="str">
            <v>調査中</v>
          </cell>
          <cell r="U183" t="str">
            <v>－</v>
          </cell>
          <cell r="V183" t="str">
            <v>－</v>
          </cell>
          <cell r="W183" t="str">
            <v>調査中</v>
          </cell>
          <cell r="X183" t="str">
            <v>路上1台</v>
          </cell>
        </row>
        <row r="184">
          <cell r="A184">
            <v>118</v>
          </cell>
          <cell r="B184" t="str">
            <v>ホテルルートイン名古屋東別院</v>
          </cell>
          <cell r="D184">
            <v>230</v>
          </cell>
          <cell r="E184">
            <v>230</v>
          </cell>
          <cell r="J184">
            <v>0</v>
          </cell>
          <cell r="R184" t="str">
            <v>宿泊施設</v>
          </cell>
          <cell r="S184">
            <v>45</v>
          </cell>
          <cell r="T184" t="str">
            <v>調査中</v>
          </cell>
          <cell r="U184" t="str">
            <v>－</v>
          </cell>
          <cell r="V184" t="str">
            <v>－</v>
          </cell>
          <cell r="W184" t="str">
            <v>調査中</v>
          </cell>
          <cell r="X184" t="str">
            <v>路上1台</v>
          </cell>
        </row>
        <row r="185">
          <cell r="A185">
            <v>22</v>
          </cell>
          <cell r="B185" t="str">
            <v>ホテルルートイン　名古屋今池駅前</v>
          </cell>
          <cell r="D185">
            <v>262</v>
          </cell>
          <cell r="E185">
            <v>262</v>
          </cell>
          <cell r="J185">
            <v>0</v>
          </cell>
          <cell r="R185" t="str">
            <v>ケータリング</v>
          </cell>
          <cell r="S185">
            <v>82</v>
          </cell>
          <cell r="T185" t="str">
            <v>高</v>
          </cell>
          <cell r="U185" t="str">
            <v>－</v>
          </cell>
          <cell r="V185" t="str">
            <v>－</v>
          </cell>
          <cell r="W185" t="str">
            <v>調査中</v>
          </cell>
          <cell r="X185" t="str">
            <v>路上1台</v>
          </cell>
        </row>
        <row r="186">
          <cell r="A186" t="str">
            <v/>
          </cell>
          <cell r="B186" t="str">
            <v>ホテルルートイン愛知東郷町</v>
          </cell>
          <cell r="D186">
            <v>170</v>
          </cell>
          <cell r="E186" t="str">
            <v>調査中</v>
          </cell>
          <cell r="J186" t="str">
            <v>調査中</v>
          </cell>
          <cell r="R186" t="str">
            <v>調査中</v>
          </cell>
          <cell r="S186" t="str">
            <v>－</v>
          </cell>
          <cell r="T186" t="str">
            <v>調査中</v>
          </cell>
          <cell r="U186" t="str">
            <v>調査中</v>
          </cell>
          <cell r="V186" t="str">
            <v>－</v>
          </cell>
          <cell r="W186" t="str">
            <v>調査中</v>
          </cell>
          <cell r="X186" t="str">
            <v>調査中</v>
          </cell>
        </row>
        <row r="187">
          <cell r="A187">
            <v>60</v>
          </cell>
          <cell r="B187" t="str">
            <v>ダイワロイネットホテル名古屋太閤通口</v>
          </cell>
          <cell r="D187">
            <v>272</v>
          </cell>
          <cell r="E187">
            <v>342</v>
          </cell>
          <cell r="J187" t="str">
            <v>－</v>
          </cell>
          <cell r="R187" t="str">
            <v>ケータリング</v>
          </cell>
          <cell r="S187">
            <v>60</v>
          </cell>
          <cell r="T187" t="str">
            <v>調査中</v>
          </cell>
          <cell r="U187" t="str">
            <v>－</v>
          </cell>
          <cell r="V187" t="str">
            <v>－</v>
          </cell>
          <cell r="W187" t="str">
            <v>調査中</v>
          </cell>
          <cell r="X187" t="str">
            <v>路上1台</v>
          </cell>
        </row>
        <row r="188">
          <cell r="A188">
            <v>64</v>
          </cell>
          <cell r="B188" t="str">
            <v>名古屋プリンスホテル スカイタワー</v>
          </cell>
          <cell r="D188">
            <v>265</v>
          </cell>
          <cell r="E188">
            <v>265</v>
          </cell>
          <cell r="J188">
            <v>0</v>
          </cell>
          <cell r="R188" t="str">
            <v>宿泊施設</v>
          </cell>
          <cell r="S188">
            <v>100</v>
          </cell>
          <cell r="T188" t="str">
            <v>調査中</v>
          </cell>
          <cell r="U188" t="str">
            <v>○</v>
          </cell>
          <cell r="V188" t="str">
            <v>－</v>
          </cell>
          <cell r="W188" t="str">
            <v>－</v>
          </cell>
          <cell r="X188" t="str">
            <v>専用乗降場所（屋根付）1台</v>
          </cell>
        </row>
        <row r="189">
          <cell r="A189">
            <v>94</v>
          </cell>
          <cell r="B189" t="str">
            <v>ヒルトン名古屋</v>
          </cell>
          <cell r="D189">
            <v>460</v>
          </cell>
          <cell r="E189">
            <v>662</v>
          </cell>
          <cell r="J189">
            <v>17</v>
          </cell>
          <cell r="R189" t="str">
            <v>宿泊施設</v>
          </cell>
          <cell r="S189">
            <v>240</v>
          </cell>
          <cell r="T189" t="str">
            <v>調査中</v>
          </cell>
          <cell r="U189" t="str">
            <v>○</v>
          </cell>
          <cell r="V189" t="str">
            <v>○</v>
          </cell>
          <cell r="W189" t="str">
            <v>－</v>
          </cell>
          <cell r="X189" t="str">
            <v>玄関前（屋根付）1台</v>
          </cell>
        </row>
        <row r="190">
          <cell r="A190">
            <v>99</v>
          </cell>
          <cell r="B190" t="str">
            <v>名古屋ガーデンパレス</v>
          </cell>
          <cell r="D190">
            <v>178</v>
          </cell>
          <cell r="E190">
            <v>205</v>
          </cell>
          <cell r="J190">
            <v>2</v>
          </cell>
          <cell r="R190" t="str">
            <v>宿泊施設</v>
          </cell>
          <cell r="S190">
            <v>40</v>
          </cell>
          <cell r="T190" t="str">
            <v>調査中</v>
          </cell>
          <cell r="U190" t="str">
            <v>－</v>
          </cell>
          <cell r="V190" t="str">
            <v>－</v>
          </cell>
          <cell r="W190" t="str">
            <v>○</v>
          </cell>
          <cell r="X190" t="str">
            <v>路上1台</v>
          </cell>
        </row>
        <row r="191">
          <cell r="A191">
            <v>101</v>
          </cell>
          <cell r="B191" t="str">
            <v>東京第一ホテル錦</v>
          </cell>
          <cell r="D191">
            <v>233</v>
          </cell>
          <cell r="E191">
            <v>274</v>
          </cell>
          <cell r="J191">
            <v>5</v>
          </cell>
          <cell r="R191" t="str">
            <v>宿泊施設</v>
          </cell>
          <cell r="S191" t="str">
            <v>調査中</v>
          </cell>
          <cell r="T191" t="str">
            <v>調査中</v>
          </cell>
          <cell r="U191" t="str">
            <v>－</v>
          </cell>
          <cell r="V191" t="str">
            <v>－</v>
          </cell>
          <cell r="W191" t="str">
            <v>○</v>
          </cell>
          <cell r="X191" t="str">
            <v>路上1台</v>
          </cell>
        </row>
        <row r="192">
          <cell r="A192">
            <v>1027</v>
          </cell>
          <cell r="B192" t="str">
            <v>TIAD</v>
          </cell>
          <cell r="D192">
            <v>150</v>
          </cell>
          <cell r="E192">
            <v>216</v>
          </cell>
          <cell r="J192"/>
          <cell r="R192" t="str">
            <v>宿泊施設</v>
          </cell>
          <cell r="S192">
            <v>165</v>
          </cell>
          <cell r="T192" t="str">
            <v>調査中</v>
          </cell>
          <cell r="U192" t="str">
            <v>○</v>
          </cell>
          <cell r="V192" t="str">
            <v>○</v>
          </cell>
          <cell r="W192" t="str">
            <v>－</v>
          </cell>
          <cell r="X192" t="str">
            <v>路上</v>
          </cell>
        </row>
        <row r="193">
          <cell r="B193" t="str">
            <v>ベストウェスタンプラス名古屋栄</v>
          </cell>
          <cell r="D193">
            <v>143</v>
          </cell>
          <cell r="E193">
            <v>242</v>
          </cell>
          <cell r="J193"/>
          <cell r="R193" t="str">
            <v>宿泊施設</v>
          </cell>
          <cell r="S193">
            <v>50</v>
          </cell>
          <cell r="T193" t="str">
            <v>調査中</v>
          </cell>
          <cell r="U193" t="str">
            <v>－</v>
          </cell>
          <cell r="V193" t="str">
            <v>－</v>
          </cell>
          <cell r="W193" t="str">
            <v>－</v>
          </cell>
          <cell r="X193" t="str">
            <v>路上</v>
          </cell>
        </row>
        <row r="194">
          <cell r="A194"/>
          <cell r="B194" t="str">
            <v>グリーンリッチホテル名古屋錦</v>
          </cell>
          <cell r="D194" t="str">
            <v>調査中</v>
          </cell>
          <cell r="E194" t="str">
            <v>調査中</v>
          </cell>
          <cell r="J194" t="str">
            <v>調査中</v>
          </cell>
          <cell r="R194"/>
          <cell r="S194"/>
          <cell r="T194"/>
          <cell r="U194"/>
          <cell r="V194"/>
          <cell r="W194"/>
          <cell r="X194"/>
        </row>
        <row r="195">
          <cell r="A195"/>
          <cell r="B195" t="str">
            <v>名古屋マリオットアソシアホテル</v>
          </cell>
          <cell r="D195"/>
          <cell r="E195"/>
          <cell r="J195"/>
          <cell r="R195"/>
          <cell r="S195" t="str">
            <v>調査中</v>
          </cell>
          <cell r="T195" t="str">
            <v>調査中</v>
          </cell>
          <cell r="U195" t="str">
            <v>調査中</v>
          </cell>
          <cell r="V195" t="str">
            <v>調査中</v>
          </cell>
          <cell r="W195" t="str">
            <v>調査中</v>
          </cell>
          <cell r="X195" t="str">
            <v>調査中</v>
          </cell>
        </row>
        <row r="196">
          <cell r="A196" t="str">
            <v>－</v>
          </cell>
          <cell r="B196" t="str">
            <v>エスパシオ　ナゴヤキャッスル</v>
          </cell>
          <cell r="D196">
            <v>108</v>
          </cell>
          <cell r="E196" t="str">
            <v>調査中</v>
          </cell>
          <cell r="J196"/>
          <cell r="R196" t="str">
            <v>宿泊施設</v>
          </cell>
          <cell r="S196">
            <v>165</v>
          </cell>
          <cell r="T196" t="str">
            <v>調査中</v>
          </cell>
          <cell r="U196" t="str">
            <v>－</v>
          </cell>
          <cell r="V196" t="str">
            <v>○</v>
          </cell>
          <cell r="W196" t="str">
            <v>調査中</v>
          </cell>
          <cell r="X196" t="str">
            <v>－</v>
          </cell>
        </row>
        <row r="197">
          <cell r="A197" t="str">
            <v/>
          </cell>
          <cell r="B197" t="str">
            <v>【代替案：トヨタスポーツセンター】</v>
          </cell>
          <cell r="D197"/>
          <cell r="E197"/>
          <cell r="J197"/>
          <cell r="R197"/>
          <cell r="S197" t="str">
            <v>調査中</v>
          </cell>
          <cell r="T197"/>
          <cell r="U197" t="str">
            <v>調査中</v>
          </cell>
          <cell r="V197" t="str">
            <v>調査中</v>
          </cell>
          <cell r="W197" t="str">
            <v>調査中</v>
          </cell>
          <cell r="X197" t="str">
            <v>調査中</v>
          </cell>
        </row>
        <row r="198">
          <cell r="A198" t="str">
            <v/>
          </cell>
          <cell r="B198" t="str">
            <v>※ハイブリッド方式を想定</v>
          </cell>
          <cell r="D198"/>
          <cell r="E198"/>
          <cell r="J198"/>
          <cell r="R198"/>
          <cell r="S198" t="str">
            <v>調査中</v>
          </cell>
          <cell r="T198"/>
          <cell r="U198" t="str">
            <v>調査中</v>
          </cell>
          <cell r="V198" t="str">
            <v>調査中</v>
          </cell>
          <cell r="W198" t="str">
            <v>調査中</v>
          </cell>
          <cell r="X198" t="str">
            <v>調査中</v>
          </cell>
        </row>
        <row r="199">
          <cell r="A199" t="str">
            <v/>
          </cell>
          <cell r="B199" t="str">
            <v>【ホテルシップ】</v>
          </cell>
          <cell r="D199">
            <v>1500</v>
          </cell>
          <cell r="E199">
            <v>3700</v>
          </cell>
          <cell r="J199" t="str">
            <v>調査中</v>
          </cell>
          <cell r="R199" t="str">
            <v>宿泊施設</v>
          </cell>
          <cell r="S199" t="str">
            <v>調査中</v>
          </cell>
          <cell r="T199" t="str">
            <v>調査中</v>
          </cell>
          <cell r="U199" t="str">
            <v>○</v>
          </cell>
          <cell r="V199" t="str">
            <v>○</v>
          </cell>
          <cell r="W199" t="str">
            <v>－</v>
          </cell>
          <cell r="X199" t="str">
            <v>調査中</v>
          </cell>
        </row>
        <row r="200">
          <cell r="B200" t="str">
            <v>－</v>
          </cell>
          <cell r="S200" t="str">
            <v>調査中</v>
          </cell>
          <cell r="T200" t="str">
            <v>調査中</v>
          </cell>
          <cell r="U200" t="str">
            <v>調査中</v>
          </cell>
          <cell r="V200" t="str">
            <v>調査中</v>
          </cell>
          <cell r="W200" t="str">
            <v>調査中</v>
          </cell>
          <cell r="X200" t="str">
            <v>調査中</v>
          </cell>
        </row>
      </sheetData>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参考】アジアパラ（202407末時点)"/>
      <sheetName val="【20240925】アジア競技大会配宿シュミレーション"/>
      <sheetName val="アジア選手（0913試行更新版）"/>
      <sheetName val="宿泊施設DB"/>
      <sheetName val="②配宿シュミレーション(12,600人ver) "/>
      <sheetName val="競技情報DB(12,600人ver) "/>
      <sheetName val="アジア練習会場承認状況"/>
      <sheetName val="【202406総長説明用】アジア選手団宿泊施設想定"/>
      <sheetName val="没"/>
      <sheetName val="①配宿シュミレーション(15,000人ver)"/>
      <sheetName val="競技情報DB(15,000人ver)"/>
      <sheetName val="②配宿シュミレーション(12,000人ver)"/>
      <sheetName val="競技情報DB(12,000人ver)"/>
      <sheetName val="宿泊施設DBマスター"/>
      <sheetName val="和風旅館まとめ"/>
      <sheetName val="【個別検討①】蒲郡(西浦)温泉郷"/>
      <sheetName val="【個別検討②】バレーボール"/>
      <sheetName val="【個別検討②’】岡崎会場施設候補エリア図"/>
      <sheetName val="【個別検討③】サッカー日程（15,000・12,000共通)"/>
      <sheetName val="【個別検討③'】サッカー配宿施設整理"/>
      <sheetName val="パラ4,000人ver(20240606時点)"/>
      <sheetName val="【アジア】競技団体等要望とりまとめ"/>
      <sheetName val="【アジアパラ】競技団体等要望とりまとめ"/>
      <sheetName val="【参考】計量・サウナに係る競技課ヒアリング"/>
    </sheetNames>
    <sheetDataSet>
      <sheetData sheetId="0"/>
      <sheetData sheetId="1"/>
      <sheetData sheetId="2"/>
      <sheetData sheetId="3">
        <row r="3">
          <cell r="A3">
            <v>7</v>
          </cell>
          <cell r="B3" t="str">
            <v>一宮グリーンホテル</v>
          </cell>
          <cell r="D3">
            <v>44</v>
          </cell>
          <cell r="E3">
            <v>44</v>
          </cell>
          <cell r="J3">
            <v>1</v>
          </cell>
          <cell r="R3" t="str">
            <v>宿泊施設</v>
          </cell>
          <cell r="S3">
            <v>50</v>
          </cell>
          <cell r="T3" t="str">
            <v>高</v>
          </cell>
          <cell r="U3" t="str">
            <v>－</v>
          </cell>
          <cell r="V3" t="str">
            <v>－</v>
          </cell>
          <cell r="W3" t="str">
            <v>○</v>
          </cell>
          <cell r="X3" t="str">
            <v>路上1台</v>
          </cell>
        </row>
        <row r="4">
          <cell r="A4">
            <v>8</v>
          </cell>
          <cell r="B4" t="str">
            <v>ホテルプラザ勝川</v>
          </cell>
          <cell r="D4">
            <v>90</v>
          </cell>
          <cell r="E4">
            <v>102</v>
          </cell>
          <cell r="J4">
            <v>10</v>
          </cell>
          <cell r="R4" t="str">
            <v>宿泊施設</v>
          </cell>
          <cell r="S4">
            <v>50</v>
          </cell>
          <cell r="T4" t="str">
            <v>中</v>
          </cell>
          <cell r="U4" t="str">
            <v>－</v>
          </cell>
          <cell r="V4" t="str">
            <v>－</v>
          </cell>
          <cell r="W4" t="str">
            <v>－</v>
          </cell>
          <cell r="X4" t="str">
            <v>専用乗降場所（屋根無）3台</v>
          </cell>
        </row>
        <row r="5">
          <cell r="A5">
            <v>12</v>
          </cell>
          <cell r="B5" t="str">
            <v>ルートイングランティア小牧</v>
          </cell>
          <cell r="D5">
            <v>224</v>
          </cell>
          <cell r="E5">
            <v>241</v>
          </cell>
          <cell r="J5">
            <v>11</v>
          </cell>
          <cell r="R5" t="str">
            <v>宿泊施設</v>
          </cell>
          <cell r="S5">
            <v>82</v>
          </cell>
          <cell r="T5" t="str">
            <v>高</v>
          </cell>
          <cell r="U5" t="str">
            <v>○</v>
          </cell>
          <cell r="V5" t="str">
            <v>○(ｼﾞﾑ内等)</v>
          </cell>
          <cell r="W5" t="str">
            <v>○</v>
          </cell>
          <cell r="X5" t="str">
            <v>玄関前（屋根無）1台</v>
          </cell>
        </row>
        <row r="6">
          <cell r="A6">
            <v>13</v>
          </cell>
          <cell r="B6" t="str">
            <v>小牧セントラルホテル</v>
          </cell>
          <cell r="D6">
            <v>103</v>
          </cell>
          <cell r="E6">
            <v>103</v>
          </cell>
          <cell r="J6">
            <v>1</v>
          </cell>
          <cell r="R6" t="str">
            <v>ケータリング</v>
          </cell>
          <cell r="S6">
            <v>35</v>
          </cell>
          <cell r="T6" t="str">
            <v>調査中</v>
          </cell>
          <cell r="U6" t="str">
            <v>－</v>
          </cell>
          <cell r="V6" t="str">
            <v>－</v>
          </cell>
          <cell r="W6" t="str">
            <v>調査中</v>
          </cell>
          <cell r="X6" t="str">
            <v>玄関前（屋根無）1台</v>
          </cell>
        </row>
        <row r="7">
          <cell r="A7">
            <v>15</v>
          </cell>
          <cell r="B7" t="str">
            <v>名鉄小牧ホテル</v>
          </cell>
          <cell r="D7">
            <v>73</v>
          </cell>
          <cell r="E7">
            <v>90</v>
          </cell>
          <cell r="J7">
            <v>7</v>
          </cell>
          <cell r="R7" t="str">
            <v>宿泊施設</v>
          </cell>
          <cell r="S7">
            <v>59</v>
          </cell>
          <cell r="T7" t="str">
            <v>中</v>
          </cell>
          <cell r="U7" t="str">
            <v>○</v>
          </cell>
          <cell r="V7" t="str">
            <v>○(ｼﾞﾑ内等)</v>
          </cell>
          <cell r="W7" t="str">
            <v>○</v>
          </cell>
          <cell r="X7" t="str">
            <v>付近に乗降場無し（小牧駅前ロータリー）</v>
          </cell>
        </row>
        <row r="8">
          <cell r="A8">
            <v>20</v>
          </cell>
          <cell r="B8" t="str">
            <v>あいち健康の森　健康科学総合センター</v>
          </cell>
          <cell r="D8">
            <v>63</v>
          </cell>
          <cell r="E8">
            <v>80</v>
          </cell>
          <cell r="J8">
            <v>11</v>
          </cell>
          <cell r="R8" t="str">
            <v>宿泊施設</v>
          </cell>
          <cell r="S8">
            <v>140</v>
          </cell>
          <cell r="T8" t="str">
            <v>中</v>
          </cell>
          <cell r="U8" t="str">
            <v>○</v>
          </cell>
          <cell r="V8" t="str">
            <v>○</v>
          </cell>
          <cell r="W8" t="str">
            <v>○</v>
          </cell>
          <cell r="X8" t="str">
            <v>玄関前（屋根無）1台</v>
          </cell>
        </row>
        <row r="9">
          <cell r="A9">
            <v>21</v>
          </cell>
          <cell r="B9" t="str">
            <v>公立学校共済組合　名古屋宿泊所　ホテルルブラ王山</v>
          </cell>
          <cell r="D9">
            <v>56</v>
          </cell>
          <cell r="E9">
            <v>74</v>
          </cell>
          <cell r="J9">
            <v>15</v>
          </cell>
          <cell r="R9" t="str">
            <v>宿泊施設</v>
          </cell>
          <cell r="S9">
            <v>60</v>
          </cell>
          <cell r="T9" t="str">
            <v>中</v>
          </cell>
          <cell r="U9" t="str">
            <v>－</v>
          </cell>
          <cell r="V9" t="str">
            <v>－</v>
          </cell>
          <cell r="W9" t="str">
            <v>－</v>
          </cell>
          <cell r="X9" t="str">
            <v>路上1台</v>
          </cell>
        </row>
        <row r="10">
          <cell r="A10">
            <v>23</v>
          </cell>
          <cell r="B10" t="str">
            <v>第二富士ホテル</v>
          </cell>
          <cell r="D10">
            <v>153</v>
          </cell>
          <cell r="E10">
            <v>158</v>
          </cell>
          <cell r="J10">
            <v>3</v>
          </cell>
          <cell r="R10" t="str">
            <v>ケータリング</v>
          </cell>
          <cell r="S10">
            <v>26</v>
          </cell>
          <cell r="T10" t="str">
            <v>調査中</v>
          </cell>
          <cell r="U10" t="str">
            <v>－</v>
          </cell>
          <cell r="V10" t="str">
            <v>－</v>
          </cell>
          <cell r="W10" t="str">
            <v>調査中</v>
          </cell>
          <cell r="X10" t="str">
            <v>路上1台</v>
          </cell>
        </row>
        <row r="11">
          <cell r="A11">
            <v>24</v>
          </cell>
          <cell r="B11" t="str">
            <v>ホテルメルパルク名古屋</v>
          </cell>
          <cell r="D11">
            <v>243</v>
          </cell>
          <cell r="E11">
            <v>322</v>
          </cell>
          <cell r="J11">
            <v>16</v>
          </cell>
          <cell r="R11" t="str">
            <v>宿泊施設</v>
          </cell>
          <cell r="S11">
            <v>122</v>
          </cell>
          <cell r="T11" t="str">
            <v>低</v>
          </cell>
          <cell r="U11" t="str">
            <v>－</v>
          </cell>
          <cell r="V11" t="str">
            <v>－</v>
          </cell>
          <cell r="W11" t="str">
            <v>－</v>
          </cell>
          <cell r="X11" t="str">
            <v>玄関前（屋根付）3台</v>
          </cell>
        </row>
        <row r="12">
          <cell r="A12">
            <v>39</v>
          </cell>
          <cell r="B12" t="str">
            <v>ザサイプレスメルキュールホテル名古屋</v>
          </cell>
          <cell r="D12">
            <v>115</v>
          </cell>
          <cell r="E12">
            <v>154</v>
          </cell>
          <cell r="J12">
            <v>3</v>
          </cell>
          <cell r="R12" t="str">
            <v>宿泊施設</v>
          </cell>
          <cell r="S12">
            <v>52</v>
          </cell>
          <cell r="T12" t="str">
            <v>中</v>
          </cell>
          <cell r="U12" t="str">
            <v>－</v>
          </cell>
          <cell r="V12" t="str">
            <v>－</v>
          </cell>
          <cell r="W12" t="str">
            <v>－</v>
          </cell>
          <cell r="X12" t="str">
            <v>路上2台</v>
          </cell>
        </row>
        <row r="13">
          <cell r="A13">
            <v>44</v>
          </cell>
          <cell r="B13" t="str">
            <v>ホテル パレス名古屋</v>
          </cell>
          <cell r="D13">
            <v>100</v>
          </cell>
          <cell r="E13">
            <v>99</v>
          </cell>
          <cell r="J13">
            <v>0</v>
          </cell>
          <cell r="R13" t="str">
            <v>ケータリング</v>
          </cell>
          <cell r="S13">
            <v>50</v>
          </cell>
          <cell r="T13" t="str">
            <v>調査中</v>
          </cell>
          <cell r="U13" t="str">
            <v>－</v>
          </cell>
          <cell r="V13" t="str">
            <v>－</v>
          </cell>
          <cell r="W13" t="str">
            <v>調査中</v>
          </cell>
          <cell r="X13" t="str">
            <v>専用乗降場所（屋根無）3台</v>
          </cell>
        </row>
        <row r="14">
          <cell r="A14">
            <v>54</v>
          </cell>
          <cell r="B14" t="str">
            <v>ザロイヤルパークキャンバス名古屋</v>
          </cell>
          <cell r="D14">
            <v>153</v>
          </cell>
          <cell r="E14">
            <v>179</v>
          </cell>
          <cell r="J14">
            <v>0</v>
          </cell>
          <cell r="R14" t="str">
            <v>宿泊施設</v>
          </cell>
          <cell r="S14">
            <v>30</v>
          </cell>
          <cell r="T14" t="str">
            <v>調査中</v>
          </cell>
          <cell r="U14" t="str">
            <v>－</v>
          </cell>
          <cell r="V14" t="str">
            <v>－</v>
          </cell>
          <cell r="W14" t="str">
            <v>－</v>
          </cell>
          <cell r="X14" t="str">
            <v>路上1台</v>
          </cell>
        </row>
        <row r="15">
          <cell r="A15">
            <v>65</v>
          </cell>
          <cell r="B15" t="str">
            <v>くれたけインプレミアム名古屋納屋橋</v>
          </cell>
          <cell r="D15">
            <v>166</v>
          </cell>
          <cell r="E15">
            <v>191</v>
          </cell>
          <cell r="J15">
            <v>0</v>
          </cell>
          <cell r="R15" t="str">
            <v>ケータリング</v>
          </cell>
          <cell r="S15">
            <v>38</v>
          </cell>
          <cell r="T15" t="str">
            <v>高</v>
          </cell>
          <cell r="U15" t="str">
            <v>－</v>
          </cell>
          <cell r="V15" t="str">
            <v>－</v>
          </cell>
          <cell r="W15" t="str">
            <v>○</v>
          </cell>
          <cell r="X15" t="str">
            <v>路上1台</v>
          </cell>
        </row>
        <row r="16">
          <cell r="A16">
            <v>67</v>
          </cell>
          <cell r="B16" t="str">
            <v>東横INN名古屋名駅南</v>
          </cell>
          <cell r="D16">
            <v>805</v>
          </cell>
          <cell r="E16">
            <v>806</v>
          </cell>
          <cell r="J16">
            <v>1</v>
          </cell>
          <cell r="R16" t="str">
            <v>ケータリング</v>
          </cell>
          <cell r="S16">
            <v>130</v>
          </cell>
          <cell r="T16" t="str">
            <v>高</v>
          </cell>
          <cell r="U16" t="str">
            <v>－</v>
          </cell>
          <cell r="V16" t="str">
            <v>－</v>
          </cell>
          <cell r="W16" t="str">
            <v>○</v>
          </cell>
          <cell r="X16" t="str">
            <v>路上1台</v>
          </cell>
        </row>
        <row r="17">
          <cell r="A17">
            <v>70</v>
          </cell>
          <cell r="B17" t="str">
            <v>ベッセルホテルカンパーナ名古屋</v>
          </cell>
          <cell r="D17">
            <v>233</v>
          </cell>
          <cell r="E17">
            <v>343</v>
          </cell>
          <cell r="J17">
            <v>0</v>
          </cell>
          <cell r="R17" t="str">
            <v>宿泊施設</v>
          </cell>
          <cell r="S17">
            <v>106</v>
          </cell>
          <cell r="T17" t="str">
            <v>中</v>
          </cell>
          <cell r="U17" t="str">
            <v>－</v>
          </cell>
          <cell r="V17" t="str">
            <v>ﾐｽﾄｻｳﾅ</v>
          </cell>
          <cell r="W17" t="str">
            <v>○</v>
          </cell>
          <cell r="X17" t="str">
            <v>路上1台</v>
          </cell>
        </row>
        <row r="18">
          <cell r="A18">
            <v>79</v>
          </cell>
          <cell r="B18" t="str">
            <v>ニッコースタイル名古屋</v>
          </cell>
          <cell r="D18">
            <v>191</v>
          </cell>
          <cell r="E18">
            <v>292</v>
          </cell>
          <cell r="J18">
            <v>0</v>
          </cell>
          <cell r="R18" t="str">
            <v>宿泊施設</v>
          </cell>
          <cell r="S18">
            <v>62</v>
          </cell>
          <cell r="T18" t="str">
            <v>中</v>
          </cell>
          <cell r="U18" t="str">
            <v>○</v>
          </cell>
          <cell r="V18" t="str">
            <v>－</v>
          </cell>
          <cell r="W18" t="str">
            <v>－</v>
          </cell>
          <cell r="X18" t="str">
            <v>路上1台</v>
          </cell>
        </row>
        <row r="19">
          <cell r="A19">
            <v>81</v>
          </cell>
          <cell r="B19" t="str">
            <v>イビススタイルズ名古屋</v>
          </cell>
          <cell r="D19">
            <v>142</v>
          </cell>
          <cell r="E19">
            <v>200</v>
          </cell>
          <cell r="J19">
            <v>1</v>
          </cell>
          <cell r="R19" t="str">
            <v>宿泊施設</v>
          </cell>
          <cell r="S19">
            <v>95</v>
          </cell>
          <cell r="T19" t="str">
            <v>中</v>
          </cell>
          <cell r="U19" t="str">
            <v>－</v>
          </cell>
          <cell r="V19" t="str">
            <v>－</v>
          </cell>
          <cell r="W19" t="str">
            <v>－</v>
          </cell>
          <cell r="X19" t="str">
            <v>路上2台</v>
          </cell>
        </row>
        <row r="20">
          <cell r="A20">
            <v>92</v>
          </cell>
          <cell r="B20" t="str">
            <v>国家公務員共済組合連合会 名古屋共済会館</v>
          </cell>
          <cell r="D20">
            <v>106</v>
          </cell>
          <cell r="E20">
            <v>146</v>
          </cell>
          <cell r="J20">
            <v>8</v>
          </cell>
          <cell r="R20" t="str">
            <v>宿泊施設</v>
          </cell>
          <cell r="S20">
            <v>48</v>
          </cell>
          <cell r="T20" t="str">
            <v>中</v>
          </cell>
          <cell r="U20" t="str">
            <v>－</v>
          </cell>
          <cell r="V20" t="str">
            <v>－</v>
          </cell>
          <cell r="W20" t="str">
            <v>○</v>
          </cell>
          <cell r="X20" t="str">
            <v>玄関前（屋根付）1台</v>
          </cell>
        </row>
        <row r="21">
          <cell r="A21">
            <v>96</v>
          </cell>
          <cell r="B21" t="str">
            <v>アイリス 愛知</v>
          </cell>
          <cell r="D21">
            <v>72</v>
          </cell>
          <cell r="E21">
            <v>72</v>
          </cell>
          <cell r="J21">
            <v>17</v>
          </cell>
          <cell r="R21" t="str">
            <v>宿泊施設</v>
          </cell>
          <cell r="S21">
            <v>72</v>
          </cell>
          <cell r="T21" t="str">
            <v>中</v>
          </cell>
          <cell r="U21" t="str">
            <v>－</v>
          </cell>
          <cell r="V21" t="str">
            <v>－</v>
          </cell>
          <cell r="W21" t="str">
            <v>－</v>
          </cell>
          <cell r="X21" t="str">
            <v>玄関前（屋根無）1台</v>
          </cell>
        </row>
        <row r="22">
          <cell r="A22">
            <v>105</v>
          </cell>
          <cell r="B22" t="str">
            <v>ANAクラウンプラザホテル　グランコート名古屋</v>
          </cell>
          <cell r="D22">
            <v>245</v>
          </cell>
          <cell r="E22">
            <v>358</v>
          </cell>
          <cell r="J22">
            <v>19</v>
          </cell>
          <cell r="R22" t="str">
            <v>宿泊施設</v>
          </cell>
          <cell r="S22">
            <v>154</v>
          </cell>
          <cell r="T22" t="str">
            <v>－</v>
          </cell>
          <cell r="U22" t="str">
            <v>○</v>
          </cell>
          <cell r="V22" t="str">
            <v>－</v>
          </cell>
          <cell r="W22" t="str">
            <v>－</v>
          </cell>
          <cell r="X22" t="str">
            <v>路上2台</v>
          </cell>
        </row>
        <row r="23">
          <cell r="A23">
            <v>117</v>
          </cell>
          <cell r="B23" t="str">
            <v>ホテルウィングインターナショナル名古屋</v>
          </cell>
          <cell r="D23">
            <v>224</v>
          </cell>
          <cell r="E23">
            <v>231</v>
          </cell>
          <cell r="J23">
            <v>4</v>
          </cell>
          <cell r="R23" t="str">
            <v>宿泊施設</v>
          </cell>
          <cell r="S23">
            <v>40</v>
          </cell>
          <cell r="T23" t="str">
            <v>調査中</v>
          </cell>
          <cell r="U23" t="str">
            <v>－</v>
          </cell>
          <cell r="V23" t="str">
            <v>－</v>
          </cell>
          <cell r="W23" t="str">
            <v>調査中</v>
          </cell>
          <cell r="X23" t="str">
            <v>路上1台</v>
          </cell>
        </row>
        <row r="24">
          <cell r="A24">
            <v>121</v>
          </cell>
          <cell r="B24" t="str">
            <v>名古屋東急ホテル</v>
          </cell>
          <cell r="D24">
            <v>565</v>
          </cell>
          <cell r="E24">
            <v>776</v>
          </cell>
          <cell r="J24">
            <v>15</v>
          </cell>
          <cell r="R24" t="str">
            <v>宿泊施設</v>
          </cell>
          <cell r="S24">
            <v>116</v>
          </cell>
          <cell r="T24" t="str">
            <v>－</v>
          </cell>
          <cell r="U24" t="str">
            <v>○</v>
          </cell>
          <cell r="V24" t="str">
            <v>○(ｼﾞﾑ内等)</v>
          </cell>
          <cell r="W24" t="str">
            <v>－</v>
          </cell>
          <cell r="X24" t="str">
            <v>玄関前（屋根付）2台</v>
          </cell>
        </row>
        <row r="25">
          <cell r="A25">
            <v>127</v>
          </cell>
          <cell r="B25" t="str">
            <v>名古屋クレストンホテル</v>
          </cell>
          <cell r="D25">
            <v>63</v>
          </cell>
          <cell r="E25">
            <v>76</v>
          </cell>
          <cell r="J25">
            <v>6</v>
          </cell>
          <cell r="R25" t="str">
            <v>宿泊施設</v>
          </cell>
          <cell r="S25">
            <v>40</v>
          </cell>
          <cell r="T25" t="str">
            <v>中</v>
          </cell>
          <cell r="U25" t="str">
            <v>－</v>
          </cell>
          <cell r="V25" t="str">
            <v>－</v>
          </cell>
          <cell r="W25" t="str">
            <v>－</v>
          </cell>
          <cell r="X25" t="str">
            <v>路上1台</v>
          </cell>
        </row>
        <row r="26">
          <cell r="A26">
            <v>140</v>
          </cell>
          <cell r="B26" t="str">
            <v>名古屋金山ホテル</v>
          </cell>
          <cell r="D26">
            <v>190</v>
          </cell>
          <cell r="E26">
            <v>208</v>
          </cell>
          <cell r="J26">
            <v>7</v>
          </cell>
          <cell r="R26" t="str">
            <v>宿泊施設</v>
          </cell>
          <cell r="S26">
            <v>150</v>
          </cell>
          <cell r="T26" t="str">
            <v>調査中</v>
          </cell>
          <cell r="U26" t="str">
            <v>－</v>
          </cell>
          <cell r="V26" t="str">
            <v>－</v>
          </cell>
          <cell r="W26" t="str">
            <v>調査中</v>
          </cell>
          <cell r="X26" t="str">
            <v>路上1台</v>
          </cell>
        </row>
        <row r="27">
          <cell r="A27">
            <v>159</v>
          </cell>
          <cell r="B27" t="str">
            <v>ホテルJALシティ名古屋　錦</v>
          </cell>
          <cell r="D27">
            <v>216</v>
          </cell>
          <cell r="E27">
            <v>333</v>
          </cell>
          <cell r="J27">
            <v>0</v>
          </cell>
          <cell r="R27" t="str">
            <v>宿泊施設</v>
          </cell>
          <cell r="S27">
            <v>95</v>
          </cell>
          <cell r="T27" t="str">
            <v>中</v>
          </cell>
          <cell r="U27" t="str">
            <v>－</v>
          </cell>
          <cell r="V27" t="str">
            <v>－</v>
          </cell>
          <cell r="W27" t="str">
            <v>－</v>
          </cell>
          <cell r="X27" t="str">
            <v>路上1台</v>
          </cell>
        </row>
        <row r="28">
          <cell r="A28">
            <v>172</v>
          </cell>
          <cell r="B28" t="str">
            <v>サイプレス　ガーデンホテル</v>
          </cell>
          <cell r="D28">
            <v>204</v>
          </cell>
          <cell r="E28">
            <v>251</v>
          </cell>
          <cell r="J28">
            <v>9</v>
          </cell>
          <cell r="R28" t="str">
            <v>宿泊施設</v>
          </cell>
          <cell r="S28">
            <v>70</v>
          </cell>
          <cell r="T28" t="str">
            <v>中</v>
          </cell>
          <cell r="U28" t="str">
            <v>○</v>
          </cell>
          <cell r="V28" t="str">
            <v>－</v>
          </cell>
          <cell r="W28" t="str">
            <v>○</v>
          </cell>
          <cell r="X28" t="str">
            <v>路上1台</v>
          </cell>
        </row>
        <row r="29">
          <cell r="A29">
            <v>174</v>
          </cell>
          <cell r="B29" t="str">
            <v>熱田の杜ホテル深翠苑</v>
          </cell>
          <cell r="D29">
            <v>36</v>
          </cell>
          <cell r="E29">
            <v>31</v>
          </cell>
          <cell r="J29">
            <v>2</v>
          </cell>
          <cell r="R29" t="str">
            <v>宿泊施設</v>
          </cell>
          <cell r="S29">
            <v>70</v>
          </cell>
          <cell r="T29" t="str">
            <v>調査中</v>
          </cell>
          <cell r="U29" t="str">
            <v>－</v>
          </cell>
          <cell r="V29" t="str">
            <v>－</v>
          </cell>
          <cell r="W29" t="str">
            <v>調査中</v>
          </cell>
          <cell r="X29" t="str">
            <v>専用乗降場所（屋根無）3台</v>
          </cell>
        </row>
        <row r="30">
          <cell r="A30">
            <v>177</v>
          </cell>
          <cell r="B30" t="str">
            <v>邦和セミナープラザ</v>
          </cell>
          <cell r="D30">
            <v>73</v>
          </cell>
          <cell r="E30">
            <v>99</v>
          </cell>
          <cell r="J30">
            <v>20</v>
          </cell>
          <cell r="R30" t="str">
            <v>宿泊施設</v>
          </cell>
          <cell r="S30">
            <v>180</v>
          </cell>
          <cell r="T30" t="str">
            <v>中</v>
          </cell>
          <cell r="U30" t="str">
            <v>○</v>
          </cell>
          <cell r="V30" t="str">
            <v>○</v>
          </cell>
          <cell r="W30" t="str">
            <v>○</v>
          </cell>
          <cell r="X30" t="str">
            <v>路上1台</v>
          </cell>
        </row>
        <row r="31">
          <cell r="A31">
            <v>179</v>
          </cell>
          <cell r="B31" t="str">
            <v>LEGOLAND Japan Hotel</v>
          </cell>
          <cell r="D31">
            <v>252</v>
          </cell>
          <cell r="E31">
            <v>270</v>
          </cell>
          <cell r="J31">
            <v>0</v>
          </cell>
          <cell r="R31" t="str">
            <v>宿泊施設</v>
          </cell>
          <cell r="S31">
            <v>360</v>
          </cell>
          <cell r="T31" t="str">
            <v>調査中</v>
          </cell>
          <cell r="U31" t="str">
            <v>－</v>
          </cell>
          <cell r="V31" t="str">
            <v>－</v>
          </cell>
          <cell r="W31" t="str">
            <v>調査中</v>
          </cell>
          <cell r="X31" t="str">
            <v>玄関前（屋根無）1台</v>
          </cell>
        </row>
        <row r="32">
          <cell r="A32">
            <v>180</v>
          </cell>
          <cell r="B32" t="str">
            <v>名古屋笠寺ホテル</v>
          </cell>
          <cell r="D32">
            <v>179</v>
          </cell>
          <cell r="E32">
            <v>193</v>
          </cell>
          <cell r="J32">
            <v>2</v>
          </cell>
          <cell r="R32" t="str">
            <v>宿泊施設</v>
          </cell>
          <cell r="S32">
            <v>216</v>
          </cell>
          <cell r="T32" t="str">
            <v>中</v>
          </cell>
          <cell r="U32" t="str">
            <v>－</v>
          </cell>
          <cell r="V32" t="str">
            <v>○(ｼﾞﾑ内等)</v>
          </cell>
          <cell r="W32" t="str">
            <v>調査中</v>
          </cell>
          <cell r="X32" t="str">
            <v>玄関前（屋根無）1台</v>
          </cell>
        </row>
        <row r="33">
          <cell r="A33">
            <v>183</v>
          </cell>
          <cell r="B33" t="str">
            <v>天然温泉ホテルリブマックスPREMIUM名古屋丸の内</v>
          </cell>
          <cell r="D33">
            <v>156</v>
          </cell>
          <cell r="E33">
            <v>164</v>
          </cell>
          <cell r="J33">
            <v>0</v>
          </cell>
          <cell r="R33" t="str">
            <v>宿泊施設</v>
          </cell>
          <cell r="S33">
            <v>62</v>
          </cell>
          <cell r="T33" t="str">
            <v>調査中</v>
          </cell>
          <cell r="U33" t="str">
            <v>－</v>
          </cell>
          <cell r="V33" t="str">
            <v>○</v>
          </cell>
          <cell r="W33" t="str">
            <v>調査中</v>
          </cell>
          <cell r="X33" t="str">
            <v>路上1台</v>
          </cell>
        </row>
        <row r="34">
          <cell r="A34">
            <v>194</v>
          </cell>
          <cell r="B34" t="str">
            <v>ホテル東洋イン刈谷</v>
          </cell>
          <cell r="D34">
            <v>142</v>
          </cell>
          <cell r="E34">
            <v>142</v>
          </cell>
          <cell r="J34">
            <v>1</v>
          </cell>
          <cell r="R34" t="str">
            <v>ケータリング</v>
          </cell>
          <cell r="S34">
            <v>40</v>
          </cell>
          <cell r="T34" t="str">
            <v>調査中</v>
          </cell>
          <cell r="U34" t="str">
            <v>－</v>
          </cell>
          <cell r="V34" t="str">
            <v>－</v>
          </cell>
          <cell r="W34" t="str">
            <v>調査中</v>
          </cell>
          <cell r="X34" t="str">
            <v>専用乗降場所（屋根無）1台</v>
          </cell>
        </row>
        <row r="35">
          <cell r="A35">
            <v>195</v>
          </cell>
          <cell r="B35" t="str">
            <v>ロイヤルホテルうお八</v>
          </cell>
          <cell r="D35">
            <v>159</v>
          </cell>
          <cell r="E35">
            <v>216</v>
          </cell>
          <cell r="J35">
            <v>8</v>
          </cell>
          <cell r="R35" t="str">
            <v>宿泊施設</v>
          </cell>
          <cell r="S35">
            <v>40</v>
          </cell>
          <cell r="T35" t="str">
            <v>調査中</v>
          </cell>
          <cell r="U35" t="str">
            <v>－</v>
          </cell>
          <cell r="V35" t="str">
            <v>－</v>
          </cell>
          <cell r="W35" t="str">
            <v>調査中</v>
          </cell>
          <cell r="X35" t="str">
            <v>玄関前（屋根無）1台</v>
          </cell>
        </row>
        <row r="36">
          <cell r="A36">
            <v>196</v>
          </cell>
          <cell r="B36" t="str">
            <v>シティホテルアンティーズ</v>
          </cell>
          <cell r="D36">
            <v>67</v>
          </cell>
          <cell r="E36">
            <v>77</v>
          </cell>
          <cell r="J36">
            <v>2</v>
          </cell>
          <cell r="R36" t="str">
            <v>ケータリング</v>
          </cell>
          <cell r="S36">
            <v>40</v>
          </cell>
          <cell r="T36" t="str">
            <v>調査中</v>
          </cell>
          <cell r="U36" t="str">
            <v>－</v>
          </cell>
          <cell r="V36" t="str">
            <v>－</v>
          </cell>
          <cell r="W36" t="str">
            <v>調査中</v>
          </cell>
          <cell r="X36" t="str">
            <v>専用乗降場所（屋根無）1台</v>
          </cell>
        </row>
        <row r="37">
          <cell r="A37">
            <v>201</v>
          </cell>
          <cell r="B37" t="str">
            <v>全トヨタ労連研修センター　つどいの丘</v>
          </cell>
          <cell r="D37">
            <v>69</v>
          </cell>
          <cell r="E37">
            <v>106</v>
          </cell>
          <cell r="J37">
            <v>19</v>
          </cell>
          <cell r="R37" t="str">
            <v>宿泊施設</v>
          </cell>
          <cell r="S37">
            <v>106</v>
          </cell>
          <cell r="T37" t="str">
            <v>調査中</v>
          </cell>
          <cell r="U37" t="str">
            <v>－</v>
          </cell>
          <cell r="V37" t="str">
            <v>○</v>
          </cell>
          <cell r="W37" t="str">
            <v>○</v>
          </cell>
          <cell r="X37" t="str">
            <v>玄関前（屋根付）3台</v>
          </cell>
        </row>
        <row r="38">
          <cell r="A38">
            <v>202</v>
          </cell>
          <cell r="B38" t="str">
            <v>ビジネスホテルこさなぎ</v>
          </cell>
          <cell r="D38">
            <v>56</v>
          </cell>
          <cell r="E38">
            <v>50</v>
          </cell>
          <cell r="J38">
            <v>1</v>
          </cell>
          <cell r="R38" t="str">
            <v>宿泊施設</v>
          </cell>
          <cell r="S38">
            <v>45</v>
          </cell>
          <cell r="T38" t="str">
            <v>調査中</v>
          </cell>
          <cell r="U38" t="str">
            <v>○</v>
          </cell>
          <cell r="V38" t="str">
            <v>－</v>
          </cell>
          <cell r="W38" t="str">
            <v>調査中</v>
          </cell>
          <cell r="X38" t="str">
            <v>専用乗降場所（屋根無）2台</v>
          </cell>
        </row>
        <row r="39">
          <cell r="A39">
            <v>206</v>
          </cell>
          <cell r="B39" t="str">
            <v>ホテルトヨタキャッスル</v>
          </cell>
          <cell r="D39">
            <v>151</v>
          </cell>
          <cell r="E39">
            <v>191</v>
          </cell>
          <cell r="J39">
            <v>6</v>
          </cell>
          <cell r="R39" t="str">
            <v>宿泊施設</v>
          </cell>
          <cell r="S39">
            <v>60</v>
          </cell>
          <cell r="T39" t="str">
            <v>－</v>
          </cell>
          <cell r="U39" t="str">
            <v>○</v>
          </cell>
          <cell r="V39" t="str">
            <v>－</v>
          </cell>
          <cell r="W39" t="str">
            <v>－</v>
          </cell>
          <cell r="X39" t="str">
            <v>玄関前（屋根付）1台</v>
          </cell>
        </row>
        <row r="40">
          <cell r="A40">
            <v>207</v>
          </cell>
          <cell r="B40" t="str">
            <v>豊田プレステージホテル</v>
          </cell>
          <cell r="D40">
            <v>115</v>
          </cell>
          <cell r="E40">
            <v>119</v>
          </cell>
          <cell r="J40">
            <v>2</v>
          </cell>
          <cell r="R40" t="str">
            <v>宿泊施設</v>
          </cell>
          <cell r="S40">
            <v>40</v>
          </cell>
          <cell r="T40" t="str">
            <v>調査中</v>
          </cell>
          <cell r="U40" t="str">
            <v>－</v>
          </cell>
          <cell r="V40" t="str">
            <v>－</v>
          </cell>
          <cell r="W40" t="str">
            <v>調査中</v>
          </cell>
          <cell r="X40" t="str">
            <v>路上1台</v>
          </cell>
        </row>
        <row r="41">
          <cell r="A41">
            <v>210</v>
          </cell>
          <cell r="B41" t="str">
            <v>名鉄トヨタホテル</v>
          </cell>
          <cell r="D41">
            <v>99</v>
          </cell>
          <cell r="E41">
            <v>128</v>
          </cell>
          <cell r="J41">
            <v>6</v>
          </cell>
          <cell r="R41" t="str">
            <v>宿泊施設</v>
          </cell>
          <cell r="S41">
            <v>76</v>
          </cell>
          <cell r="T41" t="str">
            <v>－</v>
          </cell>
          <cell r="U41" t="str">
            <v>－</v>
          </cell>
          <cell r="V41" t="str">
            <v>－</v>
          </cell>
          <cell r="W41" t="str">
            <v>－</v>
          </cell>
          <cell r="X41" t="str">
            <v>玄関前（屋根無）2台</v>
          </cell>
        </row>
        <row r="42">
          <cell r="A42">
            <v>211</v>
          </cell>
          <cell r="B42" t="str">
            <v>ホテル松風</v>
          </cell>
          <cell r="D42">
            <v>68</v>
          </cell>
          <cell r="E42">
            <v>59</v>
          </cell>
          <cell r="J42">
            <v>4</v>
          </cell>
          <cell r="R42" t="str">
            <v>宿泊施設</v>
          </cell>
          <cell r="S42">
            <v>70</v>
          </cell>
          <cell r="T42" t="str">
            <v>中</v>
          </cell>
          <cell r="U42" t="str">
            <v>－</v>
          </cell>
          <cell r="V42" t="str">
            <v>－</v>
          </cell>
          <cell r="W42" t="str">
            <v>調査中</v>
          </cell>
          <cell r="X42" t="str">
            <v>専用乗降場所（屋根無）2台</v>
          </cell>
        </row>
        <row r="43">
          <cell r="A43">
            <v>221</v>
          </cell>
          <cell r="B43" t="str">
            <v>ホテルグランドティアラ南名古屋</v>
          </cell>
          <cell r="D43">
            <v>108</v>
          </cell>
          <cell r="E43">
            <v>162</v>
          </cell>
          <cell r="J43">
            <v>11</v>
          </cell>
          <cell r="R43" t="str">
            <v>宿泊施設</v>
          </cell>
          <cell r="S43">
            <v>40</v>
          </cell>
          <cell r="T43" t="str">
            <v>中</v>
          </cell>
          <cell r="U43" t="str">
            <v>－</v>
          </cell>
          <cell r="V43" t="str">
            <v>○</v>
          </cell>
          <cell r="W43" t="str">
            <v>○</v>
          </cell>
          <cell r="X43" t="str">
            <v>玄関前（屋根無）2台</v>
          </cell>
        </row>
        <row r="44">
          <cell r="A44">
            <v>223</v>
          </cell>
          <cell r="B44" t="str">
            <v>天然温泉　三州の湯　ドーミーイン　EXPRESS　三河安城</v>
          </cell>
          <cell r="D44">
            <v>128</v>
          </cell>
          <cell r="E44">
            <v>142</v>
          </cell>
          <cell r="J44">
            <v>0</v>
          </cell>
          <cell r="R44" t="str">
            <v>ケータリング</v>
          </cell>
          <cell r="S44">
            <v>40</v>
          </cell>
          <cell r="T44" t="str">
            <v>調査中</v>
          </cell>
          <cell r="U44" t="str">
            <v>－</v>
          </cell>
          <cell r="V44" t="str">
            <v>○</v>
          </cell>
          <cell r="W44" t="str">
            <v>○</v>
          </cell>
          <cell r="X44" t="str">
            <v>専用乗降場所（屋根無）1台</v>
          </cell>
        </row>
        <row r="45">
          <cell r="A45">
            <v>226</v>
          </cell>
          <cell r="B45" t="str">
            <v>ホテルルートイン知立</v>
          </cell>
          <cell r="D45">
            <v>158</v>
          </cell>
          <cell r="E45">
            <v>158</v>
          </cell>
          <cell r="J45">
            <v>0</v>
          </cell>
          <cell r="R45" t="str">
            <v>宿泊施設</v>
          </cell>
          <cell r="S45">
            <v>62</v>
          </cell>
          <cell r="T45" t="str">
            <v>調査中</v>
          </cell>
          <cell r="U45" t="str">
            <v>－</v>
          </cell>
          <cell r="V45" t="str">
            <v>－</v>
          </cell>
          <cell r="W45" t="str">
            <v>－</v>
          </cell>
          <cell r="X45" t="str">
            <v>専用乗降場所（屋根無）2台</v>
          </cell>
        </row>
        <row r="46">
          <cell r="A46">
            <v>227</v>
          </cell>
          <cell r="B46" t="str">
            <v>ホテルクラウンパレス知立</v>
          </cell>
          <cell r="D46">
            <v>105</v>
          </cell>
          <cell r="E46">
            <v>126</v>
          </cell>
          <cell r="J46">
            <v>9</v>
          </cell>
          <cell r="R46" t="str">
            <v>宿泊施設</v>
          </cell>
          <cell r="S46">
            <v>70</v>
          </cell>
          <cell r="T46" t="str">
            <v>低</v>
          </cell>
          <cell r="U46" t="str">
            <v>－</v>
          </cell>
          <cell r="V46" t="str">
            <v>－</v>
          </cell>
          <cell r="W46" t="str">
            <v>－</v>
          </cell>
          <cell r="X46" t="str">
            <v>玄関前（屋根無）1台</v>
          </cell>
        </row>
        <row r="47">
          <cell r="A47">
            <v>229</v>
          </cell>
          <cell r="B47" t="str">
            <v>岡崎オーワホテル</v>
          </cell>
          <cell r="D47">
            <v>107</v>
          </cell>
          <cell r="E47">
            <v>119</v>
          </cell>
          <cell r="J47">
            <v>2</v>
          </cell>
          <cell r="R47" t="str">
            <v>宿泊施設</v>
          </cell>
          <cell r="S47">
            <v>50</v>
          </cell>
          <cell r="T47" t="str">
            <v>中</v>
          </cell>
          <cell r="U47" t="str">
            <v>－</v>
          </cell>
          <cell r="V47" t="str">
            <v>－</v>
          </cell>
          <cell r="W47" t="str">
            <v>－</v>
          </cell>
          <cell r="X47" t="str">
            <v>専用乗降場所（屋根無）3台</v>
          </cell>
        </row>
        <row r="48">
          <cell r="A48">
            <v>231</v>
          </cell>
          <cell r="B48" t="str">
            <v>グランドイン東岡崎</v>
          </cell>
          <cell r="D48">
            <v>102</v>
          </cell>
          <cell r="E48">
            <v>125</v>
          </cell>
          <cell r="J48">
            <v>1</v>
          </cell>
          <cell r="R48" t="str">
            <v>ケータリング</v>
          </cell>
          <cell r="S48">
            <v>28</v>
          </cell>
          <cell r="T48" t="str">
            <v>中</v>
          </cell>
          <cell r="U48" t="str">
            <v>－</v>
          </cell>
          <cell r="V48" t="str">
            <v>－</v>
          </cell>
          <cell r="W48" t="str">
            <v>調査中</v>
          </cell>
          <cell r="X48" t="str">
            <v>付近に乗降場無し（東岡崎駅前ロータリー）</v>
          </cell>
        </row>
        <row r="49">
          <cell r="A49">
            <v>238</v>
          </cell>
          <cell r="B49" t="str">
            <v>岡崎ニューグランドホテル</v>
          </cell>
          <cell r="D49">
            <v>90</v>
          </cell>
          <cell r="E49">
            <v>94</v>
          </cell>
          <cell r="J49">
            <v>12</v>
          </cell>
          <cell r="R49" t="str">
            <v>宿泊施設</v>
          </cell>
          <cell r="S49">
            <v>60</v>
          </cell>
          <cell r="T49" t="str">
            <v>中</v>
          </cell>
          <cell r="U49" t="str">
            <v>－</v>
          </cell>
          <cell r="V49" t="str">
            <v>ﾐｽﾄｻｳﾅ</v>
          </cell>
          <cell r="W49" t="str">
            <v>－</v>
          </cell>
          <cell r="X49" t="str">
            <v>玄関前（屋根無）1台</v>
          </cell>
        </row>
        <row r="50">
          <cell r="A50">
            <v>239</v>
          </cell>
          <cell r="B50" t="str">
            <v>アクセスイン西尾</v>
          </cell>
          <cell r="D50">
            <v>87</v>
          </cell>
          <cell r="E50">
            <v>87</v>
          </cell>
          <cell r="J50">
            <v>0</v>
          </cell>
          <cell r="R50" t="str">
            <v>宿泊施設</v>
          </cell>
          <cell r="S50">
            <v>80</v>
          </cell>
          <cell r="T50" t="str">
            <v>高</v>
          </cell>
          <cell r="U50" t="str">
            <v>－</v>
          </cell>
          <cell r="V50" t="str">
            <v>－</v>
          </cell>
          <cell r="W50" t="str">
            <v>調査中</v>
          </cell>
          <cell r="X50" t="str">
            <v>専用乗降場所（屋根無）1台</v>
          </cell>
        </row>
        <row r="51">
          <cell r="A51">
            <v>240</v>
          </cell>
          <cell r="B51" t="str">
            <v>株式会社竜宮ホテル</v>
          </cell>
          <cell r="D51">
            <v>48</v>
          </cell>
          <cell r="E51">
            <v>66</v>
          </cell>
          <cell r="J51">
            <v>5</v>
          </cell>
          <cell r="R51" t="str">
            <v>宿泊施設</v>
          </cell>
          <cell r="S51">
            <v>64</v>
          </cell>
          <cell r="T51" t="str">
            <v>調査中</v>
          </cell>
          <cell r="U51" t="str">
            <v>－</v>
          </cell>
          <cell r="V51" t="str">
            <v>－</v>
          </cell>
          <cell r="W51" t="str">
            <v>－</v>
          </cell>
          <cell r="X51" t="str">
            <v>専用乗降場所（屋根無）5台</v>
          </cell>
        </row>
        <row r="52">
          <cell r="A52">
            <v>241</v>
          </cell>
          <cell r="B52" t="str">
            <v>株式会社三河湾リゾート・リンクス</v>
          </cell>
          <cell r="D52">
            <v>152</v>
          </cell>
          <cell r="E52">
            <v>362</v>
          </cell>
          <cell r="J52">
            <v>10</v>
          </cell>
          <cell r="R52" t="str">
            <v>宿泊施設</v>
          </cell>
          <cell r="S52">
            <v>120</v>
          </cell>
          <cell r="T52" t="str">
            <v>－</v>
          </cell>
          <cell r="U52" t="str">
            <v>－</v>
          </cell>
          <cell r="V52" t="str">
            <v>○</v>
          </cell>
          <cell r="W52" t="str">
            <v>○</v>
          </cell>
          <cell r="X52" t="str">
            <v>玄関前（屋根付）1台</v>
          </cell>
        </row>
        <row r="53">
          <cell r="A53">
            <v>243</v>
          </cell>
          <cell r="B53" t="str">
            <v>三河湾ヒルズ・ホテル</v>
          </cell>
          <cell r="D53">
            <v>61</v>
          </cell>
          <cell r="E53">
            <v>89</v>
          </cell>
          <cell r="J53">
            <v>9</v>
          </cell>
          <cell r="R53" t="str">
            <v>宿泊施設</v>
          </cell>
          <cell r="S53">
            <v>104</v>
          </cell>
          <cell r="T53" t="str">
            <v>中</v>
          </cell>
          <cell r="U53" t="str">
            <v>－</v>
          </cell>
          <cell r="V53" t="str">
            <v>○</v>
          </cell>
          <cell r="W53" t="str">
            <v>調査中</v>
          </cell>
          <cell r="X53" t="str">
            <v>玄関前（屋根無）1台</v>
          </cell>
        </row>
        <row r="54">
          <cell r="A54">
            <v>245</v>
          </cell>
          <cell r="B54" t="str">
            <v>変なホテル　ラグーナテンボス</v>
          </cell>
          <cell r="D54">
            <v>100</v>
          </cell>
          <cell r="E54">
            <v>200</v>
          </cell>
          <cell r="J54">
            <v>0</v>
          </cell>
          <cell r="R54" t="str">
            <v>宿泊施設</v>
          </cell>
          <cell r="S54">
            <v>216</v>
          </cell>
          <cell r="T54" t="str">
            <v>中</v>
          </cell>
          <cell r="U54" t="str">
            <v>－</v>
          </cell>
          <cell r="V54" t="str">
            <v>－</v>
          </cell>
          <cell r="W54" t="str">
            <v>○</v>
          </cell>
          <cell r="X54" t="str">
            <v>玄関前（屋根無）1台</v>
          </cell>
        </row>
        <row r="55">
          <cell r="A55">
            <v>247</v>
          </cell>
          <cell r="B55" t="str">
            <v>株式会社鈴岡</v>
          </cell>
          <cell r="D55">
            <v>50</v>
          </cell>
          <cell r="E55">
            <v>81</v>
          </cell>
          <cell r="J55">
            <v>16</v>
          </cell>
          <cell r="R55" t="str">
            <v>宿泊施設</v>
          </cell>
          <cell r="S55">
            <v>150</v>
          </cell>
          <cell r="T55" t="str">
            <v>中</v>
          </cell>
          <cell r="U55" t="str">
            <v>－</v>
          </cell>
          <cell r="V55" t="str">
            <v>－</v>
          </cell>
          <cell r="W55" t="str">
            <v>－</v>
          </cell>
          <cell r="X55" t="str">
            <v>専用乗降場所（屋根無）2台</v>
          </cell>
        </row>
        <row r="56">
          <cell r="A56">
            <v>249</v>
          </cell>
          <cell r="B56" t="str">
            <v>ホテル明山荘</v>
          </cell>
          <cell r="D56">
            <v>101</v>
          </cell>
          <cell r="E56">
            <v>245</v>
          </cell>
          <cell r="J56">
            <v>20</v>
          </cell>
          <cell r="R56" t="str">
            <v>宿泊施設</v>
          </cell>
          <cell r="S56">
            <v>100</v>
          </cell>
          <cell r="T56" t="str">
            <v>中</v>
          </cell>
          <cell r="U56" t="str">
            <v>－</v>
          </cell>
          <cell r="V56" t="str">
            <v>○</v>
          </cell>
          <cell r="W56" t="str">
            <v>○</v>
          </cell>
          <cell r="X56" t="str">
            <v>玄関前（屋根付）3台</v>
          </cell>
        </row>
        <row r="57">
          <cell r="A57">
            <v>250</v>
          </cell>
          <cell r="B57" t="str">
            <v>松風園</v>
          </cell>
          <cell r="D57">
            <v>50</v>
          </cell>
          <cell r="E57">
            <v>100</v>
          </cell>
          <cell r="J57">
            <v>16</v>
          </cell>
          <cell r="R57" t="str">
            <v>宿泊施設</v>
          </cell>
          <cell r="S57">
            <v>200</v>
          </cell>
          <cell r="T57" t="str">
            <v>中</v>
          </cell>
          <cell r="U57" t="str">
            <v>－</v>
          </cell>
          <cell r="V57" t="str">
            <v>－</v>
          </cell>
          <cell r="W57" t="str">
            <v>－</v>
          </cell>
          <cell r="X57" t="str">
            <v>玄関前（屋根無）2台</v>
          </cell>
        </row>
        <row r="58">
          <cell r="A58">
            <v>251</v>
          </cell>
          <cell r="B58" t="str">
            <v>株式会社三谷温泉ひがきホテル</v>
          </cell>
          <cell r="D58">
            <v>62</v>
          </cell>
          <cell r="E58">
            <v>145</v>
          </cell>
          <cell r="J58">
            <v>13</v>
          </cell>
          <cell r="R58" t="str">
            <v>宿泊施設</v>
          </cell>
          <cell r="S58">
            <v>140</v>
          </cell>
          <cell r="T58" t="str">
            <v>中</v>
          </cell>
          <cell r="U58" t="str">
            <v>－</v>
          </cell>
          <cell r="V58" t="str">
            <v>－</v>
          </cell>
          <cell r="W58" t="str">
            <v>－</v>
          </cell>
          <cell r="X58" t="str">
            <v>玄関前（屋根無）1台</v>
          </cell>
        </row>
        <row r="59">
          <cell r="A59">
            <v>252</v>
          </cell>
          <cell r="B59" t="str">
            <v>株式会社平野屋</v>
          </cell>
          <cell r="D59">
            <v>70</v>
          </cell>
          <cell r="E59">
            <v>227</v>
          </cell>
          <cell r="J59">
            <v>14</v>
          </cell>
          <cell r="R59" t="str">
            <v>宿泊施設</v>
          </cell>
          <cell r="S59">
            <v>125</v>
          </cell>
          <cell r="T59" t="str">
            <v>中</v>
          </cell>
          <cell r="U59" t="str">
            <v>－</v>
          </cell>
          <cell r="V59" t="str">
            <v>○</v>
          </cell>
          <cell r="W59" t="str">
            <v>－</v>
          </cell>
          <cell r="X59" t="str">
            <v>玄関前（屋根付）2台</v>
          </cell>
        </row>
        <row r="60">
          <cell r="A60">
            <v>253</v>
          </cell>
          <cell r="B60" t="str">
            <v>蒲郡ホテル</v>
          </cell>
          <cell r="D60">
            <v>111</v>
          </cell>
          <cell r="E60">
            <v>176</v>
          </cell>
          <cell r="J60">
            <v>2</v>
          </cell>
          <cell r="R60" t="str">
            <v>ケータリング</v>
          </cell>
          <cell r="S60">
            <v>64</v>
          </cell>
          <cell r="T60" t="str">
            <v>中</v>
          </cell>
          <cell r="U60" t="str">
            <v>－</v>
          </cell>
          <cell r="V60" t="str">
            <v>－</v>
          </cell>
          <cell r="W60" t="str">
            <v>○</v>
          </cell>
          <cell r="X60" t="str">
            <v>玄関前（屋根無）1台</v>
          </cell>
        </row>
        <row r="61">
          <cell r="A61">
            <v>256</v>
          </cell>
          <cell r="B61" t="str">
            <v>ホテル東海園</v>
          </cell>
          <cell r="D61">
            <v>82</v>
          </cell>
          <cell r="E61">
            <v>269</v>
          </cell>
          <cell r="J61">
            <v>16</v>
          </cell>
          <cell r="R61" t="str">
            <v>宿泊施設</v>
          </cell>
          <cell r="S61">
            <v>120</v>
          </cell>
          <cell r="T61" t="str">
            <v>調査中</v>
          </cell>
          <cell r="U61" t="str">
            <v>－</v>
          </cell>
          <cell r="V61" t="str">
            <v>○</v>
          </cell>
          <cell r="W61" t="str">
            <v>調査中</v>
          </cell>
          <cell r="X61" t="str">
            <v>専用乗降場所（屋根無）5台</v>
          </cell>
        </row>
        <row r="62">
          <cell r="A62">
            <v>257</v>
          </cell>
          <cell r="B62" t="str">
            <v>和のリゾートはづ</v>
          </cell>
          <cell r="D62">
            <v>41</v>
          </cell>
          <cell r="E62">
            <v>82</v>
          </cell>
          <cell r="J62">
            <v>8</v>
          </cell>
          <cell r="R62" t="str">
            <v>宿泊施設</v>
          </cell>
          <cell r="S62">
            <v>96</v>
          </cell>
          <cell r="T62" t="str">
            <v>中</v>
          </cell>
          <cell r="U62" t="str">
            <v>－</v>
          </cell>
          <cell r="V62" t="str">
            <v>－</v>
          </cell>
          <cell r="W62" t="str">
            <v>－</v>
          </cell>
          <cell r="X62" t="str">
            <v>玄関前（屋根無）2台</v>
          </cell>
        </row>
        <row r="63">
          <cell r="A63">
            <v>260</v>
          </cell>
          <cell r="B63" t="str">
            <v>蒲郡クラシックホテル</v>
          </cell>
          <cell r="D63">
            <v>27</v>
          </cell>
          <cell r="E63">
            <v>53</v>
          </cell>
          <cell r="J63">
            <v>12</v>
          </cell>
          <cell r="R63" t="str">
            <v>宿泊施設</v>
          </cell>
          <cell r="S63">
            <v>40</v>
          </cell>
          <cell r="T63" t="str">
            <v>中</v>
          </cell>
          <cell r="U63" t="str">
            <v>－</v>
          </cell>
          <cell r="V63" t="str">
            <v>－</v>
          </cell>
          <cell r="W63" t="str">
            <v>－</v>
          </cell>
          <cell r="X63" t="str">
            <v>専用乗降場所（屋根無）2台</v>
          </cell>
        </row>
        <row r="64">
          <cell r="A64">
            <v>261</v>
          </cell>
          <cell r="B64" t="str">
            <v>ホテル竹島</v>
          </cell>
          <cell r="D64">
            <v>82</v>
          </cell>
          <cell r="E64">
            <v>191</v>
          </cell>
          <cell r="J64">
            <v>18</v>
          </cell>
          <cell r="R64" t="str">
            <v>宿泊施設</v>
          </cell>
          <cell r="S64">
            <v>200</v>
          </cell>
          <cell r="T64" t="str">
            <v>中</v>
          </cell>
          <cell r="U64" t="str">
            <v>－</v>
          </cell>
          <cell r="V64" t="str">
            <v>－</v>
          </cell>
          <cell r="W64" t="str">
            <v>－</v>
          </cell>
          <cell r="X64" t="str">
            <v>玄関前（屋根無）4台</v>
          </cell>
        </row>
        <row r="65">
          <cell r="A65">
            <v>262</v>
          </cell>
          <cell r="B65" t="str">
            <v>田原シティホテル</v>
          </cell>
          <cell r="D65">
            <v>89</v>
          </cell>
          <cell r="E65">
            <v>93</v>
          </cell>
          <cell r="J65">
            <v>0</v>
          </cell>
          <cell r="R65" t="str">
            <v>宿泊施設</v>
          </cell>
          <cell r="S65">
            <v>45</v>
          </cell>
          <cell r="T65" t="str">
            <v>調査中</v>
          </cell>
          <cell r="U65" t="str">
            <v>－</v>
          </cell>
          <cell r="V65" t="str">
            <v>－</v>
          </cell>
          <cell r="W65" t="str">
            <v>調査中</v>
          </cell>
          <cell r="X65" t="str">
            <v>専用乗降場所（屋根無）1台</v>
          </cell>
        </row>
        <row r="66">
          <cell r="A66">
            <v>263</v>
          </cell>
          <cell r="B66" t="str">
            <v>休暇村伊良湖</v>
          </cell>
          <cell r="D66">
            <v>57</v>
          </cell>
          <cell r="E66">
            <v>29</v>
          </cell>
          <cell r="J66">
            <v>4</v>
          </cell>
          <cell r="R66" t="str">
            <v>宿泊施設</v>
          </cell>
          <cell r="S66">
            <v>200</v>
          </cell>
          <cell r="T66" t="str">
            <v>調査中</v>
          </cell>
          <cell r="U66" t="str">
            <v>－</v>
          </cell>
          <cell r="V66" t="str">
            <v>－</v>
          </cell>
          <cell r="W66" t="str">
            <v>調査中</v>
          </cell>
          <cell r="X66" t="str">
            <v>玄関前（屋根無）5台</v>
          </cell>
        </row>
        <row r="67">
          <cell r="A67">
            <v>266</v>
          </cell>
          <cell r="B67" t="str">
            <v>ウインドシティホテル</v>
          </cell>
          <cell r="D67">
            <v>105</v>
          </cell>
          <cell r="E67">
            <v>106</v>
          </cell>
          <cell r="J67">
            <v>1</v>
          </cell>
          <cell r="R67" t="str">
            <v>宿泊施設</v>
          </cell>
          <cell r="S67">
            <v>42</v>
          </cell>
          <cell r="T67" t="str">
            <v>調査中</v>
          </cell>
          <cell r="U67" t="str">
            <v>－</v>
          </cell>
          <cell r="V67" t="str">
            <v>－</v>
          </cell>
          <cell r="W67" t="str">
            <v>調査中</v>
          </cell>
          <cell r="X67" t="str">
            <v>玄関前（屋根無）1台</v>
          </cell>
        </row>
        <row r="68">
          <cell r="A68">
            <v>267</v>
          </cell>
          <cell r="B68" t="str">
            <v>キャッスルイン豊川</v>
          </cell>
          <cell r="D68">
            <v>100</v>
          </cell>
          <cell r="E68">
            <v>111</v>
          </cell>
          <cell r="J68">
            <v>2</v>
          </cell>
          <cell r="R68" t="str">
            <v>宿泊施設</v>
          </cell>
          <cell r="S68">
            <v>157</v>
          </cell>
          <cell r="T68" t="str">
            <v>調査中</v>
          </cell>
          <cell r="U68" t="str">
            <v>－</v>
          </cell>
          <cell r="V68" t="str">
            <v>○(ｼﾞﾑ内等)</v>
          </cell>
          <cell r="W68" t="str">
            <v>調査中</v>
          </cell>
          <cell r="X68" t="str">
            <v>専用乗降場所（屋根無）2台</v>
          </cell>
        </row>
        <row r="69">
          <cell r="A69">
            <v>268</v>
          </cell>
          <cell r="B69" t="str">
            <v>豊川グランドホテル</v>
          </cell>
          <cell r="D69">
            <v>58</v>
          </cell>
          <cell r="E69">
            <v>47</v>
          </cell>
          <cell r="J69">
            <v>4</v>
          </cell>
          <cell r="R69" t="str">
            <v>ケータリング</v>
          </cell>
          <cell r="S69">
            <v>80</v>
          </cell>
          <cell r="T69" t="str">
            <v>調査中</v>
          </cell>
          <cell r="U69" t="str">
            <v>－</v>
          </cell>
          <cell r="V69" t="str">
            <v>－</v>
          </cell>
          <cell r="W69" t="str">
            <v>調査中</v>
          </cell>
          <cell r="X69" t="str">
            <v>専用乗降場所（屋根無）1台</v>
          </cell>
        </row>
        <row r="70">
          <cell r="A70">
            <v>269</v>
          </cell>
          <cell r="B70" t="str">
            <v>ホテルルートイン豊川インター</v>
          </cell>
          <cell r="D70">
            <v>162</v>
          </cell>
          <cell r="E70">
            <v>162</v>
          </cell>
          <cell r="J70">
            <v>0</v>
          </cell>
          <cell r="R70" t="str">
            <v>宿泊施設</v>
          </cell>
          <cell r="S70">
            <v>60</v>
          </cell>
          <cell r="T70" t="str">
            <v>高</v>
          </cell>
          <cell r="U70" t="str">
            <v>－</v>
          </cell>
          <cell r="V70" t="str">
            <v>－</v>
          </cell>
          <cell r="W70" t="str">
            <v>調査中</v>
          </cell>
          <cell r="X70" t="str">
            <v>玄関前（屋根付）2台</v>
          </cell>
        </row>
        <row r="71">
          <cell r="A71">
            <v>273</v>
          </cell>
          <cell r="B71" t="str">
            <v>豊川ビジネスホテル</v>
          </cell>
          <cell r="D71">
            <v>71</v>
          </cell>
          <cell r="E71">
            <v>63</v>
          </cell>
          <cell r="J71">
            <v>1</v>
          </cell>
          <cell r="R71" t="str">
            <v>ケータリング</v>
          </cell>
          <cell r="S71">
            <v>18</v>
          </cell>
          <cell r="T71" t="str">
            <v>調査中</v>
          </cell>
          <cell r="U71" t="str">
            <v>－</v>
          </cell>
          <cell r="V71" t="str">
            <v>－</v>
          </cell>
          <cell r="W71" t="str">
            <v>調査中</v>
          </cell>
          <cell r="X71" t="str">
            <v>専用乗降場所（屋根無）2台</v>
          </cell>
        </row>
        <row r="72">
          <cell r="A72">
            <v>275</v>
          </cell>
          <cell r="B72" t="str">
            <v>シーパレスリゾート</v>
          </cell>
          <cell r="D72">
            <v>54</v>
          </cell>
          <cell r="E72">
            <v>180</v>
          </cell>
          <cell r="J72">
            <v>8</v>
          </cell>
          <cell r="R72" t="str">
            <v>宿泊施設</v>
          </cell>
          <cell r="S72">
            <v>130</v>
          </cell>
          <cell r="T72" t="str">
            <v>中</v>
          </cell>
          <cell r="U72" t="str">
            <v>－</v>
          </cell>
          <cell r="V72" t="str">
            <v>○</v>
          </cell>
          <cell r="W72" t="str">
            <v>－</v>
          </cell>
          <cell r="X72" t="str">
            <v>専用乗降場所（屋根無）6台</v>
          </cell>
        </row>
        <row r="73">
          <cell r="A73">
            <v>276</v>
          </cell>
          <cell r="B73" t="str">
            <v>ニュー東洋ホテル2</v>
          </cell>
          <cell r="D73">
            <v>87</v>
          </cell>
          <cell r="E73">
            <v>85</v>
          </cell>
          <cell r="J73">
            <v>2</v>
          </cell>
          <cell r="R73" t="str">
            <v>宿泊施設</v>
          </cell>
          <cell r="S73">
            <v>23</v>
          </cell>
          <cell r="T73" t="str">
            <v>調査中</v>
          </cell>
          <cell r="U73" t="str">
            <v>－</v>
          </cell>
          <cell r="V73" t="str">
            <v>－</v>
          </cell>
          <cell r="W73" t="str">
            <v>調査中</v>
          </cell>
          <cell r="X73" t="str">
            <v>専用乗降場所（屋根無）2台</v>
          </cell>
        </row>
        <row r="74">
          <cell r="A74">
            <v>278</v>
          </cell>
          <cell r="B74" t="str">
            <v>ホテルアソシア豊橋</v>
          </cell>
          <cell r="D74">
            <v>222</v>
          </cell>
          <cell r="E74">
            <v>277</v>
          </cell>
          <cell r="J74">
            <v>9</v>
          </cell>
          <cell r="R74" t="str">
            <v>宿泊施設</v>
          </cell>
          <cell r="S74">
            <v>84</v>
          </cell>
          <cell r="T74" t="str">
            <v>低</v>
          </cell>
          <cell r="U74" t="str">
            <v>－</v>
          </cell>
          <cell r="V74" t="str">
            <v>－</v>
          </cell>
          <cell r="W74" t="str">
            <v>－</v>
          </cell>
          <cell r="X74" t="str">
            <v>玄関前（屋根付）1台</v>
          </cell>
        </row>
        <row r="75">
          <cell r="A75">
            <v>281</v>
          </cell>
          <cell r="B75" t="str">
            <v>ロワジールホテル豊橋</v>
          </cell>
          <cell r="D75">
            <v>377</v>
          </cell>
          <cell r="E75">
            <v>643</v>
          </cell>
          <cell r="J75">
            <v>24</v>
          </cell>
          <cell r="R75" t="str">
            <v>宿泊施設</v>
          </cell>
          <cell r="S75">
            <v>122</v>
          </cell>
          <cell r="T75" t="str">
            <v>低</v>
          </cell>
          <cell r="U75" t="str">
            <v>○</v>
          </cell>
          <cell r="V75" t="str">
            <v>○(ｼﾞﾑ内等)</v>
          </cell>
          <cell r="W75" t="str">
            <v>○</v>
          </cell>
          <cell r="X75" t="str">
            <v>玄関前（屋根付）2台</v>
          </cell>
        </row>
        <row r="76">
          <cell r="A76">
            <v>282</v>
          </cell>
          <cell r="B76" t="str">
            <v>ホテルアークリッシュ豊橋</v>
          </cell>
          <cell r="D76">
            <v>91</v>
          </cell>
          <cell r="E76">
            <v>109</v>
          </cell>
          <cell r="J76">
            <v>8</v>
          </cell>
          <cell r="R76" t="str">
            <v>宿泊施設</v>
          </cell>
          <cell r="S76">
            <v>38</v>
          </cell>
          <cell r="T76" t="str">
            <v>中</v>
          </cell>
          <cell r="U76" t="str">
            <v>○</v>
          </cell>
          <cell r="V76" t="str">
            <v>－</v>
          </cell>
          <cell r="W76" t="str">
            <v>調査中</v>
          </cell>
          <cell r="X76" t="str">
            <v>路上1台</v>
          </cell>
        </row>
        <row r="77">
          <cell r="A77">
            <v>292</v>
          </cell>
          <cell r="B77" t="str">
            <v>マーレホテル東海</v>
          </cell>
          <cell r="D77">
            <v>113</v>
          </cell>
          <cell r="E77">
            <v>113</v>
          </cell>
          <cell r="J77">
            <v>0</v>
          </cell>
          <cell r="R77" t="str">
            <v>宿泊施設</v>
          </cell>
          <cell r="S77">
            <v>40</v>
          </cell>
          <cell r="T77" t="str">
            <v>中</v>
          </cell>
          <cell r="U77" t="str">
            <v>－</v>
          </cell>
          <cell r="V77" t="str">
            <v>ﾐｽﾄｻｳﾅ</v>
          </cell>
          <cell r="W77" t="str">
            <v>○</v>
          </cell>
          <cell r="X77" t="str">
            <v>専用乗降場所（屋根無）2台</v>
          </cell>
        </row>
        <row r="78">
          <cell r="A78">
            <v>293</v>
          </cell>
          <cell r="B78" t="str">
            <v>ザ・カトーホテル</v>
          </cell>
          <cell r="D78">
            <v>113</v>
          </cell>
          <cell r="E78">
            <v>97</v>
          </cell>
          <cell r="J78">
            <v>0</v>
          </cell>
          <cell r="R78" t="str">
            <v>宿泊施設</v>
          </cell>
          <cell r="S78">
            <v>30</v>
          </cell>
          <cell r="T78" t="str">
            <v>中</v>
          </cell>
          <cell r="U78" t="str">
            <v>－</v>
          </cell>
          <cell r="V78" t="str">
            <v>ﾐｽﾄｻｳﾅ</v>
          </cell>
          <cell r="W78" t="str">
            <v>○</v>
          </cell>
          <cell r="X78" t="str">
            <v>専用乗降場所（屋根無）2台</v>
          </cell>
        </row>
        <row r="79">
          <cell r="A79">
            <v>295</v>
          </cell>
          <cell r="B79" t="str">
            <v>東海シティホテル</v>
          </cell>
          <cell r="D79">
            <v>53</v>
          </cell>
          <cell r="E79">
            <v>55</v>
          </cell>
          <cell r="J79">
            <v>1</v>
          </cell>
          <cell r="R79" t="str">
            <v>宿泊施設</v>
          </cell>
          <cell r="S79">
            <v>50</v>
          </cell>
          <cell r="T79" t="str">
            <v>高</v>
          </cell>
          <cell r="U79" t="str">
            <v>－</v>
          </cell>
          <cell r="V79" t="str">
            <v>－</v>
          </cell>
          <cell r="W79" t="str">
            <v>調査中</v>
          </cell>
          <cell r="X79" t="str">
            <v>専用乗降場所（屋根無）2台</v>
          </cell>
        </row>
        <row r="80">
          <cell r="A80">
            <v>298</v>
          </cell>
          <cell r="B80" t="str">
            <v>フォーポイント　バイ　シェラトン名古屋　中部国際空港</v>
          </cell>
          <cell r="D80">
            <v>319</v>
          </cell>
          <cell r="E80">
            <v>427</v>
          </cell>
          <cell r="J80">
            <v>1</v>
          </cell>
          <cell r="R80" t="str">
            <v>宿泊施設</v>
          </cell>
          <cell r="S80">
            <v>140</v>
          </cell>
          <cell r="T80" t="str">
            <v>中</v>
          </cell>
          <cell r="U80" t="str">
            <v>○</v>
          </cell>
          <cell r="V80" t="str">
            <v>－</v>
          </cell>
          <cell r="W80" t="str">
            <v>－</v>
          </cell>
          <cell r="X80" t="str">
            <v>専用乗降場所（屋根無）2台</v>
          </cell>
        </row>
        <row r="81">
          <cell r="A81">
            <v>299</v>
          </cell>
          <cell r="B81" t="str">
            <v>東横INN中部国際空港２</v>
          </cell>
          <cell r="D81">
            <v>1286</v>
          </cell>
          <cell r="E81">
            <v>1287</v>
          </cell>
          <cell r="J81">
            <v>0</v>
          </cell>
          <cell r="R81" t="str">
            <v>ケータリング</v>
          </cell>
          <cell r="S81">
            <v>380</v>
          </cell>
          <cell r="T81" t="str">
            <v>高</v>
          </cell>
          <cell r="U81" t="str">
            <v>－</v>
          </cell>
          <cell r="V81" t="str">
            <v>－</v>
          </cell>
          <cell r="W81" t="str">
            <v>○</v>
          </cell>
          <cell r="X81" t="str">
            <v>路上2台</v>
          </cell>
        </row>
        <row r="82">
          <cell r="A82">
            <v>300</v>
          </cell>
          <cell r="B82" t="str">
            <v>東横INN中部国際空港1</v>
          </cell>
          <cell r="D82">
            <v>988</v>
          </cell>
          <cell r="E82">
            <v>1014</v>
          </cell>
          <cell r="J82">
            <v>1</v>
          </cell>
          <cell r="R82" t="str">
            <v>ケータリング</v>
          </cell>
          <cell r="S82">
            <v>180</v>
          </cell>
          <cell r="T82" t="str">
            <v>高</v>
          </cell>
          <cell r="U82" t="str">
            <v>－</v>
          </cell>
          <cell r="V82" t="str">
            <v>－</v>
          </cell>
          <cell r="W82" t="str">
            <v>○</v>
          </cell>
          <cell r="X82" t="str">
            <v>玄関前（屋根無）1台</v>
          </cell>
        </row>
        <row r="83">
          <cell r="A83">
            <v>302</v>
          </cell>
          <cell r="B83" t="str">
            <v>中部国際空港セントレアホテル</v>
          </cell>
          <cell r="D83">
            <v>381</v>
          </cell>
          <cell r="E83">
            <v>546</v>
          </cell>
          <cell r="J83">
            <v>1</v>
          </cell>
          <cell r="R83" t="str">
            <v>宿泊施設</v>
          </cell>
          <cell r="S83">
            <v>106</v>
          </cell>
          <cell r="T83" t="str">
            <v>中</v>
          </cell>
          <cell r="U83" t="str">
            <v>－</v>
          </cell>
          <cell r="V83" t="str">
            <v>－</v>
          </cell>
          <cell r="W83" t="str">
            <v>○</v>
          </cell>
          <cell r="X83" t="str">
            <v>付近に乗降場無し（空港乗降場所）</v>
          </cell>
        </row>
        <row r="84">
          <cell r="A84">
            <v>301</v>
          </cell>
          <cell r="B84" t="str">
            <v>コンフォートホテル中部国際空港</v>
          </cell>
          <cell r="D84">
            <v>347</v>
          </cell>
          <cell r="E84">
            <v>505</v>
          </cell>
          <cell r="J84">
            <v>0</v>
          </cell>
          <cell r="R84" t="str">
            <v>ケータリング</v>
          </cell>
          <cell r="S84">
            <v>100</v>
          </cell>
          <cell r="T84" t="str">
            <v>高</v>
          </cell>
          <cell r="U84" t="str">
            <v>○</v>
          </cell>
          <cell r="V84" t="str">
            <v>－</v>
          </cell>
          <cell r="W84" t="str">
            <v>○</v>
          </cell>
          <cell r="X84" t="str">
            <v>路上2台</v>
          </cell>
        </row>
        <row r="85">
          <cell r="A85">
            <v>303</v>
          </cell>
          <cell r="B85" t="str">
            <v>J･HOTEL ANNEX</v>
          </cell>
          <cell r="D85">
            <v>38</v>
          </cell>
          <cell r="E85">
            <v>76</v>
          </cell>
          <cell r="J85">
            <v>0</v>
          </cell>
          <cell r="R85" t="str">
            <v>宿泊施設</v>
          </cell>
          <cell r="S85">
            <v>80</v>
          </cell>
          <cell r="T85" t="str">
            <v>調査中</v>
          </cell>
          <cell r="U85" t="str">
            <v>－</v>
          </cell>
          <cell r="V85" t="str">
            <v>○(ｼﾞﾑ内等)</v>
          </cell>
          <cell r="W85" t="str">
            <v>調査中</v>
          </cell>
          <cell r="X85" t="str">
            <v>付近に乗降場無し（りんくう駅前ロータリー）</v>
          </cell>
        </row>
        <row r="86">
          <cell r="A86">
            <v>304</v>
          </cell>
          <cell r="B86" t="str">
            <v>J･ホテルりんくう</v>
          </cell>
          <cell r="D86">
            <v>180</v>
          </cell>
          <cell r="E86">
            <v>246</v>
          </cell>
          <cell r="J86">
            <v>3</v>
          </cell>
          <cell r="R86" t="str">
            <v>宿泊施設</v>
          </cell>
          <cell r="S86">
            <v>80</v>
          </cell>
          <cell r="T86" t="str">
            <v>中</v>
          </cell>
          <cell r="U86" t="str">
            <v>－</v>
          </cell>
          <cell r="V86" t="str">
            <v>○(ｼﾞﾑ内等)</v>
          </cell>
          <cell r="W86" t="str">
            <v>○</v>
          </cell>
          <cell r="X86" t="str">
            <v>付近に乗降場無し（りんくう駅前ロータリー）</v>
          </cell>
        </row>
        <row r="87">
          <cell r="A87">
            <v>305</v>
          </cell>
          <cell r="B87" t="str">
            <v>ホテルルートイン常滑駅前グランドアネックス</v>
          </cell>
          <cell r="D87">
            <v>106</v>
          </cell>
          <cell r="E87">
            <v>106</v>
          </cell>
          <cell r="J87">
            <v>0</v>
          </cell>
          <cell r="R87" t="str">
            <v>宿泊施設</v>
          </cell>
          <cell r="S87">
            <v>94</v>
          </cell>
          <cell r="T87" t="str">
            <v>高</v>
          </cell>
          <cell r="U87" t="str">
            <v>－</v>
          </cell>
          <cell r="V87" t="str">
            <v>－</v>
          </cell>
          <cell r="W87" t="str">
            <v>調査中</v>
          </cell>
          <cell r="X87" t="str">
            <v>専用乗降場所（屋根無）1台</v>
          </cell>
        </row>
        <row r="88">
          <cell r="A88">
            <v>307</v>
          </cell>
          <cell r="B88" t="str">
            <v>スプリングサニーホテル名古屋常滑駅前</v>
          </cell>
          <cell r="D88">
            <v>194</v>
          </cell>
          <cell r="E88">
            <v>354</v>
          </cell>
          <cell r="J88">
            <v>0</v>
          </cell>
          <cell r="R88" t="str">
            <v>宿泊施設</v>
          </cell>
          <cell r="S88">
            <v>100</v>
          </cell>
          <cell r="T88" t="str">
            <v>高</v>
          </cell>
          <cell r="U88" t="str">
            <v>－</v>
          </cell>
          <cell r="V88" t="str">
            <v>－</v>
          </cell>
          <cell r="W88" t="str">
            <v>調査中</v>
          </cell>
          <cell r="X88" t="str">
            <v>専用乗降場所（屋根無）2台</v>
          </cell>
        </row>
        <row r="89">
          <cell r="A89">
            <v>310</v>
          </cell>
          <cell r="B89" t="str">
            <v>南知多温泉　源氏香</v>
          </cell>
          <cell r="D89">
            <v>28</v>
          </cell>
          <cell r="E89">
            <v>6</v>
          </cell>
          <cell r="J89">
            <v>3</v>
          </cell>
          <cell r="R89" t="str">
            <v>宿泊施設</v>
          </cell>
          <cell r="S89">
            <v>30</v>
          </cell>
          <cell r="T89" t="str">
            <v>調査中</v>
          </cell>
          <cell r="U89" t="str">
            <v>－</v>
          </cell>
          <cell r="V89" t="str">
            <v>○</v>
          </cell>
          <cell r="W89" t="str">
            <v>調査中</v>
          </cell>
          <cell r="X89" t="str">
            <v>玄関前（屋根無）1台</v>
          </cell>
        </row>
        <row r="90">
          <cell r="A90">
            <v>311</v>
          </cell>
          <cell r="B90" t="str">
            <v>グランドホテル山海館</v>
          </cell>
          <cell r="D90">
            <v>36</v>
          </cell>
          <cell r="E90">
            <v>0</v>
          </cell>
          <cell r="J90">
            <v>7</v>
          </cell>
          <cell r="R90" t="str">
            <v>宿泊施設</v>
          </cell>
          <cell r="S90">
            <v>200</v>
          </cell>
          <cell r="T90" t="str">
            <v>調査中</v>
          </cell>
          <cell r="U90" t="str">
            <v>－</v>
          </cell>
          <cell r="V90" t="str">
            <v>－</v>
          </cell>
          <cell r="W90" t="str">
            <v>調査中</v>
          </cell>
          <cell r="X90" t="str">
            <v>玄関前（屋根無）2台</v>
          </cell>
        </row>
        <row r="91">
          <cell r="A91">
            <v>312</v>
          </cell>
          <cell r="B91" t="str">
            <v>イイネ！ホテルレシーア南知多</v>
          </cell>
          <cell r="D91">
            <v>41</v>
          </cell>
          <cell r="E91">
            <v>36</v>
          </cell>
          <cell r="J91">
            <v>6</v>
          </cell>
          <cell r="R91" t="str">
            <v>宿泊施設</v>
          </cell>
          <cell r="S91">
            <v>23</v>
          </cell>
          <cell r="T91" t="str">
            <v>調査中</v>
          </cell>
          <cell r="U91" t="str">
            <v>－</v>
          </cell>
          <cell r="V91" t="str">
            <v>－</v>
          </cell>
          <cell r="W91" t="str">
            <v>調査中</v>
          </cell>
          <cell r="X91" t="str">
            <v>玄関前（屋根無）1台</v>
          </cell>
        </row>
        <row r="92">
          <cell r="A92">
            <v>313</v>
          </cell>
          <cell r="B92" t="str">
            <v>和風旅館　粛 海風</v>
          </cell>
          <cell r="D92">
            <v>29</v>
          </cell>
          <cell r="E92">
            <v>2</v>
          </cell>
          <cell r="J92">
            <v>2</v>
          </cell>
          <cell r="R92" t="str">
            <v>宿泊施設</v>
          </cell>
          <cell r="S92">
            <v>115</v>
          </cell>
          <cell r="T92" t="str">
            <v>調査中</v>
          </cell>
          <cell r="U92" t="str">
            <v>－</v>
          </cell>
          <cell r="V92" t="str">
            <v>－</v>
          </cell>
          <cell r="W92" t="str">
            <v>調査中</v>
          </cell>
          <cell r="X92" t="str">
            <v>玄関前（屋根無）1台</v>
          </cell>
        </row>
        <row r="93">
          <cell r="A93">
            <v>315</v>
          </cell>
          <cell r="B93" t="str">
            <v>オテル・ド・マロニエ内海温泉</v>
          </cell>
          <cell r="D93">
            <v>64</v>
          </cell>
          <cell r="E93">
            <v>82</v>
          </cell>
          <cell r="J93">
            <v>5</v>
          </cell>
          <cell r="R93" t="str">
            <v>宿泊施設</v>
          </cell>
          <cell r="S93">
            <v>76</v>
          </cell>
          <cell r="T93" t="str">
            <v>調査中</v>
          </cell>
          <cell r="U93" t="str">
            <v>－</v>
          </cell>
          <cell r="V93" t="str">
            <v>○</v>
          </cell>
          <cell r="W93" t="str">
            <v>調査中</v>
          </cell>
          <cell r="X93" t="str">
            <v>玄関前（屋根無）1台</v>
          </cell>
        </row>
        <row r="94">
          <cell r="A94">
            <v>316</v>
          </cell>
          <cell r="B94" t="str">
            <v>水軍伝説の風薫る宿 花乃丸</v>
          </cell>
          <cell r="D94">
            <v>48</v>
          </cell>
          <cell r="E94">
            <v>26</v>
          </cell>
          <cell r="J94">
            <v>7</v>
          </cell>
          <cell r="R94" t="str">
            <v>宿泊施設</v>
          </cell>
          <cell r="S94">
            <v>27</v>
          </cell>
          <cell r="T94" t="str">
            <v>調査中</v>
          </cell>
          <cell r="U94" t="str">
            <v>－</v>
          </cell>
          <cell r="V94" t="str">
            <v>－</v>
          </cell>
          <cell r="W94" t="str">
            <v>調査中</v>
          </cell>
          <cell r="X94" t="str">
            <v>玄関前（屋根無）1台</v>
          </cell>
        </row>
        <row r="95">
          <cell r="A95">
            <v>317</v>
          </cell>
          <cell r="B95" t="str">
            <v xml:space="preserve">愛知県美浜自然の家  </v>
          </cell>
          <cell r="D95">
            <v>60</v>
          </cell>
          <cell r="E95">
            <v>48</v>
          </cell>
          <cell r="J95">
            <v>16</v>
          </cell>
          <cell r="R95" t="str">
            <v>宿泊施設</v>
          </cell>
          <cell r="S95">
            <v>228</v>
          </cell>
          <cell r="T95" t="str">
            <v>調査中</v>
          </cell>
          <cell r="U95" t="str">
            <v>－</v>
          </cell>
          <cell r="V95" t="str">
            <v>－</v>
          </cell>
          <cell r="W95" t="str">
            <v>調査中</v>
          </cell>
          <cell r="X95" t="str">
            <v>専用乗降場所（屋根無）10台</v>
          </cell>
        </row>
        <row r="96">
          <cell r="A96">
            <v>1002</v>
          </cell>
          <cell r="B96" t="str">
            <v>ルートイングランティア東海Spa &amp; Relaxation</v>
          </cell>
          <cell r="D96">
            <v>212</v>
          </cell>
          <cell r="E96">
            <v>212</v>
          </cell>
          <cell r="J96">
            <v>0</v>
          </cell>
          <cell r="R96" t="str">
            <v>宿泊施設</v>
          </cell>
          <cell r="S96">
            <v>159</v>
          </cell>
          <cell r="T96" t="str">
            <v>高</v>
          </cell>
          <cell r="U96" t="str">
            <v>－</v>
          </cell>
          <cell r="V96" t="str">
            <v>○(ｼﾞﾑ内等)</v>
          </cell>
          <cell r="W96" t="str">
            <v>○</v>
          </cell>
          <cell r="X96" t="str">
            <v>専用乗降場所（屋根無）3台</v>
          </cell>
        </row>
        <row r="97">
          <cell r="A97">
            <v>1003</v>
          </cell>
          <cell r="B97" t="str">
            <v>ホテルルートイン新城</v>
          </cell>
          <cell r="D97">
            <v>184</v>
          </cell>
          <cell r="E97">
            <v>186</v>
          </cell>
          <cell r="J97">
            <v>0</v>
          </cell>
          <cell r="R97" t="str">
            <v>宿泊施設</v>
          </cell>
          <cell r="S97">
            <v>92</v>
          </cell>
          <cell r="T97" t="str">
            <v>高</v>
          </cell>
          <cell r="U97" t="str">
            <v>－</v>
          </cell>
          <cell r="V97" t="str">
            <v>－</v>
          </cell>
          <cell r="W97" t="str">
            <v>○</v>
          </cell>
          <cell r="X97" t="str">
            <v>専用乗降場所（屋根無）3台</v>
          </cell>
        </row>
        <row r="98">
          <cell r="A98">
            <v>1008</v>
          </cell>
          <cell r="B98" t="str">
            <v>ホテルインディゴ犬山有楽苑</v>
          </cell>
          <cell r="D98">
            <v>154</v>
          </cell>
          <cell r="E98">
            <v>253</v>
          </cell>
          <cell r="J98">
            <v>4</v>
          </cell>
          <cell r="R98" t="str">
            <v>宿泊施設</v>
          </cell>
          <cell r="S98">
            <v>130</v>
          </cell>
          <cell r="T98" t="str">
            <v>中</v>
          </cell>
          <cell r="U98" t="str">
            <v>○</v>
          </cell>
          <cell r="V98" t="str">
            <v>○</v>
          </cell>
          <cell r="W98" t="str">
            <v>－</v>
          </cell>
          <cell r="X98" t="str">
            <v>玄関前（屋根付）1台</v>
          </cell>
        </row>
        <row r="99">
          <cell r="A99">
            <v>1009</v>
          </cell>
          <cell r="B99" t="str">
            <v>灯屋　迎帆楼</v>
          </cell>
          <cell r="D99">
            <v>10</v>
          </cell>
          <cell r="E99">
            <v>20</v>
          </cell>
          <cell r="J99">
            <v>0</v>
          </cell>
          <cell r="R99" t="str">
            <v>宿泊施設</v>
          </cell>
          <cell r="S99">
            <v>40</v>
          </cell>
          <cell r="T99" t="str">
            <v>調査中</v>
          </cell>
          <cell r="U99" t="str">
            <v>－</v>
          </cell>
          <cell r="V99" t="str">
            <v>－</v>
          </cell>
          <cell r="W99" t="str">
            <v>調査中</v>
          </cell>
          <cell r="X99" t="str">
            <v>路上1台</v>
          </cell>
        </row>
        <row r="100">
          <cell r="A100">
            <v>1010</v>
          </cell>
          <cell r="B100" t="str">
            <v>天の丸</v>
          </cell>
          <cell r="D100">
            <v>37</v>
          </cell>
          <cell r="E100">
            <v>40</v>
          </cell>
          <cell r="J100">
            <v>11</v>
          </cell>
          <cell r="R100" t="str">
            <v>宿泊施設</v>
          </cell>
          <cell r="S100">
            <v>30</v>
          </cell>
          <cell r="T100" t="str">
            <v>調査中</v>
          </cell>
          <cell r="U100" t="str">
            <v>－</v>
          </cell>
          <cell r="V100" t="str">
            <v>－</v>
          </cell>
          <cell r="W100" t="str">
            <v>－</v>
          </cell>
          <cell r="X100" t="str">
            <v>専用乗降場所（屋根無）2台</v>
          </cell>
        </row>
        <row r="101">
          <cell r="A101">
            <v>1012</v>
          </cell>
          <cell r="B101" t="str">
            <v>ホテルたつき</v>
          </cell>
          <cell r="D101">
            <v>73</v>
          </cell>
          <cell r="E101">
            <v>146</v>
          </cell>
          <cell r="J101">
            <v>18</v>
          </cell>
          <cell r="R101" t="str">
            <v>宿泊施設</v>
          </cell>
          <cell r="S101">
            <v>250</v>
          </cell>
          <cell r="T101" t="str">
            <v>中</v>
          </cell>
          <cell r="U101" t="str">
            <v>－</v>
          </cell>
          <cell r="V101" t="str">
            <v>－</v>
          </cell>
          <cell r="W101" t="str">
            <v>－</v>
          </cell>
          <cell r="X101" t="str">
            <v>玄関前（屋根無）1台</v>
          </cell>
        </row>
        <row r="102">
          <cell r="A102">
            <v>1013</v>
          </cell>
          <cell r="B102" t="str">
            <v>西浦グランドホテル吉慶</v>
          </cell>
          <cell r="D102">
            <v>42</v>
          </cell>
          <cell r="E102">
            <v>84</v>
          </cell>
          <cell r="J102">
            <v>6</v>
          </cell>
          <cell r="R102" t="str">
            <v>宿泊施設</v>
          </cell>
          <cell r="S102">
            <v>70</v>
          </cell>
          <cell r="T102" t="str">
            <v>中</v>
          </cell>
          <cell r="U102" t="str">
            <v>－</v>
          </cell>
          <cell r="V102" t="str">
            <v>－</v>
          </cell>
          <cell r="W102" t="str">
            <v>－</v>
          </cell>
          <cell r="X102" t="str">
            <v>玄関前（屋根無）1台</v>
          </cell>
        </row>
        <row r="103">
          <cell r="A103">
            <v>1015</v>
          </cell>
          <cell r="B103" t="str">
            <v>ホテル三河　海陽閣</v>
          </cell>
          <cell r="D103">
            <v>30</v>
          </cell>
          <cell r="E103">
            <v>60</v>
          </cell>
          <cell r="J103">
            <v>6</v>
          </cell>
          <cell r="R103" t="str">
            <v>宿泊施設</v>
          </cell>
          <cell r="S103">
            <v>30</v>
          </cell>
          <cell r="T103" t="str">
            <v>中</v>
          </cell>
          <cell r="U103" t="str">
            <v>－</v>
          </cell>
          <cell r="V103" t="str">
            <v>○</v>
          </cell>
          <cell r="W103" t="str">
            <v>○</v>
          </cell>
          <cell r="X103" t="str">
            <v>玄関前（屋根付）1台</v>
          </cell>
        </row>
        <row r="104">
          <cell r="A104">
            <v>1016</v>
          </cell>
          <cell r="B104" t="str">
            <v>くれたけインプレミアム名駅南</v>
          </cell>
          <cell r="D104">
            <v>147</v>
          </cell>
          <cell r="E104">
            <v>159</v>
          </cell>
          <cell r="J104">
            <v>0</v>
          </cell>
          <cell r="R104" t="str">
            <v>ケータリング</v>
          </cell>
          <cell r="S104">
            <v>46</v>
          </cell>
          <cell r="T104" t="str">
            <v>調査中</v>
          </cell>
          <cell r="U104" t="str">
            <v>－</v>
          </cell>
          <cell r="V104" t="str">
            <v>ﾐｽﾄｻｳﾅ</v>
          </cell>
          <cell r="W104" t="str">
            <v>調査中</v>
          </cell>
          <cell r="X104" t="str">
            <v>路上1台</v>
          </cell>
        </row>
        <row r="105">
          <cell r="A105">
            <v>1021</v>
          </cell>
          <cell r="B105" t="str">
            <v>コートヤードバイマリオット名古屋</v>
          </cell>
          <cell r="D105">
            <v>360</v>
          </cell>
          <cell r="E105">
            <v>500</v>
          </cell>
          <cell r="J105">
            <v>7</v>
          </cell>
          <cell r="R105" t="str">
            <v>宿泊施設</v>
          </cell>
          <cell r="S105">
            <v>100</v>
          </cell>
          <cell r="T105" t="str">
            <v>中</v>
          </cell>
          <cell r="U105" t="str">
            <v>○</v>
          </cell>
          <cell r="V105" t="str">
            <v>－</v>
          </cell>
          <cell r="W105" t="str">
            <v>調査中</v>
          </cell>
          <cell r="X105" t="str">
            <v>玄関前（屋根付）2台</v>
          </cell>
        </row>
        <row r="106">
          <cell r="A106">
            <v>1028</v>
          </cell>
          <cell r="B106" t="str">
            <v>蒲郡ホテル＜別館＞</v>
          </cell>
          <cell r="D106">
            <v>25</v>
          </cell>
          <cell r="E106">
            <v>54</v>
          </cell>
          <cell r="J106">
            <v>1</v>
          </cell>
          <cell r="R106" t="str">
            <v>ケータリング</v>
          </cell>
          <cell r="S106">
            <v>80</v>
          </cell>
          <cell r="T106" t="str">
            <v>中</v>
          </cell>
          <cell r="U106" t="str">
            <v>－</v>
          </cell>
          <cell r="V106" t="str">
            <v>－</v>
          </cell>
          <cell r="W106" t="str">
            <v>－</v>
          </cell>
          <cell r="X106" t="str">
            <v>玄関前（屋根付）1台</v>
          </cell>
        </row>
        <row r="107">
          <cell r="A107">
            <v>1029</v>
          </cell>
          <cell r="B107" t="str">
            <v>伊良湖オーシャンリゾート</v>
          </cell>
          <cell r="D107">
            <v>147</v>
          </cell>
          <cell r="E107">
            <v>316</v>
          </cell>
          <cell r="J107">
            <v>6</v>
          </cell>
          <cell r="R107" t="str">
            <v>宿泊施設</v>
          </cell>
          <cell r="S107" t="str">
            <v>調査中</v>
          </cell>
          <cell r="T107" t="str">
            <v>中</v>
          </cell>
          <cell r="U107" t="str">
            <v>－</v>
          </cell>
          <cell r="V107" t="str">
            <v>○</v>
          </cell>
          <cell r="W107" t="str">
            <v>調査中</v>
          </cell>
          <cell r="X107" t="str">
            <v>玄関前（屋根付）1台</v>
          </cell>
        </row>
        <row r="108">
          <cell r="A108">
            <v>1030</v>
          </cell>
          <cell r="B108" t="str">
            <v>伊良湖リゾート＆コンベンションホテル（旧伊良湖シーパーク＆スパ）</v>
          </cell>
          <cell r="D108">
            <v>67</v>
          </cell>
          <cell r="E108">
            <v>110</v>
          </cell>
          <cell r="J108">
            <v>9</v>
          </cell>
          <cell r="R108" t="str">
            <v>宿泊施設</v>
          </cell>
          <cell r="S108" t="str">
            <v>調査中</v>
          </cell>
          <cell r="T108" t="str">
            <v>中</v>
          </cell>
          <cell r="U108" t="str">
            <v>－</v>
          </cell>
          <cell r="V108" t="str">
            <v>○</v>
          </cell>
          <cell r="W108" t="str">
            <v>調査中</v>
          </cell>
          <cell r="X108" t="str">
            <v>玄関前（屋根付）3台</v>
          </cell>
        </row>
        <row r="109">
          <cell r="A109">
            <v>2004</v>
          </cell>
          <cell r="B109" t="str">
            <v>アパホテル＜浜松駅南＞</v>
          </cell>
          <cell r="D109">
            <v>177</v>
          </cell>
          <cell r="E109">
            <v>177</v>
          </cell>
          <cell r="J109">
            <v>1</v>
          </cell>
          <cell r="R109" t="str">
            <v>宿泊施設</v>
          </cell>
          <cell r="S109">
            <v>30</v>
          </cell>
          <cell r="T109" t="str">
            <v>調査中</v>
          </cell>
          <cell r="U109" t="str">
            <v>－</v>
          </cell>
          <cell r="V109" t="str">
            <v>－</v>
          </cell>
          <cell r="W109" t="str">
            <v>調査中</v>
          </cell>
          <cell r="X109" t="str">
            <v>専用乗降場所（屋根無）1台</v>
          </cell>
        </row>
        <row r="110">
          <cell r="A110">
            <v>2007</v>
          </cell>
          <cell r="B110" t="str">
            <v>シェラトン都ホテル大阪</v>
          </cell>
          <cell r="D110">
            <v>578</v>
          </cell>
          <cell r="E110">
            <v>933</v>
          </cell>
          <cell r="J110">
            <v>24</v>
          </cell>
          <cell r="R110" t="str">
            <v>宿泊施設</v>
          </cell>
          <cell r="S110">
            <v>120</v>
          </cell>
          <cell r="T110" t="str">
            <v>－</v>
          </cell>
          <cell r="U110" t="str">
            <v>○</v>
          </cell>
          <cell r="V110" t="str">
            <v>○(ｼﾞﾑ内等)</v>
          </cell>
          <cell r="W110" t="str">
            <v>－</v>
          </cell>
          <cell r="X110" t="str">
            <v>玄関前（屋根付）3台</v>
          </cell>
        </row>
        <row r="111">
          <cell r="A111">
            <v>2008</v>
          </cell>
          <cell r="B111" t="str">
            <v>ホテルアゴーラリージェンシー大阪堺</v>
          </cell>
          <cell r="D111">
            <v>241</v>
          </cell>
          <cell r="E111">
            <v>456</v>
          </cell>
          <cell r="J111">
            <v>20</v>
          </cell>
          <cell r="R111" t="str">
            <v>宿泊施設</v>
          </cell>
          <cell r="S111">
            <v>170</v>
          </cell>
          <cell r="T111" t="str">
            <v>低</v>
          </cell>
          <cell r="U111" t="str">
            <v>－</v>
          </cell>
          <cell r="V111" t="str">
            <v>－</v>
          </cell>
          <cell r="W111" t="str">
            <v>－</v>
          </cell>
          <cell r="X111" t="str">
            <v>玄関前（屋根付）7台</v>
          </cell>
        </row>
        <row r="112">
          <cell r="A112">
            <v>2009</v>
          </cell>
          <cell r="B112" t="str">
            <v>帝国ホテル 大阪</v>
          </cell>
          <cell r="D112">
            <v>378</v>
          </cell>
          <cell r="E112">
            <v>620</v>
          </cell>
          <cell r="J112">
            <v>24</v>
          </cell>
          <cell r="R112" t="str">
            <v>宿泊施設</v>
          </cell>
          <cell r="S112">
            <v>100</v>
          </cell>
          <cell r="T112" t="str">
            <v>－</v>
          </cell>
          <cell r="U112" t="str">
            <v>○</v>
          </cell>
          <cell r="V112" t="str">
            <v>○(ｼﾞﾑ内等)</v>
          </cell>
          <cell r="W112" t="str">
            <v>調査中</v>
          </cell>
          <cell r="X112" t="str">
            <v>玄関前（屋根無）4台</v>
          </cell>
        </row>
        <row r="113">
          <cell r="A113">
            <v>2010</v>
          </cell>
          <cell r="B113" t="str">
            <v>神戸西神オリエンタルホテル</v>
          </cell>
          <cell r="D113">
            <v>184</v>
          </cell>
          <cell r="E113">
            <v>287</v>
          </cell>
          <cell r="J113">
            <v>6</v>
          </cell>
          <cell r="R113" t="str">
            <v>宿泊施設</v>
          </cell>
          <cell r="S113">
            <v>155</v>
          </cell>
          <cell r="T113" t="str">
            <v>－</v>
          </cell>
          <cell r="U113" t="str">
            <v>○</v>
          </cell>
          <cell r="V113" t="str">
            <v>○(ｼﾞﾑ内等)</v>
          </cell>
          <cell r="W113" t="str">
            <v>○</v>
          </cell>
          <cell r="X113" t="str">
            <v>玄関前（屋根付）2台</v>
          </cell>
        </row>
        <row r="114">
          <cell r="A114">
            <v>2011</v>
          </cell>
          <cell r="B114" t="str">
            <v>ANAクラウンプラザホテル　神戸</v>
          </cell>
          <cell r="D114">
            <v>592</v>
          </cell>
          <cell r="E114">
            <v>912</v>
          </cell>
          <cell r="J114">
            <v>18</v>
          </cell>
          <cell r="R114" t="str">
            <v>宿泊施設</v>
          </cell>
          <cell r="S114">
            <v>80</v>
          </cell>
          <cell r="T114" t="str">
            <v>－</v>
          </cell>
          <cell r="U114" t="str">
            <v>○</v>
          </cell>
          <cell r="V114" t="str">
            <v>○(ｼﾞﾑ内等)</v>
          </cell>
          <cell r="W114" t="str">
            <v>－</v>
          </cell>
          <cell r="X114" t="str">
            <v>玄関前（屋根付）2台</v>
          </cell>
        </row>
        <row r="115">
          <cell r="A115">
            <v>2012</v>
          </cell>
          <cell r="B115" t="str">
            <v>シーサイドホテル舞子ビラ神戸</v>
          </cell>
          <cell r="D115">
            <v>247</v>
          </cell>
          <cell r="E115">
            <v>379</v>
          </cell>
          <cell r="J115">
            <v>19</v>
          </cell>
          <cell r="R115" t="str">
            <v>宿泊施設</v>
          </cell>
          <cell r="S115">
            <v>100</v>
          </cell>
          <cell r="T115" t="str">
            <v>低</v>
          </cell>
          <cell r="U115" t="str">
            <v>○</v>
          </cell>
          <cell r="V115" t="str">
            <v>○</v>
          </cell>
          <cell r="W115" t="str">
            <v>○</v>
          </cell>
          <cell r="X115" t="str">
            <v>玄関前（屋根付）2台</v>
          </cell>
        </row>
        <row r="116">
          <cell r="A116">
            <v>2013</v>
          </cell>
          <cell r="B116" t="str">
            <v>ホテルオークラ神戸</v>
          </cell>
          <cell r="D116">
            <v>460</v>
          </cell>
          <cell r="E116">
            <v>790</v>
          </cell>
          <cell r="J116">
            <v>14</v>
          </cell>
          <cell r="R116" t="str">
            <v>宿泊施設</v>
          </cell>
          <cell r="S116">
            <v>120</v>
          </cell>
          <cell r="T116" t="str">
            <v>－</v>
          </cell>
          <cell r="U116" t="str">
            <v>○</v>
          </cell>
          <cell r="V116" t="str">
            <v>○(ｼﾞﾑ内等)</v>
          </cell>
          <cell r="W116" t="str">
            <v>調査中</v>
          </cell>
          <cell r="X116" t="str">
            <v>玄関前（屋根付）4台</v>
          </cell>
        </row>
        <row r="117">
          <cell r="A117">
            <v>2014</v>
          </cell>
          <cell r="B117" t="str">
            <v>（仮称）　アゴーラ　プレイス　大阪堺</v>
          </cell>
          <cell r="D117">
            <v>350</v>
          </cell>
          <cell r="E117">
            <v>350</v>
          </cell>
          <cell r="J117">
            <v>1</v>
          </cell>
          <cell r="R117" t="str">
            <v>調査中</v>
          </cell>
          <cell r="S117" t="str">
            <v>調査中</v>
          </cell>
          <cell r="T117" t="str">
            <v>調査中</v>
          </cell>
          <cell r="U117" t="str">
            <v>－</v>
          </cell>
          <cell r="V117" t="str">
            <v>－</v>
          </cell>
          <cell r="W117" t="str">
            <v>調査中</v>
          </cell>
          <cell r="X117" t="str">
            <v>開業前で未定</v>
          </cell>
        </row>
        <row r="118">
          <cell r="A118">
            <v>2015</v>
          </cell>
          <cell r="B118" t="str">
            <v>京都ホテルオークラ</v>
          </cell>
          <cell r="D118">
            <v>321</v>
          </cell>
          <cell r="E118">
            <v>576</v>
          </cell>
          <cell r="J118">
            <v>12</v>
          </cell>
          <cell r="R118" t="str">
            <v>宿泊施設</v>
          </cell>
          <cell r="S118">
            <v>120</v>
          </cell>
          <cell r="T118" t="str">
            <v>－</v>
          </cell>
          <cell r="U118" t="str">
            <v>○</v>
          </cell>
          <cell r="V118" t="str">
            <v>○(ｼﾞﾑ内等)</v>
          </cell>
          <cell r="W118" t="str">
            <v>調査中</v>
          </cell>
          <cell r="X118" t="str">
            <v>路上1台</v>
          </cell>
        </row>
        <row r="119">
          <cell r="A119">
            <v>2016</v>
          </cell>
          <cell r="B119" t="str">
            <v>つま恋リゾート　彩の郷</v>
          </cell>
          <cell r="D119">
            <v>232</v>
          </cell>
          <cell r="E119">
            <v>718</v>
          </cell>
          <cell r="J119">
            <v>40</v>
          </cell>
          <cell r="R119" t="str">
            <v>宿泊施設</v>
          </cell>
          <cell r="S119">
            <v>100</v>
          </cell>
          <cell r="T119" t="str">
            <v>中</v>
          </cell>
          <cell r="U119" t="str">
            <v>－</v>
          </cell>
          <cell r="V119" t="str">
            <v>○</v>
          </cell>
          <cell r="W119" t="str">
            <v>○</v>
          </cell>
          <cell r="X119" t="str">
            <v>玄関前（屋根付）3台</v>
          </cell>
        </row>
        <row r="120">
          <cell r="A120">
            <v>2017</v>
          </cell>
          <cell r="B120" t="str">
            <v>葛城 北の丸</v>
          </cell>
          <cell r="D120">
            <v>49</v>
          </cell>
          <cell r="E120">
            <v>77</v>
          </cell>
          <cell r="J120">
            <v>6</v>
          </cell>
          <cell r="R120" t="str">
            <v>宿泊施設</v>
          </cell>
          <cell r="S120">
            <v>48</v>
          </cell>
          <cell r="T120" t="str">
            <v>調査中</v>
          </cell>
          <cell r="U120" t="str">
            <v>－</v>
          </cell>
          <cell r="V120" t="str">
            <v>－</v>
          </cell>
          <cell r="W120" t="str">
            <v>調査中</v>
          </cell>
          <cell r="X120" t="str">
            <v>専用乗降場所（屋根無）3台</v>
          </cell>
        </row>
        <row r="121">
          <cell r="A121">
            <v>2018</v>
          </cell>
          <cell r="B121" t="str">
            <v>掛川グランドホテル</v>
          </cell>
          <cell r="D121">
            <v>92</v>
          </cell>
          <cell r="E121">
            <v>148</v>
          </cell>
          <cell r="J121">
            <v>8</v>
          </cell>
          <cell r="R121" t="str">
            <v>宿泊施設</v>
          </cell>
          <cell r="S121">
            <v>53</v>
          </cell>
          <cell r="T121" t="str">
            <v>低</v>
          </cell>
          <cell r="U121" t="str">
            <v>－</v>
          </cell>
          <cell r="V121" t="str">
            <v>－</v>
          </cell>
          <cell r="W121" t="str">
            <v>○</v>
          </cell>
          <cell r="X121" t="str">
            <v>玄関前（屋根付）1台</v>
          </cell>
        </row>
        <row r="122">
          <cell r="A122">
            <v>2019</v>
          </cell>
          <cell r="B122" t="str">
            <v>THE HAMANAKO（グランドメルキュール浜名湖リゾート＆スパ）</v>
          </cell>
          <cell r="D122">
            <v>369</v>
          </cell>
          <cell r="E122">
            <v>641</v>
          </cell>
          <cell r="J122">
            <v>2</v>
          </cell>
          <cell r="R122" t="str">
            <v>宿泊施設</v>
          </cell>
          <cell r="S122">
            <v>250</v>
          </cell>
          <cell r="T122" t="str">
            <v>調査中</v>
          </cell>
          <cell r="U122" t="str">
            <v>－</v>
          </cell>
          <cell r="V122" t="str">
            <v>ﾐｽﾄｻｳﾅ</v>
          </cell>
          <cell r="W122" t="str">
            <v>○</v>
          </cell>
          <cell r="X122" t="str">
            <v>玄関前（屋根付）3台</v>
          </cell>
        </row>
        <row r="123">
          <cell r="A123">
            <v>2020</v>
          </cell>
          <cell r="B123" t="str">
            <v>浜名湖リゾート＆スパTHE OCEAN</v>
          </cell>
          <cell r="D123">
            <v>103</v>
          </cell>
          <cell r="E123">
            <v>119</v>
          </cell>
          <cell r="J123">
            <v>3</v>
          </cell>
          <cell r="R123" t="str">
            <v>宿泊施設</v>
          </cell>
          <cell r="S123">
            <v>80</v>
          </cell>
          <cell r="T123" t="str">
            <v>調査中</v>
          </cell>
          <cell r="U123" t="str">
            <v>－</v>
          </cell>
          <cell r="V123" t="str">
            <v>－</v>
          </cell>
          <cell r="W123" t="str">
            <v>調査中</v>
          </cell>
          <cell r="X123" t="str">
            <v>付近に乗降場無し（海浜公園駐車場）</v>
          </cell>
        </row>
        <row r="124">
          <cell r="A124">
            <v>2021</v>
          </cell>
          <cell r="B124" t="str">
            <v>オークラアクトシティホテル浜松</v>
          </cell>
          <cell r="D124">
            <v>322</v>
          </cell>
          <cell r="E124">
            <v>521</v>
          </cell>
          <cell r="J124">
            <v>11</v>
          </cell>
          <cell r="R124" t="str">
            <v>宿泊施設</v>
          </cell>
          <cell r="S124">
            <v>146</v>
          </cell>
          <cell r="T124" t="str">
            <v>低</v>
          </cell>
          <cell r="U124" t="str">
            <v>○</v>
          </cell>
          <cell r="V124" t="str">
            <v>○(ｼﾞﾑ内等)</v>
          </cell>
          <cell r="W124" t="str">
            <v>調査中</v>
          </cell>
          <cell r="X124" t="str">
            <v>玄関前（屋根付）2台</v>
          </cell>
        </row>
        <row r="125">
          <cell r="A125">
            <v>2022</v>
          </cell>
          <cell r="B125" t="str">
            <v>ホテルラフォーレ修善寺</v>
          </cell>
          <cell r="D125">
            <v>212</v>
          </cell>
          <cell r="E125">
            <v>522</v>
          </cell>
          <cell r="J125">
            <v>12</v>
          </cell>
          <cell r="R125" t="str">
            <v>宿泊施設</v>
          </cell>
          <cell r="S125">
            <v>122</v>
          </cell>
          <cell r="T125" t="str">
            <v>中</v>
          </cell>
          <cell r="U125" t="str">
            <v>－</v>
          </cell>
          <cell r="V125" t="str">
            <v>○</v>
          </cell>
          <cell r="W125" t="str">
            <v>○</v>
          </cell>
          <cell r="X125" t="str">
            <v>専用乗降場所（屋根無）3台</v>
          </cell>
        </row>
        <row r="126">
          <cell r="A126">
            <v>2023</v>
          </cell>
          <cell r="B126" t="str">
            <v>伊豆温泉村　ホテルオリーブの木</v>
          </cell>
          <cell r="D126">
            <v>40</v>
          </cell>
          <cell r="E126">
            <v>80</v>
          </cell>
          <cell r="J126">
            <v>3</v>
          </cell>
          <cell r="R126" t="str">
            <v>宿泊施設</v>
          </cell>
          <cell r="S126">
            <v>60</v>
          </cell>
          <cell r="T126" t="str">
            <v>調査中</v>
          </cell>
          <cell r="U126" t="str">
            <v>－</v>
          </cell>
          <cell r="V126" t="str">
            <v>○</v>
          </cell>
          <cell r="W126" t="str">
            <v>調査中</v>
          </cell>
          <cell r="X126" t="str">
            <v>専用乗降場所（屋根無）3台</v>
          </cell>
        </row>
        <row r="127">
          <cell r="A127">
            <v>2024</v>
          </cell>
          <cell r="B127" t="str">
            <v>富士山三島東急ホテル</v>
          </cell>
          <cell r="D127">
            <v>165</v>
          </cell>
          <cell r="E127">
            <v>307</v>
          </cell>
          <cell r="J127" t="str">
            <v>(1)</v>
          </cell>
          <cell r="R127" t="str">
            <v>宿泊施設</v>
          </cell>
          <cell r="S127">
            <v>134</v>
          </cell>
          <cell r="T127" t="str">
            <v>調査中</v>
          </cell>
          <cell r="U127" t="str">
            <v>○</v>
          </cell>
          <cell r="V127" t="str">
            <v>○</v>
          </cell>
          <cell r="W127" t="str">
            <v>調査中</v>
          </cell>
          <cell r="X127" t="str">
            <v>路上1台</v>
          </cell>
        </row>
        <row r="128">
          <cell r="A128">
            <v>2025</v>
          </cell>
          <cell r="B128" t="str">
            <v>伊豆マリオットホテル修善寺</v>
          </cell>
          <cell r="D128">
            <v>128</v>
          </cell>
          <cell r="E128">
            <v>223</v>
          </cell>
          <cell r="J128">
            <v>3</v>
          </cell>
          <cell r="R128" t="str">
            <v>宿泊施設</v>
          </cell>
          <cell r="S128">
            <v>168</v>
          </cell>
          <cell r="T128" t="str">
            <v>中</v>
          </cell>
          <cell r="U128" t="str">
            <v>○</v>
          </cell>
          <cell r="V128" t="str">
            <v>○</v>
          </cell>
          <cell r="W128" t="str">
            <v>調査中</v>
          </cell>
          <cell r="X128" t="str">
            <v>玄関前（屋根無）2台</v>
          </cell>
        </row>
        <row r="129">
          <cell r="A129">
            <v>2026</v>
          </cell>
          <cell r="B129" t="str">
            <v>岐阜グランドホテル</v>
          </cell>
          <cell r="D129">
            <v>158</v>
          </cell>
          <cell r="E129">
            <v>184</v>
          </cell>
          <cell r="J129">
            <v>14</v>
          </cell>
          <cell r="R129" t="str">
            <v>宿泊施設</v>
          </cell>
          <cell r="S129">
            <v>150</v>
          </cell>
          <cell r="T129" t="str">
            <v>中</v>
          </cell>
          <cell r="U129" t="str">
            <v>－</v>
          </cell>
          <cell r="V129" t="str">
            <v>○</v>
          </cell>
          <cell r="W129" t="str">
            <v>－</v>
          </cell>
          <cell r="X129" t="str">
            <v>玄関前（屋根無）2台</v>
          </cell>
        </row>
        <row r="130">
          <cell r="A130">
            <v>2027</v>
          </cell>
          <cell r="B130" t="str">
            <v>都ホテル岐阜長良川</v>
          </cell>
          <cell r="D130">
            <v>192</v>
          </cell>
          <cell r="E130">
            <v>348</v>
          </cell>
          <cell r="J130">
            <v>16</v>
          </cell>
          <cell r="R130" t="str">
            <v>宿泊施設</v>
          </cell>
          <cell r="S130">
            <v>142</v>
          </cell>
          <cell r="T130" t="str">
            <v>－</v>
          </cell>
          <cell r="U130" t="str">
            <v>○</v>
          </cell>
          <cell r="V130" t="str">
            <v>○(ｼﾞﾑ内等)</v>
          </cell>
          <cell r="W130" t="str">
            <v>－</v>
          </cell>
          <cell r="X130" t="str">
            <v>玄関前（屋根付）2台</v>
          </cell>
        </row>
        <row r="131">
          <cell r="A131">
            <v>2028</v>
          </cell>
          <cell r="B131" t="str">
            <v>ホテルグランヴェール岐山（公立共済やすらぎの里）</v>
          </cell>
          <cell r="D131">
            <v>60</v>
          </cell>
          <cell r="E131">
            <v>64</v>
          </cell>
          <cell r="J131">
            <v>16</v>
          </cell>
          <cell r="R131" t="str">
            <v>宿泊施設</v>
          </cell>
          <cell r="S131">
            <v>68</v>
          </cell>
          <cell r="T131" t="str">
            <v>中</v>
          </cell>
          <cell r="U131" t="str">
            <v>－</v>
          </cell>
          <cell r="V131" t="str">
            <v>－</v>
          </cell>
          <cell r="W131" t="str">
            <v>調査中</v>
          </cell>
          <cell r="X131" t="str">
            <v>玄関前（屋根無）1台</v>
          </cell>
        </row>
        <row r="132">
          <cell r="A132">
            <v>2029</v>
          </cell>
          <cell r="B132" t="str">
            <v>岐阜キャッスルイン</v>
          </cell>
          <cell r="D132">
            <v>116</v>
          </cell>
          <cell r="E132">
            <v>134</v>
          </cell>
          <cell r="J132">
            <v>7</v>
          </cell>
          <cell r="R132" t="str">
            <v>ケータリング</v>
          </cell>
          <cell r="S132">
            <v>36</v>
          </cell>
          <cell r="T132" t="str">
            <v>調査中</v>
          </cell>
          <cell r="U132" t="str">
            <v>－</v>
          </cell>
          <cell r="V132" t="str">
            <v>－</v>
          </cell>
          <cell r="W132" t="str">
            <v>調査中</v>
          </cell>
          <cell r="X132" t="str">
            <v>玄関前（屋根付）1台</v>
          </cell>
        </row>
        <row r="133">
          <cell r="A133">
            <v>2030</v>
          </cell>
          <cell r="B133" t="str">
            <v>ホテルリソル岐阜</v>
          </cell>
          <cell r="D133">
            <v>120</v>
          </cell>
          <cell r="E133">
            <v>163</v>
          </cell>
          <cell r="J133">
            <v>3</v>
          </cell>
          <cell r="R133" t="str">
            <v>宿泊施設</v>
          </cell>
          <cell r="S133">
            <v>36</v>
          </cell>
          <cell r="T133" t="str">
            <v>高</v>
          </cell>
          <cell r="U133" t="str">
            <v>－</v>
          </cell>
          <cell r="V133" t="str">
            <v>－</v>
          </cell>
          <cell r="W133" t="str">
            <v>－</v>
          </cell>
          <cell r="X133" t="str">
            <v>付近に乗降場無し（岐阜駅バス駐車場）</v>
          </cell>
        </row>
        <row r="134">
          <cell r="A134">
            <v>2032</v>
          </cell>
          <cell r="B134" t="str">
            <v>大垣フォーラムホテル</v>
          </cell>
          <cell r="D134">
            <v>70</v>
          </cell>
          <cell r="E134">
            <v>132</v>
          </cell>
          <cell r="J134">
            <v>23</v>
          </cell>
          <cell r="R134" t="str">
            <v>宿泊施設</v>
          </cell>
          <cell r="S134">
            <v>100</v>
          </cell>
          <cell r="T134" t="str">
            <v>中</v>
          </cell>
          <cell r="U134" t="str">
            <v>－</v>
          </cell>
          <cell r="V134" t="str">
            <v>－</v>
          </cell>
          <cell r="W134" t="str">
            <v>○</v>
          </cell>
          <cell r="X134" t="str">
            <v>玄関前（屋根付）3台</v>
          </cell>
        </row>
        <row r="135">
          <cell r="A135">
            <v>2034</v>
          </cell>
          <cell r="B135" t="str">
            <v>ホテルルートイン各務原</v>
          </cell>
          <cell r="D135">
            <v>155</v>
          </cell>
          <cell r="E135">
            <v>155</v>
          </cell>
          <cell r="J135">
            <v>2</v>
          </cell>
          <cell r="R135" t="str">
            <v>宿泊施設</v>
          </cell>
          <cell r="S135">
            <v>70</v>
          </cell>
          <cell r="T135" t="str">
            <v>高</v>
          </cell>
          <cell r="U135" t="str">
            <v>－</v>
          </cell>
          <cell r="V135" t="str">
            <v>－</v>
          </cell>
          <cell r="W135" t="str">
            <v>調査中</v>
          </cell>
          <cell r="X135" t="str">
            <v>玄関前（屋根付）1台</v>
          </cell>
        </row>
        <row r="136">
          <cell r="A136">
            <v>2037</v>
          </cell>
          <cell r="B136" t="str">
            <v>ホテルコーヨー</v>
          </cell>
          <cell r="D136">
            <v>265</v>
          </cell>
          <cell r="E136">
            <v>297</v>
          </cell>
          <cell r="J136">
            <v>8</v>
          </cell>
          <cell r="R136" t="str">
            <v>宿泊施設</v>
          </cell>
          <cell r="S136">
            <v>172</v>
          </cell>
          <cell r="T136" t="str">
            <v>中</v>
          </cell>
          <cell r="U136" t="str">
            <v>－</v>
          </cell>
          <cell r="V136" t="str">
            <v>－</v>
          </cell>
          <cell r="W136" t="str">
            <v>－</v>
          </cell>
          <cell r="X136" t="str">
            <v>玄関前（屋根付）2台</v>
          </cell>
        </row>
        <row r="137">
          <cell r="A137">
            <v>2038</v>
          </cell>
          <cell r="B137" t="str">
            <v>京都　東急ホテル</v>
          </cell>
          <cell r="D137">
            <v>408</v>
          </cell>
          <cell r="E137">
            <v>743</v>
          </cell>
          <cell r="J137">
            <v>11</v>
          </cell>
          <cell r="R137" t="str">
            <v>宿泊施設</v>
          </cell>
          <cell r="S137">
            <v>200</v>
          </cell>
          <cell r="T137" t="str">
            <v>－</v>
          </cell>
          <cell r="U137" t="str">
            <v>○</v>
          </cell>
          <cell r="V137" t="str">
            <v>－</v>
          </cell>
          <cell r="W137" t="str">
            <v>－</v>
          </cell>
          <cell r="X137" t="str">
            <v>玄関前（屋根無）2台</v>
          </cell>
        </row>
        <row r="138">
          <cell r="A138">
            <v>2039</v>
          </cell>
          <cell r="B138" t="str">
            <v>ホテル日航プリンセス京都</v>
          </cell>
          <cell r="D138">
            <v>216</v>
          </cell>
          <cell r="E138">
            <v>421</v>
          </cell>
          <cell r="J138">
            <v>9</v>
          </cell>
          <cell r="R138" t="str">
            <v>宿泊施設</v>
          </cell>
          <cell r="S138">
            <v>88</v>
          </cell>
          <cell r="T138" t="str">
            <v>調査中</v>
          </cell>
          <cell r="U138" t="str">
            <v>○</v>
          </cell>
          <cell r="V138" t="str">
            <v>－</v>
          </cell>
          <cell r="W138" t="str">
            <v>調査中</v>
          </cell>
          <cell r="X138" t="str">
            <v>玄関前（屋根無）3台</v>
          </cell>
        </row>
        <row r="139">
          <cell r="A139">
            <v>2040</v>
          </cell>
          <cell r="B139" t="str">
            <v>リーガロイヤルホテル京都</v>
          </cell>
          <cell r="D139">
            <v>489</v>
          </cell>
          <cell r="E139">
            <v>921</v>
          </cell>
          <cell r="J139">
            <v>21</v>
          </cell>
          <cell r="R139" t="str">
            <v>宿泊施設</v>
          </cell>
          <cell r="S139">
            <v>210</v>
          </cell>
          <cell r="T139" t="str">
            <v>－</v>
          </cell>
          <cell r="U139" t="str">
            <v>○</v>
          </cell>
          <cell r="V139" t="str">
            <v>ﾐｽﾄｻｳﾅ</v>
          </cell>
          <cell r="W139" t="str">
            <v>－</v>
          </cell>
          <cell r="X139" t="str">
            <v>玄関前（屋根付）3台</v>
          </cell>
        </row>
        <row r="140">
          <cell r="A140">
            <v>2041</v>
          </cell>
          <cell r="B140" t="str">
            <v>ホテルコンコルド浜松</v>
          </cell>
          <cell r="D140">
            <v>232</v>
          </cell>
          <cell r="E140">
            <v>306</v>
          </cell>
          <cell r="J140">
            <v>10</v>
          </cell>
          <cell r="R140" t="str">
            <v>宿泊施設</v>
          </cell>
          <cell r="S140" t="str">
            <v>調査中</v>
          </cell>
          <cell r="T140" t="str">
            <v>調査中</v>
          </cell>
          <cell r="U140" t="str">
            <v>－</v>
          </cell>
          <cell r="V140" t="str">
            <v>－</v>
          </cell>
          <cell r="W140" t="str">
            <v>調査中</v>
          </cell>
          <cell r="X140" t="str">
            <v>玄関前（屋根付）2台</v>
          </cell>
        </row>
        <row r="141">
          <cell r="A141">
            <v>2042</v>
          </cell>
          <cell r="B141" t="str">
            <v>神戸ポートピアホテル</v>
          </cell>
          <cell r="D141">
            <v>746</v>
          </cell>
          <cell r="E141">
            <v>1320</v>
          </cell>
          <cell r="J141">
            <v>37</v>
          </cell>
          <cell r="R141" t="str">
            <v>宿泊施設</v>
          </cell>
          <cell r="S141">
            <v>117</v>
          </cell>
          <cell r="T141" t="str">
            <v>－</v>
          </cell>
          <cell r="U141" t="str">
            <v>○</v>
          </cell>
          <cell r="V141" t="str">
            <v>○(ｼﾞﾑ内等)</v>
          </cell>
          <cell r="W141" t="str">
            <v>－</v>
          </cell>
          <cell r="X141" t="str">
            <v>専用乗降場所（屋根付）1台</v>
          </cell>
        </row>
        <row r="142">
          <cell r="A142">
            <v>2043</v>
          </cell>
          <cell r="B142" t="str">
            <v>パレスホテル掛川</v>
          </cell>
          <cell r="D142">
            <v>63</v>
          </cell>
          <cell r="E142">
            <v>72</v>
          </cell>
          <cell r="J142">
            <v>11</v>
          </cell>
          <cell r="R142" t="str">
            <v>宿泊施設</v>
          </cell>
          <cell r="S142" t="str">
            <v>調査中</v>
          </cell>
          <cell r="T142" t="str">
            <v>－</v>
          </cell>
          <cell r="U142" t="str">
            <v>－</v>
          </cell>
          <cell r="V142" t="str">
            <v>－</v>
          </cell>
          <cell r="W142" t="str">
            <v>調査中</v>
          </cell>
          <cell r="X142" t="str">
            <v>玄関前（屋根付）1台</v>
          </cell>
        </row>
        <row r="143">
          <cell r="A143">
            <v>2045</v>
          </cell>
          <cell r="B143" t="str">
            <v>クインテッサホテル 大垣</v>
          </cell>
          <cell r="D143">
            <v>98</v>
          </cell>
          <cell r="E143">
            <v>119</v>
          </cell>
          <cell r="J143">
            <v>7</v>
          </cell>
          <cell r="R143" t="str">
            <v>宿泊施設</v>
          </cell>
          <cell r="S143">
            <v>30</v>
          </cell>
          <cell r="T143" t="str">
            <v>中</v>
          </cell>
          <cell r="U143" t="str">
            <v>－</v>
          </cell>
          <cell r="V143" t="str">
            <v>－</v>
          </cell>
          <cell r="W143" t="str">
            <v>○</v>
          </cell>
          <cell r="X143" t="str">
            <v>路上2台</v>
          </cell>
        </row>
        <row r="144">
          <cell r="A144">
            <v>2046</v>
          </cell>
          <cell r="B144" t="str">
            <v>ホテルナガシマ</v>
          </cell>
          <cell r="D144">
            <v>95</v>
          </cell>
          <cell r="E144">
            <v>190</v>
          </cell>
          <cell r="J144">
            <v>1</v>
          </cell>
          <cell r="R144" t="str">
            <v>宿泊施設</v>
          </cell>
          <cell r="S144">
            <v>165</v>
          </cell>
          <cell r="T144" t="str">
            <v>中</v>
          </cell>
          <cell r="U144" t="str">
            <v>－</v>
          </cell>
          <cell r="V144" t="str">
            <v>○</v>
          </cell>
          <cell r="W144" t="str">
            <v>－</v>
          </cell>
          <cell r="X144" t="str">
            <v>玄関前（屋根無）2台</v>
          </cell>
        </row>
        <row r="145">
          <cell r="A145" t="str">
            <v>－</v>
          </cell>
          <cell r="B145" t="str">
            <v>JICA中部</v>
          </cell>
          <cell r="D145">
            <v>80</v>
          </cell>
          <cell r="E145">
            <v>82</v>
          </cell>
          <cell r="J145" t="str">
            <v>調査中</v>
          </cell>
          <cell r="R145" t="str">
            <v>調査中</v>
          </cell>
          <cell r="S145" t="str">
            <v>調査中</v>
          </cell>
          <cell r="T145" t="str">
            <v>中</v>
          </cell>
          <cell r="U145" t="str">
            <v>調査中</v>
          </cell>
          <cell r="V145" t="str">
            <v>調査中</v>
          </cell>
          <cell r="W145" t="str">
            <v>調査中</v>
          </cell>
          <cell r="X145" t="str">
            <v>調査中</v>
          </cell>
        </row>
        <row r="146">
          <cell r="A146">
            <v>1018</v>
          </cell>
          <cell r="B146" t="str">
            <v>アパホテル＜名古屋駅前＞</v>
          </cell>
          <cell r="D146">
            <v>403</v>
          </cell>
          <cell r="E146">
            <v>403</v>
          </cell>
          <cell r="J146">
            <v>0</v>
          </cell>
          <cell r="R146" t="str">
            <v>ケータリング</v>
          </cell>
          <cell r="S146">
            <v>83</v>
          </cell>
          <cell r="T146" t="str">
            <v>高</v>
          </cell>
          <cell r="U146" t="str">
            <v>－</v>
          </cell>
          <cell r="V146" t="str">
            <v>－</v>
          </cell>
          <cell r="W146" t="str">
            <v>○</v>
          </cell>
          <cell r="X146" t="str">
            <v>付近に乗降場無し（路上不可）</v>
          </cell>
        </row>
        <row r="147">
          <cell r="A147">
            <v>80</v>
          </cell>
          <cell r="B147" t="str">
            <v>アパホテル＜名古屋駅前北＞</v>
          </cell>
          <cell r="D147">
            <v>288</v>
          </cell>
          <cell r="E147">
            <v>288</v>
          </cell>
          <cell r="J147">
            <v>0</v>
          </cell>
          <cell r="R147" t="str">
            <v>ケータリング</v>
          </cell>
          <cell r="S147">
            <v>44</v>
          </cell>
          <cell r="T147" t="str">
            <v>高</v>
          </cell>
          <cell r="U147" t="str">
            <v>－</v>
          </cell>
          <cell r="V147" t="str">
            <v>－</v>
          </cell>
          <cell r="W147" t="str">
            <v>○</v>
          </cell>
          <cell r="X147" t="str">
            <v>付近に乗降場無し（路上不可）</v>
          </cell>
        </row>
        <row r="148">
          <cell r="A148">
            <v>61</v>
          </cell>
          <cell r="B148" t="str">
            <v>名鉄イン名古屋駅新幹線口</v>
          </cell>
          <cell r="D148">
            <v>313</v>
          </cell>
          <cell r="E148">
            <v>333</v>
          </cell>
          <cell r="J148">
            <v>0</v>
          </cell>
          <cell r="R148" t="str">
            <v>ケータリング</v>
          </cell>
          <cell r="S148">
            <v>36</v>
          </cell>
          <cell r="T148" t="str">
            <v>高</v>
          </cell>
          <cell r="U148" t="str">
            <v>－</v>
          </cell>
          <cell r="V148" t="str">
            <v>－</v>
          </cell>
          <cell r="W148" t="str">
            <v>○</v>
          </cell>
          <cell r="X148" t="str">
            <v>付近に乗降場無し（路上不可）</v>
          </cell>
        </row>
        <row r="149">
          <cell r="A149">
            <v>160</v>
          </cell>
          <cell r="B149" t="str">
            <v>西鉄ホテルクルーム名古屋</v>
          </cell>
          <cell r="D149">
            <v>242</v>
          </cell>
          <cell r="E149">
            <v>286</v>
          </cell>
          <cell r="J149">
            <v>0</v>
          </cell>
          <cell r="R149" t="str">
            <v>宿泊施設</v>
          </cell>
          <cell r="S149">
            <v>58</v>
          </cell>
          <cell r="T149" t="str">
            <v>中</v>
          </cell>
          <cell r="U149" t="str">
            <v>－</v>
          </cell>
          <cell r="V149" t="str">
            <v>－</v>
          </cell>
          <cell r="W149" t="str">
            <v>○</v>
          </cell>
          <cell r="X149" t="str">
            <v>路上1台</v>
          </cell>
        </row>
        <row r="150">
          <cell r="B150" t="str">
            <v>ホテルラフォーレ修善寺　ゲストハウス棟</v>
          </cell>
          <cell r="S150" t="str">
            <v>調査中</v>
          </cell>
          <cell r="T150" t="str">
            <v>調査中</v>
          </cell>
          <cell r="U150" t="str">
            <v>調査中</v>
          </cell>
          <cell r="V150" t="str">
            <v>調査中</v>
          </cell>
          <cell r="W150" t="str">
            <v>調査中</v>
          </cell>
          <cell r="X150" t="str">
            <v>調査中</v>
          </cell>
        </row>
        <row r="151">
          <cell r="A151">
            <v>114</v>
          </cell>
          <cell r="B151" t="str">
            <v>リッチモンドホテル名古屋納屋橋</v>
          </cell>
          <cell r="D151">
            <v>238</v>
          </cell>
          <cell r="E151">
            <v>261</v>
          </cell>
          <cell r="J151">
            <v>0</v>
          </cell>
          <cell r="R151" t="str">
            <v>ケータリング</v>
          </cell>
          <cell r="S151">
            <v>80</v>
          </cell>
          <cell r="T151" t="str">
            <v>高</v>
          </cell>
          <cell r="U151" t="str">
            <v>－</v>
          </cell>
          <cell r="V151" t="str">
            <v>－</v>
          </cell>
          <cell r="W151" t="str">
            <v>○</v>
          </cell>
          <cell r="X151" t="str">
            <v>路上1台</v>
          </cell>
        </row>
        <row r="152">
          <cell r="A152">
            <v>93</v>
          </cell>
          <cell r="B152" t="str">
            <v>都心の天然温泉　名古屋クラウンホテル</v>
          </cell>
          <cell r="D152">
            <v>580</v>
          </cell>
          <cell r="E152">
            <v>681</v>
          </cell>
          <cell r="J152">
            <v>12</v>
          </cell>
          <cell r="R152" t="str">
            <v>宿泊施設</v>
          </cell>
          <cell r="S152">
            <v>120</v>
          </cell>
          <cell r="T152" t="str">
            <v>中</v>
          </cell>
          <cell r="U152" t="str">
            <v>－</v>
          </cell>
          <cell r="V152" t="str">
            <v>－</v>
          </cell>
          <cell r="W152" t="str">
            <v>○</v>
          </cell>
          <cell r="X152" t="str">
            <v>路上2台</v>
          </cell>
        </row>
        <row r="153">
          <cell r="A153">
            <v>34</v>
          </cell>
          <cell r="B153" t="str">
            <v>サイプレスホテル名古屋駅前</v>
          </cell>
          <cell r="D153">
            <v>271</v>
          </cell>
          <cell r="E153">
            <v>309</v>
          </cell>
          <cell r="J153">
            <v>10</v>
          </cell>
          <cell r="R153" t="str">
            <v>宿泊施設</v>
          </cell>
          <cell r="S153">
            <v>112</v>
          </cell>
          <cell r="T153" t="str">
            <v>中</v>
          </cell>
          <cell r="U153" t="str">
            <v>－</v>
          </cell>
          <cell r="V153" t="str">
            <v>－</v>
          </cell>
          <cell r="W153" t="str">
            <v>○</v>
          </cell>
          <cell r="X153" t="str">
            <v>路上2台</v>
          </cell>
        </row>
        <row r="154">
          <cell r="A154">
            <v>133</v>
          </cell>
          <cell r="B154" t="str">
            <v>アパホテル＜名古屋栄＞</v>
          </cell>
          <cell r="D154">
            <v>400</v>
          </cell>
          <cell r="E154">
            <v>401</v>
          </cell>
          <cell r="J154">
            <v>0</v>
          </cell>
          <cell r="R154" t="str">
            <v>ケータリング</v>
          </cell>
          <cell r="S154">
            <v>75</v>
          </cell>
          <cell r="T154" t="str">
            <v>高</v>
          </cell>
          <cell r="U154" t="str">
            <v>－</v>
          </cell>
          <cell r="V154" t="str">
            <v>－</v>
          </cell>
          <cell r="W154" t="str">
            <v>○</v>
          </cell>
          <cell r="X154" t="str">
            <v>路上1台</v>
          </cell>
        </row>
        <row r="155">
          <cell r="A155" t="str">
            <v>－</v>
          </cell>
          <cell r="B155" t="str">
            <v>ホテルルートインGrand名古屋藤が丘</v>
          </cell>
          <cell r="D155">
            <v>230</v>
          </cell>
          <cell r="E155" t="str">
            <v>調査中</v>
          </cell>
          <cell r="J155" t="str">
            <v>調査中</v>
          </cell>
          <cell r="R155" t="str">
            <v>調査中</v>
          </cell>
          <cell r="S155" t="str">
            <v>調査中</v>
          </cell>
          <cell r="T155" t="str">
            <v>高</v>
          </cell>
          <cell r="U155" t="str">
            <v>調査中</v>
          </cell>
          <cell r="V155" t="str">
            <v>調査中</v>
          </cell>
          <cell r="W155" t="str">
            <v>調査中</v>
          </cell>
          <cell r="X155" t="str">
            <v>調査中</v>
          </cell>
        </row>
        <row r="156">
          <cell r="A156">
            <v>1</v>
          </cell>
          <cell r="B156" t="str">
            <v>アパホテル＜尾張一宮駅前＞</v>
          </cell>
          <cell r="D156">
            <v>75</v>
          </cell>
          <cell r="E156">
            <v>87</v>
          </cell>
          <cell r="J156">
            <v>2</v>
          </cell>
          <cell r="R156" t="str">
            <v>ケータリング</v>
          </cell>
          <cell r="S156">
            <v>30</v>
          </cell>
          <cell r="T156" t="str">
            <v>高</v>
          </cell>
          <cell r="U156" t="str">
            <v>－</v>
          </cell>
          <cell r="V156" t="str">
            <v>－</v>
          </cell>
          <cell r="W156" t="str">
            <v>－</v>
          </cell>
          <cell r="X156" t="str">
            <v>路上</v>
          </cell>
        </row>
        <row r="157">
          <cell r="A157">
            <v>2</v>
          </cell>
          <cell r="B157" t="str">
            <v>東横INN名古屋尾張一宮駅前</v>
          </cell>
          <cell r="D157">
            <v>116</v>
          </cell>
          <cell r="E157">
            <v>116</v>
          </cell>
          <cell r="J157">
            <v>0</v>
          </cell>
          <cell r="R157" t="str">
            <v>ケータリング</v>
          </cell>
          <cell r="S157">
            <v>15</v>
          </cell>
          <cell r="T157" t="str">
            <v>高</v>
          </cell>
          <cell r="U157" t="str">
            <v>－</v>
          </cell>
          <cell r="V157" t="str">
            <v>－</v>
          </cell>
          <cell r="W157" t="str">
            <v>○</v>
          </cell>
          <cell r="X157" t="str">
            <v>路上</v>
          </cell>
        </row>
        <row r="158">
          <cell r="A158">
            <v>4</v>
          </cell>
          <cell r="B158" t="str">
            <v>ホテル　ルートイン一宮駅前</v>
          </cell>
          <cell r="D158">
            <v>149</v>
          </cell>
          <cell r="E158">
            <v>149</v>
          </cell>
          <cell r="J158">
            <v>0</v>
          </cell>
          <cell r="R158" t="str">
            <v>ケータリング</v>
          </cell>
          <cell r="S158">
            <v>43</v>
          </cell>
          <cell r="T158" t="str">
            <v>高</v>
          </cell>
          <cell r="U158" t="str">
            <v>－</v>
          </cell>
          <cell r="V158" t="str">
            <v>－</v>
          </cell>
          <cell r="W158" t="str">
            <v>○</v>
          </cell>
          <cell r="X158" t="str">
            <v>路上1台</v>
          </cell>
        </row>
        <row r="159">
          <cell r="A159">
            <v>1007</v>
          </cell>
          <cell r="B159" t="str">
            <v>ホテルミュースタイル犬山エクスペリエンス</v>
          </cell>
          <cell r="D159">
            <v>118</v>
          </cell>
          <cell r="E159">
            <v>192</v>
          </cell>
          <cell r="J159">
            <v>1</v>
          </cell>
          <cell r="R159" t="str">
            <v>宿泊施設</v>
          </cell>
          <cell r="S159">
            <v>72</v>
          </cell>
          <cell r="T159" t="str">
            <v>中</v>
          </cell>
          <cell r="U159" t="str">
            <v>－</v>
          </cell>
          <cell r="V159" t="str">
            <v>○</v>
          </cell>
          <cell r="W159" t="str">
            <v>○</v>
          </cell>
          <cell r="X159" t="str">
            <v>玄関前（屋根無）1台</v>
          </cell>
        </row>
        <row r="160">
          <cell r="A160" t="str">
            <v>－</v>
          </cell>
          <cell r="B160" t="str">
            <v>ホテルルートイン尾張瀬戸駅前</v>
          </cell>
          <cell r="D160">
            <v>245</v>
          </cell>
          <cell r="E160">
            <v>247</v>
          </cell>
          <cell r="J160">
            <v>0</v>
          </cell>
          <cell r="R160" t="str">
            <v>宿泊施設</v>
          </cell>
          <cell r="S160" t="str">
            <v>調査中</v>
          </cell>
          <cell r="T160" t="str">
            <v>高</v>
          </cell>
          <cell r="U160" t="str">
            <v>調査中</v>
          </cell>
          <cell r="V160" t="str">
            <v>－</v>
          </cell>
          <cell r="W160" t="str">
            <v>調査中</v>
          </cell>
          <cell r="X160" t="str">
            <v>調査中</v>
          </cell>
        </row>
        <row r="161">
          <cell r="A161" t="str">
            <v>－</v>
          </cell>
          <cell r="B161" t="str">
            <v>衣浦グランドホテル</v>
          </cell>
          <cell r="D161" t="str">
            <v>調査中</v>
          </cell>
          <cell r="E161" t="str">
            <v>調査中</v>
          </cell>
          <cell r="J161" t="str">
            <v>調査中</v>
          </cell>
          <cell r="R161" t="str">
            <v>調査中</v>
          </cell>
          <cell r="S161" t="str">
            <v>調査中</v>
          </cell>
          <cell r="T161" t="str">
            <v>中</v>
          </cell>
          <cell r="U161" t="str">
            <v>調査中</v>
          </cell>
          <cell r="V161" t="str">
            <v>調査中</v>
          </cell>
          <cell r="W161" t="str">
            <v>調査中</v>
          </cell>
          <cell r="X161" t="str">
            <v>調査中</v>
          </cell>
        </row>
        <row r="162">
          <cell r="A162">
            <v>219</v>
          </cell>
          <cell r="B162" t="str">
            <v>東横INN三河安城駅新幹線南口２</v>
          </cell>
          <cell r="D162">
            <v>246</v>
          </cell>
          <cell r="E162">
            <v>247</v>
          </cell>
          <cell r="J162">
            <v>0</v>
          </cell>
          <cell r="R162" t="str">
            <v>ケータリング</v>
          </cell>
          <cell r="S162">
            <v>40</v>
          </cell>
          <cell r="T162" t="str">
            <v>高</v>
          </cell>
          <cell r="U162" t="str">
            <v>－</v>
          </cell>
          <cell r="V162" t="str">
            <v>－</v>
          </cell>
          <cell r="W162" t="str">
            <v>○</v>
          </cell>
          <cell r="X162" t="str">
            <v>路上1台</v>
          </cell>
        </row>
        <row r="163">
          <cell r="A163">
            <v>220</v>
          </cell>
          <cell r="B163" t="str">
            <v>東横INN三河安城駅新幹線南口１</v>
          </cell>
          <cell r="D163">
            <v>143</v>
          </cell>
          <cell r="E163">
            <v>144</v>
          </cell>
          <cell r="J163">
            <v>0</v>
          </cell>
          <cell r="R163" t="str">
            <v>ケータリング</v>
          </cell>
          <cell r="S163">
            <v>16</v>
          </cell>
          <cell r="T163" t="str">
            <v>高</v>
          </cell>
          <cell r="U163" t="str">
            <v>－</v>
          </cell>
          <cell r="V163" t="str">
            <v>－</v>
          </cell>
          <cell r="W163" t="str">
            <v>○</v>
          </cell>
          <cell r="X163" t="str">
            <v>路上1台</v>
          </cell>
        </row>
        <row r="164">
          <cell r="A164" t="str">
            <v>－</v>
          </cell>
          <cell r="B164" t="str">
            <v>オースタット国際ホテル多治見</v>
          </cell>
          <cell r="D164">
            <v>112</v>
          </cell>
          <cell r="E164">
            <v>170</v>
          </cell>
          <cell r="J164">
            <v>3</v>
          </cell>
          <cell r="R164" t="str">
            <v>宿泊施設</v>
          </cell>
          <cell r="S164" t="str">
            <v>調査中</v>
          </cell>
          <cell r="T164" t="str">
            <v>中</v>
          </cell>
          <cell r="U164" t="str">
            <v>調査中</v>
          </cell>
          <cell r="V164" t="str">
            <v>－</v>
          </cell>
          <cell r="W164" t="str">
            <v>調査中</v>
          </cell>
          <cell r="X164" t="str">
            <v>調査中</v>
          </cell>
        </row>
        <row r="165">
          <cell r="A165">
            <v>2047</v>
          </cell>
          <cell r="B165" t="str">
            <v>ラビスタ東京ベイ</v>
          </cell>
          <cell r="D165">
            <v>570</v>
          </cell>
          <cell r="E165">
            <v>972</v>
          </cell>
          <cell r="J165" t="str">
            <v>調査中</v>
          </cell>
          <cell r="R165" t="str">
            <v>宿泊施設</v>
          </cell>
          <cell r="S165" t="str">
            <v>調査中</v>
          </cell>
          <cell r="T165" t="str">
            <v>低</v>
          </cell>
          <cell r="U165" t="str">
            <v>調査中</v>
          </cell>
          <cell r="V165" t="str">
            <v>○</v>
          </cell>
          <cell r="W165" t="str">
            <v>調査中</v>
          </cell>
          <cell r="X165" t="str">
            <v>調査中</v>
          </cell>
        </row>
        <row r="166">
          <cell r="A166" t="str">
            <v>－</v>
          </cell>
          <cell r="B166" t="str">
            <v>日本青年館ホテル</v>
          </cell>
          <cell r="D166">
            <v>220</v>
          </cell>
          <cell r="E166" t="str">
            <v>調査中</v>
          </cell>
          <cell r="J166" t="str">
            <v>調査中</v>
          </cell>
          <cell r="R166" t="str">
            <v>調査中</v>
          </cell>
          <cell r="S166" t="str">
            <v>調査中</v>
          </cell>
          <cell r="T166" t="str">
            <v>－</v>
          </cell>
          <cell r="U166" t="str">
            <v>調査中</v>
          </cell>
          <cell r="V166" t="str">
            <v>－</v>
          </cell>
          <cell r="W166" t="str">
            <v>調査中</v>
          </cell>
          <cell r="X166" t="str">
            <v>調査中</v>
          </cell>
        </row>
        <row r="167">
          <cell r="B167" t="str">
            <v>東京ベイ潮見プリンスホテル</v>
          </cell>
          <cell r="D167">
            <v>605</v>
          </cell>
          <cell r="E167">
            <v>1210</v>
          </cell>
          <cell r="J167">
            <v>1</v>
          </cell>
          <cell r="R167" t="str">
            <v>宿泊施設</v>
          </cell>
          <cell r="S167">
            <v>420</v>
          </cell>
          <cell r="T167" t="str">
            <v>調査中</v>
          </cell>
          <cell r="U167" t="str">
            <v>○</v>
          </cell>
          <cell r="V167" t="str">
            <v>○</v>
          </cell>
          <cell r="W167" t="str">
            <v>○</v>
          </cell>
          <cell r="X167" t="str">
            <v>玄関前（屋根無）4台</v>
          </cell>
        </row>
        <row r="168">
          <cell r="A168" t="str">
            <v/>
          </cell>
          <cell r="B168" t="str">
            <v>ホテルKOYO別館</v>
          </cell>
          <cell r="R168" t="str">
            <v>調査中</v>
          </cell>
          <cell r="S168" t="str">
            <v>調査中</v>
          </cell>
          <cell r="T168" t="str">
            <v>調査中</v>
          </cell>
          <cell r="U168" t="str">
            <v>調査中</v>
          </cell>
          <cell r="V168" t="str">
            <v>－</v>
          </cell>
          <cell r="W168" t="str">
            <v>調査中</v>
          </cell>
          <cell r="X168" t="str">
            <v>調査中</v>
          </cell>
        </row>
        <row r="169">
          <cell r="A169" t="str">
            <v/>
          </cell>
          <cell r="B169" t="str">
            <v>ホテルリステル浜名湖</v>
          </cell>
          <cell r="R169" t="str">
            <v>調査中</v>
          </cell>
          <cell r="S169" t="str">
            <v>調査中</v>
          </cell>
          <cell r="T169" t="str">
            <v>調査中</v>
          </cell>
          <cell r="U169" t="str">
            <v>調査中</v>
          </cell>
          <cell r="V169" t="str">
            <v>○</v>
          </cell>
          <cell r="W169" t="str">
            <v>調査中</v>
          </cell>
          <cell r="X169" t="str">
            <v>調査中</v>
          </cell>
        </row>
        <row r="170">
          <cell r="A170" t="str">
            <v/>
          </cell>
          <cell r="B170" t="str">
            <v>浜名湖レークサイド</v>
          </cell>
          <cell r="R170" t="str">
            <v>調査中</v>
          </cell>
          <cell r="S170" t="str">
            <v>調査中</v>
          </cell>
          <cell r="T170" t="str">
            <v>調査中</v>
          </cell>
          <cell r="U170" t="str">
            <v>調査中</v>
          </cell>
          <cell r="V170" t="str">
            <v>○</v>
          </cell>
          <cell r="W170" t="str">
            <v>調査中</v>
          </cell>
          <cell r="X170" t="str">
            <v>調査中</v>
          </cell>
        </row>
        <row r="171">
          <cell r="A171" t="str">
            <v/>
          </cell>
          <cell r="B171" t="str">
            <v>グリーンプラザ浜名湖</v>
          </cell>
          <cell r="R171" t="str">
            <v>調査中</v>
          </cell>
          <cell r="S171" t="str">
            <v>調査中</v>
          </cell>
          <cell r="T171" t="str">
            <v>調査中</v>
          </cell>
          <cell r="U171" t="str">
            <v>調査中</v>
          </cell>
          <cell r="V171" t="str">
            <v>－</v>
          </cell>
          <cell r="W171" t="str">
            <v>調査中</v>
          </cell>
          <cell r="X171" t="str">
            <v>調査中</v>
          </cell>
        </row>
        <row r="172">
          <cell r="A172" t="str">
            <v/>
          </cell>
          <cell r="B172" t="str">
            <v>東急ハーヴェストクラブ浜名湖</v>
          </cell>
          <cell r="R172" t="str">
            <v>調査中</v>
          </cell>
          <cell r="S172" t="str">
            <v>調査中</v>
          </cell>
          <cell r="T172" t="str">
            <v>調査中</v>
          </cell>
          <cell r="U172" t="str">
            <v>調査中</v>
          </cell>
          <cell r="V172" t="str">
            <v>○</v>
          </cell>
          <cell r="W172" t="str">
            <v>調査中</v>
          </cell>
          <cell r="X172" t="str">
            <v>調査中</v>
          </cell>
        </row>
        <row r="173">
          <cell r="A173" t="str">
            <v/>
          </cell>
          <cell r="B173" t="str">
            <v>スポーツマンハウス鈴鹿</v>
          </cell>
          <cell r="E173">
            <v>66</v>
          </cell>
          <cell r="R173" t="str">
            <v>宿泊施設</v>
          </cell>
          <cell r="S173" t="str">
            <v>調査中</v>
          </cell>
          <cell r="T173" t="str">
            <v>調査中</v>
          </cell>
          <cell r="U173" t="str">
            <v>調査中</v>
          </cell>
          <cell r="V173" t="str">
            <v>○</v>
          </cell>
          <cell r="W173" t="str">
            <v>調査中</v>
          </cell>
          <cell r="X173" t="str">
            <v>調査中</v>
          </cell>
        </row>
        <row r="174">
          <cell r="A174" t="str">
            <v/>
          </cell>
          <cell r="B174" t="str">
            <v>鈴鹿サーキットホテル THE MAIN</v>
          </cell>
          <cell r="E174">
            <v>152</v>
          </cell>
          <cell r="R174" t="str">
            <v>宿泊施設</v>
          </cell>
          <cell r="S174" t="str">
            <v>調査中</v>
          </cell>
          <cell r="T174" t="str">
            <v>調査中</v>
          </cell>
          <cell r="U174" t="str">
            <v>調査中</v>
          </cell>
          <cell r="V174" t="str">
            <v>－</v>
          </cell>
          <cell r="W174" t="str">
            <v>調査中</v>
          </cell>
          <cell r="X174" t="str">
            <v>調査中</v>
          </cell>
        </row>
        <row r="175">
          <cell r="A175">
            <v>51</v>
          </cell>
          <cell r="B175" t="str">
            <v>ダイワロイネットホテル名古屋新幹線口</v>
          </cell>
          <cell r="D175">
            <v>165</v>
          </cell>
          <cell r="E175">
            <v>207</v>
          </cell>
          <cell r="J175">
            <v>1</v>
          </cell>
          <cell r="R175" t="str">
            <v>ケータリング</v>
          </cell>
          <cell r="S175" t="str">
            <v>調査中</v>
          </cell>
          <cell r="T175" t="str">
            <v>調査中</v>
          </cell>
          <cell r="U175" t="str">
            <v>－</v>
          </cell>
          <cell r="V175" t="str">
            <v>－</v>
          </cell>
          <cell r="W175" t="str">
            <v>調査中</v>
          </cell>
          <cell r="X175" t="str">
            <v>付近に乗降場無し（路上不可）</v>
          </cell>
        </row>
        <row r="176">
          <cell r="A176" t="str">
            <v/>
          </cell>
          <cell r="B176" t="str">
            <v>DEL style 名古屋納屋橋（旧：ダイワロイネットホテル名古屋納屋橋）</v>
          </cell>
          <cell r="D176">
            <v>246</v>
          </cell>
          <cell r="E176">
            <v>342</v>
          </cell>
          <cell r="J176">
            <v>0</v>
          </cell>
          <cell r="R176" t="str">
            <v>ケータリング</v>
          </cell>
          <cell r="S176">
            <v>62</v>
          </cell>
          <cell r="T176" t="str">
            <v>調査中</v>
          </cell>
          <cell r="U176" t="str">
            <v>調査中</v>
          </cell>
          <cell r="V176" t="str">
            <v>－</v>
          </cell>
          <cell r="W176" t="str">
            <v>調査中</v>
          </cell>
          <cell r="X176" t="str">
            <v>調査中</v>
          </cell>
        </row>
        <row r="177">
          <cell r="A177">
            <v>1004</v>
          </cell>
          <cell r="B177" t="str">
            <v>モンブランホテルラフィネ名古屋駅前</v>
          </cell>
          <cell r="D177">
            <v>239</v>
          </cell>
          <cell r="E177">
            <v>289</v>
          </cell>
          <cell r="J177">
            <v>1</v>
          </cell>
          <cell r="R177" t="str">
            <v>宿泊施設</v>
          </cell>
          <cell r="S177">
            <v>69</v>
          </cell>
          <cell r="T177" t="str">
            <v>調査中</v>
          </cell>
          <cell r="U177" t="str">
            <v>－</v>
          </cell>
          <cell r="V177" t="str">
            <v>－</v>
          </cell>
          <cell r="W177" t="str">
            <v>調査中</v>
          </cell>
          <cell r="X177" t="str">
            <v>路上1台</v>
          </cell>
        </row>
        <row r="178">
          <cell r="A178">
            <v>103</v>
          </cell>
          <cell r="B178" t="str">
            <v>名古屋ビーズホテル</v>
          </cell>
          <cell r="D178">
            <v>324</v>
          </cell>
          <cell r="E178">
            <v>358</v>
          </cell>
          <cell r="J178">
            <v>0</v>
          </cell>
          <cell r="R178" t="str">
            <v>ケータリング</v>
          </cell>
          <cell r="S178">
            <v>70</v>
          </cell>
          <cell r="T178" t="str">
            <v>調査中</v>
          </cell>
          <cell r="U178" t="str">
            <v>○</v>
          </cell>
          <cell r="V178" t="str">
            <v>○</v>
          </cell>
          <cell r="W178" t="str">
            <v>調査中</v>
          </cell>
          <cell r="X178" t="str">
            <v>路上1台</v>
          </cell>
        </row>
        <row r="179">
          <cell r="A179">
            <v>165</v>
          </cell>
          <cell r="B179" t="str">
            <v>ホテル京阪　名古屋</v>
          </cell>
          <cell r="D179">
            <v>247</v>
          </cell>
          <cell r="E179">
            <v>360</v>
          </cell>
          <cell r="J179">
            <v>0</v>
          </cell>
          <cell r="R179" t="str">
            <v>ケータリング</v>
          </cell>
          <cell r="S179">
            <v>88</v>
          </cell>
          <cell r="T179" t="str">
            <v>調査中</v>
          </cell>
          <cell r="U179" t="str">
            <v>－</v>
          </cell>
          <cell r="V179" t="str">
            <v>－</v>
          </cell>
          <cell r="W179" t="str">
            <v>調査中</v>
          </cell>
          <cell r="X179" t="str">
            <v>路上1台</v>
          </cell>
        </row>
        <row r="180">
          <cell r="A180">
            <v>168</v>
          </cell>
          <cell r="B180" t="str">
            <v>ホテルフォルツァ名古屋栄</v>
          </cell>
          <cell r="D180">
            <v>195</v>
          </cell>
          <cell r="E180">
            <v>247</v>
          </cell>
          <cell r="J180">
            <v>0</v>
          </cell>
          <cell r="R180" t="str">
            <v>ケータリング</v>
          </cell>
          <cell r="S180">
            <v>45</v>
          </cell>
          <cell r="T180" t="str">
            <v>調査中</v>
          </cell>
          <cell r="U180" t="str">
            <v>－</v>
          </cell>
          <cell r="V180" t="str">
            <v>－</v>
          </cell>
          <cell r="W180" t="str">
            <v>調査中</v>
          </cell>
          <cell r="X180" t="str">
            <v>路上1台</v>
          </cell>
        </row>
        <row r="181">
          <cell r="A181">
            <v>158</v>
          </cell>
          <cell r="B181" t="str">
            <v>ベッセルイン栄駅前</v>
          </cell>
          <cell r="D181">
            <v>225</v>
          </cell>
          <cell r="E181">
            <v>237</v>
          </cell>
          <cell r="J181">
            <v>0</v>
          </cell>
          <cell r="R181" t="str">
            <v>ケータリング</v>
          </cell>
          <cell r="S181">
            <v>87</v>
          </cell>
          <cell r="T181" t="str">
            <v>調査中</v>
          </cell>
          <cell r="U181" t="str">
            <v>－</v>
          </cell>
          <cell r="V181" t="str">
            <v>－</v>
          </cell>
          <cell r="W181" t="str">
            <v>調査中</v>
          </cell>
          <cell r="X181" t="str">
            <v>路上1台</v>
          </cell>
        </row>
        <row r="182">
          <cell r="A182">
            <v>111</v>
          </cell>
          <cell r="B182" t="str">
            <v>アパホテル&lt;名古屋錦&gt; EXCELLENT</v>
          </cell>
          <cell r="D182">
            <v>250</v>
          </cell>
          <cell r="E182">
            <v>264</v>
          </cell>
          <cell r="J182">
            <v>4</v>
          </cell>
          <cell r="R182" t="str">
            <v>宿泊施設</v>
          </cell>
          <cell r="S182">
            <v>26</v>
          </cell>
          <cell r="T182" t="str">
            <v>調査中</v>
          </cell>
          <cell r="U182" t="str">
            <v>○</v>
          </cell>
          <cell r="V182" t="str">
            <v>－</v>
          </cell>
          <cell r="W182" t="str">
            <v>○</v>
          </cell>
          <cell r="X182" t="str">
            <v>路上1台</v>
          </cell>
        </row>
        <row r="183">
          <cell r="A183">
            <v>124</v>
          </cell>
          <cell r="B183" t="str">
            <v>ホテルルートイン名古屋栄</v>
          </cell>
          <cell r="D183">
            <v>363</v>
          </cell>
          <cell r="E183">
            <v>363</v>
          </cell>
          <cell r="J183">
            <v>0</v>
          </cell>
          <cell r="R183" t="str">
            <v>ケータリング</v>
          </cell>
          <cell r="S183">
            <v>107</v>
          </cell>
          <cell r="T183" t="str">
            <v>調査中</v>
          </cell>
          <cell r="U183" t="str">
            <v>－</v>
          </cell>
          <cell r="V183" t="str">
            <v>－</v>
          </cell>
          <cell r="W183" t="str">
            <v>調査中</v>
          </cell>
          <cell r="X183" t="str">
            <v>路上1台</v>
          </cell>
        </row>
        <row r="184">
          <cell r="A184">
            <v>118</v>
          </cell>
          <cell r="B184" t="str">
            <v>ホテルルートイン名古屋東別院</v>
          </cell>
          <cell r="D184">
            <v>230</v>
          </cell>
          <cell r="E184">
            <v>230</v>
          </cell>
          <cell r="J184">
            <v>0</v>
          </cell>
          <cell r="R184" t="str">
            <v>宿泊施設</v>
          </cell>
          <cell r="S184">
            <v>45</v>
          </cell>
          <cell r="T184" t="str">
            <v>調査中</v>
          </cell>
          <cell r="U184" t="str">
            <v>－</v>
          </cell>
          <cell r="V184" t="str">
            <v>－</v>
          </cell>
          <cell r="W184" t="str">
            <v>調査中</v>
          </cell>
          <cell r="X184" t="str">
            <v>路上1台</v>
          </cell>
        </row>
        <row r="185">
          <cell r="A185">
            <v>22</v>
          </cell>
          <cell r="B185" t="str">
            <v>ホテルルートイン　名古屋今池駅前</v>
          </cell>
          <cell r="D185">
            <v>262</v>
          </cell>
          <cell r="E185">
            <v>262</v>
          </cell>
          <cell r="J185">
            <v>0</v>
          </cell>
          <cell r="R185" t="str">
            <v>ケータリング</v>
          </cell>
          <cell r="S185">
            <v>82</v>
          </cell>
          <cell r="T185" t="str">
            <v>高</v>
          </cell>
          <cell r="U185" t="str">
            <v>－</v>
          </cell>
          <cell r="V185" t="str">
            <v>－</v>
          </cell>
          <cell r="W185" t="str">
            <v>調査中</v>
          </cell>
          <cell r="X185" t="str">
            <v>路上1台</v>
          </cell>
        </row>
        <row r="186">
          <cell r="A186" t="str">
            <v/>
          </cell>
          <cell r="B186" t="str">
            <v>ホテルルートイン愛知東郷町</v>
          </cell>
          <cell r="D186">
            <v>170</v>
          </cell>
          <cell r="E186" t="str">
            <v>調査中</v>
          </cell>
          <cell r="J186" t="str">
            <v>調査中</v>
          </cell>
          <cell r="R186" t="str">
            <v>調査中</v>
          </cell>
          <cell r="S186" t="str">
            <v>－</v>
          </cell>
          <cell r="T186" t="str">
            <v>調査中</v>
          </cell>
          <cell r="U186" t="str">
            <v>調査中</v>
          </cell>
          <cell r="V186" t="str">
            <v>－</v>
          </cell>
          <cell r="W186" t="str">
            <v>調査中</v>
          </cell>
          <cell r="X186" t="str">
            <v>調査中</v>
          </cell>
        </row>
        <row r="187">
          <cell r="A187">
            <v>60</v>
          </cell>
          <cell r="B187" t="str">
            <v>ダイワロイネットホテル名古屋太閤通口</v>
          </cell>
          <cell r="D187">
            <v>272</v>
          </cell>
          <cell r="E187">
            <v>342</v>
          </cell>
          <cell r="J187" t="str">
            <v>－</v>
          </cell>
          <cell r="R187" t="str">
            <v>ケータリング</v>
          </cell>
          <cell r="S187">
            <v>60</v>
          </cell>
          <cell r="T187" t="str">
            <v>調査中</v>
          </cell>
          <cell r="U187" t="str">
            <v>－</v>
          </cell>
          <cell r="V187" t="str">
            <v>－</v>
          </cell>
          <cell r="W187" t="str">
            <v>調査中</v>
          </cell>
          <cell r="X187" t="str">
            <v>路上1台</v>
          </cell>
        </row>
        <row r="188">
          <cell r="A188">
            <v>64</v>
          </cell>
          <cell r="B188" t="str">
            <v>名古屋プリンスホテル スカイタワー</v>
          </cell>
          <cell r="D188">
            <v>265</v>
          </cell>
          <cell r="E188">
            <v>265</v>
          </cell>
          <cell r="J188">
            <v>0</v>
          </cell>
          <cell r="R188" t="str">
            <v>宿泊施設</v>
          </cell>
          <cell r="S188">
            <v>100</v>
          </cell>
          <cell r="T188" t="str">
            <v>調査中</v>
          </cell>
          <cell r="U188" t="str">
            <v>○</v>
          </cell>
          <cell r="V188" t="str">
            <v>－</v>
          </cell>
          <cell r="W188" t="str">
            <v>－</v>
          </cell>
          <cell r="X188" t="str">
            <v>専用乗降場所（屋根付）1台</v>
          </cell>
        </row>
        <row r="189">
          <cell r="A189">
            <v>94</v>
          </cell>
          <cell r="B189" t="str">
            <v>ヒルトン名古屋</v>
          </cell>
          <cell r="D189">
            <v>460</v>
          </cell>
          <cell r="E189">
            <v>662</v>
          </cell>
          <cell r="J189">
            <v>17</v>
          </cell>
          <cell r="R189" t="str">
            <v>宿泊施設</v>
          </cell>
          <cell r="S189">
            <v>240</v>
          </cell>
          <cell r="T189" t="str">
            <v>調査中</v>
          </cell>
          <cell r="U189" t="str">
            <v>○</v>
          </cell>
          <cell r="V189" t="str">
            <v>○</v>
          </cell>
          <cell r="W189" t="str">
            <v>－</v>
          </cell>
          <cell r="X189" t="str">
            <v>玄関前（屋根付）1台</v>
          </cell>
        </row>
        <row r="190">
          <cell r="A190">
            <v>99</v>
          </cell>
          <cell r="B190" t="str">
            <v>名古屋ガーデンパレス</v>
          </cell>
          <cell r="D190">
            <v>178</v>
          </cell>
          <cell r="E190">
            <v>205</v>
          </cell>
          <cell r="J190">
            <v>2</v>
          </cell>
          <cell r="R190" t="str">
            <v>宿泊施設</v>
          </cell>
          <cell r="S190">
            <v>40</v>
          </cell>
          <cell r="T190" t="str">
            <v>調査中</v>
          </cell>
          <cell r="U190" t="str">
            <v>－</v>
          </cell>
          <cell r="V190" t="str">
            <v>－</v>
          </cell>
          <cell r="W190" t="str">
            <v>○</v>
          </cell>
          <cell r="X190" t="str">
            <v>路上1台</v>
          </cell>
        </row>
        <row r="191">
          <cell r="A191">
            <v>101</v>
          </cell>
          <cell r="B191" t="str">
            <v>東京第一ホテル錦</v>
          </cell>
          <cell r="D191">
            <v>233</v>
          </cell>
          <cell r="E191">
            <v>274</v>
          </cell>
          <cell r="J191">
            <v>5</v>
          </cell>
          <cell r="R191" t="str">
            <v>宿泊施設</v>
          </cell>
          <cell r="S191" t="str">
            <v>調査中</v>
          </cell>
          <cell r="T191" t="str">
            <v>調査中</v>
          </cell>
          <cell r="U191" t="str">
            <v>－</v>
          </cell>
          <cell r="V191" t="str">
            <v>－</v>
          </cell>
          <cell r="W191" t="str">
            <v>○</v>
          </cell>
          <cell r="X191" t="str">
            <v>路上1台</v>
          </cell>
        </row>
        <row r="192">
          <cell r="A192">
            <v>1027</v>
          </cell>
          <cell r="B192" t="str">
            <v>TIAD</v>
          </cell>
          <cell r="D192">
            <v>150</v>
          </cell>
          <cell r="E192">
            <v>216</v>
          </cell>
          <cell r="R192" t="str">
            <v>宿泊施設</v>
          </cell>
          <cell r="S192">
            <v>165</v>
          </cell>
          <cell r="T192" t="str">
            <v>調査中</v>
          </cell>
          <cell r="U192" t="str">
            <v>○</v>
          </cell>
          <cell r="V192" t="str">
            <v>○</v>
          </cell>
          <cell r="W192" t="str">
            <v>－</v>
          </cell>
          <cell r="X192" t="str">
            <v>路上</v>
          </cell>
        </row>
        <row r="193">
          <cell r="B193" t="str">
            <v>ベストウェスタンプラス名古屋栄</v>
          </cell>
          <cell r="D193">
            <v>143</v>
          </cell>
          <cell r="E193">
            <v>242</v>
          </cell>
          <cell r="R193" t="str">
            <v>宿泊施設</v>
          </cell>
          <cell r="S193">
            <v>50</v>
          </cell>
          <cell r="T193" t="str">
            <v>調査中</v>
          </cell>
          <cell r="U193" t="str">
            <v>－</v>
          </cell>
          <cell r="V193" t="str">
            <v>－</v>
          </cell>
          <cell r="W193" t="str">
            <v>－</v>
          </cell>
          <cell r="X193" t="str">
            <v>路上</v>
          </cell>
        </row>
        <row r="194">
          <cell r="B194" t="str">
            <v>グリーンリッチホテル名古屋錦</v>
          </cell>
          <cell r="D194">
            <v>135</v>
          </cell>
          <cell r="E194">
            <v>153</v>
          </cell>
          <cell r="R194" t="str">
            <v>宿泊施設</v>
          </cell>
          <cell r="S194">
            <v>50</v>
          </cell>
          <cell r="T194" t="str">
            <v>－</v>
          </cell>
          <cell r="U194" t="str">
            <v>－</v>
          </cell>
          <cell r="V194" t="str">
            <v>－</v>
          </cell>
          <cell r="W194" t="str">
            <v>○</v>
          </cell>
          <cell r="X194" t="str">
            <v>路上</v>
          </cell>
        </row>
        <row r="195">
          <cell r="B195" t="str">
            <v>名古屋マリオットアソシアホテル</v>
          </cell>
          <cell r="S195" t="str">
            <v>調査中</v>
          </cell>
          <cell r="T195" t="str">
            <v>調査中</v>
          </cell>
          <cell r="U195" t="str">
            <v>調査中</v>
          </cell>
          <cell r="V195" t="str">
            <v>調査中</v>
          </cell>
          <cell r="W195" t="str">
            <v>調査中</v>
          </cell>
          <cell r="X195" t="str">
            <v>調査中</v>
          </cell>
        </row>
        <row r="196">
          <cell r="A196" t="str">
            <v>－</v>
          </cell>
          <cell r="B196" t="str">
            <v>エスパシオ　ナゴヤキャッスル</v>
          </cell>
          <cell r="D196">
            <v>108</v>
          </cell>
          <cell r="E196" t="str">
            <v>調査中</v>
          </cell>
          <cell r="R196" t="str">
            <v>宿泊施設</v>
          </cell>
          <cell r="S196">
            <v>165</v>
          </cell>
          <cell r="T196" t="str">
            <v>調査中</v>
          </cell>
          <cell r="U196" t="str">
            <v>－</v>
          </cell>
          <cell r="V196" t="str">
            <v>○</v>
          </cell>
          <cell r="W196" t="str">
            <v>調査中</v>
          </cell>
          <cell r="X196" t="str">
            <v>－</v>
          </cell>
        </row>
        <row r="197">
          <cell r="A197" t="str">
            <v/>
          </cell>
          <cell r="B197" t="str">
            <v>トヨタスポーツセンター</v>
          </cell>
          <cell r="D197">
            <v>42</v>
          </cell>
          <cell r="E197">
            <v>126</v>
          </cell>
          <cell r="J197">
            <v>13</v>
          </cell>
          <cell r="R197" t="str">
            <v>調査中</v>
          </cell>
          <cell r="S197" t="str">
            <v>調査中</v>
          </cell>
          <cell r="T197" t="str">
            <v>調査中</v>
          </cell>
          <cell r="U197" t="str">
            <v>調査中</v>
          </cell>
          <cell r="V197" t="str">
            <v>調査中</v>
          </cell>
          <cell r="W197" t="str">
            <v>調査中</v>
          </cell>
          <cell r="X197" t="str">
            <v>調査中</v>
          </cell>
        </row>
        <row r="198">
          <cell r="A198" t="str">
            <v/>
          </cell>
          <cell r="B198" t="str">
            <v>※ハイブリッド方式を想定</v>
          </cell>
          <cell r="S198" t="str">
            <v>調査中</v>
          </cell>
          <cell r="U198" t="str">
            <v>調査中</v>
          </cell>
          <cell r="V198" t="str">
            <v>調査中</v>
          </cell>
          <cell r="W198" t="str">
            <v>調査中</v>
          </cell>
          <cell r="X198" t="str">
            <v>調査中</v>
          </cell>
        </row>
        <row r="199">
          <cell r="A199" t="str">
            <v/>
          </cell>
          <cell r="B199" t="str">
            <v>【ホテルシップ】</v>
          </cell>
          <cell r="D199">
            <v>1500</v>
          </cell>
          <cell r="E199">
            <v>3700</v>
          </cell>
          <cell r="J199" t="str">
            <v>調査中</v>
          </cell>
          <cell r="R199" t="str">
            <v>宿泊施設</v>
          </cell>
          <cell r="S199" t="str">
            <v>調査中</v>
          </cell>
          <cell r="T199" t="str">
            <v>調査中</v>
          </cell>
          <cell r="U199" t="str">
            <v>○</v>
          </cell>
          <cell r="V199" t="str">
            <v>○</v>
          </cell>
          <cell r="W199" t="str">
            <v>－</v>
          </cell>
          <cell r="X199" t="str">
            <v>調査中</v>
          </cell>
        </row>
        <row r="200">
          <cell r="B200" t="str">
            <v>コンテナハウス</v>
          </cell>
          <cell r="D200">
            <v>285</v>
          </cell>
          <cell r="E200">
            <v>1140</v>
          </cell>
          <cell r="J200" t="str">
            <v>調査中</v>
          </cell>
          <cell r="S200" t="str">
            <v>調査中</v>
          </cell>
          <cell r="T200" t="str">
            <v>調査中</v>
          </cell>
          <cell r="U200" t="str">
            <v>調査中</v>
          </cell>
          <cell r="V200" t="str">
            <v>調査中</v>
          </cell>
          <cell r="W200" t="str">
            <v>調査中</v>
          </cell>
          <cell r="X200" t="str">
            <v>調査中</v>
          </cell>
        </row>
        <row r="201">
          <cell r="B201" t="str">
            <v>－</v>
          </cell>
          <cell r="S201" t="str">
            <v>調査中</v>
          </cell>
          <cell r="T201" t="str">
            <v>調査中</v>
          </cell>
          <cell r="U201" t="str">
            <v>調査中</v>
          </cell>
          <cell r="V201" t="str">
            <v>調査中</v>
          </cell>
          <cell r="W201" t="str">
            <v>調査中</v>
          </cell>
          <cell r="X201" t="str">
            <v>調査中</v>
          </cell>
        </row>
      </sheetData>
      <sheetData sheetId="4">
        <row r="6">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row>
        <row r="7">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row>
        <row r="8">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row>
        <row r="9">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row>
        <row r="10">
          <cell r="AO10" t="str">
            <v>リッチモンドホテル名古屋納屋橋　合計</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row>
        <row r="11">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row>
        <row r="12">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row>
        <row r="13">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row>
        <row r="14">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row>
        <row r="15">
          <cell r="AO15" t="str">
            <v>サイプレス　ガーデンホテル　合計</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row>
        <row r="16">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row>
        <row r="17">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row>
        <row r="18">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row>
        <row r="19">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row>
        <row r="20">
          <cell r="AO20" t="str">
            <v>ニッコースタイル名古屋　合計</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row>
        <row r="21">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row>
        <row r="22">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row>
        <row r="23">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row>
        <row r="24">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row>
        <row r="25">
          <cell r="AO25" t="str">
            <v>アイリス 愛知　合計</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row>
        <row r="26">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row>
        <row r="27">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row>
        <row r="28">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row>
        <row r="29">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row>
        <row r="30">
          <cell r="AO30" t="str">
            <v>邦和セミナープラザ　合計</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row>
        <row r="31">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row>
        <row r="32">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row>
        <row r="33">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row>
        <row r="34">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row>
        <row r="35">
          <cell r="AO35" t="str">
            <v>JICA中部　合計</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row>
        <row r="36">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row>
        <row r="37">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row>
        <row r="38">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row>
        <row r="39">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row>
        <row r="40">
          <cell r="AO40" t="str">
            <v>ANAクラウンプラザホテル　グランコート名古屋　合計</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row>
        <row r="41">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row>
        <row r="42">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row>
        <row r="43">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row>
        <row r="44">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row>
        <row r="45">
          <cell r="AO45" t="str">
            <v>くれたけインプレミアム名古屋納屋橋　合計</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row>
        <row r="46">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row>
        <row r="47">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row>
        <row r="48">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row>
        <row r="49">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row>
        <row r="50">
          <cell r="AO50" t="str">
            <v>ベッセルホテルカンパーナ名古屋　合計</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row>
        <row r="51">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row>
        <row r="52">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row>
        <row r="53">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row>
        <row r="54">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row>
        <row r="55">
          <cell r="AO55" t="str">
            <v>アパホテル＜名古屋駅前＞　合計</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row>
        <row r="56">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row>
        <row r="57">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row>
        <row r="58">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row>
        <row r="59">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row>
        <row r="60">
          <cell r="AO60" t="str">
            <v>アパホテル＜名古屋駅前北＞　合計</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row>
        <row r="61">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row>
        <row r="62">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row>
        <row r="63">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row>
        <row r="64">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row>
        <row r="65">
          <cell r="AO65" t="str">
            <v>名鉄イン名古屋駅新幹線口　合計</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row>
        <row r="66">
          <cell r="AP66">
            <v>0</v>
          </cell>
          <cell r="AQ66">
            <v>0</v>
          </cell>
          <cell r="AR66">
            <v>0</v>
          </cell>
          <cell r="AS66">
            <v>0</v>
          </cell>
          <cell r="AT66">
            <v>0</v>
          </cell>
          <cell r="AU66">
            <v>0</v>
          </cell>
          <cell r="AV66">
            <v>0</v>
          </cell>
          <cell r="AW66">
            <v>0</v>
          </cell>
          <cell r="AX66">
            <v>0</v>
          </cell>
          <cell r="AY66">
            <v>0</v>
          </cell>
          <cell r="AZ66">
            <v>0</v>
          </cell>
          <cell r="BA66">
            <v>0</v>
          </cell>
          <cell r="BB66">
            <v>166</v>
          </cell>
          <cell r="BC66">
            <v>166</v>
          </cell>
          <cell r="BD66">
            <v>166</v>
          </cell>
          <cell r="BE66">
            <v>166</v>
          </cell>
          <cell r="BF66">
            <v>166</v>
          </cell>
          <cell r="BG66">
            <v>166</v>
          </cell>
          <cell r="BH66">
            <v>166</v>
          </cell>
          <cell r="BI66">
            <v>166</v>
          </cell>
          <cell r="BJ66">
            <v>166</v>
          </cell>
          <cell r="BK66">
            <v>166</v>
          </cell>
          <cell r="BL66">
            <v>166</v>
          </cell>
          <cell r="BM66">
            <v>166</v>
          </cell>
          <cell r="BN66">
            <v>166</v>
          </cell>
          <cell r="BO66">
            <v>166</v>
          </cell>
          <cell r="BP66">
            <v>166</v>
          </cell>
          <cell r="BQ66">
            <v>166</v>
          </cell>
          <cell r="BR66">
            <v>166</v>
          </cell>
          <cell r="BS66">
            <v>166</v>
          </cell>
          <cell r="BT66">
            <v>166</v>
          </cell>
          <cell r="BU66">
            <v>0</v>
          </cell>
          <cell r="BV66">
            <v>0</v>
          </cell>
          <cell r="BW66">
            <v>0</v>
          </cell>
          <cell r="BX66">
            <v>0</v>
          </cell>
        </row>
        <row r="67">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row>
        <row r="68">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row>
        <row r="69">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row>
        <row r="70">
          <cell r="AO70" t="str">
            <v>ホテルメルパルク名古屋　合計</v>
          </cell>
          <cell r="AP70">
            <v>0</v>
          </cell>
          <cell r="AQ70">
            <v>0</v>
          </cell>
          <cell r="AR70">
            <v>0</v>
          </cell>
          <cell r="AS70">
            <v>0</v>
          </cell>
          <cell r="AT70">
            <v>0</v>
          </cell>
          <cell r="AU70">
            <v>0</v>
          </cell>
          <cell r="AV70">
            <v>0</v>
          </cell>
          <cell r="AW70">
            <v>0</v>
          </cell>
          <cell r="AX70">
            <v>0</v>
          </cell>
          <cell r="AY70">
            <v>0</v>
          </cell>
          <cell r="AZ70">
            <v>0</v>
          </cell>
          <cell r="BA70">
            <v>0</v>
          </cell>
          <cell r="BB70">
            <v>166</v>
          </cell>
          <cell r="BC70">
            <v>166</v>
          </cell>
          <cell r="BD70">
            <v>166</v>
          </cell>
          <cell r="BE70">
            <v>166</v>
          </cell>
          <cell r="BF70">
            <v>166</v>
          </cell>
          <cell r="BG70">
            <v>166</v>
          </cell>
          <cell r="BH70">
            <v>166</v>
          </cell>
          <cell r="BI70">
            <v>166</v>
          </cell>
          <cell r="BJ70">
            <v>166</v>
          </cell>
          <cell r="BK70">
            <v>166</v>
          </cell>
          <cell r="BL70">
            <v>166</v>
          </cell>
          <cell r="BM70">
            <v>166</v>
          </cell>
          <cell r="BN70">
            <v>166</v>
          </cell>
          <cell r="BO70">
            <v>166</v>
          </cell>
          <cell r="BP70">
            <v>166</v>
          </cell>
          <cell r="BQ70">
            <v>166</v>
          </cell>
          <cell r="BR70">
            <v>166</v>
          </cell>
          <cell r="BS70">
            <v>166</v>
          </cell>
          <cell r="BT70">
            <v>166</v>
          </cell>
          <cell r="BU70">
            <v>0</v>
          </cell>
          <cell r="BV70">
            <v>0</v>
          </cell>
          <cell r="BW70">
            <v>0</v>
          </cell>
          <cell r="BX70">
            <v>0</v>
          </cell>
        </row>
        <row r="71">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row>
        <row r="72">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row>
        <row r="73">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row>
        <row r="74">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row>
        <row r="75">
          <cell r="AO75" t="str">
            <v>西鉄ホテルクルーム名古屋　合計</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row>
        <row r="76">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row>
        <row r="77">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row>
        <row r="78">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row>
        <row r="79">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row>
        <row r="80">
          <cell r="AO80" t="str">
            <v>ザサイプレスメルキュールホテル名古屋　合計</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row>
        <row r="81">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row>
        <row r="82">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row>
        <row r="83">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row>
        <row r="84">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row>
        <row r="85">
          <cell r="AO85" t="str">
            <v>ホテルJALシティ名古屋　錦　合計</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row>
        <row r="86">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cell r="BM86">
            <v>0</v>
          </cell>
          <cell r="BN86">
            <v>0</v>
          </cell>
          <cell r="BO86">
            <v>0</v>
          </cell>
          <cell r="BP86">
            <v>0</v>
          </cell>
          <cell r="BQ86">
            <v>0</v>
          </cell>
          <cell r="BR86">
            <v>0</v>
          </cell>
          <cell r="BS86">
            <v>0</v>
          </cell>
          <cell r="BT86">
            <v>0</v>
          </cell>
          <cell r="BU86">
            <v>0</v>
          </cell>
          <cell r="BV86">
            <v>0</v>
          </cell>
          <cell r="BW86">
            <v>0</v>
          </cell>
          <cell r="BX86">
            <v>0</v>
          </cell>
        </row>
        <row r="87">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V87">
            <v>0</v>
          </cell>
          <cell r="BW87">
            <v>0</v>
          </cell>
          <cell r="BX87">
            <v>0</v>
          </cell>
        </row>
        <row r="88">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row>
        <row r="89">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row>
        <row r="90">
          <cell r="AO90" t="str">
            <v>コートヤードバイマリオット名古屋　合計</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row>
        <row r="91">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row>
        <row r="92">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row>
        <row r="93">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row>
        <row r="94">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row>
        <row r="95">
          <cell r="AO95" t="str">
            <v>イビススタイルズ名古屋　合計</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row>
        <row r="96">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row>
        <row r="97">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row>
        <row r="98">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row>
        <row r="99">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row>
        <row r="100">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row>
        <row r="101">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row>
        <row r="102">
          <cell r="AO102" t="str">
            <v>名古屋東急ホテル　合計</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row>
        <row r="103">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row>
        <row r="104">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row>
        <row r="105">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row>
        <row r="106">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row>
        <row r="107">
          <cell r="AO107" t="str">
            <v>名古屋クレストンホテル　合計</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row>
        <row r="108">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row>
        <row r="109">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row>
        <row r="110">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row>
        <row r="111">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row>
        <row r="112">
          <cell r="AO112" t="str">
            <v>都心の天然温泉　名古屋クラウンホテル　合計</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row>
        <row r="113">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row>
        <row r="114">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row>
        <row r="115">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row>
        <row r="116">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row>
        <row r="117">
          <cell r="AO117" t="str">
            <v>公立学校共済組合　名古屋宿泊所　ホテルルブラ王山　合計</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row>
        <row r="118">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row>
        <row r="119">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row>
        <row r="120">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row>
        <row r="121">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row>
        <row r="122">
          <cell r="AO122" t="str">
            <v>サイプレスホテル名古屋駅前　合計</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row>
        <row r="123">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row>
        <row r="124">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row>
        <row r="125">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row>
        <row r="126">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row>
        <row r="127">
          <cell r="AO127" t="str">
            <v>国家公務員共済組合連合会 名古屋共済会館　合計</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row>
        <row r="128">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row>
        <row r="129">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row>
        <row r="130">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row>
        <row r="131">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row>
        <row r="132">
          <cell r="AO132" t="str">
            <v>アパホテル＜名古屋栄＞　合計</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row>
        <row r="133">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row>
        <row r="134">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row>
        <row r="135">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row>
        <row r="136">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row>
        <row r="137">
          <cell r="AO137" t="str">
            <v>ホテルルートインGrand名古屋藤が丘　合計</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row>
        <row r="138">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row>
        <row r="139">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row>
        <row r="140">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row>
        <row r="141">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row>
        <row r="142">
          <cell r="AO142" t="str">
            <v>ヒルトン名古屋　合計</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row>
        <row r="143">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row>
        <row r="144">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row>
        <row r="145">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row>
        <row r="146">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row>
        <row r="147">
          <cell r="AO147" t="str">
            <v>TIAD　合計</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row>
        <row r="148">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row>
        <row r="149">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row>
        <row r="150">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row>
        <row r="151">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row>
        <row r="152">
          <cell r="AO152" t="str">
            <v>エスパシオナゴヤキャッスル　合計</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row>
        <row r="153">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row>
        <row r="154">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row>
        <row r="155">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0</v>
          </cell>
          <cell r="BX155">
            <v>0</v>
          </cell>
        </row>
        <row r="156">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row>
        <row r="157">
          <cell r="AO157" t="str">
            <v>名古屋プリンスホテルスカイタワー　合計</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row>
        <row r="158">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row>
        <row r="159">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row>
        <row r="160">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row>
        <row r="161">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row>
        <row r="162">
          <cell r="AO162" t="str">
            <v>名古屋ガーデンパレス　合計</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row>
        <row r="163">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row>
        <row r="164">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row>
        <row r="165">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row>
        <row r="166">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row>
        <row r="167">
          <cell r="AO167" t="str">
            <v>東京第一ホテル錦　合計</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row>
        <row r="168">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row>
        <row r="169">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row>
        <row r="170">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row>
        <row r="171">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row>
        <row r="172">
          <cell r="AO172" t="str">
            <v>ザロイヤルパークキャンバス名古屋　合計</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row>
        <row r="173">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806</v>
          </cell>
          <cell r="BH173">
            <v>806</v>
          </cell>
          <cell r="BI173">
            <v>806</v>
          </cell>
          <cell r="BJ173">
            <v>806</v>
          </cell>
          <cell r="BK173">
            <v>806</v>
          </cell>
          <cell r="BL173">
            <v>806</v>
          </cell>
          <cell r="BM173">
            <v>806</v>
          </cell>
          <cell r="BN173">
            <v>806</v>
          </cell>
          <cell r="BO173">
            <v>806</v>
          </cell>
          <cell r="BP173">
            <v>806</v>
          </cell>
          <cell r="BQ173">
            <v>0</v>
          </cell>
          <cell r="BR173">
            <v>0</v>
          </cell>
          <cell r="BS173">
            <v>0</v>
          </cell>
          <cell r="BT173">
            <v>0</v>
          </cell>
          <cell r="BU173">
            <v>0</v>
          </cell>
          <cell r="BV173">
            <v>0</v>
          </cell>
          <cell r="BW173">
            <v>0</v>
          </cell>
          <cell r="BX173">
            <v>0</v>
          </cell>
        </row>
        <row r="174">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225</v>
          </cell>
          <cell r="BG174">
            <v>225</v>
          </cell>
          <cell r="BH174">
            <v>225</v>
          </cell>
          <cell r="BI174">
            <v>225</v>
          </cell>
          <cell r="BJ174">
            <v>225</v>
          </cell>
          <cell r="BK174">
            <v>225</v>
          </cell>
          <cell r="BL174">
            <v>225</v>
          </cell>
          <cell r="BM174">
            <v>225</v>
          </cell>
          <cell r="BN174">
            <v>225</v>
          </cell>
          <cell r="BO174">
            <v>0</v>
          </cell>
          <cell r="BP174">
            <v>0</v>
          </cell>
          <cell r="BQ174">
            <v>0</v>
          </cell>
          <cell r="BR174">
            <v>0</v>
          </cell>
          <cell r="BS174">
            <v>0</v>
          </cell>
          <cell r="BT174">
            <v>0</v>
          </cell>
          <cell r="BU174">
            <v>0</v>
          </cell>
          <cell r="BV174">
            <v>0</v>
          </cell>
          <cell r="BW174">
            <v>0</v>
          </cell>
          <cell r="BX174">
            <v>0</v>
          </cell>
        </row>
        <row r="175">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39</v>
          </cell>
          <cell r="BI175">
            <v>39</v>
          </cell>
          <cell r="BJ175">
            <v>39</v>
          </cell>
          <cell r="BK175">
            <v>39</v>
          </cell>
          <cell r="BL175">
            <v>39</v>
          </cell>
          <cell r="BM175">
            <v>0</v>
          </cell>
          <cell r="BN175">
            <v>0</v>
          </cell>
          <cell r="BO175">
            <v>0</v>
          </cell>
          <cell r="BP175">
            <v>0</v>
          </cell>
          <cell r="BQ175">
            <v>0</v>
          </cell>
          <cell r="BR175">
            <v>0</v>
          </cell>
          <cell r="BS175">
            <v>0</v>
          </cell>
          <cell r="BT175">
            <v>0</v>
          </cell>
          <cell r="BU175">
            <v>0</v>
          </cell>
          <cell r="BV175">
            <v>0</v>
          </cell>
          <cell r="BW175">
            <v>0</v>
          </cell>
          <cell r="BX175">
            <v>0</v>
          </cell>
        </row>
        <row r="176">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22</v>
          </cell>
          <cell r="BK176">
            <v>22</v>
          </cell>
          <cell r="BL176">
            <v>22</v>
          </cell>
          <cell r="BM176">
            <v>22</v>
          </cell>
          <cell r="BN176">
            <v>22</v>
          </cell>
          <cell r="BO176">
            <v>22</v>
          </cell>
          <cell r="BP176">
            <v>0</v>
          </cell>
          <cell r="BQ176">
            <v>0</v>
          </cell>
          <cell r="BR176">
            <v>0</v>
          </cell>
          <cell r="BS176">
            <v>0</v>
          </cell>
          <cell r="BT176">
            <v>0</v>
          </cell>
          <cell r="BU176">
            <v>0</v>
          </cell>
          <cell r="BV176">
            <v>0</v>
          </cell>
          <cell r="BW176">
            <v>0</v>
          </cell>
          <cell r="BX176">
            <v>0</v>
          </cell>
        </row>
        <row r="177">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283</v>
          </cell>
          <cell r="BH177">
            <v>283</v>
          </cell>
          <cell r="BI177">
            <v>283</v>
          </cell>
          <cell r="BJ177">
            <v>283</v>
          </cell>
          <cell r="BK177">
            <v>283</v>
          </cell>
          <cell r="BL177">
            <v>283</v>
          </cell>
          <cell r="BM177">
            <v>283</v>
          </cell>
          <cell r="BN177">
            <v>283</v>
          </cell>
          <cell r="BO177">
            <v>0</v>
          </cell>
          <cell r="BP177">
            <v>0</v>
          </cell>
          <cell r="BQ177">
            <v>0</v>
          </cell>
          <cell r="BR177">
            <v>0</v>
          </cell>
          <cell r="BS177">
            <v>0</v>
          </cell>
          <cell r="BT177">
            <v>0</v>
          </cell>
          <cell r="BU177">
            <v>0</v>
          </cell>
          <cell r="BV177">
            <v>0</v>
          </cell>
          <cell r="BW177">
            <v>0</v>
          </cell>
          <cell r="BX177">
            <v>0</v>
          </cell>
        </row>
        <row r="178">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187</v>
          </cell>
          <cell r="BN178">
            <v>187</v>
          </cell>
          <cell r="BO178">
            <v>187</v>
          </cell>
          <cell r="BP178">
            <v>187</v>
          </cell>
          <cell r="BQ178">
            <v>187</v>
          </cell>
          <cell r="BR178">
            <v>187</v>
          </cell>
          <cell r="BS178">
            <v>187</v>
          </cell>
          <cell r="BT178">
            <v>187</v>
          </cell>
          <cell r="BU178">
            <v>0</v>
          </cell>
          <cell r="BV178">
            <v>0</v>
          </cell>
          <cell r="BW178">
            <v>0</v>
          </cell>
          <cell r="BX178">
            <v>0</v>
          </cell>
        </row>
        <row r="179">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cell r="BM179">
            <v>125</v>
          </cell>
          <cell r="BN179">
            <v>125</v>
          </cell>
          <cell r="BO179">
            <v>125</v>
          </cell>
          <cell r="BP179">
            <v>125</v>
          </cell>
          <cell r="BQ179">
            <v>125</v>
          </cell>
          <cell r="BR179">
            <v>125</v>
          </cell>
          <cell r="BS179">
            <v>125</v>
          </cell>
          <cell r="BT179">
            <v>125</v>
          </cell>
          <cell r="BU179">
            <v>0</v>
          </cell>
          <cell r="BV179">
            <v>0</v>
          </cell>
          <cell r="BW179">
            <v>0</v>
          </cell>
          <cell r="BX179">
            <v>0</v>
          </cell>
        </row>
        <row r="180">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199</v>
          </cell>
          <cell r="BJ180">
            <v>199</v>
          </cell>
          <cell r="BK180">
            <v>199</v>
          </cell>
          <cell r="BL180">
            <v>199</v>
          </cell>
          <cell r="BM180">
            <v>199</v>
          </cell>
          <cell r="BN180">
            <v>199</v>
          </cell>
          <cell r="BO180">
            <v>199</v>
          </cell>
          <cell r="BP180">
            <v>199</v>
          </cell>
          <cell r="BQ180">
            <v>199</v>
          </cell>
          <cell r="BR180">
            <v>199</v>
          </cell>
          <cell r="BS180">
            <v>199</v>
          </cell>
          <cell r="BT180">
            <v>199</v>
          </cell>
          <cell r="BU180">
            <v>0</v>
          </cell>
          <cell r="BV180">
            <v>0</v>
          </cell>
          <cell r="BW180">
            <v>0</v>
          </cell>
          <cell r="BX180">
            <v>0</v>
          </cell>
        </row>
        <row r="181">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row>
        <row r="182">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row>
        <row r="183">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125</v>
          </cell>
          <cell r="BK183">
            <v>125</v>
          </cell>
          <cell r="BL183">
            <v>125</v>
          </cell>
          <cell r="BM183">
            <v>125</v>
          </cell>
          <cell r="BN183">
            <v>125</v>
          </cell>
          <cell r="BO183">
            <v>125</v>
          </cell>
          <cell r="BP183">
            <v>125</v>
          </cell>
          <cell r="BQ183">
            <v>125</v>
          </cell>
          <cell r="BR183">
            <v>125</v>
          </cell>
          <cell r="BS183">
            <v>125</v>
          </cell>
          <cell r="BT183">
            <v>125</v>
          </cell>
          <cell r="BU183">
            <v>125</v>
          </cell>
          <cell r="BV183">
            <v>0</v>
          </cell>
          <cell r="BW183">
            <v>0</v>
          </cell>
          <cell r="BX183">
            <v>0</v>
          </cell>
        </row>
        <row r="184">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220</v>
          </cell>
          <cell r="BG184">
            <v>220</v>
          </cell>
          <cell r="BH184">
            <v>220</v>
          </cell>
          <cell r="BI184">
            <v>220</v>
          </cell>
          <cell r="BJ184">
            <v>220</v>
          </cell>
          <cell r="BK184">
            <v>220</v>
          </cell>
          <cell r="BL184">
            <v>220</v>
          </cell>
          <cell r="BM184">
            <v>220</v>
          </cell>
          <cell r="BN184">
            <v>220</v>
          </cell>
          <cell r="BO184">
            <v>220</v>
          </cell>
          <cell r="BP184">
            <v>220</v>
          </cell>
          <cell r="BQ184">
            <v>220</v>
          </cell>
          <cell r="BR184">
            <v>220</v>
          </cell>
          <cell r="BS184">
            <v>0</v>
          </cell>
          <cell r="BT184">
            <v>0</v>
          </cell>
          <cell r="BU184">
            <v>0</v>
          </cell>
          <cell r="BV184">
            <v>0</v>
          </cell>
          <cell r="BW184">
            <v>0</v>
          </cell>
          <cell r="BX184">
            <v>0</v>
          </cell>
        </row>
        <row r="185">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246</v>
          </cell>
          <cell r="BO185">
            <v>246</v>
          </cell>
          <cell r="BP185">
            <v>246</v>
          </cell>
          <cell r="BQ185">
            <v>246</v>
          </cell>
          <cell r="BR185">
            <v>246</v>
          </cell>
          <cell r="BS185">
            <v>246</v>
          </cell>
          <cell r="BT185">
            <v>246</v>
          </cell>
          <cell r="BU185">
            <v>0</v>
          </cell>
          <cell r="BV185">
            <v>0</v>
          </cell>
          <cell r="BW185">
            <v>0</v>
          </cell>
          <cell r="BX185">
            <v>0</v>
          </cell>
        </row>
        <row r="186">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118</v>
          </cell>
          <cell r="BK186">
            <v>118</v>
          </cell>
          <cell r="BL186">
            <v>118</v>
          </cell>
          <cell r="BM186">
            <v>118</v>
          </cell>
          <cell r="BN186">
            <v>118</v>
          </cell>
          <cell r="BO186">
            <v>118</v>
          </cell>
          <cell r="BP186">
            <v>118</v>
          </cell>
          <cell r="BQ186">
            <v>0</v>
          </cell>
          <cell r="BR186">
            <v>0</v>
          </cell>
          <cell r="BS186">
            <v>0</v>
          </cell>
          <cell r="BT186">
            <v>0</v>
          </cell>
          <cell r="BU186">
            <v>0</v>
          </cell>
          <cell r="BV186">
            <v>0</v>
          </cell>
          <cell r="BW186">
            <v>0</v>
          </cell>
          <cell r="BX186">
            <v>0</v>
          </cell>
        </row>
        <row r="187">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90</v>
          </cell>
          <cell r="BE187">
            <v>90</v>
          </cell>
          <cell r="BF187">
            <v>90</v>
          </cell>
          <cell r="BG187">
            <v>90</v>
          </cell>
          <cell r="BH187">
            <v>90</v>
          </cell>
          <cell r="BI187">
            <v>90</v>
          </cell>
          <cell r="BJ187">
            <v>90</v>
          </cell>
          <cell r="BK187">
            <v>90</v>
          </cell>
          <cell r="BL187">
            <v>90</v>
          </cell>
          <cell r="BM187">
            <v>90</v>
          </cell>
          <cell r="BN187">
            <v>90</v>
          </cell>
          <cell r="BO187">
            <v>90</v>
          </cell>
          <cell r="BP187">
            <v>90</v>
          </cell>
          <cell r="BQ187">
            <v>90</v>
          </cell>
          <cell r="BR187">
            <v>90</v>
          </cell>
          <cell r="BS187">
            <v>90</v>
          </cell>
          <cell r="BT187">
            <v>0</v>
          </cell>
          <cell r="BU187">
            <v>0</v>
          </cell>
          <cell r="BV187">
            <v>0</v>
          </cell>
          <cell r="BW187">
            <v>0</v>
          </cell>
          <cell r="BX187">
            <v>0</v>
          </cell>
        </row>
        <row r="188">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289</v>
          </cell>
          <cell r="BI188">
            <v>289</v>
          </cell>
          <cell r="BJ188">
            <v>289</v>
          </cell>
          <cell r="BK188">
            <v>289</v>
          </cell>
          <cell r="BL188">
            <v>289</v>
          </cell>
          <cell r="BM188">
            <v>289</v>
          </cell>
          <cell r="BN188">
            <v>289</v>
          </cell>
          <cell r="BO188">
            <v>289</v>
          </cell>
          <cell r="BP188">
            <v>289</v>
          </cell>
          <cell r="BQ188">
            <v>289</v>
          </cell>
          <cell r="BR188">
            <v>289</v>
          </cell>
          <cell r="BS188">
            <v>289</v>
          </cell>
          <cell r="BT188">
            <v>289</v>
          </cell>
          <cell r="BU188">
            <v>0</v>
          </cell>
          <cell r="BV188">
            <v>0</v>
          </cell>
          <cell r="BW188">
            <v>0</v>
          </cell>
          <cell r="BX188">
            <v>0</v>
          </cell>
        </row>
        <row r="189">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116</v>
          </cell>
          <cell r="BQ189">
            <v>116</v>
          </cell>
          <cell r="BR189">
            <v>116</v>
          </cell>
          <cell r="BS189">
            <v>116</v>
          </cell>
          <cell r="BT189">
            <v>116</v>
          </cell>
          <cell r="BU189">
            <v>0</v>
          </cell>
          <cell r="BV189">
            <v>0</v>
          </cell>
          <cell r="BW189">
            <v>0</v>
          </cell>
          <cell r="BX189">
            <v>0</v>
          </cell>
        </row>
        <row r="190">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43</v>
          </cell>
          <cell r="BJ190">
            <v>43</v>
          </cell>
          <cell r="BK190">
            <v>43</v>
          </cell>
          <cell r="BL190">
            <v>43</v>
          </cell>
          <cell r="BM190">
            <v>43</v>
          </cell>
          <cell r="BN190">
            <v>0</v>
          </cell>
          <cell r="BO190">
            <v>0</v>
          </cell>
          <cell r="BP190">
            <v>0</v>
          </cell>
          <cell r="BQ190">
            <v>0</v>
          </cell>
          <cell r="BR190">
            <v>0</v>
          </cell>
          <cell r="BS190">
            <v>0</v>
          </cell>
          <cell r="BT190">
            <v>0</v>
          </cell>
          <cell r="BU190">
            <v>0</v>
          </cell>
          <cell r="BV190">
            <v>0</v>
          </cell>
          <cell r="BW190">
            <v>0</v>
          </cell>
          <cell r="BX190">
            <v>0</v>
          </cell>
        </row>
        <row r="191">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35</v>
          </cell>
          <cell r="BG191">
            <v>35</v>
          </cell>
          <cell r="BH191">
            <v>35</v>
          </cell>
          <cell r="BI191">
            <v>35</v>
          </cell>
          <cell r="BJ191">
            <v>35</v>
          </cell>
          <cell r="BK191">
            <v>35</v>
          </cell>
          <cell r="BL191">
            <v>35</v>
          </cell>
          <cell r="BM191">
            <v>35</v>
          </cell>
          <cell r="BN191">
            <v>35</v>
          </cell>
          <cell r="BO191">
            <v>0</v>
          </cell>
          <cell r="BP191">
            <v>0</v>
          </cell>
          <cell r="BQ191">
            <v>0</v>
          </cell>
          <cell r="BR191">
            <v>0</v>
          </cell>
          <cell r="BS191">
            <v>0</v>
          </cell>
          <cell r="BT191">
            <v>0</v>
          </cell>
          <cell r="BU191">
            <v>0</v>
          </cell>
          <cell r="BV191">
            <v>0</v>
          </cell>
          <cell r="BW191">
            <v>0</v>
          </cell>
          <cell r="BX191">
            <v>0</v>
          </cell>
        </row>
        <row r="192">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203</v>
          </cell>
          <cell r="BE192">
            <v>203</v>
          </cell>
          <cell r="BF192">
            <v>203</v>
          </cell>
          <cell r="BG192">
            <v>203</v>
          </cell>
          <cell r="BH192">
            <v>203</v>
          </cell>
          <cell r="BI192">
            <v>203</v>
          </cell>
          <cell r="BJ192">
            <v>203</v>
          </cell>
          <cell r="BK192">
            <v>203</v>
          </cell>
          <cell r="BL192">
            <v>203</v>
          </cell>
          <cell r="BM192">
            <v>203</v>
          </cell>
          <cell r="BN192">
            <v>203</v>
          </cell>
          <cell r="BO192">
            <v>203</v>
          </cell>
          <cell r="BP192">
            <v>203</v>
          </cell>
          <cell r="BQ192">
            <v>0</v>
          </cell>
          <cell r="BR192">
            <v>0</v>
          </cell>
          <cell r="BS192">
            <v>0</v>
          </cell>
          <cell r="BT192">
            <v>0</v>
          </cell>
          <cell r="BU192">
            <v>0</v>
          </cell>
          <cell r="BV192">
            <v>0</v>
          </cell>
          <cell r="BW192">
            <v>0</v>
          </cell>
          <cell r="BX192">
            <v>0</v>
          </cell>
        </row>
        <row r="193">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321</v>
          </cell>
          <cell r="BN193">
            <v>321</v>
          </cell>
          <cell r="BO193">
            <v>321</v>
          </cell>
          <cell r="BP193">
            <v>321</v>
          </cell>
          <cell r="BQ193">
            <v>321</v>
          </cell>
          <cell r="BR193">
            <v>321</v>
          </cell>
          <cell r="BS193">
            <v>321</v>
          </cell>
          <cell r="BT193">
            <v>321</v>
          </cell>
          <cell r="BU193">
            <v>0</v>
          </cell>
          <cell r="BV193">
            <v>0</v>
          </cell>
          <cell r="BW193">
            <v>0</v>
          </cell>
          <cell r="BX193">
            <v>0</v>
          </cell>
        </row>
        <row r="194">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row>
        <row r="195">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row>
        <row r="196">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row>
        <row r="197">
          <cell r="AO197" t="str">
            <v>【ホテルシップ】　合計</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293</v>
          </cell>
          <cell r="BE197">
            <v>293</v>
          </cell>
          <cell r="BF197">
            <v>773</v>
          </cell>
          <cell r="BG197">
            <v>1862</v>
          </cell>
          <cell r="BH197">
            <v>2190</v>
          </cell>
          <cell r="BI197">
            <v>2432</v>
          </cell>
          <cell r="BJ197">
            <v>2697</v>
          </cell>
          <cell r="BK197">
            <v>2697</v>
          </cell>
          <cell r="BL197">
            <v>2697</v>
          </cell>
          <cell r="BM197">
            <v>3291</v>
          </cell>
          <cell r="BN197">
            <v>3494</v>
          </cell>
          <cell r="BO197">
            <v>2951</v>
          </cell>
          <cell r="BP197">
            <v>3045</v>
          </cell>
          <cell r="BQ197">
            <v>1918</v>
          </cell>
          <cell r="BR197">
            <v>1918</v>
          </cell>
          <cell r="BS197">
            <v>1698</v>
          </cell>
          <cell r="BT197">
            <v>1608</v>
          </cell>
          <cell r="BU197">
            <v>125</v>
          </cell>
          <cell r="BV197">
            <v>0</v>
          </cell>
          <cell r="BW197">
            <v>0</v>
          </cell>
          <cell r="BX197">
            <v>0</v>
          </cell>
        </row>
        <row r="198">
          <cell r="AP198">
            <v>0</v>
          </cell>
          <cell r="AQ198">
            <v>0</v>
          </cell>
          <cell r="AR198">
            <v>0</v>
          </cell>
          <cell r="AS198">
            <v>0</v>
          </cell>
          <cell r="AT198">
            <v>0</v>
          </cell>
          <cell r="AU198">
            <v>0</v>
          </cell>
          <cell r="AV198">
            <v>0</v>
          </cell>
          <cell r="AW198">
            <v>0</v>
          </cell>
          <cell r="AX198">
            <v>0</v>
          </cell>
          <cell r="AY198">
            <v>0</v>
          </cell>
          <cell r="AZ198">
            <v>0</v>
          </cell>
          <cell r="BA198">
            <v>0</v>
          </cell>
          <cell r="BB198">
            <v>250</v>
          </cell>
          <cell r="BC198">
            <v>250</v>
          </cell>
          <cell r="BD198">
            <v>250</v>
          </cell>
          <cell r="BE198">
            <v>250</v>
          </cell>
          <cell r="BF198">
            <v>250</v>
          </cell>
          <cell r="BG198">
            <v>250</v>
          </cell>
          <cell r="BH198">
            <v>250</v>
          </cell>
          <cell r="BI198">
            <v>250</v>
          </cell>
          <cell r="BJ198">
            <v>250</v>
          </cell>
          <cell r="BK198">
            <v>250</v>
          </cell>
          <cell r="BL198">
            <v>250</v>
          </cell>
          <cell r="BM198">
            <v>250</v>
          </cell>
          <cell r="BN198">
            <v>250</v>
          </cell>
          <cell r="BO198">
            <v>250</v>
          </cell>
          <cell r="BP198">
            <v>250</v>
          </cell>
          <cell r="BQ198">
            <v>250</v>
          </cell>
          <cell r="BR198">
            <v>0</v>
          </cell>
          <cell r="BS198">
            <v>0</v>
          </cell>
          <cell r="BT198">
            <v>0</v>
          </cell>
          <cell r="BU198">
            <v>0</v>
          </cell>
          <cell r="BV198">
            <v>0</v>
          </cell>
          <cell r="BW198">
            <v>0</v>
          </cell>
          <cell r="BX198">
            <v>0</v>
          </cell>
        </row>
        <row r="199">
          <cell r="AP199">
            <v>0</v>
          </cell>
          <cell r="AQ199">
            <v>0</v>
          </cell>
          <cell r="AR199">
            <v>0</v>
          </cell>
          <cell r="AS199">
            <v>0</v>
          </cell>
          <cell r="AT199">
            <v>0</v>
          </cell>
          <cell r="AU199">
            <v>0</v>
          </cell>
          <cell r="AV199">
            <v>0</v>
          </cell>
          <cell r="AW199">
            <v>0</v>
          </cell>
          <cell r="AX199">
            <v>0</v>
          </cell>
          <cell r="AY199">
            <v>0</v>
          </cell>
          <cell r="AZ199">
            <v>0</v>
          </cell>
          <cell r="BA199">
            <v>0</v>
          </cell>
          <cell r="BB199">
            <v>273</v>
          </cell>
          <cell r="BC199">
            <v>273</v>
          </cell>
          <cell r="BD199">
            <v>273</v>
          </cell>
          <cell r="BE199">
            <v>273</v>
          </cell>
          <cell r="BF199">
            <v>273</v>
          </cell>
          <cell r="BG199">
            <v>273</v>
          </cell>
          <cell r="BH199">
            <v>273</v>
          </cell>
          <cell r="BI199">
            <v>273</v>
          </cell>
          <cell r="BJ199">
            <v>273</v>
          </cell>
          <cell r="BK199">
            <v>273</v>
          </cell>
          <cell r="BL199">
            <v>273</v>
          </cell>
          <cell r="BM199">
            <v>273</v>
          </cell>
          <cell r="BN199">
            <v>273</v>
          </cell>
          <cell r="BO199">
            <v>273</v>
          </cell>
          <cell r="BP199">
            <v>273</v>
          </cell>
          <cell r="BQ199">
            <v>0</v>
          </cell>
          <cell r="BR199">
            <v>0</v>
          </cell>
          <cell r="BS199">
            <v>0</v>
          </cell>
          <cell r="BT199">
            <v>0</v>
          </cell>
          <cell r="BU199">
            <v>0</v>
          </cell>
          <cell r="BV199">
            <v>0</v>
          </cell>
          <cell r="BW199">
            <v>0</v>
          </cell>
          <cell r="BX199">
            <v>0</v>
          </cell>
        </row>
        <row r="200">
          <cell r="AP200">
            <v>0</v>
          </cell>
          <cell r="AQ200">
            <v>0</v>
          </cell>
          <cell r="AR200">
            <v>0</v>
          </cell>
          <cell r="AS200">
            <v>0</v>
          </cell>
          <cell r="AT200">
            <v>0</v>
          </cell>
          <cell r="AU200">
            <v>0</v>
          </cell>
          <cell r="AV200">
            <v>0</v>
          </cell>
          <cell r="AW200">
            <v>0</v>
          </cell>
          <cell r="AX200">
            <v>0</v>
          </cell>
          <cell r="AY200">
            <v>0</v>
          </cell>
          <cell r="AZ200">
            <v>0</v>
          </cell>
          <cell r="BA200">
            <v>0</v>
          </cell>
          <cell r="BB200">
            <v>247</v>
          </cell>
          <cell r="BC200">
            <v>247</v>
          </cell>
          <cell r="BD200">
            <v>247</v>
          </cell>
          <cell r="BE200">
            <v>247</v>
          </cell>
          <cell r="BF200">
            <v>247</v>
          </cell>
          <cell r="BG200">
            <v>247</v>
          </cell>
          <cell r="BH200">
            <v>247</v>
          </cell>
          <cell r="BI200">
            <v>247</v>
          </cell>
          <cell r="BJ200">
            <v>247</v>
          </cell>
          <cell r="BK200">
            <v>247</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row>
        <row r="201">
          <cell r="AP201">
            <v>0</v>
          </cell>
          <cell r="AQ201">
            <v>0</v>
          </cell>
          <cell r="AR201">
            <v>0</v>
          </cell>
          <cell r="AS201">
            <v>0</v>
          </cell>
          <cell r="AT201">
            <v>0</v>
          </cell>
          <cell r="AU201">
            <v>0</v>
          </cell>
          <cell r="AV201">
            <v>58</v>
          </cell>
          <cell r="AW201">
            <v>116</v>
          </cell>
          <cell r="AX201">
            <v>116</v>
          </cell>
          <cell r="AY201">
            <v>116</v>
          </cell>
          <cell r="AZ201">
            <v>116</v>
          </cell>
          <cell r="BA201">
            <v>116</v>
          </cell>
          <cell r="BB201">
            <v>116</v>
          </cell>
          <cell r="BC201">
            <v>116</v>
          </cell>
          <cell r="BD201">
            <v>116</v>
          </cell>
          <cell r="BE201">
            <v>116</v>
          </cell>
          <cell r="BF201">
            <v>116</v>
          </cell>
          <cell r="BG201">
            <v>116</v>
          </cell>
          <cell r="BH201">
            <v>116</v>
          </cell>
          <cell r="BI201">
            <v>58</v>
          </cell>
          <cell r="BJ201">
            <v>58</v>
          </cell>
          <cell r="BK201">
            <v>58</v>
          </cell>
          <cell r="BL201">
            <v>58</v>
          </cell>
          <cell r="BM201">
            <v>0</v>
          </cell>
          <cell r="BN201">
            <v>0</v>
          </cell>
          <cell r="BO201">
            <v>0</v>
          </cell>
          <cell r="BP201">
            <v>0</v>
          </cell>
          <cell r="BQ201">
            <v>0</v>
          </cell>
          <cell r="BR201">
            <v>0</v>
          </cell>
          <cell r="BS201">
            <v>0</v>
          </cell>
          <cell r="BT201">
            <v>0</v>
          </cell>
          <cell r="BU201">
            <v>0</v>
          </cell>
          <cell r="BV201">
            <v>0</v>
          </cell>
          <cell r="BW201">
            <v>0</v>
          </cell>
          <cell r="BX201">
            <v>0</v>
          </cell>
        </row>
        <row r="202">
          <cell r="AP202">
            <v>0</v>
          </cell>
          <cell r="AQ202">
            <v>0</v>
          </cell>
          <cell r="AR202">
            <v>0</v>
          </cell>
          <cell r="AS202">
            <v>0</v>
          </cell>
          <cell r="AT202">
            <v>0</v>
          </cell>
          <cell r="AU202">
            <v>0</v>
          </cell>
          <cell r="AV202">
            <v>58</v>
          </cell>
          <cell r="AW202">
            <v>116</v>
          </cell>
          <cell r="AX202">
            <v>116</v>
          </cell>
          <cell r="AY202">
            <v>116</v>
          </cell>
          <cell r="AZ202">
            <v>116</v>
          </cell>
          <cell r="BA202">
            <v>116</v>
          </cell>
          <cell r="BB202">
            <v>116</v>
          </cell>
          <cell r="BC202">
            <v>116</v>
          </cell>
          <cell r="BD202">
            <v>116</v>
          </cell>
          <cell r="BE202">
            <v>116</v>
          </cell>
          <cell r="BF202">
            <v>116</v>
          </cell>
          <cell r="BG202">
            <v>116</v>
          </cell>
          <cell r="BH202">
            <v>66</v>
          </cell>
          <cell r="BI202">
            <v>58</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row>
        <row r="203">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cell r="BM203">
            <v>0</v>
          </cell>
          <cell r="BN203">
            <v>0</v>
          </cell>
          <cell r="BO203">
            <v>0</v>
          </cell>
          <cell r="BP203">
            <v>0</v>
          </cell>
          <cell r="BQ203">
            <v>0</v>
          </cell>
          <cell r="BR203">
            <v>0</v>
          </cell>
          <cell r="BS203">
            <v>0</v>
          </cell>
          <cell r="BT203">
            <v>0</v>
          </cell>
          <cell r="BU203">
            <v>0</v>
          </cell>
          <cell r="BV203">
            <v>0</v>
          </cell>
          <cell r="BW203">
            <v>0</v>
          </cell>
          <cell r="BX203">
            <v>0</v>
          </cell>
        </row>
        <row r="204">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row>
        <row r="205">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cell r="BM205">
            <v>0</v>
          </cell>
          <cell r="BN205">
            <v>0</v>
          </cell>
          <cell r="BO205">
            <v>0</v>
          </cell>
          <cell r="BP205">
            <v>0</v>
          </cell>
          <cell r="BQ205">
            <v>0</v>
          </cell>
          <cell r="BR205">
            <v>0</v>
          </cell>
          <cell r="BS205">
            <v>0</v>
          </cell>
          <cell r="BT205">
            <v>0</v>
          </cell>
          <cell r="BU205">
            <v>0</v>
          </cell>
          <cell r="BV205">
            <v>0</v>
          </cell>
          <cell r="BW205">
            <v>0</v>
          </cell>
          <cell r="BX205">
            <v>0</v>
          </cell>
        </row>
        <row r="206">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row>
        <row r="207">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0</v>
          </cell>
          <cell r="BX207">
            <v>0</v>
          </cell>
        </row>
        <row r="208">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row>
        <row r="209">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row>
        <row r="210">
          <cell r="AO210" t="str">
            <v>コンテナハウス　合計</v>
          </cell>
          <cell r="AP210">
            <v>0</v>
          </cell>
          <cell r="AQ210">
            <v>0</v>
          </cell>
          <cell r="AR210">
            <v>0</v>
          </cell>
          <cell r="AS210">
            <v>0</v>
          </cell>
          <cell r="AT210">
            <v>0</v>
          </cell>
          <cell r="AU210">
            <v>0</v>
          </cell>
          <cell r="AV210">
            <v>116</v>
          </cell>
          <cell r="AW210">
            <v>232</v>
          </cell>
          <cell r="AX210">
            <v>232</v>
          </cell>
          <cell r="AY210">
            <v>232</v>
          </cell>
          <cell r="AZ210">
            <v>232</v>
          </cell>
          <cell r="BA210">
            <v>232</v>
          </cell>
          <cell r="BB210">
            <v>1002</v>
          </cell>
          <cell r="BC210">
            <v>1002</v>
          </cell>
          <cell r="BD210">
            <v>1002</v>
          </cell>
          <cell r="BE210">
            <v>1002</v>
          </cell>
          <cell r="BF210">
            <v>1002</v>
          </cell>
          <cell r="BG210">
            <v>1002</v>
          </cell>
          <cell r="BH210">
            <v>952</v>
          </cell>
          <cell r="BI210">
            <v>886</v>
          </cell>
          <cell r="BJ210">
            <v>828</v>
          </cell>
          <cell r="BK210">
            <v>828</v>
          </cell>
          <cell r="BL210">
            <v>581</v>
          </cell>
          <cell r="BM210">
            <v>523</v>
          </cell>
          <cell r="BN210">
            <v>523</v>
          </cell>
          <cell r="BO210">
            <v>523</v>
          </cell>
          <cell r="BP210">
            <v>523</v>
          </cell>
          <cell r="BQ210">
            <v>250</v>
          </cell>
          <cell r="BR210">
            <v>0</v>
          </cell>
          <cell r="BS210">
            <v>0</v>
          </cell>
          <cell r="BT210">
            <v>0</v>
          </cell>
          <cell r="BU210">
            <v>0</v>
          </cell>
          <cell r="BV210">
            <v>0</v>
          </cell>
          <cell r="BW210">
            <v>0</v>
          </cell>
          <cell r="BX210">
            <v>0</v>
          </cell>
        </row>
        <row r="211">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row>
        <row r="212">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row>
        <row r="213">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row>
        <row r="214">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0</v>
          </cell>
          <cell r="BT214">
            <v>0</v>
          </cell>
          <cell r="BU214">
            <v>0</v>
          </cell>
          <cell r="BV214">
            <v>0</v>
          </cell>
          <cell r="BW214">
            <v>0</v>
          </cell>
          <cell r="BX214">
            <v>0</v>
          </cell>
        </row>
        <row r="215">
          <cell r="AO215" t="str">
            <v>ベストウェスタンプラス名古屋栄　合計</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0</v>
          </cell>
          <cell r="BT215">
            <v>0</v>
          </cell>
          <cell r="BU215">
            <v>0</v>
          </cell>
          <cell r="BV215">
            <v>0</v>
          </cell>
          <cell r="BW215">
            <v>0</v>
          </cell>
          <cell r="BX215">
            <v>0</v>
          </cell>
        </row>
        <row r="216">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0</v>
          </cell>
          <cell r="BT216">
            <v>0</v>
          </cell>
          <cell r="BU216">
            <v>0</v>
          </cell>
          <cell r="BV216">
            <v>0</v>
          </cell>
          <cell r="BW216">
            <v>0</v>
          </cell>
          <cell r="BX216">
            <v>0</v>
          </cell>
        </row>
        <row r="217">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row>
        <row r="218">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row>
        <row r="219">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row>
        <row r="220">
          <cell r="AO220" t="str">
            <v>ザロイヤルパークキャンバス名古屋　合計</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row>
        <row r="221">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row>
        <row r="222">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row>
        <row r="223">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row>
        <row r="224">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row>
        <row r="225">
          <cell r="AO225" t="str">
            <v>グリーンリッチホテル名古屋錦　合計</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0</v>
          </cell>
          <cell r="BW225">
            <v>0</v>
          </cell>
          <cell r="BX225">
            <v>0</v>
          </cell>
        </row>
        <row r="226">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row>
        <row r="227">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row>
        <row r="228">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row>
        <row r="229">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row>
        <row r="230">
          <cell r="AO230" t="str">
            <v>ダイワロイネットホテル名古屋新幹線口　合計</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row>
        <row r="231">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row>
        <row r="232">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row>
        <row r="233">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0</v>
          </cell>
          <cell r="BU233">
            <v>0</v>
          </cell>
          <cell r="BV233">
            <v>0</v>
          </cell>
          <cell r="BW233">
            <v>0</v>
          </cell>
          <cell r="BX233">
            <v>0</v>
          </cell>
        </row>
        <row r="234">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row>
        <row r="235">
          <cell r="AO235" t="str">
            <v>ダイワロイネットホテル名古屋太閤通口　合計</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0</v>
          </cell>
          <cell r="BW235">
            <v>0</v>
          </cell>
          <cell r="BX235">
            <v>0</v>
          </cell>
        </row>
        <row r="236">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row>
        <row r="237">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row>
        <row r="238">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0</v>
          </cell>
          <cell r="BV238">
            <v>0</v>
          </cell>
          <cell r="BW238">
            <v>0</v>
          </cell>
          <cell r="BX238">
            <v>0</v>
          </cell>
        </row>
        <row r="239">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row>
        <row r="240">
          <cell r="AO240" t="str">
            <v>DEL style 名古屋納屋橋（旧：ダイワロイネットホテル名古屋納屋橋）　合計</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row>
        <row r="241">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row>
        <row r="242">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row>
        <row r="243">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row>
        <row r="244">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row>
        <row r="245">
          <cell r="AO245" t="str">
            <v>モンブランホテルラフィネ名古屋駅前　合計</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row>
        <row r="246">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row>
        <row r="247">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row>
        <row r="248">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row>
        <row r="249">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row>
        <row r="250">
          <cell r="AO250" t="str">
            <v>名古屋ビーズホテル　合計</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row>
        <row r="251">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row>
        <row r="252">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row>
        <row r="253">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row>
        <row r="254">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row>
        <row r="255">
          <cell r="AO255" t="str">
            <v>ホテル京阪名古屋　合計</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row>
        <row r="256">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row>
        <row r="257">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row>
        <row r="258">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row>
        <row r="259">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row>
        <row r="260">
          <cell r="AO260" t="str">
            <v>ホテルフォルツァ名古屋栄　合計</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row>
        <row r="261">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row>
        <row r="262">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row>
        <row r="263">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row>
        <row r="264">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row>
        <row r="265">
          <cell r="AO265" t="str">
            <v>アパホテル&lt;名古屋錦&gt; EXCELLENT　合計</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row>
        <row r="266">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row>
        <row r="267">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row>
        <row r="268">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row>
        <row r="269">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row>
        <row r="270">
          <cell r="AO270" t="str">
            <v>ベッセルイン栄駅前　合計</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row>
        <row r="271">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row>
        <row r="272">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row>
        <row r="273">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0</v>
          </cell>
          <cell r="BW273">
            <v>0</v>
          </cell>
          <cell r="BX273">
            <v>0</v>
          </cell>
        </row>
        <row r="274">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0</v>
          </cell>
          <cell r="BW274">
            <v>0</v>
          </cell>
          <cell r="BX274">
            <v>0</v>
          </cell>
        </row>
        <row r="275">
          <cell r="AO275" t="str">
            <v>名古屋金山ホテル　合計</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BX275">
            <v>0</v>
          </cell>
        </row>
        <row r="276">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row>
        <row r="277">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row>
        <row r="278">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row>
        <row r="279">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0</v>
          </cell>
          <cell r="BV279">
            <v>0</v>
          </cell>
          <cell r="BW279">
            <v>0</v>
          </cell>
          <cell r="BX279">
            <v>0</v>
          </cell>
        </row>
        <row r="280">
          <cell r="AO280" t="str">
            <v>名古屋笠寺ホテル　合計</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row>
        <row r="281">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row>
        <row r="282">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row>
        <row r="283">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row>
        <row r="284">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row>
        <row r="285">
          <cell r="AO285" t="str">
            <v>ホテルルートイン名古屋栄　合計</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row>
        <row r="286">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row>
        <row r="287">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row>
        <row r="288">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0</v>
          </cell>
          <cell r="BV288">
            <v>0</v>
          </cell>
          <cell r="BW288">
            <v>0</v>
          </cell>
          <cell r="BX288">
            <v>0</v>
          </cell>
        </row>
        <row r="289">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row>
        <row r="290">
          <cell r="AO290" t="str">
            <v>ホテルルートイン名古屋東別院　合計</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row>
        <row r="291">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row>
        <row r="292">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row>
        <row r="293">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row>
        <row r="294">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row>
        <row r="295">
          <cell r="AO295" t="str">
            <v>ホテルルートイン名古屋今池駅前　合計</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row>
        <row r="296">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row>
        <row r="297">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row>
        <row r="298">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row>
        <row r="299">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row>
        <row r="300">
          <cell r="AO300" t="str">
            <v>アパホテル＜尾張一宮駅前＞　合計</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row>
        <row r="301">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row>
        <row r="302">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row>
        <row r="303">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row>
        <row r="304">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row>
        <row r="305">
          <cell r="AO305" t="str">
            <v>東横INN名古屋尾張一宮駅前　合計</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row>
        <row r="306">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row>
        <row r="307">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row>
        <row r="308">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row>
        <row r="309">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row>
        <row r="310">
          <cell r="AO310" t="str">
            <v>ホテルルートイン一宮駅前　合計</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row>
        <row r="311">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row>
        <row r="312">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row>
        <row r="313">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row>
        <row r="314">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row>
        <row r="315">
          <cell r="AO315" t="str">
            <v>一宮グリーンホテル　合計</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row>
        <row r="316">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row>
        <row r="317">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row>
        <row r="318">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row>
        <row r="319">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cell r="BM319">
            <v>0</v>
          </cell>
          <cell r="BN319">
            <v>0</v>
          </cell>
          <cell r="BO319">
            <v>0</v>
          </cell>
          <cell r="BP319">
            <v>0</v>
          </cell>
          <cell r="BQ319">
            <v>0</v>
          </cell>
          <cell r="BR319">
            <v>0</v>
          </cell>
          <cell r="BS319">
            <v>0</v>
          </cell>
          <cell r="BT319">
            <v>0</v>
          </cell>
          <cell r="BU319">
            <v>0</v>
          </cell>
          <cell r="BV319">
            <v>0</v>
          </cell>
          <cell r="BW319">
            <v>0</v>
          </cell>
          <cell r="BX319">
            <v>0</v>
          </cell>
        </row>
        <row r="320">
          <cell r="AO320" t="str">
            <v>ホテルインディゴ犬山有楽苑　合計</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row>
        <row r="321">
          <cell r="AP321">
            <v>0</v>
          </cell>
          <cell r="AQ321">
            <v>0</v>
          </cell>
          <cell r="AR321">
            <v>0</v>
          </cell>
          <cell r="AS321">
            <v>0</v>
          </cell>
          <cell r="AT321">
            <v>0</v>
          </cell>
          <cell r="AU321">
            <v>0</v>
          </cell>
          <cell r="AV321">
            <v>0</v>
          </cell>
          <cell r="AW321">
            <v>0</v>
          </cell>
          <cell r="AX321">
            <v>0</v>
          </cell>
          <cell r="AY321">
            <v>0</v>
          </cell>
          <cell r="AZ321">
            <v>168</v>
          </cell>
          <cell r="BA321">
            <v>168</v>
          </cell>
          <cell r="BB321">
            <v>168</v>
          </cell>
          <cell r="BC321">
            <v>168</v>
          </cell>
          <cell r="BD321">
            <v>168</v>
          </cell>
          <cell r="BE321">
            <v>168</v>
          </cell>
          <cell r="BF321">
            <v>168</v>
          </cell>
          <cell r="BG321">
            <v>168</v>
          </cell>
          <cell r="BH321">
            <v>168</v>
          </cell>
          <cell r="BI321">
            <v>168</v>
          </cell>
          <cell r="BJ321">
            <v>168</v>
          </cell>
          <cell r="BK321">
            <v>168</v>
          </cell>
          <cell r="BL321">
            <v>168</v>
          </cell>
          <cell r="BM321">
            <v>168</v>
          </cell>
          <cell r="BN321">
            <v>168</v>
          </cell>
          <cell r="BO321">
            <v>168</v>
          </cell>
          <cell r="BP321">
            <v>168</v>
          </cell>
          <cell r="BQ321">
            <v>168</v>
          </cell>
          <cell r="BR321">
            <v>168</v>
          </cell>
          <cell r="BS321">
            <v>168</v>
          </cell>
          <cell r="BT321">
            <v>168</v>
          </cell>
          <cell r="BU321">
            <v>0</v>
          </cell>
          <cell r="BV321">
            <v>0</v>
          </cell>
          <cell r="BW321">
            <v>0</v>
          </cell>
          <cell r="BX321">
            <v>0</v>
          </cell>
        </row>
        <row r="322">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row>
        <row r="323">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row>
        <row r="324">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cell r="BX324">
            <v>0</v>
          </cell>
        </row>
        <row r="325">
          <cell r="AO325" t="str">
            <v>ホテルミュースタイル犬山エクスペリエンス　合計</v>
          </cell>
          <cell r="AP325">
            <v>0</v>
          </cell>
          <cell r="AQ325">
            <v>0</v>
          </cell>
          <cell r="AR325">
            <v>0</v>
          </cell>
          <cell r="AS325">
            <v>0</v>
          </cell>
          <cell r="AT325">
            <v>0</v>
          </cell>
          <cell r="AU325">
            <v>0</v>
          </cell>
          <cell r="AV325">
            <v>0</v>
          </cell>
          <cell r="AW325">
            <v>0</v>
          </cell>
          <cell r="AX325">
            <v>0</v>
          </cell>
          <cell r="AY325">
            <v>0</v>
          </cell>
          <cell r="AZ325">
            <v>168</v>
          </cell>
          <cell r="BA325">
            <v>168</v>
          </cell>
          <cell r="BB325">
            <v>168</v>
          </cell>
          <cell r="BC325">
            <v>168</v>
          </cell>
          <cell r="BD325">
            <v>168</v>
          </cell>
          <cell r="BE325">
            <v>168</v>
          </cell>
          <cell r="BF325">
            <v>168</v>
          </cell>
          <cell r="BG325">
            <v>168</v>
          </cell>
          <cell r="BH325">
            <v>168</v>
          </cell>
          <cell r="BI325">
            <v>168</v>
          </cell>
          <cell r="BJ325">
            <v>168</v>
          </cell>
          <cell r="BK325">
            <v>168</v>
          </cell>
          <cell r="BL325">
            <v>168</v>
          </cell>
          <cell r="BM325">
            <v>168</v>
          </cell>
          <cell r="BN325">
            <v>168</v>
          </cell>
          <cell r="BO325">
            <v>168</v>
          </cell>
          <cell r="BP325">
            <v>168</v>
          </cell>
          <cell r="BQ325">
            <v>168</v>
          </cell>
          <cell r="BR325">
            <v>168</v>
          </cell>
          <cell r="BS325">
            <v>168</v>
          </cell>
          <cell r="BT325">
            <v>168</v>
          </cell>
          <cell r="BU325">
            <v>0</v>
          </cell>
          <cell r="BV325">
            <v>0</v>
          </cell>
          <cell r="BW325">
            <v>0</v>
          </cell>
          <cell r="BX325">
            <v>0</v>
          </cell>
        </row>
        <row r="326">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row>
        <row r="327">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row>
        <row r="328">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row>
        <row r="329">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cell r="BM329">
            <v>0</v>
          </cell>
          <cell r="BN329">
            <v>0</v>
          </cell>
          <cell r="BO329">
            <v>0</v>
          </cell>
          <cell r="BP329">
            <v>0</v>
          </cell>
          <cell r="BQ329">
            <v>0</v>
          </cell>
          <cell r="BR329">
            <v>0</v>
          </cell>
          <cell r="BS329">
            <v>0</v>
          </cell>
          <cell r="BT329">
            <v>0</v>
          </cell>
          <cell r="BU329">
            <v>0</v>
          </cell>
          <cell r="BV329">
            <v>0</v>
          </cell>
          <cell r="BW329">
            <v>0</v>
          </cell>
          <cell r="BX329">
            <v>0</v>
          </cell>
        </row>
        <row r="330">
          <cell r="AO330" t="str">
            <v>ホテルプラザ勝川　合計</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row>
        <row r="331">
          <cell r="AP331">
            <v>0</v>
          </cell>
          <cell r="AQ331">
            <v>0</v>
          </cell>
          <cell r="AR331">
            <v>0</v>
          </cell>
          <cell r="AS331">
            <v>0</v>
          </cell>
          <cell r="AT331">
            <v>0</v>
          </cell>
          <cell r="AU331">
            <v>0</v>
          </cell>
          <cell r="AV331">
            <v>0</v>
          </cell>
          <cell r="AW331">
            <v>0</v>
          </cell>
          <cell r="AX331">
            <v>0</v>
          </cell>
          <cell r="AY331">
            <v>0</v>
          </cell>
          <cell r="AZ331">
            <v>187</v>
          </cell>
          <cell r="BA331">
            <v>187</v>
          </cell>
          <cell r="BB331">
            <v>187</v>
          </cell>
          <cell r="BC331">
            <v>187</v>
          </cell>
          <cell r="BD331">
            <v>187</v>
          </cell>
          <cell r="BE331">
            <v>187</v>
          </cell>
          <cell r="BF331">
            <v>187</v>
          </cell>
          <cell r="BG331">
            <v>187</v>
          </cell>
          <cell r="BH331">
            <v>187</v>
          </cell>
          <cell r="BI331">
            <v>187</v>
          </cell>
          <cell r="BJ331">
            <v>187</v>
          </cell>
          <cell r="BK331">
            <v>187</v>
          </cell>
          <cell r="BL331">
            <v>187</v>
          </cell>
          <cell r="BM331">
            <v>187</v>
          </cell>
          <cell r="BN331">
            <v>187</v>
          </cell>
          <cell r="BO331">
            <v>187</v>
          </cell>
          <cell r="BP331">
            <v>187</v>
          </cell>
          <cell r="BQ331">
            <v>187</v>
          </cell>
          <cell r="BR331">
            <v>187</v>
          </cell>
          <cell r="BS331">
            <v>187</v>
          </cell>
          <cell r="BT331">
            <v>187</v>
          </cell>
          <cell r="BU331">
            <v>0</v>
          </cell>
          <cell r="BV331">
            <v>0</v>
          </cell>
          <cell r="BW331">
            <v>0</v>
          </cell>
          <cell r="BX331">
            <v>0</v>
          </cell>
        </row>
        <row r="332">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row>
        <row r="333">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row>
        <row r="334">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row>
        <row r="335">
          <cell r="AO335" t="str">
            <v>ルートイングランティア小牧　合計</v>
          </cell>
          <cell r="AP335">
            <v>0</v>
          </cell>
          <cell r="AQ335">
            <v>0</v>
          </cell>
          <cell r="AR335">
            <v>0</v>
          </cell>
          <cell r="AS335">
            <v>0</v>
          </cell>
          <cell r="AT335">
            <v>0</v>
          </cell>
          <cell r="AU335">
            <v>0</v>
          </cell>
          <cell r="AV335">
            <v>0</v>
          </cell>
          <cell r="AW335">
            <v>0</v>
          </cell>
          <cell r="AX335">
            <v>0</v>
          </cell>
          <cell r="AY335">
            <v>0</v>
          </cell>
          <cell r="AZ335">
            <v>187</v>
          </cell>
          <cell r="BA335">
            <v>187</v>
          </cell>
          <cell r="BB335">
            <v>187</v>
          </cell>
          <cell r="BC335">
            <v>187</v>
          </cell>
          <cell r="BD335">
            <v>187</v>
          </cell>
          <cell r="BE335">
            <v>187</v>
          </cell>
          <cell r="BF335">
            <v>187</v>
          </cell>
          <cell r="BG335">
            <v>187</v>
          </cell>
          <cell r="BH335">
            <v>187</v>
          </cell>
          <cell r="BI335">
            <v>187</v>
          </cell>
          <cell r="BJ335">
            <v>187</v>
          </cell>
          <cell r="BK335">
            <v>187</v>
          </cell>
          <cell r="BL335">
            <v>187</v>
          </cell>
          <cell r="BM335">
            <v>187</v>
          </cell>
          <cell r="BN335">
            <v>187</v>
          </cell>
          <cell r="BO335">
            <v>187</v>
          </cell>
          <cell r="BP335">
            <v>187</v>
          </cell>
          <cell r="BQ335">
            <v>187</v>
          </cell>
          <cell r="BR335">
            <v>187</v>
          </cell>
          <cell r="BS335">
            <v>187</v>
          </cell>
          <cell r="BT335">
            <v>187</v>
          </cell>
          <cell r="BU335">
            <v>0</v>
          </cell>
          <cell r="BV335">
            <v>0</v>
          </cell>
          <cell r="BW335">
            <v>0</v>
          </cell>
          <cell r="BX335">
            <v>0</v>
          </cell>
        </row>
        <row r="336">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row>
        <row r="337">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row>
        <row r="338">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cell r="BM338">
            <v>0</v>
          </cell>
          <cell r="BN338">
            <v>0</v>
          </cell>
          <cell r="BO338">
            <v>0</v>
          </cell>
          <cell r="BP338">
            <v>0</v>
          </cell>
          <cell r="BQ338">
            <v>0</v>
          </cell>
          <cell r="BR338">
            <v>0</v>
          </cell>
          <cell r="BS338">
            <v>0</v>
          </cell>
          <cell r="BT338">
            <v>0</v>
          </cell>
          <cell r="BU338">
            <v>0</v>
          </cell>
          <cell r="BV338">
            <v>0</v>
          </cell>
          <cell r="BW338">
            <v>0</v>
          </cell>
          <cell r="BX338">
            <v>0</v>
          </cell>
        </row>
        <row r="339">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row>
        <row r="340">
          <cell r="AO340" t="str">
            <v>名鉄小牧ホテル　合計</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row>
        <row r="341">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row>
        <row r="342">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row>
        <row r="343">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cell r="BM343">
            <v>0</v>
          </cell>
          <cell r="BN343">
            <v>0</v>
          </cell>
          <cell r="BO343">
            <v>0</v>
          </cell>
          <cell r="BP343">
            <v>0</v>
          </cell>
          <cell r="BQ343">
            <v>0</v>
          </cell>
          <cell r="BR343">
            <v>0</v>
          </cell>
          <cell r="BS343">
            <v>0</v>
          </cell>
          <cell r="BT343">
            <v>0</v>
          </cell>
          <cell r="BU343">
            <v>0</v>
          </cell>
          <cell r="BV343">
            <v>0</v>
          </cell>
          <cell r="BW343">
            <v>0</v>
          </cell>
          <cell r="BX343">
            <v>0</v>
          </cell>
        </row>
        <row r="344">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0</v>
          </cell>
          <cell r="BP344">
            <v>0</v>
          </cell>
          <cell r="BQ344">
            <v>0</v>
          </cell>
          <cell r="BR344">
            <v>0</v>
          </cell>
          <cell r="BS344">
            <v>0</v>
          </cell>
          <cell r="BT344">
            <v>0</v>
          </cell>
          <cell r="BU344">
            <v>0</v>
          </cell>
          <cell r="BV344">
            <v>0</v>
          </cell>
          <cell r="BW344">
            <v>0</v>
          </cell>
          <cell r="BX344">
            <v>0</v>
          </cell>
        </row>
        <row r="345">
          <cell r="AO345" t="str">
            <v>ホテルルートイン尾張瀬戸駅前　合計</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O345">
            <v>0</v>
          </cell>
          <cell r="BP345">
            <v>0</v>
          </cell>
          <cell r="BQ345">
            <v>0</v>
          </cell>
          <cell r="BR345">
            <v>0</v>
          </cell>
          <cell r="BS345">
            <v>0</v>
          </cell>
          <cell r="BT345">
            <v>0</v>
          </cell>
          <cell r="BU345">
            <v>0</v>
          </cell>
          <cell r="BV345">
            <v>0</v>
          </cell>
          <cell r="BW345">
            <v>0</v>
          </cell>
          <cell r="BX345">
            <v>0</v>
          </cell>
        </row>
        <row r="346">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row>
        <row r="347">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cell r="BM347">
            <v>0</v>
          </cell>
          <cell r="BN347">
            <v>0</v>
          </cell>
          <cell r="BO347">
            <v>0</v>
          </cell>
          <cell r="BP347">
            <v>0</v>
          </cell>
          <cell r="BQ347">
            <v>0</v>
          </cell>
          <cell r="BR347">
            <v>0</v>
          </cell>
          <cell r="BS347">
            <v>0</v>
          </cell>
          <cell r="BT347">
            <v>0</v>
          </cell>
          <cell r="BU347">
            <v>0</v>
          </cell>
          <cell r="BV347">
            <v>0</v>
          </cell>
          <cell r="BW347">
            <v>0</v>
          </cell>
          <cell r="BX347">
            <v>0</v>
          </cell>
        </row>
        <row r="348">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0</v>
          </cell>
          <cell r="BP348">
            <v>0</v>
          </cell>
          <cell r="BQ348">
            <v>0</v>
          </cell>
          <cell r="BR348">
            <v>0</v>
          </cell>
          <cell r="BS348">
            <v>0</v>
          </cell>
          <cell r="BT348">
            <v>0</v>
          </cell>
          <cell r="BU348">
            <v>0</v>
          </cell>
          <cell r="BV348">
            <v>0</v>
          </cell>
          <cell r="BW348">
            <v>0</v>
          </cell>
          <cell r="BX348">
            <v>0</v>
          </cell>
        </row>
        <row r="349">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v>
          </cell>
          <cell r="BT349">
            <v>0</v>
          </cell>
          <cell r="BU349">
            <v>0</v>
          </cell>
          <cell r="BV349">
            <v>0</v>
          </cell>
          <cell r="BW349">
            <v>0</v>
          </cell>
          <cell r="BX349">
            <v>0</v>
          </cell>
        </row>
        <row r="350">
          <cell r="AO350" t="str">
            <v>ホテルルートイン愛知東郷町　合計</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v>
          </cell>
          <cell r="BT350">
            <v>0</v>
          </cell>
          <cell r="BU350">
            <v>0</v>
          </cell>
          <cell r="BV350">
            <v>0</v>
          </cell>
          <cell r="BW350">
            <v>0</v>
          </cell>
          <cell r="BX350">
            <v>0</v>
          </cell>
        </row>
        <row r="351">
          <cell r="AP351">
            <v>0</v>
          </cell>
          <cell r="AQ351">
            <v>0</v>
          </cell>
          <cell r="AR351">
            <v>0</v>
          </cell>
          <cell r="AS351">
            <v>0</v>
          </cell>
          <cell r="AT351">
            <v>0</v>
          </cell>
          <cell r="AU351">
            <v>0</v>
          </cell>
          <cell r="AV351">
            <v>0</v>
          </cell>
          <cell r="AW351">
            <v>0</v>
          </cell>
          <cell r="AX351">
            <v>0</v>
          </cell>
          <cell r="AY351">
            <v>0</v>
          </cell>
          <cell r="AZ351">
            <v>0</v>
          </cell>
          <cell r="BA351">
            <v>135</v>
          </cell>
          <cell r="BB351">
            <v>135</v>
          </cell>
          <cell r="BC351">
            <v>135</v>
          </cell>
          <cell r="BD351">
            <v>135</v>
          </cell>
          <cell r="BE351">
            <v>135</v>
          </cell>
          <cell r="BF351">
            <v>135</v>
          </cell>
          <cell r="BG351">
            <v>135</v>
          </cell>
          <cell r="BH351">
            <v>135</v>
          </cell>
          <cell r="BI351">
            <v>135</v>
          </cell>
          <cell r="BJ351">
            <v>135</v>
          </cell>
          <cell r="BK351">
            <v>135</v>
          </cell>
          <cell r="BL351">
            <v>135</v>
          </cell>
          <cell r="BM351">
            <v>135</v>
          </cell>
          <cell r="BN351">
            <v>135</v>
          </cell>
          <cell r="BO351">
            <v>135</v>
          </cell>
          <cell r="BP351">
            <v>135</v>
          </cell>
          <cell r="BQ351">
            <v>135</v>
          </cell>
          <cell r="BR351">
            <v>135</v>
          </cell>
          <cell r="BS351">
            <v>135</v>
          </cell>
          <cell r="BT351">
            <v>135</v>
          </cell>
          <cell r="BU351">
            <v>0</v>
          </cell>
          <cell r="BV351">
            <v>0</v>
          </cell>
          <cell r="BW351">
            <v>0</v>
          </cell>
          <cell r="BX351">
            <v>0</v>
          </cell>
        </row>
        <row r="352">
          <cell r="AP352">
            <v>0</v>
          </cell>
          <cell r="AQ352">
            <v>0</v>
          </cell>
          <cell r="AR352">
            <v>0</v>
          </cell>
          <cell r="AS352">
            <v>0</v>
          </cell>
          <cell r="AT352">
            <v>0</v>
          </cell>
          <cell r="AU352">
            <v>0</v>
          </cell>
          <cell r="AV352">
            <v>0</v>
          </cell>
          <cell r="AW352">
            <v>0</v>
          </cell>
          <cell r="AX352">
            <v>0</v>
          </cell>
          <cell r="AY352">
            <v>0</v>
          </cell>
          <cell r="AZ352">
            <v>0</v>
          </cell>
          <cell r="BA352">
            <v>101</v>
          </cell>
          <cell r="BB352">
            <v>101</v>
          </cell>
          <cell r="BC352">
            <v>101</v>
          </cell>
          <cell r="BD352">
            <v>101</v>
          </cell>
          <cell r="BE352">
            <v>101</v>
          </cell>
          <cell r="BF352">
            <v>101</v>
          </cell>
          <cell r="BG352">
            <v>101</v>
          </cell>
          <cell r="BH352">
            <v>101</v>
          </cell>
          <cell r="BI352">
            <v>101</v>
          </cell>
          <cell r="BJ352">
            <v>101</v>
          </cell>
          <cell r="BK352">
            <v>101</v>
          </cell>
          <cell r="BL352">
            <v>101</v>
          </cell>
          <cell r="BM352">
            <v>101</v>
          </cell>
          <cell r="BN352">
            <v>101</v>
          </cell>
          <cell r="BO352">
            <v>101</v>
          </cell>
          <cell r="BP352">
            <v>101</v>
          </cell>
          <cell r="BQ352">
            <v>101</v>
          </cell>
          <cell r="BR352">
            <v>101</v>
          </cell>
          <cell r="BS352">
            <v>101</v>
          </cell>
          <cell r="BT352">
            <v>101</v>
          </cell>
          <cell r="BU352">
            <v>0</v>
          </cell>
          <cell r="BV352">
            <v>0</v>
          </cell>
          <cell r="BW352">
            <v>0</v>
          </cell>
          <cell r="BX352">
            <v>0</v>
          </cell>
        </row>
        <row r="353">
          <cell r="AP353">
            <v>0</v>
          </cell>
          <cell r="AQ353">
            <v>0</v>
          </cell>
          <cell r="AR353">
            <v>0</v>
          </cell>
          <cell r="AS353">
            <v>0</v>
          </cell>
          <cell r="AT353">
            <v>0</v>
          </cell>
          <cell r="AU353">
            <v>187</v>
          </cell>
          <cell r="AV353">
            <v>187</v>
          </cell>
          <cell r="AW353">
            <v>187</v>
          </cell>
          <cell r="AX353">
            <v>187</v>
          </cell>
          <cell r="AY353">
            <v>187</v>
          </cell>
          <cell r="AZ353">
            <v>187</v>
          </cell>
          <cell r="BA353">
            <v>187</v>
          </cell>
          <cell r="BB353">
            <v>187</v>
          </cell>
          <cell r="BC353">
            <v>187</v>
          </cell>
          <cell r="BD353">
            <v>187</v>
          </cell>
          <cell r="BE353">
            <v>187</v>
          </cell>
          <cell r="BF353">
            <v>187</v>
          </cell>
          <cell r="BG353">
            <v>187</v>
          </cell>
          <cell r="BH353">
            <v>187</v>
          </cell>
          <cell r="BI353">
            <v>187</v>
          </cell>
          <cell r="BJ353">
            <v>187</v>
          </cell>
          <cell r="BK353">
            <v>187</v>
          </cell>
          <cell r="BL353">
            <v>187</v>
          </cell>
          <cell r="BM353">
            <v>187</v>
          </cell>
          <cell r="BN353">
            <v>187</v>
          </cell>
          <cell r="BO353">
            <v>187</v>
          </cell>
          <cell r="BP353">
            <v>187</v>
          </cell>
          <cell r="BQ353">
            <v>187</v>
          </cell>
          <cell r="BR353">
            <v>187</v>
          </cell>
          <cell r="BS353">
            <v>187</v>
          </cell>
          <cell r="BT353">
            <v>187</v>
          </cell>
          <cell r="BU353">
            <v>0</v>
          </cell>
          <cell r="BV353">
            <v>0</v>
          </cell>
          <cell r="BW353">
            <v>0</v>
          </cell>
          <cell r="BX353">
            <v>0</v>
          </cell>
        </row>
        <row r="354">
          <cell r="AP354">
            <v>0</v>
          </cell>
          <cell r="AQ354">
            <v>0</v>
          </cell>
          <cell r="AR354">
            <v>0</v>
          </cell>
          <cell r="AS354">
            <v>0</v>
          </cell>
          <cell r="AT354">
            <v>0</v>
          </cell>
          <cell r="AU354">
            <v>187</v>
          </cell>
          <cell r="AV354">
            <v>187</v>
          </cell>
          <cell r="AW354">
            <v>187</v>
          </cell>
          <cell r="AX354">
            <v>187</v>
          </cell>
          <cell r="AY354">
            <v>187</v>
          </cell>
          <cell r="AZ354">
            <v>187</v>
          </cell>
          <cell r="BA354">
            <v>187</v>
          </cell>
          <cell r="BB354">
            <v>187</v>
          </cell>
          <cell r="BC354">
            <v>187</v>
          </cell>
          <cell r="BD354">
            <v>187</v>
          </cell>
          <cell r="BE354">
            <v>187</v>
          </cell>
          <cell r="BF354">
            <v>187</v>
          </cell>
          <cell r="BG354">
            <v>187</v>
          </cell>
          <cell r="BH354">
            <v>187</v>
          </cell>
          <cell r="BI354">
            <v>187</v>
          </cell>
          <cell r="BJ354">
            <v>187</v>
          </cell>
          <cell r="BK354">
            <v>187</v>
          </cell>
          <cell r="BL354">
            <v>187</v>
          </cell>
          <cell r="BM354">
            <v>187</v>
          </cell>
          <cell r="BN354">
            <v>187</v>
          </cell>
          <cell r="BO354">
            <v>187</v>
          </cell>
          <cell r="BP354">
            <v>187</v>
          </cell>
          <cell r="BQ354">
            <v>187</v>
          </cell>
          <cell r="BR354">
            <v>187</v>
          </cell>
          <cell r="BS354">
            <v>187</v>
          </cell>
          <cell r="BT354">
            <v>187</v>
          </cell>
          <cell r="BU354">
            <v>0</v>
          </cell>
          <cell r="BV354">
            <v>0</v>
          </cell>
          <cell r="BW354">
            <v>0</v>
          </cell>
          <cell r="BX354">
            <v>0</v>
          </cell>
        </row>
        <row r="355">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row>
        <row r="356">
          <cell r="AP356">
            <v>0</v>
          </cell>
          <cell r="AQ356">
            <v>0</v>
          </cell>
          <cell r="AR356">
            <v>0</v>
          </cell>
          <cell r="AS356">
            <v>0</v>
          </cell>
          <cell r="AT356">
            <v>0</v>
          </cell>
          <cell r="AU356">
            <v>0</v>
          </cell>
          <cell r="AV356">
            <v>0</v>
          </cell>
          <cell r="AW356">
            <v>0</v>
          </cell>
          <cell r="AX356">
            <v>0</v>
          </cell>
          <cell r="AY356">
            <v>0</v>
          </cell>
          <cell r="AZ356">
            <v>0</v>
          </cell>
          <cell r="BA356">
            <v>0</v>
          </cell>
          <cell r="BB356">
            <v>269</v>
          </cell>
          <cell r="BC356">
            <v>269</v>
          </cell>
          <cell r="BD356">
            <v>269</v>
          </cell>
          <cell r="BE356">
            <v>269</v>
          </cell>
          <cell r="BF356">
            <v>269</v>
          </cell>
          <cell r="BG356">
            <v>269</v>
          </cell>
          <cell r="BH356">
            <v>269</v>
          </cell>
          <cell r="BI356">
            <v>269</v>
          </cell>
          <cell r="BJ356">
            <v>269</v>
          </cell>
          <cell r="BK356">
            <v>269</v>
          </cell>
          <cell r="BL356">
            <v>269</v>
          </cell>
          <cell r="BM356">
            <v>269</v>
          </cell>
          <cell r="BN356">
            <v>269</v>
          </cell>
          <cell r="BO356">
            <v>269</v>
          </cell>
          <cell r="BP356">
            <v>269</v>
          </cell>
          <cell r="BQ356">
            <v>269</v>
          </cell>
          <cell r="BR356">
            <v>269</v>
          </cell>
          <cell r="BS356">
            <v>269</v>
          </cell>
          <cell r="BT356">
            <v>269</v>
          </cell>
          <cell r="BU356">
            <v>0</v>
          </cell>
          <cell r="BV356">
            <v>0</v>
          </cell>
          <cell r="BW356">
            <v>0</v>
          </cell>
          <cell r="BX356">
            <v>0</v>
          </cell>
        </row>
        <row r="357">
          <cell r="AP357">
            <v>0</v>
          </cell>
          <cell r="AQ357">
            <v>0</v>
          </cell>
          <cell r="AR357">
            <v>0</v>
          </cell>
          <cell r="AS357">
            <v>0</v>
          </cell>
          <cell r="AT357">
            <v>0</v>
          </cell>
          <cell r="AU357">
            <v>0</v>
          </cell>
          <cell r="AV357">
            <v>0</v>
          </cell>
          <cell r="AW357">
            <v>0</v>
          </cell>
          <cell r="AX357">
            <v>0</v>
          </cell>
          <cell r="AY357">
            <v>0</v>
          </cell>
          <cell r="AZ357">
            <v>0</v>
          </cell>
          <cell r="BA357">
            <v>62</v>
          </cell>
          <cell r="BB357">
            <v>62</v>
          </cell>
          <cell r="BC357">
            <v>62</v>
          </cell>
          <cell r="BD357">
            <v>62</v>
          </cell>
          <cell r="BE357">
            <v>62</v>
          </cell>
          <cell r="BF357">
            <v>62</v>
          </cell>
          <cell r="BG357">
            <v>62</v>
          </cell>
          <cell r="BH357">
            <v>62</v>
          </cell>
          <cell r="BI357">
            <v>62</v>
          </cell>
          <cell r="BJ357">
            <v>62</v>
          </cell>
          <cell r="BK357">
            <v>62</v>
          </cell>
          <cell r="BL357">
            <v>62</v>
          </cell>
          <cell r="BM357">
            <v>62</v>
          </cell>
          <cell r="BN357">
            <v>62</v>
          </cell>
          <cell r="BO357">
            <v>62</v>
          </cell>
          <cell r="BP357">
            <v>62</v>
          </cell>
          <cell r="BQ357">
            <v>62</v>
          </cell>
          <cell r="BR357">
            <v>62</v>
          </cell>
          <cell r="BS357">
            <v>62</v>
          </cell>
          <cell r="BT357">
            <v>62</v>
          </cell>
          <cell r="BU357">
            <v>0</v>
          </cell>
          <cell r="BV357">
            <v>0</v>
          </cell>
          <cell r="BW357">
            <v>0</v>
          </cell>
          <cell r="BX357">
            <v>0</v>
          </cell>
        </row>
        <row r="358">
          <cell r="AP358">
            <v>0</v>
          </cell>
          <cell r="AQ358">
            <v>0</v>
          </cell>
          <cell r="AR358">
            <v>0</v>
          </cell>
          <cell r="AS358">
            <v>0</v>
          </cell>
          <cell r="AT358">
            <v>0</v>
          </cell>
          <cell r="AU358">
            <v>0</v>
          </cell>
          <cell r="AV358">
            <v>0</v>
          </cell>
          <cell r="AW358">
            <v>0</v>
          </cell>
          <cell r="AX358">
            <v>0</v>
          </cell>
          <cell r="AY358">
            <v>0</v>
          </cell>
          <cell r="AZ358">
            <v>0</v>
          </cell>
          <cell r="BA358">
            <v>52</v>
          </cell>
          <cell r="BB358">
            <v>52</v>
          </cell>
          <cell r="BC358">
            <v>52</v>
          </cell>
          <cell r="BD358">
            <v>52</v>
          </cell>
          <cell r="BE358">
            <v>52</v>
          </cell>
          <cell r="BF358">
            <v>52</v>
          </cell>
          <cell r="BG358">
            <v>52</v>
          </cell>
          <cell r="BH358">
            <v>52</v>
          </cell>
          <cell r="BI358">
            <v>52</v>
          </cell>
          <cell r="BJ358">
            <v>52</v>
          </cell>
          <cell r="BK358">
            <v>52</v>
          </cell>
          <cell r="BL358">
            <v>52</v>
          </cell>
          <cell r="BM358">
            <v>52</v>
          </cell>
          <cell r="BN358">
            <v>52</v>
          </cell>
          <cell r="BO358">
            <v>52</v>
          </cell>
          <cell r="BP358">
            <v>52</v>
          </cell>
          <cell r="BQ358">
            <v>52</v>
          </cell>
          <cell r="BR358">
            <v>52</v>
          </cell>
          <cell r="BS358">
            <v>52</v>
          </cell>
          <cell r="BT358">
            <v>52</v>
          </cell>
          <cell r="BU358">
            <v>0</v>
          </cell>
          <cell r="BV358">
            <v>0</v>
          </cell>
          <cell r="BW358">
            <v>0</v>
          </cell>
          <cell r="BX358">
            <v>0</v>
          </cell>
        </row>
        <row r="359">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134</v>
          </cell>
          <cell r="BH359">
            <v>134</v>
          </cell>
          <cell r="BI359">
            <v>134</v>
          </cell>
          <cell r="BJ359">
            <v>134</v>
          </cell>
          <cell r="BK359">
            <v>134</v>
          </cell>
          <cell r="BL359">
            <v>134</v>
          </cell>
          <cell r="BM359">
            <v>134</v>
          </cell>
          <cell r="BN359">
            <v>134</v>
          </cell>
          <cell r="BO359">
            <v>134</v>
          </cell>
          <cell r="BP359">
            <v>134</v>
          </cell>
          <cell r="BQ359">
            <v>0</v>
          </cell>
          <cell r="BR359">
            <v>0</v>
          </cell>
          <cell r="BS359">
            <v>0</v>
          </cell>
          <cell r="BT359">
            <v>0</v>
          </cell>
          <cell r="BU359">
            <v>0</v>
          </cell>
          <cell r="BV359">
            <v>0</v>
          </cell>
          <cell r="BW359">
            <v>0</v>
          </cell>
          <cell r="BX359">
            <v>0</v>
          </cell>
        </row>
        <row r="360">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row>
        <row r="361">
          <cell r="AP361">
            <v>0</v>
          </cell>
          <cell r="AQ361">
            <v>0</v>
          </cell>
          <cell r="AR361">
            <v>0</v>
          </cell>
          <cell r="AS361">
            <v>0</v>
          </cell>
          <cell r="AT361">
            <v>0</v>
          </cell>
          <cell r="AU361">
            <v>0</v>
          </cell>
          <cell r="AV361">
            <v>0</v>
          </cell>
          <cell r="AW361">
            <v>0</v>
          </cell>
          <cell r="AX361">
            <v>0</v>
          </cell>
          <cell r="AY361">
            <v>0</v>
          </cell>
          <cell r="AZ361">
            <v>0</v>
          </cell>
          <cell r="BA361">
            <v>0</v>
          </cell>
          <cell r="BB361">
            <v>36</v>
          </cell>
          <cell r="BC361">
            <v>36</v>
          </cell>
          <cell r="BD361">
            <v>36</v>
          </cell>
          <cell r="BE361">
            <v>36</v>
          </cell>
          <cell r="BF361">
            <v>36</v>
          </cell>
          <cell r="BG361">
            <v>36</v>
          </cell>
          <cell r="BH361">
            <v>36</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row>
        <row r="362">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cell r="BM362">
            <v>0</v>
          </cell>
          <cell r="BN362">
            <v>0</v>
          </cell>
          <cell r="BO362">
            <v>0</v>
          </cell>
          <cell r="BP362">
            <v>13</v>
          </cell>
          <cell r="BQ362">
            <v>13</v>
          </cell>
          <cell r="BR362">
            <v>13</v>
          </cell>
          <cell r="BS362">
            <v>13</v>
          </cell>
          <cell r="BT362">
            <v>13</v>
          </cell>
          <cell r="BU362">
            <v>13</v>
          </cell>
          <cell r="BV362">
            <v>0</v>
          </cell>
          <cell r="BW362">
            <v>0</v>
          </cell>
          <cell r="BX362">
            <v>0</v>
          </cell>
        </row>
        <row r="363">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row>
        <row r="364">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row>
        <row r="365">
          <cell r="AO365" t="str">
            <v>東横INN中部国際空港２　合計</v>
          </cell>
          <cell r="AP365">
            <v>0</v>
          </cell>
          <cell r="AQ365">
            <v>0</v>
          </cell>
          <cell r="AR365">
            <v>0</v>
          </cell>
          <cell r="AS365">
            <v>0</v>
          </cell>
          <cell r="AT365">
            <v>0</v>
          </cell>
          <cell r="AU365">
            <v>374</v>
          </cell>
          <cell r="AV365">
            <v>374</v>
          </cell>
          <cell r="AW365">
            <v>374</v>
          </cell>
          <cell r="AX365">
            <v>374</v>
          </cell>
          <cell r="AY365">
            <v>374</v>
          </cell>
          <cell r="AZ365">
            <v>374</v>
          </cell>
          <cell r="BA365">
            <v>724</v>
          </cell>
          <cell r="BB365">
            <v>1029</v>
          </cell>
          <cell r="BC365">
            <v>1029</v>
          </cell>
          <cell r="BD365">
            <v>1029</v>
          </cell>
          <cell r="BE365">
            <v>1029</v>
          </cell>
          <cell r="BF365">
            <v>1029</v>
          </cell>
          <cell r="BG365">
            <v>1163</v>
          </cell>
          <cell r="BH365">
            <v>1163</v>
          </cell>
          <cell r="BI365">
            <v>1127</v>
          </cell>
          <cell r="BJ365">
            <v>1127</v>
          </cell>
          <cell r="BK365">
            <v>1127</v>
          </cell>
          <cell r="BL365">
            <v>1127</v>
          </cell>
          <cell r="BM365">
            <v>1127</v>
          </cell>
          <cell r="BN365">
            <v>1127</v>
          </cell>
          <cell r="BO365">
            <v>1127</v>
          </cell>
          <cell r="BP365">
            <v>1140</v>
          </cell>
          <cell r="BQ365">
            <v>1006</v>
          </cell>
          <cell r="BR365">
            <v>1006</v>
          </cell>
          <cell r="BS365">
            <v>1006</v>
          </cell>
          <cell r="BT365">
            <v>1006</v>
          </cell>
          <cell r="BU365">
            <v>13</v>
          </cell>
          <cell r="BV365">
            <v>0</v>
          </cell>
          <cell r="BW365">
            <v>0</v>
          </cell>
          <cell r="BX365">
            <v>0</v>
          </cell>
        </row>
        <row r="366">
          <cell r="AP366">
            <v>0</v>
          </cell>
          <cell r="AQ366">
            <v>0</v>
          </cell>
          <cell r="AR366">
            <v>0</v>
          </cell>
          <cell r="AS366">
            <v>0</v>
          </cell>
          <cell r="AT366">
            <v>0</v>
          </cell>
          <cell r="AU366">
            <v>0</v>
          </cell>
          <cell r="AV366">
            <v>0</v>
          </cell>
          <cell r="AW366">
            <v>0</v>
          </cell>
          <cell r="AX366">
            <v>0</v>
          </cell>
          <cell r="AY366">
            <v>0</v>
          </cell>
          <cell r="AZ366">
            <v>0</v>
          </cell>
          <cell r="BA366">
            <v>0</v>
          </cell>
          <cell r="BB366">
            <v>125</v>
          </cell>
          <cell r="BC366">
            <v>125</v>
          </cell>
          <cell r="BD366">
            <v>125</v>
          </cell>
          <cell r="BE366">
            <v>125</v>
          </cell>
          <cell r="BF366">
            <v>125</v>
          </cell>
          <cell r="BG366">
            <v>125</v>
          </cell>
          <cell r="BH366">
            <v>125</v>
          </cell>
          <cell r="BI366">
            <v>125</v>
          </cell>
          <cell r="BJ366">
            <v>125</v>
          </cell>
          <cell r="BK366">
            <v>125</v>
          </cell>
          <cell r="BL366">
            <v>125</v>
          </cell>
          <cell r="BM366">
            <v>0</v>
          </cell>
          <cell r="BN366">
            <v>0</v>
          </cell>
          <cell r="BO366">
            <v>0</v>
          </cell>
          <cell r="BP366">
            <v>0</v>
          </cell>
          <cell r="BQ366">
            <v>0</v>
          </cell>
          <cell r="BR366">
            <v>0</v>
          </cell>
          <cell r="BS366">
            <v>0</v>
          </cell>
          <cell r="BT366">
            <v>0</v>
          </cell>
          <cell r="BU366">
            <v>0</v>
          </cell>
          <cell r="BV366">
            <v>0</v>
          </cell>
          <cell r="BW366">
            <v>0</v>
          </cell>
          <cell r="BX366">
            <v>0</v>
          </cell>
        </row>
        <row r="367">
          <cell r="AP367">
            <v>0</v>
          </cell>
          <cell r="AQ367">
            <v>0</v>
          </cell>
          <cell r="AR367">
            <v>0</v>
          </cell>
          <cell r="AS367">
            <v>0</v>
          </cell>
          <cell r="AT367">
            <v>0</v>
          </cell>
          <cell r="AU367">
            <v>0</v>
          </cell>
          <cell r="AV367">
            <v>0</v>
          </cell>
          <cell r="AW367">
            <v>0</v>
          </cell>
          <cell r="AX367">
            <v>0</v>
          </cell>
          <cell r="AY367">
            <v>0</v>
          </cell>
          <cell r="AZ367">
            <v>0</v>
          </cell>
          <cell r="BA367">
            <v>0</v>
          </cell>
          <cell r="BB367">
            <v>94</v>
          </cell>
          <cell r="BC367">
            <v>94</v>
          </cell>
          <cell r="BD367">
            <v>94</v>
          </cell>
          <cell r="BE367">
            <v>94</v>
          </cell>
          <cell r="BF367">
            <v>94</v>
          </cell>
          <cell r="BG367">
            <v>94</v>
          </cell>
          <cell r="BH367">
            <v>94</v>
          </cell>
          <cell r="BI367">
            <v>94</v>
          </cell>
          <cell r="BJ367">
            <v>94</v>
          </cell>
          <cell r="BK367">
            <v>94</v>
          </cell>
          <cell r="BL367">
            <v>94</v>
          </cell>
          <cell r="BM367">
            <v>0</v>
          </cell>
          <cell r="BN367">
            <v>0</v>
          </cell>
          <cell r="BO367">
            <v>0</v>
          </cell>
          <cell r="BP367">
            <v>0</v>
          </cell>
          <cell r="BQ367">
            <v>0</v>
          </cell>
          <cell r="BR367">
            <v>0</v>
          </cell>
          <cell r="BS367">
            <v>0</v>
          </cell>
          <cell r="BT367">
            <v>0</v>
          </cell>
          <cell r="BU367">
            <v>0</v>
          </cell>
          <cell r="BV367">
            <v>0</v>
          </cell>
          <cell r="BW367">
            <v>0</v>
          </cell>
          <cell r="BX367">
            <v>0</v>
          </cell>
        </row>
        <row r="368">
          <cell r="AP368">
            <v>0</v>
          </cell>
          <cell r="AQ368">
            <v>0</v>
          </cell>
          <cell r="AR368">
            <v>0</v>
          </cell>
          <cell r="AS368">
            <v>0</v>
          </cell>
          <cell r="AT368">
            <v>0</v>
          </cell>
          <cell r="AU368">
            <v>0</v>
          </cell>
          <cell r="AV368">
            <v>0</v>
          </cell>
          <cell r="AW368">
            <v>0</v>
          </cell>
          <cell r="AX368">
            <v>0</v>
          </cell>
          <cell r="AY368">
            <v>0</v>
          </cell>
          <cell r="AZ368">
            <v>0</v>
          </cell>
          <cell r="BA368">
            <v>0</v>
          </cell>
          <cell r="BB368">
            <v>113</v>
          </cell>
          <cell r="BC368">
            <v>113</v>
          </cell>
          <cell r="BD368">
            <v>113</v>
          </cell>
          <cell r="BE368">
            <v>113</v>
          </cell>
          <cell r="BF368">
            <v>113</v>
          </cell>
          <cell r="BG368">
            <v>113</v>
          </cell>
          <cell r="BH368">
            <v>113</v>
          </cell>
          <cell r="BI368">
            <v>113</v>
          </cell>
          <cell r="BJ368">
            <v>113</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row>
        <row r="369">
          <cell r="AP369">
            <v>0</v>
          </cell>
          <cell r="AQ369">
            <v>0</v>
          </cell>
          <cell r="AR369">
            <v>0</v>
          </cell>
          <cell r="AS369">
            <v>0</v>
          </cell>
          <cell r="AT369">
            <v>0</v>
          </cell>
          <cell r="AU369">
            <v>0</v>
          </cell>
          <cell r="AV369">
            <v>0</v>
          </cell>
          <cell r="AW369">
            <v>0</v>
          </cell>
          <cell r="AX369">
            <v>0</v>
          </cell>
          <cell r="AY369">
            <v>0</v>
          </cell>
          <cell r="AZ369">
            <v>619</v>
          </cell>
          <cell r="BA369">
            <v>619</v>
          </cell>
          <cell r="BB369">
            <v>619</v>
          </cell>
          <cell r="BC369">
            <v>619</v>
          </cell>
          <cell r="BD369">
            <v>619</v>
          </cell>
          <cell r="BE369">
            <v>619</v>
          </cell>
          <cell r="BF369">
            <v>619</v>
          </cell>
          <cell r="BG369">
            <v>619</v>
          </cell>
          <cell r="BH369">
            <v>619</v>
          </cell>
          <cell r="BI369">
            <v>619</v>
          </cell>
          <cell r="BJ369">
            <v>619</v>
          </cell>
          <cell r="BK369">
            <v>619</v>
          </cell>
          <cell r="BL369">
            <v>619</v>
          </cell>
          <cell r="BM369">
            <v>619</v>
          </cell>
          <cell r="BN369">
            <v>619</v>
          </cell>
          <cell r="BO369">
            <v>619</v>
          </cell>
          <cell r="BP369">
            <v>619</v>
          </cell>
          <cell r="BQ369">
            <v>619</v>
          </cell>
          <cell r="BR369">
            <v>0</v>
          </cell>
          <cell r="BS369">
            <v>0</v>
          </cell>
          <cell r="BT369">
            <v>0</v>
          </cell>
          <cell r="BU369">
            <v>0</v>
          </cell>
          <cell r="BV369">
            <v>0</v>
          </cell>
          <cell r="BW369">
            <v>0</v>
          </cell>
          <cell r="BX369">
            <v>0</v>
          </cell>
        </row>
        <row r="370">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row>
        <row r="371">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row>
        <row r="372">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row>
        <row r="373">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row>
        <row r="374">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row>
        <row r="375">
          <cell r="AO375" t="str">
            <v>東横INN中部国際空港1　合計</v>
          </cell>
          <cell r="AP375">
            <v>0</v>
          </cell>
          <cell r="AQ375">
            <v>0</v>
          </cell>
          <cell r="AR375">
            <v>0</v>
          </cell>
          <cell r="AS375">
            <v>0</v>
          </cell>
          <cell r="AT375">
            <v>0</v>
          </cell>
          <cell r="AU375">
            <v>0</v>
          </cell>
          <cell r="AV375">
            <v>0</v>
          </cell>
          <cell r="AW375">
            <v>0</v>
          </cell>
          <cell r="AX375">
            <v>0</v>
          </cell>
          <cell r="AY375">
            <v>0</v>
          </cell>
          <cell r="AZ375">
            <v>619</v>
          </cell>
          <cell r="BA375">
            <v>619</v>
          </cell>
          <cell r="BB375">
            <v>951</v>
          </cell>
          <cell r="BC375">
            <v>951</v>
          </cell>
          <cell r="BD375">
            <v>951</v>
          </cell>
          <cell r="BE375">
            <v>951</v>
          </cell>
          <cell r="BF375">
            <v>951</v>
          </cell>
          <cell r="BG375">
            <v>951</v>
          </cell>
          <cell r="BH375">
            <v>951</v>
          </cell>
          <cell r="BI375">
            <v>951</v>
          </cell>
          <cell r="BJ375">
            <v>951</v>
          </cell>
          <cell r="BK375">
            <v>838</v>
          </cell>
          <cell r="BL375">
            <v>838</v>
          </cell>
          <cell r="BM375">
            <v>619</v>
          </cell>
          <cell r="BN375">
            <v>619</v>
          </cell>
          <cell r="BO375">
            <v>619</v>
          </cell>
          <cell r="BP375">
            <v>619</v>
          </cell>
          <cell r="BQ375">
            <v>619</v>
          </cell>
          <cell r="BR375">
            <v>0</v>
          </cell>
          <cell r="BS375">
            <v>0</v>
          </cell>
          <cell r="BT375">
            <v>0</v>
          </cell>
          <cell r="BU375">
            <v>0</v>
          </cell>
          <cell r="BV375">
            <v>0</v>
          </cell>
          <cell r="BW375">
            <v>0</v>
          </cell>
          <cell r="BX375">
            <v>0</v>
          </cell>
        </row>
        <row r="376">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49</v>
          </cell>
          <cell r="BH376">
            <v>49</v>
          </cell>
          <cell r="BI376">
            <v>49</v>
          </cell>
          <cell r="BJ376">
            <v>49</v>
          </cell>
          <cell r="BK376">
            <v>49</v>
          </cell>
          <cell r="BL376">
            <v>49</v>
          </cell>
          <cell r="BM376">
            <v>49</v>
          </cell>
          <cell r="BN376">
            <v>49</v>
          </cell>
          <cell r="BO376">
            <v>0</v>
          </cell>
          <cell r="BP376">
            <v>0</v>
          </cell>
          <cell r="BQ376">
            <v>0</v>
          </cell>
          <cell r="BR376">
            <v>0</v>
          </cell>
          <cell r="BS376">
            <v>0</v>
          </cell>
          <cell r="BT376">
            <v>0</v>
          </cell>
          <cell r="BU376">
            <v>0</v>
          </cell>
          <cell r="BV376">
            <v>0</v>
          </cell>
          <cell r="BW376">
            <v>0</v>
          </cell>
          <cell r="BX376">
            <v>0</v>
          </cell>
        </row>
        <row r="377">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147</v>
          </cell>
          <cell r="BH377">
            <v>147</v>
          </cell>
          <cell r="BI377">
            <v>147</v>
          </cell>
          <cell r="BJ377">
            <v>147</v>
          </cell>
          <cell r="BK377">
            <v>147</v>
          </cell>
          <cell r="BL377">
            <v>147</v>
          </cell>
          <cell r="BM377">
            <v>147</v>
          </cell>
          <cell r="BN377">
            <v>147</v>
          </cell>
          <cell r="BO377">
            <v>0</v>
          </cell>
          <cell r="BP377">
            <v>0</v>
          </cell>
          <cell r="BQ377">
            <v>0</v>
          </cell>
          <cell r="BR377">
            <v>0</v>
          </cell>
          <cell r="BS377">
            <v>0</v>
          </cell>
          <cell r="BT377">
            <v>0</v>
          </cell>
          <cell r="BU377">
            <v>0</v>
          </cell>
          <cell r="BV377">
            <v>0</v>
          </cell>
          <cell r="BW377">
            <v>0</v>
          </cell>
          <cell r="BX377">
            <v>0</v>
          </cell>
        </row>
        <row r="378">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177</v>
          </cell>
          <cell r="BG378">
            <v>177</v>
          </cell>
          <cell r="BH378">
            <v>177</v>
          </cell>
          <cell r="BI378">
            <v>177</v>
          </cell>
          <cell r="BJ378">
            <v>177</v>
          </cell>
          <cell r="BK378">
            <v>177</v>
          </cell>
          <cell r="BL378">
            <v>177</v>
          </cell>
          <cell r="BM378">
            <v>177</v>
          </cell>
          <cell r="BN378">
            <v>177</v>
          </cell>
          <cell r="BO378">
            <v>177</v>
          </cell>
          <cell r="BP378">
            <v>177</v>
          </cell>
          <cell r="BQ378">
            <v>0</v>
          </cell>
          <cell r="BR378">
            <v>0</v>
          </cell>
          <cell r="BS378">
            <v>0</v>
          </cell>
          <cell r="BT378">
            <v>0</v>
          </cell>
          <cell r="BU378">
            <v>0</v>
          </cell>
          <cell r="BV378">
            <v>0</v>
          </cell>
          <cell r="BW378">
            <v>0</v>
          </cell>
          <cell r="BX378">
            <v>0</v>
          </cell>
        </row>
        <row r="379">
          <cell r="AP379">
            <v>0</v>
          </cell>
          <cell r="AQ379">
            <v>0</v>
          </cell>
          <cell r="AR379">
            <v>0</v>
          </cell>
          <cell r="AS379">
            <v>0</v>
          </cell>
          <cell r="AT379">
            <v>0</v>
          </cell>
          <cell r="AU379">
            <v>0</v>
          </cell>
          <cell r="AV379">
            <v>0</v>
          </cell>
          <cell r="AW379">
            <v>0</v>
          </cell>
          <cell r="AX379">
            <v>0</v>
          </cell>
          <cell r="AY379">
            <v>36</v>
          </cell>
          <cell r="AZ379">
            <v>36</v>
          </cell>
          <cell r="BA379">
            <v>36</v>
          </cell>
          <cell r="BB379">
            <v>36</v>
          </cell>
          <cell r="BC379">
            <v>36</v>
          </cell>
          <cell r="BD379">
            <v>36</v>
          </cell>
          <cell r="BE379">
            <v>36</v>
          </cell>
          <cell r="BF379">
            <v>36</v>
          </cell>
          <cell r="BG379">
            <v>36</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row>
        <row r="380">
          <cell r="AO380" t="str">
            <v>コンフォートホテル中部国際空港　合計</v>
          </cell>
          <cell r="AP380">
            <v>0</v>
          </cell>
          <cell r="AQ380">
            <v>0</v>
          </cell>
          <cell r="AR380">
            <v>0</v>
          </cell>
          <cell r="AS380">
            <v>0</v>
          </cell>
          <cell r="AT380">
            <v>0</v>
          </cell>
          <cell r="AU380">
            <v>0</v>
          </cell>
          <cell r="AV380">
            <v>0</v>
          </cell>
          <cell r="AW380">
            <v>0</v>
          </cell>
          <cell r="AX380">
            <v>0</v>
          </cell>
          <cell r="AY380">
            <v>36</v>
          </cell>
          <cell r="AZ380">
            <v>36</v>
          </cell>
          <cell r="BA380">
            <v>36</v>
          </cell>
          <cell r="BB380">
            <v>36</v>
          </cell>
          <cell r="BC380">
            <v>36</v>
          </cell>
          <cell r="BD380">
            <v>36</v>
          </cell>
          <cell r="BE380">
            <v>36</v>
          </cell>
          <cell r="BF380">
            <v>213</v>
          </cell>
          <cell r="BG380">
            <v>409</v>
          </cell>
          <cell r="BH380">
            <v>373</v>
          </cell>
          <cell r="BI380">
            <v>373</v>
          </cell>
          <cell r="BJ380">
            <v>373</v>
          </cell>
          <cell r="BK380">
            <v>373</v>
          </cell>
          <cell r="BL380">
            <v>373</v>
          </cell>
          <cell r="BM380">
            <v>373</v>
          </cell>
          <cell r="BN380">
            <v>373</v>
          </cell>
          <cell r="BO380">
            <v>177</v>
          </cell>
          <cell r="BP380">
            <v>177</v>
          </cell>
          <cell r="BQ380">
            <v>0</v>
          </cell>
          <cell r="BR380">
            <v>0</v>
          </cell>
          <cell r="BS380">
            <v>0</v>
          </cell>
          <cell r="BT380">
            <v>0</v>
          </cell>
          <cell r="BU380">
            <v>0</v>
          </cell>
          <cell r="BV380">
            <v>0</v>
          </cell>
          <cell r="BW380">
            <v>0</v>
          </cell>
          <cell r="BX380">
            <v>0</v>
          </cell>
        </row>
        <row r="381">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311</v>
          </cell>
          <cell r="BD381">
            <v>311</v>
          </cell>
          <cell r="BE381">
            <v>311</v>
          </cell>
          <cell r="BF381">
            <v>311</v>
          </cell>
          <cell r="BG381">
            <v>311</v>
          </cell>
          <cell r="BH381">
            <v>311</v>
          </cell>
          <cell r="BI381">
            <v>311</v>
          </cell>
          <cell r="BJ381">
            <v>311</v>
          </cell>
          <cell r="BK381">
            <v>311</v>
          </cell>
          <cell r="BL381">
            <v>311</v>
          </cell>
          <cell r="BM381">
            <v>311</v>
          </cell>
          <cell r="BN381">
            <v>311</v>
          </cell>
          <cell r="BO381">
            <v>0</v>
          </cell>
          <cell r="BP381">
            <v>0</v>
          </cell>
          <cell r="BQ381">
            <v>0</v>
          </cell>
          <cell r="BR381">
            <v>0</v>
          </cell>
          <cell r="BS381">
            <v>0</v>
          </cell>
          <cell r="BT381">
            <v>0</v>
          </cell>
          <cell r="BU381">
            <v>0</v>
          </cell>
          <cell r="BV381">
            <v>0</v>
          </cell>
          <cell r="BW381">
            <v>0</v>
          </cell>
          <cell r="BX381">
            <v>0</v>
          </cell>
        </row>
        <row r="382">
          <cell r="AP382">
            <v>0</v>
          </cell>
          <cell r="AQ382">
            <v>0</v>
          </cell>
          <cell r="AR382">
            <v>0</v>
          </cell>
          <cell r="AS382">
            <v>0</v>
          </cell>
          <cell r="AT382">
            <v>0</v>
          </cell>
          <cell r="AU382">
            <v>0</v>
          </cell>
          <cell r="AV382">
            <v>0</v>
          </cell>
          <cell r="AW382">
            <v>0</v>
          </cell>
          <cell r="AX382">
            <v>0</v>
          </cell>
          <cell r="AY382">
            <v>0</v>
          </cell>
          <cell r="AZ382">
            <v>0</v>
          </cell>
          <cell r="BA382">
            <v>0</v>
          </cell>
          <cell r="BB382">
            <v>60</v>
          </cell>
          <cell r="BC382">
            <v>60</v>
          </cell>
          <cell r="BD382">
            <v>60</v>
          </cell>
          <cell r="BE382">
            <v>60</v>
          </cell>
          <cell r="BF382">
            <v>60</v>
          </cell>
          <cell r="BG382">
            <v>60</v>
          </cell>
          <cell r="BH382">
            <v>60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row>
        <row r="383">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16</v>
          </cell>
          <cell r="BJ383">
            <v>16</v>
          </cell>
          <cell r="BK383">
            <v>16</v>
          </cell>
          <cell r="BL383">
            <v>16</v>
          </cell>
          <cell r="BM383">
            <v>16</v>
          </cell>
          <cell r="BN383">
            <v>16</v>
          </cell>
          <cell r="BO383">
            <v>0</v>
          </cell>
          <cell r="BP383">
            <v>0</v>
          </cell>
          <cell r="BQ383">
            <v>0</v>
          </cell>
          <cell r="BR383">
            <v>0</v>
          </cell>
          <cell r="BS383">
            <v>0</v>
          </cell>
          <cell r="BT383">
            <v>0</v>
          </cell>
          <cell r="BU383">
            <v>0</v>
          </cell>
          <cell r="BV383">
            <v>0</v>
          </cell>
          <cell r="BW383">
            <v>0</v>
          </cell>
          <cell r="BX383">
            <v>0</v>
          </cell>
        </row>
        <row r="384">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38</v>
          </cell>
          <cell r="BJ384">
            <v>38</v>
          </cell>
          <cell r="BK384">
            <v>38</v>
          </cell>
          <cell r="BL384">
            <v>38</v>
          </cell>
          <cell r="BM384">
            <v>38</v>
          </cell>
          <cell r="BN384">
            <v>38</v>
          </cell>
          <cell r="BO384">
            <v>0</v>
          </cell>
          <cell r="BP384">
            <v>0</v>
          </cell>
          <cell r="BQ384">
            <v>0</v>
          </cell>
          <cell r="BR384">
            <v>0</v>
          </cell>
          <cell r="BS384">
            <v>0</v>
          </cell>
          <cell r="BT384">
            <v>0</v>
          </cell>
          <cell r="BU384">
            <v>0</v>
          </cell>
          <cell r="BV384">
            <v>0</v>
          </cell>
          <cell r="BW384">
            <v>0</v>
          </cell>
          <cell r="BX384">
            <v>0</v>
          </cell>
        </row>
        <row r="385">
          <cell r="AO385" t="str">
            <v>フォーポイント　バイ　シェラトン名古屋　中部国際空港　合計</v>
          </cell>
          <cell r="AP385">
            <v>0</v>
          </cell>
          <cell r="AQ385">
            <v>0</v>
          </cell>
          <cell r="AR385">
            <v>0</v>
          </cell>
          <cell r="AS385">
            <v>0</v>
          </cell>
          <cell r="AT385">
            <v>0</v>
          </cell>
          <cell r="AU385">
            <v>0</v>
          </cell>
          <cell r="AV385">
            <v>0</v>
          </cell>
          <cell r="AW385">
            <v>0</v>
          </cell>
          <cell r="AX385">
            <v>0</v>
          </cell>
          <cell r="AY385">
            <v>0</v>
          </cell>
          <cell r="AZ385">
            <v>0</v>
          </cell>
          <cell r="BA385">
            <v>0</v>
          </cell>
          <cell r="BB385">
            <v>60</v>
          </cell>
          <cell r="BC385">
            <v>371</v>
          </cell>
          <cell r="BD385">
            <v>371</v>
          </cell>
          <cell r="BE385">
            <v>371</v>
          </cell>
          <cell r="BF385">
            <v>371</v>
          </cell>
          <cell r="BG385">
            <v>371</v>
          </cell>
          <cell r="BH385">
            <v>371</v>
          </cell>
          <cell r="BI385">
            <v>365</v>
          </cell>
          <cell r="BJ385">
            <v>365</v>
          </cell>
          <cell r="BK385">
            <v>365</v>
          </cell>
          <cell r="BL385">
            <v>365</v>
          </cell>
          <cell r="BM385">
            <v>365</v>
          </cell>
          <cell r="BN385">
            <v>365</v>
          </cell>
          <cell r="BO385">
            <v>0</v>
          </cell>
          <cell r="BP385">
            <v>0</v>
          </cell>
          <cell r="BQ385">
            <v>0</v>
          </cell>
          <cell r="BR385">
            <v>0</v>
          </cell>
          <cell r="BS385">
            <v>0</v>
          </cell>
          <cell r="BT385">
            <v>0</v>
          </cell>
          <cell r="BU385">
            <v>0</v>
          </cell>
          <cell r="BV385">
            <v>0</v>
          </cell>
          <cell r="BW385">
            <v>0</v>
          </cell>
          <cell r="BX385">
            <v>0</v>
          </cell>
        </row>
        <row r="386">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row>
        <row r="387">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row>
        <row r="388">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row>
        <row r="389">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row>
        <row r="390">
          <cell r="AO390" t="str">
            <v>中部国際空港セントレアホテル　合計</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row>
        <row r="391">
          <cell r="AP391">
            <v>0</v>
          </cell>
          <cell r="AQ391">
            <v>0</v>
          </cell>
          <cell r="AR391">
            <v>0</v>
          </cell>
          <cell r="AS391">
            <v>0</v>
          </cell>
          <cell r="AT391">
            <v>0</v>
          </cell>
          <cell r="AU391">
            <v>0</v>
          </cell>
          <cell r="AV391">
            <v>0</v>
          </cell>
          <cell r="AW391">
            <v>0</v>
          </cell>
          <cell r="AX391">
            <v>0</v>
          </cell>
          <cell r="AY391">
            <v>0</v>
          </cell>
          <cell r="AZ391">
            <v>0</v>
          </cell>
          <cell r="BA391">
            <v>0</v>
          </cell>
          <cell r="BB391">
            <v>83</v>
          </cell>
          <cell r="BC391">
            <v>83</v>
          </cell>
          <cell r="BD391">
            <v>83</v>
          </cell>
          <cell r="BE391">
            <v>83</v>
          </cell>
          <cell r="BF391">
            <v>83</v>
          </cell>
          <cell r="BG391">
            <v>83</v>
          </cell>
          <cell r="BH391">
            <v>83</v>
          </cell>
          <cell r="BI391">
            <v>83</v>
          </cell>
          <cell r="BJ391">
            <v>83</v>
          </cell>
          <cell r="BK391">
            <v>83</v>
          </cell>
          <cell r="BL391">
            <v>83</v>
          </cell>
          <cell r="BM391">
            <v>83</v>
          </cell>
          <cell r="BN391">
            <v>0</v>
          </cell>
          <cell r="BO391">
            <v>0</v>
          </cell>
          <cell r="BP391">
            <v>0</v>
          </cell>
          <cell r="BQ391">
            <v>0</v>
          </cell>
          <cell r="BR391">
            <v>0</v>
          </cell>
          <cell r="BS391">
            <v>0</v>
          </cell>
          <cell r="BT391">
            <v>0</v>
          </cell>
          <cell r="BU391">
            <v>0</v>
          </cell>
          <cell r="BV391">
            <v>0</v>
          </cell>
          <cell r="BW391">
            <v>0</v>
          </cell>
          <cell r="BX391">
            <v>0</v>
          </cell>
        </row>
        <row r="392">
          <cell r="AP392">
            <v>0</v>
          </cell>
          <cell r="AQ392">
            <v>0</v>
          </cell>
          <cell r="AR392">
            <v>0</v>
          </cell>
          <cell r="AS392">
            <v>0</v>
          </cell>
          <cell r="AT392">
            <v>0</v>
          </cell>
          <cell r="AU392">
            <v>0</v>
          </cell>
          <cell r="AV392">
            <v>0</v>
          </cell>
          <cell r="AW392">
            <v>0</v>
          </cell>
          <cell r="AX392">
            <v>0</v>
          </cell>
          <cell r="AY392">
            <v>0</v>
          </cell>
          <cell r="AZ392">
            <v>0</v>
          </cell>
          <cell r="BA392">
            <v>0</v>
          </cell>
          <cell r="BB392">
            <v>83</v>
          </cell>
          <cell r="BC392">
            <v>83</v>
          </cell>
          <cell r="BD392">
            <v>83</v>
          </cell>
          <cell r="BE392">
            <v>83</v>
          </cell>
          <cell r="BF392">
            <v>83</v>
          </cell>
          <cell r="BG392">
            <v>83</v>
          </cell>
          <cell r="BH392">
            <v>83</v>
          </cell>
          <cell r="BI392">
            <v>83</v>
          </cell>
          <cell r="BJ392">
            <v>83</v>
          </cell>
          <cell r="BK392">
            <v>83</v>
          </cell>
          <cell r="BL392">
            <v>83</v>
          </cell>
          <cell r="BM392">
            <v>83</v>
          </cell>
          <cell r="BN392">
            <v>0</v>
          </cell>
          <cell r="BO392">
            <v>0</v>
          </cell>
          <cell r="BP392">
            <v>0</v>
          </cell>
          <cell r="BQ392">
            <v>0</v>
          </cell>
          <cell r="BR392">
            <v>0</v>
          </cell>
          <cell r="BS392">
            <v>0</v>
          </cell>
          <cell r="BT392">
            <v>0</v>
          </cell>
          <cell r="BU392">
            <v>0</v>
          </cell>
          <cell r="BV392">
            <v>0</v>
          </cell>
          <cell r="BW392">
            <v>0</v>
          </cell>
          <cell r="BX392">
            <v>0</v>
          </cell>
        </row>
        <row r="393">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row>
        <row r="394">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row>
        <row r="395">
          <cell r="AO395" t="str">
            <v>J・ホテルりんくう　合計</v>
          </cell>
          <cell r="AP395">
            <v>0</v>
          </cell>
          <cell r="AQ395">
            <v>0</v>
          </cell>
          <cell r="AR395">
            <v>0</v>
          </cell>
          <cell r="AS395">
            <v>0</v>
          </cell>
          <cell r="AT395">
            <v>0</v>
          </cell>
          <cell r="AU395">
            <v>0</v>
          </cell>
          <cell r="AV395">
            <v>0</v>
          </cell>
          <cell r="AW395">
            <v>0</v>
          </cell>
          <cell r="AX395">
            <v>0</v>
          </cell>
          <cell r="AY395">
            <v>0</v>
          </cell>
          <cell r="AZ395">
            <v>0</v>
          </cell>
          <cell r="BA395">
            <v>0</v>
          </cell>
          <cell r="BB395">
            <v>166</v>
          </cell>
          <cell r="BC395">
            <v>166</v>
          </cell>
          <cell r="BD395">
            <v>166</v>
          </cell>
          <cell r="BE395">
            <v>166</v>
          </cell>
          <cell r="BF395">
            <v>166</v>
          </cell>
          <cell r="BG395">
            <v>166</v>
          </cell>
          <cell r="BH395">
            <v>166</v>
          </cell>
          <cell r="BI395">
            <v>166</v>
          </cell>
          <cell r="BJ395">
            <v>166</v>
          </cell>
          <cell r="BK395">
            <v>166</v>
          </cell>
          <cell r="BL395">
            <v>166</v>
          </cell>
          <cell r="BM395">
            <v>166</v>
          </cell>
          <cell r="BN395">
            <v>0</v>
          </cell>
          <cell r="BO395">
            <v>0</v>
          </cell>
          <cell r="BP395">
            <v>0</v>
          </cell>
          <cell r="BQ395">
            <v>0</v>
          </cell>
          <cell r="BR395">
            <v>0</v>
          </cell>
          <cell r="BS395">
            <v>0</v>
          </cell>
          <cell r="BT395">
            <v>0</v>
          </cell>
          <cell r="BU395">
            <v>0</v>
          </cell>
          <cell r="BV395">
            <v>0</v>
          </cell>
          <cell r="BW395">
            <v>0</v>
          </cell>
          <cell r="BX395">
            <v>0</v>
          </cell>
        </row>
        <row r="396">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cell r="BX396">
            <v>0</v>
          </cell>
        </row>
        <row r="397">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0</v>
          </cell>
          <cell r="BT397">
            <v>0</v>
          </cell>
          <cell r="BU397">
            <v>0</v>
          </cell>
          <cell r="BV397">
            <v>0</v>
          </cell>
          <cell r="BW397">
            <v>0</v>
          </cell>
          <cell r="BX397">
            <v>0</v>
          </cell>
        </row>
        <row r="398">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0</v>
          </cell>
          <cell r="BT398">
            <v>0</v>
          </cell>
          <cell r="BU398">
            <v>0</v>
          </cell>
          <cell r="BV398">
            <v>0</v>
          </cell>
          <cell r="BW398">
            <v>0</v>
          </cell>
          <cell r="BX398">
            <v>0</v>
          </cell>
        </row>
        <row r="399">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0</v>
          </cell>
        </row>
        <row r="400">
          <cell r="AO400" t="str">
            <v>あいち健康の森　健康科学総合センター　合計</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row>
        <row r="401">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row>
        <row r="402">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cell r="BM402">
            <v>0</v>
          </cell>
          <cell r="BN402">
            <v>0</v>
          </cell>
          <cell r="BO402">
            <v>0</v>
          </cell>
          <cell r="BP402">
            <v>0</v>
          </cell>
          <cell r="BQ402">
            <v>0</v>
          </cell>
          <cell r="BR402">
            <v>0</v>
          </cell>
          <cell r="BS402">
            <v>0</v>
          </cell>
          <cell r="BT402">
            <v>0</v>
          </cell>
          <cell r="BU402">
            <v>0</v>
          </cell>
          <cell r="BV402">
            <v>0</v>
          </cell>
          <cell r="BW402">
            <v>0</v>
          </cell>
          <cell r="BX402">
            <v>0</v>
          </cell>
        </row>
        <row r="403">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0</v>
          </cell>
          <cell r="BT403">
            <v>0</v>
          </cell>
          <cell r="BU403">
            <v>0</v>
          </cell>
          <cell r="BV403">
            <v>0</v>
          </cell>
          <cell r="BW403">
            <v>0</v>
          </cell>
          <cell r="BX403">
            <v>0</v>
          </cell>
        </row>
        <row r="404">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0</v>
          </cell>
          <cell r="BT404">
            <v>0</v>
          </cell>
          <cell r="BU404">
            <v>0</v>
          </cell>
          <cell r="BV404">
            <v>0</v>
          </cell>
          <cell r="BW404">
            <v>0</v>
          </cell>
          <cell r="BX404">
            <v>0</v>
          </cell>
        </row>
        <row r="405">
          <cell r="AO405" t="str">
            <v>マーレホテル東海　合計</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0</v>
          </cell>
          <cell r="BT405">
            <v>0</v>
          </cell>
          <cell r="BU405">
            <v>0</v>
          </cell>
          <cell r="BV405">
            <v>0</v>
          </cell>
          <cell r="BW405">
            <v>0</v>
          </cell>
          <cell r="BX405">
            <v>0</v>
          </cell>
        </row>
        <row r="406">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row>
        <row r="407">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0</v>
          </cell>
          <cell r="BT407">
            <v>0</v>
          </cell>
          <cell r="BU407">
            <v>0</v>
          </cell>
          <cell r="BV407">
            <v>0</v>
          </cell>
          <cell r="BW407">
            <v>0</v>
          </cell>
          <cell r="BX407">
            <v>0</v>
          </cell>
        </row>
        <row r="408">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row>
        <row r="409">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row>
        <row r="410">
          <cell r="AO410" t="str">
            <v>ザ・カトーホテル　合計</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cell r="BX410">
            <v>0</v>
          </cell>
        </row>
        <row r="411">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row>
        <row r="412">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0</v>
          </cell>
        </row>
        <row r="413">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cell r="BX413">
            <v>0</v>
          </cell>
        </row>
        <row r="414">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row>
        <row r="415">
          <cell r="AO415" t="str">
            <v>ルートイングランティア東海Spa &amp; Relaxation　合計</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row>
        <row r="416">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row>
        <row r="417">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row>
        <row r="418">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0</v>
          </cell>
          <cell r="BV418">
            <v>0</v>
          </cell>
          <cell r="BW418">
            <v>0</v>
          </cell>
          <cell r="BX418">
            <v>0</v>
          </cell>
        </row>
        <row r="419">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row>
        <row r="420">
          <cell r="AO420" t="str">
            <v>衣浦グランドホテル　合計</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row>
        <row r="421">
          <cell r="AP421">
            <v>0</v>
          </cell>
          <cell r="AQ421">
            <v>0</v>
          </cell>
          <cell r="AR421">
            <v>0</v>
          </cell>
          <cell r="AS421">
            <v>0</v>
          </cell>
          <cell r="AT421">
            <v>0</v>
          </cell>
          <cell r="AU421">
            <v>0</v>
          </cell>
          <cell r="AV421">
            <v>0</v>
          </cell>
          <cell r="AW421">
            <v>0</v>
          </cell>
          <cell r="AX421">
            <v>0</v>
          </cell>
          <cell r="AY421">
            <v>0</v>
          </cell>
          <cell r="AZ421">
            <v>0</v>
          </cell>
          <cell r="BA421">
            <v>0</v>
          </cell>
          <cell r="BB421">
            <v>140</v>
          </cell>
          <cell r="BC421">
            <v>140</v>
          </cell>
          <cell r="BD421">
            <v>140</v>
          </cell>
          <cell r="BE421">
            <v>140</v>
          </cell>
          <cell r="BF421">
            <v>140</v>
          </cell>
          <cell r="BG421">
            <v>140</v>
          </cell>
          <cell r="BH421">
            <v>140</v>
          </cell>
          <cell r="BI421">
            <v>140</v>
          </cell>
          <cell r="BJ421">
            <v>140</v>
          </cell>
          <cell r="BK421">
            <v>140</v>
          </cell>
          <cell r="BL421">
            <v>140</v>
          </cell>
          <cell r="BM421">
            <v>140</v>
          </cell>
          <cell r="BN421">
            <v>140</v>
          </cell>
          <cell r="BO421">
            <v>140</v>
          </cell>
          <cell r="BP421">
            <v>140</v>
          </cell>
          <cell r="BQ421">
            <v>0</v>
          </cell>
          <cell r="BR421">
            <v>0</v>
          </cell>
          <cell r="BS421">
            <v>0</v>
          </cell>
          <cell r="BT421">
            <v>0</v>
          </cell>
          <cell r="BU421">
            <v>0</v>
          </cell>
          <cell r="BV421">
            <v>0</v>
          </cell>
          <cell r="BW421">
            <v>0</v>
          </cell>
          <cell r="BX421">
            <v>0</v>
          </cell>
        </row>
        <row r="422">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row>
        <row r="423">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row>
        <row r="424">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row>
        <row r="425">
          <cell r="AO425" t="str">
            <v>ホテルグランドティアラ南名古屋　合計</v>
          </cell>
          <cell r="AP425">
            <v>0</v>
          </cell>
          <cell r="AQ425">
            <v>0</v>
          </cell>
          <cell r="AR425">
            <v>0</v>
          </cell>
          <cell r="AS425">
            <v>0</v>
          </cell>
          <cell r="AT425">
            <v>0</v>
          </cell>
          <cell r="AU425">
            <v>0</v>
          </cell>
          <cell r="AV425">
            <v>0</v>
          </cell>
          <cell r="AW425">
            <v>0</v>
          </cell>
          <cell r="AX425">
            <v>0</v>
          </cell>
          <cell r="AY425">
            <v>0</v>
          </cell>
          <cell r="AZ425">
            <v>0</v>
          </cell>
          <cell r="BA425">
            <v>0</v>
          </cell>
          <cell r="BB425">
            <v>140</v>
          </cell>
          <cell r="BC425">
            <v>140</v>
          </cell>
          <cell r="BD425">
            <v>140</v>
          </cell>
          <cell r="BE425">
            <v>140</v>
          </cell>
          <cell r="BF425">
            <v>140</v>
          </cell>
          <cell r="BG425">
            <v>140</v>
          </cell>
          <cell r="BH425">
            <v>140</v>
          </cell>
          <cell r="BI425">
            <v>140</v>
          </cell>
          <cell r="BJ425">
            <v>140</v>
          </cell>
          <cell r="BK425">
            <v>140</v>
          </cell>
          <cell r="BL425">
            <v>140</v>
          </cell>
          <cell r="BM425">
            <v>140</v>
          </cell>
          <cell r="BN425">
            <v>140</v>
          </cell>
          <cell r="BO425">
            <v>140</v>
          </cell>
          <cell r="BP425">
            <v>140</v>
          </cell>
          <cell r="BQ425">
            <v>0</v>
          </cell>
          <cell r="BR425">
            <v>0</v>
          </cell>
          <cell r="BS425">
            <v>0</v>
          </cell>
          <cell r="BT425">
            <v>0</v>
          </cell>
          <cell r="BU425">
            <v>0</v>
          </cell>
          <cell r="BV425">
            <v>0</v>
          </cell>
          <cell r="BW425">
            <v>0</v>
          </cell>
          <cell r="BX425">
            <v>0</v>
          </cell>
        </row>
        <row r="426">
          <cell r="AP426">
            <v>0</v>
          </cell>
          <cell r="AQ426">
            <v>0</v>
          </cell>
          <cell r="AR426">
            <v>0</v>
          </cell>
          <cell r="AS426">
            <v>0</v>
          </cell>
          <cell r="AT426">
            <v>0</v>
          </cell>
          <cell r="AU426">
            <v>0</v>
          </cell>
          <cell r="AV426">
            <v>0</v>
          </cell>
          <cell r="AW426">
            <v>0</v>
          </cell>
          <cell r="AX426">
            <v>0</v>
          </cell>
          <cell r="AY426">
            <v>0</v>
          </cell>
          <cell r="AZ426">
            <v>0</v>
          </cell>
          <cell r="BA426">
            <v>0</v>
          </cell>
          <cell r="BB426">
            <v>215</v>
          </cell>
          <cell r="BC426">
            <v>215</v>
          </cell>
          <cell r="BD426">
            <v>215</v>
          </cell>
          <cell r="BE426">
            <v>215</v>
          </cell>
          <cell r="BF426">
            <v>215</v>
          </cell>
          <cell r="BG426">
            <v>215</v>
          </cell>
          <cell r="BH426">
            <v>215</v>
          </cell>
          <cell r="BI426">
            <v>215</v>
          </cell>
          <cell r="BJ426">
            <v>215</v>
          </cell>
          <cell r="BK426">
            <v>215</v>
          </cell>
          <cell r="BL426">
            <v>215</v>
          </cell>
          <cell r="BM426">
            <v>215</v>
          </cell>
          <cell r="BN426">
            <v>215</v>
          </cell>
          <cell r="BO426">
            <v>215</v>
          </cell>
          <cell r="BP426">
            <v>215</v>
          </cell>
          <cell r="BQ426">
            <v>0</v>
          </cell>
          <cell r="BR426">
            <v>0</v>
          </cell>
          <cell r="BS426">
            <v>0</v>
          </cell>
          <cell r="BT426">
            <v>0</v>
          </cell>
          <cell r="BU426">
            <v>0</v>
          </cell>
          <cell r="BV426">
            <v>0</v>
          </cell>
          <cell r="BW426">
            <v>0</v>
          </cell>
          <cell r="BX426">
            <v>0</v>
          </cell>
        </row>
        <row r="427">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row>
        <row r="428">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row>
        <row r="429">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row>
        <row r="430">
          <cell r="AO430" t="str">
            <v>東横INN三河安城駅新幹線南口２　合計</v>
          </cell>
          <cell r="AP430">
            <v>0</v>
          </cell>
          <cell r="AQ430">
            <v>0</v>
          </cell>
          <cell r="AR430">
            <v>0</v>
          </cell>
          <cell r="AS430">
            <v>0</v>
          </cell>
          <cell r="AT430">
            <v>0</v>
          </cell>
          <cell r="AU430">
            <v>0</v>
          </cell>
          <cell r="AV430">
            <v>0</v>
          </cell>
          <cell r="AW430">
            <v>0</v>
          </cell>
          <cell r="AX430">
            <v>0</v>
          </cell>
          <cell r="AY430">
            <v>0</v>
          </cell>
          <cell r="AZ430">
            <v>0</v>
          </cell>
          <cell r="BA430">
            <v>0</v>
          </cell>
          <cell r="BB430">
            <v>215</v>
          </cell>
          <cell r="BC430">
            <v>215</v>
          </cell>
          <cell r="BD430">
            <v>215</v>
          </cell>
          <cell r="BE430">
            <v>215</v>
          </cell>
          <cell r="BF430">
            <v>215</v>
          </cell>
          <cell r="BG430">
            <v>215</v>
          </cell>
          <cell r="BH430">
            <v>215</v>
          </cell>
          <cell r="BI430">
            <v>215</v>
          </cell>
          <cell r="BJ430">
            <v>215</v>
          </cell>
          <cell r="BK430">
            <v>215</v>
          </cell>
          <cell r="BL430">
            <v>215</v>
          </cell>
          <cell r="BM430">
            <v>215</v>
          </cell>
          <cell r="BN430">
            <v>215</v>
          </cell>
          <cell r="BO430">
            <v>215</v>
          </cell>
          <cell r="BP430">
            <v>215</v>
          </cell>
          <cell r="BQ430">
            <v>0</v>
          </cell>
          <cell r="BR430">
            <v>0</v>
          </cell>
          <cell r="BS430">
            <v>0</v>
          </cell>
          <cell r="BT430">
            <v>0</v>
          </cell>
          <cell r="BU430">
            <v>0</v>
          </cell>
          <cell r="BV430">
            <v>0</v>
          </cell>
          <cell r="BW430">
            <v>0</v>
          </cell>
          <cell r="BX430">
            <v>0</v>
          </cell>
        </row>
        <row r="431">
          <cell r="AP431">
            <v>0</v>
          </cell>
          <cell r="AQ431">
            <v>0</v>
          </cell>
          <cell r="AR431">
            <v>0</v>
          </cell>
          <cell r="AS431">
            <v>0</v>
          </cell>
          <cell r="AT431">
            <v>0</v>
          </cell>
          <cell r="AU431">
            <v>0</v>
          </cell>
          <cell r="AV431">
            <v>0</v>
          </cell>
          <cell r="AW431">
            <v>0</v>
          </cell>
          <cell r="AX431">
            <v>0</v>
          </cell>
          <cell r="AY431">
            <v>0</v>
          </cell>
          <cell r="AZ431">
            <v>0</v>
          </cell>
          <cell r="BA431">
            <v>0</v>
          </cell>
          <cell r="BB431">
            <v>90</v>
          </cell>
          <cell r="BC431">
            <v>90</v>
          </cell>
          <cell r="BD431">
            <v>90</v>
          </cell>
          <cell r="BE431">
            <v>90</v>
          </cell>
          <cell r="BF431">
            <v>90</v>
          </cell>
          <cell r="BG431">
            <v>90</v>
          </cell>
          <cell r="BH431">
            <v>90</v>
          </cell>
          <cell r="BI431">
            <v>90</v>
          </cell>
          <cell r="BJ431">
            <v>90</v>
          </cell>
          <cell r="BK431">
            <v>90</v>
          </cell>
          <cell r="BL431">
            <v>90</v>
          </cell>
          <cell r="BM431">
            <v>90</v>
          </cell>
          <cell r="BN431">
            <v>90</v>
          </cell>
          <cell r="BO431">
            <v>90</v>
          </cell>
          <cell r="BP431">
            <v>90</v>
          </cell>
          <cell r="BQ431">
            <v>0</v>
          </cell>
          <cell r="BR431">
            <v>0</v>
          </cell>
          <cell r="BS431">
            <v>0</v>
          </cell>
          <cell r="BT431">
            <v>0</v>
          </cell>
          <cell r="BU431">
            <v>0</v>
          </cell>
          <cell r="BV431">
            <v>0</v>
          </cell>
          <cell r="BW431">
            <v>0</v>
          </cell>
          <cell r="BX431">
            <v>0</v>
          </cell>
        </row>
        <row r="432">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row>
        <row r="433">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row>
        <row r="434">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row>
        <row r="435">
          <cell r="AO435" t="str">
            <v>東横INN三河安城駅新幹線南口１　合計</v>
          </cell>
          <cell r="AP435">
            <v>0</v>
          </cell>
          <cell r="AQ435">
            <v>0</v>
          </cell>
          <cell r="AR435">
            <v>0</v>
          </cell>
          <cell r="AS435">
            <v>0</v>
          </cell>
          <cell r="AT435">
            <v>0</v>
          </cell>
          <cell r="AU435">
            <v>0</v>
          </cell>
          <cell r="AV435">
            <v>0</v>
          </cell>
          <cell r="AW435">
            <v>0</v>
          </cell>
          <cell r="AX435">
            <v>0</v>
          </cell>
          <cell r="AY435">
            <v>0</v>
          </cell>
          <cell r="AZ435">
            <v>0</v>
          </cell>
          <cell r="BA435">
            <v>0</v>
          </cell>
          <cell r="BB435">
            <v>90</v>
          </cell>
          <cell r="BC435">
            <v>90</v>
          </cell>
          <cell r="BD435">
            <v>90</v>
          </cell>
          <cell r="BE435">
            <v>90</v>
          </cell>
          <cell r="BF435">
            <v>90</v>
          </cell>
          <cell r="BG435">
            <v>90</v>
          </cell>
          <cell r="BH435">
            <v>90</v>
          </cell>
          <cell r="BI435">
            <v>90</v>
          </cell>
          <cell r="BJ435">
            <v>90</v>
          </cell>
          <cell r="BK435">
            <v>90</v>
          </cell>
          <cell r="BL435">
            <v>90</v>
          </cell>
          <cell r="BM435">
            <v>90</v>
          </cell>
          <cell r="BN435">
            <v>90</v>
          </cell>
          <cell r="BO435">
            <v>90</v>
          </cell>
          <cell r="BP435">
            <v>90</v>
          </cell>
          <cell r="BQ435">
            <v>0</v>
          </cell>
          <cell r="BR435">
            <v>0</v>
          </cell>
          <cell r="BS435">
            <v>0</v>
          </cell>
          <cell r="BT435">
            <v>0</v>
          </cell>
          <cell r="BU435">
            <v>0</v>
          </cell>
          <cell r="BV435">
            <v>0</v>
          </cell>
          <cell r="BW435">
            <v>0</v>
          </cell>
          <cell r="BX435">
            <v>0</v>
          </cell>
        </row>
        <row r="436">
          <cell r="AP436">
            <v>0</v>
          </cell>
          <cell r="AQ436">
            <v>0</v>
          </cell>
          <cell r="AR436">
            <v>0</v>
          </cell>
          <cell r="AS436">
            <v>0</v>
          </cell>
          <cell r="AT436">
            <v>0</v>
          </cell>
          <cell r="AU436">
            <v>0</v>
          </cell>
          <cell r="AV436">
            <v>0</v>
          </cell>
          <cell r="AW436">
            <v>0</v>
          </cell>
          <cell r="AX436">
            <v>0</v>
          </cell>
          <cell r="AY436">
            <v>0</v>
          </cell>
          <cell r="AZ436">
            <v>0</v>
          </cell>
          <cell r="BA436">
            <v>0</v>
          </cell>
          <cell r="BB436">
            <v>62</v>
          </cell>
          <cell r="BC436">
            <v>62</v>
          </cell>
          <cell r="BD436">
            <v>62</v>
          </cell>
          <cell r="BE436">
            <v>62</v>
          </cell>
          <cell r="BF436">
            <v>62</v>
          </cell>
          <cell r="BG436">
            <v>62</v>
          </cell>
          <cell r="BH436">
            <v>62</v>
          </cell>
          <cell r="BI436">
            <v>62</v>
          </cell>
          <cell r="BJ436">
            <v>62</v>
          </cell>
          <cell r="BK436">
            <v>62</v>
          </cell>
          <cell r="BL436">
            <v>62</v>
          </cell>
          <cell r="BM436">
            <v>62</v>
          </cell>
          <cell r="BN436">
            <v>62</v>
          </cell>
          <cell r="BO436">
            <v>62</v>
          </cell>
          <cell r="BP436">
            <v>62</v>
          </cell>
          <cell r="BQ436">
            <v>0</v>
          </cell>
          <cell r="BR436">
            <v>0</v>
          </cell>
          <cell r="BS436">
            <v>0</v>
          </cell>
          <cell r="BT436">
            <v>0</v>
          </cell>
          <cell r="BU436">
            <v>0</v>
          </cell>
          <cell r="BV436">
            <v>0</v>
          </cell>
          <cell r="BW436">
            <v>0</v>
          </cell>
          <cell r="BX436">
            <v>0</v>
          </cell>
        </row>
        <row r="437">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row>
        <row r="438">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row>
        <row r="439">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0</v>
          </cell>
          <cell r="BX439">
            <v>0</v>
          </cell>
        </row>
        <row r="440">
          <cell r="AO440" t="str">
            <v>天然温泉　三州の湯　ドーミーイン　EXPRESS　三河安城　合計</v>
          </cell>
          <cell r="AP440">
            <v>0</v>
          </cell>
          <cell r="AQ440">
            <v>0</v>
          </cell>
          <cell r="AR440">
            <v>0</v>
          </cell>
          <cell r="AS440">
            <v>0</v>
          </cell>
          <cell r="AT440">
            <v>0</v>
          </cell>
          <cell r="AU440">
            <v>0</v>
          </cell>
          <cell r="AV440">
            <v>0</v>
          </cell>
          <cell r="AW440">
            <v>0</v>
          </cell>
          <cell r="AX440">
            <v>0</v>
          </cell>
          <cell r="AY440">
            <v>0</v>
          </cell>
          <cell r="AZ440">
            <v>0</v>
          </cell>
          <cell r="BA440">
            <v>0</v>
          </cell>
          <cell r="BB440">
            <v>62</v>
          </cell>
          <cell r="BC440">
            <v>62</v>
          </cell>
          <cell r="BD440">
            <v>62</v>
          </cell>
          <cell r="BE440">
            <v>62</v>
          </cell>
          <cell r="BF440">
            <v>62</v>
          </cell>
          <cell r="BG440">
            <v>62</v>
          </cell>
          <cell r="BH440">
            <v>62</v>
          </cell>
          <cell r="BI440">
            <v>62</v>
          </cell>
          <cell r="BJ440">
            <v>62</v>
          </cell>
          <cell r="BK440">
            <v>62</v>
          </cell>
          <cell r="BL440">
            <v>62</v>
          </cell>
          <cell r="BM440">
            <v>62</v>
          </cell>
          <cell r="BN440">
            <v>62</v>
          </cell>
          <cell r="BO440">
            <v>62</v>
          </cell>
          <cell r="BP440">
            <v>62</v>
          </cell>
          <cell r="BQ440">
            <v>0</v>
          </cell>
          <cell r="BR440">
            <v>0</v>
          </cell>
          <cell r="BS440">
            <v>0</v>
          </cell>
          <cell r="BT440">
            <v>0</v>
          </cell>
          <cell r="BU440">
            <v>0</v>
          </cell>
          <cell r="BV440">
            <v>0</v>
          </cell>
          <cell r="BW440">
            <v>0</v>
          </cell>
          <cell r="BX440">
            <v>0</v>
          </cell>
        </row>
        <row r="441">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row>
        <row r="442">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row>
        <row r="443">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row>
        <row r="444">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0</v>
          </cell>
        </row>
        <row r="445">
          <cell r="AO445" t="str">
            <v>ホテルクラウンパレス知立　合計</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cell r="BM445">
            <v>0</v>
          </cell>
          <cell r="BN445">
            <v>0</v>
          </cell>
          <cell r="BO445">
            <v>0</v>
          </cell>
          <cell r="BP445">
            <v>0</v>
          </cell>
          <cell r="BQ445">
            <v>0</v>
          </cell>
          <cell r="BR445">
            <v>0</v>
          </cell>
          <cell r="BS445">
            <v>0</v>
          </cell>
          <cell r="BT445">
            <v>0</v>
          </cell>
          <cell r="BU445">
            <v>0</v>
          </cell>
          <cell r="BV445">
            <v>0</v>
          </cell>
          <cell r="BW445">
            <v>0</v>
          </cell>
          <cell r="BX445">
            <v>0</v>
          </cell>
        </row>
        <row r="446">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56</v>
          </cell>
          <cell r="BG446">
            <v>56</v>
          </cell>
          <cell r="BH446">
            <v>56</v>
          </cell>
          <cell r="BI446">
            <v>56</v>
          </cell>
          <cell r="BJ446">
            <v>56</v>
          </cell>
          <cell r="BK446">
            <v>56</v>
          </cell>
          <cell r="BL446">
            <v>56</v>
          </cell>
          <cell r="BM446">
            <v>56</v>
          </cell>
          <cell r="BN446">
            <v>56</v>
          </cell>
          <cell r="BO446">
            <v>56</v>
          </cell>
          <cell r="BP446">
            <v>56</v>
          </cell>
          <cell r="BQ446">
            <v>56</v>
          </cell>
          <cell r="BR446">
            <v>56</v>
          </cell>
          <cell r="BS446">
            <v>56</v>
          </cell>
          <cell r="BT446">
            <v>56</v>
          </cell>
          <cell r="BU446">
            <v>0</v>
          </cell>
          <cell r="BV446">
            <v>0</v>
          </cell>
          <cell r="BW446">
            <v>0</v>
          </cell>
          <cell r="BX446">
            <v>0</v>
          </cell>
        </row>
        <row r="447">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row>
        <row r="448">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row>
        <row r="449">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row>
        <row r="450">
          <cell r="AO450" t="str">
            <v>全トヨタ労連研修センター　つどいの丘　合計</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56</v>
          </cell>
          <cell r="BG450">
            <v>56</v>
          </cell>
          <cell r="BH450">
            <v>56</v>
          </cell>
          <cell r="BI450">
            <v>56</v>
          </cell>
          <cell r="BJ450">
            <v>56</v>
          </cell>
          <cell r="BK450">
            <v>56</v>
          </cell>
          <cell r="BL450">
            <v>56</v>
          </cell>
          <cell r="BM450">
            <v>56</v>
          </cell>
          <cell r="BN450">
            <v>56</v>
          </cell>
          <cell r="BO450">
            <v>56</v>
          </cell>
          <cell r="BP450">
            <v>56</v>
          </cell>
          <cell r="BQ450">
            <v>56</v>
          </cell>
          <cell r="BR450">
            <v>56</v>
          </cell>
          <cell r="BS450">
            <v>56</v>
          </cell>
          <cell r="BT450">
            <v>56</v>
          </cell>
          <cell r="BU450">
            <v>0</v>
          </cell>
          <cell r="BV450">
            <v>0</v>
          </cell>
          <cell r="BW450">
            <v>0</v>
          </cell>
          <cell r="BX450">
            <v>0</v>
          </cell>
        </row>
        <row r="451">
          <cell r="AP451">
            <v>0</v>
          </cell>
          <cell r="AQ451">
            <v>0</v>
          </cell>
          <cell r="AR451">
            <v>0</v>
          </cell>
          <cell r="AS451">
            <v>0</v>
          </cell>
          <cell r="AT451">
            <v>0</v>
          </cell>
          <cell r="AU451">
            <v>0</v>
          </cell>
          <cell r="AV451">
            <v>0</v>
          </cell>
          <cell r="AW451">
            <v>0</v>
          </cell>
          <cell r="AX451">
            <v>140</v>
          </cell>
          <cell r="AY451">
            <v>140</v>
          </cell>
          <cell r="AZ451">
            <v>140</v>
          </cell>
          <cell r="BA451">
            <v>140</v>
          </cell>
          <cell r="BB451">
            <v>140</v>
          </cell>
          <cell r="BC451">
            <v>140</v>
          </cell>
          <cell r="BD451">
            <v>140</v>
          </cell>
          <cell r="BE451">
            <v>140</v>
          </cell>
          <cell r="BF451">
            <v>140</v>
          </cell>
          <cell r="BG451">
            <v>140</v>
          </cell>
          <cell r="BH451">
            <v>140</v>
          </cell>
          <cell r="BI451">
            <v>140</v>
          </cell>
          <cell r="BJ451">
            <v>140</v>
          </cell>
          <cell r="BK451">
            <v>140</v>
          </cell>
          <cell r="BL451">
            <v>140</v>
          </cell>
          <cell r="BM451">
            <v>140</v>
          </cell>
          <cell r="BN451">
            <v>140</v>
          </cell>
          <cell r="BO451">
            <v>140</v>
          </cell>
          <cell r="BP451">
            <v>140</v>
          </cell>
          <cell r="BQ451">
            <v>140</v>
          </cell>
          <cell r="BR451">
            <v>140</v>
          </cell>
          <cell r="BS451">
            <v>140</v>
          </cell>
          <cell r="BT451">
            <v>140</v>
          </cell>
          <cell r="BU451">
            <v>0</v>
          </cell>
          <cell r="BV451">
            <v>0</v>
          </cell>
          <cell r="BW451">
            <v>0</v>
          </cell>
          <cell r="BX451">
            <v>0</v>
          </cell>
        </row>
        <row r="452">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cell r="BX452">
            <v>0</v>
          </cell>
        </row>
        <row r="453">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row>
        <row r="454">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row>
        <row r="455">
          <cell r="AO455" t="str">
            <v>ホテルトヨタキャッスル　合計</v>
          </cell>
          <cell r="AP455">
            <v>0</v>
          </cell>
          <cell r="AQ455">
            <v>0</v>
          </cell>
          <cell r="AR455">
            <v>0</v>
          </cell>
          <cell r="AS455">
            <v>0</v>
          </cell>
          <cell r="AT455">
            <v>0</v>
          </cell>
          <cell r="AU455">
            <v>0</v>
          </cell>
          <cell r="AV455">
            <v>0</v>
          </cell>
          <cell r="AW455">
            <v>0</v>
          </cell>
          <cell r="AX455">
            <v>140</v>
          </cell>
          <cell r="AY455">
            <v>140</v>
          </cell>
          <cell r="AZ455">
            <v>140</v>
          </cell>
          <cell r="BA455">
            <v>140</v>
          </cell>
          <cell r="BB455">
            <v>140</v>
          </cell>
          <cell r="BC455">
            <v>140</v>
          </cell>
          <cell r="BD455">
            <v>140</v>
          </cell>
          <cell r="BE455">
            <v>140</v>
          </cell>
          <cell r="BF455">
            <v>140</v>
          </cell>
          <cell r="BG455">
            <v>140</v>
          </cell>
          <cell r="BH455">
            <v>140</v>
          </cell>
          <cell r="BI455">
            <v>140</v>
          </cell>
          <cell r="BJ455">
            <v>140</v>
          </cell>
          <cell r="BK455">
            <v>140</v>
          </cell>
          <cell r="BL455">
            <v>140</v>
          </cell>
          <cell r="BM455">
            <v>140</v>
          </cell>
          <cell r="BN455">
            <v>140</v>
          </cell>
          <cell r="BO455">
            <v>140</v>
          </cell>
          <cell r="BP455">
            <v>140</v>
          </cell>
          <cell r="BQ455">
            <v>140</v>
          </cell>
          <cell r="BR455">
            <v>140</v>
          </cell>
          <cell r="BS455">
            <v>140</v>
          </cell>
          <cell r="BT455">
            <v>140</v>
          </cell>
          <cell r="BU455">
            <v>0</v>
          </cell>
          <cell r="BV455">
            <v>0</v>
          </cell>
          <cell r="BW455">
            <v>0</v>
          </cell>
          <cell r="BX455">
            <v>0</v>
          </cell>
        </row>
        <row r="456">
          <cell r="AP456">
            <v>0</v>
          </cell>
          <cell r="AQ456">
            <v>0</v>
          </cell>
          <cell r="AR456">
            <v>0</v>
          </cell>
          <cell r="AS456">
            <v>0</v>
          </cell>
          <cell r="AT456">
            <v>0</v>
          </cell>
          <cell r="AU456">
            <v>0</v>
          </cell>
          <cell r="AV456">
            <v>0</v>
          </cell>
          <cell r="AW456">
            <v>116</v>
          </cell>
          <cell r="AX456">
            <v>116</v>
          </cell>
          <cell r="AY456">
            <v>116</v>
          </cell>
          <cell r="AZ456">
            <v>116</v>
          </cell>
          <cell r="BA456">
            <v>116</v>
          </cell>
          <cell r="BB456">
            <v>116</v>
          </cell>
          <cell r="BC456">
            <v>116</v>
          </cell>
          <cell r="BD456">
            <v>116</v>
          </cell>
          <cell r="BE456">
            <v>116</v>
          </cell>
          <cell r="BF456">
            <v>116</v>
          </cell>
          <cell r="BG456">
            <v>116</v>
          </cell>
          <cell r="BH456">
            <v>116</v>
          </cell>
          <cell r="BI456">
            <v>116</v>
          </cell>
          <cell r="BJ456">
            <v>116</v>
          </cell>
          <cell r="BK456">
            <v>116</v>
          </cell>
          <cell r="BL456">
            <v>116</v>
          </cell>
          <cell r="BM456">
            <v>116</v>
          </cell>
          <cell r="BN456">
            <v>0</v>
          </cell>
          <cell r="BO456">
            <v>0</v>
          </cell>
          <cell r="BP456">
            <v>0</v>
          </cell>
          <cell r="BQ456">
            <v>0</v>
          </cell>
          <cell r="BR456">
            <v>0</v>
          </cell>
          <cell r="BS456">
            <v>0</v>
          </cell>
          <cell r="BT456">
            <v>0</v>
          </cell>
          <cell r="BU456">
            <v>0</v>
          </cell>
          <cell r="BV456">
            <v>0</v>
          </cell>
          <cell r="BW456">
            <v>0</v>
          </cell>
          <cell r="BX456">
            <v>0</v>
          </cell>
        </row>
        <row r="457">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row>
        <row r="458">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row>
        <row r="459">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row>
        <row r="460">
          <cell r="AO460" t="str">
            <v>名鉄トヨタホテル　合計</v>
          </cell>
          <cell r="AP460">
            <v>0</v>
          </cell>
          <cell r="AQ460">
            <v>0</v>
          </cell>
          <cell r="AR460">
            <v>0</v>
          </cell>
          <cell r="AS460">
            <v>0</v>
          </cell>
          <cell r="AT460">
            <v>0</v>
          </cell>
          <cell r="AU460">
            <v>0</v>
          </cell>
          <cell r="AV460">
            <v>0</v>
          </cell>
          <cell r="AW460">
            <v>116</v>
          </cell>
          <cell r="AX460">
            <v>116</v>
          </cell>
          <cell r="AY460">
            <v>116</v>
          </cell>
          <cell r="AZ460">
            <v>116</v>
          </cell>
          <cell r="BA460">
            <v>116</v>
          </cell>
          <cell r="BB460">
            <v>116</v>
          </cell>
          <cell r="BC460">
            <v>116</v>
          </cell>
          <cell r="BD460">
            <v>116</v>
          </cell>
          <cell r="BE460">
            <v>116</v>
          </cell>
          <cell r="BF460">
            <v>116</v>
          </cell>
          <cell r="BG460">
            <v>116</v>
          </cell>
          <cell r="BH460">
            <v>116</v>
          </cell>
          <cell r="BI460">
            <v>116</v>
          </cell>
          <cell r="BJ460">
            <v>116</v>
          </cell>
          <cell r="BK460">
            <v>116</v>
          </cell>
          <cell r="BL460">
            <v>116</v>
          </cell>
          <cell r="BM460">
            <v>116</v>
          </cell>
          <cell r="BN460">
            <v>0</v>
          </cell>
          <cell r="BO460">
            <v>0</v>
          </cell>
          <cell r="BP460">
            <v>0</v>
          </cell>
          <cell r="BQ460">
            <v>0</v>
          </cell>
          <cell r="BR460">
            <v>0</v>
          </cell>
          <cell r="BS460">
            <v>0</v>
          </cell>
          <cell r="BT460">
            <v>0</v>
          </cell>
          <cell r="BU460">
            <v>0</v>
          </cell>
          <cell r="BV460">
            <v>0</v>
          </cell>
          <cell r="BW460">
            <v>0</v>
          </cell>
          <cell r="BX460">
            <v>0</v>
          </cell>
        </row>
        <row r="461">
          <cell r="AP461">
            <v>0</v>
          </cell>
          <cell r="AQ461">
            <v>0</v>
          </cell>
          <cell r="AR461">
            <v>0</v>
          </cell>
          <cell r="AS461">
            <v>0</v>
          </cell>
          <cell r="AT461">
            <v>0</v>
          </cell>
          <cell r="AU461">
            <v>0</v>
          </cell>
          <cell r="AV461">
            <v>58</v>
          </cell>
          <cell r="AW461">
            <v>116</v>
          </cell>
          <cell r="AX461">
            <v>116</v>
          </cell>
          <cell r="AY461">
            <v>116</v>
          </cell>
          <cell r="AZ461">
            <v>116</v>
          </cell>
          <cell r="BA461">
            <v>116</v>
          </cell>
          <cell r="BB461">
            <v>116</v>
          </cell>
          <cell r="BC461">
            <v>116</v>
          </cell>
          <cell r="BD461">
            <v>116</v>
          </cell>
          <cell r="BE461">
            <v>116</v>
          </cell>
          <cell r="BF461">
            <v>116</v>
          </cell>
          <cell r="BG461">
            <v>116</v>
          </cell>
          <cell r="BH461">
            <v>116</v>
          </cell>
          <cell r="BI461">
            <v>58</v>
          </cell>
          <cell r="BJ461">
            <v>58</v>
          </cell>
          <cell r="BK461">
            <v>58</v>
          </cell>
          <cell r="BL461">
            <v>58</v>
          </cell>
          <cell r="BM461">
            <v>0</v>
          </cell>
          <cell r="BN461">
            <v>0</v>
          </cell>
          <cell r="BO461">
            <v>0</v>
          </cell>
          <cell r="BP461">
            <v>0</v>
          </cell>
          <cell r="BQ461">
            <v>0</v>
          </cell>
          <cell r="BR461">
            <v>0</v>
          </cell>
          <cell r="BS461">
            <v>0</v>
          </cell>
          <cell r="BT461">
            <v>0</v>
          </cell>
          <cell r="BU461">
            <v>0</v>
          </cell>
          <cell r="BV461">
            <v>0</v>
          </cell>
          <cell r="BW461">
            <v>0</v>
          </cell>
          <cell r="BX461">
            <v>0</v>
          </cell>
        </row>
        <row r="462">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row>
        <row r="463">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row>
        <row r="464">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row>
        <row r="465">
          <cell r="AO465" t="str">
            <v>ロイヤルホテルうお八　合計</v>
          </cell>
          <cell r="AP465">
            <v>0</v>
          </cell>
          <cell r="AQ465">
            <v>0</v>
          </cell>
          <cell r="AR465">
            <v>0</v>
          </cell>
          <cell r="AS465">
            <v>0</v>
          </cell>
          <cell r="AT465">
            <v>0</v>
          </cell>
          <cell r="AU465">
            <v>0</v>
          </cell>
          <cell r="AV465">
            <v>58</v>
          </cell>
          <cell r="AW465">
            <v>116</v>
          </cell>
          <cell r="AX465">
            <v>116</v>
          </cell>
          <cell r="AY465">
            <v>116</v>
          </cell>
          <cell r="AZ465">
            <v>116</v>
          </cell>
          <cell r="BA465">
            <v>116</v>
          </cell>
          <cell r="BB465">
            <v>116</v>
          </cell>
          <cell r="BC465">
            <v>116</v>
          </cell>
          <cell r="BD465">
            <v>116</v>
          </cell>
          <cell r="BE465">
            <v>116</v>
          </cell>
          <cell r="BF465">
            <v>116</v>
          </cell>
          <cell r="BG465">
            <v>116</v>
          </cell>
          <cell r="BH465">
            <v>116</v>
          </cell>
          <cell r="BI465">
            <v>58</v>
          </cell>
          <cell r="BJ465">
            <v>58</v>
          </cell>
          <cell r="BK465">
            <v>58</v>
          </cell>
          <cell r="BL465">
            <v>58</v>
          </cell>
          <cell r="BM465">
            <v>0</v>
          </cell>
          <cell r="BN465">
            <v>0</v>
          </cell>
          <cell r="BO465">
            <v>0</v>
          </cell>
          <cell r="BP465">
            <v>0</v>
          </cell>
          <cell r="BQ465">
            <v>0</v>
          </cell>
          <cell r="BR465">
            <v>0</v>
          </cell>
          <cell r="BS465">
            <v>0</v>
          </cell>
          <cell r="BT465">
            <v>0</v>
          </cell>
          <cell r="BU465">
            <v>0</v>
          </cell>
          <cell r="BV465">
            <v>0</v>
          </cell>
          <cell r="BW465">
            <v>0</v>
          </cell>
          <cell r="BX465">
            <v>0</v>
          </cell>
        </row>
        <row r="466">
          <cell r="AP466">
            <v>0</v>
          </cell>
          <cell r="AQ466">
            <v>0</v>
          </cell>
          <cell r="AR466">
            <v>0</v>
          </cell>
          <cell r="AS466">
            <v>0</v>
          </cell>
          <cell r="AT466">
            <v>0</v>
          </cell>
          <cell r="AU466">
            <v>0</v>
          </cell>
          <cell r="AV466">
            <v>0</v>
          </cell>
          <cell r="AW466">
            <v>0</v>
          </cell>
          <cell r="AX466">
            <v>110</v>
          </cell>
          <cell r="AY466">
            <v>110</v>
          </cell>
          <cell r="AZ466">
            <v>110</v>
          </cell>
          <cell r="BA466">
            <v>110</v>
          </cell>
          <cell r="BB466">
            <v>110</v>
          </cell>
          <cell r="BC466">
            <v>110</v>
          </cell>
          <cell r="BD466">
            <v>110</v>
          </cell>
          <cell r="BE466">
            <v>110</v>
          </cell>
          <cell r="BF466">
            <v>110</v>
          </cell>
          <cell r="BG466">
            <v>110</v>
          </cell>
          <cell r="BH466">
            <v>110</v>
          </cell>
          <cell r="BI466">
            <v>110</v>
          </cell>
          <cell r="BJ466">
            <v>110</v>
          </cell>
          <cell r="BK466">
            <v>110</v>
          </cell>
          <cell r="BL466">
            <v>110</v>
          </cell>
          <cell r="BM466">
            <v>110</v>
          </cell>
          <cell r="BN466">
            <v>110</v>
          </cell>
          <cell r="BO466">
            <v>110</v>
          </cell>
          <cell r="BP466">
            <v>110</v>
          </cell>
          <cell r="BQ466">
            <v>110</v>
          </cell>
          <cell r="BR466">
            <v>110</v>
          </cell>
          <cell r="BS466">
            <v>110</v>
          </cell>
          <cell r="BT466">
            <v>110</v>
          </cell>
          <cell r="BU466">
            <v>0</v>
          </cell>
          <cell r="BV466">
            <v>0</v>
          </cell>
          <cell r="BW466">
            <v>0</v>
          </cell>
          <cell r="BX466">
            <v>0</v>
          </cell>
        </row>
        <row r="467">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row>
        <row r="468">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row>
        <row r="469">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row>
        <row r="470">
          <cell r="AO470" t="str">
            <v>トヨタスポーツセンター　合計</v>
          </cell>
          <cell r="AP470">
            <v>0</v>
          </cell>
          <cell r="AQ470">
            <v>0</v>
          </cell>
          <cell r="AR470">
            <v>0</v>
          </cell>
          <cell r="AS470">
            <v>0</v>
          </cell>
          <cell r="AT470">
            <v>0</v>
          </cell>
          <cell r="AU470">
            <v>0</v>
          </cell>
          <cell r="AV470">
            <v>0</v>
          </cell>
          <cell r="AW470">
            <v>0</v>
          </cell>
          <cell r="AX470">
            <v>110</v>
          </cell>
          <cell r="AY470">
            <v>110</v>
          </cell>
          <cell r="AZ470">
            <v>110</v>
          </cell>
          <cell r="BA470">
            <v>110</v>
          </cell>
          <cell r="BB470">
            <v>110</v>
          </cell>
          <cell r="BC470">
            <v>110</v>
          </cell>
          <cell r="BD470">
            <v>110</v>
          </cell>
          <cell r="BE470">
            <v>110</v>
          </cell>
          <cell r="BF470">
            <v>110</v>
          </cell>
          <cell r="BG470">
            <v>110</v>
          </cell>
          <cell r="BH470">
            <v>110</v>
          </cell>
          <cell r="BI470">
            <v>110</v>
          </cell>
          <cell r="BJ470">
            <v>110</v>
          </cell>
          <cell r="BK470">
            <v>110</v>
          </cell>
          <cell r="BL470">
            <v>110</v>
          </cell>
          <cell r="BM470">
            <v>110</v>
          </cell>
          <cell r="BN470">
            <v>110</v>
          </cell>
          <cell r="BO470">
            <v>110</v>
          </cell>
          <cell r="BP470">
            <v>110</v>
          </cell>
          <cell r="BQ470">
            <v>110</v>
          </cell>
          <cell r="BR470">
            <v>110</v>
          </cell>
          <cell r="BS470">
            <v>110</v>
          </cell>
          <cell r="BT470">
            <v>110</v>
          </cell>
          <cell r="BU470">
            <v>0</v>
          </cell>
          <cell r="BV470">
            <v>0</v>
          </cell>
          <cell r="BW470">
            <v>0</v>
          </cell>
          <cell r="BX470">
            <v>0</v>
          </cell>
        </row>
        <row r="471">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row>
        <row r="472">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row>
        <row r="473">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row>
        <row r="474">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row>
        <row r="475">
          <cell r="AO475" t="str">
            <v>岡崎ニューグランドホテル　合計</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row>
        <row r="476">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row>
        <row r="477">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row>
        <row r="478">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row>
        <row r="479">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row>
        <row r="480">
          <cell r="AO480" t="str">
            <v>株式会社竜宮ホテル　合計</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row>
        <row r="481">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row>
        <row r="482">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row>
        <row r="483">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row>
        <row r="484">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row>
        <row r="485">
          <cell r="AO485" t="str">
            <v>株式会社三河湾リゾート・リンクス　合計</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row>
        <row r="486">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row>
        <row r="487">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row>
        <row r="488">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row>
        <row r="489">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row>
        <row r="490">
          <cell r="AO490" t="str">
            <v>ホテル明山荘　合計</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row>
        <row r="491">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row>
        <row r="492">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row>
        <row r="493">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row>
        <row r="494">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row>
        <row r="495">
          <cell r="AO495" t="str">
            <v>松風園　合計</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row>
        <row r="496">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row>
        <row r="497">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row>
        <row r="498">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row>
        <row r="499">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row>
        <row r="500">
          <cell r="AO500" t="str">
            <v>株式会社三谷温泉ひがきホテル　合計</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row>
        <row r="501">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188</v>
          </cell>
          <cell r="BE501">
            <v>188</v>
          </cell>
          <cell r="BF501">
            <v>188</v>
          </cell>
          <cell r="BG501">
            <v>188</v>
          </cell>
          <cell r="BH501">
            <v>188</v>
          </cell>
          <cell r="BI501">
            <v>188</v>
          </cell>
          <cell r="BJ501">
            <v>188</v>
          </cell>
          <cell r="BK501">
            <v>188</v>
          </cell>
          <cell r="BL501">
            <v>188</v>
          </cell>
          <cell r="BM501">
            <v>188</v>
          </cell>
          <cell r="BN501">
            <v>188</v>
          </cell>
          <cell r="BO501">
            <v>188</v>
          </cell>
          <cell r="BP501">
            <v>188</v>
          </cell>
          <cell r="BQ501">
            <v>188</v>
          </cell>
          <cell r="BR501">
            <v>188</v>
          </cell>
          <cell r="BS501">
            <v>188</v>
          </cell>
          <cell r="BT501">
            <v>188</v>
          </cell>
          <cell r="BU501">
            <v>0</v>
          </cell>
          <cell r="BV501">
            <v>0</v>
          </cell>
          <cell r="BW501">
            <v>0</v>
          </cell>
          <cell r="BX501">
            <v>0</v>
          </cell>
        </row>
        <row r="502">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row>
        <row r="503">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row>
        <row r="504">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row>
        <row r="505">
          <cell r="AO505" t="str">
            <v>株式会社平野屋　合計</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188</v>
          </cell>
          <cell r="BE505">
            <v>188</v>
          </cell>
          <cell r="BF505">
            <v>188</v>
          </cell>
          <cell r="BG505">
            <v>188</v>
          </cell>
          <cell r="BH505">
            <v>188</v>
          </cell>
          <cell r="BI505">
            <v>188</v>
          </cell>
          <cell r="BJ505">
            <v>188</v>
          </cell>
          <cell r="BK505">
            <v>188</v>
          </cell>
          <cell r="BL505">
            <v>188</v>
          </cell>
          <cell r="BM505">
            <v>188</v>
          </cell>
          <cell r="BN505">
            <v>188</v>
          </cell>
          <cell r="BO505">
            <v>188</v>
          </cell>
          <cell r="BP505">
            <v>188</v>
          </cell>
          <cell r="BQ505">
            <v>188</v>
          </cell>
          <cell r="BR505">
            <v>188</v>
          </cell>
          <cell r="BS505">
            <v>188</v>
          </cell>
          <cell r="BT505">
            <v>188</v>
          </cell>
          <cell r="BU505">
            <v>0</v>
          </cell>
          <cell r="BV505">
            <v>0</v>
          </cell>
          <cell r="BW505">
            <v>0</v>
          </cell>
          <cell r="BX505">
            <v>0</v>
          </cell>
        </row>
        <row r="506">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row>
        <row r="507">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row>
        <row r="508">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row>
        <row r="509">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row>
        <row r="510">
          <cell r="AO510" t="str">
            <v>ホテル三河　海陽閣　合計</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row>
        <row r="511">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187</v>
          </cell>
          <cell r="BJ511">
            <v>187</v>
          </cell>
          <cell r="BK511">
            <v>187</v>
          </cell>
          <cell r="BL511">
            <v>187</v>
          </cell>
          <cell r="BM511">
            <v>187</v>
          </cell>
          <cell r="BN511">
            <v>187</v>
          </cell>
          <cell r="BO511">
            <v>187</v>
          </cell>
          <cell r="BP511">
            <v>187</v>
          </cell>
          <cell r="BQ511">
            <v>187</v>
          </cell>
          <cell r="BR511">
            <v>187</v>
          </cell>
          <cell r="BS511">
            <v>187</v>
          </cell>
          <cell r="BT511">
            <v>187</v>
          </cell>
          <cell r="BU511">
            <v>0</v>
          </cell>
          <cell r="BV511">
            <v>0</v>
          </cell>
          <cell r="BW511">
            <v>0</v>
          </cell>
          <cell r="BX511">
            <v>0</v>
          </cell>
        </row>
        <row r="512">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row>
        <row r="513">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row>
        <row r="514">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row>
        <row r="515">
          <cell r="AO515" t="str">
            <v>変なホテル　ラグーナテンボス　合計</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187</v>
          </cell>
          <cell r="BJ515">
            <v>187</v>
          </cell>
          <cell r="BK515">
            <v>187</v>
          </cell>
          <cell r="BL515">
            <v>187</v>
          </cell>
          <cell r="BM515">
            <v>187</v>
          </cell>
          <cell r="BN515">
            <v>187</v>
          </cell>
          <cell r="BO515">
            <v>187</v>
          </cell>
          <cell r="BP515">
            <v>187</v>
          </cell>
          <cell r="BQ515">
            <v>187</v>
          </cell>
          <cell r="BR515">
            <v>187</v>
          </cell>
          <cell r="BS515">
            <v>187</v>
          </cell>
          <cell r="BT515">
            <v>187</v>
          </cell>
          <cell r="BU515">
            <v>0</v>
          </cell>
          <cell r="BV515">
            <v>0</v>
          </cell>
          <cell r="BW515">
            <v>0</v>
          </cell>
          <cell r="BX515">
            <v>0</v>
          </cell>
        </row>
        <row r="516">
          <cell r="AP516">
            <v>0</v>
          </cell>
          <cell r="AQ516">
            <v>0</v>
          </cell>
          <cell r="AR516">
            <v>0</v>
          </cell>
          <cell r="AS516">
            <v>0</v>
          </cell>
          <cell r="AT516">
            <v>0</v>
          </cell>
          <cell r="AU516">
            <v>0</v>
          </cell>
          <cell r="AV516">
            <v>0</v>
          </cell>
          <cell r="AW516">
            <v>0</v>
          </cell>
          <cell r="AX516">
            <v>0</v>
          </cell>
          <cell r="AY516">
            <v>0</v>
          </cell>
          <cell r="AZ516">
            <v>0</v>
          </cell>
          <cell r="BA516">
            <v>0</v>
          </cell>
          <cell r="BB516">
            <v>83</v>
          </cell>
          <cell r="BC516">
            <v>83</v>
          </cell>
          <cell r="BD516">
            <v>83</v>
          </cell>
          <cell r="BE516">
            <v>83</v>
          </cell>
          <cell r="BF516">
            <v>83</v>
          </cell>
          <cell r="BG516">
            <v>83</v>
          </cell>
          <cell r="BH516">
            <v>83</v>
          </cell>
          <cell r="BI516">
            <v>83</v>
          </cell>
          <cell r="BJ516">
            <v>83</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row>
        <row r="517">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62</v>
          </cell>
          <cell r="BE517">
            <v>62</v>
          </cell>
          <cell r="BF517">
            <v>62</v>
          </cell>
          <cell r="BG517">
            <v>62</v>
          </cell>
          <cell r="BH517">
            <v>62</v>
          </cell>
          <cell r="BI517">
            <v>62</v>
          </cell>
          <cell r="BJ517">
            <v>62</v>
          </cell>
          <cell r="BK517">
            <v>62</v>
          </cell>
          <cell r="BL517">
            <v>62</v>
          </cell>
          <cell r="BM517">
            <v>62</v>
          </cell>
          <cell r="BN517">
            <v>62</v>
          </cell>
          <cell r="BO517">
            <v>62</v>
          </cell>
          <cell r="BP517">
            <v>62</v>
          </cell>
          <cell r="BQ517">
            <v>62</v>
          </cell>
          <cell r="BR517">
            <v>62</v>
          </cell>
          <cell r="BS517">
            <v>62</v>
          </cell>
          <cell r="BT517">
            <v>62</v>
          </cell>
          <cell r="BU517">
            <v>0</v>
          </cell>
          <cell r="BV517">
            <v>0</v>
          </cell>
          <cell r="BW517">
            <v>0</v>
          </cell>
          <cell r="BX517">
            <v>0</v>
          </cell>
        </row>
        <row r="518">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row>
        <row r="519">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row>
        <row r="520">
          <cell r="AO520" t="str">
            <v>ホテル竹島　合計</v>
          </cell>
          <cell r="AP520">
            <v>0</v>
          </cell>
          <cell r="AQ520">
            <v>0</v>
          </cell>
          <cell r="AR520">
            <v>0</v>
          </cell>
          <cell r="AS520">
            <v>0</v>
          </cell>
          <cell r="AT520">
            <v>0</v>
          </cell>
          <cell r="AU520">
            <v>0</v>
          </cell>
          <cell r="AV520">
            <v>0</v>
          </cell>
          <cell r="AW520">
            <v>0</v>
          </cell>
          <cell r="AX520">
            <v>0</v>
          </cell>
          <cell r="AY520">
            <v>0</v>
          </cell>
          <cell r="AZ520">
            <v>0</v>
          </cell>
          <cell r="BA520">
            <v>0</v>
          </cell>
          <cell r="BB520">
            <v>83</v>
          </cell>
          <cell r="BC520">
            <v>83</v>
          </cell>
          <cell r="BD520">
            <v>145</v>
          </cell>
          <cell r="BE520">
            <v>145</v>
          </cell>
          <cell r="BF520">
            <v>145</v>
          </cell>
          <cell r="BG520">
            <v>145</v>
          </cell>
          <cell r="BH520">
            <v>145</v>
          </cell>
          <cell r="BI520">
            <v>145</v>
          </cell>
          <cell r="BJ520">
            <v>145</v>
          </cell>
          <cell r="BK520">
            <v>62</v>
          </cell>
          <cell r="BL520">
            <v>62</v>
          </cell>
          <cell r="BM520">
            <v>62</v>
          </cell>
          <cell r="BN520">
            <v>62</v>
          </cell>
          <cell r="BO520">
            <v>62</v>
          </cell>
          <cell r="BP520">
            <v>62</v>
          </cell>
          <cell r="BQ520">
            <v>62</v>
          </cell>
          <cell r="BR520">
            <v>62</v>
          </cell>
          <cell r="BS520">
            <v>62</v>
          </cell>
          <cell r="BT520">
            <v>62</v>
          </cell>
          <cell r="BU520">
            <v>0</v>
          </cell>
          <cell r="BV520">
            <v>0</v>
          </cell>
          <cell r="BW520">
            <v>0</v>
          </cell>
          <cell r="BX520">
            <v>0</v>
          </cell>
        </row>
        <row r="521">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row>
        <row r="522">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row>
        <row r="523">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row>
        <row r="524">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row>
        <row r="525">
          <cell r="AO525" t="str">
            <v>蒲郡クラシックホテル　合計</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row>
        <row r="526">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row>
        <row r="527">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row>
        <row r="528">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row>
        <row r="529">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row>
        <row r="530">
          <cell r="AO530" t="str">
            <v>蒲郡ホテル＜別館＞　合計</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row>
        <row r="531">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row>
        <row r="532">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row>
        <row r="533">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row>
        <row r="534">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row>
        <row r="535">
          <cell r="AO535" t="str">
            <v>株式会社鈴岡　合計</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row>
        <row r="536">
          <cell r="AP536">
            <v>0</v>
          </cell>
          <cell r="AQ536">
            <v>0</v>
          </cell>
          <cell r="AR536">
            <v>0</v>
          </cell>
          <cell r="AS536">
            <v>0</v>
          </cell>
          <cell r="AT536">
            <v>0</v>
          </cell>
          <cell r="AU536">
            <v>0</v>
          </cell>
          <cell r="AV536">
            <v>0</v>
          </cell>
          <cell r="AW536">
            <v>0</v>
          </cell>
          <cell r="AX536">
            <v>0</v>
          </cell>
          <cell r="AY536">
            <v>0</v>
          </cell>
          <cell r="AZ536">
            <v>0</v>
          </cell>
          <cell r="BA536">
            <v>252</v>
          </cell>
          <cell r="BB536">
            <v>252</v>
          </cell>
          <cell r="BC536">
            <v>252</v>
          </cell>
          <cell r="BD536">
            <v>252</v>
          </cell>
          <cell r="BE536">
            <v>252</v>
          </cell>
          <cell r="BF536">
            <v>252</v>
          </cell>
          <cell r="BG536">
            <v>252</v>
          </cell>
          <cell r="BH536">
            <v>252</v>
          </cell>
          <cell r="BI536">
            <v>252</v>
          </cell>
          <cell r="BJ536">
            <v>252</v>
          </cell>
          <cell r="BK536">
            <v>252</v>
          </cell>
          <cell r="BL536">
            <v>252</v>
          </cell>
          <cell r="BM536">
            <v>252</v>
          </cell>
          <cell r="BN536">
            <v>252</v>
          </cell>
          <cell r="BO536">
            <v>252</v>
          </cell>
          <cell r="BP536">
            <v>252</v>
          </cell>
          <cell r="BQ536">
            <v>252</v>
          </cell>
          <cell r="BR536">
            <v>252</v>
          </cell>
          <cell r="BS536">
            <v>252</v>
          </cell>
          <cell r="BT536">
            <v>0</v>
          </cell>
          <cell r="BU536">
            <v>0</v>
          </cell>
          <cell r="BV536">
            <v>0</v>
          </cell>
          <cell r="BW536">
            <v>0</v>
          </cell>
          <cell r="BX536">
            <v>0</v>
          </cell>
        </row>
        <row r="537">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0</v>
          </cell>
          <cell r="BX537">
            <v>0</v>
          </cell>
        </row>
        <row r="538">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row>
        <row r="539">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row>
        <row r="540">
          <cell r="AO540" t="str">
            <v>ホテル東海園　合計</v>
          </cell>
          <cell r="AP540">
            <v>0</v>
          </cell>
          <cell r="AQ540">
            <v>0</v>
          </cell>
          <cell r="AR540">
            <v>0</v>
          </cell>
          <cell r="AS540">
            <v>0</v>
          </cell>
          <cell r="AT540">
            <v>0</v>
          </cell>
          <cell r="AU540">
            <v>0</v>
          </cell>
          <cell r="AV540">
            <v>0</v>
          </cell>
          <cell r="AW540">
            <v>0</v>
          </cell>
          <cell r="AX540">
            <v>0</v>
          </cell>
          <cell r="AY540">
            <v>0</v>
          </cell>
          <cell r="AZ540">
            <v>0</v>
          </cell>
          <cell r="BA540">
            <v>252</v>
          </cell>
          <cell r="BB540">
            <v>252</v>
          </cell>
          <cell r="BC540">
            <v>252</v>
          </cell>
          <cell r="BD540">
            <v>252</v>
          </cell>
          <cell r="BE540">
            <v>252</v>
          </cell>
          <cell r="BF540">
            <v>252</v>
          </cell>
          <cell r="BG540">
            <v>252</v>
          </cell>
          <cell r="BH540">
            <v>252</v>
          </cell>
          <cell r="BI540">
            <v>252</v>
          </cell>
          <cell r="BJ540">
            <v>252</v>
          </cell>
          <cell r="BK540">
            <v>252</v>
          </cell>
          <cell r="BL540">
            <v>252</v>
          </cell>
          <cell r="BM540">
            <v>252</v>
          </cell>
          <cell r="BN540">
            <v>252</v>
          </cell>
          <cell r="BO540">
            <v>252</v>
          </cell>
          <cell r="BP540">
            <v>252</v>
          </cell>
          <cell r="BQ540">
            <v>252</v>
          </cell>
          <cell r="BR540">
            <v>252</v>
          </cell>
          <cell r="BS540">
            <v>252</v>
          </cell>
          <cell r="BT540">
            <v>0</v>
          </cell>
          <cell r="BU540">
            <v>0</v>
          </cell>
          <cell r="BV540">
            <v>0</v>
          </cell>
          <cell r="BW540">
            <v>0</v>
          </cell>
          <cell r="BX540">
            <v>0</v>
          </cell>
        </row>
        <row r="541">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row>
        <row r="542">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cell r="BX542">
            <v>0</v>
          </cell>
        </row>
        <row r="543">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row>
        <row r="544">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row>
        <row r="545">
          <cell r="AO545" t="str">
            <v>和のリゾートはづ　合計</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row>
        <row r="546">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row>
        <row r="547">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row>
        <row r="548">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row>
        <row r="549">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cell r="BM549">
            <v>0</v>
          </cell>
          <cell r="BN549">
            <v>0</v>
          </cell>
          <cell r="BO549">
            <v>0</v>
          </cell>
          <cell r="BP549">
            <v>0</v>
          </cell>
          <cell r="BQ549">
            <v>0</v>
          </cell>
          <cell r="BR549">
            <v>0</v>
          </cell>
          <cell r="BS549">
            <v>0</v>
          </cell>
          <cell r="BT549">
            <v>0</v>
          </cell>
          <cell r="BU549">
            <v>0</v>
          </cell>
          <cell r="BV549">
            <v>0</v>
          </cell>
          <cell r="BW549">
            <v>0</v>
          </cell>
          <cell r="BX549">
            <v>0</v>
          </cell>
        </row>
        <row r="550">
          <cell r="AO550" t="str">
            <v>ホテルたつき　合計</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row>
        <row r="551">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row>
        <row r="552">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0</v>
          </cell>
          <cell r="BT552">
            <v>0</v>
          </cell>
          <cell r="BU552">
            <v>0</v>
          </cell>
          <cell r="BV552">
            <v>0</v>
          </cell>
          <cell r="BW552">
            <v>0</v>
          </cell>
          <cell r="BX552">
            <v>0</v>
          </cell>
        </row>
        <row r="553">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cell r="BX553">
            <v>0</v>
          </cell>
        </row>
        <row r="554">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row>
        <row r="555">
          <cell r="AO555" t="str">
            <v>西浦グランドホテル吉慶　合計</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row>
        <row r="556">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row>
        <row r="557">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0</v>
          </cell>
          <cell r="BU557">
            <v>0</v>
          </cell>
          <cell r="BV557">
            <v>0</v>
          </cell>
          <cell r="BW557">
            <v>0</v>
          </cell>
          <cell r="BX557">
            <v>0</v>
          </cell>
        </row>
        <row r="558">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row>
        <row r="559">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0</v>
          </cell>
          <cell r="BU559">
            <v>0</v>
          </cell>
          <cell r="BV559">
            <v>0</v>
          </cell>
          <cell r="BW559">
            <v>0</v>
          </cell>
          <cell r="BX559">
            <v>0</v>
          </cell>
        </row>
        <row r="560">
          <cell r="AO560" t="str">
            <v>蒲郡ホテル　合計</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0</v>
          </cell>
          <cell r="BU560">
            <v>0</v>
          </cell>
          <cell r="BV560">
            <v>0</v>
          </cell>
          <cell r="BW560">
            <v>0</v>
          </cell>
          <cell r="BX560">
            <v>0</v>
          </cell>
        </row>
        <row r="561">
          <cell r="AP561">
            <v>0</v>
          </cell>
          <cell r="AQ561">
            <v>0</v>
          </cell>
          <cell r="AR561">
            <v>0</v>
          </cell>
          <cell r="AS561">
            <v>0</v>
          </cell>
          <cell r="AT561">
            <v>0</v>
          </cell>
          <cell r="AU561">
            <v>0</v>
          </cell>
          <cell r="AV561">
            <v>0</v>
          </cell>
          <cell r="AW561">
            <v>0</v>
          </cell>
          <cell r="AX561">
            <v>0</v>
          </cell>
          <cell r="AY561">
            <v>0</v>
          </cell>
          <cell r="AZ561">
            <v>0</v>
          </cell>
          <cell r="BA561">
            <v>101</v>
          </cell>
          <cell r="BB561">
            <v>101</v>
          </cell>
          <cell r="BC561">
            <v>101</v>
          </cell>
          <cell r="BD561">
            <v>101</v>
          </cell>
          <cell r="BE561">
            <v>101</v>
          </cell>
          <cell r="BF561">
            <v>101</v>
          </cell>
          <cell r="BG561">
            <v>101</v>
          </cell>
          <cell r="BH561">
            <v>101</v>
          </cell>
          <cell r="BI561">
            <v>101</v>
          </cell>
          <cell r="BJ561">
            <v>101</v>
          </cell>
          <cell r="BK561">
            <v>0</v>
          </cell>
          <cell r="BL561">
            <v>0</v>
          </cell>
          <cell r="BM561">
            <v>0</v>
          </cell>
          <cell r="BN561">
            <v>0</v>
          </cell>
          <cell r="BO561">
            <v>0</v>
          </cell>
          <cell r="BP561">
            <v>0</v>
          </cell>
          <cell r="BQ561">
            <v>0</v>
          </cell>
          <cell r="BR561">
            <v>0</v>
          </cell>
          <cell r="BS561">
            <v>0</v>
          </cell>
          <cell r="BT561">
            <v>0</v>
          </cell>
          <cell r="BU561">
            <v>0</v>
          </cell>
          <cell r="BV561">
            <v>0</v>
          </cell>
          <cell r="BW561">
            <v>0</v>
          </cell>
          <cell r="BX561">
            <v>0</v>
          </cell>
        </row>
        <row r="562">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0</v>
          </cell>
          <cell r="BU562">
            <v>0</v>
          </cell>
          <cell r="BV562">
            <v>0</v>
          </cell>
          <cell r="BW562">
            <v>0</v>
          </cell>
          <cell r="BX562">
            <v>0</v>
          </cell>
        </row>
        <row r="563">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cell r="BX563">
            <v>0</v>
          </cell>
        </row>
        <row r="564">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row>
        <row r="565">
          <cell r="AO565" t="str">
            <v>ホテルルートイン新城　合計</v>
          </cell>
          <cell r="AP565">
            <v>0</v>
          </cell>
          <cell r="AQ565">
            <v>0</v>
          </cell>
          <cell r="AR565">
            <v>0</v>
          </cell>
          <cell r="AS565">
            <v>0</v>
          </cell>
          <cell r="AT565">
            <v>0</v>
          </cell>
          <cell r="AU565">
            <v>0</v>
          </cell>
          <cell r="AV565">
            <v>0</v>
          </cell>
          <cell r="AW565">
            <v>0</v>
          </cell>
          <cell r="AX565">
            <v>0</v>
          </cell>
          <cell r="AY565">
            <v>0</v>
          </cell>
          <cell r="AZ565">
            <v>0</v>
          </cell>
          <cell r="BA565">
            <v>101</v>
          </cell>
          <cell r="BB565">
            <v>101</v>
          </cell>
          <cell r="BC565">
            <v>101</v>
          </cell>
          <cell r="BD565">
            <v>101</v>
          </cell>
          <cell r="BE565">
            <v>101</v>
          </cell>
          <cell r="BF565">
            <v>101</v>
          </cell>
          <cell r="BG565">
            <v>101</v>
          </cell>
          <cell r="BH565">
            <v>101</v>
          </cell>
          <cell r="BI565">
            <v>101</v>
          </cell>
          <cell r="BJ565">
            <v>101</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row>
        <row r="566">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62</v>
          </cell>
          <cell r="BI566">
            <v>62</v>
          </cell>
          <cell r="BJ566">
            <v>62</v>
          </cell>
          <cell r="BK566">
            <v>62</v>
          </cell>
          <cell r="BL566">
            <v>62</v>
          </cell>
          <cell r="BM566">
            <v>62</v>
          </cell>
          <cell r="BN566">
            <v>62</v>
          </cell>
          <cell r="BO566">
            <v>62</v>
          </cell>
          <cell r="BP566">
            <v>62</v>
          </cell>
          <cell r="BQ566">
            <v>0</v>
          </cell>
          <cell r="BR566">
            <v>0</v>
          </cell>
          <cell r="BS566">
            <v>0</v>
          </cell>
          <cell r="BT566">
            <v>0</v>
          </cell>
          <cell r="BU566">
            <v>0</v>
          </cell>
          <cell r="BV566">
            <v>0</v>
          </cell>
          <cell r="BW566">
            <v>0</v>
          </cell>
          <cell r="BX566">
            <v>0</v>
          </cell>
        </row>
        <row r="567">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cell r="BX567">
            <v>0</v>
          </cell>
        </row>
        <row r="568">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row>
        <row r="569">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row>
        <row r="570">
          <cell r="AO570" t="str">
            <v>伊良湖リゾート＆コンベンションホテル（旧伊良湖シーパーク＆スパ）　合計</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62</v>
          </cell>
          <cell r="BI570">
            <v>62</v>
          </cell>
          <cell r="BJ570">
            <v>62</v>
          </cell>
          <cell r="BK570">
            <v>62</v>
          </cell>
          <cell r="BL570">
            <v>62</v>
          </cell>
          <cell r="BM570">
            <v>62</v>
          </cell>
          <cell r="BN570">
            <v>62</v>
          </cell>
          <cell r="BO570">
            <v>62</v>
          </cell>
          <cell r="BP570">
            <v>62</v>
          </cell>
          <cell r="BQ570">
            <v>0</v>
          </cell>
          <cell r="BR570">
            <v>0</v>
          </cell>
          <cell r="BS570">
            <v>0</v>
          </cell>
          <cell r="BT570">
            <v>0</v>
          </cell>
          <cell r="BU570">
            <v>0</v>
          </cell>
          <cell r="BV570">
            <v>0</v>
          </cell>
          <cell r="BW570">
            <v>0</v>
          </cell>
          <cell r="BX570">
            <v>0</v>
          </cell>
        </row>
        <row r="571">
          <cell r="AP571">
            <v>0</v>
          </cell>
          <cell r="AQ571">
            <v>0</v>
          </cell>
          <cell r="AR571">
            <v>0</v>
          </cell>
          <cell r="AS571">
            <v>0</v>
          </cell>
          <cell r="AT571">
            <v>0</v>
          </cell>
          <cell r="AU571">
            <v>0</v>
          </cell>
          <cell r="AV571">
            <v>0</v>
          </cell>
          <cell r="AW571">
            <v>0</v>
          </cell>
          <cell r="AX571">
            <v>0</v>
          </cell>
          <cell r="AY571">
            <v>0</v>
          </cell>
          <cell r="AZ571">
            <v>0</v>
          </cell>
          <cell r="BA571">
            <v>0</v>
          </cell>
          <cell r="BB571">
            <v>224</v>
          </cell>
          <cell r="BC571">
            <v>224</v>
          </cell>
          <cell r="BD571">
            <v>224</v>
          </cell>
          <cell r="BE571">
            <v>224</v>
          </cell>
          <cell r="BF571">
            <v>224</v>
          </cell>
          <cell r="BG571">
            <v>224</v>
          </cell>
          <cell r="BH571">
            <v>224</v>
          </cell>
          <cell r="BI571">
            <v>224</v>
          </cell>
          <cell r="BJ571">
            <v>224</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row>
        <row r="572">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cell r="BM572">
            <v>0</v>
          </cell>
          <cell r="BN572">
            <v>208</v>
          </cell>
          <cell r="BO572">
            <v>208</v>
          </cell>
          <cell r="BP572">
            <v>208</v>
          </cell>
          <cell r="BQ572">
            <v>208</v>
          </cell>
          <cell r="BR572">
            <v>208</v>
          </cell>
          <cell r="BS572">
            <v>208</v>
          </cell>
          <cell r="BT572">
            <v>208</v>
          </cell>
          <cell r="BU572">
            <v>0</v>
          </cell>
          <cell r="BV572">
            <v>0</v>
          </cell>
          <cell r="BW572">
            <v>0</v>
          </cell>
          <cell r="BX572">
            <v>0</v>
          </cell>
        </row>
        <row r="573">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row>
        <row r="574">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row>
        <row r="575">
          <cell r="AO575" t="str">
            <v>ロワジールホテル豊橋　合計</v>
          </cell>
          <cell r="AP575">
            <v>0</v>
          </cell>
          <cell r="AQ575">
            <v>0</v>
          </cell>
          <cell r="AR575">
            <v>0</v>
          </cell>
          <cell r="AS575">
            <v>0</v>
          </cell>
          <cell r="AT575">
            <v>0</v>
          </cell>
          <cell r="AU575">
            <v>0</v>
          </cell>
          <cell r="AV575">
            <v>0</v>
          </cell>
          <cell r="AW575">
            <v>0</v>
          </cell>
          <cell r="AX575">
            <v>0</v>
          </cell>
          <cell r="AY575">
            <v>0</v>
          </cell>
          <cell r="AZ575">
            <v>0</v>
          </cell>
          <cell r="BA575">
            <v>0</v>
          </cell>
          <cell r="BB575">
            <v>224</v>
          </cell>
          <cell r="BC575">
            <v>224</v>
          </cell>
          <cell r="BD575">
            <v>224</v>
          </cell>
          <cell r="BE575">
            <v>224</v>
          </cell>
          <cell r="BF575">
            <v>224</v>
          </cell>
          <cell r="BG575">
            <v>224</v>
          </cell>
          <cell r="BH575">
            <v>224</v>
          </cell>
          <cell r="BI575">
            <v>224</v>
          </cell>
          <cell r="BJ575">
            <v>224</v>
          </cell>
          <cell r="BK575">
            <v>0</v>
          </cell>
          <cell r="BL575">
            <v>0</v>
          </cell>
          <cell r="BM575">
            <v>0</v>
          </cell>
          <cell r="BN575">
            <v>208</v>
          </cell>
          <cell r="BO575">
            <v>208</v>
          </cell>
          <cell r="BP575">
            <v>208</v>
          </cell>
          <cell r="BQ575">
            <v>208</v>
          </cell>
          <cell r="BR575">
            <v>208</v>
          </cell>
          <cell r="BS575">
            <v>208</v>
          </cell>
          <cell r="BT575">
            <v>208</v>
          </cell>
          <cell r="BU575">
            <v>0</v>
          </cell>
          <cell r="BV575">
            <v>0</v>
          </cell>
          <cell r="BW575">
            <v>0</v>
          </cell>
          <cell r="BX575">
            <v>0</v>
          </cell>
        </row>
        <row r="576">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row>
        <row r="577">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cell r="BM577">
            <v>0</v>
          </cell>
          <cell r="BN577">
            <v>0</v>
          </cell>
          <cell r="BO577">
            <v>0</v>
          </cell>
          <cell r="BP577">
            <v>0</v>
          </cell>
          <cell r="BQ577">
            <v>0</v>
          </cell>
          <cell r="BR577">
            <v>0</v>
          </cell>
          <cell r="BS577">
            <v>0</v>
          </cell>
          <cell r="BT577">
            <v>0</v>
          </cell>
          <cell r="BU577">
            <v>0</v>
          </cell>
          <cell r="BV577">
            <v>0</v>
          </cell>
          <cell r="BW577">
            <v>0</v>
          </cell>
          <cell r="BX577">
            <v>0</v>
          </cell>
        </row>
        <row r="578">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cell r="BM578">
            <v>0</v>
          </cell>
          <cell r="BN578">
            <v>0</v>
          </cell>
          <cell r="BO578">
            <v>0</v>
          </cell>
          <cell r="BP578">
            <v>0</v>
          </cell>
          <cell r="BQ578">
            <v>0</v>
          </cell>
          <cell r="BR578">
            <v>0</v>
          </cell>
          <cell r="BS578">
            <v>0</v>
          </cell>
          <cell r="BT578">
            <v>0</v>
          </cell>
          <cell r="BU578">
            <v>0</v>
          </cell>
          <cell r="BV578">
            <v>0</v>
          </cell>
          <cell r="BW578">
            <v>0</v>
          </cell>
          <cell r="BX578">
            <v>0</v>
          </cell>
        </row>
        <row r="579">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cell r="BM579">
            <v>0</v>
          </cell>
          <cell r="BN579">
            <v>0</v>
          </cell>
          <cell r="BO579">
            <v>0</v>
          </cell>
          <cell r="BP579">
            <v>0</v>
          </cell>
          <cell r="BQ579">
            <v>0</v>
          </cell>
          <cell r="BR579">
            <v>0</v>
          </cell>
          <cell r="BS579">
            <v>0</v>
          </cell>
          <cell r="BT579">
            <v>0</v>
          </cell>
          <cell r="BU579">
            <v>0</v>
          </cell>
          <cell r="BV579">
            <v>0</v>
          </cell>
          <cell r="BW579">
            <v>0</v>
          </cell>
          <cell r="BX579">
            <v>0</v>
          </cell>
        </row>
        <row r="580">
          <cell r="AO580" t="str">
            <v>ホテルアソシア豊橋　合計</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cell r="BM580">
            <v>0</v>
          </cell>
          <cell r="BN580">
            <v>0</v>
          </cell>
          <cell r="BO580">
            <v>0</v>
          </cell>
          <cell r="BP580">
            <v>0</v>
          </cell>
          <cell r="BQ580">
            <v>0</v>
          </cell>
          <cell r="BR580">
            <v>0</v>
          </cell>
          <cell r="BS580">
            <v>0</v>
          </cell>
          <cell r="BT580">
            <v>0</v>
          </cell>
          <cell r="BU580">
            <v>0</v>
          </cell>
          <cell r="BV580">
            <v>0</v>
          </cell>
          <cell r="BW580">
            <v>0</v>
          </cell>
          <cell r="BX580">
            <v>0</v>
          </cell>
        </row>
        <row r="581">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cell r="BM581">
            <v>0</v>
          </cell>
          <cell r="BN581">
            <v>0</v>
          </cell>
          <cell r="BO581">
            <v>0</v>
          </cell>
          <cell r="BP581">
            <v>0</v>
          </cell>
          <cell r="BQ581">
            <v>0</v>
          </cell>
          <cell r="BR581">
            <v>0</v>
          </cell>
          <cell r="BS581">
            <v>0</v>
          </cell>
          <cell r="BT581">
            <v>0</v>
          </cell>
          <cell r="BU581">
            <v>0</v>
          </cell>
          <cell r="BV581">
            <v>0</v>
          </cell>
          <cell r="BW581">
            <v>0</v>
          </cell>
          <cell r="BX581">
            <v>0</v>
          </cell>
        </row>
        <row r="582">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cell r="BM582">
            <v>0</v>
          </cell>
          <cell r="BN582">
            <v>0</v>
          </cell>
          <cell r="BO582">
            <v>0</v>
          </cell>
          <cell r="BP582">
            <v>0</v>
          </cell>
          <cell r="BQ582">
            <v>0</v>
          </cell>
          <cell r="BR582">
            <v>0</v>
          </cell>
          <cell r="BS582">
            <v>0</v>
          </cell>
          <cell r="BT582">
            <v>0</v>
          </cell>
          <cell r="BU582">
            <v>0</v>
          </cell>
          <cell r="BV582">
            <v>0</v>
          </cell>
          <cell r="BW582">
            <v>0</v>
          </cell>
          <cell r="BX582">
            <v>0</v>
          </cell>
        </row>
        <row r="583">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cell r="BM583">
            <v>0</v>
          </cell>
          <cell r="BN583">
            <v>0</v>
          </cell>
          <cell r="BO583">
            <v>0</v>
          </cell>
          <cell r="BP583">
            <v>0</v>
          </cell>
          <cell r="BQ583">
            <v>0</v>
          </cell>
          <cell r="BR583">
            <v>0</v>
          </cell>
          <cell r="BS583">
            <v>0</v>
          </cell>
          <cell r="BT583">
            <v>0</v>
          </cell>
          <cell r="BU583">
            <v>0</v>
          </cell>
          <cell r="BV583">
            <v>0</v>
          </cell>
          <cell r="BW583">
            <v>0</v>
          </cell>
          <cell r="BX583">
            <v>0</v>
          </cell>
        </row>
        <row r="584">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cell r="BX584">
            <v>0</v>
          </cell>
        </row>
        <row r="585">
          <cell r="AO585" t="str">
            <v>シーパレスリゾート　合計</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0</v>
          </cell>
          <cell r="BN585">
            <v>0</v>
          </cell>
          <cell r="BO585">
            <v>0</v>
          </cell>
          <cell r="BP585">
            <v>0</v>
          </cell>
          <cell r="BQ585">
            <v>0</v>
          </cell>
          <cell r="BR585">
            <v>0</v>
          </cell>
          <cell r="BS585">
            <v>0</v>
          </cell>
          <cell r="BT585">
            <v>0</v>
          </cell>
          <cell r="BU585">
            <v>0</v>
          </cell>
          <cell r="BV585">
            <v>0</v>
          </cell>
          <cell r="BW585">
            <v>0</v>
          </cell>
          <cell r="BX585">
            <v>0</v>
          </cell>
        </row>
        <row r="586">
          <cell r="AP586">
            <v>0</v>
          </cell>
          <cell r="AQ586">
            <v>0</v>
          </cell>
          <cell r="AR586">
            <v>0</v>
          </cell>
          <cell r="AS586">
            <v>0</v>
          </cell>
          <cell r="AT586">
            <v>0</v>
          </cell>
          <cell r="AU586">
            <v>0</v>
          </cell>
          <cell r="AV586">
            <v>0</v>
          </cell>
          <cell r="AW586">
            <v>0</v>
          </cell>
          <cell r="AX586">
            <v>0</v>
          </cell>
          <cell r="AY586">
            <v>0</v>
          </cell>
          <cell r="AZ586">
            <v>168</v>
          </cell>
          <cell r="BA586">
            <v>168</v>
          </cell>
          <cell r="BB586">
            <v>168</v>
          </cell>
          <cell r="BC586">
            <v>168</v>
          </cell>
          <cell r="BD586">
            <v>168</v>
          </cell>
          <cell r="BE586">
            <v>168</v>
          </cell>
          <cell r="BF586">
            <v>168</v>
          </cell>
          <cell r="BG586">
            <v>168</v>
          </cell>
          <cell r="BH586">
            <v>168</v>
          </cell>
          <cell r="BI586">
            <v>168</v>
          </cell>
          <cell r="BJ586">
            <v>168</v>
          </cell>
          <cell r="BK586">
            <v>168</v>
          </cell>
          <cell r="BL586">
            <v>168</v>
          </cell>
          <cell r="BM586">
            <v>168</v>
          </cell>
          <cell r="BN586">
            <v>168</v>
          </cell>
          <cell r="BO586">
            <v>168</v>
          </cell>
          <cell r="BP586">
            <v>168</v>
          </cell>
          <cell r="BQ586">
            <v>168</v>
          </cell>
          <cell r="BR586">
            <v>168</v>
          </cell>
          <cell r="BS586">
            <v>168</v>
          </cell>
          <cell r="BT586">
            <v>168</v>
          </cell>
          <cell r="BU586">
            <v>0</v>
          </cell>
          <cell r="BV586">
            <v>0</v>
          </cell>
          <cell r="BW586">
            <v>0</v>
          </cell>
          <cell r="BX586">
            <v>0</v>
          </cell>
        </row>
        <row r="587">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cell r="BM587">
            <v>0</v>
          </cell>
          <cell r="BN587">
            <v>0</v>
          </cell>
          <cell r="BO587">
            <v>0</v>
          </cell>
          <cell r="BP587">
            <v>0</v>
          </cell>
          <cell r="BQ587">
            <v>0</v>
          </cell>
          <cell r="BR587">
            <v>0</v>
          </cell>
          <cell r="BS587">
            <v>0</v>
          </cell>
          <cell r="BT587">
            <v>0</v>
          </cell>
          <cell r="BU587">
            <v>0</v>
          </cell>
          <cell r="BV587">
            <v>0</v>
          </cell>
          <cell r="BW587">
            <v>0</v>
          </cell>
          <cell r="BX587">
            <v>0</v>
          </cell>
        </row>
        <row r="588">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row>
        <row r="589">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row>
        <row r="590">
          <cell r="AO590" t="str">
            <v>岐阜グランドホテル　合計</v>
          </cell>
          <cell r="AP590">
            <v>0</v>
          </cell>
          <cell r="AQ590">
            <v>0</v>
          </cell>
          <cell r="AR590">
            <v>0</v>
          </cell>
          <cell r="AS590">
            <v>0</v>
          </cell>
          <cell r="AT590">
            <v>0</v>
          </cell>
          <cell r="AU590">
            <v>0</v>
          </cell>
          <cell r="AV590">
            <v>0</v>
          </cell>
          <cell r="AW590">
            <v>0</v>
          </cell>
          <cell r="AX590">
            <v>0</v>
          </cell>
          <cell r="AY590">
            <v>0</v>
          </cell>
          <cell r="AZ590">
            <v>168</v>
          </cell>
          <cell r="BA590">
            <v>168</v>
          </cell>
          <cell r="BB590">
            <v>168</v>
          </cell>
          <cell r="BC590">
            <v>168</v>
          </cell>
          <cell r="BD590">
            <v>168</v>
          </cell>
          <cell r="BE590">
            <v>168</v>
          </cell>
          <cell r="BF590">
            <v>168</v>
          </cell>
          <cell r="BG590">
            <v>168</v>
          </cell>
          <cell r="BH590">
            <v>168</v>
          </cell>
          <cell r="BI590">
            <v>168</v>
          </cell>
          <cell r="BJ590">
            <v>168</v>
          </cell>
          <cell r="BK590">
            <v>168</v>
          </cell>
          <cell r="BL590">
            <v>168</v>
          </cell>
          <cell r="BM590">
            <v>168</v>
          </cell>
          <cell r="BN590">
            <v>168</v>
          </cell>
          <cell r="BO590">
            <v>168</v>
          </cell>
          <cell r="BP590">
            <v>168</v>
          </cell>
          <cell r="BQ590">
            <v>168</v>
          </cell>
          <cell r="BR590">
            <v>168</v>
          </cell>
          <cell r="BS590">
            <v>168</v>
          </cell>
          <cell r="BT590">
            <v>168</v>
          </cell>
          <cell r="BU590">
            <v>0</v>
          </cell>
          <cell r="BV590">
            <v>0</v>
          </cell>
          <cell r="BW590">
            <v>0</v>
          </cell>
          <cell r="BX590">
            <v>0</v>
          </cell>
        </row>
        <row r="591">
          <cell r="AP591">
            <v>0</v>
          </cell>
          <cell r="AQ591">
            <v>0</v>
          </cell>
          <cell r="AR591">
            <v>0</v>
          </cell>
          <cell r="AS591">
            <v>0</v>
          </cell>
          <cell r="AT591">
            <v>0</v>
          </cell>
          <cell r="AU591">
            <v>0</v>
          </cell>
          <cell r="AV591">
            <v>0</v>
          </cell>
          <cell r="AW591">
            <v>0</v>
          </cell>
          <cell r="AX591">
            <v>0</v>
          </cell>
          <cell r="AY591">
            <v>0</v>
          </cell>
          <cell r="AZ591">
            <v>226</v>
          </cell>
          <cell r="BA591">
            <v>226</v>
          </cell>
          <cell r="BB591">
            <v>226</v>
          </cell>
          <cell r="BC591">
            <v>226</v>
          </cell>
          <cell r="BD591">
            <v>226</v>
          </cell>
          <cell r="BE591">
            <v>226</v>
          </cell>
          <cell r="BF591">
            <v>226</v>
          </cell>
          <cell r="BG591">
            <v>226</v>
          </cell>
          <cell r="BH591">
            <v>226</v>
          </cell>
          <cell r="BI591">
            <v>226</v>
          </cell>
          <cell r="BJ591">
            <v>226</v>
          </cell>
          <cell r="BK591">
            <v>226</v>
          </cell>
          <cell r="BL591">
            <v>226</v>
          </cell>
          <cell r="BM591">
            <v>226</v>
          </cell>
          <cell r="BN591">
            <v>226</v>
          </cell>
          <cell r="BO591">
            <v>226</v>
          </cell>
          <cell r="BP591">
            <v>226</v>
          </cell>
          <cell r="BQ591">
            <v>226</v>
          </cell>
          <cell r="BR591">
            <v>226</v>
          </cell>
          <cell r="BS591">
            <v>226</v>
          </cell>
          <cell r="BT591">
            <v>226</v>
          </cell>
          <cell r="BU591">
            <v>0</v>
          </cell>
          <cell r="BV591">
            <v>0</v>
          </cell>
          <cell r="BW591">
            <v>0</v>
          </cell>
          <cell r="BX591">
            <v>0</v>
          </cell>
        </row>
        <row r="592">
          <cell r="AP592">
            <v>0</v>
          </cell>
          <cell r="AQ592">
            <v>0</v>
          </cell>
          <cell r="AR592">
            <v>0</v>
          </cell>
          <cell r="AS592">
            <v>0</v>
          </cell>
          <cell r="AT592">
            <v>0</v>
          </cell>
          <cell r="AU592">
            <v>0</v>
          </cell>
          <cell r="AV592">
            <v>58</v>
          </cell>
          <cell r="AW592">
            <v>116</v>
          </cell>
          <cell r="AX592">
            <v>116</v>
          </cell>
          <cell r="AY592">
            <v>116</v>
          </cell>
          <cell r="AZ592">
            <v>116</v>
          </cell>
          <cell r="BA592">
            <v>116</v>
          </cell>
          <cell r="BB592">
            <v>116</v>
          </cell>
          <cell r="BC592">
            <v>116</v>
          </cell>
          <cell r="BD592">
            <v>116</v>
          </cell>
          <cell r="BE592">
            <v>116</v>
          </cell>
          <cell r="BF592">
            <v>116</v>
          </cell>
          <cell r="BG592">
            <v>116</v>
          </cell>
          <cell r="BH592">
            <v>66</v>
          </cell>
          <cell r="BI592">
            <v>58</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row>
        <row r="593">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row>
        <row r="594">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row>
        <row r="595">
          <cell r="AO595" t="str">
            <v>都ホテル岐阜長良川　合計</v>
          </cell>
          <cell r="AP595">
            <v>0</v>
          </cell>
          <cell r="AQ595">
            <v>0</v>
          </cell>
          <cell r="AR595">
            <v>0</v>
          </cell>
          <cell r="AS595">
            <v>0</v>
          </cell>
          <cell r="AT595">
            <v>0</v>
          </cell>
          <cell r="AU595">
            <v>0</v>
          </cell>
          <cell r="AV595">
            <v>58</v>
          </cell>
          <cell r="AW595">
            <v>116</v>
          </cell>
          <cell r="AX595">
            <v>116</v>
          </cell>
          <cell r="AY595">
            <v>116</v>
          </cell>
          <cell r="AZ595">
            <v>342</v>
          </cell>
          <cell r="BA595">
            <v>342</v>
          </cell>
          <cell r="BB595">
            <v>342</v>
          </cell>
          <cell r="BC595">
            <v>342</v>
          </cell>
          <cell r="BD595">
            <v>342</v>
          </cell>
          <cell r="BE595">
            <v>342</v>
          </cell>
          <cell r="BF595">
            <v>342</v>
          </cell>
          <cell r="BG595">
            <v>342</v>
          </cell>
          <cell r="BH595">
            <v>292</v>
          </cell>
          <cell r="BI595">
            <v>284</v>
          </cell>
          <cell r="BJ595">
            <v>226</v>
          </cell>
          <cell r="BK595">
            <v>226</v>
          </cell>
          <cell r="BL595">
            <v>226</v>
          </cell>
          <cell r="BM595">
            <v>226</v>
          </cell>
          <cell r="BN595">
            <v>226</v>
          </cell>
          <cell r="BO595">
            <v>226</v>
          </cell>
          <cell r="BP595">
            <v>226</v>
          </cell>
          <cell r="BQ595">
            <v>226</v>
          </cell>
          <cell r="BR595">
            <v>226</v>
          </cell>
          <cell r="BS595">
            <v>226</v>
          </cell>
          <cell r="BT595">
            <v>226</v>
          </cell>
          <cell r="BU595">
            <v>0</v>
          </cell>
          <cell r="BV595">
            <v>0</v>
          </cell>
          <cell r="BW595">
            <v>0</v>
          </cell>
          <cell r="BX595">
            <v>0</v>
          </cell>
        </row>
        <row r="596">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row>
        <row r="597">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0</v>
          </cell>
          <cell r="BW597">
            <v>0</v>
          </cell>
          <cell r="BX597">
            <v>0</v>
          </cell>
        </row>
        <row r="598">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row>
        <row r="599">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row>
        <row r="600">
          <cell r="AO600" t="str">
            <v>ホテルリソル岐阜　合計</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row>
        <row r="601">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cell r="BX601">
            <v>0</v>
          </cell>
        </row>
        <row r="602">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row>
        <row r="603">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row>
        <row r="604">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row>
        <row r="605">
          <cell r="AO605" t="str">
            <v>オースタット国際ホテル多治見　合計</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row>
        <row r="606">
          <cell r="AP606">
            <v>0</v>
          </cell>
          <cell r="AQ606">
            <v>0</v>
          </cell>
          <cell r="AR606">
            <v>0</v>
          </cell>
          <cell r="AS606">
            <v>0</v>
          </cell>
          <cell r="AT606">
            <v>0</v>
          </cell>
          <cell r="AU606">
            <v>0</v>
          </cell>
          <cell r="AV606">
            <v>0</v>
          </cell>
          <cell r="AW606">
            <v>0</v>
          </cell>
          <cell r="AX606">
            <v>0</v>
          </cell>
          <cell r="AY606">
            <v>0</v>
          </cell>
          <cell r="AZ606">
            <v>0</v>
          </cell>
          <cell r="BA606">
            <v>0</v>
          </cell>
          <cell r="BB606">
            <v>100</v>
          </cell>
          <cell r="BC606">
            <v>100</v>
          </cell>
          <cell r="BD606">
            <v>100</v>
          </cell>
          <cell r="BE606">
            <v>100</v>
          </cell>
          <cell r="BF606">
            <v>100</v>
          </cell>
          <cell r="BG606">
            <v>100</v>
          </cell>
          <cell r="BH606">
            <v>100</v>
          </cell>
          <cell r="BI606">
            <v>100</v>
          </cell>
          <cell r="BJ606">
            <v>100</v>
          </cell>
          <cell r="BK606">
            <v>100</v>
          </cell>
          <cell r="BL606">
            <v>100</v>
          </cell>
          <cell r="BM606">
            <v>0</v>
          </cell>
          <cell r="BN606">
            <v>0</v>
          </cell>
          <cell r="BO606">
            <v>0</v>
          </cell>
          <cell r="BP606">
            <v>0</v>
          </cell>
          <cell r="BQ606">
            <v>0</v>
          </cell>
          <cell r="BR606">
            <v>0</v>
          </cell>
          <cell r="BS606">
            <v>0</v>
          </cell>
          <cell r="BT606">
            <v>0</v>
          </cell>
          <cell r="BU606">
            <v>0</v>
          </cell>
          <cell r="BV606">
            <v>0</v>
          </cell>
          <cell r="BW606">
            <v>0</v>
          </cell>
          <cell r="BX606">
            <v>0</v>
          </cell>
        </row>
        <row r="607">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row>
        <row r="608">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cell r="BM608">
            <v>0</v>
          </cell>
          <cell r="BN608">
            <v>0</v>
          </cell>
          <cell r="BO608">
            <v>0</v>
          </cell>
          <cell r="BP608">
            <v>0</v>
          </cell>
          <cell r="BQ608">
            <v>0</v>
          </cell>
          <cell r="BR608">
            <v>0</v>
          </cell>
          <cell r="BS608">
            <v>0</v>
          </cell>
          <cell r="BT608">
            <v>0</v>
          </cell>
          <cell r="BU608">
            <v>0</v>
          </cell>
          <cell r="BV608">
            <v>0</v>
          </cell>
          <cell r="BW608">
            <v>0</v>
          </cell>
          <cell r="BX608">
            <v>0</v>
          </cell>
        </row>
        <row r="609">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row>
        <row r="610">
          <cell r="AO610" t="str">
            <v>大垣フォーラムホテル　合計</v>
          </cell>
          <cell r="AP610">
            <v>0</v>
          </cell>
          <cell r="AQ610">
            <v>0</v>
          </cell>
          <cell r="AR610">
            <v>0</v>
          </cell>
          <cell r="AS610">
            <v>0</v>
          </cell>
          <cell r="AT610">
            <v>0</v>
          </cell>
          <cell r="AU610">
            <v>0</v>
          </cell>
          <cell r="AV610">
            <v>0</v>
          </cell>
          <cell r="AW610">
            <v>0</v>
          </cell>
          <cell r="AX610">
            <v>0</v>
          </cell>
          <cell r="AY610">
            <v>0</v>
          </cell>
          <cell r="AZ610">
            <v>0</v>
          </cell>
          <cell r="BA610">
            <v>0</v>
          </cell>
          <cell r="BB610">
            <v>100</v>
          </cell>
          <cell r="BC610">
            <v>100</v>
          </cell>
          <cell r="BD610">
            <v>100</v>
          </cell>
          <cell r="BE610">
            <v>100</v>
          </cell>
          <cell r="BF610">
            <v>100</v>
          </cell>
          <cell r="BG610">
            <v>100</v>
          </cell>
          <cell r="BH610">
            <v>100</v>
          </cell>
          <cell r="BI610">
            <v>100</v>
          </cell>
          <cell r="BJ610">
            <v>100</v>
          </cell>
          <cell r="BK610">
            <v>100</v>
          </cell>
          <cell r="BL610">
            <v>100</v>
          </cell>
          <cell r="BM610">
            <v>0</v>
          </cell>
          <cell r="BN610">
            <v>0</v>
          </cell>
          <cell r="BO610">
            <v>0</v>
          </cell>
          <cell r="BP610">
            <v>0</v>
          </cell>
          <cell r="BQ610">
            <v>0</v>
          </cell>
          <cell r="BR610">
            <v>0</v>
          </cell>
          <cell r="BS610">
            <v>0</v>
          </cell>
          <cell r="BT610">
            <v>0</v>
          </cell>
          <cell r="BU610">
            <v>0</v>
          </cell>
          <cell r="BV610">
            <v>0</v>
          </cell>
          <cell r="BW610">
            <v>0</v>
          </cell>
          <cell r="BX610">
            <v>0</v>
          </cell>
        </row>
        <row r="611">
          <cell r="AP611">
            <v>0</v>
          </cell>
          <cell r="AQ611">
            <v>0</v>
          </cell>
          <cell r="AR611">
            <v>0</v>
          </cell>
          <cell r="AS611">
            <v>0</v>
          </cell>
          <cell r="AT611">
            <v>0</v>
          </cell>
          <cell r="AU611">
            <v>0</v>
          </cell>
          <cell r="AV611">
            <v>0</v>
          </cell>
          <cell r="AW611">
            <v>0</v>
          </cell>
          <cell r="AX611">
            <v>0</v>
          </cell>
          <cell r="AY611">
            <v>0</v>
          </cell>
          <cell r="AZ611">
            <v>0</v>
          </cell>
          <cell r="BA611">
            <v>0</v>
          </cell>
          <cell r="BB611">
            <v>100</v>
          </cell>
          <cell r="BC611">
            <v>100</v>
          </cell>
          <cell r="BD611">
            <v>100</v>
          </cell>
          <cell r="BE611">
            <v>100</v>
          </cell>
          <cell r="BF611">
            <v>100</v>
          </cell>
          <cell r="BG611">
            <v>100</v>
          </cell>
          <cell r="BH611">
            <v>100</v>
          </cell>
          <cell r="BI611">
            <v>100</v>
          </cell>
          <cell r="BJ611">
            <v>100</v>
          </cell>
          <cell r="BK611">
            <v>100</v>
          </cell>
          <cell r="BL611">
            <v>100</v>
          </cell>
          <cell r="BM611">
            <v>0</v>
          </cell>
          <cell r="BN611">
            <v>0</v>
          </cell>
          <cell r="BO611">
            <v>0</v>
          </cell>
          <cell r="BP611">
            <v>0</v>
          </cell>
          <cell r="BQ611">
            <v>0</v>
          </cell>
          <cell r="BR611">
            <v>0</v>
          </cell>
          <cell r="BS611">
            <v>0</v>
          </cell>
          <cell r="BT611">
            <v>0</v>
          </cell>
          <cell r="BU611">
            <v>0</v>
          </cell>
          <cell r="BV611">
            <v>0</v>
          </cell>
          <cell r="BW611">
            <v>0</v>
          </cell>
          <cell r="BX611">
            <v>0</v>
          </cell>
        </row>
        <row r="612">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row>
        <row r="613">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row>
        <row r="614">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row>
        <row r="615">
          <cell r="AO615" t="str">
            <v>クインテッサホテル 大垣　合計</v>
          </cell>
          <cell r="AP615">
            <v>0</v>
          </cell>
          <cell r="AQ615">
            <v>0</v>
          </cell>
          <cell r="AR615">
            <v>0</v>
          </cell>
          <cell r="AS615">
            <v>0</v>
          </cell>
          <cell r="AT615">
            <v>0</v>
          </cell>
          <cell r="AU615">
            <v>0</v>
          </cell>
          <cell r="AV615">
            <v>0</v>
          </cell>
          <cell r="AW615">
            <v>0</v>
          </cell>
          <cell r="AX615">
            <v>0</v>
          </cell>
          <cell r="AY615">
            <v>0</v>
          </cell>
          <cell r="AZ615">
            <v>0</v>
          </cell>
          <cell r="BA615">
            <v>0</v>
          </cell>
          <cell r="BB615">
            <v>100</v>
          </cell>
          <cell r="BC615">
            <v>100</v>
          </cell>
          <cell r="BD615">
            <v>100</v>
          </cell>
          <cell r="BE615">
            <v>100</v>
          </cell>
          <cell r="BF615">
            <v>100</v>
          </cell>
          <cell r="BG615">
            <v>100</v>
          </cell>
          <cell r="BH615">
            <v>100</v>
          </cell>
          <cell r="BI615">
            <v>100</v>
          </cell>
          <cell r="BJ615">
            <v>100</v>
          </cell>
          <cell r="BK615">
            <v>100</v>
          </cell>
          <cell r="BL615">
            <v>100</v>
          </cell>
          <cell r="BM615">
            <v>0</v>
          </cell>
          <cell r="BN615">
            <v>0</v>
          </cell>
          <cell r="BO615">
            <v>0</v>
          </cell>
          <cell r="BP615">
            <v>0</v>
          </cell>
          <cell r="BQ615">
            <v>0</v>
          </cell>
          <cell r="BR615">
            <v>0</v>
          </cell>
          <cell r="BS615">
            <v>0</v>
          </cell>
          <cell r="BT615">
            <v>0</v>
          </cell>
          <cell r="BU615">
            <v>0</v>
          </cell>
          <cell r="BV615">
            <v>0</v>
          </cell>
          <cell r="BW615">
            <v>0</v>
          </cell>
          <cell r="BX615">
            <v>0</v>
          </cell>
        </row>
        <row r="616">
          <cell r="AP616">
            <v>0</v>
          </cell>
          <cell r="AQ616">
            <v>0</v>
          </cell>
          <cell r="AR616">
            <v>0</v>
          </cell>
          <cell r="AS616">
            <v>0</v>
          </cell>
          <cell r="AT616">
            <v>0</v>
          </cell>
          <cell r="AU616">
            <v>0</v>
          </cell>
          <cell r="AV616">
            <v>0</v>
          </cell>
          <cell r="AW616">
            <v>0</v>
          </cell>
          <cell r="AX616">
            <v>0</v>
          </cell>
          <cell r="AY616">
            <v>0</v>
          </cell>
          <cell r="AZ616">
            <v>0</v>
          </cell>
          <cell r="BA616">
            <v>0</v>
          </cell>
          <cell r="BB616">
            <v>91</v>
          </cell>
          <cell r="BC616">
            <v>91</v>
          </cell>
          <cell r="BD616">
            <v>91</v>
          </cell>
          <cell r="BE616">
            <v>91</v>
          </cell>
          <cell r="BF616">
            <v>91</v>
          </cell>
          <cell r="BG616">
            <v>91</v>
          </cell>
          <cell r="BH616">
            <v>91</v>
          </cell>
          <cell r="BI616">
            <v>91</v>
          </cell>
          <cell r="BJ616">
            <v>91</v>
          </cell>
          <cell r="BK616">
            <v>91</v>
          </cell>
          <cell r="BL616">
            <v>91</v>
          </cell>
          <cell r="BM616">
            <v>0</v>
          </cell>
          <cell r="BN616">
            <v>0</v>
          </cell>
          <cell r="BO616">
            <v>0</v>
          </cell>
          <cell r="BP616">
            <v>0</v>
          </cell>
          <cell r="BQ616">
            <v>0</v>
          </cell>
          <cell r="BR616">
            <v>0</v>
          </cell>
          <cell r="BS616">
            <v>0</v>
          </cell>
          <cell r="BT616">
            <v>0</v>
          </cell>
          <cell r="BU616">
            <v>0</v>
          </cell>
          <cell r="BV616">
            <v>0</v>
          </cell>
          <cell r="BW616">
            <v>0</v>
          </cell>
          <cell r="BX616">
            <v>0</v>
          </cell>
        </row>
        <row r="617">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row>
        <row r="618">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row>
        <row r="619">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row>
        <row r="620">
          <cell r="AO620" t="str">
            <v>ホテルコーヨー　合計</v>
          </cell>
          <cell r="AP620">
            <v>0</v>
          </cell>
          <cell r="AQ620">
            <v>0</v>
          </cell>
          <cell r="AR620">
            <v>0</v>
          </cell>
          <cell r="AS620">
            <v>0</v>
          </cell>
          <cell r="AT620">
            <v>0</v>
          </cell>
          <cell r="AU620">
            <v>0</v>
          </cell>
          <cell r="AV620">
            <v>0</v>
          </cell>
          <cell r="AW620">
            <v>0</v>
          </cell>
          <cell r="AX620">
            <v>0</v>
          </cell>
          <cell r="AY620">
            <v>0</v>
          </cell>
          <cell r="AZ620">
            <v>0</v>
          </cell>
          <cell r="BA620">
            <v>0</v>
          </cell>
          <cell r="BB620">
            <v>91</v>
          </cell>
          <cell r="BC620">
            <v>91</v>
          </cell>
          <cell r="BD620">
            <v>91</v>
          </cell>
          <cell r="BE620">
            <v>91</v>
          </cell>
          <cell r="BF620">
            <v>91</v>
          </cell>
          <cell r="BG620">
            <v>91</v>
          </cell>
          <cell r="BH620">
            <v>91</v>
          </cell>
          <cell r="BI620">
            <v>91</v>
          </cell>
          <cell r="BJ620">
            <v>91</v>
          </cell>
          <cell r="BK620">
            <v>91</v>
          </cell>
          <cell r="BL620">
            <v>91</v>
          </cell>
          <cell r="BM620">
            <v>0</v>
          </cell>
          <cell r="BN620">
            <v>0</v>
          </cell>
          <cell r="BO620">
            <v>0</v>
          </cell>
          <cell r="BP620">
            <v>0</v>
          </cell>
          <cell r="BQ620">
            <v>0</v>
          </cell>
          <cell r="BR620">
            <v>0</v>
          </cell>
          <cell r="BS620">
            <v>0</v>
          </cell>
          <cell r="BT620">
            <v>0</v>
          </cell>
          <cell r="BU620">
            <v>0</v>
          </cell>
          <cell r="BV620">
            <v>0</v>
          </cell>
          <cell r="BW620">
            <v>0</v>
          </cell>
          <cell r="BX620">
            <v>0</v>
          </cell>
        </row>
        <row r="621">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row>
        <row r="622">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row>
        <row r="623">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row>
        <row r="624">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row>
        <row r="625">
          <cell r="AO625" t="str">
            <v>ホテルナガシマ　合計</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row>
        <row r="626">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152</v>
          </cell>
          <cell r="BM626">
            <v>152</v>
          </cell>
          <cell r="BN626">
            <v>152</v>
          </cell>
          <cell r="BO626">
            <v>152</v>
          </cell>
          <cell r="BP626">
            <v>152</v>
          </cell>
          <cell r="BQ626">
            <v>152</v>
          </cell>
          <cell r="BR626">
            <v>152</v>
          </cell>
          <cell r="BS626">
            <v>152</v>
          </cell>
          <cell r="BT626">
            <v>0</v>
          </cell>
          <cell r="BU626">
            <v>0</v>
          </cell>
          <cell r="BV626">
            <v>0</v>
          </cell>
          <cell r="BW626">
            <v>0</v>
          </cell>
          <cell r="BX626">
            <v>0</v>
          </cell>
        </row>
        <row r="627">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row>
        <row r="628">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row>
        <row r="629">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row>
        <row r="630">
          <cell r="AO630" t="str">
            <v>ホテルラフォーレ修善寺　合計</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152</v>
          </cell>
          <cell r="BM630">
            <v>152</v>
          </cell>
          <cell r="BN630">
            <v>152</v>
          </cell>
          <cell r="BO630">
            <v>152</v>
          </cell>
          <cell r="BP630">
            <v>152</v>
          </cell>
          <cell r="BQ630">
            <v>152</v>
          </cell>
          <cell r="BR630">
            <v>152</v>
          </cell>
          <cell r="BS630">
            <v>152</v>
          </cell>
          <cell r="BT630">
            <v>0</v>
          </cell>
          <cell r="BU630">
            <v>0</v>
          </cell>
          <cell r="BV630">
            <v>0</v>
          </cell>
          <cell r="BW630">
            <v>0</v>
          </cell>
          <cell r="BX630">
            <v>0</v>
          </cell>
        </row>
        <row r="631">
          <cell r="AP631">
            <v>0</v>
          </cell>
          <cell r="AQ631">
            <v>0</v>
          </cell>
          <cell r="AR631">
            <v>0</v>
          </cell>
          <cell r="AS631">
            <v>0</v>
          </cell>
          <cell r="AT631">
            <v>0</v>
          </cell>
          <cell r="AU631">
            <v>0</v>
          </cell>
          <cell r="AV631">
            <v>0</v>
          </cell>
          <cell r="AW631">
            <v>116</v>
          </cell>
          <cell r="AX631">
            <v>116</v>
          </cell>
          <cell r="AY631">
            <v>116</v>
          </cell>
          <cell r="AZ631">
            <v>116</v>
          </cell>
          <cell r="BA631">
            <v>116</v>
          </cell>
          <cell r="BB631">
            <v>116</v>
          </cell>
          <cell r="BC631">
            <v>116</v>
          </cell>
          <cell r="BD631">
            <v>116</v>
          </cell>
          <cell r="BE631">
            <v>116</v>
          </cell>
          <cell r="BF631">
            <v>116</v>
          </cell>
          <cell r="BG631">
            <v>116</v>
          </cell>
          <cell r="BH631">
            <v>174</v>
          </cell>
          <cell r="BI631">
            <v>116</v>
          </cell>
          <cell r="BJ631">
            <v>116</v>
          </cell>
          <cell r="BK631">
            <v>116</v>
          </cell>
          <cell r="BL631">
            <v>116</v>
          </cell>
          <cell r="BM631">
            <v>116</v>
          </cell>
          <cell r="BN631">
            <v>116</v>
          </cell>
          <cell r="BO631">
            <v>116</v>
          </cell>
          <cell r="BP631">
            <v>116</v>
          </cell>
          <cell r="BQ631">
            <v>116</v>
          </cell>
          <cell r="BR631">
            <v>116</v>
          </cell>
          <cell r="BS631">
            <v>116</v>
          </cell>
          <cell r="BT631">
            <v>0</v>
          </cell>
          <cell r="BU631">
            <v>0</v>
          </cell>
          <cell r="BV631">
            <v>0</v>
          </cell>
          <cell r="BW631">
            <v>0</v>
          </cell>
          <cell r="BX631">
            <v>0</v>
          </cell>
        </row>
        <row r="632">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row>
        <row r="633">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row>
        <row r="634">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row>
        <row r="635">
          <cell r="AO635" t="str">
            <v>つま恋リゾート　彩の郷　合計</v>
          </cell>
          <cell r="AP635">
            <v>0</v>
          </cell>
          <cell r="AQ635">
            <v>0</v>
          </cell>
          <cell r="AR635">
            <v>0</v>
          </cell>
          <cell r="AS635">
            <v>0</v>
          </cell>
          <cell r="AT635">
            <v>0</v>
          </cell>
          <cell r="AU635">
            <v>0</v>
          </cell>
          <cell r="AV635">
            <v>0</v>
          </cell>
          <cell r="AW635">
            <v>116</v>
          </cell>
          <cell r="AX635">
            <v>116</v>
          </cell>
          <cell r="AY635">
            <v>116</v>
          </cell>
          <cell r="AZ635">
            <v>116</v>
          </cell>
          <cell r="BA635">
            <v>116</v>
          </cell>
          <cell r="BB635">
            <v>116</v>
          </cell>
          <cell r="BC635">
            <v>116</v>
          </cell>
          <cell r="BD635">
            <v>116</v>
          </cell>
          <cell r="BE635">
            <v>116</v>
          </cell>
          <cell r="BF635">
            <v>116</v>
          </cell>
          <cell r="BG635">
            <v>116</v>
          </cell>
          <cell r="BH635">
            <v>174</v>
          </cell>
          <cell r="BI635">
            <v>116</v>
          </cell>
          <cell r="BJ635">
            <v>116</v>
          </cell>
          <cell r="BK635">
            <v>116</v>
          </cell>
          <cell r="BL635">
            <v>116</v>
          </cell>
          <cell r="BM635">
            <v>116</v>
          </cell>
          <cell r="BN635">
            <v>116</v>
          </cell>
          <cell r="BO635">
            <v>116</v>
          </cell>
          <cell r="BP635">
            <v>116</v>
          </cell>
          <cell r="BQ635">
            <v>116</v>
          </cell>
          <cell r="BR635">
            <v>116</v>
          </cell>
          <cell r="BS635">
            <v>116</v>
          </cell>
          <cell r="BT635">
            <v>0</v>
          </cell>
          <cell r="BU635">
            <v>0</v>
          </cell>
          <cell r="BV635">
            <v>0</v>
          </cell>
          <cell r="BW635">
            <v>0</v>
          </cell>
          <cell r="BX635">
            <v>0</v>
          </cell>
        </row>
        <row r="636">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row>
        <row r="637">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row>
        <row r="638">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row>
        <row r="639">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row>
        <row r="640">
          <cell r="AO640" t="str">
            <v>掛川グランドホテル　合計</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row>
        <row r="641">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99</v>
          </cell>
          <cell r="BJ641">
            <v>99</v>
          </cell>
          <cell r="BK641">
            <v>99</v>
          </cell>
          <cell r="BL641">
            <v>99</v>
          </cell>
          <cell r="BM641">
            <v>99</v>
          </cell>
          <cell r="BN641">
            <v>99</v>
          </cell>
          <cell r="BO641">
            <v>99</v>
          </cell>
          <cell r="BP641">
            <v>0</v>
          </cell>
          <cell r="BQ641">
            <v>0</v>
          </cell>
          <cell r="BR641">
            <v>0</v>
          </cell>
          <cell r="BS641">
            <v>0</v>
          </cell>
          <cell r="BT641">
            <v>0</v>
          </cell>
          <cell r="BU641">
            <v>0</v>
          </cell>
          <cell r="BV641">
            <v>0</v>
          </cell>
          <cell r="BW641">
            <v>0</v>
          </cell>
          <cell r="BX641">
            <v>0</v>
          </cell>
        </row>
        <row r="642">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row>
        <row r="643">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row>
        <row r="644">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cell r="BM644">
            <v>0</v>
          </cell>
          <cell r="BN644">
            <v>0</v>
          </cell>
          <cell r="BO644">
            <v>0</v>
          </cell>
          <cell r="BP644">
            <v>0</v>
          </cell>
          <cell r="BQ644">
            <v>0</v>
          </cell>
          <cell r="BR644">
            <v>0</v>
          </cell>
          <cell r="BS644">
            <v>0</v>
          </cell>
          <cell r="BT644">
            <v>0</v>
          </cell>
          <cell r="BU644">
            <v>0</v>
          </cell>
          <cell r="BV644">
            <v>0</v>
          </cell>
          <cell r="BW644">
            <v>0</v>
          </cell>
          <cell r="BX644">
            <v>0</v>
          </cell>
        </row>
        <row r="645">
          <cell r="AO645" t="str">
            <v>ホテルコンコルド浜松　合計</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99</v>
          </cell>
          <cell r="BJ645">
            <v>99</v>
          </cell>
          <cell r="BK645">
            <v>99</v>
          </cell>
          <cell r="BL645">
            <v>99</v>
          </cell>
          <cell r="BM645">
            <v>99</v>
          </cell>
          <cell r="BN645">
            <v>99</v>
          </cell>
          <cell r="BO645">
            <v>99</v>
          </cell>
          <cell r="BP645">
            <v>0</v>
          </cell>
          <cell r="BQ645">
            <v>0</v>
          </cell>
          <cell r="BR645">
            <v>0</v>
          </cell>
          <cell r="BS645">
            <v>0</v>
          </cell>
          <cell r="BT645">
            <v>0</v>
          </cell>
          <cell r="BU645">
            <v>0</v>
          </cell>
          <cell r="BV645">
            <v>0</v>
          </cell>
          <cell r="BW645">
            <v>0</v>
          </cell>
          <cell r="BX645">
            <v>0</v>
          </cell>
        </row>
        <row r="646">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cell r="BM646">
            <v>0</v>
          </cell>
          <cell r="BN646">
            <v>0</v>
          </cell>
          <cell r="BO646">
            <v>0</v>
          </cell>
          <cell r="BP646">
            <v>0</v>
          </cell>
          <cell r="BQ646">
            <v>0</v>
          </cell>
          <cell r="BR646">
            <v>0</v>
          </cell>
          <cell r="BS646">
            <v>0</v>
          </cell>
          <cell r="BT646">
            <v>0</v>
          </cell>
          <cell r="BU646">
            <v>0</v>
          </cell>
          <cell r="BV646">
            <v>0</v>
          </cell>
          <cell r="BW646">
            <v>0</v>
          </cell>
          <cell r="BX646">
            <v>0</v>
          </cell>
        </row>
        <row r="647">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cell r="BX647">
            <v>0</v>
          </cell>
        </row>
        <row r="648">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row>
        <row r="649">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cell r="BM649">
            <v>0</v>
          </cell>
          <cell r="BN649">
            <v>0</v>
          </cell>
          <cell r="BO649">
            <v>0</v>
          </cell>
          <cell r="BP649">
            <v>0</v>
          </cell>
          <cell r="BQ649">
            <v>0</v>
          </cell>
          <cell r="BR649">
            <v>0</v>
          </cell>
          <cell r="BS649">
            <v>0</v>
          </cell>
          <cell r="BT649">
            <v>0</v>
          </cell>
          <cell r="BU649">
            <v>0</v>
          </cell>
          <cell r="BV649">
            <v>0</v>
          </cell>
          <cell r="BW649">
            <v>0</v>
          </cell>
          <cell r="BX649">
            <v>0</v>
          </cell>
        </row>
        <row r="650">
          <cell r="AO650" t="str">
            <v>THE HAMANAKO（グランドメルキュール浜名湖リゾート＆スパ）　合計</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row>
        <row r="651">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cell r="BX651">
            <v>0</v>
          </cell>
        </row>
        <row r="652">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row>
        <row r="653">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row>
        <row r="654">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row>
        <row r="655">
          <cell r="AO655" t="str">
            <v>京都　東急ホテル　合計</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cell r="BX655">
            <v>0</v>
          </cell>
        </row>
        <row r="656">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cell r="BX656">
            <v>0</v>
          </cell>
        </row>
        <row r="657">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cell r="BM657">
            <v>0</v>
          </cell>
          <cell r="BN657">
            <v>0</v>
          </cell>
          <cell r="BO657">
            <v>0</v>
          </cell>
          <cell r="BP657">
            <v>0</v>
          </cell>
          <cell r="BQ657">
            <v>0</v>
          </cell>
          <cell r="BR657">
            <v>0</v>
          </cell>
          <cell r="BS657">
            <v>0</v>
          </cell>
          <cell r="BT657">
            <v>0</v>
          </cell>
          <cell r="BU657">
            <v>0</v>
          </cell>
          <cell r="BV657">
            <v>0</v>
          </cell>
          <cell r="BW657">
            <v>0</v>
          </cell>
          <cell r="BX657">
            <v>0</v>
          </cell>
        </row>
        <row r="658">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cell r="BM658">
            <v>0</v>
          </cell>
          <cell r="BN658">
            <v>0</v>
          </cell>
          <cell r="BO658">
            <v>0</v>
          </cell>
          <cell r="BP658">
            <v>0</v>
          </cell>
          <cell r="BQ658">
            <v>0</v>
          </cell>
          <cell r="BR658">
            <v>0</v>
          </cell>
          <cell r="BS658">
            <v>0</v>
          </cell>
          <cell r="BT658">
            <v>0</v>
          </cell>
          <cell r="BU658">
            <v>0</v>
          </cell>
          <cell r="BV658">
            <v>0</v>
          </cell>
          <cell r="BW658">
            <v>0</v>
          </cell>
          <cell r="BX658">
            <v>0</v>
          </cell>
        </row>
        <row r="659">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row>
        <row r="660">
          <cell r="AO660" t="str">
            <v>リーガロイヤルホテル京都　合計</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cell r="BM660">
            <v>0</v>
          </cell>
          <cell r="BN660">
            <v>0</v>
          </cell>
          <cell r="BO660">
            <v>0</v>
          </cell>
          <cell r="BP660">
            <v>0</v>
          </cell>
          <cell r="BQ660">
            <v>0</v>
          </cell>
          <cell r="BR660">
            <v>0</v>
          </cell>
          <cell r="BS660">
            <v>0</v>
          </cell>
          <cell r="BT660">
            <v>0</v>
          </cell>
          <cell r="BU660">
            <v>0</v>
          </cell>
          <cell r="BV660">
            <v>0</v>
          </cell>
          <cell r="BW660">
            <v>0</v>
          </cell>
          <cell r="BX660">
            <v>0</v>
          </cell>
        </row>
        <row r="661">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cell r="BM661">
            <v>0</v>
          </cell>
          <cell r="BN661">
            <v>0</v>
          </cell>
          <cell r="BO661">
            <v>0</v>
          </cell>
          <cell r="BP661">
            <v>0</v>
          </cell>
          <cell r="BQ661">
            <v>0</v>
          </cell>
          <cell r="BR661">
            <v>0</v>
          </cell>
          <cell r="BS661">
            <v>0</v>
          </cell>
          <cell r="BT661">
            <v>0</v>
          </cell>
          <cell r="BU661">
            <v>0</v>
          </cell>
          <cell r="BV661">
            <v>0</v>
          </cell>
          <cell r="BW661">
            <v>0</v>
          </cell>
          <cell r="BX661">
            <v>0</v>
          </cell>
        </row>
        <row r="662">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row>
        <row r="663">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row>
        <row r="664">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cell r="BX664">
            <v>0</v>
          </cell>
        </row>
        <row r="665">
          <cell r="AO665" t="str">
            <v>シェラトン都ホテル大阪　合計</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row>
        <row r="666">
          <cell r="AP666">
            <v>0</v>
          </cell>
          <cell r="AQ666">
            <v>0</v>
          </cell>
          <cell r="AR666">
            <v>0</v>
          </cell>
          <cell r="AS666">
            <v>0</v>
          </cell>
          <cell r="AT666">
            <v>0</v>
          </cell>
          <cell r="AU666">
            <v>0</v>
          </cell>
          <cell r="AV666">
            <v>0</v>
          </cell>
          <cell r="AW666">
            <v>116</v>
          </cell>
          <cell r="AX666">
            <v>116</v>
          </cell>
          <cell r="AY666">
            <v>116</v>
          </cell>
          <cell r="AZ666">
            <v>116</v>
          </cell>
          <cell r="BA666">
            <v>116</v>
          </cell>
          <cell r="BB666">
            <v>116</v>
          </cell>
          <cell r="BC666">
            <v>116</v>
          </cell>
          <cell r="BD666">
            <v>116</v>
          </cell>
          <cell r="BE666">
            <v>116</v>
          </cell>
          <cell r="BF666">
            <v>116</v>
          </cell>
          <cell r="BG666">
            <v>116</v>
          </cell>
          <cell r="BH666">
            <v>116</v>
          </cell>
          <cell r="BI666">
            <v>116</v>
          </cell>
          <cell r="BJ666">
            <v>116</v>
          </cell>
          <cell r="BK666">
            <v>116</v>
          </cell>
          <cell r="BL666">
            <v>116</v>
          </cell>
          <cell r="BM666">
            <v>116</v>
          </cell>
          <cell r="BN666">
            <v>116</v>
          </cell>
          <cell r="BO666">
            <v>116</v>
          </cell>
          <cell r="BP666">
            <v>116</v>
          </cell>
          <cell r="BQ666">
            <v>0</v>
          </cell>
          <cell r="BR666">
            <v>0</v>
          </cell>
          <cell r="BS666">
            <v>0</v>
          </cell>
          <cell r="BT666">
            <v>0</v>
          </cell>
          <cell r="BU666">
            <v>0</v>
          </cell>
          <cell r="BV666">
            <v>0</v>
          </cell>
          <cell r="BW666">
            <v>0</v>
          </cell>
          <cell r="BX666">
            <v>0</v>
          </cell>
        </row>
        <row r="667">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0</v>
          </cell>
          <cell r="BJ667">
            <v>0</v>
          </cell>
          <cell r="BK667">
            <v>0</v>
          </cell>
          <cell r="BL667">
            <v>0</v>
          </cell>
          <cell r="BM667">
            <v>0</v>
          </cell>
          <cell r="BN667">
            <v>0</v>
          </cell>
          <cell r="BO667">
            <v>0</v>
          </cell>
          <cell r="BP667">
            <v>0</v>
          </cell>
          <cell r="BQ667">
            <v>0</v>
          </cell>
          <cell r="BR667">
            <v>0</v>
          </cell>
          <cell r="BS667">
            <v>0</v>
          </cell>
          <cell r="BT667">
            <v>0</v>
          </cell>
          <cell r="BU667">
            <v>0</v>
          </cell>
          <cell r="BV667">
            <v>0</v>
          </cell>
          <cell r="BW667">
            <v>0</v>
          </cell>
          <cell r="BX667">
            <v>0</v>
          </cell>
        </row>
        <row r="668">
          <cell r="AP668">
            <v>0</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0</v>
          </cell>
          <cell r="BJ668">
            <v>0</v>
          </cell>
          <cell r="BK668">
            <v>0</v>
          </cell>
          <cell r="BL668">
            <v>0</v>
          </cell>
          <cell r="BM668">
            <v>0</v>
          </cell>
          <cell r="BN668">
            <v>0</v>
          </cell>
          <cell r="BO668">
            <v>0</v>
          </cell>
          <cell r="BP668">
            <v>0</v>
          </cell>
          <cell r="BQ668">
            <v>0</v>
          </cell>
          <cell r="BR668">
            <v>0</v>
          </cell>
          <cell r="BS668">
            <v>0</v>
          </cell>
          <cell r="BT668">
            <v>0</v>
          </cell>
          <cell r="BU668">
            <v>0</v>
          </cell>
          <cell r="BV668">
            <v>0</v>
          </cell>
          <cell r="BW668">
            <v>0</v>
          </cell>
          <cell r="BX668">
            <v>0</v>
          </cell>
        </row>
        <row r="669">
          <cell r="AP669">
            <v>0</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row>
        <row r="670">
          <cell r="AO670" t="str">
            <v>ホテルアゴーラリージェンシー大阪堺　合計</v>
          </cell>
          <cell r="AP670">
            <v>0</v>
          </cell>
          <cell r="AQ670">
            <v>0</v>
          </cell>
          <cell r="AR670">
            <v>0</v>
          </cell>
          <cell r="AS670">
            <v>0</v>
          </cell>
          <cell r="AT670">
            <v>0</v>
          </cell>
          <cell r="AU670">
            <v>0</v>
          </cell>
          <cell r="AV670">
            <v>0</v>
          </cell>
          <cell r="AW670">
            <v>116</v>
          </cell>
          <cell r="AX670">
            <v>116</v>
          </cell>
          <cell r="AY670">
            <v>116</v>
          </cell>
          <cell r="AZ670">
            <v>116</v>
          </cell>
          <cell r="BA670">
            <v>116</v>
          </cell>
          <cell r="BB670">
            <v>116</v>
          </cell>
          <cell r="BC670">
            <v>116</v>
          </cell>
          <cell r="BD670">
            <v>116</v>
          </cell>
          <cell r="BE670">
            <v>116</v>
          </cell>
          <cell r="BF670">
            <v>116</v>
          </cell>
          <cell r="BG670">
            <v>116</v>
          </cell>
          <cell r="BH670">
            <v>116</v>
          </cell>
          <cell r="BI670">
            <v>116</v>
          </cell>
          <cell r="BJ670">
            <v>116</v>
          </cell>
          <cell r="BK670">
            <v>116</v>
          </cell>
          <cell r="BL670">
            <v>116</v>
          </cell>
          <cell r="BM670">
            <v>116</v>
          </cell>
          <cell r="BN670">
            <v>116</v>
          </cell>
          <cell r="BO670">
            <v>116</v>
          </cell>
          <cell r="BP670">
            <v>116</v>
          </cell>
          <cell r="BQ670">
            <v>0</v>
          </cell>
          <cell r="BR670">
            <v>0</v>
          </cell>
          <cell r="BS670">
            <v>0</v>
          </cell>
          <cell r="BT670">
            <v>0</v>
          </cell>
          <cell r="BU670">
            <v>0</v>
          </cell>
          <cell r="BV670">
            <v>0</v>
          </cell>
          <cell r="BW670">
            <v>0</v>
          </cell>
          <cell r="BX670">
            <v>0</v>
          </cell>
        </row>
        <row r="671">
          <cell r="AP671">
            <v>0</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row>
        <row r="672">
          <cell r="AP672">
            <v>0</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row>
        <row r="673">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cell r="BX673">
            <v>0</v>
          </cell>
        </row>
        <row r="674">
          <cell r="AP674">
            <v>0</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0</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row>
        <row r="675">
          <cell r="AO675" t="str">
            <v>神戸西神オリエンタルホテル　合計</v>
          </cell>
          <cell r="AP675">
            <v>0</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row>
        <row r="676">
          <cell r="AP676">
            <v>0</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0</v>
          </cell>
          <cell r="BJ676">
            <v>0</v>
          </cell>
          <cell r="BK676">
            <v>0</v>
          </cell>
          <cell r="BL676">
            <v>0</v>
          </cell>
          <cell r="BM676">
            <v>0</v>
          </cell>
          <cell r="BN676">
            <v>0</v>
          </cell>
          <cell r="BO676">
            <v>0</v>
          </cell>
          <cell r="BP676">
            <v>0</v>
          </cell>
          <cell r="BQ676">
            <v>0</v>
          </cell>
          <cell r="BR676">
            <v>0</v>
          </cell>
          <cell r="BS676">
            <v>0</v>
          </cell>
          <cell r="BT676">
            <v>0</v>
          </cell>
          <cell r="BU676">
            <v>0</v>
          </cell>
          <cell r="BV676">
            <v>0</v>
          </cell>
          <cell r="BW676">
            <v>0</v>
          </cell>
          <cell r="BX676">
            <v>0</v>
          </cell>
        </row>
        <row r="677">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row>
        <row r="678">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row>
        <row r="679">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cell r="BM679">
            <v>0</v>
          </cell>
          <cell r="BN679">
            <v>0</v>
          </cell>
          <cell r="BO679">
            <v>0</v>
          </cell>
          <cell r="BP679">
            <v>0</v>
          </cell>
          <cell r="BQ679">
            <v>0</v>
          </cell>
          <cell r="BR679">
            <v>0</v>
          </cell>
          <cell r="BS679">
            <v>0</v>
          </cell>
          <cell r="BT679">
            <v>0</v>
          </cell>
          <cell r="BU679">
            <v>0</v>
          </cell>
          <cell r="BV679">
            <v>0</v>
          </cell>
          <cell r="BW679">
            <v>0</v>
          </cell>
          <cell r="BX679">
            <v>0</v>
          </cell>
        </row>
        <row r="680">
          <cell r="AO680" t="str">
            <v>ANAクラウンプラザホテル　神戸　合計</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cell r="BX680">
            <v>0</v>
          </cell>
        </row>
        <row r="681">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cell r="BM681">
            <v>0</v>
          </cell>
          <cell r="BN681">
            <v>0</v>
          </cell>
          <cell r="BO681">
            <v>0</v>
          </cell>
          <cell r="BP681">
            <v>0</v>
          </cell>
          <cell r="BQ681">
            <v>0</v>
          </cell>
          <cell r="BR681">
            <v>0</v>
          </cell>
          <cell r="BS681">
            <v>0</v>
          </cell>
          <cell r="BT681">
            <v>0</v>
          </cell>
          <cell r="BU681">
            <v>0</v>
          </cell>
          <cell r="BV681">
            <v>0</v>
          </cell>
          <cell r="BW681">
            <v>0</v>
          </cell>
          <cell r="BX681">
            <v>0</v>
          </cell>
        </row>
        <row r="682">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cell r="BM682">
            <v>0</v>
          </cell>
          <cell r="BN682">
            <v>0</v>
          </cell>
          <cell r="BO682">
            <v>0</v>
          </cell>
          <cell r="BP682">
            <v>0</v>
          </cell>
          <cell r="BQ682">
            <v>0</v>
          </cell>
          <cell r="BR682">
            <v>0</v>
          </cell>
          <cell r="BS682">
            <v>0</v>
          </cell>
          <cell r="BT682">
            <v>0</v>
          </cell>
          <cell r="BU682">
            <v>0</v>
          </cell>
          <cell r="BV682">
            <v>0</v>
          </cell>
          <cell r="BW682">
            <v>0</v>
          </cell>
          <cell r="BX682">
            <v>0</v>
          </cell>
        </row>
        <row r="683">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cell r="BM683">
            <v>0</v>
          </cell>
          <cell r="BN683">
            <v>0</v>
          </cell>
          <cell r="BO683">
            <v>0</v>
          </cell>
          <cell r="BP683">
            <v>0</v>
          </cell>
          <cell r="BQ683">
            <v>0</v>
          </cell>
          <cell r="BR683">
            <v>0</v>
          </cell>
          <cell r="BS683">
            <v>0</v>
          </cell>
          <cell r="BT683">
            <v>0</v>
          </cell>
          <cell r="BU683">
            <v>0</v>
          </cell>
          <cell r="BV683">
            <v>0</v>
          </cell>
          <cell r="BW683">
            <v>0</v>
          </cell>
          <cell r="BX683">
            <v>0</v>
          </cell>
        </row>
        <row r="684">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row>
        <row r="685">
          <cell r="AO685" t="str">
            <v>シーサイドホテル舞子ビラ神戸　合計</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row>
        <row r="686">
          <cell r="AP686">
            <v>0</v>
          </cell>
          <cell r="AQ686">
            <v>0</v>
          </cell>
          <cell r="AR686">
            <v>0</v>
          </cell>
          <cell r="AS686">
            <v>0</v>
          </cell>
          <cell r="AT686">
            <v>0</v>
          </cell>
          <cell r="AU686">
            <v>0</v>
          </cell>
          <cell r="AV686">
            <v>0</v>
          </cell>
          <cell r="AW686">
            <v>116</v>
          </cell>
          <cell r="AX686">
            <v>116</v>
          </cell>
          <cell r="AY686">
            <v>116</v>
          </cell>
          <cell r="AZ686">
            <v>116</v>
          </cell>
          <cell r="BA686">
            <v>116</v>
          </cell>
          <cell r="BB686">
            <v>116</v>
          </cell>
          <cell r="BC686">
            <v>116</v>
          </cell>
          <cell r="BD686">
            <v>116</v>
          </cell>
          <cell r="BE686">
            <v>116</v>
          </cell>
          <cell r="BF686">
            <v>116</v>
          </cell>
          <cell r="BG686">
            <v>116</v>
          </cell>
          <cell r="BH686">
            <v>116</v>
          </cell>
          <cell r="BI686">
            <v>116</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row>
        <row r="687">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row>
        <row r="688">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cell r="BX688">
            <v>0</v>
          </cell>
        </row>
        <row r="689">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row>
        <row r="690">
          <cell r="AO690" t="str">
            <v>神戸ポートピアホテル　合計</v>
          </cell>
          <cell r="AP690">
            <v>0</v>
          </cell>
          <cell r="AQ690">
            <v>0</v>
          </cell>
          <cell r="AR690">
            <v>0</v>
          </cell>
          <cell r="AS690">
            <v>0</v>
          </cell>
          <cell r="AT690">
            <v>0</v>
          </cell>
          <cell r="AU690">
            <v>0</v>
          </cell>
          <cell r="AV690">
            <v>0</v>
          </cell>
          <cell r="AW690">
            <v>116</v>
          </cell>
          <cell r="AX690">
            <v>116</v>
          </cell>
          <cell r="AY690">
            <v>116</v>
          </cell>
          <cell r="AZ690">
            <v>116</v>
          </cell>
          <cell r="BA690">
            <v>116</v>
          </cell>
          <cell r="BB690">
            <v>116</v>
          </cell>
          <cell r="BC690">
            <v>116</v>
          </cell>
          <cell r="BD690">
            <v>116</v>
          </cell>
          <cell r="BE690">
            <v>116</v>
          </cell>
          <cell r="BF690">
            <v>116</v>
          </cell>
          <cell r="BG690">
            <v>116</v>
          </cell>
          <cell r="BH690">
            <v>116</v>
          </cell>
          <cell r="BI690">
            <v>116</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row>
        <row r="691">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row>
        <row r="692">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cell r="BX692">
            <v>0</v>
          </cell>
        </row>
        <row r="693">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row>
        <row r="694">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row>
        <row r="695">
          <cell r="AO695" t="str">
            <v>ラビスタ東京ベイ　合計</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0</v>
          </cell>
          <cell r="BU695">
            <v>0</v>
          </cell>
          <cell r="BV695">
            <v>0</v>
          </cell>
          <cell r="BW695">
            <v>0</v>
          </cell>
          <cell r="BX695">
            <v>0</v>
          </cell>
        </row>
        <row r="696">
          <cell r="AP696">
            <v>0</v>
          </cell>
          <cell r="AQ696">
            <v>0</v>
          </cell>
          <cell r="AR696">
            <v>0</v>
          </cell>
          <cell r="AS696">
            <v>0</v>
          </cell>
          <cell r="AT696">
            <v>0</v>
          </cell>
          <cell r="AU696">
            <v>0</v>
          </cell>
          <cell r="AV696">
            <v>0</v>
          </cell>
          <cell r="AW696">
            <v>0</v>
          </cell>
          <cell r="AX696">
            <v>0</v>
          </cell>
          <cell r="AY696">
            <v>0</v>
          </cell>
          <cell r="AZ696">
            <v>0</v>
          </cell>
          <cell r="BA696">
            <v>0</v>
          </cell>
          <cell r="BB696">
            <v>430</v>
          </cell>
          <cell r="BC696">
            <v>430</v>
          </cell>
          <cell r="BD696">
            <v>430</v>
          </cell>
          <cell r="BE696">
            <v>430</v>
          </cell>
          <cell r="BF696">
            <v>430</v>
          </cell>
          <cell r="BG696">
            <v>430</v>
          </cell>
          <cell r="BH696">
            <v>430</v>
          </cell>
          <cell r="BI696">
            <v>430</v>
          </cell>
          <cell r="BJ696">
            <v>430</v>
          </cell>
          <cell r="BK696">
            <v>430</v>
          </cell>
          <cell r="BL696">
            <v>430</v>
          </cell>
          <cell r="BM696">
            <v>0</v>
          </cell>
          <cell r="BN696">
            <v>0</v>
          </cell>
          <cell r="BO696">
            <v>0</v>
          </cell>
          <cell r="BP696">
            <v>0</v>
          </cell>
          <cell r="BQ696">
            <v>0</v>
          </cell>
          <cell r="BR696">
            <v>0</v>
          </cell>
          <cell r="BS696">
            <v>0</v>
          </cell>
          <cell r="BT696">
            <v>0</v>
          </cell>
          <cell r="BU696">
            <v>0</v>
          </cell>
          <cell r="BV696">
            <v>0</v>
          </cell>
          <cell r="BW696">
            <v>0</v>
          </cell>
          <cell r="BX696">
            <v>0</v>
          </cell>
        </row>
        <row r="697">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79</v>
          </cell>
          <cell r="BI697">
            <v>79</v>
          </cell>
          <cell r="BJ697">
            <v>79</v>
          </cell>
          <cell r="BK697">
            <v>79</v>
          </cell>
          <cell r="BL697">
            <v>79</v>
          </cell>
          <cell r="BM697">
            <v>79</v>
          </cell>
          <cell r="BN697">
            <v>79</v>
          </cell>
          <cell r="BO697">
            <v>79</v>
          </cell>
          <cell r="BP697">
            <v>79</v>
          </cell>
          <cell r="BQ697">
            <v>79</v>
          </cell>
          <cell r="BR697">
            <v>0</v>
          </cell>
          <cell r="BS697">
            <v>0</v>
          </cell>
          <cell r="BT697">
            <v>0</v>
          </cell>
          <cell r="BU697">
            <v>0</v>
          </cell>
          <cell r="BV697">
            <v>0</v>
          </cell>
          <cell r="BW697">
            <v>0</v>
          </cell>
          <cell r="BX697">
            <v>0</v>
          </cell>
        </row>
        <row r="698">
          <cell r="AP698">
            <v>0</v>
          </cell>
          <cell r="AQ698">
            <v>0</v>
          </cell>
          <cell r="AR698">
            <v>0</v>
          </cell>
          <cell r="AS698">
            <v>0</v>
          </cell>
          <cell r="AT698">
            <v>0</v>
          </cell>
          <cell r="AU698">
            <v>0</v>
          </cell>
          <cell r="AV698">
            <v>0</v>
          </cell>
          <cell r="AW698">
            <v>0</v>
          </cell>
          <cell r="AX698">
            <v>0</v>
          </cell>
          <cell r="AY698">
            <v>0</v>
          </cell>
          <cell r="AZ698">
            <v>138</v>
          </cell>
          <cell r="BA698">
            <v>138</v>
          </cell>
          <cell r="BB698">
            <v>138</v>
          </cell>
          <cell r="BC698">
            <v>138</v>
          </cell>
          <cell r="BD698">
            <v>138</v>
          </cell>
          <cell r="BE698">
            <v>138</v>
          </cell>
          <cell r="BF698">
            <v>138</v>
          </cell>
          <cell r="BG698">
            <v>138</v>
          </cell>
          <cell r="BH698">
            <v>138</v>
          </cell>
          <cell r="BI698">
            <v>138</v>
          </cell>
          <cell r="BJ698">
            <v>138</v>
          </cell>
          <cell r="BK698">
            <v>138</v>
          </cell>
          <cell r="BL698">
            <v>138</v>
          </cell>
          <cell r="BM698">
            <v>138</v>
          </cell>
          <cell r="BN698">
            <v>138</v>
          </cell>
          <cell r="BO698">
            <v>138</v>
          </cell>
          <cell r="BP698">
            <v>138</v>
          </cell>
          <cell r="BQ698">
            <v>138</v>
          </cell>
          <cell r="BR698">
            <v>138</v>
          </cell>
          <cell r="BS698">
            <v>138</v>
          </cell>
          <cell r="BT698">
            <v>0</v>
          </cell>
          <cell r="BU698">
            <v>0</v>
          </cell>
          <cell r="BV698">
            <v>0</v>
          </cell>
          <cell r="BW698">
            <v>0</v>
          </cell>
          <cell r="BX698">
            <v>0</v>
          </cell>
        </row>
        <row r="699">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cell r="BX699">
            <v>0</v>
          </cell>
        </row>
        <row r="700">
          <cell r="AO700" t="str">
            <v>東京ベイ潮見プリンスホテル　合計</v>
          </cell>
          <cell r="AP700">
            <v>0</v>
          </cell>
          <cell r="AQ700">
            <v>0</v>
          </cell>
          <cell r="AR700">
            <v>0</v>
          </cell>
          <cell r="AS700">
            <v>0</v>
          </cell>
          <cell r="AT700">
            <v>0</v>
          </cell>
          <cell r="AU700">
            <v>0</v>
          </cell>
          <cell r="AV700">
            <v>0</v>
          </cell>
          <cell r="AW700">
            <v>0</v>
          </cell>
          <cell r="AX700">
            <v>0</v>
          </cell>
          <cell r="AY700">
            <v>0</v>
          </cell>
          <cell r="AZ700">
            <v>138</v>
          </cell>
          <cell r="BA700">
            <v>138</v>
          </cell>
          <cell r="BB700">
            <v>568</v>
          </cell>
          <cell r="BC700">
            <v>568</v>
          </cell>
          <cell r="BD700">
            <v>568</v>
          </cell>
          <cell r="BE700">
            <v>568</v>
          </cell>
          <cell r="BF700">
            <v>568</v>
          </cell>
          <cell r="BG700">
            <v>568</v>
          </cell>
          <cell r="BH700">
            <v>647</v>
          </cell>
          <cell r="BI700">
            <v>647</v>
          </cell>
          <cell r="BJ700">
            <v>647</v>
          </cell>
          <cell r="BK700">
            <v>647</v>
          </cell>
          <cell r="BL700">
            <v>647</v>
          </cell>
          <cell r="BM700">
            <v>217</v>
          </cell>
          <cell r="BN700">
            <v>217</v>
          </cell>
          <cell r="BO700">
            <v>217</v>
          </cell>
          <cell r="BP700">
            <v>217</v>
          </cell>
          <cell r="BQ700">
            <v>217</v>
          </cell>
          <cell r="BR700">
            <v>138</v>
          </cell>
          <cell r="BS700">
            <v>138</v>
          </cell>
          <cell r="BT700">
            <v>0</v>
          </cell>
          <cell r="BU700">
            <v>0</v>
          </cell>
          <cell r="BV700">
            <v>0</v>
          </cell>
          <cell r="BW700">
            <v>0</v>
          </cell>
          <cell r="BX700">
            <v>0</v>
          </cell>
        </row>
        <row r="701">
          <cell r="AO701" t="str">
            <v>総合計</v>
          </cell>
          <cell r="AP701">
            <v>0</v>
          </cell>
          <cell r="AQ701">
            <v>0</v>
          </cell>
          <cell r="AR701">
            <v>0</v>
          </cell>
          <cell r="AS701">
            <v>0</v>
          </cell>
          <cell r="AT701">
            <v>0</v>
          </cell>
          <cell r="AU701">
            <v>374</v>
          </cell>
          <cell r="AV701">
            <v>606</v>
          </cell>
          <cell r="AW701">
            <v>1302</v>
          </cell>
          <cell r="AX701">
            <v>1552</v>
          </cell>
          <cell r="AY701">
            <v>1588</v>
          </cell>
          <cell r="AZ701">
            <v>3094</v>
          </cell>
          <cell r="BA701">
            <v>3797</v>
          </cell>
          <cell r="BB701">
            <v>7131</v>
          </cell>
          <cell r="BC701">
            <v>7442</v>
          </cell>
          <cell r="BD701">
            <v>7985</v>
          </cell>
          <cell r="BE701">
            <v>7985</v>
          </cell>
          <cell r="BF701">
            <v>8698</v>
          </cell>
          <cell r="BG701">
            <v>10117</v>
          </cell>
          <cell r="BH701">
            <v>10508</v>
          </cell>
          <cell r="BI701">
            <v>10804</v>
          </cell>
          <cell r="BJ701">
            <v>10837</v>
          </cell>
          <cell r="BK701">
            <v>10316</v>
          </cell>
          <cell r="BL701">
            <v>10221</v>
          </cell>
          <cell r="BM701">
            <v>9759</v>
          </cell>
          <cell r="BN701">
            <v>9888</v>
          </cell>
          <cell r="BO701">
            <v>8784</v>
          </cell>
          <cell r="BP701">
            <v>8792</v>
          </cell>
          <cell r="BQ701">
            <v>6396</v>
          </cell>
          <cell r="BR701">
            <v>5448</v>
          </cell>
          <cell r="BS701">
            <v>5228</v>
          </cell>
          <cell r="BT701">
            <v>4480</v>
          </cell>
          <cell r="BU701">
            <v>138</v>
          </cell>
          <cell r="BV701">
            <v>0</v>
          </cell>
          <cell r="BW701">
            <v>0</v>
          </cell>
          <cell r="BX701">
            <v>0</v>
          </cell>
        </row>
        <row r="703">
          <cell r="AO703" t="str">
            <v>チェック</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row>
        <row r="706">
          <cell r="AP706">
            <v>5</v>
          </cell>
          <cell r="AQ706">
            <v>6</v>
          </cell>
          <cell r="AR706">
            <v>7</v>
          </cell>
          <cell r="AS706">
            <v>8</v>
          </cell>
          <cell r="AT706">
            <v>9</v>
          </cell>
          <cell r="AU706">
            <v>10</v>
          </cell>
          <cell r="AV706">
            <v>11</v>
          </cell>
          <cell r="AW706">
            <v>12</v>
          </cell>
          <cell r="AX706">
            <v>13</v>
          </cell>
          <cell r="AY706">
            <v>14</v>
          </cell>
          <cell r="AZ706">
            <v>15</v>
          </cell>
          <cell r="BA706">
            <v>16</v>
          </cell>
          <cell r="BB706">
            <v>17</v>
          </cell>
          <cell r="BC706">
            <v>18</v>
          </cell>
          <cell r="BD706">
            <v>19</v>
          </cell>
          <cell r="BE706">
            <v>20</v>
          </cell>
          <cell r="BF706">
            <v>21</v>
          </cell>
          <cell r="BG706">
            <v>22</v>
          </cell>
          <cell r="BH706">
            <v>23</v>
          </cell>
          <cell r="BI706">
            <v>24</v>
          </cell>
          <cell r="BJ706">
            <v>25</v>
          </cell>
          <cell r="BK706">
            <v>26</v>
          </cell>
          <cell r="BL706">
            <v>27</v>
          </cell>
          <cell r="BM706">
            <v>28</v>
          </cell>
          <cell r="BN706">
            <v>29</v>
          </cell>
          <cell r="BO706">
            <v>30</v>
          </cell>
          <cell r="BP706">
            <v>31</v>
          </cell>
          <cell r="BQ706">
            <v>32</v>
          </cell>
          <cell r="BR706">
            <v>33</v>
          </cell>
          <cell r="BS706">
            <v>34</v>
          </cell>
          <cell r="BT706">
            <v>35</v>
          </cell>
          <cell r="BU706">
            <v>36</v>
          </cell>
          <cell r="BV706">
            <v>37</v>
          </cell>
          <cell r="BW706">
            <v>38</v>
          </cell>
          <cell r="BX706">
            <v>39</v>
          </cell>
        </row>
      </sheetData>
      <sheetData sheetId="5">
        <row r="6">
          <cell r="A6" t="str">
            <v>競泳</v>
          </cell>
          <cell r="B6" t="str">
            <v>東京都</v>
          </cell>
          <cell r="C6" t="str">
            <v>東京アクアティクスセンター</v>
          </cell>
          <cell r="D6">
            <v>430</v>
          </cell>
        </row>
        <row r="7">
          <cell r="A7" t="str">
            <v>飛込</v>
          </cell>
          <cell r="B7" t="str">
            <v>東京都</v>
          </cell>
          <cell r="C7" t="str">
            <v>東京アクアティクスセンター</v>
          </cell>
          <cell r="D7">
            <v>79</v>
          </cell>
        </row>
        <row r="8">
          <cell r="A8" t="str">
            <v>アーティスティックスイミング</v>
          </cell>
          <cell r="B8" t="str">
            <v>浜松市</v>
          </cell>
          <cell r="C8" t="str">
            <v>古橋廣之進記念浜松市総合水泳場［ToBiO］</v>
          </cell>
          <cell r="D8">
            <v>99</v>
          </cell>
        </row>
        <row r="9">
          <cell r="A9" t="str">
            <v>水球（男子）</v>
          </cell>
          <cell r="B9" t="str">
            <v>名古屋市</v>
          </cell>
          <cell r="C9" t="str">
            <v>名古屋市総合体育館［レインボープール］</v>
          </cell>
          <cell r="D9">
            <v>135</v>
          </cell>
        </row>
        <row r="10">
          <cell r="A10" t="str">
            <v>水球（女子）</v>
          </cell>
          <cell r="B10" t="str">
            <v>名古屋市</v>
          </cell>
          <cell r="C10" t="str">
            <v>名古屋市総合体育館［レインボープール］</v>
          </cell>
          <cell r="D10">
            <v>101</v>
          </cell>
        </row>
        <row r="11">
          <cell r="A11" t="str">
            <v>マラソンスイミング</v>
          </cell>
          <cell r="B11" t="str">
            <v>常滑市</v>
          </cell>
          <cell r="C11" t="str">
            <v>新舞子マリンパーク</v>
          </cell>
          <cell r="D11">
            <v>38</v>
          </cell>
        </row>
        <row r="12">
          <cell r="A12" t="str">
            <v>アーチェリー</v>
          </cell>
          <cell r="B12" t="str">
            <v>岡崎市</v>
          </cell>
          <cell r="C12" t="str">
            <v>岡崎中央総合公園多目的広場</v>
          </cell>
          <cell r="D12">
            <v>289</v>
          </cell>
        </row>
        <row r="13">
          <cell r="A13" t="str">
            <v>陸上競技（トラック／フィールド）</v>
          </cell>
          <cell r="B13" t="str">
            <v>名古屋市</v>
          </cell>
          <cell r="C13" t="str">
            <v>名古屋市瑞穂公園陸上競技場</v>
          </cell>
          <cell r="D13">
            <v>806</v>
          </cell>
        </row>
        <row r="14">
          <cell r="A14" t="str">
            <v>陸上競技（マラソン）</v>
          </cell>
          <cell r="B14" t="str">
            <v>名古屋市</v>
          </cell>
          <cell r="C14" t="str">
            <v>名古屋市瑞穂公園陸上競技場（都心コース）</v>
          </cell>
          <cell r="D14">
            <v>43</v>
          </cell>
        </row>
        <row r="15">
          <cell r="A15" t="str">
            <v>陸上競技（競歩）</v>
          </cell>
          <cell r="B15" t="str">
            <v>名古屋市</v>
          </cell>
          <cell r="C15" t="str">
            <v>愛知県庁・名古屋市役所周辺コース</v>
          </cell>
          <cell r="D15">
            <v>35</v>
          </cell>
        </row>
        <row r="16">
          <cell r="A16" t="str">
            <v>バドミントン</v>
          </cell>
          <cell r="B16" t="str">
            <v>一宮市</v>
          </cell>
          <cell r="C16" t="str">
            <v>一宮市総合体育館</v>
          </cell>
          <cell r="D16">
            <v>273</v>
          </cell>
        </row>
        <row r="17">
          <cell r="A17" t="str">
            <v>バスケットボール（5×５／男子）</v>
          </cell>
          <cell r="B17" t="str">
            <v>刈谷市</v>
          </cell>
          <cell r="C17" t="str">
            <v>ウィングアリーナ刈谷</v>
          </cell>
          <cell r="D17">
            <v>187</v>
          </cell>
        </row>
        <row r="18">
          <cell r="A18" t="str">
            <v>バスケットボール（5×５／女子）</v>
          </cell>
          <cell r="B18" t="str">
            <v>刈谷市</v>
          </cell>
          <cell r="C18" t="str">
            <v>ウィングアリーナ刈谷</v>
          </cell>
          <cell r="D18">
            <v>187</v>
          </cell>
        </row>
        <row r="19">
          <cell r="A19" t="str">
            <v>バスケットボール（3×３／男子）</v>
          </cell>
          <cell r="B19" t="str">
            <v>名古屋市</v>
          </cell>
          <cell r="C19" t="str">
            <v>金城ふ頭駅前特設コート</v>
          </cell>
          <cell r="D19">
            <v>83</v>
          </cell>
        </row>
        <row r="20">
          <cell r="A20" t="str">
            <v>バスケットボール（3×３／女子）</v>
          </cell>
          <cell r="B20" t="str">
            <v>名古屋市</v>
          </cell>
          <cell r="C20" t="str">
            <v>金城ふ頭駅前特設コート</v>
          </cell>
          <cell r="D20">
            <v>83</v>
          </cell>
        </row>
        <row r="21">
          <cell r="A21" t="str">
            <v>ボクシング</v>
          </cell>
          <cell r="B21" t="str">
            <v>西尾市</v>
          </cell>
          <cell r="C21" t="str">
            <v>西尾市総合体育館</v>
          </cell>
          <cell r="D21">
            <v>252</v>
          </cell>
        </row>
        <row r="22">
          <cell r="A22" t="str">
            <v>カヌー・カヤック（スプリント）</v>
          </cell>
          <cell r="B22" t="str">
            <v>三好市</v>
          </cell>
          <cell r="C22" t="str">
            <v>三好池</v>
          </cell>
          <cell r="D22">
            <v>225</v>
          </cell>
        </row>
        <row r="23">
          <cell r="A23" t="str">
            <v>カヌー・カヤック（スラローム）</v>
          </cell>
          <cell r="B23" t="str">
            <v>豊田市</v>
          </cell>
          <cell r="C23" t="str">
            <v>矢作川カヌースラロームコース</v>
          </cell>
          <cell r="D23">
            <v>56</v>
          </cell>
        </row>
        <row r="24">
          <cell r="A24" t="str">
            <v>自転車競技（トラックレース）</v>
          </cell>
          <cell r="B24" t="str">
            <v>伊豆市</v>
          </cell>
          <cell r="C24" t="str">
            <v>伊豆ベロドローム</v>
          </cell>
          <cell r="D24">
            <v>152</v>
          </cell>
        </row>
        <row r="25">
          <cell r="A25" t="str">
            <v>自転車競技（ロードレース）</v>
          </cell>
          <cell r="B25" t="str">
            <v>新城市</v>
          </cell>
          <cell r="C25" t="str">
            <v>新城市内発着コース</v>
          </cell>
          <cell r="D25">
            <v>101</v>
          </cell>
        </row>
        <row r="26">
          <cell r="A26" t="str">
            <v>自転車競技（マウンテンバイク）</v>
          </cell>
          <cell r="B26" t="str">
            <v>名古屋市</v>
          </cell>
          <cell r="C26" t="str">
            <v>小幡緑地</v>
          </cell>
          <cell r="D26">
            <v>39</v>
          </cell>
        </row>
        <row r="27">
          <cell r="A27" t="str">
            <v>自転車競技（BMXレース）</v>
          </cell>
          <cell r="B27" t="str">
            <v>名古屋市</v>
          </cell>
          <cell r="C27" t="str">
            <v>名古屋市競輪場BMXレースコース</v>
          </cell>
          <cell r="D27">
            <v>22</v>
          </cell>
        </row>
        <row r="28">
          <cell r="A28" t="str">
            <v>自転車競技（BMXフリースタイル）</v>
          </cell>
          <cell r="B28" t="str">
            <v>常滑市</v>
          </cell>
          <cell r="C28" t="str">
            <v>愛知県国際展示場［Aichi Sky Expo］</v>
          </cell>
          <cell r="D28">
            <v>16</v>
          </cell>
        </row>
        <row r="29">
          <cell r="A29" t="str">
            <v>馬術</v>
          </cell>
          <cell r="B29" t="str">
            <v>東京都</v>
          </cell>
          <cell r="C29" t="str">
            <v>JRA馬事公苑</v>
          </cell>
          <cell r="D29">
            <v>138</v>
          </cell>
        </row>
        <row r="30">
          <cell r="A30" t="str">
            <v>フェンシング</v>
          </cell>
          <cell r="B30" t="str">
            <v>常滑市</v>
          </cell>
          <cell r="C30" t="str">
            <v>愛知県国際展示場［Aichi Sky Expo］</v>
          </cell>
          <cell r="D30">
            <v>311</v>
          </cell>
        </row>
        <row r="31">
          <cell r="A31" t="str">
            <v>サッカー（豊田／予選）</v>
          </cell>
          <cell r="B31" t="str">
            <v>豊田市</v>
          </cell>
          <cell r="C31" t="str">
            <v>豊田スタジアム</v>
          </cell>
          <cell r="D31">
            <v>116</v>
          </cell>
        </row>
        <row r="32">
          <cell r="A32" t="str">
            <v>サッカー（豊田／決勝）</v>
          </cell>
          <cell r="B32" t="str">
            <v>豊田市</v>
          </cell>
          <cell r="C32" t="str">
            <v>豊田スタジアム</v>
          </cell>
          <cell r="D32">
            <v>116</v>
          </cell>
        </row>
        <row r="33">
          <cell r="A33" t="str">
            <v>サッカー（静岡）</v>
          </cell>
          <cell r="B33" t="str">
            <v>袋井市</v>
          </cell>
          <cell r="C33" t="str">
            <v>小笠山総合運動公園エコパスタジアム</v>
          </cell>
          <cell r="D33">
            <v>116</v>
          </cell>
        </row>
        <row r="34">
          <cell r="A34" t="str">
            <v>サッカー（大阪）</v>
          </cell>
          <cell r="B34" t="str">
            <v>大阪市</v>
          </cell>
          <cell r="C34" t="str">
            <v>長居陸上競技場</v>
          </cell>
          <cell r="D34">
            <v>116</v>
          </cell>
        </row>
        <row r="35">
          <cell r="A35" t="str">
            <v>サッカー（神戸）</v>
          </cell>
          <cell r="B35" t="str">
            <v>神戸市</v>
          </cell>
          <cell r="C35" t="str">
            <v>ユニバー記念競技場</v>
          </cell>
          <cell r="D35">
            <v>116</v>
          </cell>
        </row>
        <row r="36">
          <cell r="A36" t="str">
            <v>サッカー（港）</v>
          </cell>
          <cell r="B36" t="str">
            <v>名古屋市</v>
          </cell>
          <cell r="C36" t="str">
            <v>名古屋市港サッカー場</v>
          </cell>
          <cell r="D36">
            <v>116</v>
          </cell>
        </row>
        <row r="37">
          <cell r="A37" t="str">
            <v>サッカー（刈谷）</v>
          </cell>
          <cell r="B37" t="str">
            <v>刈谷市</v>
          </cell>
          <cell r="C37" t="str">
            <v>ウェーブスタジアム刈谷</v>
          </cell>
          <cell r="D37">
            <v>116</v>
          </cell>
        </row>
        <row r="38">
          <cell r="A38" t="str">
            <v>サッカー（瑞穂）</v>
          </cell>
          <cell r="B38" t="str">
            <v>名古屋市</v>
          </cell>
          <cell r="C38" t="str">
            <v>名古屋市瑞穂公園ラグビー場</v>
          </cell>
          <cell r="D38">
            <v>116</v>
          </cell>
        </row>
        <row r="39">
          <cell r="A39" t="str">
            <v>サッカー（岐阜）</v>
          </cell>
          <cell r="B39" t="str">
            <v>岐阜市</v>
          </cell>
          <cell r="C39" t="str">
            <v>長良川競技場</v>
          </cell>
          <cell r="D39">
            <v>116</v>
          </cell>
        </row>
        <row r="40">
          <cell r="A40" t="str">
            <v>ゴルフ</v>
          </cell>
          <cell r="B40" t="str">
            <v>名古屋市</v>
          </cell>
          <cell r="C40" t="str">
            <v>愛知カンツリー俱楽部東山コース</v>
          </cell>
          <cell r="D40">
            <v>147</v>
          </cell>
        </row>
        <row r="41">
          <cell r="A41" t="str">
            <v>体操</v>
          </cell>
          <cell r="B41" t="str">
            <v>名古屋市</v>
          </cell>
          <cell r="C41" t="str">
            <v>名古屋市総合体育館［レインボーホール］</v>
          </cell>
          <cell r="D41">
            <v>134</v>
          </cell>
        </row>
        <row r="42">
          <cell r="A42" t="str">
            <v>新体操</v>
          </cell>
          <cell r="B42" t="str">
            <v>名古屋市</v>
          </cell>
          <cell r="C42" t="str">
            <v>名古屋市総合体育館［レインボーホール］</v>
          </cell>
          <cell r="D42">
            <v>36</v>
          </cell>
        </row>
        <row r="43">
          <cell r="A43" t="str">
            <v>トランポリン</v>
          </cell>
          <cell r="B43" t="str">
            <v>名古屋市</v>
          </cell>
          <cell r="C43" t="str">
            <v>名古屋市総合体育館［レインボーホール］</v>
          </cell>
          <cell r="D43">
            <v>13</v>
          </cell>
        </row>
        <row r="44">
          <cell r="A44" t="str">
            <v>ハンドボール（男子）</v>
          </cell>
          <cell r="B44" t="str">
            <v>春日井市</v>
          </cell>
          <cell r="C44" t="str">
            <v>春日井市総合体育館</v>
          </cell>
          <cell r="D44">
            <v>250</v>
          </cell>
        </row>
        <row r="45">
          <cell r="A45" t="str">
            <v>ハンドボール（女子）</v>
          </cell>
          <cell r="B45" t="str">
            <v>稲沢市</v>
          </cell>
          <cell r="C45" t="str">
            <v>豊田合成記念体育館［エントリオ］</v>
          </cell>
          <cell r="D45">
            <v>166</v>
          </cell>
        </row>
        <row r="46">
          <cell r="A46" t="str">
            <v>ホッケー①</v>
          </cell>
          <cell r="B46" t="str">
            <v>各務原市</v>
          </cell>
          <cell r="C46" t="str">
            <v>岐阜県グリーンスタジアム</v>
          </cell>
          <cell r="D46">
            <v>168</v>
          </cell>
        </row>
        <row r="47">
          <cell r="A47" t="str">
            <v>ホッケー②</v>
          </cell>
          <cell r="B47" t="str">
            <v>各務原市</v>
          </cell>
          <cell r="C47" t="str">
            <v>岐阜県グリーンスタジアム</v>
          </cell>
          <cell r="D47">
            <v>226</v>
          </cell>
        </row>
        <row r="48">
          <cell r="A48" t="str">
            <v>ホッケー③</v>
          </cell>
          <cell r="B48" t="str">
            <v>各務原市</v>
          </cell>
          <cell r="C48" t="str">
            <v>岐阜県グリーンスタジアム</v>
          </cell>
          <cell r="D48">
            <v>168</v>
          </cell>
        </row>
        <row r="49">
          <cell r="A49" t="str">
            <v>柔道</v>
          </cell>
          <cell r="B49" t="str">
            <v>名古屋市</v>
          </cell>
          <cell r="C49" t="str">
            <v>愛知国際アリーナ</v>
          </cell>
          <cell r="D49">
            <v>283</v>
          </cell>
        </row>
        <row r="50">
          <cell r="A50" t="str">
            <v>近代五種</v>
          </cell>
          <cell r="B50" t="str">
            <v>安城市</v>
          </cell>
          <cell r="C50" t="str">
            <v>安城市総合運動公園陸上競技場他</v>
          </cell>
          <cell r="D50">
            <v>36</v>
          </cell>
        </row>
        <row r="51">
          <cell r="A51" t="str">
            <v>ローイング①</v>
          </cell>
          <cell r="B51" t="str">
            <v>海津市</v>
          </cell>
          <cell r="C51" t="str">
            <v>長良川国際レガッタコース</v>
          </cell>
          <cell r="D51">
            <v>91</v>
          </cell>
        </row>
        <row r="52">
          <cell r="A52" t="str">
            <v>ローイング②</v>
          </cell>
          <cell r="B52" t="str">
            <v>海津市</v>
          </cell>
          <cell r="C52" t="str">
            <v>長良川国際レガッタコース</v>
          </cell>
          <cell r="D52">
            <v>100</v>
          </cell>
        </row>
        <row r="53">
          <cell r="A53" t="str">
            <v>ローイング③</v>
          </cell>
          <cell r="B53" t="str">
            <v>海津市</v>
          </cell>
          <cell r="C53" t="str">
            <v>長良川国際レガッタコース</v>
          </cell>
          <cell r="D53">
            <v>100</v>
          </cell>
        </row>
        <row r="54">
          <cell r="A54" t="str">
            <v>ラグビー（男子）</v>
          </cell>
          <cell r="B54" t="str">
            <v>名古屋市</v>
          </cell>
          <cell r="C54" t="str">
            <v>名古屋市瑞穂公園ラグビー場</v>
          </cell>
          <cell r="D54">
            <v>187</v>
          </cell>
        </row>
        <row r="55">
          <cell r="A55" t="str">
            <v>ラグビー（女子）</v>
          </cell>
          <cell r="B55" t="str">
            <v>名古屋市</v>
          </cell>
          <cell r="C55" t="str">
            <v>名古屋市瑞穂公園ラグビー場</v>
          </cell>
          <cell r="D55">
            <v>125</v>
          </cell>
        </row>
        <row r="56">
          <cell r="A56" t="str">
            <v>セーリング</v>
          </cell>
          <cell r="B56" t="str">
            <v>蒲郡市</v>
          </cell>
          <cell r="C56" t="str">
            <v>海陽ヨットハーバー</v>
          </cell>
          <cell r="D56">
            <v>187</v>
          </cell>
        </row>
        <row r="57">
          <cell r="A57" t="str">
            <v>射撃①</v>
          </cell>
          <cell r="B57" t="str">
            <v>豊田市</v>
          </cell>
          <cell r="C57" t="str">
            <v>愛知県総合射撃場</v>
          </cell>
          <cell r="D57">
            <v>140</v>
          </cell>
        </row>
        <row r="58">
          <cell r="A58" t="str">
            <v>射撃②</v>
          </cell>
          <cell r="B58" t="str">
            <v>豊田市</v>
          </cell>
          <cell r="C58" t="str">
            <v>愛知県総合射撃場</v>
          </cell>
          <cell r="D58">
            <v>215</v>
          </cell>
        </row>
        <row r="59">
          <cell r="A59" t="str">
            <v>射撃③</v>
          </cell>
          <cell r="B59" t="str">
            <v>豊田市</v>
          </cell>
          <cell r="C59" t="str">
            <v>愛知県総合射撃場</v>
          </cell>
          <cell r="D59">
            <v>90</v>
          </cell>
        </row>
        <row r="60">
          <cell r="A60" t="str">
            <v>射撃④</v>
          </cell>
          <cell r="B60" t="str">
            <v>豊田市</v>
          </cell>
          <cell r="C60" t="str">
            <v>愛知県総合射撃場</v>
          </cell>
          <cell r="D60">
            <v>62</v>
          </cell>
        </row>
        <row r="61">
          <cell r="A61" t="str">
            <v>卓球</v>
          </cell>
          <cell r="B61" t="str">
            <v>豊田市</v>
          </cell>
          <cell r="C61" t="str">
            <v>スカイホール豊田</v>
          </cell>
          <cell r="D61">
            <v>220</v>
          </cell>
        </row>
        <row r="62">
          <cell r="A62" t="str">
            <v>卓球②</v>
          </cell>
          <cell r="B62" t="str">
            <v>豊田市</v>
          </cell>
          <cell r="C62" t="str">
            <v>スカイホール豊田</v>
          </cell>
          <cell r="D62">
            <v>0</v>
          </cell>
        </row>
        <row r="63">
          <cell r="A63" t="str">
            <v>テコンドー</v>
          </cell>
          <cell r="B63" t="str">
            <v>豊橋市</v>
          </cell>
          <cell r="C63" t="str">
            <v>豊橋市総合体育館</v>
          </cell>
          <cell r="D63">
            <v>208</v>
          </cell>
        </row>
        <row r="64">
          <cell r="A64" t="str">
            <v>テニス</v>
          </cell>
          <cell r="B64" t="str">
            <v>名古屋市</v>
          </cell>
          <cell r="C64" t="str">
            <v>名古屋市東山公園テニスセンター</v>
          </cell>
          <cell r="D64">
            <v>199</v>
          </cell>
        </row>
        <row r="65">
          <cell r="A65" t="str">
            <v>ソフトテニス</v>
          </cell>
          <cell r="B65" t="str">
            <v>名古屋市</v>
          </cell>
          <cell r="C65" t="str">
            <v>名古屋市東山公園テニスセンター</v>
          </cell>
          <cell r="D65">
            <v>113</v>
          </cell>
        </row>
        <row r="66">
          <cell r="A66" t="str">
            <v>トライアスロン</v>
          </cell>
          <cell r="B66" t="str">
            <v>蒲郡市</v>
          </cell>
          <cell r="C66" t="str">
            <v>蒲郡市内特設コース</v>
          </cell>
          <cell r="D66">
            <v>83</v>
          </cell>
        </row>
        <row r="67">
          <cell r="A67" t="str">
            <v>バレーボール（男子）①</v>
          </cell>
          <cell r="B67" t="str">
            <v>岡崎市</v>
          </cell>
          <cell r="C67" t="str">
            <v>岡崎市中央総合公園総合体育館</v>
          </cell>
          <cell r="D67">
            <v>110</v>
          </cell>
        </row>
        <row r="68">
          <cell r="A68" t="str">
            <v>バレーボール（男子）②</v>
          </cell>
          <cell r="B68" t="str">
            <v>岡崎市</v>
          </cell>
          <cell r="C68" t="str">
            <v>岡崎市中央総合公園総合体育館</v>
          </cell>
          <cell r="D68">
            <v>140</v>
          </cell>
        </row>
        <row r="69">
          <cell r="A69" t="str">
            <v>バレーボール（女子）</v>
          </cell>
          <cell r="B69" t="str">
            <v>小牧市</v>
          </cell>
          <cell r="C69" t="str">
            <v>小牧市スポーツ公園総合体育館</v>
          </cell>
          <cell r="D69">
            <v>187</v>
          </cell>
        </row>
        <row r="70">
          <cell r="A70" t="str">
            <v>ビーチバレーボール（男子）</v>
          </cell>
          <cell r="B70" t="str">
            <v>碧南市</v>
          </cell>
          <cell r="C70" t="str">
            <v>碧南緑地ビーチコート</v>
          </cell>
          <cell r="D70">
            <v>62</v>
          </cell>
        </row>
        <row r="71">
          <cell r="A71" t="str">
            <v>ビーチバレーボール（女子）</v>
          </cell>
          <cell r="B71" t="str">
            <v>碧南市</v>
          </cell>
          <cell r="C71" t="str">
            <v>碧南緑地ビーチコート</v>
          </cell>
          <cell r="D71">
            <v>52</v>
          </cell>
        </row>
        <row r="72">
          <cell r="A72" t="str">
            <v>ウェイトリフティング</v>
          </cell>
          <cell r="B72" t="str">
            <v>名古屋市</v>
          </cell>
          <cell r="C72" t="str">
            <v>名古屋市中小企業振興会館</v>
          </cell>
          <cell r="D72">
            <v>203</v>
          </cell>
        </row>
        <row r="73">
          <cell r="A73" t="str">
            <v>レスリング</v>
          </cell>
          <cell r="B73" t="str">
            <v>名古屋市</v>
          </cell>
          <cell r="C73" t="str">
            <v>愛知国際アリーナ</v>
          </cell>
          <cell r="D73">
            <v>321</v>
          </cell>
        </row>
        <row r="74">
          <cell r="A74" t="str">
            <v>ブレイキン</v>
          </cell>
          <cell r="B74" t="str">
            <v>名古屋市</v>
          </cell>
          <cell r="C74" t="str">
            <v>（愛知県体育館）</v>
          </cell>
          <cell r="D74">
            <v>60</v>
          </cell>
        </row>
        <row r="75">
          <cell r="A75" t="str">
            <v>スケートボード</v>
          </cell>
          <cell r="B75" t="str">
            <v>常滑市</v>
          </cell>
          <cell r="C75" t="str">
            <v>愛知県国際展示場［Aichi Sky Expo］</v>
          </cell>
          <cell r="D75">
            <v>49</v>
          </cell>
        </row>
        <row r="76">
          <cell r="A76" t="str">
            <v>サーフィン</v>
          </cell>
          <cell r="B76" t="str">
            <v>田原市</v>
          </cell>
          <cell r="C76" t="str">
            <v>田原市赤羽根町大石河岸（ロングビーチ）他</v>
          </cell>
          <cell r="D76">
            <v>62</v>
          </cell>
        </row>
        <row r="77">
          <cell r="A77" t="str">
            <v>スポーツクライミング</v>
          </cell>
          <cell r="B77" t="str">
            <v>名古屋市</v>
          </cell>
          <cell r="C77" t="str">
            <v>名古屋市国際展示場［ポートメッセなごや］</v>
          </cell>
          <cell r="D77">
            <v>125</v>
          </cell>
        </row>
        <row r="78">
          <cell r="A78" t="str">
            <v>野球①</v>
          </cell>
          <cell r="B78" t="str">
            <v>岡崎／豊橋</v>
          </cell>
          <cell r="C78" t="str">
            <v>岡崎市中央総合公園／豊橋市民球場</v>
          </cell>
          <cell r="D78">
            <v>188</v>
          </cell>
        </row>
        <row r="79">
          <cell r="A79" t="str">
            <v>野球②</v>
          </cell>
          <cell r="B79" t="str">
            <v>岡崎／豊橋</v>
          </cell>
          <cell r="C79" t="str">
            <v>岡崎市中央総合公園／豊橋市民球場</v>
          </cell>
          <cell r="D79">
            <v>62</v>
          </cell>
        </row>
        <row r="80">
          <cell r="A80" t="str">
            <v>ソフトボール</v>
          </cell>
          <cell r="B80" t="str">
            <v>安城市</v>
          </cell>
          <cell r="C80" t="str">
            <v>安城市総合公園ソフトボール場</v>
          </cell>
          <cell r="D80">
            <v>177</v>
          </cell>
        </row>
        <row r="81">
          <cell r="A81" t="str">
            <v>カバディ（男子）</v>
          </cell>
          <cell r="B81" t="str">
            <v>東海市</v>
          </cell>
          <cell r="C81" t="str">
            <v>東海市民体育館</v>
          </cell>
          <cell r="D81">
            <v>125</v>
          </cell>
        </row>
        <row r="82">
          <cell r="A82" t="str">
            <v>カバディ（女子）</v>
          </cell>
          <cell r="B82" t="str">
            <v>東海市</v>
          </cell>
          <cell r="C82" t="str">
            <v>東海市民体育館</v>
          </cell>
          <cell r="D82">
            <v>94</v>
          </cell>
        </row>
        <row r="83">
          <cell r="A83" t="str">
            <v>柔術</v>
          </cell>
          <cell r="B83" t="str">
            <v>名古屋市</v>
          </cell>
          <cell r="C83" t="str">
            <v>愛知県武道館</v>
          </cell>
          <cell r="D83">
            <v>246</v>
          </cell>
        </row>
        <row r="84">
          <cell r="A84" t="str">
            <v>クラッシュ</v>
          </cell>
          <cell r="B84" t="str">
            <v>名古屋市</v>
          </cell>
          <cell r="C84" t="str">
            <v>愛知県武道館</v>
          </cell>
          <cell r="D84">
            <v>118</v>
          </cell>
        </row>
        <row r="85">
          <cell r="A85" t="str">
            <v>武術太極拳</v>
          </cell>
          <cell r="B85" t="str">
            <v>名古屋市</v>
          </cell>
          <cell r="C85" t="str">
            <v>愛知県武道館</v>
          </cell>
          <cell r="D85">
            <v>247</v>
          </cell>
        </row>
        <row r="86">
          <cell r="A86" t="str">
            <v>セパタクロー</v>
          </cell>
          <cell r="B86" t="str">
            <v>名古屋市</v>
          </cell>
          <cell r="C86" t="str">
            <v>名古屋市瑞穂公園体育館</v>
          </cell>
          <cell r="D86">
            <v>269</v>
          </cell>
        </row>
        <row r="87">
          <cell r="A87" t="str">
            <v>スカッシュ</v>
          </cell>
          <cell r="B87" t="str">
            <v>名古屋市</v>
          </cell>
          <cell r="C87" t="str">
            <v>名古屋市金城ふ頭アリーナ</v>
          </cell>
          <cell r="D87">
            <v>90</v>
          </cell>
        </row>
        <row r="88">
          <cell r="A88" t="str">
            <v>空手</v>
          </cell>
          <cell r="B88" t="str">
            <v>豊橋市</v>
          </cell>
          <cell r="C88" t="str">
            <v>豊橋市総合体育館</v>
          </cell>
          <cell r="D88">
            <v>224</v>
          </cell>
        </row>
        <row r="89">
          <cell r="A89" t="str">
            <v>eスポーツ</v>
          </cell>
          <cell r="B89" t="str">
            <v>常滑市</v>
          </cell>
          <cell r="C89" t="str">
            <v>愛知県国際展示場［Aichi Sky Expo］</v>
          </cell>
          <cell r="D89">
            <v>619</v>
          </cell>
        </row>
        <row r="101">
          <cell r="A101" t="str">
            <v>－</v>
          </cell>
          <cell r="B101" t="str">
            <v>－</v>
          </cell>
        </row>
        <row r="102">
          <cell r="C102" t="str">
            <v>宿泊者数</v>
          </cell>
          <cell r="D102">
            <v>12801</v>
          </cell>
          <cell r="E102">
            <v>0</v>
          </cell>
          <cell r="F102">
            <v>0</v>
          </cell>
          <cell r="G102">
            <v>0</v>
          </cell>
          <cell r="H102">
            <v>0</v>
          </cell>
          <cell r="I102">
            <v>0</v>
          </cell>
          <cell r="J102">
            <v>374</v>
          </cell>
          <cell r="K102">
            <v>606</v>
          </cell>
          <cell r="L102">
            <v>1302</v>
          </cell>
          <cell r="M102">
            <v>1552</v>
          </cell>
          <cell r="N102">
            <v>1588</v>
          </cell>
          <cell r="O102">
            <v>3094</v>
          </cell>
          <cell r="P102">
            <v>3797</v>
          </cell>
          <cell r="Q102">
            <v>7131</v>
          </cell>
          <cell r="R102">
            <v>7442</v>
          </cell>
          <cell r="S102">
            <v>7985</v>
          </cell>
          <cell r="T102">
            <v>7985</v>
          </cell>
          <cell r="U102">
            <v>8698</v>
          </cell>
          <cell r="V102">
            <v>10117</v>
          </cell>
          <cell r="W102">
            <v>10508</v>
          </cell>
          <cell r="X102">
            <v>10804</v>
          </cell>
          <cell r="Y102">
            <v>10837</v>
          </cell>
          <cell r="Z102">
            <v>10316</v>
          </cell>
          <cell r="AA102">
            <v>10221</v>
          </cell>
          <cell r="AB102">
            <v>9759</v>
          </cell>
          <cell r="AC102">
            <v>9888</v>
          </cell>
          <cell r="AD102">
            <v>8784</v>
          </cell>
          <cell r="AE102">
            <v>8792</v>
          </cell>
          <cell r="AF102">
            <v>6396</v>
          </cell>
          <cell r="AG102">
            <v>5448</v>
          </cell>
          <cell r="AH102">
            <v>5228</v>
          </cell>
          <cell r="AI102">
            <v>4480</v>
          </cell>
          <cell r="AJ102">
            <v>138</v>
          </cell>
          <cell r="AK102">
            <v>0</v>
          </cell>
          <cell r="AL102">
            <v>0</v>
          </cell>
          <cell r="AM102">
            <v>0</v>
          </cell>
        </row>
        <row r="103">
          <cell r="C103" t="str">
            <v>クルーズ船配宿競技</v>
          </cell>
        </row>
        <row r="104">
          <cell r="C104" t="str">
            <v>チェック</v>
          </cell>
        </row>
        <row r="105">
          <cell r="A105" t="str">
            <v>【パラ】アーチェリー①</v>
          </cell>
          <cell r="B105" t="str">
            <v>岡崎市</v>
          </cell>
          <cell r="C105" t="str">
            <v>岡崎市中央総合公園多目的広場</v>
          </cell>
          <cell r="D105">
            <v>132</v>
          </cell>
        </row>
        <row r="106">
          <cell r="A106" t="str">
            <v>【パラ】アーチェリー②</v>
          </cell>
          <cell r="B106" t="str">
            <v>岡崎市</v>
          </cell>
          <cell r="C106" t="str">
            <v>岡崎市中央総合公園多目的広場</v>
          </cell>
          <cell r="D106">
            <v>66</v>
          </cell>
        </row>
        <row r="107">
          <cell r="A107" t="str">
            <v>【パラ】陸上①</v>
          </cell>
          <cell r="B107" t="str">
            <v>名古屋市</v>
          </cell>
          <cell r="C107" t="str">
            <v>瑞穂公園陸上競技場</v>
          </cell>
          <cell r="D107">
            <v>336</v>
          </cell>
        </row>
        <row r="108">
          <cell r="A108" t="str">
            <v>【パラ】陸上②</v>
          </cell>
          <cell r="B108" t="str">
            <v>名古屋市</v>
          </cell>
          <cell r="C108" t="str">
            <v>瑞穂公園陸上競技場</v>
          </cell>
          <cell r="D108">
            <v>224</v>
          </cell>
        </row>
        <row r="109">
          <cell r="A109" t="str">
            <v>【パラ】陸上③</v>
          </cell>
          <cell r="B109" t="str">
            <v>名古屋市</v>
          </cell>
          <cell r="C109" t="str">
            <v>瑞穂公園陸上競技場</v>
          </cell>
          <cell r="D109">
            <v>224</v>
          </cell>
        </row>
        <row r="110">
          <cell r="A110" t="str">
            <v>【パラ】陸上④</v>
          </cell>
          <cell r="B110" t="str">
            <v>名古屋市</v>
          </cell>
          <cell r="C110" t="str">
            <v>瑞穂公園陸上競技場</v>
          </cell>
          <cell r="D110">
            <v>112</v>
          </cell>
        </row>
        <row r="111">
          <cell r="A111" t="str">
            <v>【パラ】陸上⑤</v>
          </cell>
          <cell r="B111" t="str">
            <v>名古屋市</v>
          </cell>
          <cell r="C111" t="str">
            <v>瑞穂公園陸上競技場</v>
          </cell>
          <cell r="D111">
            <v>140</v>
          </cell>
        </row>
        <row r="112">
          <cell r="A112" t="str">
            <v>【パラ】バドミントン①</v>
          </cell>
          <cell r="B112" t="str">
            <v>刈谷市</v>
          </cell>
          <cell r="C112" t="str">
            <v>ウィングアリーナ刈谷</v>
          </cell>
          <cell r="D112">
            <v>187</v>
          </cell>
        </row>
        <row r="113">
          <cell r="A113" t="str">
            <v>【パラ】バドミントン②</v>
          </cell>
          <cell r="B113" t="str">
            <v>刈谷市</v>
          </cell>
          <cell r="C113" t="str">
            <v>ウィングアリーナ刈谷</v>
          </cell>
          <cell r="D113">
            <v>85</v>
          </cell>
        </row>
        <row r="114">
          <cell r="A114" t="str">
            <v>【パラ】ボッチャ①</v>
          </cell>
          <cell r="B114" t="str">
            <v>名古屋市</v>
          </cell>
          <cell r="C114" t="str">
            <v>名古屋市総合体育館</v>
          </cell>
          <cell r="D114">
            <v>28</v>
          </cell>
        </row>
        <row r="115">
          <cell r="A115" t="str">
            <v>【パラ】ボッチャ②</v>
          </cell>
          <cell r="B115" t="str">
            <v>名古屋市</v>
          </cell>
          <cell r="C115" t="str">
            <v>名古屋市総合体育館</v>
          </cell>
          <cell r="D115">
            <v>28</v>
          </cell>
        </row>
        <row r="116">
          <cell r="A116" t="str">
            <v>【パラ】ボッチャ③</v>
          </cell>
          <cell r="B116" t="str">
            <v>名古屋市</v>
          </cell>
          <cell r="C116" t="str">
            <v>名古屋市総合体育館</v>
          </cell>
          <cell r="D116">
            <v>42</v>
          </cell>
        </row>
        <row r="117">
          <cell r="A117" t="str">
            <v>【パラ】ボッチャ④</v>
          </cell>
          <cell r="B117" t="str">
            <v>名古屋市</v>
          </cell>
          <cell r="C117" t="str">
            <v>名古屋市総合体育館</v>
          </cell>
          <cell r="D117">
            <v>42</v>
          </cell>
        </row>
        <row r="118">
          <cell r="A118" t="str">
            <v>【パラ】サイクリング（トラック）</v>
          </cell>
          <cell r="B118" t="str">
            <v>伊豆市</v>
          </cell>
          <cell r="C118" t="str">
            <v>伊豆ベロドローム（トラック）</v>
          </cell>
          <cell r="D118">
            <v>80</v>
          </cell>
        </row>
        <row r="119">
          <cell r="A119" t="str">
            <v>【パラ】サイクリング（ロード）</v>
          </cell>
          <cell r="B119" t="str">
            <v>瀬戸市</v>
          </cell>
          <cell r="C119" t="str">
            <v>未定（モリコロパーク検討中）</v>
          </cell>
          <cell r="D119">
            <v>120</v>
          </cell>
        </row>
        <row r="120">
          <cell r="A120" t="str">
            <v>【パラ】ブラインドフットボール</v>
          </cell>
          <cell r="B120" t="str">
            <v>名古屋市</v>
          </cell>
          <cell r="C120" t="str">
            <v>名古屋市鶴舞公園多目的グラウンド</v>
          </cell>
          <cell r="D120">
            <v>77</v>
          </cell>
        </row>
        <row r="121">
          <cell r="A121" t="str">
            <v>【パラ】ゴールボール</v>
          </cell>
          <cell r="B121" t="str">
            <v>豊橋市</v>
          </cell>
          <cell r="C121" t="str">
            <v>豊橋市総合体育館</v>
          </cell>
          <cell r="D121">
            <v>145</v>
          </cell>
        </row>
        <row r="122">
          <cell r="A122" t="str">
            <v>【パラ】柔道</v>
          </cell>
          <cell r="B122" t="str">
            <v>名古屋市</v>
          </cell>
          <cell r="C122" t="str">
            <v>愛知県武道館</v>
          </cell>
          <cell r="D122">
            <v>157</v>
          </cell>
        </row>
        <row r="123">
          <cell r="A123" t="str">
            <v>【パラ】パワーリフティング①</v>
          </cell>
          <cell r="B123" t="str">
            <v>名古屋市</v>
          </cell>
          <cell r="C123" t="str">
            <v>名古屋市中小企業振興会館</v>
          </cell>
          <cell r="D123">
            <v>110</v>
          </cell>
        </row>
        <row r="124">
          <cell r="A124" t="str">
            <v>【パラ】パワーリフティング②</v>
          </cell>
          <cell r="B124" t="str">
            <v>名古屋市</v>
          </cell>
          <cell r="C124" t="str">
            <v>名古屋市中小企業振興会館</v>
          </cell>
          <cell r="D124">
            <v>110</v>
          </cell>
        </row>
        <row r="125">
          <cell r="A125" t="str">
            <v>【パラ】パワーリフティング③</v>
          </cell>
          <cell r="B125" t="str">
            <v>名古屋市</v>
          </cell>
          <cell r="C125" t="str">
            <v>名古屋市中小企業振興会館</v>
          </cell>
          <cell r="D125">
            <v>60</v>
          </cell>
        </row>
        <row r="126">
          <cell r="A126" t="str">
            <v>【パラ】射撃①</v>
          </cell>
          <cell r="B126" t="str">
            <v>豊田市</v>
          </cell>
          <cell r="C126" t="str">
            <v>愛知県総合射撃場</v>
          </cell>
          <cell r="D126">
            <v>50</v>
          </cell>
        </row>
        <row r="127">
          <cell r="A127" t="str">
            <v>【パラ】射撃②</v>
          </cell>
          <cell r="B127" t="str">
            <v>豊田市</v>
          </cell>
          <cell r="C127" t="str">
            <v>愛知県総合射撃場</v>
          </cell>
          <cell r="D127">
            <v>130</v>
          </cell>
        </row>
        <row r="128">
          <cell r="A128" t="str">
            <v>【パラ】シッティングバレーボール①</v>
          </cell>
          <cell r="B128" t="str">
            <v>岡崎市</v>
          </cell>
          <cell r="C128" t="str">
            <v>岡崎市中央総合公園総合体育館</v>
          </cell>
          <cell r="D128">
            <v>72</v>
          </cell>
        </row>
        <row r="129">
          <cell r="A129" t="str">
            <v>【パラ】シッティングバレーボール②</v>
          </cell>
          <cell r="B129" t="str">
            <v>岡崎市</v>
          </cell>
          <cell r="C129" t="str">
            <v>岡崎市中央総合公園総合体育館</v>
          </cell>
          <cell r="D129">
            <v>144</v>
          </cell>
        </row>
        <row r="130">
          <cell r="A130" t="str">
            <v>【パラ】水泳①</v>
          </cell>
          <cell r="B130" t="str">
            <v>名古屋市</v>
          </cell>
          <cell r="C130" t="str">
            <v>名古屋市総合体育館</v>
          </cell>
          <cell r="D130">
            <v>288</v>
          </cell>
        </row>
        <row r="131">
          <cell r="A131" t="str">
            <v>【パラ】水泳②</v>
          </cell>
          <cell r="B131" t="str">
            <v>名古屋市</v>
          </cell>
          <cell r="C131" t="str">
            <v>名古屋市総合体育館</v>
          </cell>
          <cell r="D131">
            <v>144</v>
          </cell>
        </row>
        <row r="132">
          <cell r="A132" t="str">
            <v>【パラ】卓球①</v>
          </cell>
          <cell r="B132" t="str">
            <v>一宮市</v>
          </cell>
          <cell r="C132" t="str">
            <v>一宮市総合体育館</v>
          </cell>
          <cell r="D132">
            <v>165</v>
          </cell>
        </row>
        <row r="133">
          <cell r="A133" t="str">
            <v>【パラ】卓球②</v>
          </cell>
          <cell r="B133" t="str">
            <v>一宮市</v>
          </cell>
          <cell r="C133" t="str">
            <v>一宮市総合体育館</v>
          </cell>
          <cell r="D133">
            <v>132</v>
          </cell>
        </row>
        <row r="134">
          <cell r="A134" t="str">
            <v>【パラ】テコンドー</v>
          </cell>
          <cell r="B134" t="str">
            <v>名古屋市</v>
          </cell>
          <cell r="C134" t="str">
            <v>パロマ瑞穂アリーナ</v>
          </cell>
          <cell r="D134">
            <v>77</v>
          </cell>
        </row>
        <row r="135">
          <cell r="A135" t="str">
            <v>【パラ】車いすバスケットボール①</v>
          </cell>
          <cell r="B135" t="str">
            <v>名古屋市</v>
          </cell>
          <cell r="C135" t="str">
            <v>愛知県新体育館</v>
          </cell>
          <cell r="D135">
            <v>96</v>
          </cell>
        </row>
        <row r="136">
          <cell r="A136" t="str">
            <v>【パラ】車いすバスケットボール②</v>
          </cell>
          <cell r="B136" t="str">
            <v>名古屋市</v>
          </cell>
          <cell r="C136" t="str">
            <v>愛知県新体育館</v>
          </cell>
          <cell r="D136">
            <v>96</v>
          </cell>
        </row>
        <row r="137">
          <cell r="A137" t="str">
            <v>【パラ】車いすバスケットボール③</v>
          </cell>
          <cell r="B137" t="str">
            <v>名古屋市</v>
          </cell>
          <cell r="C137" t="str">
            <v>愛知県新体育館</v>
          </cell>
          <cell r="D137">
            <v>72</v>
          </cell>
        </row>
        <row r="138">
          <cell r="A138" t="str">
            <v>【パラ】車いすフェンシング</v>
          </cell>
          <cell r="B138" t="str">
            <v>名古屋市</v>
          </cell>
          <cell r="C138" t="str">
            <v>名古屋市稲永スポーツセンター</v>
          </cell>
          <cell r="D138">
            <v>145</v>
          </cell>
        </row>
        <row r="139">
          <cell r="A139" t="str">
            <v>【パラ】車いすテニス</v>
          </cell>
          <cell r="B139" t="str">
            <v>名古屋市</v>
          </cell>
          <cell r="C139" t="str">
            <v>名古屋市東山公園テニスセンター</v>
          </cell>
          <cell r="D139">
            <v>54</v>
          </cell>
        </row>
        <row r="140">
          <cell r="A140" t="str">
            <v>【パラ】車いすラグビー</v>
          </cell>
          <cell r="B140" t="str">
            <v>名古屋市</v>
          </cell>
          <cell r="C140" t="str">
            <v>未定（名古屋市枇杷島スポーツセンター検討中）</v>
          </cell>
          <cell r="D140">
            <v>62</v>
          </cell>
        </row>
        <row r="141">
          <cell r="C141" t="str">
            <v>宿泊者数</v>
          </cell>
        </row>
        <row r="142">
          <cell r="D142">
            <v>4232</v>
          </cell>
        </row>
      </sheetData>
      <sheetData sheetId="6"/>
      <sheetData sheetId="7"/>
      <sheetData sheetId="8"/>
      <sheetData sheetId="9"/>
      <sheetData sheetId="10">
        <row r="112">
          <cell r="M112">
            <v>0</v>
          </cell>
          <cell r="N112">
            <v>0</v>
          </cell>
          <cell r="O112">
            <v>0</v>
          </cell>
          <cell r="P112">
            <v>279</v>
          </cell>
          <cell r="Q112">
            <v>279</v>
          </cell>
          <cell r="R112">
            <v>279</v>
          </cell>
          <cell r="S112">
            <v>279</v>
          </cell>
          <cell r="T112">
            <v>279</v>
          </cell>
          <cell r="U112">
            <v>279</v>
          </cell>
          <cell r="V112">
            <v>279</v>
          </cell>
          <cell r="W112">
            <v>279</v>
          </cell>
          <cell r="X112">
            <v>279</v>
          </cell>
          <cell r="Y112">
            <v>279</v>
          </cell>
          <cell r="Z112">
            <v>279</v>
          </cell>
          <cell r="AA112">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ine0xQXPqUGMZzJWOu5ueBxWxLcKihBEpV4NWCbJm1zzbhe48c8XR7e9Kchanrvj" itemId="016P5A7VGCV62C6JGSY5D3KEJFZPHHUBDQ">
      <xxl21:absoluteUrl r:id="rId2"/>
    </xxl21:alternateUrls>
    <sheetNames>
      <sheetName val="各シートの編集方法"/>
      <sheetName val="【20250610】アジア技術役員配宿シミュレーション "/>
      <sheetName val="Sheet1"/>
      <sheetName val="配宿シミュレーション（作業用）"/>
      <sheetName val="競技情報DB"/>
      <sheetName val="宿泊施設DB"/>
      <sheetName val="隠し　宿泊施設DB"/>
      <sheetName val="20250608　人数（SPTより）"/>
      <sheetName val="アジア練習会場"/>
      <sheetName val="基本事項DB"/>
      <sheetName val="客室DB"/>
      <sheetName val="ファンクションルームDB"/>
      <sheetName val="宿泊施設DBマスター"/>
      <sheetName val="【アジア】競技団体等要望とりまとめ"/>
      <sheetName val="【アジア】競技運営に係る会議等とりまとめ"/>
      <sheetName val="【アジア・アジアパラ】計量・サウナとりまとめ"/>
      <sheetName val="【参考（アジアパラ）】競技団体等要望とりまとめ"/>
      <sheetName val="【参考（アジアパラ）】競技運営に係る会議等"/>
      <sheetName val="【財政見通し用】20250610技術役員配宿シミュレーション（"/>
    </sheetNames>
    <sheetDataSet>
      <sheetData sheetId="0" refreshError="1"/>
      <sheetData sheetId="1" refreshError="1"/>
      <sheetData sheetId="2"/>
      <sheetData sheetId="3" refreshError="1"/>
      <sheetData sheetId="4">
        <row r="6">
          <cell r="A6" t="str">
            <v>競泳</v>
          </cell>
          <cell r="B6" t="str">
            <v>東京都</v>
          </cell>
          <cell r="C6" t="str">
            <v>東京アクアティクスセンター</v>
          </cell>
          <cell r="D6">
            <v>1</v>
          </cell>
          <cell r="E6">
            <v>25</v>
          </cell>
          <cell r="F6">
            <v>50</v>
          </cell>
          <cell r="G6"/>
          <cell r="H6">
            <v>76</v>
          </cell>
        </row>
        <row r="7">
          <cell r="A7" t="str">
            <v>飛込</v>
          </cell>
          <cell r="B7" t="str">
            <v>東京都</v>
          </cell>
          <cell r="C7" t="str">
            <v>東京アクアティクスセンター</v>
          </cell>
          <cell r="D7">
            <v>1</v>
          </cell>
          <cell r="E7">
            <v>15</v>
          </cell>
          <cell r="F7">
            <v>9</v>
          </cell>
          <cell r="G7">
            <v>13</v>
          </cell>
          <cell r="H7">
            <v>38</v>
          </cell>
        </row>
        <row r="8">
          <cell r="A8" t="str">
            <v>アーティスティックスイミング</v>
          </cell>
          <cell r="B8" t="str">
            <v>浜松市</v>
          </cell>
          <cell r="C8" t="str">
            <v>古橋廣之進記念浜松市総合水泳場［ToBiO］</v>
          </cell>
          <cell r="D8">
            <v>1</v>
          </cell>
          <cell r="E8">
            <v>30</v>
          </cell>
          <cell r="F8">
            <v>24</v>
          </cell>
          <cell r="G8"/>
          <cell r="H8">
            <v>55</v>
          </cell>
        </row>
        <row r="9">
          <cell r="A9" t="str">
            <v>水球➀</v>
          </cell>
          <cell r="B9" t="str">
            <v>名古屋市</v>
          </cell>
          <cell r="C9" t="str">
            <v>名古屋市総合体育館［レインボープール］</v>
          </cell>
          <cell r="D9">
            <v>1</v>
          </cell>
          <cell r="E9">
            <v>32</v>
          </cell>
          <cell r="F9"/>
          <cell r="G9"/>
          <cell r="H9">
            <v>33</v>
          </cell>
        </row>
        <row r="10">
          <cell r="A10" t="str">
            <v>水球➁</v>
          </cell>
          <cell r="B10" t="str">
            <v>名古屋市</v>
          </cell>
          <cell r="C10" t="str">
            <v>名古屋市総合体育館［レインボープール］</v>
          </cell>
          <cell r="D10"/>
          <cell r="E10"/>
          <cell r="F10">
            <v>36</v>
          </cell>
          <cell r="G10"/>
          <cell r="H10">
            <v>36</v>
          </cell>
        </row>
        <row r="11">
          <cell r="A11" t="str">
            <v>アーチェリー</v>
          </cell>
          <cell r="B11" t="str">
            <v>岡崎市</v>
          </cell>
          <cell r="C11" t="str">
            <v>岡崎中央総合公園多目的広場</v>
          </cell>
          <cell r="D11">
            <v>1</v>
          </cell>
          <cell r="E11">
            <v>19</v>
          </cell>
          <cell r="F11">
            <v>14</v>
          </cell>
          <cell r="G11"/>
          <cell r="H11">
            <v>34</v>
          </cell>
        </row>
        <row r="12">
          <cell r="A12" t="str">
            <v>陸上競技</v>
          </cell>
          <cell r="B12" t="str">
            <v>名古屋市</v>
          </cell>
          <cell r="C12" t="str">
            <v>名古屋市瑞穂公園陸上競技場</v>
          </cell>
          <cell r="D12">
            <v>3</v>
          </cell>
          <cell r="E12">
            <v>40</v>
          </cell>
          <cell r="F12">
            <v>220</v>
          </cell>
          <cell r="G12"/>
          <cell r="H12">
            <v>263</v>
          </cell>
        </row>
        <row r="13">
          <cell r="A13" t="str">
            <v>バドミントン</v>
          </cell>
          <cell r="B13" t="str">
            <v>一宮市</v>
          </cell>
          <cell r="C13" t="str">
            <v>一宮市総合体育館</v>
          </cell>
          <cell r="D13">
            <v>1</v>
          </cell>
          <cell r="E13">
            <v>30</v>
          </cell>
          <cell r="F13">
            <v>70</v>
          </cell>
          <cell r="G13"/>
          <cell r="H13">
            <v>101</v>
          </cell>
        </row>
        <row r="14">
          <cell r="A14" t="str">
            <v>野球①</v>
          </cell>
          <cell r="B14" t="str">
            <v>岡崎／豊橋</v>
          </cell>
          <cell r="C14" t="str">
            <v>岡崎市中央総合公園／豊橋市民球場</v>
          </cell>
          <cell r="D14">
            <v>1</v>
          </cell>
          <cell r="E14">
            <v>4</v>
          </cell>
          <cell r="F14">
            <v>25</v>
          </cell>
          <cell r="G14">
            <v>5</v>
          </cell>
          <cell r="H14">
            <v>35</v>
          </cell>
        </row>
        <row r="15">
          <cell r="A15" t="str">
            <v>野球②</v>
          </cell>
          <cell r="B15" t="str">
            <v>岡崎／豊橋</v>
          </cell>
          <cell r="C15" t="str">
            <v>岡崎市中央総合公園／豊橋市民球場</v>
          </cell>
          <cell r="D15">
            <v>0</v>
          </cell>
          <cell r="E15">
            <v>21</v>
          </cell>
          <cell r="F15">
            <v>0</v>
          </cell>
          <cell r="G15"/>
          <cell r="H15">
            <v>21</v>
          </cell>
        </row>
        <row r="16">
          <cell r="A16" t="str">
            <v>ソフトボール</v>
          </cell>
          <cell r="B16" t="str">
            <v>安城市</v>
          </cell>
          <cell r="C16" t="str">
            <v>安城市総合公園ソフトボール場</v>
          </cell>
          <cell r="D16">
            <v>1</v>
          </cell>
          <cell r="E16">
            <v>27</v>
          </cell>
          <cell r="F16">
            <v>11</v>
          </cell>
          <cell r="G16"/>
          <cell r="H16">
            <v>39</v>
          </cell>
        </row>
        <row r="17">
          <cell r="A17" t="str">
            <v>バスケットボール（５×５）</v>
          </cell>
          <cell r="B17" t="str">
            <v>名古屋市</v>
          </cell>
          <cell r="C17" t="str">
            <v>愛知県新体育館［愛知国際アリーナ］</v>
          </cell>
          <cell r="D17">
            <v>1</v>
          </cell>
          <cell r="E17">
            <v>20</v>
          </cell>
          <cell r="F17">
            <v>50</v>
          </cell>
          <cell r="G17"/>
          <cell r="H17">
            <v>71</v>
          </cell>
        </row>
        <row r="18">
          <cell r="A18" t="str">
            <v>3x3 バスケットボール</v>
          </cell>
          <cell r="B18" t="str">
            <v>名古屋市</v>
          </cell>
          <cell r="C18" t="str">
            <v>金城ふ頭駅前特設コート</v>
          </cell>
          <cell r="D18">
            <v>1</v>
          </cell>
          <cell r="E18">
            <v>11</v>
          </cell>
          <cell r="F18">
            <v>12</v>
          </cell>
          <cell r="G18"/>
          <cell r="H18">
            <v>24</v>
          </cell>
        </row>
        <row r="19">
          <cell r="A19" t="str">
            <v>ボクシング</v>
          </cell>
          <cell r="B19" t="str">
            <v>西尾市</v>
          </cell>
          <cell r="C19" t="str">
            <v>西尾市総合体育館</v>
          </cell>
          <cell r="D19">
            <v>1</v>
          </cell>
          <cell r="E19">
            <v>57</v>
          </cell>
          <cell r="F19">
            <v>22</v>
          </cell>
          <cell r="G19"/>
          <cell r="H19">
            <v>80</v>
          </cell>
        </row>
        <row r="20">
          <cell r="A20" t="str">
            <v>ブレイキン</v>
          </cell>
          <cell r="B20" t="str">
            <v>常滑市</v>
          </cell>
          <cell r="C20" t="str">
            <v>愛知県国際展示場［Aichi Sky Expo］</v>
          </cell>
          <cell r="D20">
            <v>1</v>
          </cell>
          <cell r="E20">
            <v>21</v>
          </cell>
          <cell r="F20">
            <v>11</v>
          </cell>
          <cell r="G20"/>
          <cell r="H20">
            <v>33</v>
          </cell>
        </row>
        <row r="21">
          <cell r="A21" t="str">
            <v>カヌー・カヤック（スプリント）</v>
          </cell>
          <cell r="B21" t="str">
            <v>みよし市</v>
          </cell>
          <cell r="C21" t="str">
            <v>三好池</v>
          </cell>
          <cell r="D21">
            <v>1</v>
          </cell>
          <cell r="E21">
            <v>26</v>
          </cell>
          <cell r="F21">
            <v>22</v>
          </cell>
          <cell r="G21"/>
          <cell r="H21">
            <v>49</v>
          </cell>
        </row>
        <row r="22">
          <cell r="A22" t="str">
            <v>カヌー・カヤック（スラローム）</v>
          </cell>
          <cell r="B22" t="str">
            <v>豊田市</v>
          </cell>
          <cell r="C22" t="str">
            <v>矢作川カヌースラロームコース</v>
          </cell>
          <cell r="D22">
            <v>1</v>
          </cell>
          <cell r="E22">
            <v>28</v>
          </cell>
          <cell r="F22">
            <v>20</v>
          </cell>
          <cell r="G22"/>
          <cell r="H22">
            <v>49</v>
          </cell>
        </row>
        <row r="23">
          <cell r="A23" t="str">
            <v>柔術</v>
          </cell>
          <cell r="B23" t="str">
            <v>名古屋市</v>
          </cell>
          <cell r="C23" t="str">
            <v>愛知県武道館</v>
          </cell>
          <cell r="D23">
            <v>1</v>
          </cell>
          <cell r="E23">
            <v>70</v>
          </cell>
          <cell r="F23">
            <v>0</v>
          </cell>
          <cell r="G23"/>
          <cell r="H23">
            <v>71</v>
          </cell>
        </row>
        <row r="24">
          <cell r="A24" t="str">
            <v>クラッシュ</v>
          </cell>
          <cell r="B24" t="str">
            <v>名古屋市</v>
          </cell>
          <cell r="C24" t="str">
            <v>愛知県武道館</v>
          </cell>
          <cell r="D24">
            <v>1</v>
          </cell>
          <cell r="E24">
            <v>70</v>
          </cell>
          <cell r="F24">
            <v>10</v>
          </cell>
          <cell r="G24"/>
          <cell r="H24">
            <v>81</v>
          </cell>
        </row>
        <row r="25">
          <cell r="A25" t="str">
            <v>総合格闘技</v>
          </cell>
          <cell r="B25" t="str">
            <v>名古屋市</v>
          </cell>
          <cell r="C25" t="str">
            <v>愛知県武道館</v>
          </cell>
          <cell r="D25">
            <v>1</v>
          </cell>
          <cell r="E25">
            <v>25</v>
          </cell>
          <cell r="F25">
            <v>25</v>
          </cell>
          <cell r="G25"/>
          <cell r="H25">
            <v>51</v>
          </cell>
        </row>
        <row r="26">
          <cell r="A26" t="str">
            <v>クリケット</v>
          </cell>
          <cell r="B26" t="str">
            <v>日進市</v>
          </cell>
          <cell r="C26" t="str">
            <v>口論義運動公園</v>
          </cell>
          <cell r="D26">
            <v>2</v>
          </cell>
          <cell r="E26">
            <v>25</v>
          </cell>
          <cell r="F26">
            <v>0</v>
          </cell>
          <cell r="G26"/>
          <cell r="H26">
            <v>27</v>
          </cell>
        </row>
        <row r="27">
          <cell r="A27" t="str">
            <v>自転車競技（トラック）</v>
          </cell>
          <cell r="B27" t="str">
            <v>伊豆市</v>
          </cell>
          <cell r="C27" t="str">
            <v>伊豆ベロドローム</v>
          </cell>
          <cell r="D27">
            <v>1</v>
          </cell>
          <cell r="E27">
            <v>6</v>
          </cell>
          <cell r="F27">
            <v>27</v>
          </cell>
          <cell r="G27"/>
          <cell r="H27">
            <v>34</v>
          </cell>
        </row>
        <row r="28">
          <cell r="A28" t="str">
            <v>自転車競技（ロードレース）</v>
          </cell>
          <cell r="B28" t="str">
            <v>新城市</v>
          </cell>
          <cell r="C28" t="str">
            <v>新城市内発着コース</v>
          </cell>
          <cell r="D28">
            <v>1</v>
          </cell>
          <cell r="E28">
            <v>7</v>
          </cell>
          <cell r="F28">
            <v>23</v>
          </cell>
          <cell r="G28"/>
          <cell r="H28">
            <v>31</v>
          </cell>
        </row>
        <row r="29">
          <cell r="A29" t="str">
            <v>自転車競技（マウンテンバイク）</v>
          </cell>
          <cell r="B29" t="str">
            <v>名古屋市</v>
          </cell>
          <cell r="C29" t="str">
            <v>小幡緑地</v>
          </cell>
          <cell r="D29">
            <v>1</v>
          </cell>
          <cell r="E29">
            <v>6</v>
          </cell>
          <cell r="F29">
            <v>6</v>
          </cell>
          <cell r="G29"/>
          <cell r="H29">
            <v>13</v>
          </cell>
        </row>
        <row r="30">
          <cell r="A30" t="str">
            <v>自転車競技（BMXレース）</v>
          </cell>
          <cell r="B30" t="str">
            <v>名古屋市</v>
          </cell>
          <cell r="C30" t="str">
            <v>名古屋市競輪場BMXレースコース</v>
          </cell>
          <cell r="D30">
            <v>1</v>
          </cell>
          <cell r="E30">
            <v>5</v>
          </cell>
          <cell r="F30">
            <v>6</v>
          </cell>
          <cell r="G30"/>
          <cell r="H30">
            <v>12</v>
          </cell>
        </row>
        <row r="31">
          <cell r="A31" t="str">
            <v>自転車競技（BMXフリースタイル）</v>
          </cell>
          <cell r="B31" t="str">
            <v>常滑市</v>
          </cell>
          <cell r="C31" t="str">
            <v>愛知県国際展示場［Aichi Sky Expo］</v>
          </cell>
          <cell r="D31">
            <v>1</v>
          </cell>
          <cell r="E31">
            <v>9</v>
          </cell>
          <cell r="F31">
            <v>4</v>
          </cell>
          <cell r="G31"/>
          <cell r="H31">
            <v>14</v>
          </cell>
        </row>
        <row r="32">
          <cell r="A32" t="str">
            <v>馬術</v>
          </cell>
          <cell r="B32" t="str">
            <v>東京都</v>
          </cell>
          <cell r="C32" t="str">
            <v>JRA馬事公苑</v>
          </cell>
          <cell r="D32">
            <v>4</v>
          </cell>
          <cell r="E32">
            <v>33</v>
          </cell>
          <cell r="F32">
            <v>71</v>
          </cell>
          <cell r="G32"/>
          <cell r="H32">
            <v>108</v>
          </cell>
        </row>
        <row r="33">
          <cell r="A33" t="str">
            <v>Eスポーツ</v>
          </cell>
          <cell r="B33" t="str">
            <v>常滑市</v>
          </cell>
          <cell r="C33" t="str">
            <v>愛知県国際展示場［Aichi Sky Expo］</v>
          </cell>
          <cell r="D33">
            <v>1</v>
          </cell>
          <cell r="E33">
            <v>20</v>
          </cell>
          <cell r="F33">
            <v>50</v>
          </cell>
          <cell r="G33"/>
          <cell r="H33">
            <v>71</v>
          </cell>
        </row>
        <row r="34">
          <cell r="A34" t="str">
            <v>フェンシング</v>
          </cell>
          <cell r="B34" t="str">
            <v>常滑市</v>
          </cell>
          <cell r="C34" t="str">
            <v>愛知県国際展示場［Aichi Sky Expo］</v>
          </cell>
          <cell r="D34">
            <v>1</v>
          </cell>
          <cell r="E34">
            <v>66</v>
          </cell>
          <cell r="F34">
            <v>44</v>
          </cell>
          <cell r="G34"/>
          <cell r="H34">
            <v>111</v>
          </cell>
        </row>
        <row r="35">
          <cell r="A35" t="str">
            <v>サッカー（名古屋）本部</v>
          </cell>
          <cell r="B35" t="str">
            <v>名古屋市</v>
          </cell>
          <cell r="C35"/>
          <cell r="D35">
            <v>1</v>
          </cell>
          <cell r="E35">
            <v>175</v>
          </cell>
          <cell r="F35"/>
          <cell r="G35"/>
          <cell r="H35">
            <v>176</v>
          </cell>
        </row>
        <row r="36">
          <cell r="A36" t="str">
            <v>サッカー（岐阜）トランジット</v>
          </cell>
          <cell r="B36" t="str">
            <v>岐阜市</v>
          </cell>
          <cell r="C36" t="str">
            <v>長良川競技場</v>
          </cell>
          <cell r="D36">
            <v>1</v>
          </cell>
          <cell r="E36">
            <v>13</v>
          </cell>
          <cell r="F36"/>
          <cell r="G36"/>
          <cell r="H36">
            <v>14</v>
          </cell>
        </row>
        <row r="37">
          <cell r="A37" t="str">
            <v>サッカー（静岡）トランジット</v>
          </cell>
          <cell r="B37" t="str">
            <v>袋井市</v>
          </cell>
          <cell r="C37" t="str">
            <v>小笠山総合運動公園エコパスタジアム</v>
          </cell>
          <cell r="D37">
            <v>1</v>
          </cell>
          <cell r="E37">
            <v>18</v>
          </cell>
          <cell r="F37"/>
          <cell r="G37"/>
          <cell r="H37">
            <v>19</v>
          </cell>
        </row>
        <row r="38">
          <cell r="A38" t="str">
            <v>サッカー（大阪）トランジット</v>
          </cell>
          <cell r="B38" t="str">
            <v>大阪市</v>
          </cell>
          <cell r="C38" t="str">
            <v>長居陸上競技場</v>
          </cell>
          <cell r="D38">
            <v>1</v>
          </cell>
          <cell r="E38">
            <v>18</v>
          </cell>
          <cell r="F38"/>
          <cell r="G38"/>
          <cell r="H38">
            <v>19</v>
          </cell>
        </row>
        <row r="39">
          <cell r="A39" t="str">
            <v>ゴルフ</v>
          </cell>
          <cell r="B39" t="str">
            <v>春日井市</v>
          </cell>
          <cell r="C39" t="str">
            <v>春日井カントリークラブ　東コース</v>
          </cell>
          <cell r="D39">
            <v>1</v>
          </cell>
          <cell r="E39">
            <v>14</v>
          </cell>
          <cell r="F39">
            <v>12</v>
          </cell>
          <cell r="G39"/>
          <cell r="H39">
            <v>27</v>
          </cell>
        </row>
        <row r="40">
          <cell r="A40" t="str">
            <v>体操</v>
          </cell>
          <cell r="B40" t="str">
            <v>名古屋市</v>
          </cell>
          <cell r="C40" t="str">
            <v>名古屋市総合体育館［レインボーホール］</v>
          </cell>
          <cell r="D40">
            <v>3</v>
          </cell>
          <cell r="E40">
            <v>87</v>
          </cell>
          <cell r="F40">
            <v>14</v>
          </cell>
          <cell r="G40"/>
          <cell r="H40">
            <v>104</v>
          </cell>
        </row>
        <row r="41">
          <cell r="A41" t="str">
            <v>新体操</v>
          </cell>
          <cell r="B41" t="str">
            <v>名古屋市</v>
          </cell>
          <cell r="C41" t="str">
            <v>名古屋市総合体育館［レインボーホール］</v>
          </cell>
          <cell r="D41">
            <v>2</v>
          </cell>
          <cell r="E41">
            <v>32</v>
          </cell>
          <cell r="F41">
            <v>8</v>
          </cell>
          <cell r="G41"/>
          <cell r="H41">
            <v>42</v>
          </cell>
        </row>
        <row r="42">
          <cell r="A42" t="str">
            <v>トランポリン</v>
          </cell>
          <cell r="B42" t="str">
            <v>名古屋市</v>
          </cell>
          <cell r="C42" t="str">
            <v>名古屋市総合体育館［レインボーホール］</v>
          </cell>
          <cell r="D42">
            <v>2</v>
          </cell>
          <cell r="E42">
            <v>14</v>
          </cell>
          <cell r="F42">
            <v>0</v>
          </cell>
          <cell r="G42"/>
          <cell r="H42">
            <v>16</v>
          </cell>
        </row>
        <row r="43">
          <cell r="A43" t="str">
            <v>ハンドボール</v>
          </cell>
          <cell r="B43" t="str">
            <v>稲沢市</v>
          </cell>
          <cell r="C43" t="str">
            <v>豊田合成記念体育館［エントリオ］</v>
          </cell>
          <cell r="D43">
            <v>1</v>
          </cell>
          <cell r="E43">
            <v>57</v>
          </cell>
          <cell r="F43">
            <v>20</v>
          </cell>
          <cell r="G43"/>
          <cell r="H43">
            <v>78</v>
          </cell>
        </row>
        <row r="44">
          <cell r="A44" t="str">
            <v>ホッケー</v>
          </cell>
          <cell r="B44" t="str">
            <v>各務原市</v>
          </cell>
          <cell r="C44" t="str">
            <v>岐阜県グリーンスタジアム</v>
          </cell>
          <cell r="D44">
            <v>1</v>
          </cell>
          <cell r="E44">
            <v>88</v>
          </cell>
          <cell r="F44">
            <v>24</v>
          </cell>
          <cell r="G44"/>
          <cell r="H44">
            <v>113</v>
          </cell>
        </row>
        <row r="45">
          <cell r="A45" t="str">
            <v>柔道</v>
          </cell>
          <cell r="B45" t="str">
            <v>名古屋市</v>
          </cell>
          <cell r="C45" t="str">
            <v>愛知国際アリーナ</v>
          </cell>
          <cell r="D45">
            <v>1</v>
          </cell>
          <cell r="E45">
            <v>50</v>
          </cell>
          <cell r="F45">
            <v>40</v>
          </cell>
          <cell r="G45"/>
          <cell r="H45">
            <v>91</v>
          </cell>
        </row>
        <row r="46">
          <cell r="A46" t="str">
            <v>カバディ</v>
          </cell>
          <cell r="B46" t="str">
            <v>東海市</v>
          </cell>
          <cell r="C46" t="str">
            <v>東海市民体育館</v>
          </cell>
          <cell r="D46">
            <v>1</v>
          </cell>
          <cell r="E46">
            <v>45</v>
          </cell>
          <cell r="F46">
            <v>20</v>
          </cell>
          <cell r="G46"/>
          <cell r="H46">
            <v>66</v>
          </cell>
        </row>
        <row r="47">
          <cell r="A47" t="str">
            <v>空手</v>
          </cell>
          <cell r="B47" t="str">
            <v>豊橋市</v>
          </cell>
          <cell r="C47" t="str">
            <v>豊橋市総合体育館</v>
          </cell>
          <cell r="D47">
            <v>1</v>
          </cell>
          <cell r="E47">
            <v>48</v>
          </cell>
          <cell r="F47">
            <v>12</v>
          </cell>
          <cell r="G47"/>
          <cell r="H47">
            <v>61</v>
          </cell>
        </row>
        <row r="48">
          <cell r="A48" t="str">
            <v>近代五種</v>
          </cell>
          <cell r="B48" t="str">
            <v>安城市</v>
          </cell>
          <cell r="C48" t="str">
            <v>安城市総合運動公園陸上競技場他</v>
          </cell>
          <cell r="D48">
            <v>2</v>
          </cell>
          <cell r="E48">
            <v>8</v>
          </cell>
          <cell r="F48">
            <v>48</v>
          </cell>
          <cell r="G48"/>
          <cell r="H48">
            <v>58</v>
          </cell>
        </row>
        <row r="49">
          <cell r="A49" t="str">
            <v>ローイング</v>
          </cell>
          <cell r="B49" t="str">
            <v>海津市</v>
          </cell>
          <cell r="C49" t="str">
            <v>長良川国際レガッタコース</v>
          </cell>
          <cell r="D49">
            <v>1</v>
          </cell>
          <cell r="E49">
            <v>28</v>
          </cell>
          <cell r="F49">
            <v>35</v>
          </cell>
          <cell r="G49"/>
          <cell r="H49">
            <v>64</v>
          </cell>
        </row>
        <row r="50">
          <cell r="A50" t="str">
            <v>ラグビー</v>
          </cell>
          <cell r="B50" t="str">
            <v>名古屋市</v>
          </cell>
          <cell r="C50" t="str">
            <v>名古屋市瑞穂公園ラグビー場</v>
          </cell>
          <cell r="D50">
            <v>1</v>
          </cell>
          <cell r="E50">
            <v>42</v>
          </cell>
          <cell r="F50">
            <v>18</v>
          </cell>
          <cell r="G50"/>
          <cell r="H50">
            <v>61</v>
          </cell>
        </row>
        <row r="51">
          <cell r="A51" t="str">
            <v>セーリング</v>
          </cell>
          <cell r="B51" t="str">
            <v>蒲郡市</v>
          </cell>
          <cell r="C51" t="str">
            <v>海陽ヨットハーバー</v>
          </cell>
          <cell r="D51">
            <v>1</v>
          </cell>
          <cell r="E51">
            <v>17</v>
          </cell>
          <cell r="F51">
            <v>62</v>
          </cell>
          <cell r="G51"/>
          <cell r="H51">
            <v>80</v>
          </cell>
        </row>
        <row r="52">
          <cell r="A52" t="str">
            <v>セパタクロー</v>
          </cell>
          <cell r="B52" t="str">
            <v>名古屋市</v>
          </cell>
          <cell r="C52" t="str">
            <v>名古屋市瑞穂公園体育館</v>
          </cell>
          <cell r="D52">
            <v>1</v>
          </cell>
          <cell r="E52">
            <v>52</v>
          </cell>
          <cell r="F52">
            <v>34</v>
          </cell>
          <cell r="G52"/>
          <cell r="H52">
            <v>87</v>
          </cell>
        </row>
        <row r="53">
          <cell r="A53" t="str">
            <v>射撃</v>
          </cell>
          <cell r="B53" t="str">
            <v>豊田市</v>
          </cell>
          <cell r="C53" t="str">
            <v>愛知県総合射撃場</v>
          </cell>
          <cell r="D53">
            <v>2</v>
          </cell>
          <cell r="E53">
            <v>40</v>
          </cell>
          <cell r="F53">
            <v>102</v>
          </cell>
          <cell r="G53"/>
          <cell r="H53">
            <v>144</v>
          </cell>
        </row>
        <row r="54">
          <cell r="A54" t="str">
            <v>スケートボード</v>
          </cell>
          <cell r="B54" t="str">
            <v>常滑市</v>
          </cell>
          <cell r="C54" t="str">
            <v>愛知県国際展示場［Aichi Sky Expo］</v>
          </cell>
          <cell r="D54">
            <v>1</v>
          </cell>
          <cell r="E54">
            <v>18</v>
          </cell>
          <cell r="F54">
            <v>7</v>
          </cell>
          <cell r="G54"/>
          <cell r="H54">
            <v>26</v>
          </cell>
        </row>
        <row r="55">
          <cell r="A55" t="str">
            <v>スポーツクライミング</v>
          </cell>
          <cell r="B55" t="str">
            <v>名古屋市</v>
          </cell>
          <cell r="C55" t="str">
            <v>名古屋市国際展示場［ポートメッセなごや］</v>
          </cell>
          <cell r="D55">
            <v>1</v>
          </cell>
          <cell r="E55">
            <v>13</v>
          </cell>
          <cell r="F55">
            <v>40</v>
          </cell>
          <cell r="G55"/>
          <cell r="H55">
            <v>54</v>
          </cell>
        </row>
        <row r="56">
          <cell r="A56" t="str">
            <v>スカッシュ</v>
          </cell>
          <cell r="B56" t="str">
            <v>名古屋市</v>
          </cell>
          <cell r="C56" t="str">
            <v>名古屋市金城ふ頭アリーナ</v>
          </cell>
          <cell r="D56">
            <v>1</v>
          </cell>
          <cell r="E56">
            <v>29</v>
          </cell>
          <cell r="F56">
            <v>14</v>
          </cell>
          <cell r="G56"/>
          <cell r="H56">
            <v>44</v>
          </cell>
        </row>
        <row r="57">
          <cell r="A57" t="str">
            <v>サーフィン</v>
          </cell>
          <cell r="B57" t="str">
            <v>田原市</v>
          </cell>
          <cell r="C57" t="str">
            <v>田原市赤羽根町大石河岸（ロングビーチ）他</v>
          </cell>
          <cell r="D57">
            <v>1</v>
          </cell>
          <cell r="E57">
            <v>13</v>
          </cell>
          <cell r="F57">
            <v>26</v>
          </cell>
          <cell r="G57"/>
          <cell r="H57">
            <v>40</v>
          </cell>
        </row>
        <row r="58">
          <cell r="A58" t="str">
            <v>卓球</v>
          </cell>
          <cell r="B58" t="str">
            <v>豊田市</v>
          </cell>
          <cell r="C58" t="str">
            <v>スカイホール豊田</v>
          </cell>
          <cell r="D58">
            <v>2</v>
          </cell>
          <cell r="E58">
            <v>49</v>
          </cell>
          <cell r="F58">
            <v>8</v>
          </cell>
          <cell r="G58"/>
          <cell r="H58">
            <v>59</v>
          </cell>
        </row>
        <row r="59">
          <cell r="A59" t="str">
            <v>テコンドー</v>
          </cell>
          <cell r="B59" t="str">
            <v>豊橋市</v>
          </cell>
          <cell r="C59" t="str">
            <v>豊橋市総合体育館</v>
          </cell>
          <cell r="D59">
            <v>1</v>
          </cell>
          <cell r="E59">
            <v>47</v>
          </cell>
          <cell r="F59">
            <v>24</v>
          </cell>
          <cell r="G59"/>
          <cell r="H59">
            <v>72</v>
          </cell>
        </row>
        <row r="60">
          <cell r="A60" t="str">
            <v>テニス</v>
          </cell>
          <cell r="B60" t="str">
            <v>名古屋市</v>
          </cell>
          <cell r="C60" t="str">
            <v>名古屋市東山公園テニスセンター</v>
          </cell>
          <cell r="D60">
            <v>1</v>
          </cell>
          <cell r="E60">
            <v>68</v>
          </cell>
          <cell r="F60">
            <v>93</v>
          </cell>
          <cell r="G60"/>
          <cell r="H60">
            <v>162</v>
          </cell>
        </row>
        <row r="61">
          <cell r="A61" t="str">
            <v>ソフトテニス</v>
          </cell>
          <cell r="B61" t="str">
            <v>名古屋市</v>
          </cell>
          <cell r="C61" t="str">
            <v>名古屋市東山公園テニスセンター</v>
          </cell>
          <cell r="D61">
            <v>1</v>
          </cell>
          <cell r="E61">
            <v>22</v>
          </cell>
          <cell r="F61">
            <v>44</v>
          </cell>
          <cell r="G61"/>
          <cell r="H61">
            <v>67</v>
          </cell>
        </row>
        <row r="62">
          <cell r="A62" t="str">
            <v>トライアスロン</v>
          </cell>
          <cell r="B62" t="str">
            <v>蒲郡市</v>
          </cell>
          <cell r="C62" t="str">
            <v>蒲郡市内特設コース</v>
          </cell>
          <cell r="D62">
            <v>1</v>
          </cell>
          <cell r="E62">
            <v>23</v>
          </cell>
          <cell r="F62">
            <v>18</v>
          </cell>
          <cell r="G62"/>
          <cell r="H62">
            <v>42</v>
          </cell>
        </row>
        <row r="63">
          <cell r="A63" t="str">
            <v>バレーボール（男子）</v>
          </cell>
          <cell r="B63" t="str">
            <v>岡崎市</v>
          </cell>
          <cell r="C63" t="str">
            <v>岡崎市中央総合公園総合体育館</v>
          </cell>
          <cell r="D63">
            <v>0</v>
          </cell>
          <cell r="E63">
            <v>22</v>
          </cell>
          <cell r="F63">
            <v>40</v>
          </cell>
          <cell r="G63"/>
          <cell r="H63">
            <v>62</v>
          </cell>
        </row>
        <row r="64">
          <cell r="A64" t="str">
            <v>バレーボール（女子）</v>
          </cell>
          <cell r="B64" t="str">
            <v>小牧市</v>
          </cell>
          <cell r="C64" t="str">
            <v>小牧市スポーツ公園総合体育館</v>
          </cell>
          <cell r="D64">
            <v>1</v>
          </cell>
          <cell r="E64">
            <v>22</v>
          </cell>
          <cell r="F64">
            <v>40</v>
          </cell>
          <cell r="G64"/>
          <cell r="H64">
            <v>63</v>
          </cell>
        </row>
        <row r="65">
          <cell r="A65" t="str">
            <v>ビーチバレーボール</v>
          </cell>
          <cell r="B65" t="str">
            <v>碧南市</v>
          </cell>
          <cell r="C65" t="str">
            <v>碧南緑地ビーチコート</v>
          </cell>
          <cell r="D65">
            <v>1</v>
          </cell>
          <cell r="E65">
            <v>26</v>
          </cell>
          <cell r="F65">
            <v>40</v>
          </cell>
          <cell r="G65"/>
          <cell r="H65">
            <v>67</v>
          </cell>
        </row>
        <row r="66">
          <cell r="A66" t="str">
            <v>ウェイトリフティング</v>
          </cell>
          <cell r="B66" t="str">
            <v>名古屋市</v>
          </cell>
          <cell r="C66" t="str">
            <v>名古屋市中小企業振興会館</v>
          </cell>
          <cell r="D66">
            <v>1</v>
          </cell>
          <cell r="E66">
            <v>52</v>
          </cell>
          <cell r="F66">
            <v>62</v>
          </cell>
          <cell r="G66"/>
          <cell r="H66">
            <v>115</v>
          </cell>
        </row>
        <row r="67">
          <cell r="A67" t="str">
            <v>レスリング</v>
          </cell>
          <cell r="B67" t="str">
            <v>名古屋市</v>
          </cell>
          <cell r="C67" t="str">
            <v>稲永スポーツセンター</v>
          </cell>
          <cell r="D67">
            <v>1</v>
          </cell>
          <cell r="E67">
            <v>44</v>
          </cell>
          <cell r="F67">
            <v>40</v>
          </cell>
          <cell r="G67"/>
          <cell r="H67">
            <v>85</v>
          </cell>
        </row>
        <row r="68">
          <cell r="A68" t="str">
            <v>武術太極拳</v>
          </cell>
          <cell r="B68" t="str">
            <v>名古屋市</v>
          </cell>
          <cell r="C68" t="str">
            <v>愛知県武道館</v>
          </cell>
          <cell r="D68">
            <v>2</v>
          </cell>
          <cell r="E68">
            <v>50</v>
          </cell>
          <cell r="F68">
            <v>30</v>
          </cell>
          <cell r="G68"/>
          <cell r="H68">
            <v>82</v>
          </cell>
        </row>
        <row r="69">
          <cell r="A69" t="str">
            <v>DCO（名古屋）</v>
          </cell>
          <cell r="B69"/>
          <cell r="C69"/>
          <cell r="D69"/>
          <cell r="E69"/>
          <cell r="F69"/>
          <cell r="G69">
            <v>170</v>
          </cell>
          <cell r="H69">
            <v>170</v>
          </cell>
        </row>
        <row r="70">
          <cell r="A70" t="str">
            <v>DCO（豊橋）</v>
          </cell>
          <cell r="B70"/>
          <cell r="C70"/>
          <cell r="D70"/>
          <cell r="E70"/>
          <cell r="F70"/>
          <cell r="G70">
            <v>70</v>
          </cell>
          <cell r="H70">
            <v>70</v>
          </cell>
        </row>
        <row r="71">
          <cell r="A71" t="str">
            <v>DCO（浜松）</v>
          </cell>
          <cell r="B71"/>
          <cell r="C71"/>
          <cell r="D71"/>
          <cell r="E71"/>
          <cell r="F71"/>
          <cell r="G71">
            <v>14</v>
          </cell>
          <cell r="H71">
            <v>14</v>
          </cell>
        </row>
        <row r="72">
          <cell r="A72" t="str">
            <v>DCO（伊豆）</v>
          </cell>
          <cell r="B72"/>
          <cell r="C72"/>
          <cell r="D72"/>
          <cell r="E72"/>
          <cell r="F72"/>
          <cell r="G72">
            <v>14</v>
          </cell>
          <cell r="H72">
            <v>14</v>
          </cell>
        </row>
        <row r="73">
          <cell r="A73" t="str">
            <v>DCO（大阪）</v>
          </cell>
          <cell r="B73"/>
          <cell r="C73"/>
          <cell r="D73"/>
          <cell r="E73"/>
          <cell r="F73"/>
          <cell r="G73">
            <v>14</v>
          </cell>
          <cell r="H73">
            <v>14</v>
          </cell>
        </row>
        <row r="74">
          <cell r="A74" t="str">
            <v>DCO（東京）</v>
          </cell>
          <cell r="B74"/>
          <cell r="C74"/>
          <cell r="D74"/>
          <cell r="E74"/>
          <cell r="F74"/>
          <cell r="G74">
            <v>28</v>
          </cell>
          <cell r="H74">
            <v>28</v>
          </cell>
        </row>
        <row r="75">
          <cell r="A75"/>
          <cell r="B75"/>
          <cell r="C75"/>
          <cell r="D75"/>
          <cell r="E75"/>
          <cell r="F75"/>
          <cell r="G75"/>
          <cell r="H75"/>
        </row>
        <row r="76">
          <cell r="A76"/>
          <cell r="B76"/>
          <cell r="C76"/>
          <cell r="D76"/>
          <cell r="E76"/>
          <cell r="F76"/>
          <cell r="G76"/>
          <cell r="H76"/>
        </row>
        <row r="77">
          <cell r="A77"/>
          <cell r="B77"/>
          <cell r="C77"/>
          <cell r="D77"/>
          <cell r="E77"/>
          <cell r="F77"/>
          <cell r="G77"/>
          <cell r="H77"/>
        </row>
        <row r="78">
          <cell r="A78"/>
          <cell r="B78"/>
          <cell r="C78"/>
          <cell r="D78"/>
          <cell r="E78"/>
          <cell r="F78"/>
          <cell r="G78"/>
          <cell r="H78"/>
        </row>
        <row r="79">
          <cell r="A79" t="str">
            <v>－</v>
          </cell>
          <cell r="B79" t="str">
            <v>－</v>
          </cell>
          <cell r="C79"/>
          <cell r="D79"/>
          <cell r="E79"/>
          <cell r="F79"/>
          <cell r="G79"/>
          <cell r="H79"/>
        </row>
        <row r="80">
          <cell r="A80"/>
          <cell r="B80"/>
          <cell r="C80" t="str">
            <v>宿泊者数</v>
          </cell>
          <cell r="D80"/>
          <cell r="E80"/>
          <cell r="F80"/>
          <cell r="G80"/>
          <cell r="H80">
            <v>4331</v>
          </cell>
          <cell r="I80">
            <v>0</v>
          </cell>
          <cell r="J80">
            <v>170</v>
          </cell>
          <cell r="K80">
            <v>178</v>
          </cell>
          <cell r="L80">
            <v>179</v>
          </cell>
          <cell r="M80">
            <v>361</v>
          </cell>
          <cell r="N80">
            <v>445</v>
          </cell>
          <cell r="O80">
            <v>489</v>
          </cell>
          <cell r="P80">
            <v>562</v>
          </cell>
          <cell r="Q80">
            <v>656</v>
          </cell>
          <cell r="R80">
            <v>833</v>
          </cell>
          <cell r="S80">
            <v>837</v>
          </cell>
          <cell r="T80">
            <v>1124</v>
          </cell>
          <cell r="U80">
            <v>1456</v>
          </cell>
          <cell r="V80">
            <v>2329</v>
          </cell>
          <cell r="W80">
            <v>2503</v>
          </cell>
          <cell r="X80">
            <v>2611</v>
          </cell>
          <cell r="Y80">
            <v>3135</v>
          </cell>
          <cell r="Z80">
            <v>3180</v>
          </cell>
          <cell r="AA80">
            <v>3226</v>
          </cell>
          <cell r="AB80">
            <v>3402</v>
          </cell>
          <cell r="AC80">
            <v>3465</v>
          </cell>
          <cell r="AD80">
            <v>3427</v>
          </cell>
          <cell r="AE80">
            <v>3457</v>
          </cell>
          <cell r="AF80">
            <v>3388</v>
          </cell>
          <cell r="AG80">
            <v>3434</v>
          </cell>
          <cell r="AH80">
            <v>3202</v>
          </cell>
          <cell r="AI80">
            <v>3076</v>
          </cell>
          <cell r="AJ80">
            <v>2443</v>
          </cell>
          <cell r="AK80">
            <v>2327</v>
          </cell>
          <cell r="AL80">
            <v>2128</v>
          </cell>
          <cell r="AM80">
            <v>1681</v>
          </cell>
          <cell r="AN80">
            <v>292</v>
          </cell>
          <cell r="AO80">
            <v>10</v>
          </cell>
          <cell r="AP80">
            <v>10</v>
          </cell>
          <cell r="AR80">
            <v>0</v>
          </cell>
        </row>
        <row r="81">
          <cell r="C81" t="str">
            <v>クルーズ船配宿競技</v>
          </cell>
          <cell r="D81"/>
          <cell r="E81"/>
          <cell r="F81"/>
          <cell r="G81"/>
          <cell r="H81"/>
        </row>
        <row r="82">
          <cell r="C82" t="str">
            <v>チェック</v>
          </cell>
          <cell r="D82"/>
          <cell r="E82"/>
          <cell r="F82"/>
          <cell r="G82"/>
          <cell r="H82"/>
        </row>
        <row r="83">
          <cell r="A83" t="str">
            <v>【パラ】アーチェリー①</v>
          </cell>
          <cell r="B83" t="str">
            <v>岡崎市</v>
          </cell>
          <cell r="C83" t="str">
            <v>岡崎市中央総合公園多目的広場</v>
          </cell>
          <cell r="D83"/>
          <cell r="E83"/>
          <cell r="F83"/>
          <cell r="G83"/>
          <cell r="H83">
            <v>132</v>
          </cell>
        </row>
        <row r="84">
          <cell r="A84" t="str">
            <v>【パラ】アーチェリー②</v>
          </cell>
          <cell r="B84" t="str">
            <v>岡崎市</v>
          </cell>
          <cell r="C84" t="str">
            <v>岡崎市中央総合公園多目的広場</v>
          </cell>
          <cell r="D84"/>
          <cell r="E84"/>
          <cell r="F84"/>
          <cell r="G84"/>
          <cell r="H84">
            <v>66</v>
          </cell>
        </row>
        <row r="85">
          <cell r="A85" t="str">
            <v>【パラ】陸上①</v>
          </cell>
          <cell r="B85" t="str">
            <v>名古屋市</v>
          </cell>
          <cell r="C85" t="str">
            <v>瑞穂公園陸上競技場</v>
          </cell>
          <cell r="D85"/>
          <cell r="E85"/>
          <cell r="F85"/>
          <cell r="G85"/>
          <cell r="H85">
            <v>336</v>
          </cell>
        </row>
        <row r="86">
          <cell r="A86" t="str">
            <v>【パラ】陸上②</v>
          </cell>
          <cell r="B86" t="str">
            <v>名古屋市</v>
          </cell>
          <cell r="C86" t="str">
            <v>瑞穂公園陸上競技場</v>
          </cell>
          <cell r="D86"/>
          <cell r="E86"/>
          <cell r="F86"/>
          <cell r="G86"/>
          <cell r="H86">
            <v>224</v>
          </cell>
        </row>
        <row r="87">
          <cell r="A87" t="str">
            <v>【パラ】陸上③</v>
          </cell>
          <cell r="B87" t="str">
            <v>名古屋市</v>
          </cell>
          <cell r="C87" t="str">
            <v>瑞穂公園陸上競技場</v>
          </cell>
          <cell r="D87"/>
          <cell r="E87"/>
          <cell r="F87"/>
          <cell r="G87"/>
          <cell r="H87">
            <v>224</v>
          </cell>
        </row>
        <row r="88">
          <cell r="A88" t="str">
            <v>【パラ】陸上④</v>
          </cell>
          <cell r="B88" t="str">
            <v>名古屋市</v>
          </cell>
          <cell r="C88" t="str">
            <v>瑞穂公園陸上競技場</v>
          </cell>
          <cell r="D88"/>
          <cell r="E88"/>
          <cell r="F88"/>
          <cell r="G88"/>
          <cell r="H88">
            <v>112</v>
          </cell>
        </row>
        <row r="89">
          <cell r="A89" t="str">
            <v>【パラ】陸上⑤</v>
          </cell>
          <cell r="B89" t="str">
            <v>名古屋市</v>
          </cell>
          <cell r="C89" t="str">
            <v>瑞穂公園陸上競技場</v>
          </cell>
          <cell r="D89"/>
          <cell r="E89"/>
          <cell r="F89"/>
          <cell r="G89"/>
          <cell r="H89">
            <v>140</v>
          </cell>
        </row>
        <row r="90">
          <cell r="A90" t="str">
            <v>【パラ】バドミントン①</v>
          </cell>
          <cell r="B90" t="str">
            <v>刈谷市</v>
          </cell>
          <cell r="C90" t="str">
            <v>ウィングアリーナ刈谷</v>
          </cell>
          <cell r="D90"/>
          <cell r="E90"/>
          <cell r="F90"/>
          <cell r="G90"/>
          <cell r="H90">
            <v>187</v>
          </cell>
        </row>
        <row r="91">
          <cell r="A91" t="str">
            <v>【パラ】バドミントン②</v>
          </cell>
          <cell r="B91" t="str">
            <v>刈谷市</v>
          </cell>
          <cell r="C91" t="str">
            <v>ウィングアリーナ刈谷</v>
          </cell>
          <cell r="D91"/>
          <cell r="E91"/>
          <cell r="F91"/>
          <cell r="G91"/>
          <cell r="H91">
            <v>85</v>
          </cell>
        </row>
        <row r="92">
          <cell r="A92" t="str">
            <v>【パラ】ボッチャ①</v>
          </cell>
          <cell r="B92" t="str">
            <v>名古屋市</v>
          </cell>
          <cell r="C92" t="str">
            <v>名古屋市総合体育館</v>
          </cell>
          <cell r="D92"/>
          <cell r="E92"/>
          <cell r="F92"/>
          <cell r="G92"/>
          <cell r="H92">
            <v>28</v>
          </cell>
        </row>
        <row r="93">
          <cell r="A93" t="str">
            <v>【パラ】ボッチャ②</v>
          </cell>
          <cell r="B93" t="str">
            <v>名古屋市</v>
          </cell>
          <cell r="C93" t="str">
            <v>名古屋市総合体育館</v>
          </cell>
          <cell r="D93"/>
          <cell r="E93"/>
          <cell r="F93"/>
          <cell r="G93"/>
          <cell r="H93">
            <v>28</v>
          </cell>
        </row>
        <row r="94">
          <cell r="A94" t="str">
            <v>【パラ】ボッチャ③</v>
          </cell>
          <cell r="B94" t="str">
            <v>名古屋市</v>
          </cell>
          <cell r="C94" t="str">
            <v>名古屋市総合体育館</v>
          </cell>
          <cell r="D94"/>
          <cell r="E94"/>
          <cell r="F94"/>
          <cell r="G94"/>
          <cell r="H94">
            <v>42</v>
          </cell>
        </row>
        <row r="95">
          <cell r="A95" t="str">
            <v>【パラ】ボッチャ④</v>
          </cell>
          <cell r="B95" t="str">
            <v>名古屋市</v>
          </cell>
          <cell r="C95" t="str">
            <v>名古屋市総合体育館</v>
          </cell>
          <cell r="D95"/>
          <cell r="E95"/>
          <cell r="F95"/>
          <cell r="G95"/>
          <cell r="H95">
            <v>42</v>
          </cell>
        </row>
        <row r="96">
          <cell r="A96" t="str">
            <v>【パラ】サイクリング（トラック）</v>
          </cell>
          <cell r="B96" t="str">
            <v>伊豆市</v>
          </cell>
          <cell r="C96" t="str">
            <v>伊豆ベロドローム（トラック）</v>
          </cell>
          <cell r="D96"/>
          <cell r="E96"/>
          <cell r="F96"/>
          <cell r="G96"/>
          <cell r="H96">
            <v>80</v>
          </cell>
        </row>
        <row r="97">
          <cell r="A97" t="str">
            <v>【パラ】サイクリング（ロード）</v>
          </cell>
          <cell r="B97" t="str">
            <v>瀬戸市</v>
          </cell>
          <cell r="C97" t="str">
            <v>未定（モリコロパーク検討中）</v>
          </cell>
          <cell r="D97"/>
          <cell r="E97"/>
          <cell r="F97"/>
          <cell r="G97"/>
          <cell r="H97">
            <v>120</v>
          </cell>
        </row>
        <row r="98">
          <cell r="A98" t="str">
            <v>【パラ】ブラインドフットボール</v>
          </cell>
          <cell r="B98" t="str">
            <v>名古屋市</v>
          </cell>
          <cell r="C98" t="str">
            <v>名古屋市鶴舞公園多目的グラウンド</v>
          </cell>
          <cell r="D98"/>
          <cell r="E98"/>
          <cell r="F98"/>
          <cell r="G98"/>
          <cell r="H98">
            <v>77</v>
          </cell>
        </row>
        <row r="99">
          <cell r="A99" t="str">
            <v>【パラ】ゴールボール</v>
          </cell>
          <cell r="B99" t="str">
            <v>豊橋市</v>
          </cell>
          <cell r="C99" t="str">
            <v>豊橋市総合体育館</v>
          </cell>
          <cell r="D99"/>
          <cell r="E99"/>
          <cell r="F99"/>
          <cell r="G99"/>
          <cell r="H99">
            <v>145</v>
          </cell>
        </row>
        <row r="100">
          <cell r="A100" t="str">
            <v>【パラ】柔道</v>
          </cell>
          <cell r="B100" t="str">
            <v>名古屋市</v>
          </cell>
          <cell r="C100" t="str">
            <v>愛知県武道館</v>
          </cell>
          <cell r="D100"/>
          <cell r="E100"/>
          <cell r="F100"/>
          <cell r="G100"/>
          <cell r="H100">
            <v>157</v>
          </cell>
        </row>
        <row r="101">
          <cell r="A101" t="str">
            <v>【パラ】パワーリフティング①</v>
          </cell>
          <cell r="B101" t="str">
            <v>名古屋市</v>
          </cell>
          <cell r="C101" t="str">
            <v>名古屋市中小企業振興会館</v>
          </cell>
          <cell r="D101"/>
          <cell r="E101"/>
          <cell r="F101"/>
          <cell r="G101"/>
          <cell r="H101">
            <v>110</v>
          </cell>
        </row>
        <row r="102">
          <cell r="A102" t="str">
            <v>【パラ】パワーリフティング②</v>
          </cell>
          <cell r="B102" t="str">
            <v>名古屋市</v>
          </cell>
          <cell r="C102" t="str">
            <v>名古屋市中小企業振興会館</v>
          </cell>
          <cell r="D102"/>
          <cell r="E102"/>
          <cell r="F102"/>
          <cell r="G102"/>
          <cell r="H102">
            <v>110</v>
          </cell>
        </row>
        <row r="103">
          <cell r="A103" t="str">
            <v>【パラ】パワーリフティング③</v>
          </cell>
          <cell r="B103" t="str">
            <v>名古屋市</v>
          </cell>
          <cell r="C103" t="str">
            <v>名古屋市中小企業振興会館</v>
          </cell>
          <cell r="D103"/>
          <cell r="E103"/>
          <cell r="F103"/>
          <cell r="G103"/>
          <cell r="H103">
            <v>60</v>
          </cell>
        </row>
        <row r="104">
          <cell r="A104" t="str">
            <v>【パラ】射撃①</v>
          </cell>
          <cell r="B104" t="str">
            <v>豊田市</v>
          </cell>
          <cell r="C104" t="str">
            <v>愛知県総合射撃場</v>
          </cell>
          <cell r="D104"/>
          <cell r="E104"/>
          <cell r="F104"/>
          <cell r="G104"/>
          <cell r="H104">
            <v>50</v>
          </cell>
        </row>
        <row r="105">
          <cell r="A105" t="str">
            <v>【パラ】射撃②</v>
          </cell>
          <cell r="B105" t="str">
            <v>豊田市</v>
          </cell>
          <cell r="C105" t="str">
            <v>愛知県総合射撃場</v>
          </cell>
          <cell r="D105"/>
          <cell r="E105"/>
          <cell r="F105"/>
          <cell r="G105"/>
          <cell r="H105">
            <v>130</v>
          </cell>
        </row>
        <row r="106">
          <cell r="A106" t="str">
            <v>【パラ】シッティングバレーボール①</v>
          </cell>
          <cell r="B106" t="str">
            <v>岡崎市</v>
          </cell>
          <cell r="C106" t="str">
            <v>岡崎市中央総合公園総合体育館</v>
          </cell>
          <cell r="D106"/>
          <cell r="E106"/>
          <cell r="F106"/>
          <cell r="G106"/>
          <cell r="H106">
            <v>72</v>
          </cell>
        </row>
        <row r="107">
          <cell r="A107" t="str">
            <v>【パラ】シッティングバレーボール②</v>
          </cell>
          <cell r="B107" t="str">
            <v>岡崎市</v>
          </cell>
          <cell r="C107" t="str">
            <v>岡崎市中央総合公園総合体育館</v>
          </cell>
          <cell r="D107"/>
          <cell r="E107"/>
          <cell r="F107"/>
          <cell r="G107"/>
          <cell r="H107">
            <v>144</v>
          </cell>
        </row>
        <row r="108">
          <cell r="A108" t="str">
            <v>【パラ】水泳①</v>
          </cell>
          <cell r="B108" t="str">
            <v>名古屋市</v>
          </cell>
          <cell r="C108" t="str">
            <v>名古屋市総合体育館</v>
          </cell>
          <cell r="D108"/>
          <cell r="E108"/>
          <cell r="F108"/>
          <cell r="G108"/>
          <cell r="H108">
            <v>288</v>
          </cell>
        </row>
        <row r="109">
          <cell r="A109" t="str">
            <v>【パラ】水泳②</v>
          </cell>
          <cell r="B109" t="str">
            <v>名古屋市</v>
          </cell>
          <cell r="C109" t="str">
            <v>名古屋市総合体育館</v>
          </cell>
          <cell r="D109"/>
          <cell r="E109"/>
          <cell r="F109"/>
          <cell r="G109"/>
          <cell r="H109">
            <v>144</v>
          </cell>
        </row>
        <row r="110">
          <cell r="A110" t="str">
            <v>【パラ】卓球①</v>
          </cell>
          <cell r="B110" t="str">
            <v>一宮市</v>
          </cell>
          <cell r="C110" t="str">
            <v>一宮市総合体育館</v>
          </cell>
          <cell r="D110"/>
          <cell r="E110"/>
          <cell r="F110"/>
          <cell r="G110"/>
          <cell r="H110">
            <v>165</v>
          </cell>
        </row>
        <row r="111">
          <cell r="A111" t="str">
            <v>【パラ】卓球②</v>
          </cell>
          <cell r="B111" t="str">
            <v>一宮市</v>
          </cell>
          <cell r="C111" t="str">
            <v>一宮市総合体育館</v>
          </cell>
          <cell r="D111"/>
          <cell r="E111"/>
          <cell r="F111"/>
          <cell r="G111"/>
          <cell r="H111">
            <v>132</v>
          </cell>
        </row>
        <row r="112">
          <cell r="A112" t="str">
            <v>【パラ】テコンドー</v>
          </cell>
          <cell r="B112" t="str">
            <v>名古屋市</v>
          </cell>
          <cell r="C112" t="str">
            <v>パロマ瑞穂アリーナ</v>
          </cell>
          <cell r="D112"/>
          <cell r="E112"/>
          <cell r="F112"/>
          <cell r="G112"/>
          <cell r="H112">
            <v>77</v>
          </cell>
        </row>
        <row r="113">
          <cell r="A113" t="str">
            <v>【パラ】車いすバスケットボール①</v>
          </cell>
          <cell r="B113" t="str">
            <v>名古屋市</v>
          </cell>
          <cell r="C113" t="str">
            <v>愛知県新体育館</v>
          </cell>
          <cell r="D113"/>
          <cell r="E113"/>
          <cell r="F113"/>
          <cell r="G113"/>
          <cell r="H113">
            <v>96</v>
          </cell>
        </row>
        <row r="114">
          <cell r="A114" t="str">
            <v>【パラ】車いすバスケットボール②</v>
          </cell>
          <cell r="B114" t="str">
            <v>名古屋市</v>
          </cell>
          <cell r="C114" t="str">
            <v>愛知県新体育館</v>
          </cell>
          <cell r="D114"/>
          <cell r="E114"/>
          <cell r="F114"/>
          <cell r="G114"/>
          <cell r="H114">
            <v>96</v>
          </cell>
        </row>
        <row r="115">
          <cell r="A115" t="str">
            <v>【パラ】車いすバスケットボール③</v>
          </cell>
          <cell r="B115" t="str">
            <v>名古屋市</v>
          </cell>
          <cell r="C115" t="str">
            <v>愛知県新体育館</v>
          </cell>
          <cell r="D115"/>
          <cell r="E115"/>
          <cell r="F115"/>
          <cell r="G115"/>
          <cell r="H115">
            <v>72</v>
          </cell>
        </row>
        <row r="116">
          <cell r="A116" t="str">
            <v>【パラ】車いすフェンシング</v>
          </cell>
          <cell r="B116" t="str">
            <v>名古屋市</v>
          </cell>
          <cell r="C116" t="str">
            <v>名古屋市稲永スポーツセンター</v>
          </cell>
          <cell r="D116"/>
          <cell r="E116"/>
          <cell r="F116"/>
          <cell r="G116"/>
          <cell r="H116">
            <v>145</v>
          </cell>
        </row>
        <row r="117">
          <cell r="A117" t="str">
            <v>【パラ】車いすテニス</v>
          </cell>
          <cell r="B117" t="str">
            <v>名古屋市</v>
          </cell>
          <cell r="C117" t="str">
            <v>名古屋市東山公園テニスセンター</v>
          </cell>
          <cell r="D117"/>
          <cell r="E117"/>
          <cell r="F117"/>
          <cell r="G117"/>
          <cell r="H117">
            <v>54</v>
          </cell>
        </row>
        <row r="118">
          <cell r="A118" t="str">
            <v>【パラ】車いすラグビー</v>
          </cell>
          <cell r="B118" t="str">
            <v>名古屋市</v>
          </cell>
          <cell r="C118" t="str">
            <v>未定（名古屋市枇杷島スポーツセンター検討中）</v>
          </cell>
          <cell r="D118"/>
          <cell r="E118"/>
          <cell r="F118"/>
          <cell r="G118"/>
          <cell r="H118">
            <v>62</v>
          </cell>
        </row>
        <row r="119">
          <cell r="A119"/>
          <cell r="B119"/>
          <cell r="C119" t="str">
            <v>宿泊者数</v>
          </cell>
          <cell r="D119"/>
          <cell r="E119"/>
          <cell r="F119"/>
          <cell r="G119"/>
          <cell r="H119"/>
        </row>
        <row r="120">
          <cell r="H120">
            <v>4232</v>
          </cell>
        </row>
      </sheetData>
      <sheetData sheetId="5">
        <row r="3">
          <cell r="A3">
            <v>0</v>
          </cell>
        </row>
      </sheetData>
      <sheetData sheetId="6"/>
      <sheetData sheetId="7" refreshError="1"/>
      <sheetData sheetId="8">
        <row r="3">
          <cell r="A3" t="str">
            <v>競泳</v>
          </cell>
          <cell r="B3" t="str">
            <v>競技会場に設置</v>
          </cell>
          <cell r="C3" t="str">
            <v>ー</v>
          </cell>
          <cell r="D3" t="str">
            <v>ー</v>
          </cell>
          <cell r="E3" t="str">
            <v>ー</v>
          </cell>
        </row>
        <row r="4">
          <cell r="A4" t="str">
            <v>飛込</v>
          </cell>
          <cell r="B4" t="str">
            <v>競技会場に設置</v>
          </cell>
          <cell r="C4" t="str">
            <v>ー</v>
          </cell>
          <cell r="D4" t="str">
            <v>ー</v>
          </cell>
          <cell r="E4" t="str">
            <v>ー</v>
          </cell>
        </row>
        <row r="5">
          <cell r="A5" t="str">
            <v>アーティスティックスイミング</v>
          </cell>
          <cell r="B5" t="str">
            <v>競技会場に設置</v>
          </cell>
          <cell r="C5" t="str">
            <v>ー</v>
          </cell>
          <cell r="D5" t="str">
            <v>ー</v>
          </cell>
          <cell r="E5" t="str">
            <v>ー</v>
          </cell>
        </row>
        <row r="6">
          <cell r="A6" t="str">
            <v>水球（男子）</v>
          </cell>
          <cell r="B6" t="str">
            <v>口論義運動公園プール</v>
          </cell>
          <cell r="C6" t="str">
            <v>春日井市温水プール</v>
          </cell>
          <cell r="D6" t="str">
            <v>ー</v>
          </cell>
          <cell r="E6" t="str">
            <v>ー</v>
          </cell>
        </row>
        <row r="7">
          <cell r="A7" t="str">
            <v>水球（女子）</v>
          </cell>
          <cell r="B7" t="str">
            <v>口論義運動公園プール</v>
          </cell>
          <cell r="C7" t="str">
            <v>春日井市温水プール</v>
          </cell>
          <cell r="D7" t="str">
            <v>ー</v>
          </cell>
          <cell r="E7" t="str">
            <v>ー</v>
          </cell>
        </row>
        <row r="8">
          <cell r="A8" t="str">
            <v>マラソンスイミング</v>
          </cell>
          <cell r="B8" t="str">
            <v>南陽プール</v>
          </cell>
          <cell r="C8" t="str">
            <v>ー</v>
          </cell>
          <cell r="D8" t="str">
            <v>ー</v>
          </cell>
          <cell r="E8" t="str">
            <v>ー</v>
          </cell>
        </row>
        <row r="9">
          <cell r="A9" t="str">
            <v>アーチェリー</v>
          </cell>
          <cell r="B9" t="str">
            <v>競技会場に設置</v>
          </cell>
          <cell r="C9" t="str">
            <v>ー</v>
          </cell>
          <cell r="D9" t="str">
            <v>ー</v>
          </cell>
          <cell r="E9" t="str">
            <v>ー</v>
          </cell>
        </row>
        <row r="10">
          <cell r="A10" t="str">
            <v>陸上競技（トラック／フィールド）</v>
          </cell>
          <cell r="B10" t="str">
            <v>美浜町運動公園陸上競技場（投てき）</v>
          </cell>
          <cell r="C10" t="str">
            <v>ー</v>
          </cell>
          <cell r="D10" t="str">
            <v>ー</v>
          </cell>
          <cell r="E10" t="str">
            <v>ー</v>
          </cell>
        </row>
        <row r="11">
          <cell r="A11" t="str">
            <v>陸上競技（マラソン）</v>
          </cell>
          <cell r="B11" t="str">
            <v>知多陸上競技場（その他）</v>
          </cell>
          <cell r="C11" t="str">
            <v>ー</v>
          </cell>
          <cell r="D11" t="str">
            <v>ー</v>
          </cell>
          <cell r="E11" t="str">
            <v>ー</v>
          </cell>
        </row>
        <row r="12">
          <cell r="A12" t="str">
            <v>陸上競技（競歩）</v>
          </cell>
          <cell r="B12" t="str">
            <v>知多陸上競技場（その他）</v>
          </cell>
          <cell r="C12" t="str">
            <v>ー</v>
          </cell>
          <cell r="D12" t="str">
            <v>ー</v>
          </cell>
          <cell r="E12" t="str">
            <v>ー</v>
          </cell>
        </row>
        <row r="13">
          <cell r="A13" t="str">
            <v>バドミントン①</v>
          </cell>
          <cell r="B13" t="str">
            <v>競技会場に設置</v>
          </cell>
          <cell r="C13" t="str">
            <v>ー</v>
          </cell>
          <cell r="D13" t="str">
            <v>ー</v>
          </cell>
          <cell r="E13" t="str">
            <v>ー</v>
          </cell>
        </row>
        <row r="14">
          <cell r="A14" t="str">
            <v>バドミントン②</v>
          </cell>
          <cell r="B14" t="str">
            <v>競技会場に設置</v>
          </cell>
          <cell r="C14" t="str">
            <v>ー</v>
          </cell>
          <cell r="D14" t="str">
            <v>ー</v>
          </cell>
          <cell r="E14" t="str">
            <v>ー</v>
          </cell>
        </row>
        <row r="15">
          <cell r="A15" t="str">
            <v>バスケットボール（５×５／男子）</v>
          </cell>
          <cell r="B15" t="str">
            <v>ウィングアリーナ刈谷</v>
          </cell>
          <cell r="C15" t="str">
            <v>知立市福祉体育館</v>
          </cell>
          <cell r="D15" t="str">
            <v>ー</v>
          </cell>
          <cell r="E15" t="str">
            <v>ー</v>
          </cell>
        </row>
        <row r="16">
          <cell r="A16" t="str">
            <v>バスケットボール（５×５／女子）</v>
          </cell>
          <cell r="B16" t="str">
            <v>ウィングアリーナ刈谷</v>
          </cell>
          <cell r="C16" t="str">
            <v>知立市福祉体育館</v>
          </cell>
          <cell r="D16" t="str">
            <v>ー</v>
          </cell>
          <cell r="E16" t="str">
            <v>ー</v>
          </cell>
        </row>
        <row r="17">
          <cell r="A17" t="str">
            <v>3x3 バスケットボール（男子）</v>
          </cell>
          <cell r="B17" t="str">
            <v>競技会場に設置</v>
          </cell>
          <cell r="C17" t="str">
            <v>ー</v>
          </cell>
          <cell r="D17" t="str">
            <v>ー</v>
          </cell>
          <cell r="E17" t="str">
            <v>ー</v>
          </cell>
        </row>
        <row r="18">
          <cell r="A18" t="str">
            <v>3x3 バスケットボール（女子）</v>
          </cell>
          <cell r="B18" t="str">
            <v>競技会場に設置</v>
          </cell>
          <cell r="C18" t="str">
            <v>ー</v>
          </cell>
          <cell r="D18" t="str">
            <v>ー</v>
          </cell>
          <cell r="E18" t="str">
            <v>ー</v>
          </cell>
        </row>
        <row r="19">
          <cell r="A19" t="str">
            <v>ボクシング①</v>
          </cell>
          <cell r="B19" t="str">
            <v>西尾市中央体育館</v>
          </cell>
          <cell r="C19" t="str">
            <v>ー</v>
          </cell>
          <cell r="D19" t="str">
            <v>ー</v>
          </cell>
          <cell r="E19" t="str">
            <v>ー</v>
          </cell>
        </row>
        <row r="20">
          <cell r="A20" t="str">
            <v>ボクシング②</v>
          </cell>
          <cell r="B20" t="str">
            <v>西尾市中央体育館</v>
          </cell>
          <cell r="C20" t="str">
            <v>ー</v>
          </cell>
          <cell r="D20" t="str">
            <v>ー</v>
          </cell>
          <cell r="E20" t="str">
            <v>ー</v>
          </cell>
        </row>
        <row r="21">
          <cell r="A21" t="str">
            <v>カヌー・カヤック（スプリント）</v>
          </cell>
          <cell r="B21" t="str">
            <v>競技会場に設置</v>
          </cell>
          <cell r="C21" t="str">
            <v>ー</v>
          </cell>
          <cell r="D21" t="str">
            <v>ー</v>
          </cell>
          <cell r="E21" t="str">
            <v>ー</v>
          </cell>
        </row>
        <row r="22">
          <cell r="A22" t="str">
            <v>カヌー・カヤック（スラローム）</v>
          </cell>
          <cell r="B22" t="str">
            <v>競技会場に設置</v>
          </cell>
          <cell r="C22" t="str">
            <v>ー</v>
          </cell>
          <cell r="D22" t="str">
            <v>ー</v>
          </cell>
          <cell r="E22" t="str">
            <v>ー</v>
          </cell>
        </row>
        <row r="23">
          <cell r="A23" t="str">
            <v>自転車競技（トラック）</v>
          </cell>
          <cell r="B23" t="str">
            <v>競技会場に設置</v>
          </cell>
          <cell r="C23" t="str">
            <v>ー</v>
          </cell>
          <cell r="D23" t="str">
            <v>ー</v>
          </cell>
          <cell r="E23" t="str">
            <v>ー</v>
          </cell>
        </row>
        <row r="24">
          <cell r="A24" t="str">
            <v>自転車競技（ロードレース）</v>
          </cell>
          <cell r="B24" t="str">
            <v>競技会場に設置</v>
          </cell>
          <cell r="C24" t="str">
            <v>ー</v>
          </cell>
          <cell r="D24" t="str">
            <v>ー</v>
          </cell>
          <cell r="E24" t="str">
            <v>ー</v>
          </cell>
        </row>
        <row r="25">
          <cell r="A25" t="str">
            <v>自転車競技（マウンテンバイク）</v>
          </cell>
          <cell r="B25" t="str">
            <v>a</v>
          </cell>
          <cell r="C25" t="str">
            <v>ー</v>
          </cell>
          <cell r="D25" t="str">
            <v>ー</v>
          </cell>
          <cell r="E25" t="str">
            <v>ー</v>
          </cell>
        </row>
        <row r="26">
          <cell r="A26" t="str">
            <v>自転車競技（BMXレース）</v>
          </cell>
          <cell r="B26" t="str">
            <v>競技会場に設置</v>
          </cell>
          <cell r="C26" t="str">
            <v>ー</v>
          </cell>
          <cell r="D26" t="str">
            <v>ー</v>
          </cell>
          <cell r="E26" t="str">
            <v>ー</v>
          </cell>
        </row>
        <row r="27">
          <cell r="A27" t="str">
            <v>自転車競技（BMXフリースタイル）</v>
          </cell>
          <cell r="B27" t="str">
            <v>競技会場に設置</v>
          </cell>
          <cell r="C27" t="str">
            <v>ー</v>
          </cell>
          <cell r="D27" t="str">
            <v>ー</v>
          </cell>
          <cell r="E27" t="str">
            <v>ー</v>
          </cell>
        </row>
        <row r="28">
          <cell r="A28" t="str">
            <v>馬術</v>
          </cell>
          <cell r="B28" t="str">
            <v>競技会場に設置</v>
          </cell>
          <cell r="C28" t="str">
            <v>ー</v>
          </cell>
          <cell r="D28" t="str">
            <v>ー</v>
          </cell>
          <cell r="E28" t="str">
            <v>ー</v>
          </cell>
        </row>
        <row r="29">
          <cell r="A29" t="str">
            <v>フェンシング</v>
          </cell>
          <cell r="B29" t="str">
            <v>競技会場に設置</v>
          </cell>
          <cell r="C29" t="str">
            <v>ー</v>
          </cell>
          <cell r="D29" t="str">
            <v>ー</v>
          </cell>
          <cell r="E29" t="str">
            <v>ー</v>
          </cell>
        </row>
        <row r="30">
          <cell r="A30" t="str">
            <v>サッカー（男子／豊田）①</v>
          </cell>
          <cell r="B30" t="str">
            <v>豊田市五ヶ丘運動広場球技場（愛知）</v>
          </cell>
          <cell r="C30" t="str">
            <v>岡崎市龍北総合運動場（愛知）</v>
          </cell>
          <cell r="D30" t="str">
            <v>ー</v>
          </cell>
          <cell r="E30" t="str">
            <v>ー</v>
          </cell>
        </row>
        <row r="31">
          <cell r="A31" t="str">
            <v>サッカー（男子／豊田）②</v>
          </cell>
          <cell r="B31" t="str">
            <v>豊田市五ヶ丘運動広場球技場（愛知）</v>
          </cell>
          <cell r="C31" t="str">
            <v>岡崎市龍北総合運動場（愛知）</v>
          </cell>
          <cell r="D31" t="str">
            <v>ー</v>
          </cell>
          <cell r="E31" t="str">
            <v>ー</v>
          </cell>
        </row>
        <row r="32">
          <cell r="A32" t="str">
            <v>サッカー（男子／豊田／決勝T）①</v>
          </cell>
          <cell r="B32" t="str">
            <v>豊田市五ヶ丘運動広場球技場（愛知）</v>
          </cell>
          <cell r="C32" t="str">
            <v>岡崎市龍北総合運動場（愛知）</v>
          </cell>
          <cell r="D32" t="str">
            <v>ー</v>
          </cell>
          <cell r="E32" t="str">
            <v>ー</v>
          </cell>
        </row>
        <row r="33">
          <cell r="A33" t="str">
            <v>サッカー（男子／豊田／決勝T）②</v>
          </cell>
          <cell r="B33" t="str">
            <v>豊田市五ヶ丘運動広場球技場（愛知）</v>
          </cell>
          <cell r="C33" t="str">
            <v>岡崎市龍北総合運動場（愛知）</v>
          </cell>
          <cell r="D33" t="str">
            <v>ー</v>
          </cell>
          <cell r="E33" t="str">
            <v>ー</v>
          </cell>
        </row>
        <row r="34">
          <cell r="A34" t="str">
            <v>サッカー（男子／女子／静岡）</v>
          </cell>
          <cell r="B34" t="str">
            <v>エコパスタジアム補助競技場（静岡）</v>
          </cell>
          <cell r="C34" t="str">
            <v>磐田市ゆめりあ競技場（静岡）</v>
          </cell>
          <cell r="D34" t="str">
            <v>ー</v>
          </cell>
          <cell r="E34" t="str">
            <v>ー</v>
          </cell>
        </row>
        <row r="35">
          <cell r="A35" t="str">
            <v>サッカー（男子／大阪）</v>
          </cell>
          <cell r="B35" t="str">
            <v>Jグリーン堺（大阪）</v>
          </cell>
          <cell r="C35" t="str">
            <v>万博記念競技場（大阪）</v>
          </cell>
          <cell r="D35" t="str">
            <v>ー</v>
          </cell>
          <cell r="E35" t="str">
            <v>ー</v>
          </cell>
        </row>
        <row r="36">
          <cell r="A36" t="str">
            <v>サッカー（神戸）</v>
          </cell>
          <cell r="B36" t="str">
            <v>三木総合防災公園（兵庫）</v>
          </cell>
          <cell r="C36" t="str">
            <v>淡路佐野運動公園（兵庫）</v>
          </cell>
          <cell r="D36" t="str">
            <v>ー</v>
          </cell>
          <cell r="E36" t="str">
            <v>ー</v>
          </cell>
        </row>
        <row r="37">
          <cell r="A37" t="str">
            <v>サッカー（女子／港）</v>
          </cell>
          <cell r="B37" t="str">
            <v>東員町スポーツ公園陸上競技場（三重）</v>
          </cell>
          <cell r="C37" t="str">
            <v>半田陸上競技場（愛知）</v>
          </cell>
          <cell r="D37" t="str">
            <v>阿久比陸上競技場（愛知）</v>
          </cell>
          <cell r="E37" t="str">
            <v>ー</v>
          </cell>
        </row>
        <row r="38">
          <cell r="A38" t="str">
            <v>サッカー（男子／瑞穂）</v>
          </cell>
          <cell r="B38" t="str">
            <v>豊田運動公園陸上競技場（愛知）</v>
          </cell>
          <cell r="C38" t="str">
            <v>豊田運動公園球技場（愛知）</v>
          </cell>
          <cell r="D38" t="str">
            <v>トヨタスポーツセンター陸上競技場（愛知）</v>
          </cell>
          <cell r="E38" t="str">
            <v>ー</v>
          </cell>
        </row>
        <row r="39">
          <cell r="A39" t="str">
            <v>サッカー（女子／刈谷）</v>
          </cell>
          <cell r="B39" t="str">
            <v>豊田運動公園陸上競技場（愛知）</v>
          </cell>
          <cell r="C39" t="str">
            <v>豊田運動公園球技場（愛知）</v>
          </cell>
          <cell r="D39" t="str">
            <v>トヨタスポーツセンター陸上競技場（愛知）</v>
          </cell>
          <cell r="E39" t="str">
            <v>ー</v>
          </cell>
        </row>
        <row r="40">
          <cell r="A40" t="str">
            <v>サッカー（審判本部ホテル）</v>
          </cell>
          <cell r="B40" t="str">
            <v>豊田スタジアム芝生広場</v>
          </cell>
          <cell r="C40" t="str">
            <v>（グリーングランド刈谷）</v>
          </cell>
          <cell r="D40"/>
          <cell r="E40"/>
        </row>
        <row r="41">
          <cell r="A41" t="str">
            <v>サッカー（女子／岐阜）</v>
          </cell>
          <cell r="B41" t="str">
            <v>グリーン・フィールド中池（岐阜）</v>
          </cell>
          <cell r="C41" t="str">
            <v>長良川球技メドウ（岐阜）</v>
          </cell>
          <cell r="D41" t="str">
            <v>ー</v>
          </cell>
          <cell r="E41" t="str">
            <v>ー</v>
          </cell>
        </row>
        <row r="42">
          <cell r="A42" t="str">
            <v>ゴルフ</v>
          </cell>
          <cell r="B42" t="str">
            <v>競技会場に設置</v>
          </cell>
          <cell r="C42" t="str">
            <v>ー</v>
          </cell>
          <cell r="D42" t="str">
            <v>ー</v>
          </cell>
          <cell r="E42" t="str">
            <v>ー</v>
          </cell>
        </row>
        <row r="43">
          <cell r="A43" t="str">
            <v>体操</v>
          </cell>
          <cell r="B43" t="str">
            <v>ポートメッセなごや第二展示館</v>
          </cell>
          <cell r="C43" t="str">
            <v>ー</v>
          </cell>
          <cell r="D43" t="str">
            <v>ー</v>
          </cell>
          <cell r="E43" t="str">
            <v>ー</v>
          </cell>
        </row>
        <row r="44">
          <cell r="A44" t="str">
            <v>新体操</v>
          </cell>
          <cell r="B44" t="str">
            <v>ポートメッセなごや第二展示館</v>
          </cell>
          <cell r="C44" t="str">
            <v>ー</v>
          </cell>
          <cell r="D44" t="str">
            <v>ー</v>
          </cell>
          <cell r="E44" t="str">
            <v>ー</v>
          </cell>
        </row>
        <row r="45">
          <cell r="A45" t="str">
            <v>トランポリン</v>
          </cell>
          <cell r="B45" t="str">
            <v>ポートメッセなごや第二展示館</v>
          </cell>
          <cell r="C45" t="str">
            <v>ー</v>
          </cell>
          <cell r="D45" t="str">
            <v>ー</v>
          </cell>
          <cell r="E45" t="str">
            <v>ー</v>
          </cell>
        </row>
        <row r="46">
          <cell r="A46" t="str">
            <v>ハンドボール（男子）</v>
          </cell>
          <cell r="B46" t="str">
            <v>名古屋市名東スポーツセンター</v>
          </cell>
          <cell r="C46" t="str">
            <v>名古屋市中村スポーツセンター</v>
          </cell>
          <cell r="D46" t="str">
            <v>稲沢市総合体育館</v>
          </cell>
          <cell r="E46" t="str">
            <v>中部大学</v>
          </cell>
        </row>
        <row r="47">
          <cell r="A47" t="str">
            <v>ハンドボール（女子）</v>
          </cell>
          <cell r="B47" t="str">
            <v>名古屋市名東スポーツセンター</v>
          </cell>
          <cell r="C47" t="str">
            <v>名古屋市中村スポーツセンター</v>
          </cell>
          <cell r="D47" t="str">
            <v>稲沢市総合体育館</v>
          </cell>
          <cell r="E47" t="str">
            <v>中部大学</v>
          </cell>
        </row>
        <row r="48">
          <cell r="A48" t="str">
            <v>ホッケー①</v>
          </cell>
          <cell r="B48" t="str">
            <v>朝日大学</v>
          </cell>
          <cell r="C48" t="str">
            <v>県立岐阜総合学園高校</v>
          </cell>
          <cell r="D48" t="str">
            <v>ー</v>
          </cell>
          <cell r="E48" t="str">
            <v>ー</v>
          </cell>
        </row>
        <row r="49">
          <cell r="A49" t="str">
            <v>ホッケー②</v>
          </cell>
          <cell r="B49" t="str">
            <v>朝日大学</v>
          </cell>
          <cell r="C49" t="str">
            <v>県立岐阜総合学園高校</v>
          </cell>
          <cell r="D49" t="str">
            <v>ー</v>
          </cell>
          <cell r="E49" t="str">
            <v>ー</v>
          </cell>
        </row>
        <row r="50">
          <cell r="A50" t="str">
            <v>ホッケー③</v>
          </cell>
          <cell r="B50" t="str">
            <v>朝日大学</v>
          </cell>
          <cell r="C50" t="str">
            <v>県立岐阜総合学園高校</v>
          </cell>
          <cell r="D50" t="str">
            <v>ー</v>
          </cell>
          <cell r="E50" t="str">
            <v>ー</v>
          </cell>
        </row>
        <row r="51">
          <cell r="A51" t="str">
            <v>ホッケー④</v>
          </cell>
          <cell r="B51" t="str">
            <v>朝日大学</v>
          </cell>
          <cell r="C51" t="str">
            <v>県立岐阜総合学園高校</v>
          </cell>
          <cell r="D51" t="str">
            <v>ー</v>
          </cell>
          <cell r="E51" t="str">
            <v>ー</v>
          </cell>
        </row>
        <row r="52">
          <cell r="A52" t="str">
            <v>柔道</v>
          </cell>
          <cell r="B52" t="str">
            <v>愛知県体育館or露橋スポーツセンター</v>
          </cell>
          <cell r="C52" t="str">
            <v>ー</v>
          </cell>
          <cell r="D52" t="str">
            <v>ー</v>
          </cell>
          <cell r="E52" t="str">
            <v>ー</v>
          </cell>
        </row>
        <row r="53">
          <cell r="A53" t="str">
            <v>近代五種</v>
          </cell>
          <cell r="B53" t="str">
            <v>競技会場に設置</v>
          </cell>
          <cell r="C53" t="str">
            <v>ー</v>
          </cell>
          <cell r="D53" t="str">
            <v>ー</v>
          </cell>
          <cell r="E53" t="str">
            <v>ー</v>
          </cell>
        </row>
        <row r="54">
          <cell r="A54" t="str">
            <v>ローイング</v>
          </cell>
          <cell r="B54" t="str">
            <v>競技会場に設置</v>
          </cell>
          <cell r="C54" t="str">
            <v>ー</v>
          </cell>
          <cell r="D54" t="str">
            <v>ー</v>
          </cell>
          <cell r="E54" t="str">
            <v>ー</v>
          </cell>
        </row>
        <row r="55">
          <cell r="A55" t="str">
            <v>ローイング②</v>
          </cell>
          <cell r="B55" t="str">
            <v>競技会場に設置</v>
          </cell>
          <cell r="C55" t="str">
            <v>ー</v>
          </cell>
          <cell r="D55" t="str">
            <v>ー</v>
          </cell>
          <cell r="E55" t="str">
            <v>ー</v>
          </cell>
        </row>
        <row r="56">
          <cell r="A56" t="str">
            <v>ローイング③</v>
          </cell>
          <cell r="B56" t="str">
            <v>競技会場に設置</v>
          </cell>
          <cell r="C56" t="str">
            <v>ー</v>
          </cell>
          <cell r="D56" t="str">
            <v>ー</v>
          </cell>
          <cell r="E56" t="str">
            <v>ー</v>
          </cell>
        </row>
        <row r="57">
          <cell r="A57" t="str">
            <v>ラグビー（男子）</v>
          </cell>
          <cell r="B57" t="str">
            <v>口論義運動公園サッカー場</v>
          </cell>
          <cell r="C57" t="str">
            <v>朝宮公園陸上競技場</v>
          </cell>
          <cell r="D57" t="str">
            <v>名城大学日進グラウンド</v>
          </cell>
          <cell r="E57" t="str">
            <v>愛知学院大学グラウンド</v>
          </cell>
        </row>
        <row r="58">
          <cell r="A58" t="str">
            <v>ラグビー（女子）</v>
          </cell>
          <cell r="B58" t="str">
            <v>口論義運動公園サッカー場</v>
          </cell>
          <cell r="C58" t="str">
            <v>朝宮公園陸上競技場</v>
          </cell>
          <cell r="D58" t="str">
            <v>名城大学日進グラウンド</v>
          </cell>
          <cell r="E58" t="str">
            <v>愛知学院大学グラウンド</v>
          </cell>
        </row>
        <row r="59">
          <cell r="A59" t="str">
            <v>セーリング</v>
          </cell>
          <cell r="B59" t="str">
            <v>競技会場に設置</v>
          </cell>
          <cell r="C59" t="str">
            <v>ー</v>
          </cell>
          <cell r="D59" t="str">
            <v>ー</v>
          </cell>
          <cell r="E59" t="str">
            <v>ー</v>
          </cell>
        </row>
        <row r="60">
          <cell r="A60" t="str">
            <v>射撃①</v>
          </cell>
          <cell r="B60" t="str">
            <v>競技会場に設置</v>
          </cell>
          <cell r="C60" t="str">
            <v>ー</v>
          </cell>
          <cell r="D60" t="str">
            <v>ー</v>
          </cell>
          <cell r="E60" t="str">
            <v>ー</v>
          </cell>
        </row>
        <row r="61">
          <cell r="A61" t="str">
            <v>射撃②</v>
          </cell>
          <cell r="B61" t="str">
            <v>競技会場に設置</v>
          </cell>
          <cell r="C61" t="str">
            <v>ー</v>
          </cell>
          <cell r="D61" t="str">
            <v>ー</v>
          </cell>
          <cell r="E61" t="str">
            <v>ー</v>
          </cell>
        </row>
        <row r="62">
          <cell r="A62" t="str">
            <v>射撃③</v>
          </cell>
          <cell r="B62" t="str">
            <v>競技会場に設置</v>
          </cell>
          <cell r="C62" t="str">
            <v>ー</v>
          </cell>
          <cell r="D62" t="str">
            <v>ー</v>
          </cell>
          <cell r="E62" t="str">
            <v>ー</v>
          </cell>
        </row>
        <row r="63">
          <cell r="A63" t="str">
            <v>射撃④</v>
          </cell>
          <cell r="B63" t="str">
            <v>競技会場に設置</v>
          </cell>
          <cell r="C63" t="str">
            <v>ー</v>
          </cell>
          <cell r="D63" t="str">
            <v>ー</v>
          </cell>
          <cell r="E63" t="str">
            <v>ー</v>
          </cell>
        </row>
        <row r="64">
          <cell r="A64" t="str">
            <v>射撃⑤</v>
          </cell>
          <cell r="B64" t="str">
            <v>競技会場に設置</v>
          </cell>
          <cell r="C64" t="str">
            <v>ー</v>
          </cell>
          <cell r="D64" t="str">
            <v>ー</v>
          </cell>
          <cell r="E64" t="str">
            <v>ー</v>
          </cell>
        </row>
        <row r="65">
          <cell r="A65" t="str">
            <v>卓球①</v>
          </cell>
          <cell r="B65" t="str">
            <v>競技会場に設置</v>
          </cell>
          <cell r="C65" t="str">
            <v>ー</v>
          </cell>
          <cell r="D65" t="str">
            <v>ー</v>
          </cell>
          <cell r="E65" t="str">
            <v>ー</v>
          </cell>
        </row>
        <row r="66">
          <cell r="A66" t="str">
            <v>卓球②</v>
          </cell>
          <cell r="B66" t="str">
            <v>競技会場に設置</v>
          </cell>
          <cell r="C66" t="str">
            <v>ー</v>
          </cell>
          <cell r="D66" t="str">
            <v>ー</v>
          </cell>
          <cell r="E66" t="str">
            <v>ー</v>
          </cell>
        </row>
        <row r="67">
          <cell r="A67" t="str">
            <v>卓球③</v>
          </cell>
          <cell r="B67" t="str">
            <v>競技会場に設置</v>
          </cell>
          <cell r="C67" t="str">
            <v>ー</v>
          </cell>
          <cell r="D67" t="str">
            <v>ー</v>
          </cell>
          <cell r="E67" t="str">
            <v>ー</v>
          </cell>
        </row>
        <row r="68">
          <cell r="A68" t="str">
            <v>テコンドー</v>
          </cell>
          <cell r="B68" t="str">
            <v>豊川市総合体育館</v>
          </cell>
          <cell r="C68" t="str">
            <v>ー</v>
          </cell>
          <cell r="D68" t="str">
            <v>ー</v>
          </cell>
          <cell r="E68" t="str">
            <v>ー</v>
          </cell>
        </row>
        <row r="69">
          <cell r="A69" t="str">
            <v>テニス</v>
          </cell>
          <cell r="B69" t="str">
            <v>競技会場に設置</v>
          </cell>
          <cell r="C69" t="str">
            <v>ー</v>
          </cell>
          <cell r="D69" t="str">
            <v>ー</v>
          </cell>
          <cell r="E69" t="str">
            <v>ー</v>
          </cell>
        </row>
        <row r="70">
          <cell r="A70" t="str">
            <v>ソフトテニス</v>
          </cell>
          <cell r="B70" t="str">
            <v>競技会場に設置</v>
          </cell>
          <cell r="C70" t="str">
            <v>ー</v>
          </cell>
          <cell r="D70" t="str">
            <v>ー</v>
          </cell>
          <cell r="E70" t="str">
            <v>ー</v>
          </cell>
        </row>
        <row r="71">
          <cell r="A71" t="str">
            <v>トライアスロン</v>
          </cell>
          <cell r="B71" t="str">
            <v>蒲郡市公園グラウンド陸上競技場</v>
          </cell>
          <cell r="C71" t="str">
            <v>蒲郡市三谷中学校</v>
          </cell>
          <cell r="D71" t="str">
            <v>ー</v>
          </cell>
          <cell r="E71" t="str">
            <v>ー</v>
          </cell>
        </row>
        <row r="72">
          <cell r="A72" t="str">
            <v>バレーボール（男子）</v>
          </cell>
          <cell r="B72" t="str">
            <v>愛知県農協体育館</v>
          </cell>
          <cell r="C72" t="str">
            <v>トヨタスポーツセンター第二体育館</v>
          </cell>
          <cell r="D72" t="str">
            <v>ー</v>
          </cell>
          <cell r="E72" t="str">
            <v>ー</v>
          </cell>
        </row>
        <row r="73">
          <cell r="A73" t="str">
            <v>バレーボール（男子）②</v>
          </cell>
          <cell r="B73" t="str">
            <v>愛知県農協体育館</v>
          </cell>
          <cell r="C73" t="str">
            <v>トヨタスポーツセンター第二体育館</v>
          </cell>
          <cell r="D73" t="str">
            <v>ー</v>
          </cell>
          <cell r="E73" t="str">
            <v>ー</v>
          </cell>
        </row>
        <row r="74">
          <cell r="A74" t="str">
            <v>バレーボール（女子）</v>
          </cell>
          <cell r="B74" t="str">
            <v>江南市民スポーツセンター</v>
          </cell>
          <cell r="C74" t="str">
            <v>犬山市体育館</v>
          </cell>
          <cell r="D74" t="str">
            <v>ー</v>
          </cell>
          <cell r="E74" t="str">
            <v>ー</v>
          </cell>
        </row>
        <row r="75">
          <cell r="A75" t="str">
            <v>ビーチバレーボール（男子）</v>
          </cell>
          <cell r="B75" t="str">
            <v>トヨタ自動車衣浦ビーチバレーボール施設</v>
          </cell>
          <cell r="C75" t="str">
            <v>ー</v>
          </cell>
          <cell r="D75" t="str">
            <v>ー</v>
          </cell>
          <cell r="E75" t="str">
            <v>ー</v>
          </cell>
        </row>
        <row r="76">
          <cell r="A76" t="str">
            <v>ビーチバレーボール（女子）</v>
          </cell>
          <cell r="B76" t="str">
            <v>トヨタ自動車衣浦ビーチバレーボール施設</v>
          </cell>
          <cell r="C76" t="str">
            <v>ー</v>
          </cell>
          <cell r="D76" t="str">
            <v>ー</v>
          </cell>
          <cell r="E76" t="str">
            <v>ー</v>
          </cell>
        </row>
        <row r="77">
          <cell r="A77" t="str">
            <v>ウェイトリフティング</v>
          </cell>
          <cell r="B77" t="str">
            <v>競技会場に設置</v>
          </cell>
          <cell r="C77" t="str">
            <v>ー</v>
          </cell>
          <cell r="D77" t="str">
            <v>ー</v>
          </cell>
          <cell r="E77" t="str">
            <v>ー</v>
          </cell>
        </row>
        <row r="78">
          <cell r="A78" t="str">
            <v>レスリング</v>
          </cell>
          <cell r="B78" t="str">
            <v>愛知県体育館</v>
          </cell>
          <cell r="C78" t="str">
            <v>ー</v>
          </cell>
          <cell r="D78" t="str">
            <v>ー</v>
          </cell>
          <cell r="E78" t="str">
            <v>ー</v>
          </cell>
        </row>
        <row r="79">
          <cell r="A79" t="str">
            <v>ブレイキン</v>
          </cell>
          <cell r="B79" t="str">
            <v>競技会場に設置</v>
          </cell>
          <cell r="C79" t="str">
            <v>ー</v>
          </cell>
          <cell r="D79" t="str">
            <v>ー</v>
          </cell>
          <cell r="E79" t="str">
            <v>ー</v>
          </cell>
        </row>
        <row r="80">
          <cell r="A80" t="str">
            <v>スケートボード</v>
          </cell>
          <cell r="B80" t="str">
            <v>競技会場に設置</v>
          </cell>
          <cell r="C80" t="str">
            <v>ー</v>
          </cell>
          <cell r="D80" t="str">
            <v>ー</v>
          </cell>
          <cell r="E80" t="str">
            <v>ー</v>
          </cell>
        </row>
        <row r="81">
          <cell r="A81" t="str">
            <v>サーフィン</v>
          </cell>
          <cell r="B81" t="str">
            <v>競技会場に設置</v>
          </cell>
          <cell r="C81" t="str">
            <v>ー</v>
          </cell>
          <cell r="D81" t="str">
            <v>ー</v>
          </cell>
          <cell r="E81" t="str">
            <v>ー</v>
          </cell>
        </row>
        <row r="82">
          <cell r="A82" t="str">
            <v>スポーツクライミング</v>
          </cell>
          <cell r="B82" t="str">
            <v>競技会場に設置</v>
          </cell>
          <cell r="C82" t="str">
            <v>ー</v>
          </cell>
          <cell r="D82" t="str">
            <v>ー</v>
          </cell>
          <cell r="E82" t="str">
            <v>ー</v>
          </cell>
        </row>
        <row r="83">
          <cell r="A83" t="str">
            <v>野球①</v>
          </cell>
          <cell r="B83" t="str">
            <v>競技会場に設置</v>
          </cell>
          <cell r="C83" t="str">
            <v>ー</v>
          </cell>
          <cell r="D83" t="str">
            <v>ー</v>
          </cell>
          <cell r="E83" t="str">
            <v>ー</v>
          </cell>
        </row>
        <row r="84">
          <cell r="A84" t="str">
            <v>野球②</v>
          </cell>
          <cell r="B84" t="str">
            <v>競技会場に設置</v>
          </cell>
          <cell r="C84" t="str">
            <v>ー</v>
          </cell>
          <cell r="D84" t="str">
            <v>ー</v>
          </cell>
          <cell r="E84" t="str">
            <v>ー</v>
          </cell>
        </row>
        <row r="85">
          <cell r="A85" t="str">
            <v>ソフトボール</v>
          </cell>
          <cell r="B85" t="str">
            <v>競技会場に設置</v>
          </cell>
          <cell r="C85" t="str">
            <v>ー</v>
          </cell>
          <cell r="D85" t="str">
            <v>ー</v>
          </cell>
          <cell r="E85" t="str">
            <v>ー</v>
          </cell>
        </row>
        <row r="86">
          <cell r="A86" t="str">
            <v>カバディ（男子）</v>
          </cell>
          <cell r="B86" t="str">
            <v>知多市民体育館</v>
          </cell>
          <cell r="C86" t="str">
            <v>ー</v>
          </cell>
          <cell r="D86" t="str">
            <v>ー</v>
          </cell>
          <cell r="E86" t="str">
            <v>ー</v>
          </cell>
        </row>
        <row r="87">
          <cell r="A87" t="str">
            <v>カバディ（女子）</v>
          </cell>
          <cell r="B87" t="str">
            <v>知多市民体育館</v>
          </cell>
          <cell r="C87" t="str">
            <v>ー</v>
          </cell>
          <cell r="D87" t="str">
            <v>ー</v>
          </cell>
          <cell r="E87" t="str">
            <v>ー</v>
          </cell>
        </row>
        <row r="88">
          <cell r="A88" t="str">
            <v>柔術</v>
          </cell>
          <cell r="B88" t="str">
            <v>親水公園総合体育館</v>
          </cell>
          <cell r="C88" t="str">
            <v>ー</v>
          </cell>
          <cell r="D88" t="str">
            <v>ー</v>
          </cell>
          <cell r="E88" t="str">
            <v>ー</v>
          </cell>
        </row>
        <row r="89">
          <cell r="A89" t="str">
            <v>クラッシュ</v>
          </cell>
          <cell r="B89" t="str">
            <v>甚目寺総合体育館or露橋スポーツセンター</v>
          </cell>
          <cell r="C89" t="str">
            <v>ー</v>
          </cell>
          <cell r="D89" t="str">
            <v>ー</v>
          </cell>
          <cell r="E89" t="str">
            <v>ー</v>
          </cell>
        </row>
        <row r="90">
          <cell r="A90" t="str">
            <v>武術太極拳</v>
          </cell>
          <cell r="B90" t="str">
            <v>親水公園総合体育館</v>
          </cell>
          <cell r="C90" t="str">
            <v>ー</v>
          </cell>
          <cell r="D90" t="str">
            <v>ー</v>
          </cell>
          <cell r="E90" t="str">
            <v>ー</v>
          </cell>
        </row>
        <row r="91">
          <cell r="A91" t="str">
            <v>セパタクロー</v>
          </cell>
          <cell r="B91" t="str">
            <v>北名古屋市健康ドーム</v>
          </cell>
          <cell r="C91" t="str">
            <v>ー</v>
          </cell>
          <cell r="D91" t="str">
            <v>ー</v>
          </cell>
          <cell r="E91" t="str">
            <v>ー</v>
          </cell>
        </row>
        <row r="92">
          <cell r="A92" t="str">
            <v>スカッシュ</v>
          </cell>
          <cell r="B92" t="str">
            <v>競技会場に設置</v>
          </cell>
          <cell r="C92" t="str">
            <v>ー</v>
          </cell>
          <cell r="D92" t="str">
            <v>ー</v>
          </cell>
          <cell r="E92" t="str">
            <v>ー</v>
          </cell>
        </row>
        <row r="93">
          <cell r="A93" t="str">
            <v>空手</v>
          </cell>
          <cell r="B93" t="str">
            <v>豊川市総合体育館</v>
          </cell>
          <cell r="C93" t="str">
            <v>ー</v>
          </cell>
          <cell r="D93" t="str">
            <v>ー</v>
          </cell>
          <cell r="E93" t="str">
            <v>ー</v>
          </cell>
        </row>
        <row r="94">
          <cell r="A94" t="str">
            <v>Eスポーツ①</v>
          </cell>
          <cell r="B94" t="str">
            <v>競技会場に設置</v>
          </cell>
          <cell r="C94" t="str">
            <v>ー</v>
          </cell>
          <cell r="D94" t="str">
            <v>ー</v>
          </cell>
          <cell r="E94" t="str">
            <v>ー</v>
          </cell>
        </row>
        <row r="95">
          <cell r="A95" t="str">
            <v>Eスポーツ②</v>
          </cell>
          <cell r="B95" t="str">
            <v>競技会場に設置</v>
          </cell>
          <cell r="C95" t="str">
            <v>ー</v>
          </cell>
          <cell r="D95" t="str">
            <v>ー</v>
          </cell>
          <cell r="E95" t="str">
            <v>ー</v>
          </cell>
        </row>
        <row r="96">
          <cell r="A96"/>
          <cell r="B96"/>
          <cell r="C96"/>
          <cell r="D96"/>
          <cell r="E96"/>
        </row>
        <row r="97">
          <cell r="A97"/>
        </row>
        <row r="98">
          <cell r="A98"/>
        </row>
        <row r="99">
          <cell r="A99"/>
        </row>
        <row r="100">
          <cell r="A100"/>
        </row>
        <row r="101">
          <cell r="A101"/>
        </row>
        <row r="102">
          <cell r="A102"/>
        </row>
        <row r="103">
          <cell r="A103"/>
        </row>
        <row r="104">
          <cell r="A104"/>
        </row>
        <row r="105">
          <cell r="A105"/>
        </row>
        <row r="106">
          <cell r="A106"/>
        </row>
        <row r="107">
          <cell r="A107"/>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50610】アジアパラ技術役員"/>
      <sheetName val="アジアパラ技術役員（20250610）"/>
      <sheetName val="配宿シミュレーション（作業用）"/>
      <sheetName val="競技情報DB"/>
      <sheetName val="宿泊施設DB"/>
      <sheetName val="アジアパラ技術役員 (DCO)"/>
    </sheetNames>
    <sheetDataSet>
      <sheetData sheetId="0"/>
      <sheetData sheetId="1" refreshError="1"/>
      <sheetData sheetId="2"/>
      <sheetData sheetId="3">
        <row r="3">
          <cell r="D3" t="str">
            <v>日本語</v>
          </cell>
          <cell r="E3" t="str">
            <v>Discipline</v>
          </cell>
          <cell r="F3" t="str">
            <v>Competition Venue</v>
          </cell>
          <cell r="G3" t="str">
            <v>競技会場</v>
          </cell>
          <cell r="H3" t="str">
            <v>市町村</v>
          </cell>
          <cell r="I3" t="str">
            <v>練習会場①</v>
          </cell>
          <cell r="J3" t="str">
            <v>市町村</v>
          </cell>
          <cell r="K3" t="str">
            <v>練習会場②</v>
          </cell>
          <cell r="L3" t="str">
            <v>市町村</v>
          </cell>
          <cell r="M3" t="str">
            <v>想定人数（日程内での最大数）</v>
          </cell>
          <cell r="N3"/>
          <cell r="O3"/>
          <cell r="P3"/>
          <cell r="Q3"/>
          <cell r="R3"/>
          <cell r="S3"/>
          <cell r="T3"/>
          <cell r="U3"/>
          <cell r="V3" t="str">
            <v>Oct</v>
          </cell>
          <cell r="W3"/>
          <cell r="X3"/>
          <cell r="Y3"/>
          <cell r="Z3"/>
          <cell r="AA3"/>
          <cell r="AB3"/>
          <cell r="AC3"/>
          <cell r="AD3"/>
          <cell r="AE3" t="str">
            <v>OC</v>
          </cell>
          <cell r="AF3"/>
          <cell r="AG3"/>
          <cell r="AH3"/>
          <cell r="AI3"/>
          <cell r="AJ3"/>
          <cell r="AK3" t="str">
            <v>CC</v>
          </cell>
          <cell r="AL3"/>
          <cell r="AM3"/>
          <cell r="AN3"/>
          <cell r="AO3" t="str">
            <v>TOTAL</v>
          </cell>
        </row>
        <row r="4">
          <cell r="D4"/>
          <cell r="E4"/>
          <cell r="F4"/>
          <cell r="G4"/>
          <cell r="H4"/>
          <cell r="I4"/>
          <cell r="J4"/>
          <cell r="K4"/>
          <cell r="L4"/>
          <cell r="M4"/>
          <cell r="N4"/>
          <cell r="O4"/>
          <cell r="P4"/>
          <cell r="Q4"/>
          <cell r="R4"/>
          <cell r="S4"/>
          <cell r="T4" t="str">
            <v>障がい特性</v>
          </cell>
          <cell r="U4" t="str">
            <v>車いす</v>
          </cell>
          <cell r="V4">
            <v>46304</v>
          </cell>
          <cell r="W4">
            <v>46305</v>
          </cell>
          <cell r="X4">
            <v>46306</v>
          </cell>
          <cell r="Y4">
            <v>46307</v>
          </cell>
          <cell r="Z4">
            <v>46308</v>
          </cell>
          <cell r="AA4">
            <v>46309</v>
          </cell>
          <cell r="AB4">
            <v>46310</v>
          </cell>
          <cell r="AC4">
            <v>46311</v>
          </cell>
          <cell r="AD4">
            <v>46312</v>
          </cell>
          <cell r="AE4">
            <v>46313</v>
          </cell>
          <cell r="AF4">
            <v>46314</v>
          </cell>
          <cell r="AG4">
            <v>46315</v>
          </cell>
          <cell r="AH4">
            <v>46316</v>
          </cell>
          <cell r="AI4">
            <v>46317</v>
          </cell>
          <cell r="AJ4">
            <v>46318</v>
          </cell>
          <cell r="AK4">
            <v>46319</v>
          </cell>
          <cell r="AL4">
            <v>46320</v>
          </cell>
          <cell r="AM4">
            <v>46321</v>
          </cell>
          <cell r="AN4">
            <v>46322</v>
          </cell>
          <cell r="AO4"/>
        </row>
        <row r="5">
          <cell r="D5"/>
          <cell r="E5"/>
          <cell r="F5"/>
          <cell r="G5"/>
          <cell r="H5"/>
          <cell r="I5"/>
          <cell r="J5"/>
          <cell r="K5"/>
          <cell r="L5"/>
          <cell r="M5"/>
          <cell r="N5"/>
          <cell r="O5"/>
          <cell r="P5"/>
          <cell r="Q5"/>
          <cell r="R5"/>
          <cell r="S5"/>
          <cell r="T5"/>
          <cell r="U5"/>
          <cell r="V5" t="str">
            <v>Fri</v>
          </cell>
          <cell r="W5" t="str">
            <v>Sat</v>
          </cell>
          <cell r="X5" t="str">
            <v>Sun</v>
          </cell>
          <cell r="Y5" t="str">
            <v>Mon</v>
          </cell>
          <cell r="Z5" t="str">
            <v>Tue</v>
          </cell>
          <cell r="AA5" t="str">
            <v>Wed</v>
          </cell>
          <cell r="AB5" t="str">
            <v>Thu</v>
          </cell>
          <cell r="AC5" t="str">
            <v>Fri</v>
          </cell>
          <cell r="AD5" t="str">
            <v>Sat</v>
          </cell>
          <cell r="AE5" t="str">
            <v>Sun</v>
          </cell>
          <cell r="AF5" t="str">
            <v>Mon</v>
          </cell>
          <cell r="AG5" t="str">
            <v>Tue</v>
          </cell>
          <cell r="AH5" t="str">
            <v>Wed</v>
          </cell>
          <cell r="AI5" t="str">
            <v>Thu</v>
          </cell>
          <cell r="AJ5" t="str">
            <v>Fri</v>
          </cell>
          <cell r="AK5" t="str">
            <v>Sat</v>
          </cell>
          <cell r="AL5" t="str">
            <v>Sun</v>
          </cell>
          <cell r="AM5" t="str">
            <v>Mon</v>
          </cell>
          <cell r="AN5" t="str">
            <v>Thu</v>
          </cell>
          <cell r="AO5"/>
        </row>
        <row r="6">
          <cell r="D6"/>
          <cell r="E6"/>
          <cell r="F6"/>
          <cell r="G6"/>
          <cell r="H6"/>
          <cell r="I6"/>
          <cell r="J6"/>
          <cell r="K6"/>
          <cell r="L6"/>
          <cell r="M6" t="str">
            <v>TOTAL</v>
          </cell>
          <cell r="N6" t="str">
            <v>TD</v>
          </cell>
          <cell r="O6" t="str">
            <v>CC</v>
          </cell>
          <cell r="P6" t="str">
            <v>Classifier</v>
          </cell>
          <cell r="Q6" t="str">
            <v>Lead</v>
          </cell>
          <cell r="R6" t="str">
            <v>ITO</v>
          </cell>
          <cell r="S6" t="str">
            <v>NTO</v>
          </cell>
          <cell r="T6"/>
          <cell r="U6"/>
          <cell r="V6">
            <v>-9</v>
          </cell>
          <cell r="W6">
            <v>-8</v>
          </cell>
          <cell r="X6">
            <v>-7</v>
          </cell>
          <cell r="Y6">
            <v>-6</v>
          </cell>
          <cell r="Z6">
            <v>-5</v>
          </cell>
          <cell r="AA6">
            <v>-4</v>
          </cell>
          <cell r="AB6">
            <v>-3</v>
          </cell>
          <cell r="AC6">
            <v>-2</v>
          </cell>
          <cell r="AD6">
            <v>-1</v>
          </cell>
          <cell r="AE6">
            <v>0</v>
          </cell>
          <cell r="AF6">
            <v>1</v>
          </cell>
          <cell r="AG6">
            <v>2</v>
          </cell>
          <cell r="AH6">
            <v>3</v>
          </cell>
          <cell r="AI6">
            <v>4</v>
          </cell>
          <cell r="AJ6">
            <v>5</v>
          </cell>
          <cell r="AK6">
            <v>6</v>
          </cell>
          <cell r="AL6">
            <v>7</v>
          </cell>
          <cell r="AM6">
            <v>8</v>
          </cell>
          <cell r="AN6">
            <v>9</v>
          </cell>
          <cell r="AO6"/>
        </row>
        <row r="7">
          <cell r="D7" t="str">
            <v>パラアーチェリー</v>
          </cell>
          <cell r="E7"/>
          <cell r="F7" t="str">
            <v>Okazaki Chuo Sogo Park Multipurpose Square​</v>
          </cell>
          <cell r="G7" t="str">
            <v>岡崎中央総合公園多目的広場他</v>
          </cell>
          <cell r="H7" t="str">
            <v>岡崎市</v>
          </cell>
          <cell r="I7" t="str">
            <v>岡崎中央総合公園多目的広場</v>
          </cell>
          <cell r="J7" t="str">
            <v>岡崎市</v>
          </cell>
          <cell r="K7" t="str">
            <v>-</v>
          </cell>
          <cell r="L7"/>
          <cell r="M7">
            <v>40</v>
          </cell>
          <cell r="N7">
            <v>1</v>
          </cell>
          <cell r="O7">
            <v>1</v>
          </cell>
          <cell r="P7">
            <v>4</v>
          </cell>
          <cell r="Q7">
            <v>1</v>
          </cell>
          <cell r="R7">
            <v>19</v>
          </cell>
          <cell r="S7">
            <v>14</v>
          </cell>
          <cell r="T7" t="str">
            <v>上肢 下肢</v>
          </cell>
          <cell r="U7" t="str">
            <v>●</v>
          </cell>
          <cell r="V7"/>
          <cell r="W7">
            <v>1</v>
          </cell>
          <cell r="X7">
            <v>2</v>
          </cell>
          <cell r="Y7">
            <v>2</v>
          </cell>
          <cell r="Z7">
            <v>4</v>
          </cell>
          <cell r="AA7">
            <v>11</v>
          </cell>
          <cell r="AB7">
            <v>40</v>
          </cell>
          <cell r="AC7">
            <v>40</v>
          </cell>
          <cell r="AD7">
            <v>40</v>
          </cell>
          <cell r="AE7">
            <v>40</v>
          </cell>
          <cell r="AF7">
            <v>40</v>
          </cell>
          <cell r="AG7">
            <v>40</v>
          </cell>
          <cell r="AH7">
            <v>40</v>
          </cell>
          <cell r="AI7">
            <v>40</v>
          </cell>
          <cell r="AJ7">
            <v>40</v>
          </cell>
          <cell r="AK7">
            <v>40</v>
          </cell>
          <cell r="AL7">
            <v>40</v>
          </cell>
          <cell r="AM7">
            <v>1</v>
          </cell>
          <cell r="AN7"/>
          <cell r="AO7">
            <v>461</v>
          </cell>
        </row>
        <row r="8">
          <cell r="D8" t="str">
            <v>パラ陸上競技</v>
          </cell>
          <cell r="E8"/>
          <cell r="F8" t="str">
            <v>Nagoya City Mizuho Park Athletic Stadium</v>
          </cell>
          <cell r="G8" t="str">
            <v>名古屋市瑞穂公園陸上競技場</v>
          </cell>
          <cell r="H8" t="str">
            <v>名古屋市</v>
          </cell>
          <cell r="I8" t="str">
            <v>美浜町運動公園陸上競技場</v>
          </cell>
          <cell r="J8" t="str">
            <v>美浜町</v>
          </cell>
          <cell r="K8" t="str">
            <v>知多陸上競技場</v>
          </cell>
          <cell r="L8" t="str">
            <v>知多市</v>
          </cell>
          <cell r="M8">
            <v>213</v>
          </cell>
          <cell r="N8">
            <v>3</v>
          </cell>
          <cell r="O8">
            <v>1</v>
          </cell>
          <cell r="P8">
            <v>8</v>
          </cell>
          <cell r="Q8">
            <v>8</v>
          </cell>
          <cell r="R8">
            <v>18</v>
          </cell>
          <cell r="S8">
            <v>175</v>
          </cell>
          <cell r="T8" t="str">
            <v>ALL</v>
          </cell>
          <cell r="U8" t="str">
            <v>●</v>
          </cell>
          <cell r="V8"/>
          <cell r="W8">
            <v>1</v>
          </cell>
          <cell r="X8">
            <v>9</v>
          </cell>
          <cell r="Y8">
            <v>17</v>
          </cell>
          <cell r="Z8">
            <v>17</v>
          </cell>
          <cell r="AA8">
            <v>20</v>
          </cell>
          <cell r="AB8">
            <v>213</v>
          </cell>
          <cell r="AC8">
            <v>213</v>
          </cell>
          <cell r="AD8">
            <v>213</v>
          </cell>
          <cell r="AE8">
            <v>213</v>
          </cell>
          <cell r="AF8">
            <v>213</v>
          </cell>
          <cell r="AG8">
            <v>213</v>
          </cell>
          <cell r="AH8">
            <v>213</v>
          </cell>
          <cell r="AI8">
            <v>213</v>
          </cell>
          <cell r="AJ8">
            <v>213</v>
          </cell>
          <cell r="AK8">
            <v>213</v>
          </cell>
          <cell r="AL8">
            <v>213</v>
          </cell>
          <cell r="AM8">
            <v>8</v>
          </cell>
          <cell r="AN8"/>
          <cell r="AO8">
            <v>2415</v>
          </cell>
        </row>
        <row r="9">
          <cell r="D9" t="str">
            <v>パラバドミントン</v>
          </cell>
          <cell r="E9"/>
          <cell r="F9" t="str">
            <v>Ichinomiya City Municipal Gymnasium</v>
          </cell>
          <cell r="G9" t="str">
            <v>一宮市総合体育館</v>
          </cell>
          <cell r="H9" t="str">
            <v>一宮市</v>
          </cell>
          <cell r="I9" t="str">
            <v>一宮市総合体育館</v>
          </cell>
          <cell r="J9" t="str">
            <v>一宮市</v>
          </cell>
          <cell r="K9" t="str">
            <v>-</v>
          </cell>
          <cell r="L9"/>
          <cell r="M9">
            <v>109</v>
          </cell>
          <cell r="N9">
            <v>1</v>
          </cell>
          <cell r="O9">
            <v>1</v>
          </cell>
          <cell r="P9">
            <v>4</v>
          </cell>
          <cell r="Q9">
            <v>1</v>
          </cell>
          <cell r="R9">
            <v>19</v>
          </cell>
          <cell r="S9">
            <v>83</v>
          </cell>
          <cell r="T9" t="str">
            <v>上肢 下肢</v>
          </cell>
          <cell r="U9" t="str">
            <v>●</v>
          </cell>
          <cell r="V9"/>
          <cell r="W9">
            <v>1</v>
          </cell>
          <cell r="X9">
            <v>7</v>
          </cell>
          <cell r="Y9">
            <v>7</v>
          </cell>
          <cell r="Z9">
            <v>109</v>
          </cell>
          <cell r="AA9">
            <v>109</v>
          </cell>
          <cell r="AB9">
            <v>109</v>
          </cell>
          <cell r="AC9">
            <v>109</v>
          </cell>
          <cell r="AD9">
            <v>109</v>
          </cell>
          <cell r="AE9">
            <v>109</v>
          </cell>
          <cell r="AF9">
            <v>109</v>
          </cell>
          <cell r="AG9">
            <v>109</v>
          </cell>
          <cell r="AH9">
            <v>109</v>
          </cell>
          <cell r="AI9">
            <v>109</v>
          </cell>
          <cell r="AJ9">
            <v>109</v>
          </cell>
          <cell r="AK9">
            <v>109</v>
          </cell>
          <cell r="AL9">
            <v>1</v>
          </cell>
          <cell r="AM9">
            <v>1</v>
          </cell>
          <cell r="AN9"/>
          <cell r="AO9">
            <v>1325</v>
          </cell>
        </row>
        <row r="10">
          <cell r="D10" t="str">
            <v>ボッチャ</v>
          </cell>
          <cell r="E10"/>
          <cell r="F10" t="str">
            <v>Nagoya City General Gymnasium［Rainbow Hall］</v>
          </cell>
          <cell r="G10" t="str">
            <v>名古屋市総合体育館[レインボーホール]</v>
          </cell>
          <cell r="H10" t="str">
            <v>名古屋市</v>
          </cell>
          <cell r="I10" t="str">
            <v>名古屋市総合体育館[レインボーホール]</v>
          </cell>
          <cell r="J10" t="str">
            <v>名古屋市南区</v>
          </cell>
          <cell r="K10" t="str">
            <v>-</v>
          </cell>
          <cell r="L10"/>
          <cell r="M10">
            <v>59</v>
          </cell>
          <cell r="N10">
            <v>1</v>
          </cell>
          <cell r="O10">
            <v>1</v>
          </cell>
          <cell r="P10">
            <v>5</v>
          </cell>
          <cell r="Q10"/>
          <cell r="R10">
            <v>17</v>
          </cell>
          <cell r="S10">
            <v>35</v>
          </cell>
          <cell r="T10" t="str">
            <v>上肢 下肢</v>
          </cell>
          <cell r="U10" t="str">
            <v>●</v>
          </cell>
          <cell r="V10"/>
          <cell r="W10">
            <v>1</v>
          </cell>
          <cell r="X10">
            <v>6</v>
          </cell>
          <cell r="Y10">
            <v>10</v>
          </cell>
          <cell r="Z10">
            <v>10</v>
          </cell>
          <cell r="AA10">
            <v>59</v>
          </cell>
          <cell r="AB10">
            <v>59</v>
          </cell>
          <cell r="AC10">
            <v>59</v>
          </cell>
          <cell r="AD10">
            <v>59</v>
          </cell>
          <cell r="AE10">
            <v>59</v>
          </cell>
          <cell r="AF10">
            <v>59</v>
          </cell>
          <cell r="AG10">
            <v>59</v>
          </cell>
          <cell r="AH10">
            <v>59</v>
          </cell>
          <cell r="AI10">
            <v>59</v>
          </cell>
          <cell r="AJ10">
            <v>59</v>
          </cell>
          <cell r="AK10">
            <v>59</v>
          </cell>
          <cell r="AL10">
            <v>0</v>
          </cell>
          <cell r="AM10">
            <v>0</v>
          </cell>
          <cell r="AN10"/>
          <cell r="AO10">
            <v>676</v>
          </cell>
        </row>
        <row r="11">
          <cell r="D11" t="str">
            <v>自転車競技（トラック）</v>
          </cell>
          <cell r="E11" t="str">
            <v>Track</v>
          </cell>
          <cell r="F11" t="str">
            <v>Izu Velodrome (Shizuoka)</v>
          </cell>
          <cell r="G11" t="str">
            <v>伊豆ベロドローム</v>
          </cell>
          <cell r="H11" t="str">
            <v>伊豆市</v>
          </cell>
          <cell r="I11" t="str">
            <v>伊豆ベロドローム</v>
          </cell>
          <cell r="J11" t="str">
            <v>静岡県伊豆市</v>
          </cell>
          <cell r="K11" t="str">
            <v>-</v>
          </cell>
          <cell r="L11"/>
          <cell r="M11">
            <v>48</v>
          </cell>
          <cell r="N11">
            <v>1</v>
          </cell>
          <cell r="O11">
            <v>1</v>
          </cell>
          <cell r="P11">
            <v>4</v>
          </cell>
          <cell r="Q11">
            <v>1</v>
          </cell>
          <cell r="R11">
            <v>3</v>
          </cell>
          <cell r="S11">
            <v>38</v>
          </cell>
          <cell r="T11" t="str">
            <v>上肢 下肢 視覚</v>
          </cell>
          <cell r="U11" t="str">
            <v>●</v>
          </cell>
          <cell r="V11"/>
          <cell r="W11">
            <v>1</v>
          </cell>
          <cell r="X11">
            <v>2</v>
          </cell>
          <cell r="Y11">
            <v>6</v>
          </cell>
          <cell r="Z11">
            <v>6</v>
          </cell>
          <cell r="AA11">
            <v>7</v>
          </cell>
          <cell r="AB11">
            <v>48</v>
          </cell>
          <cell r="AC11">
            <v>48</v>
          </cell>
          <cell r="AD11">
            <v>48</v>
          </cell>
          <cell r="AE11">
            <v>48</v>
          </cell>
          <cell r="AF11">
            <v>48</v>
          </cell>
          <cell r="AG11">
            <v>48</v>
          </cell>
          <cell r="AH11">
            <v>48</v>
          </cell>
          <cell r="AI11">
            <v>2</v>
          </cell>
          <cell r="AJ11">
            <v>2</v>
          </cell>
          <cell r="AK11">
            <v>5</v>
          </cell>
          <cell r="AL11">
            <v>1</v>
          </cell>
          <cell r="AM11">
            <v>1</v>
          </cell>
          <cell r="AN11"/>
          <cell r="AO11">
            <v>369</v>
          </cell>
        </row>
        <row r="12">
          <cell r="D12" t="str">
            <v>自転車競技（ロード）</v>
          </cell>
          <cell r="E12" t="str">
            <v>Road</v>
          </cell>
          <cell r="F12" t="str">
            <v>Japan Cycle Sports Center Circuit (Shizuoka)</v>
          </cell>
          <cell r="G12" t="str">
            <v>伊豆ベロドローム</v>
          </cell>
          <cell r="H12" t="str">
            <v>伊豆市</v>
          </cell>
          <cell r="I12" t="str">
            <v>伊豆ベロドローム</v>
          </cell>
          <cell r="J12" t="str">
            <v>静岡県伊豆市</v>
          </cell>
          <cell r="K12" t="str">
            <v>-</v>
          </cell>
          <cell r="L12"/>
          <cell r="M12">
            <v>43</v>
          </cell>
          <cell r="N12">
            <v>1</v>
          </cell>
          <cell r="O12"/>
          <cell r="P12"/>
          <cell r="Q12">
            <v>1</v>
          </cell>
          <cell r="R12">
            <v>3</v>
          </cell>
          <cell r="S12">
            <v>38</v>
          </cell>
          <cell r="T12" t="str">
            <v>上肢 下肢 視覚</v>
          </cell>
          <cell r="U12" t="str">
            <v>●</v>
          </cell>
          <cell r="V12"/>
          <cell r="W12">
            <v>0</v>
          </cell>
          <cell r="X12">
            <v>1</v>
          </cell>
          <cell r="Y12">
            <v>1</v>
          </cell>
          <cell r="Z12">
            <v>1</v>
          </cell>
          <cell r="AA12">
            <v>1</v>
          </cell>
          <cell r="AB12">
            <v>1</v>
          </cell>
          <cell r="AC12">
            <v>2</v>
          </cell>
          <cell r="AD12">
            <v>2</v>
          </cell>
          <cell r="AE12">
            <v>43</v>
          </cell>
          <cell r="AF12">
            <v>43</v>
          </cell>
          <cell r="AG12">
            <v>43</v>
          </cell>
          <cell r="AH12">
            <v>48</v>
          </cell>
          <cell r="AI12">
            <v>48</v>
          </cell>
          <cell r="AJ12">
            <v>48</v>
          </cell>
          <cell r="AK12">
            <v>47</v>
          </cell>
          <cell r="AL12">
            <v>1</v>
          </cell>
          <cell r="AM12">
            <v>1</v>
          </cell>
          <cell r="AN12"/>
          <cell r="AO12">
            <v>331</v>
          </cell>
        </row>
        <row r="13">
          <cell r="D13" t="str">
            <v>ブラインドフットボール</v>
          </cell>
          <cell r="E13"/>
          <cell r="F13" t="str">
            <v>Nagoya City Tsuruma Park Multipurpose Sports Field​［Terraspo Tsuruma］</v>
          </cell>
          <cell r="G13" t="str">
            <v>名古屋市鶴舞公園多目的グラウンド</v>
          </cell>
          <cell r="H13" t="str">
            <v>名古屋市</v>
          </cell>
          <cell r="I13" t="str">
            <v>名古屋市鶴舞公園多目的グラウンド[テラスポ鶴舞]　</v>
          </cell>
          <cell r="J13" t="str">
            <v>名古屋市昭和区</v>
          </cell>
          <cell r="K13" t="str">
            <v>-</v>
          </cell>
          <cell r="L13"/>
          <cell r="M13">
            <v>14</v>
          </cell>
          <cell r="N13">
            <v>1</v>
          </cell>
          <cell r="O13"/>
          <cell r="P13"/>
          <cell r="Q13">
            <v>1</v>
          </cell>
          <cell r="R13">
            <v>7</v>
          </cell>
          <cell r="S13">
            <v>5</v>
          </cell>
          <cell r="T13" t="str">
            <v>視覚</v>
          </cell>
          <cell r="U13" t="str">
            <v>-</v>
          </cell>
          <cell r="V13"/>
          <cell r="W13">
            <v>0</v>
          </cell>
          <cell r="X13">
            <v>2</v>
          </cell>
          <cell r="Y13">
            <v>2</v>
          </cell>
          <cell r="Z13">
            <v>14</v>
          </cell>
          <cell r="AA13">
            <v>14</v>
          </cell>
          <cell r="AB13">
            <v>14</v>
          </cell>
          <cell r="AC13">
            <v>14</v>
          </cell>
          <cell r="AD13">
            <v>14</v>
          </cell>
          <cell r="AE13">
            <v>14</v>
          </cell>
          <cell r="AF13">
            <v>14</v>
          </cell>
          <cell r="AG13">
            <v>14</v>
          </cell>
          <cell r="AH13">
            <v>14</v>
          </cell>
          <cell r="AI13">
            <v>14</v>
          </cell>
          <cell r="AJ13">
            <v>14</v>
          </cell>
          <cell r="AK13">
            <v>14</v>
          </cell>
          <cell r="AL13">
            <v>1</v>
          </cell>
          <cell r="AM13">
            <v>1</v>
          </cell>
          <cell r="AN13"/>
          <cell r="AO13">
            <v>174</v>
          </cell>
        </row>
        <row r="14">
          <cell r="D14" t="str">
            <v>ゴールボール</v>
          </cell>
          <cell r="E14"/>
          <cell r="F14" t="str">
            <v>Toyohashi Gymnasium</v>
          </cell>
          <cell r="G14" t="str">
            <v>豊橋市総合体育館</v>
          </cell>
          <cell r="H14" t="str">
            <v>豊橋市</v>
          </cell>
          <cell r="I14" t="str">
            <v>豊橋市総合体育館</v>
          </cell>
          <cell r="J14" t="str">
            <v>豊橋市</v>
          </cell>
          <cell r="K14" t="str">
            <v>-</v>
          </cell>
          <cell r="L14"/>
          <cell r="M14">
            <v>26</v>
          </cell>
          <cell r="N14">
            <v>1</v>
          </cell>
          <cell r="O14"/>
          <cell r="P14"/>
          <cell r="Q14">
            <v>1</v>
          </cell>
          <cell r="R14">
            <v>10</v>
          </cell>
          <cell r="S14">
            <v>14</v>
          </cell>
          <cell r="T14" t="str">
            <v>視覚</v>
          </cell>
          <cell r="U14" t="str">
            <v>-</v>
          </cell>
          <cell r="V14"/>
          <cell r="W14">
            <v>0</v>
          </cell>
          <cell r="X14">
            <v>1</v>
          </cell>
          <cell r="Y14">
            <v>2</v>
          </cell>
          <cell r="Z14">
            <v>2</v>
          </cell>
          <cell r="AA14">
            <v>26</v>
          </cell>
          <cell r="AB14">
            <v>26</v>
          </cell>
          <cell r="AC14">
            <v>26</v>
          </cell>
          <cell r="AD14">
            <v>26</v>
          </cell>
          <cell r="AE14">
            <v>26</v>
          </cell>
          <cell r="AF14">
            <v>26</v>
          </cell>
          <cell r="AG14">
            <v>26</v>
          </cell>
          <cell r="AH14">
            <v>26</v>
          </cell>
          <cell r="AI14">
            <v>26</v>
          </cell>
          <cell r="AJ14">
            <v>26</v>
          </cell>
          <cell r="AK14">
            <v>26</v>
          </cell>
          <cell r="AL14">
            <v>1</v>
          </cell>
          <cell r="AM14">
            <v>1</v>
          </cell>
          <cell r="AN14"/>
          <cell r="AO14">
            <v>293</v>
          </cell>
        </row>
        <row r="15">
          <cell r="D15" t="str">
            <v>パラ柔道</v>
          </cell>
          <cell r="E15"/>
          <cell r="F15" t="str">
            <v>Aichi Prefectural Martial Arts Hall</v>
          </cell>
          <cell r="G15" t="str">
            <v>愛知県武道館</v>
          </cell>
          <cell r="H15" t="str">
            <v>名古屋市</v>
          </cell>
          <cell r="I15" t="str">
            <v>愛知県武道館</v>
          </cell>
          <cell r="J15" t="str">
            <v>名古屋市港区</v>
          </cell>
          <cell r="K15" t="str">
            <v>-</v>
          </cell>
          <cell r="L15"/>
          <cell r="M15">
            <v>75</v>
          </cell>
          <cell r="N15">
            <v>1</v>
          </cell>
          <cell r="O15"/>
          <cell r="P15"/>
          <cell r="Q15">
            <v>1</v>
          </cell>
          <cell r="R15">
            <v>30</v>
          </cell>
          <cell r="S15">
            <v>43</v>
          </cell>
          <cell r="T15" t="str">
            <v>視覚</v>
          </cell>
          <cell r="U15" t="str">
            <v>-</v>
          </cell>
          <cell r="V15"/>
          <cell r="W15">
            <v>0</v>
          </cell>
          <cell r="X15">
            <v>1</v>
          </cell>
          <cell r="Y15">
            <v>1</v>
          </cell>
          <cell r="Z15">
            <v>1</v>
          </cell>
          <cell r="AA15">
            <v>2</v>
          </cell>
          <cell r="AB15">
            <v>2</v>
          </cell>
          <cell r="AC15">
            <v>75</v>
          </cell>
          <cell r="AD15">
            <v>75</v>
          </cell>
          <cell r="AE15">
            <v>75</v>
          </cell>
          <cell r="AF15">
            <v>75</v>
          </cell>
          <cell r="AG15">
            <v>75</v>
          </cell>
          <cell r="AH15">
            <v>75</v>
          </cell>
          <cell r="AI15">
            <v>75</v>
          </cell>
          <cell r="AJ15">
            <v>1</v>
          </cell>
          <cell r="AK15">
            <v>4</v>
          </cell>
          <cell r="AL15">
            <v>1</v>
          </cell>
          <cell r="AM15">
            <v>1</v>
          </cell>
          <cell r="AN15"/>
          <cell r="AO15">
            <v>539</v>
          </cell>
        </row>
        <row r="16">
          <cell r="D16" t="str">
            <v>パワーリフティング</v>
          </cell>
          <cell r="E16"/>
          <cell r="F16" t="str">
            <v>Nagoya City Trade and Industry Center</v>
          </cell>
          <cell r="G16" t="str">
            <v>名古屋市中小企業振興会館</v>
          </cell>
          <cell r="H16" t="str">
            <v>名古屋市</v>
          </cell>
          <cell r="I16" t="str">
            <v>調整中</v>
          </cell>
          <cell r="J16" t="str">
            <v>調整中</v>
          </cell>
          <cell r="K16" t="str">
            <v>-</v>
          </cell>
          <cell r="L16"/>
          <cell r="M16">
            <v>31</v>
          </cell>
          <cell r="N16">
            <v>1</v>
          </cell>
          <cell r="O16">
            <v>1</v>
          </cell>
          <cell r="P16">
            <v>2</v>
          </cell>
          <cell r="Q16">
            <v>1</v>
          </cell>
          <cell r="R16">
            <v>20</v>
          </cell>
          <cell r="S16">
            <v>6</v>
          </cell>
          <cell r="T16" t="str">
            <v>下肢</v>
          </cell>
          <cell r="U16" t="str">
            <v>●</v>
          </cell>
          <cell r="V16"/>
          <cell r="W16">
            <v>1</v>
          </cell>
          <cell r="X16">
            <v>2</v>
          </cell>
          <cell r="Y16">
            <v>3</v>
          </cell>
          <cell r="Z16">
            <v>5</v>
          </cell>
          <cell r="AA16">
            <v>5</v>
          </cell>
          <cell r="AB16">
            <v>5</v>
          </cell>
          <cell r="AC16">
            <v>31</v>
          </cell>
          <cell r="AD16">
            <v>31</v>
          </cell>
          <cell r="AE16">
            <v>31</v>
          </cell>
          <cell r="AF16">
            <v>31</v>
          </cell>
          <cell r="AG16">
            <v>31</v>
          </cell>
          <cell r="AH16">
            <v>31</v>
          </cell>
          <cell r="AI16">
            <v>31</v>
          </cell>
          <cell r="AJ16">
            <v>31</v>
          </cell>
          <cell r="AK16">
            <v>31</v>
          </cell>
          <cell r="AL16">
            <v>28</v>
          </cell>
          <cell r="AM16">
            <v>1</v>
          </cell>
          <cell r="AN16"/>
          <cell r="AO16">
            <v>329</v>
          </cell>
        </row>
        <row r="17">
          <cell r="D17" t="str">
            <v>パラ射撃</v>
          </cell>
          <cell r="E17"/>
          <cell r="F17" t="str">
            <v>Aichi Prefectural General Shooting Gallery</v>
          </cell>
          <cell r="G17" t="str">
            <v>愛知県総合射撃場（使用不可？）</v>
          </cell>
          <cell r="H17" t="str">
            <v>豊田市</v>
          </cell>
          <cell r="I17" t="str">
            <v>愛知県総合射撃場</v>
          </cell>
          <cell r="J17" t="str">
            <v>豊田市</v>
          </cell>
          <cell r="K17" t="str">
            <v>-</v>
          </cell>
          <cell r="L17"/>
          <cell r="M17">
            <v>35</v>
          </cell>
          <cell r="N17">
            <v>1</v>
          </cell>
          <cell r="O17"/>
          <cell r="P17"/>
          <cell r="Q17"/>
          <cell r="R17">
            <v>20</v>
          </cell>
          <cell r="S17">
            <v>14</v>
          </cell>
          <cell r="T17" t="str">
            <v>上肢 下肢</v>
          </cell>
          <cell r="U17" t="str">
            <v>●</v>
          </cell>
          <cell r="V17"/>
          <cell r="W17">
            <v>0</v>
          </cell>
          <cell r="X17">
            <v>0</v>
          </cell>
          <cell r="Y17">
            <v>0</v>
          </cell>
          <cell r="Z17">
            <v>0</v>
          </cell>
          <cell r="AA17">
            <v>0</v>
          </cell>
          <cell r="AB17">
            <v>1</v>
          </cell>
          <cell r="AC17">
            <v>1</v>
          </cell>
          <cell r="AD17">
            <v>35</v>
          </cell>
          <cell r="AE17">
            <v>35</v>
          </cell>
          <cell r="AF17">
            <v>35</v>
          </cell>
          <cell r="AG17">
            <v>35</v>
          </cell>
          <cell r="AH17">
            <v>35</v>
          </cell>
          <cell r="AI17">
            <v>35</v>
          </cell>
          <cell r="AJ17">
            <v>35</v>
          </cell>
          <cell r="AK17">
            <v>35</v>
          </cell>
          <cell r="AL17">
            <v>35</v>
          </cell>
          <cell r="AM17">
            <v>0</v>
          </cell>
          <cell r="AN17"/>
          <cell r="AO17">
            <v>317</v>
          </cell>
        </row>
        <row r="18">
          <cell r="D18" t="str">
            <v xml:space="preserve">座位バレーボール
</v>
          </cell>
          <cell r="E18"/>
          <cell r="F18" t="str">
            <v>Okazaki Chuo Sogo Park Gymnasium</v>
          </cell>
          <cell r="G18" t="str">
            <v>岡崎中央総合公園総合体育館</v>
          </cell>
          <cell r="H18" t="str">
            <v>岡崎市</v>
          </cell>
          <cell r="I18" t="str">
            <v>岡崎中央総合公園総合体育館</v>
          </cell>
          <cell r="J18" t="str">
            <v>岡崎市</v>
          </cell>
          <cell r="K18" t="str">
            <v>-</v>
          </cell>
          <cell r="L18"/>
          <cell r="M18">
            <v>69</v>
          </cell>
          <cell r="N18">
            <v>1</v>
          </cell>
          <cell r="O18">
            <v>1</v>
          </cell>
          <cell r="P18">
            <v>4</v>
          </cell>
          <cell r="Q18">
            <v>1</v>
          </cell>
          <cell r="R18">
            <v>22</v>
          </cell>
          <cell r="S18">
            <v>40</v>
          </cell>
          <cell r="T18" t="str">
            <v>上肢 下肢</v>
          </cell>
          <cell r="U18" t="str">
            <v>●</v>
          </cell>
          <cell r="V18"/>
          <cell r="W18">
            <v>1</v>
          </cell>
          <cell r="X18">
            <v>2</v>
          </cell>
          <cell r="Y18">
            <v>2</v>
          </cell>
          <cell r="Z18">
            <v>4</v>
          </cell>
          <cell r="AA18">
            <v>8</v>
          </cell>
          <cell r="AB18">
            <v>69</v>
          </cell>
          <cell r="AC18">
            <v>69</v>
          </cell>
          <cell r="AD18">
            <v>69</v>
          </cell>
          <cell r="AE18">
            <v>69</v>
          </cell>
          <cell r="AF18">
            <v>69</v>
          </cell>
          <cell r="AG18">
            <v>69</v>
          </cell>
          <cell r="AH18">
            <v>69</v>
          </cell>
          <cell r="AI18">
            <v>69</v>
          </cell>
          <cell r="AJ18">
            <v>69</v>
          </cell>
          <cell r="AK18">
            <v>69</v>
          </cell>
          <cell r="AL18">
            <v>24</v>
          </cell>
          <cell r="AM18">
            <v>1</v>
          </cell>
          <cell r="AN18"/>
          <cell r="AO18">
            <v>732</v>
          </cell>
        </row>
        <row r="19">
          <cell r="D19" t="str">
            <v>パラ水泳</v>
          </cell>
          <cell r="E19"/>
          <cell r="F19" t="str">
            <v>Nagoya City General Gymnasium ［Rainbow Pool］</v>
          </cell>
          <cell r="G19" t="str">
            <v>名古屋市総合体育館[レインボープール]</v>
          </cell>
          <cell r="H19" t="str">
            <v>名古屋市</v>
          </cell>
          <cell r="I19" t="str">
            <v>口論義運動公園プール</v>
          </cell>
          <cell r="J19" t="str">
            <v>日進市</v>
          </cell>
          <cell r="K19" t="str">
            <v>-</v>
          </cell>
          <cell r="L19"/>
          <cell r="M19">
            <v>63</v>
          </cell>
          <cell r="N19">
            <v>1</v>
          </cell>
          <cell r="O19">
            <v>1</v>
          </cell>
          <cell r="P19">
            <v>10</v>
          </cell>
          <cell r="Q19">
            <v>3</v>
          </cell>
          <cell r="R19">
            <v>18</v>
          </cell>
          <cell r="S19">
            <v>30</v>
          </cell>
          <cell r="T19" t="str">
            <v>ALL</v>
          </cell>
          <cell r="U19" t="str">
            <v>●</v>
          </cell>
          <cell r="V19"/>
          <cell r="W19">
            <v>1</v>
          </cell>
          <cell r="X19">
            <v>4</v>
          </cell>
          <cell r="Y19">
            <v>14</v>
          </cell>
          <cell r="Z19">
            <v>14</v>
          </cell>
          <cell r="AA19">
            <v>15</v>
          </cell>
          <cell r="AB19">
            <v>15</v>
          </cell>
          <cell r="AC19">
            <v>63</v>
          </cell>
          <cell r="AD19">
            <v>63</v>
          </cell>
          <cell r="AE19">
            <v>63</v>
          </cell>
          <cell r="AF19">
            <v>63</v>
          </cell>
          <cell r="AG19">
            <v>63</v>
          </cell>
          <cell r="AH19">
            <v>63</v>
          </cell>
          <cell r="AI19">
            <v>63</v>
          </cell>
          <cell r="AJ19">
            <v>63</v>
          </cell>
          <cell r="AK19">
            <v>63</v>
          </cell>
          <cell r="AL19">
            <v>3</v>
          </cell>
          <cell r="AM19">
            <v>3</v>
          </cell>
          <cell r="AN19"/>
          <cell r="AO19">
            <v>636</v>
          </cell>
        </row>
        <row r="20">
          <cell r="D20" t="str">
            <v>パラ卓球</v>
          </cell>
          <cell r="E20"/>
          <cell r="F20" t="str">
            <v>SKY HALL TOYOTA</v>
          </cell>
          <cell r="G20" t="str">
            <v>スカイホール豊田</v>
          </cell>
          <cell r="H20" t="str">
            <v>豊田市</v>
          </cell>
          <cell r="I20" t="str">
            <v>スカイホール豊田</v>
          </cell>
          <cell r="J20" t="str">
            <v>豊田市</v>
          </cell>
          <cell r="K20" t="str">
            <v>-</v>
          </cell>
          <cell r="L20"/>
          <cell r="M20">
            <v>88</v>
          </cell>
          <cell r="N20">
            <v>1</v>
          </cell>
          <cell r="O20">
            <v>1</v>
          </cell>
          <cell r="P20">
            <v>6</v>
          </cell>
          <cell r="Q20"/>
          <cell r="R20">
            <v>68</v>
          </cell>
          <cell r="S20">
            <v>12</v>
          </cell>
          <cell r="T20" t="str">
            <v>上肢 下肢 知的</v>
          </cell>
          <cell r="U20" t="str">
            <v>●</v>
          </cell>
          <cell r="V20"/>
          <cell r="W20">
            <v>1</v>
          </cell>
          <cell r="X20">
            <v>8</v>
          </cell>
          <cell r="Y20">
            <v>8</v>
          </cell>
          <cell r="Z20">
            <v>44</v>
          </cell>
          <cell r="AA20">
            <v>44</v>
          </cell>
          <cell r="AB20">
            <v>88</v>
          </cell>
          <cell r="AC20">
            <v>88</v>
          </cell>
          <cell r="AD20">
            <v>88</v>
          </cell>
          <cell r="AE20">
            <v>88</v>
          </cell>
          <cell r="AF20">
            <v>88</v>
          </cell>
          <cell r="AG20">
            <v>88</v>
          </cell>
          <cell r="AH20">
            <v>88</v>
          </cell>
          <cell r="AI20">
            <v>88</v>
          </cell>
          <cell r="AJ20">
            <v>88</v>
          </cell>
          <cell r="AK20">
            <v>88</v>
          </cell>
          <cell r="AL20">
            <v>0</v>
          </cell>
          <cell r="AM20">
            <v>0</v>
          </cell>
          <cell r="AN20"/>
          <cell r="AO20">
            <v>985</v>
          </cell>
        </row>
        <row r="21">
          <cell r="D21" t="str">
            <v>パラテコンドー</v>
          </cell>
          <cell r="E21"/>
          <cell r="F21" t="str">
            <v>Nagoya City Mizuho Park Gymnasium </v>
          </cell>
          <cell r="G21" t="str">
            <v>名古屋市瑞穂公園体育館[パロマ瑞穂アリーナ]</v>
          </cell>
          <cell r="H21" t="str">
            <v>名古屋市</v>
          </cell>
          <cell r="I21" t="str">
            <v>名古屋市体育館</v>
          </cell>
          <cell r="J21" t="str">
            <v>名古屋市熱田区</v>
          </cell>
          <cell r="K21" t="str">
            <v>-</v>
          </cell>
          <cell r="L21"/>
          <cell r="M21">
            <v>38</v>
          </cell>
          <cell r="N21">
            <v>1</v>
          </cell>
          <cell r="O21">
            <v>1</v>
          </cell>
          <cell r="P21">
            <v>4</v>
          </cell>
          <cell r="Q21">
            <v>1</v>
          </cell>
          <cell r="R21">
            <v>21</v>
          </cell>
          <cell r="S21">
            <v>10</v>
          </cell>
          <cell r="T21" t="str">
            <v>上肢</v>
          </cell>
          <cell r="U21" t="str">
            <v>-</v>
          </cell>
          <cell r="V21"/>
          <cell r="W21">
            <v>1</v>
          </cell>
          <cell r="X21">
            <v>2</v>
          </cell>
          <cell r="Y21">
            <v>2</v>
          </cell>
          <cell r="Z21">
            <v>2</v>
          </cell>
          <cell r="AA21">
            <v>3</v>
          </cell>
          <cell r="AB21">
            <v>7</v>
          </cell>
          <cell r="AC21">
            <v>38</v>
          </cell>
          <cell r="AD21">
            <v>38</v>
          </cell>
          <cell r="AE21">
            <v>38</v>
          </cell>
          <cell r="AF21">
            <v>38</v>
          </cell>
          <cell r="AG21">
            <v>38</v>
          </cell>
          <cell r="AH21">
            <v>38</v>
          </cell>
          <cell r="AI21">
            <v>38</v>
          </cell>
          <cell r="AJ21">
            <v>1</v>
          </cell>
          <cell r="AK21">
            <v>4</v>
          </cell>
          <cell r="AL21">
            <v>1</v>
          </cell>
          <cell r="AM21">
            <v>1</v>
          </cell>
          <cell r="AN21"/>
          <cell r="AO21">
            <v>290</v>
          </cell>
        </row>
        <row r="22">
          <cell r="D22" t="str">
            <v>車いすバスケットボール</v>
          </cell>
          <cell r="E22"/>
          <cell r="F22" t="str">
            <v>The New Aichi Prefectural Gymnasium [Aichi International Arena]</v>
          </cell>
          <cell r="G22" t="str">
            <v>愛知県新体育館</v>
          </cell>
          <cell r="H22" t="str">
            <v>名古屋市</v>
          </cell>
          <cell r="I22" t="str">
            <v>愛知国際アリーナ</v>
          </cell>
          <cell r="J22" t="str">
            <v>名古屋市北区</v>
          </cell>
          <cell r="K22" t="str">
            <v>-</v>
          </cell>
          <cell r="L22"/>
          <cell r="M22">
            <v>58</v>
          </cell>
          <cell r="N22">
            <v>1</v>
          </cell>
          <cell r="O22">
            <v>1</v>
          </cell>
          <cell r="P22">
            <v>4</v>
          </cell>
          <cell r="Q22">
            <v>2</v>
          </cell>
          <cell r="R22">
            <v>27</v>
          </cell>
          <cell r="S22">
            <v>23</v>
          </cell>
          <cell r="T22" t="str">
            <v>下肢</v>
          </cell>
          <cell r="U22" t="str">
            <v>●</v>
          </cell>
          <cell r="V22"/>
          <cell r="W22">
            <v>1</v>
          </cell>
          <cell r="X22">
            <v>8</v>
          </cell>
          <cell r="Y22">
            <v>8</v>
          </cell>
          <cell r="Z22">
            <v>58</v>
          </cell>
          <cell r="AA22">
            <v>58</v>
          </cell>
          <cell r="AB22">
            <v>58</v>
          </cell>
          <cell r="AC22">
            <v>58</v>
          </cell>
          <cell r="AD22">
            <v>58</v>
          </cell>
          <cell r="AE22">
            <v>58</v>
          </cell>
          <cell r="AF22">
            <v>58</v>
          </cell>
          <cell r="AG22">
            <v>58</v>
          </cell>
          <cell r="AH22">
            <v>58</v>
          </cell>
          <cell r="AI22">
            <v>58</v>
          </cell>
          <cell r="AJ22">
            <v>58</v>
          </cell>
          <cell r="AK22">
            <v>58</v>
          </cell>
          <cell r="AL22">
            <v>0</v>
          </cell>
          <cell r="AM22">
            <v>0</v>
          </cell>
          <cell r="AN22"/>
          <cell r="AO22">
            <v>713</v>
          </cell>
        </row>
        <row r="23">
          <cell r="D23" t="str">
            <v>パラフェンシング</v>
          </cell>
          <cell r="E23"/>
          <cell r="F23" t="str">
            <v>Nagoya City Inae Sports Center</v>
          </cell>
          <cell r="G23" t="str">
            <v>名古屋市稲永スポーツセンター</v>
          </cell>
          <cell r="H23" t="str">
            <v>名古屋市</v>
          </cell>
          <cell r="I23" t="str">
            <v>名古屋市稲永スポーツセンター</v>
          </cell>
          <cell r="J23" t="str">
            <v>名古屋市港区</v>
          </cell>
          <cell r="K23" t="str">
            <v>-</v>
          </cell>
          <cell r="L23"/>
          <cell r="M23">
            <v>48</v>
          </cell>
          <cell r="N23">
            <v>1</v>
          </cell>
          <cell r="O23">
            <v>1</v>
          </cell>
          <cell r="P23">
            <v>2</v>
          </cell>
          <cell r="Q23">
            <v>1</v>
          </cell>
          <cell r="R23">
            <v>27</v>
          </cell>
          <cell r="S23">
            <v>16</v>
          </cell>
          <cell r="T23" t="str">
            <v>下肢</v>
          </cell>
          <cell r="U23" t="str">
            <v>●</v>
          </cell>
          <cell r="V23"/>
          <cell r="W23">
            <v>1</v>
          </cell>
          <cell r="X23">
            <v>2</v>
          </cell>
          <cell r="Y23">
            <v>2</v>
          </cell>
          <cell r="Z23">
            <v>2</v>
          </cell>
          <cell r="AA23">
            <v>3</v>
          </cell>
          <cell r="AB23">
            <v>5</v>
          </cell>
          <cell r="AC23">
            <v>48</v>
          </cell>
          <cell r="AD23">
            <v>48</v>
          </cell>
          <cell r="AE23">
            <v>48</v>
          </cell>
          <cell r="AF23">
            <v>48</v>
          </cell>
          <cell r="AG23">
            <v>48</v>
          </cell>
          <cell r="AH23">
            <v>48</v>
          </cell>
          <cell r="AI23">
            <v>48</v>
          </cell>
          <cell r="AJ23">
            <v>48</v>
          </cell>
          <cell r="AK23">
            <v>48</v>
          </cell>
          <cell r="AL23">
            <v>48</v>
          </cell>
          <cell r="AM23">
            <v>1</v>
          </cell>
          <cell r="AN23"/>
          <cell r="AO23">
            <v>496</v>
          </cell>
        </row>
        <row r="24">
          <cell r="D24" t="str">
            <v>車いすラグビー</v>
          </cell>
          <cell r="E24"/>
          <cell r="F24" t="str">
            <v>Wing Arena Kariya</v>
          </cell>
          <cell r="G24" t="str">
            <v>ウイングアリーナ刈谷</v>
          </cell>
          <cell r="H24" t="str">
            <v>刈谷市</v>
          </cell>
          <cell r="I24" t="str">
            <v>ウィングアリーナ刈谷</v>
          </cell>
          <cell r="J24" t="str">
            <v>刈谷市</v>
          </cell>
          <cell r="K24" t="str">
            <v>-</v>
          </cell>
          <cell r="L24"/>
          <cell r="M24">
            <v>28</v>
          </cell>
          <cell r="N24">
            <v>1</v>
          </cell>
          <cell r="O24">
            <v>1</v>
          </cell>
          <cell r="P24">
            <v>6</v>
          </cell>
          <cell r="Q24">
            <v>1</v>
          </cell>
          <cell r="R24">
            <v>12</v>
          </cell>
          <cell r="S24">
            <v>7</v>
          </cell>
          <cell r="T24" t="str">
            <v>下肢</v>
          </cell>
          <cell r="U24" t="str">
            <v>●</v>
          </cell>
          <cell r="V24"/>
          <cell r="W24">
            <v>1</v>
          </cell>
          <cell r="X24">
            <v>2</v>
          </cell>
          <cell r="Y24">
            <v>2</v>
          </cell>
          <cell r="Z24">
            <v>2</v>
          </cell>
          <cell r="AA24">
            <v>9</v>
          </cell>
          <cell r="AB24">
            <v>28</v>
          </cell>
          <cell r="AC24">
            <v>28</v>
          </cell>
          <cell r="AD24">
            <v>28</v>
          </cell>
          <cell r="AE24">
            <v>28</v>
          </cell>
          <cell r="AF24">
            <v>28</v>
          </cell>
          <cell r="AG24">
            <v>28</v>
          </cell>
          <cell r="AH24">
            <v>28</v>
          </cell>
          <cell r="AI24">
            <v>28</v>
          </cell>
          <cell r="AJ24">
            <v>28</v>
          </cell>
          <cell r="AK24">
            <v>28</v>
          </cell>
          <cell r="AL24">
            <v>1</v>
          </cell>
          <cell r="AM24">
            <v>1</v>
          </cell>
          <cell r="AN24"/>
          <cell r="AO24">
            <v>298</v>
          </cell>
        </row>
        <row r="25">
          <cell r="D25" t="str">
            <v>車いすテニス</v>
          </cell>
          <cell r="E25"/>
          <cell r="F25" t="str">
            <v>Nagoya City Higashiyama Park Tennis Center</v>
          </cell>
          <cell r="G25" t="str">
            <v>名古屋市東山公園テニスセンター</v>
          </cell>
          <cell r="H25" t="str">
            <v>名古屋市</v>
          </cell>
          <cell r="I25" t="str">
            <v>名古屋市東山公園テニスセンター</v>
          </cell>
          <cell r="J25" t="str">
            <v>名古屋市天白区</v>
          </cell>
          <cell r="K25" t="str">
            <v>-</v>
          </cell>
          <cell r="L25"/>
          <cell r="M25">
            <v>125</v>
          </cell>
          <cell r="N25">
            <v>1</v>
          </cell>
          <cell r="O25">
            <v>1</v>
          </cell>
          <cell r="P25">
            <v>2</v>
          </cell>
          <cell r="Q25">
            <v>1</v>
          </cell>
          <cell r="R25">
            <v>65</v>
          </cell>
          <cell r="S25">
            <v>55</v>
          </cell>
          <cell r="T25" t="str">
            <v>下肢</v>
          </cell>
          <cell r="U25" t="str">
            <v>●</v>
          </cell>
          <cell r="V25"/>
          <cell r="W25">
            <v>1</v>
          </cell>
          <cell r="X25">
            <v>2</v>
          </cell>
          <cell r="Y25">
            <v>2</v>
          </cell>
          <cell r="Z25">
            <v>2</v>
          </cell>
          <cell r="AA25">
            <v>5</v>
          </cell>
          <cell r="AB25">
            <v>9</v>
          </cell>
          <cell r="AC25">
            <v>125</v>
          </cell>
          <cell r="AD25">
            <v>125</v>
          </cell>
          <cell r="AE25">
            <v>125</v>
          </cell>
          <cell r="AF25">
            <v>125</v>
          </cell>
          <cell r="AG25">
            <v>125</v>
          </cell>
          <cell r="AH25">
            <v>125</v>
          </cell>
          <cell r="AI25">
            <v>125</v>
          </cell>
          <cell r="AJ25">
            <v>125</v>
          </cell>
          <cell r="AK25">
            <v>125</v>
          </cell>
          <cell r="AL25">
            <v>1</v>
          </cell>
          <cell r="AM25">
            <v>1</v>
          </cell>
          <cell r="AN25"/>
          <cell r="AO25">
            <v>1148</v>
          </cell>
        </row>
        <row r="26">
          <cell r="D26" t="str">
            <v>VI</v>
          </cell>
          <cell r="E26"/>
          <cell r="F26"/>
          <cell r="G26" t="str">
            <v>アイリス愛知</v>
          </cell>
          <cell r="H26" t="str">
            <v>名古屋市</v>
          </cell>
          <cell r="I26"/>
          <cell r="J26"/>
          <cell r="K26"/>
          <cell r="L26"/>
          <cell r="M26">
            <v>11</v>
          </cell>
          <cell r="N26"/>
          <cell r="O26">
            <v>1</v>
          </cell>
          <cell r="P26">
            <v>10</v>
          </cell>
          <cell r="Q26"/>
          <cell r="R26"/>
          <cell r="S26"/>
          <cell r="T26"/>
          <cell r="U26"/>
          <cell r="V26">
            <v>1</v>
          </cell>
          <cell r="W26">
            <v>1</v>
          </cell>
          <cell r="X26">
            <v>11</v>
          </cell>
          <cell r="Y26">
            <v>11</v>
          </cell>
          <cell r="Z26">
            <v>11</v>
          </cell>
          <cell r="AA26">
            <v>11</v>
          </cell>
          <cell r="AB26">
            <v>11</v>
          </cell>
          <cell r="AC26">
            <v>11</v>
          </cell>
          <cell r="AD26">
            <v>11</v>
          </cell>
          <cell r="AE26">
            <v>11</v>
          </cell>
          <cell r="AF26">
            <v>11</v>
          </cell>
          <cell r="AG26">
            <v>1</v>
          </cell>
          <cell r="AH26">
            <v>1</v>
          </cell>
          <cell r="AI26">
            <v>1</v>
          </cell>
          <cell r="AJ26">
            <v>1</v>
          </cell>
          <cell r="AK26">
            <v>1</v>
          </cell>
          <cell r="AL26">
            <v>1</v>
          </cell>
          <cell r="AM26"/>
          <cell r="AN26"/>
          <cell r="AO26">
            <v>106</v>
          </cell>
        </row>
        <row r="27">
          <cell r="D27" t="str">
            <v>DCO（名古屋）</v>
          </cell>
          <cell r="E27"/>
          <cell r="F27"/>
          <cell r="G27"/>
          <cell r="H27"/>
          <cell r="I27"/>
          <cell r="J27"/>
          <cell r="K27"/>
          <cell r="L27"/>
          <cell r="M27">
            <v>161</v>
          </cell>
          <cell r="N27"/>
          <cell r="O27"/>
          <cell r="P27"/>
          <cell r="Q27"/>
          <cell r="R27"/>
          <cell r="S27"/>
          <cell r="T27"/>
          <cell r="U27"/>
          <cell r="V27">
            <v>161</v>
          </cell>
          <cell r="W27">
            <v>161</v>
          </cell>
          <cell r="X27">
            <v>161</v>
          </cell>
          <cell r="Y27">
            <v>161</v>
          </cell>
          <cell r="Z27">
            <v>161</v>
          </cell>
          <cell r="AA27">
            <v>161</v>
          </cell>
          <cell r="AB27">
            <v>161</v>
          </cell>
          <cell r="AC27">
            <v>161</v>
          </cell>
          <cell r="AD27">
            <v>161</v>
          </cell>
          <cell r="AE27">
            <v>161</v>
          </cell>
          <cell r="AF27">
            <v>161</v>
          </cell>
          <cell r="AG27">
            <v>161</v>
          </cell>
          <cell r="AH27">
            <v>161</v>
          </cell>
          <cell r="AI27">
            <v>161</v>
          </cell>
          <cell r="AJ27">
            <v>161</v>
          </cell>
          <cell r="AK27">
            <v>161</v>
          </cell>
          <cell r="AL27">
            <v>161</v>
          </cell>
          <cell r="AM27">
            <v>161</v>
          </cell>
          <cell r="AN27">
            <v>161</v>
          </cell>
          <cell r="AO27">
            <v>2737</v>
          </cell>
        </row>
        <row r="28">
          <cell r="D28" t="str">
            <v>DCO（豊橋）</v>
          </cell>
          <cell r="E28"/>
          <cell r="F28"/>
          <cell r="G28"/>
          <cell r="H28"/>
          <cell r="I28"/>
          <cell r="J28"/>
          <cell r="K28"/>
          <cell r="L28"/>
          <cell r="M28">
            <v>35</v>
          </cell>
          <cell r="N28"/>
          <cell r="O28"/>
          <cell r="P28"/>
          <cell r="Q28"/>
          <cell r="R28"/>
          <cell r="S28"/>
          <cell r="T28"/>
          <cell r="U28"/>
          <cell r="V28">
            <v>35</v>
          </cell>
          <cell r="W28">
            <v>35</v>
          </cell>
          <cell r="X28">
            <v>35</v>
          </cell>
          <cell r="Y28">
            <v>35</v>
          </cell>
          <cell r="Z28">
            <v>35</v>
          </cell>
          <cell r="AA28">
            <v>35</v>
          </cell>
          <cell r="AB28">
            <v>35</v>
          </cell>
          <cell r="AC28">
            <v>35</v>
          </cell>
          <cell r="AD28">
            <v>35</v>
          </cell>
          <cell r="AE28">
            <v>35</v>
          </cell>
          <cell r="AF28">
            <v>35</v>
          </cell>
          <cell r="AG28">
            <v>35</v>
          </cell>
          <cell r="AH28">
            <v>35</v>
          </cell>
          <cell r="AI28">
            <v>35</v>
          </cell>
          <cell r="AJ28">
            <v>35</v>
          </cell>
          <cell r="AK28">
            <v>35</v>
          </cell>
          <cell r="AL28">
            <v>35</v>
          </cell>
          <cell r="AM28">
            <v>35</v>
          </cell>
          <cell r="AN28">
            <v>35</v>
          </cell>
          <cell r="AO28">
            <v>595</v>
          </cell>
        </row>
        <row r="29">
          <cell r="D29" t="str">
            <v>DCO（伊豆）</v>
          </cell>
          <cell r="E29"/>
          <cell r="F29"/>
          <cell r="G29"/>
          <cell r="H29"/>
          <cell r="I29"/>
          <cell r="J29"/>
          <cell r="K29"/>
          <cell r="L29"/>
          <cell r="M29">
            <v>14</v>
          </cell>
          <cell r="N29"/>
          <cell r="O29"/>
          <cell r="P29"/>
          <cell r="Q29"/>
          <cell r="R29"/>
          <cell r="S29"/>
          <cell r="T29"/>
          <cell r="U29"/>
          <cell r="V29">
            <v>14</v>
          </cell>
          <cell r="W29">
            <v>14</v>
          </cell>
          <cell r="X29">
            <v>14</v>
          </cell>
          <cell r="Y29">
            <v>14</v>
          </cell>
          <cell r="Z29">
            <v>14</v>
          </cell>
          <cell r="AA29">
            <v>14</v>
          </cell>
          <cell r="AB29">
            <v>14</v>
          </cell>
          <cell r="AC29">
            <v>14</v>
          </cell>
          <cell r="AD29">
            <v>14</v>
          </cell>
          <cell r="AE29">
            <v>14</v>
          </cell>
          <cell r="AF29">
            <v>14</v>
          </cell>
          <cell r="AG29">
            <v>14</v>
          </cell>
          <cell r="AH29">
            <v>14</v>
          </cell>
          <cell r="AI29">
            <v>14</v>
          </cell>
          <cell r="AJ29">
            <v>14</v>
          </cell>
          <cell r="AK29">
            <v>14</v>
          </cell>
          <cell r="AL29">
            <v>14</v>
          </cell>
          <cell r="AM29">
            <v>14</v>
          </cell>
          <cell r="AN29">
            <v>14</v>
          </cell>
          <cell r="AO29">
            <v>238</v>
          </cell>
        </row>
      </sheetData>
      <sheetData sheetId="4"/>
      <sheetData sheetId="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マスター1_項目コード"/>
      <sheetName val="マスター2_施設情報"/>
    </sheetNames>
    <sheetDataSet>
      <sheetData sheetId="0">
        <row r="4">
          <cell r="B4">
            <v>101</v>
          </cell>
          <cell r="C4" t="str">
            <v>［1］シングル</v>
          </cell>
        </row>
        <row r="5">
          <cell r="B5">
            <v>102</v>
          </cell>
          <cell r="C5" t="str">
            <v>［2］ダブル</v>
          </cell>
        </row>
        <row r="6">
          <cell r="B6">
            <v>103</v>
          </cell>
          <cell r="C6" t="str">
            <v>［3］ツイン1名</v>
          </cell>
        </row>
        <row r="7">
          <cell r="B7">
            <v>104</v>
          </cell>
          <cell r="C7" t="str">
            <v>［4］ツイン2名</v>
          </cell>
        </row>
        <row r="8">
          <cell r="B8">
            <v>105</v>
          </cell>
          <cell r="C8" t="str">
            <v>［5］トリプル1名</v>
          </cell>
        </row>
        <row r="9">
          <cell r="B9">
            <v>106</v>
          </cell>
          <cell r="C9" t="str">
            <v>［6］トリプル2名</v>
          </cell>
        </row>
        <row r="10">
          <cell r="B10">
            <v>107</v>
          </cell>
          <cell r="C10" t="str">
            <v>［7］トリプル3名</v>
          </cell>
        </row>
        <row r="11">
          <cell r="B11">
            <v>108</v>
          </cell>
          <cell r="C11" t="str">
            <v>［8］フォース2名</v>
          </cell>
        </row>
        <row r="12">
          <cell r="B12">
            <v>109</v>
          </cell>
          <cell r="C12" t="str">
            <v>［9］フォース3名</v>
          </cell>
        </row>
        <row r="13">
          <cell r="B13">
            <v>110</v>
          </cell>
          <cell r="C13" t="str">
            <v>［10］フォース4名</v>
          </cell>
        </row>
        <row r="14">
          <cell r="B14">
            <v>111</v>
          </cell>
          <cell r="C14" t="str">
            <v>［11］和室1名</v>
          </cell>
        </row>
        <row r="15">
          <cell r="B15">
            <v>112</v>
          </cell>
          <cell r="C15" t="str">
            <v>［12］和室2名</v>
          </cell>
        </row>
        <row r="16">
          <cell r="B16">
            <v>113</v>
          </cell>
          <cell r="C16" t="str">
            <v>［13］和室3名</v>
          </cell>
        </row>
        <row r="17">
          <cell r="B17">
            <v>114</v>
          </cell>
          <cell r="C17" t="str">
            <v>［14］和室4名</v>
          </cell>
        </row>
        <row r="18">
          <cell r="B18">
            <v>115</v>
          </cell>
          <cell r="C18" t="str">
            <v>［15］和洋室1名</v>
          </cell>
        </row>
        <row r="19">
          <cell r="B19">
            <v>116</v>
          </cell>
          <cell r="C19" t="str">
            <v>［16］和洋室2名</v>
          </cell>
        </row>
        <row r="20">
          <cell r="B20">
            <v>117</v>
          </cell>
          <cell r="C20" t="str">
            <v>［17］和洋室3名</v>
          </cell>
        </row>
        <row r="21">
          <cell r="B21">
            <v>118</v>
          </cell>
          <cell r="C21" t="str">
            <v>［18］和洋室4名</v>
          </cell>
        </row>
        <row r="22">
          <cell r="B22">
            <v>119</v>
          </cell>
          <cell r="C22" t="str">
            <v>［19］スイート1名</v>
          </cell>
        </row>
        <row r="23">
          <cell r="B23">
            <v>120</v>
          </cell>
          <cell r="C23" t="str">
            <v>［20］スイート2名</v>
          </cell>
        </row>
        <row r="24">
          <cell r="B24">
            <v>121</v>
          </cell>
          <cell r="C24" t="str">
            <v>［21］スイート3名</v>
          </cell>
        </row>
        <row r="25">
          <cell r="B25">
            <v>122</v>
          </cell>
          <cell r="C25" t="str">
            <v>［22］スイート4名</v>
          </cell>
        </row>
        <row r="26">
          <cell r="B26">
            <v>123</v>
          </cell>
          <cell r="C26" t="str">
            <v>［23］その他</v>
          </cell>
        </row>
        <row r="27">
          <cell r="B27">
            <v>124</v>
          </cell>
          <cell r="C27" t="str">
            <v>宿泊サービス費</v>
          </cell>
        </row>
        <row r="28">
          <cell r="B28">
            <v>125</v>
          </cell>
          <cell r="C28" t="str">
            <v>宿泊諸税</v>
          </cell>
        </row>
        <row r="31">
          <cell r="B31">
            <v>201</v>
          </cell>
          <cell r="C31" t="str">
            <v>朝食代（1室2名以上の場合の追加分）</v>
          </cell>
        </row>
        <row r="32">
          <cell r="B32">
            <v>202</v>
          </cell>
          <cell r="C32" t="str">
            <v>昼食代</v>
          </cell>
        </row>
        <row r="33">
          <cell r="B33">
            <v>203</v>
          </cell>
          <cell r="C33" t="str">
            <v>夕食代</v>
          </cell>
        </row>
        <row r="34">
          <cell r="B34">
            <v>204</v>
          </cell>
          <cell r="C34" t="str">
            <v>飲食サービス費</v>
          </cell>
        </row>
        <row r="35">
          <cell r="B35">
            <v>205</v>
          </cell>
          <cell r="C35" t="str">
            <v>飲食諸税</v>
          </cell>
        </row>
        <row r="36">
          <cell r="B36">
            <v>206</v>
          </cell>
        </row>
        <row r="37">
          <cell r="B37">
            <v>207</v>
          </cell>
        </row>
        <row r="38">
          <cell r="B38">
            <v>208</v>
          </cell>
        </row>
        <row r="39">
          <cell r="B39">
            <v>209</v>
          </cell>
        </row>
        <row r="40">
          <cell r="B40">
            <v>210</v>
          </cell>
        </row>
        <row r="41">
          <cell r="B41">
            <v>401</v>
          </cell>
          <cell r="C41" t="str">
            <v>ファンクションルーム利用費（1）</v>
          </cell>
        </row>
        <row r="42">
          <cell r="B42">
            <v>402</v>
          </cell>
          <cell r="C42" t="str">
            <v>ファンクションルーム利用費（2）</v>
          </cell>
        </row>
        <row r="43">
          <cell r="B43">
            <v>403</v>
          </cell>
          <cell r="C43" t="str">
            <v>ファンクションルーム利用費（3）</v>
          </cell>
        </row>
        <row r="44">
          <cell r="B44">
            <v>404</v>
          </cell>
          <cell r="C44" t="str">
            <v>ファンクションルーム利用費（4）</v>
          </cell>
        </row>
        <row r="45">
          <cell r="B45">
            <v>405</v>
          </cell>
          <cell r="C45" t="str">
            <v>ファンクションルーム利用費（5）</v>
          </cell>
        </row>
        <row r="46">
          <cell r="B46">
            <v>406</v>
          </cell>
          <cell r="C46" t="str">
            <v>ファンクションルーム利用費（6）</v>
          </cell>
        </row>
        <row r="47">
          <cell r="B47">
            <v>407</v>
          </cell>
          <cell r="C47" t="str">
            <v>ファンクションルーム利用費（7）</v>
          </cell>
        </row>
        <row r="48">
          <cell r="B48">
            <v>408</v>
          </cell>
          <cell r="C48" t="str">
            <v>ファンクションルーム利用費（8）</v>
          </cell>
        </row>
        <row r="49">
          <cell r="B49">
            <v>409</v>
          </cell>
          <cell r="C49" t="str">
            <v>ファンクションルーム利用費（9）</v>
          </cell>
        </row>
        <row r="50">
          <cell r="B50">
            <v>410</v>
          </cell>
          <cell r="C50" t="str">
            <v>ファンクションルーム利用費（10）</v>
          </cell>
        </row>
        <row r="51">
          <cell r="B51">
            <v>411</v>
          </cell>
          <cell r="C51" t="str">
            <v>ファンクションルーム利用費（11）</v>
          </cell>
        </row>
        <row r="52">
          <cell r="B52">
            <v>412</v>
          </cell>
          <cell r="C52" t="str">
            <v>ファンクションルーム利用費（12）</v>
          </cell>
        </row>
        <row r="53">
          <cell r="B53">
            <v>413</v>
          </cell>
          <cell r="C53" t="str">
            <v>ファンクションルーム利用費（13）</v>
          </cell>
        </row>
        <row r="54">
          <cell r="B54">
            <v>414</v>
          </cell>
          <cell r="C54" t="str">
            <v>ファンクションルーム利用費（14）</v>
          </cell>
        </row>
        <row r="55">
          <cell r="B55">
            <v>415</v>
          </cell>
          <cell r="C55" t="str">
            <v>ファンクションルーム利用費（15）</v>
          </cell>
        </row>
        <row r="56">
          <cell r="B56">
            <v>416</v>
          </cell>
          <cell r="C56" t="str">
            <v>ファンクションルーム利用費（16）</v>
          </cell>
        </row>
        <row r="57">
          <cell r="B57">
            <v>417</v>
          </cell>
          <cell r="C57" t="str">
            <v>ファンクションルーム利用費（17）</v>
          </cell>
        </row>
        <row r="58">
          <cell r="B58">
            <v>418</v>
          </cell>
          <cell r="C58" t="str">
            <v>ファンクションルーム利用費（18）</v>
          </cell>
        </row>
        <row r="59">
          <cell r="B59">
            <v>419</v>
          </cell>
          <cell r="C59" t="str">
            <v>ファンクションルーム利用費（19）</v>
          </cell>
        </row>
        <row r="60">
          <cell r="B60">
            <v>420</v>
          </cell>
          <cell r="C60" t="str">
            <v>ファンクションルーム利用費（20）</v>
          </cell>
        </row>
        <row r="61">
          <cell r="B61">
            <v>421</v>
          </cell>
          <cell r="C61" t="str">
            <v>ファンクションルーム利用費（21）</v>
          </cell>
        </row>
        <row r="62">
          <cell r="B62">
            <v>422</v>
          </cell>
          <cell r="C62" t="str">
            <v>ファンクションルーム利用費（22）</v>
          </cell>
        </row>
        <row r="63">
          <cell r="B63">
            <v>423</v>
          </cell>
          <cell r="C63" t="str">
            <v>ファンクションルーム利用費（23）</v>
          </cell>
        </row>
        <row r="64">
          <cell r="B64">
            <v>424</v>
          </cell>
          <cell r="C64" t="str">
            <v>ファンクションルーム利用費（24）</v>
          </cell>
        </row>
        <row r="65">
          <cell r="B65">
            <v>425</v>
          </cell>
          <cell r="C65" t="str">
            <v>ファンクションルーム利用費（25）</v>
          </cell>
        </row>
        <row r="66">
          <cell r="B66">
            <v>426</v>
          </cell>
          <cell r="C66" t="str">
            <v>ファンクションルーム利用費（26）</v>
          </cell>
        </row>
        <row r="67">
          <cell r="B67">
            <v>427</v>
          </cell>
          <cell r="C67" t="str">
            <v>ファンクションルーム利用費（27）</v>
          </cell>
        </row>
        <row r="68">
          <cell r="B68">
            <v>428</v>
          </cell>
          <cell r="C68" t="str">
            <v>ファンクションルーム利用費（28）</v>
          </cell>
        </row>
        <row r="69">
          <cell r="B69">
            <v>429</v>
          </cell>
          <cell r="C69" t="str">
            <v>ファンクションルーム利用費（29）</v>
          </cell>
        </row>
        <row r="70">
          <cell r="B70">
            <v>430</v>
          </cell>
          <cell r="C70" t="str">
            <v>ファンクションルーム利用費（30）</v>
          </cell>
        </row>
        <row r="71">
          <cell r="B71">
            <v>431</v>
          </cell>
          <cell r="C71" t="str">
            <v>インターネット利用費 (ファンクションルーム)</v>
          </cell>
        </row>
        <row r="72">
          <cell r="B72">
            <v>501</v>
          </cell>
          <cell r="C72" t="str">
            <v>輸送関連施設利用費</v>
          </cell>
        </row>
        <row r="73">
          <cell r="B73">
            <v>502</v>
          </cell>
        </row>
        <row r="74">
          <cell r="B74">
            <v>503</v>
          </cell>
        </row>
        <row r="75">
          <cell r="B75">
            <v>504</v>
          </cell>
        </row>
        <row r="76">
          <cell r="B76">
            <v>505</v>
          </cell>
        </row>
        <row r="77">
          <cell r="B77">
            <v>506</v>
          </cell>
        </row>
        <row r="78">
          <cell r="B78">
            <v>507</v>
          </cell>
        </row>
        <row r="79">
          <cell r="B79">
            <v>508</v>
          </cell>
        </row>
        <row r="80">
          <cell r="B80">
            <v>509</v>
          </cell>
        </row>
        <row r="81">
          <cell r="B81">
            <v>510</v>
          </cell>
        </row>
        <row r="82">
          <cell r="B82">
            <v>601</v>
          </cell>
          <cell r="C82" t="str">
            <v>宿泊費の貸切利用にかかる特別費用</v>
          </cell>
        </row>
        <row r="83">
          <cell r="B83">
            <v>602</v>
          </cell>
          <cell r="C83" t="str">
            <v>その他、客室を除く宿泊施設の利用に係る費用</v>
          </cell>
        </row>
        <row r="84">
          <cell r="B84">
            <v>603</v>
          </cell>
          <cell r="C84" t="str">
            <v>入湯税</v>
          </cell>
        </row>
        <row r="85">
          <cell r="B85">
            <v>604</v>
          </cell>
          <cell r="C85" t="str">
            <v>宿泊税</v>
          </cell>
        </row>
        <row r="86">
          <cell r="B86">
            <v>605</v>
          </cell>
        </row>
        <row r="87">
          <cell r="B87">
            <v>606</v>
          </cell>
        </row>
        <row r="88">
          <cell r="B88">
            <v>607</v>
          </cell>
        </row>
        <row r="89">
          <cell r="B89">
            <v>608</v>
          </cell>
        </row>
        <row r="90">
          <cell r="B90">
            <v>609</v>
          </cell>
        </row>
        <row r="91">
          <cell r="B91">
            <v>610</v>
          </cell>
        </row>
      </sheetData>
      <sheetData sheetId="1">
        <row r="7">
          <cell r="B7">
            <v>1</v>
          </cell>
          <cell r="C7" t="str">
            <v>名古屋</v>
          </cell>
          <cell r="D7" t="str">
            <v>一宮市</v>
          </cell>
          <cell r="E7" t="str">
            <v>アパホテル＜尾張一宮駅前＞</v>
          </cell>
          <cell r="F7" t="str">
            <v>愛知県一宮市栄3丁目3番地10号</v>
          </cell>
          <cell r="G7" t="str">
            <v>選手・役員または技術役員</v>
          </cell>
          <cell r="H7" t="str">
            <v>可</v>
          </cell>
          <cell r="I7" t="str">
            <v>可</v>
          </cell>
          <cell r="J7">
            <v>75</v>
          </cell>
          <cell r="K7">
            <v>75</v>
          </cell>
          <cell r="L7">
            <v>1</v>
          </cell>
          <cell r="M7" t="str">
            <v>○</v>
          </cell>
          <cell r="N7" t="str">
            <v>×</v>
          </cell>
          <cell r="O7" t="str">
            <v>×</v>
          </cell>
          <cell r="P7">
            <v>30</v>
          </cell>
          <cell r="Q7">
            <v>1</v>
          </cell>
          <cell r="R7">
            <v>2</v>
          </cell>
          <cell r="S7">
            <v>2</v>
          </cell>
          <cell r="T7" t="str">
            <v>×</v>
          </cell>
        </row>
        <row r="8">
          <cell r="B8">
            <v>2</v>
          </cell>
          <cell r="C8" t="str">
            <v>名古屋</v>
          </cell>
          <cell r="D8" t="str">
            <v>一宮市</v>
          </cell>
          <cell r="E8" t="str">
            <v>東横INN名古屋尾張一宮駅前</v>
          </cell>
          <cell r="F8" t="str">
            <v>愛知県一宮市栄4-4-10</v>
          </cell>
          <cell r="G8" t="str">
            <v>選手・役員または技術役員</v>
          </cell>
          <cell r="H8" t="str">
            <v>不可</v>
          </cell>
          <cell r="I8" t="str">
            <v>不可</v>
          </cell>
          <cell r="J8">
            <v>116</v>
          </cell>
          <cell r="K8">
            <v>70</v>
          </cell>
          <cell r="L8">
            <v>0.60344827586206895</v>
          </cell>
          <cell r="M8" t="str">
            <v>○</v>
          </cell>
          <cell r="N8" t="str">
            <v>×</v>
          </cell>
          <cell r="O8" t="str">
            <v>×</v>
          </cell>
          <cell r="P8">
            <v>15</v>
          </cell>
          <cell r="Q8">
            <v>0</v>
          </cell>
          <cell r="R8">
            <v>0</v>
          </cell>
          <cell r="S8">
            <v>0</v>
          </cell>
          <cell r="T8" t="str">
            <v>×</v>
          </cell>
        </row>
        <row r="9">
          <cell r="B9">
            <v>4</v>
          </cell>
          <cell r="C9" t="str">
            <v>名古屋</v>
          </cell>
          <cell r="D9" t="str">
            <v>一宮市</v>
          </cell>
          <cell r="E9" t="str">
            <v>ホテル　ルートイン一宮駅前</v>
          </cell>
          <cell r="F9" t="str">
            <v>愛知県一宮市新生1-2-11</v>
          </cell>
          <cell r="G9" t="str">
            <v>選手・役員または技術役員</v>
          </cell>
          <cell r="H9" t="str">
            <v>不可</v>
          </cell>
          <cell r="I9" t="str">
            <v>不可</v>
          </cell>
          <cell r="J9">
            <v>149</v>
          </cell>
          <cell r="K9">
            <v>75</v>
          </cell>
          <cell r="L9">
            <v>0.50335570469798663</v>
          </cell>
          <cell r="M9" t="str">
            <v>○</v>
          </cell>
          <cell r="N9" t="str">
            <v>×</v>
          </cell>
          <cell r="O9" t="str">
            <v>×</v>
          </cell>
          <cell r="P9">
            <v>43</v>
          </cell>
          <cell r="Q9">
            <v>0</v>
          </cell>
          <cell r="R9">
            <v>0</v>
          </cell>
          <cell r="S9">
            <v>0</v>
          </cell>
          <cell r="T9" t="str">
            <v>×</v>
          </cell>
        </row>
        <row r="10">
          <cell r="B10">
            <v>5</v>
          </cell>
          <cell r="C10" t="str">
            <v>名古屋</v>
          </cell>
          <cell r="D10" t="str">
            <v>一宮市</v>
          </cell>
          <cell r="E10" t="str">
            <v>シルクホテル</v>
          </cell>
          <cell r="F10" t="str">
            <v>愛知県一宮市新生2-5-32</v>
          </cell>
          <cell r="G10" t="str">
            <v>その他 ※1</v>
          </cell>
          <cell r="H10" t="str">
            <v>不可</v>
          </cell>
          <cell r="I10" t="str">
            <v>不可</v>
          </cell>
          <cell r="J10">
            <v>66</v>
          </cell>
          <cell r="K10">
            <v>20</v>
          </cell>
          <cell r="L10">
            <v>0.30303030303030304</v>
          </cell>
          <cell r="M10" t="str">
            <v>○</v>
          </cell>
          <cell r="N10" t="str">
            <v>×</v>
          </cell>
          <cell r="O10" t="str">
            <v>○</v>
          </cell>
          <cell r="P10">
            <v>35</v>
          </cell>
          <cell r="Q10">
            <v>0</v>
          </cell>
          <cell r="R10">
            <v>0</v>
          </cell>
          <cell r="S10">
            <v>0</v>
          </cell>
          <cell r="T10" t="str">
            <v>×</v>
          </cell>
        </row>
        <row r="11">
          <cell r="B11">
            <v>7</v>
          </cell>
          <cell r="C11" t="str">
            <v>名古屋</v>
          </cell>
          <cell r="D11" t="str">
            <v>一宮市</v>
          </cell>
          <cell r="E11" t="str">
            <v>一宮グリーンホテル</v>
          </cell>
          <cell r="F11" t="str">
            <v>愛知県一宮市栄1-6-1</v>
          </cell>
          <cell r="G11" t="str">
            <v>選手・役員または技術役員</v>
          </cell>
          <cell r="H11" t="str">
            <v>不可</v>
          </cell>
          <cell r="I11" t="str">
            <v>不可</v>
          </cell>
          <cell r="J11">
            <v>44</v>
          </cell>
          <cell r="K11">
            <v>44</v>
          </cell>
          <cell r="L11">
            <v>1</v>
          </cell>
          <cell r="M11" t="str">
            <v>○</v>
          </cell>
          <cell r="N11" t="str">
            <v>○</v>
          </cell>
          <cell r="O11" t="str">
            <v>○</v>
          </cell>
          <cell r="P11">
            <v>50</v>
          </cell>
          <cell r="Q11">
            <v>1</v>
          </cell>
          <cell r="R11">
            <v>1</v>
          </cell>
          <cell r="S11">
            <v>1</v>
          </cell>
          <cell r="T11" t="str">
            <v>×</v>
          </cell>
        </row>
        <row r="12">
          <cell r="B12">
            <v>8</v>
          </cell>
          <cell r="C12" t="str">
            <v>名古屋</v>
          </cell>
          <cell r="D12" t="str">
            <v>春日井市</v>
          </cell>
          <cell r="E12" t="str">
            <v>ホテルプラザ勝川</v>
          </cell>
          <cell r="F12" t="str">
            <v>愛知県春日井市松新町1-5</v>
          </cell>
          <cell r="G12" t="str">
            <v>選手・役員</v>
          </cell>
          <cell r="H12" t="str">
            <v>不可</v>
          </cell>
          <cell r="I12" t="str">
            <v>可</v>
          </cell>
          <cell r="J12">
            <v>90</v>
          </cell>
          <cell r="K12">
            <v>66</v>
          </cell>
          <cell r="L12">
            <v>0.73333333333333328</v>
          </cell>
          <cell r="M12" t="str">
            <v>○</v>
          </cell>
          <cell r="N12" t="str">
            <v>○</v>
          </cell>
          <cell r="O12" t="str">
            <v>○</v>
          </cell>
          <cell r="P12">
            <v>50</v>
          </cell>
          <cell r="Q12">
            <v>4</v>
          </cell>
          <cell r="R12">
            <v>10</v>
          </cell>
          <cell r="S12">
            <v>10</v>
          </cell>
          <cell r="T12" t="str">
            <v>○</v>
          </cell>
        </row>
        <row r="13">
          <cell r="B13">
            <v>9</v>
          </cell>
          <cell r="C13" t="str">
            <v>名古屋</v>
          </cell>
          <cell r="D13" t="str">
            <v>春日井市</v>
          </cell>
          <cell r="E13" t="str">
            <v>ホテルテトラ春日井ステーションホテル</v>
          </cell>
          <cell r="F13" t="str">
            <v>愛知県春日井市上条町1-201</v>
          </cell>
          <cell r="G13" t="str">
            <v>その他 ※1</v>
          </cell>
          <cell r="H13" t="str">
            <v>不可</v>
          </cell>
          <cell r="I13" t="str">
            <v>可</v>
          </cell>
          <cell r="J13">
            <v>56</v>
          </cell>
          <cell r="K13">
            <v>35</v>
          </cell>
          <cell r="L13">
            <v>0.625</v>
          </cell>
          <cell r="M13" t="str">
            <v>○</v>
          </cell>
          <cell r="N13" t="str">
            <v>×</v>
          </cell>
          <cell r="O13" t="str">
            <v>×</v>
          </cell>
          <cell r="P13">
            <v>20</v>
          </cell>
          <cell r="Q13">
            <v>0</v>
          </cell>
          <cell r="R13">
            <v>0</v>
          </cell>
          <cell r="S13">
            <v>0</v>
          </cell>
          <cell r="T13" t="str">
            <v>×</v>
          </cell>
        </row>
        <row r="14">
          <cell r="B14">
            <v>10</v>
          </cell>
          <cell r="C14" t="str">
            <v>名古屋</v>
          </cell>
          <cell r="D14" t="str">
            <v>春日井市</v>
          </cell>
          <cell r="E14" t="str">
            <v>春日井中央ホテル</v>
          </cell>
          <cell r="F14" t="str">
            <v>愛知県春日井市中央通1-71</v>
          </cell>
          <cell r="G14" t="str">
            <v>選手・役員または技術役員</v>
          </cell>
          <cell r="H14" t="str">
            <v>不可</v>
          </cell>
          <cell r="I14" t="str">
            <v>可</v>
          </cell>
          <cell r="J14">
            <v>77</v>
          </cell>
          <cell r="K14">
            <v>53</v>
          </cell>
          <cell r="L14">
            <v>0.68831168831168832</v>
          </cell>
          <cell r="M14" t="str">
            <v>○</v>
          </cell>
          <cell r="N14" t="str">
            <v>×</v>
          </cell>
          <cell r="O14" t="str">
            <v>×</v>
          </cell>
          <cell r="P14">
            <v>30</v>
          </cell>
          <cell r="Q14">
            <v>0</v>
          </cell>
          <cell r="R14">
            <v>0</v>
          </cell>
          <cell r="S14">
            <v>0</v>
          </cell>
          <cell r="T14" t="str">
            <v>×</v>
          </cell>
        </row>
        <row r="15">
          <cell r="B15">
            <v>11</v>
          </cell>
          <cell r="C15" t="str">
            <v>名古屋</v>
          </cell>
          <cell r="D15" t="str">
            <v>小牧市</v>
          </cell>
          <cell r="E15" t="str">
            <v>ビジネスホテルキャッスルイン小牧</v>
          </cell>
          <cell r="F15" t="str">
            <v>愛知県小牧市曙町127</v>
          </cell>
          <cell r="G15" t="str">
            <v>選手・役員または技術役員</v>
          </cell>
          <cell r="H15" t="str">
            <v>不可</v>
          </cell>
          <cell r="I15" t="str">
            <v>可</v>
          </cell>
          <cell r="J15">
            <v>101</v>
          </cell>
          <cell r="K15">
            <v>39</v>
          </cell>
          <cell r="L15">
            <v>0.38613861386138615</v>
          </cell>
          <cell r="M15" t="str">
            <v>○</v>
          </cell>
          <cell r="N15" t="str">
            <v>×</v>
          </cell>
          <cell r="O15" t="str">
            <v>○</v>
          </cell>
          <cell r="P15">
            <v>145</v>
          </cell>
          <cell r="Q15">
            <v>1</v>
          </cell>
          <cell r="R15">
            <v>0</v>
          </cell>
          <cell r="S15">
            <v>0</v>
          </cell>
          <cell r="T15" t="str">
            <v>○</v>
          </cell>
        </row>
        <row r="16">
          <cell r="B16">
            <v>12</v>
          </cell>
          <cell r="C16" t="str">
            <v>名古屋</v>
          </cell>
          <cell r="D16" t="str">
            <v>小牧市</v>
          </cell>
          <cell r="E16" t="str">
            <v>ルートイングランティア小牧</v>
          </cell>
          <cell r="F16" t="str">
            <v>愛知県小牧市新小木2-33</v>
          </cell>
          <cell r="G16" t="str">
            <v>その他 ※1</v>
          </cell>
          <cell r="H16" t="str">
            <v>不可</v>
          </cell>
          <cell r="I16" t="str">
            <v>可</v>
          </cell>
          <cell r="J16">
            <v>224</v>
          </cell>
          <cell r="K16">
            <v>150</v>
          </cell>
          <cell r="L16">
            <v>0.6696428571428571</v>
          </cell>
          <cell r="M16" t="str">
            <v>○</v>
          </cell>
          <cell r="N16" t="str">
            <v>×</v>
          </cell>
          <cell r="O16" t="str">
            <v>○</v>
          </cell>
          <cell r="P16">
            <v>82</v>
          </cell>
          <cell r="Q16">
            <v>2</v>
          </cell>
          <cell r="R16">
            <v>7</v>
          </cell>
          <cell r="S16">
            <v>7</v>
          </cell>
          <cell r="T16" t="str">
            <v>○</v>
          </cell>
        </row>
        <row r="17">
          <cell r="B17">
            <v>13</v>
          </cell>
          <cell r="C17" t="str">
            <v>名古屋</v>
          </cell>
          <cell r="D17" t="str">
            <v>小牧市</v>
          </cell>
          <cell r="E17" t="str">
            <v>小牧セントラルホテル</v>
          </cell>
          <cell r="F17" t="str">
            <v>愛知県小牧市外山730</v>
          </cell>
          <cell r="G17" t="str">
            <v>技術役員（TD/ITO/NTO）</v>
          </cell>
          <cell r="H17" t="str">
            <v>不可</v>
          </cell>
          <cell r="I17" t="str">
            <v>可</v>
          </cell>
          <cell r="J17">
            <v>103</v>
          </cell>
          <cell r="K17">
            <v>30</v>
          </cell>
          <cell r="L17">
            <v>0.29126213592233008</v>
          </cell>
          <cell r="M17" t="str">
            <v>○</v>
          </cell>
          <cell r="N17" t="str">
            <v>×</v>
          </cell>
          <cell r="O17" t="str">
            <v>×</v>
          </cell>
          <cell r="P17">
            <v>35</v>
          </cell>
          <cell r="Q17">
            <v>0</v>
          </cell>
          <cell r="R17">
            <v>1</v>
          </cell>
          <cell r="S17">
            <v>1</v>
          </cell>
          <cell r="T17" t="str">
            <v>○</v>
          </cell>
        </row>
        <row r="18">
          <cell r="B18">
            <v>15</v>
          </cell>
          <cell r="C18" t="str">
            <v>名古屋</v>
          </cell>
          <cell r="D18" t="str">
            <v>小牧市</v>
          </cell>
          <cell r="E18" t="str">
            <v>名鉄小牧ホテル</v>
          </cell>
          <cell r="F18" t="str">
            <v>愛知県小牧市中央1-260</v>
          </cell>
          <cell r="G18" t="str">
            <v>選手・役員または技術役員</v>
          </cell>
          <cell r="H18" t="str">
            <v>不可</v>
          </cell>
          <cell r="I18" t="str">
            <v>可</v>
          </cell>
          <cell r="J18">
            <v>73</v>
          </cell>
          <cell r="K18">
            <v>54</v>
          </cell>
          <cell r="L18">
            <v>0.73972602739726023</v>
          </cell>
          <cell r="M18" t="str">
            <v>○</v>
          </cell>
          <cell r="N18" t="str">
            <v>○</v>
          </cell>
          <cell r="O18" t="str">
            <v>○</v>
          </cell>
          <cell r="P18">
            <v>59</v>
          </cell>
          <cell r="Q18">
            <v>1</v>
          </cell>
          <cell r="R18">
            <v>7</v>
          </cell>
          <cell r="S18">
            <v>3</v>
          </cell>
          <cell r="T18" t="str">
            <v>×</v>
          </cell>
        </row>
        <row r="19">
          <cell r="B19">
            <v>19</v>
          </cell>
          <cell r="C19" t="str">
            <v>名古屋</v>
          </cell>
          <cell r="D19" t="str">
            <v>大府市</v>
          </cell>
          <cell r="E19" t="str">
            <v>アズイン大府</v>
          </cell>
          <cell r="F19" t="str">
            <v>愛知県大府市中央町3-96-1</v>
          </cell>
          <cell r="G19" t="str">
            <v>その他 ※1</v>
          </cell>
          <cell r="H19" t="str">
            <v>不可</v>
          </cell>
          <cell r="I19" t="str">
            <v>可</v>
          </cell>
          <cell r="J19">
            <v>125</v>
          </cell>
          <cell r="K19">
            <v>70</v>
          </cell>
          <cell r="L19">
            <v>0.56000000000000005</v>
          </cell>
          <cell r="M19" t="str">
            <v>○</v>
          </cell>
          <cell r="N19" t="str">
            <v>×</v>
          </cell>
          <cell r="O19" t="str">
            <v>×</v>
          </cell>
          <cell r="P19">
            <v>32</v>
          </cell>
          <cell r="Q19">
            <v>0</v>
          </cell>
          <cell r="R19">
            <v>0</v>
          </cell>
          <cell r="S19">
            <v>0</v>
          </cell>
          <cell r="T19" t="str">
            <v>×</v>
          </cell>
        </row>
        <row r="20">
          <cell r="B20">
            <v>298</v>
          </cell>
          <cell r="C20" t="str">
            <v>知多</v>
          </cell>
          <cell r="D20" t="str">
            <v>常滑市</v>
          </cell>
          <cell r="E20" t="str">
            <v>フォーポイント　バイ　シェラトン名古屋　中部国際空港</v>
          </cell>
          <cell r="F20" t="str">
            <v>愛知県常滑市セントレア4-10-5</v>
          </cell>
          <cell r="G20" t="str">
            <v>選手・役員または技術役員</v>
          </cell>
          <cell r="H20" t="str">
            <v>不可</v>
          </cell>
          <cell r="I20" t="str">
            <v>可</v>
          </cell>
          <cell r="J20">
            <v>319</v>
          </cell>
          <cell r="K20">
            <v>140</v>
          </cell>
          <cell r="L20">
            <v>0.43887147335423199</v>
          </cell>
          <cell r="M20" t="str">
            <v>○</v>
          </cell>
          <cell r="N20" t="str">
            <v>○</v>
          </cell>
          <cell r="O20" t="str">
            <v>○</v>
          </cell>
          <cell r="P20">
            <v>140</v>
          </cell>
          <cell r="Q20">
            <v>2</v>
          </cell>
          <cell r="R20">
            <v>1</v>
          </cell>
          <cell r="S20" t="str">
            <v>提供未定</v>
          </cell>
          <cell r="T20" t="str">
            <v>○</v>
          </cell>
        </row>
        <row r="21">
          <cell r="B21">
            <v>21</v>
          </cell>
          <cell r="C21" t="str">
            <v>名古屋</v>
          </cell>
          <cell r="D21" t="str">
            <v>名古屋市</v>
          </cell>
          <cell r="E21" t="str">
            <v>公立学校共済組合　名古屋宿泊所　ホテルルブラ王山</v>
          </cell>
          <cell r="F21" t="str">
            <v>愛知県名古屋市千種区覚王山通8-18</v>
          </cell>
          <cell r="G21" t="str">
            <v>技術役員（TD/ITO/NTO）</v>
          </cell>
          <cell r="H21" t="str">
            <v>可</v>
          </cell>
          <cell r="I21" t="str">
            <v>可</v>
          </cell>
          <cell r="J21">
            <v>56</v>
          </cell>
          <cell r="K21">
            <v>56</v>
          </cell>
          <cell r="L21">
            <v>1</v>
          </cell>
          <cell r="M21" t="str">
            <v>○</v>
          </cell>
          <cell r="N21" t="str">
            <v>○</v>
          </cell>
          <cell r="O21" t="str">
            <v>○</v>
          </cell>
          <cell r="P21">
            <v>60</v>
          </cell>
          <cell r="Q21">
            <v>3</v>
          </cell>
          <cell r="R21">
            <v>15</v>
          </cell>
          <cell r="S21">
            <v>15</v>
          </cell>
          <cell r="T21" t="str">
            <v>×</v>
          </cell>
        </row>
        <row r="22">
          <cell r="B22">
            <v>22</v>
          </cell>
          <cell r="C22" t="str">
            <v>名古屋</v>
          </cell>
          <cell r="D22" t="str">
            <v>名古屋市</v>
          </cell>
          <cell r="E22" t="str">
            <v>ホテルルートイン　名古屋今池駅前</v>
          </cell>
          <cell r="F22" t="str">
            <v>愛知県名古屋市千種区内山3-31-7</v>
          </cell>
          <cell r="G22" t="str">
            <v>技術役員（TD/ITO/NTO）</v>
          </cell>
          <cell r="H22" t="str">
            <v>不可</v>
          </cell>
          <cell r="I22" t="str">
            <v>可</v>
          </cell>
          <cell r="J22">
            <v>262</v>
          </cell>
          <cell r="K22">
            <v>121</v>
          </cell>
          <cell r="L22">
            <v>0.46183206106870228</v>
          </cell>
          <cell r="M22" t="str">
            <v>○</v>
          </cell>
          <cell r="N22" t="str">
            <v>×</v>
          </cell>
          <cell r="O22" t="str">
            <v>×</v>
          </cell>
          <cell r="P22">
            <v>82</v>
          </cell>
          <cell r="Q22">
            <v>0</v>
          </cell>
          <cell r="R22">
            <v>0</v>
          </cell>
          <cell r="S22">
            <v>0</v>
          </cell>
          <cell r="T22" t="str">
            <v>×</v>
          </cell>
        </row>
        <row r="23">
          <cell r="B23">
            <v>23</v>
          </cell>
          <cell r="C23" t="str">
            <v>名古屋</v>
          </cell>
          <cell r="D23" t="str">
            <v>名古屋市</v>
          </cell>
          <cell r="E23" t="str">
            <v>第二富士ホテル</v>
          </cell>
          <cell r="F23" t="str">
            <v>愛知県名古屋市東区東桜2-10-24</v>
          </cell>
          <cell r="G23" t="str">
            <v>メディア</v>
          </cell>
          <cell r="H23" t="str">
            <v>不可</v>
          </cell>
          <cell r="I23" t="str">
            <v>可</v>
          </cell>
          <cell r="J23">
            <v>153</v>
          </cell>
          <cell r="K23">
            <v>65</v>
          </cell>
          <cell r="L23">
            <v>0.42483660130718953</v>
          </cell>
          <cell r="M23" t="str">
            <v>○</v>
          </cell>
          <cell r="N23" t="str">
            <v>×</v>
          </cell>
          <cell r="O23" t="str">
            <v>×</v>
          </cell>
          <cell r="P23">
            <v>26</v>
          </cell>
          <cell r="Q23">
            <v>0</v>
          </cell>
          <cell r="R23">
            <v>3</v>
          </cell>
          <cell r="S23">
            <v>3</v>
          </cell>
          <cell r="T23" t="str">
            <v>×</v>
          </cell>
        </row>
        <row r="24">
          <cell r="B24">
            <v>25</v>
          </cell>
          <cell r="C24" t="str">
            <v>名古屋</v>
          </cell>
          <cell r="D24" t="str">
            <v>名古屋市</v>
          </cell>
          <cell r="E24" t="str">
            <v>くれたけイン名古屋久屋大通</v>
          </cell>
          <cell r="F24" t="str">
            <v>愛知県名古屋市東区泉1丁目12-32</v>
          </cell>
          <cell r="G24" t="str">
            <v>メディア</v>
          </cell>
          <cell r="H24" t="str">
            <v>不可</v>
          </cell>
          <cell r="I24" t="str">
            <v>可</v>
          </cell>
          <cell r="J24">
            <v>229</v>
          </cell>
          <cell r="K24">
            <v>80</v>
          </cell>
          <cell r="L24">
            <v>0.34934497816593885</v>
          </cell>
          <cell r="M24" t="str">
            <v>○</v>
          </cell>
          <cell r="N24" t="str">
            <v>×</v>
          </cell>
          <cell r="O24" t="str">
            <v>×</v>
          </cell>
          <cell r="P24">
            <v>55</v>
          </cell>
          <cell r="Q24">
            <v>0</v>
          </cell>
          <cell r="R24">
            <v>0</v>
          </cell>
          <cell r="S24">
            <v>0</v>
          </cell>
          <cell r="T24" t="str">
            <v>×</v>
          </cell>
        </row>
        <row r="25">
          <cell r="B25">
            <v>26</v>
          </cell>
          <cell r="C25" t="str">
            <v>名古屋</v>
          </cell>
          <cell r="D25" t="str">
            <v>名古屋市</v>
          </cell>
          <cell r="E25" t="str">
            <v>名鉄イン名古屋駅前</v>
          </cell>
          <cell r="F25" t="str">
            <v>愛知県名古屋市西区名駅2丁目21-12</v>
          </cell>
          <cell r="G25" t="str">
            <v>メディア</v>
          </cell>
          <cell r="H25" t="str">
            <v>不可</v>
          </cell>
          <cell r="I25" t="str">
            <v>可</v>
          </cell>
          <cell r="J25">
            <v>285</v>
          </cell>
          <cell r="K25">
            <v>70</v>
          </cell>
          <cell r="L25">
            <v>0.24561403508771928</v>
          </cell>
          <cell r="M25" t="str">
            <v>○</v>
          </cell>
          <cell r="N25" t="str">
            <v>×</v>
          </cell>
          <cell r="O25" t="str">
            <v>×</v>
          </cell>
          <cell r="P25">
            <v>45</v>
          </cell>
          <cell r="Q25">
            <v>0</v>
          </cell>
          <cell r="R25">
            <v>0</v>
          </cell>
          <cell r="S25">
            <v>0</v>
          </cell>
          <cell r="T25" t="str">
            <v>×</v>
          </cell>
        </row>
        <row r="26">
          <cell r="B26">
            <v>27</v>
          </cell>
          <cell r="C26" t="str">
            <v>名古屋</v>
          </cell>
          <cell r="D26" t="str">
            <v>名古屋市</v>
          </cell>
          <cell r="E26" t="str">
            <v>HOTEL LiVEMAX名古屋桜通口</v>
          </cell>
          <cell r="F26" t="str">
            <v>愛知県名古屋市西区那古野2-26-4</v>
          </cell>
          <cell r="G26" t="str">
            <v>メディア</v>
          </cell>
          <cell r="H26" t="str">
            <v>可</v>
          </cell>
          <cell r="I26" t="str">
            <v>可</v>
          </cell>
          <cell r="J26">
            <v>94</v>
          </cell>
          <cell r="K26">
            <v>94</v>
          </cell>
          <cell r="L26">
            <v>1</v>
          </cell>
          <cell r="M26" t="str">
            <v>○</v>
          </cell>
          <cell r="N26" t="str">
            <v>○</v>
          </cell>
          <cell r="O26" t="str">
            <v>○</v>
          </cell>
          <cell r="P26">
            <v>51</v>
          </cell>
          <cell r="Q26">
            <v>0</v>
          </cell>
          <cell r="R26">
            <v>0</v>
          </cell>
          <cell r="S26">
            <v>0</v>
          </cell>
          <cell r="T26" t="str">
            <v>×</v>
          </cell>
        </row>
        <row r="27">
          <cell r="B27">
            <v>28</v>
          </cell>
          <cell r="C27" t="str">
            <v>名古屋</v>
          </cell>
          <cell r="D27" t="str">
            <v>名古屋市</v>
          </cell>
          <cell r="E27" t="str">
            <v>第一富士ホテル</v>
          </cell>
          <cell r="F27" t="str">
            <v>愛知県名古屋市中村区椿町13-17</v>
          </cell>
          <cell r="G27" t="str">
            <v>その他 ※1</v>
          </cell>
          <cell r="H27" t="str">
            <v>不可</v>
          </cell>
          <cell r="I27" t="str">
            <v>可</v>
          </cell>
          <cell r="J27">
            <v>179</v>
          </cell>
          <cell r="K27">
            <v>74</v>
          </cell>
          <cell r="L27">
            <v>0.41340782122905029</v>
          </cell>
          <cell r="M27" t="str">
            <v>○</v>
          </cell>
          <cell r="N27" t="str">
            <v>×</v>
          </cell>
          <cell r="O27" t="str">
            <v>×</v>
          </cell>
          <cell r="P27">
            <v>25</v>
          </cell>
          <cell r="Q27">
            <v>1</v>
          </cell>
          <cell r="R27">
            <v>0</v>
          </cell>
          <cell r="S27">
            <v>0</v>
          </cell>
          <cell r="T27" t="str">
            <v>×</v>
          </cell>
        </row>
        <row r="28">
          <cell r="B28">
            <v>32</v>
          </cell>
          <cell r="C28" t="str">
            <v>名古屋</v>
          </cell>
          <cell r="D28" t="str">
            <v>名古屋市</v>
          </cell>
          <cell r="E28" t="str">
            <v>ビジネスホテル第三スター名古屋</v>
          </cell>
          <cell r="F28" t="str">
            <v>愛知県名古屋市中村区椿町11-4</v>
          </cell>
          <cell r="G28" t="str">
            <v>その他 ※1</v>
          </cell>
          <cell r="H28" t="str">
            <v>不可</v>
          </cell>
          <cell r="I28" t="str">
            <v>不可</v>
          </cell>
          <cell r="J28">
            <v>96</v>
          </cell>
          <cell r="K28">
            <v>15</v>
          </cell>
          <cell r="L28">
            <v>0.15625</v>
          </cell>
          <cell r="M28" t="str">
            <v>×</v>
          </cell>
          <cell r="N28" t="str">
            <v>×</v>
          </cell>
          <cell r="O28" t="str">
            <v>×</v>
          </cell>
          <cell r="P28">
            <v>0</v>
          </cell>
          <cell r="Q28">
            <v>0</v>
          </cell>
          <cell r="R28">
            <v>0</v>
          </cell>
          <cell r="S28">
            <v>0</v>
          </cell>
          <cell r="T28" t="str">
            <v>×</v>
          </cell>
        </row>
        <row r="29">
          <cell r="B29">
            <v>34</v>
          </cell>
          <cell r="C29" t="str">
            <v>名古屋</v>
          </cell>
          <cell r="D29" t="str">
            <v>名古屋市</v>
          </cell>
          <cell r="E29" t="str">
            <v>ホテルサンルートプラザ名古屋</v>
          </cell>
          <cell r="F29" t="str">
            <v>愛知県名古屋市中村区名駅2-35-24</v>
          </cell>
          <cell r="G29" t="str">
            <v>NOC</v>
          </cell>
          <cell r="H29" t="str">
            <v>不可</v>
          </cell>
          <cell r="I29" t="str">
            <v>不可</v>
          </cell>
          <cell r="J29">
            <v>271</v>
          </cell>
          <cell r="K29">
            <v>120</v>
          </cell>
          <cell r="L29">
            <v>0.44280442804428044</v>
          </cell>
          <cell r="M29" t="str">
            <v>○</v>
          </cell>
          <cell r="N29" t="str">
            <v>○</v>
          </cell>
          <cell r="O29" t="str">
            <v>○</v>
          </cell>
          <cell r="P29">
            <v>112</v>
          </cell>
          <cell r="Q29">
            <v>0</v>
          </cell>
          <cell r="R29">
            <v>6</v>
          </cell>
          <cell r="S29">
            <v>6</v>
          </cell>
          <cell r="T29" t="str">
            <v>×</v>
          </cell>
        </row>
        <row r="30">
          <cell r="B30">
            <v>35</v>
          </cell>
          <cell r="C30" t="str">
            <v>名古屋</v>
          </cell>
          <cell r="D30" t="str">
            <v>名古屋市</v>
          </cell>
          <cell r="E30" t="str">
            <v>Station in Nagoya</v>
          </cell>
          <cell r="F30" t="str">
            <v>愛知県名古屋市中村区名駅3-11-18</v>
          </cell>
          <cell r="G30" t="str">
            <v>メディア</v>
          </cell>
          <cell r="H30" t="str">
            <v>可</v>
          </cell>
          <cell r="I30" t="str">
            <v>可</v>
          </cell>
          <cell r="J30">
            <v>37</v>
          </cell>
          <cell r="K30">
            <v>37</v>
          </cell>
          <cell r="L30">
            <v>1</v>
          </cell>
          <cell r="M30" t="str">
            <v>×</v>
          </cell>
          <cell r="N30" t="str">
            <v>×</v>
          </cell>
          <cell r="O30" t="str">
            <v>×</v>
          </cell>
          <cell r="P30">
            <v>20</v>
          </cell>
          <cell r="Q30">
            <v>0</v>
          </cell>
          <cell r="R30">
            <v>1</v>
          </cell>
          <cell r="S30">
            <v>1</v>
          </cell>
          <cell r="T30" t="str">
            <v>×</v>
          </cell>
        </row>
        <row r="31">
          <cell r="B31">
            <v>38</v>
          </cell>
          <cell r="C31" t="str">
            <v>名古屋</v>
          </cell>
          <cell r="D31" t="str">
            <v>名古屋市</v>
          </cell>
          <cell r="E31" t="str">
            <v>東横INN名古屋駅桜通口本館</v>
          </cell>
          <cell r="F31" t="str">
            <v>愛知県名古屋市中村区名駅3-16-1</v>
          </cell>
          <cell r="G31" t="str">
            <v>メディア</v>
          </cell>
          <cell r="H31" t="str">
            <v>不可</v>
          </cell>
          <cell r="I31" t="str">
            <v>可</v>
          </cell>
          <cell r="J31">
            <v>102</v>
          </cell>
          <cell r="K31">
            <v>49</v>
          </cell>
          <cell r="L31">
            <v>0.48039215686274511</v>
          </cell>
          <cell r="M31" t="str">
            <v>○</v>
          </cell>
          <cell r="N31" t="str">
            <v>×</v>
          </cell>
          <cell r="O31" t="str">
            <v>×</v>
          </cell>
          <cell r="P31">
            <v>28</v>
          </cell>
          <cell r="Q31">
            <v>0</v>
          </cell>
          <cell r="R31">
            <v>0</v>
          </cell>
          <cell r="S31">
            <v>0</v>
          </cell>
          <cell r="T31" t="str">
            <v>×</v>
          </cell>
        </row>
        <row r="32">
          <cell r="B32">
            <v>39</v>
          </cell>
          <cell r="C32" t="str">
            <v>名古屋</v>
          </cell>
          <cell r="D32" t="str">
            <v>名古屋市</v>
          </cell>
          <cell r="E32" t="str">
            <v>ザサイプレスメルキュールホテル名古屋</v>
          </cell>
          <cell r="F32" t="str">
            <v>愛知県名古屋市中村区名駅2-43-6</v>
          </cell>
          <cell r="G32" t="str">
            <v>IF/AF</v>
          </cell>
          <cell r="H32" t="str">
            <v>可</v>
          </cell>
          <cell r="I32" t="str">
            <v>可</v>
          </cell>
          <cell r="J32">
            <v>115</v>
          </cell>
          <cell r="K32">
            <v>115</v>
          </cell>
          <cell r="L32">
            <v>1</v>
          </cell>
          <cell r="M32" t="str">
            <v>○</v>
          </cell>
          <cell r="N32" t="str">
            <v>○</v>
          </cell>
          <cell r="O32" t="str">
            <v>○</v>
          </cell>
          <cell r="P32">
            <v>52</v>
          </cell>
          <cell r="Q32">
            <v>2</v>
          </cell>
          <cell r="R32">
            <v>3</v>
          </cell>
          <cell r="S32">
            <v>3</v>
          </cell>
          <cell r="T32" t="str">
            <v>×</v>
          </cell>
        </row>
        <row r="33">
          <cell r="B33">
            <v>40</v>
          </cell>
          <cell r="C33" t="str">
            <v>名古屋</v>
          </cell>
          <cell r="D33" t="str">
            <v>名古屋市</v>
          </cell>
          <cell r="E33" t="str">
            <v>名古屋マリオットアソシアホテル</v>
          </cell>
          <cell r="F33" t="str">
            <v>愛知県名古屋市中村区名駅1-1-4</v>
          </cell>
          <cell r="G33" t="str">
            <v>OCAファミリー・スポンサー</v>
          </cell>
          <cell r="H33" t="str">
            <v>不可</v>
          </cell>
          <cell r="I33" t="str">
            <v>可</v>
          </cell>
          <cell r="J33">
            <v>766</v>
          </cell>
          <cell r="K33">
            <v>350</v>
          </cell>
          <cell r="L33">
            <v>0.45691906005221933</v>
          </cell>
          <cell r="M33" t="str">
            <v>○</v>
          </cell>
          <cell r="N33" t="str">
            <v>○</v>
          </cell>
          <cell r="O33" t="str">
            <v>○</v>
          </cell>
          <cell r="P33">
            <v>160</v>
          </cell>
          <cell r="Q33">
            <v>8</v>
          </cell>
          <cell r="R33">
            <v>25</v>
          </cell>
          <cell r="S33">
            <v>7</v>
          </cell>
          <cell r="T33" t="str">
            <v>○</v>
          </cell>
        </row>
        <row r="34">
          <cell r="B34">
            <v>41</v>
          </cell>
          <cell r="C34" t="str">
            <v>名古屋</v>
          </cell>
          <cell r="D34" t="str">
            <v>名古屋市</v>
          </cell>
          <cell r="E34" t="str">
            <v>三交イン名古屋新幹線口</v>
          </cell>
          <cell r="F34" t="str">
            <v>愛知県名古屋市中村区椿町7-23</v>
          </cell>
          <cell r="G34" t="str">
            <v>メディア</v>
          </cell>
          <cell r="H34" t="str">
            <v>不可</v>
          </cell>
          <cell r="I34" t="str">
            <v>不可</v>
          </cell>
          <cell r="J34">
            <v>195</v>
          </cell>
          <cell r="K34">
            <v>70</v>
          </cell>
          <cell r="L34">
            <v>0.35897435897435898</v>
          </cell>
          <cell r="M34" t="str">
            <v>○</v>
          </cell>
          <cell r="N34" t="str">
            <v>×</v>
          </cell>
          <cell r="O34" t="str">
            <v>×</v>
          </cell>
          <cell r="P34">
            <v>26</v>
          </cell>
          <cell r="Q34">
            <v>0</v>
          </cell>
          <cell r="R34">
            <v>0</v>
          </cell>
          <cell r="S34">
            <v>0</v>
          </cell>
          <cell r="T34" t="str">
            <v>×</v>
          </cell>
        </row>
        <row r="35">
          <cell r="B35">
            <v>42</v>
          </cell>
          <cell r="C35" t="str">
            <v>名古屋</v>
          </cell>
          <cell r="D35" t="str">
            <v>名古屋市</v>
          </cell>
          <cell r="E35" t="str">
            <v>スーパーホテル名古屋駅前</v>
          </cell>
          <cell r="F35" t="str">
            <v>愛知県名古屋市中村区亀島2-12-6</v>
          </cell>
          <cell r="G35" t="str">
            <v>メディア</v>
          </cell>
          <cell r="H35" t="str">
            <v>可</v>
          </cell>
          <cell r="I35" t="str">
            <v>可</v>
          </cell>
          <cell r="J35">
            <v>139</v>
          </cell>
          <cell r="K35">
            <v>95</v>
          </cell>
          <cell r="L35">
            <v>0.68345323741007191</v>
          </cell>
          <cell r="M35" t="str">
            <v>○</v>
          </cell>
          <cell r="N35" t="str">
            <v>×</v>
          </cell>
          <cell r="O35" t="str">
            <v>×</v>
          </cell>
          <cell r="P35">
            <v>57</v>
          </cell>
          <cell r="Q35">
            <v>0</v>
          </cell>
          <cell r="R35">
            <v>0</v>
          </cell>
          <cell r="S35">
            <v>0</v>
          </cell>
          <cell r="T35" t="str">
            <v>×</v>
          </cell>
        </row>
        <row r="36">
          <cell r="B36">
            <v>43</v>
          </cell>
          <cell r="C36" t="str">
            <v>名古屋</v>
          </cell>
          <cell r="D36" t="str">
            <v>名古屋市</v>
          </cell>
          <cell r="E36" t="str">
            <v>チサンイン名古屋</v>
          </cell>
          <cell r="F36" t="str">
            <v>愛知県名古屋市中村区則武1-12-8</v>
          </cell>
          <cell r="G36" t="str">
            <v>メディア</v>
          </cell>
          <cell r="H36" t="str">
            <v>不可</v>
          </cell>
          <cell r="I36" t="str">
            <v>可</v>
          </cell>
          <cell r="J36">
            <v>375</v>
          </cell>
          <cell r="K36">
            <v>212</v>
          </cell>
          <cell r="L36">
            <v>0.56533333333333335</v>
          </cell>
          <cell r="M36" t="str">
            <v>○</v>
          </cell>
          <cell r="N36" t="str">
            <v>×</v>
          </cell>
          <cell r="O36" t="str">
            <v>×</v>
          </cell>
          <cell r="P36">
            <v>90</v>
          </cell>
          <cell r="Q36">
            <v>1</v>
          </cell>
          <cell r="R36">
            <v>2</v>
          </cell>
          <cell r="S36" t="str">
            <v>提供未定</v>
          </cell>
          <cell r="T36" t="str">
            <v>×</v>
          </cell>
        </row>
        <row r="37">
          <cell r="B37">
            <v>44</v>
          </cell>
          <cell r="C37" t="str">
            <v>名古屋</v>
          </cell>
          <cell r="D37" t="str">
            <v>名古屋市</v>
          </cell>
          <cell r="E37" t="str">
            <v>ホテル パレス名古屋</v>
          </cell>
          <cell r="F37" t="str">
            <v>愛知県名古屋市中村区太閤3-10-6</v>
          </cell>
          <cell r="G37" t="str">
            <v>メディア</v>
          </cell>
          <cell r="H37" t="str">
            <v>不可</v>
          </cell>
          <cell r="I37" t="str">
            <v>可</v>
          </cell>
          <cell r="J37">
            <v>100</v>
          </cell>
          <cell r="K37">
            <v>65</v>
          </cell>
          <cell r="L37">
            <v>0.65</v>
          </cell>
          <cell r="M37" t="str">
            <v>○</v>
          </cell>
          <cell r="N37" t="str">
            <v>×</v>
          </cell>
          <cell r="O37" t="str">
            <v>×</v>
          </cell>
          <cell r="P37">
            <v>50</v>
          </cell>
          <cell r="Q37">
            <v>1</v>
          </cell>
          <cell r="R37">
            <v>1</v>
          </cell>
          <cell r="S37">
            <v>1</v>
          </cell>
          <cell r="T37" t="str">
            <v>○</v>
          </cell>
        </row>
        <row r="38">
          <cell r="B38">
            <v>45</v>
          </cell>
          <cell r="C38" t="str">
            <v>名古屋</v>
          </cell>
          <cell r="D38" t="str">
            <v>名古屋市</v>
          </cell>
          <cell r="E38" t="str">
            <v>名古屋フラワーホテル</v>
          </cell>
          <cell r="F38" t="str">
            <v>愛知県名古屋市中村区椿町15-4</v>
          </cell>
          <cell r="G38" t="str">
            <v>メディア</v>
          </cell>
          <cell r="H38" t="str">
            <v>不可</v>
          </cell>
          <cell r="I38" t="str">
            <v>可</v>
          </cell>
          <cell r="J38">
            <v>143</v>
          </cell>
          <cell r="K38">
            <v>102</v>
          </cell>
          <cell r="L38">
            <v>0.71328671328671334</v>
          </cell>
          <cell r="M38" t="str">
            <v>○</v>
          </cell>
          <cell r="N38" t="str">
            <v>×</v>
          </cell>
          <cell r="O38" t="str">
            <v>×</v>
          </cell>
          <cell r="P38">
            <v>45</v>
          </cell>
          <cell r="Q38">
            <v>1</v>
          </cell>
          <cell r="R38">
            <v>1</v>
          </cell>
          <cell r="S38">
            <v>1</v>
          </cell>
          <cell r="T38" t="str">
            <v>×</v>
          </cell>
        </row>
        <row r="39">
          <cell r="B39">
            <v>46</v>
          </cell>
          <cell r="C39" t="str">
            <v>名古屋</v>
          </cell>
          <cell r="D39" t="str">
            <v>名古屋市</v>
          </cell>
          <cell r="E39" t="str">
            <v>名古屋フラワーホテル　別館PARTⅡ</v>
          </cell>
          <cell r="F39" t="str">
            <v xml:space="preserve">愛知県名古屋市中村区竹橋町5-6 </v>
          </cell>
          <cell r="G39" t="str">
            <v>メディア</v>
          </cell>
          <cell r="H39" t="str">
            <v>可</v>
          </cell>
          <cell r="I39" t="str">
            <v>可</v>
          </cell>
          <cell r="J39">
            <v>77</v>
          </cell>
          <cell r="K39">
            <v>77</v>
          </cell>
          <cell r="L39">
            <v>1</v>
          </cell>
          <cell r="M39" t="str">
            <v>○</v>
          </cell>
          <cell r="N39" t="str">
            <v>×</v>
          </cell>
          <cell r="O39" t="str">
            <v>×</v>
          </cell>
          <cell r="P39">
            <v>14</v>
          </cell>
          <cell r="Q39">
            <v>0</v>
          </cell>
          <cell r="R39">
            <v>0</v>
          </cell>
          <cell r="S39">
            <v>0</v>
          </cell>
          <cell r="T39" t="str">
            <v>×</v>
          </cell>
        </row>
        <row r="40">
          <cell r="B40">
            <v>47</v>
          </cell>
          <cell r="C40" t="str">
            <v>名古屋</v>
          </cell>
          <cell r="D40" t="str">
            <v>名古屋市</v>
          </cell>
          <cell r="E40" t="str">
            <v>東横INN名古屋駅新幹線口</v>
          </cell>
          <cell r="F40" t="str">
            <v xml:space="preserve"> 愛知県名古屋市中村区椿町7-16</v>
          </cell>
          <cell r="G40" t="str">
            <v>メディア</v>
          </cell>
          <cell r="H40" t="str">
            <v>可</v>
          </cell>
          <cell r="I40" t="str">
            <v>可</v>
          </cell>
          <cell r="J40">
            <v>161</v>
          </cell>
          <cell r="K40">
            <v>161</v>
          </cell>
          <cell r="L40">
            <v>1</v>
          </cell>
          <cell r="M40" t="str">
            <v>○</v>
          </cell>
          <cell r="N40" t="str">
            <v>×</v>
          </cell>
          <cell r="O40" t="str">
            <v>×</v>
          </cell>
          <cell r="P40">
            <v>30</v>
          </cell>
          <cell r="Q40">
            <v>0</v>
          </cell>
          <cell r="R40">
            <v>0</v>
          </cell>
          <cell r="S40">
            <v>0</v>
          </cell>
          <cell r="T40" t="str">
            <v>×</v>
          </cell>
        </row>
        <row r="41">
          <cell r="B41">
            <v>49</v>
          </cell>
          <cell r="C41" t="str">
            <v>名古屋</v>
          </cell>
          <cell r="D41" t="str">
            <v>名古屋市</v>
          </cell>
          <cell r="E41" t="str">
            <v>名鉄グランドホテル</v>
          </cell>
          <cell r="F41" t="str">
            <v>愛知県名古屋市中村区名駅1-2-4</v>
          </cell>
          <cell r="G41" t="str">
            <v>IF/AF</v>
          </cell>
          <cell r="H41" t="str">
            <v>可</v>
          </cell>
          <cell r="I41" t="str">
            <v>可</v>
          </cell>
          <cell r="J41">
            <v>241</v>
          </cell>
          <cell r="K41">
            <v>241</v>
          </cell>
          <cell r="L41">
            <v>1</v>
          </cell>
          <cell r="M41" t="str">
            <v>○</v>
          </cell>
          <cell r="N41" t="str">
            <v>○</v>
          </cell>
          <cell r="O41" t="str">
            <v>○</v>
          </cell>
          <cell r="P41">
            <v>80</v>
          </cell>
          <cell r="Q41">
            <v>4</v>
          </cell>
          <cell r="R41">
            <v>11</v>
          </cell>
          <cell r="S41">
            <v>11</v>
          </cell>
          <cell r="T41" t="str">
            <v>○</v>
          </cell>
        </row>
        <row r="42">
          <cell r="B42">
            <v>50</v>
          </cell>
          <cell r="C42" t="str">
            <v>名古屋</v>
          </cell>
          <cell r="D42" t="str">
            <v>名古屋市</v>
          </cell>
          <cell r="E42" t="str">
            <v>ダイワロイネットホテル名古屋駅前</v>
          </cell>
          <cell r="F42" t="str">
            <v>愛知県名古屋市中村区名駅南１丁目23-20</v>
          </cell>
          <cell r="G42" t="str">
            <v>メディア</v>
          </cell>
          <cell r="H42" t="str">
            <v>不可</v>
          </cell>
          <cell r="I42" t="str">
            <v>可</v>
          </cell>
          <cell r="J42">
            <v>188</v>
          </cell>
          <cell r="K42">
            <v>80</v>
          </cell>
          <cell r="L42">
            <v>0.42553191489361702</v>
          </cell>
          <cell r="M42" t="str">
            <v>○</v>
          </cell>
          <cell r="N42" t="str">
            <v>×</v>
          </cell>
          <cell r="O42" t="str">
            <v>×</v>
          </cell>
          <cell r="P42">
            <v>75</v>
          </cell>
          <cell r="Q42">
            <v>0</v>
          </cell>
          <cell r="R42">
            <v>0</v>
          </cell>
          <cell r="S42">
            <v>0</v>
          </cell>
          <cell r="T42" t="str">
            <v>×</v>
          </cell>
        </row>
        <row r="43">
          <cell r="B43">
            <v>51</v>
          </cell>
          <cell r="C43" t="str">
            <v>名古屋</v>
          </cell>
          <cell r="D43" t="str">
            <v>名古屋市</v>
          </cell>
          <cell r="E43" t="str">
            <v>ダイワロイネットホテル名古屋新幹線口</v>
          </cell>
          <cell r="F43" t="str">
            <v>愛知県名古屋市中村区椿町1-23</v>
          </cell>
          <cell r="G43" t="str">
            <v>技術役員（TD/ITO/NTO）</v>
          </cell>
          <cell r="H43" t="str">
            <v>不可</v>
          </cell>
          <cell r="I43" t="str">
            <v>可</v>
          </cell>
          <cell r="J43">
            <v>165</v>
          </cell>
          <cell r="K43">
            <v>70</v>
          </cell>
          <cell r="L43">
            <v>0.42424242424242425</v>
          </cell>
          <cell r="M43" t="str">
            <v>×</v>
          </cell>
          <cell r="N43" t="str">
            <v>×</v>
          </cell>
          <cell r="O43" t="str">
            <v>×</v>
          </cell>
          <cell r="P43">
            <v>0</v>
          </cell>
          <cell r="Q43">
            <v>1</v>
          </cell>
          <cell r="R43">
            <v>1</v>
          </cell>
          <cell r="S43">
            <v>1</v>
          </cell>
          <cell r="T43" t="str">
            <v>×</v>
          </cell>
        </row>
        <row r="44">
          <cell r="B44">
            <v>52</v>
          </cell>
          <cell r="C44" t="str">
            <v>名古屋</v>
          </cell>
          <cell r="D44" t="str">
            <v>名古屋市</v>
          </cell>
          <cell r="E44" t="str">
            <v>名鉄イン 名古屋桜通</v>
          </cell>
          <cell r="F44" t="str">
            <v>愛知県名古屋市中村区名駅3-17-21</v>
          </cell>
          <cell r="G44" t="str">
            <v>メディア</v>
          </cell>
          <cell r="H44" t="str">
            <v>不可</v>
          </cell>
          <cell r="I44" t="str">
            <v>不可</v>
          </cell>
          <cell r="J44">
            <v>98</v>
          </cell>
          <cell r="K44">
            <v>20</v>
          </cell>
          <cell r="L44">
            <v>0.20408163265306123</v>
          </cell>
          <cell r="M44" t="str">
            <v>○</v>
          </cell>
          <cell r="N44" t="str">
            <v>×</v>
          </cell>
          <cell r="O44" t="str">
            <v>×</v>
          </cell>
          <cell r="P44">
            <v>80</v>
          </cell>
          <cell r="Q44">
            <v>0</v>
          </cell>
          <cell r="R44">
            <v>0</v>
          </cell>
          <cell r="S44">
            <v>0</v>
          </cell>
          <cell r="T44" t="str">
            <v>×</v>
          </cell>
        </row>
        <row r="45">
          <cell r="B45">
            <v>53</v>
          </cell>
          <cell r="C45" t="str">
            <v>名古屋</v>
          </cell>
          <cell r="D45" t="str">
            <v>名古屋市</v>
          </cell>
          <cell r="E45" t="str">
            <v>ヴィアイン名古屋新幹線口</v>
          </cell>
          <cell r="F45" t="str">
            <v>愛知県名古屋市中村区竹橋町4-5</v>
          </cell>
          <cell r="G45" t="str">
            <v>メディア</v>
          </cell>
          <cell r="H45" t="str">
            <v>可</v>
          </cell>
          <cell r="I45" t="str">
            <v>可</v>
          </cell>
          <cell r="J45">
            <v>238</v>
          </cell>
          <cell r="K45">
            <v>238</v>
          </cell>
          <cell r="L45">
            <v>1</v>
          </cell>
          <cell r="M45" t="str">
            <v>○</v>
          </cell>
          <cell r="N45" t="str">
            <v>×</v>
          </cell>
          <cell r="O45" t="str">
            <v>×</v>
          </cell>
          <cell r="P45">
            <v>50</v>
          </cell>
          <cell r="Q45">
            <v>0</v>
          </cell>
          <cell r="R45">
            <v>0</v>
          </cell>
          <cell r="S45">
            <v>0</v>
          </cell>
          <cell r="T45" t="str">
            <v>×</v>
          </cell>
        </row>
        <row r="46">
          <cell r="B46">
            <v>54</v>
          </cell>
          <cell r="C46" t="str">
            <v>名古屋</v>
          </cell>
          <cell r="D46" t="str">
            <v>名古屋市</v>
          </cell>
          <cell r="E46" t="str">
            <v>ザロイヤルパークキャンバス名古屋</v>
          </cell>
          <cell r="F46" t="str">
            <v>愛知県名古屋市中村区名駅3丁目23-13</v>
          </cell>
          <cell r="G46" t="str">
            <v>NOC</v>
          </cell>
          <cell r="H46" t="str">
            <v>可</v>
          </cell>
          <cell r="I46" t="str">
            <v>可</v>
          </cell>
          <cell r="J46">
            <v>153</v>
          </cell>
          <cell r="K46">
            <v>153</v>
          </cell>
          <cell r="L46">
            <v>1</v>
          </cell>
          <cell r="M46" t="str">
            <v>○</v>
          </cell>
          <cell r="N46" t="str">
            <v>○</v>
          </cell>
          <cell r="O46" t="str">
            <v>○</v>
          </cell>
          <cell r="P46">
            <v>30</v>
          </cell>
          <cell r="Q46">
            <v>1</v>
          </cell>
          <cell r="R46">
            <v>0</v>
          </cell>
          <cell r="S46">
            <v>0</v>
          </cell>
          <cell r="T46" t="str">
            <v>×</v>
          </cell>
        </row>
        <row r="47">
          <cell r="B47">
            <v>55</v>
          </cell>
          <cell r="C47" t="str">
            <v>名古屋</v>
          </cell>
          <cell r="D47" t="str">
            <v>名古屋市</v>
          </cell>
          <cell r="E47" t="str">
            <v>ホテルリソル名古屋</v>
          </cell>
          <cell r="F47" t="str">
            <v>愛知県名古屋市中村区名駅3-25-6</v>
          </cell>
          <cell r="G47" t="str">
            <v>NOC</v>
          </cell>
          <cell r="H47" t="str">
            <v>不可</v>
          </cell>
          <cell r="I47" t="str">
            <v>不可</v>
          </cell>
          <cell r="J47">
            <v>101</v>
          </cell>
          <cell r="K47">
            <v>20</v>
          </cell>
          <cell r="L47">
            <v>0.19801980198019803</v>
          </cell>
          <cell r="M47" t="str">
            <v>○</v>
          </cell>
          <cell r="N47" t="str">
            <v>×</v>
          </cell>
          <cell r="O47" t="str">
            <v>×</v>
          </cell>
          <cell r="P47">
            <v>35</v>
          </cell>
          <cell r="Q47">
            <v>2</v>
          </cell>
          <cell r="R47">
            <v>2</v>
          </cell>
          <cell r="S47">
            <v>2</v>
          </cell>
          <cell r="T47" t="str">
            <v>×</v>
          </cell>
        </row>
        <row r="48">
          <cell r="B48">
            <v>56</v>
          </cell>
          <cell r="C48" t="str">
            <v>名古屋</v>
          </cell>
          <cell r="D48" t="str">
            <v>名古屋市</v>
          </cell>
          <cell r="E48" t="str">
            <v>ストリングスホテル　名古屋</v>
          </cell>
          <cell r="F48" t="str">
            <v>愛知県名古屋市中村区平池町4-60-7</v>
          </cell>
          <cell r="G48" t="str">
            <v>OCAファミリー・スポンサー</v>
          </cell>
          <cell r="H48" t="str">
            <v>不可</v>
          </cell>
          <cell r="I48" t="str">
            <v>可</v>
          </cell>
          <cell r="J48">
            <v>126</v>
          </cell>
          <cell r="K48">
            <v>116</v>
          </cell>
          <cell r="L48">
            <v>0.92063492063492058</v>
          </cell>
          <cell r="M48" t="str">
            <v>○</v>
          </cell>
          <cell r="N48" t="str">
            <v>○</v>
          </cell>
          <cell r="O48" t="str">
            <v>○</v>
          </cell>
          <cell r="P48">
            <v>110</v>
          </cell>
          <cell r="Q48">
            <v>5</v>
          </cell>
          <cell r="R48">
            <v>7</v>
          </cell>
          <cell r="S48">
            <v>7</v>
          </cell>
          <cell r="T48" t="str">
            <v>×</v>
          </cell>
        </row>
        <row r="49">
          <cell r="B49">
            <v>57</v>
          </cell>
          <cell r="C49" t="str">
            <v>名古屋</v>
          </cell>
          <cell r="D49" t="str">
            <v>名古屋市</v>
          </cell>
          <cell r="E49" t="str">
            <v>リッチモンドホテル名古屋新幹線口</v>
          </cell>
          <cell r="F49" t="str">
            <v>愛知県名古屋市中村区亀島2-12-3</v>
          </cell>
          <cell r="G49" t="str">
            <v>技術役員（TD/ITO/NTO）</v>
          </cell>
          <cell r="H49" t="str">
            <v>可</v>
          </cell>
          <cell r="I49" t="str">
            <v>可</v>
          </cell>
          <cell r="J49">
            <v>150</v>
          </cell>
          <cell r="K49">
            <v>150</v>
          </cell>
          <cell r="L49">
            <v>1</v>
          </cell>
          <cell r="M49" t="str">
            <v>○</v>
          </cell>
          <cell r="N49" t="str">
            <v>×</v>
          </cell>
          <cell r="O49" t="str">
            <v>×</v>
          </cell>
          <cell r="P49">
            <v>30</v>
          </cell>
          <cell r="Q49">
            <v>0</v>
          </cell>
          <cell r="R49">
            <v>0</v>
          </cell>
          <cell r="S49">
            <v>0</v>
          </cell>
          <cell r="T49" t="str">
            <v>×</v>
          </cell>
        </row>
        <row r="50">
          <cell r="B50">
            <v>58</v>
          </cell>
          <cell r="C50" t="str">
            <v>名古屋</v>
          </cell>
          <cell r="D50" t="str">
            <v>名古屋市</v>
          </cell>
          <cell r="E50" t="str">
            <v>ナゴヤエキ アクセスホテル</v>
          </cell>
          <cell r="F50" t="str">
            <v>愛知県名古屋市中村区椿町11-15</v>
          </cell>
          <cell r="G50" t="str">
            <v>その他 ※1</v>
          </cell>
          <cell r="H50" t="str">
            <v>不可</v>
          </cell>
          <cell r="I50" t="str">
            <v>不可</v>
          </cell>
          <cell r="J50">
            <v>57</v>
          </cell>
          <cell r="K50">
            <v>0</v>
          </cell>
          <cell r="L50">
            <v>0</v>
          </cell>
          <cell r="M50" t="str">
            <v>○</v>
          </cell>
          <cell r="N50" t="str">
            <v>×</v>
          </cell>
          <cell r="O50" t="str">
            <v>×</v>
          </cell>
          <cell r="P50">
            <v>22</v>
          </cell>
          <cell r="Q50">
            <v>1</v>
          </cell>
          <cell r="R50">
            <v>0</v>
          </cell>
          <cell r="S50">
            <v>0</v>
          </cell>
          <cell r="T50" t="str">
            <v>×</v>
          </cell>
        </row>
        <row r="51">
          <cell r="B51">
            <v>59</v>
          </cell>
          <cell r="C51" t="str">
            <v>名古屋</v>
          </cell>
          <cell r="D51" t="str">
            <v>名古屋市</v>
          </cell>
          <cell r="E51" t="str">
            <v>三井ガーデンホテル名古屋プレミア</v>
          </cell>
          <cell r="F51" t="str">
            <v>愛知県名古屋市中村区名駅4-11-27</v>
          </cell>
          <cell r="G51" t="str">
            <v>OCAファミリー・スポンサー</v>
          </cell>
          <cell r="H51" t="str">
            <v>不可</v>
          </cell>
          <cell r="I51" t="str">
            <v>不可</v>
          </cell>
          <cell r="J51">
            <v>295</v>
          </cell>
          <cell r="K51">
            <v>130</v>
          </cell>
          <cell r="L51">
            <v>0.44067796610169491</v>
          </cell>
          <cell r="M51" t="str">
            <v>○</v>
          </cell>
          <cell r="N51" t="str">
            <v>×</v>
          </cell>
          <cell r="O51" t="str">
            <v>×</v>
          </cell>
          <cell r="P51">
            <v>86</v>
          </cell>
          <cell r="Q51">
            <v>1</v>
          </cell>
          <cell r="R51">
            <v>0</v>
          </cell>
          <cell r="S51">
            <v>0</v>
          </cell>
          <cell r="T51" t="str">
            <v>×</v>
          </cell>
        </row>
        <row r="52">
          <cell r="B52">
            <v>60</v>
          </cell>
          <cell r="C52" t="str">
            <v>名古屋</v>
          </cell>
          <cell r="D52" t="str">
            <v>名古屋市</v>
          </cell>
          <cell r="E52" t="str">
            <v>ダイワロイネットホテル名古屋太閤通口</v>
          </cell>
          <cell r="F52" t="str">
            <v>愛知県名古屋市中村区椿町18-10</v>
          </cell>
          <cell r="G52" t="str">
            <v>メディア</v>
          </cell>
          <cell r="H52" t="str">
            <v>不可</v>
          </cell>
          <cell r="I52" t="str">
            <v>不可</v>
          </cell>
          <cell r="J52">
            <v>272</v>
          </cell>
          <cell r="K52">
            <v>120</v>
          </cell>
          <cell r="L52">
            <v>0.44117647058823528</v>
          </cell>
          <cell r="M52" t="str">
            <v>○</v>
          </cell>
          <cell r="N52" t="str">
            <v>×</v>
          </cell>
          <cell r="O52" t="str">
            <v>×</v>
          </cell>
          <cell r="P52">
            <v>60</v>
          </cell>
          <cell r="Q52">
            <v>1</v>
          </cell>
          <cell r="R52">
            <v>0</v>
          </cell>
          <cell r="S52">
            <v>0</v>
          </cell>
          <cell r="T52" t="str">
            <v>×</v>
          </cell>
        </row>
        <row r="53">
          <cell r="B53">
            <v>61</v>
          </cell>
          <cell r="C53" t="str">
            <v>名古屋</v>
          </cell>
          <cell r="D53" t="str">
            <v>名古屋市</v>
          </cell>
          <cell r="E53" t="str">
            <v>名鉄イン名古屋駅新幹線口</v>
          </cell>
          <cell r="F53" t="str">
            <v>愛知県名古屋市中村区則武1丁目6番3号</v>
          </cell>
          <cell r="G53" t="str">
            <v>技術役員（TD/ITO/NTO）</v>
          </cell>
          <cell r="H53" t="str">
            <v>不可</v>
          </cell>
          <cell r="I53" t="str">
            <v>可</v>
          </cell>
          <cell r="J53">
            <v>313</v>
          </cell>
          <cell r="K53">
            <v>60</v>
          </cell>
          <cell r="L53">
            <v>0.19169329073482427</v>
          </cell>
          <cell r="M53" t="str">
            <v>○</v>
          </cell>
          <cell r="N53" t="str">
            <v>×</v>
          </cell>
          <cell r="O53" t="str">
            <v>×</v>
          </cell>
          <cell r="P53">
            <v>36</v>
          </cell>
          <cell r="Q53">
            <v>0</v>
          </cell>
          <cell r="R53">
            <v>0</v>
          </cell>
          <cell r="S53">
            <v>0</v>
          </cell>
          <cell r="T53" t="str">
            <v>×</v>
          </cell>
        </row>
        <row r="54">
          <cell r="B54">
            <v>62</v>
          </cell>
          <cell r="C54" t="str">
            <v>名古屋</v>
          </cell>
          <cell r="D54" t="str">
            <v>名古屋市</v>
          </cell>
          <cell r="E54" t="str">
            <v>名古屋JRゲートタワーホテル</v>
          </cell>
          <cell r="F54" t="str">
            <v>愛知県名古屋市中村区名駅1-1-3</v>
          </cell>
          <cell r="G54" t="str">
            <v>OCAファミリー・スポンサー</v>
          </cell>
          <cell r="H54" t="str">
            <v>可</v>
          </cell>
          <cell r="I54" t="str">
            <v>可</v>
          </cell>
          <cell r="J54">
            <v>350</v>
          </cell>
          <cell r="K54">
            <v>350</v>
          </cell>
          <cell r="L54">
            <v>1</v>
          </cell>
          <cell r="M54" t="str">
            <v>○</v>
          </cell>
          <cell r="N54" t="str">
            <v>×</v>
          </cell>
          <cell r="O54" t="str">
            <v>×</v>
          </cell>
          <cell r="P54">
            <v>220</v>
          </cell>
          <cell r="Q54">
            <v>1</v>
          </cell>
          <cell r="R54">
            <v>12</v>
          </cell>
          <cell r="S54">
            <v>6</v>
          </cell>
          <cell r="T54" t="str">
            <v>○</v>
          </cell>
        </row>
        <row r="55">
          <cell r="B55">
            <v>63</v>
          </cell>
          <cell r="C55" t="str">
            <v>名古屋</v>
          </cell>
          <cell r="D55" t="str">
            <v>名古屋市</v>
          </cell>
          <cell r="E55" t="str">
            <v>HOTEL LiVEMAX名駅</v>
          </cell>
          <cell r="F55" t="str">
            <v>愛知県名古屋市中村区名駅南1-11-5-1</v>
          </cell>
          <cell r="G55" t="str">
            <v>メディア</v>
          </cell>
          <cell r="H55" t="str">
            <v>可</v>
          </cell>
          <cell r="I55" t="str">
            <v>可</v>
          </cell>
          <cell r="J55">
            <v>56</v>
          </cell>
          <cell r="K55">
            <v>56</v>
          </cell>
          <cell r="L55">
            <v>1</v>
          </cell>
          <cell r="M55" t="str">
            <v>×</v>
          </cell>
          <cell r="N55" t="str">
            <v>×</v>
          </cell>
          <cell r="O55" t="str">
            <v>×</v>
          </cell>
          <cell r="P55">
            <v>0</v>
          </cell>
          <cell r="Q55">
            <v>0</v>
          </cell>
          <cell r="R55">
            <v>0</v>
          </cell>
          <cell r="S55">
            <v>0</v>
          </cell>
          <cell r="T55" t="str">
            <v>×</v>
          </cell>
        </row>
        <row r="56">
          <cell r="B56">
            <v>64</v>
          </cell>
          <cell r="C56" t="str">
            <v>名古屋</v>
          </cell>
          <cell r="D56" t="str">
            <v>名古屋市</v>
          </cell>
          <cell r="E56" t="str">
            <v>名古屋プリンスホテル スカイタワー</v>
          </cell>
          <cell r="F56" t="str">
            <v>愛知県名古屋市中村区平池町4-60-12</v>
          </cell>
          <cell r="G56" t="str">
            <v>OCAファミリー・スポンサー</v>
          </cell>
          <cell r="H56" t="str">
            <v>可</v>
          </cell>
          <cell r="I56" t="str">
            <v>可</v>
          </cell>
          <cell r="J56">
            <v>170</v>
          </cell>
          <cell r="K56">
            <v>170</v>
          </cell>
          <cell r="L56">
            <v>1</v>
          </cell>
          <cell r="M56" t="str">
            <v>○</v>
          </cell>
          <cell r="N56" t="str">
            <v>○</v>
          </cell>
          <cell r="O56" t="str">
            <v>○</v>
          </cell>
          <cell r="P56">
            <v>100</v>
          </cell>
          <cell r="Q56">
            <v>1</v>
          </cell>
          <cell r="R56">
            <v>0</v>
          </cell>
          <cell r="S56">
            <v>0</v>
          </cell>
          <cell r="T56" t="str">
            <v>○</v>
          </cell>
        </row>
        <row r="57">
          <cell r="B57">
            <v>65</v>
          </cell>
          <cell r="C57" t="str">
            <v>名古屋</v>
          </cell>
          <cell r="D57" t="str">
            <v>名古屋市</v>
          </cell>
          <cell r="E57" t="str">
            <v>くれたけインプレミアム名古屋納屋橋</v>
          </cell>
          <cell r="F57" t="str">
            <v>愛知県名古屋市中村区名駅南1丁目2番12号</v>
          </cell>
          <cell r="G57" t="str">
            <v>技術役員（TD/ITO/NTO）</v>
          </cell>
          <cell r="H57" t="str">
            <v>不可</v>
          </cell>
          <cell r="I57" t="str">
            <v>不可</v>
          </cell>
          <cell r="J57">
            <v>166</v>
          </cell>
          <cell r="K57">
            <v>73</v>
          </cell>
          <cell r="L57">
            <v>0.43975903614457829</v>
          </cell>
          <cell r="M57" t="str">
            <v>○</v>
          </cell>
          <cell r="N57" t="str">
            <v>×</v>
          </cell>
          <cell r="O57" t="str">
            <v>×</v>
          </cell>
          <cell r="P57">
            <v>38</v>
          </cell>
          <cell r="Q57">
            <v>0</v>
          </cell>
          <cell r="R57">
            <v>0</v>
          </cell>
          <cell r="S57">
            <v>0</v>
          </cell>
          <cell r="T57" t="str">
            <v>×</v>
          </cell>
        </row>
        <row r="58">
          <cell r="B58">
            <v>66</v>
          </cell>
          <cell r="C58" t="str">
            <v>名古屋</v>
          </cell>
          <cell r="D58" t="str">
            <v>名古屋市</v>
          </cell>
          <cell r="E58" t="str">
            <v>三交イン名古屋新幹線口ANNEX</v>
          </cell>
          <cell r="F58" t="str">
            <v>愛知県名古屋市中村区椿町7-4</v>
          </cell>
          <cell r="G58" t="str">
            <v>メディア</v>
          </cell>
          <cell r="H58" t="str">
            <v>不可</v>
          </cell>
          <cell r="I58" t="str">
            <v>不可</v>
          </cell>
          <cell r="J58">
            <v>118</v>
          </cell>
          <cell r="K58">
            <v>40</v>
          </cell>
          <cell r="L58">
            <v>0.33898305084745761</v>
          </cell>
          <cell r="M58" t="str">
            <v>×</v>
          </cell>
          <cell r="N58" t="str">
            <v>×</v>
          </cell>
          <cell r="O58" t="str">
            <v>×</v>
          </cell>
          <cell r="P58">
            <v>0</v>
          </cell>
          <cell r="Q58">
            <v>1</v>
          </cell>
          <cell r="R58">
            <v>0</v>
          </cell>
          <cell r="S58">
            <v>0</v>
          </cell>
          <cell r="T58" t="str">
            <v>×</v>
          </cell>
        </row>
        <row r="59">
          <cell r="B59">
            <v>67</v>
          </cell>
          <cell r="C59" t="str">
            <v>名古屋</v>
          </cell>
          <cell r="D59" t="str">
            <v>名古屋市</v>
          </cell>
          <cell r="E59" t="str">
            <v>東横INN名古屋名駅南</v>
          </cell>
          <cell r="F59" t="str">
            <v>愛知県名古屋市中村区名駅南2-3-30</v>
          </cell>
          <cell r="G59" t="str">
            <v>技術役員（TD/ITO/NTO）</v>
          </cell>
          <cell r="H59" t="str">
            <v>不可</v>
          </cell>
          <cell r="I59" t="str">
            <v>可</v>
          </cell>
          <cell r="J59">
            <v>805</v>
          </cell>
          <cell r="K59">
            <v>300</v>
          </cell>
          <cell r="L59">
            <v>0.37267080745341613</v>
          </cell>
          <cell r="M59" t="str">
            <v>○</v>
          </cell>
          <cell r="N59" t="str">
            <v>×</v>
          </cell>
          <cell r="O59" t="str">
            <v>×</v>
          </cell>
          <cell r="P59">
            <v>130</v>
          </cell>
          <cell r="Q59">
            <v>2</v>
          </cell>
          <cell r="R59">
            <v>1</v>
          </cell>
          <cell r="S59">
            <v>1</v>
          </cell>
          <cell r="T59" t="str">
            <v>×</v>
          </cell>
        </row>
        <row r="60">
          <cell r="B60">
            <v>68</v>
          </cell>
          <cell r="C60" t="str">
            <v>名古屋</v>
          </cell>
          <cell r="D60" t="str">
            <v>名古屋市</v>
          </cell>
          <cell r="E60" t="str">
            <v>HOTEL LiVEMAXBUDGET名古屋太閤通口</v>
          </cell>
          <cell r="F60" t="str">
            <v>愛知県名古屋市中村区太閤4-9-25</v>
          </cell>
          <cell r="G60" t="str">
            <v>メディア</v>
          </cell>
          <cell r="H60" t="str">
            <v>可</v>
          </cell>
          <cell r="I60" t="str">
            <v>可</v>
          </cell>
          <cell r="J60">
            <v>40</v>
          </cell>
          <cell r="K60">
            <v>40</v>
          </cell>
          <cell r="L60">
            <v>1</v>
          </cell>
          <cell r="M60" t="str">
            <v>×</v>
          </cell>
          <cell r="N60" t="str">
            <v>×</v>
          </cell>
          <cell r="O60" t="str">
            <v>×</v>
          </cell>
          <cell r="P60">
            <v>0</v>
          </cell>
          <cell r="Q60">
            <v>3</v>
          </cell>
          <cell r="R60">
            <v>0</v>
          </cell>
          <cell r="S60">
            <v>0</v>
          </cell>
          <cell r="T60" t="str">
            <v>×</v>
          </cell>
        </row>
        <row r="61">
          <cell r="B61">
            <v>69</v>
          </cell>
          <cell r="C61" t="str">
            <v>名古屋</v>
          </cell>
          <cell r="D61" t="str">
            <v>名古屋市</v>
          </cell>
          <cell r="E61" t="str">
            <v>ヴィアイン名古屋駅前椿町</v>
          </cell>
          <cell r="F61" t="str">
            <v>愛知県名古屋市中村区椿町9-13</v>
          </cell>
          <cell r="G61" t="str">
            <v>メディア</v>
          </cell>
          <cell r="H61" t="str">
            <v>可</v>
          </cell>
          <cell r="I61" t="str">
            <v>可</v>
          </cell>
          <cell r="J61">
            <v>249</v>
          </cell>
          <cell r="K61">
            <v>249</v>
          </cell>
          <cell r="L61">
            <v>1</v>
          </cell>
          <cell r="M61" t="str">
            <v>○</v>
          </cell>
          <cell r="N61" t="str">
            <v>×</v>
          </cell>
          <cell r="O61" t="str">
            <v>×</v>
          </cell>
          <cell r="P61">
            <v>50</v>
          </cell>
          <cell r="Q61">
            <v>4</v>
          </cell>
          <cell r="R61">
            <v>0</v>
          </cell>
          <cell r="S61">
            <v>0</v>
          </cell>
          <cell r="T61" t="str">
            <v>×</v>
          </cell>
        </row>
        <row r="62">
          <cell r="B62">
            <v>70</v>
          </cell>
          <cell r="C62" t="str">
            <v>名古屋</v>
          </cell>
          <cell r="D62" t="str">
            <v>名古屋市</v>
          </cell>
          <cell r="E62" t="str">
            <v>ベッセルホテルカンパーナ名古屋</v>
          </cell>
          <cell r="F62" t="str">
            <v>愛知県名古屋市中村区名駅2-30-7</v>
          </cell>
          <cell r="G62" t="str">
            <v>NOC</v>
          </cell>
          <cell r="H62" t="str">
            <v>可</v>
          </cell>
          <cell r="I62" t="str">
            <v>可</v>
          </cell>
          <cell r="J62">
            <v>233</v>
          </cell>
          <cell r="K62">
            <v>233</v>
          </cell>
          <cell r="L62">
            <v>1</v>
          </cell>
          <cell r="M62" t="str">
            <v>○</v>
          </cell>
          <cell r="N62" t="str">
            <v>×</v>
          </cell>
          <cell r="O62" t="str">
            <v>○</v>
          </cell>
          <cell r="P62">
            <v>106</v>
          </cell>
          <cell r="Q62">
            <v>5</v>
          </cell>
          <cell r="R62">
            <v>0</v>
          </cell>
          <cell r="S62">
            <v>0</v>
          </cell>
          <cell r="T62" t="str">
            <v>×</v>
          </cell>
        </row>
        <row r="63">
          <cell r="B63">
            <v>71</v>
          </cell>
          <cell r="C63" t="str">
            <v>名古屋</v>
          </cell>
          <cell r="D63" t="str">
            <v>名古屋市</v>
          </cell>
          <cell r="E63" t="str">
            <v>アットインホテル名古屋駅</v>
          </cell>
          <cell r="F63" t="str">
            <v>愛知県名古屋市中村区名駅4-22-21</v>
          </cell>
          <cell r="G63" t="str">
            <v>メディア</v>
          </cell>
          <cell r="H63" t="str">
            <v>可</v>
          </cell>
          <cell r="I63" t="str">
            <v>可</v>
          </cell>
          <cell r="J63">
            <v>119</v>
          </cell>
          <cell r="K63">
            <v>119</v>
          </cell>
          <cell r="L63">
            <v>1</v>
          </cell>
          <cell r="M63" t="str">
            <v>×</v>
          </cell>
          <cell r="N63" t="str">
            <v>×</v>
          </cell>
          <cell r="O63" t="str">
            <v>×</v>
          </cell>
          <cell r="P63">
            <v>0</v>
          </cell>
          <cell r="Q63">
            <v>6</v>
          </cell>
          <cell r="R63">
            <v>0</v>
          </cell>
          <cell r="S63">
            <v>0</v>
          </cell>
          <cell r="T63" t="str">
            <v>×</v>
          </cell>
        </row>
        <row r="64">
          <cell r="B64">
            <v>73</v>
          </cell>
          <cell r="C64" t="str">
            <v>名古屋</v>
          </cell>
          <cell r="D64" t="str">
            <v>名古屋市</v>
          </cell>
          <cell r="E64" t="str">
            <v>Hamilton Hotel -BLUE-名駅南</v>
          </cell>
          <cell r="F64" t="str">
            <v>愛知県名古屋市中村区名駅南1-11-8</v>
          </cell>
          <cell r="G64" t="str">
            <v>メディア</v>
          </cell>
          <cell r="H64" t="str">
            <v>不可</v>
          </cell>
          <cell r="I64" t="str">
            <v>不可</v>
          </cell>
          <cell r="J64">
            <v>96</v>
          </cell>
          <cell r="K64">
            <v>80</v>
          </cell>
          <cell r="L64">
            <v>0.83333333333333337</v>
          </cell>
          <cell r="M64" t="str">
            <v>○</v>
          </cell>
          <cell r="N64" t="str">
            <v>×</v>
          </cell>
          <cell r="O64" t="str">
            <v>×</v>
          </cell>
          <cell r="P64">
            <v>24</v>
          </cell>
          <cell r="Q64">
            <v>7</v>
          </cell>
          <cell r="R64">
            <v>0</v>
          </cell>
          <cell r="S64">
            <v>0</v>
          </cell>
          <cell r="T64" t="str">
            <v>×</v>
          </cell>
        </row>
        <row r="65">
          <cell r="B65">
            <v>74</v>
          </cell>
          <cell r="C65" t="str">
            <v>名古屋</v>
          </cell>
          <cell r="D65" t="str">
            <v>名古屋市</v>
          </cell>
          <cell r="E65" t="str">
            <v>スマイルホテル名古屋新幹線口</v>
          </cell>
          <cell r="F65" t="str">
            <v>愛知県名古屋市中村区椿町21-20</v>
          </cell>
          <cell r="G65" t="str">
            <v>メディア</v>
          </cell>
          <cell r="H65" t="str">
            <v>不可</v>
          </cell>
          <cell r="I65" t="str">
            <v>可</v>
          </cell>
          <cell r="J65">
            <v>117</v>
          </cell>
          <cell r="K65">
            <v>24</v>
          </cell>
          <cell r="L65">
            <v>0.20512820512820512</v>
          </cell>
          <cell r="M65" t="str">
            <v>○</v>
          </cell>
          <cell r="N65" t="str">
            <v>×</v>
          </cell>
          <cell r="O65" t="str">
            <v>×</v>
          </cell>
          <cell r="P65">
            <v>24</v>
          </cell>
          <cell r="Q65">
            <v>8</v>
          </cell>
          <cell r="R65">
            <v>0</v>
          </cell>
          <cell r="S65">
            <v>0</v>
          </cell>
          <cell r="T65" t="str">
            <v>×</v>
          </cell>
        </row>
        <row r="66">
          <cell r="B66">
            <v>75</v>
          </cell>
          <cell r="C66" t="str">
            <v>名古屋</v>
          </cell>
          <cell r="D66" t="str">
            <v>名古屋市</v>
          </cell>
          <cell r="E66" t="str">
            <v>R&amp;Bホテル名古屋新幹線口</v>
          </cell>
          <cell r="F66" t="str">
            <v>愛知県名古屋市中村区則武2-2-13</v>
          </cell>
          <cell r="G66" t="str">
            <v>メディア</v>
          </cell>
          <cell r="H66" t="str">
            <v>不可</v>
          </cell>
          <cell r="I66" t="str">
            <v>可</v>
          </cell>
          <cell r="J66">
            <v>262</v>
          </cell>
          <cell r="K66">
            <v>80</v>
          </cell>
          <cell r="L66">
            <v>0.30534351145038169</v>
          </cell>
          <cell r="M66" t="str">
            <v>○</v>
          </cell>
          <cell r="N66" t="str">
            <v>×</v>
          </cell>
          <cell r="O66" t="str">
            <v>×</v>
          </cell>
          <cell r="P66">
            <v>24</v>
          </cell>
          <cell r="Q66">
            <v>9</v>
          </cell>
          <cell r="R66">
            <v>0</v>
          </cell>
          <cell r="S66">
            <v>0</v>
          </cell>
          <cell r="T66" t="str">
            <v>×</v>
          </cell>
        </row>
        <row r="67">
          <cell r="B67">
            <v>76</v>
          </cell>
          <cell r="C67" t="str">
            <v>名古屋</v>
          </cell>
          <cell r="D67" t="str">
            <v>名古屋市</v>
          </cell>
          <cell r="E67" t="str">
            <v>コンフォートホテル名古屋新幹線口</v>
          </cell>
          <cell r="F67" t="str">
            <v>愛知県名古屋市中村区則武1-13-7</v>
          </cell>
          <cell r="G67" t="str">
            <v>メディア</v>
          </cell>
          <cell r="H67" t="str">
            <v>不可</v>
          </cell>
          <cell r="I67" t="str">
            <v>可</v>
          </cell>
          <cell r="J67">
            <v>156</v>
          </cell>
          <cell r="K67">
            <v>50</v>
          </cell>
          <cell r="L67">
            <v>0.32051282051282054</v>
          </cell>
          <cell r="M67" t="str">
            <v>○</v>
          </cell>
          <cell r="N67" t="str">
            <v>×</v>
          </cell>
          <cell r="O67" t="str">
            <v>×</v>
          </cell>
          <cell r="P67">
            <v>55</v>
          </cell>
          <cell r="Q67">
            <v>10</v>
          </cell>
          <cell r="R67">
            <v>0</v>
          </cell>
          <cell r="S67">
            <v>0</v>
          </cell>
          <cell r="T67" t="str">
            <v>×</v>
          </cell>
        </row>
        <row r="68">
          <cell r="B68">
            <v>77</v>
          </cell>
          <cell r="C68" t="str">
            <v>名古屋</v>
          </cell>
          <cell r="D68" t="str">
            <v>名古屋市</v>
          </cell>
          <cell r="E68" t="str">
            <v>相鉄フレッサイン名古屋駅桜通口</v>
          </cell>
          <cell r="F68" t="str">
            <v>愛知県名古屋市中村区名駅4-4-15</v>
          </cell>
          <cell r="G68" t="str">
            <v>メディア</v>
          </cell>
          <cell r="H68" t="str">
            <v>不可</v>
          </cell>
          <cell r="I68" t="str">
            <v>可</v>
          </cell>
          <cell r="J68">
            <v>250</v>
          </cell>
          <cell r="K68">
            <v>100</v>
          </cell>
          <cell r="L68">
            <v>0.4</v>
          </cell>
          <cell r="M68" t="str">
            <v>○</v>
          </cell>
          <cell r="N68" t="str">
            <v>×</v>
          </cell>
          <cell r="O68" t="str">
            <v>×</v>
          </cell>
          <cell r="P68">
            <v>30</v>
          </cell>
          <cell r="Q68">
            <v>11</v>
          </cell>
          <cell r="R68">
            <v>0</v>
          </cell>
          <cell r="S68">
            <v>0</v>
          </cell>
          <cell r="T68" t="str">
            <v>×</v>
          </cell>
        </row>
        <row r="69">
          <cell r="B69">
            <v>78</v>
          </cell>
          <cell r="C69" t="str">
            <v>名古屋</v>
          </cell>
          <cell r="D69" t="str">
            <v>名古屋市</v>
          </cell>
          <cell r="E69" t="str">
            <v>三交インGrande名古屋 -HOTEL&amp;SPA-</v>
          </cell>
          <cell r="F69" t="str">
            <v>愛知県名古屋市中村区名駅3-21-7</v>
          </cell>
          <cell r="G69" t="str">
            <v>技術役員（TD/ITO/NTO）</v>
          </cell>
          <cell r="H69" t="str">
            <v>不可</v>
          </cell>
          <cell r="I69" t="str">
            <v>不可</v>
          </cell>
          <cell r="J69">
            <v>128</v>
          </cell>
          <cell r="K69">
            <v>45</v>
          </cell>
          <cell r="L69">
            <v>0.3515625</v>
          </cell>
          <cell r="M69" t="str">
            <v>○</v>
          </cell>
          <cell r="N69" t="str">
            <v>×</v>
          </cell>
          <cell r="O69" t="str">
            <v>×</v>
          </cell>
          <cell r="P69">
            <v>30</v>
          </cell>
          <cell r="Q69">
            <v>12</v>
          </cell>
          <cell r="R69">
            <v>0</v>
          </cell>
          <cell r="S69">
            <v>0</v>
          </cell>
          <cell r="T69" t="str">
            <v>×</v>
          </cell>
        </row>
        <row r="70">
          <cell r="B70">
            <v>79</v>
          </cell>
          <cell r="C70" t="str">
            <v>名古屋</v>
          </cell>
          <cell r="D70" t="str">
            <v>名古屋市</v>
          </cell>
          <cell r="E70" t="str">
            <v>ニッコースタイル名古屋</v>
          </cell>
          <cell r="F70" t="str">
            <v>愛知県名古屋市中村区名駅5-20-13</v>
          </cell>
          <cell r="G70" t="str">
            <v>NOC</v>
          </cell>
          <cell r="H70" t="str">
            <v>可</v>
          </cell>
          <cell r="I70" t="str">
            <v>可</v>
          </cell>
          <cell r="J70">
            <v>191</v>
          </cell>
          <cell r="K70">
            <v>191</v>
          </cell>
          <cell r="L70">
            <v>1</v>
          </cell>
          <cell r="M70" t="str">
            <v>○</v>
          </cell>
          <cell r="N70" t="str">
            <v>○</v>
          </cell>
          <cell r="O70" t="str">
            <v>○</v>
          </cell>
          <cell r="P70">
            <v>62</v>
          </cell>
          <cell r="Q70">
            <v>2</v>
          </cell>
          <cell r="R70">
            <v>0</v>
          </cell>
          <cell r="S70">
            <v>0</v>
          </cell>
          <cell r="T70" t="str">
            <v>×</v>
          </cell>
        </row>
        <row r="71">
          <cell r="B71">
            <v>80</v>
          </cell>
          <cell r="C71" t="str">
            <v>名古屋</v>
          </cell>
          <cell r="D71" t="str">
            <v>名古屋市</v>
          </cell>
          <cell r="E71" t="str">
            <v>アパホテル＜名古屋駅新幹線口北＞</v>
          </cell>
          <cell r="F71" t="str">
            <v>愛知県名古屋市中村区則武1-2-4</v>
          </cell>
          <cell r="G71" t="str">
            <v>技術役員（TD/ITO/NTO）</v>
          </cell>
          <cell r="H71" t="str">
            <v>不可</v>
          </cell>
          <cell r="I71" t="str">
            <v>不可</v>
          </cell>
          <cell r="J71">
            <v>288</v>
          </cell>
          <cell r="K71">
            <v>142</v>
          </cell>
          <cell r="L71">
            <v>0.49305555555555558</v>
          </cell>
          <cell r="M71" t="str">
            <v>○</v>
          </cell>
          <cell r="N71" t="str">
            <v>×</v>
          </cell>
          <cell r="O71" t="str">
            <v>×</v>
          </cell>
          <cell r="P71">
            <v>44</v>
          </cell>
          <cell r="Q71">
            <v>1</v>
          </cell>
          <cell r="R71">
            <v>0</v>
          </cell>
          <cell r="S71">
            <v>0</v>
          </cell>
          <cell r="T71" t="str">
            <v>×</v>
          </cell>
        </row>
        <row r="72">
          <cell r="B72">
            <v>81</v>
          </cell>
          <cell r="C72" t="str">
            <v>名古屋</v>
          </cell>
          <cell r="D72" t="str">
            <v>名古屋市</v>
          </cell>
          <cell r="E72" t="str">
            <v>イビススタイルズ名古屋</v>
          </cell>
          <cell r="F72" t="str">
            <v>愛知県名古屋市中村区名駅4-22-24</v>
          </cell>
          <cell r="G72" t="str">
            <v>メディア</v>
          </cell>
          <cell r="H72" t="str">
            <v>可</v>
          </cell>
          <cell r="I72" t="str">
            <v>可</v>
          </cell>
          <cell r="J72">
            <v>284</v>
          </cell>
          <cell r="K72">
            <v>284</v>
          </cell>
          <cell r="L72">
            <v>1</v>
          </cell>
          <cell r="M72" t="str">
            <v>○</v>
          </cell>
          <cell r="N72" t="str">
            <v>○</v>
          </cell>
          <cell r="O72" t="str">
            <v>○</v>
          </cell>
          <cell r="P72">
            <v>95</v>
          </cell>
          <cell r="Q72">
            <v>1</v>
          </cell>
          <cell r="R72">
            <v>1</v>
          </cell>
          <cell r="S72">
            <v>1</v>
          </cell>
          <cell r="T72" t="str">
            <v>×</v>
          </cell>
        </row>
        <row r="73">
          <cell r="B73">
            <v>82</v>
          </cell>
          <cell r="C73" t="str">
            <v>名古屋</v>
          </cell>
          <cell r="D73" t="str">
            <v>名古屋市</v>
          </cell>
          <cell r="E73" t="str">
            <v>アパホテル&lt;名古屋駅新幹線口南&gt;</v>
          </cell>
          <cell r="F73" t="str">
            <v>愛知県名古屋市中村区椿町22-10</v>
          </cell>
          <cell r="G73" t="str">
            <v>技術役員（TD/ITO/NTO）</v>
          </cell>
          <cell r="H73" t="str">
            <v>不可</v>
          </cell>
          <cell r="I73" t="str">
            <v>可</v>
          </cell>
          <cell r="J73">
            <v>191</v>
          </cell>
          <cell r="K73">
            <v>95</v>
          </cell>
          <cell r="L73">
            <v>0.49738219895287961</v>
          </cell>
          <cell r="M73" t="str">
            <v>○</v>
          </cell>
          <cell r="N73" t="str">
            <v>×</v>
          </cell>
          <cell r="O73" t="str">
            <v>×</v>
          </cell>
          <cell r="P73">
            <v>12</v>
          </cell>
          <cell r="Q73">
            <v>1</v>
          </cell>
          <cell r="R73">
            <v>0</v>
          </cell>
          <cell r="S73">
            <v>0</v>
          </cell>
          <cell r="T73" t="str">
            <v>×</v>
          </cell>
        </row>
        <row r="74">
          <cell r="B74">
            <v>83</v>
          </cell>
          <cell r="C74" t="str">
            <v>名古屋</v>
          </cell>
          <cell r="D74" t="str">
            <v>名古屋市</v>
          </cell>
          <cell r="E74" t="str">
            <v>R&amp;Bホテル名古屋駅前</v>
          </cell>
          <cell r="F74" t="str">
            <v>愛知県名古屋市中村区名駅南1-19-19</v>
          </cell>
          <cell r="G74" t="str">
            <v>メディア</v>
          </cell>
          <cell r="H74" t="str">
            <v>不可</v>
          </cell>
          <cell r="I74" t="str">
            <v>可</v>
          </cell>
          <cell r="J74">
            <v>238</v>
          </cell>
          <cell r="K74">
            <v>70</v>
          </cell>
          <cell r="L74">
            <v>0.29411764705882354</v>
          </cell>
          <cell r="M74" t="str">
            <v>○</v>
          </cell>
          <cell r="N74" t="str">
            <v>×</v>
          </cell>
          <cell r="O74" t="str">
            <v>×</v>
          </cell>
          <cell r="P74">
            <v>74</v>
          </cell>
          <cell r="Q74">
            <v>0</v>
          </cell>
          <cell r="R74">
            <v>0</v>
          </cell>
          <cell r="S74">
            <v>0</v>
          </cell>
          <cell r="T74" t="str">
            <v>×</v>
          </cell>
        </row>
        <row r="75">
          <cell r="B75">
            <v>84</v>
          </cell>
          <cell r="C75" t="str">
            <v>名古屋</v>
          </cell>
          <cell r="D75" t="str">
            <v>名古屋市</v>
          </cell>
          <cell r="E75" t="str">
            <v>コンフォートホテル名古屋名駅南</v>
          </cell>
          <cell r="F75" t="str">
            <v>愛知県名古屋市中村区名駅南1-14-16</v>
          </cell>
          <cell r="G75" t="str">
            <v>メディア</v>
          </cell>
          <cell r="H75" t="str">
            <v>不可</v>
          </cell>
          <cell r="I75" t="str">
            <v>可</v>
          </cell>
          <cell r="J75">
            <v>178</v>
          </cell>
          <cell r="K75">
            <v>50</v>
          </cell>
          <cell r="L75">
            <v>0.2808988764044944</v>
          </cell>
          <cell r="M75" t="str">
            <v>○</v>
          </cell>
          <cell r="N75" t="str">
            <v>×</v>
          </cell>
          <cell r="O75" t="str">
            <v>×</v>
          </cell>
          <cell r="P75">
            <v>77</v>
          </cell>
          <cell r="Q75">
            <v>0</v>
          </cell>
          <cell r="R75">
            <v>0</v>
          </cell>
          <cell r="S75">
            <v>0</v>
          </cell>
          <cell r="T75" t="str">
            <v>×</v>
          </cell>
        </row>
        <row r="76">
          <cell r="B76">
            <v>86</v>
          </cell>
          <cell r="C76" t="str">
            <v>名古屋</v>
          </cell>
          <cell r="D76" t="str">
            <v>名古屋市</v>
          </cell>
          <cell r="E76" t="str">
            <v>名古屋伏見モンブランホテル</v>
          </cell>
          <cell r="F76" t="str">
            <v>愛知県名古屋市中区栄2-2-26</v>
          </cell>
          <cell r="G76" t="str">
            <v>その他 ※1</v>
          </cell>
          <cell r="H76" t="str">
            <v>不可</v>
          </cell>
          <cell r="I76" t="str">
            <v>可</v>
          </cell>
          <cell r="J76">
            <v>145</v>
          </cell>
          <cell r="K76">
            <v>36</v>
          </cell>
          <cell r="L76">
            <v>0.24827586206896551</v>
          </cell>
          <cell r="M76" t="str">
            <v>○</v>
          </cell>
          <cell r="N76" t="str">
            <v>×</v>
          </cell>
          <cell r="O76" t="str">
            <v>×</v>
          </cell>
          <cell r="P76">
            <v>45</v>
          </cell>
          <cell r="Q76">
            <v>2</v>
          </cell>
          <cell r="R76">
            <v>1</v>
          </cell>
          <cell r="S76">
            <v>1</v>
          </cell>
          <cell r="T76" t="str">
            <v>×</v>
          </cell>
        </row>
        <row r="77">
          <cell r="B77">
            <v>87</v>
          </cell>
          <cell r="C77" t="str">
            <v>名古屋</v>
          </cell>
          <cell r="D77" t="str">
            <v>名古屋市</v>
          </cell>
          <cell r="E77" t="str">
            <v>名古屋栄グリーンホテル</v>
          </cell>
          <cell r="F77" t="str">
            <v>愛知県名古屋市中区錦3丁目17-26</v>
          </cell>
          <cell r="G77" t="str">
            <v>その他 ※1</v>
          </cell>
          <cell r="H77" t="str">
            <v>不可</v>
          </cell>
          <cell r="I77" t="str">
            <v>不可</v>
          </cell>
          <cell r="J77">
            <v>144</v>
          </cell>
          <cell r="K77">
            <v>0</v>
          </cell>
          <cell r="L77">
            <v>0</v>
          </cell>
          <cell r="M77" t="str">
            <v>○</v>
          </cell>
          <cell r="N77" t="str">
            <v>×</v>
          </cell>
          <cell r="O77" t="str">
            <v>×</v>
          </cell>
          <cell r="P77">
            <v>40</v>
          </cell>
          <cell r="Q77">
            <v>0</v>
          </cell>
          <cell r="R77">
            <v>0</v>
          </cell>
          <cell r="S77">
            <v>0</v>
          </cell>
          <cell r="T77" t="str">
            <v>×</v>
          </cell>
        </row>
        <row r="78">
          <cell r="B78">
            <v>90</v>
          </cell>
          <cell r="C78" t="str">
            <v>名古屋</v>
          </cell>
          <cell r="D78" t="str">
            <v>名古屋市</v>
          </cell>
          <cell r="E78" t="str">
            <v>名古屋観光ホテル</v>
          </cell>
          <cell r="F78" t="str">
            <v>愛知県名古屋市中区錦1-19-30</v>
          </cell>
          <cell r="G78" t="str">
            <v>OCAファミリー・スポンサー</v>
          </cell>
          <cell r="H78" t="str">
            <v>不可</v>
          </cell>
          <cell r="I78" t="str">
            <v>可</v>
          </cell>
          <cell r="J78">
            <v>233</v>
          </cell>
          <cell r="K78">
            <v>230</v>
          </cell>
          <cell r="L78">
            <v>0.98712446351931327</v>
          </cell>
          <cell r="M78" t="str">
            <v>○</v>
          </cell>
          <cell r="N78" t="str">
            <v>○</v>
          </cell>
          <cell r="O78" t="str">
            <v>○</v>
          </cell>
          <cell r="P78">
            <v>116</v>
          </cell>
          <cell r="Q78">
            <v>8</v>
          </cell>
          <cell r="R78">
            <v>22</v>
          </cell>
          <cell r="S78">
            <v>22</v>
          </cell>
          <cell r="T78" t="str">
            <v>○</v>
          </cell>
        </row>
        <row r="79">
          <cell r="B79">
            <v>92</v>
          </cell>
          <cell r="C79" t="str">
            <v>名古屋</v>
          </cell>
          <cell r="D79" t="str">
            <v>名古屋市</v>
          </cell>
          <cell r="E79" t="str">
            <v>国家公務員共済組合連合会 名古屋共済会館</v>
          </cell>
          <cell r="F79" t="str">
            <v>愛知県名古屋市中区三の丸1-5-1</v>
          </cell>
          <cell r="G79" t="str">
            <v>技術役員（TD/ITO/NTO）</v>
          </cell>
          <cell r="H79" t="str">
            <v>可</v>
          </cell>
          <cell r="I79" t="str">
            <v>可</v>
          </cell>
          <cell r="J79">
            <v>106</v>
          </cell>
          <cell r="K79">
            <v>106</v>
          </cell>
          <cell r="L79">
            <v>1</v>
          </cell>
          <cell r="M79" t="str">
            <v>○</v>
          </cell>
          <cell r="N79" t="str">
            <v>○</v>
          </cell>
          <cell r="O79" t="str">
            <v>○</v>
          </cell>
          <cell r="P79">
            <v>48</v>
          </cell>
          <cell r="Q79">
            <v>1</v>
          </cell>
          <cell r="R79">
            <v>8</v>
          </cell>
          <cell r="S79" t="str">
            <v>提供未定</v>
          </cell>
          <cell r="T79" t="str">
            <v>○</v>
          </cell>
        </row>
        <row r="80">
          <cell r="B80">
            <v>93</v>
          </cell>
          <cell r="C80" t="str">
            <v>名古屋</v>
          </cell>
          <cell r="D80" t="str">
            <v>名古屋市</v>
          </cell>
          <cell r="E80" t="str">
            <v>都心の天然温泉　名古屋クラウンホテル</v>
          </cell>
          <cell r="F80" t="str">
            <v>愛知県名古屋市中区栄1-8-33</v>
          </cell>
          <cell r="G80" t="str">
            <v>技術役員（TD/ITO/NTO）</v>
          </cell>
          <cell r="H80" t="str">
            <v>不可</v>
          </cell>
          <cell r="I80" t="str">
            <v>可</v>
          </cell>
          <cell r="J80">
            <v>592</v>
          </cell>
          <cell r="K80">
            <v>300</v>
          </cell>
          <cell r="L80">
            <v>0.5067567567567568</v>
          </cell>
          <cell r="M80" t="str">
            <v>○</v>
          </cell>
          <cell r="N80" t="str">
            <v>×</v>
          </cell>
          <cell r="O80" t="str">
            <v>○</v>
          </cell>
          <cell r="P80">
            <v>120</v>
          </cell>
          <cell r="Q80">
            <v>1</v>
          </cell>
          <cell r="R80">
            <v>19</v>
          </cell>
          <cell r="S80">
            <v>8</v>
          </cell>
          <cell r="T80" t="str">
            <v>×</v>
          </cell>
        </row>
        <row r="81">
          <cell r="B81">
            <v>94</v>
          </cell>
          <cell r="C81" t="str">
            <v>名古屋</v>
          </cell>
          <cell r="D81" t="str">
            <v>名古屋市</v>
          </cell>
          <cell r="E81" t="str">
            <v>ヒルトン名古屋</v>
          </cell>
          <cell r="F81" t="str">
            <v>愛知県名古屋市中区栄1-3-3</v>
          </cell>
          <cell r="G81" t="str">
            <v>OCAファミリー・スポンサー</v>
          </cell>
          <cell r="H81" t="str">
            <v>不可</v>
          </cell>
          <cell r="I81" t="str">
            <v>可</v>
          </cell>
          <cell r="J81">
            <v>460</v>
          </cell>
          <cell r="K81">
            <v>370</v>
          </cell>
          <cell r="L81">
            <v>0.80434782608695654</v>
          </cell>
          <cell r="M81" t="str">
            <v>○</v>
          </cell>
          <cell r="N81" t="str">
            <v>○</v>
          </cell>
          <cell r="O81" t="str">
            <v>○</v>
          </cell>
          <cell r="P81">
            <v>240</v>
          </cell>
          <cell r="Q81">
            <v>7</v>
          </cell>
          <cell r="R81">
            <v>16</v>
          </cell>
          <cell r="S81">
            <v>16</v>
          </cell>
          <cell r="T81" t="str">
            <v>○</v>
          </cell>
        </row>
        <row r="82">
          <cell r="B82">
            <v>95</v>
          </cell>
          <cell r="C82" t="str">
            <v>名古屋</v>
          </cell>
          <cell r="D82" t="str">
            <v>名古屋市</v>
          </cell>
          <cell r="E82" t="str">
            <v>ホテルトラスティ名古屋白川</v>
          </cell>
          <cell r="F82" t="str">
            <v>愛知県名古屋市中区栄2-7-13 ヴィア白川内</v>
          </cell>
          <cell r="G82" t="str">
            <v>メディア</v>
          </cell>
          <cell r="H82" t="str">
            <v>不可</v>
          </cell>
          <cell r="I82" t="str">
            <v>可</v>
          </cell>
          <cell r="J82">
            <v>105</v>
          </cell>
          <cell r="K82">
            <v>35</v>
          </cell>
          <cell r="L82">
            <v>0.33333333333333331</v>
          </cell>
          <cell r="M82" t="str">
            <v>×</v>
          </cell>
          <cell r="N82" t="str">
            <v>×</v>
          </cell>
          <cell r="O82" t="str">
            <v>×</v>
          </cell>
          <cell r="P82">
            <v>0</v>
          </cell>
          <cell r="Q82">
            <v>0</v>
          </cell>
          <cell r="R82">
            <v>0</v>
          </cell>
          <cell r="S82">
            <v>0</v>
          </cell>
          <cell r="T82" t="str">
            <v>×</v>
          </cell>
        </row>
        <row r="83">
          <cell r="B83">
            <v>96</v>
          </cell>
          <cell r="C83" t="str">
            <v>名古屋</v>
          </cell>
          <cell r="D83" t="str">
            <v>名古屋市</v>
          </cell>
          <cell r="E83" t="str">
            <v>アイリス 愛知</v>
          </cell>
          <cell r="F83" t="str">
            <v>愛知県名古屋市中区丸の内2丁目5-10</v>
          </cell>
          <cell r="G83" t="str">
            <v>技術役員（TD/ITO/NTO）</v>
          </cell>
          <cell r="H83" t="str">
            <v>不可</v>
          </cell>
          <cell r="I83" t="str">
            <v>不可</v>
          </cell>
          <cell r="J83">
            <v>72</v>
          </cell>
          <cell r="K83">
            <v>34</v>
          </cell>
          <cell r="L83">
            <v>0.47222222222222221</v>
          </cell>
          <cell r="M83" t="str">
            <v>○</v>
          </cell>
          <cell r="N83" t="str">
            <v>○</v>
          </cell>
          <cell r="O83" t="str">
            <v>○</v>
          </cell>
          <cell r="P83">
            <v>72</v>
          </cell>
          <cell r="Q83">
            <v>3</v>
          </cell>
          <cell r="R83">
            <v>17</v>
          </cell>
          <cell r="S83" t="str">
            <v>提供不可</v>
          </cell>
          <cell r="T83" t="str">
            <v>○</v>
          </cell>
        </row>
        <row r="84">
          <cell r="B84">
            <v>98</v>
          </cell>
          <cell r="C84" t="str">
            <v>名古屋</v>
          </cell>
          <cell r="D84" t="str">
            <v>名古屋市</v>
          </cell>
          <cell r="E84" t="str">
            <v>東横INN名古屋錦</v>
          </cell>
          <cell r="F84" t="str">
            <v>愛知県名古屋市中区錦3-9-3</v>
          </cell>
          <cell r="G84" t="str">
            <v>メディア</v>
          </cell>
          <cell r="H84" t="str">
            <v>不可</v>
          </cell>
          <cell r="I84" t="str">
            <v>可</v>
          </cell>
          <cell r="J84">
            <v>97</v>
          </cell>
          <cell r="K84">
            <v>42</v>
          </cell>
          <cell r="L84">
            <v>0.4329896907216495</v>
          </cell>
          <cell r="M84" t="str">
            <v>○</v>
          </cell>
          <cell r="N84" t="str">
            <v>×</v>
          </cell>
          <cell r="O84" t="str">
            <v>×</v>
          </cell>
          <cell r="P84">
            <v>26</v>
          </cell>
          <cell r="Q84">
            <v>0</v>
          </cell>
          <cell r="R84">
            <v>0</v>
          </cell>
          <cell r="S84">
            <v>0</v>
          </cell>
          <cell r="T84" t="str">
            <v>×</v>
          </cell>
        </row>
        <row r="85">
          <cell r="B85">
            <v>99</v>
          </cell>
          <cell r="C85" t="str">
            <v>名古屋</v>
          </cell>
          <cell r="D85" t="str">
            <v>名古屋市</v>
          </cell>
          <cell r="E85" t="str">
            <v>名古屋ガーデンパレス</v>
          </cell>
          <cell r="F85" t="str">
            <v>愛知県名古屋市中区錦3丁目11-13</v>
          </cell>
          <cell r="G85" t="str">
            <v>その他 ※1</v>
          </cell>
          <cell r="H85" t="str">
            <v>不可</v>
          </cell>
          <cell r="I85" t="str">
            <v>不可</v>
          </cell>
          <cell r="J85">
            <v>170</v>
          </cell>
          <cell r="K85">
            <v>50</v>
          </cell>
          <cell r="L85">
            <v>0.29411764705882354</v>
          </cell>
          <cell r="M85" t="str">
            <v>○</v>
          </cell>
          <cell r="N85" t="str">
            <v>×</v>
          </cell>
          <cell r="O85" t="str">
            <v>×</v>
          </cell>
          <cell r="P85">
            <v>30</v>
          </cell>
          <cell r="Q85">
            <v>2</v>
          </cell>
          <cell r="R85">
            <v>10</v>
          </cell>
          <cell r="S85" t="str">
            <v>提供未定</v>
          </cell>
          <cell r="T85" t="str">
            <v>×</v>
          </cell>
        </row>
        <row r="86">
          <cell r="B86">
            <v>100</v>
          </cell>
          <cell r="C86" t="str">
            <v>名古屋</v>
          </cell>
          <cell r="D86" t="str">
            <v>名古屋市</v>
          </cell>
          <cell r="E86" t="str">
            <v>名古屋ガーランドホテル</v>
          </cell>
          <cell r="F86" t="str">
            <v>愛知県名古屋市中区栄3-9-6</v>
          </cell>
          <cell r="G86" t="str">
            <v>メディア</v>
          </cell>
          <cell r="H86" t="str">
            <v>可</v>
          </cell>
          <cell r="I86" t="str">
            <v>可</v>
          </cell>
          <cell r="J86">
            <v>159</v>
          </cell>
          <cell r="K86">
            <v>159</v>
          </cell>
          <cell r="L86">
            <v>1</v>
          </cell>
          <cell r="M86" t="str">
            <v>○</v>
          </cell>
          <cell r="N86" t="str">
            <v>×</v>
          </cell>
          <cell r="O86" t="str">
            <v>×</v>
          </cell>
          <cell r="P86">
            <v>31</v>
          </cell>
          <cell r="Q86">
            <v>0</v>
          </cell>
          <cell r="R86">
            <v>0</v>
          </cell>
          <cell r="S86">
            <v>0</v>
          </cell>
          <cell r="T86" t="str">
            <v>×</v>
          </cell>
        </row>
        <row r="87">
          <cell r="B87">
            <v>101</v>
          </cell>
          <cell r="C87" t="str">
            <v>名古屋</v>
          </cell>
          <cell r="D87" t="str">
            <v>名古屋市</v>
          </cell>
          <cell r="E87" t="str">
            <v>東京第一ホテル錦</v>
          </cell>
          <cell r="F87" t="str">
            <v>愛知県名古屋市中区錦3-18-21</v>
          </cell>
          <cell r="G87" t="str">
            <v>技術役員（TD/ITO/NTO）</v>
          </cell>
          <cell r="H87" t="str">
            <v>不可</v>
          </cell>
          <cell r="I87" t="str">
            <v>可</v>
          </cell>
          <cell r="J87">
            <v>233</v>
          </cell>
          <cell r="K87">
            <v>50</v>
          </cell>
          <cell r="L87">
            <v>0.21459227467811159</v>
          </cell>
          <cell r="M87" t="str">
            <v>○</v>
          </cell>
          <cell r="N87" t="str">
            <v>×</v>
          </cell>
          <cell r="O87" t="str">
            <v>○</v>
          </cell>
          <cell r="P87">
            <v>100</v>
          </cell>
          <cell r="Q87">
            <v>0</v>
          </cell>
          <cell r="R87">
            <v>6</v>
          </cell>
          <cell r="S87">
            <v>4</v>
          </cell>
          <cell r="T87" t="str">
            <v>×</v>
          </cell>
        </row>
        <row r="88">
          <cell r="B88">
            <v>102</v>
          </cell>
          <cell r="C88" t="str">
            <v>名古屋</v>
          </cell>
          <cell r="D88" t="str">
            <v>名古屋市</v>
          </cell>
          <cell r="E88" t="str">
            <v>東横INN名古屋丸の内</v>
          </cell>
          <cell r="F88" t="str">
            <v>愛知県名古屋市中区丸の内1-4-20</v>
          </cell>
          <cell r="G88" t="str">
            <v>技術役員（TD/ITO/NTO）</v>
          </cell>
          <cell r="H88" t="str">
            <v>不可</v>
          </cell>
          <cell r="I88" t="str">
            <v>可</v>
          </cell>
          <cell r="J88">
            <v>236</v>
          </cell>
          <cell r="K88">
            <v>140</v>
          </cell>
          <cell r="L88">
            <v>0.59322033898305082</v>
          </cell>
          <cell r="M88" t="str">
            <v>○</v>
          </cell>
          <cell r="N88" t="str">
            <v>×</v>
          </cell>
          <cell r="O88" t="str">
            <v>×</v>
          </cell>
          <cell r="P88">
            <v>50</v>
          </cell>
          <cell r="Q88">
            <v>0</v>
          </cell>
          <cell r="R88">
            <v>1</v>
          </cell>
          <cell r="S88">
            <v>1</v>
          </cell>
          <cell r="T88" t="str">
            <v>×</v>
          </cell>
        </row>
        <row r="89">
          <cell r="B89">
            <v>103</v>
          </cell>
          <cell r="C89" t="str">
            <v>名古屋</v>
          </cell>
          <cell r="D89" t="str">
            <v>名古屋市</v>
          </cell>
          <cell r="E89" t="str">
            <v>名古屋ビーズホテル</v>
          </cell>
          <cell r="F89" t="str">
            <v>愛知県名古屋市中区錦1-16-2</v>
          </cell>
          <cell r="G89" t="str">
            <v>メディア</v>
          </cell>
          <cell r="H89" t="str">
            <v>不可</v>
          </cell>
          <cell r="I89" t="str">
            <v>可</v>
          </cell>
          <cell r="J89">
            <v>324</v>
          </cell>
          <cell r="K89">
            <v>86</v>
          </cell>
          <cell r="L89">
            <v>0.26543209876543211</v>
          </cell>
          <cell r="M89" t="str">
            <v>○</v>
          </cell>
          <cell r="N89" t="str">
            <v>×</v>
          </cell>
          <cell r="O89" t="str">
            <v>×</v>
          </cell>
          <cell r="P89">
            <v>70</v>
          </cell>
          <cell r="Q89">
            <v>0</v>
          </cell>
          <cell r="R89">
            <v>0</v>
          </cell>
          <cell r="S89">
            <v>0</v>
          </cell>
          <cell r="T89" t="str">
            <v>×</v>
          </cell>
        </row>
        <row r="90">
          <cell r="B90">
            <v>104</v>
          </cell>
          <cell r="C90" t="str">
            <v>名古屋</v>
          </cell>
          <cell r="D90" t="str">
            <v>名古屋市</v>
          </cell>
          <cell r="E90" t="str">
            <v>名古屋栄ワシントンホテルプラザ</v>
          </cell>
          <cell r="F90" t="str">
            <v>愛知県名古屋市中区栄3-1-32</v>
          </cell>
          <cell r="G90" t="str">
            <v>メディア</v>
          </cell>
          <cell r="H90" t="str">
            <v>不可</v>
          </cell>
          <cell r="I90" t="str">
            <v>可</v>
          </cell>
          <cell r="J90">
            <v>308</v>
          </cell>
          <cell r="K90">
            <v>50</v>
          </cell>
          <cell r="L90">
            <v>0.16233766233766234</v>
          </cell>
          <cell r="M90" t="str">
            <v>○</v>
          </cell>
          <cell r="N90" t="str">
            <v>×</v>
          </cell>
          <cell r="O90" t="str">
            <v>×</v>
          </cell>
          <cell r="P90">
            <v>87</v>
          </cell>
          <cell r="Q90">
            <v>0</v>
          </cell>
          <cell r="R90">
            <v>0</v>
          </cell>
          <cell r="S90">
            <v>0</v>
          </cell>
          <cell r="T90" t="str">
            <v>×</v>
          </cell>
        </row>
        <row r="91">
          <cell r="B91">
            <v>105</v>
          </cell>
          <cell r="C91" t="str">
            <v>名古屋</v>
          </cell>
          <cell r="D91" t="str">
            <v>名古屋市</v>
          </cell>
          <cell r="E91" t="str">
            <v>ANAクラウンプラザホテル　グランコート名古屋</v>
          </cell>
          <cell r="F91" t="str">
            <v>愛知県名古屋市中区金山町1-1-1</v>
          </cell>
          <cell r="G91" t="str">
            <v>OCAファミリー・スポンサー</v>
          </cell>
          <cell r="H91" t="str">
            <v>不可</v>
          </cell>
          <cell r="I91" t="str">
            <v>可</v>
          </cell>
          <cell r="J91">
            <v>245</v>
          </cell>
          <cell r="K91">
            <v>100</v>
          </cell>
          <cell r="L91">
            <v>0.40816326530612246</v>
          </cell>
          <cell r="M91" t="str">
            <v>○</v>
          </cell>
          <cell r="N91" t="str">
            <v>○</v>
          </cell>
          <cell r="O91" t="str">
            <v>○</v>
          </cell>
          <cell r="P91">
            <v>154</v>
          </cell>
          <cell r="Q91">
            <v>7</v>
          </cell>
          <cell r="R91">
            <v>19</v>
          </cell>
          <cell r="S91">
            <v>19</v>
          </cell>
          <cell r="T91" t="str">
            <v>×</v>
          </cell>
        </row>
        <row r="92">
          <cell r="B92">
            <v>106</v>
          </cell>
          <cell r="C92" t="str">
            <v>名古屋</v>
          </cell>
          <cell r="D92" t="str">
            <v>名古屋市</v>
          </cell>
          <cell r="E92" t="str">
            <v>R&amp;Bホテル名古屋錦</v>
          </cell>
          <cell r="F92" t="str">
            <v>愛知県名古屋市中区錦3-2-13</v>
          </cell>
          <cell r="G92" t="str">
            <v>メディア</v>
          </cell>
          <cell r="H92" t="str">
            <v>不可</v>
          </cell>
          <cell r="I92" t="str">
            <v>可</v>
          </cell>
          <cell r="J92">
            <v>204</v>
          </cell>
          <cell r="K92">
            <v>60</v>
          </cell>
          <cell r="L92">
            <v>0.29411764705882354</v>
          </cell>
          <cell r="M92" t="str">
            <v>○</v>
          </cell>
          <cell r="N92" t="str">
            <v>×</v>
          </cell>
          <cell r="O92" t="str">
            <v>×</v>
          </cell>
          <cell r="P92">
            <v>45</v>
          </cell>
          <cell r="Q92">
            <v>0</v>
          </cell>
          <cell r="R92">
            <v>0</v>
          </cell>
          <cell r="S92">
            <v>0</v>
          </cell>
          <cell r="T92" t="str">
            <v>×</v>
          </cell>
        </row>
        <row r="93">
          <cell r="B93">
            <v>107</v>
          </cell>
          <cell r="C93" t="str">
            <v>名古屋</v>
          </cell>
          <cell r="D93" t="str">
            <v>名古屋市</v>
          </cell>
          <cell r="E93" t="str">
            <v>ホテルランドマーク名古屋</v>
          </cell>
          <cell r="F93" t="str">
            <v>愛知県名古屋市中区錦三丁目18番25号</v>
          </cell>
          <cell r="G93" t="str">
            <v>その他 ※1</v>
          </cell>
          <cell r="H93" t="str">
            <v>不可</v>
          </cell>
          <cell r="I93" t="str">
            <v>可</v>
          </cell>
          <cell r="J93">
            <v>144</v>
          </cell>
          <cell r="K93">
            <v>36</v>
          </cell>
          <cell r="L93">
            <v>0.25</v>
          </cell>
          <cell r="M93" t="str">
            <v>○</v>
          </cell>
          <cell r="N93" t="str">
            <v>×</v>
          </cell>
          <cell r="O93" t="str">
            <v>×</v>
          </cell>
          <cell r="P93">
            <v>35</v>
          </cell>
          <cell r="Q93">
            <v>1</v>
          </cell>
          <cell r="R93">
            <v>0</v>
          </cell>
          <cell r="S93">
            <v>0</v>
          </cell>
          <cell r="T93" t="str">
            <v>×</v>
          </cell>
        </row>
        <row r="94">
          <cell r="B94">
            <v>108</v>
          </cell>
          <cell r="C94" t="str">
            <v>名古屋</v>
          </cell>
          <cell r="D94" t="str">
            <v>名古屋市</v>
          </cell>
          <cell r="E94" t="str">
            <v>R&amp;Bホテル名古屋栄東</v>
          </cell>
          <cell r="F94" t="str">
            <v>愛知県名古屋市中区栄4-3-5</v>
          </cell>
          <cell r="G94" t="str">
            <v>メディア</v>
          </cell>
          <cell r="H94" t="str">
            <v>不可</v>
          </cell>
          <cell r="I94" t="str">
            <v>可</v>
          </cell>
          <cell r="J94">
            <v>205</v>
          </cell>
          <cell r="K94">
            <v>60</v>
          </cell>
          <cell r="L94">
            <v>0.29268292682926828</v>
          </cell>
          <cell r="M94" t="str">
            <v>○</v>
          </cell>
          <cell r="N94" t="str">
            <v>×</v>
          </cell>
          <cell r="O94" t="str">
            <v>×</v>
          </cell>
          <cell r="P94">
            <v>26</v>
          </cell>
          <cell r="Q94">
            <v>0</v>
          </cell>
          <cell r="R94">
            <v>0</v>
          </cell>
          <cell r="S94">
            <v>0</v>
          </cell>
          <cell r="T94" t="str">
            <v>×</v>
          </cell>
        </row>
        <row r="95">
          <cell r="B95">
            <v>110</v>
          </cell>
          <cell r="C95" t="str">
            <v>名古屋</v>
          </cell>
          <cell r="D95" t="str">
            <v>名古屋市</v>
          </cell>
          <cell r="E95" t="str">
            <v>ホテルトラスティ名古屋栄</v>
          </cell>
          <cell r="F95" t="str">
            <v>愛知県名古屋市中区錦3-15-21</v>
          </cell>
          <cell r="G95" t="str">
            <v>NOC</v>
          </cell>
          <cell r="H95" t="str">
            <v>不可</v>
          </cell>
          <cell r="I95" t="str">
            <v>可</v>
          </cell>
          <cell r="J95">
            <v>194</v>
          </cell>
          <cell r="K95">
            <v>93</v>
          </cell>
          <cell r="L95">
            <v>0.47938144329896909</v>
          </cell>
          <cell r="M95" t="str">
            <v>○</v>
          </cell>
          <cell r="N95" t="str">
            <v>○</v>
          </cell>
          <cell r="O95" t="str">
            <v>○</v>
          </cell>
          <cell r="P95">
            <v>30</v>
          </cell>
          <cell r="Q95">
            <v>1</v>
          </cell>
          <cell r="R95">
            <v>1</v>
          </cell>
          <cell r="S95">
            <v>1</v>
          </cell>
          <cell r="T95" t="str">
            <v>×</v>
          </cell>
        </row>
        <row r="96">
          <cell r="B96">
            <v>111</v>
          </cell>
          <cell r="C96" t="str">
            <v>名古屋</v>
          </cell>
          <cell r="D96" t="str">
            <v>名古屋市</v>
          </cell>
          <cell r="E96" t="str">
            <v>アパホテル&lt;名古屋錦&gt; EXCELLENT</v>
          </cell>
          <cell r="F96" t="str">
            <v>愛知県名古屋市中区錦3-15-30</v>
          </cell>
          <cell r="G96" t="str">
            <v>メディア</v>
          </cell>
          <cell r="H96" t="str">
            <v>可</v>
          </cell>
          <cell r="I96" t="str">
            <v>不可</v>
          </cell>
          <cell r="J96">
            <v>250</v>
          </cell>
          <cell r="K96">
            <v>250</v>
          </cell>
          <cell r="L96">
            <v>1</v>
          </cell>
          <cell r="M96" t="str">
            <v>○</v>
          </cell>
          <cell r="N96" t="str">
            <v>×</v>
          </cell>
          <cell r="O96" t="str">
            <v>×</v>
          </cell>
          <cell r="P96">
            <v>26</v>
          </cell>
          <cell r="Q96">
            <v>2</v>
          </cell>
          <cell r="R96">
            <v>4</v>
          </cell>
          <cell r="S96" t="str">
            <v>別会社の為提供不明</v>
          </cell>
          <cell r="T96" t="str">
            <v>×</v>
          </cell>
        </row>
        <row r="97">
          <cell r="B97">
            <v>112</v>
          </cell>
          <cell r="C97" t="str">
            <v>名古屋</v>
          </cell>
          <cell r="D97" t="str">
            <v>名古屋市</v>
          </cell>
          <cell r="E97" t="str">
            <v>グレイスイン名古屋</v>
          </cell>
          <cell r="F97" t="str">
            <v>愛知県名古屋市中区錦2-6-30</v>
          </cell>
          <cell r="G97" t="str">
            <v>メディア　※2</v>
          </cell>
          <cell r="H97" t="str">
            <v>不可</v>
          </cell>
          <cell r="I97" t="str">
            <v>不可</v>
          </cell>
          <cell r="J97">
            <v>230</v>
          </cell>
          <cell r="K97">
            <v>0</v>
          </cell>
          <cell r="L97">
            <v>0</v>
          </cell>
          <cell r="M97" t="str">
            <v>○</v>
          </cell>
          <cell r="N97" t="str">
            <v>×</v>
          </cell>
          <cell r="O97" t="str">
            <v>×</v>
          </cell>
          <cell r="P97">
            <v>41</v>
          </cell>
          <cell r="Q97">
            <v>0</v>
          </cell>
          <cell r="R97">
            <v>0</v>
          </cell>
          <cell r="S97">
            <v>0</v>
          </cell>
          <cell r="T97" t="str">
            <v>×</v>
          </cell>
        </row>
        <row r="98">
          <cell r="B98">
            <v>114</v>
          </cell>
          <cell r="C98" t="str">
            <v>名古屋</v>
          </cell>
          <cell r="D98" t="str">
            <v>名古屋市</v>
          </cell>
          <cell r="E98" t="str">
            <v>リッチモンドホテル名古屋納屋橋</v>
          </cell>
          <cell r="F98" t="str">
            <v>愛知県名古屋市中区栄1-2-7</v>
          </cell>
          <cell r="G98" t="str">
            <v>NOC</v>
          </cell>
          <cell r="H98" t="str">
            <v>可</v>
          </cell>
          <cell r="I98" t="str">
            <v>可</v>
          </cell>
          <cell r="J98">
            <v>238</v>
          </cell>
          <cell r="K98">
            <v>238</v>
          </cell>
          <cell r="L98">
            <v>1</v>
          </cell>
          <cell r="M98" t="str">
            <v>○</v>
          </cell>
          <cell r="N98" t="str">
            <v>×</v>
          </cell>
          <cell r="O98" t="str">
            <v>×</v>
          </cell>
          <cell r="P98">
            <v>80</v>
          </cell>
          <cell r="Q98">
            <v>0</v>
          </cell>
          <cell r="R98">
            <v>0</v>
          </cell>
          <cell r="S98">
            <v>0</v>
          </cell>
          <cell r="T98" t="str">
            <v>×</v>
          </cell>
        </row>
        <row r="99">
          <cell r="B99">
            <v>115</v>
          </cell>
          <cell r="C99" t="str">
            <v>名古屋</v>
          </cell>
          <cell r="D99" t="str">
            <v>名古屋市</v>
          </cell>
          <cell r="E99" t="str">
            <v>ザ・ビー名古屋</v>
          </cell>
          <cell r="F99" t="str">
            <v>愛知県名古屋市中区栄4-15-23</v>
          </cell>
          <cell r="G99" t="str">
            <v>メディア</v>
          </cell>
          <cell r="H99" t="str">
            <v>可</v>
          </cell>
          <cell r="I99" t="str">
            <v>可</v>
          </cell>
          <cell r="J99">
            <v>219</v>
          </cell>
          <cell r="K99">
            <v>219</v>
          </cell>
          <cell r="L99">
            <v>1</v>
          </cell>
          <cell r="M99" t="str">
            <v>○</v>
          </cell>
          <cell r="N99" t="str">
            <v>×</v>
          </cell>
          <cell r="O99" t="str">
            <v>×</v>
          </cell>
          <cell r="P99">
            <v>60</v>
          </cell>
          <cell r="Q99">
            <v>0</v>
          </cell>
          <cell r="R99">
            <v>3</v>
          </cell>
          <cell r="S99">
            <v>3</v>
          </cell>
          <cell r="T99" t="str">
            <v>×</v>
          </cell>
        </row>
        <row r="100">
          <cell r="B100">
            <v>116</v>
          </cell>
          <cell r="C100" t="str">
            <v>名古屋</v>
          </cell>
          <cell r="D100" t="str">
            <v>名古屋市</v>
          </cell>
          <cell r="E100" t="str">
            <v>アパヴィラホテル＜名古屋丸の内駅前＞</v>
          </cell>
          <cell r="F100" t="str">
            <v>愛知県名古屋市中区丸の内2-17-28</v>
          </cell>
          <cell r="G100" t="str">
            <v>メディア</v>
          </cell>
          <cell r="H100" t="str">
            <v>不可</v>
          </cell>
          <cell r="I100" t="str">
            <v>可</v>
          </cell>
          <cell r="J100">
            <v>254</v>
          </cell>
          <cell r="K100">
            <v>130</v>
          </cell>
          <cell r="L100">
            <v>0.51181102362204722</v>
          </cell>
          <cell r="M100" t="str">
            <v>○</v>
          </cell>
          <cell r="N100" t="str">
            <v>×</v>
          </cell>
          <cell r="O100" t="str">
            <v>×</v>
          </cell>
          <cell r="P100">
            <v>25</v>
          </cell>
          <cell r="Q100">
            <v>1</v>
          </cell>
          <cell r="R100">
            <v>0</v>
          </cell>
          <cell r="S100">
            <v>0</v>
          </cell>
          <cell r="T100" t="str">
            <v>×</v>
          </cell>
        </row>
        <row r="101">
          <cell r="B101">
            <v>117</v>
          </cell>
          <cell r="C101" t="str">
            <v>名古屋</v>
          </cell>
          <cell r="D101" t="str">
            <v>名古屋市</v>
          </cell>
          <cell r="E101" t="str">
            <v>ホテルウィングインターナショナル名古屋</v>
          </cell>
          <cell r="F101" t="str">
            <v>愛知県名古屋市中区錦1-4-11</v>
          </cell>
          <cell r="G101" t="str">
            <v>技術役員（TD/ITO/NTO）</v>
          </cell>
          <cell r="H101" t="str">
            <v>不可</v>
          </cell>
          <cell r="I101" t="str">
            <v>可</v>
          </cell>
          <cell r="J101">
            <v>224</v>
          </cell>
          <cell r="K101">
            <v>99</v>
          </cell>
          <cell r="L101">
            <v>0.4419642857142857</v>
          </cell>
          <cell r="M101" t="str">
            <v>○</v>
          </cell>
          <cell r="N101" t="str">
            <v>○</v>
          </cell>
          <cell r="O101" t="str">
            <v>○</v>
          </cell>
          <cell r="P101">
            <v>40</v>
          </cell>
          <cell r="Q101">
            <v>1</v>
          </cell>
          <cell r="R101">
            <v>4</v>
          </cell>
          <cell r="S101">
            <v>4</v>
          </cell>
          <cell r="T101" t="str">
            <v>×</v>
          </cell>
        </row>
        <row r="102">
          <cell r="B102">
            <v>118</v>
          </cell>
          <cell r="C102" t="str">
            <v>名古屋</v>
          </cell>
          <cell r="D102" t="str">
            <v>名古屋市</v>
          </cell>
          <cell r="E102" t="str">
            <v>ホテルルートイン名古屋東別院</v>
          </cell>
          <cell r="F102" t="str">
            <v>愛知県名古屋市中区富士見町1-26</v>
          </cell>
          <cell r="G102" t="str">
            <v>メディア</v>
          </cell>
          <cell r="H102" t="str">
            <v>不可</v>
          </cell>
          <cell r="I102" t="str">
            <v>可</v>
          </cell>
          <cell r="J102">
            <v>230</v>
          </cell>
          <cell r="K102">
            <v>110</v>
          </cell>
          <cell r="L102">
            <v>0.47826086956521741</v>
          </cell>
          <cell r="M102" t="str">
            <v>○</v>
          </cell>
          <cell r="N102" t="str">
            <v>×</v>
          </cell>
          <cell r="O102" t="str">
            <v>○</v>
          </cell>
          <cell r="P102">
            <v>45</v>
          </cell>
          <cell r="Q102">
            <v>1</v>
          </cell>
          <cell r="R102">
            <v>0</v>
          </cell>
          <cell r="S102">
            <v>0</v>
          </cell>
          <cell r="T102" t="str">
            <v>×</v>
          </cell>
        </row>
        <row r="103">
          <cell r="B103">
            <v>119</v>
          </cell>
          <cell r="C103" t="str">
            <v>名古屋</v>
          </cell>
          <cell r="D103" t="str">
            <v>名古屋市</v>
          </cell>
          <cell r="E103" t="str">
            <v>ラグナスイート名古屋 ホテル&amp;ウエディング</v>
          </cell>
          <cell r="F103" t="str">
            <v>愛知県名古屋市中区錦3-12-13</v>
          </cell>
          <cell r="G103" t="str">
            <v>メディア</v>
          </cell>
          <cell r="H103" t="str">
            <v>不可</v>
          </cell>
          <cell r="I103" t="str">
            <v>可</v>
          </cell>
          <cell r="J103">
            <v>76</v>
          </cell>
          <cell r="K103">
            <v>76</v>
          </cell>
          <cell r="L103">
            <v>1</v>
          </cell>
          <cell r="M103" t="str">
            <v>○</v>
          </cell>
          <cell r="N103" t="str">
            <v>×</v>
          </cell>
          <cell r="O103" t="str">
            <v>×</v>
          </cell>
          <cell r="P103">
            <v>0</v>
          </cell>
          <cell r="Q103">
            <v>0</v>
          </cell>
          <cell r="R103">
            <v>3</v>
          </cell>
          <cell r="S103" t="str">
            <v>提供不可</v>
          </cell>
          <cell r="T103" t="str">
            <v>×</v>
          </cell>
        </row>
        <row r="104">
          <cell r="B104">
            <v>120</v>
          </cell>
          <cell r="C104" t="str">
            <v>名古屋</v>
          </cell>
          <cell r="D104" t="str">
            <v>名古屋市</v>
          </cell>
          <cell r="E104" t="str">
            <v>名鉄イン名古屋金山</v>
          </cell>
          <cell r="F104" t="str">
            <v>愛知県名古屋市中区金山1-11-7</v>
          </cell>
          <cell r="G104" t="str">
            <v>メディア</v>
          </cell>
          <cell r="H104" t="str">
            <v>不可</v>
          </cell>
          <cell r="I104" t="str">
            <v>可</v>
          </cell>
          <cell r="J104">
            <v>235</v>
          </cell>
          <cell r="K104">
            <v>50</v>
          </cell>
          <cell r="L104">
            <v>0.21276595744680851</v>
          </cell>
          <cell r="M104" t="str">
            <v>○</v>
          </cell>
          <cell r="N104" t="str">
            <v>×</v>
          </cell>
          <cell r="O104" t="str">
            <v>×</v>
          </cell>
          <cell r="P104">
            <v>44</v>
          </cell>
          <cell r="Q104">
            <v>0</v>
          </cell>
          <cell r="R104">
            <v>1</v>
          </cell>
          <cell r="S104">
            <v>1</v>
          </cell>
          <cell r="T104" t="str">
            <v>×</v>
          </cell>
        </row>
        <row r="105">
          <cell r="B105">
            <v>121</v>
          </cell>
          <cell r="C105" t="str">
            <v>名古屋</v>
          </cell>
          <cell r="D105" t="str">
            <v>名古屋市</v>
          </cell>
          <cell r="E105" t="str">
            <v>名古屋東急ホテル</v>
          </cell>
          <cell r="F105" t="str">
            <v>愛知県名古屋市中区栄4-6-8</v>
          </cell>
          <cell r="G105" t="str">
            <v>OCAファミリー・スポンサー</v>
          </cell>
          <cell r="H105" t="str">
            <v>不可</v>
          </cell>
          <cell r="I105" t="str">
            <v>可</v>
          </cell>
          <cell r="J105">
            <v>565</v>
          </cell>
          <cell r="K105">
            <v>284</v>
          </cell>
          <cell r="L105">
            <v>0.50265486725663722</v>
          </cell>
          <cell r="M105" t="str">
            <v>○</v>
          </cell>
          <cell r="N105" t="str">
            <v>○</v>
          </cell>
          <cell r="O105" t="str">
            <v>○</v>
          </cell>
          <cell r="P105">
            <v>116</v>
          </cell>
          <cell r="Q105">
            <v>8</v>
          </cell>
          <cell r="R105">
            <v>15</v>
          </cell>
          <cell r="S105" t="str">
            <v>提供未定</v>
          </cell>
          <cell r="T105" t="str">
            <v>○</v>
          </cell>
        </row>
        <row r="106">
          <cell r="B106">
            <v>122</v>
          </cell>
          <cell r="C106" t="str">
            <v>名古屋</v>
          </cell>
          <cell r="D106" t="str">
            <v>名古屋市</v>
          </cell>
          <cell r="E106" t="str">
            <v>名鉄イン名古屋錦</v>
          </cell>
          <cell r="F106" t="str">
            <v>愛知県名古屋市中区錦3-3-22</v>
          </cell>
          <cell r="G106" t="str">
            <v>メディア</v>
          </cell>
          <cell r="H106" t="str">
            <v>不可</v>
          </cell>
          <cell r="I106" t="str">
            <v>可</v>
          </cell>
          <cell r="J106">
            <v>280</v>
          </cell>
          <cell r="K106">
            <v>70</v>
          </cell>
          <cell r="L106">
            <v>0.25</v>
          </cell>
          <cell r="M106" t="str">
            <v>○</v>
          </cell>
          <cell r="N106" t="str">
            <v>×</v>
          </cell>
          <cell r="O106" t="str">
            <v>×</v>
          </cell>
          <cell r="P106">
            <v>50</v>
          </cell>
          <cell r="Q106">
            <v>0</v>
          </cell>
          <cell r="R106">
            <v>0</v>
          </cell>
          <cell r="S106">
            <v>0</v>
          </cell>
          <cell r="T106" t="str">
            <v>×</v>
          </cell>
        </row>
        <row r="107">
          <cell r="B107">
            <v>123</v>
          </cell>
          <cell r="C107" t="str">
            <v>名古屋</v>
          </cell>
          <cell r="D107" t="str">
            <v>名古屋市</v>
          </cell>
          <cell r="E107" t="str">
            <v>三交イン名古屋伏見</v>
          </cell>
          <cell r="F107" t="str">
            <v>愛知県名古屋市中区栄1-7-7</v>
          </cell>
          <cell r="G107" t="str">
            <v>メディア</v>
          </cell>
          <cell r="H107" t="str">
            <v>不可</v>
          </cell>
          <cell r="I107" t="str">
            <v>不可</v>
          </cell>
          <cell r="J107">
            <v>138</v>
          </cell>
          <cell r="K107">
            <v>50</v>
          </cell>
          <cell r="L107">
            <v>0.36231884057971014</v>
          </cell>
          <cell r="M107" t="str">
            <v>○</v>
          </cell>
          <cell r="N107" t="str">
            <v>×</v>
          </cell>
          <cell r="O107" t="str">
            <v>×</v>
          </cell>
          <cell r="P107">
            <v>25</v>
          </cell>
          <cell r="Q107">
            <v>0</v>
          </cell>
          <cell r="R107">
            <v>0</v>
          </cell>
          <cell r="S107">
            <v>0</v>
          </cell>
          <cell r="T107" t="str">
            <v>×</v>
          </cell>
        </row>
        <row r="108">
          <cell r="B108">
            <v>124</v>
          </cell>
          <cell r="C108" t="str">
            <v>名古屋</v>
          </cell>
          <cell r="D108" t="str">
            <v>名古屋市</v>
          </cell>
          <cell r="E108" t="str">
            <v>ホテルルートイン名古屋栄</v>
          </cell>
          <cell r="F108" t="str">
            <v>愛知県名古屋市中区栄4-7-12</v>
          </cell>
          <cell r="G108" t="str">
            <v>メディア</v>
          </cell>
          <cell r="H108" t="str">
            <v>不可</v>
          </cell>
          <cell r="I108" t="str">
            <v>可</v>
          </cell>
          <cell r="J108">
            <v>363</v>
          </cell>
          <cell r="K108">
            <v>146</v>
          </cell>
          <cell r="L108">
            <v>0.40220385674931131</v>
          </cell>
          <cell r="M108" t="str">
            <v>○</v>
          </cell>
          <cell r="N108" t="str">
            <v>×</v>
          </cell>
          <cell r="O108" t="str">
            <v>×</v>
          </cell>
          <cell r="P108">
            <v>107</v>
          </cell>
          <cell r="Q108">
            <v>0</v>
          </cell>
          <cell r="R108">
            <v>0</v>
          </cell>
          <cell r="S108">
            <v>0</v>
          </cell>
          <cell r="T108" t="str">
            <v>×</v>
          </cell>
        </row>
        <row r="109">
          <cell r="B109">
            <v>125</v>
          </cell>
          <cell r="C109" t="str">
            <v>名古屋</v>
          </cell>
          <cell r="D109" t="str">
            <v>名古屋市</v>
          </cell>
          <cell r="E109" t="str">
            <v>ハミルトンホテル-ブラック-</v>
          </cell>
          <cell r="F109" t="str">
            <v>愛知県名古屋市中区栄1丁目11番17号</v>
          </cell>
          <cell r="G109" t="str">
            <v>その他 ※1</v>
          </cell>
          <cell r="H109" t="str">
            <v>可</v>
          </cell>
          <cell r="I109" t="str">
            <v>可</v>
          </cell>
          <cell r="J109">
            <v>90</v>
          </cell>
          <cell r="K109">
            <v>86</v>
          </cell>
          <cell r="L109">
            <v>0.9555555555555556</v>
          </cell>
          <cell r="M109" t="str">
            <v>○</v>
          </cell>
          <cell r="N109" t="str">
            <v>×</v>
          </cell>
          <cell r="O109" t="str">
            <v>×</v>
          </cell>
          <cell r="P109">
            <v>24</v>
          </cell>
          <cell r="Q109">
            <v>1</v>
          </cell>
          <cell r="R109">
            <v>0</v>
          </cell>
          <cell r="S109">
            <v>0</v>
          </cell>
          <cell r="T109" t="str">
            <v>×</v>
          </cell>
        </row>
        <row r="110">
          <cell r="B110">
            <v>126</v>
          </cell>
          <cell r="C110" t="str">
            <v>名古屋</v>
          </cell>
          <cell r="D110" t="str">
            <v>名古屋市</v>
          </cell>
          <cell r="E110" t="str">
            <v>ハミルトンホテル-レッド-</v>
          </cell>
          <cell r="F110" t="str">
            <v>愛知県名古屋市中区栄2丁目7番5号</v>
          </cell>
          <cell r="G110" t="str">
            <v>メディア</v>
          </cell>
          <cell r="H110" t="str">
            <v>不可</v>
          </cell>
          <cell r="I110" t="str">
            <v>可</v>
          </cell>
          <cell r="J110">
            <v>53</v>
          </cell>
          <cell r="K110">
            <v>42</v>
          </cell>
          <cell r="L110">
            <v>0.79245283018867929</v>
          </cell>
          <cell r="M110" t="str">
            <v>○</v>
          </cell>
          <cell r="N110" t="str">
            <v>×</v>
          </cell>
          <cell r="O110" t="str">
            <v>×</v>
          </cell>
          <cell r="P110">
            <v>10</v>
          </cell>
          <cell r="Q110">
            <v>0</v>
          </cell>
          <cell r="R110">
            <v>0</v>
          </cell>
          <cell r="S110">
            <v>0</v>
          </cell>
          <cell r="T110" t="str">
            <v>×</v>
          </cell>
        </row>
        <row r="111">
          <cell r="B111">
            <v>127</v>
          </cell>
          <cell r="C111" t="str">
            <v>名古屋</v>
          </cell>
          <cell r="D111" t="str">
            <v>名古屋市</v>
          </cell>
          <cell r="E111" t="str">
            <v>名古屋クレストンホテル</v>
          </cell>
          <cell r="F111" t="str">
            <v>愛知県名古屋市中区栄3-29-1 名古屋パルコ西館9～11階</v>
          </cell>
          <cell r="G111" t="str">
            <v>技術役員（TD/ITO/NTO）</v>
          </cell>
          <cell r="H111" t="str">
            <v>不可</v>
          </cell>
          <cell r="I111" t="str">
            <v>可</v>
          </cell>
          <cell r="J111">
            <v>63</v>
          </cell>
          <cell r="K111">
            <v>61</v>
          </cell>
          <cell r="L111">
            <v>0.96825396825396826</v>
          </cell>
          <cell r="M111" t="str">
            <v>○</v>
          </cell>
          <cell r="N111" t="str">
            <v>○</v>
          </cell>
          <cell r="O111" t="str">
            <v>○</v>
          </cell>
          <cell r="P111">
            <v>40</v>
          </cell>
          <cell r="Q111">
            <v>2</v>
          </cell>
          <cell r="R111">
            <v>6</v>
          </cell>
          <cell r="S111" t="str">
            <v>提供未定</v>
          </cell>
          <cell r="T111" t="str">
            <v>×</v>
          </cell>
        </row>
        <row r="112">
          <cell r="B112">
            <v>128</v>
          </cell>
          <cell r="C112" t="str">
            <v>名古屋</v>
          </cell>
          <cell r="D112" t="str">
            <v>名古屋市</v>
          </cell>
          <cell r="E112" t="str">
            <v>ホテルナチュレ名古屋栄紀州鉄道グループ</v>
          </cell>
          <cell r="F112" t="str">
            <v>愛知県名古屋市中区錦3-7-13栄錦ビル</v>
          </cell>
          <cell r="G112" t="str">
            <v>その他 ※1</v>
          </cell>
          <cell r="H112" t="str">
            <v>不可</v>
          </cell>
          <cell r="I112" t="str">
            <v>不可</v>
          </cell>
          <cell r="J112">
            <v>53</v>
          </cell>
          <cell r="K112">
            <v>10</v>
          </cell>
          <cell r="L112">
            <v>0.18867924528301888</v>
          </cell>
          <cell r="M112" t="str">
            <v>○</v>
          </cell>
          <cell r="N112" t="str">
            <v>×</v>
          </cell>
          <cell r="O112" t="str">
            <v>×</v>
          </cell>
          <cell r="P112">
            <v>20</v>
          </cell>
          <cell r="Q112">
            <v>0</v>
          </cell>
          <cell r="R112">
            <v>0</v>
          </cell>
          <cell r="S112">
            <v>0</v>
          </cell>
          <cell r="T112" t="str">
            <v>×</v>
          </cell>
        </row>
        <row r="113">
          <cell r="B113">
            <v>129</v>
          </cell>
          <cell r="C113" t="str">
            <v>名古屋</v>
          </cell>
          <cell r="D113" t="str">
            <v>名古屋市</v>
          </cell>
          <cell r="E113" t="str">
            <v>東横INN名古屋栄</v>
          </cell>
          <cell r="F113" t="str">
            <v>愛知県名古屋市中区東桜2-22-21</v>
          </cell>
          <cell r="G113" t="str">
            <v>メディア</v>
          </cell>
          <cell r="H113" t="str">
            <v>不可</v>
          </cell>
          <cell r="I113" t="str">
            <v>可</v>
          </cell>
          <cell r="J113">
            <v>308</v>
          </cell>
          <cell r="K113">
            <v>96</v>
          </cell>
          <cell r="L113">
            <v>0.31168831168831168</v>
          </cell>
          <cell r="M113" t="str">
            <v>○</v>
          </cell>
          <cell r="N113" t="str">
            <v>×</v>
          </cell>
          <cell r="O113" t="str">
            <v>×</v>
          </cell>
          <cell r="P113">
            <v>68</v>
          </cell>
          <cell r="Q113">
            <v>0</v>
          </cell>
          <cell r="R113">
            <v>0</v>
          </cell>
          <cell r="S113">
            <v>0</v>
          </cell>
          <cell r="T113" t="str">
            <v>×</v>
          </cell>
        </row>
        <row r="114">
          <cell r="B114">
            <v>130</v>
          </cell>
          <cell r="C114" t="str">
            <v>名古屋</v>
          </cell>
          <cell r="D114" t="str">
            <v>名古屋市</v>
          </cell>
          <cell r="E114" t="str">
            <v>ホテル　シルク・トゥリー名古屋</v>
          </cell>
          <cell r="F114" t="str">
            <v>愛知県名古屋市中区錦2-20-5</v>
          </cell>
          <cell r="G114" t="str">
            <v>技術役員（TD/ITO/NTO）</v>
          </cell>
          <cell r="H114" t="str">
            <v>不可</v>
          </cell>
          <cell r="I114" t="str">
            <v>可</v>
          </cell>
          <cell r="J114">
            <v>208</v>
          </cell>
          <cell r="K114">
            <v>100</v>
          </cell>
          <cell r="L114">
            <v>0.48076923076923078</v>
          </cell>
          <cell r="M114" t="str">
            <v>○</v>
          </cell>
          <cell r="N114" t="str">
            <v>×</v>
          </cell>
          <cell r="O114" t="str">
            <v>×</v>
          </cell>
          <cell r="P114">
            <v>40</v>
          </cell>
          <cell r="Q114">
            <v>1</v>
          </cell>
          <cell r="R114">
            <v>2</v>
          </cell>
          <cell r="S114">
            <v>1</v>
          </cell>
          <cell r="T114" t="str">
            <v>×</v>
          </cell>
        </row>
        <row r="115">
          <cell r="B115">
            <v>133</v>
          </cell>
          <cell r="C115" t="str">
            <v>名古屋</v>
          </cell>
          <cell r="D115" t="str">
            <v>名古屋市</v>
          </cell>
          <cell r="E115" t="str">
            <v>アパホテル＜名古屋栄＞</v>
          </cell>
          <cell r="F115" t="str">
            <v>愛知県名古屋市中区栄4-10-16</v>
          </cell>
          <cell r="G115" t="str">
            <v>メディア</v>
          </cell>
          <cell r="H115" t="str">
            <v>不可</v>
          </cell>
          <cell r="I115" t="str">
            <v>可</v>
          </cell>
          <cell r="J115">
            <v>400</v>
          </cell>
          <cell r="K115">
            <v>396</v>
          </cell>
          <cell r="L115">
            <v>0.99</v>
          </cell>
          <cell r="M115" t="str">
            <v>○</v>
          </cell>
          <cell r="N115" t="str">
            <v>×</v>
          </cell>
          <cell r="O115" t="str">
            <v>×</v>
          </cell>
          <cell r="P115">
            <v>75</v>
          </cell>
          <cell r="Q115">
            <v>1</v>
          </cell>
          <cell r="R115">
            <v>0</v>
          </cell>
          <cell r="S115">
            <v>0</v>
          </cell>
          <cell r="T115" t="str">
            <v>×</v>
          </cell>
        </row>
        <row r="116">
          <cell r="B116">
            <v>138</v>
          </cell>
          <cell r="C116" t="str">
            <v>名古屋</v>
          </cell>
          <cell r="D116" t="str">
            <v>名古屋市</v>
          </cell>
          <cell r="E116" t="str">
            <v>三交イン名古屋錦 ～四季乃湯～</v>
          </cell>
          <cell r="F116" t="str">
            <v>愛知県名古屋市中区錦3-7-23</v>
          </cell>
          <cell r="G116" t="str">
            <v>メディア</v>
          </cell>
          <cell r="H116" t="str">
            <v>不可</v>
          </cell>
          <cell r="I116" t="str">
            <v>不可</v>
          </cell>
          <cell r="J116">
            <v>149</v>
          </cell>
          <cell r="K116">
            <v>50</v>
          </cell>
          <cell r="L116">
            <v>0.33557046979865773</v>
          </cell>
          <cell r="M116" t="str">
            <v>○</v>
          </cell>
          <cell r="N116" t="str">
            <v>×</v>
          </cell>
          <cell r="O116" t="str">
            <v>×</v>
          </cell>
          <cell r="P116">
            <v>57</v>
          </cell>
          <cell r="Q116">
            <v>0</v>
          </cell>
          <cell r="R116">
            <v>0</v>
          </cell>
          <cell r="S116">
            <v>0</v>
          </cell>
          <cell r="T116" t="str">
            <v>×</v>
          </cell>
        </row>
        <row r="117">
          <cell r="B117">
            <v>139</v>
          </cell>
          <cell r="C117" t="str">
            <v>名古屋</v>
          </cell>
          <cell r="D117" t="str">
            <v>名古屋市</v>
          </cell>
          <cell r="E117" t="str">
            <v>ドーミーインPREMIU名古屋栄</v>
          </cell>
          <cell r="F117" t="str">
            <v>愛知県名古屋市中区錦2-20-1</v>
          </cell>
          <cell r="G117" t="str">
            <v>メディア</v>
          </cell>
          <cell r="H117" t="str">
            <v>可</v>
          </cell>
          <cell r="I117" t="str">
            <v>可</v>
          </cell>
          <cell r="J117">
            <v>212</v>
          </cell>
          <cell r="K117">
            <v>212</v>
          </cell>
          <cell r="L117">
            <v>1</v>
          </cell>
          <cell r="M117" t="str">
            <v>○</v>
          </cell>
          <cell r="N117" t="str">
            <v>×</v>
          </cell>
          <cell r="O117" t="str">
            <v>×</v>
          </cell>
          <cell r="P117">
            <v>60</v>
          </cell>
          <cell r="Q117">
            <v>1</v>
          </cell>
          <cell r="R117">
            <v>0</v>
          </cell>
          <cell r="S117">
            <v>0</v>
          </cell>
          <cell r="T117" t="str">
            <v>×</v>
          </cell>
        </row>
        <row r="118">
          <cell r="B118">
            <v>140</v>
          </cell>
          <cell r="C118" t="str">
            <v>名古屋</v>
          </cell>
          <cell r="D118" t="str">
            <v>名古屋市</v>
          </cell>
          <cell r="E118" t="str">
            <v>名古屋金山ホテル</v>
          </cell>
          <cell r="F118" t="str">
            <v>愛知県名古屋市中区金山4-6-25</v>
          </cell>
          <cell r="G118" t="str">
            <v>技術役員（TD/ITO/NTO）</v>
          </cell>
          <cell r="H118" t="str">
            <v>不可</v>
          </cell>
          <cell r="I118" t="str">
            <v>可</v>
          </cell>
          <cell r="J118">
            <v>190</v>
          </cell>
          <cell r="K118">
            <v>97</v>
          </cell>
          <cell r="L118">
            <v>0.51052631578947372</v>
          </cell>
          <cell r="M118" t="str">
            <v>○</v>
          </cell>
          <cell r="N118" t="str">
            <v>○</v>
          </cell>
          <cell r="O118" t="str">
            <v>○</v>
          </cell>
          <cell r="P118">
            <v>150</v>
          </cell>
          <cell r="Q118">
            <v>1</v>
          </cell>
          <cell r="R118">
            <v>7</v>
          </cell>
          <cell r="S118">
            <v>5</v>
          </cell>
          <cell r="T118" t="str">
            <v>×</v>
          </cell>
        </row>
        <row r="119">
          <cell r="B119">
            <v>141</v>
          </cell>
          <cell r="C119" t="str">
            <v>名古屋</v>
          </cell>
          <cell r="D119" t="str">
            <v>名古屋市</v>
          </cell>
          <cell r="E119" t="str">
            <v>プリンセスガーデンホテル</v>
          </cell>
          <cell r="F119" t="str">
            <v xml:space="preserve"> 愛知県名古屋市中区栄３丁目13-31</v>
          </cell>
          <cell r="G119" t="str">
            <v>技術役員（TD/ITO/NTO）</v>
          </cell>
          <cell r="H119" t="str">
            <v>不可</v>
          </cell>
          <cell r="I119" t="str">
            <v>可</v>
          </cell>
          <cell r="J119">
            <v>196</v>
          </cell>
          <cell r="K119">
            <v>99</v>
          </cell>
          <cell r="L119">
            <v>0.50510204081632648</v>
          </cell>
          <cell r="M119" t="str">
            <v>○</v>
          </cell>
          <cell r="N119" t="str">
            <v>×</v>
          </cell>
          <cell r="O119" t="str">
            <v>×</v>
          </cell>
          <cell r="P119">
            <v>40</v>
          </cell>
          <cell r="Q119">
            <v>1</v>
          </cell>
          <cell r="R119">
            <v>6</v>
          </cell>
          <cell r="S119">
            <v>6</v>
          </cell>
          <cell r="T119" t="str">
            <v>×</v>
          </cell>
        </row>
        <row r="120">
          <cell r="B120">
            <v>142</v>
          </cell>
          <cell r="C120" t="str">
            <v>名古屋</v>
          </cell>
          <cell r="D120" t="str">
            <v>名古屋市</v>
          </cell>
          <cell r="E120" t="str">
            <v>ホテルアベスト大須観音駅前</v>
          </cell>
          <cell r="F120" t="str">
            <v>愛知県名古屋市中区大須2丁目24-45</v>
          </cell>
          <cell r="G120" t="str">
            <v>メディア</v>
          </cell>
          <cell r="H120" t="str">
            <v>不可</v>
          </cell>
          <cell r="I120" t="str">
            <v>可</v>
          </cell>
          <cell r="J120">
            <v>84</v>
          </cell>
          <cell r="K120">
            <v>50</v>
          </cell>
          <cell r="L120">
            <v>0.59523809523809523</v>
          </cell>
          <cell r="M120" t="str">
            <v>○</v>
          </cell>
          <cell r="N120" t="str">
            <v>×</v>
          </cell>
          <cell r="O120" t="str">
            <v>×</v>
          </cell>
          <cell r="P120">
            <v>36</v>
          </cell>
          <cell r="Q120">
            <v>0</v>
          </cell>
          <cell r="R120">
            <v>0</v>
          </cell>
          <cell r="S120">
            <v>0</v>
          </cell>
          <cell r="T120" t="str">
            <v>×</v>
          </cell>
        </row>
        <row r="121">
          <cell r="B121">
            <v>143</v>
          </cell>
          <cell r="C121" t="str">
            <v>名古屋</v>
          </cell>
          <cell r="D121" t="str">
            <v>名古屋市</v>
          </cell>
          <cell r="E121" t="str">
            <v>スマイルホテル名古屋栄</v>
          </cell>
          <cell r="F121" t="str">
            <v>愛知県名古屋市中区栄4-10-5</v>
          </cell>
          <cell r="G121" t="str">
            <v>その他 ※1</v>
          </cell>
          <cell r="H121" t="str">
            <v>不可</v>
          </cell>
          <cell r="I121" t="str">
            <v>可</v>
          </cell>
          <cell r="J121">
            <v>142</v>
          </cell>
          <cell r="K121">
            <v>24</v>
          </cell>
          <cell r="L121">
            <v>0.16901408450704225</v>
          </cell>
          <cell r="M121" t="str">
            <v>○</v>
          </cell>
          <cell r="N121" t="str">
            <v>×</v>
          </cell>
          <cell r="O121" t="str">
            <v>×</v>
          </cell>
          <cell r="P121">
            <v>36</v>
          </cell>
          <cell r="Q121">
            <v>0</v>
          </cell>
          <cell r="R121">
            <v>0</v>
          </cell>
          <cell r="S121">
            <v>0</v>
          </cell>
          <cell r="T121" t="str">
            <v>×</v>
          </cell>
        </row>
        <row r="122">
          <cell r="B122">
            <v>144</v>
          </cell>
          <cell r="C122" t="str">
            <v>名古屋</v>
          </cell>
          <cell r="D122" t="str">
            <v>名古屋市</v>
          </cell>
          <cell r="E122" t="str">
            <v>ジャストインプレミアム名古屋駅</v>
          </cell>
          <cell r="F122" t="str">
            <v>愛知県名古屋市中区丸の内1-13-9</v>
          </cell>
          <cell r="G122" t="str">
            <v>メディア</v>
          </cell>
          <cell r="H122" t="str">
            <v>不可</v>
          </cell>
          <cell r="I122" t="str">
            <v>可</v>
          </cell>
          <cell r="J122">
            <v>181</v>
          </cell>
          <cell r="K122">
            <v>50</v>
          </cell>
          <cell r="L122">
            <v>0.27624309392265195</v>
          </cell>
          <cell r="M122" t="str">
            <v>○</v>
          </cell>
          <cell r="N122" t="str">
            <v>×</v>
          </cell>
          <cell r="O122" t="str">
            <v>×</v>
          </cell>
          <cell r="P122">
            <v>49</v>
          </cell>
          <cell r="Q122">
            <v>0</v>
          </cell>
          <cell r="R122">
            <v>0</v>
          </cell>
          <cell r="S122">
            <v>0</v>
          </cell>
          <cell r="T122" t="str">
            <v>○</v>
          </cell>
        </row>
        <row r="123">
          <cell r="B123">
            <v>145</v>
          </cell>
          <cell r="C123" t="str">
            <v>名古屋</v>
          </cell>
          <cell r="D123" t="str">
            <v>名古屋市</v>
          </cell>
          <cell r="E123" t="str">
            <v>アパホテル&lt;名古屋栄東&gt;</v>
          </cell>
          <cell r="F123" t="str">
            <v>愛知県名古屋市中区栄4丁目9-20</v>
          </cell>
          <cell r="G123" t="str">
            <v>技術役員（TD/ITO/NTO）</v>
          </cell>
          <cell r="H123" t="str">
            <v>不可</v>
          </cell>
          <cell r="I123" t="str">
            <v>可</v>
          </cell>
          <cell r="J123">
            <v>150</v>
          </cell>
          <cell r="K123">
            <v>75</v>
          </cell>
          <cell r="L123">
            <v>0.5</v>
          </cell>
          <cell r="M123" t="str">
            <v>○</v>
          </cell>
          <cell r="N123" t="str">
            <v>○</v>
          </cell>
          <cell r="O123" t="str">
            <v>○</v>
          </cell>
          <cell r="P123">
            <v>75</v>
          </cell>
          <cell r="Q123">
            <v>1</v>
          </cell>
          <cell r="R123">
            <v>0</v>
          </cell>
          <cell r="S123">
            <v>0</v>
          </cell>
          <cell r="T123" t="str">
            <v>×</v>
          </cell>
        </row>
        <row r="124">
          <cell r="B124">
            <v>146</v>
          </cell>
          <cell r="C124" t="str">
            <v>名古屋</v>
          </cell>
          <cell r="D124" t="str">
            <v>名古屋市</v>
          </cell>
          <cell r="E124" t="str">
            <v>ホテルビスタ名古屋[錦]</v>
          </cell>
          <cell r="F124" t="str">
            <v>愛知県名古屋市中区錦3-3-15</v>
          </cell>
          <cell r="G124" t="str">
            <v>NOC</v>
          </cell>
          <cell r="H124" t="str">
            <v>不可</v>
          </cell>
          <cell r="I124" t="str">
            <v>不可</v>
          </cell>
          <cell r="J124">
            <v>143</v>
          </cell>
          <cell r="K124">
            <v>60</v>
          </cell>
          <cell r="L124">
            <v>0.41958041958041958</v>
          </cell>
          <cell r="M124" t="str">
            <v>○</v>
          </cell>
          <cell r="N124" t="str">
            <v>×</v>
          </cell>
          <cell r="O124" t="str">
            <v>×</v>
          </cell>
          <cell r="P124">
            <v>49</v>
          </cell>
          <cell r="Q124">
            <v>0</v>
          </cell>
          <cell r="R124">
            <v>0</v>
          </cell>
          <cell r="S124">
            <v>0</v>
          </cell>
          <cell r="T124" t="str">
            <v>×</v>
          </cell>
        </row>
        <row r="125">
          <cell r="B125">
            <v>147</v>
          </cell>
          <cell r="C125" t="str">
            <v>名古屋</v>
          </cell>
          <cell r="D125" t="str">
            <v>名古屋市</v>
          </cell>
          <cell r="E125" t="str">
            <v>HOTEL LiVEMAX名古屋栄EAST</v>
          </cell>
          <cell r="F125" t="str">
            <v>愛知県名古屋市中区栄4-7-15</v>
          </cell>
          <cell r="G125" t="str">
            <v>メディア</v>
          </cell>
          <cell r="H125" t="str">
            <v>可</v>
          </cell>
          <cell r="I125" t="str">
            <v>可</v>
          </cell>
          <cell r="J125">
            <v>113</v>
          </cell>
          <cell r="K125">
            <v>113</v>
          </cell>
          <cell r="L125">
            <v>1</v>
          </cell>
          <cell r="M125" t="str">
            <v>○</v>
          </cell>
          <cell r="N125" t="str">
            <v>○</v>
          </cell>
          <cell r="O125" t="str">
            <v>○</v>
          </cell>
          <cell r="P125">
            <v>42</v>
          </cell>
          <cell r="Q125">
            <v>0</v>
          </cell>
          <cell r="R125">
            <v>0</v>
          </cell>
          <cell r="S125">
            <v>0</v>
          </cell>
          <cell r="T125" t="str">
            <v>×</v>
          </cell>
        </row>
        <row r="126">
          <cell r="B126">
            <v>149</v>
          </cell>
          <cell r="C126" t="str">
            <v>名古屋</v>
          </cell>
          <cell r="D126" t="str">
            <v>名古屋市</v>
          </cell>
          <cell r="E126" t="str">
            <v>ホテルウィングインターナショナルセレクト名古屋栄</v>
          </cell>
          <cell r="F126" t="str">
            <v>愛知県名古屋市中区栄3-12-23-2</v>
          </cell>
          <cell r="G126" t="str">
            <v>メディア</v>
          </cell>
          <cell r="H126" t="str">
            <v>不可</v>
          </cell>
          <cell r="I126" t="str">
            <v>可</v>
          </cell>
          <cell r="J126">
            <v>120</v>
          </cell>
          <cell r="K126">
            <v>40</v>
          </cell>
          <cell r="L126">
            <v>0.33333333333333331</v>
          </cell>
          <cell r="M126" t="str">
            <v>○</v>
          </cell>
          <cell r="N126" t="str">
            <v>×</v>
          </cell>
          <cell r="O126" t="str">
            <v>×</v>
          </cell>
          <cell r="P126">
            <v>38</v>
          </cell>
          <cell r="Q126">
            <v>0</v>
          </cell>
          <cell r="R126">
            <v>0</v>
          </cell>
          <cell r="S126">
            <v>0</v>
          </cell>
          <cell r="T126" t="str">
            <v>×</v>
          </cell>
        </row>
        <row r="127">
          <cell r="B127">
            <v>150</v>
          </cell>
          <cell r="C127" t="str">
            <v>名古屋</v>
          </cell>
          <cell r="D127" t="str">
            <v>名古屋市</v>
          </cell>
          <cell r="E127" t="str">
            <v>ランプライトブックスホテル名古屋</v>
          </cell>
          <cell r="F127" t="str">
            <v>愛知県名古屋市中区錦1-13-18</v>
          </cell>
          <cell r="G127" t="str">
            <v>メディア</v>
          </cell>
          <cell r="H127" t="str">
            <v>不可</v>
          </cell>
          <cell r="I127" t="str">
            <v>可</v>
          </cell>
          <cell r="J127">
            <v>70</v>
          </cell>
          <cell r="K127">
            <v>5</v>
          </cell>
          <cell r="L127">
            <v>7.1428571428571425E-2</v>
          </cell>
          <cell r="M127" t="str">
            <v>○</v>
          </cell>
          <cell r="N127" t="str">
            <v>○</v>
          </cell>
          <cell r="O127" t="str">
            <v>○</v>
          </cell>
          <cell r="P127">
            <v>28</v>
          </cell>
          <cell r="Q127">
            <v>1</v>
          </cell>
          <cell r="R127">
            <v>0</v>
          </cell>
          <cell r="S127">
            <v>0</v>
          </cell>
          <cell r="T127" t="str">
            <v>×</v>
          </cell>
        </row>
        <row r="128">
          <cell r="B128">
            <v>151</v>
          </cell>
          <cell r="C128" t="str">
            <v>名古屋</v>
          </cell>
          <cell r="D128" t="str">
            <v>名古屋市</v>
          </cell>
          <cell r="E128" t="str">
            <v>コンフォートホテル名古屋伏見</v>
          </cell>
          <cell r="F128" t="str">
            <v>愛知県名古屋市中区錦2-19-14</v>
          </cell>
          <cell r="G128" t="str">
            <v>メディア</v>
          </cell>
          <cell r="H128" t="str">
            <v>不可</v>
          </cell>
          <cell r="I128" t="str">
            <v>可</v>
          </cell>
          <cell r="J128">
            <v>175</v>
          </cell>
          <cell r="K128">
            <v>40</v>
          </cell>
          <cell r="L128">
            <v>0.22857142857142856</v>
          </cell>
          <cell r="M128" t="str">
            <v>○</v>
          </cell>
          <cell r="N128" t="str">
            <v>×</v>
          </cell>
          <cell r="O128" t="str">
            <v>×</v>
          </cell>
          <cell r="P128">
            <v>67</v>
          </cell>
          <cell r="Q128">
            <v>0</v>
          </cell>
          <cell r="R128">
            <v>0</v>
          </cell>
          <cell r="S128">
            <v>0</v>
          </cell>
          <cell r="T128" t="str">
            <v>×</v>
          </cell>
        </row>
        <row r="129">
          <cell r="B129">
            <v>152</v>
          </cell>
          <cell r="C129" t="str">
            <v>名古屋</v>
          </cell>
          <cell r="D129" t="str">
            <v>名古屋市</v>
          </cell>
          <cell r="E129" t="str">
            <v>ホテル・アンドルームス名古屋栄</v>
          </cell>
          <cell r="F129" t="str">
            <v>愛知県名古屋市中区丸の内3-6-8</v>
          </cell>
          <cell r="G129" t="str">
            <v>メディア</v>
          </cell>
          <cell r="H129" t="str">
            <v>不可</v>
          </cell>
          <cell r="I129" t="str">
            <v>可</v>
          </cell>
          <cell r="J129">
            <v>108</v>
          </cell>
          <cell r="K129">
            <v>70</v>
          </cell>
          <cell r="L129">
            <v>0.64814814814814814</v>
          </cell>
          <cell r="M129" t="str">
            <v>○</v>
          </cell>
          <cell r="N129" t="str">
            <v>○</v>
          </cell>
          <cell r="O129" t="str">
            <v>○</v>
          </cell>
          <cell r="P129">
            <v>36</v>
          </cell>
          <cell r="Q129">
            <v>1</v>
          </cell>
          <cell r="R129">
            <v>0</v>
          </cell>
          <cell r="S129">
            <v>0</v>
          </cell>
          <cell r="T129" t="str">
            <v>×</v>
          </cell>
        </row>
        <row r="130">
          <cell r="B130">
            <v>154</v>
          </cell>
          <cell r="C130" t="str">
            <v>名古屋</v>
          </cell>
          <cell r="D130" t="str">
            <v>名古屋市</v>
          </cell>
          <cell r="E130" t="str">
            <v>ダイワロイネットホテル名古屋納屋橋</v>
          </cell>
          <cell r="F130" t="str">
            <v>愛知県名古屋市中区栄1-2-27</v>
          </cell>
          <cell r="G130" t="str">
            <v>NOC</v>
          </cell>
          <cell r="H130" t="str">
            <v>不可</v>
          </cell>
          <cell r="I130" t="str">
            <v>不可</v>
          </cell>
          <cell r="J130">
            <v>246</v>
          </cell>
          <cell r="K130">
            <v>70</v>
          </cell>
          <cell r="L130">
            <v>0.28455284552845528</v>
          </cell>
          <cell r="M130" t="str">
            <v>○</v>
          </cell>
          <cell r="N130" t="str">
            <v>×</v>
          </cell>
          <cell r="O130" t="str">
            <v>×</v>
          </cell>
          <cell r="P130">
            <v>62</v>
          </cell>
          <cell r="Q130">
            <v>1</v>
          </cell>
          <cell r="R130">
            <v>0</v>
          </cell>
          <cell r="S130">
            <v>0</v>
          </cell>
          <cell r="T130" t="str">
            <v>×</v>
          </cell>
        </row>
        <row r="131">
          <cell r="B131">
            <v>155</v>
          </cell>
          <cell r="C131" t="str">
            <v>名古屋</v>
          </cell>
          <cell r="D131" t="str">
            <v>名古屋市</v>
          </cell>
          <cell r="E131" t="str">
            <v>ホテルアクテル名古屋錦</v>
          </cell>
          <cell r="F131" t="str">
            <v>愛知県名古屋市中区錦3-17-26</v>
          </cell>
          <cell r="G131" t="str">
            <v>メディア</v>
          </cell>
          <cell r="H131" t="str">
            <v>可</v>
          </cell>
          <cell r="I131" t="str">
            <v>可</v>
          </cell>
          <cell r="J131">
            <v>156</v>
          </cell>
          <cell r="K131">
            <v>156</v>
          </cell>
          <cell r="L131">
            <v>1</v>
          </cell>
          <cell r="M131" t="str">
            <v>×</v>
          </cell>
          <cell r="N131" t="str">
            <v>×</v>
          </cell>
          <cell r="O131" t="str">
            <v>×</v>
          </cell>
          <cell r="P131">
            <v>0</v>
          </cell>
          <cell r="Q131">
            <v>1</v>
          </cell>
          <cell r="R131">
            <v>0</v>
          </cell>
          <cell r="S131">
            <v>0</v>
          </cell>
          <cell r="T131" t="str">
            <v>×</v>
          </cell>
        </row>
        <row r="132">
          <cell r="B132">
            <v>156</v>
          </cell>
          <cell r="C132" t="str">
            <v>名古屋</v>
          </cell>
          <cell r="D132" t="str">
            <v>名古屋市</v>
          </cell>
          <cell r="E132" t="str">
            <v>アパホテル＜名古屋栄北＞</v>
          </cell>
          <cell r="F132" t="str">
            <v>愛知県名古屋市中区丸の内3丁目18-30</v>
          </cell>
          <cell r="G132" t="str">
            <v>技術役員（TD/ITO/NTO）</v>
          </cell>
          <cell r="H132" t="str">
            <v>可</v>
          </cell>
          <cell r="I132" t="str">
            <v>可</v>
          </cell>
          <cell r="J132">
            <v>350</v>
          </cell>
          <cell r="K132">
            <v>350</v>
          </cell>
          <cell r="L132">
            <v>1</v>
          </cell>
          <cell r="M132" t="str">
            <v>○</v>
          </cell>
          <cell r="N132" t="str">
            <v>×</v>
          </cell>
          <cell r="O132" t="str">
            <v>×</v>
          </cell>
          <cell r="P132">
            <v>64</v>
          </cell>
          <cell r="Q132">
            <v>1</v>
          </cell>
          <cell r="R132">
            <v>0</v>
          </cell>
          <cell r="S132">
            <v>0</v>
          </cell>
          <cell r="T132" t="str">
            <v>×</v>
          </cell>
        </row>
        <row r="133">
          <cell r="B133">
            <v>157</v>
          </cell>
          <cell r="C133" t="str">
            <v>名古屋</v>
          </cell>
          <cell r="D133" t="str">
            <v>名古屋市</v>
          </cell>
          <cell r="E133" t="str">
            <v>名鉄イン名古屋金山アネックス</v>
          </cell>
          <cell r="F133" t="str">
            <v>愛知県名古屋市中区金山1-11-13</v>
          </cell>
          <cell r="G133" t="str">
            <v>メディア</v>
          </cell>
          <cell r="H133" t="str">
            <v>不可</v>
          </cell>
          <cell r="I133" t="str">
            <v>可</v>
          </cell>
          <cell r="J133">
            <v>168</v>
          </cell>
          <cell r="K133">
            <v>60</v>
          </cell>
          <cell r="L133">
            <v>0.35714285714285715</v>
          </cell>
          <cell r="M133" t="str">
            <v>○</v>
          </cell>
          <cell r="N133" t="str">
            <v>×</v>
          </cell>
          <cell r="O133" t="str">
            <v>×</v>
          </cell>
          <cell r="P133">
            <v>28</v>
          </cell>
          <cell r="Q133">
            <v>2</v>
          </cell>
          <cell r="R133">
            <v>0</v>
          </cell>
          <cell r="S133">
            <v>0</v>
          </cell>
          <cell r="T133" t="str">
            <v>×</v>
          </cell>
        </row>
        <row r="134">
          <cell r="B134">
            <v>158</v>
          </cell>
          <cell r="C134" t="str">
            <v>名古屋</v>
          </cell>
          <cell r="D134" t="str">
            <v>名古屋市</v>
          </cell>
          <cell r="E134" t="str">
            <v>ベッセルイン栄駅前</v>
          </cell>
          <cell r="F134" t="str">
            <v>愛知県名古屋市中区錦3-14-13</v>
          </cell>
          <cell r="G134" t="str">
            <v>NOC</v>
          </cell>
          <cell r="H134" t="str">
            <v>可</v>
          </cell>
          <cell r="I134" t="str">
            <v>可</v>
          </cell>
          <cell r="J134">
            <v>225</v>
          </cell>
          <cell r="K134">
            <v>225</v>
          </cell>
          <cell r="L134">
            <v>1</v>
          </cell>
          <cell r="M134" t="str">
            <v>○</v>
          </cell>
          <cell r="N134" t="str">
            <v>×</v>
          </cell>
          <cell r="O134" t="str">
            <v>×</v>
          </cell>
          <cell r="P134">
            <v>87</v>
          </cell>
          <cell r="Q134">
            <v>0</v>
          </cell>
          <cell r="R134">
            <v>0</v>
          </cell>
          <cell r="S134">
            <v>0</v>
          </cell>
          <cell r="T134" t="str">
            <v>×</v>
          </cell>
        </row>
        <row r="135">
          <cell r="B135">
            <v>159</v>
          </cell>
          <cell r="C135" t="str">
            <v>名古屋</v>
          </cell>
          <cell r="D135" t="str">
            <v>名古屋市</v>
          </cell>
          <cell r="E135" t="str">
            <v>ホテルJALシティ名古屋　錦</v>
          </cell>
          <cell r="F135" t="str">
            <v>愛知県名古屋市中区錦1-16-36</v>
          </cell>
          <cell r="G135" t="str">
            <v>NOC</v>
          </cell>
          <cell r="H135" t="str">
            <v>可</v>
          </cell>
          <cell r="I135" t="str">
            <v>可</v>
          </cell>
          <cell r="J135">
            <v>216</v>
          </cell>
          <cell r="K135">
            <v>216</v>
          </cell>
          <cell r="L135">
            <v>1</v>
          </cell>
          <cell r="M135" t="str">
            <v>○</v>
          </cell>
          <cell r="N135" t="str">
            <v>○</v>
          </cell>
          <cell r="O135" t="str">
            <v>○</v>
          </cell>
          <cell r="P135">
            <v>95</v>
          </cell>
          <cell r="Q135">
            <v>1</v>
          </cell>
          <cell r="R135">
            <v>0</v>
          </cell>
          <cell r="S135">
            <v>0</v>
          </cell>
          <cell r="T135" t="str">
            <v>×</v>
          </cell>
        </row>
        <row r="136">
          <cell r="B136">
            <v>160</v>
          </cell>
          <cell r="C136" t="str">
            <v>名古屋</v>
          </cell>
          <cell r="D136" t="str">
            <v>名古屋市</v>
          </cell>
          <cell r="E136" t="str">
            <v>西鉄ホテルクルーム名古屋</v>
          </cell>
          <cell r="F136" t="str">
            <v>愛知県名古屋市中区錦3-4-3</v>
          </cell>
          <cell r="G136" t="str">
            <v>NOC</v>
          </cell>
          <cell r="H136" t="str">
            <v>不可</v>
          </cell>
          <cell r="I136" t="str">
            <v>可</v>
          </cell>
          <cell r="J136">
            <v>242</v>
          </cell>
          <cell r="K136">
            <v>35</v>
          </cell>
          <cell r="L136">
            <v>0.14462809917355371</v>
          </cell>
          <cell r="M136" t="str">
            <v>○</v>
          </cell>
          <cell r="N136" t="str">
            <v>×</v>
          </cell>
          <cell r="O136" t="str">
            <v>×</v>
          </cell>
          <cell r="P136">
            <v>58</v>
          </cell>
          <cell r="Q136">
            <v>0</v>
          </cell>
          <cell r="R136">
            <v>0</v>
          </cell>
          <cell r="S136">
            <v>0</v>
          </cell>
          <cell r="T136" t="str">
            <v>×</v>
          </cell>
        </row>
        <row r="137">
          <cell r="B137">
            <v>161</v>
          </cell>
          <cell r="C137" t="str">
            <v>名古屋</v>
          </cell>
          <cell r="D137" t="str">
            <v>名古屋市</v>
          </cell>
          <cell r="E137" t="str">
            <v>ダイワロイネットホテル名古屋伏見</v>
          </cell>
          <cell r="F137" t="str">
            <v>愛知県名古屋市中区栄1-5-21</v>
          </cell>
          <cell r="G137" t="str">
            <v>NOC</v>
          </cell>
          <cell r="H137" t="str">
            <v>不可</v>
          </cell>
          <cell r="I137" t="str">
            <v>可</v>
          </cell>
          <cell r="J137">
            <v>233</v>
          </cell>
          <cell r="K137">
            <v>60</v>
          </cell>
          <cell r="L137">
            <v>0.25751072961373389</v>
          </cell>
          <cell r="M137" t="str">
            <v>○</v>
          </cell>
          <cell r="N137" t="str">
            <v>×</v>
          </cell>
          <cell r="O137" t="str">
            <v>×</v>
          </cell>
          <cell r="P137">
            <v>75</v>
          </cell>
          <cell r="Q137">
            <v>1</v>
          </cell>
          <cell r="R137">
            <v>0</v>
          </cell>
          <cell r="S137">
            <v>0</v>
          </cell>
          <cell r="T137" t="str">
            <v>×</v>
          </cell>
        </row>
        <row r="138">
          <cell r="B138">
            <v>162</v>
          </cell>
          <cell r="C138" t="str">
            <v>名古屋</v>
          </cell>
          <cell r="D138" t="str">
            <v>名古屋市</v>
          </cell>
          <cell r="E138" t="str">
            <v>ホテル・アンドルームス名古屋伏見</v>
          </cell>
          <cell r="F138" t="str">
            <v>愛知県名古屋市中区錦2-8-28</v>
          </cell>
          <cell r="G138" t="str">
            <v>その他 ※1</v>
          </cell>
          <cell r="H138" t="str">
            <v>不可</v>
          </cell>
          <cell r="I138" t="str">
            <v>可</v>
          </cell>
          <cell r="J138">
            <v>88</v>
          </cell>
          <cell r="K138">
            <v>20</v>
          </cell>
          <cell r="L138">
            <v>0.22727272727272727</v>
          </cell>
          <cell r="M138" t="str">
            <v>○</v>
          </cell>
          <cell r="N138" t="str">
            <v>×</v>
          </cell>
          <cell r="O138" t="str">
            <v>×</v>
          </cell>
          <cell r="P138">
            <v>31</v>
          </cell>
          <cell r="Q138">
            <v>1</v>
          </cell>
          <cell r="R138">
            <v>0</v>
          </cell>
          <cell r="S138">
            <v>0</v>
          </cell>
          <cell r="T138" t="str">
            <v>×</v>
          </cell>
        </row>
        <row r="139">
          <cell r="B139">
            <v>163</v>
          </cell>
          <cell r="C139" t="str">
            <v>名古屋</v>
          </cell>
          <cell r="D139" t="str">
            <v>名古屋市</v>
          </cell>
          <cell r="E139" t="str">
            <v>ホテルエスプル名古屋栄</v>
          </cell>
          <cell r="F139" t="str">
            <v>愛知県名古屋市中区新栄町3-2</v>
          </cell>
          <cell r="G139" t="str">
            <v>メディア</v>
          </cell>
          <cell r="H139" t="str">
            <v>不可</v>
          </cell>
          <cell r="I139" t="str">
            <v>可</v>
          </cell>
          <cell r="J139">
            <v>148</v>
          </cell>
          <cell r="K139">
            <v>70</v>
          </cell>
          <cell r="L139">
            <v>0.47297297297297297</v>
          </cell>
          <cell r="M139" t="str">
            <v>○</v>
          </cell>
          <cell r="N139" t="str">
            <v>×</v>
          </cell>
          <cell r="O139" t="str">
            <v>×</v>
          </cell>
          <cell r="P139">
            <v>0</v>
          </cell>
          <cell r="Q139">
            <v>0</v>
          </cell>
          <cell r="R139">
            <v>0</v>
          </cell>
          <cell r="S139">
            <v>0</v>
          </cell>
          <cell r="T139" t="str">
            <v>×</v>
          </cell>
        </row>
        <row r="140">
          <cell r="B140">
            <v>164</v>
          </cell>
          <cell r="C140" t="str">
            <v>名古屋</v>
          </cell>
          <cell r="D140" t="str">
            <v>名古屋市</v>
          </cell>
          <cell r="E140" t="str">
            <v>HOTEL LiVEMAX名古屋金山</v>
          </cell>
          <cell r="F140" t="str">
            <v>愛知県名古屋市中区正木4-8-19</v>
          </cell>
          <cell r="G140" t="str">
            <v>メディア</v>
          </cell>
          <cell r="H140" t="str">
            <v>可</v>
          </cell>
          <cell r="I140" t="str">
            <v>可</v>
          </cell>
          <cell r="J140">
            <v>64</v>
          </cell>
          <cell r="K140">
            <v>64</v>
          </cell>
          <cell r="L140">
            <v>1</v>
          </cell>
          <cell r="M140" t="str">
            <v>×</v>
          </cell>
          <cell r="N140" t="str">
            <v>×</v>
          </cell>
          <cell r="O140" t="str">
            <v>×</v>
          </cell>
          <cell r="P140">
            <v>0</v>
          </cell>
          <cell r="Q140">
            <v>0</v>
          </cell>
          <cell r="R140">
            <v>0</v>
          </cell>
          <cell r="S140">
            <v>0</v>
          </cell>
          <cell r="T140" t="str">
            <v>×</v>
          </cell>
        </row>
        <row r="141">
          <cell r="B141">
            <v>165</v>
          </cell>
          <cell r="C141" t="str">
            <v>名古屋</v>
          </cell>
          <cell r="D141" t="str">
            <v>名古屋市</v>
          </cell>
          <cell r="E141" t="str">
            <v>ホテル京阪　名古屋</v>
          </cell>
          <cell r="F141" t="str">
            <v>愛知県名古屋市中区錦3-2-1</v>
          </cell>
          <cell r="G141" t="str">
            <v>その他 ※1</v>
          </cell>
          <cell r="H141" t="str">
            <v>不可</v>
          </cell>
          <cell r="I141" t="str">
            <v>可</v>
          </cell>
          <cell r="J141">
            <v>247</v>
          </cell>
          <cell r="K141">
            <v>0</v>
          </cell>
          <cell r="L141">
            <v>0</v>
          </cell>
          <cell r="M141" t="str">
            <v>○</v>
          </cell>
          <cell r="N141" t="str">
            <v>×</v>
          </cell>
          <cell r="O141" t="str">
            <v>×</v>
          </cell>
          <cell r="P141">
            <v>88</v>
          </cell>
          <cell r="Q141">
            <v>0</v>
          </cell>
          <cell r="R141">
            <v>0</v>
          </cell>
          <cell r="S141">
            <v>0</v>
          </cell>
          <cell r="T141" t="str">
            <v>×</v>
          </cell>
        </row>
        <row r="142">
          <cell r="B142">
            <v>166</v>
          </cell>
          <cell r="C142" t="str">
            <v>名古屋</v>
          </cell>
          <cell r="D142" t="str">
            <v>名古屋市</v>
          </cell>
          <cell r="E142" t="str">
            <v>東横INN名古屋金山</v>
          </cell>
          <cell r="F142" t="str">
            <v>愛知県名古屋市中区正木3-9-28</v>
          </cell>
          <cell r="G142" t="str">
            <v>メディア</v>
          </cell>
          <cell r="H142" t="str">
            <v>不可</v>
          </cell>
          <cell r="I142" t="str">
            <v>可</v>
          </cell>
          <cell r="J142">
            <v>519</v>
          </cell>
          <cell r="K142">
            <v>440</v>
          </cell>
          <cell r="L142">
            <v>0.8477842003853564</v>
          </cell>
          <cell r="M142" t="str">
            <v>○</v>
          </cell>
          <cell r="N142" t="str">
            <v>×</v>
          </cell>
          <cell r="O142" t="str">
            <v>×</v>
          </cell>
          <cell r="P142">
            <v>95</v>
          </cell>
          <cell r="Q142">
            <v>0</v>
          </cell>
          <cell r="R142">
            <v>1</v>
          </cell>
          <cell r="S142">
            <v>1</v>
          </cell>
          <cell r="T142" t="str">
            <v>×</v>
          </cell>
        </row>
        <row r="143">
          <cell r="B143">
            <v>167</v>
          </cell>
          <cell r="C143" t="str">
            <v>名古屋</v>
          </cell>
          <cell r="D143" t="str">
            <v>名古屋市</v>
          </cell>
          <cell r="E143" t="str">
            <v>グリーンリッチホテル名古屋錦</v>
          </cell>
          <cell r="F143" t="str">
            <v>愛知県名古屋市中区錦2-7-4</v>
          </cell>
          <cell r="G143" t="str">
            <v>NOC</v>
          </cell>
          <cell r="H143" t="str">
            <v>可</v>
          </cell>
          <cell r="I143" t="str">
            <v>可</v>
          </cell>
          <cell r="J143">
            <v>135</v>
          </cell>
          <cell r="K143">
            <v>135</v>
          </cell>
          <cell r="L143">
            <v>1</v>
          </cell>
          <cell r="M143" t="str">
            <v>○</v>
          </cell>
          <cell r="N143" t="str">
            <v>×</v>
          </cell>
          <cell r="O143" t="str">
            <v>×</v>
          </cell>
          <cell r="P143">
            <v>56</v>
          </cell>
          <cell r="Q143">
            <v>1</v>
          </cell>
          <cell r="R143">
            <v>0</v>
          </cell>
          <cell r="S143">
            <v>0</v>
          </cell>
          <cell r="T143" t="str">
            <v>×</v>
          </cell>
        </row>
        <row r="144">
          <cell r="B144">
            <v>168</v>
          </cell>
          <cell r="C144" t="str">
            <v>名古屋</v>
          </cell>
          <cell r="D144" t="str">
            <v>名古屋市</v>
          </cell>
          <cell r="E144" t="str">
            <v>ホテルフォルツァ名古屋栄</v>
          </cell>
          <cell r="F144" t="str">
            <v>愛知県名古屋市中区栄3-17-25</v>
          </cell>
          <cell r="G144" t="str">
            <v>メディア</v>
          </cell>
          <cell r="H144" t="str">
            <v>不可</v>
          </cell>
          <cell r="I144" t="str">
            <v>不可</v>
          </cell>
          <cell r="J144">
            <v>195</v>
          </cell>
          <cell r="K144">
            <v>15</v>
          </cell>
          <cell r="L144">
            <v>7.6923076923076927E-2</v>
          </cell>
          <cell r="M144" t="str">
            <v>○</v>
          </cell>
          <cell r="N144" t="str">
            <v>×</v>
          </cell>
          <cell r="O144" t="str">
            <v>×</v>
          </cell>
          <cell r="P144">
            <v>45</v>
          </cell>
          <cell r="Q144">
            <v>0</v>
          </cell>
          <cell r="R144">
            <v>0</v>
          </cell>
          <cell r="S144">
            <v>0</v>
          </cell>
          <cell r="T144" t="str">
            <v>×</v>
          </cell>
        </row>
        <row r="145">
          <cell r="B145">
            <v>170</v>
          </cell>
          <cell r="C145" t="str">
            <v>名古屋</v>
          </cell>
          <cell r="D145" t="str">
            <v>名古屋市</v>
          </cell>
          <cell r="E145" t="str">
            <v>ストリングスホテル八事NAGOYA</v>
          </cell>
          <cell r="F145" t="str">
            <v>愛知県名古屋市昭和区八事本町100-36</v>
          </cell>
          <cell r="G145" t="str">
            <v>技術役員（TD/ITO/NTO）</v>
          </cell>
          <cell r="H145" t="str">
            <v>不可</v>
          </cell>
          <cell r="I145" t="str">
            <v>不可</v>
          </cell>
          <cell r="J145">
            <v>77</v>
          </cell>
          <cell r="K145">
            <v>0</v>
          </cell>
          <cell r="L145">
            <v>0</v>
          </cell>
          <cell r="M145" t="str">
            <v>○</v>
          </cell>
          <cell r="N145" t="str">
            <v>○</v>
          </cell>
          <cell r="O145" t="str">
            <v>○</v>
          </cell>
          <cell r="P145">
            <v>20</v>
          </cell>
          <cell r="Q145">
            <v>3</v>
          </cell>
          <cell r="R145">
            <v>13</v>
          </cell>
          <cell r="S145" t="str">
            <v>提供不可</v>
          </cell>
          <cell r="T145" t="str">
            <v>×</v>
          </cell>
        </row>
        <row r="146">
          <cell r="B146">
            <v>171</v>
          </cell>
          <cell r="C146" t="str">
            <v>名古屋</v>
          </cell>
          <cell r="D146" t="str">
            <v>名古屋市</v>
          </cell>
          <cell r="E146" t="str">
            <v>瑞穂アーバンホテル</v>
          </cell>
          <cell r="F146" t="str">
            <v>愛知県名古屋市瑞穂区弥富通5-46-1</v>
          </cell>
          <cell r="G146" t="str">
            <v>技術役員（TD/ITO/NTO）</v>
          </cell>
          <cell r="H146" t="str">
            <v>可</v>
          </cell>
          <cell r="I146" t="str">
            <v>可</v>
          </cell>
          <cell r="J146">
            <v>38</v>
          </cell>
          <cell r="K146">
            <v>38</v>
          </cell>
          <cell r="L146">
            <v>1</v>
          </cell>
          <cell r="M146" t="str">
            <v>○</v>
          </cell>
          <cell r="N146" t="str">
            <v>×</v>
          </cell>
          <cell r="O146" t="str">
            <v>×</v>
          </cell>
          <cell r="P146">
            <v>20</v>
          </cell>
          <cell r="Q146">
            <v>0</v>
          </cell>
          <cell r="R146">
            <v>3</v>
          </cell>
          <cell r="S146">
            <v>3</v>
          </cell>
          <cell r="T146" t="str">
            <v>×</v>
          </cell>
        </row>
        <row r="147">
          <cell r="B147">
            <v>172</v>
          </cell>
          <cell r="C147" t="str">
            <v>名古屋</v>
          </cell>
          <cell r="D147" t="str">
            <v>名古屋市</v>
          </cell>
          <cell r="E147" t="str">
            <v>サイプレス　ガーデンホテル</v>
          </cell>
          <cell r="F147" t="str">
            <v>愛知県名古屋市熱田区金山町1-9-8</v>
          </cell>
          <cell r="G147" t="str">
            <v>技術役員（TD/ITO/NTO）</v>
          </cell>
          <cell r="H147" t="str">
            <v>不可</v>
          </cell>
          <cell r="I147" t="str">
            <v>可</v>
          </cell>
          <cell r="J147">
            <v>203</v>
          </cell>
          <cell r="K147">
            <v>129</v>
          </cell>
          <cell r="L147">
            <v>0.6354679802955665</v>
          </cell>
          <cell r="M147" t="str">
            <v>○</v>
          </cell>
          <cell r="N147" t="str">
            <v>○</v>
          </cell>
          <cell r="O147" t="str">
            <v>○</v>
          </cell>
          <cell r="P147">
            <v>70</v>
          </cell>
          <cell r="Q147">
            <v>1</v>
          </cell>
          <cell r="R147">
            <v>5</v>
          </cell>
          <cell r="S147">
            <v>5</v>
          </cell>
          <cell r="T147" t="str">
            <v>×</v>
          </cell>
        </row>
        <row r="148">
          <cell r="B148">
            <v>173</v>
          </cell>
          <cell r="C148" t="str">
            <v>名古屋</v>
          </cell>
          <cell r="D148" t="str">
            <v>名古屋市</v>
          </cell>
          <cell r="E148" t="str">
            <v>エクセルイン名古屋熱田</v>
          </cell>
          <cell r="F148" t="str">
            <v>愛知県名古屋市熱田区伝馬2-4-17</v>
          </cell>
          <cell r="G148" t="str">
            <v>技術役員（TD/ITO/NTO）</v>
          </cell>
          <cell r="H148" t="str">
            <v>不可</v>
          </cell>
          <cell r="I148" t="str">
            <v>可</v>
          </cell>
          <cell r="J148">
            <v>166</v>
          </cell>
          <cell r="K148">
            <v>87</v>
          </cell>
          <cell r="L148">
            <v>0.52409638554216864</v>
          </cell>
          <cell r="M148" t="str">
            <v>○</v>
          </cell>
          <cell r="N148" t="str">
            <v>×</v>
          </cell>
          <cell r="O148" t="str">
            <v>×</v>
          </cell>
          <cell r="P148">
            <v>36</v>
          </cell>
          <cell r="Q148">
            <v>0</v>
          </cell>
          <cell r="R148">
            <v>1</v>
          </cell>
          <cell r="S148">
            <v>1</v>
          </cell>
          <cell r="T148" t="str">
            <v>×</v>
          </cell>
        </row>
        <row r="149">
          <cell r="B149">
            <v>174</v>
          </cell>
          <cell r="C149" t="str">
            <v>名古屋</v>
          </cell>
          <cell r="D149" t="str">
            <v>名古屋市</v>
          </cell>
          <cell r="E149" t="str">
            <v>熱田の杜ホテル深翠苑</v>
          </cell>
          <cell r="F149" t="str">
            <v>愛知県名古屋市熱田区玉の井町11-6</v>
          </cell>
          <cell r="G149" t="str">
            <v>その他 ※1</v>
          </cell>
          <cell r="H149" t="str">
            <v>不可</v>
          </cell>
          <cell r="I149" t="str">
            <v>可</v>
          </cell>
          <cell r="J149">
            <v>36</v>
          </cell>
          <cell r="K149">
            <v>31</v>
          </cell>
          <cell r="L149">
            <v>0.86111111111111116</v>
          </cell>
          <cell r="M149" t="str">
            <v>○</v>
          </cell>
          <cell r="N149" t="str">
            <v>○</v>
          </cell>
          <cell r="O149" t="str">
            <v>○</v>
          </cell>
          <cell r="P149">
            <v>70</v>
          </cell>
          <cell r="Q149">
            <v>1</v>
          </cell>
          <cell r="R149">
            <v>2</v>
          </cell>
          <cell r="S149">
            <v>2</v>
          </cell>
          <cell r="T149" t="str">
            <v>○</v>
          </cell>
        </row>
        <row r="150">
          <cell r="B150">
            <v>175</v>
          </cell>
          <cell r="C150" t="str">
            <v>名古屋</v>
          </cell>
          <cell r="D150" t="str">
            <v>名古屋市</v>
          </cell>
          <cell r="E150" t="str">
            <v>割烹・ホテルいろは</v>
          </cell>
          <cell r="F150" t="str">
            <v>愛知県名古屋市中川区柳川町4-28</v>
          </cell>
          <cell r="G150" t="str">
            <v>その他 ※1</v>
          </cell>
          <cell r="H150" t="str">
            <v>不可</v>
          </cell>
          <cell r="I150" t="str">
            <v>不可</v>
          </cell>
          <cell r="J150">
            <v>63</v>
          </cell>
          <cell r="K150">
            <v>41</v>
          </cell>
          <cell r="L150">
            <v>0.65079365079365081</v>
          </cell>
          <cell r="M150" t="str">
            <v>○</v>
          </cell>
          <cell r="N150" t="str">
            <v>○</v>
          </cell>
          <cell r="O150" t="str">
            <v>○</v>
          </cell>
          <cell r="P150">
            <v>30</v>
          </cell>
          <cell r="Q150">
            <v>2</v>
          </cell>
          <cell r="R150">
            <v>5</v>
          </cell>
          <cell r="S150">
            <v>2</v>
          </cell>
          <cell r="T150" t="str">
            <v>×</v>
          </cell>
        </row>
        <row r="151">
          <cell r="B151">
            <v>176</v>
          </cell>
          <cell r="C151" t="str">
            <v>名古屋</v>
          </cell>
          <cell r="D151" t="str">
            <v>名古屋市</v>
          </cell>
          <cell r="E151" t="str">
            <v>HOTEL LiVEMAXBUDGET名古屋</v>
          </cell>
          <cell r="F151" t="str">
            <v>愛知県名古屋市中川区尾頭橋3-1-22</v>
          </cell>
          <cell r="G151" t="str">
            <v>メディア</v>
          </cell>
          <cell r="H151" t="str">
            <v>可</v>
          </cell>
          <cell r="I151" t="str">
            <v>可</v>
          </cell>
          <cell r="J151">
            <v>48</v>
          </cell>
          <cell r="K151">
            <v>48</v>
          </cell>
          <cell r="L151">
            <v>1</v>
          </cell>
          <cell r="M151" t="str">
            <v>×</v>
          </cell>
          <cell r="N151" t="str">
            <v>×</v>
          </cell>
          <cell r="O151" t="str">
            <v>×</v>
          </cell>
          <cell r="P151">
            <v>0</v>
          </cell>
          <cell r="Q151">
            <v>0</v>
          </cell>
          <cell r="R151">
            <v>0</v>
          </cell>
          <cell r="S151">
            <v>0</v>
          </cell>
          <cell r="T151" t="str">
            <v>×</v>
          </cell>
        </row>
        <row r="152">
          <cell r="B152">
            <v>177</v>
          </cell>
          <cell r="C152" t="str">
            <v>名古屋</v>
          </cell>
          <cell r="D152" t="str">
            <v>名古屋市</v>
          </cell>
          <cell r="E152" t="str">
            <v>邦和セミナープラザ</v>
          </cell>
          <cell r="F152" t="str">
            <v xml:space="preserve">愛知県名古屋市港区港栄 1-8-23 </v>
          </cell>
          <cell r="G152" t="str">
            <v>技術役員（TD/ITO/NTO）</v>
          </cell>
          <cell r="H152" t="str">
            <v>可</v>
          </cell>
          <cell r="I152" t="str">
            <v>可</v>
          </cell>
          <cell r="J152">
            <v>73</v>
          </cell>
          <cell r="K152">
            <v>73</v>
          </cell>
          <cell r="L152">
            <v>1</v>
          </cell>
          <cell r="M152" t="str">
            <v>○</v>
          </cell>
          <cell r="N152" t="str">
            <v>○</v>
          </cell>
          <cell r="O152" t="str">
            <v>○</v>
          </cell>
          <cell r="P152">
            <v>180</v>
          </cell>
          <cell r="Q152">
            <v>1</v>
          </cell>
          <cell r="R152">
            <v>17</v>
          </cell>
          <cell r="S152">
            <v>17</v>
          </cell>
          <cell r="T152" t="str">
            <v>×</v>
          </cell>
        </row>
        <row r="153">
          <cell r="B153">
            <v>178</v>
          </cell>
          <cell r="C153" t="str">
            <v>名古屋</v>
          </cell>
          <cell r="D153" t="str">
            <v>名古屋市</v>
          </cell>
          <cell r="E153" t="str">
            <v>ハーバーロッジ名古屋（名古屋船員会館）</v>
          </cell>
          <cell r="F153" t="str">
            <v>愛知県名古屋市港区港町1番3号</v>
          </cell>
          <cell r="G153" t="str">
            <v>その他 ※1</v>
          </cell>
          <cell r="H153" t="str">
            <v>不可</v>
          </cell>
          <cell r="I153" t="str">
            <v>可</v>
          </cell>
          <cell r="J153">
            <v>73</v>
          </cell>
          <cell r="K153">
            <v>31</v>
          </cell>
          <cell r="L153">
            <v>0.42465753424657532</v>
          </cell>
          <cell r="M153" t="str">
            <v>×</v>
          </cell>
          <cell r="N153" t="str">
            <v>×</v>
          </cell>
          <cell r="O153" t="str">
            <v>×</v>
          </cell>
          <cell r="P153">
            <v>0</v>
          </cell>
          <cell r="Q153">
            <v>0</v>
          </cell>
          <cell r="R153">
            <v>0</v>
          </cell>
          <cell r="S153">
            <v>0</v>
          </cell>
          <cell r="T153" t="str">
            <v>×</v>
          </cell>
        </row>
        <row r="154">
          <cell r="B154">
            <v>179</v>
          </cell>
          <cell r="C154" t="str">
            <v>名古屋</v>
          </cell>
          <cell r="D154" t="str">
            <v>名古屋市</v>
          </cell>
          <cell r="E154" t="str">
            <v>LEGOLAND Japan Hotel</v>
          </cell>
          <cell r="F154" t="str">
            <v>愛知県名古屋市港区金城ふ頭2-7-1</v>
          </cell>
          <cell r="G154" t="str">
            <v>その他 ※1</v>
          </cell>
          <cell r="H154" t="str">
            <v>不可</v>
          </cell>
          <cell r="I154" t="str">
            <v>不可</v>
          </cell>
          <cell r="J154">
            <v>252</v>
          </cell>
          <cell r="K154">
            <v>45</v>
          </cell>
          <cell r="L154">
            <v>0.17857142857142858</v>
          </cell>
          <cell r="M154" t="str">
            <v>○</v>
          </cell>
          <cell r="N154" t="str">
            <v>○</v>
          </cell>
          <cell r="O154" t="str">
            <v>○</v>
          </cell>
          <cell r="P154">
            <v>360</v>
          </cell>
          <cell r="Q154">
            <v>2</v>
          </cell>
          <cell r="R154">
            <v>0</v>
          </cell>
          <cell r="S154">
            <v>0</v>
          </cell>
          <cell r="T154" t="str">
            <v>○</v>
          </cell>
        </row>
        <row r="155">
          <cell r="B155">
            <v>180</v>
          </cell>
          <cell r="C155" t="str">
            <v>名古屋</v>
          </cell>
          <cell r="D155" t="str">
            <v>名古屋市</v>
          </cell>
          <cell r="E155" t="str">
            <v>名古屋笠寺ホテル</v>
          </cell>
          <cell r="F155" t="str">
            <v>愛知県名古屋市南区前浜通1-9</v>
          </cell>
          <cell r="G155" t="str">
            <v>技術役員（TD/ITO/NTO）</v>
          </cell>
          <cell r="H155" t="str">
            <v>不可</v>
          </cell>
          <cell r="I155" t="str">
            <v>可</v>
          </cell>
          <cell r="J155">
            <v>179</v>
          </cell>
          <cell r="K155">
            <v>100</v>
          </cell>
          <cell r="L155">
            <v>0.55865921787709494</v>
          </cell>
          <cell r="M155" t="str">
            <v>○</v>
          </cell>
          <cell r="N155" t="str">
            <v>○</v>
          </cell>
          <cell r="O155" t="str">
            <v>○</v>
          </cell>
          <cell r="P155">
            <v>216</v>
          </cell>
          <cell r="Q155">
            <v>1</v>
          </cell>
          <cell r="R155">
            <v>2</v>
          </cell>
          <cell r="S155">
            <v>2</v>
          </cell>
          <cell r="T155" t="str">
            <v>○</v>
          </cell>
        </row>
        <row r="156">
          <cell r="B156">
            <v>181</v>
          </cell>
          <cell r="C156" t="str">
            <v>名古屋</v>
          </cell>
          <cell r="D156" t="str">
            <v>名古屋市</v>
          </cell>
          <cell r="E156" t="str">
            <v>ビジネスホテル･サンクロック</v>
          </cell>
          <cell r="F156" t="str">
            <v>愛知県名古屋市南区柴田町6-1</v>
          </cell>
          <cell r="G156" t="str">
            <v>その他 ※1</v>
          </cell>
          <cell r="H156" t="str">
            <v>不可</v>
          </cell>
          <cell r="I156" t="str">
            <v>可</v>
          </cell>
          <cell r="J156">
            <v>60</v>
          </cell>
          <cell r="K156">
            <v>30</v>
          </cell>
          <cell r="L156">
            <v>0.5</v>
          </cell>
          <cell r="M156" t="str">
            <v>○</v>
          </cell>
          <cell r="N156" t="str">
            <v>×</v>
          </cell>
          <cell r="O156" t="str">
            <v>×</v>
          </cell>
          <cell r="P156">
            <v>20</v>
          </cell>
          <cell r="Q156">
            <v>0</v>
          </cell>
          <cell r="R156">
            <v>1</v>
          </cell>
          <cell r="S156">
            <v>1</v>
          </cell>
          <cell r="T156" t="str">
            <v>×</v>
          </cell>
        </row>
        <row r="157">
          <cell r="B157">
            <v>182</v>
          </cell>
          <cell r="C157" t="str">
            <v>名古屋</v>
          </cell>
          <cell r="D157" t="str">
            <v>名古屋市</v>
          </cell>
          <cell r="E157" t="str">
            <v>アクセス・バイ・ロワジールホテル名古屋</v>
          </cell>
          <cell r="F157" t="str">
            <v>愛知県名古屋市東区東桜1-9-22</v>
          </cell>
          <cell r="G157" t="str">
            <v>メディア</v>
          </cell>
          <cell r="H157" t="str">
            <v>不可</v>
          </cell>
          <cell r="I157" t="str">
            <v>可</v>
          </cell>
          <cell r="J157">
            <v>139</v>
          </cell>
          <cell r="K157">
            <v>45</v>
          </cell>
          <cell r="L157">
            <v>0.32374100719424459</v>
          </cell>
          <cell r="M157" t="str">
            <v>○</v>
          </cell>
          <cell r="N157" t="str">
            <v>×</v>
          </cell>
          <cell r="O157" t="str">
            <v>×</v>
          </cell>
          <cell r="P157">
            <v>0</v>
          </cell>
          <cell r="Q157">
            <v>0</v>
          </cell>
          <cell r="R157">
            <v>0</v>
          </cell>
          <cell r="S157">
            <v>0</v>
          </cell>
          <cell r="T157" t="str">
            <v>×</v>
          </cell>
        </row>
        <row r="158">
          <cell r="B158">
            <v>183</v>
          </cell>
          <cell r="C158" t="str">
            <v>名古屋</v>
          </cell>
          <cell r="D158" t="str">
            <v>名古屋市</v>
          </cell>
          <cell r="E158" t="str">
            <v>天然温泉ホテルリブマックスPREMIUM名古屋丸の内</v>
          </cell>
          <cell r="F158" t="str">
            <v>愛知県名古屋市中区丸の内3-16-22</v>
          </cell>
          <cell r="G158" t="str">
            <v>技術役員（TD/ITO/NTO）</v>
          </cell>
          <cell r="H158" t="str">
            <v>可</v>
          </cell>
          <cell r="I158" t="str">
            <v>可</v>
          </cell>
          <cell r="J158">
            <v>156</v>
          </cell>
          <cell r="K158">
            <v>156</v>
          </cell>
          <cell r="L158">
            <v>1</v>
          </cell>
          <cell r="M158" t="str">
            <v>○</v>
          </cell>
          <cell r="N158" t="str">
            <v>○</v>
          </cell>
          <cell r="O158" t="str">
            <v>○</v>
          </cell>
          <cell r="P158">
            <v>62</v>
          </cell>
          <cell r="Q158">
            <v>0</v>
          </cell>
          <cell r="R158">
            <v>0</v>
          </cell>
          <cell r="S158">
            <v>0</v>
          </cell>
          <cell r="T158" t="str">
            <v>×</v>
          </cell>
        </row>
        <row r="159">
          <cell r="B159">
            <v>184</v>
          </cell>
          <cell r="C159" t="str">
            <v>名古屋</v>
          </cell>
          <cell r="D159" t="str">
            <v>犬山市</v>
          </cell>
          <cell r="E159" t="str">
            <v>犬山セントラルホテル</v>
          </cell>
          <cell r="F159" t="str">
            <v>愛知県犬山市犬山高見町13-2</v>
          </cell>
          <cell r="G159" t="str">
            <v>選手・役員</v>
          </cell>
          <cell r="H159" t="str">
            <v>不可</v>
          </cell>
          <cell r="I159" t="str">
            <v>可</v>
          </cell>
          <cell r="J159">
            <v>113</v>
          </cell>
          <cell r="K159">
            <v>75</v>
          </cell>
          <cell r="L159">
            <v>0.66371681415929207</v>
          </cell>
          <cell r="M159" t="str">
            <v>○</v>
          </cell>
          <cell r="N159" t="str">
            <v>×</v>
          </cell>
          <cell r="O159" t="str">
            <v>×</v>
          </cell>
          <cell r="P159">
            <v>34</v>
          </cell>
          <cell r="Q159">
            <v>0</v>
          </cell>
          <cell r="R159">
            <v>1</v>
          </cell>
          <cell r="S159">
            <v>1</v>
          </cell>
          <cell r="T159" t="str">
            <v>×</v>
          </cell>
        </row>
        <row r="160">
          <cell r="B160">
            <v>186</v>
          </cell>
          <cell r="C160" t="str">
            <v>名古屋</v>
          </cell>
          <cell r="D160" t="str">
            <v>名古屋市</v>
          </cell>
          <cell r="E160" t="str">
            <v>ホテルユニゾ名古屋駅前</v>
          </cell>
          <cell r="F160" t="str">
            <v>愛知県名古屋市中村区名駅3-16-8</v>
          </cell>
          <cell r="G160" t="str">
            <v>NOC</v>
          </cell>
          <cell r="H160" t="str">
            <v>可</v>
          </cell>
          <cell r="I160" t="str">
            <v>可</v>
          </cell>
          <cell r="J160">
            <v>205</v>
          </cell>
          <cell r="K160">
            <v>205</v>
          </cell>
          <cell r="L160">
            <v>1</v>
          </cell>
          <cell r="M160" t="str">
            <v>○</v>
          </cell>
          <cell r="N160" t="str">
            <v>×</v>
          </cell>
          <cell r="O160" t="str">
            <v>○</v>
          </cell>
          <cell r="P160">
            <v>57</v>
          </cell>
          <cell r="Q160">
            <v>1</v>
          </cell>
          <cell r="R160">
            <v>0</v>
          </cell>
          <cell r="S160">
            <v>0</v>
          </cell>
          <cell r="T160" t="str">
            <v>×</v>
          </cell>
        </row>
        <row r="161">
          <cell r="B161">
            <v>187</v>
          </cell>
          <cell r="C161" t="str">
            <v>岡崎</v>
          </cell>
          <cell r="D161" t="str">
            <v>刈谷市</v>
          </cell>
          <cell r="E161" t="str">
            <v>エースイン刈谷</v>
          </cell>
          <cell r="F161" t="str">
            <v>愛知県刈谷市若松町2-54</v>
          </cell>
          <cell r="G161" t="str">
            <v>選手・役員または技術役員</v>
          </cell>
          <cell r="H161" t="str">
            <v>不可</v>
          </cell>
          <cell r="I161" t="str">
            <v>可</v>
          </cell>
          <cell r="J161">
            <v>123</v>
          </cell>
          <cell r="K161">
            <v>80</v>
          </cell>
          <cell r="L161">
            <v>0.65040650406504064</v>
          </cell>
          <cell r="M161" t="str">
            <v>○</v>
          </cell>
          <cell r="N161" t="str">
            <v>×</v>
          </cell>
          <cell r="O161" t="str">
            <v>×</v>
          </cell>
          <cell r="P161">
            <v>24</v>
          </cell>
          <cell r="Q161">
            <v>0</v>
          </cell>
          <cell r="R161">
            <v>0</v>
          </cell>
          <cell r="S161">
            <v>0</v>
          </cell>
          <cell r="T161" t="str">
            <v>○</v>
          </cell>
        </row>
        <row r="162">
          <cell r="B162">
            <v>188</v>
          </cell>
          <cell r="C162" t="str">
            <v>岡崎</v>
          </cell>
          <cell r="D162" t="str">
            <v>刈谷市</v>
          </cell>
          <cell r="E162" t="str">
            <v>名鉄イン刈谷</v>
          </cell>
          <cell r="F162" t="str">
            <v>愛知県刈谷市若松町一丁目72番</v>
          </cell>
          <cell r="G162" t="str">
            <v>選手・役員または技術役員</v>
          </cell>
          <cell r="H162" t="str">
            <v>不可</v>
          </cell>
          <cell r="I162" t="str">
            <v>可</v>
          </cell>
          <cell r="J162">
            <v>206</v>
          </cell>
          <cell r="K162">
            <v>50</v>
          </cell>
          <cell r="L162">
            <v>0.24271844660194175</v>
          </cell>
          <cell r="M162" t="str">
            <v>○</v>
          </cell>
          <cell r="N162" t="str">
            <v>×</v>
          </cell>
          <cell r="O162" t="str">
            <v>×</v>
          </cell>
          <cell r="P162">
            <v>40</v>
          </cell>
          <cell r="Q162">
            <v>2</v>
          </cell>
          <cell r="R162">
            <v>0</v>
          </cell>
          <cell r="S162">
            <v>0</v>
          </cell>
          <cell r="T162" t="str">
            <v>×</v>
          </cell>
        </row>
        <row r="163">
          <cell r="B163">
            <v>189</v>
          </cell>
          <cell r="C163" t="str">
            <v>岡崎</v>
          </cell>
          <cell r="D163" t="str">
            <v>刈谷市</v>
          </cell>
          <cell r="E163" t="str">
            <v>コンフォートホテル刈谷</v>
          </cell>
          <cell r="F163" t="str">
            <v>愛知県刈谷市相生町1-8-1</v>
          </cell>
          <cell r="G163" t="str">
            <v>選手・役員または技術役員</v>
          </cell>
          <cell r="H163" t="str">
            <v>不可</v>
          </cell>
          <cell r="I163" t="str">
            <v>可</v>
          </cell>
          <cell r="J163">
            <v>135</v>
          </cell>
          <cell r="K163">
            <v>40</v>
          </cell>
          <cell r="L163">
            <v>0.29629629629629628</v>
          </cell>
          <cell r="M163" t="str">
            <v>○</v>
          </cell>
          <cell r="N163" t="str">
            <v>×</v>
          </cell>
          <cell r="O163" t="str">
            <v>×</v>
          </cell>
          <cell r="P163">
            <v>61</v>
          </cell>
          <cell r="Q163">
            <v>0</v>
          </cell>
          <cell r="R163">
            <v>0</v>
          </cell>
          <cell r="S163">
            <v>0</v>
          </cell>
          <cell r="T163" t="str">
            <v>×</v>
          </cell>
        </row>
        <row r="164">
          <cell r="B164">
            <v>191</v>
          </cell>
          <cell r="C164" t="str">
            <v>岡崎</v>
          </cell>
          <cell r="D164" t="str">
            <v>刈谷市</v>
          </cell>
          <cell r="E164" t="str">
            <v>パークホテル刈谷QS</v>
          </cell>
          <cell r="F164" t="str">
            <v>愛知県刈谷市相生町2-20</v>
          </cell>
          <cell r="G164" t="str">
            <v>選手・役員または技術役員 ※2</v>
          </cell>
          <cell r="H164" t="str">
            <v>不可</v>
          </cell>
          <cell r="I164" t="str">
            <v>可</v>
          </cell>
          <cell r="J164">
            <v>50</v>
          </cell>
          <cell r="K164">
            <v>0</v>
          </cell>
          <cell r="L164">
            <v>0</v>
          </cell>
          <cell r="M164" t="str">
            <v>○</v>
          </cell>
          <cell r="N164" t="str">
            <v>○</v>
          </cell>
          <cell r="O164" t="str">
            <v>○</v>
          </cell>
          <cell r="P164">
            <v>70</v>
          </cell>
          <cell r="Q164">
            <v>1</v>
          </cell>
          <cell r="R164">
            <v>0</v>
          </cell>
          <cell r="S164">
            <v>0</v>
          </cell>
          <cell r="T164" t="str">
            <v>×</v>
          </cell>
        </row>
        <row r="165">
          <cell r="B165">
            <v>192</v>
          </cell>
          <cell r="C165" t="str">
            <v>岡崎</v>
          </cell>
          <cell r="D165" t="str">
            <v>刈谷市</v>
          </cell>
          <cell r="E165" t="str">
            <v>パークホテル刈谷</v>
          </cell>
          <cell r="F165" t="str">
            <v>愛知県刈谷市相生町2-8</v>
          </cell>
          <cell r="G165" t="str">
            <v>選手・役員または技術役員</v>
          </cell>
          <cell r="H165" t="str">
            <v>可</v>
          </cell>
          <cell r="I165" t="str">
            <v>可</v>
          </cell>
          <cell r="J165">
            <v>80</v>
          </cell>
          <cell r="K165">
            <v>80</v>
          </cell>
          <cell r="L165">
            <v>1</v>
          </cell>
          <cell r="M165" t="str">
            <v>○</v>
          </cell>
          <cell r="N165" t="str">
            <v>○</v>
          </cell>
          <cell r="O165" t="str">
            <v>○</v>
          </cell>
          <cell r="P165">
            <v>70</v>
          </cell>
          <cell r="Q165">
            <v>0</v>
          </cell>
          <cell r="R165">
            <v>0</v>
          </cell>
          <cell r="S165">
            <v>0</v>
          </cell>
          <cell r="T165" t="str">
            <v>×</v>
          </cell>
        </row>
        <row r="166">
          <cell r="B166">
            <v>193</v>
          </cell>
          <cell r="C166" t="str">
            <v>岡崎</v>
          </cell>
          <cell r="D166" t="str">
            <v>刈谷市</v>
          </cell>
          <cell r="E166" t="str">
            <v>アクセスイン刈谷</v>
          </cell>
          <cell r="F166" t="str">
            <v>愛知県刈谷市中山町3-36</v>
          </cell>
          <cell r="G166" t="str">
            <v>選手・役員または技術役員</v>
          </cell>
          <cell r="H166" t="str">
            <v>不可</v>
          </cell>
          <cell r="I166" t="str">
            <v>可</v>
          </cell>
          <cell r="J166">
            <v>119</v>
          </cell>
          <cell r="K166">
            <v>30</v>
          </cell>
          <cell r="L166">
            <v>0.25210084033613445</v>
          </cell>
          <cell r="M166" t="str">
            <v>○</v>
          </cell>
          <cell r="N166" t="str">
            <v>×</v>
          </cell>
          <cell r="O166" t="str">
            <v>×</v>
          </cell>
          <cell r="P166">
            <v>40</v>
          </cell>
          <cell r="Q166">
            <v>1</v>
          </cell>
          <cell r="R166">
            <v>0</v>
          </cell>
          <cell r="S166">
            <v>0</v>
          </cell>
          <cell r="T166" t="str">
            <v>×</v>
          </cell>
        </row>
        <row r="167">
          <cell r="B167">
            <v>194</v>
          </cell>
          <cell r="C167" t="str">
            <v>岡崎</v>
          </cell>
          <cell r="D167" t="str">
            <v>刈谷市</v>
          </cell>
          <cell r="E167" t="str">
            <v>ホテル東洋イン刈谷</v>
          </cell>
          <cell r="F167" t="str">
            <v>愛知県刈谷市南桜町1-28</v>
          </cell>
          <cell r="G167" t="str">
            <v>選手・役員または技術役員</v>
          </cell>
          <cell r="H167" t="str">
            <v>不可</v>
          </cell>
          <cell r="I167" t="str">
            <v>可</v>
          </cell>
          <cell r="J167">
            <v>142</v>
          </cell>
          <cell r="K167">
            <v>63</v>
          </cell>
          <cell r="L167">
            <v>0.44366197183098594</v>
          </cell>
          <cell r="M167" t="str">
            <v>○</v>
          </cell>
          <cell r="N167" t="str">
            <v>×</v>
          </cell>
          <cell r="O167" t="str">
            <v>×</v>
          </cell>
          <cell r="P167">
            <v>40</v>
          </cell>
          <cell r="Q167">
            <v>1</v>
          </cell>
          <cell r="R167">
            <v>1</v>
          </cell>
          <cell r="S167">
            <v>1</v>
          </cell>
          <cell r="T167" t="str">
            <v>○</v>
          </cell>
        </row>
        <row r="168">
          <cell r="B168">
            <v>195</v>
          </cell>
          <cell r="C168" t="str">
            <v>岡崎</v>
          </cell>
          <cell r="D168" t="str">
            <v>豊田市</v>
          </cell>
          <cell r="E168" t="str">
            <v>ロイヤルホテルうお八</v>
          </cell>
          <cell r="F168" t="str">
            <v>愛知県豊田市美山町2丁目14-1</v>
          </cell>
          <cell r="G168" t="str">
            <v>選手・役員または技術役員</v>
          </cell>
          <cell r="H168" t="str">
            <v>不可</v>
          </cell>
          <cell r="I168" t="str">
            <v>可</v>
          </cell>
          <cell r="J168">
            <v>159</v>
          </cell>
          <cell r="K168">
            <v>80</v>
          </cell>
          <cell r="L168">
            <v>0.50314465408805031</v>
          </cell>
          <cell r="M168" t="str">
            <v>○</v>
          </cell>
          <cell r="N168" t="str">
            <v>○</v>
          </cell>
          <cell r="O168" t="str">
            <v>○</v>
          </cell>
          <cell r="P168">
            <v>40</v>
          </cell>
          <cell r="Q168">
            <v>0</v>
          </cell>
          <cell r="R168">
            <v>8</v>
          </cell>
          <cell r="S168">
            <v>1</v>
          </cell>
          <cell r="T168" t="str">
            <v>○</v>
          </cell>
        </row>
        <row r="169">
          <cell r="B169">
            <v>196</v>
          </cell>
          <cell r="C169" t="str">
            <v>岡崎</v>
          </cell>
          <cell r="D169" t="str">
            <v>豊田市</v>
          </cell>
          <cell r="E169" t="str">
            <v>シティホテルアンティーズ</v>
          </cell>
          <cell r="F169" t="str">
            <v>愛知県豊田市神明町1-30</v>
          </cell>
          <cell r="G169" t="str">
            <v>選手・役員または技術役員</v>
          </cell>
          <cell r="H169" t="str">
            <v>不可</v>
          </cell>
          <cell r="I169" t="str">
            <v>不可</v>
          </cell>
          <cell r="J169">
            <v>67</v>
          </cell>
          <cell r="K169">
            <v>25</v>
          </cell>
          <cell r="L169">
            <v>0.37313432835820898</v>
          </cell>
          <cell r="M169" t="str">
            <v>○</v>
          </cell>
          <cell r="N169" t="str">
            <v>×</v>
          </cell>
          <cell r="O169" t="str">
            <v>×</v>
          </cell>
          <cell r="P169">
            <v>40</v>
          </cell>
          <cell r="Q169">
            <v>0</v>
          </cell>
          <cell r="R169">
            <v>2</v>
          </cell>
          <cell r="S169">
            <v>2</v>
          </cell>
          <cell r="T169" t="str">
            <v>○</v>
          </cell>
        </row>
        <row r="170">
          <cell r="B170">
            <v>200</v>
          </cell>
          <cell r="C170" t="str">
            <v>岡崎</v>
          </cell>
          <cell r="D170" t="str">
            <v>豊田市</v>
          </cell>
          <cell r="E170" t="str">
            <v>アットインホテル豊田市駅</v>
          </cell>
          <cell r="F170" t="str">
            <v>愛知県豊田市喜多町2-97</v>
          </cell>
          <cell r="G170" t="str">
            <v>選手・役員または技術役員</v>
          </cell>
          <cell r="H170" t="str">
            <v>可</v>
          </cell>
          <cell r="I170" t="str">
            <v>可</v>
          </cell>
          <cell r="J170">
            <v>122</v>
          </cell>
          <cell r="K170">
            <v>122</v>
          </cell>
          <cell r="L170">
            <v>1</v>
          </cell>
          <cell r="M170" t="str">
            <v>○</v>
          </cell>
          <cell r="N170" t="str">
            <v>×</v>
          </cell>
          <cell r="O170" t="str">
            <v>×</v>
          </cell>
          <cell r="P170">
            <v>50</v>
          </cell>
          <cell r="Q170">
            <v>1</v>
          </cell>
          <cell r="R170">
            <v>0</v>
          </cell>
          <cell r="S170">
            <v>0</v>
          </cell>
          <cell r="T170" t="str">
            <v>×</v>
          </cell>
        </row>
        <row r="171">
          <cell r="B171">
            <v>201</v>
          </cell>
          <cell r="C171" t="str">
            <v>岡崎</v>
          </cell>
          <cell r="D171" t="str">
            <v>豊田市</v>
          </cell>
          <cell r="E171" t="str">
            <v xml:space="preserve"> 全トヨタ労連研修センター　つどいの丘</v>
          </cell>
          <cell r="F171" t="str">
            <v>愛知県豊田市西中山町清水口133</v>
          </cell>
          <cell r="G171" t="str">
            <v>選手・役員または技術役員</v>
          </cell>
          <cell r="H171" t="str">
            <v>可</v>
          </cell>
          <cell r="I171" t="str">
            <v>可</v>
          </cell>
          <cell r="J171">
            <v>69</v>
          </cell>
          <cell r="K171">
            <v>69</v>
          </cell>
          <cell r="L171">
            <v>1</v>
          </cell>
          <cell r="M171" t="str">
            <v>○</v>
          </cell>
          <cell r="N171" t="str">
            <v>○</v>
          </cell>
          <cell r="O171" t="str">
            <v>○</v>
          </cell>
          <cell r="P171">
            <v>106</v>
          </cell>
          <cell r="Q171">
            <v>1</v>
          </cell>
          <cell r="R171">
            <v>19</v>
          </cell>
          <cell r="S171">
            <v>18</v>
          </cell>
          <cell r="T171" t="str">
            <v>○</v>
          </cell>
        </row>
        <row r="172">
          <cell r="B172">
            <v>202</v>
          </cell>
          <cell r="C172" t="str">
            <v>岡崎</v>
          </cell>
          <cell r="D172" t="str">
            <v>豊田市</v>
          </cell>
          <cell r="E172" t="str">
            <v>ビジネスホテルこさなぎ</v>
          </cell>
          <cell r="F172" t="str">
            <v>愛知県豊田市曙町5-18</v>
          </cell>
          <cell r="G172" t="str">
            <v>選手・役員または技術役員</v>
          </cell>
          <cell r="H172" t="str">
            <v>不可</v>
          </cell>
          <cell r="I172" t="str">
            <v>可</v>
          </cell>
          <cell r="J172">
            <v>56</v>
          </cell>
          <cell r="K172">
            <v>39</v>
          </cell>
          <cell r="L172">
            <v>0.6964285714285714</v>
          </cell>
          <cell r="M172" t="str">
            <v>○</v>
          </cell>
          <cell r="N172" t="str">
            <v>○</v>
          </cell>
          <cell r="O172" t="str">
            <v>○</v>
          </cell>
          <cell r="P172">
            <v>45</v>
          </cell>
          <cell r="Q172">
            <v>1</v>
          </cell>
          <cell r="R172">
            <v>1</v>
          </cell>
          <cell r="S172">
            <v>1</v>
          </cell>
          <cell r="T172" t="str">
            <v>○</v>
          </cell>
        </row>
        <row r="173">
          <cell r="B173">
            <v>203</v>
          </cell>
          <cell r="C173" t="str">
            <v>岡崎</v>
          </cell>
          <cell r="D173" t="str">
            <v>豊田市</v>
          </cell>
          <cell r="E173" t="str">
            <v>センターホテルトヨタ</v>
          </cell>
          <cell r="F173" t="str">
            <v xml:space="preserve">愛知県豊田市西町4-26-8										</v>
          </cell>
          <cell r="G173" t="str">
            <v>選手・役員または技術役員</v>
          </cell>
          <cell r="H173" t="str">
            <v>不可</v>
          </cell>
          <cell r="I173" t="str">
            <v>可</v>
          </cell>
          <cell r="J173">
            <v>61</v>
          </cell>
          <cell r="K173">
            <v>30</v>
          </cell>
          <cell r="L173">
            <v>0.49180327868852458</v>
          </cell>
          <cell r="M173" t="str">
            <v>○</v>
          </cell>
          <cell r="N173" t="str">
            <v>×</v>
          </cell>
          <cell r="O173" t="str">
            <v>×</v>
          </cell>
          <cell r="P173">
            <v>16</v>
          </cell>
          <cell r="Q173">
            <v>0</v>
          </cell>
          <cell r="R173">
            <v>0</v>
          </cell>
          <cell r="S173">
            <v>0</v>
          </cell>
          <cell r="T173" t="str">
            <v>×</v>
          </cell>
        </row>
        <row r="174">
          <cell r="B174">
            <v>204</v>
          </cell>
          <cell r="C174" t="str">
            <v>岡崎</v>
          </cell>
          <cell r="D174" t="str">
            <v>豊田市</v>
          </cell>
          <cell r="E174" t="str">
            <v>ホテル新永</v>
          </cell>
          <cell r="F174" t="str">
            <v>豊田市永覚町4-202-5</v>
          </cell>
          <cell r="G174" t="str">
            <v>選手・役員または技術役員</v>
          </cell>
          <cell r="H174" t="str">
            <v>不可</v>
          </cell>
          <cell r="I174" t="str">
            <v>可</v>
          </cell>
          <cell r="J174">
            <v>102</v>
          </cell>
          <cell r="K174">
            <v>16</v>
          </cell>
          <cell r="L174">
            <v>0.15686274509803921</v>
          </cell>
          <cell r="M174" t="str">
            <v>○</v>
          </cell>
          <cell r="N174" t="str">
            <v>×</v>
          </cell>
          <cell r="O174" t="str">
            <v>×</v>
          </cell>
          <cell r="P174">
            <v>30</v>
          </cell>
          <cell r="Q174">
            <v>0</v>
          </cell>
          <cell r="R174">
            <v>0</v>
          </cell>
          <cell r="S174">
            <v>0</v>
          </cell>
          <cell r="T174" t="str">
            <v>○</v>
          </cell>
        </row>
        <row r="175">
          <cell r="B175">
            <v>205</v>
          </cell>
          <cell r="C175" t="str">
            <v>岡崎</v>
          </cell>
          <cell r="D175" t="str">
            <v>豊田市</v>
          </cell>
          <cell r="E175" t="str">
            <v>三交イン豊田  ～四季乃湯～</v>
          </cell>
          <cell r="F175" t="str">
            <v>愛知県豊田市下市場町5丁目90番地2</v>
          </cell>
          <cell r="G175" t="str">
            <v>選手・役員または技術役員</v>
          </cell>
          <cell r="H175" t="str">
            <v>不可</v>
          </cell>
          <cell r="I175" t="str">
            <v>不可</v>
          </cell>
          <cell r="J175">
            <v>144</v>
          </cell>
          <cell r="K175">
            <v>50</v>
          </cell>
          <cell r="L175">
            <v>0.34722222222222221</v>
          </cell>
          <cell r="M175" t="str">
            <v>○</v>
          </cell>
          <cell r="N175" t="str">
            <v>×</v>
          </cell>
          <cell r="O175" t="str">
            <v>×</v>
          </cell>
          <cell r="P175">
            <v>26</v>
          </cell>
          <cell r="Q175">
            <v>0</v>
          </cell>
          <cell r="R175">
            <v>0</v>
          </cell>
          <cell r="S175">
            <v>0</v>
          </cell>
          <cell r="T175" t="str">
            <v>×</v>
          </cell>
        </row>
        <row r="176">
          <cell r="B176">
            <v>206</v>
          </cell>
          <cell r="C176" t="str">
            <v>岡崎</v>
          </cell>
          <cell r="D176" t="str">
            <v>豊田市</v>
          </cell>
          <cell r="E176" t="str">
            <v>ホテルトヨタキャッスル</v>
          </cell>
          <cell r="F176" t="str">
            <v>愛知県豊田市喜多町2丁目160番地コモ・スクエアウェスト</v>
          </cell>
          <cell r="G176" t="str">
            <v>選手・役員または技術役員</v>
          </cell>
          <cell r="H176" t="str">
            <v>不可</v>
          </cell>
          <cell r="I176" t="str">
            <v>可</v>
          </cell>
          <cell r="J176">
            <v>151</v>
          </cell>
          <cell r="K176">
            <v>49</v>
          </cell>
          <cell r="L176">
            <v>0.32450331125827814</v>
          </cell>
          <cell r="M176" t="str">
            <v>○</v>
          </cell>
          <cell r="N176" t="str">
            <v>○</v>
          </cell>
          <cell r="O176" t="str">
            <v>○</v>
          </cell>
          <cell r="P176">
            <v>60</v>
          </cell>
          <cell r="Q176">
            <v>4</v>
          </cell>
          <cell r="R176">
            <v>6</v>
          </cell>
          <cell r="S176">
            <v>2</v>
          </cell>
          <cell r="T176" t="str">
            <v>○</v>
          </cell>
        </row>
        <row r="177">
          <cell r="B177">
            <v>207</v>
          </cell>
          <cell r="C177" t="str">
            <v>岡崎</v>
          </cell>
          <cell r="D177" t="str">
            <v>豊田市</v>
          </cell>
          <cell r="E177" t="str">
            <v>豊田プレステージホテル</v>
          </cell>
          <cell r="F177" t="str">
            <v>愛知県豊田市喜多町4-28</v>
          </cell>
          <cell r="G177" t="str">
            <v>選手・役員または技術役員</v>
          </cell>
          <cell r="H177" t="str">
            <v>可</v>
          </cell>
          <cell r="I177" t="str">
            <v>可</v>
          </cell>
          <cell r="J177">
            <v>115</v>
          </cell>
          <cell r="K177">
            <v>115</v>
          </cell>
          <cell r="L177">
            <v>1</v>
          </cell>
          <cell r="M177" t="str">
            <v>○</v>
          </cell>
          <cell r="N177" t="str">
            <v>×</v>
          </cell>
          <cell r="O177" t="str">
            <v>○</v>
          </cell>
          <cell r="P177">
            <v>40</v>
          </cell>
          <cell r="Q177">
            <v>4</v>
          </cell>
          <cell r="R177">
            <v>2</v>
          </cell>
          <cell r="S177">
            <v>2</v>
          </cell>
          <cell r="T177" t="str">
            <v>×</v>
          </cell>
        </row>
        <row r="178">
          <cell r="B178">
            <v>208</v>
          </cell>
          <cell r="C178" t="str">
            <v>岡崎</v>
          </cell>
          <cell r="D178" t="str">
            <v>豊田市</v>
          </cell>
          <cell r="E178" t="str">
            <v>東横INN豊田市駅前</v>
          </cell>
          <cell r="F178" t="str">
            <v>愛知県豊田市西町6-7-2</v>
          </cell>
          <cell r="G178" t="str">
            <v>選手・役員または技術役員</v>
          </cell>
          <cell r="H178" t="str">
            <v>不可</v>
          </cell>
          <cell r="I178" t="str">
            <v>可</v>
          </cell>
          <cell r="J178">
            <v>155</v>
          </cell>
          <cell r="K178">
            <v>88</v>
          </cell>
          <cell r="L178">
            <v>0.56774193548387097</v>
          </cell>
          <cell r="M178" t="str">
            <v>○</v>
          </cell>
          <cell r="N178" t="str">
            <v>×</v>
          </cell>
          <cell r="O178" t="str">
            <v>×</v>
          </cell>
          <cell r="P178">
            <v>33</v>
          </cell>
          <cell r="Q178">
            <v>0</v>
          </cell>
          <cell r="R178">
            <v>0</v>
          </cell>
          <cell r="S178">
            <v>0</v>
          </cell>
          <cell r="T178" t="str">
            <v>×</v>
          </cell>
        </row>
        <row r="179">
          <cell r="B179">
            <v>209</v>
          </cell>
          <cell r="C179" t="str">
            <v>岡崎</v>
          </cell>
          <cell r="D179" t="str">
            <v>豊田市</v>
          </cell>
          <cell r="E179" t="str">
            <v>パレスイン豊田</v>
          </cell>
          <cell r="F179" t="str">
            <v>愛知県豊田市司町1-9-1</v>
          </cell>
          <cell r="G179" t="str">
            <v>選手・役員または技術役員</v>
          </cell>
          <cell r="H179" t="str">
            <v>不可</v>
          </cell>
          <cell r="I179" t="str">
            <v>可</v>
          </cell>
          <cell r="J179">
            <v>60</v>
          </cell>
          <cell r="K179">
            <v>34</v>
          </cell>
          <cell r="L179">
            <v>0.56666666666666665</v>
          </cell>
          <cell r="M179" t="str">
            <v>○</v>
          </cell>
          <cell r="N179" t="str">
            <v>×</v>
          </cell>
          <cell r="O179" t="str">
            <v>×</v>
          </cell>
          <cell r="P179">
            <v>7</v>
          </cell>
          <cell r="Q179">
            <v>1</v>
          </cell>
          <cell r="R179">
            <v>0</v>
          </cell>
          <cell r="S179">
            <v>0</v>
          </cell>
          <cell r="T179" t="str">
            <v>×</v>
          </cell>
        </row>
        <row r="180">
          <cell r="B180">
            <v>210</v>
          </cell>
          <cell r="C180" t="str">
            <v>岡崎</v>
          </cell>
          <cell r="D180" t="str">
            <v>豊田市</v>
          </cell>
          <cell r="E180" t="str">
            <v>名鉄トヨタホテル</v>
          </cell>
          <cell r="F180" t="str">
            <v>愛知県豊田市喜多町1-140</v>
          </cell>
          <cell r="G180" t="str">
            <v>選手・役員または技術役員</v>
          </cell>
          <cell r="H180" t="str">
            <v>不可</v>
          </cell>
          <cell r="I180" t="str">
            <v>可</v>
          </cell>
          <cell r="J180">
            <v>99</v>
          </cell>
          <cell r="K180">
            <v>81</v>
          </cell>
          <cell r="L180">
            <v>0.81818181818181823</v>
          </cell>
          <cell r="M180" t="str">
            <v>○</v>
          </cell>
          <cell r="N180" t="str">
            <v>○</v>
          </cell>
          <cell r="O180" t="str">
            <v>○</v>
          </cell>
          <cell r="P180">
            <v>76</v>
          </cell>
          <cell r="Q180">
            <v>4</v>
          </cell>
          <cell r="R180">
            <v>6</v>
          </cell>
          <cell r="S180" t="str">
            <v>提供不可</v>
          </cell>
          <cell r="T180" t="str">
            <v>○</v>
          </cell>
        </row>
        <row r="181">
          <cell r="B181">
            <v>211</v>
          </cell>
          <cell r="C181" t="str">
            <v>岡崎</v>
          </cell>
          <cell r="D181" t="str">
            <v>豊田市</v>
          </cell>
          <cell r="E181" t="str">
            <v>ホテル松風</v>
          </cell>
          <cell r="F181" t="str">
            <v>愛知県豊田市緑ｹ丘5-11</v>
          </cell>
          <cell r="G181" t="str">
            <v>選手・役員または技術役員</v>
          </cell>
          <cell r="H181" t="str">
            <v>可</v>
          </cell>
          <cell r="I181" t="str">
            <v>可</v>
          </cell>
          <cell r="J181">
            <v>68</v>
          </cell>
          <cell r="K181">
            <v>68</v>
          </cell>
          <cell r="L181">
            <v>1</v>
          </cell>
          <cell r="M181" t="str">
            <v>○</v>
          </cell>
          <cell r="N181" t="str">
            <v>○</v>
          </cell>
          <cell r="O181" t="str">
            <v>○</v>
          </cell>
          <cell r="P181">
            <v>70</v>
          </cell>
          <cell r="Q181">
            <v>1</v>
          </cell>
          <cell r="R181">
            <v>4</v>
          </cell>
          <cell r="S181">
            <v>4</v>
          </cell>
          <cell r="T181" t="str">
            <v>○</v>
          </cell>
        </row>
        <row r="182">
          <cell r="B182">
            <v>212</v>
          </cell>
          <cell r="C182" t="str">
            <v>岡崎</v>
          </cell>
          <cell r="D182" t="str">
            <v>豊田市</v>
          </cell>
          <cell r="E182" t="str">
            <v>ホテルルートイン豊田陣中</v>
          </cell>
          <cell r="F182" t="str">
            <v>愛知県豊田市陣中町2丁目18-13</v>
          </cell>
          <cell r="G182" t="str">
            <v>選手・役員または技術役員</v>
          </cell>
          <cell r="H182" t="str">
            <v>不可</v>
          </cell>
          <cell r="I182" t="str">
            <v>可</v>
          </cell>
          <cell r="J182">
            <v>151</v>
          </cell>
          <cell r="K182">
            <v>83</v>
          </cell>
          <cell r="L182">
            <v>0.54966887417218546</v>
          </cell>
          <cell r="M182" t="str">
            <v>○</v>
          </cell>
          <cell r="N182" t="str">
            <v>×</v>
          </cell>
          <cell r="O182" t="str">
            <v>○</v>
          </cell>
          <cell r="P182">
            <v>60</v>
          </cell>
          <cell r="Q182">
            <v>1</v>
          </cell>
          <cell r="R182">
            <v>0</v>
          </cell>
          <cell r="S182">
            <v>0</v>
          </cell>
          <cell r="T182" t="str">
            <v>○</v>
          </cell>
        </row>
        <row r="183">
          <cell r="B183">
            <v>213</v>
          </cell>
          <cell r="C183" t="str">
            <v>岡崎</v>
          </cell>
          <cell r="D183" t="str">
            <v>豊田市</v>
          </cell>
          <cell r="E183" t="str">
            <v>ホテルルートイン豊田元町</v>
          </cell>
          <cell r="F183" t="str">
            <v>愛知県豊田市朝日ヶ丘2-48-2</v>
          </cell>
          <cell r="G183" t="str">
            <v>選手・役員または技術役員</v>
          </cell>
          <cell r="H183" t="str">
            <v>不可</v>
          </cell>
          <cell r="I183" t="str">
            <v>可</v>
          </cell>
          <cell r="J183">
            <v>201</v>
          </cell>
          <cell r="K183">
            <v>58</v>
          </cell>
          <cell r="L183">
            <v>0.28855721393034828</v>
          </cell>
          <cell r="M183" t="str">
            <v>○</v>
          </cell>
          <cell r="N183" t="str">
            <v>×</v>
          </cell>
          <cell r="O183" t="str">
            <v>○</v>
          </cell>
          <cell r="P183">
            <v>97</v>
          </cell>
          <cell r="Q183">
            <v>1</v>
          </cell>
          <cell r="R183">
            <v>0</v>
          </cell>
          <cell r="S183">
            <v>0</v>
          </cell>
          <cell r="T183" t="str">
            <v>○</v>
          </cell>
        </row>
        <row r="184">
          <cell r="B184">
            <v>214</v>
          </cell>
          <cell r="C184" t="str">
            <v>岡崎</v>
          </cell>
          <cell r="D184" t="str">
            <v>豊田市</v>
          </cell>
          <cell r="E184" t="str">
            <v>HOTEL LiVEMAX愛知豊田駅前</v>
          </cell>
          <cell r="F184" t="str">
            <v>愛知県豊田市神田町1-2-5</v>
          </cell>
          <cell r="G184" t="str">
            <v>選手・役員または技術役員</v>
          </cell>
          <cell r="H184" t="str">
            <v>可</v>
          </cell>
          <cell r="I184" t="str">
            <v>可</v>
          </cell>
          <cell r="J184">
            <v>88</v>
          </cell>
          <cell r="K184">
            <v>88</v>
          </cell>
          <cell r="L184">
            <v>1</v>
          </cell>
          <cell r="M184" t="str">
            <v>○</v>
          </cell>
          <cell r="N184" t="str">
            <v>○</v>
          </cell>
          <cell r="O184" t="str">
            <v>○</v>
          </cell>
          <cell r="P184">
            <v>52</v>
          </cell>
          <cell r="Q184">
            <v>0</v>
          </cell>
          <cell r="R184">
            <v>0</v>
          </cell>
          <cell r="S184">
            <v>0</v>
          </cell>
          <cell r="T184" t="str">
            <v>×</v>
          </cell>
        </row>
        <row r="185">
          <cell r="B185">
            <v>216</v>
          </cell>
          <cell r="C185" t="str">
            <v>岡崎</v>
          </cell>
          <cell r="D185" t="str">
            <v>岡崎市</v>
          </cell>
          <cell r="E185" t="str">
            <v>ホテルトレンド岡崎駅前</v>
          </cell>
          <cell r="F185" t="str">
            <v>愛知県岡崎市羽根西新町7-6</v>
          </cell>
          <cell r="G185" t="str">
            <v>選手・役員または技術役員</v>
          </cell>
          <cell r="H185" t="str">
            <v>不可</v>
          </cell>
          <cell r="I185" t="str">
            <v>不可</v>
          </cell>
          <cell r="J185">
            <v>70</v>
          </cell>
          <cell r="K185">
            <v>20</v>
          </cell>
          <cell r="L185">
            <v>0.2857142857142857</v>
          </cell>
          <cell r="M185" t="str">
            <v>○</v>
          </cell>
          <cell r="N185" t="str">
            <v>×</v>
          </cell>
          <cell r="O185" t="str">
            <v>×</v>
          </cell>
          <cell r="P185">
            <v>18</v>
          </cell>
          <cell r="Q185">
            <v>0</v>
          </cell>
          <cell r="R185">
            <v>0</v>
          </cell>
          <cell r="S185">
            <v>0</v>
          </cell>
          <cell r="T185" t="str">
            <v>×</v>
          </cell>
        </row>
        <row r="186">
          <cell r="B186">
            <v>219</v>
          </cell>
          <cell r="C186" t="str">
            <v>岡崎</v>
          </cell>
          <cell r="D186" t="str">
            <v>安城市</v>
          </cell>
          <cell r="E186" t="str">
            <v>東横INN三河安城駅新幹線南口2</v>
          </cell>
          <cell r="F186" t="str">
            <v>愛知県安城市三河安城南町1-15-2</v>
          </cell>
          <cell r="G186" t="str">
            <v>選手・役員または技術役員</v>
          </cell>
          <cell r="H186" t="str">
            <v>不可</v>
          </cell>
          <cell r="I186" t="str">
            <v>可</v>
          </cell>
          <cell r="J186">
            <v>246</v>
          </cell>
          <cell r="K186">
            <v>100</v>
          </cell>
          <cell r="L186">
            <v>0.4065040650406504</v>
          </cell>
          <cell r="M186" t="str">
            <v>○</v>
          </cell>
          <cell r="N186" t="str">
            <v>×</v>
          </cell>
          <cell r="O186" t="str">
            <v>×</v>
          </cell>
          <cell r="P186">
            <v>40</v>
          </cell>
          <cell r="Q186">
            <v>0</v>
          </cell>
          <cell r="R186">
            <v>0</v>
          </cell>
          <cell r="S186">
            <v>0</v>
          </cell>
          <cell r="T186" t="str">
            <v>×</v>
          </cell>
        </row>
        <row r="187">
          <cell r="B187">
            <v>220</v>
          </cell>
          <cell r="C187" t="str">
            <v>岡崎</v>
          </cell>
          <cell r="D187" t="str">
            <v>安城市</v>
          </cell>
          <cell r="E187" t="str">
            <v>東横INN三河安城駅新幹線南口1</v>
          </cell>
          <cell r="F187" t="str">
            <v>愛知県安城市三河安城南町1-15-12</v>
          </cell>
          <cell r="G187" t="str">
            <v>選手・役員または技術役員</v>
          </cell>
          <cell r="H187" t="str">
            <v>不可</v>
          </cell>
          <cell r="I187" t="str">
            <v>可</v>
          </cell>
          <cell r="J187">
            <v>143</v>
          </cell>
          <cell r="K187">
            <v>70</v>
          </cell>
          <cell r="L187">
            <v>0.48951048951048953</v>
          </cell>
          <cell r="M187" t="str">
            <v>○</v>
          </cell>
          <cell r="N187" t="str">
            <v>×</v>
          </cell>
          <cell r="O187" t="str">
            <v>×</v>
          </cell>
          <cell r="P187">
            <v>16</v>
          </cell>
          <cell r="Q187">
            <v>0</v>
          </cell>
          <cell r="R187">
            <v>0</v>
          </cell>
          <cell r="S187">
            <v>0</v>
          </cell>
          <cell r="T187" t="str">
            <v>×</v>
          </cell>
        </row>
        <row r="188">
          <cell r="B188">
            <v>221</v>
          </cell>
          <cell r="C188" t="str">
            <v>岡崎</v>
          </cell>
          <cell r="D188" t="str">
            <v>安城市</v>
          </cell>
          <cell r="E188" t="str">
            <v>ホテルグランドティアラ安城</v>
          </cell>
          <cell r="F188" t="str">
            <v>愛知県安城市三河安城南町1-8-11</v>
          </cell>
          <cell r="G188" t="str">
            <v>選手・役員または技術役員</v>
          </cell>
          <cell r="H188" t="str">
            <v>可</v>
          </cell>
          <cell r="I188" t="str">
            <v>可</v>
          </cell>
          <cell r="J188">
            <v>68</v>
          </cell>
          <cell r="K188">
            <v>68</v>
          </cell>
          <cell r="L188">
            <v>1</v>
          </cell>
          <cell r="M188" t="str">
            <v>○</v>
          </cell>
          <cell r="N188" t="str">
            <v>○</v>
          </cell>
          <cell r="O188" t="str">
            <v>○</v>
          </cell>
          <cell r="P188">
            <v>40</v>
          </cell>
          <cell r="Q188">
            <v>0</v>
          </cell>
          <cell r="R188">
            <v>7</v>
          </cell>
          <cell r="S188">
            <v>4</v>
          </cell>
          <cell r="T188" t="str">
            <v>○</v>
          </cell>
        </row>
        <row r="189">
          <cell r="B189">
            <v>222</v>
          </cell>
          <cell r="C189" t="str">
            <v>岡崎</v>
          </cell>
          <cell r="D189" t="str">
            <v>安城市</v>
          </cell>
          <cell r="E189" t="str">
            <v>HOTEL LiVEMAX三河安城駅前</v>
          </cell>
          <cell r="F189" t="str">
            <v>愛知県安城市三河安城南町1-1-20</v>
          </cell>
          <cell r="G189" t="str">
            <v>選手・役員または技術役員</v>
          </cell>
          <cell r="H189" t="str">
            <v>可</v>
          </cell>
          <cell r="I189" t="str">
            <v>可</v>
          </cell>
          <cell r="J189">
            <v>72</v>
          </cell>
          <cell r="K189">
            <v>72</v>
          </cell>
          <cell r="L189">
            <v>1</v>
          </cell>
          <cell r="M189" t="str">
            <v>×</v>
          </cell>
          <cell r="N189" t="str">
            <v>×</v>
          </cell>
          <cell r="O189" t="str">
            <v>×</v>
          </cell>
          <cell r="P189">
            <v>0</v>
          </cell>
          <cell r="Q189">
            <v>0</v>
          </cell>
          <cell r="R189">
            <v>0</v>
          </cell>
          <cell r="S189">
            <v>0</v>
          </cell>
          <cell r="T189" t="str">
            <v>×</v>
          </cell>
        </row>
        <row r="190">
          <cell r="B190">
            <v>223</v>
          </cell>
          <cell r="C190" t="str">
            <v>岡崎</v>
          </cell>
          <cell r="D190" t="str">
            <v>安城市</v>
          </cell>
          <cell r="E190" t="str">
            <v>天然温泉　三州の湯　ドーミーイン　EXPRESS　三河安城</v>
          </cell>
          <cell r="F190" t="str">
            <v>愛知県安城市三河安城本町1-1-3</v>
          </cell>
          <cell r="G190" t="str">
            <v>選手・役員または技術役員</v>
          </cell>
          <cell r="H190" t="str">
            <v>可</v>
          </cell>
          <cell r="I190" t="str">
            <v>可</v>
          </cell>
          <cell r="J190">
            <v>128</v>
          </cell>
          <cell r="K190">
            <v>128</v>
          </cell>
          <cell r="L190">
            <v>1</v>
          </cell>
          <cell r="M190" t="str">
            <v>○</v>
          </cell>
          <cell r="N190" t="str">
            <v>×</v>
          </cell>
          <cell r="O190" t="str">
            <v>×</v>
          </cell>
          <cell r="P190">
            <v>40</v>
          </cell>
          <cell r="Q190">
            <v>1</v>
          </cell>
          <cell r="R190">
            <v>1</v>
          </cell>
          <cell r="S190">
            <v>1</v>
          </cell>
          <cell r="T190" t="str">
            <v>○</v>
          </cell>
        </row>
        <row r="191">
          <cell r="B191">
            <v>224</v>
          </cell>
          <cell r="C191" t="str">
            <v>岡崎</v>
          </cell>
          <cell r="D191" t="str">
            <v>安城市</v>
          </cell>
          <cell r="E191" t="str">
            <v>ホテルアベスト新安城駅前</v>
          </cell>
          <cell r="F191" t="str">
            <v>愛知県安城市東栄町1-7-3</v>
          </cell>
          <cell r="G191" t="str">
            <v>選手・役員または技術役員</v>
          </cell>
          <cell r="H191" t="str">
            <v>不可</v>
          </cell>
          <cell r="I191" t="str">
            <v>可</v>
          </cell>
          <cell r="J191">
            <v>55</v>
          </cell>
          <cell r="K191">
            <v>55</v>
          </cell>
          <cell r="L191">
            <v>1</v>
          </cell>
          <cell r="M191" t="str">
            <v>○</v>
          </cell>
          <cell r="N191" t="str">
            <v>×</v>
          </cell>
          <cell r="O191" t="str">
            <v>×</v>
          </cell>
          <cell r="P191">
            <v>10</v>
          </cell>
          <cell r="Q191">
            <v>0</v>
          </cell>
          <cell r="R191">
            <v>0</v>
          </cell>
          <cell r="S191">
            <v>0</v>
          </cell>
          <cell r="T191" t="str">
            <v>×</v>
          </cell>
        </row>
        <row r="192">
          <cell r="B192">
            <v>225</v>
          </cell>
          <cell r="C192" t="str">
            <v>岡崎</v>
          </cell>
          <cell r="D192" t="str">
            <v>安城市</v>
          </cell>
          <cell r="E192" t="str">
            <v>天然温泉安祥の湯スーパーホテル安城駅前</v>
          </cell>
          <cell r="F192" t="str">
            <v>愛知県安城市明治本町2-2</v>
          </cell>
          <cell r="G192" t="str">
            <v>選手・役員または技術役員</v>
          </cell>
          <cell r="H192" t="str">
            <v>不可</v>
          </cell>
          <cell r="I192" t="str">
            <v>不可</v>
          </cell>
          <cell r="J192">
            <v>115</v>
          </cell>
          <cell r="K192">
            <v>38</v>
          </cell>
          <cell r="L192">
            <v>0.33043478260869563</v>
          </cell>
          <cell r="M192" t="str">
            <v>○</v>
          </cell>
          <cell r="N192" t="str">
            <v>×</v>
          </cell>
          <cell r="O192" t="str">
            <v>×</v>
          </cell>
          <cell r="P192">
            <v>30</v>
          </cell>
          <cell r="Q192">
            <v>0</v>
          </cell>
          <cell r="R192">
            <v>0</v>
          </cell>
          <cell r="S192">
            <v>0</v>
          </cell>
          <cell r="T192" t="str">
            <v>×</v>
          </cell>
        </row>
        <row r="193">
          <cell r="B193">
            <v>226</v>
          </cell>
          <cell r="C193" t="str">
            <v>岡崎</v>
          </cell>
          <cell r="D193" t="str">
            <v>知立市</v>
          </cell>
          <cell r="E193" t="str">
            <v>ホテルルートイン知立</v>
          </cell>
          <cell r="F193" t="str">
            <v>愛知県知立市山町小林５</v>
          </cell>
          <cell r="G193" t="str">
            <v>選手・役員または技術役員</v>
          </cell>
          <cell r="H193" t="str">
            <v>不可</v>
          </cell>
          <cell r="I193" t="str">
            <v>可</v>
          </cell>
          <cell r="J193">
            <v>158</v>
          </cell>
          <cell r="K193">
            <v>85</v>
          </cell>
          <cell r="L193">
            <v>0.53797468354430378</v>
          </cell>
          <cell r="M193" t="str">
            <v>○</v>
          </cell>
          <cell r="N193" t="str">
            <v>×</v>
          </cell>
          <cell r="O193" t="str">
            <v>○</v>
          </cell>
          <cell r="P193">
            <v>62</v>
          </cell>
          <cell r="Q193">
            <v>1</v>
          </cell>
          <cell r="R193">
            <v>0</v>
          </cell>
          <cell r="S193">
            <v>0</v>
          </cell>
          <cell r="T193" t="str">
            <v>○</v>
          </cell>
        </row>
        <row r="194">
          <cell r="B194">
            <v>227</v>
          </cell>
          <cell r="C194" t="str">
            <v>岡崎</v>
          </cell>
          <cell r="D194" t="str">
            <v>知立市</v>
          </cell>
          <cell r="E194" t="str">
            <v>ホテルクラウンパレス知立</v>
          </cell>
          <cell r="F194" t="str">
            <v>愛知県知立市中町中128</v>
          </cell>
          <cell r="G194" t="str">
            <v>選手・役員または技術役員</v>
          </cell>
          <cell r="H194" t="str">
            <v>不可</v>
          </cell>
          <cell r="I194" t="str">
            <v>不可</v>
          </cell>
          <cell r="J194">
            <v>105</v>
          </cell>
          <cell r="K194">
            <v>80</v>
          </cell>
          <cell r="L194">
            <v>0.76190476190476186</v>
          </cell>
          <cell r="M194" t="str">
            <v>○</v>
          </cell>
          <cell r="N194" t="str">
            <v>○</v>
          </cell>
          <cell r="O194" t="str">
            <v>○</v>
          </cell>
          <cell r="P194">
            <v>70</v>
          </cell>
          <cell r="Q194">
            <v>3</v>
          </cell>
          <cell r="R194">
            <v>9</v>
          </cell>
          <cell r="S194">
            <v>9</v>
          </cell>
          <cell r="T194" t="str">
            <v>○</v>
          </cell>
        </row>
        <row r="195">
          <cell r="B195">
            <v>228</v>
          </cell>
          <cell r="C195" t="str">
            <v>岡崎</v>
          </cell>
          <cell r="D195" t="str">
            <v>知立市</v>
          </cell>
          <cell r="E195" t="str">
            <v>東横INN名鉄知立駅前</v>
          </cell>
          <cell r="F195" t="str">
            <v xml:space="preserve"> 愛知県知立市本町本87-1</v>
          </cell>
          <cell r="G195" t="str">
            <v>選手・役員または技術役員</v>
          </cell>
          <cell r="H195" t="str">
            <v>不可</v>
          </cell>
          <cell r="I195" t="str">
            <v>可</v>
          </cell>
          <cell r="J195">
            <v>186</v>
          </cell>
          <cell r="K195">
            <v>86</v>
          </cell>
          <cell r="L195">
            <v>0.46236559139784944</v>
          </cell>
          <cell r="M195" t="str">
            <v>○</v>
          </cell>
          <cell r="N195" t="str">
            <v>×</v>
          </cell>
          <cell r="O195" t="str">
            <v>×</v>
          </cell>
          <cell r="P195">
            <v>40</v>
          </cell>
          <cell r="Q195">
            <v>0</v>
          </cell>
          <cell r="R195">
            <v>0</v>
          </cell>
          <cell r="S195">
            <v>0</v>
          </cell>
          <cell r="T195" t="str">
            <v>×</v>
          </cell>
        </row>
        <row r="196">
          <cell r="B196">
            <v>229</v>
          </cell>
          <cell r="C196" t="str">
            <v>岡崎</v>
          </cell>
          <cell r="D196" t="str">
            <v>岡崎市</v>
          </cell>
          <cell r="E196" t="str">
            <v>岡崎オーワホテル</v>
          </cell>
          <cell r="F196" t="str">
            <v>愛知県岡崎市中岡崎町3-7</v>
          </cell>
          <cell r="G196" t="str">
            <v>選手・役員または技術役員</v>
          </cell>
          <cell r="H196" t="str">
            <v>可</v>
          </cell>
          <cell r="I196" t="str">
            <v>可</v>
          </cell>
          <cell r="J196">
            <v>107</v>
          </cell>
          <cell r="K196">
            <v>106</v>
          </cell>
          <cell r="L196">
            <v>0.99065420560747663</v>
          </cell>
          <cell r="M196" t="str">
            <v>○</v>
          </cell>
          <cell r="N196" t="str">
            <v>○</v>
          </cell>
          <cell r="O196" t="str">
            <v>○</v>
          </cell>
          <cell r="P196">
            <v>50</v>
          </cell>
          <cell r="Q196">
            <v>1</v>
          </cell>
          <cell r="R196">
            <v>2</v>
          </cell>
          <cell r="S196">
            <v>1</v>
          </cell>
          <cell r="T196" t="str">
            <v>○</v>
          </cell>
        </row>
        <row r="197">
          <cell r="B197">
            <v>230</v>
          </cell>
          <cell r="C197" t="str">
            <v>岡崎</v>
          </cell>
          <cell r="D197" t="str">
            <v>安城市</v>
          </cell>
          <cell r="E197" t="str">
            <v>ホテルトレンド三河安城</v>
          </cell>
          <cell r="F197" t="str">
            <v>愛知県安城市三河安城町1-9-9</v>
          </cell>
          <cell r="G197" t="str">
            <v>選手・役員または技術役員</v>
          </cell>
          <cell r="H197" t="str">
            <v>不可</v>
          </cell>
          <cell r="I197" t="str">
            <v>不可</v>
          </cell>
          <cell r="J197">
            <v>72</v>
          </cell>
          <cell r="K197">
            <v>24</v>
          </cell>
          <cell r="L197">
            <v>0.33333333333333331</v>
          </cell>
          <cell r="M197" t="str">
            <v>○</v>
          </cell>
          <cell r="N197" t="str">
            <v>×</v>
          </cell>
          <cell r="O197" t="str">
            <v>×</v>
          </cell>
          <cell r="P197">
            <v>24</v>
          </cell>
          <cell r="Q197">
            <v>0</v>
          </cell>
          <cell r="R197">
            <v>0</v>
          </cell>
          <cell r="S197">
            <v>0</v>
          </cell>
          <cell r="T197" t="str">
            <v>×</v>
          </cell>
        </row>
        <row r="198">
          <cell r="B198">
            <v>231</v>
          </cell>
          <cell r="C198" t="str">
            <v>岡崎</v>
          </cell>
          <cell r="D198" t="str">
            <v>岡崎市</v>
          </cell>
          <cell r="E198" t="str">
            <v>グランドイン東岡崎</v>
          </cell>
          <cell r="F198" t="str">
            <v>愛知県岡崎市上明大寺町2-14-10</v>
          </cell>
          <cell r="G198" t="str">
            <v>選手・役員または技術役員</v>
          </cell>
          <cell r="H198" t="str">
            <v>不可</v>
          </cell>
          <cell r="I198" t="str">
            <v>可</v>
          </cell>
          <cell r="J198">
            <v>102</v>
          </cell>
          <cell r="K198">
            <v>51</v>
          </cell>
          <cell r="L198">
            <v>0.5</v>
          </cell>
          <cell r="M198" t="str">
            <v>○</v>
          </cell>
          <cell r="N198" t="str">
            <v>×</v>
          </cell>
          <cell r="O198" t="str">
            <v>×</v>
          </cell>
          <cell r="P198">
            <v>28</v>
          </cell>
          <cell r="Q198">
            <v>0</v>
          </cell>
          <cell r="R198">
            <v>1</v>
          </cell>
          <cell r="S198">
            <v>1</v>
          </cell>
          <cell r="T198" t="str">
            <v>×</v>
          </cell>
        </row>
        <row r="199">
          <cell r="B199">
            <v>232</v>
          </cell>
          <cell r="C199" t="str">
            <v>岡崎</v>
          </cell>
          <cell r="D199" t="str">
            <v>岡崎市</v>
          </cell>
          <cell r="E199" t="str">
            <v>HOTEL LiVEMAX岡崎</v>
          </cell>
          <cell r="F199" t="str">
            <v>愛知県岡崎市島町25</v>
          </cell>
          <cell r="G199" t="str">
            <v>選手・役員または技術役員</v>
          </cell>
          <cell r="H199" t="str">
            <v>可</v>
          </cell>
          <cell r="I199" t="str">
            <v>可</v>
          </cell>
          <cell r="J199">
            <v>93</v>
          </cell>
          <cell r="K199">
            <v>93</v>
          </cell>
          <cell r="L199">
            <v>1</v>
          </cell>
          <cell r="M199" t="str">
            <v>○</v>
          </cell>
          <cell r="N199" t="str">
            <v>○</v>
          </cell>
          <cell r="O199" t="str">
            <v>○</v>
          </cell>
          <cell r="P199">
            <v>25</v>
          </cell>
          <cell r="Q199">
            <v>0</v>
          </cell>
          <cell r="R199">
            <v>0</v>
          </cell>
          <cell r="S199">
            <v>0</v>
          </cell>
          <cell r="T199" t="str">
            <v>×</v>
          </cell>
        </row>
        <row r="200">
          <cell r="B200">
            <v>234</v>
          </cell>
          <cell r="C200" t="str">
            <v>岡崎</v>
          </cell>
          <cell r="D200" t="str">
            <v>岡崎市</v>
          </cell>
          <cell r="E200" t="str">
            <v>MyHotelOkazaKi</v>
          </cell>
          <cell r="F200" t="str">
            <v>愛知県岡崎市柱１丁目5-10</v>
          </cell>
          <cell r="G200" t="str">
            <v>選手・役員または技術役員</v>
          </cell>
          <cell r="H200" t="str">
            <v>不可</v>
          </cell>
          <cell r="I200" t="str">
            <v>可</v>
          </cell>
          <cell r="J200">
            <v>105</v>
          </cell>
          <cell r="K200">
            <v>28</v>
          </cell>
          <cell r="L200">
            <v>0.26666666666666666</v>
          </cell>
          <cell r="M200" t="str">
            <v>○</v>
          </cell>
          <cell r="N200" t="str">
            <v>×</v>
          </cell>
          <cell r="O200" t="str">
            <v>×</v>
          </cell>
          <cell r="P200">
            <v>39</v>
          </cell>
          <cell r="Q200">
            <v>0</v>
          </cell>
          <cell r="R200">
            <v>0</v>
          </cell>
          <cell r="S200">
            <v>0</v>
          </cell>
          <cell r="T200" t="str">
            <v>×</v>
          </cell>
        </row>
        <row r="201">
          <cell r="B201">
            <v>235</v>
          </cell>
          <cell r="C201" t="str">
            <v>岡崎</v>
          </cell>
          <cell r="D201" t="str">
            <v>岡崎市</v>
          </cell>
          <cell r="E201" t="str">
            <v>岡崎サンホテル</v>
          </cell>
          <cell r="F201" t="str">
            <v>愛知県岡崎市伝馬通2-22</v>
          </cell>
          <cell r="G201" t="str">
            <v>選手・役員または技術役員</v>
          </cell>
          <cell r="H201" t="str">
            <v>不可</v>
          </cell>
          <cell r="I201" t="str">
            <v>不可</v>
          </cell>
          <cell r="J201">
            <v>92</v>
          </cell>
          <cell r="K201">
            <v>20</v>
          </cell>
          <cell r="L201">
            <v>0.21739130434782608</v>
          </cell>
          <cell r="M201" t="str">
            <v>○</v>
          </cell>
          <cell r="N201" t="str">
            <v>○</v>
          </cell>
          <cell r="O201" t="str">
            <v>○</v>
          </cell>
          <cell r="P201">
            <v>25</v>
          </cell>
          <cell r="Q201">
            <v>0</v>
          </cell>
          <cell r="R201">
            <v>0</v>
          </cell>
          <cell r="S201">
            <v>0</v>
          </cell>
          <cell r="T201" t="str">
            <v>○</v>
          </cell>
        </row>
        <row r="202">
          <cell r="B202">
            <v>238</v>
          </cell>
          <cell r="C202" t="str">
            <v>岡崎</v>
          </cell>
          <cell r="D202" t="str">
            <v>岡崎市</v>
          </cell>
          <cell r="E202" t="str">
            <v>岡崎ニューグランドホテル</v>
          </cell>
          <cell r="F202" t="str">
            <v>愛知県岡崎市康生町515-33</v>
          </cell>
          <cell r="G202" t="str">
            <v>選手・役員または技術役員</v>
          </cell>
          <cell r="H202" t="str">
            <v>不可</v>
          </cell>
          <cell r="I202" t="str">
            <v>可</v>
          </cell>
          <cell r="J202">
            <v>90</v>
          </cell>
          <cell r="K202">
            <v>57</v>
          </cell>
          <cell r="L202">
            <v>0.6333333333333333</v>
          </cell>
          <cell r="M202" t="str">
            <v>○</v>
          </cell>
          <cell r="N202" t="str">
            <v>○</v>
          </cell>
          <cell r="O202" t="str">
            <v>○</v>
          </cell>
          <cell r="P202">
            <v>60</v>
          </cell>
          <cell r="Q202">
            <v>3</v>
          </cell>
          <cell r="R202">
            <v>12</v>
          </cell>
          <cell r="S202">
            <v>10</v>
          </cell>
          <cell r="T202" t="str">
            <v>○</v>
          </cell>
        </row>
        <row r="203">
          <cell r="B203">
            <v>239</v>
          </cell>
          <cell r="C203" t="str">
            <v>岡崎</v>
          </cell>
          <cell r="D203" t="str">
            <v>西尾市</v>
          </cell>
          <cell r="E203" t="str">
            <v>アクセスイン西尾</v>
          </cell>
          <cell r="F203" t="str">
            <v>愛知県西尾市花ノ木町4-64</v>
          </cell>
          <cell r="G203" t="str">
            <v>選手・役員または技術役員</v>
          </cell>
          <cell r="H203" t="str">
            <v>可</v>
          </cell>
          <cell r="I203" t="str">
            <v>可</v>
          </cell>
          <cell r="J203">
            <v>87</v>
          </cell>
          <cell r="K203">
            <v>87</v>
          </cell>
          <cell r="L203">
            <v>1</v>
          </cell>
          <cell r="M203" t="str">
            <v>○</v>
          </cell>
          <cell r="N203" t="str">
            <v>×</v>
          </cell>
          <cell r="O203" t="str">
            <v>○</v>
          </cell>
          <cell r="P203">
            <v>80</v>
          </cell>
          <cell r="Q203">
            <v>0</v>
          </cell>
          <cell r="R203">
            <v>0</v>
          </cell>
          <cell r="S203">
            <v>0</v>
          </cell>
          <cell r="T203" t="str">
            <v>○</v>
          </cell>
        </row>
        <row r="204">
          <cell r="B204">
            <v>240</v>
          </cell>
          <cell r="C204" t="str">
            <v>岡崎</v>
          </cell>
          <cell r="D204" t="str">
            <v>西尾市</v>
          </cell>
          <cell r="E204" t="str">
            <v>株式会社竜宮ホテル</v>
          </cell>
          <cell r="F204" t="str">
            <v>愛知県西尾市吉良町宮崎宮前12</v>
          </cell>
          <cell r="G204" t="str">
            <v>選手・役員または技術役員</v>
          </cell>
          <cell r="H204" t="str">
            <v>可</v>
          </cell>
          <cell r="I204" t="str">
            <v>可</v>
          </cell>
          <cell r="J204">
            <v>48</v>
          </cell>
          <cell r="K204">
            <v>48</v>
          </cell>
          <cell r="L204">
            <v>1</v>
          </cell>
          <cell r="M204" t="str">
            <v>○</v>
          </cell>
          <cell r="N204" t="str">
            <v>×</v>
          </cell>
          <cell r="O204" t="str">
            <v>○</v>
          </cell>
          <cell r="P204">
            <v>64</v>
          </cell>
          <cell r="Q204">
            <v>0</v>
          </cell>
          <cell r="R204">
            <v>5</v>
          </cell>
          <cell r="S204">
            <v>5</v>
          </cell>
          <cell r="T204" t="str">
            <v>○</v>
          </cell>
        </row>
        <row r="205">
          <cell r="B205">
            <v>241</v>
          </cell>
          <cell r="C205" t="str">
            <v>岡崎</v>
          </cell>
          <cell r="D205" t="str">
            <v>西尾市</v>
          </cell>
          <cell r="E205" t="str">
            <v>株式会社三河湾リゾート・リンクス</v>
          </cell>
          <cell r="F205" t="str">
            <v>愛知県西尾市吉良町宮崎中道下15</v>
          </cell>
          <cell r="G205" t="str">
            <v>選手・役員または技術役員</v>
          </cell>
          <cell r="H205" t="str">
            <v>不可</v>
          </cell>
          <cell r="I205" t="str">
            <v>可</v>
          </cell>
          <cell r="J205">
            <v>152</v>
          </cell>
          <cell r="K205">
            <v>50</v>
          </cell>
          <cell r="L205">
            <v>0.32894736842105265</v>
          </cell>
          <cell r="M205" t="str">
            <v>○</v>
          </cell>
          <cell r="N205" t="str">
            <v>○</v>
          </cell>
          <cell r="O205" t="str">
            <v>○</v>
          </cell>
          <cell r="P205">
            <v>120</v>
          </cell>
          <cell r="Q205">
            <v>3</v>
          </cell>
          <cell r="R205">
            <v>10</v>
          </cell>
          <cell r="S205">
            <v>10</v>
          </cell>
          <cell r="T205" t="str">
            <v>○</v>
          </cell>
        </row>
        <row r="206">
          <cell r="B206">
            <v>242</v>
          </cell>
          <cell r="C206" t="str">
            <v>岡崎</v>
          </cell>
          <cell r="D206" t="str">
            <v>西尾市</v>
          </cell>
          <cell r="E206" t="str">
            <v>吉良かん</v>
          </cell>
          <cell r="F206" t="str">
            <v>愛知県西尾市吉良町宮崎田ノ上15</v>
          </cell>
          <cell r="G206" t="str">
            <v>選手・役員または技術役員</v>
          </cell>
          <cell r="H206" t="str">
            <v>可</v>
          </cell>
          <cell r="I206" t="str">
            <v>可</v>
          </cell>
          <cell r="J206">
            <v>41</v>
          </cell>
          <cell r="K206">
            <v>37</v>
          </cell>
          <cell r="L206">
            <v>0.90243902439024393</v>
          </cell>
          <cell r="M206" t="str">
            <v>○</v>
          </cell>
          <cell r="N206" t="str">
            <v>○</v>
          </cell>
          <cell r="O206" t="str">
            <v>○</v>
          </cell>
          <cell r="P206">
            <v>100</v>
          </cell>
          <cell r="Q206">
            <v>1</v>
          </cell>
          <cell r="R206">
            <v>3</v>
          </cell>
          <cell r="S206">
            <v>1</v>
          </cell>
          <cell r="T206" t="str">
            <v>○</v>
          </cell>
        </row>
        <row r="207">
          <cell r="B207">
            <v>243</v>
          </cell>
          <cell r="C207" t="str">
            <v>岡崎</v>
          </cell>
          <cell r="D207" t="str">
            <v>西尾市</v>
          </cell>
          <cell r="E207" t="str">
            <v>三河湾ヒルズ・ホテル</v>
          </cell>
          <cell r="F207" t="str">
            <v>愛知県西尾市東幡豆町入会山1-287</v>
          </cell>
          <cell r="G207" t="str">
            <v>選手・役員または技術役員</v>
          </cell>
          <cell r="H207" t="str">
            <v>可</v>
          </cell>
          <cell r="I207" t="str">
            <v>可</v>
          </cell>
          <cell r="J207">
            <v>61</v>
          </cell>
          <cell r="K207">
            <v>61</v>
          </cell>
          <cell r="L207">
            <v>1</v>
          </cell>
          <cell r="M207" t="str">
            <v>○</v>
          </cell>
          <cell r="N207" t="str">
            <v>○</v>
          </cell>
          <cell r="O207" t="str">
            <v>○</v>
          </cell>
          <cell r="P207">
            <v>104</v>
          </cell>
          <cell r="Q207">
            <v>2</v>
          </cell>
          <cell r="R207">
            <v>9</v>
          </cell>
          <cell r="S207">
            <v>7</v>
          </cell>
          <cell r="T207" t="str">
            <v>○</v>
          </cell>
        </row>
        <row r="208">
          <cell r="B208">
            <v>244</v>
          </cell>
          <cell r="C208" t="str">
            <v>岡崎</v>
          </cell>
          <cell r="D208" t="str">
            <v>西尾市</v>
          </cell>
          <cell r="E208" t="str">
            <v>ホテル西尾</v>
          </cell>
          <cell r="F208" t="str">
            <v>愛知県西尾市八ッ面町猿待74-4</v>
          </cell>
          <cell r="G208" t="str">
            <v>選手・役員または技術役員 ※2</v>
          </cell>
          <cell r="H208" t="str">
            <v>不可</v>
          </cell>
          <cell r="I208" t="str">
            <v>不可</v>
          </cell>
          <cell r="J208">
            <v>50</v>
          </cell>
          <cell r="K208">
            <v>0</v>
          </cell>
          <cell r="L208">
            <v>0</v>
          </cell>
          <cell r="M208" t="str">
            <v>○</v>
          </cell>
          <cell r="N208" t="str">
            <v>×</v>
          </cell>
          <cell r="O208" t="str">
            <v>×</v>
          </cell>
          <cell r="P208">
            <v>30</v>
          </cell>
          <cell r="Q208">
            <v>0</v>
          </cell>
          <cell r="R208">
            <v>0</v>
          </cell>
          <cell r="S208">
            <v>0</v>
          </cell>
          <cell r="T208" t="str">
            <v>○</v>
          </cell>
        </row>
        <row r="209">
          <cell r="B209">
            <v>245</v>
          </cell>
          <cell r="C209" t="str">
            <v>東三河</v>
          </cell>
          <cell r="D209" t="str">
            <v>蒲郡市</v>
          </cell>
          <cell r="E209" t="str">
            <v>変なホテル　ラグーナテンボス</v>
          </cell>
          <cell r="F209" t="str">
            <v>愛知県蒲郡市海陽町1丁目4番1号</v>
          </cell>
          <cell r="G209" t="str">
            <v>選手・役員または技術役員</v>
          </cell>
          <cell r="H209" t="str">
            <v>可</v>
          </cell>
          <cell r="I209" t="str">
            <v>可</v>
          </cell>
          <cell r="J209">
            <v>100</v>
          </cell>
          <cell r="K209">
            <v>100</v>
          </cell>
          <cell r="L209">
            <v>1</v>
          </cell>
          <cell r="M209" t="str">
            <v>○</v>
          </cell>
          <cell r="N209" t="str">
            <v>○</v>
          </cell>
          <cell r="O209" t="str">
            <v>○</v>
          </cell>
          <cell r="P209">
            <v>216</v>
          </cell>
          <cell r="Q209">
            <v>1</v>
          </cell>
          <cell r="R209">
            <v>0</v>
          </cell>
          <cell r="S209">
            <v>0</v>
          </cell>
          <cell r="T209" t="str">
            <v>○</v>
          </cell>
        </row>
        <row r="210">
          <cell r="B210">
            <v>247</v>
          </cell>
          <cell r="C210" t="str">
            <v>東三河</v>
          </cell>
          <cell r="D210" t="str">
            <v>蒲郡市</v>
          </cell>
          <cell r="E210" t="str">
            <v>株式会社鈴岡</v>
          </cell>
          <cell r="F210" t="str">
            <v>愛知県蒲郡市金平町遊名田3-14</v>
          </cell>
          <cell r="G210" t="str">
            <v>選手・役員または技術役員</v>
          </cell>
          <cell r="H210" t="str">
            <v>可</v>
          </cell>
          <cell r="I210" t="str">
            <v>可</v>
          </cell>
          <cell r="J210">
            <v>50</v>
          </cell>
          <cell r="K210">
            <v>50</v>
          </cell>
          <cell r="L210">
            <v>1</v>
          </cell>
          <cell r="M210" t="str">
            <v>○</v>
          </cell>
          <cell r="N210" t="str">
            <v>○</v>
          </cell>
          <cell r="O210" t="str">
            <v>○</v>
          </cell>
          <cell r="P210">
            <v>150</v>
          </cell>
          <cell r="Q210">
            <v>2</v>
          </cell>
          <cell r="R210">
            <v>14</v>
          </cell>
          <cell r="S210">
            <v>11</v>
          </cell>
          <cell r="T210" t="str">
            <v>○</v>
          </cell>
        </row>
        <row r="211">
          <cell r="B211">
            <v>249</v>
          </cell>
          <cell r="C211" t="str">
            <v>東三河</v>
          </cell>
          <cell r="D211" t="str">
            <v>蒲郡市</v>
          </cell>
          <cell r="E211" t="str">
            <v>ホテル明山荘</v>
          </cell>
          <cell r="F211" t="str">
            <v>愛知県蒲郡市三谷町鳶欠14-1</v>
          </cell>
          <cell r="G211" t="str">
            <v>選手・役員または技術役員</v>
          </cell>
          <cell r="H211" t="str">
            <v>可</v>
          </cell>
          <cell r="I211" t="str">
            <v>可</v>
          </cell>
          <cell r="J211">
            <v>101</v>
          </cell>
          <cell r="K211">
            <v>82</v>
          </cell>
          <cell r="L211">
            <v>0.81188118811881194</v>
          </cell>
          <cell r="M211" t="str">
            <v>○</v>
          </cell>
          <cell r="N211" t="str">
            <v>○</v>
          </cell>
          <cell r="O211" t="str">
            <v>○</v>
          </cell>
          <cell r="P211">
            <v>100</v>
          </cell>
          <cell r="Q211">
            <v>1</v>
          </cell>
          <cell r="R211">
            <v>20</v>
          </cell>
          <cell r="S211">
            <v>12</v>
          </cell>
          <cell r="T211" t="str">
            <v>○</v>
          </cell>
        </row>
        <row r="212">
          <cell r="B212">
            <v>250</v>
          </cell>
          <cell r="C212" t="str">
            <v>東三河</v>
          </cell>
          <cell r="D212" t="str">
            <v>蒲郡市</v>
          </cell>
          <cell r="E212" t="str">
            <v>松風園</v>
          </cell>
          <cell r="F212" t="str">
            <v>愛知県蒲郡市三谷町鳶欠14-4</v>
          </cell>
          <cell r="G212" t="str">
            <v>選手・役員または技術役員</v>
          </cell>
          <cell r="H212" t="str">
            <v>不可</v>
          </cell>
          <cell r="I212" t="str">
            <v>可</v>
          </cell>
          <cell r="J212">
            <v>103</v>
          </cell>
          <cell r="K212">
            <v>58</v>
          </cell>
          <cell r="L212">
            <v>0.56310679611650483</v>
          </cell>
          <cell r="M212" t="str">
            <v>○</v>
          </cell>
          <cell r="N212" t="str">
            <v>○</v>
          </cell>
          <cell r="O212" t="str">
            <v>○</v>
          </cell>
          <cell r="P212">
            <v>200</v>
          </cell>
          <cell r="Q212">
            <v>2</v>
          </cell>
          <cell r="R212">
            <v>16</v>
          </cell>
          <cell r="S212">
            <v>7</v>
          </cell>
          <cell r="T212" t="str">
            <v>○</v>
          </cell>
        </row>
        <row r="213">
          <cell r="B213">
            <v>251</v>
          </cell>
          <cell r="C213" t="str">
            <v>東三河</v>
          </cell>
          <cell r="D213" t="str">
            <v>蒲郡市</v>
          </cell>
          <cell r="E213" t="str">
            <v>株式会社三谷温泉ひがきホテル</v>
          </cell>
          <cell r="F213" t="str">
            <v>愛知県蒲郡市三谷町南山1-59</v>
          </cell>
          <cell r="G213" t="str">
            <v>選手・役員または技術役員</v>
          </cell>
          <cell r="H213" t="str">
            <v>不可</v>
          </cell>
          <cell r="I213" t="str">
            <v>不可</v>
          </cell>
          <cell r="J213">
            <v>62</v>
          </cell>
          <cell r="K213">
            <v>62</v>
          </cell>
          <cell r="L213">
            <v>1</v>
          </cell>
          <cell r="M213" t="str">
            <v>○</v>
          </cell>
          <cell r="N213" t="str">
            <v>○</v>
          </cell>
          <cell r="O213" t="str">
            <v>○</v>
          </cell>
          <cell r="P213">
            <v>140</v>
          </cell>
          <cell r="Q213">
            <v>0</v>
          </cell>
          <cell r="R213">
            <v>13</v>
          </cell>
          <cell r="S213">
            <v>5</v>
          </cell>
          <cell r="T213" t="str">
            <v>○</v>
          </cell>
        </row>
        <row r="214">
          <cell r="B214">
            <v>252</v>
          </cell>
          <cell r="C214" t="str">
            <v>東三河</v>
          </cell>
          <cell r="D214" t="str">
            <v>蒲郡市</v>
          </cell>
          <cell r="E214" t="str">
            <v>株式会社平野屋</v>
          </cell>
          <cell r="F214" t="str">
            <v>愛知県蒲郡市三谷町南山1-21</v>
          </cell>
          <cell r="G214" t="str">
            <v>選手・役員または技術役員</v>
          </cell>
          <cell r="H214" t="str">
            <v>可</v>
          </cell>
          <cell r="I214" t="str">
            <v>不可</v>
          </cell>
          <cell r="J214">
            <v>70</v>
          </cell>
          <cell r="K214">
            <v>55</v>
          </cell>
          <cell r="L214">
            <v>0.7857142857142857</v>
          </cell>
          <cell r="M214" t="str">
            <v>○</v>
          </cell>
          <cell r="N214" t="str">
            <v>○</v>
          </cell>
          <cell r="O214" t="str">
            <v>○</v>
          </cell>
          <cell r="P214">
            <v>125</v>
          </cell>
          <cell r="Q214">
            <v>3</v>
          </cell>
          <cell r="R214">
            <v>14</v>
          </cell>
          <cell r="S214">
            <v>14</v>
          </cell>
          <cell r="T214" t="str">
            <v>○</v>
          </cell>
        </row>
        <row r="215">
          <cell r="B215">
            <v>253</v>
          </cell>
          <cell r="C215" t="str">
            <v>東三河</v>
          </cell>
          <cell r="D215" t="str">
            <v>蒲郡市</v>
          </cell>
          <cell r="E215" t="str">
            <v>蒲郡ホテル</v>
          </cell>
          <cell r="F215" t="str">
            <v>愛知県蒲郡市三谷北通2-82</v>
          </cell>
          <cell r="G215" t="str">
            <v>選手・役員または技術役員</v>
          </cell>
          <cell r="H215" t="str">
            <v>可</v>
          </cell>
          <cell r="I215" t="str">
            <v>可</v>
          </cell>
          <cell r="J215">
            <v>114</v>
          </cell>
          <cell r="K215">
            <v>114</v>
          </cell>
          <cell r="L215">
            <v>1</v>
          </cell>
          <cell r="M215" t="str">
            <v>○</v>
          </cell>
          <cell r="N215" t="str">
            <v>×</v>
          </cell>
          <cell r="O215" t="str">
            <v>×</v>
          </cell>
          <cell r="P215">
            <v>64</v>
          </cell>
          <cell r="Q215">
            <v>3</v>
          </cell>
          <cell r="R215">
            <v>2</v>
          </cell>
          <cell r="S215">
            <v>2</v>
          </cell>
          <cell r="T215" t="str">
            <v>○</v>
          </cell>
        </row>
        <row r="216">
          <cell r="B216">
            <v>255</v>
          </cell>
          <cell r="C216" t="str">
            <v>東三河</v>
          </cell>
          <cell r="D216" t="str">
            <v>蒲郡市</v>
          </cell>
          <cell r="E216" t="str">
            <v>姫宿　花かざし</v>
          </cell>
          <cell r="F216" t="str">
            <v>愛知県蒲郡市西浦町大山17-1</v>
          </cell>
          <cell r="G216" t="str">
            <v>選手・役員または技術役員</v>
          </cell>
          <cell r="H216" t="str">
            <v>可</v>
          </cell>
          <cell r="I216" t="str">
            <v>可</v>
          </cell>
          <cell r="J216">
            <v>17</v>
          </cell>
          <cell r="K216">
            <v>17</v>
          </cell>
          <cell r="L216">
            <v>1</v>
          </cell>
          <cell r="M216" t="str">
            <v>○</v>
          </cell>
          <cell r="N216" t="str">
            <v>○</v>
          </cell>
          <cell r="O216" t="str">
            <v>○</v>
          </cell>
          <cell r="P216">
            <v>50</v>
          </cell>
          <cell r="Q216">
            <v>4</v>
          </cell>
          <cell r="R216">
            <v>0</v>
          </cell>
          <cell r="S216">
            <v>0</v>
          </cell>
          <cell r="T216" t="str">
            <v>○</v>
          </cell>
        </row>
        <row r="217">
          <cell r="B217">
            <v>256</v>
          </cell>
          <cell r="C217" t="str">
            <v>東三河</v>
          </cell>
          <cell r="D217" t="str">
            <v>蒲郡市</v>
          </cell>
          <cell r="E217" t="str">
            <v>ホテル東海園</v>
          </cell>
          <cell r="F217" t="str">
            <v>愛知県蒲郡市西浦町大山17-1</v>
          </cell>
          <cell r="G217" t="str">
            <v>選手・役員または技術役員</v>
          </cell>
          <cell r="H217" t="str">
            <v>可</v>
          </cell>
          <cell r="I217" t="str">
            <v>不可</v>
          </cell>
          <cell r="J217">
            <v>82</v>
          </cell>
          <cell r="K217">
            <v>82</v>
          </cell>
          <cell r="L217">
            <v>1</v>
          </cell>
          <cell r="M217" t="str">
            <v>○</v>
          </cell>
          <cell r="N217" t="str">
            <v>○</v>
          </cell>
          <cell r="O217" t="str">
            <v>○</v>
          </cell>
          <cell r="P217">
            <v>120</v>
          </cell>
          <cell r="Q217">
            <v>2</v>
          </cell>
          <cell r="R217">
            <v>16</v>
          </cell>
          <cell r="S217">
            <v>16</v>
          </cell>
          <cell r="T217" t="str">
            <v>○</v>
          </cell>
        </row>
        <row r="218">
          <cell r="B218">
            <v>257</v>
          </cell>
          <cell r="C218" t="str">
            <v>東三河</v>
          </cell>
          <cell r="D218" t="str">
            <v>蒲郡市</v>
          </cell>
          <cell r="E218" t="str">
            <v>和のリゾートはづ</v>
          </cell>
          <cell r="F218" t="str">
            <v>愛知県蒲郡市西浦町大山17-1</v>
          </cell>
          <cell r="G218" t="str">
            <v>選手・役員または技術役員</v>
          </cell>
          <cell r="H218" t="str">
            <v>可</v>
          </cell>
          <cell r="I218" t="str">
            <v>可</v>
          </cell>
          <cell r="J218">
            <v>42</v>
          </cell>
          <cell r="K218">
            <v>42</v>
          </cell>
          <cell r="L218">
            <v>1</v>
          </cell>
          <cell r="M218" t="str">
            <v>○</v>
          </cell>
          <cell r="N218" t="str">
            <v>×</v>
          </cell>
          <cell r="O218" t="str">
            <v>○</v>
          </cell>
          <cell r="P218">
            <v>96</v>
          </cell>
          <cell r="Q218">
            <v>2</v>
          </cell>
          <cell r="R218">
            <v>8</v>
          </cell>
          <cell r="S218">
            <v>8</v>
          </cell>
          <cell r="T218" t="str">
            <v>○</v>
          </cell>
        </row>
        <row r="219">
          <cell r="B219">
            <v>260</v>
          </cell>
          <cell r="C219" t="str">
            <v>東三河</v>
          </cell>
          <cell r="D219" t="str">
            <v>蒲郡市</v>
          </cell>
          <cell r="E219" t="str">
            <v>蒲郡クラシックホテル</v>
          </cell>
          <cell r="F219" t="str">
            <v>愛知県蒲郡市竹島町15-1</v>
          </cell>
          <cell r="G219" t="str">
            <v>選手・役員または技術役員</v>
          </cell>
          <cell r="H219" t="str">
            <v>可</v>
          </cell>
          <cell r="I219" t="str">
            <v>可</v>
          </cell>
          <cell r="J219">
            <v>27</v>
          </cell>
          <cell r="K219">
            <v>16</v>
          </cell>
          <cell r="L219">
            <v>0.59259259259259256</v>
          </cell>
          <cell r="M219" t="str">
            <v>○</v>
          </cell>
          <cell r="N219" t="str">
            <v>○</v>
          </cell>
          <cell r="O219" t="str">
            <v>○</v>
          </cell>
          <cell r="P219">
            <v>40</v>
          </cell>
          <cell r="Q219">
            <v>2</v>
          </cell>
          <cell r="R219">
            <v>12</v>
          </cell>
          <cell r="S219">
            <v>12</v>
          </cell>
          <cell r="T219" t="str">
            <v>○</v>
          </cell>
        </row>
        <row r="220">
          <cell r="B220">
            <v>261</v>
          </cell>
          <cell r="C220" t="str">
            <v>東三河</v>
          </cell>
          <cell r="D220" t="str">
            <v>蒲郡市</v>
          </cell>
          <cell r="E220" t="str">
            <v>ホテル竹島</v>
          </cell>
          <cell r="F220" t="str">
            <v>愛知県蒲郡市竹島町１-6</v>
          </cell>
          <cell r="G220" t="str">
            <v>選手・役員または技術役員</v>
          </cell>
          <cell r="H220" t="str">
            <v>可</v>
          </cell>
          <cell r="I220" t="str">
            <v>可</v>
          </cell>
          <cell r="J220">
            <v>82</v>
          </cell>
          <cell r="K220">
            <v>82</v>
          </cell>
          <cell r="L220">
            <v>1</v>
          </cell>
          <cell r="M220" t="str">
            <v>○</v>
          </cell>
          <cell r="N220" t="str">
            <v>○</v>
          </cell>
          <cell r="O220" t="str">
            <v>○</v>
          </cell>
          <cell r="P220">
            <v>200</v>
          </cell>
          <cell r="Q220">
            <v>0</v>
          </cell>
          <cell r="R220">
            <v>18</v>
          </cell>
          <cell r="S220" t="str">
            <v>提供未定</v>
          </cell>
          <cell r="T220" t="str">
            <v>○</v>
          </cell>
        </row>
        <row r="221">
          <cell r="B221">
            <v>262</v>
          </cell>
          <cell r="C221" t="str">
            <v>東三河</v>
          </cell>
          <cell r="D221" t="str">
            <v>田原市</v>
          </cell>
          <cell r="E221" t="str">
            <v>田原シティホテル</v>
          </cell>
          <cell r="F221" t="str">
            <v>愛知県田原市神戸町後申34-2</v>
          </cell>
          <cell r="G221" t="str">
            <v>選手・役員または技術役員</v>
          </cell>
          <cell r="H221" t="str">
            <v>不可</v>
          </cell>
          <cell r="I221" t="str">
            <v>不可</v>
          </cell>
          <cell r="J221">
            <v>89</v>
          </cell>
          <cell r="K221">
            <v>25</v>
          </cell>
          <cell r="L221">
            <v>0.2808988764044944</v>
          </cell>
          <cell r="M221" t="str">
            <v>○</v>
          </cell>
          <cell r="N221" t="str">
            <v>○</v>
          </cell>
          <cell r="O221" t="str">
            <v>○</v>
          </cell>
          <cell r="P221">
            <v>45</v>
          </cell>
          <cell r="Q221">
            <v>1</v>
          </cell>
          <cell r="R221">
            <v>0</v>
          </cell>
          <cell r="S221">
            <v>0</v>
          </cell>
          <cell r="T221" t="str">
            <v>○</v>
          </cell>
        </row>
        <row r="222">
          <cell r="B222">
            <v>263</v>
          </cell>
          <cell r="C222" t="str">
            <v>東三河</v>
          </cell>
          <cell r="D222" t="str">
            <v>田原市</v>
          </cell>
          <cell r="E222" t="str">
            <v>休暇村伊良湖</v>
          </cell>
          <cell r="F222" t="str">
            <v>愛知県田原市中山町大松上1</v>
          </cell>
          <cell r="G222" t="str">
            <v>選手・役員または技術役員</v>
          </cell>
          <cell r="H222" t="str">
            <v>不可</v>
          </cell>
          <cell r="I222" t="str">
            <v>可</v>
          </cell>
          <cell r="J222">
            <v>57</v>
          </cell>
          <cell r="K222">
            <v>5</v>
          </cell>
          <cell r="L222">
            <v>8.771929824561403E-2</v>
          </cell>
          <cell r="M222" t="str">
            <v>○</v>
          </cell>
          <cell r="N222" t="str">
            <v>○</v>
          </cell>
          <cell r="O222" t="str">
            <v>○</v>
          </cell>
          <cell r="P222">
            <v>200</v>
          </cell>
          <cell r="Q222">
            <v>3</v>
          </cell>
          <cell r="R222">
            <v>4</v>
          </cell>
          <cell r="S222" t="str">
            <v>提供未定</v>
          </cell>
          <cell r="T222" t="str">
            <v>○</v>
          </cell>
        </row>
        <row r="223">
          <cell r="B223">
            <v>265</v>
          </cell>
          <cell r="C223" t="str">
            <v>東三河</v>
          </cell>
          <cell r="D223" t="str">
            <v>田原市</v>
          </cell>
          <cell r="E223" t="str">
            <v>伊良湖ビューホテル</v>
          </cell>
          <cell r="F223" t="str">
            <v>愛知県田原市日出町字骨山1460-36</v>
          </cell>
          <cell r="G223" t="str">
            <v>選手・役員または技術役員</v>
          </cell>
          <cell r="H223" t="str">
            <v>可</v>
          </cell>
          <cell r="I223" t="str">
            <v>可</v>
          </cell>
          <cell r="J223">
            <v>147</v>
          </cell>
          <cell r="K223">
            <v>147</v>
          </cell>
          <cell r="L223">
            <v>1</v>
          </cell>
          <cell r="M223" t="str">
            <v>○</v>
          </cell>
          <cell r="N223" t="str">
            <v>○</v>
          </cell>
          <cell r="O223" t="str">
            <v>○</v>
          </cell>
          <cell r="P223">
            <v>260</v>
          </cell>
          <cell r="Q223">
            <v>2</v>
          </cell>
          <cell r="R223">
            <v>6</v>
          </cell>
          <cell r="S223">
            <v>6</v>
          </cell>
          <cell r="T223" t="str">
            <v>○</v>
          </cell>
        </row>
        <row r="224">
          <cell r="B224">
            <v>266</v>
          </cell>
          <cell r="C224" t="str">
            <v>東三河</v>
          </cell>
          <cell r="D224" t="str">
            <v>田原市</v>
          </cell>
          <cell r="E224" t="str">
            <v>ウインドシティホテル</v>
          </cell>
          <cell r="F224" t="str">
            <v>愛知県田原市片西3-51</v>
          </cell>
          <cell r="G224" t="str">
            <v>選手・役員または技術役員</v>
          </cell>
          <cell r="H224" t="str">
            <v>不可</v>
          </cell>
          <cell r="I224" t="str">
            <v>可</v>
          </cell>
          <cell r="J224">
            <v>105</v>
          </cell>
          <cell r="K224">
            <v>40</v>
          </cell>
          <cell r="L224">
            <v>0.38095238095238093</v>
          </cell>
          <cell r="M224" t="str">
            <v>○</v>
          </cell>
          <cell r="N224" t="str">
            <v>○</v>
          </cell>
          <cell r="O224" t="str">
            <v>○</v>
          </cell>
          <cell r="P224">
            <v>42</v>
          </cell>
          <cell r="Q224">
            <v>1</v>
          </cell>
          <cell r="R224">
            <v>1</v>
          </cell>
          <cell r="S224" t="str">
            <v>提供未定</v>
          </cell>
          <cell r="T224" t="str">
            <v>○</v>
          </cell>
        </row>
        <row r="225">
          <cell r="B225">
            <v>267</v>
          </cell>
          <cell r="C225" t="str">
            <v>東三河</v>
          </cell>
          <cell r="D225" t="str">
            <v>豊川市</v>
          </cell>
          <cell r="E225" t="str">
            <v>キャッスルイン豊川</v>
          </cell>
          <cell r="F225" t="str">
            <v>愛知県豊川市下長山町上アライ14-1</v>
          </cell>
          <cell r="G225" t="str">
            <v>選手・役員または技術役員</v>
          </cell>
          <cell r="H225" t="str">
            <v>不可</v>
          </cell>
          <cell r="I225" t="str">
            <v>可</v>
          </cell>
          <cell r="J225">
            <v>100</v>
          </cell>
          <cell r="K225">
            <v>39</v>
          </cell>
          <cell r="L225">
            <v>0.39</v>
          </cell>
          <cell r="M225" t="str">
            <v>○</v>
          </cell>
          <cell r="N225" t="str">
            <v>○</v>
          </cell>
          <cell r="O225" t="str">
            <v>○</v>
          </cell>
          <cell r="P225">
            <v>157</v>
          </cell>
          <cell r="Q225">
            <v>1</v>
          </cell>
          <cell r="R225">
            <v>2</v>
          </cell>
          <cell r="S225" t="str">
            <v>提供未定</v>
          </cell>
          <cell r="T225" t="str">
            <v>○</v>
          </cell>
        </row>
        <row r="226">
          <cell r="B226">
            <v>268</v>
          </cell>
          <cell r="C226" t="str">
            <v>東三河</v>
          </cell>
          <cell r="D226" t="str">
            <v>豊川市</v>
          </cell>
          <cell r="E226" t="str">
            <v>豊川グランドホテル</v>
          </cell>
          <cell r="F226" t="str">
            <v>愛知県豊川市市田町東堤上1-66</v>
          </cell>
          <cell r="G226" t="str">
            <v>選手・役員または技術役員</v>
          </cell>
          <cell r="H226" t="str">
            <v>可</v>
          </cell>
          <cell r="I226" t="str">
            <v>可</v>
          </cell>
          <cell r="J226">
            <v>58</v>
          </cell>
          <cell r="K226">
            <v>58</v>
          </cell>
          <cell r="L226">
            <v>1</v>
          </cell>
          <cell r="M226" t="str">
            <v>○</v>
          </cell>
          <cell r="N226" t="str">
            <v>×</v>
          </cell>
          <cell r="O226" t="str">
            <v>×</v>
          </cell>
          <cell r="P226">
            <v>80</v>
          </cell>
          <cell r="Q226">
            <v>0</v>
          </cell>
          <cell r="R226">
            <v>4</v>
          </cell>
          <cell r="S226">
            <v>4</v>
          </cell>
          <cell r="T226" t="str">
            <v>○</v>
          </cell>
        </row>
        <row r="227">
          <cell r="B227">
            <v>269</v>
          </cell>
          <cell r="C227" t="str">
            <v>東三河</v>
          </cell>
          <cell r="D227" t="str">
            <v>豊川市</v>
          </cell>
          <cell r="E227" t="str">
            <v>ホテルルートイン豊川インター</v>
          </cell>
          <cell r="F227" t="str">
            <v>愛知県豊川市上野2丁目20</v>
          </cell>
          <cell r="G227" t="str">
            <v>選手・役員または技術役員</v>
          </cell>
          <cell r="H227" t="str">
            <v>不可</v>
          </cell>
          <cell r="I227" t="str">
            <v>可</v>
          </cell>
          <cell r="J227">
            <v>162</v>
          </cell>
          <cell r="K227">
            <v>136</v>
          </cell>
          <cell r="L227">
            <v>0.83950617283950613</v>
          </cell>
          <cell r="M227" t="str">
            <v>○</v>
          </cell>
          <cell r="N227" t="str">
            <v>×</v>
          </cell>
          <cell r="O227" t="str">
            <v>○</v>
          </cell>
          <cell r="P227">
            <v>60</v>
          </cell>
          <cell r="Q227">
            <v>1</v>
          </cell>
          <cell r="R227">
            <v>0</v>
          </cell>
          <cell r="S227">
            <v>0</v>
          </cell>
          <cell r="T227" t="str">
            <v>○</v>
          </cell>
        </row>
        <row r="228">
          <cell r="B228">
            <v>270</v>
          </cell>
          <cell r="C228" t="str">
            <v>東三河</v>
          </cell>
          <cell r="D228" t="str">
            <v>豊川市</v>
          </cell>
          <cell r="E228" t="str">
            <v>チサンイン豊川インター</v>
          </cell>
          <cell r="F228" t="str">
            <v>愛知県豊川市上野2-22</v>
          </cell>
          <cell r="G228" t="str">
            <v>選手・役員または技術役員</v>
          </cell>
          <cell r="H228" t="str">
            <v>不可</v>
          </cell>
          <cell r="I228" t="str">
            <v>不可</v>
          </cell>
          <cell r="J228">
            <v>94</v>
          </cell>
          <cell r="K228">
            <v>46</v>
          </cell>
          <cell r="L228">
            <v>0.48936170212765956</v>
          </cell>
          <cell r="M228" t="str">
            <v>○</v>
          </cell>
          <cell r="N228" t="str">
            <v>×</v>
          </cell>
          <cell r="O228" t="str">
            <v>×</v>
          </cell>
          <cell r="P228">
            <v>18</v>
          </cell>
          <cell r="Q228">
            <v>0</v>
          </cell>
          <cell r="R228">
            <v>0</v>
          </cell>
          <cell r="S228">
            <v>0</v>
          </cell>
          <cell r="T228" t="str">
            <v>○</v>
          </cell>
        </row>
        <row r="229">
          <cell r="B229">
            <v>271</v>
          </cell>
          <cell r="C229" t="str">
            <v>東三河</v>
          </cell>
          <cell r="D229" t="str">
            <v>豊川市</v>
          </cell>
          <cell r="E229" t="str">
            <v>コンフォートホテル豊川</v>
          </cell>
          <cell r="F229" t="str">
            <v>愛知県豊川市諏訪3-301</v>
          </cell>
          <cell r="G229" t="str">
            <v>選手・役員または技術役員</v>
          </cell>
          <cell r="H229" t="str">
            <v>不可</v>
          </cell>
          <cell r="I229" t="str">
            <v>可</v>
          </cell>
          <cell r="J229">
            <v>143</v>
          </cell>
          <cell r="K229">
            <v>40</v>
          </cell>
          <cell r="L229">
            <v>0.27972027972027974</v>
          </cell>
          <cell r="M229" t="str">
            <v>○</v>
          </cell>
          <cell r="N229" t="str">
            <v>×</v>
          </cell>
          <cell r="O229" t="str">
            <v>×</v>
          </cell>
          <cell r="P229">
            <v>54</v>
          </cell>
          <cell r="Q229">
            <v>0</v>
          </cell>
          <cell r="R229">
            <v>0</v>
          </cell>
          <cell r="S229">
            <v>0</v>
          </cell>
          <cell r="T229" t="str">
            <v>○</v>
          </cell>
        </row>
        <row r="230">
          <cell r="B230">
            <v>272</v>
          </cell>
          <cell r="C230" t="str">
            <v>東三河</v>
          </cell>
          <cell r="D230" t="str">
            <v>豊川市</v>
          </cell>
          <cell r="E230" t="str">
            <v>ホテルクラウンヒルズ豊川駅前</v>
          </cell>
          <cell r="F230" t="str">
            <v>愛知県豊川市豊川町仁保通79-1</v>
          </cell>
          <cell r="G230" t="str">
            <v>選手・役員または技術役員</v>
          </cell>
          <cell r="H230" t="str">
            <v>可</v>
          </cell>
          <cell r="I230" t="str">
            <v>可</v>
          </cell>
          <cell r="J230">
            <v>139</v>
          </cell>
          <cell r="K230">
            <v>139</v>
          </cell>
          <cell r="L230">
            <v>1</v>
          </cell>
          <cell r="M230" t="str">
            <v>○</v>
          </cell>
          <cell r="N230" t="str">
            <v>×</v>
          </cell>
          <cell r="O230" t="str">
            <v>×</v>
          </cell>
          <cell r="P230">
            <v>50</v>
          </cell>
          <cell r="Q230">
            <v>0</v>
          </cell>
          <cell r="R230">
            <v>0</v>
          </cell>
          <cell r="S230">
            <v>0</v>
          </cell>
          <cell r="T230" t="str">
            <v>×</v>
          </cell>
        </row>
        <row r="231">
          <cell r="B231">
            <v>273</v>
          </cell>
          <cell r="C231" t="str">
            <v>東三河</v>
          </cell>
          <cell r="D231" t="str">
            <v>豊川市</v>
          </cell>
          <cell r="E231" t="str">
            <v>豊川ビジネスホテル</v>
          </cell>
          <cell r="F231" t="str">
            <v>愛知県豊川市緑町28</v>
          </cell>
          <cell r="G231" t="str">
            <v>選手・役員または技術役員</v>
          </cell>
          <cell r="H231" t="str">
            <v>不可</v>
          </cell>
          <cell r="I231" t="str">
            <v>可</v>
          </cell>
          <cell r="J231">
            <v>71</v>
          </cell>
          <cell r="K231">
            <v>40</v>
          </cell>
          <cell r="L231">
            <v>0.56338028169014087</v>
          </cell>
          <cell r="M231" t="str">
            <v>○</v>
          </cell>
          <cell r="N231" t="str">
            <v>×</v>
          </cell>
          <cell r="O231" t="str">
            <v>×</v>
          </cell>
          <cell r="P231">
            <v>18</v>
          </cell>
          <cell r="Q231">
            <v>0</v>
          </cell>
          <cell r="R231">
            <v>1</v>
          </cell>
          <cell r="S231">
            <v>1</v>
          </cell>
          <cell r="T231" t="str">
            <v>○</v>
          </cell>
        </row>
        <row r="232">
          <cell r="B232">
            <v>274</v>
          </cell>
          <cell r="C232" t="str">
            <v>東三河</v>
          </cell>
          <cell r="D232" t="str">
            <v>豊橋市</v>
          </cell>
          <cell r="E232" t="str">
            <v>豊橋市野外教育センター</v>
          </cell>
          <cell r="F232" t="str">
            <v>愛知県豊橋市伊古部町枇杷ケ谷57-12</v>
          </cell>
          <cell r="G232" t="str">
            <v>その他 ※1</v>
          </cell>
          <cell r="H232" t="str">
            <v>不可</v>
          </cell>
          <cell r="I232" t="str">
            <v>不可</v>
          </cell>
          <cell r="J232">
            <v>10</v>
          </cell>
          <cell r="K232">
            <v>0</v>
          </cell>
          <cell r="L232">
            <v>0</v>
          </cell>
          <cell r="M232" t="str">
            <v>○</v>
          </cell>
          <cell r="N232" t="str">
            <v>×</v>
          </cell>
          <cell r="O232" t="str">
            <v>×</v>
          </cell>
          <cell r="P232">
            <v>120</v>
          </cell>
          <cell r="Q232">
            <v>1</v>
          </cell>
          <cell r="R232">
            <v>1</v>
          </cell>
          <cell r="S232" t="str">
            <v>提供不可</v>
          </cell>
          <cell r="T232" t="str">
            <v>○</v>
          </cell>
        </row>
        <row r="233">
          <cell r="B233">
            <v>275</v>
          </cell>
          <cell r="C233" t="str">
            <v>東三河</v>
          </cell>
          <cell r="D233" t="str">
            <v>豊橋市</v>
          </cell>
          <cell r="E233" t="str">
            <v>シーパレスリゾート</v>
          </cell>
          <cell r="F233" t="str">
            <v>愛知県豊橋市神野新田町ミノ割１－３</v>
          </cell>
          <cell r="G233" t="str">
            <v>選手・役員または技術役員 ※2</v>
          </cell>
          <cell r="H233" t="str">
            <v>不可</v>
          </cell>
          <cell r="I233" t="str">
            <v>不可</v>
          </cell>
          <cell r="J233">
            <v>54</v>
          </cell>
          <cell r="K233">
            <v>0</v>
          </cell>
          <cell r="L233">
            <v>0</v>
          </cell>
          <cell r="M233" t="str">
            <v>○</v>
          </cell>
          <cell r="N233" t="str">
            <v>○</v>
          </cell>
          <cell r="O233" t="str">
            <v>○</v>
          </cell>
          <cell r="P233">
            <v>130</v>
          </cell>
          <cell r="Q233">
            <v>4</v>
          </cell>
          <cell r="R233">
            <v>8</v>
          </cell>
          <cell r="S233" t="str">
            <v>提供未定</v>
          </cell>
          <cell r="T233" t="str">
            <v>○</v>
          </cell>
        </row>
        <row r="234">
          <cell r="B234">
            <v>276</v>
          </cell>
          <cell r="C234" t="str">
            <v>東三河</v>
          </cell>
          <cell r="D234" t="str">
            <v>豊橋市</v>
          </cell>
          <cell r="E234" t="str">
            <v>ニュー東洋ホテル2</v>
          </cell>
          <cell r="F234" t="str">
            <v xml:space="preserve"> 愛知県豊橋市八通町98-1</v>
          </cell>
          <cell r="G234" t="str">
            <v>選手・役員または技術役員</v>
          </cell>
          <cell r="H234" t="str">
            <v>不可</v>
          </cell>
          <cell r="I234" t="str">
            <v>可</v>
          </cell>
          <cell r="J234">
            <v>87</v>
          </cell>
          <cell r="K234">
            <v>28</v>
          </cell>
          <cell r="L234">
            <v>0.32183908045977011</v>
          </cell>
          <cell r="M234" t="str">
            <v>○</v>
          </cell>
          <cell r="N234" t="str">
            <v>○</v>
          </cell>
          <cell r="O234" t="str">
            <v>○</v>
          </cell>
          <cell r="P234">
            <v>23</v>
          </cell>
          <cell r="Q234">
            <v>1</v>
          </cell>
          <cell r="R234">
            <v>2</v>
          </cell>
          <cell r="S234">
            <v>2</v>
          </cell>
          <cell r="T234" t="str">
            <v>○</v>
          </cell>
        </row>
        <row r="235">
          <cell r="B235">
            <v>277</v>
          </cell>
          <cell r="C235" t="str">
            <v>東三河</v>
          </cell>
          <cell r="D235" t="str">
            <v>豊橋市</v>
          </cell>
          <cell r="E235" t="str">
            <v>アパホテル＜豊橋駅前＞</v>
          </cell>
          <cell r="F235" t="str">
            <v>愛知県豊橋市広小路1丁目1</v>
          </cell>
          <cell r="G235" t="str">
            <v>選手・役員または技術役員</v>
          </cell>
          <cell r="H235" t="str">
            <v>不可</v>
          </cell>
          <cell r="I235" t="str">
            <v>可</v>
          </cell>
          <cell r="J235">
            <v>87</v>
          </cell>
          <cell r="K235">
            <v>85</v>
          </cell>
          <cell r="L235">
            <v>0.97701149425287359</v>
          </cell>
          <cell r="M235" t="str">
            <v>○</v>
          </cell>
          <cell r="N235" t="str">
            <v>×</v>
          </cell>
          <cell r="O235" t="str">
            <v>×</v>
          </cell>
          <cell r="P235">
            <v>22</v>
          </cell>
          <cell r="Q235">
            <v>0</v>
          </cell>
          <cell r="R235">
            <v>1</v>
          </cell>
          <cell r="S235">
            <v>1</v>
          </cell>
          <cell r="T235" t="str">
            <v>×</v>
          </cell>
        </row>
        <row r="236">
          <cell r="B236">
            <v>278</v>
          </cell>
          <cell r="C236" t="str">
            <v>東三河</v>
          </cell>
          <cell r="D236" t="str">
            <v>豊橋市</v>
          </cell>
          <cell r="E236" t="str">
            <v>ホテルアソシア豊橋</v>
          </cell>
          <cell r="F236" t="str">
            <v>愛知県豊橋市花田町西宿無番地</v>
          </cell>
          <cell r="G236" t="str">
            <v>選手・役員または技術役員</v>
          </cell>
          <cell r="H236" t="str">
            <v>可</v>
          </cell>
          <cell r="I236" t="str">
            <v>可</v>
          </cell>
          <cell r="J236">
            <v>222</v>
          </cell>
          <cell r="K236">
            <v>222</v>
          </cell>
          <cell r="L236">
            <v>1</v>
          </cell>
          <cell r="M236" t="str">
            <v>○</v>
          </cell>
          <cell r="N236" t="str">
            <v>○</v>
          </cell>
          <cell r="O236" t="str">
            <v>○</v>
          </cell>
          <cell r="P236">
            <v>84</v>
          </cell>
          <cell r="Q236">
            <v>4</v>
          </cell>
          <cell r="R236">
            <v>9</v>
          </cell>
          <cell r="S236">
            <v>9</v>
          </cell>
          <cell r="T236" t="str">
            <v>○</v>
          </cell>
        </row>
        <row r="237">
          <cell r="B237">
            <v>279</v>
          </cell>
          <cell r="C237" t="str">
            <v>東三河</v>
          </cell>
          <cell r="D237" t="str">
            <v>豊橋市</v>
          </cell>
          <cell r="E237" t="str">
            <v>ビジネスホテルおかだ家 豊橋店</v>
          </cell>
          <cell r="F237" t="str">
            <v>愛知県豊橋市堂坂町34-1</v>
          </cell>
          <cell r="G237" t="str">
            <v>選手・役員または技術役員</v>
          </cell>
          <cell r="H237" t="str">
            <v>可</v>
          </cell>
          <cell r="I237" t="str">
            <v>可</v>
          </cell>
          <cell r="J237">
            <v>35</v>
          </cell>
          <cell r="K237">
            <v>33</v>
          </cell>
          <cell r="L237">
            <v>0.94285714285714284</v>
          </cell>
          <cell r="M237" t="str">
            <v>○</v>
          </cell>
          <cell r="N237" t="str">
            <v>×</v>
          </cell>
          <cell r="O237" t="str">
            <v>○</v>
          </cell>
          <cell r="P237">
            <v>17</v>
          </cell>
          <cell r="Q237">
            <v>1</v>
          </cell>
          <cell r="R237">
            <v>0</v>
          </cell>
          <cell r="S237">
            <v>0</v>
          </cell>
          <cell r="T237" t="str">
            <v>×</v>
          </cell>
        </row>
        <row r="238">
          <cell r="B238">
            <v>280</v>
          </cell>
          <cell r="C238" t="str">
            <v>東三河</v>
          </cell>
          <cell r="D238" t="str">
            <v>豊橋市</v>
          </cell>
          <cell r="E238" t="str">
            <v>ビジネスホテルおかだ家ベイサイド</v>
          </cell>
          <cell r="F238" t="str">
            <v>愛知県豊橋市神野新田町沖ノ島176-1</v>
          </cell>
          <cell r="G238" t="str">
            <v>選手・役員または技術役員</v>
          </cell>
          <cell r="H238" t="str">
            <v>可</v>
          </cell>
          <cell r="I238" t="str">
            <v>可</v>
          </cell>
          <cell r="J238">
            <v>57</v>
          </cell>
          <cell r="K238">
            <v>57</v>
          </cell>
          <cell r="L238">
            <v>1</v>
          </cell>
          <cell r="M238" t="str">
            <v>○</v>
          </cell>
          <cell r="N238" t="str">
            <v>×</v>
          </cell>
          <cell r="O238" t="str">
            <v>○</v>
          </cell>
          <cell r="P238">
            <v>38</v>
          </cell>
          <cell r="Q238">
            <v>1</v>
          </cell>
          <cell r="R238">
            <v>0</v>
          </cell>
          <cell r="S238">
            <v>0</v>
          </cell>
          <cell r="T238" t="str">
            <v>○</v>
          </cell>
        </row>
        <row r="239">
          <cell r="B239">
            <v>281</v>
          </cell>
          <cell r="C239" t="str">
            <v>東三河</v>
          </cell>
          <cell r="D239" t="str">
            <v>豊橋市</v>
          </cell>
          <cell r="E239" t="str">
            <v>ロワジールホテル豊橋</v>
          </cell>
          <cell r="F239" t="str">
            <v>愛知県豊橋市藤沢町141</v>
          </cell>
          <cell r="G239" t="str">
            <v>選手・役員または技術役員</v>
          </cell>
          <cell r="H239" t="str">
            <v>不可</v>
          </cell>
          <cell r="I239" t="str">
            <v>可</v>
          </cell>
          <cell r="J239">
            <v>379</v>
          </cell>
          <cell r="K239">
            <v>150</v>
          </cell>
          <cell r="L239">
            <v>0.39577836411609496</v>
          </cell>
          <cell r="M239" t="str">
            <v>○</v>
          </cell>
          <cell r="N239" t="str">
            <v>×</v>
          </cell>
          <cell r="O239" t="str">
            <v>×</v>
          </cell>
          <cell r="P239">
            <v>122</v>
          </cell>
          <cell r="Q239">
            <v>3</v>
          </cell>
          <cell r="R239">
            <v>24</v>
          </cell>
          <cell r="S239">
            <v>19</v>
          </cell>
          <cell r="T239" t="str">
            <v>○</v>
          </cell>
        </row>
        <row r="240">
          <cell r="B240">
            <v>282</v>
          </cell>
          <cell r="C240" t="str">
            <v>東三河</v>
          </cell>
          <cell r="D240" t="str">
            <v>豊橋市</v>
          </cell>
          <cell r="E240" t="str">
            <v>ホテルアークリッシュ豊橋</v>
          </cell>
          <cell r="F240" t="str">
            <v>愛知県豊橋市駅前大通1-55</v>
          </cell>
          <cell r="G240" t="str">
            <v>選手・役員または技術役員</v>
          </cell>
          <cell r="H240" t="str">
            <v>不可</v>
          </cell>
          <cell r="I240" t="str">
            <v>可</v>
          </cell>
          <cell r="J240">
            <v>91</v>
          </cell>
          <cell r="K240">
            <v>30</v>
          </cell>
          <cell r="L240">
            <v>0.32967032967032966</v>
          </cell>
          <cell r="M240" t="str">
            <v>○</v>
          </cell>
          <cell r="N240" t="str">
            <v>○</v>
          </cell>
          <cell r="O240" t="str">
            <v>○</v>
          </cell>
          <cell r="P240">
            <v>38</v>
          </cell>
          <cell r="Q240">
            <v>2</v>
          </cell>
          <cell r="R240">
            <v>8</v>
          </cell>
          <cell r="S240" t="str">
            <v>提供未定</v>
          </cell>
          <cell r="T240" t="str">
            <v>×</v>
          </cell>
        </row>
        <row r="241">
          <cell r="B241">
            <v>283</v>
          </cell>
          <cell r="C241" t="str">
            <v>東三河</v>
          </cell>
          <cell r="D241" t="str">
            <v>豊橋市</v>
          </cell>
          <cell r="E241" t="str">
            <v>東横INN豊橋駅東口</v>
          </cell>
          <cell r="F241" t="str">
            <v xml:space="preserve"> 愛知県豊橋市大橋通2-135</v>
          </cell>
          <cell r="G241" t="str">
            <v>選手・役員または技術役員</v>
          </cell>
          <cell r="H241" t="str">
            <v>不可</v>
          </cell>
          <cell r="I241" t="str">
            <v>可</v>
          </cell>
          <cell r="J241">
            <v>135</v>
          </cell>
          <cell r="K241">
            <v>60</v>
          </cell>
          <cell r="L241">
            <v>0.44444444444444442</v>
          </cell>
          <cell r="M241" t="str">
            <v>○</v>
          </cell>
          <cell r="N241" t="str">
            <v>×</v>
          </cell>
          <cell r="O241" t="str">
            <v>×</v>
          </cell>
          <cell r="P241">
            <v>20</v>
          </cell>
          <cell r="Q241">
            <v>0</v>
          </cell>
          <cell r="R241">
            <v>0</v>
          </cell>
          <cell r="S241">
            <v>0</v>
          </cell>
          <cell r="T241" t="str">
            <v>×</v>
          </cell>
        </row>
        <row r="242">
          <cell r="B242">
            <v>284</v>
          </cell>
          <cell r="C242" t="str">
            <v>東三河</v>
          </cell>
          <cell r="D242" t="str">
            <v>豊橋市</v>
          </cell>
          <cell r="E242" t="str">
            <v>豊橋ステーションホテル</v>
          </cell>
          <cell r="F242" t="str">
            <v>愛知県豊橋市西小田原町103</v>
          </cell>
          <cell r="G242" t="str">
            <v>選手・役員または技術役員</v>
          </cell>
          <cell r="H242" t="str">
            <v>不可</v>
          </cell>
          <cell r="I242" t="str">
            <v>可</v>
          </cell>
          <cell r="J242">
            <v>102</v>
          </cell>
          <cell r="K242">
            <v>60</v>
          </cell>
          <cell r="L242">
            <v>0.58823529411764708</v>
          </cell>
          <cell r="M242" t="str">
            <v>○</v>
          </cell>
          <cell r="N242" t="str">
            <v>×</v>
          </cell>
          <cell r="O242" t="str">
            <v>×</v>
          </cell>
          <cell r="P242">
            <v>13</v>
          </cell>
          <cell r="Q242">
            <v>0</v>
          </cell>
          <cell r="R242">
            <v>0</v>
          </cell>
          <cell r="S242">
            <v>0</v>
          </cell>
          <cell r="T242" t="str">
            <v>○</v>
          </cell>
        </row>
        <row r="243">
          <cell r="B243">
            <v>285</v>
          </cell>
          <cell r="C243" t="str">
            <v>東三河</v>
          </cell>
          <cell r="D243" t="str">
            <v>豊橋市</v>
          </cell>
          <cell r="E243" t="str">
            <v>ニュー東洋ホテル１</v>
          </cell>
          <cell r="F243" t="str">
            <v xml:space="preserve"> 愛知県豊橋市白河町2</v>
          </cell>
          <cell r="G243" t="str">
            <v>選手・役員または技術役員</v>
          </cell>
          <cell r="H243" t="str">
            <v>不可</v>
          </cell>
          <cell r="I243" t="str">
            <v>可</v>
          </cell>
          <cell r="J243">
            <v>70</v>
          </cell>
          <cell r="K243">
            <v>30</v>
          </cell>
          <cell r="L243">
            <v>0.42857142857142855</v>
          </cell>
          <cell r="M243" t="str">
            <v>○</v>
          </cell>
          <cell r="N243" t="str">
            <v>○</v>
          </cell>
          <cell r="O243" t="str">
            <v>○</v>
          </cell>
          <cell r="P243">
            <v>21</v>
          </cell>
          <cell r="Q243">
            <v>1</v>
          </cell>
          <cell r="R243">
            <v>2</v>
          </cell>
          <cell r="S243">
            <v>2</v>
          </cell>
          <cell r="T243" t="str">
            <v>×</v>
          </cell>
        </row>
        <row r="244">
          <cell r="B244">
            <v>287</v>
          </cell>
          <cell r="C244" t="str">
            <v>東三河</v>
          </cell>
          <cell r="D244" t="str">
            <v>豊橋市</v>
          </cell>
          <cell r="E244" t="str">
            <v>コンフォートホテル豊橋</v>
          </cell>
          <cell r="F244" t="str">
            <v>愛知県豊橋市大橋通1-98</v>
          </cell>
          <cell r="G244" t="str">
            <v>選手・役員または技術役員</v>
          </cell>
          <cell r="H244" t="str">
            <v>不可</v>
          </cell>
          <cell r="I244" t="str">
            <v>可</v>
          </cell>
          <cell r="J244">
            <v>132</v>
          </cell>
          <cell r="K244">
            <v>40</v>
          </cell>
          <cell r="L244">
            <v>0.30303030303030304</v>
          </cell>
          <cell r="M244" t="str">
            <v>○</v>
          </cell>
          <cell r="N244" t="str">
            <v>×</v>
          </cell>
          <cell r="O244" t="str">
            <v>×</v>
          </cell>
          <cell r="P244">
            <v>15</v>
          </cell>
          <cell r="Q244">
            <v>0</v>
          </cell>
          <cell r="R244">
            <v>0</v>
          </cell>
          <cell r="S244">
            <v>0</v>
          </cell>
          <cell r="T244" t="str">
            <v>×</v>
          </cell>
        </row>
        <row r="245">
          <cell r="B245">
            <v>288</v>
          </cell>
          <cell r="C245" t="str">
            <v>東三河</v>
          </cell>
          <cell r="D245" t="str">
            <v>豊橋市</v>
          </cell>
          <cell r="E245" t="str">
            <v>ホテルルートイン豊橋駅前</v>
          </cell>
          <cell r="F245" t="str">
            <v>愛知県豊橋市大橋通2-139</v>
          </cell>
          <cell r="G245" t="str">
            <v>選手・役員または技術役員</v>
          </cell>
          <cell r="H245" t="str">
            <v>不可</v>
          </cell>
          <cell r="I245" t="str">
            <v>可</v>
          </cell>
          <cell r="J245">
            <v>196</v>
          </cell>
          <cell r="K245">
            <v>100</v>
          </cell>
          <cell r="L245">
            <v>0.51020408163265307</v>
          </cell>
          <cell r="M245" t="str">
            <v>○</v>
          </cell>
          <cell r="N245" t="str">
            <v>×</v>
          </cell>
          <cell r="O245" t="str">
            <v>×</v>
          </cell>
          <cell r="P245">
            <v>60</v>
          </cell>
          <cell r="Q245">
            <v>0</v>
          </cell>
          <cell r="R245">
            <v>0</v>
          </cell>
          <cell r="S245">
            <v>0</v>
          </cell>
          <cell r="T245" t="str">
            <v>×</v>
          </cell>
        </row>
        <row r="246">
          <cell r="B246">
            <v>289</v>
          </cell>
          <cell r="C246" t="str">
            <v>東三河</v>
          </cell>
          <cell r="D246" t="str">
            <v>豊橋市</v>
          </cell>
          <cell r="E246" t="str">
            <v>ホテルプラザイン豊橋</v>
          </cell>
          <cell r="F246" t="str">
            <v>愛知県豊橋市札木町66-1</v>
          </cell>
          <cell r="G246" t="str">
            <v>選手・役員または技術役員</v>
          </cell>
          <cell r="H246" t="str">
            <v>可</v>
          </cell>
          <cell r="I246" t="str">
            <v>可</v>
          </cell>
          <cell r="J246">
            <v>110</v>
          </cell>
          <cell r="K246">
            <v>110</v>
          </cell>
          <cell r="L246">
            <v>1</v>
          </cell>
          <cell r="M246" t="str">
            <v>○</v>
          </cell>
          <cell r="N246" t="str">
            <v>×</v>
          </cell>
          <cell r="O246" t="str">
            <v>○</v>
          </cell>
          <cell r="P246">
            <v>40</v>
          </cell>
          <cell r="Q246">
            <v>1</v>
          </cell>
          <cell r="R246">
            <v>0</v>
          </cell>
          <cell r="S246">
            <v>0</v>
          </cell>
          <cell r="T246" t="str">
            <v>×</v>
          </cell>
        </row>
        <row r="247">
          <cell r="B247">
            <v>290</v>
          </cell>
          <cell r="C247" t="str">
            <v>東三河</v>
          </cell>
          <cell r="D247" t="str">
            <v>豊橋市</v>
          </cell>
          <cell r="E247" t="str">
            <v>ジャストプレミアム豊橋駅新幹線口</v>
          </cell>
          <cell r="F247" t="str">
            <v>愛知県豊橋市白河町31番2</v>
          </cell>
          <cell r="G247" t="str">
            <v>選手・役員または技術役員</v>
          </cell>
          <cell r="H247" t="str">
            <v>不可</v>
          </cell>
          <cell r="I247" t="str">
            <v>可</v>
          </cell>
          <cell r="J247">
            <v>171</v>
          </cell>
          <cell r="K247">
            <v>60</v>
          </cell>
          <cell r="L247">
            <v>0.35087719298245612</v>
          </cell>
          <cell r="M247" t="str">
            <v>○</v>
          </cell>
          <cell r="N247" t="str">
            <v>×</v>
          </cell>
          <cell r="O247" t="str">
            <v>×</v>
          </cell>
          <cell r="P247">
            <v>45</v>
          </cell>
          <cell r="Q247">
            <v>0</v>
          </cell>
          <cell r="R247">
            <v>0</v>
          </cell>
          <cell r="S247">
            <v>0</v>
          </cell>
          <cell r="T247" t="str">
            <v>×</v>
          </cell>
        </row>
        <row r="248">
          <cell r="B248">
            <v>299</v>
          </cell>
          <cell r="C248" t="str">
            <v>知多</v>
          </cell>
          <cell r="D248" t="str">
            <v>常滑市</v>
          </cell>
          <cell r="E248" t="str">
            <v>東横INN中部国際空港２</v>
          </cell>
          <cell r="F248" t="str">
            <v>愛知県常滑市セントレア4-2-5</v>
          </cell>
          <cell r="G248" t="str">
            <v>その他 ※1</v>
          </cell>
          <cell r="H248" t="str">
            <v>不可</v>
          </cell>
          <cell r="I248" t="str">
            <v>不可</v>
          </cell>
          <cell r="J248">
            <v>1286</v>
          </cell>
          <cell r="K248">
            <v>0</v>
          </cell>
          <cell r="L248">
            <v>0</v>
          </cell>
          <cell r="M248" t="str">
            <v>○</v>
          </cell>
          <cell r="N248" t="str">
            <v>×</v>
          </cell>
          <cell r="O248" t="str">
            <v>×</v>
          </cell>
          <cell r="P248">
            <v>380</v>
          </cell>
          <cell r="Q248">
            <v>0</v>
          </cell>
          <cell r="R248">
            <v>0</v>
          </cell>
          <cell r="S248">
            <v>0</v>
          </cell>
          <cell r="T248" t="str">
            <v>×</v>
          </cell>
        </row>
        <row r="249">
          <cell r="B249">
            <v>300</v>
          </cell>
          <cell r="C249" t="str">
            <v>知多</v>
          </cell>
          <cell r="D249" t="str">
            <v>常滑市</v>
          </cell>
          <cell r="E249" t="str">
            <v>東横INN中部国際空港1</v>
          </cell>
          <cell r="F249" t="str">
            <v>愛知県常滑市セントレア4-2-5</v>
          </cell>
          <cell r="G249" t="str">
            <v>選手・役員または技術役員</v>
          </cell>
          <cell r="H249" t="str">
            <v>可</v>
          </cell>
          <cell r="I249" t="str">
            <v>可</v>
          </cell>
          <cell r="J249">
            <v>1001</v>
          </cell>
          <cell r="K249">
            <v>1001</v>
          </cell>
          <cell r="L249">
            <v>1</v>
          </cell>
          <cell r="M249" t="str">
            <v>○</v>
          </cell>
          <cell r="N249" t="str">
            <v>×</v>
          </cell>
          <cell r="O249" t="str">
            <v>×</v>
          </cell>
          <cell r="P249">
            <v>180</v>
          </cell>
          <cell r="Q249">
            <v>0</v>
          </cell>
          <cell r="R249">
            <v>1</v>
          </cell>
          <cell r="S249">
            <v>1</v>
          </cell>
          <cell r="T249" t="str">
            <v>○</v>
          </cell>
        </row>
        <row r="250">
          <cell r="B250">
            <v>301</v>
          </cell>
          <cell r="C250" t="str">
            <v>知多</v>
          </cell>
          <cell r="D250" t="str">
            <v>常滑市</v>
          </cell>
          <cell r="E250" t="str">
            <v>コンフォートホテル中部国際空港</v>
          </cell>
          <cell r="F250" t="str">
            <v>愛知県常滑市セントレア4-2-3</v>
          </cell>
          <cell r="G250" t="str">
            <v>選手・役員または技術役員</v>
          </cell>
          <cell r="H250" t="str">
            <v>不可</v>
          </cell>
          <cell r="I250" t="str">
            <v>可</v>
          </cell>
          <cell r="J250">
            <v>347</v>
          </cell>
          <cell r="K250">
            <v>50</v>
          </cell>
          <cell r="L250">
            <v>0.14409221902017291</v>
          </cell>
          <cell r="M250" t="str">
            <v>○</v>
          </cell>
          <cell r="N250" t="str">
            <v>×</v>
          </cell>
          <cell r="O250" t="str">
            <v>×</v>
          </cell>
          <cell r="P250">
            <v>100</v>
          </cell>
          <cell r="Q250">
            <v>0</v>
          </cell>
          <cell r="R250">
            <v>0</v>
          </cell>
          <cell r="S250">
            <v>0</v>
          </cell>
          <cell r="T250" t="str">
            <v>×</v>
          </cell>
        </row>
        <row r="251">
          <cell r="B251">
            <v>302</v>
          </cell>
          <cell r="C251" t="str">
            <v>知多</v>
          </cell>
          <cell r="D251" t="str">
            <v>常滑市</v>
          </cell>
          <cell r="E251" t="str">
            <v>中部国際空港セントレアホテル</v>
          </cell>
          <cell r="F251" t="str">
            <v>愛知県常滑市セントレア一丁目1番地</v>
          </cell>
          <cell r="G251" t="str">
            <v>選手・役員または技術役員</v>
          </cell>
          <cell r="H251" t="str">
            <v>不可</v>
          </cell>
          <cell r="I251" t="str">
            <v>可</v>
          </cell>
          <cell r="J251">
            <v>381</v>
          </cell>
          <cell r="K251">
            <v>160</v>
          </cell>
          <cell r="L251">
            <v>0.41994750656167978</v>
          </cell>
          <cell r="M251" t="str">
            <v>○</v>
          </cell>
          <cell r="N251" t="str">
            <v>○</v>
          </cell>
          <cell r="O251" t="str">
            <v>○</v>
          </cell>
          <cell r="P251">
            <v>106</v>
          </cell>
          <cell r="Q251">
            <v>1</v>
          </cell>
          <cell r="R251">
            <v>1</v>
          </cell>
          <cell r="S251" t="str">
            <v>提供未定</v>
          </cell>
          <cell r="T251" t="str">
            <v>×</v>
          </cell>
        </row>
        <row r="252">
          <cell r="B252">
            <v>303</v>
          </cell>
          <cell r="C252" t="str">
            <v>知多</v>
          </cell>
          <cell r="D252" t="str">
            <v>常滑市</v>
          </cell>
          <cell r="E252" t="str">
            <v>J･HOTEL ANNEX</v>
          </cell>
          <cell r="F252" t="str">
            <v>愛知県常滑市りんくう町3-2-1（J・ホテルりんくう隣）</v>
          </cell>
          <cell r="G252" t="str">
            <v>選手・役員または技術役員</v>
          </cell>
          <cell r="H252" t="str">
            <v>可</v>
          </cell>
          <cell r="I252" t="str">
            <v>可</v>
          </cell>
          <cell r="J252">
            <v>38</v>
          </cell>
          <cell r="K252">
            <v>38</v>
          </cell>
          <cell r="L252">
            <v>1</v>
          </cell>
          <cell r="M252" t="str">
            <v>○</v>
          </cell>
          <cell r="N252" t="str">
            <v>○</v>
          </cell>
          <cell r="O252" t="str">
            <v>○</v>
          </cell>
          <cell r="P252">
            <v>80</v>
          </cell>
          <cell r="Q252">
            <v>1</v>
          </cell>
          <cell r="R252">
            <v>0</v>
          </cell>
          <cell r="S252">
            <v>0</v>
          </cell>
          <cell r="T252" t="str">
            <v>×</v>
          </cell>
        </row>
        <row r="253">
          <cell r="B253">
            <v>304</v>
          </cell>
          <cell r="C253" t="str">
            <v>知多</v>
          </cell>
          <cell r="D253" t="str">
            <v>常滑市</v>
          </cell>
          <cell r="E253" t="str">
            <v>J･ホテルりんくう</v>
          </cell>
          <cell r="F253" t="str">
            <v>愛知県常滑市りんくう町3-2-1</v>
          </cell>
          <cell r="G253" t="str">
            <v>選手・役員または技術役員</v>
          </cell>
          <cell r="H253" t="str">
            <v>不可</v>
          </cell>
          <cell r="I253" t="str">
            <v>可</v>
          </cell>
          <cell r="J253">
            <v>180</v>
          </cell>
          <cell r="K253">
            <v>96</v>
          </cell>
          <cell r="L253">
            <v>0.53333333333333333</v>
          </cell>
          <cell r="M253" t="str">
            <v>○</v>
          </cell>
          <cell r="N253" t="str">
            <v>○</v>
          </cell>
          <cell r="O253" t="str">
            <v>○</v>
          </cell>
          <cell r="P253">
            <v>80</v>
          </cell>
          <cell r="Q253">
            <v>1</v>
          </cell>
          <cell r="R253">
            <v>3</v>
          </cell>
          <cell r="S253">
            <v>1</v>
          </cell>
          <cell r="T253" t="str">
            <v>×</v>
          </cell>
        </row>
        <row r="254">
          <cell r="B254">
            <v>305</v>
          </cell>
          <cell r="C254" t="str">
            <v>知多</v>
          </cell>
          <cell r="D254" t="str">
            <v>常滑市</v>
          </cell>
          <cell r="E254" t="str">
            <v>ホテルルートイン常滑駅前グランドアネックス</v>
          </cell>
          <cell r="F254" t="str">
            <v>愛知県常滑市鯉江本町2-102</v>
          </cell>
          <cell r="G254" t="str">
            <v>選手・役員または技術役員</v>
          </cell>
          <cell r="H254" t="str">
            <v>不可</v>
          </cell>
          <cell r="I254" t="str">
            <v>不可</v>
          </cell>
          <cell r="J254">
            <v>106</v>
          </cell>
          <cell r="K254">
            <v>70</v>
          </cell>
          <cell r="L254">
            <v>0.660377358490566</v>
          </cell>
          <cell r="M254" t="str">
            <v>○</v>
          </cell>
          <cell r="N254" t="str">
            <v>○</v>
          </cell>
          <cell r="O254" t="str">
            <v>○</v>
          </cell>
          <cell r="P254">
            <v>94</v>
          </cell>
          <cell r="Q254">
            <v>1</v>
          </cell>
          <cell r="R254">
            <v>0</v>
          </cell>
          <cell r="S254">
            <v>0</v>
          </cell>
          <cell r="T254" t="str">
            <v>○</v>
          </cell>
        </row>
        <row r="255">
          <cell r="B255">
            <v>306</v>
          </cell>
          <cell r="C255" t="str">
            <v>知多</v>
          </cell>
          <cell r="D255" t="str">
            <v>常滑市</v>
          </cell>
          <cell r="E255" t="str">
            <v>ホテルルートイン常滑駅前</v>
          </cell>
          <cell r="F255" t="str">
            <v>愛知県常滑市鯉江本町2-73</v>
          </cell>
          <cell r="G255" t="str">
            <v>選手・役員または技術役員</v>
          </cell>
          <cell r="H255" t="str">
            <v>不可</v>
          </cell>
          <cell r="I255" t="str">
            <v>不可</v>
          </cell>
          <cell r="J255">
            <v>144</v>
          </cell>
          <cell r="K255">
            <v>50</v>
          </cell>
          <cell r="L255">
            <v>0.34722222222222221</v>
          </cell>
          <cell r="M255" t="str">
            <v>○</v>
          </cell>
          <cell r="N255" t="str">
            <v>×</v>
          </cell>
          <cell r="O255" t="str">
            <v>×</v>
          </cell>
          <cell r="P255">
            <v>94</v>
          </cell>
          <cell r="Q255">
            <v>1</v>
          </cell>
          <cell r="R255">
            <v>0</v>
          </cell>
          <cell r="S255">
            <v>0</v>
          </cell>
          <cell r="T255" t="str">
            <v>○</v>
          </cell>
        </row>
        <row r="256">
          <cell r="B256">
            <v>307</v>
          </cell>
          <cell r="C256" t="str">
            <v>知多</v>
          </cell>
          <cell r="D256" t="str">
            <v>常滑市</v>
          </cell>
          <cell r="E256" t="str">
            <v>スプリングサニーホテル名古屋常滑駅前</v>
          </cell>
          <cell r="F256" t="str">
            <v>愛知県常滑市新開町3-174-1</v>
          </cell>
          <cell r="G256" t="str">
            <v>選手・役員または技術役員</v>
          </cell>
          <cell r="H256" t="str">
            <v>不可</v>
          </cell>
          <cell r="I256" t="str">
            <v>可</v>
          </cell>
          <cell r="J256">
            <v>194</v>
          </cell>
          <cell r="K256">
            <v>52</v>
          </cell>
          <cell r="L256">
            <v>0.26804123711340205</v>
          </cell>
          <cell r="M256" t="str">
            <v>○</v>
          </cell>
          <cell r="N256" t="str">
            <v>○</v>
          </cell>
          <cell r="O256" t="str">
            <v>○</v>
          </cell>
          <cell r="P256">
            <v>100</v>
          </cell>
          <cell r="Q256">
            <v>0</v>
          </cell>
          <cell r="R256">
            <v>0</v>
          </cell>
          <cell r="S256">
            <v>0</v>
          </cell>
          <cell r="T256" t="str">
            <v>○</v>
          </cell>
        </row>
        <row r="257">
          <cell r="B257">
            <v>308</v>
          </cell>
          <cell r="C257" t="str">
            <v>知多</v>
          </cell>
          <cell r="D257" t="str">
            <v>常滑市</v>
          </cell>
          <cell r="E257" t="str">
            <v>ロディソンホテル中部国際空港パラディア</v>
          </cell>
          <cell r="F257" t="str">
            <v>愛知県常滑市瀬木町1-80</v>
          </cell>
          <cell r="G257" t="str">
            <v>選手・役員または技術役員</v>
          </cell>
          <cell r="H257" t="str">
            <v>可</v>
          </cell>
          <cell r="I257" t="str">
            <v>可</v>
          </cell>
          <cell r="J257">
            <v>71</v>
          </cell>
          <cell r="K257">
            <v>16</v>
          </cell>
          <cell r="L257">
            <v>0.22535211267605634</v>
          </cell>
          <cell r="M257" t="str">
            <v>○</v>
          </cell>
          <cell r="N257" t="str">
            <v>×</v>
          </cell>
          <cell r="O257" t="str">
            <v>×</v>
          </cell>
          <cell r="P257">
            <v>70</v>
          </cell>
          <cell r="Q257">
            <v>1</v>
          </cell>
          <cell r="R257">
            <v>0</v>
          </cell>
          <cell r="S257">
            <v>0</v>
          </cell>
          <cell r="T257" t="str">
            <v>○</v>
          </cell>
        </row>
        <row r="258">
          <cell r="B258">
            <v>20</v>
          </cell>
          <cell r="C258" t="str">
            <v>名古屋</v>
          </cell>
          <cell r="D258" t="str">
            <v>知多郡</v>
          </cell>
          <cell r="E258" t="str">
            <v>あいち健康の森　健康科学総合センター</v>
          </cell>
          <cell r="F258" t="str">
            <v>愛知県知多郡東浦町大字森岡字源吾山1-1</v>
          </cell>
          <cell r="G258" t="str">
            <v>選手・役員または技術役員</v>
          </cell>
          <cell r="H258" t="str">
            <v>可</v>
          </cell>
          <cell r="I258" t="str">
            <v>可</v>
          </cell>
          <cell r="J258">
            <v>63</v>
          </cell>
          <cell r="K258">
            <v>63</v>
          </cell>
          <cell r="L258">
            <v>1</v>
          </cell>
          <cell r="M258" t="str">
            <v>○</v>
          </cell>
          <cell r="N258" t="str">
            <v>○</v>
          </cell>
          <cell r="O258" t="str">
            <v>○</v>
          </cell>
          <cell r="P258">
            <v>140</v>
          </cell>
          <cell r="Q258">
            <v>1</v>
          </cell>
          <cell r="R258">
            <v>11</v>
          </cell>
          <cell r="S258">
            <v>11</v>
          </cell>
          <cell r="T258" t="str">
            <v>○</v>
          </cell>
        </row>
        <row r="259">
          <cell r="B259">
            <v>310</v>
          </cell>
          <cell r="C259" t="str">
            <v>知多</v>
          </cell>
          <cell r="D259" t="str">
            <v>知多郡</v>
          </cell>
          <cell r="E259" t="str">
            <v>南知多温泉　源氏香</v>
          </cell>
          <cell r="F259" t="str">
            <v>愛知県知多郡南知多町山海海岸</v>
          </cell>
          <cell r="G259" t="str">
            <v>選手・役員または技術役員</v>
          </cell>
          <cell r="H259" t="str">
            <v>可</v>
          </cell>
          <cell r="I259" t="str">
            <v>可</v>
          </cell>
          <cell r="J259">
            <v>28</v>
          </cell>
          <cell r="K259">
            <v>28</v>
          </cell>
          <cell r="L259">
            <v>1</v>
          </cell>
          <cell r="M259" t="str">
            <v>○</v>
          </cell>
          <cell r="N259" t="str">
            <v>○</v>
          </cell>
          <cell r="O259" t="str">
            <v>○</v>
          </cell>
          <cell r="P259">
            <v>30</v>
          </cell>
          <cell r="Q259">
            <v>1</v>
          </cell>
          <cell r="R259">
            <v>3</v>
          </cell>
          <cell r="S259">
            <v>3</v>
          </cell>
          <cell r="T259" t="str">
            <v>○</v>
          </cell>
        </row>
        <row r="260">
          <cell r="B260">
            <v>311</v>
          </cell>
          <cell r="C260" t="str">
            <v>知多</v>
          </cell>
          <cell r="D260" t="str">
            <v>知多郡</v>
          </cell>
          <cell r="E260" t="str">
            <v>グランドホテル山海館</v>
          </cell>
          <cell r="F260" t="str">
            <v>愛知県知多郡南知多町山海橋爪29-5</v>
          </cell>
          <cell r="G260" t="str">
            <v>選手・役員または技術役員</v>
          </cell>
          <cell r="H260" t="str">
            <v>不可</v>
          </cell>
          <cell r="I260" t="str">
            <v>可</v>
          </cell>
          <cell r="J260">
            <v>36</v>
          </cell>
          <cell r="K260">
            <v>36</v>
          </cell>
          <cell r="L260">
            <v>1</v>
          </cell>
          <cell r="M260" t="str">
            <v>○</v>
          </cell>
          <cell r="N260" t="str">
            <v>○</v>
          </cell>
          <cell r="O260" t="str">
            <v>○</v>
          </cell>
          <cell r="P260">
            <v>200</v>
          </cell>
          <cell r="Q260">
            <v>1</v>
          </cell>
          <cell r="R260">
            <v>7</v>
          </cell>
          <cell r="S260">
            <v>7</v>
          </cell>
          <cell r="T260" t="str">
            <v>○</v>
          </cell>
        </row>
        <row r="261">
          <cell r="B261">
            <v>312</v>
          </cell>
          <cell r="C261" t="str">
            <v>知多</v>
          </cell>
          <cell r="D261" t="str">
            <v>知多郡</v>
          </cell>
          <cell r="E261" t="str">
            <v>イイネ！ホテルレシーア南知多</v>
          </cell>
          <cell r="F261" t="str">
            <v>愛知県知多郡南知多町山海字高座41-35</v>
          </cell>
          <cell r="G261" t="str">
            <v>選手・役員または技術役員</v>
          </cell>
          <cell r="H261" t="str">
            <v>可</v>
          </cell>
          <cell r="I261" t="str">
            <v>可</v>
          </cell>
          <cell r="J261">
            <v>41</v>
          </cell>
          <cell r="K261">
            <v>41</v>
          </cell>
          <cell r="L261">
            <v>1</v>
          </cell>
          <cell r="M261" t="str">
            <v>○</v>
          </cell>
          <cell r="N261" t="str">
            <v>○</v>
          </cell>
          <cell r="O261" t="str">
            <v>○</v>
          </cell>
          <cell r="P261">
            <v>23</v>
          </cell>
          <cell r="Q261">
            <v>0</v>
          </cell>
          <cell r="R261">
            <v>6</v>
          </cell>
          <cell r="S261">
            <v>6</v>
          </cell>
          <cell r="T261" t="str">
            <v>○</v>
          </cell>
        </row>
        <row r="262">
          <cell r="B262">
            <v>313</v>
          </cell>
          <cell r="C262" t="str">
            <v>知多</v>
          </cell>
          <cell r="D262" t="str">
            <v>知多郡</v>
          </cell>
          <cell r="E262" t="str">
            <v>和風旅館　粛 海風</v>
          </cell>
          <cell r="F262" t="str">
            <v>愛知県知多郡南知多町大字山海字高峯3-1</v>
          </cell>
          <cell r="G262" t="str">
            <v>選手・役員または技術役員 ※2</v>
          </cell>
          <cell r="H262" t="str">
            <v>不可</v>
          </cell>
          <cell r="I262" t="str">
            <v>不可</v>
          </cell>
          <cell r="J262">
            <v>29</v>
          </cell>
          <cell r="K262">
            <v>0</v>
          </cell>
          <cell r="L262">
            <v>0</v>
          </cell>
          <cell r="M262" t="str">
            <v>○</v>
          </cell>
          <cell r="N262" t="str">
            <v>○</v>
          </cell>
          <cell r="O262" t="str">
            <v>○</v>
          </cell>
          <cell r="P262">
            <v>115</v>
          </cell>
          <cell r="Q262">
            <v>1</v>
          </cell>
          <cell r="R262">
            <v>2</v>
          </cell>
          <cell r="S262">
            <v>2</v>
          </cell>
          <cell r="T262" t="str">
            <v>○</v>
          </cell>
        </row>
        <row r="263">
          <cell r="B263">
            <v>315</v>
          </cell>
          <cell r="C263" t="str">
            <v>知多</v>
          </cell>
          <cell r="D263" t="str">
            <v>知多郡</v>
          </cell>
          <cell r="E263" t="str">
            <v>オテル・ド・マロニエ内海温泉</v>
          </cell>
          <cell r="F263" t="str">
            <v>愛知県知多郡南知多町内海小桝40</v>
          </cell>
          <cell r="G263" t="str">
            <v>選手・役員または技術役員</v>
          </cell>
          <cell r="H263" t="str">
            <v>不可</v>
          </cell>
          <cell r="I263" t="str">
            <v>不可</v>
          </cell>
          <cell r="J263">
            <v>64</v>
          </cell>
          <cell r="K263">
            <v>30</v>
          </cell>
          <cell r="L263">
            <v>0.46875</v>
          </cell>
          <cell r="M263" t="str">
            <v>○</v>
          </cell>
          <cell r="N263" t="str">
            <v>○</v>
          </cell>
          <cell r="O263" t="str">
            <v>○</v>
          </cell>
          <cell r="P263">
            <v>76</v>
          </cell>
          <cell r="Q263">
            <v>1</v>
          </cell>
          <cell r="R263">
            <v>5</v>
          </cell>
          <cell r="S263" t="str">
            <v>提供未定</v>
          </cell>
          <cell r="T263" t="str">
            <v>○</v>
          </cell>
        </row>
        <row r="264">
          <cell r="B264">
            <v>316</v>
          </cell>
          <cell r="C264" t="str">
            <v>知多</v>
          </cell>
          <cell r="D264" t="str">
            <v>知多郡</v>
          </cell>
          <cell r="E264" t="str">
            <v>水軍伝説の風薫る宿 花乃丸</v>
          </cell>
          <cell r="F264" t="str">
            <v>愛知県知多郡南知多町大字豊浜字廻間17-18</v>
          </cell>
          <cell r="G264" t="str">
            <v>選手・役員または技術役員</v>
          </cell>
          <cell r="H264" t="str">
            <v>可</v>
          </cell>
          <cell r="I264" t="str">
            <v>可</v>
          </cell>
          <cell r="J264">
            <v>48</v>
          </cell>
          <cell r="K264">
            <v>48</v>
          </cell>
          <cell r="L264">
            <v>1</v>
          </cell>
          <cell r="M264" t="str">
            <v>○</v>
          </cell>
          <cell r="N264" t="str">
            <v>○</v>
          </cell>
          <cell r="O264" t="str">
            <v>○</v>
          </cell>
          <cell r="P264">
            <v>27</v>
          </cell>
          <cell r="Q264">
            <v>3</v>
          </cell>
          <cell r="R264">
            <v>7</v>
          </cell>
          <cell r="S264">
            <v>5</v>
          </cell>
          <cell r="T264" t="str">
            <v>○</v>
          </cell>
        </row>
        <row r="265">
          <cell r="B265">
            <v>317</v>
          </cell>
          <cell r="C265" t="str">
            <v>知多</v>
          </cell>
          <cell r="D265" t="str">
            <v>知多郡</v>
          </cell>
          <cell r="E265" t="str">
            <v xml:space="preserve">愛知県美浜自然の家  </v>
          </cell>
          <cell r="F265" t="str">
            <v>愛知県知多郡美浜町小野浦宮後1-1</v>
          </cell>
          <cell r="G265" t="str">
            <v>選手・役員または技術役員 ※2</v>
          </cell>
          <cell r="H265" t="str">
            <v>不可</v>
          </cell>
          <cell r="I265" t="str">
            <v>不可</v>
          </cell>
          <cell r="J265">
            <v>60</v>
          </cell>
          <cell r="K265">
            <v>0</v>
          </cell>
          <cell r="L265">
            <v>0</v>
          </cell>
          <cell r="M265" t="str">
            <v>○</v>
          </cell>
          <cell r="N265" t="str">
            <v>○</v>
          </cell>
          <cell r="O265" t="str">
            <v>○</v>
          </cell>
          <cell r="P265">
            <v>228</v>
          </cell>
          <cell r="Q265">
            <v>1</v>
          </cell>
          <cell r="R265">
            <v>16</v>
          </cell>
          <cell r="S265" t="str">
            <v>提供不可</v>
          </cell>
          <cell r="T265" t="str">
            <v>○</v>
          </cell>
        </row>
        <row r="266">
          <cell r="B266">
            <v>297</v>
          </cell>
          <cell r="C266" t="str">
            <v>知多</v>
          </cell>
          <cell r="D266" t="str">
            <v>知多市</v>
          </cell>
          <cell r="E266" t="str">
            <v>ビジネスホテル寺本</v>
          </cell>
          <cell r="F266" t="str">
            <v>愛知県知多市八幡字堀切67-1</v>
          </cell>
          <cell r="G266" t="str">
            <v>その他 ※1</v>
          </cell>
          <cell r="H266" t="str">
            <v>不可</v>
          </cell>
          <cell r="I266" t="str">
            <v>不可</v>
          </cell>
          <cell r="J266">
            <v>50</v>
          </cell>
          <cell r="K266">
            <v>0</v>
          </cell>
          <cell r="L266">
            <v>0</v>
          </cell>
          <cell r="M266" t="str">
            <v>○</v>
          </cell>
          <cell r="N266" t="str">
            <v>×</v>
          </cell>
          <cell r="O266" t="str">
            <v>×</v>
          </cell>
          <cell r="P266">
            <v>15</v>
          </cell>
          <cell r="Q266">
            <v>1</v>
          </cell>
          <cell r="R266">
            <v>0</v>
          </cell>
          <cell r="S266">
            <v>0</v>
          </cell>
          <cell r="T266" t="str">
            <v>×</v>
          </cell>
        </row>
        <row r="267">
          <cell r="B267">
            <v>292</v>
          </cell>
          <cell r="C267" t="str">
            <v>知多</v>
          </cell>
          <cell r="D267" t="str">
            <v>東海市</v>
          </cell>
          <cell r="E267" t="str">
            <v>マーレホテル東海</v>
          </cell>
          <cell r="F267" t="str">
            <v>愛知県東海市高横須賀町御洲浜17-1</v>
          </cell>
          <cell r="G267" t="str">
            <v>選手・役員または技術役員</v>
          </cell>
          <cell r="H267" t="str">
            <v>可</v>
          </cell>
          <cell r="I267" t="str">
            <v>可</v>
          </cell>
          <cell r="J267">
            <v>113</v>
          </cell>
          <cell r="K267">
            <v>113</v>
          </cell>
          <cell r="L267">
            <v>1</v>
          </cell>
          <cell r="M267" t="str">
            <v>○</v>
          </cell>
          <cell r="N267" t="str">
            <v>×</v>
          </cell>
          <cell r="O267" t="str">
            <v>○</v>
          </cell>
          <cell r="P267">
            <v>40</v>
          </cell>
          <cell r="Q267">
            <v>1</v>
          </cell>
          <cell r="R267">
            <v>0</v>
          </cell>
          <cell r="S267">
            <v>0</v>
          </cell>
          <cell r="T267" t="str">
            <v>○</v>
          </cell>
        </row>
        <row r="268">
          <cell r="B268">
            <v>293</v>
          </cell>
          <cell r="C268" t="str">
            <v>知多</v>
          </cell>
          <cell r="D268" t="str">
            <v>東海市</v>
          </cell>
          <cell r="E268" t="str">
            <v>ザ・カトーホテル</v>
          </cell>
          <cell r="F268" t="str">
            <v>愛知県東海市高横須賀町御洲浜18-1</v>
          </cell>
          <cell r="G268" t="str">
            <v>選手・役員または技術役員</v>
          </cell>
          <cell r="H268" t="str">
            <v>不可</v>
          </cell>
          <cell r="I268" t="str">
            <v>不可</v>
          </cell>
          <cell r="J268">
            <v>113</v>
          </cell>
          <cell r="K268">
            <v>84</v>
          </cell>
          <cell r="L268">
            <v>0.74336283185840712</v>
          </cell>
          <cell r="M268" t="str">
            <v>○</v>
          </cell>
          <cell r="N268" t="str">
            <v>×</v>
          </cell>
          <cell r="O268" t="str">
            <v>○</v>
          </cell>
          <cell r="P268">
            <v>30</v>
          </cell>
          <cell r="Q268">
            <v>1</v>
          </cell>
          <cell r="R268">
            <v>0</v>
          </cell>
          <cell r="S268">
            <v>0</v>
          </cell>
          <cell r="T268" t="str">
            <v>○</v>
          </cell>
        </row>
        <row r="269">
          <cell r="B269">
            <v>295</v>
          </cell>
          <cell r="C269" t="str">
            <v>知多</v>
          </cell>
          <cell r="D269" t="str">
            <v>東海市</v>
          </cell>
          <cell r="E269" t="str">
            <v>東海シティホテル</v>
          </cell>
          <cell r="F269" t="str">
            <v>愛知県東海市富木島町前田面5</v>
          </cell>
          <cell r="G269" t="str">
            <v>選手・役員または技術役員</v>
          </cell>
          <cell r="H269" t="str">
            <v>不可</v>
          </cell>
          <cell r="I269" t="str">
            <v>不可</v>
          </cell>
          <cell r="J269">
            <v>53</v>
          </cell>
          <cell r="K269">
            <v>39</v>
          </cell>
          <cell r="L269">
            <v>0.73584905660377353</v>
          </cell>
          <cell r="M269" t="str">
            <v>○</v>
          </cell>
          <cell r="N269" t="str">
            <v>○</v>
          </cell>
          <cell r="O269" t="str">
            <v>○</v>
          </cell>
          <cell r="P269">
            <v>50</v>
          </cell>
          <cell r="Q269">
            <v>0</v>
          </cell>
          <cell r="R269">
            <v>1</v>
          </cell>
          <cell r="S269">
            <v>1</v>
          </cell>
          <cell r="T269" t="str">
            <v>○</v>
          </cell>
        </row>
        <row r="270">
          <cell r="B270">
            <v>296</v>
          </cell>
          <cell r="C270" t="str">
            <v>知多</v>
          </cell>
          <cell r="D270" t="str">
            <v>東海市</v>
          </cell>
          <cell r="E270" t="str">
            <v>名和プラザホテル</v>
          </cell>
          <cell r="F270" t="str">
            <v>愛知県東海市名和町1-51</v>
          </cell>
          <cell r="G270" t="str">
            <v>選手・役員または技術役員</v>
          </cell>
          <cell r="H270" t="str">
            <v>不可</v>
          </cell>
          <cell r="I270" t="str">
            <v>可</v>
          </cell>
          <cell r="J270">
            <v>66</v>
          </cell>
          <cell r="K270">
            <v>21</v>
          </cell>
          <cell r="L270">
            <v>0.31818181818181818</v>
          </cell>
          <cell r="M270" t="str">
            <v>○</v>
          </cell>
          <cell r="N270" t="str">
            <v>×</v>
          </cell>
          <cell r="O270" t="str">
            <v>×</v>
          </cell>
          <cell r="P270">
            <v>20</v>
          </cell>
          <cell r="Q270">
            <v>0</v>
          </cell>
          <cell r="R270">
            <v>0</v>
          </cell>
          <cell r="S270">
            <v>0</v>
          </cell>
          <cell r="T270" t="str">
            <v>×</v>
          </cell>
        </row>
        <row r="271">
          <cell r="B271">
            <v>1002</v>
          </cell>
          <cell r="C271" t="str">
            <v>知多</v>
          </cell>
          <cell r="D271" t="str">
            <v>東海市</v>
          </cell>
          <cell r="E271" t="str">
            <v>ルートイングランティア東海Spa &amp; Relaxation</v>
          </cell>
          <cell r="F271" t="str">
            <v>愛知県東海市荒尾町丸根1-21</v>
          </cell>
          <cell r="G271" t="str">
            <v>選手・役員または技術役員</v>
          </cell>
          <cell r="H271" t="str">
            <v>不可</v>
          </cell>
          <cell r="I271" t="str">
            <v>可</v>
          </cell>
          <cell r="J271">
            <v>212</v>
          </cell>
          <cell r="K271">
            <v>90</v>
          </cell>
          <cell r="L271">
            <v>0.42452830188679247</v>
          </cell>
          <cell r="M271" t="str">
            <v>○</v>
          </cell>
          <cell r="N271" t="str">
            <v>○</v>
          </cell>
          <cell r="O271" t="str">
            <v>○</v>
          </cell>
          <cell r="P271">
            <v>159</v>
          </cell>
          <cell r="Q271">
            <v>1</v>
          </cell>
          <cell r="R271">
            <v>0</v>
          </cell>
          <cell r="S271">
            <v>0</v>
          </cell>
          <cell r="T271" t="str">
            <v>○</v>
          </cell>
        </row>
        <row r="272">
          <cell r="B272">
            <v>319</v>
          </cell>
          <cell r="C272" t="str">
            <v>知多</v>
          </cell>
          <cell r="D272" t="str">
            <v>半田市</v>
          </cell>
          <cell r="E272" t="str">
            <v>ホテルルートイン半田亀崎</v>
          </cell>
          <cell r="F272" t="str">
            <v>愛知県半田市亀崎町9-141-2</v>
          </cell>
          <cell r="G272" t="str">
            <v>選手・役員または技術役員</v>
          </cell>
          <cell r="H272" t="str">
            <v>不可</v>
          </cell>
          <cell r="I272" t="str">
            <v>可</v>
          </cell>
          <cell r="J272">
            <v>135</v>
          </cell>
          <cell r="K272">
            <v>72</v>
          </cell>
          <cell r="L272">
            <v>0.53333333333333333</v>
          </cell>
          <cell r="M272" t="str">
            <v>○</v>
          </cell>
          <cell r="N272" t="str">
            <v>×</v>
          </cell>
          <cell r="O272" t="str">
            <v>○</v>
          </cell>
          <cell r="P272">
            <v>59</v>
          </cell>
          <cell r="Q272">
            <v>1</v>
          </cell>
          <cell r="R272">
            <v>0</v>
          </cell>
          <cell r="S272">
            <v>0</v>
          </cell>
          <cell r="T272" t="str">
            <v>○</v>
          </cell>
        </row>
        <row r="273">
          <cell r="B273">
            <v>320</v>
          </cell>
          <cell r="C273" t="str">
            <v>知多</v>
          </cell>
          <cell r="D273" t="str">
            <v>半田市</v>
          </cell>
          <cell r="E273" t="str">
            <v>アズイン半田インター</v>
          </cell>
          <cell r="F273" t="str">
            <v>愛知県半田市宮本町6-216-1</v>
          </cell>
          <cell r="G273" t="str">
            <v>選手・役員または技術役員</v>
          </cell>
          <cell r="H273" t="str">
            <v>不可</v>
          </cell>
          <cell r="I273" t="str">
            <v>可</v>
          </cell>
          <cell r="J273">
            <v>127</v>
          </cell>
          <cell r="K273">
            <v>55</v>
          </cell>
          <cell r="L273">
            <v>0.43307086614173229</v>
          </cell>
          <cell r="M273" t="str">
            <v>○</v>
          </cell>
          <cell r="N273" t="str">
            <v>×</v>
          </cell>
          <cell r="O273" t="str">
            <v>×</v>
          </cell>
          <cell r="P273">
            <v>50</v>
          </cell>
          <cell r="Q273">
            <v>0</v>
          </cell>
          <cell r="R273">
            <v>0</v>
          </cell>
          <cell r="S273">
            <v>0</v>
          </cell>
          <cell r="T273" t="str">
            <v>○</v>
          </cell>
        </row>
        <row r="274">
          <cell r="B274">
            <v>321</v>
          </cell>
          <cell r="C274" t="str">
            <v>知多</v>
          </cell>
          <cell r="D274" t="str">
            <v>半田市</v>
          </cell>
          <cell r="E274" t="str">
            <v>半田ステーションホテル</v>
          </cell>
          <cell r="F274" t="str">
            <v xml:space="preserve">愛知県半田市宮路町511 </v>
          </cell>
          <cell r="G274" t="str">
            <v>選手・役員または技術役員</v>
          </cell>
          <cell r="H274" t="str">
            <v>不可</v>
          </cell>
          <cell r="I274" t="str">
            <v>可</v>
          </cell>
          <cell r="J274">
            <v>52</v>
          </cell>
          <cell r="K274">
            <v>44</v>
          </cell>
          <cell r="L274">
            <v>0.84615384615384615</v>
          </cell>
          <cell r="M274" t="str">
            <v>○</v>
          </cell>
          <cell r="N274" t="str">
            <v>×</v>
          </cell>
          <cell r="O274" t="str">
            <v>×</v>
          </cell>
          <cell r="P274">
            <v>25</v>
          </cell>
          <cell r="Q274">
            <v>0</v>
          </cell>
          <cell r="R274">
            <v>0</v>
          </cell>
          <cell r="S274">
            <v>0</v>
          </cell>
          <cell r="T274" t="str">
            <v>○</v>
          </cell>
        </row>
        <row r="275">
          <cell r="B275">
            <v>322</v>
          </cell>
          <cell r="C275" t="str">
            <v>知多</v>
          </cell>
          <cell r="D275" t="str">
            <v>半田市</v>
          </cell>
          <cell r="E275" t="str">
            <v>名鉄イン知多半田駅前</v>
          </cell>
          <cell r="F275" t="str">
            <v>愛知県半田市更生町1丁目120番地2</v>
          </cell>
          <cell r="G275" t="str">
            <v>選手・役員または技術役員</v>
          </cell>
          <cell r="H275" t="str">
            <v>不可</v>
          </cell>
          <cell r="I275" t="str">
            <v>可</v>
          </cell>
          <cell r="J275">
            <v>171</v>
          </cell>
          <cell r="K275">
            <v>30</v>
          </cell>
          <cell r="L275">
            <v>0.17543859649122806</v>
          </cell>
          <cell r="M275" t="str">
            <v>○</v>
          </cell>
          <cell r="N275" t="str">
            <v>×</v>
          </cell>
          <cell r="O275" t="str">
            <v>×</v>
          </cell>
          <cell r="P275">
            <v>40</v>
          </cell>
          <cell r="Q275">
            <v>0</v>
          </cell>
          <cell r="R275">
            <v>0</v>
          </cell>
          <cell r="S275">
            <v>0</v>
          </cell>
          <cell r="T275" t="str">
            <v>×</v>
          </cell>
        </row>
        <row r="276">
          <cell r="B276">
            <v>323</v>
          </cell>
          <cell r="C276" t="str">
            <v>知多</v>
          </cell>
          <cell r="D276" t="str">
            <v>半田市</v>
          </cell>
          <cell r="E276" t="str">
            <v>センターワンホテル半田</v>
          </cell>
          <cell r="F276" t="str">
            <v>愛知県半田市更生町1-124-2</v>
          </cell>
          <cell r="G276" t="str">
            <v>選手・役員または技術役員</v>
          </cell>
          <cell r="H276" t="str">
            <v>不可</v>
          </cell>
          <cell r="I276" t="str">
            <v>可</v>
          </cell>
          <cell r="J276">
            <v>150</v>
          </cell>
          <cell r="K276">
            <v>50</v>
          </cell>
          <cell r="L276">
            <v>0.33333333333333331</v>
          </cell>
          <cell r="M276" t="str">
            <v>○</v>
          </cell>
          <cell r="N276" t="str">
            <v>×</v>
          </cell>
          <cell r="O276" t="str">
            <v>×</v>
          </cell>
          <cell r="P276">
            <v>62</v>
          </cell>
          <cell r="Q276">
            <v>0</v>
          </cell>
          <cell r="R276">
            <v>0</v>
          </cell>
          <cell r="S276">
            <v>0</v>
          </cell>
          <cell r="T276" t="str">
            <v>×</v>
          </cell>
        </row>
        <row r="277">
          <cell r="B277">
            <v>1001</v>
          </cell>
          <cell r="C277" t="str">
            <v>岡崎</v>
          </cell>
          <cell r="D277" t="str">
            <v>岡崎市</v>
          </cell>
          <cell r="E277" t="str">
            <v>天然温泉　葵の湯　スーパーホテル岡崎</v>
          </cell>
          <cell r="F277" t="str">
            <v>愛知県岡崎市祐金町113-1</v>
          </cell>
          <cell r="G277" t="str">
            <v>選手・役員または技術役員</v>
          </cell>
          <cell r="H277" t="str">
            <v>不可</v>
          </cell>
          <cell r="I277" t="str">
            <v>不可</v>
          </cell>
          <cell r="J277">
            <v>105</v>
          </cell>
          <cell r="K277">
            <v>30</v>
          </cell>
          <cell r="L277">
            <v>0.2857142857142857</v>
          </cell>
          <cell r="M277" t="str">
            <v>○</v>
          </cell>
          <cell r="N277" t="str">
            <v>×</v>
          </cell>
          <cell r="O277" t="str">
            <v>×</v>
          </cell>
          <cell r="P277">
            <v>20</v>
          </cell>
          <cell r="Q277">
            <v>0</v>
          </cell>
          <cell r="R277">
            <v>0</v>
          </cell>
          <cell r="S277">
            <v>0</v>
          </cell>
          <cell r="T277" t="str">
            <v>×</v>
          </cell>
        </row>
        <row r="278">
          <cell r="B278">
            <v>324</v>
          </cell>
          <cell r="C278" t="str">
            <v>知多</v>
          </cell>
          <cell r="D278" t="str">
            <v>半田市</v>
          </cell>
          <cell r="E278" t="str">
            <v>カンデオホテルズ半田</v>
          </cell>
          <cell r="F278" t="str">
            <v>愛知県半田市天王町1-50-8</v>
          </cell>
          <cell r="G278" t="str">
            <v>選手・役員または技術役員</v>
          </cell>
          <cell r="H278" t="str">
            <v>不可</v>
          </cell>
          <cell r="I278" t="str">
            <v>不可</v>
          </cell>
          <cell r="J278">
            <v>126</v>
          </cell>
          <cell r="K278">
            <v>64</v>
          </cell>
          <cell r="L278">
            <v>0.50793650793650791</v>
          </cell>
          <cell r="M278" t="str">
            <v>○</v>
          </cell>
          <cell r="N278" t="str">
            <v>×</v>
          </cell>
          <cell r="O278" t="str">
            <v>×</v>
          </cell>
          <cell r="P278">
            <v>60</v>
          </cell>
          <cell r="Q278">
            <v>0</v>
          </cell>
          <cell r="R278">
            <v>0</v>
          </cell>
          <cell r="S278">
            <v>0</v>
          </cell>
          <cell r="T278" t="str">
            <v>×</v>
          </cell>
        </row>
        <row r="279">
          <cell r="B279">
            <v>1003</v>
          </cell>
          <cell r="C279" t="str">
            <v>東三河</v>
          </cell>
          <cell r="D279" t="str">
            <v>新城市</v>
          </cell>
          <cell r="E279" t="str">
            <v>ホテルルートイン新城</v>
          </cell>
          <cell r="F279" t="str">
            <v>愛知県新城市字的場25-12</v>
          </cell>
          <cell r="G279" t="str">
            <v>選手・役員または技術役員</v>
          </cell>
          <cell r="H279" t="str">
            <v>不可</v>
          </cell>
          <cell r="I279" t="str">
            <v>可</v>
          </cell>
          <cell r="J279">
            <v>184</v>
          </cell>
          <cell r="K279">
            <v>80</v>
          </cell>
          <cell r="L279">
            <v>0.43478260869565216</v>
          </cell>
          <cell r="M279" t="str">
            <v>○</v>
          </cell>
          <cell r="N279" t="str">
            <v>×</v>
          </cell>
          <cell r="O279" t="str">
            <v>○</v>
          </cell>
          <cell r="P279">
            <v>92</v>
          </cell>
          <cell r="Q279">
            <v>1</v>
          </cell>
          <cell r="R279">
            <v>0</v>
          </cell>
          <cell r="S279">
            <v>0</v>
          </cell>
          <cell r="T279" t="str">
            <v>○</v>
          </cell>
        </row>
        <row r="280">
          <cell r="B280">
            <v>1004</v>
          </cell>
          <cell r="C280" t="str">
            <v>名古屋</v>
          </cell>
          <cell r="D280" t="str">
            <v>名古屋市</v>
          </cell>
          <cell r="E280" t="str">
            <v>モンブランホテルラフィネ名古屋駅前</v>
          </cell>
          <cell r="F280" t="str">
            <v>愛知県名古屋市中村区名駅3-13-27</v>
          </cell>
          <cell r="G280" t="str">
            <v>NOC</v>
          </cell>
          <cell r="H280" t="str">
            <v>不可</v>
          </cell>
          <cell r="I280" t="str">
            <v>可</v>
          </cell>
          <cell r="J280">
            <v>239</v>
          </cell>
          <cell r="K280">
            <v>91</v>
          </cell>
          <cell r="L280">
            <v>0.3807531380753138</v>
          </cell>
          <cell r="M280" t="str">
            <v>○</v>
          </cell>
          <cell r="N280" t="str">
            <v>○</v>
          </cell>
          <cell r="O280" t="str">
            <v>○</v>
          </cell>
          <cell r="P280">
            <v>69</v>
          </cell>
          <cell r="Q280">
            <v>0</v>
          </cell>
          <cell r="R280">
            <v>1</v>
          </cell>
          <cell r="S280" t="str">
            <v>提供未定</v>
          </cell>
          <cell r="T280" t="str">
            <v>×</v>
          </cell>
        </row>
        <row r="281">
          <cell r="B281">
            <v>1005</v>
          </cell>
          <cell r="C281" t="str">
            <v>名古屋</v>
          </cell>
          <cell r="D281" t="str">
            <v>名古屋市</v>
          </cell>
          <cell r="E281" t="str">
            <v>ホテルオリエンタルエクスプレス名古屋栄</v>
          </cell>
          <cell r="F281" t="str">
            <v>愛知県名古屋市中区錦3-16-30</v>
          </cell>
          <cell r="G281" t="str">
            <v>その他 ※1</v>
          </cell>
          <cell r="H281" t="str">
            <v>不可</v>
          </cell>
          <cell r="I281" t="str">
            <v>可</v>
          </cell>
          <cell r="J281">
            <v>252</v>
          </cell>
          <cell r="K281">
            <v>40</v>
          </cell>
          <cell r="L281">
            <v>0.15873015873015872</v>
          </cell>
          <cell r="M281" t="str">
            <v>○</v>
          </cell>
          <cell r="N281" t="str">
            <v>×</v>
          </cell>
          <cell r="O281" t="str">
            <v>×</v>
          </cell>
          <cell r="P281">
            <v>60</v>
          </cell>
          <cell r="Q281">
            <v>0</v>
          </cell>
          <cell r="R281">
            <v>0</v>
          </cell>
          <cell r="S281">
            <v>0</v>
          </cell>
          <cell r="T281" t="str">
            <v>×</v>
          </cell>
        </row>
        <row r="282">
          <cell r="B282">
            <v>1006</v>
          </cell>
          <cell r="C282" t="str">
            <v>名古屋</v>
          </cell>
          <cell r="D282" t="str">
            <v>名古屋市</v>
          </cell>
          <cell r="E282" t="str">
            <v>相鉄フレッサイン名古屋駅新幹線口</v>
          </cell>
          <cell r="F282" t="str">
            <v>愛知県名古屋市中村区椿町19-16</v>
          </cell>
          <cell r="G282" t="str">
            <v>メディア</v>
          </cell>
          <cell r="H282" t="str">
            <v>不可</v>
          </cell>
          <cell r="I282" t="str">
            <v>可</v>
          </cell>
          <cell r="J282">
            <v>229</v>
          </cell>
          <cell r="K282">
            <v>100</v>
          </cell>
          <cell r="L282">
            <v>0.4366812227074236</v>
          </cell>
          <cell r="M282" t="str">
            <v>○</v>
          </cell>
          <cell r="N282" t="str">
            <v>×</v>
          </cell>
          <cell r="O282" t="str">
            <v>×</v>
          </cell>
          <cell r="P282">
            <v>35</v>
          </cell>
          <cell r="Q282">
            <v>0</v>
          </cell>
          <cell r="R282">
            <v>0</v>
          </cell>
          <cell r="S282">
            <v>0</v>
          </cell>
          <cell r="T282" t="str">
            <v>×</v>
          </cell>
        </row>
        <row r="283">
          <cell r="B283">
            <v>1007</v>
          </cell>
          <cell r="C283" t="str">
            <v>名古屋</v>
          </cell>
          <cell r="D283" t="str">
            <v>犬山市</v>
          </cell>
          <cell r="E283" t="str">
            <v>ホテルミュースタイル犬山エクスペリエンス</v>
          </cell>
          <cell r="F283" t="str">
            <v>愛知県犬山市犬山富士見町16-2</v>
          </cell>
          <cell r="G283" t="str">
            <v>選手・役員</v>
          </cell>
          <cell r="H283" t="str">
            <v>可</v>
          </cell>
          <cell r="I283" t="str">
            <v>可</v>
          </cell>
          <cell r="J283">
            <v>118</v>
          </cell>
          <cell r="K283">
            <v>118</v>
          </cell>
          <cell r="L283">
            <v>1</v>
          </cell>
          <cell r="M283" t="str">
            <v>○</v>
          </cell>
          <cell r="N283" t="str">
            <v>×</v>
          </cell>
          <cell r="O283" t="str">
            <v>×</v>
          </cell>
          <cell r="P283">
            <v>72</v>
          </cell>
          <cell r="Q283">
            <v>1</v>
          </cell>
          <cell r="R283">
            <v>1</v>
          </cell>
          <cell r="S283" t="str">
            <v>提供未定</v>
          </cell>
          <cell r="T283" t="str">
            <v>○</v>
          </cell>
        </row>
        <row r="284">
          <cell r="B284">
            <v>1008</v>
          </cell>
          <cell r="C284" t="str">
            <v>名古屋</v>
          </cell>
          <cell r="D284" t="str">
            <v>犬山市</v>
          </cell>
          <cell r="E284" t="str">
            <v>ホテルインディゴ犬山有楽苑</v>
          </cell>
          <cell r="F284" t="str">
            <v>開業前のため調査未実施</v>
          </cell>
          <cell r="G284" t="str">
            <v>技術役員（TD/ITO/NTO）</v>
          </cell>
          <cell r="H284" t="str">
            <v>不可</v>
          </cell>
          <cell r="I284" t="str">
            <v>不可</v>
          </cell>
          <cell r="J284">
            <v>156</v>
          </cell>
          <cell r="K284" t="str">
            <v>-</v>
          </cell>
          <cell r="L284" t="str">
            <v>-</v>
          </cell>
          <cell r="M284" t="str">
            <v>-</v>
          </cell>
          <cell r="N284" t="str">
            <v>-</v>
          </cell>
          <cell r="O284" t="str">
            <v>-</v>
          </cell>
          <cell r="P284" t="str">
            <v>-</v>
          </cell>
          <cell r="Q284" t="str">
            <v>-</v>
          </cell>
          <cell r="R284">
            <v>4</v>
          </cell>
          <cell r="S284" t="str">
            <v>提供未定</v>
          </cell>
          <cell r="T284" t="str">
            <v>○</v>
          </cell>
        </row>
        <row r="285">
          <cell r="B285">
            <v>1009</v>
          </cell>
          <cell r="C285" t="str">
            <v>名古屋</v>
          </cell>
          <cell r="D285" t="str">
            <v>犬山市</v>
          </cell>
          <cell r="E285" t="str">
            <v>灯屋　迎帆楼</v>
          </cell>
          <cell r="F285" t="str">
            <v>愛知県犬山市犬山北古券41-6</v>
          </cell>
          <cell r="G285" t="str">
            <v>技術役員（TD/ITO/NTO）</v>
          </cell>
          <cell r="H285" t="str">
            <v>可</v>
          </cell>
          <cell r="I285" t="str">
            <v>不可</v>
          </cell>
          <cell r="J285">
            <v>10</v>
          </cell>
          <cell r="K285">
            <v>10</v>
          </cell>
          <cell r="L285">
            <v>1</v>
          </cell>
          <cell r="M285" t="str">
            <v>○</v>
          </cell>
          <cell r="N285" t="str">
            <v>○</v>
          </cell>
          <cell r="O285" t="str">
            <v>○</v>
          </cell>
          <cell r="P285">
            <v>40</v>
          </cell>
          <cell r="Q285">
            <v>1</v>
          </cell>
          <cell r="R285">
            <v>0</v>
          </cell>
          <cell r="S285">
            <v>0</v>
          </cell>
          <cell r="T285" t="str">
            <v>×</v>
          </cell>
        </row>
        <row r="286">
          <cell r="B286">
            <v>1010</v>
          </cell>
          <cell r="C286" t="str">
            <v>岡崎</v>
          </cell>
          <cell r="D286" t="str">
            <v>幸田郡</v>
          </cell>
          <cell r="E286" t="str">
            <v>天の丸</v>
          </cell>
          <cell r="F286" t="str">
            <v>愛知県額田郡幸田町大字荻字遠峰10</v>
          </cell>
          <cell r="G286" t="str">
            <v>選手・役員または技術役員</v>
          </cell>
          <cell r="H286" t="str">
            <v>可</v>
          </cell>
          <cell r="I286" t="str">
            <v>可</v>
          </cell>
          <cell r="J286">
            <v>37</v>
          </cell>
          <cell r="K286">
            <v>37</v>
          </cell>
          <cell r="L286">
            <v>1</v>
          </cell>
          <cell r="M286" t="str">
            <v>○</v>
          </cell>
          <cell r="N286" t="str">
            <v>○</v>
          </cell>
          <cell r="O286" t="str">
            <v>○</v>
          </cell>
          <cell r="P286">
            <v>30</v>
          </cell>
          <cell r="Q286">
            <v>2</v>
          </cell>
          <cell r="R286">
            <v>12</v>
          </cell>
          <cell r="S286">
            <v>12</v>
          </cell>
          <cell r="T286" t="str">
            <v>○</v>
          </cell>
        </row>
        <row r="287">
          <cell r="B287">
            <v>1011</v>
          </cell>
          <cell r="C287" t="str">
            <v>名古屋</v>
          </cell>
          <cell r="D287" t="str">
            <v>名古屋市</v>
          </cell>
          <cell r="E287" t="str">
            <v>コンフォートホテル名古屋金山</v>
          </cell>
          <cell r="F287" t="str">
            <v>愛知県名古屋市熱田区波寄町24-14</v>
          </cell>
          <cell r="G287" t="str">
            <v>メディア</v>
          </cell>
          <cell r="H287" t="str">
            <v>不可</v>
          </cell>
          <cell r="I287" t="str">
            <v>可</v>
          </cell>
          <cell r="J287">
            <v>207</v>
          </cell>
          <cell r="K287">
            <v>50</v>
          </cell>
          <cell r="L287">
            <v>0.24154589371980675</v>
          </cell>
          <cell r="M287" t="str">
            <v>○</v>
          </cell>
          <cell r="N287" t="str">
            <v>×</v>
          </cell>
          <cell r="O287" t="str">
            <v>×</v>
          </cell>
          <cell r="P287">
            <v>81</v>
          </cell>
          <cell r="Q287">
            <v>0</v>
          </cell>
          <cell r="R287">
            <v>0</v>
          </cell>
          <cell r="S287">
            <v>0</v>
          </cell>
          <cell r="T287" t="str">
            <v>×</v>
          </cell>
        </row>
        <row r="288">
          <cell r="B288">
            <v>1012</v>
          </cell>
          <cell r="C288" t="str">
            <v>東三河</v>
          </cell>
          <cell r="D288" t="str">
            <v>蒲郡市</v>
          </cell>
          <cell r="E288" t="str">
            <v>ホテルたつき</v>
          </cell>
          <cell r="F288" t="str">
            <v>愛知県蒲郡市西浦町大山25</v>
          </cell>
          <cell r="G288" t="str">
            <v>選手・役員または技術役員</v>
          </cell>
          <cell r="H288" t="str">
            <v>可</v>
          </cell>
          <cell r="I288" t="str">
            <v>可</v>
          </cell>
          <cell r="J288">
            <v>73</v>
          </cell>
          <cell r="K288">
            <v>61</v>
          </cell>
          <cell r="L288">
            <v>0.83561643835616439</v>
          </cell>
          <cell r="M288" t="str">
            <v>○</v>
          </cell>
          <cell r="N288" t="str">
            <v>○</v>
          </cell>
          <cell r="O288" t="str">
            <v>○</v>
          </cell>
          <cell r="P288">
            <v>250</v>
          </cell>
          <cell r="Q288">
            <v>3</v>
          </cell>
          <cell r="R288">
            <v>18</v>
          </cell>
          <cell r="S288">
            <v>18</v>
          </cell>
          <cell r="T288" t="str">
            <v>○</v>
          </cell>
        </row>
        <row r="289">
          <cell r="B289">
            <v>1013</v>
          </cell>
          <cell r="C289" t="str">
            <v>東三河</v>
          </cell>
          <cell r="D289" t="str">
            <v>蒲郡市</v>
          </cell>
          <cell r="E289" t="str">
            <v>西浦グランドホテル吉慶</v>
          </cell>
          <cell r="F289" t="str">
            <v>愛知県蒲郡市西浦町塩柄３</v>
          </cell>
          <cell r="G289" t="str">
            <v>選手・役員または技術役員</v>
          </cell>
          <cell r="H289" t="str">
            <v>可</v>
          </cell>
          <cell r="I289" t="str">
            <v>可</v>
          </cell>
          <cell r="J289">
            <v>42</v>
          </cell>
          <cell r="K289">
            <v>42</v>
          </cell>
          <cell r="L289">
            <v>1</v>
          </cell>
          <cell r="M289" t="str">
            <v>○</v>
          </cell>
          <cell r="N289" t="str">
            <v>○</v>
          </cell>
          <cell r="O289" t="str">
            <v>○</v>
          </cell>
          <cell r="P289">
            <v>70</v>
          </cell>
          <cell r="Q289">
            <v>2</v>
          </cell>
          <cell r="R289">
            <v>6</v>
          </cell>
          <cell r="S289">
            <v>6</v>
          </cell>
          <cell r="T289" t="str">
            <v>○</v>
          </cell>
        </row>
        <row r="290">
          <cell r="B290">
            <v>1015</v>
          </cell>
          <cell r="C290" t="str">
            <v>東三河</v>
          </cell>
          <cell r="D290" t="str">
            <v>蒲郡市</v>
          </cell>
          <cell r="E290" t="str">
            <v>ホテル三河　海陽閣</v>
          </cell>
          <cell r="F290" t="str">
            <v>愛知県蒲郡市三谷町南山1-69</v>
          </cell>
          <cell r="G290" t="str">
            <v>その他 ※1</v>
          </cell>
          <cell r="H290" t="str">
            <v>可</v>
          </cell>
          <cell r="I290" t="str">
            <v>不可</v>
          </cell>
          <cell r="J290">
            <v>30</v>
          </cell>
          <cell r="K290">
            <v>30</v>
          </cell>
          <cell r="L290">
            <v>1</v>
          </cell>
          <cell r="M290" t="str">
            <v>○</v>
          </cell>
          <cell r="N290" t="str">
            <v>○</v>
          </cell>
          <cell r="O290" t="str">
            <v>○</v>
          </cell>
          <cell r="P290">
            <v>30</v>
          </cell>
          <cell r="Q290">
            <v>1</v>
          </cell>
          <cell r="R290">
            <v>6</v>
          </cell>
          <cell r="S290">
            <v>5</v>
          </cell>
          <cell r="T290" t="str">
            <v>○</v>
          </cell>
        </row>
        <row r="291">
          <cell r="B291">
            <v>1016</v>
          </cell>
          <cell r="C291" t="str">
            <v>名古屋</v>
          </cell>
          <cell r="D291" t="str">
            <v>名古屋市</v>
          </cell>
          <cell r="E291" t="str">
            <v>くれたけインプレミアム名駅南</v>
          </cell>
          <cell r="F291" t="str">
            <v>愛知県名古屋市中村区名駅南1-23-9</v>
          </cell>
          <cell r="G291" t="str">
            <v>NOC</v>
          </cell>
          <cell r="H291" t="str">
            <v>不可</v>
          </cell>
          <cell r="I291" t="str">
            <v>不可</v>
          </cell>
          <cell r="J291">
            <v>147</v>
          </cell>
          <cell r="K291">
            <v>47</v>
          </cell>
          <cell r="L291">
            <v>0.31972789115646261</v>
          </cell>
          <cell r="M291" t="str">
            <v>○</v>
          </cell>
          <cell r="N291" t="str">
            <v>×</v>
          </cell>
          <cell r="O291" t="str">
            <v>×</v>
          </cell>
          <cell r="P291">
            <v>46</v>
          </cell>
          <cell r="Q291">
            <v>0</v>
          </cell>
          <cell r="R291">
            <v>0</v>
          </cell>
          <cell r="S291">
            <v>0</v>
          </cell>
          <cell r="T291" t="str">
            <v>×</v>
          </cell>
        </row>
        <row r="292">
          <cell r="B292">
            <v>1017</v>
          </cell>
          <cell r="C292" t="str">
            <v>名古屋</v>
          </cell>
          <cell r="D292" t="str">
            <v>名古屋市</v>
          </cell>
          <cell r="E292" t="str">
            <v>HOTEL LiVEMAX名古屋新幹線口</v>
          </cell>
          <cell r="F292" t="str">
            <v>愛知県名古屋市中村区則武1-8-3</v>
          </cell>
          <cell r="G292" t="str">
            <v>技術役員（TD/ITO/NTO）</v>
          </cell>
          <cell r="H292" t="str">
            <v>可</v>
          </cell>
          <cell r="I292" t="str">
            <v>可</v>
          </cell>
          <cell r="J292">
            <v>102</v>
          </cell>
          <cell r="K292">
            <v>102</v>
          </cell>
          <cell r="L292">
            <v>1</v>
          </cell>
          <cell r="M292" t="str">
            <v>○</v>
          </cell>
          <cell r="N292" t="str">
            <v>○</v>
          </cell>
          <cell r="O292" t="str">
            <v>○</v>
          </cell>
          <cell r="P292">
            <v>51</v>
          </cell>
          <cell r="Q292">
            <v>0</v>
          </cell>
          <cell r="R292">
            <v>0</v>
          </cell>
          <cell r="S292">
            <v>0</v>
          </cell>
          <cell r="T292" t="str">
            <v>×</v>
          </cell>
        </row>
        <row r="293">
          <cell r="B293">
            <v>1018</v>
          </cell>
          <cell r="C293" t="str">
            <v>名古屋</v>
          </cell>
          <cell r="D293" t="str">
            <v>名古屋市</v>
          </cell>
          <cell r="E293" t="str">
            <v>アパホテル＜名古屋駅前＞</v>
          </cell>
          <cell r="F293" t="str">
            <v>愛知県名古屋市中村区則武1-5-3</v>
          </cell>
          <cell r="G293" t="str">
            <v>技術役員（TD/ITO/NTO）</v>
          </cell>
          <cell r="H293" t="str">
            <v>可</v>
          </cell>
          <cell r="I293" t="str">
            <v>可</v>
          </cell>
          <cell r="J293">
            <v>403</v>
          </cell>
          <cell r="K293">
            <v>403</v>
          </cell>
          <cell r="L293">
            <v>1</v>
          </cell>
          <cell r="M293" t="str">
            <v>○</v>
          </cell>
          <cell r="N293" t="str">
            <v>×</v>
          </cell>
          <cell r="O293" t="str">
            <v>×</v>
          </cell>
          <cell r="P293">
            <v>83</v>
          </cell>
          <cell r="Q293">
            <v>1</v>
          </cell>
          <cell r="R293">
            <v>0</v>
          </cell>
          <cell r="S293">
            <v>0</v>
          </cell>
          <cell r="T293" t="str">
            <v>×</v>
          </cell>
        </row>
        <row r="294">
          <cell r="B294">
            <v>1021</v>
          </cell>
          <cell r="C294" t="str">
            <v>名古屋</v>
          </cell>
          <cell r="D294" t="str">
            <v>名古屋市</v>
          </cell>
          <cell r="E294" t="str">
            <v>コートヤードバイマリオット名古屋</v>
          </cell>
          <cell r="F294" t="str">
            <v>開業前のため調査未実施</v>
          </cell>
          <cell r="G294" t="str">
            <v>OCAファミリー・スポンサー</v>
          </cell>
          <cell r="H294" t="str">
            <v>不可</v>
          </cell>
          <cell r="I294" t="str">
            <v>可</v>
          </cell>
          <cell r="J294">
            <v>360</v>
          </cell>
          <cell r="K294">
            <v>252</v>
          </cell>
          <cell r="L294">
            <v>0.7</v>
          </cell>
          <cell r="M294" t="str">
            <v>○</v>
          </cell>
          <cell r="N294" t="str">
            <v>○</v>
          </cell>
          <cell r="O294" t="str">
            <v>○</v>
          </cell>
          <cell r="P294">
            <v>100</v>
          </cell>
          <cell r="Q294">
            <v>2</v>
          </cell>
          <cell r="R294">
            <v>6</v>
          </cell>
          <cell r="S294">
            <v>6</v>
          </cell>
          <cell r="T294" t="str">
            <v>○</v>
          </cell>
        </row>
        <row r="295">
          <cell r="B295">
            <v>1022</v>
          </cell>
          <cell r="C295" t="str">
            <v>名古屋</v>
          </cell>
          <cell r="D295" t="str">
            <v>一宮市</v>
          </cell>
          <cell r="E295" t="str">
            <v>一宮シティホテルbyREIAH HOTELS</v>
          </cell>
          <cell r="F295" t="str">
            <v>愛知県一宮市泉2-21-1</v>
          </cell>
          <cell r="G295" t="str">
            <v>その他 ※1</v>
          </cell>
          <cell r="H295" t="str">
            <v>不可</v>
          </cell>
          <cell r="I295" t="str">
            <v>可</v>
          </cell>
          <cell r="J295">
            <v>84</v>
          </cell>
          <cell r="K295">
            <v>0</v>
          </cell>
          <cell r="L295">
            <v>0</v>
          </cell>
          <cell r="M295" t="str">
            <v>○</v>
          </cell>
          <cell r="N295" t="str">
            <v>×</v>
          </cell>
          <cell r="O295" t="str">
            <v>×</v>
          </cell>
          <cell r="P295">
            <v>20</v>
          </cell>
          <cell r="Q295">
            <v>0</v>
          </cell>
          <cell r="R295">
            <v>0</v>
          </cell>
          <cell r="S295">
            <v>0</v>
          </cell>
          <cell r="T295" t="str">
            <v>×</v>
          </cell>
        </row>
        <row r="296">
          <cell r="B296">
            <v>1023</v>
          </cell>
          <cell r="C296" t="str">
            <v>名古屋</v>
          </cell>
          <cell r="D296" t="str">
            <v>小牧市</v>
          </cell>
          <cell r="E296" t="str">
            <v>小牧シティホテルbyREIAH HOTELS</v>
          </cell>
          <cell r="F296" t="str">
            <v>愛知県小牧市中央1-341</v>
          </cell>
          <cell r="G296" t="str">
            <v>選手・役員</v>
          </cell>
          <cell r="H296" t="str">
            <v>不可</v>
          </cell>
          <cell r="I296" t="str">
            <v>可</v>
          </cell>
          <cell r="J296">
            <v>80</v>
          </cell>
          <cell r="K296">
            <v>30</v>
          </cell>
          <cell r="L296">
            <v>0.375</v>
          </cell>
          <cell r="M296" t="str">
            <v>○</v>
          </cell>
          <cell r="N296" t="str">
            <v>×</v>
          </cell>
          <cell r="O296" t="str">
            <v>×</v>
          </cell>
          <cell r="P296">
            <v>35</v>
          </cell>
          <cell r="Q296">
            <v>0</v>
          </cell>
          <cell r="R296">
            <v>0</v>
          </cell>
          <cell r="S296">
            <v>0</v>
          </cell>
          <cell r="T296" t="str">
            <v>×</v>
          </cell>
        </row>
        <row r="297">
          <cell r="B297">
            <v>1025</v>
          </cell>
          <cell r="C297" t="str">
            <v>名古屋</v>
          </cell>
          <cell r="D297" t="str">
            <v>名古屋市</v>
          </cell>
          <cell r="E297" t="str">
            <v>2ND by hotel androoms 名古屋</v>
          </cell>
          <cell r="F297" t="str">
            <v>開業前のため調査未実施</v>
          </cell>
          <cell r="G297" t="str">
            <v>その他 ※1</v>
          </cell>
          <cell r="H297" t="str">
            <v>不可</v>
          </cell>
          <cell r="I297" t="str">
            <v>可</v>
          </cell>
          <cell r="J297">
            <v>211</v>
          </cell>
          <cell r="K297" t="str">
            <v>-</v>
          </cell>
          <cell r="L297" t="str">
            <v>-</v>
          </cell>
          <cell r="M297" t="str">
            <v>-</v>
          </cell>
          <cell r="N297" t="str">
            <v>-</v>
          </cell>
          <cell r="O297" t="str">
            <v>-</v>
          </cell>
          <cell r="P297" t="str">
            <v>-</v>
          </cell>
          <cell r="Q297" t="str">
            <v>-</v>
          </cell>
          <cell r="R297">
            <v>0</v>
          </cell>
          <cell r="S297">
            <v>0</v>
          </cell>
          <cell r="T297" t="str">
            <v>×</v>
          </cell>
        </row>
        <row r="298">
          <cell r="B298">
            <v>1027</v>
          </cell>
          <cell r="C298" t="str">
            <v>名古屋</v>
          </cell>
          <cell r="D298" t="str">
            <v>名古屋市</v>
          </cell>
          <cell r="E298" t="str">
            <v>TIAD</v>
          </cell>
          <cell r="F298" t="str">
            <v>開業前のため調査未実施</v>
          </cell>
          <cell r="G298" t="str">
            <v>OCAファミリー・スポンサー</v>
          </cell>
          <cell r="H298" t="str">
            <v>可</v>
          </cell>
          <cell r="I298" t="str">
            <v>可</v>
          </cell>
          <cell r="J298">
            <v>150</v>
          </cell>
          <cell r="K298">
            <v>150</v>
          </cell>
          <cell r="L298">
            <v>1</v>
          </cell>
          <cell r="M298" t="str">
            <v>-</v>
          </cell>
          <cell r="N298" t="str">
            <v>-</v>
          </cell>
          <cell r="O298" t="str">
            <v>-</v>
          </cell>
          <cell r="P298">
            <v>170</v>
          </cell>
          <cell r="Q298">
            <v>2</v>
          </cell>
          <cell r="R298">
            <v>5</v>
          </cell>
          <cell r="S298">
            <v>5</v>
          </cell>
          <cell r="T298" t="str">
            <v>-</v>
          </cell>
        </row>
        <row r="299">
          <cell r="B299">
            <v>1028</v>
          </cell>
          <cell r="C299" t="str">
            <v>東三河</v>
          </cell>
          <cell r="D299" t="str">
            <v>蒲郡市</v>
          </cell>
          <cell r="E299" t="str">
            <v>蒲郡ホテル＜別館＞</v>
          </cell>
          <cell r="F299" t="str">
            <v>愛知県蒲郡市金平町開戸29</v>
          </cell>
          <cell r="G299" t="str">
            <v>選手・役員または技術役員</v>
          </cell>
          <cell r="H299" t="str">
            <v>可</v>
          </cell>
          <cell r="I299" t="str">
            <v>可</v>
          </cell>
          <cell r="J299">
            <v>25</v>
          </cell>
          <cell r="K299">
            <v>25</v>
          </cell>
          <cell r="L299">
            <v>1</v>
          </cell>
          <cell r="M299" t="str">
            <v>○</v>
          </cell>
          <cell r="N299" t="str">
            <v>×</v>
          </cell>
          <cell r="O299" t="str">
            <v>×</v>
          </cell>
          <cell r="P299">
            <v>80</v>
          </cell>
          <cell r="Q299">
            <v>0</v>
          </cell>
          <cell r="R299">
            <v>1</v>
          </cell>
          <cell r="S299">
            <v>1</v>
          </cell>
          <cell r="T299" t="str">
            <v>○</v>
          </cell>
        </row>
        <row r="300">
          <cell r="B300">
            <v>2001</v>
          </cell>
          <cell r="C300" t="str">
            <v>岐阜</v>
          </cell>
          <cell r="D300" t="str">
            <v>羽島市</v>
          </cell>
          <cell r="E300" t="str">
            <v>アパホテル＜岐阜羽島駅前＞</v>
          </cell>
          <cell r="F300" t="str">
            <v>岐阜県羽島市福寿町浅平1-72</v>
          </cell>
          <cell r="G300" t="str">
            <v>選手・役員</v>
          </cell>
          <cell r="H300" t="str">
            <v>不可</v>
          </cell>
          <cell r="I300" t="str">
            <v>可</v>
          </cell>
          <cell r="J300">
            <v>146</v>
          </cell>
          <cell r="K300">
            <v>80</v>
          </cell>
          <cell r="L300">
            <v>0.54794520547945202</v>
          </cell>
          <cell r="M300" t="str">
            <v>○</v>
          </cell>
          <cell r="N300" t="str">
            <v>×</v>
          </cell>
          <cell r="O300" t="str">
            <v>×</v>
          </cell>
          <cell r="P300">
            <v>60</v>
          </cell>
          <cell r="Q300">
            <v>0</v>
          </cell>
          <cell r="R300">
            <v>1</v>
          </cell>
          <cell r="S300">
            <v>1</v>
          </cell>
          <cell r="T300" t="str">
            <v>×</v>
          </cell>
        </row>
        <row r="301">
          <cell r="B301">
            <v>2002</v>
          </cell>
          <cell r="C301" t="str">
            <v>岐阜</v>
          </cell>
          <cell r="D301" t="str">
            <v>大垣市</v>
          </cell>
          <cell r="E301" t="str">
            <v>アパホテル&lt;大垣駅前&gt;</v>
          </cell>
          <cell r="F301" t="str">
            <v>岐阜県大垣市高屋町1-150</v>
          </cell>
          <cell r="G301" t="str">
            <v>選手・役員</v>
          </cell>
          <cell r="H301" t="str">
            <v>不可</v>
          </cell>
          <cell r="I301" t="str">
            <v>不可</v>
          </cell>
          <cell r="J301">
            <v>252</v>
          </cell>
          <cell r="K301">
            <v>125</v>
          </cell>
          <cell r="L301">
            <v>0.49603174603174605</v>
          </cell>
          <cell r="M301" t="str">
            <v>○</v>
          </cell>
          <cell r="N301" t="str">
            <v>×</v>
          </cell>
          <cell r="O301" t="str">
            <v>×</v>
          </cell>
          <cell r="P301">
            <v>50</v>
          </cell>
          <cell r="Q301">
            <v>1</v>
          </cell>
          <cell r="R301">
            <v>4</v>
          </cell>
          <cell r="S301" t="str">
            <v>提供未定</v>
          </cell>
          <cell r="T301" t="str">
            <v>×</v>
          </cell>
        </row>
        <row r="302">
          <cell r="B302">
            <v>2003</v>
          </cell>
          <cell r="C302" t="str">
            <v>静岡</v>
          </cell>
          <cell r="D302" t="str">
            <v>静岡市</v>
          </cell>
          <cell r="E302" t="str">
            <v>アパホテル＜静岡駅北＞</v>
          </cell>
          <cell r="F302" t="str">
            <v>静岡県静岡市葵区昭和町4-5</v>
          </cell>
          <cell r="G302" t="str">
            <v>選手・役員</v>
          </cell>
          <cell r="H302" t="str">
            <v>不可</v>
          </cell>
          <cell r="I302" t="str">
            <v>可</v>
          </cell>
          <cell r="J302">
            <v>258</v>
          </cell>
          <cell r="K302">
            <v>130</v>
          </cell>
          <cell r="L302">
            <v>0.50387596899224807</v>
          </cell>
          <cell r="M302" t="str">
            <v>×</v>
          </cell>
          <cell r="N302" t="str">
            <v>×</v>
          </cell>
          <cell r="O302" t="str">
            <v>×</v>
          </cell>
          <cell r="P302">
            <v>0</v>
          </cell>
          <cell r="Q302">
            <v>1</v>
          </cell>
          <cell r="R302">
            <v>0</v>
          </cell>
          <cell r="S302">
            <v>0</v>
          </cell>
          <cell r="T302" t="str">
            <v>×</v>
          </cell>
        </row>
        <row r="303">
          <cell r="B303">
            <v>2004</v>
          </cell>
          <cell r="C303" t="str">
            <v>静岡</v>
          </cell>
          <cell r="D303" t="str">
            <v>浜松市</v>
          </cell>
          <cell r="E303" t="str">
            <v>アパホテル＜浜松駅南＞</v>
          </cell>
          <cell r="F303" t="str">
            <v>静岡県浜松市中区海老塚2-3-1</v>
          </cell>
          <cell r="G303" t="str">
            <v>選手・役員</v>
          </cell>
          <cell r="H303" t="str">
            <v>不可</v>
          </cell>
          <cell r="I303" t="str">
            <v>可</v>
          </cell>
          <cell r="J303">
            <v>177</v>
          </cell>
          <cell r="K303">
            <v>72</v>
          </cell>
          <cell r="L303">
            <v>0.40677966101694918</v>
          </cell>
          <cell r="M303" t="str">
            <v>○</v>
          </cell>
          <cell r="N303" t="str">
            <v>○</v>
          </cell>
          <cell r="O303" t="str">
            <v>○</v>
          </cell>
          <cell r="P303">
            <v>30</v>
          </cell>
          <cell r="Q303">
            <v>1</v>
          </cell>
          <cell r="R303">
            <v>1</v>
          </cell>
          <cell r="S303" t="str">
            <v>提供未定</v>
          </cell>
          <cell r="T303" t="str">
            <v>○</v>
          </cell>
        </row>
        <row r="304">
          <cell r="B304">
            <v>2005</v>
          </cell>
          <cell r="C304" t="str">
            <v>岐阜</v>
          </cell>
          <cell r="D304" t="str">
            <v>大垣市</v>
          </cell>
          <cell r="E304" t="str">
            <v>コンフォートイン大垣</v>
          </cell>
          <cell r="F304" t="str">
            <v>岐阜県大垣市林町5-11-3</v>
          </cell>
          <cell r="G304" t="str">
            <v>選手・役員</v>
          </cell>
          <cell r="H304" t="str">
            <v>不可</v>
          </cell>
          <cell r="I304" t="str">
            <v>可</v>
          </cell>
          <cell r="J304">
            <v>105</v>
          </cell>
          <cell r="K304">
            <v>40</v>
          </cell>
          <cell r="L304">
            <v>0.38095238095238093</v>
          </cell>
          <cell r="M304" t="str">
            <v>○</v>
          </cell>
          <cell r="N304" t="str">
            <v>×</v>
          </cell>
          <cell r="O304" t="str">
            <v>×</v>
          </cell>
          <cell r="P304">
            <v>30</v>
          </cell>
          <cell r="Q304">
            <v>0</v>
          </cell>
          <cell r="R304">
            <v>0</v>
          </cell>
          <cell r="S304">
            <v>0</v>
          </cell>
          <cell r="T304" t="str">
            <v>○</v>
          </cell>
        </row>
        <row r="305">
          <cell r="B305">
            <v>2006</v>
          </cell>
          <cell r="C305" t="str">
            <v>岐阜</v>
          </cell>
          <cell r="D305" t="str">
            <v>岐阜市</v>
          </cell>
          <cell r="E305" t="str">
            <v>コンフォートホテル岐阜</v>
          </cell>
          <cell r="F305" t="str">
            <v>岐阜県岐阜市吉野町6-6</v>
          </cell>
          <cell r="G305" t="str">
            <v>選手・役員</v>
          </cell>
          <cell r="H305" t="str">
            <v>不可</v>
          </cell>
          <cell r="I305" t="str">
            <v>可</v>
          </cell>
          <cell r="J305">
            <v>219</v>
          </cell>
          <cell r="K305">
            <v>80</v>
          </cell>
          <cell r="L305">
            <v>0.36529680365296802</v>
          </cell>
          <cell r="M305" t="str">
            <v>○</v>
          </cell>
          <cell r="N305" t="str">
            <v>×</v>
          </cell>
          <cell r="O305" t="str">
            <v>×</v>
          </cell>
          <cell r="P305">
            <v>40</v>
          </cell>
          <cell r="Q305">
            <v>0</v>
          </cell>
          <cell r="R305">
            <v>0</v>
          </cell>
          <cell r="S305">
            <v>0</v>
          </cell>
          <cell r="T305" t="str">
            <v>×</v>
          </cell>
        </row>
        <row r="306">
          <cell r="B306">
            <v>2007</v>
          </cell>
          <cell r="C306" t="str">
            <v>大阪</v>
          </cell>
          <cell r="D306" t="str">
            <v>大阪市</v>
          </cell>
          <cell r="E306" t="str">
            <v>シェラトン都ホテル大阪</v>
          </cell>
          <cell r="F306" t="str">
            <v>大阪府大阪市天王寺区上本町6-1-55</v>
          </cell>
          <cell r="G306" t="str">
            <v>選手・役員</v>
          </cell>
          <cell r="H306" t="str">
            <v>不可</v>
          </cell>
          <cell r="I306" t="str">
            <v>可</v>
          </cell>
          <cell r="J306">
            <v>578</v>
          </cell>
          <cell r="K306">
            <v>0</v>
          </cell>
          <cell r="L306">
            <v>0</v>
          </cell>
          <cell r="M306" t="str">
            <v>○</v>
          </cell>
          <cell r="N306" t="str">
            <v>○</v>
          </cell>
          <cell r="O306" t="str">
            <v>○</v>
          </cell>
          <cell r="P306">
            <v>120</v>
          </cell>
          <cell r="Q306">
            <v>5</v>
          </cell>
          <cell r="R306">
            <v>24</v>
          </cell>
          <cell r="S306" t="str">
            <v>提供未定</v>
          </cell>
          <cell r="T306" t="str">
            <v>○</v>
          </cell>
        </row>
        <row r="307">
          <cell r="B307">
            <v>2008</v>
          </cell>
          <cell r="C307" t="str">
            <v>大阪</v>
          </cell>
          <cell r="D307" t="str">
            <v>堺市</v>
          </cell>
          <cell r="E307" t="str">
            <v>ホテルアゴーラリージェンシー大阪堺</v>
          </cell>
          <cell r="F307" t="str">
            <v>大阪府堺市堺区戒島長4-45-1</v>
          </cell>
          <cell r="G307" t="str">
            <v>選手・役員</v>
          </cell>
          <cell r="H307" t="str">
            <v>不可</v>
          </cell>
          <cell r="I307" t="str">
            <v>可</v>
          </cell>
          <cell r="J307">
            <v>241</v>
          </cell>
          <cell r="K307">
            <v>150</v>
          </cell>
          <cell r="L307">
            <v>0.62240663900414939</v>
          </cell>
          <cell r="M307" t="str">
            <v>○</v>
          </cell>
          <cell r="N307" t="str">
            <v>○</v>
          </cell>
          <cell r="O307" t="str">
            <v>○</v>
          </cell>
          <cell r="P307">
            <v>170</v>
          </cell>
          <cell r="Q307">
            <v>4</v>
          </cell>
          <cell r="R307">
            <v>20</v>
          </cell>
          <cell r="S307">
            <v>7</v>
          </cell>
          <cell r="T307" t="str">
            <v>○</v>
          </cell>
        </row>
        <row r="308">
          <cell r="B308">
            <v>2009</v>
          </cell>
          <cell r="C308" t="str">
            <v>大阪</v>
          </cell>
          <cell r="D308" t="str">
            <v>大阪市</v>
          </cell>
          <cell r="E308" t="str">
            <v>帝国ホテル 大阪</v>
          </cell>
          <cell r="F308" t="str">
            <v>大阪府大阪市北区天満橋1-8-50</v>
          </cell>
          <cell r="G308" t="str">
            <v>技術役員（TD/ITO/NTO）</v>
          </cell>
          <cell r="H308" t="str">
            <v>不可</v>
          </cell>
          <cell r="I308" t="str">
            <v>可</v>
          </cell>
          <cell r="J308">
            <v>378</v>
          </cell>
          <cell r="K308">
            <v>60</v>
          </cell>
          <cell r="L308">
            <v>0.15873015873015872</v>
          </cell>
          <cell r="M308" t="str">
            <v>○</v>
          </cell>
          <cell r="N308" t="str">
            <v>○</v>
          </cell>
          <cell r="O308" t="str">
            <v>○</v>
          </cell>
          <cell r="P308">
            <v>100</v>
          </cell>
          <cell r="Q308">
            <v>7</v>
          </cell>
          <cell r="R308">
            <v>24</v>
          </cell>
          <cell r="S308">
            <v>3</v>
          </cell>
          <cell r="T308" t="str">
            <v>○</v>
          </cell>
        </row>
        <row r="309">
          <cell r="B309">
            <v>2010</v>
          </cell>
          <cell r="C309" t="str">
            <v>神戸</v>
          </cell>
          <cell r="D309" t="str">
            <v>神戸市</v>
          </cell>
          <cell r="E309" t="str">
            <v>神戸西神オリエンタルホテル</v>
          </cell>
          <cell r="F309" t="str">
            <v>兵庫県神戸市西区糀台5-6-3</v>
          </cell>
          <cell r="G309" t="str">
            <v>選手・役員または技術役員</v>
          </cell>
          <cell r="H309" t="str">
            <v>不可</v>
          </cell>
          <cell r="I309" t="str">
            <v>可</v>
          </cell>
          <cell r="J309">
            <v>184</v>
          </cell>
          <cell r="K309">
            <v>38</v>
          </cell>
          <cell r="L309">
            <v>0.20652173913043478</v>
          </cell>
          <cell r="M309" t="str">
            <v>○</v>
          </cell>
          <cell r="N309" t="str">
            <v>○</v>
          </cell>
          <cell r="O309" t="str">
            <v>○</v>
          </cell>
          <cell r="P309">
            <v>155</v>
          </cell>
          <cell r="Q309">
            <v>4</v>
          </cell>
          <cell r="R309">
            <v>6</v>
          </cell>
          <cell r="S309">
            <v>1</v>
          </cell>
          <cell r="T309" t="str">
            <v>○</v>
          </cell>
        </row>
        <row r="310">
          <cell r="B310">
            <v>2011</v>
          </cell>
          <cell r="C310" t="str">
            <v>神戸</v>
          </cell>
          <cell r="D310" t="str">
            <v>神戸市</v>
          </cell>
          <cell r="E310" t="str">
            <v>ANAクラウンプラザホテル　神戸</v>
          </cell>
          <cell r="F310" t="str">
            <v>兵庫県神戸市中央区北野町1丁目</v>
          </cell>
          <cell r="G310" t="str">
            <v>選手・役員または技術役員</v>
          </cell>
          <cell r="H310" t="str">
            <v>不可</v>
          </cell>
          <cell r="I310" t="str">
            <v>可</v>
          </cell>
          <cell r="J310">
            <v>592</v>
          </cell>
          <cell r="K310">
            <v>30</v>
          </cell>
          <cell r="L310">
            <v>5.0675675675675678E-2</v>
          </cell>
          <cell r="M310" t="str">
            <v>○</v>
          </cell>
          <cell r="N310" t="str">
            <v>×</v>
          </cell>
          <cell r="O310" t="str">
            <v>×</v>
          </cell>
          <cell r="P310">
            <v>80</v>
          </cell>
          <cell r="Q310">
            <v>9</v>
          </cell>
          <cell r="R310">
            <v>18</v>
          </cell>
          <cell r="S310">
            <v>3</v>
          </cell>
          <cell r="T310" t="str">
            <v>○</v>
          </cell>
        </row>
        <row r="311">
          <cell r="B311">
            <v>2012</v>
          </cell>
          <cell r="C311" t="str">
            <v>神戸</v>
          </cell>
          <cell r="D311" t="str">
            <v>神戸市</v>
          </cell>
          <cell r="E311" t="str">
            <v>シーサイドホテル舞子ビラ神戸</v>
          </cell>
          <cell r="F311" t="str">
            <v>兵庫県神戸市垂水区東舞子町18-11</v>
          </cell>
          <cell r="G311" t="str">
            <v>選手・役員または技術役員</v>
          </cell>
          <cell r="H311" t="str">
            <v>不可</v>
          </cell>
          <cell r="I311" t="str">
            <v>可</v>
          </cell>
          <cell r="J311">
            <v>247</v>
          </cell>
          <cell r="K311">
            <v>60</v>
          </cell>
          <cell r="L311">
            <v>0.24291497975708501</v>
          </cell>
          <cell r="M311" t="str">
            <v>○</v>
          </cell>
          <cell r="N311" t="str">
            <v>○</v>
          </cell>
          <cell r="O311" t="str">
            <v>○</v>
          </cell>
          <cell r="P311">
            <v>100</v>
          </cell>
          <cell r="Q311">
            <v>4</v>
          </cell>
          <cell r="R311">
            <v>19</v>
          </cell>
          <cell r="S311">
            <v>11</v>
          </cell>
          <cell r="T311" t="str">
            <v>○</v>
          </cell>
        </row>
        <row r="312">
          <cell r="B312">
            <v>2013</v>
          </cell>
          <cell r="C312" t="str">
            <v>神戸</v>
          </cell>
          <cell r="D312" t="str">
            <v>神戸市</v>
          </cell>
          <cell r="E312" t="str">
            <v>ホテルオークラ神戸</v>
          </cell>
          <cell r="F312" t="str">
            <v>兵庫県神戸市中央区波止場町2-1</v>
          </cell>
          <cell r="G312" t="str">
            <v>技術役員（TD/ITO/NTO）</v>
          </cell>
          <cell r="H312" t="str">
            <v>不可</v>
          </cell>
          <cell r="I312" t="str">
            <v>不可</v>
          </cell>
          <cell r="J312">
            <v>474</v>
          </cell>
          <cell r="K312">
            <v>30</v>
          </cell>
          <cell r="L312">
            <v>6.3291139240506333E-2</v>
          </cell>
          <cell r="M312" t="str">
            <v>○</v>
          </cell>
          <cell r="N312" t="str">
            <v>○</v>
          </cell>
          <cell r="O312" t="str">
            <v>○</v>
          </cell>
          <cell r="P312">
            <v>120</v>
          </cell>
          <cell r="Q312">
            <v>6</v>
          </cell>
          <cell r="R312">
            <v>14</v>
          </cell>
          <cell r="S312">
            <v>14</v>
          </cell>
          <cell r="T312" t="str">
            <v>○</v>
          </cell>
        </row>
        <row r="313">
          <cell r="B313">
            <v>2014</v>
          </cell>
          <cell r="C313" t="str">
            <v>大阪</v>
          </cell>
          <cell r="D313" t="str">
            <v>堺市</v>
          </cell>
          <cell r="E313" t="str">
            <v>（仮称）　アゴーラ　プレイス　大阪堺</v>
          </cell>
          <cell r="F313" t="str">
            <v>大阪府堺市堺区大浜北町3丁目2-27</v>
          </cell>
          <cell r="G313" t="str">
            <v>選手・役員</v>
          </cell>
          <cell r="H313" t="str">
            <v>不可</v>
          </cell>
          <cell r="I313" t="str">
            <v>可</v>
          </cell>
          <cell r="J313">
            <v>350</v>
          </cell>
          <cell r="K313">
            <v>150</v>
          </cell>
          <cell r="L313">
            <v>0.42857142857142855</v>
          </cell>
          <cell r="M313" t="str">
            <v>-</v>
          </cell>
          <cell r="N313" t="str">
            <v>-</v>
          </cell>
          <cell r="O313" t="str">
            <v>-</v>
          </cell>
          <cell r="P313" t="str">
            <v>-</v>
          </cell>
          <cell r="Q313" t="str">
            <v>-</v>
          </cell>
          <cell r="R313" t="str">
            <v>-</v>
          </cell>
          <cell r="S313" t="str">
            <v>-</v>
          </cell>
          <cell r="T313" t="str">
            <v>-</v>
          </cell>
        </row>
        <row r="314">
          <cell r="B314">
            <v>2015</v>
          </cell>
          <cell r="C314" t="str">
            <v>京都</v>
          </cell>
          <cell r="D314" t="str">
            <v>京都市</v>
          </cell>
          <cell r="E314" t="str">
            <v>京都ホテルオークラ</v>
          </cell>
          <cell r="F314" t="str">
            <v>京都府京都市中京区河原町御池</v>
          </cell>
          <cell r="G314" t="str">
            <v>技術役員（TD/ITO/NTO）</v>
          </cell>
          <cell r="H314" t="str">
            <v>不可</v>
          </cell>
          <cell r="I314" t="str">
            <v>不可</v>
          </cell>
          <cell r="J314">
            <v>321</v>
          </cell>
          <cell r="K314">
            <v>260</v>
          </cell>
          <cell r="L314">
            <v>0.8099688473520249</v>
          </cell>
          <cell r="M314" t="str">
            <v>○</v>
          </cell>
          <cell r="N314" t="str">
            <v>○</v>
          </cell>
          <cell r="O314" t="str">
            <v>○</v>
          </cell>
          <cell r="P314">
            <v>120</v>
          </cell>
          <cell r="Q314">
            <v>8</v>
          </cell>
          <cell r="R314">
            <v>12</v>
          </cell>
          <cell r="S314">
            <v>12</v>
          </cell>
          <cell r="T314" t="str">
            <v>×</v>
          </cell>
        </row>
        <row r="315">
          <cell r="B315">
            <v>2016</v>
          </cell>
          <cell r="C315" t="str">
            <v>静岡</v>
          </cell>
          <cell r="D315" t="str">
            <v>掛川市</v>
          </cell>
          <cell r="E315" t="str">
            <v>つま恋リゾート　彩の郷</v>
          </cell>
          <cell r="F315" t="str">
            <v>静岡県掛川市満水2000</v>
          </cell>
          <cell r="G315" t="str">
            <v>選手・役員</v>
          </cell>
          <cell r="H315" t="str">
            <v>不可</v>
          </cell>
          <cell r="I315" t="str">
            <v>可</v>
          </cell>
          <cell r="J315">
            <v>232</v>
          </cell>
          <cell r="K315">
            <v>150</v>
          </cell>
          <cell r="L315">
            <v>0.64655172413793105</v>
          </cell>
          <cell r="M315" t="str">
            <v>○</v>
          </cell>
          <cell r="N315" t="str">
            <v>○</v>
          </cell>
          <cell r="O315" t="str">
            <v>○</v>
          </cell>
          <cell r="P315">
            <v>100</v>
          </cell>
          <cell r="Q315">
            <v>2</v>
          </cell>
          <cell r="R315">
            <v>40</v>
          </cell>
          <cell r="S315">
            <v>9</v>
          </cell>
          <cell r="T315" t="str">
            <v>○</v>
          </cell>
        </row>
        <row r="316">
          <cell r="B316">
            <v>2017</v>
          </cell>
          <cell r="C316" t="str">
            <v>静岡</v>
          </cell>
          <cell r="D316" t="str">
            <v>袋井市</v>
          </cell>
          <cell r="E316" t="str">
            <v>葛城 北の丸</v>
          </cell>
          <cell r="F316" t="str">
            <v xml:space="preserve"> 静岡県袋井市宇刈2505番地の2</v>
          </cell>
          <cell r="G316" t="str">
            <v>選手・役員</v>
          </cell>
          <cell r="H316" t="str">
            <v>可</v>
          </cell>
          <cell r="I316" t="str">
            <v>不可</v>
          </cell>
          <cell r="J316">
            <v>49</v>
          </cell>
          <cell r="K316">
            <v>49</v>
          </cell>
          <cell r="L316">
            <v>1</v>
          </cell>
          <cell r="M316" t="str">
            <v>○</v>
          </cell>
          <cell r="N316" t="str">
            <v>○</v>
          </cell>
          <cell r="O316" t="str">
            <v>○</v>
          </cell>
          <cell r="P316">
            <v>48</v>
          </cell>
          <cell r="Q316">
            <v>2</v>
          </cell>
          <cell r="R316">
            <v>6</v>
          </cell>
          <cell r="S316" t="str">
            <v>提供未定</v>
          </cell>
          <cell r="T316" t="str">
            <v>○</v>
          </cell>
        </row>
        <row r="317">
          <cell r="B317">
            <v>2018</v>
          </cell>
          <cell r="C317" t="str">
            <v>静岡</v>
          </cell>
          <cell r="D317" t="str">
            <v>掛川市</v>
          </cell>
          <cell r="E317" t="str">
            <v>掛川グランドホテル</v>
          </cell>
          <cell r="F317" t="str">
            <v>静岡県掛川市亀の甲1丁目3-1</v>
          </cell>
          <cell r="G317" t="str">
            <v>技術役員（TD/ITO/NTO）</v>
          </cell>
          <cell r="H317" t="str">
            <v>不可</v>
          </cell>
          <cell r="I317" t="str">
            <v>可</v>
          </cell>
          <cell r="J317">
            <v>93</v>
          </cell>
          <cell r="K317">
            <v>64</v>
          </cell>
          <cell r="L317">
            <v>0.68817204301075274</v>
          </cell>
          <cell r="M317" t="str">
            <v>○</v>
          </cell>
          <cell r="N317" t="str">
            <v>○</v>
          </cell>
          <cell r="O317" t="str">
            <v>×</v>
          </cell>
          <cell r="P317">
            <v>53</v>
          </cell>
          <cell r="Q317">
            <v>4</v>
          </cell>
          <cell r="R317">
            <v>9</v>
          </cell>
          <cell r="S317">
            <v>7</v>
          </cell>
          <cell r="T317" t="str">
            <v>○</v>
          </cell>
        </row>
        <row r="318">
          <cell r="B318">
            <v>2019</v>
          </cell>
          <cell r="C318" t="str">
            <v>浜松</v>
          </cell>
          <cell r="D318" t="str">
            <v>浜松市</v>
          </cell>
          <cell r="E318" t="str">
            <v>THE HAMANAKO</v>
          </cell>
          <cell r="F318" t="str">
            <v>静岡県浜松市西区雄踏町山崎4396-1</v>
          </cell>
          <cell r="G318" t="str">
            <v>選手・役員または技術役員</v>
          </cell>
          <cell r="H318" t="str">
            <v>不可</v>
          </cell>
          <cell r="I318" t="str">
            <v>可</v>
          </cell>
          <cell r="J318">
            <v>369</v>
          </cell>
          <cell r="K318">
            <v>90</v>
          </cell>
          <cell r="L318">
            <v>0.24390243902439024</v>
          </cell>
          <cell r="M318" t="str">
            <v>○</v>
          </cell>
          <cell r="N318" t="str">
            <v>○</v>
          </cell>
          <cell r="O318" t="str">
            <v>○</v>
          </cell>
          <cell r="P318">
            <v>250</v>
          </cell>
          <cell r="Q318">
            <v>6</v>
          </cell>
          <cell r="R318">
            <v>27</v>
          </cell>
          <cell r="S318">
            <v>2</v>
          </cell>
          <cell r="T318" t="str">
            <v>○</v>
          </cell>
        </row>
        <row r="319">
          <cell r="B319">
            <v>2020</v>
          </cell>
          <cell r="C319" t="str">
            <v>浜松</v>
          </cell>
          <cell r="D319" t="str">
            <v>浜松市</v>
          </cell>
          <cell r="E319" t="str">
            <v>浜名湖リゾート＆スパTHE OCEAN</v>
          </cell>
          <cell r="F319" t="str">
            <v>静岡県浜松市西区舞阪町弁天島3285-88</v>
          </cell>
          <cell r="G319" t="str">
            <v>選手・役員または技術役員</v>
          </cell>
          <cell r="H319" t="str">
            <v>可</v>
          </cell>
          <cell r="I319" t="str">
            <v>可</v>
          </cell>
          <cell r="J319">
            <v>103</v>
          </cell>
          <cell r="K319">
            <v>103</v>
          </cell>
          <cell r="L319">
            <v>1</v>
          </cell>
          <cell r="M319" t="str">
            <v>○</v>
          </cell>
          <cell r="N319" t="str">
            <v>○</v>
          </cell>
          <cell r="O319" t="str">
            <v>○</v>
          </cell>
          <cell r="P319">
            <v>80</v>
          </cell>
          <cell r="Q319">
            <v>1</v>
          </cell>
          <cell r="R319">
            <v>3</v>
          </cell>
          <cell r="S319">
            <v>1</v>
          </cell>
          <cell r="T319" t="str">
            <v>×</v>
          </cell>
        </row>
        <row r="320">
          <cell r="B320">
            <v>2021</v>
          </cell>
          <cell r="C320" t="str">
            <v>浜松</v>
          </cell>
          <cell r="D320" t="str">
            <v>浜松市</v>
          </cell>
          <cell r="E320" t="str">
            <v>オークラアクトシティホテル浜松</v>
          </cell>
          <cell r="F320" t="str">
            <v>静岡県浜松市中区板屋町111-2</v>
          </cell>
          <cell r="G320" t="str">
            <v>技術役員（TD/ITO/NTO）</v>
          </cell>
          <cell r="H320" t="str">
            <v>不可</v>
          </cell>
          <cell r="I320" t="str">
            <v>可</v>
          </cell>
          <cell r="J320">
            <v>322</v>
          </cell>
          <cell r="K320">
            <v>153</v>
          </cell>
          <cell r="L320">
            <v>0.4751552795031056</v>
          </cell>
          <cell r="M320" t="str">
            <v>○</v>
          </cell>
          <cell r="N320" t="str">
            <v>○</v>
          </cell>
          <cell r="O320" t="str">
            <v>○</v>
          </cell>
          <cell r="P320">
            <v>146</v>
          </cell>
          <cell r="Q320">
            <v>7</v>
          </cell>
          <cell r="R320">
            <v>11</v>
          </cell>
          <cell r="S320">
            <v>11</v>
          </cell>
          <cell r="T320" t="str">
            <v>○</v>
          </cell>
        </row>
        <row r="321">
          <cell r="B321">
            <v>2022</v>
          </cell>
          <cell r="C321" t="str">
            <v>伊豆</v>
          </cell>
          <cell r="D321" t="str">
            <v>伊豆市</v>
          </cell>
          <cell r="E321" t="str">
            <v>ホテルラフォーレ修善寺</v>
          </cell>
          <cell r="F321" t="str">
            <v>静岡県伊豆市大平１５２９</v>
          </cell>
          <cell r="G321" t="str">
            <v>選手・役員</v>
          </cell>
          <cell r="H321" t="str">
            <v>不可</v>
          </cell>
          <cell r="I321" t="str">
            <v>可</v>
          </cell>
          <cell r="J321">
            <v>212</v>
          </cell>
          <cell r="K321">
            <v>121</v>
          </cell>
          <cell r="L321">
            <v>0.57075471698113212</v>
          </cell>
          <cell r="M321" t="str">
            <v>○</v>
          </cell>
          <cell r="N321" t="str">
            <v>○</v>
          </cell>
          <cell r="O321" t="str">
            <v>○</v>
          </cell>
          <cell r="P321">
            <v>122</v>
          </cell>
          <cell r="Q321">
            <v>1</v>
          </cell>
          <cell r="R321">
            <v>12</v>
          </cell>
          <cell r="S321">
            <v>12</v>
          </cell>
          <cell r="T321" t="str">
            <v>○</v>
          </cell>
        </row>
        <row r="322">
          <cell r="B322">
            <v>2023</v>
          </cell>
          <cell r="C322" t="str">
            <v>伊豆</v>
          </cell>
          <cell r="D322" t="str">
            <v>伊豆市</v>
          </cell>
          <cell r="E322" t="str">
            <v>伊豆温泉村　ホテルオリーブの木</v>
          </cell>
          <cell r="F322" t="str">
            <v>静岡県伊豆市瓜生野322-1</v>
          </cell>
          <cell r="G322" t="str">
            <v>選手・役員</v>
          </cell>
          <cell r="H322" t="str">
            <v>可</v>
          </cell>
          <cell r="I322" t="str">
            <v>可</v>
          </cell>
          <cell r="J322">
            <v>40</v>
          </cell>
          <cell r="K322">
            <v>40</v>
          </cell>
          <cell r="L322">
            <v>1</v>
          </cell>
          <cell r="M322" t="str">
            <v>○</v>
          </cell>
          <cell r="N322" t="str">
            <v>○</v>
          </cell>
          <cell r="O322" t="str">
            <v>○</v>
          </cell>
          <cell r="P322">
            <v>60</v>
          </cell>
          <cell r="Q322">
            <v>1</v>
          </cell>
          <cell r="R322">
            <v>3</v>
          </cell>
          <cell r="S322">
            <v>2</v>
          </cell>
          <cell r="T322" t="str">
            <v>○</v>
          </cell>
        </row>
        <row r="323">
          <cell r="B323">
            <v>2024</v>
          </cell>
          <cell r="C323" t="str">
            <v>伊豆</v>
          </cell>
          <cell r="D323" t="str">
            <v>三島市</v>
          </cell>
          <cell r="E323" t="str">
            <v>富士山三島東急ホテル</v>
          </cell>
          <cell r="F323" t="str">
            <v>静岡県三島市一番町17-1</v>
          </cell>
          <cell r="G323" t="str">
            <v>選手・役員</v>
          </cell>
          <cell r="H323" t="str">
            <v>不可</v>
          </cell>
          <cell r="I323" t="str">
            <v>可</v>
          </cell>
          <cell r="J323">
            <v>195</v>
          </cell>
          <cell r="K323">
            <v>100</v>
          </cell>
          <cell r="L323">
            <v>0.51282051282051277</v>
          </cell>
          <cell r="M323" t="str">
            <v>○</v>
          </cell>
          <cell r="N323" t="str">
            <v>○</v>
          </cell>
          <cell r="O323" t="str">
            <v>○</v>
          </cell>
          <cell r="P323">
            <v>134</v>
          </cell>
          <cell r="Q323">
            <v>2</v>
          </cell>
          <cell r="R323">
            <v>1</v>
          </cell>
          <cell r="S323">
            <v>1</v>
          </cell>
          <cell r="T323" t="str">
            <v>×</v>
          </cell>
        </row>
        <row r="324">
          <cell r="B324">
            <v>2025</v>
          </cell>
          <cell r="C324" t="str">
            <v>伊豆</v>
          </cell>
          <cell r="D324" t="str">
            <v>伊豆市</v>
          </cell>
          <cell r="E324" t="str">
            <v>伊豆マリオットホテル修善寺</v>
          </cell>
          <cell r="F324" t="str">
            <v>静岡県伊豆市大平1529</v>
          </cell>
          <cell r="G324" t="str">
            <v>技術役員（TD/ITO/NTO）</v>
          </cell>
          <cell r="H324" t="str">
            <v>不可</v>
          </cell>
          <cell r="I324" t="str">
            <v>不可</v>
          </cell>
          <cell r="J324">
            <v>128</v>
          </cell>
          <cell r="K324">
            <v>36</v>
          </cell>
          <cell r="L324">
            <v>0.28125</v>
          </cell>
          <cell r="M324" t="str">
            <v>○</v>
          </cell>
          <cell r="N324" t="str">
            <v>○</v>
          </cell>
          <cell r="O324" t="str">
            <v>○</v>
          </cell>
          <cell r="P324">
            <v>168</v>
          </cell>
          <cell r="Q324">
            <v>2</v>
          </cell>
          <cell r="R324">
            <v>3</v>
          </cell>
          <cell r="S324">
            <v>2</v>
          </cell>
          <cell r="T324" t="str">
            <v>○</v>
          </cell>
        </row>
        <row r="325">
          <cell r="B325">
            <v>2026</v>
          </cell>
          <cell r="C325" t="str">
            <v>岐阜</v>
          </cell>
          <cell r="D325" t="str">
            <v>岐阜市</v>
          </cell>
          <cell r="E325" t="str">
            <v>岐阜グランドホテル</v>
          </cell>
          <cell r="F325" t="str">
            <v>岐阜県岐阜市長良648番地</v>
          </cell>
          <cell r="G325" t="str">
            <v>選手・役員</v>
          </cell>
          <cell r="H325" t="str">
            <v>不可</v>
          </cell>
          <cell r="I325" t="str">
            <v>可</v>
          </cell>
          <cell r="J325">
            <v>158</v>
          </cell>
          <cell r="K325">
            <v>30</v>
          </cell>
          <cell r="L325">
            <v>0.189873417721519</v>
          </cell>
          <cell r="M325" t="str">
            <v>○</v>
          </cell>
          <cell r="N325" t="str">
            <v>○</v>
          </cell>
          <cell r="O325" t="str">
            <v>○</v>
          </cell>
          <cell r="P325">
            <v>150</v>
          </cell>
          <cell r="Q325">
            <v>5</v>
          </cell>
          <cell r="R325">
            <v>14</v>
          </cell>
          <cell r="S325">
            <v>14</v>
          </cell>
          <cell r="T325" t="str">
            <v>○</v>
          </cell>
        </row>
        <row r="326">
          <cell r="B326">
            <v>2027</v>
          </cell>
          <cell r="C326" t="str">
            <v>岐阜</v>
          </cell>
          <cell r="D326" t="str">
            <v>岐阜市</v>
          </cell>
          <cell r="E326" t="str">
            <v>都ホテル岐阜長良川</v>
          </cell>
          <cell r="F326" t="str">
            <v>岐阜県岐阜市長良福光2695-2</v>
          </cell>
          <cell r="G326" t="str">
            <v>技術役員（TD/ITO/NTO）</v>
          </cell>
          <cell r="H326" t="str">
            <v>不可</v>
          </cell>
          <cell r="I326" t="str">
            <v>可</v>
          </cell>
          <cell r="J326">
            <v>192</v>
          </cell>
          <cell r="K326">
            <v>110</v>
          </cell>
          <cell r="L326">
            <v>0.57291666666666663</v>
          </cell>
          <cell r="M326" t="str">
            <v>○</v>
          </cell>
          <cell r="N326" t="str">
            <v>○</v>
          </cell>
          <cell r="O326" t="str">
            <v>○</v>
          </cell>
          <cell r="P326">
            <v>142</v>
          </cell>
          <cell r="Q326">
            <v>6</v>
          </cell>
          <cell r="R326">
            <v>16</v>
          </cell>
          <cell r="S326">
            <v>14</v>
          </cell>
          <cell r="T326" t="str">
            <v>○</v>
          </cell>
        </row>
        <row r="327">
          <cell r="B327">
            <v>2028</v>
          </cell>
          <cell r="C327" t="str">
            <v>岐阜</v>
          </cell>
          <cell r="D327" t="str">
            <v>岐阜市</v>
          </cell>
          <cell r="E327" t="str">
            <v>ホテルグランヴェール岐山（公立共済やすらぎの里）</v>
          </cell>
          <cell r="F327" t="str">
            <v>岐阜県岐阜市柳ヶ瀬通6-14</v>
          </cell>
          <cell r="G327" t="str">
            <v>選手・役員</v>
          </cell>
          <cell r="H327" t="str">
            <v>不可</v>
          </cell>
          <cell r="I327" t="str">
            <v>可</v>
          </cell>
          <cell r="J327">
            <v>61</v>
          </cell>
          <cell r="K327">
            <v>30</v>
          </cell>
          <cell r="L327">
            <v>0.49180327868852458</v>
          </cell>
          <cell r="M327" t="str">
            <v>○</v>
          </cell>
          <cell r="N327" t="str">
            <v>○</v>
          </cell>
          <cell r="O327" t="str">
            <v>○</v>
          </cell>
          <cell r="P327">
            <v>68</v>
          </cell>
          <cell r="Q327">
            <v>2</v>
          </cell>
          <cell r="R327">
            <v>16</v>
          </cell>
          <cell r="S327" t="str">
            <v>提供未定</v>
          </cell>
          <cell r="T327" t="str">
            <v>○</v>
          </cell>
        </row>
        <row r="328">
          <cell r="B328">
            <v>2029</v>
          </cell>
          <cell r="C328" t="str">
            <v>岐阜</v>
          </cell>
          <cell r="D328" t="str">
            <v>岐阜市</v>
          </cell>
          <cell r="E328" t="str">
            <v>岐阜キャッスルイン</v>
          </cell>
          <cell r="F328" t="str">
            <v>岐阜県岐阜市県町2丁目8番地</v>
          </cell>
          <cell r="G328" t="str">
            <v>選手・役員</v>
          </cell>
          <cell r="H328" t="str">
            <v>不可</v>
          </cell>
          <cell r="I328" t="str">
            <v>可</v>
          </cell>
          <cell r="J328">
            <v>116</v>
          </cell>
          <cell r="K328">
            <v>62</v>
          </cell>
          <cell r="L328">
            <v>0.53448275862068961</v>
          </cell>
          <cell r="M328" t="str">
            <v>○</v>
          </cell>
          <cell r="N328" t="str">
            <v>×</v>
          </cell>
          <cell r="O328" t="str">
            <v>×</v>
          </cell>
          <cell r="P328">
            <v>36</v>
          </cell>
          <cell r="Q328">
            <v>2</v>
          </cell>
          <cell r="R328">
            <v>7</v>
          </cell>
          <cell r="S328" t="str">
            <v>提供未定</v>
          </cell>
          <cell r="T328" t="str">
            <v>○</v>
          </cell>
        </row>
        <row r="329">
          <cell r="B329">
            <v>2030</v>
          </cell>
          <cell r="C329" t="str">
            <v>岐阜</v>
          </cell>
          <cell r="D329" t="str">
            <v>岐阜市</v>
          </cell>
          <cell r="E329" t="str">
            <v>ホテルリソル岐阜</v>
          </cell>
          <cell r="F329" t="str">
            <v>岐阜県岐阜市長住町5-8</v>
          </cell>
          <cell r="G329" t="str">
            <v>選手・役員</v>
          </cell>
          <cell r="H329" t="str">
            <v>不可</v>
          </cell>
          <cell r="I329" t="str">
            <v>可</v>
          </cell>
          <cell r="J329">
            <v>120</v>
          </cell>
          <cell r="K329">
            <v>83</v>
          </cell>
          <cell r="L329">
            <v>0.69166666666666665</v>
          </cell>
          <cell r="M329" t="str">
            <v>○</v>
          </cell>
          <cell r="N329" t="str">
            <v>○</v>
          </cell>
          <cell r="O329" t="str">
            <v>○</v>
          </cell>
          <cell r="P329">
            <v>36</v>
          </cell>
          <cell r="Q329">
            <v>1</v>
          </cell>
          <cell r="R329">
            <v>3</v>
          </cell>
          <cell r="S329">
            <v>2</v>
          </cell>
          <cell r="T329" t="str">
            <v>×</v>
          </cell>
        </row>
        <row r="330">
          <cell r="B330">
            <v>2031</v>
          </cell>
          <cell r="C330" t="str">
            <v>岐阜</v>
          </cell>
          <cell r="D330" t="str">
            <v>岐阜市</v>
          </cell>
          <cell r="E330" t="str">
            <v>岐阜ワシントンホテルプラザ</v>
          </cell>
          <cell r="F330" t="str">
            <v>岐阜県岐阜市神田町7-7-4</v>
          </cell>
          <cell r="G330" t="str">
            <v>選手・役員</v>
          </cell>
          <cell r="H330" t="str">
            <v>不可</v>
          </cell>
          <cell r="I330" t="str">
            <v>可</v>
          </cell>
          <cell r="J330">
            <v>188</v>
          </cell>
          <cell r="K330">
            <v>75</v>
          </cell>
          <cell r="L330">
            <v>0.39893617021276595</v>
          </cell>
          <cell r="M330" t="str">
            <v>○</v>
          </cell>
          <cell r="N330" t="str">
            <v>×</v>
          </cell>
          <cell r="O330" t="str">
            <v>×</v>
          </cell>
          <cell r="P330">
            <v>80</v>
          </cell>
          <cell r="Q330">
            <v>2</v>
          </cell>
          <cell r="R330">
            <v>2</v>
          </cell>
          <cell r="S330" t="str">
            <v>提供不可</v>
          </cell>
          <cell r="T330" t="str">
            <v>×</v>
          </cell>
        </row>
        <row r="331">
          <cell r="B331">
            <v>2032</v>
          </cell>
          <cell r="C331" t="str">
            <v>岐阜</v>
          </cell>
          <cell r="D331" t="str">
            <v>大垣市</v>
          </cell>
          <cell r="E331" t="str">
            <v>大垣フォーラムホテル</v>
          </cell>
          <cell r="F331" t="str">
            <v>岐阜県大垣市万石2丁目31番地</v>
          </cell>
          <cell r="G331" t="str">
            <v>選手・役員</v>
          </cell>
          <cell r="H331" t="str">
            <v>不可</v>
          </cell>
          <cell r="I331" t="str">
            <v>不可</v>
          </cell>
          <cell r="J331">
            <v>78</v>
          </cell>
          <cell r="K331">
            <v>51</v>
          </cell>
          <cell r="L331">
            <v>0.65384615384615385</v>
          </cell>
          <cell r="M331" t="str">
            <v>○</v>
          </cell>
          <cell r="N331" t="str">
            <v>○</v>
          </cell>
          <cell r="O331" t="str">
            <v>○</v>
          </cell>
          <cell r="P331">
            <v>100</v>
          </cell>
          <cell r="Q331">
            <v>3</v>
          </cell>
          <cell r="R331">
            <v>23</v>
          </cell>
          <cell r="S331">
            <v>3</v>
          </cell>
          <cell r="T331" t="str">
            <v>○</v>
          </cell>
        </row>
        <row r="332">
          <cell r="B332">
            <v>2033</v>
          </cell>
          <cell r="C332" t="str">
            <v>岐阜</v>
          </cell>
          <cell r="D332" t="str">
            <v>大垣市</v>
          </cell>
          <cell r="E332" t="str">
            <v>ホテルルートイン大垣インター</v>
          </cell>
          <cell r="F332" t="str">
            <v>岐阜県大垣市築捨町4丁目115-1</v>
          </cell>
          <cell r="G332" t="str">
            <v>選手・役員</v>
          </cell>
          <cell r="H332" t="str">
            <v>不可</v>
          </cell>
          <cell r="I332" t="str">
            <v>不可</v>
          </cell>
          <cell r="J332">
            <v>140</v>
          </cell>
          <cell r="K332">
            <v>70</v>
          </cell>
          <cell r="L332">
            <v>0.5</v>
          </cell>
          <cell r="M332" t="str">
            <v>○</v>
          </cell>
          <cell r="N332" t="str">
            <v>×</v>
          </cell>
          <cell r="O332" t="str">
            <v>×</v>
          </cell>
          <cell r="P332">
            <v>55</v>
          </cell>
          <cell r="Q332">
            <v>1</v>
          </cell>
          <cell r="R332">
            <v>0</v>
          </cell>
          <cell r="S332">
            <v>0</v>
          </cell>
          <cell r="T332" t="str">
            <v>○</v>
          </cell>
        </row>
        <row r="333">
          <cell r="B333">
            <v>2034</v>
          </cell>
          <cell r="C333" t="str">
            <v>岐阜</v>
          </cell>
          <cell r="D333" t="str">
            <v>各務原市</v>
          </cell>
          <cell r="E333" t="str">
            <v>ホテルルートイン各務原</v>
          </cell>
          <cell r="F333" t="str">
            <v>岐阜県各務原市蘇原新栄町1-97-1</v>
          </cell>
          <cell r="G333" t="str">
            <v>選手・役員</v>
          </cell>
          <cell r="H333" t="str">
            <v>不可</v>
          </cell>
          <cell r="I333" t="str">
            <v>不可</v>
          </cell>
          <cell r="J333">
            <v>155</v>
          </cell>
          <cell r="K333">
            <v>55</v>
          </cell>
          <cell r="L333">
            <v>0.35483870967741937</v>
          </cell>
          <cell r="M333" t="str">
            <v>○</v>
          </cell>
          <cell r="N333" t="str">
            <v>×</v>
          </cell>
          <cell r="O333" t="str">
            <v>○</v>
          </cell>
          <cell r="P333">
            <v>70</v>
          </cell>
          <cell r="Q333">
            <v>1</v>
          </cell>
          <cell r="R333">
            <v>2</v>
          </cell>
          <cell r="S333">
            <v>1</v>
          </cell>
          <cell r="T333" t="str">
            <v>○</v>
          </cell>
        </row>
        <row r="334">
          <cell r="B334">
            <v>2035</v>
          </cell>
          <cell r="C334" t="str">
            <v>岐阜</v>
          </cell>
          <cell r="D334" t="str">
            <v>岐阜市</v>
          </cell>
          <cell r="E334" t="str">
            <v>ホテルルートイン岐阜県庁南</v>
          </cell>
          <cell r="F334" t="str">
            <v>岐阜県岐阜市須賀2-1-8</v>
          </cell>
          <cell r="G334" t="str">
            <v>選手・役員</v>
          </cell>
          <cell r="H334" t="str">
            <v>不可</v>
          </cell>
          <cell r="I334" t="str">
            <v>不可</v>
          </cell>
          <cell r="J334">
            <v>140</v>
          </cell>
          <cell r="K334">
            <v>70</v>
          </cell>
          <cell r="L334">
            <v>0.5</v>
          </cell>
          <cell r="M334" t="str">
            <v>○</v>
          </cell>
          <cell r="N334" t="str">
            <v>×</v>
          </cell>
          <cell r="O334" t="str">
            <v>○</v>
          </cell>
          <cell r="P334">
            <v>55</v>
          </cell>
          <cell r="Q334">
            <v>1</v>
          </cell>
          <cell r="R334">
            <v>0</v>
          </cell>
          <cell r="S334">
            <v>0</v>
          </cell>
          <cell r="T334" t="str">
            <v>○</v>
          </cell>
        </row>
        <row r="335">
          <cell r="B335">
            <v>2036</v>
          </cell>
          <cell r="C335" t="str">
            <v>岐阜</v>
          </cell>
          <cell r="D335" t="str">
            <v>羽島市</v>
          </cell>
          <cell r="E335" t="str">
            <v>ホテルルートイン岐阜羽島駅前</v>
          </cell>
          <cell r="F335" t="str">
            <v>岐阜県羽島市福寿町浅平1丁目71番地</v>
          </cell>
          <cell r="G335" t="str">
            <v>選手・役員</v>
          </cell>
          <cell r="H335" t="str">
            <v>不可</v>
          </cell>
          <cell r="I335" t="str">
            <v>不可</v>
          </cell>
          <cell r="J335">
            <v>234</v>
          </cell>
          <cell r="K335">
            <v>60</v>
          </cell>
          <cell r="L335">
            <v>0.25641025641025639</v>
          </cell>
          <cell r="M335" t="str">
            <v>○</v>
          </cell>
          <cell r="N335" t="str">
            <v>×</v>
          </cell>
          <cell r="O335" t="str">
            <v>○</v>
          </cell>
          <cell r="P335">
            <v>50</v>
          </cell>
          <cell r="Q335">
            <v>1</v>
          </cell>
          <cell r="R335">
            <v>0</v>
          </cell>
          <cell r="S335">
            <v>0</v>
          </cell>
          <cell r="T335" t="str">
            <v>×</v>
          </cell>
        </row>
        <row r="336">
          <cell r="B336">
            <v>2037</v>
          </cell>
          <cell r="C336" t="str">
            <v>岐阜</v>
          </cell>
          <cell r="D336" t="str">
            <v>羽島市</v>
          </cell>
          <cell r="E336" t="str">
            <v>ホテルコーヨー</v>
          </cell>
          <cell r="F336" t="str">
            <v>岐阜県羽島市舟橋町出須賀1-45</v>
          </cell>
          <cell r="G336" t="str">
            <v>選手・役員</v>
          </cell>
          <cell r="H336" t="str">
            <v>可</v>
          </cell>
          <cell r="I336" t="str">
            <v>可</v>
          </cell>
          <cell r="J336">
            <v>265</v>
          </cell>
          <cell r="K336">
            <v>264</v>
          </cell>
          <cell r="L336">
            <v>0.99622641509433962</v>
          </cell>
          <cell r="M336" t="str">
            <v>○</v>
          </cell>
          <cell r="N336" t="str">
            <v>○</v>
          </cell>
          <cell r="O336" t="str">
            <v>○</v>
          </cell>
          <cell r="P336">
            <v>172</v>
          </cell>
          <cell r="Q336">
            <v>1</v>
          </cell>
          <cell r="R336">
            <v>8</v>
          </cell>
          <cell r="S336">
            <v>3</v>
          </cell>
          <cell r="T336" t="str">
            <v>○</v>
          </cell>
        </row>
        <row r="337">
          <cell r="B337">
            <v>2038</v>
          </cell>
          <cell r="C337" t="str">
            <v>京都</v>
          </cell>
          <cell r="D337" t="str">
            <v>京都市</v>
          </cell>
          <cell r="E337" t="str">
            <v>京都　東急ホテル</v>
          </cell>
          <cell r="F337" t="str">
            <v>京都府京都市下京区堀川通五条下ル</v>
          </cell>
          <cell r="G337" t="str">
            <v>選手・役員</v>
          </cell>
          <cell r="H337" t="str">
            <v>不可</v>
          </cell>
          <cell r="I337" t="str">
            <v>可</v>
          </cell>
          <cell r="J337">
            <v>408</v>
          </cell>
          <cell r="K337">
            <v>120</v>
          </cell>
          <cell r="L337">
            <v>0.29411764705882354</v>
          </cell>
          <cell r="M337" t="str">
            <v>○</v>
          </cell>
          <cell r="N337" t="str">
            <v>○</v>
          </cell>
          <cell r="O337" t="str">
            <v>○</v>
          </cell>
          <cell r="P337">
            <v>200</v>
          </cell>
          <cell r="Q337">
            <v>5</v>
          </cell>
          <cell r="R337">
            <v>11</v>
          </cell>
          <cell r="S337">
            <v>11</v>
          </cell>
          <cell r="T337" t="str">
            <v>○</v>
          </cell>
        </row>
        <row r="338">
          <cell r="B338">
            <v>2039</v>
          </cell>
          <cell r="C338" t="str">
            <v>京都</v>
          </cell>
          <cell r="D338" t="str">
            <v>京都市</v>
          </cell>
          <cell r="E338" t="str">
            <v>ホテル日航プリンセス京都</v>
          </cell>
          <cell r="F338" t="str">
            <v>京都府京都市下京区烏丸高辻東入ル高橋町630番地</v>
          </cell>
          <cell r="G338" t="str">
            <v>選手・役員</v>
          </cell>
          <cell r="H338" t="str">
            <v>不可</v>
          </cell>
          <cell r="I338" t="str">
            <v>可</v>
          </cell>
          <cell r="J338">
            <v>216</v>
          </cell>
          <cell r="K338">
            <v>85</v>
          </cell>
          <cell r="L338">
            <v>0.39351851851851855</v>
          </cell>
          <cell r="M338" t="str">
            <v>○</v>
          </cell>
          <cell r="N338" t="str">
            <v>○</v>
          </cell>
          <cell r="O338" t="str">
            <v>○</v>
          </cell>
          <cell r="P338">
            <v>88</v>
          </cell>
          <cell r="Q338">
            <v>6</v>
          </cell>
          <cell r="R338">
            <v>9</v>
          </cell>
          <cell r="S338">
            <v>9</v>
          </cell>
          <cell r="T338" t="str">
            <v>○</v>
          </cell>
        </row>
        <row r="339">
          <cell r="B339">
            <v>2040</v>
          </cell>
          <cell r="C339" t="str">
            <v>京都</v>
          </cell>
          <cell r="D339" t="str">
            <v>京都市</v>
          </cell>
          <cell r="E339" t="str">
            <v>リーガロイヤル京都</v>
          </cell>
        </row>
        <row r="340">
          <cell r="B340">
            <v>2041</v>
          </cell>
          <cell r="C340" t="str">
            <v>浜松</v>
          </cell>
          <cell r="D340" t="str">
            <v>浜松市</v>
          </cell>
          <cell r="E340" t="str">
            <v>ホテルコンコルド浜松</v>
          </cell>
        </row>
        <row r="341">
          <cell r="B341">
            <v>2042</v>
          </cell>
          <cell r="C341" t="str">
            <v>神戸</v>
          </cell>
          <cell r="D341" t="str">
            <v>神戸市</v>
          </cell>
          <cell r="E341" t="str">
            <v>神戸ポートピアホテル</v>
          </cell>
        </row>
        <row r="342">
          <cell r="B342">
            <v>2043</v>
          </cell>
          <cell r="C342" t="str">
            <v>掛川</v>
          </cell>
          <cell r="D342" t="str">
            <v>掛川市</v>
          </cell>
          <cell r="E342" t="str">
            <v>パレスホテル掛川</v>
          </cell>
        </row>
        <row r="343">
          <cell r="B343">
            <v>2044</v>
          </cell>
          <cell r="C343" t="str">
            <v>岐阜</v>
          </cell>
          <cell r="D343" t="str">
            <v>大垣市</v>
          </cell>
          <cell r="E343" t="str">
            <v>くれたけプレミアム大垣駅前</v>
          </cell>
        </row>
        <row r="344">
          <cell r="B344">
            <v>2045</v>
          </cell>
          <cell r="C344" t="str">
            <v>岐阜</v>
          </cell>
          <cell r="D344" t="str">
            <v>大垣市</v>
          </cell>
          <cell r="E344" t="str">
            <v>クインテッサホテル大垣</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契約期間_メルパルク"/>
      <sheetName val="別紙1-1）客室提供条件"/>
      <sheetName val="別紙1-2）ファンクションルーム提供条件（確保する場合）"/>
      <sheetName val="別表"/>
    </sheetNames>
    <sheetDataSet>
      <sheetData sheetId="0" refreshError="1"/>
      <sheetData sheetId="1">
        <row r="2">
          <cell r="C2" t="str">
            <v>ホテルメルパルク名古屋</v>
          </cell>
        </row>
      </sheetData>
      <sheetData sheetId="2"/>
      <sheetData sheetId="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
      <sheetName val="財政見通し積算 (全部盛り)"/>
      <sheetName val="債務負担行為積算  (全部盛り) "/>
      <sheetName val="財政見通し積算"/>
      <sheetName val="債務負担行為積算  (数式)"/>
      <sheetName val="消費者物価平均指数　IMF"/>
      <sheetName val="物価（案1）"/>
      <sheetName val="物価（案2）"/>
      <sheetName val="物価（案3）"/>
      <sheetName val="案3元データ"/>
      <sheetName val="アジア選手（v4）"/>
      <sheetName val="アジア選手（0913試行更新版）"/>
      <sheetName val="【20240925】アジア競技大会配宿シュミレーション"/>
      <sheetName val="アジアファミスポ(更新)"/>
      <sheetName val="【250610】アジア技術役員"/>
      <sheetName val="【250327】アジアスポンサー"/>
      <sheetName val="【250401】アジアメディア"/>
      <sheetName val="アジア技術役員　更新版"/>
      <sheetName val="アジア技術役員(DCO以外 0913)"/>
      <sheetName val="アジア技術役員 (DCO更新) "/>
      <sheetName val="【アジア】飲食提供経費シュミレーション"/>
      <sheetName val="注意点"/>
      <sheetName val="アジアメディア（更新 没）"/>
      <sheetName val="アジアメディア(新更新版）"/>
      <sheetName val="パラ選手・チーム役員 (0531)"/>
      <sheetName val="パラメディア"/>
      <sheetName val="シン・パラ技術役員"/>
      <sheetName val="シン・パラ技術役員 (DCO)"/>
      <sheetName val="まとめ（考え方）"/>
      <sheetName val="契約期間上 宿泊期間  (2024財政見通し用）"/>
      <sheetName val="契約期間上　カレンダー確保泊数 (2024財政見通し用）"/>
      <sheetName val="【250610】パラ技術役員"/>
      <sheetName val="【250610】パラスポンサー"/>
      <sheetName val="パラファミスポ(0530)"/>
      <sheetName val="【241021】パラメディア"/>
      <sheetName val="0001_アパホテル&lt;尾張一宮駅&gt;"/>
      <sheetName val="0002_東横INN名古屋尾張一宮駅前"/>
      <sheetName val="0004_ホテルルートイン一宮駅前"/>
      <sheetName val="0007_一宮グリーンホテル"/>
      <sheetName val="008_ホテルプラザ勝川"/>
      <sheetName val="0010_春日井中央ホテル"/>
      <sheetName val="0012_ルートイングランティア小牧"/>
      <sheetName val="0015_名鉄小牧ホテル"/>
      <sheetName val="0020_あいち健康の森　健康科学総合センター"/>
      <sheetName val="0021_公立学校共済組合　名古屋宿泊所　ホテルルブラ王山"/>
      <sheetName val="0022_ホテルルートイン　名古屋今池駅前"/>
      <sheetName val="0024_ホテルメルパルク名古屋"/>
      <sheetName val="0026_名鉄イン名古屋駅前"/>
      <sheetName val="0027_HOTEL LiVEMAX名古屋桜通口"/>
      <sheetName val="0028_第一富士ホテル"/>
      <sheetName val="0034_サイプレスホテル名古屋駅前"/>
      <sheetName val="0038_東横INN名古屋駅桜通口本館"/>
      <sheetName val="0039_ザサイプレスメルキュールホテル名古屋"/>
      <sheetName val="0040_名古屋マリオットアソシアホテル"/>
      <sheetName val="0041_三交イン名古屋新幹線口"/>
      <sheetName val="0042_スーパーホテル名古屋駅前"/>
      <sheetName val="0043_チサンイン名古屋"/>
      <sheetName val="0044_ホテルパレス名古屋"/>
      <sheetName val="0045_名古屋フラワーホテル"/>
      <sheetName val="0046_名古屋フラワーホテル　別館PARTⅡ"/>
      <sheetName val="0047_東横INN名古屋駅新幹線口"/>
      <sheetName val="0049_名鉄グランドホテル"/>
      <sheetName val="0050_ダイワロイネットホテル名古屋駅前"/>
      <sheetName val="0051_ダイワロイネットホテル名古屋新幹線口"/>
      <sheetName val="0052_名鉄イン名古屋桜通"/>
      <sheetName val="0053_ヴィアイン名古屋新幹線口"/>
      <sheetName val="0054_ザロイヤルパークキャンバス名古屋"/>
      <sheetName val="0055_ホテルリソル名古屋"/>
      <sheetName val="0056_ストリングスホテル 名古屋"/>
      <sheetName val="0057_リッチモンドホテル名古屋新幹線口"/>
      <sheetName val="0058_ナゴヤエキアクセスホテル"/>
      <sheetName val="0059_三井ガーデンホテル名古屋プレミア"/>
      <sheetName val="0060_ダイワロイネットホテル名古屋太閤通口"/>
      <sheetName val="0061_名鉄イン名古屋駅新幹線口"/>
      <sheetName val="0062_名古屋JRゲートタワーホテル"/>
      <sheetName val="0063_HOTEL LiVEMAX名駅"/>
      <sheetName val="0064_名古屋プリンスホテルスカイタワー"/>
      <sheetName val="0065_くれたけインプレミアム名古屋納屋橋"/>
      <sheetName val="0066_三交イン名古屋新幹線口ANNEX"/>
      <sheetName val="0067_東横INN名駅南"/>
      <sheetName val="0068_HOTELLiVEMAXBUDGET名古屋太閤通口"/>
      <sheetName val="0069_ヴィアイン名古屋駅前椿町"/>
      <sheetName val="0070_ベッセルホテルカンパーナ名古屋"/>
      <sheetName val="0071_アットインホテル名古屋駅"/>
      <sheetName val="0073_Hamilton Hotel-BLUE-名駅南"/>
      <sheetName val="0074_スマイルホテル名古屋新幹線口"/>
      <sheetName val="0075_R&amp;Bホテル名古屋新幹線口"/>
      <sheetName val="0076_コンフォートホテル名古屋新幹線口"/>
      <sheetName val="0077_相鉄フレッサイン名古屋駅桜通口"/>
      <sheetName val="0078_三交インGrande名古屋-HOTEL＆SPA-"/>
      <sheetName val="0079_ニッコースタイル名古屋"/>
      <sheetName val="0080_アパホテル&lt;名古屋駅新幹線口北&gt;"/>
      <sheetName val="0081_イビススタイルズ名古屋"/>
      <sheetName val="0082_アパホテル&lt;名古屋駅新幹線口南&gt;"/>
      <sheetName val="0083_R&amp;Bホテル名古屋駅前"/>
      <sheetName val="0084_コンフォートホテル名古屋名駅南"/>
      <sheetName val="0090_名古屋観光ホテル"/>
      <sheetName val="0092_国家公務員共済組合連合会名古屋共済会館"/>
      <sheetName val="0093_都心の天然温泉名古屋クラウンホテル"/>
      <sheetName val="0094_ヒルトン名古屋"/>
      <sheetName val="0096_アイリス愛知"/>
      <sheetName val="0099_名古屋ガーデンパレス"/>
      <sheetName val="0101_東京第一ホテル錦"/>
      <sheetName val="0105_ANAクラウンプラザホテルグランコート名古屋"/>
      <sheetName val="0111_アパホテル&lt;名古屋錦&gt; EXCELLENT"/>
      <sheetName val="0114_リッチモンドホテル名古屋納屋橋"/>
      <sheetName val="0115_ザ・ビー名古屋"/>
      <sheetName val="0117_ホテルウィングインターナショナル名古屋"/>
      <sheetName val="0121_名古屋東急ホテル"/>
      <sheetName val="0127_名古屋クレストンホテル"/>
      <sheetName val="0130_ホテル シルク・トゥリー名古屋"/>
      <sheetName val="0133_アパホテル＜名古屋栄＞"/>
      <sheetName val="0139_ドーミーインPREMIUM名古屋栄"/>
      <sheetName val="0140_名古屋金山ホテル"/>
      <sheetName val="0141_プリンセスガーデンホテル"/>
      <sheetName val="0146_ホテルビスタ名古屋〔錦〕 "/>
      <sheetName val="0154_ダイワロイネットホテル名古屋納屋橋"/>
      <sheetName val="0158_ベッセルイン栄駅前"/>
      <sheetName val="0159_ホテルJALシティ名古屋 錦"/>
      <sheetName val="0160_西鉄ホテルクルーム名古屋"/>
      <sheetName val="0161_ダイワロイネットホテル名古屋伏見"/>
      <sheetName val="0167_グリーンリッチホテル名古屋錦"/>
      <sheetName val="0168_ホテルフォルツァ栄"/>
      <sheetName val="0172_サイプレスガーデンホテル"/>
      <sheetName val="0177_邦和セミナープラザ"/>
      <sheetName val="179_LEGOLAND Japan Hotel"/>
      <sheetName val="180_名古屋笠寺ホテル"/>
      <sheetName val="0184_犬山セントラルホテル"/>
      <sheetName val="0186_ホテルユニゾ名古屋駅前"/>
      <sheetName val="188_名鉄イン刈谷"/>
      <sheetName val="189_コンフォートホテル刈谷"/>
      <sheetName val="0192_パークホテル刈谷"/>
      <sheetName val="0193_アクセスイン刈谷"/>
      <sheetName val="0195_ロイヤルホテルうお八"/>
      <sheetName val="0200_アットインホテル豊田市駅"/>
      <sheetName val="0201_全トヨタ労連研修センター つどいの丘"/>
      <sheetName val="0206_トヨタキャッスルホテル"/>
      <sheetName val="0207_豊田プレステージホテル"/>
      <sheetName val="0208_東横INN豊田駅前"/>
      <sheetName val="0210_名鉄トヨタホテル"/>
      <sheetName val="0211_ホテル松風"/>
      <sheetName val="0212_ホテルルートイン豊田陣中"/>
      <sheetName val="0213_ホテルルートイン豊田元町"/>
      <sheetName val="0214_HOTEL LiVEMAX愛知豊田駅前"/>
      <sheetName val="0219_東横INN三河安城駅新幹線南口2"/>
      <sheetName val="0220_東横INN三河安城駅新幹線南口1"/>
      <sheetName val="0221_ホテルグランドティアラ南名古屋"/>
      <sheetName val="0222_HOTEL LiVEMAX三河安城駅前"/>
      <sheetName val="0223_天然温泉三州の湯ドーミーインEXPRESS三河安城"/>
      <sheetName val="0227_ホテルクラウンパレス知立"/>
      <sheetName val="0228_東横INN名鉄知立駅前"/>
      <sheetName val="0229_岡崎オーワホテル"/>
      <sheetName val="0231_グランドイン東岡崎"/>
      <sheetName val="0232_HOTEL LiVEＭAX岡崎"/>
      <sheetName val="0234_MyHotelOkazaKi"/>
      <sheetName val="0238_岡崎ニューグランドホテル"/>
      <sheetName val="0239_アクセスイン西尾"/>
      <sheetName val="0240_株式会社竜宮ホテル"/>
      <sheetName val="0241_株式会社三河湾リゾート・リンクス"/>
      <sheetName val="0242_吉良かん"/>
      <sheetName val="0243_三河湾ヒルズ・ホテル"/>
      <sheetName val="0245_変なホテルラグーナテンボス"/>
      <sheetName val="0247_株式会社鈴岡"/>
      <sheetName val="0249_ホテル明山荘"/>
      <sheetName val="0250_松風園"/>
      <sheetName val="0251_株式会社三谷温泉ひがきホテル"/>
      <sheetName val="0252_株式会社平野屋"/>
      <sheetName val="0253_蒲郡ホテル"/>
      <sheetName val="0256_ホテル東海園"/>
      <sheetName val="0257_和のリゾートはづ"/>
      <sheetName val="0260_蒲郡クラシックホテル"/>
      <sheetName val="0261_ホテル竹島"/>
      <sheetName val="0269_ホテルルートイン豊川インター"/>
      <sheetName val="0275_シーパレスリゾート"/>
      <sheetName val="0278_ホテルアソシア豊橋"/>
      <sheetName val="0281_ロワジール豊橋"/>
      <sheetName val="0282_ホテルアークリッシュ豊橋"/>
      <sheetName val="0283_東横INN豊橋駅東口"/>
      <sheetName val="0287_コンフォートホテル豊橋"/>
      <sheetName val="0288_ホテルルートイン豊橋駅前"/>
      <sheetName val="0290_ジャストインプレミアム豊橋駅新幹線口"/>
      <sheetName val="0292_マーレホテル東海"/>
      <sheetName val="0293_ザ・カトーホテル"/>
      <sheetName val="0295_東海シティホテル"/>
      <sheetName val="0298_フォーポイントバイシェラトン名古屋中部空港"/>
      <sheetName val="0299_東横INN中部国際空港2"/>
      <sheetName val="0300_東横INN中部国際空港1"/>
      <sheetName val="0301_コンフォートホテル中部国際空港"/>
      <sheetName val="0302_中部国際空港セントレアホテル"/>
      <sheetName val="0303_J・HOTEL ANNEX"/>
      <sheetName val="0304_J・ホテルりんくう"/>
      <sheetName val="0305_ホテルルートイン常滑駅前グランドアネックス"/>
      <sheetName val="0306_ホテルルートイン常滑駅前"/>
      <sheetName val="0307_スプリングサニーホテル名古屋常滑駅前"/>
      <sheetName val="0319_ホテルルートイン半田亀崎"/>
      <sheetName val="0320_アズイン半田インター"/>
      <sheetName val="0321_半田ステーションホテル"/>
      <sheetName val="0322_名鉄イン知多半田駅前"/>
      <sheetName val="0323_センターワンホテル半田"/>
      <sheetName val="0324_カンデオホテルズ半田"/>
      <sheetName val="1002ルートイングランティア東海Spa＆Relaxation"/>
      <sheetName val="1003_ホテルルートイン新城"/>
      <sheetName val="1004_モンブランホテルラフィネ名古屋駅前"/>
      <sheetName val="1006_相鉄フレッサイン名古屋駅新幹線口"/>
      <sheetName val="1007_ホテルミュースタイル犬山エクスペリエンス"/>
      <sheetName val="1008_ホテルインディゴ犬山有楽苑"/>
      <sheetName val="1010_天の丸"/>
      <sheetName val="1012_ホテルたつき"/>
      <sheetName val="1013_西浦グランドホテル吉慶"/>
      <sheetName val="1015_ホテル三河　海陽閣"/>
      <sheetName val="1016_くれたけインプレミアム名駅南"/>
      <sheetName val="1017_HOTEL LiVEMAX名古屋桜通口"/>
      <sheetName val="1018_アパホテル&lt;名古屋駅前&gt;"/>
      <sheetName val="1021_コートヤードバイマリオット名古屋"/>
      <sheetName val="1027_TIAD"/>
      <sheetName val="1028_蒲郡ホテル＜別館＞"/>
      <sheetName val="1029_伊良湖オーシャンリゾート"/>
      <sheetName val="1030_伊良湖シーパーク＆スパ"/>
      <sheetName val="1032_ザロイヤルパークアイコニック名古屋"/>
      <sheetName val="1033_エスパシオ　ナゴヤキャッスル"/>
      <sheetName val="1034_コンラッド名古屋"/>
      <sheetName val="1035_JICA中部"/>
      <sheetName val="1036_衣浦グランドホテル"/>
      <sheetName val="1039_ベストウェスタンプラス名古屋栄"/>
      <sheetName val="2001_アパホテル&lt;岐阜羽島駅前&gt;"/>
      <sheetName val="2007_シェラトン都ホテル大阪"/>
      <sheetName val="2008_ホテルアゴーラリージェンシー大阪堺"/>
      <sheetName val="2009_帝国ホテル大阪"/>
      <sheetName val="2010_神戸西神オリエンタルホテル"/>
      <sheetName val="2011_ANAクラウンプラザホテル神戸"/>
      <sheetName val="2012_シーサイドホテル舞子ビラ神戸"/>
      <sheetName val="2013_ホテルオークラ神戸"/>
      <sheetName val="2015_京都ホテルオークラ "/>
      <sheetName val="2016_つま恋リゾート彩の郷"/>
      <sheetName val="2018_掛川グランドホテル"/>
      <sheetName val="2019_THE HAMANAKO"/>
      <sheetName val="2021_オークラアクトシティホテル浜松"/>
      <sheetName val="2022_ホテルラフォーレ修善寺"/>
      <sheetName val="2024_富士山三島東急ホテル"/>
      <sheetName val="2025_伊豆マリオット修善寺"/>
      <sheetName val="2026_岐阜グランドホテル"/>
      <sheetName val="2027_都ホテル岐阜長良川"/>
      <sheetName val="2028_ホテルグランヴェール岐山（公立共済やすらぎの里）"/>
      <sheetName val="2030_ホテルリソル岐阜"/>
      <sheetName val="2032_大垣フォーラムホテル"/>
      <sheetName val="2034_ホテルルートイン各務原"/>
      <sheetName val="2036_ホテルルートイン羽島駅前"/>
      <sheetName val="2037_ホテルコーヨー"/>
      <sheetName val="2038_京都 東急ホテル"/>
      <sheetName val="2040_リーガロイヤルホテル京都"/>
      <sheetName val="2041_ホテルコンコルド浜松"/>
      <sheetName val="2042_神戸ポートピアホテル"/>
      <sheetName val="2043_パレスホテル掛川"/>
      <sheetName val="2044_くれたけインプレミアム大垣駅前"/>
      <sheetName val="2045_クインテッサホテル大垣"/>
      <sheetName val="2046_ホテルナガシマ"/>
      <sheetName val="2048_東京イーストサイドホテル櫂会"/>
      <sheetName val="2050_二子玉川エクセルホテル東急"/>
      <sheetName val="2051_東京ベイ潮見プリンスホテル"/>
      <sheetName val="3000_ホテルルートイン愛知東郷町"/>
      <sheetName val="3001_グランドニッコー東京 台場"/>
      <sheetName val="3002_長島温泉ガーデンホテルオリーブ"/>
      <sheetName val="3003_長島温泉 ホテル花水木"/>
      <sheetName val="3004_東横イン富士山三島駅"/>
      <sheetName val="3005_アパホテル新大阪駅前"/>
      <sheetName val="3006_アパホテル＆リゾート東京ベイ潮見"/>
      <sheetName val="-_東横イン浜松駅北口"/>
      <sheetName val="-_オースタット国際ホテル多治見"/>
      <sheetName val="-_THE OKURA TOKYO"/>
      <sheetName val="-_帝国ホテル　東京"/>
      <sheetName val="-_東横イン京都四条烏丸"/>
      <sheetName val="-_東横イン大阪なんば日本橋"/>
      <sheetName val="-_東横イン神戸三ノ宮1"/>
      <sheetName val="-_ホテルイースト21東京"/>
      <sheetName val="3007_the b 三軒茶屋"/>
      <sheetName val="3008_相鉄グランドフレッサ東京ベイ有明"/>
      <sheetName val="3009_東横イン大阪なんば日本橋"/>
      <sheetName val="3010_東横イン浜松駅北口"/>
      <sheetName val="3011_東横イン神戸三ノ宮1"/>
      <sheetName val="3012_東横イン熱海駅前"/>
      <sheetName val="3013_ウインドシティホテル"/>
      <sheetName val="3014_コンフォートホテル浜松"/>
      <sheetName val="3015_アパホテル＜神戸三宮＞"/>
      <sheetName val="3016_ホテルルートイン浜松駅東"/>
      <sheetName val="3017_the b 神戸"/>
      <sheetName val="3018_R＆B東京東陽町"/>
      <sheetName val="3019_ヴィラフォンテーヌグランド東京有明"/>
      <sheetName val="3025_トヨタスポーツセンター"/>
      <sheetName val="3027_グランドプリンスホテル大阪ベイ"/>
      <sheetName val="3028_ホテルワイナリーヒル"/>
      <sheetName val="3029_チサンスタンダード大阪新今宮"/>
      <sheetName val="3030_ホテルリブマックス東京潮見駅前"/>
      <sheetName val="3031_愛知県野外教育センター"/>
      <sheetName val="3032_カントリーハウス　ル・シュール"/>
      <sheetName val="3033_多治見天然温泉 ホテルルートイン多治見インター"/>
      <sheetName val="オリジナル"/>
      <sheetName val="マスター1_項目コード"/>
      <sheetName val="マスター2_施設情報"/>
      <sheetName val="ボツ債務負担行為積算 "/>
      <sheetName val="0023_第二富士ホテル"/>
      <sheetName val="0156_アパホテル&lt;名古屋栄北&gt;"/>
      <sheetName val="0266_ウインドシティホテル"/>
      <sheetName val="1037_ルートインGrand名古屋藤が丘駅前"/>
      <sheetName val="3034_グランドホテル浜松"/>
      <sheetName val="宿泊施設DB"/>
    </sheetNames>
    <sheetDataSet>
      <sheetData sheetId="0">
        <row r="196">
          <cell r="C196" t="str">
            <v/>
          </cell>
          <cell r="D196" t="str">
            <v/>
          </cell>
          <cell r="E196" t="str">
            <v/>
          </cell>
          <cell r="F196" t="str">
            <v/>
          </cell>
          <cell r="G196" t="str">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表示 1" id="{694CCA7C-794E-41F5-B0BB-72F64FE3087C}">
    <nsvFilter filterId="{8DEFF6DE-2D06-41DE-B70D-3F3588FC768F}" ref="A1:BT283"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表示 1" id="{9BDE15C8-C5A7-4E44-8852-000D99262508}">
    <nsvFilter filterId="{8DEFF6DE-2D06-41DE-B70D-3F3588FC768F}" ref="A1:CI257"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表示 1" id="{7E41B20A-5370-4FEA-8D6B-B3E5DBEA4F6D}">
    <nsvFilter filterId="{8DEFF6DE-2D06-41DE-B70D-3F3588FC768F}" ref="A1:CF237" tableId="0"/>
  </namedSheetView>
</namedSheetViews>
</file>

<file path=xl/persons/person.xml><?xml version="1.0" encoding="utf-8"?>
<personList xmlns="http://schemas.microsoft.com/office/spreadsheetml/2018/threadedcomments" xmlns:x="http://schemas.openxmlformats.org/spreadsheetml/2006/main">
  <person displayName="hoge" id="{3B213C18-B6A6-46C4-9885-298590F68D2F}" userId="hoge" providerId="None"/>
  <person displayName="松本　英朗" id="{C39DBD6E-C4BB-46AA-80C5-6E8DA219C189}" userId="松本　英朗" providerId="None"/>
  <person displayName="河合 宏樹(名古屋事業部)" id="{3EC30637-C684-4C8F-8D9D-955E443C5990}" userId="河合 宏樹(名古屋事業部)" providerId="None"/>
  <person displayName="松雄 裕太" id="{E82A9DC5-15CE-4351-8A60-6CF086B6F570}" userId="yuta_matsuo@aichi-nagoya2026.org" providerId="PeoplePicker"/>
  <person displayName="岩井 綾野" id="{BE0EE761-9821-4E41-8ABF-45CA6888EE85}" userId="S::ayano_iwai@aichi-nagoya2026.org::94087cf1-af47-4bcc-bc19-fe4a19c11497" providerId="AD"/>
  <person displayName="後藤 真由" id="{CE2BBDBB-EB1E-4340-9493-AFD75B55519D}" userId="S::mayu_gotou@aichi-nagoya2026.org::9ca8afba-1f72-4421-93af-3648a126ca66" providerId="AD"/>
  <person displayName="松雄 裕太" id="{81BCC87F-EB24-4460-9948-AA5372F955D7}" userId="S::yuta_matsuo@aichi-nagoya2026.org::ff9e0476-a932-46c2-afbb-3727b067d41a" providerId="AD"/>
  <person displayName="須藤 大地" id="{88D75A5A-321D-4A29-B434-71096DF4B30F}" userId="S::daichi_sudou@aichi-nagoya2026.org::64b09753-9080-405b-81f1-c1f05f6068e0" providerId="AD"/>
  <person displayName="中野 翔太" id="{5D14315B-3BDF-4A9D-BA40-0A27351EDE6E}" userId="S::shota_nakano@aichi-nagoya2026.org::201ff949-2d2a-4c3b-b9af-f2d31cbabd38" providerId="AD"/>
  <person displayName="渡邊 璃音" id="{C4CD07CB-2EA4-470D-8AB3-DCC4D2DC9B9D}" userId="S::rion_watanabe@aichi-nagoya2026.org::0525ca09-49f9-4eb1-b05e-34f4fec8034a" providerId="AD"/>
  <person displayName="西田 菜月" id="{4BBA8C90-4176-4A07-B536-01BFAF46B889}" userId="S::natsuki_nishida@aichi-nagoya2026.org::2e60dd1c-2af5-4bae-aaf1-e9fd85bb53ab" providerId="AD"/>
  <person displayName="小林 芳江" id="{AD1E14E5-635D-47CC-A539-1F48A7A21B23}" userId="S::yoshie_kobayashi@aichi-nagoya2026.org::f124945e-0da7-495e-a750-1dae2a3a888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B17D43-E369-4BBE-8D55-A094420FBEE2}" name="テーブル1" displayName="テーブル1" ref="A1:B15" totalsRowShown="0">
  <autoFilter ref="A1:B15" xr:uid="{08B17D43-E369-4BBE-8D55-A094420FBEE2}"/>
  <tableColumns count="2">
    <tableColumn id="1" xr3:uid="{B4A6DA50-730C-476D-9691-12A6D1FE4A4B}" name="項目"/>
    <tableColumn id="2" xr3:uid="{E7BD1527-4823-4CF5-B094-B0C1D8C846CD}" name="内容"/>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4" dT="2025-07-03T02:24:42.16" personId="{C39DBD6E-C4BB-46AA-80C5-6E8DA219C189}" id="{95873CEC-529A-4E76-B366-15ECF2D52BF0}">
    <text>725*11*21000は167,475,000円だが、計算ミス？7976人泊になっていた</text>
  </threadedComment>
  <threadedComment ref="F42" dT="2025-05-21T03:48:19.69" personId="{C39DBD6E-C4BB-46AA-80C5-6E8DA219C189}" id="{94A3D4D6-0542-44B4-AC02-63DE3937217D}">
    <text>のべ</text>
  </threadedComment>
  <threadedComment ref="L42" dT="2025-05-21T05:15:14.87" personId="{C39DBD6E-C4BB-46AA-80C5-6E8DA219C189}" id="{7D01BDAB-DAA9-431F-95A4-826B90B3B543}">
    <text>のべ</text>
  </threadedComment>
  <threadedComment ref="F47" dT="2025-05-21T03:48:16.96" personId="{C39DBD6E-C4BB-46AA-80C5-6E8DA219C189}" id="{0C79C239-FAEA-4E6F-8054-B6141AD60350}">
    <text>のべ。ハラルは完調品のため通常食対応の人数を記載</text>
  </threadedComment>
  <threadedComment ref="L47" dT="2025-05-21T03:48:16.96" personId="{C39DBD6E-C4BB-46AA-80C5-6E8DA219C189}" id="{B5BEEA73-6601-49C7-821C-82B4537C5F93}">
    <text>のべ。ハラルは完調品のため通常食対応の人数を記載</text>
  </threadedComment>
  <threadedComment ref="F48" dT="2025-05-21T03:48:23.52" personId="{C39DBD6E-C4BB-46AA-80C5-6E8DA219C189}" id="{52C7E8E0-9FF0-43DF-8BAE-249D70E4E284}">
    <text>のべ</text>
  </threadedComment>
  <threadedComment ref="L48" dT="2025-05-21T05:15:19.70" personId="{C39DBD6E-C4BB-46AA-80C5-6E8DA219C189}" id="{A705D827-FBC4-4500-9769-0D4C7133FA00}">
    <text>のべ</text>
  </threadedComment>
  <threadedComment ref="F49" dT="2025-06-27T02:24:35.86" personId="{C39DBD6E-C4BB-46AA-80C5-6E8DA219C189}" id="{793E87BE-3088-418A-B1FC-30AF781CAB0C}">
    <text>のべ</text>
  </threadedComment>
  <threadedComment ref="L49" dT="2025-05-21T05:15:19.70" personId="{C39DBD6E-C4BB-46AA-80C5-6E8DA219C189}" id="{390E006E-6DB0-44C1-AA59-89E2AE3A8EBB}">
    <text>のべ</text>
  </threadedComment>
  <threadedComment ref="F50" dT="2025-05-21T03:48:28.88" personId="{C39DBD6E-C4BB-46AA-80C5-6E8DA219C189}" id="{020C948B-EBE7-4602-988D-CC855E886537}">
    <text>のべ</text>
  </threadedComment>
  <threadedComment ref="L50" dT="2025-05-21T05:15:22.17" personId="{C39DBD6E-C4BB-46AA-80C5-6E8DA219C189}" id="{58D2993C-5FD8-4F41-9A35-2D13F81138E9}">
    <text>のべ</text>
  </threadedComment>
  <threadedComment ref="F51" dT="2025-05-20T12:10:37.37" personId="{C39DBD6E-C4BB-46AA-80C5-6E8DA219C189}" id="{47E0D353-ECCA-4617-994F-565CB7DE40CC}">
    <text>のべ</text>
  </threadedComment>
  <threadedComment ref="L51" dT="2025-05-21T05:15:24.81" personId="{C39DBD6E-C4BB-46AA-80C5-6E8DA219C189}" id="{8D1C44A5-6B83-497B-AD9A-99AB01225488}">
    <text>のべ</text>
  </threadedComment>
  <threadedComment ref="F52" dT="2025-05-20T12:12:01.06" personId="{C39DBD6E-C4BB-46AA-80C5-6E8DA219C189}" id="{2D20A749-8087-4F36-B5E4-B390F8EAA67B}">
    <text>のべ</text>
  </threadedComment>
  <threadedComment ref="L52" dT="2025-05-21T05:15:27.75" personId="{C39DBD6E-C4BB-46AA-80C5-6E8DA219C189}" id="{BE644BF1-B5EF-4D7B-86D2-20A135F77FCE}">
    <text>のべ</text>
  </threadedComment>
  <threadedComment ref="F53" dT="2025-05-20T12:12:22.75" personId="{C39DBD6E-C4BB-46AA-80C5-6E8DA219C189}" id="{82B7B1D6-3594-4F04-81B0-487973B9064E}">
    <text>のべ</text>
  </threadedComment>
  <threadedComment ref="F54" dT="2025-05-21T03:48:10.79" personId="{C39DBD6E-C4BB-46AA-80C5-6E8DA219C189}" id="{DBDFF742-69B2-4763-BFB7-74D9DCB54FD1}">
    <text>のべ</text>
  </threadedComment>
  <threadedComment ref="C69" dT="2025-07-25T05:15:14.61" personId="{C39DBD6E-C4BB-46AA-80C5-6E8DA219C189}" id="{0C679B16-D404-466B-B05A-0ED64EA7250E}">
    <text>財政見通し上は、アジア86,508千円、パラ22,496千円が積算</text>
  </threadedComment>
</ThreadedComments>
</file>

<file path=xl/threadedComments/threadedComment2.xml><?xml version="1.0" encoding="utf-8"?>
<ThreadedComments xmlns="http://schemas.microsoft.com/office/spreadsheetml/2018/threadedcomments" xmlns:x="http://schemas.openxmlformats.org/spreadsheetml/2006/main">
  <threadedComment ref="I15" dT="2025-07-03T02:24:42.16" personId="{C39DBD6E-C4BB-46AA-80C5-6E8DA219C189}" id="{D5AF8BD7-2026-4691-A991-8DCA792BAC98}">
    <text>725*11*21000は167,475,000円だが、計算ミス？7976人泊になっていた</text>
  </threadedComment>
  <threadedComment ref="F43" dT="2025-05-21T03:48:19.69" personId="{C39DBD6E-C4BB-46AA-80C5-6E8DA219C189}" id="{52BFDE44-D5A1-4CF9-BB88-3A1A09E24421}">
    <text>のべ</text>
  </threadedComment>
  <threadedComment ref="L43" dT="2025-05-21T05:15:14.87" personId="{C39DBD6E-C4BB-46AA-80C5-6E8DA219C189}" id="{EB8BA3B1-4CFB-4159-8517-C0AFF5146A6F}">
    <text>のべ</text>
  </threadedComment>
  <threadedComment ref="F49" dT="2025-05-21T03:48:16.96" personId="{C39DBD6E-C4BB-46AA-80C5-6E8DA219C189}" id="{B1A41CDB-12FE-4589-A3C1-0B5CB3630D72}">
    <text>のべ。ハラルは完調品のため通常食対応の人数を記載</text>
  </threadedComment>
  <threadedComment ref="L49" dT="2025-05-21T03:48:16.96" personId="{C39DBD6E-C4BB-46AA-80C5-6E8DA219C189}" id="{49AFA56C-5044-4C54-AD9B-4661E4173036}">
    <text>のべ。ハラルは完調品のため通常食対応の人数を記載</text>
  </threadedComment>
  <threadedComment ref="F50" dT="2025-05-21T03:48:23.52" personId="{C39DBD6E-C4BB-46AA-80C5-6E8DA219C189}" id="{9477C5B1-D852-4651-AA2E-96F1C3DD9F1A}">
    <text>のべ</text>
  </threadedComment>
  <threadedComment ref="L50" dT="2025-05-21T05:15:19.70" personId="{C39DBD6E-C4BB-46AA-80C5-6E8DA219C189}" id="{CE8A8F37-99DC-483C-AF4A-B2EF6A65B6B3}">
    <text>のべ</text>
  </threadedComment>
  <threadedComment ref="F51" dT="2025-06-27T02:24:35.86" personId="{C39DBD6E-C4BB-46AA-80C5-6E8DA219C189}" id="{D9CF3A65-3B2D-4315-B26F-02BB00E385B8}">
    <text>のべ</text>
  </threadedComment>
  <threadedComment ref="L51" dT="2025-05-21T05:15:19.70" personId="{C39DBD6E-C4BB-46AA-80C5-6E8DA219C189}" id="{E93733B4-681D-4DC3-BCCF-9E4A8268276C}">
    <text>のべ</text>
  </threadedComment>
  <threadedComment ref="F52" dT="2025-05-21T03:48:28.88" personId="{C39DBD6E-C4BB-46AA-80C5-6E8DA219C189}" id="{50B993D2-04BF-4649-9089-501F166F577E}">
    <text>のべ</text>
  </threadedComment>
  <threadedComment ref="L52" dT="2025-05-21T05:15:22.17" personId="{C39DBD6E-C4BB-46AA-80C5-6E8DA219C189}" id="{BA18B4B5-743B-45F9-816F-3CE1B7BDC0EA}">
    <text>のべ</text>
  </threadedComment>
  <threadedComment ref="F53" dT="2025-05-20T12:10:37.37" personId="{C39DBD6E-C4BB-46AA-80C5-6E8DA219C189}" id="{85D2968E-0A6E-4F0F-BA57-A0A4EDDA9930}">
    <text>のべ</text>
  </threadedComment>
  <threadedComment ref="L53" dT="2025-05-21T05:15:24.81" personId="{C39DBD6E-C4BB-46AA-80C5-6E8DA219C189}" id="{8E6C2754-0610-4310-9A25-03EE0D9CEA41}">
    <text>のべ</text>
  </threadedComment>
  <threadedComment ref="F54" dT="2025-05-20T12:12:01.06" personId="{C39DBD6E-C4BB-46AA-80C5-6E8DA219C189}" id="{1F55D310-A377-490C-AC6E-42F8E2A4EB02}">
    <text>のべ</text>
  </threadedComment>
  <threadedComment ref="L54" dT="2025-05-21T05:15:27.75" personId="{C39DBD6E-C4BB-46AA-80C5-6E8DA219C189}" id="{3BD6560B-F742-4644-B3E5-27A645168BD2}">
    <text>のべ</text>
  </threadedComment>
  <threadedComment ref="F55" dT="2025-05-20T12:12:22.75" personId="{C39DBD6E-C4BB-46AA-80C5-6E8DA219C189}" id="{C753BC75-1B2B-4718-A607-ABF9E71132F9}">
    <text>のべ</text>
  </threadedComment>
  <threadedComment ref="F56" dT="2025-05-21T03:48:10.79" personId="{C39DBD6E-C4BB-46AA-80C5-6E8DA219C189}" id="{E55D419D-FD06-436E-988D-EC397E656A32}">
    <text>のべ</text>
  </threadedComment>
  <threadedComment ref="C74" dT="2025-07-25T05:15:14.61" personId="{C39DBD6E-C4BB-46AA-80C5-6E8DA219C189}" id="{742C5935-7B9A-4148-963F-13D9DB9551D1}">
    <text>財政見通し上は、アジア86,508千円、パラ22,496千円が積算</text>
  </threadedComment>
  <threadedComment ref="F95" dT="2025-05-21T03:48:19.69" personId="{C39DBD6E-C4BB-46AA-80C5-6E8DA219C189}" id="{96D70CC7-D2B4-477F-A388-B01E98654956}">
    <text>のべ</text>
  </threadedComment>
  <threadedComment ref="L95" dT="2025-05-21T05:15:14.87" personId="{C39DBD6E-C4BB-46AA-80C5-6E8DA219C189}" id="{DAEF0A4F-D1DC-4E35-86D9-0C120D18A9AF}">
    <text>のべ</text>
  </threadedComment>
  <threadedComment ref="F101" dT="2025-05-21T03:48:23.52" personId="{C39DBD6E-C4BB-46AA-80C5-6E8DA219C189}" id="{8E5184CB-66B5-42C1-BCA6-8727DC754F95}">
    <text>のべ</text>
  </threadedComment>
  <threadedComment ref="L101" dT="2025-05-21T05:15:19.70" personId="{C39DBD6E-C4BB-46AA-80C5-6E8DA219C189}" id="{6F16A8AC-C630-4F81-A8EF-362EEB7EAF33}">
    <text>のべ</text>
  </threadedComment>
  <threadedComment ref="F103" dT="2025-05-21T03:48:28.88" personId="{C39DBD6E-C4BB-46AA-80C5-6E8DA219C189}" id="{B898AB3B-A801-4834-B229-19B20BFD8A18}">
    <text>のべ</text>
  </threadedComment>
  <threadedComment ref="L103" dT="2025-05-21T05:15:22.17" personId="{C39DBD6E-C4BB-46AA-80C5-6E8DA219C189}" id="{A68D3A93-712D-4290-9EDA-50B7A70EFB91}">
    <text>のべ</text>
  </threadedComment>
  <threadedComment ref="F104" dT="2025-10-14T05:08:41.69" personId="{C39DBD6E-C4BB-46AA-80C5-6E8DA219C189}" id="{3A818F63-C916-4B2F-8F8E-34A61899E823}">
    <text>のべ</text>
  </threadedComment>
  <threadedComment ref="L104" dT="2025-10-14T05:08:41.69" personId="{C39DBD6E-C4BB-46AA-80C5-6E8DA219C189}" id="{83BAC8EE-3DC8-4AC1-8490-F31D49929AEA}">
    <text>のべ</text>
  </threadedComment>
  <threadedComment ref="F105" dT="2025-05-20T12:10:37.37" personId="{C39DBD6E-C4BB-46AA-80C5-6E8DA219C189}" id="{D7DF019A-B932-4BD2-BC97-A87415602DD4}">
    <text>のべ</text>
  </threadedComment>
  <threadedComment ref="L105" dT="2025-05-21T05:15:24.81" personId="{C39DBD6E-C4BB-46AA-80C5-6E8DA219C189}" id="{88C17A8B-016E-4E21-BCB3-44E2D5C18062}">
    <text>のべ</text>
  </threadedComment>
  <threadedComment ref="C106" dT="2025-10-10T12:01:40.12" personId="{C39DBD6E-C4BB-46AA-80C5-6E8DA219C189}" id="{D62866D6-8B4E-4BFD-A0C9-15B6D9F3C797}">
    <text>査定分を減額</text>
  </threadedComment>
  <threadedComment ref="E106" dT="2025-10-10T10:58:25.09" personId="{C39DBD6E-C4BB-46AA-80C5-6E8DA219C189}" id="{6CC0A658-7531-48BE-B58D-B8C25258FB5A}">
    <text>減額により444,090,000円マイナス（この２項目合計で）</text>
  </threadedComment>
  <threadedComment ref="C109" dT="2025-10-10T12:01:17.17" personId="{C39DBD6E-C4BB-46AA-80C5-6E8DA219C189}" id="{BA3E1DD0-43C6-418A-8C6D-4D5485921921}">
    <text>メルパルク瑞雲（82,475,789円）およびアイリス愛知パラFn料金（53,344,500円）を減額</text>
  </threadedComment>
  <threadedComment ref="K109" dT="2025-10-10T10:47:28.82" personId="{C39DBD6E-C4BB-46AA-80C5-6E8DA219C189}" id="{9FD8CBF8-7E2A-4813-B0DB-5900A661ABF6}">
    <text>メルパルクの瑞雲を減額</text>
  </threadedComment>
  <threadedComment ref="K112" dT="2025-10-10T12:02:57.74" personId="{C39DBD6E-C4BB-46AA-80C5-6E8DA219C189}" id="{ED9EF441-FB5E-43EF-A499-6B806851B15A}">
    <text>アイリスFnを減額</text>
  </threadedComment>
  <threadedComment ref="C113" dT="2025-10-10T12:01:34.50" personId="{C39DBD6E-C4BB-46AA-80C5-6E8DA219C189}" id="{CC2A3BFB-6A94-4728-AD4E-A7B624359256}">
    <text>査定分を減額</text>
  </threadedComment>
  <threadedComment ref="E118" dT="2025-10-10T10:36:28.21" personId="{C39DBD6E-C4BB-46AA-80C5-6E8DA219C189}" id="{DE5532B0-E4B2-4453-A840-A53634AF3243}">
    <text>削減されたのでそれにあわせた数字。
消す前の数式は以下
='財政見通し積算 (全SH全項目統合版）'!H26</text>
  </threadedComment>
  <threadedComment ref="K118" dT="2025-10-10T10:36:47.08" personId="{C39DBD6E-C4BB-46AA-80C5-6E8DA219C189}" id="{0E265A97-FD6D-4B03-984B-F604D1061618}">
    <text>削減されたのでそれにあわせた数字。
消す前の数式は以下
='財政見通し積算 (全SH全項目統合版）'!H31</text>
  </threadedComment>
</ThreadedComments>
</file>

<file path=xl/threadedComments/threadedComment3.xml><?xml version="1.0" encoding="utf-8"?>
<ThreadedComments xmlns="http://schemas.microsoft.com/office/spreadsheetml/2018/threadedcomments" xmlns:x="http://schemas.openxmlformats.org/spreadsheetml/2006/main">
  <threadedComment ref="I15" dT="2025-07-03T02:24:42.16" personId="{C39DBD6E-C4BB-46AA-80C5-6E8DA219C189}" id="{DAD85D08-448D-46D5-928E-6479BD187E94}">
    <text>725*11*21000は167,475,000円だが、計算ミス？7976人泊になっていた</text>
  </threadedComment>
  <threadedComment ref="F43" dT="2025-05-21T03:48:19.69" personId="{C39DBD6E-C4BB-46AA-80C5-6E8DA219C189}" id="{4ED1335E-9C8D-480C-850B-A3DC84CA06CA}">
    <text>のべ</text>
  </threadedComment>
  <threadedComment ref="L43" dT="2025-05-21T05:15:14.87" personId="{C39DBD6E-C4BB-46AA-80C5-6E8DA219C189}" id="{2C95B18C-6E26-4B37-A2E3-5F671B048D5D}">
    <text>のべ</text>
  </threadedComment>
  <threadedComment ref="F49" dT="2025-05-21T03:48:16.96" personId="{C39DBD6E-C4BB-46AA-80C5-6E8DA219C189}" id="{C815A54F-0483-4A4D-B176-D763077BCC89}">
    <text>のべ。ハラルは完調品のため通常食対応の人数を記載</text>
  </threadedComment>
  <threadedComment ref="L49" dT="2025-05-21T03:48:16.96" personId="{C39DBD6E-C4BB-46AA-80C5-6E8DA219C189}" id="{475FAD83-1260-4D25-98BD-F5C53C07034C}">
    <text>のべ。ハラルは完調品のため通常食対応の人数を記載</text>
  </threadedComment>
  <threadedComment ref="F50" dT="2025-05-21T03:48:23.52" personId="{C39DBD6E-C4BB-46AA-80C5-6E8DA219C189}" id="{47429F19-4E6B-4839-99FB-49F9608341B1}">
    <text>のべ</text>
  </threadedComment>
  <threadedComment ref="L50" dT="2025-05-21T05:15:19.70" personId="{C39DBD6E-C4BB-46AA-80C5-6E8DA219C189}" id="{27FF1EAF-6E52-4D5E-BA57-B277A3C562BE}">
    <text>のべ</text>
  </threadedComment>
  <threadedComment ref="F51" dT="2025-06-27T02:24:35.86" personId="{C39DBD6E-C4BB-46AA-80C5-6E8DA219C189}" id="{9EBE3732-507C-4A93-ACFB-B8781534C316}">
    <text>のべ</text>
  </threadedComment>
  <threadedComment ref="L51" dT="2025-05-21T05:15:19.70" personId="{C39DBD6E-C4BB-46AA-80C5-6E8DA219C189}" id="{316A1287-B125-48C3-8D01-20F9967EC6F3}">
    <text>のべ</text>
  </threadedComment>
  <threadedComment ref="F52" dT="2025-05-21T03:48:28.88" personId="{C39DBD6E-C4BB-46AA-80C5-6E8DA219C189}" id="{01120D24-1923-4FE6-85BB-B2C06E88AFF8}">
    <text>のべ</text>
  </threadedComment>
  <threadedComment ref="L52" dT="2025-05-21T05:15:22.17" personId="{C39DBD6E-C4BB-46AA-80C5-6E8DA219C189}" id="{7A3190BB-E30C-46F8-8A10-8023567CF3B5}">
    <text>のべ</text>
  </threadedComment>
  <threadedComment ref="F53" dT="2025-05-20T12:10:37.37" personId="{C39DBD6E-C4BB-46AA-80C5-6E8DA219C189}" id="{28470D0B-0133-4077-86AC-56A31A9B0FDC}">
    <text>のべ</text>
  </threadedComment>
  <threadedComment ref="L53" dT="2025-05-21T05:15:24.81" personId="{C39DBD6E-C4BB-46AA-80C5-6E8DA219C189}" id="{4DA36B2A-F85A-4F48-A2C6-920A12F7697C}">
    <text>のべ</text>
  </threadedComment>
  <threadedComment ref="F54" dT="2025-05-20T12:12:01.06" personId="{C39DBD6E-C4BB-46AA-80C5-6E8DA219C189}" id="{2A3B671A-4200-424F-82E4-A392CFB27F40}">
    <text>のべ</text>
  </threadedComment>
  <threadedComment ref="L54" dT="2025-05-21T05:15:27.75" personId="{C39DBD6E-C4BB-46AA-80C5-6E8DA219C189}" id="{C9241508-D3D0-47A7-B738-0BE94C642F54}">
    <text>のべ</text>
  </threadedComment>
  <threadedComment ref="F55" dT="2025-05-20T12:12:22.75" personId="{C39DBD6E-C4BB-46AA-80C5-6E8DA219C189}" id="{6C605AB3-FE7D-4833-850A-EF1F23E95F11}">
    <text>のべ</text>
  </threadedComment>
  <threadedComment ref="F56" dT="2025-05-21T03:48:10.79" personId="{C39DBD6E-C4BB-46AA-80C5-6E8DA219C189}" id="{E3F3FC29-8F54-4896-94B5-80C903F7EB57}">
    <text>のべ</text>
  </threadedComment>
  <threadedComment ref="C74" dT="2025-07-25T05:15:14.61" personId="{C39DBD6E-C4BB-46AA-80C5-6E8DA219C189}" id="{4F36EA9A-F6D4-4BC3-9D35-CEDA18AA3D58}">
    <text>財政見通し上は、アジア86,508千円、パラ22,496千円が積算</text>
  </threadedComment>
  <threadedComment ref="F95" dT="2025-05-21T03:48:19.69" personId="{C39DBD6E-C4BB-46AA-80C5-6E8DA219C189}" id="{8D6E9BFA-95C7-46FC-8DFA-9D207A3998F2}">
    <text>のべ</text>
  </threadedComment>
  <threadedComment ref="L95" dT="2025-05-21T05:15:14.87" personId="{C39DBD6E-C4BB-46AA-80C5-6E8DA219C189}" id="{1E83D9A1-732B-4B89-9CF6-CFD5605F9264}">
    <text>のべ</text>
  </threadedComment>
  <threadedComment ref="F101" dT="2025-05-21T03:48:23.52" personId="{C39DBD6E-C4BB-46AA-80C5-6E8DA219C189}" id="{DCE85963-13EE-4658-8792-56514C6859CC}">
    <text>のべ</text>
  </threadedComment>
  <threadedComment ref="L101" dT="2025-05-21T05:15:19.70" personId="{C39DBD6E-C4BB-46AA-80C5-6E8DA219C189}" id="{6C921FD5-7B4D-45C4-B23B-A7EFA07924FC}">
    <text>のべ</text>
  </threadedComment>
  <threadedComment ref="F103" dT="2025-05-21T03:48:28.88" personId="{C39DBD6E-C4BB-46AA-80C5-6E8DA219C189}" id="{E1A4600C-E3C9-41CB-A66F-06E24FED3410}">
    <text>のべ</text>
  </threadedComment>
  <threadedComment ref="L103" dT="2025-05-21T05:15:22.17" personId="{C39DBD6E-C4BB-46AA-80C5-6E8DA219C189}" id="{57837FF8-94E4-425C-BE45-15D24F4650D7}">
    <text>のべ</text>
  </threadedComment>
  <threadedComment ref="F104" dT="2025-10-14T05:08:41.69" personId="{C39DBD6E-C4BB-46AA-80C5-6E8DA219C189}" id="{F9659C3D-D1DB-408A-BB54-00B06603454F}">
    <text>のべ</text>
  </threadedComment>
  <threadedComment ref="L104" dT="2025-10-14T05:08:41.69" personId="{C39DBD6E-C4BB-46AA-80C5-6E8DA219C189}" id="{6088C08C-9E0C-4244-91EA-3A24E4CD34C9}">
    <text>のべ</text>
  </threadedComment>
  <threadedComment ref="F105" dT="2025-05-20T12:10:37.37" personId="{C39DBD6E-C4BB-46AA-80C5-6E8DA219C189}" id="{84D250BA-B11D-46C3-B651-3741E181C1BE}">
    <text>のべ</text>
  </threadedComment>
  <threadedComment ref="L105" dT="2025-05-21T05:15:24.81" personId="{C39DBD6E-C4BB-46AA-80C5-6E8DA219C189}" id="{2F7A590D-331B-461C-801F-2FC5F7F31E34}">
    <text>のべ</text>
  </threadedComment>
  <threadedComment ref="C106" dT="2025-10-10T12:01:40.12" personId="{C39DBD6E-C4BB-46AA-80C5-6E8DA219C189}" id="{05EB897E-FF61-4618-B501-A0F7D358FF38}">
    <text>査定分を減額</text>
  </threadedComment>
  <threadedComment ref="E106" dT="2025-10-10T10:58:25.09" personId="{C39DBD6E-C4BB-46AA-80C5-6E8DA219C189}" id="{8FC090A4-3B92-43B7-82A8-3ECC5E8E789F}">
    <text>減額により444,090,000円マイナス（この２項目合計で）</text>
  </threadedComment>
  <threadedComment ref="C109" dT="2025-10-10T12:01:17.17" personId="{C39DBD6E-C4BB-46AA-80C5-6E8DA219C189}" id="{FB9464D3-29D3-4806-9271-B3B24054F285}">
    <text>メルパルク瑞雲（82,475,789円）およびアイリス愛知パラFn料金（53,344,500円）を減額</text>
  </threadedComment>
  <threadedComment ref="K109" dT="2025-10-10T10:47:28.82" personId="{C39DBD6E-C4BB-46AA-80C5-6E8DA219C189}" id="{96174796-011D-4E67-B7F7-B27DE3ECF51E}">
    <text>メルパルクの瑞雲を減額</text>
  </threadedComment>
  <threadedComment ref="K112" dT="2025-10-10T12:02:57.74" personId="{C39DBD6E-C4BB-46AA-80C5-6E8DA219C189}" id="{8747C289-1E83-4FF0-B0ED-8F40BD9CCEB5}">
    <text>アイリスFnを減額</text>
  </threadedComment>
  <threadedComment ref="C113" dT="2025-10-10T12:01:34.50" personId="{C39DBD6E-C4BB-46AA-80C5-6E8DA219C189}" id="{01C1D834-A56A-4046-8812-58EDC2553726}">
    <text>査定分を減額</text>
  </threadedComment>
  <threadedComment ref="E118" dT="2025-10-10T10:36:28.21" personId="{C39DBD6E-C4BB-46AA-80C5-6E8DA219C189}" id="{C782A718-DAA1-4CA5-9192-5727F04F6027}">
    <text>削減されたのでそれにあわせた数字。
消す前の数式は以下
='財政見通し積算 (全SH全項目統合版）'!H26</text>
  </threadedComment>
  <threadedComment ref="K118" dT="2025-10-10T10:36:47.08" personId="{C39DBD6E-C4BB-46AA-80C5-6E8DA219C189}" id="{0E95C3B8-16DE-4B71-BD66-D560DBFBF48D}">
    <text>削減されたのでそれにあわせた数字。
消す前の数式は以下
='財政見通し積算 (全SH全項目統合版）'!H31</text>
  </threadedComment>
</ThreadedComments>
</file>

<file path=xl/threadedComments/threadedComment4.xml><?xml version="1.0" encoding="utf-8"?>
<ThreadedComments xmlns="http://schemas.microsoft.com/office/spreadsheetml/2018/threadedcomments" xmlns:x="http://schemas.openxmlformats.org/spreadsheetml/2006/main">
  <threadedComment ref="I14" dT="2025-07-03T02:24:42.16" personId="{C39DBD6E-C4BB-46AA-80C5-6E8DA219C189}" id="{C5A27978-A225-4062-BFAD-C24FD5858BB2}">
    <text>725*11*21000は167,475,000円だが、計算ミス？7976人泊になっていた</text>
  </threadedComment>
  <threadedComment ref="F42" dT="2025-05-21T03:48:19.69" personId="{C39DBD6E-C4BB-46AA-80C5-6E8DA219C189}" id="{A4CA61A1-874A-4CE8-AECD-C2C5342E79FB}">
    <text>のべ</text>
  </threadedComment>
  <threadedComment ref="L42" dT="2025-05-21T05:15:14.87" personId="{C39DBD6E-C4BB-46AA-80C5-6E8DA219C189}" id="{97D76BE1-A20A-434C-A277-ECA790CBC55C}">
    <text>のべ</text>
  </threadedComment>
  <threadedComment ref="F48" dT="2025-05-21T03:48:16.96" personId="{C39DBD6E-C4BB-46AA-80C5-6E8DA219C189}" id="{B450ECDF-6B04-4A6C-B981-D4696323ACA0}">
    <text>のべ。ハラルは完調品のため通常食対応の人数を記載</text>
  </threadedComment>
  <threadedComment ref="L48" dT="2025-05-21T03:48:16.96" personId="{C39DBD6E-C4BB-46AA-80C5-6E8DA219C189}" id="{496DC078-86AD-48F6-976E-3B100ADC1995}">
    <text>のべ。ハラルは完調品のため通常食対応の人数を記載</text>
  </threadedComment>
  <threadedComment ref="F49" dT="2025-05-21T03:48:23.52" personId="{C39DBD6E-C4BB-46AA-80C5-6E8DA219C189}" id="{791EAD3E-384A-4C0A-99EF-610FE7370B8A}">
    <text>のべ</text>
  </threadedComment>
  <threadedComment ref="L49" dT="2025-05-21T05:15:19.70" personId="{C39DBD6E-C4BB-46AA-80C5-6E8DA219C189}" id="{EB1E38C9-7388-4E1B-A9F4-E27530091E8E}">
    <text>のべ</text>
  </threadedComment>
  <threadedComment ref="F50" dT="2025-06-27T02:24:35.86" personId="{C39DBD6E-C4BB-46AA-80C5-6E8DA219C189}" id="{34CB64A7-03FE-4AB9-B367-9DFA30150C5F}">
    <text>のべ</text>
  </threadedComment>
  <threadedComment ref="L50" dT="2025-05-21T05:15:19.70" personId="{C39DBD6E-C4BB-46AA-80C5-6E8DA219C189}" id="{10CBB359-16F9-4ACD-B64C-9DD5779FC20F}">
    <text>のべ</text>
  </threadedComment>
  <threadedComment ref="F51" dT="2025-05-21T03:48:28.88" personId="{C39DBD6E-C4BB-46AA-80C5-6E8DA219C189}" id="{B97CF67E-D7AB-4A32-B0F4-AF0A75415642}">
    <text>のべ</text>
  </threadedComment>
  <threadedComment ref="L51" dT="2025-05-21T05:15:22.17" personId="{C39DBD6E-C4BB-46AA-80C5-6E8DA219C189}" id="{0307EAE6-28DE-4F10-B869-2E33997C5764}">
    <text>のべ</text>
  </threadedComment>
  <threadedComment ref="F52" dT="2025-05-20T12:10:37.37" personId="{C39DBD6E-C4BB-46AA-80C5-6E8DA219C189}" id="{C608B312-D323-4670-9CD3-829A421D0B5A}">
    <text>のべ</text>
  </threadedComment>
  <threadedComment ref="L52" dT="2025-05-21T05:15:24.81" personId="{C39DBD6E-C4BB-46AA-80C5-6E8DA219C189}" id="{BC7A19AD-FDE9-46B6-AA54-D02E5395374B}">
    <text>のべ</text>
  </threadedComment>
  <threadedComment ref="F53" dT="2025-05-20T12:12:01.06" personId="{C39DBD6E-C4BB-46AA-80C5-6E8DA219C189}" id="{5A4560D0-83C0-4A24-BCDB-76977EE09F0E}">
    <text>のべ</text>
  </threadedComment>
  <threadedComment ref="L53" dT="2025-05-21T05:15:27.75" personId="{C39DBD6E-C4BB-46AA-80C5-6E8DA219C189}" id="{8C08D46A-4D0A-4BED-8238-F510D6EBE3B7}">
    <text>のべ</text>
  </threadedComment>
  <threadedComment ref="F54" dT="2025-05-20T12:12:22.75" personId="{C39DBD6E-C4BB-46AA-80C5-6E8DA219C189}" id="{431739C2-7431-4C96-8BDF-2EA11BBE6FFF}">
    <text>のべ</text>
  </threadedComment>
  <threadedComment ref="F55" dT="2025-05-21T03:48:10.79" personId="{C39DBD6E-C4BB-46AA-80C5-6E8DA219C189}" id="{59757F9F-E2AF-41EF-BFAE-D383F8135DB3}">
    <text>のべ</text>
  </threadedComment>
  <threadedComment ref="C73" dT="2025-07-25T05:15:14.61" personId="{C39DBD6E-C4BB-46AA-80C5-6E8DA219C189}" id="{4B63B774-E8C0-419F-91DC-C6E80D760AEC}">
    <text>財政見通し上は、アジア86,508千円、パラ22,496千円が積算</text>
  </threadedComment>
</ThreadedComments>
</file>

<file path=xl/threadedComments/threadedComment5.xml><?xml version="1.0" encoding="utf-8"?>
<ThreadedComments xmlns="http://schemas.microsoft.com/office/spreadsheetml/2018/threadedcomments" xmlns:x="http://schemas.openxmlformats.org/spreadsheetml/2006/main">
  <threadedComment ref="U35" dT="2024-06-13T03:05:29.26" personId="{00000000-0000-0000-0000-000000000000}" id="{B30BA52A-5794-4402-93AF-AC40AFBC796C}">
    <text xml:space="preserve">出発地点：愛知県庁三の丸庁舎及び名城病院の間の交差点 </text>
  </threadedComment>
  <threadedComment ref="AC35" dT="2024-06-13T03:05:33.69" personId="{00000000-0000-0000-0000-000000000000}" id="{7A9C7C49-D162-4363-8085-D5FBDBD9BD18}">
    <text xml:space="preserve">出発地点：愛知県庁三の丸庁舎及び名城病院の間の交差点 </text>
  </threadedComment>
  <threadedComment ref="U36" dT="2024-06-13T03:05:04.81" personId="{00000000-0000-0000-0000-000000000000}" id="{D0F27E5B-DFEB-4F49-AD09-8FFECAAEBBBE}">
    <text xml:space="preserve">出発地点：瑞穂運動公園陸上競技場 </text>
  </threadedComment>
  <threadedComment ref="AC36" dT="2024-06-13T03:05:10.08" personId="{00000000-0000-0000-0000-000000000000}" id="{0D62913B-8DD0-42D9-9F50-CD216A0F7783}">
    <text xml:space="preserve">出発地点：瑞穂運動公園陸上競技場 </text>
  </threadedComment>
  <threadedComment ref="F74" dT="2024-07-02T00:59:28.38" personId="{3B213C18-B6A6-46C4-9885-298590F68D2F}" id="{F426B24B-34D3-4577-AE8D-3041BC59B215}">
    <text>調査中になっていましたが、一旦HP記載の室数を入力します</text>
  </threadedComment>
  <threadedComment ref="F98" dT="2024-06-18T08:01:34.66" personId="{00000000-0000-0000-0000-000000000000}" id="{2330071C-E4C7-4416-9EFB-CAE51D0DE03A}">
    <text>103室保有しているものの、使用可能なのは50室のみ。水回りについて修繕していないため普段から使用していない。
2021は57室であった</text>
  </threadedComment>
  <threadedComment ref="U106" dT="2024-06-13T03:04:04.83" personId="{00000000-0000-0000-0000-000000000000}" id="{0CD1BE30-D384-47DD-80EE-0941DD719E91}">
    <text xml:space="preserve">出発地点：蒲郡市商工会議所 </text>
  </threadedComment>
  <threadedComment ref="AC106" dT="2024-06-13T03:04:10.89" personId="{00000000-0000-0000-0000-000000000000}" id="{9AC8FA65-1698-4415-A31E-1A9600651AAF}">
    <text xml:space="preserve">出発地点：蒲郡市商工会議所 </text>
  </threadedComment>
  <threadedComment ref="U108" dT="2024-06-13T03:04:29.69" personId="{00000000-0000-0000-0000-000000000000}" id="{1F8BE633-D828-4ACF-A508-9F61FD6C0269}">
    <text xml:space="preserve">出発地点：新城市桜淵公園 </text>
  </threadedComment>
  <threadedComment ref="AC108" dT="2024-06-13T03:04:41.82" personId="{00000000-0000-0000-0000-000000000000}" id="{51089EA8-EF1B-4755-B5BB-7F660456908D}">
    <text xml:space="preserve">出発地点：新城市桜淵公園 </text>
  </threadedComment>
</ThreadedComments>
</file>

<file path=xl/threadedComments/threadedComment6.xml><?xml version="1.0" encoding="utf-8"?>
<ThreadedComments xmlns="http://schemas.microsoft.com/office/spreadsheetml/2018/threadedcomments" xmlns:x="http://schemas.openxmlformats.org/spreadsheetml/2006/main">
  <threadedComment ref="R35" dT="2024-07-16T03:21:27.36" personId="{81BCC87F-EB24-4460-9948-AA5372F955D7}" id="{C939851A-C08F-4219-BA0A-69791A88213B}">
    <text xml:space="preserve">20240712_渉外G松本さんより
３階、４階に宴会場があり、客室を貸し出してもどうしても一般の方の利用を希望 </text>
  </threadedComment>
  <threadedComment ref="U35" dT="2024-08-19T09:26:20.49" personId="{BE0EE761-9821-4E41-8ABF-45CA6888EE85}" id="{72A120E2-3747-4CD5-9C89-2B22496337AF}">
    <text xml:space="preserve">人数手入力
</text>
  </threadedComment>
  <threadedComment ref="S40" dT="2024-06-13T03:05:33.69" personId="{81BCC87F-EB24-4460-9948-AA5372F955D7}" id="{4C0501DD-9D3F-43E7-AFBA-4E2B278EB3DA}">
    <text xml:space="preserve">出発地点：愛知県庁三の丸庁舎及び名城病院の間の交差点 </text>
  </threadedComment>
  <threadedComment ref="S87" dT="2024-06-13T03:04:10.89" personId="{81BCC87F-EB24-4460-9948-AA5372F955D7}" id="{5889972D-2E9E-41AC-B95E-2C4980CDC4C3}">
    <text xml:space="preserve">出発地点：蒲郡市商工会議所 </text>
  </threadedComment>
  <threadedComment ref="S91" dT="2024-06-13T03:04:41.82" personId="{81BCC87F-EB24-4460-9948-AA5372F955D7}" id="{6834B925-AEC7-48D0-822B-F63B60F5EC55}">
    <text xml:space="preserve">出発地点：新城市桜淵公園 </text>
  </threadedComment>
</ThreadedComments>
</file>

<file path=xl/threadedComments/threadedComment7.xml><?xml version="1.0" encoding="utf-8"?>
<ThreadedComments xmlns="http://schemas.microsoft.com/office/spreadsheetml/2018/threadedcomments" xmlns:x="http://schemas.openxmlformats.org/spreadsheetml/2006/main">
  <threadedComment ref="AR5" dT="2024-09-25T03:33:52.13" personId="{81BCC87F-EB24-4460-9948-AA5372F955D7}" id="{EDC7C5F0-1B6E-426C-A520-18BE1924279D}">
    <text>競技日程変更前提</text>
  </threadedComment>
  <threadedComment ref="AS5" dT="2024-09-25T03:34:07.64" personId="{81BCC87F-EB24-4460-9948-AA5372F955D7}" id="{254B81B0-FA93-4711-820C-ACAEB8835243}">
    <text>競技日程変更前提</text>
  </threadedComment>
  <threadedComment ref="R23" dT="2024-09-25T06:36:37.19" personId="{81BCC87F-EB24-4460-9948-AA5372F955D7}" id="{D540C72C-C831-434E-8C00-76A64FB4A768}">
    <text xml:space="preserve">出発地点：愛知県庁三の丸庁舎及び名城病院の間の交差点 </text>
  </threadedComment>
  <threadedComment ref="E24" dT="2024-09-20T07:30:48.14" personId="{81BCC87F-EB24-4460-9948-AA5372F955D7}" id="{0FA29FB5-0457-4210-83E3-3361CDE29854}">
    <text>【渉外G】
フルボード提供必須の場合、満室受入れ難しい。客室提供はFNBサポート次第。７月末を目途に何室提供可能か返答をもらうことになっている。（回答はまだ不明）</text>
  </threadedComment>
  <threadedComment ref="E24" dT="2024-09-20T07:31:16.03" personId="{81BCC87F-EB24-4460-9948-AA5372F955D7}" id="{B0CB3234-0E15-4F59-A924-47F5B3BD7909}" parentId="{0FA29FB5-0457-4210-83E3-3361CDE29854}">
    <text>感触的にはどうか？ニッコースタイルやJALシティに振り替えたほうが良いか？</text>
  </threadedComment>
  <threadedComment ref="E24" dT="2024-09-20T07:56:15.28" personId="{4BBA8C90-4176-4A07-B536-01BFAF46B889}" id="{2B16FF4A-BBD1-4D3E-A4D1-6F79A4824C74}" parentId="{0FA29FB5-0457-4210-83E3-3361CDE29854}">
    <text>@松雄 裕太 
JTB経由でベッセルへ提供客室数の催促していますが、返事がありません。
引き続き催促はします。
ニッコースタイルは、食事に対して反応がかなり渋かったですが選手不可とは言われていませんので可能性はありです。ここもFNBのサポート次第（どこまでホテルのレベルに寄り添えるか次第）です。
なお、グリーンリッチですが９月〆切を目途に今見積依頼中で10月中には使用するかしないか返事がほしいと言われています。キャパが少ないため、シミュレーションからは敬遠されているのかと思いますが選手団受入れに大変好意的で飲食も他の名古屋市内の施設に比較するとこちらの求めるレベルを完璧にするのは無理とのことでしたがある程度対応できるといわれましたので、使う方向でいってほしいと思います。</text>
    <mentions>
      <mention mentionpersonId="{E82A9DC5-15CE-4351-8A60-6CF086B6F570}" mentionId="{537779CC-AC8C-4412-8B72-BD9958B12134}" startIndex="0" length="6"/>
    </mentions>
  </threadedComment>
  <threadedComment ref="E24" dT="2024-09-23T23:51:36.90" personId="{5D14315B-3BDF-4A9D-BA40-0A27351EDE6E}" id="{8253C5E7-0DE0-424F-827A-2096365F4AA6}" parentId="{0FA29FB5-0457-4210-83E3-3361CDE29854}">
    <text>継続。</text>
  </threadedComment>
  <threadedComment ref="E33" dT="2024-09-20T07:46:57.13" personId="{81BCC87F-EB24-4460-9948-AA5372F955D7}" id="{21F5237C-2C82-43FF-9232-4CFBA150B29A}">
    <text>渉外Gによる難易度記載がないが、一旦このまま進めてよいか？</text>
  </threadedComment>
  <threadedComment ref="E33" dT="2024-09-24T01:11:15.16" personId="{5D14315B-3BDF-4A9D-BA40-0A27351EDE6E}" id="{C6C1ACB3-DEC5-4D78-BCA6-707CA12893C0}" parentId="{21F5237C-2C82-43FF-9232-4CFBA150B29A}">
    <text>継続。
・ルートインはグループとしてまとめて7月12日にと打合せを実施したが、主に食事面で難色を示された。
・今後の流れとしては、予算に準じたサービスレベル及び支援策を検討した上で再度接触予定。
20240712_訪問記録（ルートインジャパン株式会社）.pdf</text>
    <extLst>
      <x:ext xmlns:xltc2="http://schemas.microsoft.com/office/spreadsheetml/2020/threadedcomments2" uri="{F7C98A9C-CBB3-438F-8F68-D28B6AF4A901}">
        <xltc2:checksum>2822715630</xltc2:checksum>
        <xltc2:hyperlink startIndex="98" length="32" url="https://ainagoc2026.sharepoint.com/:b:/s/2024-ACMVIL/ERtrnEChlMVJjcoBB2bDAhUBSNqkjVLqnnPyA6jrcN6H8w?e=LTm7X0"/>
      </x:ext>
    </extLst>
  </threadedComment>
  <threadedComment ref="E59" dT="2024-09-20T07:35:27.26" personId="{81BCC87F-EB24-4460-9948-AA5372F955D7}" id="{8B9A6D52-0A23-4857-80A7-981B1516A742}">
    <text>【渉外】
食事の提供数について難色。人的、物的サポートは必須。その前提で前向きに検討はしてもらっている</text>
  </threadedComment>
  <threadedComment ref="E59" dT="2024-09-20T07:35:46.18" personId="{81BCC87F-EB24-4460-9948-AA5372F955D7}" id="{292B4836-4BE1-48D1-BB0A-7944C7CD6D4D}" parentId="{8B9A6D52-0A23-4857-80A7-981B1516A742}">
    <text>このままハイブリッド方式て検討を進めてよいか？</text>
  </threadedComment>
  <threadedComment ref="E59" dT="2024-09-20T08:10:31.30" personId="{C39DBD6E-C4BB-46AA-80C5-6E8DA219C189}" id="{B6BDFC59-EE20-4C4E-866C-17638DA9291A}" parentId="{8B9A6D52-0A23-4857-80A7-981B1516A742}">
    <text>【継続】
グランドティアラ的には、一応なんとか700食くらい提供できるように前向きに検討はしてくれている。ただし、機器や人材のサポートは必須。
お金さえあれば大丈夫。
ない場合…は…　ﾖｳｿｳﾀﾞﾝ</text>
  </threadedComment>
  <threadedComment ref="E75" dT="2024-09-20T07:38:29.41" personId="{81BCC87F-EB24-4460-9948-AA5372F955D7}" id="{F4EBD46D-8669-425B-9EB5-70E5D6284C25}">
    <text>【渉外G】
２回目の訪問をしたがランチ不可という方針は変わらない。厨房に外部の人材が入ることに抵抗はないとのこと。</text>
  </threadedComment>
  <threadedComment ref="E75" dT="2024-09-20T07:38:50.99" personId="{81BCC87F-EB24-4460-9948-AA5372F955D7}" id="{E3FA8858-7FEA-4799-A8BF-70A7907D8E7E}" parentId="{F4EBD46D-8669-425B-9EB5-70E5D6284C25}">
    <text>可能性として現段階としてはこの想定で進めてよいか？</text>
  </threadedComment>
  <threadedComment ref="E75" dT="2024-09-20T08:14:11.11" personId="{4BBA8C90-4176-4A07-B536-01BFAF46B889}" id="{B9630562-3889-403D-A95F-09EFEC3246F8}" parentId="{F4EBD46D-8669-425B-9EB5-70E5D6284C25}">
    <text>FNBより、スチコンを持っていない施設であるため、オーワは厳しいと言われた。
ホテル側は組織委員会が紹介する人材派遣会社を通して料理人の確保ができるのであれば、厨房に外部人材を入れることに抵抗はないためばランチ可能、とのこと。
ただ、FNBからは調理補助やホールスタッフの派遣は斡旋できても料理人の斡旋をする予定はない、と言われたので、オーワに配宿された選手団はホテルでランチを取ることは難しいことに・・・。</text>
  </threadedComment>
  <threadedComment ref="E75" dT="2024-09-24T01:07:49.22" personId="{5D14315B-3BDF-4A9D-BA40-0A27351EDE6E}" id="{42FC0687-4CA7-4620-B092-E478D4998C72}" parentId="{F4EBD46D-8669-425B-9EB5-70E5D6284C25}">
    <text>代案必要。</text>
  </threadedComment>
  <threadedComment ref="E75" dT="2024-09-25T03:06:29.53" personId="{81BCC87F-EB24-4460-9948-AA5372F955D7}" id="{0B0DD14A-6500-4F03-BC02-B214141F45B2}" parentId="{F4EBD46D-8669-425B-9EB5-70E5D6284C25}">
    <text>20240925_岡崎オーワホテル→トヨタスポーツセンターへ変更</text>
  </threadedComment>
  <threadedComment ref="R81" dT="2024-06-13T03:04:10.89" personId="{81BCC87F-EB24-4460-9948-AA5372F955D7}" id="{AD217C3A-548B-4FDA-9F20-3D70C12BB25D}">
    <text xml:space="preserve">出発地点：蒲郡市商工会議所 </text>
  </threadedComment>
  <threadedComment ref="E83" dT="2024-09-19T23:08:10.21" personId="{81BCC87F-EB24-4460-9948-AA5372F955D7}" id="{20CAF948-9DD8-4ECC-B912-65EDDC86E968}">
    <text xml:space="preserve">20240919_JTB様コメント
三河湾ヒルズを代案とする可能性あり </text>
  </threadedComment>
  <threadedComment ref="E83" dT="2024-09-20T09:08:16.33" personId="{4BBA8C90-4176-4A07-B536-01BFAF46B889}" id="{F83B9265-5472-41ED-8710-32E1E2E68262}" parentId="{20CAF948-9DD8-4ECC-B912-65EDDC86E968}">
    <text>東海園はサウナ３カ所あり。
施設も協力的な感じ</text>
  </threadedComment>
  <threadedComment ref="E83" dT="2024-09-23T23:53:13.19" personId="{5D14315B-3BDF-4A9D-BA40-0A27351EDE6E}" id="{2A103554-4EF2-4FCD-8F26-2686CF80043C}" parentId="{20CAF948-9DD8-4ECC-B912-65EDDC86E968}">
    <text>継続。</text>
  </threadedComment>
  <threadedComment ref="E85" dT="2024-09-19T23:10:38.49" personId="{81BCC87F-EB24-4460-9948-AA5372F955D7}" id="{D9C23765-0D0A-4E6C-B6EC-BF88CAB49F4D}">
    <text xml:space="preserve">20240919_JTB様コメント
リステル浜名湖を代案として検討中 
</text>
  </threadedComment>
  <threadedComment ref="E85" dT="2024-09-23T23:20:28.95" personId="{88D75A5A-321D-4A29-B434-71096DF4B30F}" id="{6DCE845D-7CE3-4B53-86BB-781B0AE03E65}" parentId="{D9C23765-0D0A-4E6C-B6EC-BF88CAB49F4D}">
    <text xml:space="preserve">AINAGOCとしては、当該施設を利用する他ないと考えていたが、JTB様ご提案のリステル浜名湖と比較検討が必要か。
2024/09/24時点で情報の更新はございません。
・ルートインジャパン（本部）と打合せを実施したが、主に食事面で難色を示された。
・今後の流れとしては、予算に準じたサービスレベル及び支援策を検討した上で再度接触予定。
20240712_訪問記録（ルートインジャパン株式会社）.pdf </text>
    <extLst>
      <x:ext xmlns:xltc2="http://schemas.microsoft.com/office/spreadsheetml/2020/threadedcomments2" uri="{F7C98A9C-CBB3-438F-8F68-D28B6AF4A901}">
        <xltc2:checksum>4003958395</xltc2:checksum>
        <xltc2:hyperlink startIndex="172" length="32" url="https://ainagoc2026.sharepoint.com/:b:/s/2024-ACMVIL/ERtrnEChlMVJjcoBB2bDAhUBSNqkjVLqnnPyA6jrcN6H8w?e=LTm7X0"/>
      </x:ext>
    </extLst>
  </threadedComment>
  <threadedComment ref="E85" dT="2024-09-24T01:13:21.03" personId="{5D14315B-3BDF-4A9D-BA40-0A27351EDE6E}" id="{629A53F6-EFB5-43EE-A3C3-7570EDF7CADC}" parentId="{D9C23765-0D0A-4E6C-B6EC-BF88CAB49F4D}">
    <text>【継続】</text>
  </threadedComment>
  <threadedComment ref="R85" dT="2024-06-13T03:04:41.82" personId="{81BCC87F-EB24-4460-9948-AA5372F955D7}" id="{039A5C19-76D6-4C19-BDAA-1A84DDB58E7E}">
    <text xml:space="preserve">出発地点：新城市桜淵公園 </text>
  </threadedComment>
  <threadedComment ref="E87" dT="2024-09-19T23:11:46.54" personId="{81BCC87F-EB24-4460-9948-AA5372F955D7}" id="{076B109F-DA3E-4C6C-AFB3-8230F559D6A1}">
    <text xml:space="preserve">20240919_JTB様コメント
貸切の場合、伊良湖オーシャンリゾートを代案とするかAINAGOC判断要 </text>
  </threadedComment>
  <threadedComment ref="E87" dT="2024-09-23T23:26:45.33" personId="{88D75A5A-321D-4A29-B434-71096DF4B30F}" id="{AA3479A9-D561-4124-8D8E-D23552E59B37}" parentId="{076B109F-DA3E-4C6C-AFB3-8230F559D6A1}">
    <text>今後の流れとしては、諸条件を整理した上で必要に応じて見積もり取得して比較検討かと存じます。
・伊良湖リゾート＆コンベンションホテル
・伊良湖オーシャンリゾート</text>
  </threadedComment>
  <threadedComment ref="E89" dT="2024-09-20T07:44:37.26" personId="{81BCC87F-EB24-4460-9948-AA5372F955D7}" id="{3B2B936B-CC20-4A0B-8F56-099D024AE8B5}">
    <text>渉外G未訪問だが、一旦このまま進めてよいか？</text>
  </threadedComment>
  <threadedComment ref="E89" dT="2024-09-20T08:37:23.28" personId="{4BBA8C90-4176-4A07-B536-01BFAF46B889}" id="{BFD2A5D2-577A-40EC-BD9E-F0C90D6E6F79}" parentId="{3B2B936B-CC20-4A0B-8F56-099D024AE8B5}">
    <text>中野さん行っていた気が</text>
  </threadedComment>
  <threadedComment ref="E89" dT="2024-09-23T22:57:08.06" personId="{5D14315B-3BDF-4A9D-BA40-0A27351EDE6E}" id="{F97EB500-8DB1-4655-8036-DD582B924376}" parentId="{3B2B936B-CC20-4A0B-8F56-099D024AE8B5}">
    <text>継続。
6月報告リストのとおりで訪問済みです。食事面でホテル側が現場と実現可能か検討していただいています。</text>
  </threadedComment>
  <threadedComment ref="E91" dT="2024-09-20T09:28:27.41" personId="{AD1E14E5-635D-47CC-A539-1F48A7A21B23}" id="{C1AD7DE9-FE5E-4154-9F16-B33F9CDDDE38}">
    <text>@松雄 裕太 
ホッケー協会問題がまだクリアになっていないため、増室依頼まだできていないが早急に動きたいと思っている。</text>
    <mentions>
      <mention mentionpersonId="{E82A9DC5-15CE-4351-8A60-6CF086B6F570}" mentionId="{8406EB2A-ACAC-4FD3-BA8B-701ADF0B590A}" startIndex="0" length="6"/>
    </mentions>
  </threadedComment>
  <threadedComment ref="E93" dT="2024-09-20T09:29:52.23" personId="{AD1E14E5-635D-47CC-A539-1F48A7A21B23}" id="{45F728F7-7C05-4897-B469-29A82A51A669}">
    <text>@松雄 裕太 
貸切の件はJTBから依頼しているが、まだ返事なし。営業補償が発生すると思われます。</text>
    <mentions>
      <mention mentionpersonId="{E82A9DC5-15CE-4351-8A60-6CF086B6F570}" mentionId="{13B43DB0-B920-4E53-8725-46EFB891F8F7}" startIndex="0" length="6"/>
    </mentions>
  </threadedComment>
  <threadedComment ref="E95" dT="2024-09-19T23:15:08.00" personId="{81BCC87F-EB24-4460-9948-AA5372F955D7}" id="{5AD84163-E4AF-4D6D-93F7-F0D5233157EB}">
    <text>20240920_一旦このまま進める形で良いか？三重や大垣フォーラムなどの分宿とするか？</text>
  </threadedComment>
  <threadedComment ref="E95" dT="2024-09-20T07:43:28.22" personId="{81BCC87F-EB24-4460-9948-AA5372F955D7}" id="{3105C8D9-BA35-4D39-A91B-C67DE417F683}" parentId="{5AD84163-E4AF-4D6D-93F7-F0D5233157EB}">
    <text>【渉外G】
ランチ不可、１棟貸切不可</text>
  </threadedComment>
  <threadedComment ref="E95" dT="2024-09-20T08:44:00.56" personId="{4BBA8C90-4176-4A07-B536-01BFAF46B889}" id="{349380FE-F160-423B-BB32-B193CF8D21A0}" parentId="{5AD84163-E4AF-4D6D-93F7-F0D5233157EB}">
    <text>★客室について
・アジア大会のみ受入可能
・インバウンド団体の受入が大前提
・4～6階フロア貸切可能（129室/265室）
※8/31ホテルよりメール
 ①宿泊総数は１６８名（MAX)でお願いします
 ②フロアー貸切料金・部屋利用人数と食事料金は宗教に対応する 　食事内容が判明してから提示します
★FR及び食事会場について
・2階に3つ会議室あり。
・食事会場は110席。
※8/31 ホテルよりメール
③２階フロアー貸切について
 　一般団体（約２５０名）の夕食・朝食対応は２階（情熱：172席）しか不可能ですので大会関係者の使用NG
 　２階ロビー及び会議室等はご利用可能ですが貸切フロアーではありません
 　１階栄光（110席）（夕食・朝食）及びラウンジとして昼間利用（有料）可能です</text>
  </threadedComment>
  <threadedComment ref="E95" dT="2024-09-24T01:05:58.04" personId="{5D14315B-3BDF-4A9D-BA40-0A27351EDE6E}" id="{079FAFBA-BA32-4037-A5A5-64A5B5861441}" parentId="{5AD84163-E4AF-4D6D-93F7-F0D5233157EB}">
    <text>代案必要。</text>
  </threadedComment>
  <threadedComment ref="E95" dT="2024-09-25T04:58:53.66" personId="{4BBA8C90-4176-4A07-B536-01BFAF46B889}" id="{8CC4975C-BC9A-445C-895D-E33515A70497}" parentId="{5AD84163-E4AF-4D6D-93F7-F0D5233157EB}">
    <text>・129室提供可能。
・受入れ可能最大人数は168名
・ランチ不可
ランチは食事場所のみ提供可能、とのことです。組織委員会側が用意する必要があります。</text>
  </threadedComment>
  <threadedComment ref="E102" dT="2024-09-19T23:14:00.78" personId="{81BCC87F-EB24-4460-9948-AA5372F955D7}" id="{E7203549-28BD-4128-B279-7E32D3B3F4AE}">
    <text>20240920_ラフォーレ修善寺含め進捗はあるか？</text>
  </threadedComment>
  <threadedComment ref="E102" dT="2024-09-20T08:11:56.73" personId="{C39DBD6E-C4BB-46AA-80C5-6E8DA219C189}" id="{95CB4522-3B3C-46F1-A10D-3B03567934D6}" parentId="{E7203549-28BD-4128-B279-7E32D3B3F4AE}">
    <text>【継続】
あれ（4月）から全く進捗がないです…すみません。
サンバレー伊豆長岡には話を全くしていない状況です。</text>
  </threadedComment>
  <threadedComment ref="E103" dT="2024-09-20T07:39:36.16" personId="{81BCC87F-EB24-4460-9948-AA5372F955D7}" id="{DA1998FA-99B6-45EE-BF31-BF6888A7F3A5}">
    <text>【渉外G】
現時点は希望客室数は確保できていない。サッカーの競技日程が決まり次第、交渉が必要。ハラル完調品提供が掛川も可能かどうか。</text>
  </threadedComment>
  <threadedComment ref="E103" dT="2024-09-20T07:41:42.79" personId="{81BCC87F-EB24-4460-9948-AA5372F955D7}" id="{2F695C75-1549-4155-8453-D4B72C127966}" parentId="{DA1998FA-99B6-45EE-BF31-BF6888A7F3A5}">
    <text>掛川グランドの交渉状況はどうか？</text>
  </threadedComment>
  <threadedComment ref="E103" dT="2024-09-20T09:26:18.90" personId="{AD1E14E5-635D-47CC-A539-1F48A7A21B23}" id="{56CBD864-5DF1-485B-8A75-444727794647}" parentId="{DA1998FA-99B6-45EE-BF31-BF6888A7F3A5}">
    <text>@松雄 裕太 
·掛川のハラル完調品　NGとは言われていないが、可能かどうかは現時点でははっきりしていない。
·掛川GHは２チームで仮押さえ中　4チームは厳しい。</text>
    <mentions>
      <mention mentionpersonId="{E82A9DC5-15CE-4351-8A60-6CF086B6F570}" mentionId="{5DA59AB6-1DAD-427E-9D73-668EC318C944}" startIndex="0" length="6"/>
    </mentions>
  </threadedComment>
  <threadedComment ref="E105" dT="2024-09-19T23:12:37.69" personId="{81BCC87F-EB24-4460-9948-AA5372F955D7}" id="{2B101A06-8486-4CC5-9014-4431828A176E}">
    <text>20240920_渉外Gが未訪問だが、変更確定で良いか？</text>
  </threadedComment>
  <threadedComment ref="E105" dT="2024-09-24T00:38:27.09" personId="{5D14315B-3BDF-4A9D-BA40-0A27351EDE6E}" id="{ADBADC39-29FB-4020-BD01-02D0855400EE}" parentId="{2B101A06-8486-4CC5-9014-4431828A176E}">
    <text>継続。
提髪さんに代わって記入します。
7月に訪問していましたシミュレーションの関係で漏れていました。
内容は易でした。食事面も選手実績ありでも問題なし。セキュリティも一棟貸しではないが、導線分離可。</text>
  </threadedComment>
  <threadedComment ref="E107" dT="2024-09-20T07:47:38.36" personId="{81BCC87F-EB24-4460-9948-AA5372F955D7}" id="{79312409-D051-419B-A73A-66BDF8A49F7F}">
    <text>渉外Gコメントが無いが、一旦このまま進めてよいか？</text>
  </threadedComment>
  <threadedComment ref="E107" dT="2024-09-20T08:52:51.17" personId="{4BBA8C90-4176-4A07-B536-01BFAF46B889}" id="{F959E391-56EF-4040-8CC9-91A41DB09EA3}" parentId="{79312409-D051-419B-A73A-66BDF8A49F7F}">
    <text xml:space="preserve">・ホテルアゴーラリージェンシー大阪堺
　⇒客室6フロア（１フロアあたり21室のため計126室）のご提供を前向きに検討いただいております。
　　また宴会フロアについては、3階を貸切いただくのが警備面からも有効かと存じますとお伝えいただきました。
</text>
  </threadedComment>
  <threadedComment ref="E107" dT="2024-09-24T01:23:27.10" personId="{5D14315B-3BDF-4A9D-BA40-0A27351EDE6E}" id="{4F76199C-295B-4432-89D1-5C0B0ECA5B8B}" parentId="{79312409-D051-419B-A73A-66BDF8A49F7F}">
    <text>継続。</text>
  </threadedComment>
  <threadedComment ref="E109" dT="2024-09-19T23:13:00.68" personId="{81BCC87F-EB24-4460-9948-AA5372F955D7}" id="{6437C524-4C16-48F2-821B-54D29920DE24}">
    <text>20240920_復活で良いか？渉外G記載がないがこのまま進めてよいか？</text>
  </threadedComment>
  <threadedComment ref="E109" dT="2024-09-20T07:48:13.77" personId="{81BCC87F-EB24-4460-9948-AA5372F955D7}" id="{5282BEE3-7B0F-4B96-B188-E8CE554731CB}" parentId="{6437C524-4C16-48F2-821B-54D29920DE24}">
    <text>京都はどうなった？</text>
  </threadedComment>
  <threadedComment ref="E109" dT="2024-09-20T09:02:59.80" personId="{4BBA8C90-4176-4A07-B536-01BFAF46B889}" id="{A0276745-3DA0-488C-8751-A9DE6C663539}" parentId="{6437C524-4C16-48F2-821B-54D29920DE24}">
    <text>ポートピアについては
⇒南館6フロア＆本館2フロアのご提供を前向きに検討いただいております。 
JTBからは使わない場合、早急にキャンセルしないといけないレベル（ポートピアは大規模会議場を持ち合わせており、8フロアの押さえはホテルにとって相当大きな話。使わないなら早くリリースしないと、というレベル）、と言われた
京都はリーガロイヤルホテル京都を使いたい、とJTBを通じてホテルにも打診した。SEC面も良好。
1フロアを(60室)→室タイプ混在なので、受け入れチーム数次第で1フロア貸切＋プラスアルファかと思われるが・・・そもそも京都会場はあるのか。ないなら早めにリリース。</text>
  </threadedComment>
  <threadedComment ref="E109" dT="2024-09-24T01:24:09.97" personId="{5D14315B-3BDF-4A9D-BA40-0A27351EDE6E}" id="{DF18A870-59DE-405C-8877-AA8EAA134A23}" parentId="{6437C524-4C16-48F2-821B-54D29920DE24}">
    <text>継続。</text>
  </threadedComment>
</ThreadedComments>
</file>

<file path=xl/threadedComments/threadedComment8.xml><?xml version="1.0" encoding="utf-8"?>
<ThreadedComments xmlns="http://schemas.microsoft.com/office/spreadsheetml/2018/threadedcomments" xmlns:x="http://schemas.openxmlformats.org/spreadsheetml/2006/main">
  <threadedComment ref="U27" dT="2024-06-28T02:58:01.92" personId="{CE2BBDBB-EB1E-4340-9493-AFD75B55519D}" id="{61412422-9BED-45B8-B099-602D01F9CFBC}">
    <text>★数量の変更
【旧】306室　386ベッド
【新】295室　364ベッドに変更</text>
  </threadedComment>
  <threadedComment ref="U32" dT="2024-06-11T12:12:44.68" personId="{CE2BBDBB-EB1E-4340-9493-AFD75B55519D}" id="{B49020A4-CA42-4057-AE71-F30F9FAFEE42}">
    <text xml:space="preserve">JTBWEBサイトより引用
ガーデンホテルオリーブ 宿泊予約プラン・料金一覧【JTB】＜長島温泉＞ </text>
    <extLst>
      <x:ext xmlns:xltc2="http://schemas.microsoft.com/office/spreadsheetml/2020/threadedcomments2" uri="{F7C98A9C-CBB3-438F-8F68-D28B6AF4A901}">
        <xltc2:checksum>3851979874</xltc2:checksum>
        <xltc2:hyperlink startIndex="14" length="35" url="https://www.jtb.co.jp/kokunai-hotel/htl/5506002/plan/?utm_source=yahoo&amp;utm_medium=cpc&amp;utm_campaign=yahoo_dom-htl_06-shisetsu-das3&amp;utm_content=dsa-3&amp;utm_term=1784465270_68756006865_dsa-1928187256229__533870128488_73360321351&amp;yclid=YSS.1001004622.EAIaIQobChMIztSA38LThgMVnQ17Bx06UQB3EAAYASAAEgIYpvD_BwE"/>
      </x:ext>
    </extLst>
  </threadedComment>
  <threadedComment ref="U33" dT="2024-06-11T12:12:51.00" personId="{CE2BBDBB-EB1E-4340-9493-AFD75B55519D}" id="{2A1EB51A-AD79-49F1-8D8D-606CF259CCA1}">
    <text xml:space="preserve">JTBWEBサイトより引用
ホテル花水木【JTB】＜長島温泉＞ </text>
    <extLst>
      <x:ext xmlns:xltc2="http://schemas.microsoft.com/office/spreadsheetml/2020/threadedcomments2" uri="{F7C98A9C-CBB3-438F-8F68-D28B6AF4A901}">
        <xltc2:checksum>556828080</xltc2:checksum>
        <xltc2:hyperlink startIndex="14" length="17" url="https://www.jtb.co.jp/kokunai-hotel/htl/5506004/"/>
      </x:ext>
    </extLst>
  </threadedComment>
  <threadedComment ref="AM35" dT="2024-06-28T03:00:24.11" personId="{CE2BBDBB-EB1E-4340-9493-AFD75B55519D}" id="{FB1C722D-D774-4DDF-B339-9AFF42E56071}">
    <text xml:space="preserve">★1251に合わせるため数量の変更
【旧】67室　22ベッド
【新】107室　〇〇ベッドに変更
</text>
  </threadedComment>
</ThreadedComments>
</file>

<file path=xl/threadedComments/threadedComment9.xml><?xml version="1.0" encoding="utf-8"?>
<ThreadedComments xmlns="http://schemas.microsoft.com/office/spreadsheetml/2018/threadedcomments" xmlns:x="http://schemas.openxmlformats.org/spreadsheetml/2006/main">
  <threadedComment ref="C26" dT="2025-10-15T01:23:45.15" personId="{C39DBD6E-C4BB-46AA-80C5-6E8DA219C189}" id="{A65AEBA3-FBF5-4244-85F7-811C53DB9E27}">
    <text>健康の森プラザホテルの料金を加算</text>
  </threadedComment>
  <threadedComment ref="E26" dT="2025-06-23T23:35:15.11" personId="{C39DBD6E-C4BB-46AA-80C5-6E8DA219C189}" id="{F1412163-9F9B-42CF-B3BF-7658ED84C380}">
    <text>朝食差額（アスリートミール4,100円－通常朝食費用分）</text>
  </threadedComment>
  <threadedComment ref="C28" dT="2025-06-19T02:06:07.72" personId="{C39DBD6E-C4BB-46AA-80C5-6E8DA219C189}" id="{A925F398-4AC1-4BDF-8539-3E7DE6476D1C}">
    <text>スポンサー、メディアは1.34倍（物価上昇率）</text>
  </threadedComment>
  <threadedComment ref="R30" dT="2025-06-13T10:38:27.23" personId="{C39DBD6E-C4BB-46AA-80C5-6E8DA219C189}" id="{0325EDF2-12EC-45CD-B3ED-E6770996BEF9}">
    <text>日によって宿泊者数に波がある部分について、精緻な数にするために計算式を入れている、ということで
/96000*81500という数式をいれていた</text>
  </threadedComment>
  <threadedComment ref="AD30" dT="2025-06-13T10:38:27.23" personId="{C39DBD6E-C4BB-46AA-80C5-6E8DA219C189}" id="{5452AFE8-EF43-4034-8F49-16DF7447DC71}">
    <text>日によって宿泊者数に波がある部分について、精緻な数にするために計算式を入れている、ということで
/96000*81500という数式をいれていた</text>
  </threadedComment>
  <threadedComment ref="E31" dT="2025-06-23T23:36:31.67" personId="{C39DBD6E-C4BB-46AA-80C5-6E8DA219C189}" id="{E1C70E21-656E-4E5A-B2D2-A1C4E01E94CB}">
    <text>朝食差額（アスリートミール4,100円－通常朝食費用分）</text>
  </threadedComment>
  <threadedComment ref="C33" dT="2025-06-19T02:06:14.20" personId="{C39DBD6E-C4BB-46AA-80C5-6E8DA219C189}" id="{C552EE1C-A876-44F8-8337-6EBC5CB3F0E1}">
    <text>スポンサー、メディアは1.34倍（物価上昇率）</text>
  </threadedComment>
  <threadedComment ref="D33" dT="2026-01-23T09:10:30.53" personId="{C39DBD6E-C4BB-46AA-80C5-6E8DA219C189}" id="{D5B83172-3069-403E-A615-5771F6FF40DA}">
    <text>インディゴ犬山の当初金額165,953,676から契約実績額23,073,600円まで減額した際、消費税抜きの金額のみ減額して財政当局と合意したため、消費税分10％が予算額に残っている</text>
  </threadedComment>
</ThreadedComments>
</file>

<file path=xl/threadedComments/threadedComment10.xml><?xml version="1.0" encoding="utf-8"?>
<ThreadedComments xmlns="http://schemas.microsoft.com/office/spreadsheetml/2018/threadedcomments" xmlns:x="http://schemas.openxmlformats.org/spreadsheetml/2006/main">
  <threadedComment ref="D2" dT="2025-02-19T11:37:02.57" personId="{C39DBD6E-C4BB-46AA-80C5-6E8DA219C189}" id="{A314102F-A76B-47BD-9567-9A087CE83ABD}">
    <text>正確には1/20シミュを基にした財政見通し資料（1/22版）のResultsシートを参照</text>
  </threadedComment>
  <threadedComment ref="M4" dT="2025-04-15T09:21:48.08" personId="{C39DBD6E-C4BB-46AA-80C5-6E8DA219C189}" id="{A3F61321-624D-45A7-BBA9-DB16D4AA0FE7}">
    <text>ファンクションは泊数ではなく日数のため、＋0.5日足して計算</text>
  </threadedComment>
  <threadedComment ref="C30" dT="2024-09-20T07:30:48.14" personId="{81BCC87F-EB24-4460-9948-AA5372F955D7}" id="{02064334-6431-4FDB-93C0-88B048AB83FC}">
    <text>【渉外G】
フルボード提供必須の場合、満室受入れ難しい。客室提供はFNBサポート次第。７月末を目途に何室提供可能か返答をもらうことになっている。（回答はまだ不明）</text>
  </threadedComment>
  <threadedComment ref="C30" dT="2024-09-20T07:31:16.03" personId="{81BCC87F-EB24-4460-9948-AA5372F955D7}" id="{41D2EAAB-2EB4-4588-B001-CCB74FA9A266}" parentId="{02064334-6431-4FDB-93C0-88B048AB83FC}">
    <text>感触的にはどうか？ニッコースタイルやJALシティに振り替えたほうが良いか？</text>
  </threadedComment>
  <threadedComment ref="C30" dT="2024-09-20T07:56:15.28" personId="{4BBA8C90-4176-4A07-B536-01BFAF46B889}" id="{426430F4-9802-44D3-8EED-20AEC30DE83D}" parentId="{02064334-6431-4FDB-93C0-88B048AB83FC}">
    <text>@松雄 裕太 
JTB経由でベッセルへ提供客室数の催促していますが、返事がありません。
引き続き催促はします。
ニッコースタイルは、食事に対して反応がかなり渋かったですが選手不可とは言われていませんので可能性はありです。ここもFNBのサポート次第（どこまでホテルのレベルに寄り添えるか次第）です。
なお、グリーンリッチですが９月〆切を目途に今見積依頼中で10月中には使用するかしないか返事がほしいと言われています。キャパが少ないため、シミュレーションからは敬遠されているのかと思いますが選手団受入れに大変好意的で飲食も他の名古屋市内の施設に比較するとこちらの求めるレベルを完璧にするのは無理とのことでしたがある程度対応できるといわれましたので、使う方向でいってほしいと思います。</text>
    <mentions>
      <mention mentionpersonId="{E82A9DC5-15CE-4351-8A60-6CF086B6F570}" mentionId="{DE28F78C-93A7-45B0-A11E-5E7098A6D311}" startIndex="0" length="6"/>
    </mentions>
  </threadedComment>
  <threadedComment ref="C30" dT="2024-09-23T23:51:36.90" personId="{5D14315B-3BDF-4A9D-BA40-0A27351EDE6E}" id="{05445BE8-AE82-431C-AFC1-3131ED10CCB9}" parentId="{02064334-6431-4FDB-93C0-88B048AB83FC}">
    <text>継続。</text>
  </threadedComment>
  <threadedComment ref="N50" dT="2025-06-24T00:38:29.44" personId="{C39DBD6E-C4BB-46AA-80C5-6E8DA219C189}" id="{C8AB918E-FA3A-4E48-B2DC-2C77BDE6D81E}">
    <text>仮設厨房</text>
  </threadedComment>
  <threadedComment ref="N51" dT="2025-08-27T10:42:36.24" personId="{C39DBD6E-C4BB-46AA-80C5-6E8DA219C189}" id="{98C66500-0E56-45C4-A093-0523DA66A6FC}">
    <text>仮設厨房</text>
  </threadedComment>
  <threadedComment ref="H53" dT="2025-09-02T02:25:13.48" personId="{C39DBD6E-C4BB-46AA-80C5-6E8DA219C189}" id="{378413E9-E994-4025-8870-8A7C83BE13C9}">
    <text>仮置き、実際は交渉中</text>
  </threadedComment>
  <threadedComment ref="C54" dT="2024-09-20T07:35:27.26" personId="{81BCC87F-EB24-4460-9948-AA5372F955D7}" id="{28B77094-8FD5-4417-9B6F-BA17A99AECE2}">
    <text>【渉外】
食事の提供数について難色。人的、物的サポートは必須。その前提で前向きに検討はしてもらっている</text>
  </threadedComment>
  <threadedComment ref="C54" dT="2024-09-20T07:35:46.18" personId="{81BCC87F-EB24-4460-9948-AA5372F955D7}" id="{D934C5F7-237A-4571-B0EB-8BF9F4786D17}" parentId="{28B77094-8FD5-4417-9B6F-BA17A99AECE2}">
    <text>このままハイブリッド方式て検討を進めてよいか？</text>
  </threadedComment>
  <threadedComment ref="C54" dT="2024-09-20T08:10:31.30" personId="{C39DBD6E-C4BB-46AA-80C5-6E8DA219C189}" id="{BC9FD219-29E9-4CD1-A2CC-9CD41DD1656F}" parentId="{28B77094-8FD5-4417-9B6F-BA17A99AECE2}">
    <text>【継続】
グランドティアラ的には、一応なんとか700食くらい提供できるように前向きに検討はしてくれている。ただし、機器や人材のサポートは必須。
お金さえあれば大丈夫。
ない場合…は…　ﾖｳｿｳﾀﾞﾝ</text>
  </threadedComment>
  <threadedComment ref="E54" dT="2025-09-02T02:24:48.07" personId="{C39DBD6E-C4BB-46AA-80C5-6E8DA219C189}" id="{58E7C4D5-76D5-48F1-A631-FB18660AF105}">
    <text>聞き取りベース</text>
  </threadedComment>
  <threadedComment ref="F54" dT="2025-09-02T02:24:45.39" personId="{C39DBD6E-C4BB-46AA-80C5-6E8DA219C189}" id="{9EAEB899-62DF-4D05-8731-0644A5E4FAFE}">
    <text>聞き取りベース</text>
  </threadedComment>
  <threadedComment ref="H54" dT="2025-09-02T02:24:42.65" personId="{C39DBD6E-C4BB-46AA-80C5-6E8DA219C189}" id="{97C82A93-F03A-4CE7-9C1C-59A7FF7DBCD1}">
    <text>聞き取りベース</text>
  </threadedComment>
  <threadedComment ref="N54" dT="2025-08-27T10:43:10.78" personId="{C39DBD6E-C4BB-46AA-80C5-6E8DA219C189}" id="{3B28A446-C2E7-4683-8921-680EA07AA6C6}">
    <text>ハイブリッド方式</text>
  </threadedComment>
  <threadedComment ref="N55" dT="2025-08-27T10:43:21.38" personId="{C39DBD6E-C4BB-46AA-80C5-6E8DA219C189}" id="{0D88CE29-56D0-4D6D-A518-DEFA80369CC6}">
    <text>ハイブリッド方式</text>
  </threadedComment>
  <threadedComment ref="N56" dT="2025-08-27T10:43:21.38" personId="{C39DBD6E-C4BB-46AA-80C5-6E8DA219C189}" id="{0BA54056-621F-4C5A-B424-FC3D5643324B}">
    <text>ハイブリッド方式</text>
  </threadedComment>
  <threadedComment ref="N57" dT="2025-08-27T10:43:21.38" personId="{C39DBD6E-C4BB-46AA-80C5-6E8DA219C189}" id="{A72397BB-88E9-4DB2-93A5-7C201C45CE0C}">
    <text>ハイブリッド方式</text>
  </threadedComment>
  <threadedComment ref="N58" dT="2025-08-27T10:43:21.38" personId="{C39DBD6E-C4BB-46AA-80C5-6E8DA219C189}" id="{78CBCEE0-5195-485D-8A71-A8472C95A128}">
    <text>ハイブリッド方式</text>
  </threadedComment>
  <threadedComment ref="E70" dT="2025-10-14T07:05:11.87" personId="{C39DBD6E-C4BB-46AA-80C5-6E8DA219C189}" id="{658C8E28-9433-48EE-8286-1F1C6B705D93}">
    <text>聞き取りベース</text>
  </threadedComment>
  <threadedComment ref="F70" dT="2025-10-14T07:05:15.60" personId="{C39DBD6E-C4BB-46AA-80C5-6E8DA219C189}" id="{AC56F730-A74F-448D-B190-776C3F6F7A2C}">
    <text>聞き取りベース</text>
  </threadedComment>
</ThreadedComments>
</file>

<file path=xl/threadedComments/threadedComment11.xml><?xml version="1.0" encoding="utf-8"?>
<ThreadedComments xmlns="http://schemas.microsoft.com/office/spreadsheetml/2018/threadedcomments" xmlns:x="http://schemas.openxmlformats.org/spreadsheetml/2006/main">
  <threadedComment ref="J1" dT="2025-04-10T09:05:40.01" personId="{C39DBD6E-C4BB-46AA-80C5-6E8DA219C189}" id="{DC4A5FB9-CE62-4CFF-B71D-0D820016C638}">
    <text>人数なのか？客室数だから厳密には違うか</text>
  </threadedComment>
  <threadedComment ref="M6" dT="2025-10-10T11:47:58.88" personId="{C39DBD6E-C4BB-46AA-80C5-6E8DA219C189}" id="{AE8F8DFC-8579-440F-B16C-4B64F7B0A6AD}">
    <text>瑞雲を減額（開催都市負担）</text>
  </threadedComment>
</ThreadedComments>
</file>

<file path=xl/threadedComments/threadedComment12.xml><?xml version="1.0" encoding="utf-8"?>
<ThreadedComments xmlns="http://schemas.microsoft.com/office/spreadsheetml/2018/threadedcomments" xmlns:x="http://schemas.openxmlformats.org/spreadsheetml/2006/main">
  <threadedComment ref="C28" dT="2025-06-13T10:38:27.23" personId="{C39DBD6E-C4BB-46AA-80C5-6E8DA219C189}" id="{42E49D74-4EBC-4B70-BAE9-B940B159BE6B}">
    <text>日によって宿泊者数に波がある部分について、精緻な数にするために計算式を入れている、ということで
/96000*81500という数式をいれていた</text>
  </threadedComment>
  <threadedComment ref="N28" dT="2025-06-13T10:38:27.23" personId="{C39DBD6E-C4BB-46AA-80C5-6E8DA219C189}" id="{38C22EE1-E4BA-4285-8A36-61EDB698A2A5}">
    <text>日によって宿泊者数に波がある部分について、精緻な数にするために計算式を入れている、ということで
/96000*81500という数式をいれていた</text>
  </threadedComment>
</ThreadedComments>
</file>

<file path=xl/threadedComments/threadedComment13.xml><?xml version="1.0" encoding="utf-8"?>
<ThreadedComments xmlns="http://schemas.microsoft.com/office/spreadsheetml/2018/threadedcomments" xmlns:x="http://schemas.openxmlformats.org/spreadsheetml/2006/main">
  <threadedComment ref="BP3" dT="2025-02-19T11:40:20.66" personId="{C39DBD6E-C4BB-46AA-80C5-6E8DA219C189}" id="{CA2CCB04-1D93-4CC7-8751-F3023DD6672C}">
    <text>×客室１室あたり平均単価　○１人あたり平均単価</text>
  </threadedComment>
  <threadedComment ref="BT3" dT="2025-04-15T09:21:48.08" personId="{C39DBD6E-C4BB-46AA-80C5-6E8DA219C189}" id="{0BF460A7-C33C-42CA-AEE8-EB9D11911D08}">
    <text>ファンクションは泊数ではなく日数のため、＋0.5日足して計算</text>
  </threadedComment>
  <threadedComment ref="H5" dT="2025-03-14T08:41:04.81" personId="{CE2BBDBB-EB1E-4340-9493-AFD75B55519D}" id="{3E044860-BEBC-4D88-A3AC-63520F1BECA8}">
    <text>【備考】
OCAファミリーの必要数：980室</text>
  </threadedComment>
  <threadedComment ref="G9" dT="2025-01-28T01:04:07.57" personId="{CE2BBDBB-EB1E-4340-9493-AFD75B55519D}" id="{BC0BE68D-B937-455A-A1B6-232E74AAD081}">
    <text>25/3/14ACM追記
スイート8室＋婚礼用返却客室を想定。</text>
  </threadedComment>
  <threadedComment ref="BP25" dT="2025-02-19T11:40:20.66" personId="{C39DBD6E-C4BB-46AA-80C5-6E8DA219C189}" id="{0E94430E-A057-4587-8C0D-9F2304E63425}">
    <text>×客室１室あたり平均単価　○１人あたり平均単価</text>
  </threadedComment>
  <threadedComment ref="BT25" dT="2025-04-15T09:21:48.08" personId="{C39DBD6E-C4BB-46AA-80C5-6E8DA219C189}" id="{62FCEF19-9E91-4E50-A1CE-074C0ACC135A}">
    <text>ファンクションは泊数ではなく日数のため、＋0.5日足して計算</text>
  </threadedComment>
  <threadedComment ref="AX28" dT="2025-06-25T01:23:58.28" personId="{C39DBD6E-C4BB-46AA-80C5-6E8DA219C189}" id="{D56F43C7-753D-4FBE-B923-6AF8B6B24C04}">
    <text>（800/11）＋30※貸し切りだけど利用しない部屋が30室</text>
  </threadedComment>
  <threadedComment ref="AX29" dT="2025-06-25T01:19:49.99" personId="{C39DBD6E-C4BB-46AA-80C5-6E8DA219C189}" id="{0A4A340B-6BA6-4A62-AE35-78504A2F302F}">
    <text>330-（800/11）＝257</text>
  </threadedComment>
</ThreadedComments>
</file>

<file path=xl/threadedComments/threadedComment14.xml><?xml version="1.0" encoding="utf-8"?>
<ThreadedComments xmlns="http://schemas.microsoft.com/office/spreadsheetml/2018/threadedcomments" xmlns:x="http://schemas.openxmlformats.org/spreadsheetml/2006/main">
  <threadedComment ref="S1" dT="2024-07-01T05:19:59.30" personId="{88D75A5A-321D-4A29-B434-71096DF4B30F}" id="{6C62B303-E675-4F4D-808C-1876FD88A0B2}" done="1">
    <text>費課税額にも課税しているため、L列よりも高い金額となっている箇所アリ</text>
  </threadedComment>
  <threadedComment ref="V1" dT="2024-07-08T01:11:54.95" personId="{88D75A5A-321D-4A29-B434-71096DF4B30F}" id="{A32E1BFF-A2FA-4EB0-97FE-F1E7AA4D75A7}">
    <text>K列/H（I）列が良いかはご相談</text>
  </threadedComment>
  <threadedComment ref="B68" dT="2025-06-30T07:44:18.15" personId="{C39DBD6E-C4BB-46AA-80C5-6E8DA219C189}" id="{E525C799-CDBA-4DAF-AB02-239DEB86A80E}">
    <text>パラの期間は一棟貸し、アジアは客室全室借上げ</text>
  </threadedComment>
  <threadedComment ref="K68" dT="2025-06-16T08:47:14.25" personId="{C39DBD6E-C4BB-46AA-80C5-6E8DA219C189}" id="{EFBF8A8D-5E08-4A8B-A13D-799517E97E6E}">
    <text>一棟貸しマスト</text>
  </threadedComment>
  <threadedComment ref="BC68" dT="2025-10-14T01:27:11.88" personId="{C39DBD6E-C4BB-46AA-80C5-6E8DA219C189}" id="{227E8466-B168-4C48-AB22-76FE44E79986}">
    <text>アイリスは一棟貸し</text>
  </threadedComment>
  <threadedComment ref="BF68" dT="2025-10-14T01:26:55.63" personId="{C39DBD6E-C4BB-46AA-80C5-6E8DA219C189}" id="{1D40ACF2-4347-4A7E-AF22-E29351B1EF9B}">
    <text>アイリスは一棟貸し</text>
  </threadedComment>
  <threadedComment ref="BL68" dT="2025-10-10T11:53:04.84" personId="{C39DBD6E-C4BB-46AA-80C5-6E8DA219C189}" id="{83240AA2-C48A-40E9-AEAA-8EA189266216}">
    <text>VI検査会場としての費用のため０に減額</text>
  </threadedComment>
  <threadedComment ref="B77" dT="2024-06-25T07:49:31.62" personId="{00000000-0000-0000-0000-000000000000}" id="{2AA72DF3-5CA4-4241-AD7D-58FF6DFAE5BB}">
    <text>個票によると、「提供交渉中」とのこと（＝情報（金額）がない）</text>
  </threadedComment>
  <threadedComment ref="B96" dT="2024-06-25T08:09:00.61" personId="{00000000-0000-0000-0000-000000000000}" id="{18FBB624-74C0-4E34-9449-6DC2F5D45293}">
    <text>個票にファンクションルームの情報（金額）記載なし</text>
  </threadedComment>
  <threadedComment ref="B191" dT="2024-06-25T09:27:08.09" personId="{00000000-0000-0000-0000-000000000000}" id="{A00E7ABE-C4B9-4981-B92B-0D3433CB0B80}">
    <text>個票に情報（金額）記載なし</text>
  </threadedComment>
  <threadedComment ref="B194" dT="2024-06-25T09:14:18.05" personId="{00000000-0000-0000-0000-000000000000}" id="{40AF7F91-A681-4F4D-9220-87AB544942D2}">
    <text>個票に「継続交渉中」旨あり、情報（金額）は記載なし</text>
  </threadedComment>
  <threadedComment ref="AE209" dT="2024-07-05T01:50:51.71" personId="{88D75A5A-321D-4A29-B434-71096DF4B30F}" id="{58F49CEB-E393-450A-83E6-1D64A0259788}">
    <text>記載なし</text>
  </threadedComment>
  <threadedComment ref="AE214" dT="2024-07-05T01:45:00.42" personId="{88D75A5A-321D-4A29-B434-71096DF4B30F}" id="{B52AC22B-27A7-44CF-ABE2-39395E3EC8A6}">
    <text xml:space="preserve">記載なし
岐阜グランドホテル公式サイト | 岐阜市 ホテル・宿泊　ぎふ長良川温泉 (gifugrandhotel.co.jp) </text>
    <extLst>
      <x:ext xmlns:xltc2="http://schemas.microsoft.com/office/spreadsheetml/2020/threadedcomments2" uri="{F7C98A9C-CBB3-438F-8F68-D28B6AF4A901}">
        <xltc2:checksum>1347626168</xltc2:checksum>
        <xltc2:hyperlink startIndex="5" length="58" url="https://www.gifugrandhotel.co.jp/"/>
      </x:ext>
    </extLst>
  </threadedComment>
  <threadedComment ref="AE218" dT="2024-07-05T01:42:00.12" personId="{88D75A5A-321D-4A29-B434-71096DF4B30F}" id="{332753EB-F100-49B2-BE61-27087761D167}">
    <text xml:space="preserve">記載なし
客室・料金紹介｜ご宿泊｜大垣フォーラムホテル (forumhotel.co.jp) </text>
    <extLst>
      <x:ext xmlns:xltc2="http://schemas.microsoft.com/office/spreadsheetml/2020/threadedcomments2" uri="{F7C98A9C-CBB3-438F-8F68-D28B6AF4A901}">
        <xltc2:checksum>3083862951</xltc2:checksum>
        <xltc2:hyperlink startIndex="5" length="41" url="https://www.forumhotel.co.jp/stay/guestroom.html#service"/>
      </x:ext>
    </extLst>
  </threadedComment>
  <threadedComment ref="AE221" dT="2024-07-05T01:39:48.90" personId="{88D75A5A-321D-4A29-B434-71096DF4B30F}" id="{6F12C491-ECA9-4820-9401-7EE28911F979}">
    <text xml:space="preserve">記載なし
ホテルKOYO | 岐阜県羽島市【公式】 (hotel-koyo.jp) </text>
    <extLst>
      <x:ext xmlns:xltc2="http://schemas.microsoft.com/office/spreadsheetml/2020/threadedcomments2" uri="{F7C98A9C-CBB3-438F-8F68-D28B6AF4A901}">
        <xltc2:checksum>2399269645</xltc2:checksum>
        <xltc2:hyperlink startIndex="5" length="36" url="http://hotel-koyo.jp/index.php"/>
      </x:ext>
    </extLst>
  </threadedComment>
  <threadedComment ref="AE233" dT="2024-07-05T01:37:23.16" personId="{88D75A5A-321D-4A29-B434-71096DF4B30F}" id="{6FACBB5F-6944-4E98-8FCA-9001449C6DC0}">
    <text>未開業</text>
  </threadedComment>
</ThreadedComments>
</file>

<file path=xl/threadedComments/threadedComment15.xml><?xml version="1.0" encoding="utf-8"?>
<ThreadedComments xmlns="http://schemas.microsoft.com/office/spreadsheetml/2018/threadedcomments" xmlns:x="http://schemas.openxmlformats.org/spreadsheetml/2006/main">
  <threadedComment ref="H57" dT="2025-01-15T05:26:46.34" personId="{BE0EE761-9821-4E41-8ABF-45CA6888EE85}" id="{5B19144E-7E03-43E8-AEE1-BBFF4875C89A}">
    <text>和室の客室利用想定から96人の収容を想定</text>
  </threadedComment>
  <threadedComment ref="V63" dT="2024-06-13T03:04:10.89" personId="{81BCC87F-EB24-4460-9948-AA5372F955D7}" id="{B28C9339-AADA-456C-9D35-1F331BED1149}">
    <text xml:space="preserve">出発地点：蒲郡市商工会議所 </text>
  </threadedComment>
  <threadedComment ref="AB64" dT="2025-01-15T11:25:31.29" personId="{BE0EE761-9821-4E41-8ABF-45CA6888EE85}" id="{FF0C9635-594B-4AA4-A2F9-B3BF382D9AE5}">
    <text>岡崎市中央総合公園への所要時間</text>
  </threadedComment>
  <threadedComment ref="AE64" dT="2025-01-15T11:26:07.37" personId="{BE0EE761-9821-4E41-8ABF-45CA6888EE85}" id="{D936ABA8-897E-4F26-A723-233DFF394433}">
    <text>豊橋市民球場への所要時間</text>
  </threadedComment>
  <threadedComment ref="AB65" dT="2025-01-15T11:27:56.35" personId="{BE0EE761-9821-4E41-8ABF-45CA6888EE85}" id="{FEDCC103-9F7A-4018-AF3F-EF5CEDA54B48}">
    <text>岡崎市中央総合公園への所要時間</text>
  </threadedComment>
  <threadedComment ref="AE65" dT="2025-01-15T11:28:12.81" personId="{BE0EE761-9821-4E41-8ABF-45CA6888EE85}" id="{7F4BFD86-4171-4786-8F3F-EB30B8D0509A}">
    <text>豊橋市民球場への所要時間</text>
  </threadedComment>
  <threadedComment ref="V69" dT="2024-06-13T03:04:41.82" personId="{81BCC87F-EB24-4460-9948-AA5372F955D7}" id="{080F3E11-18C7-41AB-BFA4-C775DFF95DAA}">
    <text xml:space="preserve">出発地点：新城市桜淵公園 </text>
  </threadedComment>
</ThreadedComments>
</file>

<file path=xl/threadedComments/threadedComment16.xml><?xml version="1.0" encoding="utf-8"?>
<ThreadedComments xmlns="http://schemas.microsoft.com/office/spreadsheetml/2018/threadedcomments" xmlns:x="http://schemas.openxmlformats.org/spreadsheetml/2006/main">
  <threadedComment ref="BJ15" dT="2025-04-11T09:03:01.09" personId="{C4CD07CB-2EA4-470D-8AB3-DCC4D2DC9B9D}" id="{FF8E2800-B8C9-41B1-BD35-7DE96D180C14}">
    <text>宴会場とレストランがあるホテル</text>
  </threadedComment>
  <threadedComment ref="M17" dT="2025-04-11T09:34:57.52" personId="{C4CD07CB-2EA4-470D-8AB3-DCC4D2DC9B9D}" id="{9BF70F9B-5DB4-4F8A-9BF5-529FBDE8BFBD}">
    <text>JTB様より選手ホテル候補として推薦されているホテル</text>
  </threadedComment>
  <threadedComment ref="M23" dT="2025-04-11T09:34:53.19" personId="{C4CD07CB-2EA4-470D-8AB3-DCC4D2DC9B9D}" id="{245E1980-E14B-4383-ADBB-CD3871150C5E}">
    <text>JTB様より選手ホテル候補として推薦されているホテル</text>
  </threadedComment>
  <threadedComment ref="M35" dT="2025-01-28T01:28:22.46" personId="{CE2BBDBB-EB1E-4340-9493-AFD75B55519D}" id="{D42DA8E7-F57C-4A9E-A570-2F869E55169C}">
    <text>黄緑セル：JTB様より選手ホテル候補として推薦されているホテル</text>
  </threadedComment>
</ThreadedComments>
</file>

<file path=xl/threadedComments/threadedComment17.xml><?xml version="1.0" encoding="utf-8"?>
<ThreadedComments xmlns="http://schemas.microsoft.com/office/spreadsheetml/2018/threadedcomments" xmlns:x="http://schemas.openxmlformats.org/spreadsheetml/2006/main">
  <threadedComment ref="J26" dT="2024-10-09T06:18:40.92" personId="{C39DBD6E-C4BB-46AA-80C5-6E8DA219C189}" id="{A6D2E208-C7BF-435B-BA89-897288D4CECE}">
    <text>勝手に机上の空論的に配宿。元々提供ないので注意</text>
  </threadedComment>
  <threadedComment ref="J27" dT="2024-10-09T06:18:44.20" personId="{C39DBD6E-C4BB-46AA-80C5-6E8DA219C189}" id="{AD862A27-A8B0-40ED-B48F-5C6468F71F72}">
    <text>勝手に机上の空論的に配宿。元々提供ないので注意</text>
  </threadedComment>
  <threadedComment ref="J28" dT="2024-10-09T06:18:47.25" personId="{C39DBD6E-C4BB-46AA-80C5-6E8DA219C189}" id="{547982C4-014B-4865-B8E7-D7B9341CDC48}">
    <text>勝手に机上の空論的に配宿。元々提供ないので注意</text>
  </threadedComment>
  <threadedComment ref="J29" dT="2024-10-09T06:18:52.40" personId="{C39DBD6E-C4BB-46AA-80C5-6E8DA219C189}" id="{F1C0B69F-8F68-4515-A17B-56AD78E89631}">
    <text>勝手に机上の空論的に配宿。元々提供ないので注意</text>
  </threadedComment>
  <threadedComment ref="J30" dT="2024-10-09T06:18:54.85" personId="{C39DBD6E-C4BB-46AA-80C5-6E8DA219C189}" id="{35E512E8-144A-4A62-A3F6-8E2B97184EF1}">
    <text>勝手に机上の空論的に配宿。元々提供ないので注意</text>
  </threadedComment>
  <threadedComment ref="J31" dT="2024-10-09T06:18:57.53" personId="{C39DBD6E-C4BB-46AA-80C5-6E8DA219C189}" id="{5A94A561-ACCE-427B-BAFD-0607B5816E9D}">
    <text>勝手に机上の空論的に配宿。元々提供ないので注意</text>
  </threadedComment>
  <threadedComment ref="J32" dT="2024-10-09T06:19:00.31" personId="{C39DBD6E-C4BB-46AA-80C5-6E8DA219C189}" id="{406D0307-98A2-4B50-9633-3D0A345B2183}">
    <text>勝手に机上の空論的に配宿。元々提供ないので注意</text>
  </threadedComment>
  <threadedComment ref="J34" dT="2024-10-09T06:19:05.39" personId="{C39DBD6E-C4BB-46AA-80C5-6E8DA219C189}" id="{773B7829-B1AD-42A2-AD51-71B11BA5BA1B}">
    <text>勝手に机上の空論的に配宿。元々提供ないので注意</text>
  </threadedComment>
</ThreadedComments>
</file>

<file path=xl/threadedComments/threadedComment18.xml><?xml version="1.0" encoding="utf-8"?>
<ThreadedComments xmlns="http://schemas.microsoft.com/office/spreadsheetml/2018/threadedcomments" xmlns:x="http://schemas.openxmlformats.org/spreadsheetml/2006/main">
  <threadedComment ref="E27" dT="2024-05-01T05:04:01.52" personId="{CE2BBDBB-EB1E-4340-9493-AFD75B55519D}" id="{6302F150-6651-4705-A82B-E7F0146C0F74}">
    <text>【アジア】一部宿泊者＋ファンクションルームIN
※VINODをはじめとする事務方スタッフ＋一部のファンクションルームはこの期間から必要。</text>
  </threadedComment>
  <threadedComment ref="AH27" dT="2024-05-01T05:08:05.84" personId="{CE2BBDBB-EB1E-4340-9493-AFD75B55519D}" id="{2C62CBE4-E007-44BD-81B3-CE342A9B955E}">
    <text xml:space="preserve">【パラ】一部宿泊者＋ファンクションルームIN
※VINODをはじめとする事務方スタッフ＋一部のファンクションルームはこの期間から必要。
</text>
  </threadedComment>
</ThreadedComments>
</file>

<file path=xl/threadedComments/threadedComment19.xml><?xml version="1.0" encoding="utf-8"?>
<ThreadedComments xmlns="http://schemas.microsoft.com/office/spreadsheetml/2018/threadedcomments" xmlns:x="http://schemas.openxmlformats.org/spreadsheetml/2006/main">
  <threadedComment ref="U12" dT="2025-04-11T09:03:01.09" personId="{C4CD07CB-2EA4-470D-8AB3-DCC4D2DC9B9D}" id="{DD8EECDF-24C9-472D-8E5E-6412063D4E57}">
    <text>宴会場とレストランがあるホテル</text>
  </threadedComment>
</ThreadedComments>
</file>

<file path=xl/threadedComments/threadedComment20.xml><?xml version="1.0" encoding="utf-8"?>
<ThreadedComments xmlns="http://schemas.microsoft.com/office/spreadsheetml/2018/threadedcomments" xmlns:x="http://schemas.openxmlformats.org/spreadsheetml/2006/main">
  <threadedComment ref="AE5" dT="2024-11-13T07:54:27.87" personId="{4BBA8C90-4176-4A07-B536-01BFAF46B889}" id="{7B296C11-149A-4F90-A562-5D078DAC543C}">
    <text>これはホテル様には不要と思いますが、組織委員会内部で使用したいので記載したままでお願いしたいです。</text>
  </threadedComment>
</ThreadedComments>
</file>

<file path=xl/threadedComments/threadedComment21.xml><?xml version="1.0" encoding="utf-8"?>
<ThreadedComments xmlns="http://schemas.microsoft.com/office/spreadsheetml/2018/threadedcomments" xmlns:x="http://schemas.openxmlformats.org/spreadsheetml/2006/main">
  <threadedComment ref="AE5" dT="2024-11-13T07:54:27.87" personId="{4BBA8C90-4176-4A07-B536-01BFAF46B889}" id="{78FEEFFF-651C-43BF-9A5B-00C8C01093C7}">
    <text>これはホテルに見せるようには不要と思いますが、組織委員会内部で使用したいので記載したままでお願いしたいです。</text>
  </threadedComment>
  <threadedComment ref="AE32" dT="2024-11-13T07:54:27.87" personId="{4BBA8C90-4176-4A07-B536-01BFAF46B889}" id="{A8063083-0995-4898-944B-F84C4B1EE3EE}">
    <text>これはホテルに見せるようには不要と思いますが、組織委員会内部で使用したいので記載したままでお願いしたいです。</text>
  </threadedComment>
</ThreadedComments>
</file>

<file path=xl/threadedComments/threadedComment22.xml><?xml version="1.0" encoding="utf-8"?>
<ThreadedComments xmlns="http://schemas.microsoft.com/office/spreadsheetml/2018/threadedcomments" xmlns:x="http://schemas.openxmlformats.org/spreadsheetml/2006/main">
  <threadedComment ref="AE5" dT="2024-11-13T07:54:27.87" personId="{4BBA8C90-4176-4A07-B536-01BFAF46B889}" id="{F5B62FBD-29B3-4C7A-8FB4-B17FFC496C61}">
    <text>これはホテル様には不要と思いますが、組織委員会内部で使用したいので記載したままでお願いしたいです。</text>
  </threadedComment>
</ThreadedComments>
</file>

<file path=xl/threadedComments/threadedComment23.xml><?xml version="1.0" encoding="utf-8"?>
<ThreadedComments xmlns="http://schemas.microsoft.com/office/spreadsheetml/2018/threadedcomments" xmlns:x="http://schemas.openxmlformats.org/spreadsheetml/2006/main">
  <threadedComment ref="AE5" dT="2024-11-13T07:54:27.87" personId="{4BBA8C90-4176-4A07-B536-01BFAF46B889}" id="{0851C4D5-CEE6-4AAD-AA3C-4AAF492C6EDF}">
    <text>これはホテル様には不要と思いますが、組織委員会内部で使用したいので記載したままでお願いしたいです。</text>
  </threadedComment>
</ThreadedComments>
</file>

<file path=xl/threadedComments/threadedComment24.xml><?xml version="1.0" encoding="utf-8"?>
<ThreadedComments xmlns="http://schemas.microsoft.com/office/spreadsheetml/2018/threadedcomments" xmlns:x="http://schemas.openxmlformats.org/spreadsheetml/2006/main">
  <threadedComment ref="AE5" dT="2024-11-13T07:54:27.87" personId="{4BBA8C90-4176-4A07-B536-01BFAF46B889}" id="{5A533A9E-9E90-4815-88BF-7C72226FF6C1}">
    <text>これはホテル様には不要と思いますが、組織委員会内部で使用したいので記載したままでお願いしたいです。</text>
  </threadedComment>
</ThreadedComments>
</file>

<file path=xl/threadedComments/threadedComment25.xml><?xml version="1.0" encoding="utf-8"?>
<ThreadedComments xmlns="http://schemas.microsoft.com/office/spreadsheetml/2018/threadedcomments" xmlns:x="http://schemas.openxmlformats.org/spreadsheetml/2006/main">
  <threadedComment ref="AE5" dT="2024-11-13T07:54:27.87" personId="{4BBA8C90-4176-4A07-B536-01BFAF46B889}" id="{1CEDD855-EF6A-4338-A534-B52867479F97}">
    <text>これはホテル様には不要と思いますが、組織委員会内部で使用したいので記載したままでお願いしたいです。</text>
  </threadedComment>
  <threadedComment ref="AE32" dT="2024-11-13T07:54:27.87" personId="{4BBA8C90-4176-4A07-B536-01BFAF46B889}" id="{BF924FF5-9695-4840-85B2-5DF5DFA84AD4}">
    <text>これはホテル様には不要と思いますが、組織委員会内部で使用したいので記載したままでお願いしたいです。</text>
  </threadedComment>
</ThreadedComments>
</file>

<file path=xl/threadedComments/threadedComment26.xml><?xml version="1.0" encoding="utf-8"?>
<ThreadedComments xmlns="http://schemas.microsoft.com/office/spreadsheetml/2018/threadedcomments" xmlns:x="http://schemas.openxmlformats.org/spreadsheetml/2006/main">
  <threadedComment ref="AE5" dT="2024-11-13T07:54:27.87" personId="{4BBA8C90-4176-4A07-B536-01BFAF46B889}" id="{4C05DE75-05D0-4980-B1F6-7C12C73C89C5}">
    <text>これはホテル様には不要と思いますが、組織委員会内部で使用したいので記載したままでお願いしたいです。</text>
  </threadedComment>
</ThreadedComments>
</file>

<file path=xl/threadedComments/threadedComment27.xml><?xml version="1.0" encoding="utf-8"?>
<ThreadedComments xmlns="http://schemas.microsoft.com/office/spreadsheetml/2018/threadedcomments" xmlns:x="http://schemas.openxmlformats.org/spreadsheetml/2006/main">
  <threadedComment ref="AE5" dT="2024-11-13T07:54:27.87" personId="{4BBA8C90-4176-4A07-B536-01BFAF46B889}" id="{033AFA01-55FC-4511-8893-DC42ECC28994}">
    <text>これはホテルに見せるようには不要と思いますが、組織委員会内部で使用したいので記載したままでお願いしたいです。</text>
  </threadedComment>
  <threadedComment ref="AE34" dT="2024-11-13T07:54:27.87" personId="{4BBA8C90-4176-4A07-B536-01BFAF46B889}" id="{0BCC8047-96BA-4C1C-B3B3-5652E2E5D799}">
    <text>これはホテルに見せるようには不要と思いますが、組織委員会内部で使用したいので記載したままでお願いしたいです。</text>
  </threadedComment>
</ThreadedComments>
</file>

<file path=xl/threadedComments/threadedComment28.xml><?xml version="1.0" encoding="utf-8"?>
<ThreadedComments xmlns="http://schemas.microsoft.com/office/spreadsheetml/2018/threadedcomments" xmlns:x="http://schemas.openxmlformats.org/spreadsheetml/2006/main">
  <threadedComment ref="AE5" dT="2024-11-13T07:54:27.87" personId="{4BBA8C90-4176-4A07-B536-01BFAF46B889}" id="{D354A241-4E4A-4809-97C4-9BDBD09DC848}">
    <text>これはホテル様には不要と思いますが、組織委員会内部で使用したいので記載したままでお願いしたいです。</text>
  </threadedComment>
  <threadedComment ref="AE37" dT="2024-11-13T07:54:27.87" personId="{4BBA8C90-4176-4A07-B536-01BFAF46B889}" id="{9D28D48D-B514-4CED-BCA7-0BA7B97465F7}">
    <text>これはホテル様には不要と思いますが、組織委員会内部で使用したいので記載したままでお願いしたいです。</text>
  </threadedComment>
</ThreadedComments>
</file>

<file path=xl/threadedComments/threadedComment29.xml><?xml version="1.0" encoding="utf-8"?>
<ThreadedComments xmlns="http://schemas.microsoft.com/office/spreadsheetml/2018/threadedcomments" xmlns:x="http://schemas.openxmlformats.org/spreadsheetml/2006/main">
  <threadedComment ref="AF6" dT="2024-11-13T07:54:27.87" personId="{4BBA8C90-4176-4A07-B536-01BFAF46B889}" id="{0D6CB707-14BB-46A0-ADE4-B0E8118E69A4}">
    <text>これはホテル様には不要と思いますが、組織委員会内部で使用したいので記載したままでお願いしたいです。</text>
  </threadedComment>
  <threadedComment ref="AF31" dT="2024-11-13T07:54:27.87" personId="{4BBA8C90-4176-4A07-B536-01BFAF46B889}" id="{260329AF-DDEC-4EED-A426-2762EDAF89A0}">
    <text>これはホテル様には不要と思いますが、組織委員会内部で使用したいので記載したままでお願いしたいです。</text>
  </threadedComment>
</ThreadedComments>
</file>

<file path=xl/threadedComments/threadedComment30.xml><?xml version="1.0" encoding="utf-8"?>
<ThreadedComments xmlns="http://schemas.microsoft.com/office/spreadsheetml/2018/threadedcomments" xmlns:x="http://schemas.openxmlformats.org/spreadsheetml/2006/main">
  <threadedComment ref="AF5" dT="2024-11-13T07:54:27.87" personId="{4BBA8C90-4176-4A07-B536-01BFAF46B889}" id="{EE22F1AF-EB83-42F1-9CAD-9CDDE32C5D90}">
    <text>これはホテル様には不要と思いますが、組織委員会内部で使用したいので記載したままでお願いしたいです。</text>
  </threadedComment>
</ThreadedComments>
</file>

<file path=xl/threadedComments/threadedComment31.xml><?xml version="1.0" encoding="utf-8"?>
<ThreadedComments xmlns="http://schemas.microsoft.com/office/spreadsheetml/2018/threadedcomments" xmlns:x="http://schemas.openxmlformats.org/spreadsheetml/2006/main">
  <threadedComment ref="AF5" dT="2024-11-13T07:54:27.87" personId="{4BBA8C90-4176-4A07-B536-01BFAF46B889}" id="{5B4C9587-B7A9-4CE3-9C57-D18AA13BBCD7}">
    <text>これはホテルに見せるようには不要と思いますが、組織委員会内部で使用したいので記載したままでお願いしたいです。</text>
  </threadedComment>
  <threadedComment ref="AF24" dT="2024-11-13T07:54:27.87" personId="{4BBA8C90-4176-4A07-B536-01BFAF46B889}" id="{77188BC5-A029-4640-AABC-9BB98BC745F7}">
    <text>これはホテルに見せるようには不要と思いますが、組織委員会内部で使用したいので記載したままでお願いしたいです。</text>
  </threadedComment>
</ThreadedComments>
</file>

<file path=xl/threadedComments/threadedComment32.xml><?xml version="1.0" encoding="utf-8"?>
<ThreadedComments xmlns="http://schemas.microsoft.com/office/spreadsheetml/2018/threadedcomments" xmlns:x="http://schemas.openxmlformats.org/spreadsheetml/2006/main">
  <threadedComment ref="AF5" dT="2024-11-13T07:54:27.87" personId="{4BBA8C90-4176-4A07-B536-01BFAF46B889}" id="{75FF794A-6832-48AB-8806-1B1C2A960908}">
    <text>これはホテル様には不要と思いますが、組織委員会内部で使用したいので記載したままでお願いしたいです。</text>
  </threadedComment>
</ThreadedComments>
</file>

<file path=xl/threadedComments/threadedComment33.xml><?xml version="1.0" encoding="utf-8"?>
<ThreadedComments xmlns="http://schemas.microsoft.com/office/spreadsheetml/2018/threadedcomments" xmlns:x="http://schemas.openxmlformats.org/spreadsheetml/2006/main">
  <threadedComment ref="AF5" dT="2024-11-13T07:54:27.87" personId="{4BBA8C90-4176-4A07-B536-01BFAF46B889}" id="{1E615D54-9541-4B16-B960-91108B73455E}">
    <text>これはホテル様には不要と思いますが、組織委員会内部で使用したいので記載したままでお願いしたいです。</text>
  </threadedComment>
</ThreadedComments>
</file>

<file path=xl/threadedComments/threadedComment34.xml><?xml version="1.0" encoding="utf-8"?>
<ThreadedComments xmlns="http://schemas.microsoft.com/office/spreadsheetml/2018/threadedcomments" xmlns:x="http://schemas.openxmlformats.org/spreadsheetml/2006/main">
  <threadedComment ref="AF5" dT="2024-11-13T07:54:27.87" personId="{4BBA8C90-4176-4A07-B536-01BFAF46B889}" id="{23F168D2-F7B5-46DA-AF40-AC20037B5864}">
    <text>これはホテル様には不要と思いますが、組織委員会内部で使用したいので記載したままでお願いしたいです。</text>
  </threadedComment>
</ThreadedComments>
</file>

<file path=xl/threadedComments/threadedComment35.xml><?xml version="1.0" encoding="utf-8"?>
<ThreadedComments xmlns="http://schemas.microsoft.com/office/spreadsheetml/2018/threadedcomments" xmlns:x="http://schemas.openxmlformats.org/spreadsheetml/2006/main">
  <threadedComment ref="Z5" dT="2024-11-13T07:54:27.87" personId="{4BBA8C90-4176-4A07-B536-01BFAF46B889}" id="{BE57C414-09BF-496C-A9E6-0DA098D68946}">
    <text>これはホテルに見せるようには不要と思いますが、組織委員会内部で使用したいので記載したままでお願いしたいです。</text>
  </threadedComment>
  <threadedComment ref="Z30" dT="2024-11-13T07:54:27.87" personId="{4BBA8C90-4176-4A07-B536-01BFAF46B889}" id="{30744347-0B98-4F05-9974-64E178B6B3B1}">
    <text>これはホテルに見せるようには不要と思いますが、組織委員会内部で使用したいので記載したままでお願いしたいです。</text>
  </threadedComment>
</ThreadedComments>
</file>

<file path=xl/threadedComments/threadedComment36.xml><?xml version="1.0" encoding="utf-8"?>
<ThreadedComments xmlns="http://schemas.microsoft.com/office/spreadsheetml/2018/threadedcomments" xmlns:x="http://schemas.openxmlformats.org/spreadsheetml/2006/main">
  <threadedComment ref="AF5" dT="2024-11-13T07:54:27.87" personId="{4BBA8C90-4176-4A07-B536-01BFAF46B889}" id="{D557A12E-9B46-47AA-B1D8-D51A41E649B9}">
    <text>これはホテル様には不要と思いますが、組織委員会内部で使用したいので記載したままでお願いしたいです。</text>
  </threadedComment>
</ThreadedComments>
</file>

<file path=xl/threadedComments/threadedComment37.xml><?xml version="1.0" encoding="utf-8"?>
<ThreadedComments xmlns="http://schemas.microsoft.com/office/spreadsheetml/2018/threadedcomments" xmlns:x="http://schemas.openxmlformats.org/spreadsheetml/2006/main">
  <threadedComment ref="AF5" dT="2024-11-13T07:54:27.87" personId="{4BBA8C90-4176-4A07-B536-01BFAF46B889}" id="{94CBF3F5-6444-4EF9-BDDB-567DB97C51D3}">
    <text>これはホテルに見せるようには不要と思いますが、組織委員会内部で使用したいので記載したままでお願いしたいです。</text>
  </threadedComment>
  <threadedComment ref="AF30" dT="2024-11-13T07:54:27.87" personId="{4BBA8C90-4176-4A07-B536-01BFAF46B889}" id="{5AF7327A-9897-47B4-9FDA-A2705162A9CD}">
    <text>これはホテルに見せるようには不要と思いますが、組織委員会内部で使用したいので記載したままでお願いしたいです。</text>
  </threadedComment>
</ThreadedComments>
</file>

<file path=xl/threadedComments/threadedComment38.xml><?xml version="1.0" encoding="utf-8"?>
<ThreadedComments xmlns="http://schemas.microsoft.com/office/spreadsheetml/2018/threadedcomments" xmlns:x="http://schemas.openxmlformats.org/spreadsheetml/2006/main">
  <threadedComment ref="AF5" dT="2024-11-13T07:54:27.87" personId="{4BBA8C90-4176-4A07-B536-01BFAF46B889}" id="{C208D041-6543-4426-A63A-45F7DA4663E5}">
    <text>これはホテルに見せるようには不要と思いますが、組織委員会内部で使用したいので記載したままでお願いしたいです。</text>
  </threadedComment>
</ThreadedComments>
</file>

<file path=xl/threadedComments/threadedComment39.xml><?xml version="1.0" encoding="utf-8"?>
<ThreadedComments xmlns="http://schemas.microsoft.com/office/spreadsheetml/2018/threadedcomments" xmlns:x="http://schemas.openxmlformats.org/spreadsheetml/2006/main">
  <threadedComment ref="AF5" dT="2024-11-13T07:54:27.87" personId="{4BBA8C90-4176-4A07-B536-01BFAF46B889}" id="{3AAEA4EB-4314-4FF1-BD81-B7F14B930FAC}">
    <text>これはホテル様には不要と思いますが、組織委員会内部で使用したいので記載したままでお願いしたいです。</text>
  </threadedComment>
</ThreadedComments>
</file>

<file path=xl/threadedComments/threadedComment40.xml><?xml version="1.0" encoding="utf-8"?>
<ThreadedComments xmlns="http://schemas.microsoft.com/office/spreadsheetml/2018/threadedcomments" xmlns:x="http://schemas.openxmlformats.org/spreadsheetml/2006/main">
  <threadedComment ref="AF6" dT="2024-11-13T07:54:27.87" personId="{4BBA8C90-4176-4A07-B536-01BFAF46B889}" id="{1E258561-A89F-4EEA-9EB5-6F1D70E323A6}">
    <text>これはホテル様には不要と思いますが、組織委員会内部で使用したいので記載したままでお願いしたいです。</text>
  </threadedComment>
</ThreadedComments>
</file>

<file path=xl/threadedComments/threadedComment41.xml><?xml version="1.0" encoding="utf-8"?>
<ThreadedComments xmlns="http://schemas.microsoft.com/office/spreadsheetml/2018/threadedcomments" xmlns:x="http://schemas.openxmlformats.org/spreadsheetml/2006/main">
  <threadedComment ref="AF5" dT="2024-11-13T07:54:27.87" personId="{4BBA8C90-4176-4A07-B536-01BFAF46B889}" id="{657B52BB-4C69-43F4-9B7E-B670B0960022}">
    <text>これはホテル様には不要と思いますが、組織委員会内部で使用したいので記載したままでお願いしたいです。</text>
  </threadedComment>
</ThreadedComments>
</file>

<file path=xl/threadedComments/threadedComment42.xml><?xml version="1.0" encoding="utf-8"?>
<ThreadedComments xmlns="http://schemas.microsoft.com/office/spreadsheetml/2018/threadedcomments" xmlns:x="http://schemas.openxmlformats.org/spreadsheetml/2006/main">
  <threadedComment ref="AF5" dT="2024-11-13T07:54:27.87" personId="{4BBA8C90-4176-4A07-B536-01BFAF46B889}" id="{CCCF37B2-4C18-4161-B1E6-6A6CE940F847}">
    <text>これはホテルに見せるようには不要と思いますが、組織委員会内部で使用したいので記載したままでお願いしたいです。</text>
  </threadedComment>
  <threadedComment ref="AF31" dT="2024-11-13T07:54:27.87" personId="{4BBA8C90-4176-4A07-B536-01BFAF46B889}" id="{2A37A02E-C73B-4FE5-8E3B-69F1760B6731}">
    <text>これはホテルに見せるようには不要と思いますが、組織委員会内部で使用したいので記載したままでお願いしたいです。</text>
  </threadedComment>
  <threadedComment ref="AF56" dT="2024-11-13T07:54:27.87" personId="{4BBA8C90-4176-4A07-B536-01BFAF46B889}" id="{0205335E-CC82-4288-85D3-4499CBC5DB6E}">
    <text>これはホテルに見せるようには不要と思いますが、組織委員会内部で使用したいので記載したままでお願いしたいです。</text>
  </threadedComment>
</ThreadedComments>
</file>

<file path=xl/threadedComments/threadedComment43.xml><?xml version="1.0" encoding="utf-8"?>
<ThreadedComments xmlns="http://schemas.microsoft.com/office/spreadsheetml/2018/threadedcomments" xmlns:x="http://schemas.openxmlformats.org/spreadsheetml/2006/main">
  <threadedComment ref="AF5" dT="2024-11-13T07:54:27.87" personId="{4BBA8C90-4176-4A07-B536-01BFAF46B889}" id="{0DE5A67F-18A1-47C7-96BF-4B6AF6057CBF}">
    <text>これはホテル様には不要と思いますが、組織委員会内部で使用したいので記載したままでお願いしたいです。</text>
  </threadedComment>
  <threadedComment ref="AF31" dT="2024-11-13T07:54:27.87" personId="{4BBA8C90-4176-4A07-B536-01BFAF46B889}" id="{4FF4B0F3-E9C9-4157-B771-DEEBAFF8D113}">
    <text>これはホテル様には不要と思いますが、組織委員会内部で使用したいので記載したままでお願いしたいです。</text>
  </threadedComment>
</ThreadedComments>
</file>

<file path=xl/threadedComments/threadedComment44.xml><?xml version="1.0" encoding="utf-8"?>
<ThreadedComments xmlns="http://schemas.microsoft.com/office/spreadsheetml/2018/threadedcomments" xmlns:x="http://schemas.openxmlformats.org/spreadsheetml/2006/main">
  <threadedComment ref="AF5" dT="2024-11-13T07:54:27.87" personId="{4BBA8C90-4176-4A07-B536-01BFAF46B889}" id="{530A772D-CF7F-416D-939F-C49B03756AFC}">
    <text>これはホテル様には不要と思いますが、組織委員会内部で使用したいので記載したままでお願いしたいです。</text>
  </threadedComment>
</ThreadedComments>
</file>

<file path=xl/threadedComments/threadedComment45.xml><?xml version="1.0" encoding="utf-8"?>
<ThreadedComments xmlns="http://schemas.microsoft.com/office/spreadsheetml/2018/threadedcomments" xmlns:x="http://schemas.openxmlformats.org/spreadsheetml/2006/main">
  <threadedComment ref="AF5" dT="2024-11-13T07:54:27.87" personId="{4BBA8C90-4176-4A07-B536-01BFAF46B889}" id="{8CCBD20D-6EA4-4E09-9BA6-B9CC0720C601}">
    <text>これはホテル様には不要と思いますが、組織委員会内部で使用したいので記載したままでお願いしたいです。</text>
  </threadedComment>
</ThreadedComments>
</file>

<file path=xl/threadedComments/threadedComment46.xml><?xml version="1.0" encoding="utf-8"?>
<ThreadedComments xmlns="http://schemas.microsoft.com/office/spreadsheetml/2018/threadedcomments" xmlns:x="http://schemas.openxmlformats.org/spreadsheetml/2006/main">
  <threadedComment ref="AF5" dT="2024-11-13T07:54:27.87" personId="{4BBA8C90-4176-4A07-B536-01BFAF46B889}" id="{4F63D596-51B0-4D70-BD0B-CC27612C39B0}">
    <text>これはホテル様には不要と思いますが、組織委員会内部で使用したいので記載したままでお願いしたいです。</text>
  </threadedComment>
  <threadedComment ref="AF38" dT="2024-11-13T07:54:27.87" personId="{4BBA8C90-4176-4A07-B536-01BFAF46B889}" id="{02094F50-9CB2-44A7-8605-89CCF176EB88}">
    <text>これはホテル様には不要と思いますが、組織委員会内部で使用したいので記載したままでお願いしたいです。</text>
  </threadedComment>
</ThreadedComments>
</file>

<file path=xl/threadedComments/threadedComment47.xml><?xml version="1.0" encoding="utf-8"?>
<ThreadedComments xmlns="http://schemas.microsoft.com/office/spreadsheetml/2018/threadedcomments" xmlns:x="http://schemas.openxmlformats.org/spreadsheetml/2006/main">
  <threadedComment ref="N14" dT="2025-06-20T02:51:42.39" personId="{C39DBD6E-C4BB-46AA-80C5-6E8DA219C189}" id="{AFA37FA3-14DD-4CAC-9520-D5C4622DC6AD}">
    <text>1日あたりの料金を無理やり算出</text>
  </threadedComment>
</ThreadedComments>
</file>

<file path=xl/threadedComments/threadedComment48.xml><?xml version="1.0" encoding="utf-8"?>
<ThreadedComments xmlns="http://schemas.microsoft.com/office/spreadsheetml/2018/threadedcomments" xmlns:x="http://schemas.openxmlformats.org/spreadsheetml/2006/main">
  <threadedComment ref="AF6" dT="2024-11-13T07:54:27.87" personId="{4BBA8C90-4176-4A07-B536-01BFAF46B889}" id="{6AFEDA82-C3E7-43B9-8686-680614B88601}">
    <text>これはホテル様には不要と思いますが、組織委員会内部で使用したいので記載したままでお願いしたいです。</text>
  </threadedComment>
  <threadedComment ref="AF31" dT="2024-11-13T07:54:27.87" personId="{4BBA8C90-4176-4A07-B536-01BFAF46B889}" id="{79FE05DD-A4F5-492C-961B-0A8242B48AE0}">
    <text>これはホテル様には不要と思いますが、組織委員会内部で使用したいので記載したままでお願いしたいです。</text>
  </threadedComment>
</ThreadedComments>
</file>

<file path=xl/threadedComments/threadedComment49.xml><?xml version="1.0" encoding="utf-8"?>
<ThreadedComments xmlns="http://schemas.microsoft.com/office/spreadsheetml/2018/threadedcomments" xmlns:x="http://schemas.openxmlformats.org/spreadsheetml/2006/main">
  <threadedComment ref="AF5" dT="2024-11-13T07:54:27.87" personId="{4BBA8C90-4176-4A07-B536-01BFAF46B889}" id="{92B5E258-1367-4BC5-9F3D-F661E01E5E5E}">
    <text>これはホテル様には不要と思いますが、組織委員会内部で使用したいので記載したままでお願いしたいです。</text>
  </threadedComment>
</ThreadedComments>
</file>

<file path=xl/threadedComments/threadedComment50.xml><?xml version="1.0" encoding="utf-8"?>
<ThreadedComments xmlns="http://schemas.microsoft.com/office/spreadsheetml/2018/threadedcomments" xmlns:x="http://schemas.openxmlformats.org/spreadsheetml/2006/main">
  <threadedComment ref="AF5" dT="2024-11-13T07:54:27.87" personId="{4BBA8C90-4176-4A07-B536-01BFAF46B889}" id="{0D586CBE-2F25-4378-A598-D14D1F164D55}">
    <text>これはホテルに見せるようには不要と思いますが、組織委員会内部で使用したいので記載したままでお願いしたいです。</text>
  </threadedComment>
  <threadedComment ref="AF28" dT="2024-11-13T07:54:27.87" personId="{4BBA8C90-4176-4A07-B536-01BFAF46B889}" id="{90575023-F616-4C3C-ADCF-F8DE23820CF9}">
    <text>これはホテルに見せるようには不要と思いますが、組織委員会内部で使用したいので記載したままでお願いしたいです。</text>
  </threadedComment>
</ThreadedComments>
</file>

<file path=xl/threadedComments/threadedComment51.xml><?xml version="1.0" encoding="utf-8"?>
<ThreadedComments xmlns="http://schemas.microsoft.com/office/spreadsheetml/2018/threadedcomments" xmlns:x="http://schemas.openxmlformats.org/spreadsheetml/2006/main">
  <threadedComment ref="AF5" dT="2024-11-13T07:54:27.87" personId="{4BBA8C90-4176-4A07-B536-01BFAF46B889}" id="{B6B5D066-B935-4338-9FFB-517BA76F97D8}">
    <text>これはホテル様には不要と思いますが、組織委員会内部で使用したいので記載したままでお願いしたいです。</text>
  </threadedComment>
</ThreadedComments>
</file>

<file path=xl/threadedComments/threadedComment52.xml><?xml version="1.0" encoding="utf-8"?>
<ThreadedComments xmlns="http://schemas.microsoft.com/office/spreadsheetml/2018/threadedcomments" xmlns:x="http://schemas.openxmlformats.org/spreadsheetml/2006/main">
  <threadedComment ref="AF5" dT="2024-11-13T07:54:27.87" personId="{4BBA8C90-4176-4A07-B536-01BFAF46B889}" id="{E6110F5F-5B00-4064-975C-9725F5D584A6}">
    <text>これはホテル様には不要と思いますが、組織委員会内部で使用したいので記載したままでお願いしたいです。</text>
  </threadedComment>
  <threadedComment ref="AF30" dT="2024-11-13T07:54:27.87" personId="{4BBA8C90-4176-4A07-B536-01BFAF46B889}" id="{574DB4DA-5394-4359-AA73-2A825DA54B5F}">
    <text>これはホテル様には不要と思いますが、組織委員会内部で使用したいので記載したままでお願いしたいです。</text>
  </threadedComment>
</ThreadedComments>
</file>

<file path=xl/threadedComments/threadedComment53.xml><?xml version="1.0" encoding="utf-8"?>
<ThreadedComments xmlns="http://schemas.microsoft.com/office/spreadsheetml/2018/threadedcomments" xmlns:x="http://schemas.openxmlformats.org/spreadsheetml/2006/main">
  <threadedComment ref="AF6" dT="2024-11-13T07:54:27.87" personId="{4BBA8C90-4176-4A07-B536-01BFAF46B889}" id="{F7A646B8-0AB8-46BB-A7F7-F242632062A6}">
    <text>これはホテルに見せるようには不要と思いますが、組織委員会内部で使用したいので記載したままでお願いしたいです。</text>
  </threadedComment>
</ThreadedComments>
</file>

<file path=xl/threadedComments/threadedComment54.xml><?xml version="1.0" encoding="utf-8"?>
<ThreadedComments xmlns="http://schemas.microsoft.com/office/spreadsheetml/2018/threadedcomments" xmlns:x="http://schemas.openxmlformats.org/spreadsheetml/2006/main">
  <threadedComment ref="AF5" dT="2024-11-13T07:54:27.87" personId="{4BBA8C90-4176-4A07-B536-01BFAF46B889}" id="{594B238A-047C-4E36-989B-F37889CA10DC}">
    <text>これはホテル様には不要と思いますが、組織委員会内部で使用したいので記載したままでお願いしたいです。</text>
  </threadedComment>
</ThreadedComments>
</file>

<file path=xl/threadedComments/threadedComment55.xml><?xml version="1.0" encoding="utf-8"?>
<ThreadedComments xmlns="http://schemas.microsoft.com/office/spreadsheetml/2018/threadedcomments" xmlns:x="http://schemas.openxmlformats.org/spreadsheetml/2006/main">
  <threadedComment ref="AF5" dT="2024-11-13T07:54:27.87" personId="{4BBA8C90-4176-4A07-B536-01BFAF46B889}" id="{F65377C5-AD0E-4110-95A6-41D81F777333}">
    <text>これはホテル様には不要と思いますが、組織委員会内部で使用したいので記載したままでお願いしたいです。</text>
  </threadedComment>
</ThreadedComments>
</file>

<file path=xl/threadedComments/threadedComment56.xml><?xml version="1.0" encoding="utf-8"?>
<ThreadedComments xmlns="http://schemas.microsoft.com/office/spreadsheetml/2018/threadedcomments" xmlns:x="http://schemas.openxmlformats.org/spreadsheetml/2006/main">
  <threadedComment ref="AF5" dT="2024-11-13T07:54:27.87" personId="{4BBA8C90-4176-4A07-B536-01BFAF46B889}" id="{590DFF99-5067-4A1D-9C17-C92A36EBD9FF}">
    <text>これはホテル様には不要と思いますが、組織委員会内部で使用したいので記載したままでお願いしたいです。</text>
  </threadedComment>
</ThreadedComments>
</file>

<file path=xl/threadedComments/threadedComment57.xml><?xml version="1.0" encoding="utf-8"?>
<ThreadedComments xmlns="http://schemas.microsoft.com/office/spreadsheetml/2018/threadedcomments" xmlns:x="http://schemas.openxmlformats.org/spreadsheetml/2006/main">
  <threadedComment ref="AF5" dT="2024-11-13T07:54:27.87" personId="{4BBA8C90-4176-4A07-B536-01BFAF46B889}" id="{22B0690E-A7D3-49FF-A0EC-EE748F3CDA6B}">
    <text>これはホテル様には不要と思いますが、組織委員会内部で使用したいので記載したままでお願いしたいです。</text>
  </threadedComment>
</ThreadedComments>
</file>

<file path=xl/threadedComments/threadedComment58.xml><?xml version="1.0" encoding="utf-8"?>
<ThreadedComments xmlns="http://schemas.microsoft.com/office/spreadsheetml/2018/threadedcomments" xmlns:x="http://schemas.openxmlformats.org/spreadsheetml/2006/main">
  <threadedComment ref="AF5" dT="2024-11-13T07:54:27.87" personId="{4BBA8C90-4176-4A07-B536-01BFAF46B889}" id="{8E660C1D-8F8A-4E35-A44D-8F9F766FCFD6}">
    <text>これはホテル様には不要と思いますが、組織委員会内部で使用したいので記載したままでお願いしたいです。</text>
  </threadedComment>
  <threadedComment ref="AF30" dT="2024-11-13T07:54:27.87" personId="{4BBA8C90-4176-4A07-B536-01BFAF46B889}" id="{2B2C2E27-A0ED-4E54-8C90-D7B50C9140D3}">
    <text>これはホテル様には不要と思いますが、組織委員会内部で使用したいので記載したままでお願いしたいです。</text>
  </threadedComment>
</ThreadedComments>
</file>

<file path=xl/threadedComments/threadedComment59.xml><?xml version="1.0" encoding="utf-8"?>
<ThreadedComments xmlns="http://schemas.microsoft.com/office/spreadsheetml/2018/threadedcomments" xmlns:x="http://schemas.openxmlformats.org/spreadsheetml/2006/main">
  <threadedComment ref="AF5" dT="2024-11-13T07:54:27.87" personId="{4BBA8C90-4176-4A07-B536-01BFAF46B889}" id="{2F5C6CE6-9811-4896-9528-5593B7D37353}">
    <text>これはホテル様には不要と思いますが、組織委員会内部で使用したいので記載したままでお願いしたいです。</text>
  </threadedComment>
  <threadedComment ref="E11" dT="2025-07-02T04:27:43.83" personId="{C39DBD6E-C4BB-46AA-80C5-6E8DA219C189}" id="{9A515634-78CF-455C-BC1F-75132B526ED6}">
    <text>ロードからトラックに参加する選手が50名程度？2日間泊まる場所を確保する必要がある</text>
  </threadedComment>
  <threadedComment ref="M11" dT="2025-07-02T04:27:06.46" personId="{C39DBD6E-C4BB-46AA-80C5-6E8DA219C189}" id="{2DD066B5-3FBE-4914-9301-88111E9DC973}">
    <text>客室料金（朝食込）＋昼食夕食16,900円＋朝食差額1,100円を入れた料金</text>
  </threadedComment>
  <threadedComment ref="AF30" dT="2024-11-13T07:54:27.87" personId="{4BBA8C90-4176-4A07-B536-01BFAF46B889}" id="{57BD21FA-242A-40C9-8918-F8E9BD92557F}">
    <text>これはホテル様には不要と思いますが、組織委員会内部で使用したいので記載したままでお願いしたいです。</text>
  </threadedComment>
</ThreadedComments>
</file>

<file path=xl/threadedComments/threadedComment60.xml><?xml version="1.0" encoding="utf-8"?>
<ThreadedComments xmlns="http://schemas.microsoft.com/office/spreadsheetml/2018/threadedcomments" xmlns:x="http://schemas.openxmlformats.org/spreadsheetml/2006/main">
  <threadedComment ref="I29" dT="2025-07-02T08:10:59.78" personId="{C39DBD6E-C4BB-46AA-80C5-6E8DA219C189}" id="{68CDF834-36E9-4204-99EA-88BB5867B03D}">
    <text>車いすは特殊対応</text>
  </threadedComment>
</ThreadedComments>
</file>

<file path=xl/threadedComments/threadedComment61.xml><?xml version="1.0" encoding="utf-8"?>
<ThreadedComments xmlns="http://schemas.microsoft.com/office/spreadsheetml/2018/threadedcomments" xmlns:x="http://schemas.openxmlformats.org/spreadsheetml/2006/main">
  <threadedComment ref="AF5" dT="2024-11-13T07:54:27.87" personId="{4BBA8C90-4176-4A07-B536-01BFAF46B889}" id="{038A4728-7484-4B6A-9416-79958B587580}">
    <text>これはホテル様には不要と思いますが、組織委員会内部で使用したいので記載したままでお願いしたいです。</text>
  </threadedComment>
  <threadedComment ref="AF33" dT="2024-11-13T07:54:27.87" personId="{4BBA8C90-4176-4A07-B536-01BFAF46B889}" id="{12ADCF3D-BEDB-45AF-923F-63C34AF174A8}">
    <text>これはホテル様には不要と思いますが、組織委員会内部で使用したいので記載したままでお願いしたいです。</text>
  </threadedComment>
</ThreadedComments>
</file>

<file path=xl/threadedComments/threadedComment62.xml><?xml version="1.0" encoding="utf-8"?>
<ThreadedComments xmlns="http://schemas.microsoft.com/office/spreadsheetml/2018/threadedcomments" xmlns:x="http://schemas.openxmlformats.org/spreadsheetml/2006/main">
  <threadedComment ref="AF5" dT="2024-11-13T07:54:27.87" personId="{4BBA8C90-4176-4A07-B536-01BFAF46B889}" id="{AC6EEB7D-DACB-4CC1-9BAC-0691D6D4F081}">
    <text>これはホテル様には不要と思いますが、組織委員会内部で使用したいので記載したままでお願いしたいです。</text>
  </threadedComment>
  <threadedComment ref="AF30" dT="2024-11-13T07:54:27.87" personId="{4BBA8C90-4176-4A07-B536-01BFAF46B889}" id="{9C1169A1-ACD1-4A48-8399-55C801514C8B}">
    <text>これはホテル様には不要と思いますが、組織委員会内部で使用したいので記載したままでお願いしたいです。</text>
  </threadedComment>
</ThreadedComments>
</file>

<file path=xl/threadedComments/threadedComment63.xml><?xml version="1.0" encoding="utf-8"?>
<ThreadedComments xmlns="http://schemas.microsoft.com/office/spreadsheetml/2018/threadedcomments" xmlns:x="http://schemas.openxmlformats.org/spreadsheetml/2006/main">
  <threadedComment ref="AF5" dT="2024-11-13T07:54:27.87" personId="{4BBA8C90-4176-4A07-B536-01BFAF46B889}" id="{21367BCB-C6DA-4F12-B6A4-2875FB51942D}">
    <text>これはホテル様には不要と思いますが、組織委員会内部で使用したいので記載したままでお願いしたいです。</text>
  </threadedComment>
</ThreadedComments>
</file>

<file path=xl/threadedComments/threadedComment64.xml><?xml version="1.0" encoding="utf-8"?>
<ThreadedComments xmlns="http://schemas.microsoft.com/office/spreadsheetml/2018/threadedcomments" xmlns:x="http://schemas.openxmlformats.org/spreadsheetml/2006/main">
  <threadedComment ref="AF5" dT="2024-11-13T07:54:27.87" personId="{4BBA8C90-4176-4A07-B536-01BFAF46B889}" id="{1A832572-6119-488F-BAAF-6883C2C8E4D0}">
    <text>これはホテルに見せるようには不要と思いますが、組織委員会内部で使用したいので記載したままでお願いしたいです。</text>
  </threadedComment>
  <threadedComment ref="AF29" dT="2024-11-13T07:54:27.87" personId="{4BBA8C90-4176-4A07-B536-01BFAF46B889}" id="{D451E3D2-32FB-422E-9FB8-AD5392878E2B}">
    <text>これはホテルに見せるようには不要と思いますが、組織委員会内部で使用したいので記載したままでお願いしたいです。</text>
  </threadedComment>
</ThreadedComments>
</file>

<file path=xl/threadedComments/threadedComment65.xml><?xml version="1.0" encoding="utf-8"?>
<ThreadedComments xmlns="http://schemas.microsoft.com/office/spreadsheetml/2018/threadedcomments" xmlns:x="http://schemas.openxmlformats.org/spreadsheetml/2006/main">
  <threadedComment ref="AF5" dT="2024-11-13T07:54:27.87" personId="{4BBA8C90-4176-4A07-B536-01BFAF46B889}" id="{E8E0EC61-54BD-43B5-8714-3FE33B2280C7}">
    <text>これはホテル様には不要と思いますが、組織委員会内部で使用したいので記載したままでお願いしたいです。</text>
  </threadedComment>
</ThreadedComments>
</file>

<file path=xl/threadedComments/threadedComment66.xml><?xml version="1.0" encoding="utf-8"?>
<ThreadedComments xmlns="http://schemas.microsoft.com/office/spreadsheetml/2018/threadedcomments" xmlns:x="http://schemas.openxmlformats.org/spreadsheetml/2006/main">
  <threadedComment ref="AF5" dT="2024-11-13T07:54:27.87" personId="{4BBA8C90-4176-4A07-B536-01BFAF46B889}" id="{69EC1FBF-38DA-4A2D-8065-954E70E6090C}">
    <text>これはホテル様には不要と思いますが、組織委員会内部で使用したいので記載したままでお願いしたいです。</text>
  </threadedComment>
</ThreadedComments>
</file>

<file path=xl/threadedComments/threadedComment67.xml><?xml version="1.0" encoding="utf-8"?>
<ThreadedComments xmlns="http://schemas.microsoft.com/office/spreadsheetml/2018/threadedcomments" xmlns:x="http://schemas.openxmlformats.org/spreadsheetml/2006/main">
  <threadedComment ref="AG5" dT="2024-11-13T07:54:27.87" personId="{4BBA8C90-4176-4A07-B536-01BFAF46B889}" id="{991C1559-62A2-4FAB-A6F4-925C47EBC203}">
    <text>これはホテルに見せるようには不要と思いますが、組織委員会内部で使用したいので記載したままでお願いしたいです。</text>
  </threadedComment>
  <threadedComment ref="AH5" dT="2024-11-13T07:54:27.87" personId="{4BBA8C90-4176-4A07-B536-01BFAF46B889}" id="{550A9A5A-47EA-4834-9FBB-4F1B7A184832}">
    <text>これはホテルに見せるようには不要と思いますが、組織委員会内部で使用したいので記載したままでお願いしたいです。</text>
  </threadedComment>
</ThreadedComments>
</file>

<file path=xl/threadedComments/threadedComment68.xml><?xml version="1.0" encoding="utf-8"?>
<ThreadedComments xmlns="http://schemas.microsoft.com/office/spreadsheetml/2018/threadedcomments" xmlns:x="http://schemas.openxmlformats.org/spreadsheetml/2006/main">
  <threadedComment ref="B5" dT="2025-05-14T01:12:50.77" personId="{3EC30637-C684-4C8F-8D9D-955E443C5990}" id="{92E9F99A-2A12-457A-86A8-E944B776B935}">
    <text>組織委員会の準備期間は必要ですか？
必要な場合は選手・ファミリー用の別紙1と同じ様式になるかと思います。</text>
  </threadedComment>
  <threadedComment ref="Z5" dT="2024-11-13T07:54:27.87" personId="{4BBA8C90-4176-4A07-B536-01BFAF46B889}" id="{68B64020-836E-4D9A-AEB3-B426C8BB4DCF}">
    <text>これはホテルに見せるようには不要と思いますが、組織委員会内部で使用したいので記載したままでお願いしたいです。</text>
  </threadedComment>
  <threadedComment ref="Z26" dT="2024-11-13T07:54:27.87" personId="{4BBA8C90-4176-4A07-B536-01BFAF46B889}" id="{7FEB27EB-D8C7-4D5B-AD06-FC396693D591}">
    <text>これはホテルに見せるようには不要と思いますが、組織委員会内部で使用したいので記載したままでお願いしたいです。</text>
  </threadedComment>
</ThreadedComments>
</file>

<file path=xl/threadedComments/threadedComment69.xml><?xml version="1.0" encoding="utf-8"?>
<ThreadedComments xmlns="http://schemas.microsoft.com/office/spreadsheetml/2018/threadedcomments" xmlns:x="http://schemas.openxmlformats.org/spreadsheetml/2006/main">
  <threadedComment ref="Q1" dT="2024-07-01T05:19:59.30" personId="{88D75A5A-321D-4A29-B434-71096DF4B30F}" id="{8BCC5D53-0A6A-45D5-B32F-C4F7D7874861}" done="1">
    <text>費課税額にも課税しているため、L列よりも高い金額となっている箇所アリ</text>
  </threadedComment>
  <threadedComment ref="T1" dT="2024-07-08T01:11:54.95" personId="{88D75A5A-321D-4A29-B434-71096DF4B30F}" id="{5C01DE0E-43B2-4ED7-8448-F724CC3752E2}">
    <text>K列/H（I）列が良いかはご相談</text>
  </threadedComment>
  <threadedComment ref="AF1" dT="2024-07-05T00:42:27.93" personId="{4BBA8C90-4176-4A07-B536-01BFAF46B889}" id="{26144C4A-8374-4572-9BF6-DD9D5E14DCEE}">
    <text>概算費用積算書の合計額</text>
  </threadedComment>
  <threadedComment ref="B76" dT="2024-06-25T07:49:31.62" personId="{00000000-0000-0000-0000-000000000000}" id="{A300B0F0-F99F-494A-87BC-BFFBF43A53ED}">
    <text>個票によると、「提供交渉中」とのこと（＝情報（金額）がない）</text>
  </threadedComment>
  <threadedComment ref="B93" dT="2024-06-25T08:09:00.61" personId="{00000000-0000-0000-0000-000000000000}" id="{CD50B7EA-B1D6-4E6B-A4DE-4DFAE5073BB8}">
    <text>個票にファンクションルームの情報（金額）記載なし</text>
  </threadedComment>
  <threadedComment ref="B186" dT="2024-06-25T09:27:08.09" personId="{00000000-0000-0000-0000-000000000000}" id="{0566EF39-52ED-4982-997D-955275BE2146}">
    <text>個票に情報（金額）記載なし</text>
  </threadedComment>
  <threadedComment ref="B189" dT="2024-06-25T09:14:18.05" personId="{00000000-0000-0000-0000-000000000000}" id="{EFD1CB83-E132-41EB-B229-045D7D86061F}">
    <text>個票に「継続交渉中」旨あり、情報（金額）は記載なし</text>
  </threadedComment>
  <threadedComment ref="AC202" dT="2024-07-05T01:50:51.71" personId="{88D75A5A-321D-4A29-B434-71096DF4B30F}" id="{680024D0-11F0-4DEF-9FEE-45DC97E83389}">
    <text>記載なし</text>
  </threadedComment>
  <threadedComment ref="AC207" dT="2024-07-05T01:45:00.42" personId="{88D75A5A-321D-4A29-B434-71096DF4B30F}" id="{3CA416A8-2C59-4D88-8C41-8550D704037A}">
    <text xml:space="preserve">記載なし
岐阜グランドホテル公式サイト | 岐阜市 ホテル・宿泊　ぎふ長良川温泉 (gifugrandhotel.co.jp) </text>
    <extLst>
      <x:ext xmlns:xltc2="http://schemas.microsoft.com/office/spreadsheetml/2020/threadedcomments2" uri="{F7C98A9C-CBB3-438F-8F68-D28B6AF4A901}">
        <xltc2:checksum>1347626168</xltc2:checksum>
        <xltc2:hyperlink startIndex="5" length="58" url="https://www.gifugrandhotel.co.jp/"/>
      </x:ext>
    </extLst>
  </threadedComment>
  <threadedComment ref="AC211" dT="2024-07-05T01:42:00.12" personId="{88D75A5A-321D-4A29-B434-71096DF4B30F}" id="{D6620E09-8EE9-4EE1-91D2-A4E1DCEFEE12}">
    <text xml:space="preserve">記載なし
客室・料金紹介｜ご宿泊｜大垣フォーラムホテル (forumhotel.co.jp) </text>
    <extLst>
      <x:ext xmlns:xltc2="http://schemas.microsoft.com/office/spreadsheetml/2020/threadedcomments2" uri="{F7C98A9C-CBB3-438F-8F68-D28B6AF4A901}">
        <xltc2:checksum>3083862951</xltc2:checksum>
        <xltc2:hyperlink startIndex="5" length="41" url="https://www.forumhotel.co.jp/stay/guestroom.html#service"/>
      </x:ext>
    </extLst>
  </threadedComment>
  <threadedComment ref="AC214" dT="2024-07-05T01:39:48.90" personId="{88D75A5A-321D-4A29-B434-71096DF4B30F}" id="{6E477BB6-0C03-4724-A468-B65FE5D15BC5}">
    <text xml:space="preserve">記載なし
ホテルKOYO | 岐阜県羽島市【公式】 (hotel-koyo.jp) </text>
    <extLst>
      <x:ext xmlns:xltc2="http://schemas.microsoft.com/office/spreadsheetml/2020/threadedcomments2" uri="{F7C98A9C-CBB3-438F-8F68-D28B6AF4A901}">
        <xltc2:checksum>2399269645</xltc2:checksum>
        <xltc2:hyperlink startIndex="5" length="36" url="http://hotel-koyo.jp/index.php"/>
      </x:ext>
    </extLst>
  </threadedComment>
  <threadedComment ref="AC226" dT="2024-07-05T01:37:23.16" personId="{88D75A5A-321D-4A29-B434-71096DF4B30F}" id="{D2BD85ED-1C56-430B-9434-97DAFD5FB7A2}">
    <text>未開業</text>
  </threadedComment>
</ThreadedComments>
</file>

<file path=xl/threadedComments/threadedComment70.xml><?xml version="1.0" encoding="utf-8"?>
<ThreadedComments xmlns="http://schemas.microsoft.com/office/spreadsheetml/2018/threadedcomments" xmlns:x="http://schemas.openxmlformats.org/spreadsheetml/2006/main">
  <threadedComment ref="Q1" dT="2024-07-01T05:19:59.30" personId="{88D75A5A-321D-4A29-B434-71096DF4B30F}" id="{1D50D4A2-EBD3-4F22-9601-CA06C5D41F14}" done="1">
    <text>費課税額にも課税しているため、L列よりも高い金額となっている箇所アリ</text>
  </threadedComment>
  <threadedComment ref="T1" dT="2024-07-08T01:11:54.95" personId="{88D75A5A-321D-4A29-B434-71096DF4B30F}" id="{721850C3-AF6D-4282-A1D5-8F38532B46D9}">
    <text>K列/H（I）列が良いかはご相談</text>
  </threadedComment>
  <threadedComment ref="AD1" dT="2024-07-05T00:42:27.93" personId="{4BBA8C90-4176-4A07-B536-01BFAF46B889}" id="{0FD2DDB7-C776-43DC-9DCE-ECB1E5D4FE8F}">
    <text>概算費用積算書の合計額</text>
  </threadedComment>
  <threadedComment ref="B72" dT="2024-06-25T07:49:31.62" personId="{00000000-0000-0000-0000-000000000000}" id="{2034C9BB-812D-4BDD-A405-99D3974E6D7D}">
    <text>個票によると、「提供交渉中」とのこと（＝情報（金額）がない）</text>
  </threadedComment>
  <threadedComment ref="B89" dT="2024-06-25T08:09:00.61" personId="{00000000-0000-0000-0000-000000000000}" id="{DFC79044-6F0B-49BD-9D43-F6495EB20225}">
    <text>個票にファンクションルームの情報（金額）記載なし</text>
  </threadedComment>
  <threadedComment ref="B180" dT="2024-06-25T09:27:08.09" personId="{00000000-0000-0000-0000-000000000000}" id="{41ABDD97-3AAE-4EE1-A555-B83DB05F6509}">
    <text>個票に情報（金額）記載なし</text>
  </threadedComment>
  <threadedComment ref="B183" dT="2024-06-25T09:14:18.05" personId="{00000000-0000-0000-0000-000000000000}" id="{65E5C98E-AA2E-4C2A-AB9F-C325051B2920}">
    <text>個票に「継続交渉中」旨あり、情報（金額）は記載なし</text>
  </threadedComment>
  <threadedComment ref="Y196" dT="2024-07-05T01:50:51.71" personId="{88D75A5A-321D-4A29-B434-71096DF4B30F}" id="{7531BFB8-76B1-4141-BA4B-43827705ED5A}">
    <text>記載なし</text>
  </threadedComment>
  <threadedComment ref="Y201" dT="2024-07-05T01:45:00.42" personId="{88D75A5A-321D-4A29-B434-71096DF4B30F}" id="{F9FD825D-E895-40B3-9E13-A01B4805A266}">
    <text xml:space="preserve">記載なし
岐阜グランドホテル公式サイト | 岐阜市 ホテル・宿泊　ぎふ長良川温泉 (gifugrandhotel.co.jp) </text>
    <extLst>
      <x:ext xmlns:xltc2="http://schemas.microsoft.com/office/spreadsheetml/2020/threadedcomments2" uri="{F7C98A9C-CBB3-438F-8F68-D28B6AF4A901}">
        <xltc2:checksum>1347626168</xltc2:checksum>
        <xltc2:hyperlink startIndex="5" length="58" url="https://www.gifugrandhotel.co.jp/"/>
      </x:ext>
    </extLst>
  </threadedComment>
  <threadedComment ref="Y205" dT="2024-07-05T01:42:00.12" personId="{88D75A5A-321D-4A29-B434-71096DF4B30F}" id="{E00E825D-8AB0-4F94-9796-BB70C9F0F655}">
    <text xml:space="preserve">記載なし
客室・料金紹介｜ご宿泊｜大垣フォーラムホテル (forumhotel.co.jp) </text>
    <extLst>
      <x:ext xmlns:xltc2="http://schemas.microsoft.com/office/spreadsheetml/2020/threadedcomments2" uri="{F7C98A9C-CBB3-438F-8F68-D28B6AF4A901}">
        <xltc2:checksum>3083862951</xltc2:checksum>
        <xltc2:hyperlink startIndex="5" length="41" url="https://www.forumhotel.co.jp/stay/guestroom.html#service"/>
      </x:ext>
    </extLst>
  </threadedComment>
  <threadedComment ref="Y208" dT="2024-07-05T01:39:48.90" personId="{88D75A5A-321D-4A29-B434-71096DF4B30F}" id="{2134AC64-886F-48F0-9E5A-3156257AA21E}">
    <text xml:space="preserve">記載なし
ホテルKOYO | 岐阜県羽島市【公式】 (hotel-koyo.jp) </text>
    <extLst>
      <x:ext xmlns:xltc2="http://schemas.microsoft.com/office/spreadsheetml/2020/threadedcomments2" uri="{F7C98A9C-CBB3-438F-8F68-D28B6AF4A901}">
        <xltc2:checksum>2399269645</xltc2:checksum>
        <xltc2:hyperlink startIndex="5" length="36" url="http://hotel-koyo.jp/index.php"/>
      </x:ext>
    </extLst>
  </threadedComment>
  <threadedComment ref="Y220" dT="2024-07-05T01:37:23.16" personId="{88D75A5A-321D-4A29-B434-71096DF4B30F}" id="{AAFE1DD9-3196-4C9A-9D06-98F8BB563AED}">
    <text>未開業</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348FD4-7B4F-4FFB-9726-77832EB212C7}">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e-stat.go.jp/stat-search/files?page=1&amp;layout=datalist&amp;toukei=00200573&amp;tstat=000001150147&amp;cycle=0&amp;tclass1=000001150151&amp;tclass2=000001150152&amp;tclass3=000001150153&amp;tclass4=000001150155&amp;tclass5val=0"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 Id="rId4" Type="http://schemas.microsoft.com/office/2017/10/relationships/threadedComment" Target="../threadedComments/threadedComment5.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 Id="rId4" Type="http://schemas.microsoft.com/office/2017/10/relationships/threadedComment" Target="../threadedComments/threadedComment6.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 Id="rId4" Type="http://schemas.microsoft.com/office/2017/10/relationships/threadedComment" Target="../threadedComments/threadedComment7.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 Id="rId4" Type="http://schemas.microsoft.com/office/2017/10/relationships/threadedComment" Target="../threadedComments/threadedComment8.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 Id="rId4" Type="http://schemas.microsoft.com/office/2017/10/relationships/threadedComment" Target="../threadedComments/threadedComment9.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 Id="rId4" Type="http://schemas.microsoft.com/office/2017/10/relationships/threadedComment" Target="../threadedComments/threadedComment10.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 Id="rId4" Type="http://schemas.microsoft.com/office/2017/10/relationships/threadedComment" Target="../threadedComments/threadedComment11.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 Id="rId4" Type="http://schemas.microsoft.com/office/2017/10/relationships/threadedComment" Target="../threadedComments/threadedComment12.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 Id="rId4" Type="http://schemas.microsoft.com/office/2017/10/relationships/threadedComment" Target="../threadedComments/threadedComment13.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 Id="rId5" Type="http://schemas.microsoft.com/office/2019/04/relationships/namedSheetView" Target="../namedSheetViews/namedSheetView1.xml"/><Relationship Id="rId4" Type="http://schemas.microsoft.com/office/2017/10/relationships/threadedComment" Target="../threadedComments/threadedComment14.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 Id="rId4" Type="http://schemas.microsoft.com/office/2017/10/relationships/threadedComment" Target="../threadedComments/threadedComment15.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 Id="rId4" Type="http://schemas.microsoft.com/office/2017/10/relationships/threadedComment" Target="../threadedComments/threadedComment16.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1.bin"/><Relationship Id="rId4" Type="http://schemas.microsoft.com/office/2017/10/relationships/threadedComment" Target="../threadedComments/threadedComment17.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5.xml"/><Relationship Id="rId1" Type="http://schemas.openxmlformats.org/officeDocument/2006/relationships/printerSettings" Target="../printerSettings/printerSettings38.bin"/><Relationship Id="rId5" Type="http://schemas.microsoft.com/office/2017/10/relationships/threadedComment" Target="../threadedComments/threadedComment18.xml"/><Relationship Id="rId4" Type="http://schemas.openxmlformats.org/officeDocument/2006/relationships/comments" Target="../comments23.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40.bin"/><Relationship Id="rId4" Type="http://schemas.microsoft.com/office/2017/10/relationships/threadedComment" Target="../threadedComments/threadedComment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43.bin"/><Relationship Id="rId4" Type="http://schemas.microsoft.com/office/2017/10/relationships/threadedComment" Target="../threadedComments/threadedComment20.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45.bin"/><Relationship Id="rId4" Type="http://schemas.microsoft.com/office/2017/10/relationships/threadedComment" Target="../threadedComments/threadedComment21.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6.xml"/><Relationship Id="rId1" Type="http://schemas.openxmlformats.org/officeDocument/2006/relationships/printerSettings" Target="../printerSettings/printerSettings48.bin"/><Relationship Id="rId5" Type="http://schemas.microsoft.com/office/2017/10/relationships/threadedComment" Target="../threadedComments/threadedComment22.xml"/><Relationship Id="rId4" Type="http://schemas.openxmlformats.org/officeDocument/2006/relationships/comments" Target="../comments27.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50.bin"/><Relationship Id="rId4" Type="http://schemas.microsoft.com/office/2017/10/relationships/threadedComment" Target="../threadedComments/threadedComment23.xml"/></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52.bin"/><Relationship Id="rId4" Type="http://schemas.microsoft.com/office/2017/10/relationships/threadedComment" Target="../threadedComments/threadedComment2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55.bin"/><Relationship Id="rId4" Type="http://schemas.microsoft.com/office/2017/10/relationships/threadedComment" Target="../threadedComments/threadedComment25.xml"/></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58.bin"/><Relationship Id="rId4" Type="http://schemas.microsoft.com/office/2017/10/relationships/threadedComment" Target="../threadedComments/threadedComment26.xml"/></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60.bin"/><Relationship Id="rId4" Type="http://schemas.microsoft.com/office/2017/10/relationships/threadedComment" Target="../threadedComments/threadedComment27.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62.bin"/><Relationship Id="rId4" Type="http://schemas.microsoft.com/office/2017/10/relationships/threadedComment" Target="../threadedComments/threadedComment28.xml"/></Relationships>
</file>

<file path=xl/worksheets/_rels/sheet65.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63.bin"/><Relationship Id="rId4" Type="http://schemas.microsoft.com/office/2017/10/relationships/threadedComment" Target="../threadedComments/threadedComment29.xml"/></Relationships>
</file>

<file path=xl/worksheets/_rels/sheet66.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64.bin"/><Relationship Id="rId4" Type="http://schemas.microsoft.com/office/2017/10/relationships/threadedComment" Target="../threadedComments/threadedComment30.xml"/></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66.bin"/><Relationship Id="rId4" Type="http://schemas.microsoft.com/office/2017/10/relationships/threadedComment" Target="../threadedComments/threadedComment31.xml"/></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68.bin"/><Relationship Id="rId4" Type="http://schemas.microsoft.com/office/2017/10/relationships/threadedComment" Target="../threadedComments/threadedComment32.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70.bin"/><Relationship Id="rId4" Type="http://schemas.microsoft.com/office/2017/10/relationships/threadedComment" Target="../threadedComments/threadedComment33.xml"/></Relationships>
</file>

<file path=xl/worksheets/_rels/sheet73.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71.bin"/><Relationship Id="rId4" Type="http://schemas.microsoft.com/office/2017/10/relationships/threadedComment" Target="../threadedComments/threadedComment34.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72.bin"/><Relationship Id="rId4" Type="http://schemas.microsoft.com/office/2017/10/relationships/threadedComment" Target="../threadedComments/threadedComment35.xml"/></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8.xml"/><Relationship Id="rId1" Type="http://schemas.openxmlformats.org/officeDocument/2006/relationships/printerSettings" Target="../printerSettings/printerSettings75.bin"/><Relationship Id="rId5" Type="http://schemas.microsoft.com/office/2017/10/relationships/threadedComment" Target="../threadedComments/threadedComment36.xml"/><Relationship Id="rId4" Type="http://schemas.openxmlformats.org/officeDocument/2006/relationships/comments" Target="../comments41.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76.bin"/><Relationship Id="rId4" Type="http://schemas.microsoft.com/office/2017/10/relationships/threadedComment" Target="../threadedComments/threadedComment37.xml"/></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78.bin"/><Relationship Id="rId4" Type="http://schemas.microsoft.com/office/2017/10/relationships/threadedComment" Target="../threadedComments/threadedComment38.xml"/></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4.vml"/><Relationship Id="rId2" Type="http://schemas.openxmlformats.org/officeDocument/2006/relationships/drawing" Target="../drawings/drawing9.xml"/><Relationship Id="rId1" Type="http://schemas.openxmlformats.org/officeDocument/2006/relationships/printerSettings" Target="../printerSettings/printerSettings80.bin"/><Relationship Id="rId5" Type="http://schemas.microsoft.com/office/2017/10/relationships/threadedComment" Target="../threadedComments/threadedComment39.xml"/><Relationship Id="rId4" Type="http://schemas.openxmlformats.org/officeDocument/2006/relationships/comments" Target="../comments44.xml"/></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drawing" Target="../drawings/drawing10.xml"/><Relationship Id="rId1" Type="http://schemas.openxmlformats.org/officeDocument/2006/relationships/printerSettings" Target="../printerSettings/printerSettings82.bin"/><Relationship Id="rId5" Type="http://schemas.microsoft.com/office/2017/10/relationships/threadedComment" Target="../threadedComments/threadedComment40.xml"/><Relationship Id="rId4" Type="http://schemas.openxmlformats.org/officeDocument/2006/relationships/comments" Target="../comments45.xml"/></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84.bin"/><Relationship Id="rId4" Type="http://schemas.microsoft.com/office/2017/10/relationships/threadedComment" Target="../threadedComments/threadedComment41.xml"/></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86.bin"/><Relationship Id="rId4" Type="http://schemas.microsoft.com/office/2017/10/relationships/threadedComment" Target="../threadedComments/threadedComment42.xml"/></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88.bin"/><Relationship Id="rId4" Type="http://schemas.microsoft.com/office/2017/10/relationships/threadedComment" Target="../threadedComments/threadedComment43.xml"/></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90.bin"/><Relationship Id="rId4" Type="http://schemas.microsoft.com/office/2017/10/relationships/threadedComment" Target="../threadedComments/threadedComment44.xml"/></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92.bin"/><Relationship Id="rId4" Type="http://schemas.microsoft.com/office/2017/10/relationships/threadedComment" Target="../threadedComments/threadedComment45.xml"/></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94.bin"/><Relationship Id="rId4" Type="http://schemas.microsoft.com/office/2017/10/relationships/threadedComment" Target="../threadedComments/threadedComment46.xml"/></Relationships>
</file>

<file path=xl/worksheets/_rels/sheet97.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95.bin"/><Relationship Id="rId4" Type="http://schemas.microsoft.com/office/2017/10/relationships/threadedComment" Target="../threadedComments/threadedComment47.xml"/></Relationships>
</file>

<file path=xl/worksheets/_rels/sheet98.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96.bin"/><Relationship Id="rId4" Type="http://schemas.microsoft.com/office/2017/10/relationships/threadedComment" Target="../threadedComments/threadedComment48.xml"/></Relationships>
</file>

<file path=xl/worksheets/_rels/sheet99.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97.bin"/><Relationship Id="rId4" Type="http://schemas.microsoft.com/office/2017/10/relationships/threadedComment" Target="../threadedComments/threadedComment49.xml"/></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1.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99.bin"/><Relationship Id="rId4" Type="http://schemas.microsoft.com/office/2017/10/relationships/threadedComment" Target="../threadedComments/threadedComment50.xml"/></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3.xml.rels><?xml version="1.0" encoding="UTF-8" standalone="yes"?>
<Relationships xmlns="http://schemas.openxmlformats.org/package/2006/relationships"><Relationship Id="rId3" Type="http://schemas.openxmlformats.org/officeDocument/2006/relationships/vmlDrawing" Target="../drawings/vmlDrawing56.vml"/><Relationship Id="rId2" Type="http://schemas.openxmlformats.org/officeDocument/2006/relationships/drawing" Target="../drawings/drawing11.xml"/><Relationship Id="rId1" Type="http://schemas.openxmlformats.org/officeDocument/2006/relationships/printerSettings" Target="../printerSettings/printerSettings101.bin"/><Relationship Id="rId5" Type="http://schemas.microsoft.com/office/2017/10/relationships/threadedComment" Target="../threadedComments/threadedComment51.xml"/><Relationship Id="rId4" Type="http://schemas.openxmlformats.org/officeDocument/2006/relationships/comments" Target="../comments56.xml"/></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5.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103.bin"/><Relationship Id="rId4" Type="http://schemas.microsoft.com/office/2017/10/relationships/threadedComment" Target="../threadedComments/threadedComment52.xml"/></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106.bin"/><Relationship Id="rId4" Type="http://schemas.microsoft.com/office/2017/10/relationships/threadedComment" Target="../threadedComments/threadedComment53.xml"/></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108.bin"/><Relationship Id="rId4" Type="http://schemas.microsoft.com/office/2017/10/relationships/threadedComment" Target="../threadedComments/threadedComment54.xml"/></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4.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112.bin"/><Relationship Id="rId4" Type="http://schemas.microsoft.com/office/2017/10/relationships/threadedComment" Target="../threadedComments/threadedComment55.xml"/></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6.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114.bin"/><Relationship Id="rId4" Type="http://schemas.microsoft.com/office/2017/10/relationships/threadedComment" Target="../threadedComments/threadedComment56.xml"/></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8.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116.bin"/><Relationship Id="rId4" Type="http://schemas.microsoft.com/office/2017/10/relationships/threadedComment" Target="../threadedComments/threadedComment57.xml"/></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0.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118.bin"/><Relationship Id="rId4" Type="http://schemas.microsoft.com/office/2017/10/relationships/threadedComment" Target="../threadedComments/threadedComment58.xml"/></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2.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120.bin"/><Relationship Id="rId4" Type="http://schemas.microsoft.com/office/2017/10/relationships/threadedComment" Target="../threadedComments/threadedComment59.xml"/></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4.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122.bin"/><Relationship Id="rId4" Type="http://schemas.microsoft.com/office/2017/10/relationships/threadedComment" Target="../threadedComments/threadedComment60.xml"/></Relationships>
</file>

<file path=xl/worksheets/_rels/sheet125.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123.bin"/><Relationship Id="rId4" Type="http://schemas.microsoft.com/office/2017/10/relationships/threadedComment" Target="../threadedComments/threadedComment61.xml"/></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7.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125.bin"/><Relationship Id="rId4" Type="http://schemas.microsoft.com/office/2017/10/relationships/threadedComment" Target="../threadedComments/threadedComment62.xml"/></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9.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127.bin"/><Relationship Id="rId4" Type="http://schemas.microsoft.com/office/2017/10/relationships/threadedComment" Target="../threadedComments/threadedComment63.xml"/></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1.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129.bin"/><Relationship Id="rId4" Type="http://schemas.microsoft.com/office/2017/10/relationships/threadedComment" Target="../threadedComments/threadedComment64.xml"/></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3.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131.bin"/><Relationship Id="rId4" Type="http://schemas.microsoft.com/office/2017/10/relationships/threadedComment" Target="../threadedComments/threadedComment65.xml"/></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5.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133.bin"/><Relationship Id="rId4" Type="http://schemas.microsoft.com/office/2017/10/relationships/threadedComment" Target="../threadedComments/threadedComment66.xml"/></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7.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printerSettings" Target="../printerSettings/printerSettings135.bin"/><Relationship Id="rId4" Type="http://schemas.microsoft.com/office/2017/10/relationships/threadedComment" Target="../threadedComments/threadedComment67.xml"/></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9.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137.bin"/><Relationship Id="rId4" Type="http://schemas.microsoft.com/office/2017/10/relationships/threadedComment" Target="../threadedComments/threadedComment68.xml"/></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1.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printerSettings" Target="../printerSettings/printerSettings139.bin"/><Relationship Id="rId5" Type="http://schemas.microsoft.com/office/2019/04/relationships/namedSheetView" Target="../namedSheetViews/namedSheetView2.xml"/><Relationship Id="rId4" Type="http://schemas.microsoft.com/office/2017/10/relationships/threadedComment" Target="../threadedComments/threadedComment69.xml"/></Relationships>
</file>

<file path=xl/worksheets/_rels/sheet142.xml.rels><?xml version="1.0" encoding="UTF-8" standalone="yes"?>
<Relationships xmlns="http://schemas.openxmlformats.org/package/2006/relationships"><Relationship Id="rId3" Type="http://schemas.microsoft.com/office/2017/10/relationships/threadedComment" Target="../threadedComments/threadedComment70.xml"/><Relationship Id="rId2" Type="http://schemas.openxmlformats.org/officeDocument/2006/relationships/comments" Target="../comments75.xml"/><Relationship Id="rId1" Type="http://schemas.openxmlformats.org/officeDocument/2006/relationships/vmlDrawing" Target="../drawings/vmlDrawing75.vml"/><Relationship Id="rId4" Type="http://schemas.microsoft.com/office/2019/04/relationships/namedSheetView" Target="../namedSheetViews/namedSheetView3.xml"/></Relationships>
</file>

<file path=xl/worksheets/_rels/sheet14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0.bin"/></Relationships>
</file>

<file path=xl/worksheets/_rels/sheet144.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printerSettings" Target="../printerSettings/printerSettings141.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EE51A-62D2-4DD7-B272-C7E19285A08C}">
  <sheetPr codeName="Sheet423"/>
  <dimension ref="B1:E131"/>
  <sheetViews>
    <sheetView workbookViewId="0">
      <selection activeCell="C5" sqref="C5"/>
    </sheetView>
  </sheetViews>
  <sheetFormatPr defaultRowHeight="13"/>
  <cols>
    <col min="1" max="1" width="2.81640625" customWidth="1"/>
    <col min="3" max="3" width="51.81640625" customWidth="1"/>
    <col min="4" max="4" width="48.1796875" customWidth="1"/>
    <col min="5" max="5" width="13.7265625" customWidth="1"/>
  </cols>
  <sheetData>
    <row r="1" spans="2:5">
      <c r="B1" t="s">
        <v>0</v>
      </c>
      <c r="C1" t="s">
        <v>1</v>
      </c>
      <c r="D1" t="s">
        <v>2</v>
      </c>
      <c r="E1" t="s">
        <v>3</v>
      </c>
    </row>
    <row r="2" spans="2:5">
      <c r="B2">
        <v>4</v>
      </c>
      <c r="C2" t="e">
        <f>VLOOKUP(B2,#REF!,2,FALSE)</f>
        <v>#REF!</v>
      </c>
      <c r="D2" t="e">
        <f>VLOOKUP(B2,#REF!,3,FALSE)</f>
        <v>#REF!</v>
      </c>
      <c r="E2" t="s">
        <v>4</v>
      </c>
    </row>
    <row r="3" spans="2:5">
      <c r="B3">
        <v>8</v>
      </c>
      <c r="C3" t="e">
        <f>VLOOKUP(B3,#REF!,2,FALSE)</f>
        <v>#REF!</v>
      </c>
      <c r="D3" t="e">
        <f>VLOOKUP(B3,#REF!,3,FALSE)</f>
        <v>#REF!</v>
      </c>
      <c r="E3" t="s">
        <v>5</v>
      </c>
    </row>
    <row r="4" spans="2:5">
      <c r="B4">
        <v>12</v>
      </c>
      <c r="C4" t="e">
        <f>VLOOKUP(B4,#REF!,2,FALSE)</f>
        <v>#REF!</v>
      </c>
      <c r="D4" t="e">
        <f>VLOOKUP(B4,#REF!,3,FALSE)</f>
        <v>#REF!</v>
      </c>
      <c r="E4" t="s">
        <v>6</v>
      </c>
    </row>
    <row r="5" spans="2:5">
      <c r="B5">
        <v>15</v>
      </c>
      <c r="C5" t="e">
        <f>VLOOKUP(B5,#REF!,2,FALSE)</f>
        <v>#REF!</v>
      </c>
      <c r="D5" t="e">
        <f>VLOOKUP(B5,#REF!,3,FALSE)</f>
        <v>#REF!</v>
      </c>
      <c r="E5" t="s">
        <v>6</v>
      </c>
    </row>
    <row r="6" spans="2:5">
      <c r="B6">
        <v>21</v>
      </c>
      <c r="C6" t="e">
        <f>VLOOKUP(B6,#REF!,2,FALSE)</f>
        <v>#REF!</v>
      </c>
      <c r="D6" t="e">
        <f>VLOOKUP(B6,#REF!,3,FALSE)</f>
        <v>#REF!</v>
      </c>
      <c r="E6" t="s">
        <v>7</v>
      </c>
    </row>
    <row r="7" spans="2:5">
      <c r="B7">
        <v>22</v>
      </c>
      <c r="C7" t="e">
        <f>VLOOKUP(B7,#REF!,2,FALSE)</f>
        <v>#REF!</v>
      </c>
      <c r="D7" t="e">
        <f>VLOOKUP(B7,#REF!,3,FALSE)</f>
        <v>#REF!</v>
      </c>
      <c r="E7" t="s">
        <v>7</v>
      </c>
    </row>
    <row r="8" spans="2:5">
      <c r="B8">
        <v>23</v>
      </c>
      <c r="C8" t="e">
        <f>VLOOKUP(B8,#REF!,2,FALSE)</f>
        <v>#REF!</v>
      </c>
      <c r="D8" t="e">
        <f>VLOOKUP(B8,#REF!,3,FALSE)</f>
        <v>#REF!</v>
      </c>
      <c r="E8" t="s">
        <v>7</v>
      </c>
    </row>
    <row r="9" spans="2:5">
      <c r="B9">
        <v>24</v>
      </c>
      <c r="C9" t="e">
        <f>VLOOKUP(B9,#REF!,2,FALSE)</f>
        <v>#REF!</v>
      </c>
      <c r="D9" t="e">
        <f>VLOOKUP(B9,#REF!,3,FALSE)</f>
        <v>#REF!</v>
      </c>
      <c r="E9" t="s">
        <v>7</v>
      </c>
    </row>
    <row r="10" spans="2:5">
      <c r="B10">
        <v>28</v>
      </c>
      <c r="C10" t="e">
        <f>VLOOKUP(B10,#REF!,2,FALSE)</f>
        <v>#REF!</v>
      </c>
      <c r="D10" t="e">
        <f>VLOOKUP(B10,#REF!,3,FALSE)</f>
        <v>#REF!</v>
      </c>
      <c r="E10" t="s">
        <v>7</v>
      </c>
    </row>
    <row r="11" spans="2:5">
      <c r="B11">
        <v>34</v>
      </c>
      <c r="C11" t="e">
        <f>VLOOKUP(B11,#REF!,2,FALSE)</f>
        <v>#REF!</v>
      </c>
      <c r="D11" t="e">
        <f>VLOOKUP(B11,#REF!,3,FALSE)</f>
        <v>#REF!</v>
      </c>
      <c r="E11" t="s">
        <v>7</v>
      </c>
    </row>
    <row r="12" spans="2:5">
      <c r="B12">
        <v>39</v>
      </c>
      <c r="C12" t="e">
        <f>VLOOKUP(B12,#REF!,2,FALSE)</f>
        <v>#REF!</v>
      </c>
      <c r="D12" t="e">
        <f>VLOOKUP(B12,#REF!,3,FALSE)</f>
        <v>#REF!</v>
      </c>
      <c r="E12" t="s">
        <v>7</v>
      </c>
    </row>
    <row r="13" spans="2:5">
      <c r="B13">
        <v>40</v>
      </c>
      <c r="C13" t="e">
        <f>VLOOKUP(B13,#REF!,2,FALSE)</f>
        <v>#REF!</v>
      </c>
      <c r="D13" t="e">
        <f>VLOOKUP(B13,#REF!,3,FALSE)</f>
        <v>#REF!</v>
      </c>
      <c r="E13" t="s">
        <v>7</v>
      </c>
    </row>
    <row r="14" spans="2:5">
      <c r="B14">
        <v>41</v>
      </c>
      <c r="C14" t="e">
        <f>VLOOKUP(B14,#REF!,2,FALSE)</f>
        <v>#REF!</v>
      </c>
      <c r="D14" t="e">
        <f>VLOOKUP(B14,#REF!,3,FALSE)</f>
        <v>#REF!</v>
      </c>
      <c r="E14" t="s">
        <v>7</v>
      </c>
    </row>
    <row r="15" spans="2:5">
      <c r="B15">
        <v>42</v>
      </c>
      <c r="C15" t="e">
        <f>VLOOKUP(B15,#REF!,2,FALSE)</f>
        <v>#REF!</v>
      </c>
      <c r="D15" t="e">
        <f>VLOOKUP(B15,#REF!,3,FALSE)</f>
        <v>#REF!</v>
      </c>
      <c r="E15" t="s">
        <v>7</v>
      </c>
    </row>
    <row r="16" spans="2:5">
      <c r="B16">
        <v>43</v>
      </c>
      <c r="C16" t="e">
        <f>VLOOKUP(B16,#REF!,2,FALSE)</f>
        <v>#REF!</v>
      </c>
      <c r="D16" t="e">
        <f>VLOOKUP(B16,#REF!,3,FALSE)</f>
        <v>#REF!</v>
      </c>
      <c r="E16" t="s">
        <v>7</v>
      </c>
    </row>
    <row r="17" spans="2:5">
      <c r="B17">
        <v>44</v>
      </c>
      <c r="C17" t="e">
        <f>VLOOKUP(B17,#REF!,2,FALSE)</f>
        <v>#REF!</v>
      </c>
      <c r="D17" t="e">
        <f>VLOOKUP(B17,#REF!,3,FALSE)</f>
        <v>#REF!</v>
      </c>
      <c r="E17" t="s">
        <v>7</v>
      </c>
    </row>
    <row r="18" spans="2:5">
      <c r="B18">
        <v>45</v>
      </c>
      <c r="C18" t="e">
        <f>VLOOKUP(B18,#REF!,2,FALSE)</f>
        <v>#REF!</v>
      </c>
      <c r="D18" t="e">
        <f>VLOOKUP(B18,#REF!,3,FALSE)</f>
        <v>#REF!</v>
      </c>
      <c r="E18" t="s">
        <v>7</v>
      </c>
    </row>
    <row r="19" spans="2:5">
      <c r="B19">
        <v>46</v>
      </c>
      <c r="C19" t="e">
        <f>VLOOKUP(B19,#REF!,2,FALSE)</f>
        <v>#REF!</v>
      </c>
      <c r="D19" t="e">
        <f>VLOOKUP(B19,#REF!,3,FALSE)</f>
        <v>#REF!</v>
      </c>
      <c r="E19" t="s">
        <v>7</v>
      </c>
    </row>
    <row r="20" spans="2:5">
      <c r="B20">
        <v>47</v>
      </c>
      <c r="C20" t="e">
        <f>VLOOKUP(B20,#REF!,2,FALSE)</f>
        <v>#REF!</v>
      </c>
      <c r="D20" t="e">
        <f>VLOOKUP(B20,#REF!,3,FALSE)</f>
        <v>#REF!</v>
      </c>
      <c r="E20" t="s">
        <v>7</v>
      </c>
    </row>
    <row r="21" spans="2:5">
      <c r="B21">
        <v>53</v>
      </c>
      <c r="C21" t="e">
        <f>VLOOKUP(B21,#REF!,2,FALSE)</f>
        <v>#REF!</v>
      </c>
      <c r="D21" t="e">
        <f>VLOOKUP(B21,#REF!,3,FALSE)</f>
        <v>#REF!</v>
      </c>
      <c r="E21" t="s">
        <v>7</v>
      </c>
    </row>
    <row r="22" spans="2:5">
      <c r="B22">
        <v>54</v>
      </c>
      <c r="C22" t="e">
        <f>VLOOKUP(B22,#REF!,2,FALSE)</f>
        <v>#REF!</v>
      </c>
      <c r="D22" t="e">
        <f>VLOOKUP(B22,#REF!,3,FALSE)</f>
        <v>#REF!</v>
      </c>
      <c r="E22" t="s">
        <v>7</v>
      </c>
    </row>
    <row r="23" spans="2:5">
      <c r="B23">
        <v>56</v>
      </c>
      <c r="C23" t="e">
        <f>VLOOKUP(B23,#REF!,2,FALSE)</f>
        <v>#REF!</v>
      </c>
      <c r="D23" t="e">
        <f>VLOOKUP(B23,#REF!,3,FALSE)</f>
        <v>#REF!</v>
      </c>
      <c r="E23" t="s">
        <v>7</v>
      </c>
    </row>
    <row r="24" spans="2:5">
      <c r="B24">
        <v>57</v>
      </c>
      <c r="C24" t="e">
        <f>VLOOKUP(B24,#REF!,2,FALSE)</f>
        <v>#REF!</v>
      </c>
      <c r="D24" t="e">
        <f>VLOOKUP(B24,#REF!,3,FALSE)</f>
        <v>#REF!</v>
      </c>
      <c r="E24" t="s">
        <v>7</v>
      </c>
    </row>
    <row r="25" spans="2:5">
      <c r="B25">
        <v>59</v>
      </c>
      <c r="C25" t="e">
        <f>VLOOKUP(B25,#REF!,2,FALSE)</f>
        <v>#REF!</v>
      </c>
      <c r="D25" t="e">
        <f>VLOOKUP(B25,#REF!,3,FALSE)</f>
        <v>#REF!</v>
      </c>
      <c r="E25" t="s">
        <v>7</v>
      </c>
    </row>
    <row r="26" spans="2:5">
      <c r="B26">
        <v>60</v>
      </c>
      <c r="C26" t="e">
        <f>VLOOKUP(B26,#REF!,2,FALSE)</f>
        <v>#REF!</v>
      </c>
      <c r="D26" t="e">
        <f>VLOOKUP(B26,#REF!,3,FALSE)</f>
        <v>#REF!</v>
      </c>
      <c r="E26" t="s">
        <v>7</v>
      </c>
    </row>
    <row r="27" spans="2:5">
      <c r="B27">
        <v>61</v>
      </c>
      <c r="C27" t="e">
        <f>VLOOKUP(B27,#REF!,2,FALSE)</f>
        <v>#REF!</v>
      </c>
      <c r="D27" t="e">
        <f>VLOOKUP(B27,#REF!,3,FALSE)</f>
        <v>#REF!</v>
      </c>
      <c r="E27" t="s">
        <v>7</v>
      </c>
    </row>
    <row r="28" spans="2:5">
      <c r="B28">
        <v>62</v>
      </c>
      <c r="C28" t="e">
        <f>VLOOKUP(B28,#REF!,2,FALSE)</f>
        <v>#REF!</v>
      </c>
      <c r="D28" t="e">
        <f>VLOOKUP(B28,#REF!,3,FALSE)</f>
        <v>#REF!</v>
      </c>
      <c r="E28" t="s">
        <v>7</v>
      </c>
    </row>
    <row r="29" spans="2:5">
      <c r="B29">
        <v>64</v>
      </c>
      <c r="C29" t="e">
        <f>VLOOKUP(B29,#REF!,2,FALSE)</f>
        <v>#REF!</v>
      </c>
      <c r="D29" t="e">
        <f>VLOOKUP(B29,#REF!,3,FALSE)</f>
        <v>#REF!</v>
      </c>
      <c r="E29" t="s">
        <v>7</v>
      </c>
    </row>
    <row r="30" spans="2:5">
      <c r="B30">
        <v>69</v>
      </c>
      <c r="C30" t="e">
        <f>VLOOKUP(B30,#REF!,2,FALSE)</f>
        <v>#REF!</v>
      </c>
      <c r="D30" t="e">
        <f>VLOOKUP(B30,#REF!,3,FALSE)</f>
        <v>#REF!</v>
      </c>
      <c r="E30" t="s">
        <v>7</v>
      </c>
    </row>
    <row r="31" spans="2:5">
      <c r="B31">
        <v>74</v>
      </c>
      <c r="C31" t="e">
        <f>VLOOKUP(B31,#REF!,2,FALSE)</f>
        <v>#REF!</v>
      </c>
      <c r="D31" t="e">
        <f>VLOOKUP(B31,#REF!,3,FALSE)</f>
        <v>#REF!</v>
      </c>
      <c r="E31" t="s">
        <v>7</v>
      </c>
    </row>
    <row r="32" spans="2:5">
      <c r="B32">
        <v>75</v>
      </c>
      <c r="C32" t="e">
        <f>VLOOKUP(B32,#REF!,2,FALSE)</f>
        <v>#REF!</v>
      </c>
      <c r="D32" t="e">
        <f>VLOOKUP(B32,#REF!,3,FALSE)</f>
        <v>#REF!</v>
      </c>
      <c r="E32" t="s">
        <v>7</v>
      </c>
    </row>
    <row r="33" spans="2:5">
      <c r="B33">
        <v>76</v>
      </c>
      <c r="C33" t="e">
        <f>VLOOKUP(B33,#REF!,2,FALSE)</f>
        <v>#REF!</v>
      </c>
      <c r="D33" t="e">
        <f>VLOOKUP(B33,#REF!,3,FALSE)</f>
        <v>#REF!</v>
      </c>
      <c r="E33" t="s">
        <v>7</v>
      </c>
    </row>
    <row r="34" spans="2:5">
      <c r="B34">
        <v>79</v>
      </c>
      <c r="C34" t="e">
        <f>VLOOKUP(B34,#REF!,2,FALSE)</f>
        <v>#REF!</v>
      </c>
      <c r="D34" t="e">
        <f>VLOOKUP(B34,#REF!,3,FALSE)</f>
        <v>#REF!</v>
      </c>
      <c r="E34" t="s">
        <v>7</v>
      </c>
    </row>
    <row r="35" spans="2:5">
      <c r="B35">
        <v>80</v>
      </c>
      <c r="C35" t="e">
        <f>VLOOKUP(B35,#REF!,2,FALSE)</f>
        <v>#REF!</v>
      </c>
      <c r="D35" t="e">
        <f>VLOOKUP(B35,#REF!,3,FALSE)</f>
        <v>#REF!</v>
      </c>
      <c r="E35" t="s">
        <v>7</v>
      </c>
    </row>
    <row r="36" spans="2:5">
      <c r="B36">
        <v>82</v>
      </c>
      <c r="C36" t="e">
        <f>VLOOKUP(B36,#REF!,2,FALSE)</f>
        <v>#REF!</v>
      </c>
      <c r="D36" t="e">
        <f>VLOOKUP(B36,#REF!,3,FALSE)</f>
        <v>#REF!</v>
      </c>
      <c r="E36" t="s">
        <v>7</v>
      </c>
    </row>
    <row r="37" spans="2:5">
      <c r="B37">
        <v>83</v>
      </c>
      <c r="C37" t="e">
        <f>VLOOKUP(B37,#REF!,2,FALSE)</f>
        <v>#REF!</v>
      </c>
      <c r="D37" t="e">
        <f>VLOOKUP(B37,#REF!,3,FALSE)</f>
        <v>#REF!</v>
      </c>
      <c r="E37" t="s">
        <v>7</v>
      </c>
    </row>
    <row r="38" spans="2:5">
      <c r="B38">
        <v>90</v>
      </c>
      <c r="C38" t="e">
        <f>VLOOKUP(B38,#REF!,2,FALSE)</f>
        <v>#REF!</v>
      </c>
      <c r="D38" t="e">
        <f>VLOOKUP(B38,#REF!,3,FALSE)</f>
        <v>#REF!</v>
      </c>
      <c r="E38" t="s">
        <v>7</v>
      </c>
    </row>
    <row r="39" spans="2:5">
      <c r="B39">
        <v>92</v>
      </c>
      <c r="C39" t="e">
        <f>VLOOKUP(B39,#REF!,2,FALSE)</f>
        <v>#REF!</v>
      </c>
      <c r="D39" t="e">
        <f>VLOOKUP(B39,#REF!,3,FALSE)</f>
        <v>#REF!</v>
      </c>
      <c r="E39" t="s">
        <v>7</v>
      </c>
    </row>
    <row r="40" spans="2:5">
      <c r="B40">
        <v>94</v>
      </c>
      <c r="C40" t="e">
        <f>VLOOKUP(B40,#REF!,2,FALSE)</f>
        <v>#REF!</v>
      </c>
      <c r="D40" t="e">
        <f>VLOOKUP(B40,#REF!,3,FALSE)</f>
        <v>#REF!</v>
      </c>
      <c r="E40" t="s">
        <v>7</v>
      </c>
    </row>
    <row r="41" spans="2:5">
      <c r="B41">
        <v>96</v>
      </c>
      <c r="C41" t="e">
        <f>VLOOKUP(B41,#REF!,2,FALSE)</f>
        <v>#REF!</v>
      </c>
      <c r="D41" t="e">
        <f>VLOOKUP(B41,#REF!,3,FALSE)</f>
        <v>#REF!</v>
      </c>
      <c r="E41" t="s">
        <v>7</v>
      </c>
    </row>
    <row r="42" spans="2:5">
      <c r="B42">
        <v>99</v>
      </c>
      <c r="C42" t="e">
        <f>VLOOKUP(B42,#REF!,2,FALSE)</f>
        <v>#REF!</v>
      </c>
      <c r="D42" t="e">
        <f>VLOOKUP(B42,#REF!,3,FALSE)</f>
        <v>#REF!</v>
      </c>
      <c r="E42" t="s">
        <v>7</v>
      </c>
    </row>
    <row r="43" spans="2:5">
      <c r="B43">
        <v>101</v>
      </c>
      <c r="C43" t="e">
        <f>VLOOKUP(B43,#REF!,2,FALSE)</f>
        <v>#REF!</v>
      </c>
      <c r="D43" t="e">
        <f>VLOOKUP(B43,#REF!,3,FALSE)</f>
        <v>#REF!</v>
      </c>
      <c r="E43" t="s">
        <v>7</v>
      </c>
    </row>
    <row r="44" spans="2:5">
      <c r="B44">
        <v>105</v>
      </c>
      <c r="C44" t="e">
        <f>VLOOKUP(B44,#REF!,2,FALSE)</f>
        <v>#REF!</v>
      </c>
      <c r="D44" t="e">
        <f>VLOOKUP(B44,#REF!,3,FALSE)</f>
        <v>#REF!</v>
      </c>
      <c r="E44" t="s">
        <v>7</v>
      </c>
    </row>
    <row r="45" spans="2:5">
      <c r="B45">
        <v>111</v>
      </c>
      <c r="C45" t="e">
        <f>VLOOKUP(B45,#REF!,2,FALSE)</f>
        <v>#REF!</v>
      </c>
      <c r="D45" t="e">
        <f>VLOOKUP(B45,#REF!,3,FALSE)</f>
        <v>#REF!</v>
      </c>
      <c r="E45" t="s">
        <v>7</v>
      </c>
    </row>
    <row r="46" spans="2:5">
      <c r="B46">
        <v>121</v>
      </c>
      <c r="C46" t="e">
        <f>VLOOKUP(B46,#REF!,2,FALSE)</f>
        <v>#REF!</v>
      </c>
      <c r="D46" t="e">
        <f>VLOOKUP(B46,#REF!,3,FALSE)</f>
        <v>#REF!</v>
      </c>
      <c r="E46" t="s">
        <v>7</v>
      </c>
    </row>
    <row r="47" spans="2:5">
      <c r="B47">
        <v>130</v>
      </c>
      <c r="C47" t="e">
        <f>VLOOKUP(B47,#REF!,2,FALSE)</f>
        <v>#REF!</v>
      </c>
      <c r="D47" t="e">
        <f>VLOOKUP(B47,#REF!,3,FALSE)</f>
        <v>#REF!</v>
      </c>
      <c r="E47" t="s">
        <v>7</v>
      </c>
    </row>
    <row r="48" spans="2:5">
      <c r="B48">
        <v>133</v>
      </c>
      <c r="C48" t="e">
        <f>VLOOKUP(B48,#REF!,2,FALSE)</f>
        <v>#REF!</v>
      </c>
      <c r="D48" t="e">
        <f>VLOOKUP(B48,#REF!,3,FALSE)</f>
        <v>#REF!</v>
      </c>
      <c r="E48" t="s">
        <v>7</v>
      </c>
    </row>
    <row r="49" spans="2:5">
      <c r="B49">
        <v>140</v>
      </c>
      <c r="C49" t="e">
        <f>VLOOKUP(B49,#REF!,2,FALSE)</f>
        <v>#REF!</v>
      </c>
      <c r="D49" t="e">
        <f>VLOOKUP(B49,#REF!,3,FALSE)</f>
        <v>#REF!</v>
      </c>
      <c r="E49" t="s">
        <v>7</v>
      </c>
    </row>
    <row r="50" spans="2:5">
      <c r="B50">
        <v>156</v>
      </c>
      <c r="C50" t="e">
        <f>VLOOKUP(B50,#REF!,2,FALSE)</f>
        <v>#REF!</v>
      </c>
      <c r="D50" t="e">
        <f>VLOOKUP(B50,#REF!,3,FALSE)</f>
        <v>#REF!</v>
      </c>
      <c r="E50" t="s">
        <v>7</v>
      </c>
    </row>
    <row r="51" spans="2:5">
      <c r="B51">
        <v>159</v>
      </c>
      <c r="C51" t="e">
        <f>VLOOKUP(B51,#REF!,2,FALSE)</f>
        <v>#REF!</v>
      </c>
      <c r="D51" t="e">
        <f>VLOOKUP(B51,#REF!,3,FALSE)</f>
        <v>#REF!</v>
      </c>
      <c r="E51" t="s">
        <v>7</v>
      </c>
    </row>
    <row r="52" spans="2:5">
      <c r="B52">
        <v>160</v>
      </c>
      <c r="C52" t="e">
        <f>VLOOKUP(B52,#REF!,2,FALSE)</f>
        <v>#REF!</v>
      </c>
      <c r="D52" t="e">
        <f>VLOOKUP(B52,#REF!,3,FALSE)</f>
        <v>#REF!</v>
      </c>
      <c r="E52" t="s">
        <v>7</v>
      </c>
    </row>
    <row r="53" spans="2:5">
      <c r="B53">
        <v>167</v>
      </c>
      <c r="C53" t="e">
        <f>VLOOKUP(B53,#REF!,2,FALSE)</f>
        <v>#REF!</v>
      </c>
      <c r="D53" t="e">
        <f>VLOOKUP(B53,#REF!,3,FALSE)</f>
        <v>#REF!</v>
      </c>
      <c r="E53" t="s">
        <v>7</v>
      </c>
    </row>
    <row r="54" spans="2:5">
      <c r="B54">
        <v>168</v>
      </c>
      <c r="C54" t="e">
        <f>VLOOKUP(B54,#REF!,2,FALSE)</f>
        <v>#REF!</v>
      </c>
      <c r="D54" t="e">
        <f>VLOOKUP(B54,#REF!,3,FALSE)</f>
        <v>#REF!</v>
      </c>
      <c r="E54" t="s">
        <v>7</v>
      </c>
    </row>
    <row r="55" spans="2:5">
      <c r="B55">
        <v>172</v>
      </c>
      <c r="C55" t="e">
        <f>VLOOKUP(B55,#REF!,2,FALSE)</f>
        <v>#REF!</v>
      </c>
      <c r="D55" t="e">
        <f>VLOOKUP(B55,#REF!,3,FALSE)</f>
        <v>#REF!</v>
      </c>
      <c r="E55" t="s">
        <v>7</v>
      </c>
    </row>
    <row r="56" spans="2:5">
      <c r="B56">
        <v>180</v>
      </c>
      <c r="C56" t="e">
        <f>VLOOKUP(B56,#REF!,2,FALSE)</f>
        <v>#REF!</v>
      </c>
      <c r="D56" t="e">
        <f>VLOOKUP(B56,#REF!,3,FALSE)</f>
        <v>#REF!</v>
      </c>
      <c r="E56" t="s">
        <v>7</v>
      </c>
    </row>
    <row r="57" spans="2:5">
      <c r="B57">
        <v>195</v>
      </c>
      <c r="C57" t="e">
        <f>VLOOKUP(B57,#REF!,2,FALSE)</f>
        <v>#REF!</v>
      </c>
      <c r="D57" t="e">
        <f>VLOOKUP(B57,#REF!,3,FALSE)</f>
        <v>#REF!</v>
      </c>
      <c r="E57" t="s">
        <v>8</v>
      </c>
    </row>
    <row r="58" spans="2:5">
      <c r="B58">
        <v>201</v>
      </c>
      <c r="C58" t="e">
        <f>VLOOKUP(B58,#REF!,2,FALSE)</f>
        <v>#REF!</v>
      </c>
      <c r="D58" t="e">
        <f>VLOOKUP(B58,#REF!,3,FALSE)</f>
        <v>#REF!</v>
      </c>
      <c r="E58" t="s">
        <v>8</v>
      </c>
    </row>
    <row r="59" spans="2:5">
      <c r="B59">
        <v>206</v>
      </c>
      <c r="C59" t="e">
        <f>VLOOKUP(B59,#REF!,2,FALSE)</f>
        <v>#REF!</v>
      </c>
      <c r="D59" t="e">
        <f>VLOOKUP(B59,#REF!,3,FALSE)</f>
        <v>#REF!</v>
      </c>
      <c r="E59" t="s">
        <v>8</v>
      </c>
    </row>
    <row r="60" spans="2:5">
      <c r="B60">
        <v>207</v>
      </c>
      <c r="C60" t="e">
        <f>VLOOKUP(B60,#REF!,2,FALSE)</f>
        <v>#REF!</v>
      </c>
      <c r="D60" t="e">
        <f>VLOOKUP(B60,#REF!,3,FALSE)</f>
        <v>#REF!</v>
      </c>
      <c r="E60" t="s">
        <v>8</v>
      </c>
    </row>
    <row r="61" spans="2:5">
      <c r="B61">
        <v>210</v>
      </c>
      <c r="C61" t="e">
        <f>VLOOKUP(B61,#REF!,2,FALSE)</f>
        <v>#REF!</v>
      </c>
      <c r="D61" t="e">
        <f>VLOOKUP(B61,#REF!,3,FALSE)</f>
        <v>#REF!</v>
      </c>
      <c r="E61" t="s">
        <v>8</v>
      </c>
    </row>
    <row r="62" spans="2:5">
      <c r="B62">
        <v>219</v>
      </c>
      <c r="C62" t="e">
        <f>VLOOKUP(B62,#REF!,2,FALSE)</f>
        <v>#REF!</v>
      </c>
      <c r="D62" t="e">
        <f>VLOOKUP(B62,#REF!,3,FALSE)</f>
        <v>#REF!</v>
      </c>
      <c r="E62" t="s">
        <v>9</v>
      </c>
    </row>
    <row r="63" spans="2:5">
      <c r="B63">
        <v>220</v>
      </c>
      <c r="C63" t="e">
        <f>VLOOKUP(B63,#REF!,2,FALSE)</f>
        <v>#REF!</v>
      </c>
      <c r="D63" t="e">
        <f>VLOOKUP(B63,#REF!,3,FALSE)</f>
        <v>#REF!</v>
      </c>
      <c r="E63" t="s">
        <v>9</v>
      </c>
    </row>
    <row r="64" spans="2:5">
      <c r="B64">
        <v>221</v>
      </c>
      <c r="C64" t="e">
        <f>VLOOKUP(B64,#REF!,2,FALSE)</f>
        <v>#REF!</v>
      </c>
      <c r="D64" t="e">
        <f>VLOOKUP(B64,#REF!,3,FALSE)</f>
        <v>#REF!</v>
      </c>
      <c r="E64" t="s">
        <v>9</v>
      </c>
    </row>
    <row r="65" spans="2:5">
      <c r="B65">
        <v>223</v>
      </c>
      <c r="C65" t="e">
        <f>VLOOKUP(B65,#REF!,2,FALSE)</f>
        <v>#REF!</v>
      </c>
      <c r="D65" t="e">
        <f>VLOOKUP(B65,#REF!,3,FALSE)</f>
        <v>#REF!</v>
      </c>
      <c r="E65" t="s">
        <v>9</v>
      </c>
    </row>
    <row r="66" spans="2:5">
      <c r="B66">
        <v>229</v>
      </c>
      <c r="C66" t="e">
        <f>VLOOKUP(B66,#REF!,2,FALSE)</f>
        <v>#REF!</v>
      </c>
      <c r="D66" t="e">
        <f>VLOOKUP(B66,#REF!,3,FALSE)</f>
        <v>#REF!</v>
      </c>
      <c r="E66" t="s">
        <v>10</v>
      </c>
    </row>
    <row r="67" spans="2:5">
      <c r="B67">
        <v>238</v>
      </c>
      <c r="C67" t="e">
        <f>VLOOKUP(B67,#REF!,2,FALSE)</f>
        <v>#REF!</v>
      </c>
      <c r="D67" t="e">
        <f>VLOOKUP(B67,#REF!,3,FALSE)</f>
        <v>#REF!</v>
      </c>
      <c r="E67" t="s">
        <v>10</v>
      </c>
    </row>
    <row r="68" spans="2:5">
      <c r="B68">
        <v>245</v>
      </c>
      <c r="C68" t="e">
        <f>VLOOKUP(B68,#REF!,2,FALSE)</f>
        <v>#REF!</v>
      </c>
      <c r="D68" t="e">
        <f>VLOOKUP(B68,#REF!,3,FALSE)</f>
        <v>#REF!</v>
      </c>
      <c r="E68" t="s">
        <v>11</v>
      </c>
    </row>
    <row r="69" spans="2:5">
      <c r="B69">
        <v>249</v>
      </c>
      <c r="C69" t="e">
        <f>VLOOKUP(B69,#REF!,2,FALSE)</f>
        <v>#REF!</v>
      </c>
      <c r="D69" t="e">
        <f>VLOOKUP(B69,#REF!,3,FALSE)</f>
        <v>#REF!</v>
      </c>
      <c r="E69" t="s">
        <v>11</v>
      </c>
    </row>
    <row r="70" spans="2:5">
      <c r="B70">
        <v>252</v>
      </c>
      <c r="C70" t="e">
        <f>VLOOKUP(B70,#REF!,2,FALSE)</f>
        <v>#REF!</v>
      </c>
      <c r="D70" t="e">
        <f>VLOOKUP(B70,#REF!,3,FALSE)</f>
        <v>#REF!</v>
      </c>
      <c r="E70" t="s">
        <v>11</v>
      </c>
    </row>
    <row r="71" spans="2:5">
      <c r="B71">
        <v>253</v>
      </c>
      <c r="C71" t="e">
        <f>VLOOKUP(B71,#REF!,2,FALSE)</f>
        <v>#REF!</v>
      </c>
      <c r="D71" t="e">
        <f>VLOOKUP(B71,#REF!,3,FALSE)</f>
        <v>#REF!</v>
      </c>
      <c r="E71" t="s">
        <v>11</v>
      </c>
    </row>
    <row r="72" spans="2:5">
      <c r="B72">
        <v>260</v>
      </c>
      <c r="C72" t="e">
        <f>VLOOKUP(B72,#REF!,2,FALSE)</f>
        <v>#REF!</v>
      </c>
      <c r="D72" t="e">
        <f>VLOOKUP(B72,#REF!,3,FALSE)</f>
        <v>#REF!</v>
      </c>
      <c r="E72" t="s">
        <v>11</v>
      </c>
    </row>
    <row r="73" spans="2:5">
      <c r="B73">
        <v>261</v>
      </c>
      <c r="C73" t="e">
        <f>VLOOKUP(B73,#REF!,2,FALSE)</f>
        <v>#REF!</v>
      </c>
      <c r="D73" t="e">
        <f>VLOOKUP(B73,#REF!,3,FALSE)</f>
        <v>#REF!</v>
      </c>
      <c r="E73" t="s">
        <v>11</v>
      </c>
    </row>
    <row r="74" spans="2:5">
      <c r="B74">
        <v>266</v>
      </c>
      <c r="C74" t="e">
        <f>VLOOKUP(B74,#REF!,2,FALSE)</f>
        <v>#REF!</v>
      </c>
      <c r="D74" t="e">
        <f>VLOOKUP(B74,#REF!,3,FALSE)</f>
        <v>#REF!</v>
      </c>
      <c r="E74" t="s">
        <v>12</v>
      </c>
    </row>
    <row r="75" spans="2:5">
      <c r="B75">
        <v>278</v>
      </c>
      <c r="C75" t="e">
        <f>VLOOKUP(B75,#REF!,2,FALSE)</f>
        <v>#REF!</v>
      </c>
      <c r="D75" t="e">
        <f>VLOOKUP(B75,#REF!,3,FALSE)</f>
        <v>#REF!</v>
      </c>
      <c r="E75" t="s">
        <v>13</v>
      </c>
    </row>
    <row r="76" spans="2:5">
      <c r="B76">
        <v>281</v>
      </c>
      <c r="C76" t="e">
        <f>VLOOKUP(B76,#REF!,2,FALSE)</f>
        <v>#REF!</v>
      </c>
      <c r="D76" t="e">
        <f>VLOOKUP(B76,#REF!,3,FALSE)</f>
        <v>#REF!</v>
      </c>
      <c r="E76" t="s">
        <v>13</v>
      </c>
    </row>
    <row r="77" spans="2:5">
      <c r="B77">
        <v>282</v>
      </c>
      <c r="C77" t="e">
        <f>VLOOKUP(B77,#REF!,2,FALSE)</f>
        <v>#REF!</v>
      </c>
      <c r="D77" t="e">
        <f>VLOOKUP(B77,#REF!,3,FALSE)</f>
        <v>#REF!</v>
      </c>
      <c r="E77" t="s">
        <v>13</v>
      </c>
    </row>
    <row r="78" spans="2:5">
      <c r="B78">
        <v>283</v>
      </c>
      <c r="C78" t="e">
        <f>VLOOKUP(B78,#REF!,2,FALSE)</f>
        <v>#REF!</v>
      </c>
      <c r="D78" t="e">
        <f>VLOOKUP(B78,#REF!,3,FALSE)</f>
        <v>#REF!</v>
      </c>
      <c r="E78" t="s">
        <v>13</v>
      </c>
    </row>
    <row r="79" spans="2:5">
      <c r="B79">
        <v>288</v>
      </c>
      <c r="C79" t="e">
        <f>VLOOKUP(B79,#REF!,2,FALSE)</f>
        <v>#REF!</v>
      </c>
      <c r="D79" t="e">
        <f>VLOOKUP(B79,#REF!,3,FALSE)</f>
        <v>#REF!</v>
      </c>
      <c r="E79" t="s">
        <v>13</v>
      </c>
    </row>
    <row r="80" spans="2:5">
      <c r="B80">
        <v>290</v>
      </c>
      <c r="C80" t="e">
        <f>VLOOKUP(B80,#REF!,2,FALSE)</f>
        <v>#REF!</v>
      </c>
      <c r="D80" t="e">
        <f>VLOOKUP(B80,#REF!,3,FALSE)</f>
        <v>#REF!</v>
      </c>
      <c r="E80" t="s">
        <v>13</v>
      </c>
    </row>
    <row r="81" spans="2:5">
      <c r="B81">
        <v>298</v>
      </c>
      <c r="C81" t="e">
        <f>VLOOKUP(B81,#REF!,2,FALSE)</f>
        <v>#REF!</v>
      </c>
      <c r="D81" t="e">
        <f>VLOOKUP(B81,#REF!,3,FALSE)</f>
        <v>#REF!</v>
      </c>
      <c r="E81" t="s">
        <v>14</v>
      </c>
    </row>
    <row r="82" spans="2:5">
      <c r="B82">
        <v>299</v>
      </c>
      <c r="C82" t="e">
        <f>VLOOKUP(B82,#REF!,2,FALSE)</f>
        <v>#REF!</v>
      </c>
      <c r="D82" t="e">
        <f>VLOOKUP(B82,#REF!,3,FALSE)</f>
        <v>#REF!</v>
      </c>
      <c r="E82" t="s">
        <v>14</v>
      </c>
    </row>
    <row r="83" spans="2:5">
      <c r="B83">
        <v>300</v>
      </c>
      <c r="C83" t="e">
        <f>VLOOKUP(B83,#REF!,2,FALSE)</f>
        <v>#REF!</v>
      </c>
      <c r="D83" t="e">
        <f>VLOOKUP(B83,#REF!,3,FALSE)</f>
        <v>#REF!</v>
      </c>
      <c r="E83" t="s">
        <v>14</v>
      </c>
    </row>
    <row r="84" spans="2:5">
      <c r="B84">
        <v>301</v>
      </c>
      <c r="C84" t="e">
        <f>VLOOKUP(B84,#REF!,2,FALSE)</f>
        <v>#REF!</v>
      </c>
      <c r="D84" t="e">
        <f>VLOOKUP(B84,#REF!,3,FALSE)</f>
        <v>#REF!</v>
      </c>
      <c r="E84" t="s">
        <v>14</v>
      </c>
    </row>
    <row r="85" spans="2:5">
      <c r="B85">
        <v>302</v>
      </c>
      <c r="C85" t="e">
        <f>VLOOKUP(B85,#REF!,2,FALSE)</f>
        <v>#REF!</v>
      </c>
      <c r="D85" t="e">
        <f>VLOOKUP(B85,#REF!,3,FALSE)</f>
        <v>#REF!</v>
      </c>
      <c r="E85" t="s">
        <v>14</v>
      </c>
    </row>
    <row r="86" spans="2:5">
      <c r="B86">
        <v>304</v>
      </c>
      <c r="C86" t="e">
        <f>VLOOKUP(B86,#REF!,2,FALSE)</f>
        <v>#REF!</v>
      </c>
      <c r="D86" t="e">
        <f>VLOOKUP(B86,#REF!,3,FALSE)</f>
        <v>#REF!</v>
      </c>
      <c r="E86" t="s">
        <v>14</v>
      </c>
    </row>
    <row r="87" spans="2:5">
      <c r="B87">
        <v>307</v>
      </c>
      <c r="C87" t="e">
        <f>VLOOKUP(B87,#REF!,2,FALSE)</f>
        <v>#REF!</v>
      </c>
      <c r="D87" t="e">
        <f>VLOOKUP(B87,#REF!,3,FALSE)</f>
        <v>#REF!</v>
      </c>
      <c r="E87" t="s">
        <v>14</v>
      </c>
    </row>
    <row r="88" spans="2:5">
      <c r="B88">
        <v>1002</v>
      </c>
      <c r="C88" t="e">
        <f>VLOOKUP(B88,#REF!,2,FALSE)</f>
        <v>#REF!</v>
      </c>
      <c r="D88" t="e">
        <f>VLOOKUP(B88,#REF!,3,FALSE)</f>
        <v>#REF!</v>
      </c>
      <c r="E88" t="s">
        <v>15</v>
      </c>
    </row>
    <row r="89" spans="2:5">
      <c r="B89">
        <v>1003</v>
      </c>
      <c r="C89" t="e">
        <f>VLOOKUP(B89,#REF!,2,FALSE)</f>
        <v>#REF!</v>
      </c>
      <c r="D89" t="e">
        <f>VLOOKUP(B89,#REF!,3,FALSE)</f>
        <v>#REF!</v>
      </c>
      <c r="E89" t="s">
        <v>16</v>
      </c>
    </row>
    <row r="90" spans="2:5">
      <c r="B90">
        <v>1006</v>
      </c>
      <c r="C90" t="e">
        <f>VLOOKUP(B90,#REF!,2,FALSE)</f>
        <v>#REF!</v>
      </c>
      <c r="D90" t="e">
        <f>VLOOKUP(B90,#REF!,3,FALSE)</f>
        <v>#REF!</v>
      </c>
      <c r="E90" t="s">
        <v>7</v>
      </c>
    </row>
    <row r="91" spans="2:5">
      <c r="B91">
        <v>1007</v>
      </c>
      <c r="C91" t="e">
        <f>VLOOKUP(B91,#REF!,2,FALSE)</f>
        <v>#REF!</v>
      </c>
      <c r="D91" t="e">
        <f>VLOOKUP(B91,#REF!,3,FALSE)</f>
        <v>#REF!</v>
      </c>
      <c r="E91" t="s">
        <v>17</v>
      </c>
    </row>
    <row r="92" spans="2:5">
      <c r="B92">
        <v>1015</v>
      </c>
      <c r="C92" t="e">
        <f>VLOOKUP(B92,#REF!,2,FALSE)</f>
        <v>#REF!</v>
      </c>
      <c r="D92" t="e">
        <f>VLOOKUP(B92,#REF!,3,FALSE)</f>
        <v>#REF!</v>
      </c>
      <c r="E92" t="s">
        <v>11</v>
      </c>
    </row>
    <row r="93" spans="2:5">
      <c r="B93">
        <v>1017</v>
      </c>
      <c r="C93" t="e">
        <f>VLOOKUP(B93,#REF!,2,FALSE)</f>
        <v>#REF!</v>
      </c>
      <c r="D93" t="e">
        <f>VLOOKUP(B93,#REF!,3,FALSE)</f>
        <v>#REF!</v>
      </c>
      <c r="E93" t="s">
        <v>7</v>
      </c>
    </row>
    <row r="94" spans="2:5">
      <c r="B94">
        <v>1021</v>
      </c>
      <c r="C94" t="e">
        <f>VLOOKUP(B94,#REF!,2,FALSE)</f>
        <v>#REF!</v>
      </c>
      <c r="D94" t="e">
        <f>VLOOKUP(B94,#REF!,3,FALSE)</f>
        <v>#REF!</v>
      </c>
      <c r="E94" t="s">
        <v>7</v>
      </c>
    </row>
    <row r="95" spans="2:5">
      <c r="B95">
        <v>1027</v>
      </c>
      <c r="C95" t="e">
        <f>VLOOKUP(B95,#REF!,2,FALSE)</f>
        <v>#REF!</v>
      </c>
      <c r="D95" t="e">
        <f>VLOOKUP(B95,#REF!,3,FALSE)</f>
        <v>#REF!</v>
      </c>
      <c r="E95" t="s">
        <v>7</v>
      </c>
    </row>
    <row r="96" spans="2:5">
      <c r="B96">
        <v>1029</v>
      </c>
      <c r="C96" t="e">
        <f>VLOOKUP(B96,#REF!,2,FALSE)</f>
        <v>#REF!</v>
      </c>
      <c r="D96" t="e">
        <f>VLOOKUP(B96,#REF!,3,FALSE)</f>
        <v>#REF!</v>
      </c>
      <c r="E96" t="s">
        <v>12</v>
      </c>
    </row>
    <row r="97" spans="2:5">
      <c r="B97">
        <v>1032</v>
      </c>
      <c r="C97" t="e">
        <f>VLOOKUP(B97,#REF!,2,FALSE)</f>
        <v>#REF!</v>
      </c>
      <c r="D97" t="e">
        <f>VLOOKUP(B97,#REF!,3,FALSE)</f>
        <v>#REF!</v>
      </c>
      <c r="E97" t="s">
        <v>7</v>
      </c>
    </row>
    <row r="98" spans="2:5">
      <c r="B98">
        <v>1036</v>
      </c>
      <c r="C98" t="e">
        <f>VLOOKUP(B98,#REF!,2,FALSE)</f>
        <v>#REF!</v>
      </c>
      <c r="D98" t="e">
        <f>VLOOKUP(B98,#REF!,3,FALSE)</f>
        <v>#REF!</v>
      </c>
      <c r="E98" t="s">
        <v>18</v>
      </c>
    </row>
    <row r="99" spans="2:5">
      <c r="B99">
        <v>1037</v>
      </c>
      <c r="C99" t="e">
        <f>VLOOKUP(B99,#REF!,2,FALSE)</f>
        <v>#REF!</v>
      </c>
      <c r="D99" t="e">
        <f>VLOOKUP(B99,#REF!,3,FALSE)</f>
        <v>#REF!</v>
      </c>
      <c r="E99" t="s">
        <v>7</v>
      </c>
    </row>
    <row r="100" spans="2:5">
      <c r="B100">
        <v>1039</v>
      </c>
      <c r="C100" t="e">
        <f>VLOOKUP(B100,#REF!,2,FALSE)</f>
        <v>#REF!</v>
      </c>
      <c r="D100" t="e">
        <f>VLOOKUP(B100,#REF!,3,FALSE)</f>
        <v>#REF!</v>
      </c>
      <c r="E100" t="s">
        <v>7</v>
      </c>
    </row>
    <row r="101" spans="2:5">
      <c r="B101">
        <v>2007</v>
      </c>
      <c r="C101" t="e">
        <f>VLOOKUP(B101,#REF!,2,FALSE)</f>
        <v>#REF!</v>
      </c>
      <c r="D101" t="e">
        <f>VLOOKUP(B101,#REF!,3,FALSE)</f>
        <v>#REF!</v>
      </c>
      <c r="E101" t="s">
        <v>19</v>
      </c>
    </row>
    <row r="102" spans="2:5">
      <c r="B102">
        <v>2008</v>
      </c>
      <c r="C102" t="e">
        <f>VLOOKUP(B102,#REF!,2,FALSE)</f>
        <v>#REF!</v>
      </c>
      <c r="D102" t="e">
        <f>VLOOKUP(B102,#REF!,3,FALSE)</f>
        <v>#REF!</v>
      </c>
      <c r="E102" t="s">
        <v>20</v>
      </c>
    </row>
    <row r="103" spans="2:5">
      <c r="B103">
        <v>2016</v>
      </c>
      <c r="C103" t="e">
        <f>VLOOKUP(B103,#REF!,2,FALSE)</f>
        <v>#REF!</v>
      </c>
      <c r="D103" t="e">
        <f>VLOOKUP(B103,#REF!,3,FALSE)</f>
        <v>#REF!</v>
      </c>
      <c r="E103" t="s">
        <v>21</v>
      </c>
    </row>
    <row r="104" spans="2:5">
      <c r="B104">
        <v>2018</v>
      </c>
      <c r="C104" t="e">
        <f>VLOOKUP(B104,#REF!,2,FALSE)</f>
        <v>#REF!</v>
      </c>
      <c r="D104" t="e">
        <f>VLOOKUP(B104,#REF!,3,FALSE)</f>
        <v>#REF!</v>
      </c>
      <c r="E104" t="s">
        <v>21</v>
      </c>
    </row>
    <row r="105" spans="2:5">
      <c r="B105">
        <v>2022</v>
      </c>
      <c r="C105" t="e">
        <f>VLOOKUP(B105,#REF!,2,FALSE)</f>
        <v>#REF!</v>
      </c>
      <c r="D105" t="e">
        <f>VLOOKUP(B105,#REF!,3,FALSE)</f>
        <v>#REF!</v>
      </c>
      <c r="E105" t="s">
        <v>22</v>
      </c>
    </row>
    <row r="106" spans="2:5">
      <c r="B106">
        <v>2026</v>
      </c>
      <c r="C106" t="e">
        <f>VLOOKUP(B106,#REF!,2,FALSE)</f>
        <v>#REF!</v>
      </c>
      <c r="D106" t="e">
        <f>VLOOKUP(B106,#REF!,3,FALSE)</f>
        <v>#REF!</v>
      </c>
      <c r="E106" t="s">
        <v>23</v>
      </c>
    </row>
    <row r="107" spans="2:5">
      <c r="B107">
        <v>2027</v>
      </c>
      <c r="C107" t="e">
        <f>VLOOKUP(B107,#REF!,2,FALSE)</f>
        <v>#REF!</v>
      </c>
      <c r="D107" t="e">
        <f>VLOOKUP(B107,#REF!,3,FALSE)</f>
        <v>#REF!</v>
      </c>
      <c r="E107" t="s">
        <v>23</v>
      </c>
    </row>
    <row r="108" spans="2:5">
      <c r="B108">
        <v>2028</v>
      </c>
      <c r="C108" t="e">
        <f>VLOOKUP(B108,#REF!,2,FALSE)</f>
        <v>#REF!</v>
      </c>
      <c r="D108" t="e">
        <f>VLOOKUP(B108,#REF!,3,FALSE)</f>
        <v>#REF!</v>
      </c>
      <c r="E108" t="s">
        <v>23</v>
      </c>
    </row>
    <row r="109" spans="2:5">
      <c r="B109">
        <v>2032</v>
      </c>
      <c r="C109" t="e">
        <f>VLOOKUP(B109,#REF!,2,FALSE)</f>
        <v>#REF!</v>
      </c>
      <c r="D109" t="e">
        <f>VLOOKUP(B109,#REF!,3,FALSE)</f>
        <v>#REF!</v>
      </c>
      <c r="E109" t="s">
        <v>24</v>
      </c>
    </row>
    <row r="110" spans="2:5">
      <c r="B110">
        <v>2034</v>
      </c>
      <c r="C110" t="e">
        <f>VLOOKUP(B110,#REF!,2,FALSE)</f>
        <v>#REF!</v>
      </c>
      <c r="D110" t="e">
        <f>VLOOKUP(B110,#REF!,3,FALSE)</f>
        <v>#REF!</v>
      </c>
      <c r="E110" t="s">
        <v>25</v>
      </c>
    </row>
    <row r="111" spans="2:5">
      <c r="B111">
        <v>2037</v>
      </c>
      <c r="C111" t="e">
        <f>VLOOKUP(B111,#REF!,2,FALSE)</f>
        <v>#REF!</v>
      </c>
      <c r="D111" t="e">
        <f>VLOOKUP(B111,#REF!,3,FALSE)</f>
        <v>#REF!</v>
      </c>
      <c r="E111" t="s">
        <v>26</v>
      </c>
    </row>
    <row r="112" spans="2:5">
      <c r="B112">
        <v>2041</v>
      </c>
      <c r="C112" t="e">
        <f>VLOOKUP(B112,#REF!,2,FALSE)</f>
        <v>#REF!</v>
      </c>
      <c r="D112" t="e">
        <f>VLOOKUP(B112,#REF!,3,FALSE)</f>
        <v>#REF!</v>
      </c>
      <c r="E112" t="s">
        <v>27</v>
      </c>
    </row>
    <row r="113" spans="2:5">
      <c r="B113">
        <v>2043</v>
      </c>
      <c r="C113" t="e">
        <f>VLOOKUP(B113,#REF!,2,FALSE)</f>
        <v>#REF!</v>
      </c>
      <c r="D113" t="e">
        <f>VLOOKUP(B113,#REF!,3,FALSE)</f>
        <v>#REF!</v>
      </c>
      <c r="E113" t="s">
        <v>21</v>
      </c>
    </row>
    <row r="114" spans="2:5">
      <c r="B114">
        <v>2045</v>
      </c>
      <c r="C114" t="e">
        <f>VLOOKUP(B114,#REF!,2,FALSE)</f>
        <v>#REF!</v>
      </c>
      <c r="D114" t="e">
        <f>VLOOKUP(B114,#REF!,3,FALSE)</f>
        <v>#REF!</v>
      </c>
      <c r="E114" t="s">
        <v>24</v>
      </c>
    </row>
    <row r="115" spans="2:5">
      <c r="B115">
        <v>2048</v>
      </c>
      <c r="C115" t="e">
        <f>VLOOKUP(B115,#REF!,2,FALSE)</f>
        <v>#REF!</v>
      </c>
      <c r="D115" t="e">
        <f>VLOOKUP(B115,#REF!,3,FALSE)</f>
        <v>#REF!</v>
      </c>
      <c r="E115" t="s">
        <v>28</v>
      </c>
    </row>
    <row r="116" spans="2:5">
      <c r="B116">
        <v>2049</v>
      </c>
      <c r="C116" t="e">
        <f>VLOOKUP(B116,#REF!,2,FALSE)</f>
        <v>#REF!</v>
      </c>
      <c r="D116" t="e">
        <f>VLOOKUP(B116,#REF!,3,FALSE)</f>
        <v>#REF!</v>
      </c>
      <c r="E116" t="s">
        <v>29</v>
      </c>
    </row>
    <row r="117" spans="2:5">
      <c r="B117">
        <v>2050</v>
      </c>
      <c r="C117" t="e">
        <f>VLOOKUP(B117,#REF!,2,FALSE)</f>
        <v>#REF!</v>
      </c>
      <c r="D117" t="e">
        <f>VLOOKUP(B117,#REF!,3,FALSE)</f>
        <v>#REF!</v>
      </c>
      <c r="E117" t="s">
        <v>30</v>
      </c>
    </row>
    <row r="118" spans="2:5">
      <c r="B118">
        <v>2051</v>
      </c>
      <c r="C118" t="e">
        <f>VLOOKUP(B118,#REF!,2,FALSE)</f>
        <v>#REF!</v>
      </c>
      <c r="D118" t="e">
        <f>VLOOKUP(B118,#REF!,3,FALSE)</f>
        <v>#REF!</v>
      </c>
      <c r="E118" t="s">
        <v>28</v>
      </c>
    </row>
    <row r="119" spans="2:5">
      <c r="B119">
        <v>3001</v>
      </c>
      <c r="C119" t="e">
        <f>VLOOKUP(B119,#REF!,2,FALSE)</f>
        <v>#REF!</v>
      </c>
      <c r="D119" t="e">
        <f>VLOOKUP(B119,#REF!,3,FALSE)</f>
        <v>#REF!</v>
      </c>
      <c r="E119" t="s">
        <v>31</v>
      </c>
    </row>
    <row r="120" spans="2:5">
      <c r="B120">
        <v>3004</v>
      </c>
      <c r="C120" t="e">
        <f>VLOOKUP(B120,#REF!,2,FALSE)</f>
        <v>#REF!</v>
      </c>
      <c r="D120" t="e">
        <f>VLOOKUP(B120,#REF!,3,FALSE)</f>
        <v>#REF!</v>
      </c>
      <c r="E120" t="s">
        <v>32</v>
      </c>
    </row>
    <row r="121" spans="2:5">
      <c r="B121">
        <v>3006</v>
      </c>
      <c r="C121" t="e">
        <f>VLOOKUP(B121,#REF!,2,FALSE)</f>
        <v>#REF!</v>
      </c>
      <c r="D121" t="e">
        <f>VLOOKUP(B121,#REF!,3,FALSE)</f>
        <v>#REF!</v>
      </c>
      <c r="E121" t="s">
        <v>28</v>
      </c>
    </row>
    <row r="122" spans="2:5">
      <c r="B122">
        <v>3014</v>
      </c>
      <c r="C122" t="e">
        <f>VLOOKUP(B122,#REF!,2,FALSE)</f>
        <v>#REF!</v>
      </c>
      <c r="D122" t="e">
        <f>VLOOKUP(B122,#REF!,3,FALSE)</f>
        <v>#REF!</v>
      </c>
      <c r="E122" t="s">
        <v>27</v>
      </c>
    </row>
    <row r="123" spans="2:5">
      <c r="B123">
        <v>3025</v>
      </c>
      <c r="C123" t="e">
        <f>VLOOKUP(B123,#REF!,2,FALSE)</f>
        <v>#REF!</v>
      </c>
      <c r="D123" t="e">
        <f>VLOOKUP(B123,#REF!,3,FALSE)</f>
        <v>#REF!</v>
      </c>
      <c r="E123" t="s">
        <v>8</v>
      </c>
    </row>
    <row r="124" spans="2:5">
      <c r="B124">
        <v>3027</v>
      </c>
      <c r="C124" t="e">
        <f>VLOOKUP(B124,#REF!,2,FALSE)</f>
        <v>#REF!</v>
      </c>
      <c r="D124" t="s">
        <v>33</v>
      </c>
      <c r="E124" t="s">
        <v>19</v>
      </c>
    </row>
    <row r="125" spans="2:5">
      <c r="B125">
        <v>3028</v>
      </c>
      <c r="C125" t="e">
        <f>VLOOKUP(B125,#REF!,2,FALSE)</f>
        <v>#REF!</v>
      </c>
      <c r="D125" t="e">
        <f>VLOOKUP(B125,#REF!,3,FALSE)</f>
        <v>#REF!</v>
      </c>
      <c r="E125" t="s">
        <v>22</v>
      </c>
    </row>
    <row r="126" spans="2:5">
      <c r="B126">
        <v>3029</v>
      </c>
      <c r="C126" t="e">
        <f>VLOOKUP(B126,#REF!,2,FALSE)</f>
        <v>#REF!</v>
      </c>
      <c r="D126" t="e">
        <f>VLOOKUP(B126,#REF!,3,FALSE)</f>
        <v>#REF!</v>
      </c>
      <c r="E126" t="s">
        <v>19</v>
      </c>
    </row>
    <row r="127" spans="2:5">
      <c r="B127">
        <v>3030</v>
      </c>
      <c r="C127" t="e">
        <f>VLOOKUP(B127,#REF!,2,FALSE)</f>
        <v>#REF!</v>
      </c>
      <c r="D127" t="e">
        <f>VLOOKUP(B127,#REF!,3,FALSE)</f>
        <v>#REF!</v>
      </c>
      <c r="E127" t="s">
        <v>28</v>
      </c>
    </row>
    <row r="128" spans="2:5">
      <c r="B128">
        <v>3031</v>
      </c>
      <c r="C128" t="e">
        <f>VLOOKUP(B128,#REF!,2,FALSE)</f>
        <v>#REF!</v>
      </c>
      <c r="D128" t="e">
        <f>VLOOKUP(B128,#REF!,3,FALSE)</f>
        <v>#REF!</v>
      </c>
      <c r="E128" t="s">
        <v>10</v>
      </c>
    </row>
    <row r="129" spans="2:5">
      <c r="B129">
        <v>3032</v>
      </c>
      <c r="C129" t="e">
        <f>VLOOKUP(B129,#REF!,2,FALSE)</f>
        <v>#REF!</v>
      </c>
      <c r="D129" t="e">
        <f>VLOOKUP(B129,#REF!,3,FALSE)</f>
        <v>#REF!</v>
      </c>
      <c r="E129" t="s">
        <v>16</v>
      </c>
    </row>
    <row r="130" spans="2:5">
      <c r="B130">
        <v>3033</v>
      </c>
      <c r="C130" t="e">
        <f>VLOOKUP(B130,#REF!,2,FALSE)</f>
        <v>#REF!</v>
      </c>
      <c r="D130" t="e">
        <f>VLOOKUP(B130,#REF!,3,FALSE)</f>
        <v>#REF!</v>
      </c>
      <c r="E130" t="s">
        <v>34</v>
      </c>
    </row>
    <row r="131" spans="2:5">
      <c r="B131">
        <v>3034</v>
      </c>
      <c r="C131" t="e">
        <f>VLOOKUP(B131,#REF!,2,FALSE)</f>
        <v>#REF!</v>
      </c>
      <c r="D131" t="e">
        <f>VLOOKUP(B131,#REF!,3,FALSE)</f>
        <v>#REF!</v>
      </c>
      <c r="E131" t="s">
        <v>27</v>
      </c>
    </row>
  </sheetData>
  <autoFilter ref="B1:E131" xr:uid="{C8CEE51A-62D2-4DD7-B272-C7E19285A08C}">
    <sortState xmlns:xlrd2="http://schemas.microsoft.com/office/spreadsheetml/2017/richdata2" ref="B2:E131">
      <sortCondition ref="B1:B131"/>
    </sortState>
  </autoFilter>
  <phoneticPr fontId="2"/>
  <conditionalFormatting sqref="B296:C1048576 B1:C1 B3:C130 B2 B131">
    <cfRule type="duplicateValues" dxfId="1017"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00CF-C7EF-497C-A374-BE2BE4131211}">
  <sheetPr codeName="Sheet407">
    <tabColor rgb="FF00B0F0"/>
    <pageSetUpPr fitToPage="1"/>
  </sheetPr>
  <dimension ref="A1:R160"/>
  <sheetViews>
    <sheetView topLeftCell="A19" zoomScale="55" zoomScaleNormal="55" workbookViewId="0">
      <selection activeCell="F50" sqref="F50"/>
    </sheetView>
  </sheetViews>
  <sheetFormatPr defaultColWidth="8.7265625" defaultRowHeight="19"/>
  <cols>
    <col min="1" max="1" width="13.453125" style="2486" customWidth="1"/>
    <col min="2" max="2" width="60.81640625" style="2486" customWidth="1"/>
    <col min="3" max="3" width="29" style="2486" customWidth="1"/>
    <col min="4" max="4" width="39" style="2486" customWidth="1"/>
    <col min="5" max="5" width="21.1796875" style="2486" customWidth="1"/>
    <col min="6" max="6" width="13.7265625" style="2486" bestFit="1" customWidth="1"/>
    <col min="7" max="7" width="8.7265625" style="2486"/>
    <col min="8" max="8" width="0" style="4004" hidden="1" customWidth="1"/>
    <col min="9" max="9" width="22.7265625" style="2486" customWidth="1"/>
    <col min="10" max="10" width="36.81640625" style="2486" customWidth="1"/>
    <col min="11" max="11" width="20" style="2486" customWidth="1"/>
    <col min="12" max="12" width="10.7265625" style="2486" customWidth="1"/>
    <col min="13" max="13" width="8.7265625" style="2486"/>
    <col min="14" max="14" width="12.453125" style="4004" hidden="1" customWidth="1"/>
    <col min="15" max="15" width="21.453125" style="2486" customWidth="1"/>
    <col min="16" max="16" width="28.453125" style="2486" customWidth="1"/>
    <col min="17" max="17" width="25.1796875" style="2486" customWidth="1"/>
    <col min="18" max="18" width="24.81640625" style="2486" hidden="1" customWidth="1"/>
    <col min="19" max="16384" width="8.7265625" style="2486"/>
  </cols>
  <sheetData>
    <row r="1" spans="1:17">
      <c r="A1" s="4002" t="s">
        <v>35</v>
      </c>
      <c r="B1" s="4146" t="s">
        <v>36</v>
      </c>
      <c r="C1" s="4070"/>
      <c r="D1" s="4003" t="s">
        <v>37</v>
      </c>
      <c r="H1" s="4004" t="s">
        <v>38</v>
      </c>
      <c r="I1" s="4005"/>
      <c r="J1" s="2486" t="s">
        <v>39</v>
      </c>
      <c r="N1" s="4004" t="s">
        <v>38</v>
      </c>
      <c r="O1" s="4005"/>
      <c r="P1" s="4079" t="s">
        <v>40</v>
      </c>
    </row>
    <row r="2" spans="1:17" ht="19.5" thickBot="1">
      <c r="B2" s="2486" t="s">
        <v>41</v>
      </c>
      <c r="C2" s="4071" t="s">
        <v>42</v>
      </c>
      <c r="D2" s="4003" t="s">
        <v>43</v>
      </c>
      <c r="E2" s="4006" t="s">
        <v>44</v>
      </c>
      <c r="F2" s="4006" t="s">
        <v>45</v>
      </c>
      <c r="G2" s="4006" t="s">
        <v>46</v>
      </c>
      <c r="I2" s="4005" t="s">
        <v>47</v>
      </c>
      <c r="J2" s="2486" t="s">
        <v>43</v>
      </c>
      <c r="K2" s="4006" t="s">
        <v>44</v>
      </c>
      <c r="L2" s="4006" t="s">
        <v>45</v>
      </c>
      <c r="M2" s="4006" t="s">
        <v>46</v>
      </c>
      <c r="O2" s="4005" t="s">
        <v>47</v>
      </c>
      <c r="P2" s="4079" t="s">
        <v>48</v>
      </c>
    </row>
    <row r="3" spans="1:17">
      <c r="B3" s="4007" t="s">
        <v>49</v>
      </c>
      <c r="C3" s="4072">
        <v>15457292778</v>
      </c>
      <c r="D3" s="4008" t="s">
        <v>50</v>
      </c>
      <c r="E3" s="4009">
        <v>3042691395</v>
      </c>
      <c r="F3" s="4009">
        <v>1</v>
      </c>
      <c r="G3" s="4009">
        <v>1</v>
      </c>
      <c r="H3" s="4010"/>
      <c r="I3" s="5863">
        <f t="shared" ref="I3:I29" si="0">E3*F3*G3</f>
        <v>3042691395</v>
      </c>
      <c r="J3" s="4008" t="s">
        <v>50</v>
      </c>
      <c r="K3" s="4011">
        <v>2596055904</v>
      </c>
      <c r="L3" s="4011">
        <v>1</v>
      </c>
      <c r="M3" s="4011">
        <v>1</v>
      </c>
      <c r="N3" s="4010"/>
      <c r="O3" s="5865">
        <f>K3*L3*M3</f>
        <v>2596055904</v>
      </c>
      <c r="P3" s="4080">
        <f>I3+O3</f>
        <v>5638747299</v>
      </c>
    </row>
    <row r="4" spans="1:17">
      <c r="C4" s="4073"/>
      <c r="D4" s="4012" t="s">
        <v>51</v>
      </c>
      <c r="E4" s="4013">
        <v>7718814575</v>
      </c>
      <c r="F4" s="4013">
        <v>1</v>
      </c>
      <c r="G4" s="4013">
        <v>1</v>
      </c>
      <c r="H4" s="4014"/>
      <c r="I4" s="5864">
        <f t="shared" si="0"/>
        <v>7718814575</v>
      </c>
      <c r="J4" s="4012" t="s">
        <v>51</v>
      </c>
      <c r="K4" s="4016">
        <v>2099730904</v>
      </c>
      <c r="L4" s="4016">
        <v>1</v>
      </c>
      <c r="M4" s="4016">
        <v>1</v>
      </c>
      <c r="N4" s="4014"/>
      <c r="O4" s="5866">
        <f t="shared" ref="O4:O25" si="1">K4*L4*M4</f>
        <v>2099730904</v>
      </c>
      <c r="P4" s="4081">
        <f>I4+O4</f>
        <v>9818545479</v>
      </c>
    </row>
    <row r="5" spans="1:17">
      <c r="C5" s="4073"/>
      <c r="D5" s="4126" t="s">
        <v>52</v>
      </c>
      <c r="E5" s="4118">
        <v>2004704909</v>
      </c>
      <c r="F5" s="4127">
        <v>1</v>
      </c>
      <c r="G5" s="4127">
        <v>1</v>
      </c>
      <c r="H5" s="4014"/>
      <c r="I5" s="4118">
        <f>E5*F5*G5</f>
        <v>2004704909</v>
      </c>
      <c r="J5" s="4126" t="s">
        <v>52</v>
      </c>
      <c r="K5" s="4118">
        <v>197828150</v>
      </c>
      <c r="L5" s="4127">
        <v>1</v>
      </c>
      <c r="M5" s="4127">
        <v>1</v>
      </c>
      <c r="N5" s="4014"/>
      <c r="O5" s="4118">
        <f>K5*L5*M5</f>
        <v>197828150</v>
      </c>
      <c r="P5" s="4128">
        <f t="shared" ref="P5:P9" si="2">I5+O5</f>
        <v>2202533059</v>
      </c>
    </row>
    <row r="6" spans="1:17">
      <c r="C6" s="4073"/>
      <c r="D6" s="4126" t="s">
        <v>53</v>
      </c>
      <c r="E6" s="4118">
        <v>881565432</v>
      </c>
      <c r="F6" s="4127">
        <v>1</v>
      </c>
      <c r="G6" s="4127">
        <v>1</v>
      </c>
      <c r="H6" s="4014"/>
      <c r="I6" s="4118">
        <f t="shared" ref="I6:I7" si="3">E6*F6*G6</f>
        <v>881565432</v>
      </c>
      <c r="J6" s="4126" t="s">
        <v>53</v>
      </c>
      <c r="K6" s="4118">
        <v>449927739</v>
      </c>
      <c r="L6" s="4127">
        <v>1</v>
      </c>
      <c r="M6" s="4127">
        <v>1</v>
      </c>
      <c r="N6" s="4014"/>
      <c r="O6" s="4118">
        <f>K6*L6*M6</f>
        <v>449927739</v>
      </c>
      <c r="P6" s="4128">
        <f t="shared" si="2"/>
        <v>1331493171</v>
      </c>
    </row>
    <row r="7" spans="1:17">
      <c r="C7" s="4073"/>
      <c r="D7" s="4126" t="s">
        <v>54</v>
      </c>
      <c r="E7" s="4118">
        <v>723774664</v>
      </c>
      <c r="F7" s="4127">
        <v>1</v>
      </c>
      <c r="G7" s="4127">
        <v>1</v>
      </c>
      <c r="H7" s="4014"/>
      <c r="I7" s="4118">
        <f t="shared" si="3"/>
        <v>723774664</v>
      </c>
      <c r="J7" s="4126" t="s">
        <v>54</v>
      </c>
      <c r="K7" s="4118">
        <v>217404288</v>
      </c>
      <c r="L7" s="4127">
        <v>1</v>
      </c>
      <c r="M7" s="4127">
        <v>1</v>
      </c>
      <c r="N7" s="4014"/>
      <c r="O7" s="4118">
        <f t="shared" ref="O7:O9" si="4">K7*L7*M7</f>
        <v>217404288</v>
      </c>
      <c r="P7" s="4128">
        <f t="shared" si="2"/>
        <v>941178952</v>
      </c>
    </row>
    <row r="8" spans="1:17">
      <c r="C8" s="4073"/>
      <c r="D8" s="4126" t="s">
        <v>55</v>
      </c>
      <c r="E8" s="4118">
        <f>SUM('財政見通し積算 (全SH全項目統合版）'!AD29)</f>
        <v>2342187094</v>
      </c>
      <c r="F8" s="4127">
        <v>1</v>
      </c>
      <c r="G8" s="4127">
        <v>1</v>
      </c>
      <c r="H8" s="4014"/>
      <c r="I8" s="4118">
        <f t="shared" si="0"/>
        <v>2342187094</v>
      </c>
      <c r="J8" s="4126" t="s">
        <v>55</v>
      </c>
      <c r="K8" s="4118">
        <v>783186617</v>
      </c>
      <c r="L8" s="4127">
        <v>1</v>
      </c>
      <c r="M8" s="4127">
        <v>1</v>
      </c>
      <c r="N8" s="4014"/>
      <c r="O8" s="4118">
        <f t="shared" si="4"/>
        <v>783186617</v>
      </c>
      <c r="P8" s="4128">
        <f t="shared" si="2"/>
        <v>3125373711</v>
      </c>
    </row>
    <row r="9" spans="1:17">
      <c r="C9" s="4073"/>
      <c r="D9" s="4126" t="s">
        <v>56</v>
      </c>
      <c r="E9" s="4118">
        <f>SUM('財政見通し積算 (全SH全項目統合版）'!AD30)</f>
        <v>1766582476</v>
      </c>
      <c r="F9" s="4127">
        <v>1</v>
      </c>
      <c r="G9" s="4127">
        <v>1</v>
      </c>
      <c r="H9" s="4014"/>
      <c r="I9" s="4118">
        <f t="shared" si="0"/>
        <v>1766582476</v>
      </c>
      <c r="J9" s="4126" t="s">
        <v>56</v>
      </c>
      <c r="K9" s="4114">
        <f>SUM('財政見通し積算 (全SH全項目統合版）'!AD35)</f>
        <v>451384110</v>
      </c>
      <c r="L9" s="4127">
        <v>1</v>
      </c>
      <c r="M9" s="4127">
        <v>1</v>
      </c>
      <c r="N9" s="4014"/>
      <c r="O9" s="4118">
        <f t="shared" si="4"/>
        <v>451384110</v>
      </c>
      <c r="P9" s="4128">
        <f t="shared" si="2"/>
        <v>2217966586</v>
      </c>
    </row>
    <row r="10" spans="1:17">
      <c r="B10" s="4018" t="s">
        <v>57</v>
      </c>
      <c r="C10" s="4074">
        <v>2004611332</v>
      </c>
      <c r="D10" s="4019" t="s">
        <v>50</v>
      </c>
      <c r="E10" s="4020">
        <v>16900</v>
      </c>
      <c r="F10" s="4020">
        <v>3546</v>
      </c>
      <c r="G10" s="4020">
        <v>11</v>
      </c>
      <c r="H10" s="4021">
        <f>F10*G10</f>
        <v>39006</v>
      </c>
      <c r="I10" s="4022">
        <f t="shared" si="0"/>
        <v>659201400</v>
      </c>
      <c r="J10" s="4023" t="s">
        <v>50</v>
      </c>
      <c r="K10" s="4024">
        <v>16900</v>
      </c>
      <c r="L10" s="4024">
        <f>3305*0.6</f>
        <v>1983</v>
      </c>
      <c r="M10" s="4024">
        <v>13</v>
      </c>
      <c r="N10" s="4021">
        <f>L10*M10</f>
        <v>25779</v>
      </c>
      <c r="O10" s="4025">
        <f t="shared" si="1"/>
        <v>435665100</v>
      </c>
      <c r="P10" s="4082">
        <f>I10+O10</f>
        <v>1094866500</v>
      </c>
    </row>
    <row r="11" spans="1:17">
      <c r="C11" s="4073"/>
      <c r="D11" s="4012" t="s">
        <v>51</v>
      </c>
      <c r="E11" s="4016">
        <f>SUM(E12:E13)</f>
        <v>487471732</v>
      </c>
      <c r="F11" s="4013">
        <v>1</v>
      </c>
      <c r="G11" s="4013">
        <v>1</v>
      </c>
      <c r="H11" s="4014"/>
      <c r="I11" s="4015">
        <f t="shared" si="0"/>
        <v>487471732</v>
      </c>
      <c r="J11" s="4012" t="s">
        <v>51</v>
      </c>
      <c r="K11" s="4016">
        <f>SUM(K12:K13)</f>
        <v>77936100</v>
      </c>
      <c r="L11" s="4016">
        <v>1</v>
      </c>
      <c r="M11" s="4016">
        <v>1</v>
      </c>
      <c r="N11" s="4014"/>
      <c r="O11" s="4017">
        <f t="shared" si="1"/>
        <v>77936100</v>
      </c>
      <c r="P11" s="4081">
        <f>I11+O11</f>
        <v>565407832</v>
      </c>
    </row>
    <row r="12" spans="1:17">
      <c r="C12" s="4073"/>
      <c r="D12" s="4337" t="s">
        <v>58</v>
      </c>
      <c r="E12" s="4118">
        <v>324285720</v>
      </c>
      <c r="F12" s="4118">
        <v>1</v>
      </c>
      <c r="G12" s="4118">
        <v>1</v>
      </c>
      <c r="H12" s="4115"/>
      <c r="I12" s="4119">
        <f t="shared" si="0"/>
        <v>324285720</v>
      </c>
      <c r="J12" s="4337" t="s">
        <v>58</v>
      </c>
      <c r="K12" s="4114">
        <v>23802106</v>
      </c>
      <c r="L12" s="4114">
        <v>1</v>
      </c>
      <c r="M12" s="4114">
        <v>1</v>
      </c>
      <c r="N12" s="4115"/>
      <c r="O12" s="4116">
        <f t="shared" si="1"/>
        <v>23802106</v>
      </c>
      <c r="P12" s="4128">
        <f t="shared" ref="P12:P29" si="5">I12+O12</f>
        <v>348087826</v>
      </c>
    </row>
    <row r="13" spans="1:17">
      <c r="C13" s="4073"/>
      <c r="D13" s="4337" t="s">
        <v>59</v>
      </c>
      <c r="E13" s="4118">
        <v>163186012</v>
      </c>
      <c r="F13" s="4118">
        <v>1</v>
      </c>
      <c r="G13" s="4118">
        <v>1</v>
      </c>
      <c r="H13" s="4115"/>
      <c r="I13" s="4119">
        <f t="shared" si="0"/>
        <v>163186012</v>
      </c>
      <c r="J13" s="4337" t="s">
        <v>59</v>
      </c>
      <c r="K13" s="4114">
        <v>54133994</v>
      </c>
      <c r="L13" s="4114">
        <v>1</v>
      </c>
      <c r="M13" s="4114">
        <v>1</v>
      </c>
      <c r="N13" s="4115"/>
      <c r="O13" s="4116">
        <f t="shared" si="1"/>
        <v>54133994</v>
      </c>
      <c r="P13" s="4128">
        <f t="shared" si="5"/>
        <v>217320006</v>
      </c>
    </row>
    <row r="14" spans="1:17">
      <c r="C14" s="4073"/>
      <c r="D14" s="4012" t="s">
        <v>60</v>
      </c>
      <c r="E14" s="4013">
        <v>21000</v>
      </c>
      <c r="F14" s="4013">
        <v>725</v>
      </c>
      <c r="G14" s="4013">
        <v>11</v>
      </c>
      <c r="H14" s="4014">
        <f>F14*G14</f>
        <v>7975</v>
      </c>
      <c r="I14" s="5846">
        <v>167496000</v>
      </c>
      <c r="J14" s="4026" t="s">
        <v>61</v>
      </c>
      <c r="K14" s="4016">
        <v>21000</v>
      </c>
      <c r="L14" s="4016">
        <f>695*0.6</f>
        <v>417</v>
      </c>
      <c r="M14" s="4016">
        <v>13</v>
      </c>
      <c r="N14" s="4014">
        <f>L14*M14</f>
        <v>5421</v>
      </c>
      <c r="O14" s="5848">
        <f>K14*L14*M14</f>
        <v>113841000</v>
      </c>
      <c r="P14" s="4081">
        <f t="shared" si="5"/>
        <v>281337000</v>
      </c>
    </row>
    <row r="15" spans="1:17">
      <c r="C15" s="4073"/>
      <c r="D15" s="4012"/>
      <c r="E15" s="4013"/>
      <c r="F15" s="4013"/>
      <c r="G15" s="4013"/>
      <c r="H15" s="4014"/>
      <c r="I15" s="4015">
        <f t="shared" si="0"/>
        <v>0</v>
      </c>
      <c r="J15" s="2486" t="s">
        <v>62</v>
      </c>
      <c r="K15" s="4016">
        <v>21000</v>
      </c>
      <c r="L15" s="4016">
        <v>200</v>
      </c>
      <c r="M15" s="4016">
        <v>15</v>
      </c>
      <c r="N15" s="4014">
        <f>L15*M15</f>
        <v>3000</v>
      </c>
      <c r="O15" s="5848">
        <f>K15*L15*M15</f>
        <v>63000000</v>
      </c>
      <c r="P15" s="4083">
        <f t="shared" si="5"/>
        <v>63000000</v>
      </c>
    </row>
    <row r="16" spans="1:17">
      <c r="B16" s="4018" t="s">
        <v>63</v>
      </c>
      <c r="C16" s="4074">
        <v>1354510000</v>
      </c>
      <c r="D16" s="4019" t="s">
        <v>64</v>
      </c>
      <c r="E16" s="4020">
        <v>19000</v>
      </c>
      <c r="F16" s="4020">
        <v>4189</v>
      </c>
      <c r="G16" s="4020">
        <v>11</v>
      </c>
      <c r="H16" s="4021">
        <f>F16*G16</f>
        <v>46079</v>
      </c>
      <c r="I16" s="4022">
        <f t="shared" si="0"/>
        <v>875501000</v>
      </c>
      <c r="J16" s="4023" t="s">
        <v>64</v>
      </c>
      <c r="K16" s="4024">
        <v>19000</v>
      </c>
      <c r="L16" s="4024">
        <f>3305*0.4</f>
        <v>1322</v>
      </c>
      <c r="M16" s="4024">
        <v>13</v>
      </c>
      <c r="N16" s="4021">
        <f>L16*M16</f>
        <v>17186</v>
      </c>
      <c r="O16" s="4025">
        <f t="shared" si="1"/>
        <v>326534000</v>
      </c>
      <c r="P16" s="4081">
        <f t="shared" si="5"/>
        <v>1202035000</v>
      </c>
      <c r="Q16" s="4064">
        <f>P16/2</f>
        <v>601017500</v>
      </c>
    </row>
    <row r="17" spans="1:17">
      <c r="B17" s="4027"/>
      <c r="C17" s="4075"/>
      <c r="D17" s="4028" t="s">
        <v>60</v>
      </c>
      <c r="E17" s="4029">
        <v>19000</v>
      </c>
      <c r="F17" s="4029">
        <v>401</v>
      </c>
      <c r="G17" s="4029">
        <v>11</v>
      </c>
      <c r="H17" s="4030">
        <f>F17*G17</f>
        <v>4411</v>
      </c>
      <c r="I17" s="5840">
        <f t="shared" si="0"/>
        <v>83809000</v>
      </c>
      <c r="J17" s="4031" t="s">
        <v>60</v>
      </c>
      <c r="K17" s="4032">
        <v>19000</v>
      </c>
      <c r="L17" s="4032">
        <f>695*0.4</f>
        <v>278</v>
      </c>
      <c r="M17" s="4032">
        <v>13</v>
      </c>
      <c r="N17" s="4030">
        <f>L17*M17</f>
        <v>3614</v>
      </c>
      <c r="O17" s="5849">
        <f t="shared" si="1"/>
        <v>68666000</v>
      </c>
      <c r="P17" s="4081">
        <f t="shared" si="5"/>
        <v>152475000</v>
      </c>
      <c r="Q17" s="4064">
        <f>P17/2</f>
        <v>76237500</v>
      </c>
    </row>
    <row r="18" spans="1:17">
      <c r="B18" s="4018" t="s">
        <v>65</v>
      </c>
      <c r="C18" s="4074">
        <v>183440400</v>
      </c>
      <c r="D18" s="4019" t="s">
        <v>64</v>
      </c>
      <c r="E18" s="4020">
        <v>880</v>
      </c>
      <c r="F18" s="4020">
        <v>9235</v>
      </c>
      <c r="G18" s="4020">
        <v>11</v>
      </c>
      <c r="H18" s="4021">
        <f t="shared" ref="H18:H21" si="6">F18*G18</f>
        <v>101585</v>
      </c>
      <c r="I18" s="4022">
        <f t="shared" si="0"/>
        <v>89394800</v>
      </c>
      <c r="J18" s="4018" t="s">
        <v>64</v>
      </c>
      <c r="K18" s="4024">
        <v>880</v>
      </c>
      <c r="L18" s="4024">
        <v>3305</v>
      </c>
      <c r="M18" s="4024">
        <v>13</v>
      </c>
      <c r="N18" s="4021">
        <f t="shared" ref="N18:N19" si="7">L18*M18</f>
        <v>42965</v>
      </c>
      <c r="O18" s="4025">
        <f t="shared" si="1"/>
        <v>37809200</v>
      </c>
      <c r="P18" s="4082">
        <f t="shared" si="5"/>
        <v>127204000</v>
      </c>
    </row>
    <row r="19" spans="1:17">
      <c r="C19" s="4073"/>
      <c r="D19" s="4012" t="s">
        <v>60</v>
      </c>
      <c r="E19" s="4013">
        <v>880</v>
      </c>
      <c r="F19" s="4013">
        <v>1002</v>
      </c>
      <c r="G19" s="4013">
        <v>11</v>
      </c>
      <c r="H19" s="4014">
        <f t="shared" si="6"/>
        <v>11022</v>
      </c>
      <c r="I19" s="5846">
        <f t="shared" si="0"/>
        <v>9699360</v>
      </c>
      <c r="J19" s="2486" t="s">
        <v>60</v>
      </c>
      <c r="K19" s="4016">
        <v>880</v>
      </c>
      <c r="L19" s="4016">
        <v>695</v>
      </c>
      <c r="M19" s="4016">
        <v>13</v>
      </c>
      <c r="N19" s="4014">
        <f t="shared" si="7"/>
        <v>9035</v>
      </c>
      <c r="O19" s="5848">
        <f t="shared" si="1"/>
        <v>7950800</v>
      </c>
      <c r="P19" s="4081">
        <f t="shared" si="5"/>
        <v>17650160</v>
      </c>
    </row>
    <row r="20" spans="1:17">
      <c r="C20" s="4073"/>
      <c r="D20" s="4012" t="s">
        <v>66</v>
      </c>
      <c r="E20" s="4013">
        <v>880</v>
      </c>
      <c r="F20" s="4013">
        <v>2436</v>
      </c>
      <c r="G20" s="4013">
        <v>18</v>
      </c>
      <c r="H20" s="4014">
        <f t="shared" si="6"/>
        <v>43848</v>
      </c>
      <c r="I20" s="5846">
        <f t="shared" si="0"/>
        <v>38586240</v>
      </c>
      <c r="K20" s="4016"/>
      <c r="L20" s="4016"/>
      <c r="M20" s="4016"/>
      <c r="N20" s="4014"/>
      <c r="O20" s="4017">
        <f t="shared" si="1"/>
        <v>0</v>
      </c>
      <c r="P20" s="4083">
        <f t="shared" si="5"/>
        <v>38586240</v>
      </c>
    </row>
    <row r="21" spans="1:17">
      <c r="B21" s="4034" t="s">
        <v>67</v>
      </c>
      <c r="C21" s="4076">
        <v>920808000</v>
      </c>
      <c r="D21" s="4035" t="s">
        <v>66</v>
      </c>
      <c r="E21" s="4036">
        <v>21000</v>
      </c>
      <c r="F21" s="4036">
        <v>2436</v>
      </c>
      <c r="G21" s="4036">
        <v>18</v>
      </c>
      <c r="H21" s="4037">
        <f t="shared" si="6"/>
        <v>43848</v>
      </c>
      <c r="I21" s="5847">
        <f t="shared" si="0"/>
        <v>920808000</v>
      </c>
      <c r="J21" s="4034"/>
      <c r="K21" s="4039"/>
      <c r="L21" s="4039"/>
      <c r="M21" s="4039"/>
      <c r="N21" s="4037"/>
      <c r="O21" s="4040">
        <f t="shared" si="1"/>
        <v>0</v>
      </c>
      <c r="P21" s="4081">
        <f t="shared" si="5"/>
        <v>920808000</v>
      </c>
    </row>
    <row r="22" spans="1:17">
      <c r="B22" s="2486" t="s">
        <v>68</v>
      </c>
      <c r="C22" s="4073">
        <v>2411358140</v>
      </c>
      <c r="D22" s="4012" t="s">
        <v>69</v>
      </c>
      <c r="E22" s="4013">
        <v>1336000000</v>
      </c>
      <c r="F22" s="4013">
        <v>1</v>
      </c>
      <c r="G22" s="4013">
        <v>1</v>
      </c>
      <c r="H22" s="4014"/>
      <c r="I22" s="4015">
        <f t="shared" si="0"/>
        <v>1336000000</v>
      </c>
      <c r="K22" s="4016"/>
      <c r="L22" s="4016"/>
      <c r="M22" s="4016"/>
      <c r="N22" s="4014"/>
      <c r="O22" s="4017"/>
      <c r="P22" s="4082">
        <f t="shared" si="5"/>
        <v>1336000000</v>
      </c>
    </row>
    <row r="23" spans="1:17">
      <c r="C23" s="4073"/>
      <c r="D23" s="4012" t="s">
        <v>70</v>
      </c>
      <c r="E23" s="4013">
        <v>101358140</v>
      </c>
      <c r="F23" s="4013">
        <v>1</v>
      </c>
      <c r="G23" s="4013">
        <v>1</v>
      </c>
      <c r="H23" s="4014"/>
      <c r="I23" s="4015">
        <f t="shared" si="0"/>
        <v>101358140</v>
      </c>
      <c r="K23" s="4016"/>
      <c r="L23" s="4016"/>
      <c r="M23" s="4016"/>
      <c r="N23" s="4014"/>
      <c r="O23" s="4017">
        <f t="shared" si="1"/>
        <v>0</v>
      </c>
      <c r="P23" s="4081">
        <f t="shared" si="5"/>
        <v>101358140</v>
      </c>
    </row>
    <row r="24" spans="1:17">
      <c r="C24" s="4073"/>
      <c r="D24" s="4012" t="s">
        <v>71</v>
      </c>
      <c r="E24" s="4013">
        <v>408277000</v>
      </c>
      <c r="F24" s="4013">
        <v>1</v>
      </c>
      <c r="G24" s="4013">
        <v>1</v>
      </c>
      <c r="H24" s="4014"/>
      <c r="I24" s="5846">
        <f t="shared" si="0"/>
        <v>408277000</v>
      </c>
      <c r="J24" s="2486" t="s">
        <v>71</v>
      </c>
      <c r="K24" s="4016">
        <v>360000000</v>
      </c>
      <c r="L24" s="4016">
        <v>1</v>
      </c>
      <c r="M24" s="4016">
        <v>1</v>
      </c>
      <c r="N24" s="4014"/>
      <c r="O24" s="5848">
        <f t="shared" si="1"/>
        <v>360000000</v>
      </c>
      <c r="P24" s="4081">
        <f>I24+O24</f>
        <v>768277000</v>
      </c>
    </row>
    <row r="25" spans="1:17">
      <c r="C25" s="4073"/>
      <c r="D25" s="4012" t="s">
        <v>72</v>
      </c>
      <c r="E25" s="4013">
        <v>205723000</v>
      </c>
      <c r="F25" s="4013">
        <v>1</v>
      </c>
      <c r="G25" s="4013">
        <v>1</v>
      </c>
      <c r="H25" s="4014"/>
      <c r="I25" s="5846">
        <f t="shared" si="0"/>
        <v>205723000</v>
      </c>
      <c r="K25" s="4016"/>
      <c r="L25" s="4016"/>
      <c r="M25" s="4016"/>
      <c r="N25" s="4014"/>
      <c r="O25" s="4017">
        <f t="shared" si="1"/>
        <v>0</v>
      </c>
      <c r="P25" s="4083">
        <f t="shared" si="5"/>
        <v>205723000</v>
      </c>
    </row>
    <row r="26" spans="1:17">
      <c r="B26" s="4034" t="s">
        <v>73</v>
      </c>
      <c r="C26" s="4076">
        <v>88652020</v>
      </c>
      <c r="D26" s="4035" t="s">
        <v>64</v>
      </c>
      <c r="E26" s="4036">
        <v>6000000</v>
      </c>
      <c r="F26" s="4036">
        <v>12</v>
      </c>
      <c r="G26" s="4036">
        <v>1</v>
      </c>
      <c r="H26" s="4037"/>
      <c r="I26" s="4038">
        <f t="shared" si="0"/>
        <v>72000000</v>
      </c>
      <c r="J26" s="4034" t="s">
        <v>64</v>
      </c>
      <c r="K26" s="4039">
        <v>2378860</v>
      </c>
      <c r="L26" s="4039">
        <v>7</v>
      </c>
      <c r="M26" s="4039">
        <v>1</v>
      </c>
      <c r="N26" s="4037"/>
      <c r="O26" s="4040">
        <f>K26*L26*M26</f>
        <v>16652020</v>
      </c>
      <c r="P26" s="4081">
        <f t="shared" si="5"/>
        <v>88652020</v>
      </c>
    </row>
    <row r="27" spans="1:17">
      <c r="B27" s="4018" t="s">
        <v>74</v>
      </c>
      <c r="C27" s="4074">
        <v>3450377147</v>
      </c>
      <c r="D27" s="4019" t="s">
        <v>50</v>
      </c>
      <c r="E27" s="4020">
        <v>858587762</v>
      </c>
      <c r="F27" s="4020">
        <v>1</v>
      </c>
      <c r="G27" s="4020">
        <v>1</v>
      </c>
      <c r="H27" s="4021"/>
      <c r="I27" s="4022">
        <f t="shared" si="0"/>
        <v>858587762</v>
      </c>
      <c r="J27" s="4019" t="s">
        <v>50</v>
      </c>
      <c r="K27" s="4024">
        <v>1030634912</v>
      </c>
      <c r="L27" s="4024">
        <v>1</v>
      </c>
      <c r="M27" s="4024">
        <v>1</v>
      </c>
      <c r="N27" s="4021"/>
      <c r="O27" s="4025">
        <f t="shared" ref="O27:O29" si="8">K27*L27*M27</f>
        <v>1030634912</v>
      </c>
      <c r="P27" s="4082">
        <f>I27+O27</f>
        <v>1889222674</v>
      </c>
    </row>
    <row r="28" spans="1:17">
      <c r="C28" s="4073"/>
      <c r="D28" s="4012" t="s">
        <v>75</v>
      </c>
      <c r="E28" s="4013">
        <v>1178445153</v>
      </c>
      <c r="F28" s="4013">
        <v>1</v>
      </c>
      <c r="G28" s="4013">
        <v>1</v>
      </c>
      <c r="H28" s="4014"/>
      <c r="I28" s="4015">
        <f t="shared" si="0"/>
        <v>1178445153</v>
      </c>
      <c r="J28" s="4012" t="s">
        <v>75</v>
      </c>
      <c r="K28" s="4016">
        <v>382709320</v>
      </c>
      <c r="L28" s="4016">
        <v>1</v>
      </c>
      <c r="M28" s="4016">
        <v>1</v>
      </c>
      <c r="N28" s="4014"/>
      <c r="O28" s="4041">
        <f t="shared" si="8"/>
        <v>382709320</v>
      </c>
      <c r="P28" s="4083">
        <f t="shared" si="5"/>
        <v>1561154473</v>
      </c>
    </row>
    <row r="29" spans="1:17" ht="19.5" thickBot="1">
      <c r="B29" s="4042" t="s">
        <v>76</v>
      </c>
      <c r="C29" s="4077">
        <v>54466667</v>
      </c>
      <c r="D29" s="4043" t="s">
        <v>75</v>
      </c>
      <c r="E29" s="4044">
        <v>34400000</v>
      </c>
      <c r="F29" s="4044">
        <v>1</v>
      </c>
      <c r="G29" s="4044">
        <v>1</v>
      </c>
      <c r="H29" s="4045"/>
      <c r="I29" s="5867">
        <f t="shared" si="0"/>
        <v>34400000</v>
      </c>
      <c r="J29" s="4129" t="s">
        <v>75</v>
      </c>
      <c r="K29" s="4046">
        <v>20066667</v>
      </c>
      <c r="L29" s="4046">
        <v>1</v>
      </c>
      <c r="M29" s="4046">
        <v>1</v>
      </c>
      <c r="N29" s="4045"/>
      <c r="O29" s="5868">
        <f t="shared" si="8"/>
        <v>20066667</v>
      </c>
      <c r="P29" s="4081">
        <f t="shared" si="5"/>
        <v>54466667</v>
      </c>
      <c r="Q29" s="4047"/>
    </row>
    <row r="30" spans="1:17" ht="19.5" thickTop="1">
      <c r="B30" s="4048" t="s">
        <v>77</v>
      </c>
      <c r="C30" s="4078">
        <f>SUM(C3:C29)</f>
        <v>25925516484</v>
      </c>
      <c r="D30" s="4049"/>
      <c r="E30" s="4050"/>
      <c r="F30" s="4050"/>
      <c r="G30" s="4050"/>
      <c r="H30" s="4051"/>
      <c r="I30" s="4052">
        <f>SUM(I3:I4,I10:I11,I14,I16:I17,I18,I19:I20,I21,I22:I25,I26,I27:I28,I29)</f>
        <v>18288264557</v>
      </c>
      <c r="J30" s="4048"/>
      <c r="K30" s="4053"/>
      <c r="L30" s="4053"/>
      <c r="M30" s="4053"/>
      <c r="N30" s="4051"/>
      <c r="O30" s="4052">
        <f>SUM(O3:O4,O10:O11,O14:O15,O16:O17,O18,O19,O24,O26,O27:O28,O29)</f>
        <v>7637251927</v>
      </c>
      <c r="P30" s="4084">
        <f>SUM(P3:P4,P10:P11,P14:P15,P16:P17,P18,P19:P20,P21,P22:P25,P26,P27:P28,P29)</f>
        <v>25925516484</v>
      </c>
      <c r="Q30" s="4054"/>
    </row>
    <row r="31" spans="1:17" ht="19.5" thickBot="1">
      <c r="A31" s="4352"/>
      <c r="B31" s="4352"/>
      <c r="C31" s="4352"/>
      <c r="D31" s="4352"/>
      <c r="E31" s="4352"/>
      <c r="F31" s="4352"/>
      <c r="G31" s="4352"/>
      <c r="H31" s="4353"/>
      <c r="I31" s="4352"/>
      <c r="J31" s="4352"/>
      <c r="K31" s="4352"/>
      <c r="L31" s="4352"/>
      <c r="M31" s="4352"/>
      <c r="N31" s="4353"/>
      <c r="O31" s="4352"/>
      <c r="P31" s="4352"/>
      <c r="Q31" s="4352"/>
    </row>
    <row r="32" spans="1:17" ht="19.5" thickTop="1"/>
    <row r="33" spans="1:18">
      <c r="A33" s="4130" t="s">
        <v>78</v>
      </c>
      <c r="B33" s="4146" t="s">
        <v>79</v>
      </c>
      <c r="D33" s="4003" t="s">
        <v>37</v>
      </c>
      <c r="I33" s="4005"/>
      <c r="J33" s="2486" t="s">
        <v>39</v>
      </c>
      <c r="O33" s="4005"/>
      <c r="P33" s="4089" t="s">
        <v>40</v>
      </c>
    </row>
    <row r="34" spans="1:18" ht="19.5" thickBot="1">
      <c r="B34" s="2486" t="s">
        <v>41</v>
      </c>
      <c r="C34" s="4071" t="s">
        <v>42</v>
      </c>
      <c r="D34" s="4003" t="s">
        <v>43</v>
      </c>
      <c r="E34" s="4006" t="s">
        <v>44</v>
      </c>
      <c r="F34" s="4006" t="s">
        <v>45</v>
      </c>
      <c r="G34" s="4006" t="s">
        <v>46</v>
      </c>
      <c r="I34" s="4005" t="s">
        <v>47</v>
      </c>
      <c r="J34" s="2486" t="s">
        <v>43</v>
      </c>
      <c r="K34" s="4006" t="s">
        <v>44</v>
      </c>
      <c r="L34" s="4006" t="s">
        <v>45</v>
      </c>
      <c r="M34" s="4006" t="s">
        <v>46</v>
      </c>
      <c r="O34" s="4005" t="s">
        <v>47</v>
      </c>
      <c r="P34" s="4089" t="s">
        <v>48</v>
      </c>
      <c r="Q34" s="2486" t="s">
        <v>80</v>
      </c>
      <c r="R34" s="2486" t="s">
        <v>80</v>
      </c>
    </row>
    <row r="35" spans="1:18">
      <c r="B35" s="4007" t="s">
        <v>81</v>
      </c>
      <c r="C35" s="4096">
        <v>15457292778</v>
      </c>
      <c r="D35" s="4101" t="s">
        <v>50</v>
      </c>
      <c r="E35" s="4055" t="e">
        <f>'財政見通し積算 (全SH全項目統合版）'!C26</f>
        <v>#REF!</v>
      </c>
      <c r="F35" s="4055">
        <v>1</v>
      </c>
      <c r="G35" s="4009">
        <v>1</v>
      </c>
      <c r="H35" s="4010"/>
      <c r="I35" s="4103" t="e">
        <f t="shared" ref="I35:I68" si="9">E35*F35*G35</f>
        <v>#REF!</v>
      </c>
      <c r="J35" s="4101" t="s">
        <v>50</v>
      </c>
      <c r="K35" s="4056" t="e">
        <f>'財政見通し積算 (全SH全項目統合版）'!C31</f>
        <v>#REF!</v>
      </c>
      <c r="L35" s="4056">
        <v>1</v>
      </c>
      <c r="M35" s="4056">
        <v>1</v>
      </c>
      <c r="N35" s="4010"/>
      <c r="O35" s="4107" t="e">
        <f>K35*L35*M35</f>
        <v>#REF!</v>
      </c>
      <c r="P35" s="4091" t="e">
        <f>I35+O35</f>
        <v>#REF!</v>
      </c>
      <c r="Q35" s="4057" t="e">
        <f>SUM(P35:P36)-C35</f>
        <v>#REF!</v>
      </c>
      <c r="R35" s="4057" t="e">
        <f>SUM(P35:P36)-C35</f>
        <v>#REF!</v>
      </c>
    </row>
    <row r="36" spans="1:18">
      <c r="C36" s="4097"/>
      <c r="D36" s="4102" t="s">
        <v>82</v>
      </c>
      <c r="E36" s="4058"/>
      <c r="F36" s="4058"/>
      <c r="G36" s="4013"/>
      <c r="H36" s="4014"/>
      <c r="I36" s="4104">
        <f>SUM(I37:I41)</f>
        <v>7870805610.0799999</v>
      </c>
      <c r="J36" s="4102" t="s">
        <v>82</v>
      </c>
      <c r="K36" s="4059"/>
      <c r="L36" s="4059"/>
      <c r="M36" s="4059"/>
      <c r="N36" s="4014"/>
      <c r="O36" s="4104">
        <f>SUM(O37:O41)</f>
        <v>2056353476.1400001</v>
      </c>
      <c r="P36" s="4092">
        <f>SUM(P37:P41)</f>
        <v>9927159086.2200012</v>
      </c>
      <c r="Q36" s="4057"/>
      <c r="R36" s="4057"/>
    </row>
    <row r="37" spans="1:18">
      <c r="C37" s="4097"/>
      <c r="D37" s="4110" t="s">
        <v>52</v>
      </c>
      <c r="E37" s="4111">
        <f>'財政見通し積算 (全SH全項目統合版）'!C27</f>
        <v>2204156998</v>
      </c>
      <c r="F37" s="4111">
        <v>1</v>
      </c>
      <c r="G37" s="4111">
        <v>1</v>
      </c>
      <c r="H37" s="4112"/>
      <c r="I37" s="4113">
        <f t="shared" si="9"/>
        <v>2204156998</v>
      </c>
      <c r="J37" s="4110" t="s">
        <v>52</v>
      </c>
      <c r="K37" s="4114">
        <f>'財政見通し積算 (全SH全項目統合版）'!C32-K38</f>
        <v>177614008</v>
      </c>
      <c r="L37" s="4114">
        <v>1</v>
      </c>
      <c r="M37" s="4114">
        <v>1</v>
      </c>
      <c r="N37" s="4115"/>
      <c r="O37" s="4116">
        <f t="shared" ref="O37:O58" si="10">K37*L37*M37</f>
        <v>177614008</v>
      </c>
      <c r="P37" s="4117">
        <f>I37+O37</f>
        <v>2381771006</v>
      </c>
      <c r="Q37" s="4057"/>
      <c r="R37" s="4057"/>
    </row>
    <row r="38" spans="1:18">
      <c r="C38" s="4097"/>
      <c r="D38" s="4110"/>
      <c r="E38" s="4111"/>
      <c r="F38" s="4111"/>
      <c r="G38" s="4111"/>
      <c r="H38" s="4112"/>
      <c r="I38" s="4113"/>
      <c r="J38" s="4110" t="s">
        <v>53</v>
      </c>
      <c r="K38" s="4114">
        <f>[47]【250327】アジパラファミリー!$BV$28</f>
        <v>294503792</v>
      </c>
      <c r="L38" s="4114">
        <v>1</v>
      </c>
      <c r="M38" s="4114">
        <v>1</v>
      </c>
      <c r="N38" s="4115"/>
      <c r="O38" s="4116">
        <f t="shared" si="10"/>
        <v>294503792</v>
      </c>
      <c r="P38" s="4117">
        <f t="shared" ref="P38:P40" si="11">I38+O38</f>
        <v>294503792</v>
      </c>
      <c r="Q38" s="4057"/>
      <c r="R38" s="4057"/>
    </row>
    <row r="39" spans="1:18">
      <c r="C39" s="4097"/>
      <c r="D39" s="4110" t="s">
        <v>54</v>
      </c>
      <c r="E39" s="4111">
        <f>'財政見通し積算 (全SH全項目統合版）'!C28</f>
        <v>1724607631</v>
      </c>
      <c r="F39" s="4111">
        <v>1</v>
      </c>
      <c r="G39" s="4111">
        <v>1</v>
      </c>
      <c r="H39" s="4112"/>
      <c r="I39" s="4113">
        <f t="shared" si="9"/>
        <v>1724607631</v>
      </c>
      <c r="J39" s="4110" t="s">
        <v>54</v>
      </c>
      <c r="K39" s="4114">
        <f>'財政見通し積算 (全SH全項目統合版）'!C33</f>
        <v>344907436</v>
      </c>
      <c r="L39" s="4114">
        <v>1</v>
      </c>
      <c r="M39" s="4114">
        <v>1</v>
      </c>
      <c r="N39" s="4115"/>
      <c r="O39" s="4116">
        <f t="shared" si="10"/>
        <v>344907436</v>
      </c>
      <c r="P39" s="4117">
        <f t="shared" si="11"/>
        <v>2069515067</v>
      </c>
      <c r="Q39" s="4057"/>
      <c r="R39" s="4057"/>
    </row>
    <row r="40" spans="1:18">
      <c r="C40" s="4097"/>
      <c r="D40" s="4110" t="s">
        <v>83</v>
      </c>
      <c r="E40" s="4111">
        <f>'財政見通し積算 (全SH全項目統合版）'!C29</f>
        <v>1285487677.0800002</v>
      </c>
      <c r="F40" s="4111">
        <v>1</v>
      </c>
      <c r="G40" s="4111">
        <v>1</v>
      </c>
      <c r="H40" s="4112"/>
      <c r="I40" s="4113">
        <f t="shared" si="9"/>
        <v>1285487677.0800002</v>
      </c>
      <c r="J40" s="4110" t="s">
        <v>83</v>
      </c>
      <c r="K40" s="4114">
        <f>'財政見通し積算 (全SH全項目統合版）'!C34</f>
        <v>837038639.34000003</v>
      </c>
      <c r="L40" s="4114">
        <v>1</v>
      </c>
      <c r="M40" s="4114">
        <v>1</v>
      </c>
      <c r="N40" s="4115"/>
      <c r="O40" s="4116">
        <f t="shared" si="10"/>
        <v>837038639.34000003</v>
      </c>
      <c r="P40" s="4117">
        <f t="shared" si="11"/>
        <v>2122526316.4200001</v>
      </c>
      <c r="Q40" s="4057"/>
      <c r="R40" s="4057"/>
    </row>
    <row r="41" spans="1:18">
      <c r="C41" s="4097"/>
      <c r="D41" s="4110" t="s">
        <v>84</v>
      </c>
      <c r="E41" s="4111">
        <f>'財政見通し積算 (全SH全項目統合版）'!C30</f>
        <v>2656553304</v>
      </c>
      <c r="F41" s="4111">
        <v>1</v>
      </c>
      <c r="G41" s="4111">
        <v>1</v>
      </c>
      <c r="H41" s="4112"/>
      <c r="I41" s="4113">
        <f>E41*F41*G41</f>
        <v>2656553304</v>
      </c>
      <c r="J41" s="4110" t="s">
        <v>84</v>
      </c>
      <c r="K41" s="4114">
        <f>'財政見通し積算 (全SH全項目統合版）'!C35</f>
        <v>402289600.80000001</v>
      </c>
      <c r="L41" s="4114">
        <v>1</v>
      </c>
      <c r="M41" s="4114">
        <v>1</v>
      </c>
      <c r="N41" s="4115"/>
      <c r="O41" s="4116">
        <f t="shared" si="10"/>
        <v>402289600.80000001</v>
      </c>
      <c r="P41" s="4117">
        <f>I41+O41</f>
        <v>3058842904.8000002</v>
      </c>
      <c r="Q41" s="4057"/>
      <c r="R41" s="4057"/>
    </row>
    <row r="42" spans="1:18">
      <c r="B42" s="4018" t="s">
        <v>57</v>
      </c>
      <c r="C42" s="4098">
        <v>2004611332</v>
      </c>
      <c r="D42" s="4106" t="s">
        <v>85</v>
      </c>
      <c r="E42" s="4060">
        <v>16900</v>
      </c>
      <c r="F42" s="4060">
        <v>58451</v>
      </c>
      <c r="G42" s="4020">
        <v>1</v>
      </c>
      <c r="H42" s="4021"/>
      <c r="I42" s="4105">
        <f t="shared" si="9"/>
        <v>987821900</v>
      </c>
      <c r="J42" s="4106" t="s">
        <v>85</v>
      </c>
      <c r="K42" s="4061">
        <v>16900</v>
      </c>
      <c r="L42" s="4061">
        <v>31699</v>
      </c>
      <c r="M42" s="4061">
        <v>1</v>
      </c>
      <c r="N42" s="4021">
        <f t="shared" ref="N42" si="12">L42*M42</f>
        <v>31699</v>
      </c>
      <c r="O42" s="4108">
        <f t="shared" si="10"/>
        <v>535713100</v>
      </c>
      <c r="P42" s="4093">
        <f>I42+O42</f>
        <v>1523535000</v>
      </c>
      <c r="Q42" s="4057" t="e">
        <f>SUM(P42:P44,P47)-C42</f>
        <v>#REF!</v>
      </c>
      <c r="R42" s="4057" t="e">
        <f>SUM(P42:P47)-C42</f>
        <v>#REF!</v>
      </c>
    </row>
    <row r="43" spans="1:18">
      <c r="C43" s="4097"/>
      <c r="D43" s="4102" t="s">
        <v>86</v>
      </c>
      <c r="E43" s="4058" t="e">
        <f>'財政見通し積算 (全SH全項目統合版）'!E26</f>
        <v>#REF!</v>
      </c>
      <c r="F43" s="4058">
        <v>1</v>
      </c>
      <c r="G43" s="4013">
        <v>1</v>
      </c>
      <c r="H43" s="4014"/>
      <c r="I43" s="4104" t="e">
        <f t="shared" si="9"/>
        <v>#REF!</v>
      </c>
      <c r="J43" s="4102" t="s">
        <v>86</v>
      </c>
      <c r="K43" s="4059" t="e">
        <f>'財政見通し積算 (全SH全項目統合版）'!E31</f>
        <v>#REF!</v>
      </c>
      <c r="L43" s="4059">
        <v>1</v>
      </c>
      <c r="M43" s="4059">
        <v>1</v>
      </c>
      <c r="N43" s="4014"/>
      <c r="O43" s="4104" t="e">
        <f t="shared" si="10"/>
        <v>#REF!</v>
      </c>
      <c r="P43" s="4092" t="e">
        <f>SUM(I43,O43)</f>
        <v>#REF!</v>
      </c>
      <c r="Q43" s="4057"/>
      <c r="R43" s="4057"/>
    </row>
    <row r="44" spans="1:18">
      <c r="C44" s="4097"/>
      <c r="D44" s="4102" t="s">
        <v>82</v>
      </c>
      <c r="E44" s="4058"/>
      <c r="F44" s="4058"/>
      <c r="G44" s="4013"/>
      <c r="H44" s="4014"/>
      <c r="I44" s="4104">
        <f>SUM(I45:I46)</f>
        <v>453261666</v>
      </c>
      <c r="J44" s="4102" t="s">
        <v>82</v>
      </c>
      <c r="K44" s="4058"/>
      <c r="L44" s="4059"/>
      <c r="M44" s="4059"/>
      <c r="N44" s="4014"/>
      <c r="O44" s="4104">
        <f>SUM(O45:O46)</f>
        <v>72406400</v>
      </c>
      <c r="P44" s="4092">
        <f>SUM(P45:P46)</f>
        <v>525668066</v>
      </c>
      <c r="Q44" s="4057"/>
      <c r="R44" s="4057"/>
    </row>
    <row r="45" spans="1:18">
      <c r="C45" s="4097"/>
      <c r="D45" s="4110" t="s">
        <v>58</v>
      </c>
      <c r="E45" s="4118">
        <f>'財政見通し積算 (全SH全項目統合版）'!E27</f>
        <v>453261666</v>
      </c>
      <c r="F45" s="4118">
        <v>1</v>
      </c>
      <c r="G45" s="4118">
        <v>1</v>
      </c>
      <c r="H45" s="4115"/>
      <c r="I45" s="4119">
        <f t="shared" si="9"/>
        <v>453261666</v>
      </c>
      <c r="J45" s="4110" t="s">
        <v>58</v>
      </c>
      <c r="K45" s="4114">
        <f>'財政見通し積算 (全SH全項目統合版）'!E32-K46</f>
        <v>12202607.999999985</v>
      </c>
      <c r="L45" s="4114">
        <v>1</v>
      </c>
      <c r="M45" s="4114">
        <v>1</v>
      </c>
      <c r="N45" s="4115"/>
      <c r="O45" s="4116">
        <f t="shared" si="10"/>
        <v>12202607.999999985</v>
      </c>
      <c r="P45" s="4117">
        <f t="shared" ref="P45:P68" si="13">I45+O45</f>
        <v>465464274</v>
      </c>
      <c r="Q45" s="4057"/>
      <c r="R45" s="4057"/>
    </row>
    <row r="46" spans="1:18">
      <c r="C46" s="4097"/>
      <c r="D46" s="4110"/>
      <c r="E46" s="4118"/>
      <c r="F46" s="4118"/>
      <c r="G46" s="4118"/>
      <c r="H46" s="4115"/>
      <c r="I46" s="4119"/>
      <c r="J46" s="4110" t="s">
        <v>87</v>
      </c>
      <c r="K46" s="4114">
        <f>[47]【250327】アジパラファミリー!$BS$28</f>
        <v>60203792.000000015</v>
      </c>
      <c r="L46" s="4114">
        <v>1</v>
      </c>
      <c r="M46" s="4114">
        <v>1</v>
      </c>
      <c r="N46" s="4115"/>
      <c r="O46" s="4116">
        <f t="shared" si="10"/>
        <v>60203792.000000015</v>
      </c>
      <c r="P46" s="4117">
        <f t="shared" si="13"/>
        <v>60203792.000000015</v>
      </c>
      <c r="Q46" s="4057"/>
      <c r="R46" s="4057"/>
    </row>
    <row r="47" spans="1:18">
      <c r="C47" s="4097"/>
      <c r="D47" s="4102" t="s">
        <v>88</v>
      </c>
      <c r="E47" s="4058">
        <v>21000</v>
      </c>
      <c r="F47" s="4058">
        <v>22972</v>
      </c>
      <c r="G47" s="4013">
        <v>1</v>
      </c>
      <c r="H47" s="4014"/>
      <c r="I47" s="5837">
        <f t="shared" si="9"/>
        <v>482412000</v>
      </c>
      <c r="J47" s="4102" t="s">
        <v>88</v>
      </c>
      <c r="K47" s="4059">
        <v>21000</v>
      </c>
      <c r="L47" s="4058">
        <v>8640</v>
      </c>
      <c r="M47" s="4059">
        <v>1</v>
      </c>
      <c r="N47" s="4014">
        <f t="shared" ref="N47:N52" si="14">L47*M47</f>
        <v>8640</v>
      </c>
      <c r="O47" s="5842">
        <f t="shared" si="10"/>
        <v>181440000</v>
      </c>
      <c r="P47" s="4131">
        <f>I47+O47</f>
        <v>663852000</v>
      </c>
      <c r="Q47" s="4057"/>
      <c r="R47" s="4057"/>
    </row>
    <row r="48" spans="1:18">
      <c r="B48" s="4018" t="s">
        <v>63</v>
      </c>
      <c r="C48" s="4098">
        <v>1354510000</v>
      </c>
      <c r="D48" s="4135" t="s">
        <v>89</v>
      </c>
      <c r="E48" s="4060">
        <v>19000</v>
      </c>
      <c r="F48" s="5831">
        <v>8364</v>
      </c>
      <c r="G48" s="5831">
        <v>1</v>
      </c>
      <c r="H48" s="5832"/>
      <c r="I48" s="5833">
        <f t="shared" si="9"/>
        <v>158916000</v>
      </c>
      <c r="J48" s="4135" t="s">
        <v>89</v>
      </c>
      <c r="K48" s="4061">
        <v>19000</v>
      </c>
      <c r="L48" s="5843">
        <v>5536</v>
      </c>
      <c r="M48" s="5843">
        <v>1</v>
      </c>
      <c r="N48" s="5832">
        <f t="shared" si="14"/>
        <v>5536</v>
      </c>
      <c r="O48" s="5844">
        <f t="shared" si="10"/>
        <v>105184000</v>
      </c>
      <c r="P48" s="4093">
        <f>I48+O48</f>
        <v>264100000</v>
      </c>
      <c r="Q48" s="4057">
        <f>SUM(P48:P50)-C48</f>
        <v>316777800</v>
      </c>
      <c r="R48" s="4057">
        <f>SUM(P48:P50)-C48</f>
        <v>316777800</v>
      </c>
    </row>
    <row r="49" spans="2:18">
      <c r="C49" s="4097"/>
      <c r="D49" s="5830" t="s">
        <v>60</v>
      </c>
      <c r="E49" s="4058">
        <v>19000</v>
      </c>
      <c r="F49" s="5834">
        <v>14409</v>
      </c>
      <c r="G49" s="5834">
        <v>1</v>
      </c>
      <c r="H49" s="5835"/>
      <c r="I49" s="5836">
        <f t="shared" si="9"/>
        <v>273771000</v>
      </c>
      <c r="J49" s="5830" t="s">
        <v>60</v>
      </c>
      <c r="K49" s="4058">
        <v>19000</v>
      </c>
      <c r="L49" s="5845">
        <v>5760</v>
      </c>
      <c r="M49" s="5845">
        <v>1</v>
      </c>
      <c r="N49" s="5835"/>
      <c r="O49" s="5836">
        <f t="shared" si="10"/>
        <v>109440000</v>
      </c>
      <c r="P49" s="4092">
        <f t="shared" si="13"/>
        <v>383211000</v>
      </c>
      <c r="Q49" s="4057"/>
      <c r="R49" s="4057"/>
    </row>
    <row r="50" spans="2:18">
      <c r="B50" s="4027"/>
      <c r="C50" s="4099"/>
      <c r="D50" s="4136" t="s">
        <v>90</v>
      </c>
      <c r="E50" s="4062">
        <v>22164</v>
      </c>
      <c r="F50" s="4062">
        <v>30603</v>
      </c>
      <c r="G50" s="4029">
        <v>1</v>
      </c>
      <c r="H50" s="4030"/>
      <c r="I50" s="4120">
        <f t="shared" si="9"/>
        <v>678284892</v>
      </c>
      <c r="J50" s="4136" t="s">
        <v>90</v>
      </c>
      <c r="K50" s="4063">
        <v>22164</v>
      </c>
      <c r="L50" s="4063">
        <v>15597</v>
      </c>
      <c r="M50" s="4063">
        <v>1</v>
      </c>
      <c r="N50" s="4030">
        <f t="shared" si="14"/>
        <v>15597</v>
      </c>
      <c r="O50" s="4121">
        <f t="shared" si="10"/>
        <v>345691908</v>
      </c>
      <c r="P50" s="4092">
        <f>I50+O50</f>
        <v>1023976800</v>
      </c>
      <c r="Q50" s="4057"/>
      <c r="R50" s="4057"/>
    </row>
    <row r="51" spans="2:18">
      <c r="B51" s="2486" t="s">
        <v>65</v>
      </c>
      <c r="C51" s="4097">
        <v>183440400</v>
      </c>
      <c r="D51" s="4102" t="s">
        <v>64</v>
      </c>
      <c r="E51" s="4058">
        <v>880</v>
      </c>
      <c r="F51" s="4058">
        <v>97418</v>
      </c>
      <c r="G51" s="4013">
        <v>1</v>
      </c>
      <c r="H51" s="4014"/>
      <c r="I51" s="4104">
        <f t="shared" si="9"/>
        <v>85727840</v>
      </c>
      <c r="J51" s="4122" t="s">
        <v>64</v>
      </c>
      <c r="K51" s="4059">
        <v>880</v>
      </c>
      <c r="L51" s="4059">
        <v>52832</v>
      </c>
      <c r="M51" s="4059">
        <v>1</v>
      </c>
      <c r="N51" s="4014">
        <f t="shared" si="14"/>
        <v>52832</v>
      </c>
      <c r="O51" s="4109">
        <f t="shared" si="10"/>
        <v>46492160</v>
      </c>
      <c r="P51" s="4093">
        <f>I51+O51</f>
        <v>132220000</v>
      </c>
      <c r="Q51" s="4057">
        <f>SUM(P51:P53)-C51</f>
        <v>40619040</v>
      </c>
      <c r="R51" s="4057">
        <f>SUM(P51:P53)-C51</f>
        <v>40619040</v>
      </c>
    </row>
    <row r="52" spans="2:18">
      <c r="C52" s="4097"/>
      <c r="D52" s="4102" t="s">
        <v>60</v>
      </c>
      <c r="E52" s="4058">
        <v>880</v>
      </c>
      <c r="F52" s="4058">
        <v>37381</v>
      </c>
      <c r="G52" s="4013">
        <v>1</v>
      </c>
      <c r="H52" s="4014"/>
      <c r="I52" s="5837">
        <f t="shared" si="9"/>
        <v>32895280</v>
      </c>
      <c r="J52" s="4122" t="s">
        <v>60</v>
      </c>
      <c r="K52" s="4059">
        <v>880</v>
      </c>
      <c r="L52" s="4059">
        <v>14400</v>
      </c>
      <c r="M52" s="4059">
        <v>1</v>
      </c>
      <c r="N52" s="4014">
        <f t="shared" si="14"/>
        <v>14400</v>
      </c>
      <c r="O52" s="5842">
        <f t="shared" si="10"/>
        <v>12672000</v>
      </c>
      <c r="P52" s="4092">
        <f t="shared" si="13"/>
        <v>45567280</v>
      </c>
      <c r="Q52" s="4057"/>
      <c r="R52" s="4057"/>
    </row>
    <row r="53" spans="2:18">
      <c r="C53" s="4097"/>
      <c r="D53" s="4102" t="s">
        <v>66</v>
      </c>
      <c r="E53" s="4058">
        <v>880</v>
      </c>
      <c r="F53" s="4058">
        <v>52582</v>
      </c>
      <c r="G53" s="4013">
        <v>1</v>
      </c>
      <c r="H53" s="4014"/>
      <c r="I53" s="5837">
        <f t="shared" si="9"/>
        <v>46272160</v>
      </c>
      <c r="K53" s="4059"/>
      <c r="L53" s="4059"/>
      <c r="M53" s="4059"/>
      <c r="N53" s="4064"/>
      <c r="O53" s="4065">
        <f t="shared" si="10"/>
        <v>0</v>
      </c>
      <c r="P53" s="4094">
        <f t="shared" si="13"/>
        <v>46272160</v>
      </c>
      <c r="Q53" s="4057"/>
      <c r="R53" s="4057"/>
    </row>
    <row r="54" spans="2:18">
      <c r="B54" s="4018" t="s">
        <v>91</v>
      </c>
      <c r="C54" s="4098">
        <v>920808000</v>
      </c>
      <c r="D54" s="4106" t="s">
        <v>66</v>
      </c>
      <c r="E54" s="4060">
        <v>21000</v>
      </c>
      <c r="F54" s="4060">
        <v>52582</v>
      </c>
      <c r="G54" s="4085">
        <v>1</v>
      </c>
      <c r="H54" s="4086"/>
      <c r="I54" s="5838">
        <f t="shared" si="9"/>
        <v>1104222000</v>
      </c>
      <c r="J54" s="4018"/>
      <c r="K54" s="4061"/>
      <c r="L54" s="4061"/>
      <c r="M54" s="4061"/>
      <c r="N54" s="4086"/>
      <c r="O54" s="4025">
        <f t="shared" si="10"/>
        <v>0</v>
      </c>
      <c r="P54" s="4092">
        <f t="shared" si="13"/>
        <v>1104222000</v>
      </c>
      <c r="Q54" s="4057">
        <f>SUM(P54)-C54</f>
        <v>183414000</v>
      </c>
      <c r="R54" s="4057"/>
    </row>
    <row r="55" spans="2:18">
      <c r="B55" s="4018" t="s">
        <v>92</v>
      </c>
      <c r="C55" s="4098">
        <v>2411358140</v>
      </c>
      <c r="D55" s="4106" t="s">
        <v>69</v>
      </c>
      <c r="E55" s="4060">
        <v>1336000000</v>
      </c>
      <c r="F55" s="4060">
        <v>1</v>
      </c>
      <c r="G55" s="4020">
        <v>1</v>
      </c>
      <c r="H55" s="4021"/>
      <c r="I55" s="4105">
        <f t="shared" si="9"/>
        <v>1336000000</v>
      </c>
      <c r="J55" s="5851"/>
      <c r="K55" s="4061"/>
      <c r="L55" s="4061"/>
      <c r="M55" s="4061"/>
      <c r="N55" s="5852"/>
      <c r="O55" s="4108"/>
      <c r="P55" s="4093">
        <f>I55+O55</f>
        <v>1336000000</v>
      </c>
      <c r="Q55" s="4057">
        <f>SUM(P55:P58)-C55</f>
        <v>860</v>
      </c>
      <c r="R55" s="4057">
        <f>SUM(P55:P58)-C55</f>
        <v>860</v>
      </c>
    </row>
    <row r="56" spans="2:18">
      <c r="C56" s="4097"/>
      <c r="D56" s="4102" t="s">
        <v>70</v>
      </c>
      <c r="E56" s="4058">
        <v>101359000</v>
      </c>
      <c r="F56" s="4058">
        <v>1</v>
      </c>
      <c r="G56" s="4013">
        <v>1</v>
      </c>
      <c r="H56" s="4014"/>
      <c r="I56" s="4104">
        <f t="shared" si="9"/>
        <v>101359000</v>
      </c>
      <c r="J56" s="4066"/>
      <c r="K56" s="4059"/>
      <c r="L56" s="4059"/>
      <c r="M56" s="4059"/>
      <c r="N56" s="4067"/>
      <c r="O56" s="4065">
        <f t="shared" si="10"/>
        <v>0</v>
      </c>
      <c r="P56" s="4092">
        <f t="shared" si="13"/>
        <v>101359000</v>
      </c>
      <c r="Q56" s="4057"/>
      <c r="R56" s="4057"/>
    </row>
    <row r="57" spans="2:18">
      <c r="C57" s="4097"/>
      <c r="D57" s="4102" t="s">
        <v>71</v>
      </c>
      <c r="E57" s="4058">
        <v>408277000</v>
      </c>
      <c r="F57" s="4058">
        <v>1</v>
      </c>
      <c r="G57" s="4013">
        <v>1</v>
      </c>
      <c r="H57" s="4014"/>
      <c r="I57" s="5837">
        <f t="shared" si="9"/>
        <v>408277000</v>
      </c>
      <c r="J57" s="5884" t="s">
        <v>71</v>
      </c>
      <c r="K57" s="4059">
        <v>360000000</v>
      </c>
      <c r="L57" s="4059">
        <v>1</v>
      </c>
      <c r="M57" s="4059">
        <v>1</v>
      </c>
      <c r="N57" s="4014"/>
      <c r="O57" s="5842">
        <f t="shared" si="10"/>
        <v>360000000</v>
      </c>
      <c r="P57" s="4092">
        <f t="shared" si="13"/>
        <v>768277000</v>
      </c>
      <c r="Q57" s="4057"/>
      <c r="R57" s="4057"/>
    </row>
    <row r="58" spans="2:18">
      <c r="C58" s="4097"/>
      <c r="D58" s="4102" t="s">
        <v>72</v>
      </c>
      <c r="E58" s="4058">
        <v>205723000</v>
      </c>
      <c r="F58" s="4058">
        <v>1</v>
      </c>
      <c r="G58" s="4013">
        <v>1</v>
      </c>
      <c r="H58" s="4014"/>
      <c r="I58" s="5837">
        <f t="shared" si="9"/>
        <v>205723000</v>
      </c>
      <c r="J58" s="4066"/>
      <c r="K58" s="4059"/>
      <c r="L58" s="4059"/>
      <c r="M58" s="4059"/>
      <c r="N58" s="4067"/>
      <c r="O58" s="4065">
        <f t="shared" si="10"/>
        <v>0</v>
      </c>
      <c r="P58" s="4094">
        <f t="shared" si="13"/>
        <v>205723000</v>
      </c>
      <c r="Q58" s="4057"/>
      <c r="R58" s="4057"/>
    </row>
    <row r="59" spans="2:18">
      <c r="B59" s="4018" t="s">
        <v>73</v>
      </c>
      <c r="C59" s="4098">
        <v>88652020</v>
      </c>
      <c r="D59" s="4135" t="s">
        <v>93</v>
      </c>
      <c r="E59" s="4060">
        <v>6000000</v>
      </c>
      <c r="F59" s="4060">
        <v>12</v>
      </c>
      <c r="G59" s="4020">
        <v>1</v>
      </c>
      <c r="H59" s="4021"/>
      <c r="I59" s="4105">
        <f t="shared" si="9"/>
        <v>72000000</v>
      </c>
      <c r="J59" s="4135" t="s">
        <v>93</v>
      </c>
      <c r="K59" s="4061">
        <v>2379000</v>
      </c>
      <c r="L59" s="4061">
        <v>7</v>
      </c>
      <c r="M59" s="4061">
        <v>1</v>
      </c>
      <c r="N59" s="4021"/>
      <c r="O59" s="4108">
        <f>K59*L59*M59</f>
        <v>16653000</v>
      </c>
      <c r="P59" s="4092">
        <f t="shared" si="13"/>
        <v>88653000</v>
      </c>
      <c r="Q59" s="4057">
        <f>SUM(P59:P60,P61)-C59</f>
        <v>10458980</v>
      </c>
      <c r="R59" s="4057">
        <f>SUM(P59:P60,P61)-C59</f>
        <v>10458980</v>
      </c>
    </row>
    <row r="60" spans="2:18">
      <c r="C60" s="4097"/>
      <c r="D60" s="4137" t="s">
        <v>94</v>
      </c>
      <c r="E60" s="4058">
        <v>9351000</v>
      </c>
      <c r="F60" s="4058">
        <v>1</v>
      </c>
      <c r="G60" s="4013">
        <v>1</v>
      </c>
      <c r="H60" s="4014"/>
      <c r="I60" s="5839">
        <f t="shared" si="9"/>
        <v>9351000</v>
      </c>
      <c r="J60" s="4134"/>
      <c r="K60" s="4059"/>
      <c r="L60" s="4059"/>
      <c r="M60" s="4059"/>
      <c r="N60" s="4014"/>
      <c r="O60" s="4109"/>
      <c r="P60" s="4092">
        <f t="shared" si="13"/>
        <v>9351000</v>
      </c>
      <c r="Q60" s="4057"/>
      <c r="R60" s="4057"/>
    </row>
    <row r="61" spans="2:18">
      <c r="B61" s="4027"/>
      <c r="C61" s="4099"/>
      <c r="D61" s="4138" t="s">
        <v>95</v>
      </c>
      <c r="E61" s="4062">
        <v>1107000</v>
      </c>
      <c r="F61" s="4062">
        <v>1</v>
      </c>
      <c r="G61" s="4029">
        <v>1</v>
      </c>
      <c r="H61" s="4030"/>
      <c r="I61" s="5840">
        <f t="shared" si="9"/>
        <v>1107000</v>
      </c>
      <c r="J61" s="4027"/>
      <c r="K61" s="4063"/>
      <c r="L61" s="4063"/>
      <c r="M61" s="4063"/>
      <c r="N61" s="4030"/>
      <c r="O61" s="4033"/>
      <c r="P61" s="4092">
        <f t="shared" si="13"/>
        <v>1107000</v>
      </c>
      <c r="Q61" s="4057"/>
      <c r="R61" s="4057"/>
    </row>
    <row r="62" spans="2:18">
      <c r="B62" s="4018" t="s">
        <v>74</v>
      </c>
      <c r="C62" s="4098">
        <v>3450377147</v>
      </c>
      <c r="D62" s="4106" t="s">
        <v>50</v>
      </c>
      <c r="E62" s="4060" t="e">
        <f>'財政見通し積算 (全SH全項目統合版）'!D26</f>
        <v>#REF!</v>
      </c>
      <c r="F62" s="4060">
        <v>1</v>
      </c>
      <c r="G62" s="4020">
        <v>1</v>
      </c>
      <c r="H62" s="4021"/>
      <c r="I62" s="4105" t="e">
        <f t="shared" si="9"/>
        <v>#REF!</v>
      </c>
      <c r="J62" s="4106" t="s">
        <v>50</v>
      </c>
      <c r="K62" s="4061" t="e">
        <f>'財政見通し積算 (全SH全項目統合版）'!D31</f>
        <v>#REF!</v>
      </c>
      <c r="L62" s="4061">
        <v>1</v>
      </c>
      <c r="M62" s="4061">
        <v>1</v>
      </c>
      <c r="N62" s="4021"/>
      <c r="O62" s="4108" t="e">
        <f t="shared" ref="O62:O68" si="15">K62*L62*M62</f>
        <v>#REF!</v>
      </c>
      <c r="P62" s="4093" t="e">
        <f t="shared" si="13"/>
        <v>#REF!</v>
      </c>
      <c r="Q62" s="4057" t="e">
        <f>SUM(P62:P63)-C62</f>
        <v>#REF!</v>
      </c>
      <c r="R62" s="4057" t="e">
        <f>SUM(P62:P63)-C62</f>
        <v>#REF!</v>
      </c>
    </row>
    <row r="63" spans="2:18">
      <c r="C63" s="4097"/>
      <c r="D63" s="4102" t="s">
        <v>82</v>
      </c>
      <c r="E63" s="4058"/>
      <c r="F63" s="4058"/>
      <c r="G63" s="4013"/>
      <c r="H63" s="4014"/>
      <c r="I63" s="4104">
        <f>SUM(I64:I65)</f>
        <v>1894195599.7</v>
      </c>
      <c r="J63" s="4102" t="s">
        <v>82</v>
      </c>
      <c r="K63" s="4058"/>
      <c r="L63" s="4058"/>
      <c r="M63" s="4013"/>
      <c r="N63" s="4014"/>
      <c r="O63" s="4104">
        <f>SUM(O64:O65)</f>
        <v>656390529.10000014</v>
      </c>
      <c r="P63" s="4092">
        <f>SUM(P64:P65)</f>
        <v>2550586128.8000002</v>
      </c>
      <c r="Q63" s="4057"/>
      <c r="R63" s="4057"/>
    </row>
    <row r="64" spans="2:18">
      <c r="C64" s="4097"/>
      <c r="D64" s="4110" t="s">
        <v>96</v>
      </c>
      <c r="E64" s="4118">
        <f>'財政見通し積算 (全SH全項目統合版）'!D27</f>
        <v>1133891586</v>
      </c>
      <c r="F64" s="4118">
        <v>1</v>
      </c>
      <c r="G64" s="4118">
        <v>1</v>
      </c>
      <c r="H64" s="4115"/>
      <c r="I64" s="4119">
        <f t="shared" si="9"/>
        <v>1133891586</v>
      </c>
      <c r="J64" s="4110" t="s">
        <v>96</v>
      </c>
      <c r="K64" s="4114">
        <f>'財政見通し積算 (全SH全項目統合版）'!D32</f>
        <v>288657600.00000006</v>
      </c>
      <c r="L64" s="4114">
        <v>1</v>
      </c>
      <c r="M64" s="4114">
        <v>1</v>
      </c>
      <c r="N64" s="4115"/>
      <c r="O64" s="4116">
        <f t="shared" si="15"/>
        <v>288657600.00000006</v>
      </c>
      <c r="P64" s="4117">
        <f>I64+O64</f>
        <v>1422549186</v>
      </c>
      <c r="Q64" s="4057"/>
      <c r="R64" s="4057"/>
    </row>
    <row r="65" spans="2:18">
      <c r="C65" s="4097"/>
      <c r="D65" s="4110" t="s">
        <v>54</v>
      </c>
      <c r="E65" s="4118">
        <f>'財政見通し積算 (全SH全項目統合版）'!D28</f>
        <v>760304013.70000005</v>
      </c>
      <c r="F65" s="4118">
        <v>1</v>
      </c>
      <c r="G65" s="4118">
        <v>1</v>
      </c>
      <c r="H65" s="4115"/>
      <c r="I65" s="4119">
        <f t="shared" si="9"/>
        <v>760304013.70000005</v>
      </c>
      <c r="J65" s="4110" t="s">
        <v>54</v>
      </c>
      <c r="K65" s="4114">
        <f>'財政見通し積算 (全SH全項目統合版）'!D33</f>
        <v>367732929.10000002</v>
      </c>
      <c r="L65" s="4114">
        <v>1</v>
      </c>
      <c r="M65" s="4114">
        <v>1</v>
      </c>
      <c r="N65" s="4115"/>
      <c r="O65" s="4123">
        <f t="shared" si="15"/>
        <v>367732929.10000002</v>
      </c>
      <c r="P65" s="4124">
        <f t="shared" si="13"/>
        <v>1128036942.8000002</v>
      </c>
      <c r="Q65" s="4057"/>
      <c r="R65" s="4057"/>
    </row>
    <row r="66" spans="2:18">
      <c r="B66" s="4018" t="s">
        <v>76</v>
      </c>
      <c r="C66" s="4098">
        <v>54466667</v>
      </c>
      <c r="D66" s="4106" t="s">
        <v>64</v>
      </c>
      <c r="E66" s="4060"/>
      <c r="F66" s="4060"/>
      <c r="G66" s="4020"/>
      <c r="H66" s="4021"/>
      <c r="I66" s="4105" t="e">
        <f>SUM(I67:I68)</f>
        <v>#REF!</v>
      </c>
      <c r="J66" s="4106" t="s">
        <v>64</v>
      </c>
      <c r="K66" s="4061"/>
      <c r="L66" s="4061"/>
      <c r="M66" s="4061"/>
      <c r="N66" s="4021"/>
      <c r="O66" s="4105" t="e">
        <f>SUM(O67:O68)</f>
        <v>#REF!</v>
      </c>
      <c r="P66" s="4092" t="e">
        <f>I66+O66</f>
        <v>#REF!</v>
      </c>
      <c r="Q66" s="4057" t="e">
        <f>SUM(P66)-C66</f>
        <v>#REF!</v>
      </c>
      <c r="R66" s="4057" t="e">
        <f>SUM(P66)-C66</f>
        <v>#REF!</v>
      </c>
    </row>
    <row r="67" spans="2:18">
      <c r="C67" s="4125"/>
      <c r="D67" s="4095" t="s">
        <v>97</v>
      </c>
      <c r="E67" s="4118" t="e">
        <f>'財政見通し積算 (全SH全項目統合版）'!F26</f>
        <v>#REF!</v>
      </c>
      <c r="F67" s="4118">
        <v>1</v>
      </c>
      <c r="G67" s="4118">
        <v>1</v>
      </c>
      <c r="H67" s="4115"/>
      <c r="I67" s="4119" t="e">
        <f t="shared" si="9"/>
        <v>#REF!</v>
      </c>
      <c r="J67" s="4095" t="s">
        <v>97</v>
      </c>
      <c r="K67" s="4114" t="e">
        <f>'財政見通し積算 (全SH全項目統合版）'!F31</f>
        <v>#REF!</v>
      </c>
      <c r="L67" s="4114">
        <v>1</v>
      </c>
      <c r="M67" s="4114">
        <v>1</v>
      </c>
      <c r="N67" s="4115"/>
      <c r="O67" s="4119" t="e">
        <f t="shared" ref="O67" si="16">K67*L67*M67</f>
        <v>#REF!</v>
      </c>
      <c r="P67" s="4117" t="e">
        <f t="shared" si="13"/>
        <v>#REF!</v>
      </c>
      <c r="Q67" s="4057"/>
      <c r="R67" s="4057"/>
    </row>
    <row r="68" spans="2:18">
      <c r="C68" s="4125"/>
      <c r="D68" s="4095" t="s">
        <v>96</v>
      </c>
      <c r="E68" s="4118">
        <f>'財政見通し積算 (全SH全項目統合版）'!F27</f>
        <v>35875904.899999999</v>
      </c>
      <c r="F68" s="4118">
        <v>1</v>
      </c>
      <c r="G68" s="4118">
        <v>1</v>
      </c>
      <c r="H68" s="4115"/>
      <c r="I68" s="4119">
        <f t="shared" si="9"/>
        <v>35875904.899999999</v>
      </c>
      <c r="J68" s="4095" t="s">
        <v>96</v>
      </c>
      <c r="K68" s="4114">
        <f>'財政見通し積算 (全SH全項目統合版）'!F32</f>
        <v>792000</v>
      </c>
      <c r="L68" s="4114">
        <v>1</v>
      </c>
      <c r="M68" s="4114">
        <v>1</v>
      </c>
      <c r="N68" s="4115"/>
      <c r="O68" s="4116">
        <f t="shared" si="15"/>
        <v>792000</v>
      </c>
      <c r="P68" s="4117">
        <f t="shared" si="13"/>
        <v>36667904.899999999</v>
      </c>
      <c r="Q68" s="4057"/>
      <c r="R68" s="4057"/>
    </row>
    <row r="69" spans="2:18" ht="19.5" thickBot="1">
      <c r="B69" s="4042" t="s">
        <v>98</v>
      </c>
      <c r="C69" s="5907">
        <v>0</v>
      </c>
      <c r="D69" s="5908" t="s">
        <v>99</v>
      </c>
      <c r="E69" s="5911">
        <f>'財政見通し積算 (全SH全項目統合版）'!I39</f>
        <v>74703200</v>
      </c>
      <c r="F69" s="5911">
        <v>1</v>
      </c>
      <c r="G69" s="5911">
        <v>1</v>
      </c>
      <c r="H69" s="5910"/>
      <c r="I69" s="5915">
        <f>E69*F69*G69</f>
        <v>74703200</v>
      </c>
      <c r="J69" s="5909" t="s">
        <v>99</v>
      </c>
      <c r="K69" s="5912">
        <f>'財政見通し積算 (全SH全項目統合版）'!I40</f>
        <v>20944000</v>
      </c>
      <c r="L69" s="5912">
        <v>1</v>
      </c>
      <c r="M69" s="5912">
        <v>1</v>
      </c>
      <c r="N69" s="5910"/>
      <c r="O69" s="5914">
        <f>K69*L69*M69</f>
        <v>20944000</v>
      </c>
      <c r="P69" s="5913">
        <f>SUM(I69,O69)</f>
        <v>95647200</v>
      </c>
      <c r="Q69" s="4057">
        <f>SUM(P69)-C69</f>
        <v>95647200</v>
      </c>
      <c r="R69" s="4057">
        <f>SUM(P69)-C69</f>
        <v>95647200</v>
      </c>
    </row>
    <row r="70" spans="2:18" ht="23" thickTop="1">
      <c r="B70" s="4048" t="s">
        <v>77</v>
      </c>
      <c r="C70" s="4100">
        <f>SUM(C35:C66)</f>
        <v>25925516484</v>
      </c>
      <c r="D70" s="4049"/>
      <c r="E70" s="4050"/>
      <c r="F70" s="4050"/>
      <c r="G70" s="4050"/>
      <c r="H70" s="4051"/>
      <c r="I70" s="4052" t="e">
        <f>SUM(I35:I36,I42:I44,I47,I48:I50,I51:I53,I54,I55:I58,I59:I61,I62:I63,I66,I69)</f>
        <v>#REF!</v>
      </c>
      <c r="J70" s="4048"/>
      <c r="K70" s="4053"/>
      <c r="L70" s="4053"/>
      <c r="M70" s="4053"/>
      <c r="N70" s="4051"/>
      <c r="O70" s="4052" t="e">
        <f>SUM(O35:O36,O42:O44,O47,O48:O50,O51:O53,O54,O55:O58,O59:O61,O62:O63,O66,O69)</f>
        <v>#REF!</v>
      </c>
      <c r="P70" s="4090" t="e">
        <f>SUM(P35,P36,P42,P43,P44,P47,P48,P49,P50,P51,P52,P53,P54,P56,P55,P57,P58,P59,P60,P61,P62,P63,P66,P69)</f>
        <v>#REF!</v>
      </c>
      <c r="Q70" s="4087" t="e">
        <f>P70-C70</f>
        <v>#REF!</v>
      </c>
      <c r="R70" s="5850" t="e">
        <f>SUM(I73,O73)</f>
        <v>#REF!</v>
      </c>
    </row>
    <row r="71" spans="2:18" ht="22" customHeight="1">
      <c r="B71" s="5829" t="s">
        <v>100</v>
      </c>
      <c r="C71" s="5859"/>
      <c r="D71" s="5859"/>
      <c r="E71" s="5859"/>
      <c r="F71" s="5859"/>
      <c r="Q71" s="4088" t="s">
        <v>101</v>
      </c>
      <c r="R71" s="5857" t="s">
        <v>102</v>
      </c>
    </row>
    <row r="72" spans="2:18">
      <c r="B72" s="5829" t="s">
        <v>103</v>
      </c>
      <c r="C72" s="5859"/>
      <c r="F72" s="5853"/>
      <c r="G72" s="5854" t="s">
        <v>104</v>
      </c>
      <c r="H72" s="5855"/>
      <c r="I72" s="5856" t="e">
        <f>I70-I30</f>
        <v>#REF!</v>
      </c>
      <c r="J72" s="5853"/>
      <c r="K72" s="5853"/>
      <c r="L72" s="5853"/>
      <c r="M72" s="5854" t="s">
        <v>105</v>
      </c>
      <c r="N72" s="5855"/>
      <c r="O72" s="5856" t="e">
        <f>O70-O30</f>
        <v>#REF!</v>
      </c>
      <c r="R72" s="4057"/>
    </row>
    <row r="73" spans="2:18">
      <c r="B73" s="5885" t="s">
        <v>106</v>
      </c>
      <c r="G73" s="4312" t="s">
        <v>104</v>
      </c>
      <c r="H73" s="4313"/>
      <c r="I73" s="4219" t="e">
        <f>I70-I30</f>
        <v>#REF!</v>
      </c>
      <c r="J73" s="4064"/>
      <c r="M73" s="4312" t="s">
        <v>105</v>
      </c>
      <c r="N73" s="4313"/>
      <c r="O73" s="4219" t="e">
        <f>O70-O30</f>
        <v>#REF!</v>
      </c>
      <c r="R73" s="4057"/>
    </row>
    <row r="74" spans="2:18">
      <c r="G74" s="4068" t="s">
        <v>107</v>
      </c>
      <c r="H74" s="4069"/>
      <c r="I74" s="4057" t="e">
        <f>SUM(I35,I36,I43,I44,I62,I63,I66,I69)-SUM(I3,I4,I11,I27,I28,I29)</f>
        <v>#REF!</v>
      </c>
      <c r="M74" s="4068" t="s">
        <v>108</v>
      </c>
      <c r="N74" s="4068"/>
      <c r="O74" s="4057" t="e">
        <f>SUM(O35,O36,O43,O44,O62,O63,O66,O69)-SUM(O3,O4,O11,O27,O28,O29)</f>
        <v>#REF!</v>
      </c>
      <c r="Q74" s="4338" t="s">
        <v>109</v>
      </c>
      <c r="R74" s="5858" t="s">
        <v>109</v>
      </c>
    </row>
    <row r="75" spans="2:18">
      <c r="G75" s="4068" t="s">
        <v>110</v>
      </c>
      <c r="H75" s="4069"/>
      <c r="I75" s="4057">
        <f>SUM(I42,I47,I48:I50,I51:I53,I54,I55:I58,I59:I61)-SUM(I10,I14,I16:I17,I18:I20,I21,I22:I25,I26)</f>
        <v>1016286132</v>
      </c>
      <c r="M75" s="4068" t="s">
        <v>110</v>
      </c>
      <c r="N75" s="4068"/>
      <c r="O75" s="4057">
        <f>SUM(O42,O47,O48:O50,O51:O52,O57,O59)-SUM(O10,O14:O15,O16:O17,O18:O19,O24,O26)</f>
        <v>283168048</v>
      </c>
      <c r="Q75" s="4057">
        <f>SUM(I77,O77)</f>
        <v>-1356076668.78</v>
      </c>
      <c r="R75" s="4057">
        <f>SUM(I77,O77)</f>
        <v>-1356076668.78</v>
      </c>
    </row>
    <row r="76" spans="2:18" hidden="1">
      <c r="G76" s="4068" t="s">
        <v>111</v>
      </c>
      <c r="H76" s="4069"/>
      <c r="I76" s="5861">
        <f>SUM(I47,I49,I52,I53,I54,I57,I58,I60,I61)-SUM(I14,I17,I19,I20,I21,I24,I25)</f>
        <v>729631840</v>
      </c>
      <c r="J76" s="5859"/>
      <c r="K76" s="5859"/>
      <c r="L76" s="5859"/>
      <c r="M76" s="5862" t="s">
        <v>111</v>
      </c>
      <c r="N76" s="5862"/>
      <c r="O76" s="5861">
        <f>SUM(O47,O49,O52,O54,O57)-SUM(O14,O15,O17,O19,O24)</f>
        <v>50094200</v>
      </c>
      <c r="Q76" s="4057"/>
      <c r="R76" s="4057"/>
    </row>
    <row r="77" spans="2:18">
      <c r="G77" s="4068" t="s">
        <v>112</v>
      </c>
      <c r="H77" s="4069"/>
      <c r="I77" s="4057">
        <f>SUM(I38,I40,I41,I46)-SUM(I6,I8,I9,I13)</f>
        <v>-1211480032.9200001</v>
      </c>
      <c r="M77" s="4068" t="s">
        <v>112</v>
      </c>
      <c r="N77" s="4068"/>
      <c r="O77" s="4057">
        <f>SUM(O38,O40,O41,O46)-SUM(O6,O8,O9,O13)</f>
        <v>-144596635.8599999</v>
      </c>
      <c r="Q77" s="4338" t="s">
        <v>113</v>
      </c>
      <c r="R77" s="5858" t="s">
        <v>113</v>
      </c>
    </row>
    <row r="78" spans="2:18">
      <c r="G78" s="4068" t="s">
        <v>114</v>
      </c>
      <c r="H78" s="4069"/>
      <c r="I78" s="4057" t="e">
        <f>SUM(I35,I37,I39,I42:I43,I45,I47,I48:I50,I51:I53,I54,I55:I58,I59:I61,I62:I63,I66,I69)-SUM(I3,I5,I7,I10,I12,I14,I16:I17,I18:I20,I21,I22:I25,I26,I27:I28,I29)</f>
        <v>#REF!</v>
      </c>
      <c r="M78" s="4068" t="s">
        <v>114</v>
      </c>
      <c r="N78" s="4068"/>
      <c r="O78" s="4057" t="e">
        <f>SUM(O35,O37,O39,O42:O43,O45,O47,O48:O50,O51:O53,O54,O55:O58,O59:O61,O62:O63,O66,O69)-SUM(O3,O5,O7,O10,O12,O14,O15,O16:O17,O18:O20,O21,O22:O25,O26,O27:O28,O29)</f>
        <v>#REF!</v>
      </c>
      <c r="Q78" s="4057" t="e">
        <f>I78+O78</f>
        <v>#REF!</v>
      </c>
      <c r="R78" s="4057" t="e">
        <f>R70-R75</f>
        <v>#REF!</v>
      </c>
    </row>
    <row r="79" spans="2:18" ht="19.5" thickBot="1">
      <c r="Q79" s="4057"/>
      <c r="R79" s="4057"/>
    </row>
    <row r="80" spans="2:18" ht="26" thickTop="1">
      <c r="B80" s="4160" t="s">
        <v>115</v>
      </c>
      <c r="C80" s="4161"/>
      <c r="D80" s="4162" t="s">
        <v>37</v>
      </c>
      <c r="E80" s="4161"/>
      <c r="F80" s="4161"/>
      <c r="G80" s="4161"/>
      <c r="H80" s="4163" t="s">
        <v>38</v>
      </c>
      <c r="I80" s="4164"/>
      <c r="J80" s="4161" t="s">
        <v>39</v>
      </c>
      <c r="K80" s="4161"/>
      <c r="L80" s="4161"/>
      <c r="M80" s="4161"/>
      <c r="N80" s="4163" t="s">
        <v>38</v>
      </c>
      <c r="O80" s="4164"/>
      <c r="P80" s="4165"/>
      <c r="R80" s="4057"/>
    </row>
    <row r="81" spans="1:18" ht="25.5">
      <c r="B81" s="4166"/>
      <c r="D81" s="4003" t="s">
        <v>43</v>
      </c>
      <c r="E81" s="4006" t="s">
        <v>44</v>
      </c>
      <c r="F81" s="4006" t="s">
        <v>45</v>
      </c>
      <c r="G81" s="4006" t="s">
        <v>46</v>
      </c>
      <c r="I81" s="4005" t="s">
        <v>47</v>
      </c>
      <c r="J81" s="2486" t="s">
        <v>43</v>
      </c>
      <c r="K81" s="4006" t="s">
        <v>44</v>
      </c>
      <c r="L81" s="4006" t="s">
        <v>45</v>
      </c>
      <c r="M81" s="4006" t="s">
        <v>46</v>
      </c>
      <c r="O81" s="4005" t="s">
        <v>47</v>
      </c>
      <c r="P81" s="4149"/>
      <c r="R81" s="4057"/>
    </row>
    <row r="82" spans="1:18">
      <c r="B82" s="4168" t="s">
        <v>57</v>
      </c>
      <c r="C82" s="4034"/>
      <c r="D82" s="4145" t="s">
        <v>116</v>
      </c>
      <c r="E82" s="4139">
        <f>'財政見通し積算 (全SH全項目統合版）'!E28</f>
        <v>726706750</v>
      </c>
      <c r="F82" s="4139">
        <v>1</v>
      </c>
      <c r="G82" s="4139">
        <v>1</v>
      </c>
      <c r="H82" s="4140"/>
      <c r="I82" s="4141">
        <f t="shared" ref="I82:I84" si="17">E82*F82*G82</f>
        <v>726706750</v>
      </c>
      <c r="J82" s="4145" t="s">
        <v>116</v>
      </c>
      <c r="K82" s="4142">
        <f>'財政見通し積算 (全SH全項目統合版）'!E33</f>
        <v>195448750</v>
      </c>
      <c r="L82" s="4142">
        <v>1</v>
      </c>
      <c r="M82" s="4142">
        <v>1</v>
      </c>
      <c r="N82" s="4140"/>
      <c r="O82" s="4143">
        <f t="shared" ref="O82:O84" si="18">K82*L82*M82</f>
        <v>195448750</v>
      </c>
      <c r="P82" s="4144">
        <f>I82+O82</f>
        <v>922155500</v>
      </c>
      <c r="R82" s="4057"/>
    </row>
    <row r="83" spans="1:18">
      <c r="B83" s="4169" t="s">
        <v>76</v>
      </c>
      <c r="C83" s="4018"/>
      <c r="D83" s="4106" t="s">
        <v>117</v>
      </c>
      <c r="E83" s="4024" t="e">
        <f>'財政見通し積算 (全SH全項目統合版）'!G26</f>
        <v>#REF!</v>
      </c>
      <c r="F83" s="4024">
        <v>1</v>
      </c>
      <c r="G83" s="4024">
        <v>1</v>
      </c>
      <c r="H83" s="4153"/>
      <c r="I83" s="4152" t="e">
        <f t="shared" si="17"/>
        <v>#REF!</v>
      </c>
      <c r="J83" s="4151" t="s">
        <v>117</v>
      </c>
      <c r="K83" s="4024" t="e">
        <f>'財政見通し積算 (全SH全項目統合版）'!G31</f>
        <v>#REF!</v>
      </c>
      <c r="L83" s="4024">
        <v>1</v>
      </c>
      <c r="M83" s="4024">
        <v>1</v>
      </c>
      <c r="N83" s="4153"/>
      <c r="O83" s="4152" t="e">
        <f t="shared" si="18"/>
        <v>#REF!</v>
      </c>
      <c r="P83" s="4150" t="e">
        <f>I83+O83</f>
        <v>#REF!</v>
      </c>
      <c r="R83" s="4057"/>
    </row>
    <row r="84" spans="1:18" ht="19.5" thickBot="1">
      <c r="B84" s="4167"/>
      <c r="C84" s="4154"/>
      <c r="D84" s="4155" t="s">
        <v>118</v>
      </c>
      <c r="E84" s="4170" t="e">
        <f>'財政見通し積算 (全SH全項目統合版）'!H26</f>
        <v>#REF!</v>
      </c>
      <c r="F84" s="4170">
        <v>1</v>
      </c>
      <c r="G84" s="4170">
        <v>1</v>
      </c>
      <c r="H84" s="4157"/>
      <c r="I84" s="4156" t="e">
        <f t="shared" si="17"/>
        <v>#REF!</v>
      </c>
      <c r="J84" s="4158" t="s">
        <v>118</v>
      </c>
      <c r="K84" s="4170" t="e">
        <f>'財政見通し積算 (全SH全項目統合版）'!H31</f>
        <v>#REF!</v>
      </c>
      <c r="L84" s="4170">
        <v>1</v>
      </c>
      <c r="M84" s="4171">
        <v>1</v>
      </c>
      <c r="N84" s="4157"/>
      <c r="O84" s="4156" t="e">
        <f t="shared" si="18"/>
        <v>#REF!</v>
      </c>
      <c r="P84" s="4159" t="e">
        <f>I84+O84</f>
        <v>#REF!</v>
      </c>
      <c r="R84" s="4057"/>
    </row>
    <row r="85" spans="1:18" ht="19.5" thickTop="1">
      <c r="A85" s="2486" t="s">
        <v>119</v>
      </c>
      <c r="B85" s="4146" t="s">
        <v>120</v>
      </c>
      <c r="D85" s="4064"/>
      <c r="J85" s="4064"/>
      <c r="M85" s="4068"/>
      <c r="O85" s="4057"/>
      <c r="R85" s="4057"/>
    </row>
    <row r="86" spans="1:18">
      <c r="B86" s="4146" t="s">
        <v>121</v>
      </c>
      <c r="R86" s="4057"/>
    </row>
    <row r="87" spans="1:18">
      <c r="B87" s="4146" t="s">
        <v>122</v>
      </c>
      <c r="D87" s="4064"/>
      <c r="J87" s="4064"/>
      <c r="M87" s="4068"/>
      <c r="O87" s="4057"/>
      <c r="R87" s="4057"/>
    </row>
    <row r="88" spans="1:18">
      <c r="B88" s="4146" t="s">
        <v>123</v>
      </c>
      <c r="D88" s="4064"/>
      <c r="J88" s="4064"/>
      <c r="M88" s="4068"/>
      <c r="O88" s="4057"/>
      <c r="R88" s="4057"/>
    </row>
    <row r="89" spans="1:18">
      <c r="B89" s="4146" t="s">
        <v>124</v>
      </c>
      <c r="R89" s="4057"/>
    </row>
    <row r="90" spans="1:18" ht="19.5" thickBot="1">
      <c r="R90" s="4057"/>
    </row>
    <row r="91" spans="1:18" ht="26" thickTop="1">
      <c r="B91" s="4160" t="s">
        <v>125</v>
      </c>
      <c r="C91" s="4172" t="s">
        <v>126</v>
      </c>
      <c r="D91" s="4162"/>
      <c r="E91" s="4161"/>
      <c r="F91" s="4161"/>
      <c r="G91" s="4161"/>
      <c r="H91" s="4163"/>
      <c r="I91" s="4164"/>
      <c r="J91" s="4161"/>
      <c r="K91" s="4161"/>
      <c r="L91" s="4161"/>
      <c r="M91" s="4161"/>
      <c r="N91" s="4163"/>
      <c r="O91" s="4161"/>
      <c r="P91" s="4348" t="s">
        <v>127</v>
      </c>
      <c r="Q91" s="2486" t="s">
        <v>80</v>
      </c>
      <c r="R91" s="4057" t="s">
        <v>80</v>
      </c>
    </row>
    <row r="92" spans="1:18">
      <c r="B92" s="4339" t="s">
        <v>128</v>
      </c>
      <c r="C92" s="4340">
        <v>1545729278</v>
      </c>
      <c r="D92" s="4339"/>
      <c r="E92" s="4018"/>
      <c r="F92" s="4018"/>
      <c r="G92" s="4018"/>
      <c r="H92" s="4341"/>
      <c r="I92" s="4022" t="e">
        <f>ROUNDUP(SUM(I35,I36)*0.1,0)</f>
        <v>#REF!</v>
      </c>
      <c r="J92" s="4018"/>
      <c r="K92" s="4018"/>
      <c r="L92" s="4018"/>
      <c r="M92" s="4018"/>
      <c r="N92" s="4341"/>
      <c r="O92" s="5852" t="e">
        <f>ROUNDUP(SUM(O35,O36)*0.1,0)</f>
        <v>#REF!</v>
      </c>
      <c r="P92" s="4349" t="e">
        <f>ROUNDUP(SUM(P35,P36)*0.1,0)</f>
        <v>#REF!</v>
      </c>
      <c r="Q92" s="4057" t="e">
        <f>SUM(P92)-C92</f>
        <v>#REF!</v>
      </c>
      <c r="R92" s="4057" t="e">
        <f>SUM(P92)-C92</f>
        <v>#REF!</v>
      </c>
    </row>
    <row r="93" spans="1:18" ht="19.5" thickBot="1">
      <c r="B93" s="4342" t="s">
        <v>129</v>
      </c>
      <c r="C93" s="4346">
        <f>SUM(I6,I8,I9)*0.1+SUM(O6,O8,O9)*0.1</f>
        <v>667483346.80000007</v>
      </c>
      <c r="D93" s="4342" t="s">
        <v>130</v>
      </c>
      <c r="E93" s="4343"/>
      <c r="F93" s="4343"/>
      <c r="G93" s="4343"/>
      <c r="H93" s="4344"/>
      <c r="I93" s="4347">
        <f>ROUNDUP(SUM(I40,I41)*0.1,0)</f>
        <v>394204099</v>
      </c>
      <c r="J93" s="4342" t="s">
        <v>130</v>
      </c>
      <c r="K93" s="4343"/>
      <c r="L93" s="4343"/>
      <c r="M93" s="4343"/>
      <c r="N93" s="4344"/>
      <c r="O93" s="4345">
        <f>ROUNDUP(SUM(O38,O40,O41)*0.1,0)</f>
        <v>153383204</v>
      </c>
      <c r="P93" s="4350">
        <f>SUM(I93,O93)</f>
        <v>547587303</v>
      </c>
      <c r="Q93" s="4057">
        <f>SUM(P93)-C93</f>
        <v>-119896043.80000007</v>
      </c>
      <c r="R93" s="4057">
        <f>SUM(P93)-C93</f>
        <v>-119896043.80000007</v>
      </c>
    </row>
    <row r="94" spans="1:18" ht="19.5" thickTop="1">
      <c r="B94" s="4146" t="s">
        <v>131</v>
      </c>
      <c r="R94" s="4057"/>
    </row>
    <row r="95" spans="1:18">
      <c r="R95" s="4057"/>
    </row>
    <row r="96" spans="1:18">
      <c r="R96" s="4057"/>
    </row>
    <row r="97" spans="2:18" ht="26" thickBot="1">
      <c r="B97" s="4215" t="s">
        <v>132</v>
      </c>
      <c r="C97" s="4211"/>
      <c r="J97" s="4195"/>
      <c r="O97" s="4196"/>
      <c r="P97" s="2486" t="s">
        <v>133</v>
      </c>
      <c r="R97" s="4057"/>
    </row>
    <row r="98" spans="2:18" ht="22.5" customHeight="1">
      <c r="B98" s="4194" t="s">
        <v>57</v>
      </c>
      <c r="C98" s="4288" t="s">
        <v>134</v>
      </c>
      <c r="D98" s="4289" t="s">
        <v>135</v>
      </c>
      <c r="E98" s="4290">
        <v>16900</v>
      </c>
      <c r="F98" s="4290">
        <v>58451</v>
      </c>
      <c r="G98" s="4290">
        <v>1</v>
      </c>
      <c r="H98" s="4290"/>
      <c r="I98" s="4290">
        <f t="shared" ref="I98:I99" si="19">E98*F98*G98</f>
        <v>987821900</v>
      </c>
      <c r="J98" s="4291" t="s">
        <v>135</v>
      </c>
      <c r="K98" s="4290">
        <v>16900</v>
      </c>
      <c r="L98" s="4290">
        <v>31699</v>
      </c>
      <c r="M98" s="4290">
        <v>1</v>
      </c>
      <c r="N98" s="4290">
        <f t="shared" ref="N98" si="20">L98*M98</f>
        <v>31699</v>
      </c>
      <c r="O98" s="4292">
        <f t="shared" ref="O98:O99" si="21">K98*L98*M98</f>
        <v>535713100</v>
      </c>
      <c r="P98" s="4293">
        <f>I98+O98-I99-O99</f>
        <v>428668500</v>
      </c>
      <c r="R98" s="4057"/>
    </row>
    <row r="99" spans="2:18" ht="22.5" customHeight="1">
      <c r="B99" s="4193"/>
      <c r="C99" s="4211" t="s">
        <v>136</v>
      </c>
      <c r="D99" s="2486" t="s">
        <v>135</v>
      </c>
      <c r="E99" s="4064">
        <v>16900</v>
      </c>
      <c r="F99" s="4064">
        <f>3546*11</f>
        <v>39006</v>
      </c>
      <c r="G99" s="4064">
        <v>1</v>
      </c>
      <c r="H99" s="4014">
        <f>F99*G99</f>
        <v>39006</v>
      </c>
      <c r="I99" s="4064">
        <f t="shared" si="19"/>
        <v>659201400</v>
      </c>
      <c r="J99" s="4197" t="s">
        <v>135</v>
      </c>
      <c r="K99" s="4064">
        <v>16900</v>
      </c>
      <c r="L99" s="4064">
        <f>1983*13</f>
        <v>25779</v>
      </c>
      <c r="M99" s="4064">
        <v>1</v>
      </c>
      <c r="N99" s="4014">
        <f>L99*M99</f>
        <v>25779</v>
      </c>
      <c r="O99" s="4198">
        <f t="shared" si="21"/>
        <v>435665100</v>
      </c>
      <c r="P99" s="4064"/>
      <c r="R99" s="4057"/>
    </row>
    <row r="100" spans="2:18" ht="22.5">
      <c r="C100" s="4294" t="s">
        <v>134</v>
      </c>
      <c r="D100" s="4295" t="str">
        <f t="shared" ref="D100:O100" si="22">D47</f>
        <v>コンテナ（選手団・NOC）※3食</v>
      </c>
      <c r="E100" s="4296">
        <f t="shared" si="22"/>
        <v>21000</v>
      </c>
      <c r="F100" s="4296">
        <f t="shared" si="22"/>
        <v>22972</v>
      </c>
      <c r="G100" s="4296">
        <f t="shared" si="22"/>
        <v>1</v>
      </c>
      <c r="H100" s="4296">
        <f t="shared" si="22"/>
        <v>0</v>
      </c>
      <c r="I100" s="4296">
        <f t="shared" si="22"/>
        <v>482412000</v>
      </c>
      <c r="J100" s="4297" t="str">
        <f t="shared" si="22"/>
        <v>コンテナ（選手団・NOC）※3食</v>
      </c>
      <c r="K100" s="4296">
        <f t="shared" si="22"/>
        <v>21000</v>
      </c>
      <c r="L100" s="4296">
        <f t="shared" si="22"/>
        <v>8640</v>
      </c>
      <c r="M100" s="4296">
        <f t="shared" si="22"/>
        <v>1</v>
      </c>
      <c r="N100" s="4296">
        <f t="shared" si="22"/>
        <v>8640</v>
      </c>
      <c r="O100" s="4298">
        <f t="shared" si="22"/>
        <v>181440000</v>
      </c>
      <c r="P100" s="4299">
        <f>I100+O100-I101-O101-O102</f>
        <v>319536000</v>
      </c>
      <c r="R100" s="4057"/>
    </row>
    <row r="101" spans="2:18">
      <c r="C101" s="4211" t="s">
        <v>136</v>
      </c>
      <c r="D101" s="2486" t="s">
        <v>137</v>
      </c>
      <c r="E101" s="4176">
        <v>21000</v>
      </c>
      <c r="F101" s="4176">
        <f>725*11</f>
        <v>7975</v>
      </c>
      <c r="G101" s="4176">
        <v>1</v>
      </c>
      <c r="H101" s="4177">
        <v>7975</v>
      </c>
      <c r="I101" s="4176">
        <v>167475000</v>
      </c>
      <c r="J101" s="4199" t="s">
        <v>61</v>
      </c>
      <c r="K101" s="4176">
        <v>21000</v>
      </c>
      <c r="L101" s="4176">
        <f>417*13</f>
        <v>5421</v>
      </c>
      <c r="M101" s="4176">
        <v>1</v>
      </c>
      <c r="N101" s="4177">
        <v>5421</v>
      </c>
      <c r="O101" s="4200">
        <v>113841000</v>
      </c>
      <c r="P101" s="4057"/>
      <c r="R101" s="4057"/>
    </row>
    <row r="102" spans="2:18" ht="19.5" thickBot="1">
      <c r="B102" s="4173"/>
      <c r="C102" s="4212"/>
      <c r="D102" s="4173"/>
      <c r="E102" s="4174"/>
      <c r="F102" s="4174"/>
      <c r="G102" s="4174"/>
      <c r="H102" s="4175"/>
      <c r="I102" s="4174"/>
      <c r="J102" s="4201" t="s">
        <v>138</v>
      </c>
      <c r="K102" s="4174">
        <v>21000</v>
      </c>
      <c r="L102" s="4174">
        <v>3000</v>
      </c>
      <c r="M102" s="4174">
        <v>1</v>
      </c>
      <c r="N102" s="4175">
        <f>L102*M102</f>
        <v>3000</v>
      </c>
      <c r="O102" s="4202">
        <f t="shared" ref="O102" si="23">K102*L102*M102</f>
        <v>63000000</v>
      </c>
      <c r="P102" s="4181"/>
      <c r="R102" s="4057"/>
    </row>
    <row r="103" spans="2:18" ht="22.5">
      <c r="B103" s="4007" t="s">
        <v>63</v>
      </c>
      <c r="C103" s="4288" t="s">
        <v>134</v>
      </c>
      <c r="D103" s="4300" t="str">
        <f t="shared" ref="D103:N103" si="24">D48</f>
        <v>ホテル自前</v>
      </c>
      <c r="E103" s="4300">
        <f t="shared" si="24"/>
        <v>19000</v>
      </c>
      <c r="F103" s="4300">
        <f t="shared" si="24"/>
        <v>8364</v>
      </c>
      <c r="G103" s="4300">
        <f t="shared" si="24"/>
        <v>1</v>
      </c>
      <c r="H103" s="4300">
        <f t="shared" si="24"/>
        <v>0</v>
      </c>
      <c r="I103" s="4300">
        <f t="shared" si="24"/>
        <v>158916000</v>
      </c>
      <c r="J103" s="4301" t="str">
        <f t="shared" si="24"/>
        <v>ホテル自前</v>
      </c>
      <c r="K103" s="4300">
        <f t="shared" si="24"/>
        <v>19000</v>
      </c>
      <c r="L103" s="4300">
        <f t="shared" si="24"/>
        <v>5536</v>
      </c>
      <c r="M103" s="4300">
        <f t="shared" si="24"/>
        <v>1</v>
      </c>
      <c r="N103" s="4300">
        <f t="shared" si="24"/>
        <v>5536</v>
      </c>
      <c r="O103" s="4302">
        <f>O48</f>
        <v>105184000</v>
      </c>
      <c r="P103" s="4303">
        <f>I103+O103+I104+O104-I105-O105</f>
        <v>-554724000</v>
      </c>
      <c r="R103" s="4057"/>
    </row>
    <row r="104" spans="2:18" ht="22.5">
      <c r="C104" s="4274" t="s">
        <v>134</v>
      </c>
      <c r="D104" s="4304" t="s">
        <v>60</v>
      </c>
      <c r="E104" s="4304">
        <v>19000</v>
      </c>
      <c r="F104" s="4304">
        <v>14409</v>
      </c>
      <c r="G104" s="4304">
        <v>1</v>
      </c>
      <c r="H104" s="4304"/>
      <c r="I104" s="4304">
        <v>273771000</v>
      </c>
      <c r="J104" s="4305" t="s">
        <v>60</v>
      </c>
      <c r="K104" s="4304">
        <v>19000</v>
      </c>
      <c r="L104" s="4304">
        <v>5760</v>
      </c>
      <c r="M104" s="4304">
        <v>1</v>
      </c>
      <c r="N104" s="4304"/>
      <c r="O104" s="4306">
        <v>109440000</v>
      </c>
      <c r="P104" s="4307"/>
      <c r="R104" s="4057"/>
    </row>
    <row r="105" spans="2:18" ht="22.5">
      <c r="C105" s="4213" t="s">
        <v>136</v>
      </c>
      <c r="D105" s="4179" t="s">
        <v>139</v>
      </c>
      <c r="E105" s="4179">
        <v>19000</v>
      </c>
      <c r="F105" s="4179">
        <f>4189*11</f>
        <v>46079</v>
      </c>
      <c r="G105" s="4179">
        <v>1</v>
      </c>
      <c r="H105" s="4180">
        <f>F105*G105</f>
        <v>46079</v>
      </c>
      <c r="I105" s="4179">
        <f t="shared" ref="I105" si="25">E105*F105*G105</f>
        <v>875501000</v>
      </c>
      <c r="J105" s="4203" t="s">
        <v>139</v>
      </c>
      <c r="K105" s="4179">
        <v>19000</v>
      </c>
      <c r="L105" s="4179">
        <f>1322*13</f>
        <v>17186</v>
      </c>
      <c r="M105" s="4179">
        <v>1</v>
      </c>
      <c r="N105" s="4180">
        <f>L105*M105</f>
        <v>17186</v>
      </c>
      <c r="O105" s="4204">
        <f t="shared" ref="O105" si="26">K105*L105*M105</f>
        <v>326534000</v>
      </c>
      <c r="P105" s="4182"/>
      <c r="R105" s="4057"/>
    </row>
    <row r="106" spans="2:18" ht="22.5">
      <c r="C106" s="4274" t="s">
        <v>134</v>
      </c>
      <c r="D106" s="4304" t="str">
        <f t="shared" ref="D106:O106" si="27">D50</f>
        <v>完調品対応</v>
      </c>
      <c r="E106" s="4304">
        <f t="shared" si="27"/>
        <v>22164</v>
      </c>
      <c r="F106" s="4304">
        <f t="shared" si="27"/>
        <v>30603</v>
      </c>
      <c r="G106" s="4304">
        <f t="shared" si="27"/>
        <v>1</v>
      </c>
      <c r="H106" s="4304">
        <f t="shared" si="27"/>
        <v>0</v>
      </c>
      <c r="I106" s="4304">
        <f t="shared" si="27"/>
        <v>678284892</v>
      </c>
      <c r="J106" s="4305" t="str">
        <f t="shared" si="27"/>
        <v>完調品対応</v>
      </c>
      <c r="K106" s="4304">
        <f t="shared" si="27"/>
        <v>22164</v>
      </c>
      <c r="L106" s="4304">
        <f t="shared" si="27"/>
        <v>15597</v>
      </c>
      <c r="M106" s="4304">
        <f t="shared" si="27"/>
        <v>1</v>
      </c>
      <c r="N106" s="4304">
        <f t="shared" si="27"/>
        <v>15597</v>
      </c>
      <c r="O106" s="4306">
        <f t="shared" si="27"/>
        <v>345691908</v>
      </c>
      <c r="P106" s="4307">
        <f>I106+O106-I107-O107</f>
        <v>871501800</v>
      </c>
      <c r="R106" s="4057"/>
    </row>
    <row r="107" spans="2:18" ht="19.5" thickBot="1">
      <c r="B107" s="4173"/>
      <c r="C107" s="4212" t="s">
        <v>136</v>
      </c>
      <c r="D107" s="4173" t="s">
        <v>137</v>
      </c>
      <c r="E107" s="4174">
        <v>19000</v>
      </c>
      <c r="F107" s="4174">
        <f>401*11</f>
        <v>4411</v>
      </c>
      <c r="G107" s="4174">
        <v>1</v>
      </c>
      <c r="H107" s="4175">
        <f>F107*G107</f>
        <v>4411</v>
      </c>
      <c r="I107" s="4174">
        <f t="shared" ref="I107:I115" si="28">E107*F107*G107</f>
        <v>83809000</v>
      </c>
      <c r="J107" s="4201" t="s">
        <v>137</v>
      </c>
      <c r="K107" s="4174">
        <v>19000</v>
      </c>
      <c r="L107" s="4174">
        <f>278*13</f>
        <v>3614</v>
      </c>
      <c r="M107" s="4174">
        <v>1</v>
      </c>
      <c r="N107" s="4175">
        <f>L107*M107</f>
        <v>3614</v>
      </c>
      <c r="O107" s="4202">
        <f t="shared" ref="O107:O113" si="29">K107*L107*M107</f>
        <v>68666000</v>
      </c>
      <c r="P107" s="4184"/>
      <c r="R107" s="4057"/>
    </row>
    <row r="108" spans="2:18" ht="22.5">
      <c r="B108" s="4007" t="s">
        <v>65</v>
      </c>
      <c r="C108" s="4288" t="s">
        <v>134</v>
      </c>
      <c r="D108" s="4290" t="s">
        <v>139</v>
      </c>
      <c r="E108" s="4290">
        <v>880</v>
      </c>
      <c r="F108" s="4290">
        <v>97418</v>
      </c>
      <c r="G108" s="4290">
        <v>1</v>
      </c>
      <c r="H108" s="4290"/>
      <c r="I108" s="4290">
        <f t="shared" si="28"/>
        <v>85727840</v>
      </c>
      <c r="J108" s="4291" t="s">
        <v>139</v>
      </c>
      <c r="K108" s="4290">
        <v>880</v>
      </c>
      <c r="L108" s="4290">
        <v>52832</v>
      </c>
      <c r="M108" s="4290">
        <v>1</v>
      </c>
      <c r="N108" s="4290">
        <f t="shared" ref="N108:N111" si="30">L108*M108</f>
        <v>52832</v>
      </c>
      <c r="O108" s="4292">
        <f t="shared" si="29"/>
        <v>46492160</v>
      </c>
      <c r="P108" s="4293">
        <f>I108+O108-I109-O109</f>
        <v>5016000</v>
      </c>
      <c r="R108" s="4057"/>
    </row>
    <row r="109" spans="2:18" ht="22.5">
      <c r="C109" s="4211" t="s">
        <v>136</v>
      </c>
      <c r="D109" s="4064" t="s">
        <v>139</v>
      </c>
      <c r="E109" s="4064">
        <v>880</v>
      </c>
      <c r="F109" s="4064">
        <f>9235*11</f>
        <v>101585</v>
      </c>
      <c r="G109" s="4064">
        <v>1</v>
      </c>
      <c r="H109" s="4014">
        <f t="shared" ref="H109" si="31">F109*G109</f>
        <v>101585</v>
      </c>
      <c r="I109" s="4064">
        <f t="shared" si="28"/>
        <v>89394800</v>
      </c>
      <c r="J109" s="4197" t="s">
        <v>139</v>
      </c>
      <c r="K109" s="4064">
        <v>880</v>
      </c>
      <c r="L109" s="4064">
        <f>3305*13</f>
        <v>42965</v>
      </c>
      <c r="M109" s="4064">
        <v>1</v>
      </c>
      <c r="N109" s="4014">
        <f t="shared" si="30"/>
        <v>42965</v>
      </c>
      <c r="O109" s="4198">
        <f t="shared" si="29"/>
        <v>37809200</v>
      </c>
      <c r="P109" s="4185"/>
      <c r="R109" s="4057"/>
    </row>
    <row r="110" spans="2:18" ht="22.5">
      <c r="C110" s="4281" t="s">
        <v>134</v>
      </c>
      <c r="D110" s="4283" t="s">
        <v>137</v>
      </c>
      <c r="E110" s="4283">
        <v>880</v>
      </c>
      <c r="F110" s="4283">
        <v>37381</v>
      </c>
      <c r="G110" s="4283">
        <v>1</v>
      </c>
      <c r="H110" s="4283"/>
      <c r="I110" s="4283">
        <f t="shared" si="28"/>
        <v>32895280</v>
      </c>
      <c r="J110" s="4308" t="s">
        <v>137</v>
      </c>
      <c r="K110" s="4283">
        <v>880</v>
      </c>
      <c r="L110" s="4283">
        <v>14400</v>
      </c>
      <c r="M110" s="4283">
        <v>1</v>
      </c>
      <c r="N110" s="4283">
        <f t="shared" si="30"/>
        <v>14400</v>
      </c>
      <c r="O110" s="4309">
        <f t="shared" si="29"/>
        <v>12672000</v>
      </c>
      <c r="P110" s="4287">
        <f>I110+O110-I111-O111</f>
        <v>27917120</v>
      </c>
      <c r="R110" s="4057"/>
    </row>
    <row r="111" spans="2:18" ht="22.5">
      <c r="C111" s="4213" t="s">
        <v>136</v>
      </c>
      <c r="D111" s="4189" t="s">
        <v>137</v>
      </c>
      <c r="E111" s="4189">
        <v>880</v>
      </c>
      <c r="F111" s="4189">
        <f>1002*11</f>
        <v>11022</v>
      </c>
      <c r="G111" s="4189">
        <v>1</v>
      </c>
      <c r="H111" s="4190">
        <f t="shared" ref="H111" si="32">F111*G111</f>
        <v>11022</v>
      </c>
      <c r="I111" s="4189">
        <f t="shared" si="28"/>
        <v>9699360</v>
      </c>
      <c r="J111" s="4205" t="s">
        <v>137</v>
      </c>
      <c r="K111" s="4189">
        <v>880</v>
      </c>
      <c r="L111" s="4189">
        <f>695*13</f>
        <v>9035</v>
      </c>
      <c r="M111" s="4189">
        <v>1</v>
      </c>
      <c r="N111" s="4190">
        <f t="shared" si="30"/>
        <v>9035</v>
      </c>
      <c r="O111" s="4206">
        <f t="shared" si="29"/>
        <v>7950800</v>
      </c>
      <c r="P111" s="4191"/>
      <c r="R111" s="4057"/>
    </row>
    <row r="112" spans="2:18" ht="22.5">
      <c r="C112" s="4274" t="s">
        <v>134</v>
      </c>
      <c r="D112" s="4276" t="s">
        <v>140</v>
      </c>
      <c r="E112" s="4276">
        <v>880</v>
      </c>
      <c r="F112" s="4276">
        <v>52582</v>
      </c>
      <c r="G112" s="4276">
        <v>1</v>
      </c>
      <c r="H112" s="4276"/>
      <c r="I112" s="4276">
        <f t="shared" si="28"/>
        <v>46272160</v>
      </c>
      <c r="J112" s="4277"/>
      <c r="K112" s="4278"/>
      <c r="L112" s="4278"/>
      <c r="M112" s="4278"/>
      <c r="N112" s="4278"/>
      <c r="O112" s="4279">
        <f t="shared" si="29"/>
        <v>0</v>
      </c>
      <c r="P112" s="4280">
        <f>I112+O112-I113-O113</f>
        <v>7685920</v>
      </c>
      <c r="R112" s="4057"/>
    </row>
    <row r="113" spans="2:18" ht="19.5" thickBot="1">
      <c r="B113" s="4173"/>
      <c r="C113" s="4212" t="s">
        <v>136</v>
      </c>
      <c r="D113" s="4186" t="s">
        <v>140</v>
      </c>
      <c r="E113" s="4186">
        <v>880</v>
      </c>
      <c r="F113" s="4186">
        <f>2436*18</f>
        <v>43848</v>
      </c>
      <c r="G113" s="4186">
        <v>1</v>
      </c>
      <c r="H113" s="4187">
        <f t="shared" ref="H113" si="33">F113*G113</f>
        <v>43848</v>
      </c>
      <c r="I113" s="4186">
        <f t="shared" si="28"/>
        <v>38586240</v>
      </c>
      <c r="J113" s="4207"/>
      <c r="K113" s="4186"/>
      <c r="L113" s="4186"/>
      <c r="M113" s="4186"/>
      <c r="N113" s="4187"/>
      <c r="O113" s="4208">
        <f t="shared" si="29"/>
        <v>0</v>
      </c>
      <c r="P113" s="4186"/>
      <c r="R113" s="4057"/>
    </row>
    <row r="114" spans="2:18" ht="22.5">
      <c r="B114" s="2486" t="s">
        <v>67</v>
      </c>
      <c r="C114" s="4274" t="s">
        <v>134</v>
      </c>
      <c r="D114" s="4275" t="s">
        <v>140</v>
      </c>
      <c r="E114" s="4276">
        <v>21000</v>
      </c>
      <c r="F114" s="4276">
        <v>52582</v>
      </c>
      <c r="G114" s="4276">
        <v>1</v>
      </c>
      <c r="H114" s="4276"/>
      <c r="I114" s="4276">
        <f t="shared" si="28"/>
        <v>1104222000</v>
      </c>
      <c r="J114" s="4277"/>
      <c r="K114" s="4278"/>
      <c r="L114" s="4278"/>
      <c r="M114" s="4278"/>
      <c r="N114" s="4278"/>
      <c r="O114" s="4279"/>
      <c r="P114" s="4280">
        <f>I114+O114-I115-O115</f>
        <v>183414000</v>
      </c>
      <c r="R114" s="4057"/>
    </row>
    <row r="115" spans="2:18" ht="23" thickBot="1">
      <c r="C115" s="4211" t="s">
        <v>136</v>
      </c>
      <c r="D115" s="2486" t="s">
        <v>140</v>
      </c>
      <c r="E115" s="4064">
        <v>21000</v>
      </c>
      <c r="F115" s="4064">
        <f>2436*18</f>
        <v>43848</v>
      </c>
      <c r="G115" s="4064">
        <v>1</v>
      </c>
      <c r="H115" s="4014">
        <f t="shared" ref="H115" si="34">F115*G115</f>
        <v>43848</v>
      </c>
      <c r="I115" s="4064">
        <f t="shared" si="28"/>
        <v>920808000</v>
      </c>
      <c r="J115" s="4197"/>
      <c r="K115" s="4064"/>
      <c r="L115" s="4064"/>
      <c r="M115" s="4064"/>
      <c r="N115" s="4014"/>
      <c r="O115" s="4198"/>
      <c r="P115" s="4185"/>
      <c r="R115" s="4057"/>
    </row>
    <row r="116" spans="2:18" ht="19.5" thickBot="1">
      <c r="B116" s="4007" t="s">
        <v>68</v>
      </c>
      <c r="C116" s="4214" t="s">
        <v>141</v>
      </c>
      <c r="D116" s="4007"/>
      <c r="E116" s="4007"/>
      <c r="F116" s="4007"/>
      <c r="G116" s="4007"/>
      <c r="H116" s="4188"/>
      <c r="I116" s="4007"/>
      <c r="J116" s="4209"/>
      <c r="K116" s="4007"/>
      <c r="L116" s="4007"/>
      <c r="M116" s="4007"/>
      <c r="N116" s="4188"/>
      <c r="O116" s="4210"/>
      <c r="P116" s="4007"/>
      <c r="Q116" s="2486" t="s">
        <v>141</v>
      </c>
      <c r="R116" s="4057" t="s">
        <v>141</v>
      </c>
    </row>
    <row r="117" spans="2:18" ht="22.5">
      <c r="B117" s="4007" t="s">
        <v>73</v>
      </c>
      <c r="C117" s="4288" t="s">
        <v>134</v>
      </c>
      <c r="D117" s="4289" t="s">
        <v>142</v>
      </c>
      <c r="E117" s="4290">
        <v>6000000</v>
      </c>
      <c r="F117" s="4290">
        <v>12</v>
      </c>
      <c r="G117" s="4290">
        <v>1</v>
      </c>
      <c r="H117" s="4290"/>
      <c r="I117" s="4290">
        <f t="shared" ref="I117:I119" si="35">E117*F117*G117</f>
        <v>72000000</v>
      </c>
      <c r="J117" s="4291" t="s">
        <v>142</v>
      </c>
      <c r="K117" s="4290">
        <v>2379000</v>
      </c>
      <c r="L117" s="4290">
        <v>7</v>
      </c>
      <c r="M117" s="4290">
        <v>1</v>
      </c>
      <c r="N117" s="4290"/>
      <c r="O117" s="4292">
        <f>K117*L117*M117</f>
        <v>16653000</v>
      </c>
      <c r="P117" s="4293">
        <f>I117+O117-I118-O118</f>
        <v>980</v>
      </c>
    </row>
    <row r="118" spans="2:18" ht="22.5">
      <c r="C118" s="4211" t="s">
        <v>136</v>
      </c>
      <c r="D118" s="2486" t="s">
        <v>139</v>
      </c>
      <c r="E118" s="4064">
        <v>6000000</v>
      </c>
      <c r="F118" s="4064">
        <v>12</v>
      </c>
      <c r="G118" s="4064">
        <v>1</v>
      </c>
      <c r="H118" s="4014"/>
      <c r="I118" s="4064">
        <f t="shared" si="35"/>
        <v>72000000</v>
      </c>
      <c r="J118" s="4197" t="s">
        <v>139</v>
      </c>
      <c r="K118" s="4064">
        <v>2378860</v>
      </c>
      <c r="L118" s="4064">
        <v>7</v>
      </c>
      <c r="M118" s="4064">
        <v>1</v>
      </c>
      <c r="N118" s="4014"/>
      <c r="O118" s="4198">
        <f>K118*L118*M118</f>
        <v>16652020</v>
      </c>
      <c r="P118" s="4185"/>
    </row>
    <row r="119" spans="2:18" ht="22.5">
      <c r="C119" s="4281" t="s">
        <v>134</v>
      </c>
      <c r="D119" s="4282" t="s">
        <v>143</v>
      </c>
      <c r="E119" s="4283">
        <v>9351000</v>
      </c>
      <c r="F119" s="4283">
        <v>1</v>
      </c>
      <c r="G119" s="4283">
        <v>1</v>
      </c>
      <c r="H119" s="4283"/>
      <c r="I119" s="4283">
        <f t="shared" si="35"/>
        <v>9351000</v>
      </c>
      <c r="J119" s="4284"/>
      <c r="K119" s="4285"/>
      <c r="L119" s="4285"/>
      <c r="M119" s="4285"/>
      <c r="N119" s="4285"/>
      <c r="O119" s="4286"/>
      <c r="P119" s="4287">
        <f>I119+O119-I120-O120</f>
        <v>9351000</v>
      </c>
    </row>
    <row r="120" spans="2:18" ht="22.5">
      <c r="C120" s="4213" t="s">
        <v>136</v>
      </c>
      <c r="D120" s="4178" t="s">
        <v>144</v>
      </c>
      <c r="E120" s="4189"/>
      <c r="F120" s="4189"/>
      <c r="G120" s="4189"/>
      <c r="H120" s="4190"/>
      <c r="I120" s="4189">
        <v>0</v>
      </c>
      <c r="J120" s="4205"/>
      <c r="K120" s="4189"/>
      <c r="L120" s="4189"/>
      <c r="M120" s="4189"/>
      <c r="N120" s="4190"/>
      <c r="O120" s="4206"/>
      <c r="P120" s="4191"/>
    </row>
    <row r="121" spans="2:18" ht="22.5">
      <c r="C121" s="4274" t="s">
        <v>134</v>
      </c>
      <c r="D121" s="4275" t="s">
        <v>145</v>
      </c>
      <c r="E121" s="4276">
        <v>1107000</v>
      </c>
      <c r="F121" s="4276">
        <v>1</v>
      </c>
      <c r="G121" s="4276">
        <v>1</v>
      </c>
      <c r="H121" s="4276"/>
      <c r="I121" s="4276">
        <f t="shared" ref="I121" si="36">E121*F121*G121</f>
        <v>1107000</v>
      </c>
      <c r="J121" s="4277"/>
      <c r="K121" s="4278"/>
      <c r="L121" s="4278"/>
      <c r="M121" s="4278"/>
      <c r="N121" s="4278"/>
      <c r="O121" s="4279"/>
      <c r="P121" s="4280">
        <f>I121+O121-I122-O122</f>
        <v>1107000</v>
      </c>
    </row>
    <row r="122" spans="2:18" ht="23" thickBot="1">
      <c r="B122" s="4173"/>
      <c r="C122" s="4212" t="s">
        <v>136</v>
      </c>
      <c r="D122" s="4173" t="s">
        <v>144</v>
      </c>
      <c r="E122" s="4186"/>
      <c r="F122" s="4186"/>
      <c r="G122" s="4186"/>
      <c r="H122" s="4187"/>
      <c r="I122" s="4186">
        <v>0</v>
      </c>
      <c r="J122" s="4207"/>
      <c r="K122" s="4186"/>
      <c r="L122" s="4186"/>
      <c r="M122" s="4186"/>
      <c r="N122" s="4187"/>
      <c r="O122" s="4208"/>
      <c r="P122" s="4192"/>
    </row>
    <row r="124" spans="2:18" ht="25.5">
      <c r="B124" s="4193" t="s">
        <v>146</v>
      </c>
    </row>
    <row r="125" spans="2:18" ht="22.5">
      <c r="B125" s="4351" t="s">
        <v>147</v>
      </c>
    </row>
    <row r="126" spans="2:18" ht="22.5">
      <c r="B126" s="4351" t="s">
        <v>148</v>
      </c>
    </row>
    <row r="128" spans="2:18">
      <c r="E128" s="4057"/>
      <c r="F128" s="4057"/>
      <c r="G128" s="4057"/>
      <c r="H128" s="4217"/>
      <c r="I128" s="4057"/>
      <c r="J128" s="4057"/>
      <c r="K128" s="4057"/>
      <c r="L128" s="4057"/>
      <c r="M128" s="4057"/>
      <c r="N128" s="4217"/>
      <c r="O128" s="4057"/>
      <c r="P128" s="4057"/>
    </row>
    <row r="129" spans="2:16" ht="26" thickBot="1">
      <c r="B129" s="4216" t="s">
        <v>149</v>
      </c>
      <c r="C129" s="4211"/>
      <c r="D129" s="4195"/>
      <c r="E129" s="4057"/>
      <c r="F129" s="4057"/>
      <c r="G129" s="4057"/>
      <c r="H129" s="4217"/>
      <c r="I129" s="4223"/>
      <c r="J129" s="4057"/>
      <c r="K129" s="4057"/>
      <c r="L129" s="4057"/>
      <c r="M129" s="4057"/>
      <c r="N129" s="4217"/>
      <c r="O129" s="4223"/>
      <c r="P129" s="2486" t="s">
        <v>133</v>
      </c>
    </row>
    <row r="130" spans="2:16" ht="22.5" customHeight="1">
      <c r="B130" s="4007" t="s">
        <v>81</v>
      </c>
      <c r="C130" s="4248" t="s">
        <v>150</v>
      </c>
      <c r="D130" s="4252" t="s">
        <v>50</v>
      </c>
      <c r="E130" s="4253">
        <v>3343936983</v>
      </c>
      <c r="F130" s="4253">
        <v>1</v>
      </c>
      <c r="G130" s="4253">
        <v>1</v>
      </c>
      <c r="H130" s="4253"/>
      <c r="I130" s="4254">
        <f t="shared" ref="I130:I140" si="37">E130*F130*G130</f>
        <v>3343936983</v>
      </c>
      <c r="J130" s="4253" t="s">
        <v>50</v>
      </c>
      <c r="K130" s="4253">
        <v>2615539538</v>
      </c>
      <c r="L130" s="4253">
        <v>1</v>
      </c>
      <c r="M130" s="4253">
        <v>1</v>
      </c>
      <c r="N130" s="4253"/>
      <c r="O130" s="4254">
        <f t="shared" ref="O130:O140" si="38">K130*L130*M130</f>
        <v>2615539538</v>
      </c>
      <c r="P130" s="4255">
        <f>I130+O130-I131-O131</f>
        <v>320728521</v>
      </c>
    </row>
    <row r="131" spans="2:16" ht="22.5">
      <c r="C131" s="4245" t="s">
        <v>151</v>
      </c>
      <c r="D131" s="4226" t="s">
        <v>50</v>
      </c>
      <c r="E131" s="4243">
        <v>3042692000</v>
      </c>
      <c r="F131" s="4243">
        <v>1</v>
      </c>
      <c r="G131" s="4243">
        <v>1</v>
      </c>
      <c r="H131" s="4244"/>
      <c r="I131" s="4233">
        <f t="shared" si="37"/>
        <v>3042692000</v>
      </c>
      <c r="J131" s="4243" t="s">
        <v>50</v>
      </c>
      <c r="K131" s="4243">
        <v>2596056000</v>
      </c>
      <c r="L131" s="4243">
        <v>1</v>
      </c>
      <c r="M131" s="4243">
        <v>1</v>
      </c>
      <c r="N131" s="4244"/>
      <c r="O131" s="4233">
        <f t="shared" si="38"/>
        <v>2596056000</v>
      </c>
      <c r="P131" s="4183"/>
    </row>
    <row r="132" spans="2:16" ht="22.5">
      <c r="C132" s="4249" t="s">
        <v>152</v>
      </c>
      <c r="D132" s="4256" t="s">
        <v>153</v>
      </c>
      <c r="E132" s="4257">
        <v>2334813782</v>
      </c>
      <c r="F132" s="4257">
        <v>1</v>
      </c>
      <c r="G132" s="4257">
        <v>1</v>
      </c>
      <c r="H132" s="4257"/>
      <c r="I132" s="4258">
        <f t="shared" si="37"/>
        <v>2334813782</v>
      </c>
      <c r="J132" s="4257" t="s">
        <v>153</v>
      </c>
      <c r="K132" s="4257">
        <v>470883600</v>
      </c>
      <c r="L132" s="4257">
        <v>1</v>
      </c>
      <c r="M132" s="4257">
        <v>1</v>
      </c>
      <c r="N132" s="4257"/>
      <c r="O132" s="4258">
        <f t="shared" si="38"/>
        <v>470883600</v>
      </c>
      <c r="P132" s="4259">
        <f>I132+O132-I133-O133</f>
        <v>-728328848</v>
      </c>
    </row>
    <row r="133" spans="2:16" ht="22.5">
      <c r="C133" s="4246" t="s">
        <v>154</v>
      </c>
      <c r="D133" s="4238" t="s">
        <v>153</v>
      </c>
      <c r="E133" s="4239">
        <v>2886270341</v>
      </c>
      <c r="F133" s="4239">
        <v>1</v>
      </c>
      <c r="G133" s="4239">
        <v>1</v>
      </c>
      <c r="H133" s="4240"/>
      <c r="I133" s="4241">
        <f t="shared" si="37"/>
        <v>2886270341</v>
      </c>
      <c r="J133" s="4239" t="s">
        <v>153</v>
      </c>
      <c r="K133" s="4239">
        <v>647755889</v>
      </c>
      <c r="L133" s="4239">
        <v>1</v>
      </c>
      <c r="M133" s="4239">
        <v>1</v>
      </c>
      <c r="N133" s="4240"/>
      <c r="O133" s="4241">
        <f t="shared" si="38"/>
        <v>647755889</v>
      </c>
      <c r="P133" s="4182"/>
    </row>
    <row r="134" spans="2:16" ht="22.5">
      <c r="C134" s="4249" t="s">
        <v>155</v>
      </c>
      <c r="D134" s="4256" t="s">
        <v>156</v>
      </c>
      <c r="E134" s="4257">
        <v>1469155319.8399999</v>
      </c>
      <c r="F134" s="4257">
        <v>1</v>
      </c>
      <c r="G134" s="4257">
        <v>1</v>
      </c>
      <c r="H134" s="4257"/>
      <c r="I134" s="4258">
        <f t="shared" si="37"/>
        <v>1469155319.8399999</v>
      </c>
      <c r="J134" s="4257" t="s">
        <v>156</v>
      </c>
      <c r="K134" s="4257">
        <v>364022448.31999999</v>
      </c>
      <c r="L134" s="4257">
        <v>1</v>
      </c>
      <c r="M134" s="4257">
        <v>1</v>
      </c>
      <c r="N134" s="4257"/>
      <c r="O134" s="4258">
        <f t="shared" si="38"/>
        <v>364022448.31999999</v>
      </c>
      <c r="P134" s="4260">
        <f>I134+O134-I135-O135</f>
        <v>891998816.15999985</v>
      </c>
    </row>
    <row r="135" spans="2:16" ht="22.5">
      <c r="C135" s="4246" t="s">
        <v>157</v>
      </c>
      <c r="D135" s="4238" t="s">
        <v>156</v>
      </c>
      <c r="E135" s="4239">
        <v>723774664</v>
      </c>
      <c r="F135" s="4239">
        <v>1</v>
      </c>
      <c r="G135" s="4239">
        <v>1</v>
      </c>
      <c r="H135" s="4240"/>
      <c r="I135" s="4241">
        <f t="shared" si="37"/>
        <v>723774664</v>
      </c>
      <c r="J135" s="4239" t="s">
        <v>156</v>
      </c>
      <c r="K135" s="4239">
        <v>217404288</v>
      </c>
      <c r="L135" s="4239">
        <v>1</v>
      </c>
      <c r="M135" s="4239">
        <v>1</v>
      </c>
      <c r="N135" s="4240"/>
      <c r="O135" s="4241">
        <f t="shared" si="38"/>
        <v>217404288</v>
      </c>
      <c r="P135" s="4242"/>
    </row>
    <row r="136" spans="2:16" ht="22.5">
      <c r="C136" s="4250" t="s">
        <v>158</v>
      </c>
      <c r="D136" s="4261" t="s">
        <v>159</v>
      </c>
      <c r="E136" s="4262">
        <v>1353014496.72</v>
      </c>
      <c r="F136" s="4262">
        <v>1</v>
      </c>
      <c r="G136" s="4262">
        <v>1</v>
      </c>
      <c r="H136" s="4262"/>
      <c r="I136" s="4263">
        <f t="shared" si="37"/>
        <v>1353014496.72</v>
      </c>
      <c r="J136" s="4262" t="s">
        <v>159</v>
      </c>
      <c r="K136" s="4262">
        <v>728165194.74000001</v>
      </c>
      <c r="L136" s="4262">
        <v>1</v>
      </c>
      <c r="M136" s="4262">
        <v>1</v>
      </c>
      <c r="N136" s="4262"/>
      <c r="O136" s="4263">
        <f t="shared" si="38"/>
        <v>728165194.74000001</v>
      </c>
      <c r="P136" s="4264">
        <f>I136+O136-I137-O137</f>
        <v>-1044194019.54</v>
      </c>
    </row>
    <row r="137" spans="2:16" ht="22.5">
      <c r="C137" s="4245" t="s">
        <v>160</v>
      </c>
      <c r="D137" s="4229" t="s">
        <v>159</v>
      </c>
      <c r="E137" s="4231">
        <v>2342187094</v>
      </c>
      <c r="F137" s="4231">
        <v>1</v>
      </c>
      <c r="G137" s="4231">
        <v>1</v>
      </c>
      <c r="H137" s="4232"/>
      <c r="I137" s="4233">
        <f t="shared" si="37"/>
        <v>2342187094</v>
      </c>
      <c r="J137" s="4231" t="s">
        <v>159</v>
      </c>
      <c r="K137" s="4231">
        <v>783186617</v>
      </c>
      <c r="L137" s="4231">
        <v>1</v>
      </c>
      <c r="M137" s="4231">
        <v>1</v>
      </c>
      <c r="N137" s="4232"/>
      <c r="O137" s="4233">
        <f t="shared" si="38"/>
        <v>783186617</v>
      </c>
      <c r="P137" s="4242"/>
    </row>
    <row r="138" spans="2:16" ht="22.5">
      <c r="C138" s="4249" t="s">
        <v>161</v>
      </c>
      <c r="D138" s="4256" t="s">
        <v>162</v>
      </c>
      <c r="E138" s="4257">
        <v>2133836764.1599998</v>
      </c>
      <c r="F138" s="4257">
        <v>1</v>
      </c>
      <c r="G138" s="4257">
        <v>1</v>
      </c>
      <c r="H138" s="4257"/>
      <c r="I138" s="4258">
        <f t="shared" si="37"/>
        <v>2133836764.1599998</v>
      </c>
      <c r="J138" s="4257" t="s">
        <v>162</v>
      </c>
      <c r="K138" s="4257">
        <v>632477201.91999996</v>
      </c>
      <c r="L138" s="4257">
        <v>1</v>
      </c>
      <c r="M138" s="4257">
        <v>1</v>
      </c>
      <c r="N138" s="4257"/>
      <c r="O138" s="4258">
        <f t="shared" si="38"/>
        <v>632477201.91999996</v>
      </c>
      <c r="P138" s="4265">
        <f>I138+O138-I139-O139</f>
        <v>548347380.07999992</v>
      </c>
    </row>
    <row r="139" spans="2:16" ht="23" thickBot="1">
      <c r="C139" s="4247" t="s">
        <v>163</v>
      </c>
      <c r="D139" s="4237" t="s">
        <v>164</v>
      </c>
      <c r="E139" s="4234">
        <v>1766582476</v>
      </c>
      <c r="F139" s="4234">
        <v>1</v>
      </c>
      <c r="G139" s="4234">
        <v>1</v>
      </c>
      <c r="H139" s="4235"/>
      <c r="I139" s="4236">
        <f t="shared" si="37"/>
        <v>1766582476</v>
      </c>
      <c r="J139" s="4234" t="s">
        <v>164</v>
      </c>
      <c r="K139" s="4234">
        <v>451384110</v>
      </c>
      <c r="L139" s="4234">
        <v>1</v>
      </c>
      <c r="M139" s="4234">
        <v>1</v>
      </c>
      <c r="N139" s="4235"/>
      <c r="O139" s="4236">
        <f t="shared" si="38"/>
        <v>451384110</v>
      </c>
      <c r="P139" s="4220"/>
    </row>
    <row r="140" spans="2:16" ht="22.5">
      <c r="B140" s="4007" t="s">
        <v>57</v>
      </c>
      <c r="C140" s="4248" t="s">
        <v>150</v>
      </c>
      <c r="D140" s="4261" t="s">
        <v>165</v>
      </c>
      <c r="E140" s="4262">
        <v>79313574</v>
      </c>
      <c r="F140" s="4262">
        <v>1</v>
      </c>
      <c r="G140" s="4262">
        <v>1</v>
      </c>
      <c r="H140" s="4262"/>
      <c r="I140" s="4263">
        <f t="shared" si="37"/>
        <v>79313574</v>
      </c>
      <c r="J140" s="4262" t="s">
        <v>86</v>
      </c>
      <c r="K140" s="4262">
        <v>30879036</v>
      </c>
      <c r="L140" s="4262">
        <v>1</v>
      </c>
      <c r="M140" s="4262">
        <v>1</v>
      </c>
      <c r="N140" s="4262"/>
      <c r="O140" s="4263">
        <f t="shared" si="38"/>
        <v>30879036</v>
      </c>
      <c r="P140" s="4265">
        <f>I140+O140-I141-O141</f>
        <v>110192610</v>
      </c>
    </row>
    <row r="141" spans="2:16" ht="22.5">
      <c r="C141" s="4245" t="s">
        <v>151</v>
      </c>
      <c r="D141" s="4229" t="s">
        <v>144</v>
      </c>
      <c r="E141" s="4057"/>
      <c r="F141" s="4057"/>
      <c r="G141" s="4057"/>
      <c r="H141" s="4217"/>
      <c r="I141" s="4223">
        <v>0</v>
      </c>
      <c r="J141" s="4057" t="s">
        <v>144</v>
      </c>
      <c r="K141" s="4057"/>
      <c r="L141" s="4057"/>
      <c r="M141" s="4057"/>
      <c r="N141" s="4217"/>
      <c r="O141" s="4223">
        <v>0</v>
      </c>
      <c r="P141" s="4183"/>
    </row>
    <row r="142" spans="2:16" ht="22.5">
      <c r="B142" s="4196"/>
      <c r="C142" s="4249" t="s">
        <v>152</v>
      </c>
      <c r="D142" s="4268" t="s">
        <v>166</v>
      </c>
      <c r="E142" s="4269">
        <v>446246570</v>
      </c>
      <c r="F142" s="4269">
        <v>1</v>
      </c>
      <c r="G142" s="4269">
        <v>1</v>
      </c>
      <c r="H142" s="4269"/>
      <c r="I142" s="4270">
        <f>E142*F142*G142</f>
        <v>446246570</v>
      </c>
      <c r="J142" s="4269" t="s">
        <v>166</v>
      </c>
      <c r="K142" s="4269">
        <v>72406400</v>
      </c>
      <c r="L142" s="4269">
        <v>1</v>
      </c>
      <c r="M142" s="4269">
        <v>1</v>
      </c>
      <c r="N142" s="4269"/>
      <c r="O142" s="4270">
        <f t="shared" ref="O142:O148" si="39">K142*L142*M142</f>
        <v>72406400</v>
      </c>
      <c r="P142" s="4259">
        <f>I142+O142-I143-O143</f>
        <v>-46756030</v>
      </c>
    </row>
    <row r="143" spans="2:16" ht="21" customHeight="1" thickBot="1">
      <c r="B143" s="4334"/>
      <c r="C143" s="4247" t="s">
        <v>154</v>
      </c>
      <c r="D143" s="4224" t="s">
        <v>166</v>
      </c>
      <c r="E143" s="4181">
        <v>487472000</v>
      </c>
      <c r="F143" s="4181">
        <v>1</v>
      </c>
      <c r="G143" s="4181">
        <v>1</v>
      </c>
      <c r="H143" s="4218"/>
      <c r="I143" s="4225">
        <f t="shared" ref="I143" si="40">E143*F143*G143</f>
        <v>487472000</v>
      </c>
      <c r="J143" s="4181" t="s">
        <v>166</v>
      </c>
      <c r="K143" s="4181">
        <v>77937000</v>
      </c>
      <c r="L143" s="4181">
        <v>1</v>
      </c>
      <c r="M143" s="4181">
        <v>1</v>
      </c>
      <c r="N143" s="4218"/>
      <c r="O143" s="4225">
        <f t="shared" si="39"/>
        <v>77937000</v>
      </c>
      <c r="P143" s="4220"/>
    </row>
    <row r="144" spans="2:16" ht="22.5">
      <c r="B144" s="2486" t="s">
        <v>74</v>
      </c>
      <c r="C144" s="4250" t="s">
        <v>134</v>
      </c>
      <c r="D144" s="4266" t="s">
        <v>50</v>
      </c>
      <c r="E144" s="4267">
        <v>1597110727.9349999</v>
      </c>
      <c r="F144" s="4267">
        <v>1</v>
      </c>
      <c r="G144" s="4267">
        <v>1</v>
      </c>
      <c r="H144" s="4267"/>
      <c r="I144" s="4254">
        <f>E144*F144*G144</f>
        <v>1597110727.9349999</v>
      </c>
      <c r="J144" s="4267" t="s">
        <v>50</v>
      </c>
      <c r="K144" s="4267">
        <v>1084333133.4000001</v>
      </c>
      <c r="L144" s="4267">
        <v>1</v>
      </c>
      <c r="M144" s="4267">
        <v>1</v>
      </c>
      <c r="N144" s="4267"/>
      <c r="O144" s="4254">
        <f t="shared" si="39"/>
        <v>1084333133.4000001</v>
      </c>
      <c r="P144" s="4265">
        <f>I144+O144-I145-O145</f>
        <v>792220861.33500004</v>
      </c>
    </row>
    <row r="145" spans="2:16" ht="22.5">
      <c r="C145" s="4245" t="s">
        <v>136</v>
      </c>
      <c r="D145" s="4226" t="s">
        <v>135</v>
      </c>
      <c r="E145" s="4057">
        <v>858588000</v>
      </c>
      <c r="F145" s="4057">
        <v>1</v>
      </c>
      <c r="G145" s="4057">
        <v>1</v>
      </c>
      <c r="H145" s="4217"/>
      <c r="I145" s="4223">
        <f t="shared" ref="I145:I153" si="41">E145*F145*G145</f>
        <v>858588000</v>
      </c>
      <c r="J145" s="4057" t="s">
        <v>135</v>
      </c>
      <c r="K145" s="4057">
        <v>1030635000</v>
      </c>
      <c r="L145" s="4057">
        <v>1</v>
      </c>
      <c r="M145" s="4057">
        <v>1</v>
      </c>
      <c r="N145" s="4217"/>
      <c r="O145" s="4223">
        <f t="shared" si="39"/>
        <v>1030635000</v>
      </c>
      <c r="P145" s="4183"/>
    </row>
    <row r="146" spans="2:16" ht="22.5">
      <c r="C146" s="4249" t="s">
        <v>152</v>
      </c>
      <c r="D146" s="4268" t="s">
        <v>167</v>
      </c>
      <c r="E146" s="4269">
        <v>1140877642.102</v>
      </c>
      <c r="F146" s="4269">
        <v>1</v>
      </c>
      <c r="G146" s="4269">
        <v>1</v>
      </c>
      <c r="H146" s="4269"/>
      <c r="I146" s="4270">
        <f t="shared" si="41"/>
        <v>1140877642.102</v>
      </c>
      <c r="J146" s="4271" t="s">
        <v>167</v>
      </c>
      <c r="K146" s="4269">
        <v>288657600.00000006</v>
      </c>
      <c r="L146" s="4269">
        <v>1</v>
      </c>
      <c r="M146" s="4269">
        <v>1</v>
      </c>
      <c r="N146" s="4269"/>
      <c r="O146" s="4270">
        <f t="shared" si="39"/>
        <v>288657600.00000006</v>
      </c>
      <c r="P146" s="4259">
        <f>I146+O146-I147-O147</f>
        <v>-131620757.898</v>
      </c>
    </row>
    <row r="147" spans="2:16" ht="22.5">
      <c r="C147" s="4246" t="s">
        <v>154</v>
      </c>
      <c r="D147" s="4227" t="s">
        <v>166</v>
      </c>
      <c r="E147" s="4221">
        <v>1178446000</v>
      </c>
      <c r="F147" s="4221">
        <v>1</v>
      </c>
      <c r="G147" s="4221">
        <v>1</v>
      </c>
      <c r="H147" s="4222"/>
      <c r="I147" s="4228">
        <f t="shared" si="41"/>
        <v>1178446000</v>
      </c>
      <c r="J147" s="4221" t="s">
        <v>166</v>
      </c>
      <c r="K147" s="4221">
        <v>382710000</v>
      </c>
      <c r="L147" s="4221">
        <v>1</v>
      </c>
      <c r="M147" s="4221">
        <v>1</v>
      </c>
      <c r="N147" s="4222"/>
      <c r="O147" s="4228">
        <f t="shared" si="39"/>
        <v>382710000</v>
      </c>
      <c r="P147" s="4182"/>
    </row>
    <row r="148" spans="2:16" ht="22.5">
      <c r="C148" s="4250" t="s">
        <v>168</v>
      </c>
      <c r="D148" s="4266" t="s">
        <v>169</v>
      </c>
      <c r="E148" s="4272">
        <v>745838253</v>
      </c>
      <c r="F148" s="4272">
        <v>1</v>
      </c>
      <c r="G148" s="4272">
        <v>1</v>
      </c>
      <c r="H148" s="4272"/>
      <c r="I148" s="4273">
        <f t="shared" si="41"/>
        <v>745838253</v>
      </c>
      <c r="J148" s="4266" t="s">
        <v>169</v>
      </c>
      <c r="K148" s="4272">
        <v>481939726</v>
      </c>
      <c r="L148" s="4272">
        <v>1</v>
      </c>
      <c r="M148" s="4272">
        <v>1</v>
      </c>
      <c r="N148" s="4272"/>
      <c r="O148" s="4273">
        <f t="shared" si="39"/>
        <v>481939726</v>
      </c>
      <c r="P148" s="4265">
        <f>I148+O148-I149-O149</f>
        <v>1227777979</v>
      </c>
    </row>
    <row r="149" spans="2:16" ht="23" thickBot="1">
      <c r="C149" s="4245" t="s">
        <v>170</v>
      </c>
      <c r="D149" s="4229" t="s">
        <v>144</v>
      </c>
      <c r="E149" s="4057"/>
      <c r="F149" s="4057"/>
      <c r="G149" s="4057"/>
      <c r="H149" s="4217"/>
      <c r="I149" s="4223">
        <v>0</v>
      </c>
      <c r="J149" s="4057" t="s">
        <v>144</v>
      </c>
      <c r="K149" s="4057"/>
      <c r="L149" s="4057"/>
      <c r="M149" s="4057"/>
      <c r="N149" s="4217"/>
      <c r="O149" s="4223">
        <v>0</v>
      </c>
      <c r="P149" s="4183"/>
    </row>
    <row r="150" spans="2:16" ht="22.5">
      <c r="B150" s="4007" t="s">
        <v>76</v>
      </c>
      <c r="C150" s="4248" t="s">
        <v>171</v>
      </c>
      <c r="D150" s="4252" t="s">
        <v>172</v>
      </c>
      <c r="E150" s="4253">
        <v>58961164.900000006</v>
      </c>
      <c r="F150" s="4253">
        <v>1</v>
      </c>
      <c r="G150" s="4253">
        <v>1</v>
      </c>
      <c r="H150" s="4253"/>
      <c r="I150" s="4254">
        <f t="shared" si="41"/>
        <v>58961164.900000006</v>
      </c>
      <c r="J150" s="4252" t="s">
        <v>172</v>
      </c>
      <c r="K150" s="4253">
        <v>87391199.5</v>
      </c>
      <c r="L150" s="4253">
        <v>1</v>
      </c>
      <c r="M150" s="4253">
        <v>1</v>
      </c>
      <c r="N150" s="4253"/>
      <c r="O150" s="4254">
        <f t="shared" ref="O150" si="42">K150*L150*M150</f>
        <v>87391199.5</v>
      </c>
      <c r="P150" s="4255">
        <f>I150+O150-I151-O151</f>
        <v>146352364.40000001</v>
      </c>
    </row>
    <row r="151" spans="2:16" ht="22.5">
      <c r="C151" s="4245" t="s">
        <v>173</v>
      </c>
      <c r="D151" s="4227" t="s">
        <v>144</v>
      </c>
      <c r="E151" s="4057"/>
      <c r="F151" s="4057"/>
      <c r="G151" s="4057"/>
      <c r="H151" s="4217"/>
      <c r="I151" s="4223">
        <v>0</v>
      </c>
      <c r="J151" s="4057" t="s">
        <v>144</v>
      </c>
      <c r="K151" s="4057"/>
      <c r="L151" s="4057"/>
      <c r="M151" s="4057"/>
      <c r="N151" s="4217"/>
      <c r="O151" s="4223">
        <v>0</v>
      </c>
      <c r="P151" s="4183"/>
    </row>
    <row r="152" spans="2:16" ht="22.5">
      <c r="C152" s="4251" t="s">
        <v>152</v>
      </c>
      <c r="D152" s="4268" t="s">
        <v>174</v>
      </c>
      <c r="E152" s="4269">
        <v>46075904.899999999</v>
      </c>
      <c r="F152" s="4269">
        <v>1</v>
      </c>
      <c r="G152" s="4269">
        <v>1</v>
      </c>
      <c r="H152" s="4269"/>
      <c r="I152" s="4270">
        <f t="shared" si="41"/>
        <v>46075904.899999999</v>
      </c>
      <c r="J152" s="4268" t="s">
        <v>174</v>
      </c>
      <c r="K152" s="4269">
        <v>792000</v>
      </c>
      <c r="L152" s="4269">
        <v>1</v>
      </c>
      <c r="M152" s="4269">
        <v>1</v>
      </c>
      <c r="N152" s="4269"/>
      <c r="O152" s="4270">
        <f t="shared" ref="O152:O153" si="43">K152*L152*M152</f>
        <v>792000</v>
      </c>
      <c r="P152" s="4259">
        <f>I152+O152-I153-O153</f>
        <v>-7599095.1000000015</v>
      </c>
    </row>
    <row r="153" spans="2:16" ht="23" thickBot="1">
      <c r="B153" s="4173"/>
      <c r="C153" s="4247" t="s">
        <v>154</v>
      </c>
      <c r="D153" s="4230" t="s">
        <v>166</v>
      </c>
      <c r="E153" s="4181">
        <v>34400000</v>
      </c>
      <c r="F153" s="4181">
        <v>1</v>
      </c>
      <c r="G153" s="4181">
        <v>1</v>
      </c>
      <c r="H153" s="4218"/>
      <c r="I153" s="4225">
        <f t="shared" si="41"/>
        <v>34400000</v>
      </c>
      <c r="J153" s="4181" t="s">
        <v>166</v>
      </c>
      <c r="K153" s="4181">
        <v>20067000</v>
      </c>
      <c r="L153" s="4181">
        <v>1</v>
      </c>
      <c r="M153" s="4181">
        <v>1</v>
      </c>
      <c r="N153" s="4218"/>
      <c r="O153" s="4225">
        <f t="shared" si="43"/>
        <v>20067000</v>
      </c>
      <c r="P153" s="4220"/>
    </row>
    <row r="154" spans="2:16" ht="22.5">
      <c r="B154" s="4007"/>
      <c r="E154" s="4057"/>
      <c r="F154" s="4057"/>
      <c r="G154" s="4057"/>
      <c r="H154" s="4217"/>
      <c r="I154" s="4057"/>
      <c r="J154" s="4057"/>
      <c r="K154" s="4057"/>
      <c r="L154" s="4057"/>
      <c r="M154" s="4057"/>
      <c r="N154" s="4217"/>
      <c r="O154" s="4057"/>
      <c r="P154" s="4183"/>
    </row>
    <row r="155" spans="2:16" ht="31" customHeight="1">
      <c r="B155" s="4193" t="s">
        <v>146</v>
      </c>
      <c r="E155" s="4057"/>
      <c r="F155" s="4057"/>
      <c r="G155" s="4057"/>
      <c r="H155" s="4217"/>
      <c r="I155" s="4057"/>
      <c r="J155" s="4057"/>
      <c r="K155" s="4057"/>
      <c r="L155" s="4057"/>
      <c r="M155" s="4057"/>
      <c r="N155" s="4217"/>
      <c r="O155" s="4057"/>
      <c r="P155" s="4057"/>
    </row>
    <row r="156" spans="2:16" ht="141.65" customHeight="1">
      <c r="B156" s="6416" t="s">
        <v>175</v>
      </c>
      <c r="C156" s="6416"/>
      <c r="D156" s="6416"/>
      <c r="E156" s="6416"/>
      <c r="F156" s="6416"/>
      <c r="G156" s="6416"/>
      <c r="H156" s="6416"/>
      <c r="I156" s="6416"/>
      <c r="J156" s="6416"/>
      <c r="K156" s="6416"/>
      <c r="L156" s="6416"/>
      <c r="M156" s="6416"/>
      <c r="N156" s="6416"/>
      <c r="O156" s="6416"/>
    </row>
    <row r="157" spans="2:16" ht="105" customHeight="1">
      <c r="B157" s="6416"/>
      <c r="C157" s="6416"/>
      <c r="D157" s="6416"/>
      <c r="E157" s="6416"/>
      <c r="F157" s="6416"/>
      <c r="G157" s="6416"/>
      <c r="H157" s="6416"/>
      <c r="I157" s="6416"/>
      <c r="J157" s="6416"/>
      <c r="K157" s="6416"/>
      <c r="L157" s="6416"/>
      <c r="M157" s="6416"/>
      <c r="N157" s="6416"/>
      <c r="O157" s="6416"/>
    </row>
    <row r="158" spans="2:16" ht="130" customHeight="1">
      <c r="B158" s="6416"/>
      <c r="C158" s="6416"/>
      <c r="D158" s="6416"/>
      <c r="E158" s="6416"/>
      <c r="F158" s="6416"/>
      <c r="G158" s="6416"/>
      <c r="H158" s="6416"/>
      <c r="I158" s="6416"/>
      <c r="J158" s="6416"/>
      <c r="K158" s="6416"/>
      <c r="L158" s="6416"/>
      <c r="M158" s="6416"/>
      <c r="N158" s="6416"/>
      <c r="O158" s="6416"/>
    </row>
    <row r="159" spans="2:16">
      <c r="B159" s="6416"/>
      <c r="C159" s="6416"/>
      <c r="D159" s="6416"/>
      <c r="E159" s="6416"/>
      <c r="F159" s="6416"/>
      <c r="G159" s="6416"/>
      <c r="H159" s="6416"/>
      <c r="I159" s="6416"/>
      <c r="J159" s="6416"/>
      <c r="K159" s="6416"/>
      <c r="L159" s="6416"/>
      <c r="M159" s="6416"/>
      <c r="N159" s="6416"/>
      <c r="O159" s="6416"/>
    </row>
    <row r="160" spans="2:16">
      <c r="B160" s="6416"/>
      <c r="C160" s="6416"/>
      <c r="D160" s="6416"/>
      <c r="E160" s="6416"/>
      <c r="F160" s="6416"/>
      <c r="G160" s="6416"/>
      <c r="H160" s="6416"/>
      <c r="I160" s="6416"/>
      <c r="J160" s="6416"/>
      <c r="K160" s="6416"/>
      <c r="L160" s="6416"/>
      <c r="M160" s="6416"/>
      <c r="N160" s="6416"/>
      <c r="O160" s="6416"/>
    </row>
  </sheetData>
  <mergeCells count="1">
    <mergeCell ref="B156:O160"/>
  </mergeCells>
  <phoneticPr fontId="2"/>
  <pageMargins left="0.25" right="0.25" top="0.75" bottom="0.75" header="0.3" footer="0.3"/>
  <pageSetup paperSize="9" scale="28"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AC8B4-4C5A-4495-88DE-37EC6430093B}">
  <sheetPr codeName="Sheet428">
    <tabColor rgb="FFFFC000"/>
    <pageSetUpPr fitToPage="1"/>
  </sheetPr>
  <dimension ref="A1:R216"/>
  <sheetViews>
    <sheetView zoomScale="40" zoomScaleNormal="40" workbookViewId="0">
      <selection activeCell="E88" sqref="E88"/>
    </sheetView>
  </sheetViews>
  <sheetFormatPr defaultColWidth="8.7265625" defaultRowHeight="19"/>
  <cols>
    <col min="1" max="1" width="14.6328125" style="2486" customWidth="1"/>
    <col min="2" max="2" width="60.81640625" style="2486" customWidth="1"/>
    <col min="3" max="3" width="29" style="2486" customWidth="1"/>
    <col min="4" max="4" width="39.54296875" style="2486" customWidth="1"/>
    <col min="5" max="5" width="21.1796875" style="2486" customWidth="1"/>
    <col min="6" max="6" width="13.7265625" style="2486" bestFit="1" customWidth="1"/>
    <col min="7" max="7" width="8.7265625" style="2486"/>
    <col min="8" max="8" width="0" style="4004" hidden="1" customWidth="1"/>
    <col min="9" max="9" width="22.7265625" style="2486" customWidth="1"/>
    <col min="10" max="10" width="39.54296875" style="2486" customWidth="1"/>
    <col min="11" max="11" width="20" style="2486" customWidth="1"/>
    <col min="12" max="12" width="10.7265625" style="2486" customWidth="1"/>
    <col min="13" max="13" width="9.54296875" style="2486" bestFit="1" customWidth="1"/>
    <col min="14" max="14" width="12.453125" style="4004" hidden="1" customWidth="1"/>
    <col min="15" max="15" width="21.453125" style="2486" customWidth="1"/>
    <col min="16" max="16" width="28.453125" style="2486" customWidth="1"/>
    <col min="17" max="17" width="25.1796875" style="2486" hidden="1" customWidth="1"/>
    <col min="18" max="18" width="24.81640625" style="2486" customWidth="1"/>
    <col min="19" max="16384" width="8.7265625" style="2486"/>
  </cols>
  <sheetData>
    <row r="1" spans="1:16" ht="19.5" thickBot="1"/>
    <row r="2" spans="1:16" hidden="1">
      <c r="A2" s="4002" t="s">
        <v>35</v>
      </c>
      <c r="B2" s="4146" t="s">
        <v>36</v>
      </c>
      <c r="C2" s="4070"/>
      <c r="D2" s="4003" t="s">
        <v>37</v>
      </c>
      <c r="H2" s="4004" t="s">
        <v>38</v>
      </c>
      <c r="I2" s="4005"/>
      <c r="J2" s="2486" t="s">
        <v>39</v>
      </c>
      <c r="N2" s="4004" t="s">
        <v>38</v>
      </c>
      <c r="O2" s="4005"/>
      <c r="P2" s="4079" t="s">
        <v>40</v>
      </c>
    </row>
    <row r="3" spans="1:16" hidden="1">
      <c r="B3" s="2486" t="s">
        <v>41</v>
      </c>
      <c r="C3" s="4071" t="s">
        <v>42</v>
      </c>
      <c r="D3" s="4003" t="s">
        <v>43</v>
      </c>
      <c r="E3" s="4006" t="s">
        <v>44</v>
      </c>
      <c r="F3" s="4006" t="s">
        <v>45</v>
      </c>
      <c r="G3" s="4006" t="s">
        <v>46</v>
      </c>
      <c r="I3" s="4005" t="s">
        <v>47</v>
      </c>
      <c r="J3" s="2486" t="s">
        <v>43</v>
      </c>
      <c r="K3" s="4006" t="s">
        <v>44</v>
      </c>
      <c r="L3" s="4006" t="s">
        <v>45</v>
      </c>
      <c r="M3" s="4006" t="s">
        <v>46</v>
      </c>
      <c r="O3" s="4005" t="s">
        <v>47</v>
      </c>
      <c r="P3" s="4079" t="s">
        <v>48</v>
      </c>
    </row>
    <row r="4" spans="1:16" hidden="1">
      <c r="B4" s="4007" t="s">
        <v>49</v>
      </c>
      <c r="C4" s="5871">
        <f>SUM(P4,P5)</f>
        <v>15457292778</v>
      </c>
      <c r="D4" s="4008" t="s">
        <v>50</v>
      </c>
      <c r="E4" s="4009">
        <v>3042691395</v>
      </c>
      <c r="F4" s="4009">
        <v>1</v>
      </c>
      <c r="G4" s="4009">
        <v>1</v>
      </c>
      <c r="H4" s="4010"/>
      <c r="I4" s="5863">
        <f t="shared" ref="I4:I5" si="0">E4*F4*G4</f>
        <v>3042691395</v>
      </c>
      <c r="J4" s="4008" t="s">
        <v>50</v>
      </c>
      <c r="K4" s="4011">
        <v>2596055904</v>
      </c>
      <c r="L4" s="4011">
        <v>1</v>
      </c>
      <c r="M4" s="4011">
        <v>1</v>
      </c>
      <c r="N4" s="4010"/>
      <c r="O4" s="5865">
        <f>K4*L4*M4</f>
        <v>2596055904</v>
      </c>
      <c r="P4" s="4080">
        <f>I4+O4</f>
        <v>5638747299</v>
      </c>
    </row>
    <row r="5" spans="1:16" hidden="1">
      <c r="C5" s="5872"/>
      <c r="D5" s="4012" t="s">
        <v>51</v>
      </c>
      <c r="E5" s="4013">
        <v>7718814575</v>
      </c>
      <c r="F5" s="4013">
        <v>1</v>
      </c>
      <c r="G5" s="4013">
        <v>1</v>
      </c>
      <c r="H5" s="4014"/>
      <c r="I5" s="5864">
        <f t="shared" si="0"/>
        <v>7718814575</v>
      </c>
      <c r="J5" s="4012" t="s">
        <v>51</v>
      </c>
      <c r="K5" s="4016">
        <v>2099730904</v>
      </c>
      <c r="L5" s="4016">
        <v>1</v>
      </c>
      <c r="M5" s="4016">
        <v>1</v>
      </c>
      <c r="N5" s="4014"/>
      <c r="O5" s="5866">
        <f t="shared" ref="O5" si="1">K5*L5*M5</f>
        <v>2099730904</v>
      </c>
      <c r="P5" s="4081">
        <f>I5+O5</f>
        <v>9818545479</v>
      </c>
    </row>
    <row r="6" spans="1:16" hidden="1">
      <c r="C6" s="5872"/>
      <c r="D6" s="4126" t="s">
        <v>52</v>
      </c>
      <c r="E6" s="4118">
        <v>2004704909</v>
      </c>
      <c r="F6" s="4127">
        <v>1</v>
      </c>
      <c r="G6" s="4127">
        <v>1</v>
      </c>
      <c r="H6" s="4014"/>
      <c r="I6" s="4118">
        <f>E6*F6*G6</f>
        <v>2004704909</v>
      </c>
      <c r="J6" s="4126" t="s">
        <v>52</v>
      </c>
      <c r="K6" s="4118">
        <v>197828150</v>
      </c>
      <c r="L6" s="4127">
        <v>1</v>
      </c>
      <c r="M6" s="4127">
        <v>1</v>
      </c>
      <c r="N6" s="4014"/>
      <c r="O6" s="4118">
        <f>K6*L6*M6</f>
        <v>197828150</v>
      </c>
      <c r="P6" s="4128">
        <f t="shared" ref="P6:P10" si="2">I6+O6</f>
        <v>2202533059</v>
      </c>
    </row>
    <row r="7" spans="1:16" hidden="1">
      <c r="C7" s="5872"/>
      <c r="D7" s="4126" t="s">
        <v>53</v>
      </c>
      <c r="E7" s="4118">
        <v>881565432</v>
      </c>
      <c r="F7" s="4127">
        <v>1</v>
      </c>
      <c r="G7" s="4127">
        <v>1</v>
      </c>
      <c r="H7" s="4014"/>
      <c r="I7" s="4118">
        <f t="shared" ref="I7:I30" si="3">E7*F7*G7</f>
        <v>881565432</v>
      </c>
      <c r="J7" s="4126" t="s">
        <v>53</v>
      </c>
      <c r="K7" s="4118">
        <v>449927739</v>
      </c>
      <c r="L7" s="4127">
        <v>1</v>
      </c>
      <c r="M7" s="4127">
        <v>1</v>
      </c>
      <c r="N7" s="4014"/>
      <c r="O7" s="4118">
        <f>K7*L7*M7</f>
        <v>449927739</v>
      </c>
      <c r="P7" s="4128">
        <f t="shared" si="2"/>
        <v>1331493171</v>
      </c>
    </row>
    <row r="8" spans="1:16" hidden="1">
      <c r="C8" s="5872"/>
      <c r="D8" s="4126" t="s">
        <v>54</v>
      </c>
      <c r="E8" s="4118">
        <v>723774664</v>
      </c>
      <c r="F8" s="4127">
        <v>1</v>
      </c>
      <c r="G8" s="4127">
        <v>1</v>
      </c>
      <c r="H8" s="4014"/>
      <c r="I8" s="4118">
        <f t="shared" si="3"/>
        <v>723774664</v>
      </c>
      <c r="J8" s="4126" t="s">
        <v>54</v>
      </c>
      <c r="K8" s="4118">
        <v>217404288</v>
      </c>
      <c r="L8" s="4127">
        <v>1</v>
      </c>
      <c r="M8" s="4127">
        <v>1</v>
      </c>
      <c r="N8" s="4014"/>
      <c r="O8" s="4118">
        <f t="shared" ref="O8:O26" si="4">K8*L8*M8</f>
        <v>217404288</v>
      </c>
      <c r="P8" s="4128">
        <f t="shared" si="2"/>
        <v>941178952</v>
      </c>
    </row>
    <row r="9" spans="1:16" hidden="1">
      <c r="C9" s="5872"/>
      <c r="D9" s="4126" t="s">
        <v>55</v>
      </c>
      <c r="E9" s="4118">
        <f>SUM('財政見通し積算 (全SH全項目統合版）'!AD29)</f>
        <v>2342187094</v>
      </c>
      <c r="F9" s="4127">
        <v>1</v>
      </c>
      <c r="G9" s="4127">
        <v>1</v>
      </c>
      <c r="H9" s="4014"/>
      <c r="I9" s="4118">
        <f t="shared" si="3"/>
        <v>2342187094</v>
      </c>
      <c r="J9" s="4126" t="s">
        <v>55</v>
      </c>
      <c r="K9" s="4118">
        <v>783186617</v>
      </c>
      <c r="L9" s="4127">
        <v>1</v>
      </c>
      <c r="M9" s="4127">
        <v>1</v>
      </c>
      <c r="N9" s="4014"/>
      <c r="O9" s="4118">
        <f t="shared" si="4"/>
        <v>783186617</v>
      </c>
      <c r="P9" s="4128">
        <f t="shared" si="2"/>
        <v>3125373711</v>
      </c>
    </row>
    <row r="10" spans="1:16" hidden="1">
      <c r="C10" s="5872"/>
      <c r="D10" s="4126" t="s">
        <v>56</v>
      </c>
      <c r="E10" s="4118">
        <f>SUM('財政見通し積算 (全SH全項目統合版）'!AD30)</f>
        <v>1766582476</v>
      </c>
      <c r="F10" s="4127">
        <v>1</v>
      </c>
      <c r="G10" s="4127">
        <v>1</v>
      </c>
      <c r="H10" s="4014"/>
      <c r="I10" s="4118">
        <f t="shared" si="3"/>
        <v>1766582476</v>
      </c>
      <c r="J10" s="4126" t="s">
        <v>56</v>
      </c>
      <c r="K10" s="4114">
        <f>SUM('財政見通し積算 (全SH全項目統合版）'!AD35)</f>
        <v>451384110</v>
      </c>
      <c r="L10" s="4127">
        <v>1</v>
      </c>
      <c r="M10" s="4127">
        <v>1</v>
      </c>
      <c r="N10" s="4014"/>
      <c r="O10" s="4118">
        <f t="shared" si="4"/>
        <v>451384110</v>
      </c>
      <c r="P10" s="4128">
        <f t="shared" si="2"/>
        <v>2217966586</v>
      </c>
    </row>
    <row r="11" spans="1:16" hidden="1">
      <c r="B11" s="4018" t="s">
        <v>57</v>
      </c>
      <c r="C11" s="5873">
        <f>SUM(P11:P12)</f>
        <v>1660274332</v>
      </c>
      <c r="D11" s="4019" t="s">
        <v>50</v>
      </c>
      <c r="E11" s="4020">
        <v>16900</v>
      </c>
      <c r="F11" s="4020">
        <v>3546</v>
      </c>
      <c r="G11" s="4020">
        <v>11</v>
      </c>
      <c r="H11" s="4021">
        <f>F11*G11</f>
        <v>39006</v>
      </c>
      <c r="I11" s="4022">
        <f t="shared" si="3"/>
        <v>659201400</v>
      </c>
      <c r="J11" s="4023" t="s">
        <v>50</v>
      </c>
      <c r="K11" s="4024">
        <v>16900</v>
      </c>
      <c r="L11" s="4024">
        <f>3305*0.6</f>
        <v>1983</v>
      </c>
      <c r="M11" s="4024">
        <v>13</v>
      </c>
      <c r="N11" s="4021">
        <f>L11*M11</f>
        <v>25779</v>
      </c>
      <c r="O11" s="4025">
        <f t="shared" si="4"/>
        <v>435665100</v>
      </c>
      <c r="P11" s="4082">
        <f>I11+O11</f>
        <v>1094866500</v>
      </c>
    </row>
    <row r="12" spans="1:16" hidden="1">
      <c r="C12" s="5872"/>
      <c r="D12" s="4012" t="s">
        <v>51</v>
      </c>
      <c r="E12" s="4016">
        <f>SUM(E13:E14)</f>
        <v>487471732</v>
      </c>
      <c r="F12" s="4013">
        <v>1</v>
      </c>
      <c r="G12" s="4013">
        <v>1</v>
      </c>
      <c r="H12" s="4014"/>
      <c r="I12" s="4015">
        <f t="shared" si="3"/>
        <v>487471732</v>
      </c>
      <c r="J12" s="4012" t="s">
        <v>51</v>
      </c>
      <c r="K12" s="4016">
        <f>SUM(K13:K14)</f>
        <v>77936100</v>
      </c>
      <c r="L12" s="4016">
        <v>1</v>
      </c>
      <c r="M12" s="4016">
        <v>1</v>
      </c>
      <c r="N12" s="4014"/>
      <c r="O12" s="4017">
        <f t="shared" si="4"/>
        <v>77936100</v>
      </c>
      <c r="P12" s="4081">
        <f>I12+O12</f>
        <v>565407832</v>
      </c>
    </row>
    <row r="13" spans="1:16" hidden="1">
      <c r="C13" s="5872"/>
      <c r="D13" s="4337" t="s">
        <v>58</v>
      </c>
      <c r="E13" s="4118">
        <v>324285720</v>
      </c>
      <c r="F13" s="4118">
        <v>1</v>
      </c>
      <c r="G13" s="4118">
        <v>1</v>
      </c>
      <c r="H13" s="4115"/>
      <c r="I13" s="4119">
        <f t="shared" si="3"/>
        <v>324285720</v>
      </c>
      <c r="J13" s="4337" t="s">
        <v>58</v>
      </c>
      <c r="K13" s="4114">
        <v>23802106</v>
      </c>
      <c r="L13" s="4114">
        <v>1</v>
      </c>
      <c r="M13" s="4114">
        <v>1</v>
      </c>
      <c r="N13" s="4115"/>
      <c r="O13" s="4116">
        <f t="shared" si="4"/>
        <v>23802106</v>
      </c>
      <c r="P13" s="4128">
        <f t="shared" ref="P13:P30" si="5">I13+O13</f>
        <v>348087826</v>
      </c>
    </row>
    <row r="14" spans="1:16" hidden="1">
      <c r="C14" s="5872"/>
      <c r="D14" s="4337" t="s">
        <v>59</v>
      </c>
      <c r="E14" s="4118">
        <v>163186012</v>
      </c>
      <c r="F14" s="4118">
        <v>1</v>
      </c>
      <c r="G14" s="4118">
        <v>1</v>
      </c>
      <c r="H14" s="4115"/>
      <c r="I14" s="4119">
        <f t="shared" si="3"/>
        <v>163186012</v>
      </c>
      <c r="J14" s="4337" t="s">
        <v>59</v>
      </c>
      <c r="K14" s="4114">
        <v>54133994</v>
      </c>
      <c r="L14" s="4114">
        <v>1</v>
      </c>
      <c r="M14" s="4114">
        <v>1</v>
      </c>
      <c r="N14" s="4115"/>
      <c r="O14" s="4116">
        <f t="shared" si="4"/>
        <v>54133994</v>
      </c>
      <c r="P14" s="5870">
        <f t="shared" si="5"/>
        <v>217320006</v>
      </c>
    </row>
    <row r="15" spans="1:16" hidden="1">
      <c r="C15" s="5872"/>
      <c r="D15" s="4012" t="s">
        <v>60</v>
      </c>
      <c r="E15" s="4013">
        <v>21000</v>
      </c>
      <c r="F15" s="4013">
        <v>725</v>
      </c>
      <c r="G15" s="4013">
        <v>11</v>
      </c>
      <c r="H15" s="4014">
        <f>F15*G15</f>
        <v>7975</v>
      </c>
      <c r="I15" s="5846">
        <v>167496000</v>
      </c>
      <c r="J15" s="4026" t="s">
        <v>61</v>
      </c>
      <c r="K15" s="4016">
        <v>21000</v>
      </c>
      <c r="L15" s="4016">
        <f>695*0.6</f>
        <v>417</v>
      </c>
      <c r="M15" s="4016">
        <v>13</v>
      </c>
      <c r="N15" s="4014">
        <f>L15*M15</f>
        <v>5421</v>
      </c>
      <c r="O15" s="5848">
        <f t="shared" si="4"/>
        <v>113841000</v>
      </c>
      <c r="P15" s="4081">
        <f t="shared" si="5"/>
        <v>281337000</v>
      </c>
    </row>
    <row r="16" spans="1:16" hidden="1">
      <c r="C16" s="5872"/>
      <c r="D16" s="4012"/>
      <c r="E16" s="4013"/>
      <c r="F16" s="4013"/>
      <c r="G16" s="4013"/>
      <c r="H16" s="4014"/>
      <c r="I16" s="4015">
        <f t="shared" ref="I16" si="6">E16*F16*G16</f>
        <v>0</v>
      </c>
      <c r="J16" s="2486" t="s">
        <v>62</v>
      </c>
      <c r="K16" s="4016">
        <v>21000</v>
      </c>
      <c r="L16" s="4016">
        <v>200</v>
      </c>
      <c r="M16" s="4016">
        <v>15</v>
      </c>
      <c r="N16" s="4014">
        <f>L16*M16</f>
        <v>3000</v>
      </c>
      <c r="O16" s="5848">
        <f t="shared" si="4"/>
        <v>63000000</v>
      </c>
      <c r="P16" s="4083">
        <f t="shared" si="5"/>
        <v>63000000</v>
      </c>
    </row>
    <row r="17" spans="1:17" hidden="1">
      <c r="B17" s="4018" t="s">
        <v>63</v>
      </c>
      <c r="C17" s="5873">
        <f>SUM(P17)</f>
        <v>1202035000</v>
      </c>
      <c r="D17" s="4019" t="s">
        <v>64</v>
      </c>
      <c r="E17" s="4020">
        <v>19000</v>
      </c>
      <c r="F17" s="4020">
        <v>4189</v>
      </c>
      <c r="G17" s="4020">
        <v>11</v>
      </c>
      <c r="H17" s="4021">
        <f>F17*G17</f>
        <v>46079</v>
      </c>
      <c r="I17" s="4022">
        <f t="shared" si="3"/>
        <v>875501000</v>
      </c>
      <c r="J17" s="4023" t="s">
        <v>64</v>
      </c>
      <c r="K17" s="4024">
        <v>19000</v>
      </c>
      <c r="L17" s="4024">
        <f>3305*0.4</f>
        <v>1322</v>
      </c>
      <c r="M17" s="4024">
        <v>13</v>
      </c>
      <c r="N17" s="4021">
        <f>L17*M17</f>
        <v>17186</v>
      </c>
      <c r="O17" s="4025">
        <f t="shared" si="4"/>
        <v>326534000</v>
      </c>
      <c r="P17" s="4081">
        <f t="shared" si="5"/>
        <v>1202035000</v>
      </c>
    </row>
    <row r="18" spans="1:17" hidden="1">
      <c r="B18" s="4027"/>
      <c r="C18" s="5874"/>
      <c r="D18" s="4028" t="s">
        <v>60</v>
      </c>
      <c r="E18" s="4029">
        <v>19000</v>
      </c>
      <c r="F18" s="4029">
        <v>401</v>
      </c>
      <c r="G18" s="4029">
        <v>11</v>
      </c>
      <c r="H18" s="4030">
        <f>F18*G18</f>
        <v>4411</v>
      </c>
      <c r="I18" s="5840">
        <f t="shared" si="3"/>
        <v>83809000</v>
      </c>
      <c r="J18" s="4031" t="s">
        <v>60</v>
      </c>
      <c r="K18" s="4032">
        <v>19000</v>
      </c>
      <c r="L18" s="4032">
        <f>695*0.4</f>
        <v>278</v>
      </c>
      <c r="M18" s="4032">
        <v>13</v>
      </c>
      <c r="N18" s="4030">
        <f>L18*M18</f>
        <v>3614</v>
      </c>
      <c r="O18" s="5849">
        <f t="shared" si="4"/>
        <v>68666000</v>
      </c>
      <c r="P18" s="4081">
        <f t="shared" si="5"/>
        <v>152475000</v>
      </c>
    </row>
    <row r="19" spans="1:17" hidden="1">
      <c r="B19" s="4034" t="s">
        <v>65</v>
      </c>
      <c r="C19" s="5875">
        <f>SUM(P19)</f>
        <v>127204000</v>
      </c>
      <c r="D19" s="4019" t="s">
        <v>64</v>
      </c>
      <c r="E19" s="4020">
        <v>880</v>
      </c>
      <c r="F19" s="4020">
        <v>9235</v>
      </c>
      <c r="G19" s="4020">
        <v>11</v>
      </c>
      <c r="H19" s="4021">
        <f t="shared" ref="H19:H22" si="7">F19*G19</f>
        <v>101585</v>
      </c>
      <c r="I19" s="4022">
        <f t="shared" si="3"/>
        <v>89394800</v>
      </c>
      <c r="J19" s="4018" t="s">
        <v>64</v>
      </c>
      <c r="K19" s="4024">
        <v>880</v>
      </c>
      <c r="L19" s="4024">
        <v>3305</v>
      </c>
      <c r="M19" s="4024">
        <v>13</v>
      </c>
      <c r="N19" s="4021">
        <f t="shared" ref="N19:N20" si="8">L19*M19</f>
        <v>42965</v>
      </c>
      <c r="O19" s="4025">
        <f t="shared" si="4"/>
        <v>37809200</v>
      </c>
      <c r="P19" s="4082">
        <f t="shared" si="5"/>
        <v>127204000</v>
      </c>
    </row>
    <row r="20" spans="1:17" hidden="1">
      <c r="C20" s="5872"/>
      <c r="D20" s="4012" t="s">
        <v>60</v>
      </c>
      <c r="E20" s="4013">
        <v>880</v>
      </c>
      <c r="F20" s="4013">
        <v>1002</v>
      </c>
      <c r="G20" s="4013">
        <v>11</v>
      </c>
      <c r="H20" s="4014">
        <f t="shared" si="7"/>
        <v>11022</v>
      </c>
      <c r="I20" s="5846">
        <f t="shared" si="3"/>
        <v>9699360</v>
      </c>
      <c r="J20" s="2486" t="s">
        <v>60</v>
      </c>
      <c r="K20" s="4016">
        <v>880</v>
      </c>
      <c r="L20" s="4016">
        <v>695</v>
      </c>
      <c r="M20" s="4016">
        <v>13</v>
      </c>
      <c r="N20" s="4014">
        <f t="shared" si="8"/>
        <v>9035</v>
      </c>
      <c r="O20" s="5848">
        <f t="shared" si="4"/>
        <v>7950800</v>
      </c>
      <c r="P20" s="4081">
        <f t="shared" si="5"/>
        <v>17650160</v>
      </c>
    </row>
    <row r="21" spans="1:17" hidden="1">
      <c r="C21" s="5872"/>
      <c r="D21" s="4012" t="s">
        <v>66</v>
      </c>
      <c r="E21" s="4013">
        <v>880</v>
      </c>
      <c r="F21" s="4013">
        <v>2436</v>
      </c>
      <c r="G21" s="4013">
        <v>18</v>
      </c>
      <c r="H21" s="4014">
        <f t="shared" si="7"/>
        <v>43848</v>
      </c>
      <c r="I21" s="5846">
        <f t="shared" si="3"/>
        <v>38586240</v>
      </c>
      <c r="K21" s="4016"/>
      <c r="L21" s="4016"/>
      <c r="M21" s="4016"/>
      <c r="N21" s="4014"/>
      <c r="O21" s="4017">
        <f t="shared" si="4"/>
        <v>0</v>
      </c>
      <c r="P21" s="4083">
        <f t="shared" si="5"/>
        <v>38586240</v>
      </c>
    </row>
    <row r="22" spans="1:17" hidden="1">
      <c r="B22" s="4034" t="s">
        <v>67</v>
      </c>
      <c r="C22" s="5875">
        <v>920808000</v>
      </c>
      <c r="D22" s="4019" t="s">
        <v>66</v>
      </c>
      <c r="E22" s="4020">
        <v>21000</v>
      </c>
      <c r="F22" s="4020">
        <v>2436</v>
      </c>
      <c r="G22" s="4020">
        <v>18</v>
      </c>
      <c r="H22" s="4021">
        <f t="shared" si="7"/>
        <v>43848</v>
      </c>
      <c r="I22" s="5869">
        <f t="shared" si="3"/>
        <v>920808000</v>
      </c>
      <c r="J22" s="4018"/>
      <c r="K22" s="4024"/>
      <c r="L22" s="4024"/>
      <c r="M22" s="4024"/>
      <c r="N22" s="4021"/>
      <c r="O22" s="4025">
        <f t="shared" si="4"/>
        <v>0</v>
      </c>
      <c r="P22" s="4081">
        <f t="shared" si="5"/>
        <v>920808000</v>
      </c>
    </row>
    <row r="23" spans="1:17" hidden="1">
      <c r="B23" s="2486" t="s">
        <v>92</v>
      </c>
      <c r="C23" s="5872">
        <f>SUM(P23:P24)</f>
        <v>1437358140</v>
      </c>
      <c r="D23" s="4019" t="s">
        <v>69</v>
      </c>
      <c r="E23" s="4020">
        <v>1336000000</v>
      </c>
      <c r="F23" s="4020">
        <v>1</v>
      </c>
      <c r="G23" s="4020">
        <v>1</v>
      </c>
      <c r="H23" s="4021"/>
      <c r="I23" s="4022">
        <f t="shared" si="3"/>
        <v>1336000000</v>
      </c>
      <c r="J23" s="4018"/>
      <c r="K23" s="4024"/>
      <c r="L23" s="4024"/>
      <c r="M23" s="4024"/>
      <c r="N23" s="4021"/>
      <c r="O23" s="4025"/>
      <c r="P23" s="4082">
        <f t="shared" si="5"/>
        <v>1336000000</v>
      </c>
    </row>
    <row r="24" spans="1:17" hidden="1">
      <c r="B24" s="2486" t="s">
        <v>176</v>
      </c>
      <c r="C24" s="5872"/>
      <c r="D24" s="4012" t="s">
        <v>70</v>
      </c>
      <c r="E24" s="4013">
        <v>101358140</v>
      </c>
      <c r="F24" s="4013">
        <v>1</v>
      </c>
      <c r="G24" s="4013">
        <v>1</v>
      </c>
      <c r="H24" s="4014"/>
      <c r="I24" s="4015">
        <f t="shared" si="3"/>
        <v>101358140</v>
      </c>
      <c r="K24" s="4016"/>
      <c r="L24" s="4016"/>
      <c r="M24" s="4016"/>
      <c r="N24" s="4014"/>
      <c r="O24" s="4017">
        <f t="shared" si="4"/>
        <v>0</v>
      </c>
      <c r="P24" s="4083">
        <f t="shared" si="5"/>
        <v>101358140</v>
      </c>
    </row>
    <row r="25" spans="1:17" hidden="1">
      <c r="C25" s="5872"/>
      <c r="D25" s="4012" t="s">
        <v>71</v>
      </c>
      <c r="E25" s="4013">
        <v>408277000</v>
      </c>
      <c r="F25" s="4013">
        <v>1</v>
      </c>
      <c r="G25" s="4013">
        <v>1</v>
      </c>
      <c r="H25" s="4014"/>
      <c r="I25" s="5846">
        <f t="shared" si="3"/>
        <v>408277000</v>
      </c>
      <c r="J25" s="2486" t="s">
        <v>71</v>
      </c>
      <c r="K25" s="4016">
        <v>360000000</v>
      </c>
      <c r="L25" s="4016">
        <v>1</v>
      </c>
      <c r="M25" s="4016">
        <v>1</v>
      </c>
      <c r="N25" s="4014"/>
      <c r="O25" s="5848">
        <f t="shared" si="4"/>
        <v>360000000</v>
      </c>
      <c r="P25" s="4081">
        <f>I25+O25</f>
        <v>768277000</v>
      </c>
    </row>
    <row r="26" spans="1:17" hidden="1">
      <c r="C26" s="5872"/>
      <c r="D26" s="4012" t="s">
        <v>72</v>
      </c>
      <c r="E26" s="4013">
        <v>205723000</v>
      </c>
      <c r="F26" s="4013">
        <v>1</v>
      </c>
      <c r="G26" s="4013">
        <v>1</v>
      </c>
      <c r="H26" s="4014"/>
      <c r="I26" s="5846">
        <f t="shared" si="3"/>
        <v>205723000</v>
      </c>
      <c r="K26" s="4016"/>
      <c r="L26" s="4016"/>
      <c r="M26" s="4016"/>
      <c r="N26" s="4014"/>
      <c r="O26" s="4017">
        <f t="shared" si="4"/>
        <v>0</v>
      </c>
      <c r="P26" s="4083">
        <f t="shared" si="5"/>
        <v>205723000</v>
      </c>
    </row>
    <row r="27" spans="1:17" hidden="1">
      <c r="B27" s="4034" t="s">
        <v>73</v>
      </c>
      <c r="C27" s="5875">
        <f>SUM(P27)</f>
        <v>88652020</v>
      </c>
      <c r="D27" s="4035" t="s">
        <v>64</v>
      </c>
      <c r="E27" s="4036">
        <v>6000000</v>
      </c>
      <c r="F27" s="4036">
        <v>12</v>
      </c>
      <c r="G27" s="4036">
        <v>1</v>
      </c>
      <c r="H27" s="4037"/>
      <c r="I27" s="4038">
        <f t="shared" si="3"/>
        <v>72000000</v>
      </c>
      <c r="J27" s="4034" t="s">
        <v>64</v>
      </c>
      <c r="K27" s="4039">
        <v>2378860</v>
      </c>
      <c r="L27" s="4039">
        <v>7</v>
      </c>
      <c r="M27" s="4039">
        <v>1</v>
      </c>
      <c r="N27" s="4037"/>
      <c r="O27" s="4040">
        <f>K27*L27*M27</f>
        <v>16652020</v>
      </c>
      <c r="P27" s="4081">
        <f t="shared" si="5"/>
        <v>88652020</v>
      </c>
    </row>
    <row r="28" spans="1:17" hidden="1">
      <c r="B28" s="4018" t="s">
        <v>74</v>
      </c>
      <c r="C28" s="5873">
        <f>SUM(P28:P29)</f>
        <v>3450377147</v>
      </c>
      <c r="D28" s="4019" t="s">
        <v>50</v>
      </c>
      <c r="E28" s="4020">
        <v>858587762</v>
      </c>
      <c r="F28" s="4020">
        <v>1</v>
      </c>
      <c r="G28" s="4020">
        <v>1</v>
      </c>
      <c r="H28" s="4021"/>
      <c r="I28" s="4022">
        <f t="shared" si="3"/>
        <v>858587762</v>
      </c>
      <c r="J28" s="4019" t="s">
        <v>50</v>
      </c>
      <c r="K28" s="4024">
        <v>1030634912</v>
      </c>
      <c r="L28" s="4024">
        <v>1</v>
      </c>
      <c r="M28" s="4024">
        <v>1</v>
      </c>
      <c r="N28" s="4021"/>
      <c r="O28" s="4025">
        <f t="shared" ref="O28:O30" si="9">K28*L28*M28</f>
        <v>1030634912</v>
      </c>
      <c r="P28" s="4082">
        <f t="shared" si="5"/>
        <v>1889222674</v>
      </c>
    </row>
    <row r="29" spans="1:17" hidden="1">
      <c r="C29" s="5872"/>
      <c r="D29" s="4012" t="s">
        <v>75</v>
      </c>
      <c r="E29" s="4013">
        <v>1178445153</v>
      </c>
      <c r="F29" s="4013">
        <v>1</v>
      </c>
      <c r="G29" s="4013">
        <v>1</v>
      </c>
      <c r="H29" s="4014"/>
      <c r="I29" s="4015">
        <f t="shared" si="3"/>
        <v>1178445153</v>
      </c>
      <c r="J29" s="4012" t="s">
        <v>75</v>
      </c>
      <c r="K29" s="4016">
        <v>382709320</v>
      </c>
      <c r="L29" s="4016">
        <v>1</v>
      </c>
      <c r="M29" s="4016">
        <v>1</v>
      </c>
      <c r="N29" s="4014"/>
      <c r="O29" s="4041">
        <f t="shared" si="9"/>
        <v>382709320</v>
      </c>
      <c r="P29" s="4083">
        <f t="shared" si="5"/>
        <v>1561154473</v>
      </c>
    </row>
    <row r="30" spans="1:17" ht="19.5" hidden="1" thickBot="1">
      <c r="B30" s="4042" t="s">
        <v>76</v>
      </c>
      <c r="C30" s="5876">
        <f>SUM(P30)</f>
        <v>54466667</v>
      </c>
      <c r="D30" s="4043" t="s">
        <v>75</v>
      </c>
      <c r="E30" s="4044">
        <v>34400000</v>
      </c>
      <c r="F30" s="4044">
        <v>1</v>
      </c>
      <c r="G30" s="4044">
        <v>1</v>
      </c>
      <c r="H30" s="4045"/>
      <c r="I30" s="5867">
        <f t="shared" si="3"/>
        <v>34400000</v>
      </c>
      <c r="J30" s="4129" t="s">
        <v>75</v>
      </c>
      <c r="K30" s="4046">
        <v>20066667</v>
      </c>
      <c r="L30" s="4046">
        <v>1</v>
      </c>
      <c r="M30" s="4046">
        <v>1</v>
      </c>
      <c r="N30" s="4045"/>
      <c r="O30" s="5868">
        <f t="shared" si="9"/>
        <v>20066667</v>
      </c>
      <c r="P30" s="4081">
        <f t="shared" si="5"/>
        <v>54466667</v>
      </c>
      <c r="Q30" s="4047"/>
    </row>
    <row r="31" spans="1:17" ht="19.5" hidden="1" thickTop="1">
      <c r="B31" s="4048" t="s">
        <v>77</v>
      </c>
      <c r="C31" s="5877">
        <f>SUM(C4,C11,C17,C19,C23,C27,C28,C30)</f>
        <v>23477660084</v>
      </c>
      <c r="D31" s="4049"/>
      <c r="E31" s="4050"/>
      <c r="F31" s="4050"/>
      <c r="G31" s="4050"/>
      <c r="H31" s="4051"/>
      <c r="I31" s="4052">
        <f>SUM(I4:I5,I11:I12,I17,I19,I23:I24,I27,I28:I29,I30)</f>
        <v>16453865957</v>
      </c>
      <c r="J31" s="4048"/>
      <c r="K31" s="4053"/>
      <c r="L31" s="4053"/>
      <c r="M31" s="4053"/>
      <c r="N31" s="4051"/>
      <c r="O31" s="4052">
        <f>SUM(O4:O5,O11:O12,O17,O19,O27,O28:O29,O30)</f>
        <v>7023794127</v>
      </c>
      <c r="P31" s="4084">
        <f>SUM(P4:P5,P11:Q12,P17,P19,P23:P24,P27,P28:P29,P30)</f>
        <v>23477660084</v>
      </c>
      <c r="Q31" s="4054"/>
    </row>
    <row r="32" spans="1:17" ht="19.5" hidden="1" thickBot="1">
      <c r="A32" s="4352"/>
      <c r="B32" s="4352"/>
      <c r="C32" s="4352"/>
      <c r="D32" s="4352"/>
      <c r="E32" s="4352"/>
      <c r="F32" s="4352"/>
      <c r="G32" s="4352"/>
      <c r="H32" s="4353"/>
      <c r="I32" s="4352"/>
      <c r="J32" s="4352"/>
      <c r="K32" s="4352"/>
      <c r="L32" s="4352"/>
      <c r="M32" s="4352"/>
      <c r="N32" s="4353"/>
      <c r="O32" s="4352"/>
      <c r="P32" s="4352"/>
      <c r="Q32" s="4352"/>
    </row>
    <row r="33" spans="1:18" hidden="1"/>
    <row r="34" spans="1:18" hidden="1">
      <c r="A34" s="4130" t="s">
        <v>78</v>
      </c>
      <c r="B34" s="4146" t="s">
        <v>79</v>
      </c>
      <c r="D34" s="4003" t="s">
        <v>37</v>
      </c>
      <c r="I34" s="4005"/>
      <c r="J34" s="2486" t="s">
        <v>39</v>
      </c>
      <c r="O34" s="4005"/>
      <c r="P34" s="4089" t="s">
        <v>40</v>
      </c>
    </row>
    <row r="35" spans="1:18" ht="19.5" hidden="1" thickBot="1">
      <c r="B35" s="2486" t="s">
        <v>41</v>
      </c>
      <c r="C35" s="4071" t="s">
        <v>42</v>
      </c>
      <c r="D35" s="4003" t="s">
        <v>43</v>
      </c>
      <c r="E35" s="4006" t="s">
        <v>44</v>
      </c>
      <c r="F35" s="4006" t="s">
        <v>45</v>
      </c>
      <c r="G35" s="4006" t="s">
        <v>46</v>
      </c>
      <c r="I35" s="4005" t="s">
        <v>47</v>
      </c>
      <c r="J35" s="2486" t="s">
        <v>43</v>
      </c>
      <c r="K35" s="4006" t="s">
        <v>44</v>
      </c>
      <c r="L35" s="4006" t="s">
        <v>45</v>
      </c>
      <c r="M35" s="4006" t="s">
        <v>46</v>
      </c>
      <c r="O35" s="4005" t="s">
        <v>47</v>
      </c>
      <c r="P35" s="4089" t="s">
        <v>48</v>
      </c>
      <c r="Q35" s="2486" t="s">
        <v>80</v>
      </c>
      <c r="R35" s="2486" t="s">
        <v>80</v>
      </c>
    </row>
    <row r="36" spans="1:18" hidden="1">
      <c r="B36" s="4007" t="s">
        <v>81</v>
      </c>
      <c r="C36" s="5878">
        <f>C4</f>
        <v>15457292778</v>
      </c>
      <c r="D36" s="4101" t="s">
        <v>50</v>
      </c>
      <c r="E36" s="4055">
        <v>3364680671</v>
      </c>
      <c r="F36" s="4055">
        <v>1</v>
      </c>
      <c r="G36" s="4009">
        <v>1</v>
      </c>
      <c r="H36" s="4010"/>
      <c r="I36" s="4103">
        <f t="shared" ref="I36:I73" si="10">E36*F36*G36</f>
        <v>3364680671</v>
      </c>
      <c r="J36" s="4101" t="s">
        <v>50</v>
      </c>
      <c r="K36" s="4056">
        <v>2615539538</v>
      </c>
      <c r="L36" s="4056">
        <v>1</v>
      </c>
      <c r="M36" s="4056">
        <v>1</v>
      </c>
      <c r="N36" s="4010"/>
      <c r="O36" s="4107">
        <f>K36*L36*M36</f>
        <v>2615539538</v>
      </c>
      <c r="P36" s="4091">
        <f>I36+O36</f>
        <v>5980220209</v>
      </c>
      <c r="Q36" s="4057">
        <f>SUM(P36:P37)-C36</f>
        <v>773113186.96000099</v>
      </c>
      <c r="R36" s="4057">
        <f>SUM(P36:P37)-C36</f>
        <v>773113186.96000099</v>
      </c>
    </row>
    <row r="37" spans="1:18" hidden="1">
      <c r="C37" s="5879"/>
      <c r="D37" s="4102" t="s">
        <v>82</v>
      </c>
      <c r="E37" s="4058"/>
      <c r="F37" s="4058"/>
      <c r="G37" s="4013"/>
      <c r="H37" s="4014"/>
      <c r="I37" s="4104">
        <f>SUM(I38:I42)</f>
        <v>7871432268.9400005</v>
      </c>
      <c r="J37" s="4102" t="s">
        <v>82</v>
      </c>
      <c r="K37" s="4059"/>
      <c r="L37" s="4059"/>
      <c r="M37" s="4059"/>
      <c r="N37" s="4014"/>
      <c r="O37" s="4104">
        <f>SUM(O38:O42)</f>
        <v>2378753487.0200005</v>
      </c>
      <c r="P37" s="4092">
        <f>SUM(P38:P42)</f>
        <v>10250185755.960001</v>
      </c>
      <c r="Q37" s="4057"/>
      <c r="R37" s="4057"/>
    </row>
    <row r="38" spans="1:18" hidden="1">
      <c r="C38" s="5879"/>
      <c r="D38" s="4110" t="s">
        <v>52</v>
      </c>
      <c r="E38" s="4111">
        <v>2334813782</v>
      </c>
      <c r="F38" s="4111">
        <v>1</v>
      </c>
      <c r="G38" s="4111">
        <v>1</v>
      </c>
      <c r="H38" s="4112"/>
      <c r="I38" s="4113">
        <f t="shared" si="10"/>
        <v>2334813782</v>
      </c>
      <c r="J38" s="4110" t="s">
        <v>52</v>
      </c>
      <c r="K38" s="4114">
        <v>237817800</v>
      </c>
      <c r="L38" s="4114">
        <v>1</v>
      </c>
      <c r="M38" s="4114">
        <v>1</v>
      </c>
      <c r="N38" s="4115"/>
      <c r="O38" s="4116">
        <f t="shared" ref="O38:O60" si="11">K38*L38*M38</f>
        <v>237817800</v>
      </c>
      <c r="P38" s="4117">
        <f>I38+O38</f>
        <v>2572631582</v>
      </c>
      <c r="Q38" s="4057"/>
      <c r="R38" s="4057"/>
    </row>
    <row r="39" spans="1:18" hidden="1">
      <c r="C39" s="5879"/>
      <c r="D39" s="4110"/>
      <c r="E39" s="4111"/>
      <c r="F39" s="4111"/>
      <c r="G39" s="4111"/>
      <c r="H39" s="4112"/>
      <c r="I39" s="4113"/>
      <c r="J39" s="4110" t="s">
        <v>53</v>
      </c>
      <c r="K39" s="4114">
        <v>234300000</v>
      </c>
      <c r="L39" s="4114">
        <v>1</v>
      </c>
      <c r="M39" s="4114">
        <v>1</v>
      </c>
      <c r="N39" s="4115"/>
      <c r="O39" s="4116">
        <f t="shared" si="11"/>
        <v>234300000</v>
      </c>
      <c r="P39" s="4117">
        <f t="shared" ref="P39:P41" si="12">I39+O39</f>
        <v>234300000</v>
      </c>
      <c r="Q39" s="4057"/>
      <c r="R39" s="4057"/>
    </row>
    <row r="40" spans="1:18" hidden="1">
      <c r="C40" s="5879"/>
      <c r="D40" s="4110" t="s">
        <v>54</v>
      </c>
      <c r="E40" s="4111">
        <v>1706798249.5800002</v>
      </c>
      <c r="F40" s="4111">
        <v>1</v>
      </c>
      <c r="G40" s="4111">
        <v>1</v>
      </c>
      <c r="H40" s="4112"/>
      <c r="I40" s="4113">
        <f t="shared" si="10"/>
        <v>1706798249.5800002</v>
      </c>
      <c r="J40" s="4110" t="s">
        <v>54</v>
      </c>
      <c r="K40" s="4114">
        <v>412159612</v>
      </c>
      <c r="L40" s="4114">
        <v>1</v>
      </c>
      <c r="M40" s="4114">
        <v>1</v>
      </c>
      <c r="N40" s="4115"/>
      <c r="O40" s="4116">
        <f t="shared" si="11"/>
        <v>412159612</v>
      </c>
      <c r="P40" s="4117">
        <f t="shared" si="12"/>
        <v>2118957861.5800002</v>
      </c>
      <c r="Q40" s="4057"/>
      <c r="R40" s="4057"/>
    </row>
    <row r="41" spans="1:18" hidden="1">
      <c r="C41" s="5879"/>
      <c r="D41" s="4110" t="s">
        <v>83</v>
      </c>
      <c r="E41" s="4111">
        <v>1486097889.8400002</v>
      </c>
      <c r="F41" s="4111">
        <v>1</v>
      </c>
      <c r="G41" s="4111">
        <v>1</v>
      </c>
      <c r="H41" s="4112"/>
      <c r="I41" s="4113">
        <f t="shared" si="10"/>
        <v>1486097889.8400002</v>
      </c>
      <c r="J41" s="4110" t="s">
        <v>83</v>
      </c>
      <c r="K41" s="4114">
        <v>799788000.78000009</v>
      </c>
      <c r="L41" s="4114">
        <v>1</v>
      </c>
      <c r="M41" s="4114">
        <v>1</v>
      </c>
      <c r="N41" s="4115"/>
      <c r="O41" s="4116">
        <f t="shared" si="11"/>
        <v>799788000.78000009</v>
      </c>
      <c r="P41" s="4117">
        <f t="shared" si="12"/>
        <v>2285885890.6200004</v>
      </c>
      <c r="Q41" s="4057"/>
      <c r="R41" s="4057"/>
    </row>
    <row r="42" spans="1:18" hidden="1">
      <c r="C42" s="5879"/>
      <c r="D42" s="4110" t="s">
        <v>84</v>
      </c>
      <c r="E42" s="4111">
        <v>2343722347.52</v>
      </c>
      <c r="F42" s="4111">
        <v>1</v>
      </c>
      <c r="G42" s="4111">
        <v>1</v>
      </c>
      <c r="H42" s="4112"/>
      <c r="I42" s="4113">
        <f>E42*F42*G42</f>
        <v>2343722347.52</v>
      </c>
      <c r="J42" s="4110" t="s">
        <v>84</v>
      </c>
      <c r="K42" s="4114">
        <v>694688074.24000001</v>
      </c>
      <c r="L42" s="4114">
        <v>1</v>
      </c>
      <c r="M42" s="4114">
        <v>1</v>
      </c>
      <c r="N42" s="4115"/>
      <c r="O42" s="4116">
        <f t="shared" si="11"/>
        <v>694688074.24000001</v>
      </c>
      <c r="P42" s="4117">
        <f>I42+O42</f>
        <v>3038410421.7600002</v>
      </c>
      <c r="Q42" s="4057"/>
      <c r="R42" s="4057"/>
    </row>
    <row r="43" spans="1:18" hidden="1">
      <c r="B43" s="4018" t="s">
        <v>57</v>
      </c>
      <c r="C43" s="5880">
        <f>C11</f>
        <v>1660274332</v>
      </c>
      <c r="D43" s="4106" t="s">
        <v>85</v>
      </c>
      <c r="E43" s="4060">
        <v>16900</v>
      </c>
      <c r="F43" s="4060">
        <v>58451</v>
      </c>
      <c r="G43" s="4020">
        <v>1</v>
      </c>
      <c r="H43" s="4021"/>
      <c r="I43" s="4105">
        <f t="shared" si="10"/>
        <v>987821900</v>
      </c>
      <c r="J43" s="4106" t="s">
        <v>85</v>
      </c>
      <c r="K43" s="4061">
        <v>16900</v>
      </c>
      <c r="L43" s="4061">
        <v>31699</v>
      </c>
      <c r="M43" s="4061">
        <v>1</v>
      </c>
      <c r="N43" s="4021">
        <f t="shared" ref="N43" si="13">L43*M43</f>
        <v>31699</v>
      </c>
      <c r="O43" s="4108">
        <f t="shared" si="11"/>
        <v>535713100</v>
      </c>
      <c r="P43" s="4093">
        <f>I43+O43</f>
        <v>1523535000</v>
      </c>
      <c r="Q43" s="4057">
        <f>SUM(P43:P49)-C43</f>
        <v>3552291218</v>
      </c>
      <c r="R43" s="4057">
        <f>SUM(P43:P45)-C43</f>
        <v>1430946248</v>
      </c>
    </row>
    <row r="44" spans="1:18" hidden="1">
      <c r="C44" s="5879"/>
      <c r="D44" s="4102" t="s">
        <v>86</v>
      </c>
      <c r="E44" s="4058">
        <v>79313574</v>
      </c>
      <c r="F44" s="4058">
        <v>1</v>
      </c>
      <c r="G44" s="4013">
        <v>1</v>
      </c>
      <c r="H44" s="4014"/>
      <c r="I44" s="4104">
        <f t="shared" si="10"/>
        <v>79313574</v>
      </c>
      <c r="J44" s="4102" t="s">
        <v>86</v>
      </c>
      <c r="K44" s="4059">
        <v>30879036</v>
      </c>
      <c r="L44" s="4059">
        <v>1</v>
      </c>
      <c r="M44" s="4059">
        <v>1</v>
      </c>
      <c r="N44" s="4014"/>
      <c r="O44" s="4104">
        <f t="shared" si="11"/>
        <v>30879036</v>
      </c>
      <c r="P44" s="4092">
        <f>SUM(I44,O44)</f>
        <v>110192610</v>
      </c>
      <c r="Q44" s="4057"/>
      <c r="R44" s="4057"/>
    </row>
    <row r="45" spans="1:18" hidden="1">
      <c r="C45" s="5879"/>
      <c r="D45" s="4102" t="s">
        <v>82</v>
      </c>
      <c r="E45" s="4058"/>
      <c r="F45" s="4058"/>
      <c r="G45" s="4013"/>
      <c r="H45" s="4014"/>
      <c r="I45" s="4104">
        <f>SUM(I46,I48)</f>
        <v>1181442570</v>
      </c>
      <c r="J45" s="4102" t="s">
        <v>82</v>
      </c>
      <c r="K45" s="4058"/>
      <c r="L45" s="4059"/>
      <c r="M45" s="4059"/>
      <c r="N45" s="4014"/>
      <c r="O45" s="4104">
        <f>SUM(O46:O48)</f>
        <v>276050400</v>
      </c>
      <c r="P45" s="4092">
        <f>SUM(P46:P48)</f>
        <v>1457492970</v>
      </c>
      <c r="Q45" s="4057"/>
      <c r="R45" s="4057"/>
    </row>
    <row r="46" spans="1:18" hidden="1">
      <c r="C46" s="5879"/>
      <c r="D46" s="4110" t="s">
        <v>58</v>
      </c>
      <c r="E46" s="4118">
        <v>446246570.00000006</v>
      </c>
      <c r="F46" s="4118">
        <v>1</v>
      </c>
      <c r="G46" s="4118">
        <v>1</v>
      </c>
      <c r="H46" s="4115"/>
      <c r="I46" s="4119">
        <f t="shared" si="10"/>
        <v>446246570.00000006</v>
      </c>
      <c r="J46" s="4110" t="s">
        <v>58</v>
      </c>
      <c r="K46" s="4114">
        <v>12202607.999999985</v>
      </c>
      <c r="L46" s="4114">
        <v>1</v>
      </c>
      <c r="M46" s="4114">
        <v>1</v>
      </c>
      <c r="N46" s="4115"/>
      <c r="O46" s="4116">
        <f t="shared" si="11"/>
        <v>12202607.999999985</v>
      </c>
      <c r="P46" s="4117">
        <f t="shared" ref="P46:P70" si="14">I46+O46</f>
        <v>458449178.00000006</v>
      </c>
      <c r="Q46" s="4057"/>
      <c r="R46" s="4057"/>
    </row>
    <row r="47" spans="1:18" hidden="1">
      <c r="C47" s="5879"/>
      <c r="D47" s="4110"/>
      <c r="E47" s="4118"/>
      <c r="F47" s="4118"/>
      <c r="G47" s="4118"/>
      <c r="H47" s="4115"/>
      <c r="I47" s="4119"/>
      <c r="J47" s="4110" t="s">
        <v>87</v>
      </c>
      <c r="K47" s="4114">
        <v>60203792.000000015</v>
      </c>
      <c r="L47" s="4114">
        <v>1</v>
      </c>
      <c r="M47" s="4114">
        <v>1</v>
      </c>
      <c r="N47" s="4115"/>
      <c r="O47" s="4116">
        <f t="shared" si="11"/>
        <v>60203792.000000015</v>
      </c>
      <c r="P47" s="4117">
        <f t="shared" si="14"/>
        <v>60203792.000000015</v>
      </c>
      <c r="Q47" s="4057"/>
      <c r="R47" s="4057"/>
    </row>
    <row r="48" spans="1:18" hidden="1">
      <c r="C48" s="5879"/>
      <c r="D48" s="4110" t="s">
        <v>54</v>
      </c>
      <c r="E48" s="4118">
        <v>735196000</v>
      </c>
      <c r="F48" s="4118">
        <v>1</v>
      </c>
      <c r="G48" s="4118">
        <v>1</v>
      </c>
      <c r="H48" s="4014"/>
      <c r="I48" s="4119">
        <f t="shared" ref="I48" si="15">E48*F48*G48</f>
        <v>735196000</v>
      </c>
      <c r="J48" s="4110" t="s">
        <v>54</v>
      </c>
      <c r="K48" s="4114">
        <v>203644000</v>
      </c>
      <c r="L48" s="4118">
        <v>1</v>
      </c>
      <c r="M48" s="4114">
        <v>1</v>
      </c>
      <c r="N48" s="4115"/>
      <c r="O48" s="4116">
        <f t="shared" si="11"/>
        <v>203644000</v>
      </c>
      <c r="P48" s="4117">
        <f>I48+O48</f>
        <v>938840000</v>
      </c>
      <c r="Q48" s="4057"/>
      <c r="R48" s="4057"/>
    </row>
    <row r="49" spans="2:18" hidden="1">
      <c r="C49" s="5879"/>
      <c r="D49" s="4102" t="s">
        <v>88</v>
      </c>
      <c r="E49" s="4058">
        <v>21000</v>
      </c>
      <c r="F49" s="4058">
        <v>22972</v>
      </c>
      <c r="G49" s="4013">
        <v>1</v>
      </c>
      <c r="H49" s="4014"/>
      <c r="I49" s="5837">
        <f t="shared" si="10"/>
        <v>482412000</v>
      </c>
      <c r="J49" s="4102" t="s">
        <v>88</v>
      </c>
      <c r="K49" s="4059">
        <v>21000</v>
      </c>
      <c r="L49" s="4058">
        <v>8640</v>
      </c>
      <c r="M49" s="4059">
        <v>1</v>
      </c>
      <c r="N49" s="4014">
        <f t="shared" ref="N49:N54" si="16">L49*M49</f>
        <v>8640</v>
      </c>
      <c r="O49" s="5842">
        <f t="shared" si="11"/>
        <v>181440000</v>
      </c>
      <c r="P49" s="4131">
        <f>I49+O49</f>
        <v>663852000</v>
      </c>
      <c r="Q49" s="4057"/>
      <c r="R49" s="4057"/>
    </row>
    <row r="50" spans="2:18" hidden="1">
      <c r="B50" s="4018" t="s">
        <v>63</v>
      </c>
      <c r="C50" s="5880">
        <f>C17</f>
        <v>1202035000</v>
      </c>
      <c r="D50" s="4135" t="s">
        <v>89</v>
      </c>
      <c r="E50" s="4060">
        <v>19000</v>
      </c>
      <c r="F50" s="5831">
        <v>8364</v>
      </c>
      <c r="G50" s="5831">
        <v>1</v>
      </c>
      <c r="H50" s="5832"/>
      <c r="I50" s="5833">
        <f t="shared" si="10"/>
        <v>158916000</v>
      </c>
      <c r="J50" s="4135" t="s">
        <v>89</v>
      </c>
      <c r="K50" s="4061">
        <v>19000</v>
      </c>
      <c r="L50" s="5843">
        <v>5536</v>
      </c>
      <c r="M50" s="5843">
        <v>1</v>
      </c>
      <c r="N50" s="5832">
        <f t="shared" si="16"/>
        <v>5536</v>
      </c>
      <c r="O50" s="5844">
        <f t="shared" si="11"/>
        <v>105184000</v>
      </c>
      <c r="P50" s="4093">
        <f>I50+O50</f>
        <v>264100000</v>
      </c>
      <c r="Q50" s="4057">
        <f>SUM(P50:P52)-C50</f>
        <v>469252800</v>
      </c>
      <c r="R50" s="4057">
        <f>SUM(P50,P52)-C50</f>
        <v>86041800</v>
      </c>
    </row>
    <row r="51" spans="2:18" hidden="1">
      <c r="C51" s="5879"/>
      <c r="D51" s="5830" t="s">
        <v>60</v>
      </c>
      <c r="E51" s="4058">
        <v>19000</v>
      </c>
      <c r="F51" s="5834">
        <v>14409</v>
      </c>
      <c r="G51" s="5834">
        <v>1</v>
      </c>
      <c r="H51" s="5835"/>
      <c r="I51" s="5836">
        <f t="shared" si="10"/>
        <v>273771000</v>
      </c>
      <c r="J51" s="5830" t="s">
        <v>60</v>
      </c>
      <c r="K51" s="4058">
        <v>19000</v>
      </c>
      <c r="L51" s="5845">
        <v>5760</v>
      </c>
      <c r="M51" s="5845">
        <v>1</v>
      </c>
      <c r="N51" s="5835"/>
      <c r="O51" s="5836">
        <f t="shared" si="11"/>
        <v>109440000</v>
      </c>
      <c r="P51" s="4092">
        <f t="shared" si="14"/>
        <v>383211000</v>
      </c>
      <c r="Q51" s="4057"/>
      <c r="R51" s="4057"/>
    </row>
    <row r="52" spans="2:18" hidden="1">
      <c r="B52" s="4027"/>
      <c r="C52" s="5881"/>
      <c r="D52" s="4136" t="s">
        <v>90</v>
      </c>
      <c r="E52" s="4062">
        <v>22164</v>
      </c>
      <c r="F52" s="4062">
        <v>30603</v>
      </c>
      <c r="G52" s="4029">
        <v>1</v>
      </c>
      <c r="H52" s="4030"/>
      <c r="I52" s="4120">
        <f t="shared" si="10"/>
        <v>678284892</v>
      </c>
      <c r="J52" s="4136" t="s">
        <v>90</v>
      </c>
      <c r="K52" s="4063">
        <v>22164</v>
      </c>
      <c r="L52" s="4063">
        <v>15597</v>
      </c>
      <c r="M52" s="4063">
        <v>1</v>
      </c>
      <c r="N52" s="4030">
        <f t="shared" si="16"/>
        <v>15597</v>
      </c>
      <c r="O52" s="4121">
        <f t="shared" si="11"/>
        <v>345691908</v>
      </c>
      <c r="P52" s="4092">
        <f>I52+O52</f>
        <v>1023976800</v>
      </c>
      <c r="Q52" s="4057"/>
      <c r="R52" s="4057"/>
    </row>
    <row r="53" spans="2:18" hidden="1">
      <c r="B53" s="2486" t="s">
        <v>65</v>
      </c>
      <c r="C53" s="5879">
        <f>C19</f>
        <v>127204000</v>
      </c>
      <c r="D53" s="4102" t="s">
        <v>64</v>
      </c>
      <c r="E53" s="4058">
        <v>880</v>
      </c>
      <c r="F53" s="4058">
        <v>97418</v>
      </c>
      <c r="G53" s="4013">
        <v>1</v>
      </c>
      <c r="H53" s="4014"/>
      <c r="I53" s="4104">
        <f t="shared" si="10"/>
        <v>85727840</v>
      </c>
      <c r="J53" s="4122" t="s">
        <v>64</v>
      </c>
      <c r="K53" s="4059">
        <v>880</v>
      </c>
      <c r="L53" s="4059">
        <v>52832</v>
      </c>
      <c r="M53" s="4059">
        <v>1</v>
      </c>
      <c r="N53" s="4014">
        <f t="shared" si="16"/>
        <v>52832</v>
      </c>
      <c r="O53" s="4109">
        <f t="shared" si="11"/>
        <v>46492160</v>
      </c>
      <c r="P53" s="4093">
        <f>I53+O53</f>
        <v>132220000</v>
      </c>
      <c r="Q53" s="4057">
        <f>SUM(P53:P55)-C53</f>
        <v>96855440</v>
      </c>
      <c r="R53" s="4057">
        <f>SUM(P53)-C53</f>
        <v>5016000</v>
      </c>
    </row>
    <row r="54" spans="2:18" hidden="1">
      <c r="C54" s="5879"/>
      <c r="D54" s="4102" t="s">
        <v>60</v>
      </c>
      <c r="E54" s="4058">
        <v>880</v>
      </c>
      <c r="F54" s="4058">
        <v>37381</v>
      </c>
      <c r="G54" s="4013">
        <v>1</v>
      </c>
      <c r="H54" s="4014"/>
      <c r="I54" s="5837">
        <f t="shared" si="10"/>
        <v>32895280</v>
      </c>
      <c r="J54" s="4122" t="s">
        <v>60</v>
      </c>
      <c r="K54" s="4059">
        <v>880</v>
      </c>
      <c r="L54" s="4059">
        <v>14400</v>
      </c>
      <c r="M54" s="4059">
        <v>1</v>
      </c>
      <c r="N54" s="4014">
        <f t="shared" si="16"/>
        <v>14400</v>
      </c>
      <c r="O54" s="5842">
        <f t="shared" si="11"/>
        <v>12672000</v>
      </c>
      <c r="P54" s="4092">
        <f t="shared" si="14"/>
        <v>45567280</v>
      </c>
      <c r="Q54" s="4057"/>
      <c r="R54" s="4057"/>
    </row>
    <row r="55" spans="2:18" hidden="1">
      <c r="C55" s="5879"/>
      <c r="D55" s="4102" t="s">
        <v>66</v>
      </c>
      <c r="E55" s="4058">
        <v>880</v>
      </c>
      <c r="F55" s="4058">
        <v>52582</v>
      </c>
      <c r="G55" s="4013">
        <v>1</v>
      </c>
      <c r="H55" s="4014"/>
      <c r="I55" s="5837">
        <f t="shared" si="10"/>
        <v>46272160</v>
      </c>
      <c r="K55" s="4059"/>
      <c r="L55" s="4059"/>
      <c r="M55" s="4059"/>
      <c r="N55" s="4064"/>
      <c r="O55" s="4065">
        <f t="shared" si="11"/>
        <v>0</v>
      </c>
      <c r="P55" s="4094">
        <f t="shared" si="14"/>
        <v>46272160</v>
      </c>
      <c r="Q55" s="4057"/>
      <c r="R55" s="4057"/>
    </row>
    <row r="56" spans="2:18" hidden="1">
      <c r="B56" s="4018" t="s">
        <v>91</v>
      </c>
      <c r="C56" s="5880">
        <v>920808000</v>
      </c>
      <c r="D56" s="4106" t="s">
        <v>66</v>
      </c>
      <c r="E56" s="4060">
        <v>21000</v>
      </c>
      <c r="F56" s="4060">
        <v>52582</v>
      </c>
      <c r="G56" s="4085">
        <v>1</v>
      </c>
      <c r="H56" s="4086"/>
      <c r="I56" s="5838">
        <f t="shared" si="10"/>
        <v>1104222000</v>
      </c>
      <c r="J56" s="4018"/>
      <c r="K56" s="4061"/>
      <c r="L56" s="4061"/>
      <c r="M56" s="4061"/>
      <c r="N56" s="4086"/>
      <c r="O56" s="4025">
        <f t="shared" si="11"/>
        <v>0</v>
      </c>
      <c r="P56" s="4092">
        <f t="shared" si="14"/>
        <v>1104222000</v>
      </c>
      <c r="Q56" s="4057">
        <f>SUM(P56)-C56</f>
        <v>183414000</v>
      </c>
      <c r="R56" s="4057"/>
    </row>
    <row r="57" spans="2:18" hidden="1">
      <c r="B57" s="4018" t="s">
        <v>92</v>
      </c>
      <c r="C57" s="5880">
        <f>C23</f>
        <v>1437358140</v>
      </c>
      <c r="D57" s="4106" t="s">
        <v>69</v>
      </c>
      <c r="E57" s="4060">
        <v>1336000000</v>
      </c>
      <c r="F57" s="4060">
        <v>1</v>
      </c>
      <c r="G57" s="4020">
        <v>1</v>
      </c>
      <c r="H57" s="4021"/>
      <c r="I57" s="4105">
        <f t="shared" si="10"/>
        <v>1336000000</v>
      </c>
      <c r="J57" s="5851"/>
      <c r="K57" s="4061"/>
      <c r="L57" s="4061"/>
      <c r="M57" s="4061"/>
      <c r="N57" s="5852"/>
      <c r="O57" s="4108"/>
      <c r="P57" s="4093">
        <f>I57+O57</f>
        <v>1336000000</v>
      </c>
      <c r="Q57" s="4057">
        <f>SUM(P57:P60)-C57</f>
        <v>974000860</v>
      </c>
      <c r="R57" s="4057">
        <f>SUM(P57:P58)-C57</f>
        <v>860</v>
      </c>
    </row>
    <row r="58" spans="2:18" hidden="1">
      <c r="C58" s="5879"/>
      <c r="D58" s="4102" t="s">
        <v>70</v>
      </c>
      <c r="E58" s="4058">
        <v>101359000</v>
      </c>
      <c r="F58" s="4058">
        <v>1</v>
      </c>
      <c r="G58" s="4013">
        <v>1</v>
      </c>
      <c r="H58" s="4014"/>
      <c r="I58" s="4104">
        <f t="shared" si="10"/>
        <v>101359000</v>
      </c>
      <c r="J58" s="4066"/>
      <c r="K58" s="4059"/>
      <c r="L58" s="4059"/>
      <c r="M58" s="4059"/>
      <c r="N58" s="4067"/>
      <c r="O58" s="4065">
        <f t="shared" si="11"/>
        <v>0</v>
      </c>
      <c r="P58" s="4094">
        <f t="shared" si="14"/>
        <v>101359000</v>
      </c>
      <c r="Q58" s="4057"/>
      <c r="R58" s="4057"/>
    </row>
    <row r="59" spans="2:18" hidden="1">
      <c r="C59" s="5879"/>
      <c r="D59" s="4102" t="s">
        <v>71</v>
      </c>
      <c r="E59" s="4058">
        <v>408277000</v>
      </c>
      <c r="F59" s="4058">
        <v>1</v>
      </c>
      <c r="G59" s="4013">
        <v>1</v>
      </c>
      <c r="H59" s="4014"/>
      <c r="I59" s="5837">
        <f t="shared" si="10"/>
        <v>408277000</v>
      </c>
      <c r="J59" s="4132" t="s">
        <v>71</v>
      </c>
      <c r="K59" s="4061">
        <v>360000000</v>
      </c>
      <c r="L59" s="4061">
        <v>1</v>
      </c>
      <c r="M59" s="4061">
        <v>1</v>
      </c>
      <c r="N59" s="4021"/>
      <c r="O59" s="5841">
        <f t="shared" si="11"/>
        <v>360000000</v>
      </c>
      <c r="P59" s="4092">
        <f t="shared" si="14"/>
        <v>768277000</v>
      </c>
      <c r="Q59" s="4057"/>
      <c r="R59" s="4057"/>
    </row>
    <row r="60" spans="2:18" hidden="1">
      <c r="C60" s="5879"/>
      <c r="D60" s="4102" t="s">
        <v>72</v>
      </c>
      <c r="E60" s="4058">
        <v>205723000</v>
      </c>
      <c r="F60" s="4058">
        <v>1</v>
      </c>
      <c r="G60" s="4013">
        <v>1</v>
      </c>
      <c r="H60" s="4014"/>
      <c r="I60" s="5837">
        <f t="shared" si="10"/>
        <v>205723000</v>
      </c>
      <c r="J60" s="4066"/>
      <c r="K60" s="4059"/>
      <c r="L60" s="4059"/>
      <c r="M60" s="4059"/>
      <c r="N60" s="4067"/>
      <c r="O60" s="4065">
        <f t="shared" si="11"/>
        <v>0</v>
      </c>
      <c r="P60" s="4094">
        <f t="shared" si="14"/>
        <v>205723000</v>
      </c>
      <c r="Q60" s="4057"/>
      <c r="R60" s="4057"/>
    </row>
    <row r="61" spans="2:18" hidden="1">
      <c r="B61" s="4018" t="s">
        <v>177</v>
      </c>
      <c r="C61" s="5880">
        <f>C27</f>
        <v>88652020</v>
      </c>
      <c r="D61" s="4135" t="s">
        <v>93</v>
      </c>
      <c r="E61" s="4060">
        <v>6000000</v>
      </c>
      <c r="F61" s="4060">
        <v>12</v>
      </c>
      <c r="G61" s="4020">
        <v>1</v>
      </c>
      <c r="H61" s="4021"/>
      <c r="I61" s="4105">
        <f t="shared" si="10"/>
        <v>72000000</v>
      </c>
      <c r="J61" s="4135" t="s">
        <v>93</v>
      </c>
      <c r="K61" s="4061">
        <v>2379000</v>
      </c>
      <c r="L61" s="4061">
        <v>7</v>
      </c>
      <c r="M61" s="4061">
        <v>1</v>
      </c>
      <c r="N61" s="4021"/>
      <c r="O61" s="4108">
        <f>K61*L61*M61</f>
        <v>16653000</v>
      </c>
      <c r="P61" s="4092">
        <f t="shared" si="14"/>
        <v>88653000</v>
      </c>
      <c r="Q61" s="4057">
        <f>SUM(P61:P62,P63)-C61</f>
        <v>10458980</v>
      </c>
      <c r="R61" s="4057">
        <f>SUM(P61)-C61</f>
        <v>980</v>
      </c>
    </row>
    <row r="62" spans="2:18" hidden="1">
      <c r="C62" s="5879"/>
      <c r="D62" s="4137" t="s">
        <v>94</v>
      </c>
      <c r="E62" s="4058">
        <v>9351000</v>
      </c>
      <c r="F62" s="4058">
        <v>1</v>
      </c>
      <c r="G62" s="4013">
        <v>1</v>
      </c>
      <c r="H62" s="4014"/>
      <c r="I62" s="5839">
        <f t="shared" si="10"/>
        <v>9351000</v>
      </c>
      <c r="J62" s="4134"/>
      <c r="K62" s="4059"/>
      <c r="L62" s="4059"/>
      <c r="M62" s="4059"/>
      <c r="N62" s="4014"/>
      <c r="O62" s="4109"/>
      <c r="P62" s="4092">
        <f t="shared" si="14"/>
        <v>9351000</v>
      </c>
      <c r="Q62" s="4057"/>
      <c r="R62" s="4057"/>
    </row>
    <row r="63" spans="2:18" hidden="1">
      <c r="B63" s="4027"/>
      <c r="C63" s="5881"/>
      <c r="D63" s="4138" t="s">
        <v>95</v>
      </c>
      <c r="E63" s="4062">
        <v>1107000</v>
      </c>
      <c r="F63" s="4062">
        <v>1</v>
      </c>
      <c r="G63" s="4029">
        <v>1</v>
      </c>
      <c r="H63" s="4030"/>
      <c r="I63" s="5840">
        <f t="shared" si="10"/>
        <v>1107000</v>
      </c>
      <c r="J63" s="4027"/>
      <c r="K63" s="4063"/>
      <c r="L63" s="4063"/>
      <c r="M63" s="4063"/>
      <c r="N63" s="4030"/>
      <c r="O63" s="4033"/>
      <c r="P63" s="4092">
        <f t="shared" si="14"/>
        <v>1107000</v>
      </c>
      <c r="Q63" s="4057"/>
      <c r="R63" s="4057"/>
    </row>
    <row r="64" spans="2:18" hidden="1">
      <c r="B64" s="4018" t="s">
        <v>178</v>
      </c>
      <c r="C64" s="5880">
        <f>C28</f>
        <v>3450377147</v>
      </c>
      <c r="D64" s="4106" t="s">
        <v>50</v>
      </c>
      <c r="E64" s="4060">
        <v>1618789032.9349999</v>
      </c>
      <c r="F64" s="4060">
        <v>1</v>
      </c>
      <c r="G64" s="4020">
        <v>1</v>
      </c>
      <c r="H64" s="4021"/>
      <c r="I64" s="4105">
        <f t="shared" si="10"/>
        <v>1618789032.9349999</v>
      </c>
      <c r="J64" s="4106" t="s">
        <v>50</v>
      </c>
      <c r="K64" s="4061">
        <v>1097181328.0999999</v>
      </c>
      <c r="L64" s="4061">
        <v>1</v>
      </c>
      <c r="M64" s="4061">
        <v>1</v>
      </c>
      <c r="N64" s="4021"/>
      <c r="O64" s="4108">
        <f t="shared" ref="O64:O70" si="17">K64*L64*M64</f>
        <v>1097181328.0999999</v>
      </c>
      <c r="P64" s="4093">
        <f t="shared" si="14"/>
        <v>2715970361.0349998</v>
      </c>
      <c r="Q64" s="4057">
        <f>SUM(P64:P65)-C64</f>
        <v>2072415001.9370003</v>
      </c>
      <c r="R64" s="4057">
        <f>SUM(P64:P65)-C64</f>
        <v>2072415001.9370003</v>
      </c>
    </row>
    <row r="65" spans="2:18" hidden="1">
      <c r="C65" s="5879"/>
      <c r="D65" s="4102" t="s">
        <v>82</v>
      </c>
      <c r="E65" s="4058"/>
      <c r="F65" s="4058"/>
      <c r="G65" s="4013"/>
      <c r="H65" s="4014"/>
      <c r="I65" s="4104">
        <f>SUM(I66:I67)</f>
        <v>1988030489.302</v>
      </c>
      <c r="J65" s="4102" t="s">
        <v>82</v>
      </c>
      <c r="K65" s="4058"/>
      <c r="L65" s="4058"/>
      <c r="M65" s="4013"/>
      <c r="N65" s="4014"/>
      <c r="O65" s="4104">
        <f>SUM(O66:O67)</f>
        <v>818791298.60000014</v>
      </c>
      <c r="P65" s="4092">
        <f>SUM(P66:P67)</f>
        <v>2806821787.9020004</v>
      </c>
      <c r="Q65" s="4057"/>
      <c r="R65" s="4057"/>
    </row>
    <row r="66" spans="2:18" hidden="1">
      <c r="C66" s="5879"/>
      <c r="D66" s="4110" t="s">
        <v>96</v>
      </c>
      <c r="E66" s="4118">
        <v>1140877642.102</v>
      </c>
      <c r="F66" s="4118">
        <v>1</v>
      </c>
      <c r="G66" s="4118">
        <v>1</v>
      </c>
      <c r="H66" s="4115"/>
      <c r="I66" s="4119">
        <f t="shared" si="10"/>
        <v>1140877642.102</v>
      </c>
      <c r="J66" s="4110" t="s">
        <v>96</v>
      </c>
      <c r="K66" s="4114">
        <v>288657600.00000006</v>
      </c>
      <c r="L66" s="4114">
        <v>1</v>
      </c>
      <c r="M66" s="4114">
        <v>1</v>
      </c>
      <c r="N66" s="4115"/>
      <c r="O66" s="4116">
        <f t="shared" si="17"/>
        <v>288657600.00000006</v>
      </c>
      <c r="P66" s="4117">
        <f t="shared" si="14"/>
        <v>1429535242.102</v>
      </c>
      <c r="Q66" s="4057"/>
      <c r="R66" s="4057"/>
    </row>
    <row r="67" spans="2:18" hidden="1">
      <c r="C67" s="5879"/>
      <c r="D67" s="4110" t="s">
        <v>54</v>
      </c>
      <c r="E67" s="4118">
        <v>847152847.20000005</v>
      </c>
      <c r="F67" s="4118">
        <v>1</v>
      </c>
      <c r="G67" s="4118">
        <v>1</v>
      </c>
      <c r="H67" s="4115"/>
      <c r="I67" s="4119">
        <f t="shared" si="10"/>
        <v>847152847.20000005</v>
      </c>
      <c r="J67" s="4110" t="s">
        <v>54</v>
      </c>
      <c r="K67" s="4114">
        <v>530133698.60000002</v>
      </c>
      <c r="L67" s="4114">
        <v>1</v>
      </c>
      <c r="M67" s="4114">
        <v>1</v>
      </c>
      <c r="N67" s="4115"/>
      <c r="O67" s="4123">
        <f t="shared" si="17"/>
        <v>530133698.60000002</v>
      </c>
      <c r="P67" s="4124">
        <f t="shared" si="14"/>
        <v>1377286545.8000002</v>
      </c>
      <c r="Q67" s="4057"/>
      <c r="R67" s="4057"/>
    </row>
    <row r="68" spans="2:18" hidden="1">
      <c r="B68" s="4018" t="s">
        <v>76</v>
      </c>
      <c r="C68" s="5880">
        <f>C30</f>
        <v>54466667</v>
      </c>
      <c r="D68" s="4106" t="s">
        <v>179</v>
      </c>
      <c r="E68" s="4061"/>
      <c r="F68" s="4061"/>
      <c r="G68" s="4024"/>
      <c r="H68" s="4153"/>
      <c r="I68" s="4108">
        <f>SUM(I69:I70)</f>
        <v>117736025.30000001</v>
      </c>
      <c r="J68" s="4151" t="s">
        <v>179</v>
      </c>
      <c r="K68" s="4061"/>
      <c r="L68" s="4061"/>
      <c r="M68" s="4061"/>
      <c r="N68" s="4153"/>
      <c r="O68" s="4108">
        <f>SUM(O69:O70)</f>
        <v>91897355</v>
      </c>
      <c r="P68" s="4092">
        <f t="shared" si="14"/>
        <v>209633380.30000001</v>
      </c>
      <c r="Q68" s="5916">
        <f>SUM(P68)-C68</f>
        <v>155166713.30000001</v>
      </c>
      <c r="R68" s="4176">
        <f>SUM(P68,P71)-C68</f>
        <v>4589361713.3000002</v>
      </c>
    </row>
    <row r="69" spans="2:18" hidden="1">
      <c r="C69" s="5879"/>
      <c r="D69" s="4095" t="s">
        <v>97</v>
      </c>
      <c r="E69" s="4114">
        <v>71660120.400000021</v>
      </c>
      <c r="F69" s="4114">
        <v>1</v>
      </c>
      <c r="G69" s="4114">
        <v>1</v>
      </c>
      <c r="H69" s="5917"/>
      <c r="I69" s="4116">
        <f t="shared" si="10"/>
        <v>71660120.400000021</v>
      </c>
      <c r="J69" s="5918" t="s">
        <v>97</v>
      </c>
      <c r="K69" s="4114">
        <v>91105355</v>
      </c>
      <c r="L69" s="4114">
        <v>1</v>
      </c>
      <c r="M69" s="4114">
        <v>1</v>
      </c>
      <c r="N69" s="5917"/>
      <c r="O69" s="4116">
        <f t="shared" ref="O69" si="18">K69*L69*M69</f>
        <v>91105355</v>
      </c>
      <c r="P69" s="4117">
        <f t="shared" si="14"/>
        <v>162765475.40000004</v>
      </c>
      <c r="Q69" s="5916"/>
      <c r="R69" s="4176"/>
    </row>
    <row r="70" spans="2:18" hidden="1">
      <c r="C70" s="5879"/>
      <c r="D70" s="4095" t="s">
        <v>96</v>
      </c>
      <c r="E70" s="5919">
        <v>46075904.899999999</v>
      </c>
      <c r="F70" s="4114">
        <v>1</v>
      </c>
      <c r="G70" s="4114">
        <v>1</v>
      </c>
      <c r="H70" s="5917"/>
      <c r="I70" s="4116">
        <f t="shared" si="10"/>
        <v>46075904.899999999</v>
      </c>
      <c r="J70" s="5918" t="s">
        <v>96</v>
      </c>
      <c r="K70" s="4114">
        <v>792000</v>
      </c>
      <c r="L70" s="4114">
        <v>1</v>
      </c>
      <c r="M70" s="4114">
        <v>1</v>
      </c>
      <c r="N70" s="5917"/>
      <c r="O70" s="4116">
        <f t="shared" si="17"/>
        <v>792000</v>
      </c>
      <c r="P70" s="4117">
        <f t="shared" si="14"/>
        <v>46867904.899999999</v>
      </c>
      <c r="Q70" s="5916"/>
      <c r="R70" s="4176"/>
    </row>
    <row r="71" spans="2:18" hidden="1">
      <c r="C71" s="5879"/>
      <c r="D71" s="5887" t="s">
        <v>180</v>
      </c>
      <c r="E71" s="5919"/>
      <c r="F71" s="4114"/>
      <c r="G71" s="4114"/>
      <c r="H71" s="5917"/>
      <c r="I71" s="5920">
        <f>SUM(I72:I73)</f>
        <v>2707445000</v>
      </c>
      <c r="J71" s="5921" t="s">
        <v>180</v>
      </c>
      <c r="K71" s="4114"/>
      <c r="L71" s="4114"/>
      <c r="M71" s="4114"/>
      <c r="N71" s="5917"/>
      <c r="O71" s="5920">
        <f>SUM(O72:O73)</f>
        <v>1726750000</v>
      </c>
      <c r="P71" s="4131">
        <f>I71+O71</f>
        <v>4434195000</v>
      </c>
      <c r="Q71" s="4057"/>
      <c r="R71" s="4176"/>
    </row>
    <row r="72" spans="2:18" hidden="1">
      <c r="C72" s="5879"/>
      <c r="D72" s="4095" t="s">
        <v>181</v>
      </c>
      <c r="E72" s="5919">
        <v>10045000</v>
      </c>
      <c r="F72" s="4114">
        <v>1</v>
      </c>
      <c r="G72" s="4114">
        <v>1</v>
      </c>
      <c r="H72" s="5917"/>
      <c r="I72" s="4116">
        <f t="shared" si="10"/>
        <v>10045000</v>
      </c>
      <c r="J72" s="5918" t="s">
        <v>181</v>
      </c>
      <c r="K72" s="4114">
        <v>6750000</v>
      </c>
      <c r="L72" s="4114">
        <v>1</v>
      </c>
      <c r="M72" s="4114">
        <v>1</v>
      </c>
      <c r="N72" s="5917"/>
      <c r="O72" s="4116">
        <f t="shared" ref="O72:O73" si="19">K72*L72*M72</f>
        <v>6750000</v>
      </c>
      <c r="P72" s="4117">
        <f>I72+O72</f>
        <v>16795000</v>
      </c>
      <c r="Q72" s="4057"/>
      <c r="R72" s="4176"/>
    </row>
    <row r="73" spans="2:18" hidden="1">
      <c r="C73" s="5879"/>
      <c r="D73" s="4095" t="s">
        <v>182</v>
      </c>
      <c r="E73" s="5919">
        <v>2697400000</v>
      </c>
      <c r="F73" s="4114">
        <v>1</v>
      </c>
      <c r="G73" s="4114">
        <v>1</v>
      </c>
      <c r="H73" s="5917"/>
      <c r="I73" s="4116">
        <f t="shared" si="10"/>
        <v>2697400000</v>
      </c>
      <c r="J73" s="5918" t="s">
        <v>182</v>
      </c>
      <c r="K73" s="4114">
        <v>1720000000</v>
      </c>
      <c r="L73" s="4114">
        <v>1</v>
      </c>
      <c r="M73" s="4114">
        <v>1</v>
      </c>
      <c r="N73" s="5917"/>
      <c r="O73" s="4116">
        <f t="shared" si="19"/>
        <v>1720000000</v>
      </c>
      <c r="P73" s="4117">
        <f>I73+O73</f>
        <v>4417400000</v>
      </c>
      <c r="Q73" s="4057"/>
      <c r="R73" s="4057"/>
    </row>
    <row r="74" spans="2:18" ht="19.5" hidden="1" thickBot="1">
      <c r="B74" s="4042" t="s">
        <v>98</v>
      </c>
      <c r="C74" s="6327">
        <v>0</v>
      </c>
      <c r="D74" s="5908" t="s">
        <v>99</v>
      </c>
      <c r="E74" s="5911">
        <v>136866942</v>
      </c>
      <c r="F74" s="5911">
        <v>1</v>
      </c>
      <c r="G74" s="5911">
        <v>1</v>
      </c>
      <c r="H74" s="5910"/>
      <c r="I74" s="5915">
        <f>E74*F74*G74</f>
        <v>136866942</v>
      </c>
      <c r="J74" s="5909" t="s">
        <v>99</v>
      </c>
      <c r="K74" s="5912">
        <v>23176780</v>
      </c>
      <c r="L74" s="5912">
        <v>1</v>
      </c>
      <c r="M74" s="5912">
        <v>1</v>
      </c>
      <c r="N74" s="5910"/>
      <c r="O74" s="5914">
        <f>K74*L74*M74</f>
        <v>23176780</v>
      </c>
      <c r="P74" s="5913">
        <f>SUM(I74,O74)</f>
        <v>160043722</v>
      </c>
      <c r="Q74" s="4057"/>
      <c r="R74" s="4057">
        <f>SUM(P74)-C74</f>
        <v>160043722</v>
      </c>
    </row>
    <row r="75" spans="2:18" ht="23" hidden="1" thickTop="1">
      <c r="B75" s="4048" t="s">
        <v>77</v>
      </c>
      <c r="C75" s="5883">
        <f>SUM(C36,C43,C50,C53,C57,C61,C64,C68,C74)</f>
        <v>23477660084</v>
      </c>
      <c r="D75" s="4049"/>
      <c r="E75" s="4050"/>
      <c r="F75" s="4050"/>
      <c r="G75" s="4050"/>
      <c r="H75" s="4051"/>
      <c r="I75" s="4052">
        <f>SUM(I36:I37,I43:I45,I50,I52,I53,I57:I58,I61,I64:I65,I68,I71,I74)</f>
        <v>22485846205.477001</v>
      </c>
      <c r="J75" s="4048"/>
      <c r="K75" s="4053"/>
      <c r="L75" s="4053"/>
      <c r="M75" s="4053"/>
      <c r="N75" s="4051"/>
      <c r="O75" s="4052">
        <f>SUM(O36:O37,O43:O45,O50,O52,O53,O61,O64:O65,O68,O71,O74)</f>
        <v>10108753390.720001</v>
      </c>
      <c r="P75" s="4090">
        <f>SUM(P36,P37,P43,P44,P45,P50,P52,P53,P57,P58,P61,P64,P65,P68,P71,P74)</f>
        <v>32594599596.196999</v>
      </c>
      <c r="Q75" s="4087">
        <f>P75-C75</f>
        <v>9116939512.1969986</v>
      </c>
      <c r="R75" s="6293">
        <f>SUM(R36:R74)</f>
        <v>9116939512.1970024</v>
      </c>
    </row>
    <row r="76" spans="2:18" ht="22" hidden="1" customHeight="1">
      <c r="B76" s="4146" t="s">
        <v>100</v>
      </c>
      <c r="H76" s="2486"/>
      <c r="P76" s="4338" t="s">
        <v>7007</v>
      </c>
      <c r="Q76" s="4088" t="s">
        <v>101</v>
      </c>
      <c r="R76" s="5858"/>
    </row>
    <row r="77" spans="2:18" hidden="1">
      <c r="B77" s="4146" t="s">
        <v>103</v>
      </c>
      <c r="F77" s="5853"/>
      <c r="G77" s="5854" t="s">
        <v>104</v>
      </c>
      <c r="H77" s="5854"/>
      <c r="I77" s="5856">
        <f>I75-I31</f>
        <v>6031980248.4770012</v>
      </c>
      <c r="J77" s="5853"/>
      <c r="K77" s="5853"/>
      <c r="L77" s="5853"/>
      <c r="M77" s="5854" t="s">
        <v>105</v>
      </c>
      <c r="N77" s="5855"/>
      <c r="O77" s="5856">
        <f>O75-O31</f>
        <v>3084959263.7200012</v>
      </c>
      <c r="P77" s="4338"/>
      <c r="R77" s="4057"/>
    </row>
    <row r="78" spans="2:18" hidden="1">
      <c r="B78" s="4146" t="s">
        <v>183</v>
      </c>
      <c r="D78" s="4064"/>
      <c r="H78" s="2486"/>
      <c r="J78" s="4064"/>
      <c r="M78" s="4068"/>
      <c r="O78" s="4057"/>
      <c r="R78" s="4057"/>
    </row>
    <row r="79" spans="2:18" hidden="1">
      <c r="B79" s="4146" t="s">
        <v>121</v>
      </c>
      <c r="H79" s="2486"/>
      <c r="R79" s="4057"/>
    </row>
    <row r="80" spans="2:18" hidden="1">
      <c r="B80" s="4146" t="s">
        <v>122</v>
      </c>
      <c r="D80" s="4064"/>
      <c r="H80" s="2486"/>
      <c r="J80" s="4064"/>
      <c r="M80" s="4068"/>
      <c r="O80" s="4057"/>
      <c r="R80" s="4057"/>
    </row>
    <row r="81" spans="1:18" hidden="1">
      <c r="B81" s="4146" t="s">
        <v>123</v>
      </c>
      <c r="D81" s="4064"/>
      <c r="H81" s="2486"/>
      <c r="J81" s="4064"/>
      <c r="M81" s="4068"/>
      <c r="O81" s="4057"/>
      <c r="R81" s="4057"/>
    </row>
    <row r="82" spans="1:18" hidden="1">
      <c r="B82" s="4146" t="s">
        <v>124</v>
      </c>
      <c r="H82" s="2486"/>
      <c r="O82" s="4064"/>
      <c r="P82" s="4057"/>
      <c r="R82" s="4057"/>
    </row>
    <row r="83" spans="1:18" hidden="1">
      <c r="B83" s="4146" t="s">
        <v>184</v>
      </c>
      <c r="H83" s="2486"/>
      <c r="O83" s="5889"/>
      <c r="R83" s="4057"/>
    </row>
    <row r="84" spans="1:18" ht="19.5" hidden="1" thickBot="1">
      <c r="B84" s="4146"/>
      <c r="R84" s="4057"/>
    </row>
    <row r="85" spans="1:18" ht="19.5" thickTop="1">
      <c r="A85" s="6276"/>
      <c r="B85" s="6277"/>
      <c r="C85" s="6276"/>
      <c r="D85" s="6276"/>
      <c r="E85" s="6276"/>
      <c r="F85" s="6276"/>
      <c r="G85" s="6276"/>
      <c r="H85" s="6278"/>
      <c r="I85" s="6276"/>
      <c r="J85" s="6276"/>
      <c r="K85" s="6276"/>
      <c r="L85" s="6276"/>
      <c r="M85" s="6276"/>
      <c r="N85" s="6278"/>
      <c r="O85" s="6276"/>
      <c r="P85" s="6276"/>
      <c r="R85" s="4057"/>
    </row>
    <row r="86" spans="1:18">
      <c r="A86" s="6279" t="s">
        <v>7045</v>
      </c>
      <c r="B86" s="4146" t="s">
        <v>79</v>
      </c>
      <c r="D86" s="4003" t="s">
        <v>37</v>
      </c>
      <c r="I86" s="4005"/>
      <c r="J86" s="2486" t="s">
        <v>39</v>
      </c>
      <c r="O86" s="4005"/>
      <c r="P86" s="4089" t="s">
        <v>40</v>
      </c>
    </row>
    <row r="87" spans="1:18" ht="19.5" thickBot="1">
      <c r="B87" s="2486" t="s">
        <v>41</v>
      </c>
      <c r="C87" s="4071" t="s">
        <v>7003</v>
      </c>
      <c r="D87" s="4003" t="s">
        <v>43</v>
      </c>
      <c r="E87" s="4006" t="s">
        <v>44</v>
      </c>
      <c r="F87" s="4006" t="s">
        <v>45</v>
      </c>
      <c r="G87" s="4006" t="s">
        <v>46</v>
      </c>
      <c r="I87" s="4005" t="s">
        <v>47</v>
      </c>
      <c r="J87" s="2486" t="s">
        <v>43</v>
      </c>
      <c r="K87" s="4006" t="s">
        <v>44</v>
      </c>
      <c r="L87" s="4006" t="s">
        <v>45</v>
      </c>
      <c r="M87" s="4006" t="s">
        <v>46</v>
      </c>
      <c r="O87" s="4005" t="s">
        <v>47</v>
      </c>
      <c r="P87" s="4089" t="s">
        <v>48</v>
      </c>
      <c r="Q87" s="2486" t="s">
        <v>80</v>
      </c>
      <c r="R87" s="2486" t="s">
        <v>80</v>
      </c>
    </row>
    <row r="88" spans="1:18">
      <c r="B88" s="4007" t="s">
        <v>81</v>
      </c>
      <c r="C88" s="5878">
        <f>SUM(P36,P37)</f>
        <v>16230405964.960001</v>
      </c>
      <c r="D88" s="4101" t="s">
        <v>50</v>
      </c>
      <c r="E88" s="4055" t="e">
        <f>'財政見通し積算 (全SH全項目統合版）'!C26</f>
        <v>#REF!</v>
      </c>
      <c r="F88" s="4055">
        <v>1</v>
      </c>
      <c r="G88" s="4009">
        <v>1</v>
      </c>
      <c r="H88" s="4010"/>
      <c r="I88" s="4103" t="e">
        <f>E88*F88*G88</f>
        <v>#REF!</v>
      </c>
      <c r="J88" s="4101" t="s">
        <v>50</v>
      </c>
      <c r="K88" s="4056" t="e">
        <f>'財政見通し積算 (全SH全項目統合版）'!C31</f>
        <v>#REF!</v>
      </c>
      <c r="L88" s="4056">
        <v>1</v>
      </c>
      <c r="M88" s="4056">
        <v>1</v>
      </c>
      <c r="N88" s="4010"/>
      <c r="O88" s="4107" t="e">
        <f>K88*L88*M88</f>
        <v>#REF!</v>
      </c>
      <c r="P88" s="6309" t="e">
        <f>I88+O88</f>
        <v>#REF!</v>
      </c>
      <c r="Q88" s="4057" t="e">
        <f>SUM(P88:P89)-C88</f>
        <v>#REF!</v>
      </c>
      <c r="R88" s="4057" t="e">
        <f>SUM(P88:P89)-C88</f>
        <v>#REF!</v>
      </c>
    </row>
    <row r="89" spans="1:18">
      <c r="C89" s="5879"/>
      <c r="D89" s="4102" t="s">
        <v>82</v>
      </c>
      <c r="E89" s="4058"/>
      <c r="F89" s="4058"/>
      <c r="G89" s="4013"/>
      <c r="H89" s="4014"/>
      <c r="I89" s="4104">
        <f>SUM(I90:I94)</f>
        <v>7870805610.0799999</v>
      </c>
      <c r="J89" s="4102" t="s">
        <v>82</v>
      </c>
      <c r="K89" s="4059"/>
      <c r="L89" s="4059"/>
      <c r="M89" s="4059"/>
      <c r="N89" s="4014"/>
      <c r="O89" s="4104">
        <f>SUM(O90:O94)</f>
        <v>2056353476.1400001</v>
      </c>
      <c r="P89" s="6310">
        <f>SUM(P90:P94)</f>
        <v>9927159086.2200012</v>
      </c>
      <c r="Q89" s="4057"/>
      <c r="R89" s="4057"/>
    </row>
    <row r="90" spans="1:18">
      <c r="C90" s="5879"/>
      <c r="D90" s="4110" t="s">
        <v>52</v>
      </c>
      <c r="E90" s="6347">
        <f>'財政見通し積算 (全SH全項目統合版）'!C27</f>
        <v>2204156998</v>
      </c>
      <c r="F90" s="4111">
        <v>1</v>
      </c>
      <c r="G90" s="4111">
        <v>1</v>
      </c>
      <c r="H90" s="4112"/>
      <c r="I90" s="4113">
        <f t="shared" ref="I90" si="20">E90*F90*G90</f>
        <v>2204156998</v>
      </c>
      <c r="J90" s="4110" t="s">
        <v>52</v>
      </c>
      <c r="K90" s="4114">
        <f>'財政見通し積算 (全SH全項目統合版）'!C32-K39</f>
        <v>237817800</v>
      </c>
      <c r="L90" s="4114">
        <v>1</v>
      </c>
      <c r="M90" s="4114">
        <v>1</v>
      </c>
      <c r="N90" s="4115"/>
      <c r="O90" s="4116">
        <f t="shared" ref="O90:O96" si="21">K90*L90*M90</f>
        <v>237817800</v>
      </c>
      <c r="P90" s="4117">
        <f>I90+O90</f>
        <v>2441974798</v>
      </c>
      <c r="Q90" s="4057"/>
      <c r="R90" s="4057"/>
    </row>
    <row r="91" spans="1:18">
      <c r="C91" s="5879"/>
      <c r="D91" s="4110"/>
      <c r="E91" s="4111"/>
      <c r="F91" s="4111"/>
      <c r="G91" s="4111"/>
      <c r="H91" s="4112"/>
      <c r="I91" s="4113"/>
      <c r="J91" s="4110" t="s">
        <v>53</v>
      </c>
      <c r="K91" s="4114">
        <f>【250925】アジパラファミリー積算!BS29</f>
        <v>234300000</v>
      </c>
      <c r="L91" s="4114">
        <v>1</v>
      </c>
      <c r="M91" s="4114">
        <v>1</v>
      </c>
      <c r="N91" s="4115"/>
      <c r="O91" s="4116">
        <f t="shared" si="21"/>
        <v>234300000</v>
      </c>
      <c r="P91" s="4117">
        <f t="shared" ref="P91:P93" si="22">I91+O91</f>
        <v>234300000</v>
      </c>
      <c r="Q91" s="4057"/>
      <c r="R91" s="4057"/>
    </row>
    <row r="92" spans="1:18">
      <c r="C92" s="5879"/>
      <c r="D92" s="4110" t="s">
        <v>54</v>
      </c>
      <c r="E92" s="6347">
        <f>'財政見通し積算 (全SH全項目統合版）'!C28</f>
        <v>1724607631</v>
      </c>
      <c r="F92" s="4111">
        <v>1</v>
      </c>
      <c r="G92" s="4111">
        <v>1</v>
      </c>
      <c r="H92" s="4112"/>
      <c r="I92" s="4113">
        <f t="shared" ref="I92:I93" si="23">E92*F92*G92</f>
        <v>1724607631</v>
      </c>
      <c r="J92" s="4110" t="s">
        <v>54</v>
      </c>
      <c r="K92" s="4114">
        <f>'財政見通し積算 (全SH全項目統合版）'!C33</f>
        <v>344907436</v>
      </c>
      <c r="L92" s="4114">
        <v>1</v>
      </c>
      <c r="M92" s="4114">
        <v>1</v>
      </c>
      <c r="N92" s="4115"/>
      <c r="O92" s="4116">
        <f t="shared" si="21"/>
        <v>344907436</v>
      </c>
      <c r="P92" s="4117">
        <f t="shared" si="22"/>
        <v>2069515067</v>
      </c>
      <c r="Q92" s="4057"/>
      <c r="R92" s="4057"/>
    </row>
    <row r="93" spans="1:18">
      <c r="C93" s="5879"/>
      <c r="D93" s="4110" t="s">
        <v>83</v>
      </c>
      <c r="E93" s="6347">
        <f>'財政見通し積算 (全SH全項目統合版）'!C29</f>
        <v>1285487677.0800002</v>
      </c>
      <c r="F93" s="4111">
        <v>1</v>
      </c>
      <c r="G93" s="4111">
        <v>1</v>
      </c>
      <c r="H93" s="4112"/>
      <c r="I93" s="4113">
        <f t="shared" si="23"/>
        <v>1285487677.0800002</v>
      </c>
      <c r="J93" s="4110" t="s">
        <v>83</v>
      </c>
      <c r="K93" s="4114">
        <f>'財政見通し積算 (全SH全項目統合版）'!C34</f>
        <v>837038639.34000003</v>
      </c>
      <c r="L93" s="4114">
        <v>1</v>
      </c>
      <c r="M93" s="4114">
        <v>1</v>
      </c>
      <c r="N93" s="4115"/>
      <c r="O93" s="4116">
        <f t="shared" si="21"/>
        <v>837038639.34000003</v>
      </c>
      <c r="P93" s="4117">
        <f t="shared" si="22"/>
        <v>2122526316.4200001</v>
      </c>
      <c r="Q93" s="4057"/>
      <c r="R93" s="4057"/>
    </row>
    <row r="94" spans="1:18">
      <c r="C94" s="5879"/>
      <c r="D94" s="4110" t="s">
        <v>84</v>
      </c>
      <c r="E94" s="4111">
        <f>'財政見通し積算 (全SH全項目統合版）'!C30</f>
        <v>2656553304</v>
      </c>
      <c r="F94" s="4111">
        <v>1</v>
      </c>
      <c r="G94" s="4111">
        <v>1</v>
      </c>
      <c r="H94" s="4112"/>
      <c r="I94" s="4113">
        <f>E94*F94*G94</f>
        <v>2656553304</v>
      </c>
      <c r="J94" s="4110" t="s">
        <v>84</v>
      </c>
      <c r="K94" s="4114">
        <f>'財政見通し積算 (全SH全項目統合版）'!C35</f>
        <v>402289600.80000001</v>
      </c>
      <c r="L94" s="4114">
        <v>1</v>
      </c>
      <c r="M94" s="4114">
        <v>1</v>
      </c>
      <c r="N94" s="4115"/>
      <c r="O94" s="4116">
        <f t="shared" si="21"/>
        <v>402289600.80000001</v>
      </c>
      <c r="P94" s="4117">
        <f>I94+O94</f>
        <v>3058842904.8000002</v>
      </c>
      <c r="Q94" s="4057"/>
      <c r="R94" s="4057"/>
    </row>
    <row r="95" spans="1:18">
      <c r="B95" s="4018" t="s">
        <v>57</v>
      </c>
      <c r="C95" s="5880">
        <f>SUM(P43,P44,P45)</f>
        <v>3091220580</v>
      </c>
      <c r="D95" s="4106" t="s">
        <v>85</v>
      </c>
      <c r="E95" s="4060">
        <v>22104</v>
      </c>
      <c r="F95" s="4060">
        <v>58549</v>
      </c>
      <c r="G95" s="4020">
        <v>1</v>
      </c>
      <c r="H95" s="4021"/>
      <c r="I95" s="4105">
        <f t="shared" ref="I95:I96" si="24">E95*F95*G95</f>
        <v>1294167096</v>
      </c>
      <c r="J95" s="4106" t="s">
        <v>85</v>
      </c>
      <c r="K95" s="4061">
        <v>22104</v>
      </c>
      <c r="L95" s="4061">
        <v>32390</v>
      </c>
      <c r="M95" s="4061">
        <v>1</v>
      </c>
      <c r="N95" s="4021">
        <f t="shared" ref="N95" si="25">L95*M95</f>
        <v>32390</v>
      </c>
      <c r="O95" s="4108">
        <f t="shared" si="21"/>
        <v>715948560</v>
      </c>
      <c r="P95" s="6311">
        <f>I95+O95</f>
        <v>2010115656</v>
      </c>
      <c r="Q95" s="4057" t="e">
        <f>SUM(P95:P100)-C95</f>
        <v>#REF!</v>
      </c>
      <c r="R95" s="4057" t="e">
        <f>SUM(P95:P97)-C95</f>
        <v>#REF!</v>
      </c>
    </row>
    <row r="96" spans="1:18">
      <c r="B96" s="6275" t="s">
        <v>7013</v>
      </c>
      <c r="C96" s="5879"/>
      <c r="D96" s="4102" t="s">
        <v>86</v>
      </c>
      <c r="E96" s="4058" t="e">
        <f>'財政見通し積算 (全SH全項目統合版）'!E26</f>
        <v>#REF!</v>
      </c>
      <c r="F96" s="4058">
        <v>1</v>
      </c>
      <c r="G96" s="4013">
        <v>1</v>
      </c>
      <c r="H96" s="4014"/>
      <c r="I96" s="4104" t="e">
        <f t="shared" si="24"/>
        <v>#REF!</v>
      </c>
      <c r="J96" s="4102" t="s">
        <v>86</v>
      </c>
      <c r="K96" s="4059" t="e">
        <f>'財政見通し積算 (全SH全項目統合版）'!E31</f>
        <v>#REF!</v>
      </c>
      <c r="L96" s="4059">
        <v>1</v>
      </c>
      <c r="M96" s="4059">
        <v>1</v>
      </c>
      <c r="N96" s="4014"/>
      <c r="O96" s="4104" t="e">
        <f t="shared" si="21"/>
        <v>#REF!</v>
      </c>
      <c r="P96" s="6310" t="e">
        <f>SUM(I96,O96)</f>
        <v>#REF!</v>
      </c>
      <c r="Q96" s="4057"/>
      <c r="R96" s="4057"/>
    </row>
    <row r="97" spans="2:18">
      <c r="C97" s="5879"/>
      <c r="D97" s="4102" t="s">
        <v>82</v>
      </c>
      <c r="E97" s="4058"/>
      <c r="F97" s="4058"/>
      <c r="G97" s="4013"/>
      <c r="H97" s="4014"/>
      <c r="I97" s="4104">
        <f>SUM(I98,I100)</f>
        <v>1179968416</v>
      </c>
      <c r="J97" s="4102" t="s">
        <v>82</v>
      </c>
      <c r="K97" s="4058"/>
      <c r="L97" s="4059"/>
      <c r="M97" s="4059"/>
      <c r="N97" s="4014"/>
      <c r="O97" s="4104">
        <f>SUM(O98:O100)</f>
        <v>267855150</v>
      </c>
      <c r="P97" s="6310">
        <f>SUM(P98:P100)</f>
        <v>1447823566</v>
      </c>
      <c r="Q97" s="4057"/>
      <c r="R97" s="4057"/>
    </row>
    <row r="98" spans="2:18">
      <c r="C98" s="5879"/>
      <c r="D98" s="4110" t="s">
        <v>58</v>
      </c>
      <c r="E98" s="6348">
        <f>'財政見通し積算 (全SH全項目統合版）'!E27</f>
        <v>453261666</v>
      </c>
      <c r="F98" s="4118">
        <v>1</v>
      </c>
      <c r="G98" s="4118">
        <v>1</v>
      </c>
      <c r="H98" s="4115"/>
      <c r="I98" s="4119">
        <f t="shared" ref="I98" si="26">E98*F98*G98</f>
        <v>453261666</v>
      </c>
      <c r="J98" s="4110" t="s">
        <v>58</v>
      </c>
      <c r="K98" s="4114">
        <f>'財政見通し積算 (全SH全項目統合版）'!E32-K47</f>
        <v>12202607.999999985</v>
      </c>
      <c r="L98" s="4114">
        <v>1</v>
      </c>
      <c r="M98" s="4114">
        <v>1</v>
      </c>
      <c r="N98" s="4115"/>
      <c r="O98" s="4116">
        <f t="shared" ref="O98:O105" si="27">K98*L98*M98</f>
        <v>12202607.999999985</v>
      </c>
      <c r="P98" s="4117">
        <f t="shared" ref="P98:P109" si="28">I98+O98</f>
        <v>465464274</v>
      </c>
      <c r="Q98" s="4057"/>
      <c r="R98" s="4057"/>
    </row>
    <row r="99" spans="2:18">
      <c r="C99" s="5879"/>
      <c r="D99" s="4110"/>
      <c r="E99" s="4118"/>
      <c r="F99" s="4118"/>
      <c r="G99" s="4118"/>
      <c r="H99" s="4115"/>
      <c r="I99" s="4119"/>
      <c r="J99" s="4110" t="s">
        <v>87</v>
      </c>
      <c r="K99" s="4114">
        <f>【250925】アジパラファミリー積算!BV29</f>
        <v>60203792.000000015</v>
      </c>
      <c r="L99" s="4114">
        <v>1</v>
      </c>
      <c r="M99" s="4114">
        <v>1</v>
      </c>
      <c r="N99" s="4115"/>
      <c r="O99" s="4116">
        <f t="shared" si="27"/>
        <v>60203792.000000015</v>
      </c>
      <c r="P99" s="4117">
        <f t="shared" si="28"/>
        <v>60203792.000000015</v>
      </c>
      <c r="Q99" s="4057"/>
      <c r="R99" s="4057"/>
    </row>
    <row r="100" spans="2:18">
      <c r="C100" s="5879"/>
      <c r="D100" s="4110" t="s">
        <v>54</v>
      </c>
      <c r="E100" s="4118">
        <f>'財政見通し積算 (全SH全項目統合版）'!E28</f>
        <v>726706750</v>
      </c>
      <c r="F100" s="4118">
        <v>1</v>
      </c>
      <c r="G100" s="4118">
        <v>1</v>
      </c>
      <c r="H100" s="4014"/>
      <c r="I100" s="4119">
        <f t="shared" ref="I100:I109" si="29">E100*F100*G100</f>
        <v>726706750</v>
      </c>
      <c r="J100" s="4110" t="s">
        <v>54</v>
      </c>
      <c r="K100" s="4114">
        <f>'財政見通し積算 (全SH全項目統合版）'!E33</f>
        <v>195448750</v>
      </c>
      <c r="L100" s="4118">
        <v>1</v>
      </c>
      <c r="M100" s="4114">
        <v>1</v>
      </c>
      <c r="N100" s="4115"/>
      <c r="O100" s="4116">
        <f t="shared" si="27"/>
        <v>195448750</v>
      </c>
      <c r="P100" s="4117">
        <f t="shared" si="28"/>
        <v>922155500</v>
      </c>
      <c r="Q100" s="4057"/>
      <c r="R100" s="4057"/>
    </row>
    <row r="101" spans="2:18">
      <c r="B101" s="4018" t="s">
        <v>63</v>
      </c>
      <c r="C101" s="5880">
        <f>SUM(P50,P52)</f>
        <v>1288076800</v>
      </c>
      <c r="D101" s="4135" t="s">
        <v>89</v>
      </c>
      <c r="E101" s="4060">
        <v>22104</v>
      </c>
      <c r="F101" s="5831">
        <v>8589</v>
      </c>
      <c r="G101" s="5831">
        <v>1</v>
      </c>
      <c r="H101" s="5832"/>
      <c r="I101" s="5833">
        <f t="shared" si="29"/>
        <v>189851256</v>
      </c>
      <c r="J101" s="4135" t="s">
        <v>89</v>
      </c>
      <c r="K101" s="4061">
        <v>22104</v>
      </c>
      <c r="L101" s="5843">
        <v>5101</v>
      </c>
      <c r="M101" s="5843">
        <v>1</v>
      </c>
      <c r="N101" s="5832">
        <f t="shared" ref="N101:N105" si="30">L101*M101</f>
        <v>5101</v>
      </c>
      <c r="O101" s="5844">
        <f t="shared" si="27"/>
        <v>112752504</v>
      </c>
      <c r="P101" s="6311">
        <f t="shared" si="28"/>
        <v>302603760</v>
      </c>
      <c r="Q101" s="4057">
        <f>SUM(P101:P102)-C101</f>
        <v>1021314212</v>
      </c>
      <c r="R101" s="4057">
        <f>SUM(P101,P102)-C101</f>
        <v>1021314212</v>
      </c>
    </row>
    <row r="102" spans="2:18">
      <c r="C102" s="5879"/>
      <c r="D102" s="5830" t="s">
        <v>90</v>
      </c>
      <c r="E102" s="4058"/>
      <c r="F102" s="4058"/>
      <c r="G102" s="4013"/>
      <c r="H102" s="4014"/>
      <c r="I102" s="4104">
        <f>SUM(I103:I104)</f>
        <v>1301645530</v>
      </c>
      <c r="J102" s="5830" t="s">
        <v>90</v>
      </c>
      <c r="K102" s="4059"/>
      <c r="L102" s="4059"/>
      <c r="M102" s="4059"/>
      <c r="N102" s="4014">
        <f t="shared" si="30"/>
        <v>0</v>
      </c>
      <c r="O102" s="4104">
        <f>SUM(O103:O104)</f>
        <v>705141722</v>
      </c>
      <c r="P102" s="6310">
        <f t="shared" si="28"/>
        <v>2006787252</v>
      </c>
      <c r="Q102" s="4057"/>
      <c r="R102" s="4057"/>
    </row>
    <row r="103" spans="2:18">
      <c r="C103" s="5879"/>
      <c r="D103" s="4110" t="s">
        <v>7011</v>
      </c>
      <c r="E103" s="6301">
        <v>22164</v>
      </c>
      <c r="F103" s="6301">
        <v>30445</v>
      </c>
      <c r="G103" s="6301">
        <v>1</v>
      </c>
      <c r="H103" s="6302"/>
      <c r="I103" s="6303">
        <f t="shared" ref="I103" si="31">E103*F103*G103</f>
        <v>674782980</v>
      </c>
      <c r="J103" s="4110" t="s">
        <v>7011</v>
      </c>
      <c r="K103" s="6304">
        <v>22164</v>
      </c>
      <c r="L103" s="6304">
        <v>16493</v>
      </c>
      <c r="M103" s="6304">
        <v>1</v>
      </c>
      <c r="N103" s="6302">
        <f t="shared" si="30"/>
        <v>16493</v>
      </c>
      <c r="O103" s="6308">
        <f t="shared" ref="O103:O104" si="32">K103*L103*M103</f>
        <v>365550852</v>
      </c>
      <c r="P103" s="4117">
        <f t="shared" si="28"/>
        <v>1040333832</v>
      </c>
      <c r="Q103" s="4057"/>
      <c r="R103" s="4057"/>
    </row>
    <row r="104" spans="2:18">
      <c r="B104" s="4027"/>
      <c r="C104" s="5881"/>
      <c r="D104" s="4110" t="s">
        <v>7012</v>
      </c>
      <c r="E104" s="6305">
        <v>20590</v>
      </c>
      <c r="F104" s="6305">
        <v>30445</v>
      </c>
      <c r="G104" s="6305">
        <v>1</v>
      </c>
      <c r="H104" s="6306"/>
      <c r="I104" s="6307">
        <f>E104*F104*G104</f>
        <v>626862550</v>
      </c>
      <c r="J104" s="4110" t="s">
        <v>7012</v>
      </c>
      <c r="K104" s="6305">
        <v>20590</v>
      </c>
      <c r="L104" s="6305">
        <v>16493</v>
      </c>
      <c r="M104" s="6305">
        <v>1</v>
      </c>
      <c r="N104" s="6306"/>
      <c r="O104" s="6307">
        <f t="shared" si="32"/>
        <v>339590870</v>
      </c>
      <c r="P104" s="4117">
        <f t="shared" si="28"/>
        <v>966453420</v>
      </c>
      <c r="Q104" s="6298"/>
      <c r="R104" s="4057"/>
    </row>
    <row r="105" spans="2:18">
      <c r="B105" s="2486" t="s">
        <v>65</v>
      </c>
      <c r="C105" s="5879">
        <f>SUM(P53)</f>
        <v>132220000</v>
      </c>
      <c r="D105" s="6299" t="s">
        <v>64</v>
      </c>
      <c r="E105" s="4058">
        <v>880</v>
      </c>
      <c r="F105" s="4058">
        <v>97583</v>
      </c>
      <c r="G105" s="4013">
        <v>1</v>
      </c>
      <c r="H105" s="4014"/>
      <c r="I105" s="4104">
        <f t="shared" si="29"/>
        <v>85873040</v>
      </c>
      <c r="J105" s="6300" t="s">
        <v>64</v>
      </c>
      <c r="K105" s="4059">
        <v>880</v>
      </c>
      <c r="L105" s="4059">
        <v>53984</v>
      </c>
      <c r="M105" s="4059">
        <v>1</v>
      </c>
      <c r="N105" s="4014">
        <f t="shared" si="30"/>
        <v>53984</v>
      </c>
      <c r="O105" s="4109">
        <f t="shared" si="27"/>
        <v>47505920</v>
      </c>
      <c r="P105" s="6312">
        <f t="shared" si="28"/>
        <v>133378960</v>
      </c>
      <c r="Q105" s="4057">
        <f>SUM(P105:P105)-C105</f>
        <v>1158960</v>
      </c>
      <c r="R105" s="4057">
        <f>SUM(P105)-C105</f>
        <v>1158960</v>
      </c>
    </row>
    <row r="106" spans="2:18">
      <c r="B106" s="4018" t="s">
        <v>92</v>
      </c>
      <c r="C106" s="5880">
        <f>SUM(P57,P58:Q58)-444090000</f>
        <v>993269000</v>
      </c>
      <c r="D106" s="4106" t="s">
        <v>69</v>
      </c>
      <c r="E106" s="6337">
        <v>678889349</v>
      </c>
      <c r="F106" s="4060">
        <v>1</v>
      </c>
      <c r="G106" s="4020">
        <v>1</v>
      </c>
      <c r="H106" s="4021"/>
      <c r="I106" s="6339">
        <f t="shared" si="29"/>
        <v>678889349</v>
      </c>
      <c r="J106" s="5851"/>
      <c r="K106" s="4061"/>
      <c r="L106" s="4061"/>
      <c r="M106" s="4061"/>
      <c r="N106" s="5852"/>
      <c r="O106" s="4108"/>
      <c r="P106" s="6341">
        <f t="shared" si="28"/>
        <v>678889349</v>
      </c>
      <c r="Q106" s="4057">
        <f>SUM(P106:P107)-C106</f>
        <v>-237379651</v>
      </c>
      <c r="R106" s="4057">
        <f>SUM(P106:P107)-C106</f>
        <v>-237379651</v>
      </c>
    </row>
    <row r="107" spans="2:18">
      <c r="C107" s="5879"/>
      <c r="D107" s="4102" t="s">
        <v>70</v>
      </c>
      <c r="E107" s="6338">
        <v>77000000</v>
      </c>
      <c r="F107" s="4058">
        <v>1</v>
      </c>
      <c r="G107" s="4013">
        <v>1</v>
      </c>
      <c r="H107" s="4014"/>
      <c r="I107" s="6340">
        <f t="shared" si="29"/>
        <v>77000000</v>
      </c>
      <c r="J107" s="4066"/>
      <c r="K107" s="4059"/>
      <c r="L107" s="4059"/>
      <c r="M107" s="4059"/>
      <c r="N107" s="4067"/>
      <c r="O107" s="4065">
        <f t="shared" ref="O107" si="33">K107*L107*M107</f>
        <v>0</v>
      </c>
      <c r="P107" s="6342">
        <f t="shared" si="28"/>
        <v>77000000</v>
      </c>
      <c r="Q107" s="4057"/>
      <c r="R107" s="4057"/>
    </row>
    <row r="108" spans="2:18">
      <c r="B108" s="4018" t="s">
        <v>177</v>
      </c>
      <c r="C108" s="5880">
        <f>SUM(P61)</f>
        <v>88653000</v>
      </c>
      <c r="D108" s="4135" t="s">
        <v>93</v>
      </c>
      <c r="E108" s="4060">
        <v>6000000</v>
      </c>
      <c r="F108" s="4060">
        <v>12</v>
      </c>
      <c r="G108" s="4020">
        <v>1</v>
      </c>
      <c r="H108" s="4021"/>
      <c r="I108" s="4105">
        <f t="shared" si="29"/>
        <v>72000000</v>
      </c>
      <c r="J108" s="4135" t="s">
        <v>93</v>
      </c>
      <c r="K108" s="4061">
        <v>2379000</v>
      </c>
      <c r="L108" s="4061">
        <v>7</v>
      </c>
      <c r="M108" s="4061">
        <v>1</v>
      </c>
      <c r="N108" s="4021"/>
      <c r="O108" s="4108">
        <f>K108*L108*M108</f>
        <v>16653000</v>
      </c>
      <c r="P108" s="6310">
        <f t="shared" si="28"/>
        <v>88653000</v>
      </c>
      <c r="Q108" s="4057" t="e">
        <f>SUM(P108:P108,#REF!)-C108</f>
        <v>#REF!</v>
      </c>
      <c r="R108" s="4057">
        <f>SUM(P108)-C108</f>
        <v>0</v>
      </c>
    </row>
    <row r="109" spans="2:18">
      <c r="B109" s="4018" t="s">
        <v>178</v>
      </c>
      <c r="C109" s="5880">
        <f>SUM(P64,P65)-SUM('0024_ホテルメルパルク名古屋　別紙1-2'!O46,'0024_ホテルメルパルク名古屋　別紙1-2'!O47)*1.1-'0024_ホテルメルパルク名古屋　別紙1-2'!U46*19-53344500</f>
        <v>5386971859.9370003</v>
      </c>
      <c r="D109" s="4106" t="s">
        <v>50</v>
      </c>
      <c r="E109" s="4060" t="e">
        <f>'財政見通し積算 (全SH全項目統合版）'!D26</f>
        <v>#REF!</v>
      </c>
      <c r="F109" s="4060">
        <v>1</v>
      </c>
      <c r="G109" s="4020">
        <v>1</v>
      </c>
      <c r="H109" s="4021"/>
      <c r="I109" s="4105" t="e">
        <f t="shared" si="29"/>
        <v>#REF!</v>
      </c>
      <c r="J109" s="4106" t="s">
        <v>50</v>
      </c>
      <c r="K109" s="4061" t="e">
        <f>('財政見通し積算 (全SH全項目統合版）'!D31)</f>
        <v>#REF!</v>
      </c>
      <c r="L109" s="4061">
        <v>1</v>
      </c>
      <c r="M109" s="4061">
        <v>1</v>
      </c>
      <c r="N109" s="4021"/>
      <c r="O109" s="4108" t="e">
        <f t="shared" ref="O109" si="34">K109*L109*M109</f>
        <v>#REF!</v>
      </c>
      <c r="P109" s="6311" t="e">
        <f t="shared" si="28"/>
        <v>#REF!</v>
      </c>
      <c r="Q109" s="4057" t="e">
        <f>SUM(P109:P110)-C109</f>
        <v>#REF!</v>
      </c>
      <c r="R109" s="4057" t="e">
        <f>SUM(P109:P110)-C109</f>
        <v>#REF!</v>
      </c>
    </row>
    <row r="110" spans="2:18">
      <c r="C110" s="5879"/>
      <c r="D110" s="4102" t="s">
        <v>82</v>
      </c>
      <c r="E110" s="4058"/>
      <c r="F110" s="4058"/>
      <c r="G110" s="4013"/>
      <c r="H110" s="4014"/>
      <c r="I110" s="4104">
        <f>SUM(I111:I112)</f>
        <v>1894195599.7</v>
      </c>
      <c r="J110" s="4102" t="s">
        <v>82</v>
      </c>
      <c r="K110" s="4058"/>
      <c r="L110" s="4058"/>
      <c r="M110" s="4013"/>
      <c r="N110" s="4014"/>
      <c r="O110" s="4104">
        <f>SUM(O111:O112)</f>
        <v>656390529.10000014</v>
      </c>
      <c r="P110" s="6310">
        <f>SUM(P111:P112)</f>
        <v>2550586128.8000002</v>
      </c>
      <c r="Q110" s="4057"/>
      <c r="R110" s="4057"/>
    </row>
    <row r="111" spans="2:18">
      <c r="C111" s="5879"/>
      <c r="D111" s="4110" t="s">
        <v>96</v>
      </c>
      <c r="E111" s="6348">
        <f>'財政見通し積算 (全SH全項目統合版）'!D27</f>
        <v>1133891586</v>
      </c>
      <c r="F111" s="4118">
        <v>1</v>
      </c>
      <c r="G111" s="4118">
        <v>1</v>
      </c>
      <c r="H111" s="4115"/>
      <c r="I111" s="4119">
        <f t="shared" ref="I111:I112" si="35">E111*F111*G111</f>
        <v>1133891586</v>
      </c>
      <c r="J111" s="4110" t="s">
        <v>96</v>
      </c>
      <c r="K111" s="4114">
        <f>'財政見通し積算 (全SH全項目統合版）'!D32</f>
        <v>288657600.00000006</v>
      </c>
      <c r="L111" s="4114">
        <v>1</v>
      </c>
      <c r="M111" s="4114">
        <v>1</v>
      </c>
      <c r="N111" s="4115"/>
      <c r="O111" s="4116">
        <f t="shared" ref="O111:O112" si="36">K111*L111*M111</f>
        <v>288657600.00000006</v>
      </c>
      <c r="P111" s="4117">
        <f t="shared" ref="P111:P115" si="37">I111+O111</f>
        <v>1422549186</v>
      </c>
      <c r="Q111" s="4057"/>
      <c r="R111" s="4057"/>
    </row>
    <row r="112" spans="2:18">
      <c r="C112" s="5879"/>
      <c r="D112" s="4110" t="s">
        <v>54</v>
      </c>
      <c r="E112" s="6348">
        <f>'財政見通し積算 (全SH全項目統合版）'!D28</f>
        <v>760304013.70000005</v>
      </c>
      <c r="F112" s="4118">
        <v>1</v>
      </c>
      <c r="G112" s="4118">
        <v>1</v>
      </c>
      <c r="H112" s="4115"/>
      <c r="I112" s="4119">
        <f t="shared" si="35"/>
        <v>760304013.70000005</v>
      </c>
      <c r="J112" s="4110" t="s">
        <v>54</v>
      </c>
      <c r="K112" s="6345">
        <f>'財政見通し積算 (全SH全項目統合版）'!D33</f>
        <v>367732929.10000002</v>
      </c>
      <c r="L112" s="4114">
        <v>1</v>
      </c>
      <c r="M112" s="4114">
        <v>1</v>
      </c>
      <c r="N112" s="4115"/>
      <c r="O112" s="4123">
        <f t="shared" si="36"/>
        <v>367732929.10000002</v>
      </c>
      <c r="P112" s="4124">
        <f t="shared" si="37"/>
        <v>1128036942.8000002</v>
      </c>
      <c r="Q112" s="4057"/>
      <c r="R112" s="4057"/>
    </row>
    <row r="113" spans="2:18">
      <c r="B113" s="4018" t="s">
        <v>76</v>
      </c>
      <c r="C113" s="5880">
        <f>SUM(P68,P71)-3006883000</f>
        <v>1636945380.3000002</v>
      </c>
      <c r="D113" s="4106" t="s">
        <v>179</v>
      </c>
      <c r="E113" s="4061"/>
      <c r="F113" s="4061"/>
      <c r="G113" s="4024"/>
      <c r="H113" s="4153"/>
      <c r="I113" s="4108" t="e">
        <f>SUM(I114:I115)</f>
        <v>#REF!</v>
      </c>
      <c r="J113" s="4151" t="s">
        <v>179</v>
      </c>
      <c r="K113" s="4061"/>
      <c r="L113" s="4061"/>
      <c r="M113" s="4061"/>
      <c r="N113" s="4153"/>
      <c r="O113" s="4108" t="e">
        <f>SUM(O114:O115)</f>
        <v>#REF!</v>
      </c>
      <c r="P113" s="6310" t="e">
        <f>I113+O113</f>
        <v>#REF!</v>
      </c>
      <c r="Q113" s="5916" t="e">
        <f>SUM(P113)-C113</f>
        <v>#REF!</v>
      </c>
      <c r="R113" s="4057" t="e">
        <f>SUM(P113,P116)-C113</f>
        <v>#REF!</v>
      </c>
    </row>
    <row r="114" spans="2:18">
      <c r="C114" s="5879"/>
      <c r="D114" s="4095" t="s">
        <v>97</v>
      </c>
      <c r="E114" s="4114" t="e">
        <f>'財政見通し積算 (全SH全項目統合版）'!F26</f>
        <v>#REF!</v>
      </c>
      <c r="F114" s="4114">
        <v>1</v>
      </c>
      <c r="G114" s="4114">
        <v>1</v>
      </c>
      <c r="H114" s="5917"/>
      <c r="I114" s="4116" t="e">
        <f t="shared" ref="I114:I115" si="38">E114*F114*G114</f>
        <v>#REF!</v>
      </c>
      <c r="J114" s="5918" t="s">
        <v>97</v>
      </c>
      <c r="K114" s="4114" t="e">
        <f>'財政見通し積算 (全SH全項目統合版）'!F31</f>
        <v>#REF!</v>
      </c>
      <c r="L114" s="4114">
        <v>1</v>
      </c>
      <c r="M114" s="4114">
        <v>1</v>
      </c>
      <c r="N114" s="5917"/>
      <c r="O114" s="4116" t="e">
        <f t="shared" ref="O114:O115" si="39">K114*L114*M114</f>
        <v>#REF!</v>
      </c>
      <c r="P114" s="4117" t="e">
        <f t="shared" si="37"/>
        <v>#REF!</v>
      </c>
      <c r="Q114" s="5916"/>
      <c r="R114" s="4057"/>
    </row>
    <row r="115" spans="2:18">
      <c r="C115" s="5879"/>
      <c r="D115" s="4095" t="s">
        <v>96</v>
      </c>
      <c r="E115" s="6343">
        <f>'財政見通し積算 (全SH全項目統合版）'!F27</f>
        <v>35875904.899999999</v>
      </c>
      <c r="F115" s="4114">
        <v>1</v>
      </c>
      <c r="G115" s="4114">
        <v>1</v>
      </c>
      <c r="H115" s="5917"/>
      <c r="I115" s="4116">
        <f t="shared" si="38"/>
        <v>35875904.899999999</v>
      </c>
      <c r="J115" s="5918" t="s">
        <v>96</v>
      </c>
      <c r="K115" s="4114">
        <f>'財政見通し積算 (全SH全項目統合版）'!F32</f>
        <v>792000</v>
      </c>
      <c r="L115" s="4114">
        <v>1</v>
      </c>
      <c r="M115" s="4114">
        <v>1</v>
      </c>
      <c r="N115" s="5917"/>
      <c r="O115" s="4116">
        <f t="shared" si="39"/>
        <v>792000</v>
      </c>
      <c r="P115" s="4117">
        <f t="shared" si="37"/>
        <v>36667904.899999999</v>
      </c>
      <c r="Q115" s="5916"/>
      <c r="R115" s="4057"/>
    </row>
    <row r="116" spans="2:18">
      <c r="C116" s="5879"/>
      <c r="D116" s="5887" t="s">
        <v>180</v>
      </c>
      <c r="E116" s="5919"/>
      <c r="F116" s="4114"/>
      <c r="G116" s="4114"/>
      <c r="H116" s="5917"/>
      <c r="I116" s="5920" t="e">
        <f>SUM(I117:I118)</f>
        <v>#REF!</v>
      </c>
      <c r="J116" s="5921" t="s">
        <v>180</v>
      </c>
      <c r="K116" s="4114"/>
      <c r="L116" s="4114"/>
      <c r="M116" s="4114"/>
      <c r="N116" s="5917"/>
      <c r="O116" s="5920" t="e">
        <f>SUM(O117:O118)</f>
        <v>#REF!</v>
      </c>
      <c r="P116" s="6314" t="e">
        <f>I116+O116</f>
        <v>#REF!</v>
      </c>
      <c r="Q116" s="4057"/>
      <c r="R116" s="4057"/>
    </row>
    <row r="117" spans="2:18">
      <c r="C117" s="5879"/>
      <c r="D117" s="4095" t="s">
        <v>181</v>
      </c>
      <c r="E117" s="5919" t="e">
        <f>'財政見通し積算 (全SH全項目統合版）'!G26</f>
        <v>#REF!</v>
      </c>
      <c r="F117" s="4114">
        <v>1</v>
      </c>
      <c r="G117" s="4114">
        <v>1</v>
      </c>
      <c r="H117" s="5917"/>
      <c r="I117" s="4116" t="e">
        <f t="shared" ref="I117:I118" si="40">E117*F117*G117</f>
        <v>#REF!</v>
      </c>
      <c r="J117" s="5918" t="s">
        <v>181</v>
      </c>
      <c r="K117" s="4114" t="e">
        <f>'財政見通し積算 (全SH全項目統合版）'!G31</f>
        <v>#REF!</v>
      </c>
      <c r="L117" s="4114">
        <v>1</v>
      </c>
      <c r="M117" s="4114">
        <v>1</v>
      </c>
      <c r="N117" s="5917"/>
      <c r="O117" s="4116" t="e">
        <f t="shared" ref="O117:O118" si="41">K117*L117*M117</f>
        <v>#REF!</v>
      </c>
      <c r="P117" s="4117" t="e">
        <f>I117+O117</f>
        <v>#REF!</v>
      </c>
      <c r="Q117" s="4057"/>
      <c r="R117" s="4057"/>
    </row>
    <row r="118" spans="2:18">
      <c r="C118" s="5879"/>
      <c r="D118" s="4095" t="s">
        <v>182</v>
      </c>
      <c r="E118" s="6343">
        <v>0</v>
      </c>
      <c r="F118" s="4114">
        <v>1</v>
      </c>
      <c r="G118" s="4114">
        <v>1</v>
      </c>
      <c r="H118" s="5917"/>
      <c r="I118" s="6344">
        <f t="shared" si="40"/>
        <v>0</v>
      </c>
      <c r="J118" s="5918" t="s">
        <v>182</v>
      </c>
      <c r="K118" s="6345">
        <v>0</v>
      </c>
      <c r="L118" s="4114">
        <v>1</v>
      </c>
      <c r="M118" s="4114">
        <v>1</v>
      </c>
      <c r="N118" s="5917"/>
      <c r="O118" s="6344">
        <f t="shared" si="41"/>
        <v>0</v>
      </c>
      <c r="P118" s="6346">
        <f>I118+O118</f>
        <v>0</v>
      </c>
      <c r="Q118" s="4057"/>
      <c r="R118" s="4057"/>
    </row>
    <row r="119" spans="2:18" ht="19.5" thickBot="1">
      <c r="B119" s="4042" t="s">
        <v>98</v>
      </c>
      <c r="C119" s="6327">
        <f>SUM(P74)</f>
        <v>160043722</v>
      </c>
      <c r="D119" s="5908" t="s">
        <v>99</v>
      </c>
      <c r="E119" s="6366">
        <f>'財政見通し積算 (全SH全項目統合版）'!I39</f>
        <v>74703200</v>
      </c>
      <c r="F119" s="5911">
        <v>1</v>
      </c>
      <c r="G119" s="5911">
        <v>1</v>
      </c>
      <c r="H119" s="5910"/>
      <c r="I119" s="5915">
        <f>E119*F119*G119</f>
        <v>74703200</v>
      </c>
      <c r="J119" s="5909" t="s">
        <v>99</v>
      </c>
      <c r="K119" s="6367">
        <f>'財政見通し積算 (全SH全項目統合版）'!I40</f>
        <v>20944000</v>
      </c>
      <c r="L119" s="5912">
        <v>1</v>
      </c>
      <c r="M119" s="5912">
        <v>1</v>
      </c>
      <c r="N119" s="5910"/>
      <c r="O119" s="5914">
        <f>K119*L119*M119</f>
        <v>20944000</v>
      </c>
      <c r="P119" s="6315">
        <f>SUM(I119,O119)</f>
        <v>95647200</v>
      </c>
      <c r="Q119" s="4057"/>
      <c r="R119" s="4057">
        <f>SUM(P119)-C119</f>
        <v>-64396522</v>
      </c>
    </row>
    <row r="120" spans="2:18" ht="23" thickTop="1">
      <c r="B120" s="4048" t="s">
        <v>77</v>
      </c>
      <c r="C120" s="5883">
        <f>SUM(C88,C95,C101,C105,C106,C108,C109,C113,C119)</f>
        <v>29007806307.196999</v>
      </c>
      <c r="D120" s="4049"/>
      <c r="E120" s="4050"/>
      <c r="F120" s="4050"/>
      <c r="G120" s="4050"/>
      <c r="H120" s="4051"/>
      <c r="I120" s="4052" t="e">
        <f>SUM(I88:I89,I95:I97,I101,I102,I105,I106:I107,I108,I109:I110,I113,I116,I119)</f>
        <v>#REF!</v>
      </c>
      <c r="J120" s="4048"/>
      <c r="K120" s="4053"/>
      <c r="L120" s="4053"/>
      <c r="M120" s="4053"/>
      <c r="N120" s="4051"/>
      <c r="O120" s="4052" t="e">
        <f>SUM(O88:O89,O95:O97,O101,O102,O105,O108,O109:O110,O113,O116,O119)</f>
        <v>#REF!</v>
      </c>
      <c r="P120" s="4090" t="e">
        <f>SUM(P88,P89,P95,P96,P97,P101,P102,P105,P106,P107,P108,P109,P110,P113,P116,P119)</f>
        <v>#REF!</v>
      </c>
      <c r="Q120" s="4087" t="e">
        <f>P120-C120</f>
        <v>#REF!</v>
      </c>
      <c r="R120" s="5850" t="e">
        <f>SUM(R88:R119)</f>
        <v>#REF!</v>
      </c>
    </row>
    <row r="121" spans="2:18" ht="22" customHeight="1">
      <c r="B121" s="4146" t="s">
        <v>7015</v>
      </c>
      <c r="P121" s="4176"/>
      <c r="Q121" s="4088" t="s">
        <v>101</v>
      </c>
      <c r="R121" s="5857" t="s">
        <v>7006</v>
      </c>
    </row>
    <row r="122" spans="2:18">
      <c r="B122" s="4146" t="s">
        <v>103</v>
      </c>
      <c r="F122" s="5853"/>
      <c r="G122" s="5854" t="s">
        <v>104</v>
      </c>
      <c r="H122" s="5855"/>
      <c r="I122" s="5856" t="e">
        <f>I120-I82</f>
        <v>#REF!</v>
      </c>
      <c r="J122" s="5853"/>
      <c r="K122" s="5853"/>
      <c r="L122" s="6280"/>
      <c r="M122" s="5854" t="s">
        <v>105</v>
      </c>
      <c r="N122" s="5855"/>
      <c r="O122" s="5856" t="e">
        <f>O120-O82</f>
        <v>#REF!</v>
      </c>
      <c r="R122" s="4057"/>
    </row>
    <row r="123" spans="2:18">
      <c r="B123" s="4146" t="s">
        <v>183</v>
      </c>
      <c r="D123" s="4064"/>
      <c r="J123" s="4064"/>
      <c r="M123" s="4068"/>
      <c r="O123" s="4057"/>
      <c r="R123" s="4057"/>
    </row>
    <row r="124" spans="2:18">
      <c r="B124" s="6275" t="s">
        <v>7005</v>
      </c>
      <c r="R124" s="4057"/>
    </row>
    <row r="125" spans="2:18" hidden="1">
      <c r="B125" s="4146" t="s">
        <v>122</v>
      </c>
      <c r="D125" s="4064"/>
      <c r="J125" s="4064"/>
      <c r="M125" s="4068"/>
      <c r="O125" s="4057"/>
      <c r="P125" s="4064"/>
      <c r="R125" s="4057"/>
    </row>
    <row r="126" spans="2:18" hidden="1">
      <c r="B126" s="5829" t="s">
        <v>184</v>
      </c>
      <c r="C126" s="5859"/>
      <c r="D126" s="5859"/>
      <c r="E126" s="5859"/>
      <c r="F126" s="5859"/>
      <c r="G126" s="5859"/>
      <c r="H126" s="5859"/>
      <c r="I126" s="5859"/>
      <c r="J126" s="5859"/>
      <c r="P126" s="6294" t="s">
        <v>7008</v>
      </c>
      <c r="R126" s="4057" t="s">
        <v>7009</v>
      </c>
    </row>
    <row r="127" spans="2:18" hidden="1">
      <c r="B127" s="4146"/>
      <c r="H127" s="2486"/>
      <c r="P127" s="4057"/>
      <c r="R127" s="4057"/>
    </row>
    <row r="128" spans="2:18" hidden="1">
      <c r="B128" s="4146"/>
      <c r="G128" s="4312" t="s">
        <v>104</v>
      </c>
      <c r="H128" s="4313"/>
      <c r="I128" s="4219" t="e">
        <f>I120-(I75-444090000-(3006883000*2/3))</f>
        <v>#REF!</v>
      </c>
      <c r="M128" s="4312" t="s">
        <v>105</v>
      </c>
      <c r="N128" s="4313"/>
      <c r="O128" s="4219" t="e">
        <f>O120-(O75-SUM('0024_ホテルメルパルク名古屋　別紙1-2'!O46,'0024_ホテルメルパルク名古屋　別紙1-2'!O47)*1.1-53344500-(3006883000*1/3))</f>
        <v>#REF!</v>
      </c>
      <c r="P128" s="4064"/>
      <c r="R128" s="4057"/>
    </row>
    <row r="129" spans="2:18">
      <c r="G129" s="4068" t="s">
        <v>107</v>
      </c>
      <c r="H129" s="4069"/>
      <c r="I129" s="4057" t="e">
        <f>SUM(I88,I89,I96,I97,I104,I109,I110,I113,I117,I119)-SUM(I36,I37,I44,I45,I64,I65,I68,I72,I74)</f>
        <v>#REF!</v>
      </c>
      <c r="M129" s="4068" t="s">
        <v>7016</v>
      </c>
      <c r="N129" s="4069"/>
      <c r="O129" s="4057" t="e">
        <f>SUM(O88,O89,O96,O97,O104,O109,O110,O113,O117,O119)-(SUM(O36,O37,O44,O45,O64,O65,O68,O72,O74)-82329489-53344500)</f>
        <v>#REF!</v>
      </c>
      <c r="P129" s="4176"/>
      <c r="Q129" s="4338" t="s">
        <v>109</v>
      </c>
      <c r="R129" s="5858" t="s">
        <v>109</v>
      </c>
    </row>
    <row r="130" spans="2:18">
      <c r="G130" s="4068" t="s">
        <v>7017</v>
      </c>
      <c r="H130" s="4069"/>
      <c r="I130" s="4057">
        <f>SUM(I95,I101,I103,I105,I106,I107,I108)-SUM(I43,I50,I52,I53,I57,I58,I61)+444090000</f>
        <v>96544089</v>
      </c>
      <c r="M130" s="4068" t="s">
        <v>7017</v>
      </c>
      <c r="N130" s="4069"/>
      <c r="O130" s="4057">
        <f>SUM(O95,O101,O103,O105,O108)-SUM(O43,O50,O52,O53,O61)</f>
        <v>208676668</v>
      </c>
      <c r="Q130" s="4057">
        <f>SUM(I132,O132)</f>
        <v>-142927091.16000009</v>
      </c>
      <c r="R130" s="4057">
        <f>SUM(I132,O132)</f>
        <v>-142927091.16000009</v>
      </c>
    </row>
    <row r="131" spans="2:18" hidden="1">
      <c r="G131" s="4068" t="s">
        <v>111</v>
      </c>
      <c r="H131" s="4069"/>
      <c r="I131" s="4057">
        <f>SUM(I49,I51,I54,I55,I56,I59,I60,I62,I63)-SUM(I15,I18,I20,I21,I22,I25,I26)</f>
        <v>729631840</v>
      </c>
      <c r="M131" s="4068" t="s">
        <v>111</v>
      </c>
      <c r="N131" s="4069"/>
      <c r="O131" s="4057">
        <f>SUM(O49,O51,O54,O56,O59)-SUM(O15,O16,O18,O20,O25)</f>
        <v>50094200</v>
      </c>
      <c r="Q131" s="4057"/>
      <c r="R131" s="4057"/>
    </row>
    <row r="132" spans="2:18" hidden="1">
      <c r="G132" s="4068" t="s">
        <v>112</v>
      </c>
      <c r="H132" s="4069"/>
      <c r="I132" s="4057">
        <f>SUM(I93,I94,I91,I99)-SUM(I39,I41,I42,I47)</f>
        <v>112220743.71999979</v>
      </c>
      <c r="M132" s="4068" t="s">
        <v>112</v>
      </c>
      <c r="N132" s="4069"/>
      <c r="O132" s="4057">
        <f>SUM(O93,O94,O91,O99)-SUM(O39,O41,O42,O47)</f>
        <v>-255147834.87999988</v>
      </c>
      <c r="Q132" s="4338" t="s">
        <v>113</v>
      </c>
      <c r="R132" s="5858" t="s">
        <v>113</v>
      </c>
    </row>
    <row r="133" spans="2:18" hidden="1">
      <c r="G133" s="4068"/>
      <c r="H133" s="4069"/>
      <c r="I133" s="4057"/>
      <c r="M133" s="4068"/>
      <c r="N133" s="4069"/>
      <c r="O133" s="4057"/>
      <c r="Q133" s="4338"/>
      <c r="R133" s="5858"/>
    </row>
    <row r="134" spans="2:18" hidden="1">
      <c r="G134" s="4068"/>
      <c r="H134" s="4069"/>
      <c r="I134" s="6281"/>
      <c r="M134" s="4068"/>
      <c r="N134" s="4069"/>
      <c r="O134" s="6281"/>
      <c r="Q134" s="4057">
        <f>I134+O134</f>
        <v>0</v>
      </c>
      <c r="R134" s="4057" t="e">
        <f>R120-R130</f>
        <v>#REF!</v>
      </c>
    </row>
    <row r="135" spans="2:18" hidden="1">
      <c r="Q135" s="4057"/>
      <c r="R135" s="4057"/>
    </row>
    <row r="136" spans="2:18" hidden="1">
      <c r="B136" s="4146"/>
      <c r="G136" s="5888" t="s">
        <v>185</v>
      </c>
      <c r="I136" s="4064">
        <f>SUM(I36,I43,I44,I50,I52,I61,I64,I57,I58)</f>
        <v>8397165069.9349995</v>
      </c>
      <c r="M136" s="5888" t="s">
        <v>185</v>
      </c>
      <c r="O136" s="4176">
        <f>SUM(O36,O43,O44,O50,O52,O61,O64)</f>
        <v>4746841910.1000004</v>
      </c>
      <c r="R136" s="4057"/>
    </row>
    <row r="137" spans="2:18" hidden="1">
      <c r="B137" s="4146"/>
      <c r="G137" s="5888" t="s">
        <v>186</v>
      </c>
      <c r="I137" s="5889" t="e">
        <f>【251001】アジア選手積算!#REF!</f>
        <v>#REF!</v>
      </c>
      <c r="M137" s="5888" t="s">
        <v>186</v>
      </c>
      <c r="O137" s="4064" t="e">
        <f>【251001】パラ選手積算!#REF!</f>
        <v>#REF!</v>
      </c>
      <c r="R137" s="4057"/>
    </row>
    <row r="138" spans="2:18" hidden="1">
      <c r="B138" s="4146"/>
      <c r="G138" s="5890" t="s">
        <v>187</v>
      </c>
      <c r="I138" s="5891" t="e">
        <f>I136/I137</f>
        <v>#REF!</v>
      </c>
      <c r="M138" s="5890" t="s">
        <v>187</v>
      </c>
      <c r="O138" s="5891" t="e">
        <f>O136/O137</f>
        <v>#REF!</v>
      </c>
      <c r="R138" s="4057"/>
    </row>
    <row r="139" spans="2:18" ht="19.5" thickBot="1">
      <c r="R139" s="4057"/>
    </row>
    <row r="140" spans="2:18" ht="26" thickTop="1">
      <c r="B140" s="4160" t="s">
        <v>125</v>
      </c>
      <c r="C140" s="4172" t="s">
        <v>126</v>
      </c>
      <c r="D140" s="4162"/>
      <c r="E140" s="4161"/>
      <c r="F140" s="4161"/>
      <c r="G140" s="4161"/>
      <c r="H140" s="4163"/>
      <c r="I140" s="4164"/>
      <c r="J140" s="4161"/>
      <c r="K140" s="4161"/>
      <c r="L140" s="4161"/>
      <c r="M140" s="4161"/>
      <c r="N140" s="4163"/>
      <c r="O140" s="4161"/>
      <c r="P140" s="4348" t="s">
        <v>127</v>
      </c>
      <c r="Q140" s="2486" t="s">
        <v>80</v>
      </c>
      <c r="R140" s="4057" t="s">
        <v>80</v>
      </c>
    </row>
    <row r="141" spans="2:18">
      <c r="B141" s="4339" t="s">
        <v>128</v>
      </c>
      <c r="C141" s="4340">
        <f>ROUNDUP(C88*0.1,0)</f>
        <v>1623040597</v>
      </c>
      <c r="D141" s="4339"/>
      <c r="E141" s="4018"/>
      <c r="F141" s="4018"/>
      <c r="G141" s="4018"/>
      <c r="H141" s="4341"/>
      <c r="I141" s="4022" t="e">
        <f>ROUNDUP(SUM(I88,I89)*0.1,0)</f>
        <v>#REF!</v>
      </c>
      <c r="J141" s="4018"/>
      <c r="K141" s="4018"/>
      <c r="L141" s="4018"/>
      <c r="M141" s="4018"/>
      <c r="N141" s="4341"/>
      <c r="O141" s="5852" t="e">
        <f>ROUNDUP(SUM(O88,O89)*0.1,0)</f>
        <v>#REF!</v>
      </c>
      <c r="P141" s="4349" t="e">
        <f>ROUNDUP(SUM(P88,P89)*0.1,0)</f>
        <v>#REF!</v>
      </c>
      <c r="Q141" s="4057" t="e">
        <f>SUM(P141)-C141</f>
        <v>#REF!</v>
      </c>
      <c r="R141" s="4057" t="e">
        <f>SUM(P141)-C141</f>
        <v>#REF!</v>
      </c>
    </row>
    <row r="142" spans="2:18" ht="19.5" thickBot="1">
      <c r="B142" s="4342" t="s">
        <v>129</v>
      </c>
      <c r="C142" s="6291">
        <f>SUM(I39,I41,I42)*0.1+SUM(O39,O41,O42)*0.1</f>
        <v>555859631.23800004</v>
      </c>
      <c r="D142" s="6292" t="s">
        <v>130</v>
      </c>
      <c r="E142" s="4343"/>
      <c r="F142" s="4343"/>
      <c r="G142" s="4343"/>
      <c r="H142" s="4344"/>
      <c r="I142" s="4347">
        <f>ROUNDUP(SUM(I93,I94)*0.1,0)</f>
        <v>394204099</v>
      </c>
      <c r="J142" s="4342" t="s">
        <v>130</v>
      </c>
      <c r="K142" s="4343"/>
      <c r="L142" s="4343"/>
      <c r="M142" s="4343"/>
      <c r="N142" s="4344"/>
      <c r="O142" s="4345">
        <f>ROUNDUP(SUM(O91,O93,O94)*0.1,0)</f>
        <v>147362825</v>
      </c>
      <c r="P142" s="4350">
        <f>SUM(I142,O142)</f>
        <v>541566924</v>
      </c>
      <c r="Q142" s="4057">
        <f>SUM(P142)-C142</f>
        <v>-14292707.238000035</v>
      </c>
      <c r="R142" s="4057">
        <f>SUM(P142)-C142</f>
        <v>-14292707.238000035</v>
      </c>
    </row>
    <row r="143" spans="2:18" ht="19.5" thickTop="1">
      <c r="B143" s="4146" t="s">
        <v>131</v>
      </c>
      <c r="R143" s="4057"/>
    </row>
    <row r="144" spans="2:18">
      <c r="R144" s="4057"/>
    </row>
    <row r="145" spans="2:18">
      <c r="R145" s="4057"/>
    </row>
    <row r="146" spans="2:18" ht="25.5" hidden="1">
      <c r="B146" s="4215" t="s">
        <v>132</v>
      </c>
      <c r="C146" s="4211"/>
      <c r="J146" s="4195"/>
      <c r="O146" s="4196"/>
      <c r="P146" s="2486" t="s">
        <v>133</v>
      </c>
      <c r="R146" s="4057"/>
    </row>
    <row r="147" spans="2:18" ht="22.5" hidden="1" customHeight="1">
      <c r="B147" s="6286" t="s">
        <v>57</v>
      </c>
      <c r="C147" s="4288" t="s">
        <v>134</v>
      </c>
      <c r="D147" s="4289" t="s">
        <v>135</v>
      </c>
      <c r="E147" s="4290">
        <v>16900</v>
      </c>
      <c r="F147" s="4290">
        <v>58451</v>
      </c>
      <c r="G147" s="4290">
        <v>1</v>
      </c>
      <c r="H147" s="4290"/>
      <c r="I147" s="4290">
        <f t="shared" ref="I147:I148" si="42">E147*F147*G147</f>
        <v>987821900</v>
      </c>
      <c r="J147" s="4291" t="s">
        <v>135</v>
      </c>
      <c r="K147" s="4290">
        <v>16900</v>
      </c>
      <c r="L147" s="4290">
        <v>31699</v>
      </c>
      <c r="M147" s="4290">
        <v>1</v>
      </c>
      <c r="N147" s="4290">
        <f t="shared" ref="N147" si="43">L147*M147</f>
        <v>31699</v>
      </c>
      <c r="O147" s="4292">
        <f t="shared" ref="O147:O148" si="44">K147*L147*M147</f>
        <v>535713100</v>
      </c>
      <c r="P147" s="4293">
        <f>I147+O147-I148-O148</f>
        <v>428668500</v>
      </c>
      <c r="R147" s="4057"/>
    </row>
    <row r="148" spans="2:18" ht="22.5" hidden="1" customHeight="1">
      <c r="B148" s="6284"/>
      <c r="C148" s="4211" t="s">
        <v>136</v>
      </c>
      <c r="D148" s="2486" t="s">
        <v>135</v>
      </c>
      <c r="E148" s="4064">
        <v>16900</v>
      </c>
      <c r="F148" s="4064">
        <f>3546*11</f>
        <v>39006</v>
      </c>
      <c r="G148" s="4064">
        <v>1</v>
      </c>
      <c r="H148" s="4014">
        <f>F148*G148</f>
        <v>39006</v>
      </c>
      <c r="I148" s="4064">
        <f t="shared" si="42"/>
        <v>659201400</v>
      </c>
      <c r="J148" s="4197" t="s">
        <v>135</v>
      </c>
      <c r="K148" s="4064">
        <v>16900</v>
      </c>
      <c r="L148" s="4064">
        <f>1983*13</f>
        <v>25779</v>
      </c>
      <c r="M148" s="4064">
        <v>1</v>
      </c>
      <c r="N148" s="4014">
        <f>L148*M148</f>
        <v>25779</v>
      </c>
      <c r="O148" s="4198">
        <f t="shared" si="44"/>
        <v>435665100</v>
      </c>
      <c r="P148" s="4064"/>
      <c r="R148" s="4057"/>
    </row>
    <row r="149" spans="2:18" ht="22.5" hidden="1">
      <c r="B149" s="5859"/>
      <c r="C149" s="4294" t="s">
        <v>134</v>
      </c>
      <c r="D149" s="4295" t="str">
        <f t="shared" ref="D149:O149" si="45">D49</f>
        <v>コンテナ（選手団・NOC）※3食</v>
      </c>
      <c r="E149" s="4296">
        <f t="shared" si="45"/>
        <v>21000</v>
      </c>
      <c r="F149" s="4296">
        <f t="shared" si="45"/>
        <v>22972</v>
      </c>
      <c r="G149" s="4296">
        <f t="shared" si="45"/>
        <v>1</v>
      </c>
      <c r="H149" s="4296">
        <f t="shared" si="45"/>
        <v>0</v>
      </c>
      <c r="I149" s="4296">
        <f t="shared" si="45"/>
        <v>482412000</v>
      </c>
      <c r="J149" s="4297" t="str">
        <f t="shared" si="45"/>
        <v>コンテナ（選手団・NOC）※3食</v>
      </c>
      <c r="K149" s="4296">
        <f t="shared" si="45"/>
        <v>21000</v>
      </c>
      <c r="L149" s="4296">
        <f t="shared" si="45"/>
        <v>8640</v>
      </c>
      <c r="M149" s="4296">
        <f t="shared" si="45"/>
        <v>1</v>
      </c>
      <c r="N149" s="4296">
        <f t="shared" si="45"/>
        <v>8640</v>
      </c>
      <c r="O149" s="4298">
        <f t="shared" si="45"/>
        <v>181440000</v>
      </c>
      <c r="P149" s="4299">
        <f>I149+O149-I150-O150-O151</f>
        <v>319536000</v>
      </c>
      <c r="R149" s="4057"/>
    </row>
    <row r="150" spans="2:18" hidden="1">
      <c r="B150" s="5859"/>
      <c r="C150" s="4211" t="s">
        <v>136</v>
      </c>
      <c r="D150" s="2486" t="s">
        <v>137</v>
      </c>
      <c r="E150" s="4176">
        <v>21000</v>
      </c>
      <c r="F150" s="4176">
        <f>725*11</f>
        <v>7975</v>
      </c>
      <c r="G150" s="4176">
        <v>1</v>
      </c>
      <c r="H150" s="4177">
        <v>7975</v>
      </c>
      <c r="I150" s="4176">
        <v>167475000</v>
      </c>
      <c r="J150" s="4199" t="s">
        <v>61</v>
      </c>
      <c r="K150" s="4176">
        <v>21000</v>
      </c>
      <c r="L150" s="4176">
        <f>417*13</f>
        <v>5421</v>
      </c>
      <c r="M150" s="4176">
        <v>1</v>
      </c>
      <c r="N150" s="4177">
        <v>5421</v>
      </c>
      <c r="O150" s="4200">
        <v>113841000</v>
      </c>
      <c r="P150" s="4057"/>
      <c r="R150" s="4057"/>
    </row>
    <row r="151" spans="2:18" ht="19.5" hidden="1" thickBot="1">
      <c r="B151" s="6287"/>
      <c r="C151" s="4212"/>
      <c r="D151" s="4173"/>
      <c r="E151" s="4174"/>
      <c r="F151" s="4174"/>
      <c r="G151" s="4174"/>
      <c r="H151" s="4175"/>
      <c r="I151" s="4174"/>
      <c r="J151" s="4201" t="s">
        <v>138</v>
      </c>
      <c r="K151" s="4174">
        <v>21000</v>
      </c>
      <c r="L151" s="4174">
        <v>3000</v>
      </c>
      <c r="M151" s="4174">
        <v>1</v>
      </c>
      <c r="N151" s="4175">
        <f>L151*M151</f>
        <v>3000</v>
      </c>
      <c r="O151" s="4202">
        <f t="shared" ref="O151" si="46">K151*L151*M151</f>
        <v>63000000</v>
      </c>
      <c r="P151" s="4181"/>
      <c r="R151" s="4057"/>
    </row>
    <row r="152" spans="2:18" ht="22.5" hidden="1">
      <c r="B152" s="6288" t="s">
        <v>63</v>
      </c>
      <c r="C152" s="4288" t="s">
        <v>134</v>
      </c>
      <c r="D152" s="4300" t="str">
        <f t="shared" ref="D152:O152" si="47">D50</f>
        <v>ホテル自前</v>
      </c>
      <c r="E152" s="4300">
        <f t="shared" si="47"/>
        <v>19000</v>
      </c>
      <c r="F152" s="4300">
        <f t="shared" si="47"/>
        <v>8364</v>
      </c>
      <c r="G152" s="4300">
        <f t="shared" si="47"/>
        <v>1</v>
      </c>
      <c r="H152" s="4300">
        <f t="shared" si="47"/>
        <v>0</v>
      </c>
      <c r="I152" s="4300">
        <f t="shared" si="47"/>
        <v>158916000</v>
      </c>
      <c r="J152" s="4301" t="str">
        <f t="shared" si="47"/>
        <v>ホテル自前</v>
      </c>
      <c r="K152" s="4300">
        <f t="shared" si="47"/>
        <v>19000</v>
      </c>
      <c r="L152" s="4300">
        <f t="shared" si="47"/>
        <v>5536</v>
      </c>
      <c r="M152" s="4300">
        <f t="shared" si="47"/>
        <v>1</v>
      </c>
      <c r="N152" s="4300">
        <f t="shared" si="47"/>
        <v>5536</v>
      </c>
      <c r="O152" s="4302">
        <f t="shared" si="47"/>
        <v>105184000</v>
      </c>
      <c r="P152" s="4303">
        <f>I152+O152+I153+O153-I154-O154</f>
        <v>-554724000</v>
      </c>
      <c r="R152" s="4057"/>
    </row>
    <row r="153" spans="2:18" ht="22.5" hidden="1">
      <c r="B153" s="5859"/>
      <c r="C153" s="4274" t="s">
        <v>134</v>
      </c>
      <c r="D153" s="4304" t="s">
        <v>60</v>
      </c>
      <c r="E153" s="4304">
        <v>19000</v>
      </c>
      <c r="F153" s="4304">
        <v>14409</v>
      </c>
      <c r="G153" s="4304">
        <v>1</v>
      </c>
      <c r="H153" s="4304"/>
      <c r="I153" s="4304">
        <v>273771000</v>
      </c>
      <c r="J153" s="4305" t="s">
        <v>60</v>
      </c>
      <c r="K153" s="4304">
        <v>19000</v>
      </c>
      <c r="L153" s="4304">
        <v>5760</v>
      </c>
      <c r="M153" s="4304">
        <v>1</v>
      </c>
      <c r="N153" s="4304"/>
      <c r="O153" s="4306">
        <v>109440000</v>
      </c>
      <c r="P153" s="4307"/>
      <c r="R153" s="4057"/>
    </row>
    <row r="154" spans="2:18" ht="22.5" hidden="1">
      <c r="B154" s="5859"/>
      <c r="C154" s="4213" t="s">
        <v>136</v>
      </c>
      <c r="D154" s="4179" t="s">
        <v>139</v>
      </c>
      <c r="E154" s="4179">
        <v>19000</v>
      </c>
      <c r="F154" s="4179">
        <f>4189*11</f>
        <v>46079</v>
      </c>
      <c r="G154" s="4179">
        <v>1</v>
      </c>
      <c r="H154" s="4180">
        <f>F154*G154</f>
        <v>46079</v>
      </c>
      <c r="I154" s="4179">
        <f t="shared" ref="I154" si="48">E154*F154*G154</f>
        <v>875501000</v>
      </c>
      <c r="J154" s="4203" t="s">
        <v>139</v>
      </c>
      <c r="K154" s="4179">
        <v>19000</v>
      </c>
      <c r="L154" s="4179">
        <f>1322*13</f>
        <v>17186</v>
      </c>
      <c r="M154" s="4179">
        <v>1</v>
      </c>
      <c r="N154" s="4180">
        <f>L154*M154</f>
        <v>17186</v>
      </c>
      <c r="O154" s="4204">
        <f t="shared" ref="O154" si="49">K154*L154*M154</f>
        <v>326534000</v>
      </c>
      <c r="P154" s="4182"/>
      <c r="R154" s="4057"/>
    </row>
    <row r="155" spans="2:18" ht="22.5" hidden="1">
      <c r="B155" s="5859"/>
      <c r="C155" s="4274" t="s">
        <v>134</v>
      </c>
      <c r="D155" s="4304" t="str">
        <f t="shared" ref="D155:O155" si="50">D52</f>
        <v>完調品対応</v>
      </c>
      <c r="E155" s="4304">
        <f t="shared" si="50"/>
        <v>22164</v>
      </c>
      <c r="F155" s="4304">
        <f t="shared" si="50"/>
        <v>30603</v>
      </c>
      <c r="G155" s="4304">
        <f t="shared" si="50"/>
        <v>1</v>
      </c>
      <c r="H155" s="4304">
        <f t="shared" si="50"/>
        <v>0</v>
      </c>
      <c r="I155" s="4304">
        <f t="shared" si="50"/>
        <v>678284892</v>
      </c>
      <c r="J155" s="4305" t="str">
        <f t="shared" si="50"/>
        <v>完調品対応</v>
      </c>
      <c r="K155" s="4304">
        <f t="shared" si="50"/>
        <v>22164</v>
      </c>
      <c r="L155" s="4304">
        <f t="shared" si="50"/>
        <v>15597</v>
      </c>
      <c r="M155" s="4304">
        <f t="shared" si="50"/>
        <v>1</v>
      </c>
      <c r="N155" s="4304">
        <f t="shared" si="50"/>
        <v>15597</v>
      </c>
      <c r="O155" s="4306">
        <f t="shared" si="50"/>
        <v>345691908</v>
      </c>
      <c r="P155" s="4307">
        <f>I155+O155-I156-O156</f>
        <v>871501800</v>
      </c>
      <c r="R155" s="4057"/>
    </row>
    <row r="156" spans="2:18" ht="19.5" hidden="1" thickBot="1">
      <c r="B156" s="6287"/>
      <c r="C156" s="4212" t="s">
        <v>136</v>
      </c>
      <c r="D156" s="4173" t="s">
        <v>137</v>
      </c>
      <c r="E156" s="4174">
        <v>19000</v>
      </c>
      <c r="F156" s="4174">
        <f>401*11</f>
        <v>4411</v>
      </c>
      <c r="G156" s="4174">
        <v>1</v>
      </c>
      <c r="H156" s="4175">
        <f>F156*G156</f>
        <v>4411</v>
      </c>
      <c r="I156" s="4174">
        <f t="shared" ref="I156:I164" si="51">E156*F156*G156</f>
        <v>83809000</v>
      </c>
      <c r="J156" s="4201" t="s">
        <v>137</v>
      </c>
      <c r="K156" s="4174">
        <v>19000</v>
      </c>
      <c r="L156" s="4174">
        <f>278*13</f>
        <v>3614</v>
      </c>
      <c r="M156" s="4174">
        <v>1</v>
      </c>
      <c r="N156" s="4175">
        <f>L156*M156</f>
        <v>3614</v>
      </c>
      <c r="O156" s="4202">
        <f t="shared" ref="O156:O162" si="52">K156*L156*M156</f>
        <v>68666000</v>
      </c>
      <c r="P156" s="4184"/>
      <c r="R156" s="4057"/>
    </row>
    <row r="157" spans="2:18" ht="22.5" hidden="1">
      <c r="B157" s="6288" t="s">
        <v>65</v>
      </c>
      <c r="C157" s="4288" t="s">
        <v>134</v>
      </c>
      <c r="D157" s="4290" t="s">
        <v>139</v>
      </c>
      <c r="E157" s="4290">
        <v>880</v>
      </c>
      <c r="F157" s="4290">
        <v>97418</v>
      </c>
      <c r="G157" s="4290">
        <v>1</v>
      </c>
      <c r="H157" s="4290"/>
      <c r="I157" s="4290">
        <f t="shared" si="51"/>
        <v>85727840</v>
      </c>
      <c r="J157" s="4291" t="s">
        <v>139</v>
      </c>
      <c r="K157" s="4290">
        <v>880</v>
      </c>
      <c r="L157" s="4290">
        <v>52832</v>
      </c>
      <c r="M157" s="4290">
        <v>1</v>
      </c>
      <c r="N157" s="4290">
        <f t="shared" ref="N157:N160" si="53">L157*M157</f>
        <v>52832</v>
      </c>
      <c r="O157" s="4292">
        <f t="shared" si="52"/>
        <v>46492160</v>
      </c>
      <c r="P157" s="4293">
        <f>I157+O157-I158-O158</f>
        <v>5016000</v>
      </c>
      <c r="R157" s="4057"/>
    </row>
    <row r="158" spans="2:18" ht="22.5" hidden="1">
      <c r="B158" s="5859"/>
      <c r="C158" s="4211" t="s">
        <v>136</v>
      </c>
      <c r="D158" s="4064" t="s">
        <v>139</v>
      </c>
      <c r="E158" s="4064">
        <v>880</v>
      </c>
      <c r="F158" s="4064">
        <f>9235*11</f>
        <v>101585</v>
      </c>
      <c r="G158" s="4064">
        <v>1</v>
      </c>
      <c r="H158" s="4014">
        <f t="shared" ref="H158" si="54">F158*G158</f>
        <v>101585</v>
      </c>
      <c r="I158" s="4064">
        <f t="shared" si="51"/>
        <v>89394800</v>
      </c>
      <c r="J158" s="4197" t="s">
        <v>139</v>
      </c>
      <c r="K158" s="4064">
        <v>880</v>
      </c>
      <c r="L158" s="4064">
        <f>3305*13</f>
        <v>42965</v>
      </c>
      <c r="M158" s="4064">
        <v>1</v>
      </c>
      <c r="N158" s="4014">
        <f t="shared" si="53"/>
        <v>42965</v>
      </c>
      <c r="O158" s="4198">
        <f t="shared" si="52"/>
        <v>37809200</v>
      </c>
      <c r="P158" s="4185"/>
      <c r="R158" s="4057"/>
    </row>
    <row r="159" spans="2:18" ht="22.5" hidden="1">
      <c r="B159" s="5859"/>
      <c r="C159" s="4281" t="s">
        <v>134</v>
      </c>
      <c r="D159" s="4283" t="s">
        <v>137</v>
      </c>
      <c r="E159" s="4283">
        <v>880</v>
      </c>
      <c r="F159" s="4283">
        <v>37381</v>
      </c>
      <c r="G159" s="4283">
        <v>1</v>
      </c>
      <c r="H159" s="4283"/>
      <c r="I159" s="4283">
        <f t="shared" si="51"/>
        <v>32895280</v>
      </c>
      <c r="J159" s="4308" t="s">
        <v>137</v>
      </c>
      <c r="K159" s="4283">
        <v>880</v>
      </c>
      <c r="L159" s="4283">
        <v>14400</v>
      </c>
      <c r="M159" s="4283">
        <v>1</v>
      </c>
      <c r="N159" s="4283">
        <f t="shared" si="53"/>
        <v>14400</v>
      </c>
      <c r="O159" s="4309">
        <f t="shared" si="52"/>
        <v>12672000</v>
      </c>
      <c r="P159" s="4287">
        <f>I159+O159-I160-O160</f>
        <v>27917120</v>
      </c>
      <c r="R159" s="4057"/>
    </row>
    <row r="160" spans="2:18" ht="22.5" hidden="1">
      <c r="B160" s="5859"/>
      <c r="C160" s="4213" t="s">
        <v>136</v>
      </c>
      <c r="D160" s="4189" t="s">
        <v>137</v>
      </c>
      <c r="E160" s="4189">
        <v>880</v>
      </c>
      <c r="F160" s="4189">
        <f>1002*11</f>
        <v>11022</v>
      </c>
      <c r="G160" s="4189">
        <v>1</v>
      </c>
      <c r="H160" s="4190">
        <f t="shared" ref="H160" si="55">F160*G160</f>
        <v>11022</v>
      </c>
      <c r="I160" s="4189">
        <f t="shared" si="51"/>
        <v>9699360</v>
      </c>
      <c r="J160" s="4205" t="s">
        <v>137</v>
      </c>
      <c r="K160" s="4189">
        <v>880</v>
      </c>
      <c r="L160" s="4189">
        <f>695*13</f>
        <v>9035</v>
      </c>
      <c r="M160" s="4189">
        <v>1</v>
      </c>
      <c r="N160" s="4190">
        <f t="shared" si="53"/>
        <v>9035</v>
      </c>
      <c r="O160" s="4206">
        <f t="shared" si="52"/>
        <v>7950800</v>
      </c>
      <c r="P160" s="4191"/>
      <c r="R160" s="4057"/>
    </row>
    <row r="161" spans="2:18" ht="22.5" hidden="1">
      <c r="B161" s="5859"/>
      <c r="C161" s="4274" t="s">
        <v>134</v>
      </c>
      <c r="D161" s="4276" t="s">
        <v>140</v>
      </c>
      <c r="E161" s="4276">
        <v>880</v>
      </c>
      <c r="F161" s="4276">
        <v>52582</v>
      </c>
      <c r="G161" s="4276">
        <v>1</v>
      </c>
      <c r="H161" s="4276"/>
      <c r="I161" s="4276">
        <f t="shared" si="51"/>
        <v>46272160</v>
      </c>
      <c r="J161" s="4277"/>
      <c r="K161" s="4278"/>
      <c r="L161" s="4278"/>
      <c r="M161" s="4278"/>
      <c r="N161" s="4278"/>
      <c r="O161" s="4279">
        <f t="shared" si="52"/>
        <v>0</v>
      </c>
      <c r="P161" s="4280">
        <f>I161+O161-I162-O162</f>
        <v>7685920</v>
      </c>
      <c r="R161" s="4057"/>
    </row>
    <row r="162" spans="2:18" ht="19.5" hidden="1" thickBot="1">
      <c r="B162" s="6287"/>
      <c r="C162" s="4212" t="s">
        <v>136</v>
      </c>
      <c r="D162" s="4186" t="s">
        <v>140</v>
      </c>
      <c r="E162" s="4186">
        <v>880</v>
      </c>
      <c r="F162" s="4186">
        <f>2436*18</f>
        <v>43848</v>
      </c>
      <c r="G162" s="4186">
        <v>1</v>
      </c>
      <c r="H162" s="4187">
        <f t="shared" ref="H162" si="56">F162*G162</f>
        <v>43848</v>
      </c>
      <c r="I162" s="4186">
        <f t="shared" si="51"/>
        <v>38586240</v>
      </c>
      <c r="J162" s="4207"/>
      <c r="K162" s="4186"/>
      <c r="L162" s="4186"/>
      <c r="M162" s="4186"/>
      <c r="N162" s="4187"/>
      <c r="O162" s="4208">
        <f t="shared" si="52"/>
        <v>0</v>
      </c>
      <c r="P162" s="4186"/>
      <c r="R162" s="4057"/>
    </row>
    <row r="163" spans="2:18" ht="22.5" hidden="1">
      <c r="B163" s="5859" t="s">
        <v>67</v>
      </c>
      <c r="C163" s="4274" t="s">
        <v>134</v>
      </c>
      <c r="D163" s="4275" t="s">
        <v>140</v>
      </c>
      <c r="E163" s="4276">
        <v>21000</v>
      </c>
      <c r="F163" s="4276">
        <v>52582</v>
      </c>
      <c r="G163" s="4276">
        <v>1</v>
      </c>
      <c r="H163" s="4276"/>
      <c r="I163" s="4276">
        <f t="shared" si="51"/>
        <v>1104222000</v>
      </c>
      <c r="J163" s="4277"/>
      <c r="K163" s="4278"/>
      <c r="L163" s="4278"/>
      <c r="M163" s="4278"/>
      <c r="N163" s="4278"/>
      <c r="O163" s="4279"/>
      <c r="P163" s="4280">
        <f>I163+O163-I164-O164</f>
        <v>183414000</v>
      </c>
      <c r="R163" s="4057"/>
    </row>
    <row r="164" spans="2:18" ht="22.5" hidden="1">
      <c r="B164" s="5859"/>
      <c r="C164" s="4211" t="s">
        <v>136</v>
      </c>
      <c r="D164" s="2486" t="s">
        <v>140</v>
      </c>
      <c r="E164" s="4064">
        <v>21000</v>
      </c>
      <c r="F164" s="4064">
        <f>2436*18</f>
        <v>43848</v>
      </c>
      <c r="G164" s="4064">
        <v>1</v>
      </c>
      <c r="H164" s="4014">
        <f t="shared" ref="H164" si="57">F164*G164</f>
        <v>43848</v>
      </c>
      <c r="I164" s="4064">
        <f t="shared" si="51"/>
        <v>920808000</v>
      </c>
      <c r="J164" s="4197"/>
      <c r="K164" s="4064"/>
      <c r="L164" s="4064"/>
      <c r="M164" s="4064"/>
      <c r="N164" s="4014"/>
      <c r="O164" s="4198"/>
      <c r="P164" s="4185"/>
      <c r="R164" s="4057"/>
    </row>
    <row r="165" spans="2:18" hidden="1">
      <c r="B165" s="6288" t="s">
        <v>68</v>
      </c>
      <c r="C165" s="4214" t="s">
        <v>141</v>
      </c>
      <c r="D165" s="4007"/>
      <c r="E165" s="4007"/>
      <c r="F165" s="4007"/>
      <c r="G165" s="4007"/>
      <c r="H165" s="4188"/>
      <c r="I165" s="4007"/>
      <c r="J165" s="4209"/>
      <c r="K165" s="4007"/>
      <c r="L165" s="4007"/>
      <c r="M165" s="4007"/>
      <c r="N165" s="4188"/>
      <c r="O165" s="4210"/>
      <c r="P165" s="4007"/>
      <c r="Q165" s="2486" t="s">
        <v>141</v>
      </c>
      <c r="R165" s="4057" t="s">
        <v>141</v>
      </c>
    </row>
    <row r="166" spans="2:18" ht="22.5" hidden="1">
      <c r="B166" s="6288" t="s">
        <v>73</v>
      </c>
      <c r="C166" s="4288" t="s">
        <v>134</v>
      </c>
      <c r="D166" s="4289" t="s">
        <v>142</v>
      </c>
      <c r="E166" s="4290">
        <v>6000000</v>
      </c>
      <c r="F166" s="4290">
        <v>12</v>
      </c>
      <c r="G166" s="4290">
        <v>1</v>
      </c>
      <c r="H166" s="4290"/>
      <c r="I166" s="4290">
        <f t="shared" ref="I166:I168" si="58">E166*F166*G166</f>
        <v>72000000</v>
      </c>
      <c r="J166" s="4291" t="s">
        <v>142</v>
      </c>
      <c r="K166" s="4290">
        <v>2379000</v>
      </c>
      <c r="L166" s="4290">
        <v>7</v>
      </c>
      <c r="M166" s="4290">
        <v>1</v>
      </c>
      <c r="N166" s="4290"/>
      <c r="O166" s="4292">
        <f>K166*L166*M166</f>
        <v>16653000</v>
      </c>
      <c r="P166" s="4293">
        <f>I166+O166-I167-O167</f>
        <v>980</v>
      </c>
    </row>
    <row r="167" spans="2:18" ht="22.5" hidden="1">
      <c r="B167" s="5859"/>
      <c r="C167" s="4211" t="s">
        <v>136</v>
      </c>
      <c r="D167" s="2486" t="s">
        <v>139</v>
      </c>
      <c r="E167" s="4064">
        <v>6000000</v>
      </c>
      <c r="F167" s="4064">
        <v>12</v>
      </c>
      <c r="G167" s="4064">
        <v>1</v>
      </c>
      <c r="H167" s="4014"/>
      <c r="I167" s="4064">
        <f t="shared" si="58"/>
        <v>72000000</v>
      </c>
      <c r="J167" s="4197" t="s">
        <v>139</v>
      </c>
      <c r="K167" s="4064">
        <v>2378860</v>
      </c>
      <c r="L167" s="4064">
        <v>7</v>
      </c>
      <c r="M167" s="4064">
        <v>1</v>
      </c>
      <c r="N167" s="4014"/>
      <c r="O167" s="4198">
        <f>K167*L167*M167</f>
        <v>16652020</v>
      </c>
      <c r="P167" s="4185"/>
    </row>
    <row r="168" spans="2:18" ht="22.5" hidden="1">
      <c r="B168" s="5859"/>
      <c r="C168" s="4281" t="s">
        <v>134</v>
      </c>
      <c r="D168" s="4282" t="s">
        <v>143</v>
      </c>
      <c r="E168" s="4283">
        <v>9351000</v>
      </c>
      <c r="F168" s="4283">
        <v>1</v>
      </c>
      <c r="G168" s="4283">
        <v>1</v>
      </c>
      <c r="H168" s="4283"/>
      <c r="I168" s="4283">
        <f t="shared" si="58"/>
        <v>9351000</v>
      </c>
      <c r="J168" s="4284"/>
      <c r="K168" s="4285"/>
      <c r="L168" s="4285"/>
      <c r="M168" s="4285"/>
      <c r="N168" s="4285"/>
      <c r="O168" s="4286"/>
      <c r="P168" s="4287">
        <f>I168+O168-I169-O169</f>
        <v>9351000</v>
      </c>
    </row>
    <row r="169" spans="2:18" ht="22.5" hidden="1">
      <c r="B169" s="5859"/>
      <c r="C169" s="4213" t="s">
        <v>136</v>
      </c>
      <c r="D169" s="4178" t="s">
        <v>144</v>
      </c>
      <c r="E169" s="4189"/>
      <c r="F169" s="4189"/>
      <c r="G169" s="4189"/>
      <c r="H169" s="4190"/>
      <c r="I169" s="4189">
        <v>0</v>
      </c>
      <c r="J169" s="4205"/>
      <c r="K169" s="4189"/>
      <c r="L169" s="4189"/>
      <c r="M169" s="4189"/>
      <c r="N169" s="4190"/>
      <c r="O169" s="4206"/>
      <c r="P169" s="4191"/>
    </row>
    <row r="170" spans="2:18" ht="22.5" hidden="1">
      <c r="B170" s="5859"/>
      <c r="C170" s="4274" t="s">
        <v>134</v>
      </c>
      <c r="D170" s="4275" t="s">
        <v>145</v>
      </c>
      <c r="E170" s="4276">
        <v>1107000</v>
      </c>
      <c r="F170" s="4276">
        <v>1</v>
      </c>
      <c r="G170" s="4276">
        <v>1</v>
      </c>
      <c r="H170" s="4276"/>
      <c r="I170" s="4276">
        <f t="shared" ref="I170" si="59">E170*F170*G170</f>
        <v>1107000</v>
      </c>
      <c r="J170" s="4277"/>
      <c r="K170" s="4278"/>
      <c r="L170" s="4278"/>
      <c r="M170" s="4278"/>
      <c r="N170" s="4278"/>
      <c r="O170" s="4279"/>
      <c r="P170" s="4280">
        <f>I170+O170-I171-O171</f>
        <v>1107000</v>
      </c>
    </row>
    <row r="171" spans="2:18" ht="23" hidden="1" thickBot="1">
      <c r="B171" s="6287"/>
      <c r="C171" s="4212" t="s">
        <v>136</v>
      </c>
      <c r="D171" s="4173" t="s">
        <v>144</v>
      </c>
      <c r="E171" s="4186"/>
      <c r="F171" s="4186"/>
      <c r="G171" s="4186"/>
      <c r="H171" s="4187"/>
      <c r="I171" s="4186">
        <v>0</v>
      </c>
      <c r="J171" s="4207"/>
      <c r="K171" s="4186"/>
      <c r="L171" s="4186"/>
      <c r="M171" s="4186"/>
      <c r="N171" s="4187"/>
      <c r="O171" s="4208"/>
      <c r="P171" s="4192"/>
    </row>
    <row r="172" spans="2:18" hidden="1"/>
    <row r="173" spans="2:18" ht="25.5" hidden="1">
      <c r="B173" s="6284" t="s">
        <v>146</v>
      </c>
    </row>
    <row r="174" spans="2:18" ht="22.5" hidden="1">
      <c r="B174" s="6285" t="s">
        <v>147</v>
      </c>
    </row>
    <row r="175" spans="2:18" ht="22.5" hidden="1">
      <c r="B175" s="6285" t="s">
        <v>148</v>
      </c>
    </row>
    <row r="176" spans="2:18" hidden="1"/>
    <row r="177" spans="2:16" hidden="1">
      <c r="E177" s="4057"/>
      <c r="F177" s="4057"/>
      <c r="G177" s="4057"/>
      <c r="H177" s="4217"/>
      <c r="I177" s="4057"/>
      <c r="J177" s="4057"/>
      <c r="K177" s="4057"/>
      <c r="L177" s="4057"/>
      <c r="M177" s="4057"/>
      <c r="N177" s="4217"/>
      <c r="O177" s="4057"/>
      <c r="P177" s="4057"/>
    </row>
    <row r="178" spans="2:16" ht="25.5" hidden="1">
      <c r="B178" s="4216" t="s">
        <v>149</v>
      </c>
      <c r="C178" s="4211"/>
      <c r="D178" s="4195"/>
      <c r="E178" s="4057"/>
      <c r="F178" s="4057"/>
      <c r="G178" s="4057"/>
      <c r="H178" s="4217"/>
      <c r="I178" s="4223"/>
      <c r="J178" s="4057"/>
      <c r="K178" s="4057"/>
      <c r="L178" s="4057"/>
      <c r="M178" s="4057"/>
      <c r="N178" s="4217"/>
      <c r="O178" s="4223"/>
      <c r="P178" s="2486" t="s">
        <v>133</v>
      </c>
    </row>
    <row r="179" spans="2:16" ht="22.5" hidden="1" customHeight="1">
      <c r="B179" s="6288" t="s">
        <v>81</v>
      </c>
      <c r="C179" s="4248" t="s">
        <v>150</v>
      </c>
      <c r="D179" s="4252" t="s">
        <v>50</v>
      </c>
      <c r="E179" s="4253">
        <v>3343936983</v>
      </c>
      <c r="F179" s="4253">
        <v>1</v>
      </c>
      <c r="G179" s="4253">
        <v>1</v>
      </c>
      <c r="H179" s="4253"/>
      <c r="I179" s="4254">
        <f t="shared" ref="I179:I189" si="60">E179*F179*G179</f>
        <v>3343936983</v>
      </c>
      <c r="J179" s="4253" t="s">
        <v>50</v>
      </c>
      <c r="K179" s="4253">
        <v>2615539538</v>
      </c>
      <c r="L179" s="4253">
        <v>1</v>
      </c>
      <c r="M179" s="4253">
        <v>1</v>
      </c>
      <c r="N179" s="4253"/>
      <c r="O179" s="4254">
        <f t="shared" ref="O179:O189" si="61">K179*L179*M179</f>
        <v>2615539538</v>
      </c>
      <c r="P179" s="4255">
        <f>I179+O179-I180-O180</f>
        <v>320728521</v>
      </c>
    </row>
    <row r="180" spans="2:16" ht="22.5" hidden="1">
      <c r="B180" s="5859"/>
      <c r="C180" s="4245" t="s">
        <v>151</v>
      </c>
      <c r="D180" s="4226" t="s">
        <v>50</v>
      </c>
      <c r="E180" s="4243">
        <v>3042692000</v>
      </c>
      <c r="F180" s="4243">
        <v>1</v>
      </c>
      <c r="G180" s="4243">
        <v>1</v>
      </c>
      <c r="H180" s="4244"/>
      <c r="I180" s="4233">
        <f t="shared" si="60"/>
        <v>3042692000</v>
      </c>
      <c r="J180" s="4243" t="s">
        <v>50</v>
      </c>
      <c r="K180" s="4243">
        <v>2596056000</v>
      </c>
      <c r="L180" s="4243">
        <v>1</v>
      </c>
      <c r="M180" s="4243">
        <v>1</v>
      </c>
      <c r="N180" s="4244"/>
      <c r="O180" s="4233">
        <f t="shared" si="61"/>
        <v>2596056000</v>
      </c>
      <c r="P180" s="4183"/>
    </row>
    <row r="181" spans="2:16" ht="22.5" hidden="1">
      <c r="B181" s="5859"/>
      <c r="C181" s="4249" t="s">
        <v>152</v>
      </c>
      <c r="D181" s="4256" t="s">
        <v>153</v>
      </c>
      <c r="E181" s="4257">
        <v>2334813782</v>
      </c>
      <c r="F181" s="4257">
        <v>1</v>
      </c>
      <c r="G181" s="4257">
        <v>1</v>
      </c>
      <c r="H181" s="4257"/>
      <c r="I181" s="4258">
        <f t="shared" si="60"/>
        <v>2334813782</v>
      </c>
      <c r="J181" s="4257" t="s">
        <v>153</v>
      </c>
      <c r="K181" s="4257">
        <v>470883600</v>
      </c>
      <c r="L181" s="4257">
        <v>1</v>
      </c>
      <c r="M181" s="4257">
        <v>1</v>
      </c>
      <c r="N181" s="4257"/>
      <c r="O181" s="4258">
        <f t="shared" si="61"/>
        <v>470883600</v>
      </c>
      <c r="P181" s="4259">
        <f>I181+O181-I182-O182</f>
        <v>-728328848</v>
      </c>
    </row>
    <row r="182" spans="2:16" ht="22.5" hidden="1">
      <c r="B182" s="5859"/>
      <c r="C182" s="4246" t="s">
        <v>154</v>
      </c>
      <c r="D182" s="4238" t="s">
        <v>153</v>
      </c>
      <c r="E182" s="4239">
        <v>2886270341</v>
      </c>
      <c r="F182" s="4239">
        <v>1</v>
      </c>
      <c r="G182" s="4239">
        <v>1</v>
      </c>
      <c r="H182" s="4240"/>
      <c r="I182" s="4241">
        <f t="shared" si="60"/>
        <v>2886270341</v>
      </c>
      <c r="J182" s="4239" t="s">
        <v>153</v>
      </c>
      <c r="K182" s="4239">
        <v>647755889</v>
      </c>
      <c r="L182" s="4239">
        <v>1</v>
      </c>
      <c r="M182" s="4239">
        <v>1</v>
      </c>
      <c r="N182" s="4240"/>
      <c r="O182" s="4241">
        <f t="shared" si="61"/>
        <v>647755889</v>
      </c>
      <c r="P182" s="4182"/>
    </row>
    <row r="183" spans="2:16" ht="22.5" hidden="1">
      <c r="B183" s="5859"/>
      <c r="C183" s="4249" t="s">
        <v>155</v>
      </c>
      <c r="D183" s="4256" t="s">
        <v>156</v>
      </c>
      <c r="E183" s="4257">
        <v>1469155319.8399999</v>
      </c>
      <c r="F183" s="4257">
        <v>1</v>
      </c>
      <c r="G183" s="4257">
        <v>1</v>
      </c>
      <c r="H183" s="4257"/>
      <c r="I183" s="4258">
        <f t="shared" si="60"/>
        <v>1469155319.8399999</v>
      </c>
      <c r="J183" s="4257" t="s">
        <v>156</v>
      </c>
      <c r="K183" s="4257">
        <v>364022448.31999999</v>
      </c>
      <c r="L183" s="4257">
        <v>1</v>
      </c>
      <c r="M183" s="4257">
        <v>1</v>
      </c>
      <c r="N183" s="4257"/>
      <c r="O183" s="4258">
        <f t="shared" si="61"/>
        <v>364022448.31999999</v>
      </c>
      <c r="P183" s="4260">
        <f>I183+O183-I184-O184</f>
        <v>891998816.15999985</v>
      </c>
    </row>
    <row r="184" spans="2:16" ht="22.5" hidden="1">
      <c r="B184" s="5859"/>
      <c r="C184" s="4246" t="s">
        <v>157</v>
      </c>
      <c r="D184" s="4238" t="s">
        <v>156</v>
      </c>
      <c r="E184" s="4239">
        <v>723774664</v>
      </c>
      <c r="F184" s="4239">
        <v>1</v>
      </c>
      <c r="G184" s="4239">
        <v>1</v>
      </c>
      <c r="H184" s="4240"/>
      <c r="I184" s="4241">
        <f t="shared" si="60"/>
        <v>723774664</v>
      </c>
      <c r="J184" s="4239" t="s">
        <v>156</v>
      </c>
      <c r="K184" s="4239">
        <v>217404288</v>
      </c>
      <c r="L184" s="4239">
        <v>1</v>
      </c>
      <c r="M184" s="4239">
        <v>1</v>
      </c>
      <c r="N184" s="4240"/>
      <c r="O184" s="4241">
        <f t="shared" si="61"/>
        <v>217404288</v>
      </c>
      <c r="P184" s="4242"/>
    </row>
    <row r="185" spans="2:16" ht="22.5" hidden="1">
      <c r="B185" s="5859"/>
      <c r="C185" s="4250" t="s">
        <v>158</v>
      </c>
      <c r="D185" s="4261" t="s">
        <v>159</v>
      </c>
      <c r="E185" s="4262">
        <v>1353014496.72</v>
      </c>
      <c r="F185" s="4262">
        <v>1</v>
      </c>
      <c r="G185" s="4262">
        <v>1</v>
      </c>
      <c r="H185" s="4262"/>
      <c r="I185" s="4263">
        <f t="shared" si="60"/>
        <v>1353014496.72</v>
      </c>
      <c r="J185" s="4262" t="s">
        <v>159</v>
      </c>
      <c r="K185" s="4262">
        <v>728165194.74000001</v>
      </c>
      <c r="L185" s="4262">
        <v>1</v>
      </c>
      <c r="M185" s="4262">
        <v>1</v>
      </c>
      <c r="N185" s="4262"/>
      <c r="O185" s="4263">
        <f t="shared" si="61"/>
        <v>728165194.74000001</v>
      </c>
      <c r="P185" s="4264">
        <f>I185+O185-I186-O186</f>
        <v>-1044194019.54</v>
      </c>
    </row>
    <row r="186" spans="2:16" ht="22.5" hidden="1">
      <c r="B186" s="5859"/>
      <c r="C186" s="4245" t="s">
        <v>160</v>
      </c>
      <c r="D186" s="4229" t="s">
        <v>159</v>
      </c>
      <c r="E186" s="4231">
        <v>2342187094</v>
      </c>
      <c r="F186" s="4231">
        <v>1</v>
      </c>
      <c r="G186" s="4231">
        <v>1</v>
      </c>
      <c r="H186" s="4232"/>
      <c r="I186" s="4233">
        <f t="shared" si="60"/>
        <v>2342187094</v>
      </c>
      <c r="J186" s="4231" t="s">
        <v>159</v>
      </c>
      <c r="K186" s="4231">
        <v>783186617</v>
      </c>
      <c r="L186" s="4231">
        <v>1</v>
      </c>
      <c r="M186" s="4231">
        <v>1</v>
      </c>
      <c r="N186" s="4232"/>
      <c r="O186" s="4233">
        <f t="shared" si="61"/>
        <v>783186617</v>
      </c>
      <c r="P186" s="4242"/>
    </row>
    <row r="187" spans="2:16" ht="22.5" hidden="1">
      <c r="B187" s="5859"/>
      <c r="C187" s="4249" t="s">
        <v>161</v>
      </c>
      <c r="D187" s="4256" t="s">
        <v>162</v>
      </c>
      <c r="E187" s="4257">
        <v>2133836764.1599998</v>
      </c>
      <c r="F187" s="4257">
        <v>1</v>
      </c>
      <c r="G187" s="4257">
        <v>1</v>
      </c>
      <c r="H187" s="4257"/>
      <c r="I187" s="4258">
        <f t="shared" si="60"/>
        <v>2133836764.1599998</v>
      </c>
      <c r="J187" s="4257" t="s">
        <v>162</v>
      </c>
      <c r="K187" s="4257">
        <v>632477201.91999996</v>
      </c>
      <c r="L187" s="4257">
        <v>1</v>
      </c>
      <c r="M187" s="4257">
        <v>1</v>
      </c>
      <c r="N187" s="4257"/>
      <c r="O187" s="4258">
        <f t="shared" si="61"/>
        <v>632477201.91999996</v>
      </c>
      <c r="P187" s="4265">
        <f>I187+O187-I188-O188</f>
        <v>548347380.07999992</v>
      </c>
    </row>
    <row r="188" spans="2:16" ht="23" hidden="1" thickBot="1">
      <c r="B188" s="5859"/>
      <c r="C188" s="4247" t="s">
        <v>163</v>
      </c>
      <c r="D188" s="4237" t="s">
        <v>164</v>
      </c>
      <c r="E188" s="4234">
        <v>1766582476</v>
      </c>
      <c r="F188" s="4234">
        <v>1</v>
      </c>
      <c r="G188" s="4234">
        <v>1</v>
      </c>
      <c r="H188" s="4235"/>
      <c r="I188" s="4236">
        <f t="shared" si="60"/>
        <v>1766582476</v>
      </c>
      <c r="J188" s="4234" t="s">
        <v>164</v>
      </c>
      <c r="K188" s="4234">
        <v>451384110</v>
      </c>
      <c r="L188" s="4234">
        <v>1</v>
      </c>
      <c r="M188" s="4234">
        <v>1</v>
      </c>
      <c r="N188" s="4235"/>
      <c r="O188" s="4236">
        <f t="shared" si="61"/>
        <v>451384110</v>
      </c>
      <c r="P188" s="4220"/>
    </row>
    <row r="189" spans="2:16" ht="22.5" hidden="1">
      <c r="B189" s="6288" t="s">
        <v>57</v>
      </c>
      <c r="C189" s="4248" t="s">
        <v>150</v>
      </c>
      <c r="D189" s="4261" t="s">
        <v>165</v>
      </c>
      <c r="E189" s="4262">
        <v>79313574</v>
      </c>
      <c r="F189" s="4262">
        <v>1</v>
      </c>
      <c r="G189" s="4262">
        <v>1</v>
      </c>
      <c r="H189" s="4262"/>
      <c r="I189" s="4263">
        <f t="shared" si="60"/>
        <v>79313574</v>
      </c>
      <c r="J189" s="4262" t="s">
        <v>86</v>
      </c>
      <c r="K189" s="4262">
        <v>30879036</v>
      </c>
      <c r="L189" s="4262">
        <v>1</v>
      </c>
      <c r="M189" s="4262">
        <v>1</v>
      </c>
      <c r="N189" s="4262"/>
      <c r="O189" s="4263">
        <f t="shared" si="61"/>
        <v>30879036</v>
      </c>
      <c r="P189" s="4265">
        <f>I189+O189-I190-O190</f>
        <v>110192610</v>
      </c>
    </row>
    <row r="190" spans="2:16" ht="22.5" hidden="1">
      <c r="B190" s="5859"/>
      <c r="C190" s="4245" t="s">
        <v>151</v>
      </c>
      <c r="D190" s="4229" t="s">
        <v>144</v>
      </c>
      <c r="E190" s="4057"/>
      <c r="F190" s="4057"/>
      <c r="G190" s="4057"/>
      <c r="H190" s="4217"/>
      <c r="I190" s="4223">
        <v>0</v>
      </c>
      <c r="J190" s="4057" t="s">
        <v>144</v>
      </c>
      <c r="K190" s="4057"/>
      <c r="L190" s="4057"/>
      <c r="M190" s="4057"/>
      <c r="N190" s="4217"/>
      <c r="O190" s="4223">
        <v>0</v>
      </c>
      <c r="P190" s="4183"/>
    </row>
    <row r="191" spans="2:16" ht="22.5" hidden="1">
      <c r="B191" s="6289"/>
      <c r="C191" s="4249" t="s">
        <v>152</v>
      </c>
      <c r="D191" s="4268" t="s">
        <v>166</v>
      </c>
      <c r="E191" s="4269">
        <v>446246570</v>
      </c>
      <c r="F191" s="4269">
        <v>1</v>
      </c>
      <c r="G191" s="4269">
        <v>1</v>
      </c>
      <c r="H191" s="4269"/>
      <c r="I191" s="4270">
        <f>E191*F191*G191</f>
        <v>446246570</v>
      </c>
      <c r="J191" s="4269" t="s">
        <v>166</v>
      </c>
      <c r="K191" s="4269">
        <v>72406400</v>
      </c>
      <c r="L191" s="4269">
        <v>1</v>
      </c>
      <c r="M191" s="4269">
        <v>1</v>
      </c>
      <c r="N191" s="4269"/>
      <c r="O191" s="4270">
        <f t="shared" ref="O191:O197" si="62">K191*L191*M191</f>
        <v>72406400</v>
      </c>
      <c r="P191" s="4259">
        <f>I191+O191-I192-O192</f>
        <v>-46756030</v>
      </c>
    </row>
    <row r="192" spans="2:16" ht="21" hidden="1" customHeight="1" thickBot="1">
      <c r="B192" s="6290"/>
      <c r="C192" s="4247" t="s">
        <v>154</v>
      </c>
      <c r="D192" s="4224" t="s">
        <v>166</v>
      </c>
      <c r="E192" s="4181">
        <v>487472000</v>
      </c>
      <c r="F192" s="4181">
        <v>1</v>
      </c>
      <c r="G192" s="4181">
        <v>1</v>
      </c>
      <c r="H192" s="4218"/>
      <c r="I192" s="4225">
        <f t="shared" ref="I192" si="63">E192*F192*G192</f>
        <v>487472000</v>
      </c>
      <c r="J192" s="4181" t="s">
        <v>166</v>
      </c>
      <c r="K192" s="4181">
        <v>77937000</v>
      </c>
      <c r="L192" s="4181">
        <v>1</v>
      </c>
      <c r="M192" s="4181">
        <v>1</v>
      </c>
      <c r="N192" s="4218"/>
      <c r="O192" s="4225">
        <f t="shared" si="62"/>
        <v>77937000</v>
      </c>
      <c r="P192" s="4220"/>
    </row>
    <row r="193" spans="2:18" ht="22.5" hidden="1">
      <c r="B193" s="5859" t="s">
        <v>74</v>
      </c>
      <c r="C193" s="4250" t="s">
        <v>134</v>
      </c>
      <c r="D193" s="4266" t="s">
        <v>50</v>
      </c>
      <c r="E193" s="4267">
        <v>1597110727.9349999</v>
      </c>
      <c r="F193" s="4267">
        <v>1</v>
      </c>
      <c r="G193" s="4267">
        <v>1</v>
      </c>
      <c r="H193" s="4267"/>
      <c r="I193" s="4254">
        <f>E193*F193*G193</f>
        <v>1597110727.9349999</v>
      </c>
      <c r="J193" s="4267" t="s">
        <v>50</v>
      </c>
      <c r="K193" s="4267">
        <v>1084333133.4000001</v>
      </c>
      <c r="L193" s="4267">
        <v>1</v>
      </c>
      <c r="M193" s="4267">
        <v>1</v>
      </c>
      <c r="N193" s="4267"/>
      <c r="O193" s="4254">
        <f t="shared" si="62"/>
        <v>1084333133.4000001</v>
      </c>
      <c r="P193" s="4265">
        <f>I193+O193-I194-O194</f>
        <v>792220861.33500004</v>
      </c>
    </row>
    <row r="194" spans="2:18" ht="22.5" hidden="1">
      <c r="B194" s="5859"/>
      <c r="C194" s="4245" t="s">
        <v>136</v>
      </c>
      <c r="D194" s="4226" t="s">
        <v>135</v>
      </c>
      <c r="E194" s="4057">
        <v>858588000</v>
      </c>
      <c r="F194" s="4057">
        <v>1</v>
      </c>
      <c r="G194" s="4057">
        <v>1</v>
      </c>
      <c r="H194" s="4217"/>
      <c r="I194" s="4223">
        <f t="shared" ref="I194:I202" si="64">E194*F194*G194</f>
        <v>858588000</v>
      </c>
      <c r="J194" s="4057" t="s">
        <v>135</v>
      </c>
      <c r="K194" s="4057">
        <v>1030635000</v>
      </c>
      <c r="L194" s="4057">
        <v>1</v>
      </c>
      <c r="M194" s="4057">
        <v>1</v>
      </c>
      <c r="N194" s="4217"/>
      <c r="O194" s="4223">
        <f t="shared" si="62"/>
        <v>1030635000</v>
      </c>
      <c r="P194" s="4183"/>
    </row>
    <row r="195" spans="2:18" ht="22.5" hidden="1">
      <c r="B195" s="5859"/>
      <c r="C195" s="4249" t="s">
        <v>152</v>
      </c>
      <c r="D195" s="4268" t="s">
        <v>167</v>
      </c>
      <c r="E195" s="4269">
        <v>1140877642.102</v>
      </c>
      <c r="F195" s="4269">
        <v>1</v>
      </c>
      <c r="G195" s="4269">
        <v>1</v>
      </c>
      <c r="H195" s="4269"/>
      <c r="I195" s="4270">
        <f t="shared" si="64"/>
        <v>1140877642.102</v>
      </c>
      <c r="J195" s="4271" t="s">
        <v>167</v>
      </c>
      <c r="K195" s="4269">
        <v>288657600.00000006</v>
      </c>
      <c r="L195" s="4269">
        <v>1</v>
      </c>
      <c r="M195" s="4269">
        <v>1</v>
      </c>
      <c r="N195" s="4269"/>
      <c r="O195" s="4270">
        <f t="shared" si="62"/>
        <v>288657600.00000006</v>
      </c>
      <c r="P195" s="4259">
        <f>I195+O195-I196-O196</f>
        <v>-131620757.898</v>
      </c>
    </row>
    <row r="196" spans="2:18" ht="22.5" hidden="1">
      <c r="B196" s="5859"/>
      <c r="C196" s="4246" t="s">
        <v>154</v>
      </c>
      <c r="D196" s="4227" t="s">
        <v>166</v>
      </c>
      <c r="E196" s="4221">
        <v>1178446000</v>
      </c>
      <c r="F196" s="4221">
        <v>1</v>
      </c>
      <c r="G196" s="4221">
        <v>1</v>
      </c>
      <c r="H196" s="4222"/>
      <c r="I196" s="4228">
        <f t="shared" si="64"/>
        <v>1178446000</v>
      </c>
      <c r="J196" s="4221" t="s">
        <v>166</v>
      </c>
      <c r="K196" s="4221">
        <v>382710000</v>
      </c>
      <c r="L196" s="4221">
        <v>1</v>
      </c>
      <c r="M196" s="4221">
        <v>1</v>
      </c>
      <c r="N196" s="4222"/>
      <c r="O196" s="4228">
        <f t="shared" si="62"/>
        <v>382710000</v>
      </c>
      <c r="P196" s="4182"/>
    </row>
    <row r="197" spans="2:18" ht="22.5" hidden="1">
      <c r="B197" s="5859"/>
      <c r="C197" s="4250" t="s">
        <v>168</v>
      </c>
      <c r="D197" s="4266" t="s">
        <v>169</v>
      </c>
      <c r="E197" s="4272">
        <v>745838253</v>
      </c>
      <c r="F197" s="4272">
        <v>1</v>
      </c>
      <c r="G197" s="4272">
        <v>1</v>
      </c>
      <c r="H197" s="4272"/>
      <c r="I197" s="4273">
        <f t="shared" si="64"/>
        <v>745838253</v>
      </c>
      <c r="J197" s="4266" t="s">
        <v>169</v>
      </c>
      <c r="K197" s="4272">
        <v>481939726</v>
      </c>
      <c r="L197" s="4272">
        <v>1</v>
      </c>
      <c r="M197" s="4272">
        <v>1</v>
      </c>
      <c r="N197" s="4272"/>
      <c r="O197" s="4273">
        <f t="shared" si="62"/>
        <v>481939726</v>
      </c>
      <c r="P197" s="4265">
        <f>I197+O197-I198-O198</f>
        <v>1227777979</v>
      </c>
    </row>
    <row r="198" spans="2:18" ht="22.5" hidden="1">
      <c r="B198" s="5859"/>
      <c r="C198" s="4245" t="s">
        <v>170</v>
      </c>
      <c r="D198" s="4229" t="s">
        <v>144</v>
      </c>
      <c r="E198" s="4057"/>
      <c r="F198" s="4057"/>
      <c r="G198" s="4057"/>
      <c r="H198" s="4217"/>
      <c r="I198" s="4223">
        <v>0</v>
      </c>
      <c r="J198" s="4057" t="s">
        <v>144</v>
      </c>
      <c r="K198" s="4057"/>
      <c r="L198" s="4057"/>
      <c r="M198" s="4057"/>
      <c r="N198" s="4217"/>
      <c r="O198" s="4223">
        <v>0</v>
      </c>
      <c r="P198" s="4183"/>
    </row>
    <row r="199" spans="2:18" ht="22.5" hidden="1">
      <c r="B199" s="6288" t="s">
        <v>76</v>
      </c>
      <c r="C199" s="4248" t="s">
        <v>171</v>
      </c>
      <c r="D199" s="4252" t="s">
        <v>172</v>
      </c>
      <c r="E199" s="4253">
        <v>58961164.900000006</v>
      </c>
      <c r="F199" s="4253">
        <v>1</v>
      </c>
      <c r="G199" s="4253">
        <v>1</v>
      </c>
      <c r="H199" s="4253"/>
      <c r="I199" s="4254">
        <f t="shared" si="64"/>
        <v>58961164.900000006</v>
      </c>
      <c r="J199" s="4252" t="s">
        <v>172</v>
      </c>
      <c r="K199" s="4253">
        <v>87391199.5</v>
      </c>
      <c r="L199" s="4253">
        <v>1</v>
      </c>
      <c r="M199" s="4253">
        <v>1</v>
      </c>
      <c r="N199" s="4253"/>
      <c r="O199" s="4254">
        <f t="shared" ref="O199" si="65">K199*L199*M199</f>
        <v>87391199.5</v>
      </c>
      <c r="P199" s="4255">
        <f>I199+O199-I200-O200</f>
        <v>146352364.40000001</v>
      </c>
    </row>
    <row r="200" spans="2:18" ht="22.5" hidden="1">
      <c r="B200" s="5859"/>
      <c r="C200" s="4245" t="s">
        <v>173</v>
      </c>
      <c r="D200" s="4227" t="s">
        <v>144</v>
      </c>
      <c r="E200" s="4057"/>
      <c r="F200" s="4057"/>
      <c r="G200" s="4057"/>
      <c r="H200" s="4217"/>
      <c r="I200" s="4223">
        <v>0</v>
      </c>
      <c r="J200" s="4057" t="s">
        <v>144</v>
      </c>
      <c r="K200" s="4057"/>
      <c r="L200" s="4057"/>
      <c r="M200" s="4057"/>
      <c r="N200" s="4217"/>
      <c r="O200" s="4223">
        <v>0</v>
      </c>
      <c r="P200" s="4183"/>
    </row>
    <row r="201" spans="2:18" ht="22.5" hidden="1">
      <c r="B201" s="5859"/>
      <c r="C201" s="4251" t="s">
        <v>152</v>
      </c>
      <c r="D201" s="4268" t="s">
        <v>174</v>
      </c>
      <c r="E201" s="4269">
        <v>46075904.899999999</v>
      </c>
      <c r="F201" s="4269">
        <v>1</v>
      </c>
      <c r="G201" s="4269">
        <v>1</v>
      </c>
      <c r="H201" s="4269"/>
      <c r="I201" s="4270">
        <f t="shared" si="64"/>
        <v>46075904.899999999</v>
      </c>
      <c r="J201" s="4268" t="s">
        <v>174</v>
      </c>
      <c r="K201" s="4269">
        <v>792000</v>
      </c>
      <c r="L201" s="4269">
        <v>1</v>
      </c>
      <c r="M201" s="4269">
        <v>1</v>
      </c>
      <c r="N201" s="4269"/>
      <c r="O201" s="4270">
        <f t="shared" ref="O201:O202" si="66">K201*L201*M201</f>
        <v>792000</v>
      </c>
      <c r="P201" s="4259">
        <f>I201+O201-I202-O202</f>
        <v>-7599095.1000000015</v>
      </c>
    </row>
    <row r="202" spans="2:18" ht="23" hidden="1" thickBot="1">
      <c r="B202" s="6287"/>
      <c r="C202" s="4247" t="s">
        <v>154</v>
      </c>
      <c r="D202" s="4230" t="s">
        <v>166</v>
      </c>
      <c r="E202" s="4181">
        <v>34400000</v>
      </c>
      <c r="F202" s="4181">
        <v>1</v>
      </c>
      <c r="G202" s="4181">
        <v>1</v>
      </c>
      <c r="H202" s="4218"/>
      <c r="I202" s="4225">
        <f t="shared" si="64"/>
        <v>34400000</v>
      </c>
      <c r="J202" s="4181" t="s">
        <v>166</v>
      </c>
      <c r="K202" s="4181">
        <v>20067000</v>
      </c>
      <c r="L202" s="4181">
        <v>1</v>
      </c>
      <c r="M202" s="4181">
        <v>1</v>
      </c>
      <c r="N202" s="4218"/>
      <c r="O202" s="4225">
        <f t="shared" si="66"/>
        <v>20067000</v>
      </c>
      <c r="P202" s="4220"/>
    </row>
    <row r="203" spans="2:18" ht="22.5" hidden="1">
      <c r="B203" s="4007"/>
      <c r="E203" s="4057"/>
      <c r="F203" s="4057"/>
      <c r="G203" s="4057"/>
      <c r="H203" s="4217"/>
      <c r="I203" s="4057"/>
      <c r="J203" s="4057"/>
      <c r="K203" s="4057"/>
      <c r="L203" s="4057"/>
      <c r="M203" s="4057"/>
      <c r="N203" s="4217"/>
      <c r="O203" s="4057"/>
      <c r="P203" s="4183"/>
    </row>
    <row r="204" spans="2:18" ht="31" customHeight="1">
      <c r="B204" s="6316" t="s">
        <v>7021</v>
      </c>
      <c r="E204" s="4057"/>
      <c r="F204" s="4057"/>
      <c r="G204" s="4057"/>
      <c r="H204" s="4217"/>
      <c r="I204" s="4057"/>
      <c r="J204" s="4057"/>
      <c r="K204" s="4057"/>
      <c r="L204" s="4057"/>
      <c r="M204" s="4057"/>
      <c r="N204" s="4217"/>
      <c r="O204" s="4057"/>
      <c r="P204" s="4057"/>
    </row>
    <row r="205" spans="2:18" ht="179" customHeight="1">
      <c r="B205" s="6417" t="s">
        <v>7031</v>
      </c>
      <c r="C205" s="6416"/>
      <c r="D205" s="6416"/>
      <c r="E205" s="6416"/>
      <c r="F205" s="6416"/>
      <c r="G205" s="6416"/>
      <c r="H205" s="6416"/>
      <c r="I205" s="6416"/>
      <c r="J205" s="6416"/>
      <c r="K205" s="6416"/>
      <c r="L205" s="6416"/>
      <c r="M205" s="6416"/>
      <c r="N205" s="6416"/>
      <c r="O205" s="6416"/>
      <c r="P205" s="6416"/>
      <c r="Q205" s="6416"/>
      <c r="R205" s="6416"/>
    </row>
    <row r="206" spans="2:18" ht="26" customHeight="1">
      <c r="B206" s="6416"/>
      <c r="C206" s="6416"/>
      <c r="D206" s="6416"/>
      <c r="E206" s="6416"/>
      <c r="F206" s="6416"/>
      <c r="G206" s="6416"/>
      <c r="H206" s="6416"/>
      <c r="I206" s="6416"/>
      <c r="J206" s="6416"/>
      <c r="K206" s="6416"/>
      <c r="L206" s="6416"/>
      <c r="M206" s="6416"/>
      <c r="N206" s="6416"/>
      <c r="O206" s="6416"/>
      <c r="P206" s="6416"/>
      <c r="Q206" s="6416"/>
      <c r="R206" s="6416"/>
    </row>
    <row r="207" spans="2:18" ht="22" customHeight="1">
      <c r="B207" s="6416"/>
      <c r="C207" s="6416"/>
      <c r="D207" s="6416"/>
      <c r="E207" s="6416"/>
      <c r="F207" s="6416"/>
      <c r="G207" s="6416"/>
      <c r="H207" s="6416"/>
      <c r="I207" s="6416"/>
      <c r="J207" s="6416"/>
      <c r="K207" s="6416"/>
      <c r="L207" s="6416"/>
      <c r="M207" s="6416"/>
      <c r="N207" s="6416"/>
      <c r="O207" s="6416"/>
      <c r="P207" s="6416"/>
      <c r="Q207" s="6416"/>
      <c r="R207" s="6416"/>
    </row>
    <row r="208" spans="2:18" ht="114.5" customHeight="1">
      <c r="B208" s="6416"/>
      <c r="C208" s="6416"/>
      <c r="D208" s="6416"/>
      <c r="E208" s="6416"/>
      <c r="F208" s="6416"/>
      <c r="G208" s="6416"/>
      <c r="H208" s="6416"/>
      <c r="I208" s="6416"/>
      <c r="J208" s="6416"/>
      <c r="K208" s="6416"/>
      <c r="L208" s="6416"/>
      <c r="M208" s="6416"/>
      <c r="N208" s="6416"/>
      <c r="O208" s="6416"/>
      <c r="P208" s="6416"/>
      <c r="Q208" s="6416"/>
      <c r="R208" s="6416"/>
    </row>
    <row r="209" spans="2:18" s="6283" customFormat="1" ht="55.5" customHeight="1">
      <c r="B209" s="6416"/>
      <c r="C209" s="6416"/>
      <c r="D209" s="6416"/>
      <c r="E209" s="6416"/>
      <c r="F209" s="6416"/>
      <c r="G209" s="6416"/>
      <c r="H209" s="6416"/>
      <c r="I209" s="6416"/>
      <c r="J209" s="6416"/>
      <c r="K209" s="6416"/>
      <c r="L209" s="6416"/>
      <c r="M209" s="6416"/>
      <c r="N209" s="6416"/>
      <c r="O209" s="6416"/>
      <c r="P209" s="6416"/>
      <c r="Q209" s="6416"/>
      <c r="R209" s="6416"/>
    </row>
    <row r="211" spans="2:18" ht="32" customHeight="1">
      <c r="B211" s="6317" t="s">
        <v>7022</v>
      </c>
    </row>
    <row r="212" spans="2:18" ht="70.5" customHeight="1">
      <c r="B212" s="6417" t="s">
        <v>7030</v>
      </c>
      <c r="C212" s="6416"/>
      <c r="D212" s="6416"/>
      <c r="E212" s="6416"/>
      <c r="F212" s="6416"/>
      <c r="G212" s="6416"/>
      <c r="H212" s="6416"/>
      <c r="I212" s="6416"/>
      <c r="J212" s="6416"/>
      <c r="K212" s="6416"/>
      <c r="L212" s="6416"/>
      <c r="M212" s="6416"/>
      <c r="N212" s="6416"/>
      <c r="O212" s="6416"/>
    </row>
    <row r="213" spans="2:18" ht="173" customHeight="1">
      <c r="B213" s="6416"/>
      <c r="C213" s="6416"/>
      <c r="D213" s="6416"/>
      <c r="E213" s="6416"/>
      <c r="F213" s="6416"/>
      <c r="G213" s="6416"/>
      <c r="H213" s="6416"/>
      <c r="I213" s="6416"/>
      <c r="J213" s="6416"/>
      <c r="K213" s="6416"/>
      <c r="L213" s="6416"/>
      <c r="M213" s="6416"/>
      <c r="N213" s="6416"/>
      <c r="O213" s="6416"/>
    </row>
    <row r="214" spans="2:18" ht="42" customHeight="1">
      <c r="B214" s="6416"/>
      <c r="C214" s="6416"/>
      <c r="D214" s="6416"/>
      <c r="E214" s="6416"/>
      <c r="F214" s="6416"/>
      <c r="G214" s="6416"/>
      <c r="H214" s="6416"/>
      <c r="I214" s="6416"/>
      <c r="J214" s="6416"/>
      <c r="K214" s="6416"/>
      <c r="L214" s="6416"/>
      <c r="M214" s="6416"/>
      <c r="N214" s="6416"/>
      <c r="O214" s="6416"/>
    </row>
    <row r="215" spans="2:18">
      <c r="B215" s="6416"/>
      <c r="C215" s="6416"/>
      <c r="D215" s="6416"/>
      <c r="E215" s="6416"/>
      <c r="F215" s="6416"/>
      <c r="G215" s="6416"/>
      <c r="H215" s="6416"/>
      <c r="I215" s="6416"/>
      <c r="J215" s="6416"/>
      <c r="K215" s="6416"/>
      <c r="L215" s="6416"/>
      <c r="M215" s="6416"/>
      <c r="N215" s="6416"/>
      <c r="O215" s="6416"/>
    </row>
    <row r="216" spans="2:18" ht="34" customHeight="1">
      <c r="B216" s="6416"/>
      <c r="C216" s="6416"/>
      <c r="D216" s="6416"/>
      <c r="E216" s="6416"/>
      <c r="F216" s="6416"/>
      <c r="G216" s="6416"/>
      <c r="H216" s="6416"/>
      <c r="I216" s="6416"/>
      <c r="J216" s="6416"/>
      <c r="K216" s="6416"/>
      <c r="L216" s="6416"/>
      <c r="M216" s="6416"/>
      <c r="N216" s="6416"/>
      <c r="O216" s="6416"/>
    </row>
  </sheetData>
  <mergeCells count="2">
    <mergeCell ref="B205:R209"/>
    <mergeCell ref="B212:O216"/>
  </mergeCells>
  <phoneticPr fontId="2"/>
  <pageMargins left="0.25" right="0.25" top="0.75" bottom="0.75" header="0.3" footer="0.3"/>
  <pageSetup paperSize="8" scale="57" orientation="landscape"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934C-987A-4CB5-BDA6-53F4818D9407}">
  <sheetPr codeName="Sheet426">
    <tabColor rgb="FF00B0F0"/>
    <pageSetUpPr fitToPage="1"/>
  </sheetPr>
  <dimension ref="A2:R216"/>
  <sheetViews>
    <sheetView topLeftCell="A68" zoomScale="40" zoomScaleNormal="40" workbookViewId="0">
      <selection activeCell="D114" sqref="D114"/>
    </sheetView>
  </sheetViews>
  <sheetFormatPr defaultColWidth="8.7265625" defaultRowHeight="19"/>
  <cols>
    <col min="1" max="1" width="13.453125" style="2486" customWidth="1"/>
    <col min="2" max="2" width="60.81640625" style="2486" customWidth="1"/>
    <col min="3" max="3" width="29" style="2486" customWidth="1"/>
    <col min="4" max="4" width="39.54296875" style="2486" customWidth="1"/>
    <col min="5" max="5" width="21.1796875" style="2486" customWidth="1"/>
    <col min="6" max="6" width="13.7265625" style="2486" bestFit="1" customWidth="1"/>
    <col min="7" max="7" width="8.7265625" style="2486"/>
    <col min="8" max="8" width="0" style="4004" hidden="1" customWidth="1"/>
    <col min="9" max="9" width="22.7265625" style="2486" customWidth="1"/>
    <col min="10" max="10" width="39.54296875" style="2486" customWidth="1"/>
    <col min="11" max="11" width="20" style="2486" customWidth="1"/>
    <col min="12" max="12" width="10.7265625" style="2486" customWidth="1"/>
    <col min="13" max="13" width="9.54296875" style="2486" bestFit="1" customWidth="1"/>
    <col min="14" max="14" width="12.453125" style="4004" hidden="1" customWidth="1"/>
    <col min="15" max="15" width="21.453125" style="2486" customWidth="1"/>
    <col min="16" max="16" width="28.453125" style="2486" customWidth="1"/>
    <col min="17" max="17" width="25.1796875" style="2486" hidden="1" customWidth="1"/>
    <col min="18" max="18" width="24.81640625" style="2486" customWidth="1"/>
    <col min="19" max="16384" width="8.7265625" style="2486"/>
  </cols>
  <sheetData>
    <row r="2" spans="1:16" hidden="1">
      <c r="A2" s="4002" t="s">
        <v>35</v>
      </c>
      <c r="B2" s="4146" t="s">
        <v>36</v>
      </c>
      <c r="C2" s="4070"/>
      <c r="D2" s="4003" t="s">
        <v>37</v>
      </c>
      <c r="H2" s="4004" t="s">
        <v>38</v>
      </c>
      <c r="I2" s="4005"/>
      <c r="J2" s="2486" t="s">
        <v>39</v>
      </c>
      <c r="N2" s="4004" t="s">
        <v>38</v>
      </c>
      <c r="O2" s="4005"/>
      <c r="P2" s="4079" t="s">
        <v>40</v>
      </c>
    </row>
    <row r="3" spans="1:16" ht="19.5" hidden="1" thickBot="1">
      <c r="B3" s="2486" t="s">
        <v>41</v>
      </c>
      <c r="C3" s="4071" t="s">
        <v>42</v>
      </c>
      <c r="D3" s="4003" t="s">
        <v>43</v>
      </c>
      <c r="E3" s="4006" t="s">
        <v>44</v>
      </c>
      <c r="F3" s="4006" t="s">
        <v>45</v>
      </c>
      <c r="G3" s="4006" t="s">
        <v>46</v>
      </c>
      <c r="I3" s="4005" t="s">
        <v>47</v>
      </c>
      <c r="J3" s="2486" t="s">
        <v>43</v>
      </c>
      <c r="K3" s="4006" t="s">
        <v>44</v>
      </c>
      <c r="L3" s="4006" t="s">
        <v>45</v>
      </c>
      <c r="M3" s="4006" t="s">
        <v>46</v>
      </c>
      <c r="O3" s="4005" t="s">
        <v>47</v>
      </c>
      <c r="P3" s="4079" t="s">
        <v>48</v>
      </c>
    </row>
    <row r="4" spans="1:16" hidden="1">
      <c r="B4" s="4007" t="s">
        <v>49</v>
      </c>
      <c r="C4" s="5871">
        <f>SUM(P4,P5)</f>
        <v>15457292778</v>
      </c>
      <c r="D4" s="4008" t="s">
        <v>50</v>
      </c>
      <c r="E4" s="4009">
        <v>3042691395</v>
      </c>
      <c r="F4" s="4009">
        <v>1</v>
      </c>
      <c r="G4" s="4009">
        <v>1</v>
      </c>
      <c r="H4" s="4010"/>
      <c r="I4" s="5863">
        <f t="shared" ref="I4:I5" si="0">E4*F4*G4</f>
        <v>3042691395</v>
      </c>
      <c r="J4" s="4008" t="s">
        <v>50</v>
      </c>
      <c r="K4" s="4011">
        <v>2596055904</v>
      </c>
      <c r="L4" s="4011">
        <v>1</v>
      </c>
      <c r="M4" s="4011">
        <v>1</v>
      </c>
      <c r="N4" s="4010"/>
      <c r="O4" s="5865">
        <f>K4*L4*M4</f>
        <v>2596055904</v>
      </c>
      <c r="P4" s="4080">
        <f>I4+O4</f>
        <v>5638747299</v>
      </c>
    </row>
    <row r="5" spans="1:16" hidden="1">
      <c r="C5" s="5872"/>
      <c r="D5" s="4012" t="s">
        <v>51</v>
      </c>
      <c r="E5" s="4013">
        <v>7718814575</v>
      </c>
      <c r="F5" s="4013">
        <v>1</v>
      </c>
      <c r="G5" s="4013">
        <v>1</v>
      </c>
      <c r="H5" s="4014"/>
      <c r="I5" s="5864">
        <f t="shared" si="0"/>
        <v>7718814575</v>
      </c>
      <c r="J5" s="4012" t="s">
        <v>51</v>
      </c>
      <c r="K5" s="4016">
        <v>2099730904</v>
      </c>
      <c r="L5" s="4016">
        <v>1</v>
      </c>
      <c r="M5" s="4016">
        <v>1</v>
      </c>
      <c r="N5" s="4014"/>
      <c r="O5" s="5866">
        <f t="shared" ref="O5" si="1">K5*L5*M5</f>
        <v>2099730904</v>
      </c>
      <c r="P5" s="4081">
        <f>I5+O5</f>
        <v>9818545479</v>
      </c>
    </row>
    <row r="6" spans="1:16" hidden="1">
      <c r="C6" s="5872"/>
      <c r="D6" s="4126" t="s">
        <v>52</v>
      </c>
      <c r="E6" s="4118">
        <v>2004704909</v>
      </c>
      <c r="F6" s="4127">
        <v>1</v>
      </c>
      <c r="G6" s="4127">
        <v>1</v>
      </c>
      <c r="H6" s="4014"/>
      <c r="I6" s="4118">
        <f>E6*F6*G6</f>
        <v>2004704909</v>
      </c>
      <c r="J6" s="4126" t="s">
        <v>52</v>
      </c>
      <c r="K6" s="4118">
        <v>197828150</v>
      </c>
      <c r="L6" s="4127">
        <v>1</v>
      </c>
      <c r="M6" s="4127">
        <v>1</v>
      </c>
      <c r="N6" s="4014"/>
      <c r="O6" s="4118">
        <f>K6*L6*M6</f>
        <v>197828150</v>
      </c>
      <c r="P6" s="4128">
        <f t="shared" ref="P6:P10" si="2">I6+O6</f>
        <v>2202533059</v>
      </c>
    </row>
    <row r="7" spans="1:16" hidden="1">
      <c r="C7" s="5872"/>
      <c r="D7" s="4126" t="s">
        <v>53</v>
      </c>
      <c r="E7" s="4118">
        <v>881565432</v>
      </c>
      <c r="F7" s="4127">
        <v>1</v>
      </c>
      <c r="G7" s="4127">
        <v>1</v>
      </c>
      <c r="H7" s="4014"/>
      <c r="I7" s="4118">
        <f t="shared" ref="I7:I30" si="3">E7*F7*G7</f>
        <v>881565432</v>
      </c>
      <c r="J7" s="4126" t="s">
        <v>53</v>
      </c>
      <c r="K7" s="4118">
        <v>449927739</v>
      </c>
      <c r="L7" s="4127">
        <v>1</v>
      </c>
      <c r="M7" s="4127">
        <v>1</v>
      </c>
      <c r="N7" s="4014"/>
      <c r="O7" s="4118">
        <f>K7*L7*M7</f>
        <v>449927739</v>
      </c>
      <c r="P7" s="4128">
        <f t="shared" si="2"/>
        <v>1331493171</v>
      </c>
    </row>
    <row r="8" spans="1:16" hidden="1">
      <c r="C8" s="5872"/>
      <c r="D8" s="4126" t="s">
        <v>54</v>
      </c>
      <c r="E8" s="4118">
        <v>723774664</v>
      </c>
      <c r="F8" s="4127">
        <v>1</v>
      </c>
      <c r="G8" s="4127">
        <v>1</v>
      </c>
      <c r="H8" s="4014"/>
      <c r="I8" s="4118">
        <f t="shared" si="3"/>
        <v>723774664</v>
      </c>
      <c r="J8" s="4126" t="s">
        <v>54</v>
      </c>
      <c r="K8" s="4118">
        <v>217404288</v>
      </c>
      <c r="L8" s="4127">
        <v>1</v>
      </c>
      <c r="M8" s="4127">
        <v>1</v>
      </c>
      <c r="N8" s="4014"/>
      <c r="O8" s="4118">
        <f t="shared" ref="O8:O26" si="4">K8*L8*M8</f>
        <v>217404288</v>
      </c>
      <c r="P8" s="4128">
        <f t="shared" si="2"/>
        <v>941178952</v>
      </c>
    </row>
    <row r="9" spans="1:16" hidden="1">
      <c r="C9" s="5872"/>
      <c r="D9" s="4126" t="s">
        <v>55</v>
      </c>
      <c r="E9" s="4118">
        <f>SUM('財政見通し積算 (全SH全項目統合版）'!AD29)</f>
        <v>2342187094</v>
      </c>
      <c r="F9" s="4127">
        <v>1</v>
      </c>
      <c r="G9" s="4127">
        <v>1</v>
      </c>
      <c r="H9" s="4014"/>
      <c r="I9" s="4118">
        <f t="shared" si="3"/>
        <v>2342187094</v>
      </c>
      <c r="J9" s="4126" t="s">
        <v>55</v>
      </c>
      <c r="K9" s="4118">
        <v>783186617</v>
      </c>
      <c r="L9" s="4127">
        <v>1</v>
      </c>
      <c r="M9" s="4127">
        <v>1</v>
      </c>
      <c r="N9" s="4014"/>
      <c r="O9" s="4118">
        <f t="shared" si="4"/>
        <v>783186617</v>
      </c>
      <c r="P9" s="4128">
        <f t="shared" si="2"/>
        <v>3125373711</v>
      </c>
    </row>
    <row r="10" spans="1:16" hidden="1">
      <c r="C10" s="5872"/>
      <c r="D10" s="4126" t="s">
        <v>56</v>
      </c>
      <c r="E10" s="4118">
        <f>SUM('財政見通し積算 (全SH全項目統合版）'!AD30)</f>
        <v>1766582476</v>
      </c>
      <c r="F10" s="4127">
        <v>1</v>
      </c>
      <c r="G10" s="4127">
        <v>1</v>
      </c>
      <c r="H10" s="4014"/>
      <c r="I10" s="4118">
        <f t="shared" si="3"/>
        <v>1766582476</v>
      </c>
      <c r="J10" s="4126" t="s">
        <v>56</v>
      </c>
      <c r="K10" s="4114">
        <f>SUM('財政見通し積算 (全SH全項目統合版）'!AD35)</f>
        <v>451384110</v>
      </c>
      <c r="L10" s="4127">
        <v>1</v>
      </c>
      <c r="M10" s="4127">
        <v>1</v>
      </c>
      <c r="N10" s="4014"/>
      <c r="O10" s="4118">
        <f t="shared" si="4"/>
        <v>451384110</v>
      </c>
      <c r="P10" s="4128">
        <f t="shared" si="2"/>
        <v>2217966586</v>
      </c>
    </row>
    <row r="11" spans="1:16" hidden="1">
      <c r="B11" s="4018" t="s">
        <v>57</v>
      </c>
      <c r="C11" s="5873">
        <f>SUM(P11:P12)</f>
        <v>1660274332</v>
      </c>
      <c r="D11" s="4019" t="s">
        <v>50</v>
      </c>
      <c r="E11" s="4020">
        <v>16900</v>
      </c>
      <c r="F11" s="4020">
        <v>3546</v>
      </c>
      <c r="G11" s="4020">
        <v>11</v>
      </c>
      <c r="H11" s="4021">
        <f>F11*G11</f>
        <v>39006</v>
      </c>
      <c r="I11" s="4022">
        <f t="shared" si="3"/>
        <v>659201400</v>
      </c>
      <c r="J11" s="4023" t="s">
        <v>50</v>
      </c>
      <c r="K11" s="4024">
        <v>16900</v>
      </c>
      <c r="L11" s="4024">
        <f>3305*0.6</f>
        <v>1983</v>
      </c>
      <c r="M11" s="4024">
        <v>13</v>
      </c>
      <c r="N11" s="4021">
        <f>L11*M11</f>
        <v>25779</v>
      </c>
      <c r="O11" s="4025">
        <f t="shared" si="4"/>
        <v>435665100</v>
      </c>
      <c r="P11" s="4082">
        <f>I11+O11</f>
        <v>1094866500</v>
      </c>
    </row>
    <row r="12" spans="1:16" hidden="1">
      <c r="C12" s="5872"/>
      <c r="D12" s="4012" t="s">
        <v>51</v>
      </c>
      <c r="E12" s="4016">
        <f>SUM(E13:E14)</f>
        <v>487471732</v>
      </c>
      <c r="F12" s="4013">
        <v>1</v>
      </c>
      <c r="G12" s="4013">
        <v>1</v>
      </c>
      <c r="H12" s="4014"/>
      <c r="I12" s="4015">
        <f t="shared" si="3"/>
        <v>487471732</v>
      </c>
      <c r="J12" s="4012" t="s">
        <v>51</v>
      </c>
      <c r="K12" s="4016">
        <f>SUM(K13:K14)</f>
        <v>77936100</v>
      </c>
      <c r="L12" s="4016">
        <v>1</v>
      </c>
      <c r="M12" s="4016">
        <v>1</v>
      </c>
      <c r="N12" s="4014"/>
      <c r="O12" s="4017">
        <f t="shared" si="4"/>
        <v>77936100</v>
      </c>
      <c r="P12" s="4081">
        <f>I12+O12</f>
        <v>565407832</v>
      </c>
    </row>
    <row r="13" spans="1:16" hidden="1">
      <c r="C13" s="5872"/>
      <c r="D13" s="4337" t="s">
        <v>58</v>
      </c>
      <c r="E13" s="4118">
        <v>324285720</v>
      </c>
      <c r="F13" s="4118">
        <v>1</v>
      </c>
      <c r="G13" s="4118">
        <v>1</v>
      </c>
      <c r="H13" s="4115"/>
      <c r="I13" s="4119">
        <f t="shared" si="3"/>
        <v>324285720</v>
      </c>
      <c r="J13" s="4337" t="s">
        <v>58</v>
      </c>
      <c r="K13" s="4114">
        <v>23802106</v>
      </c>
      <c r="L13" s="4114">
        <v>1</v>
      </c>
      <c r="M13" s="4114">
        <v>1</v>
      </c>
      <c r="N13" s="4115"/>
      <c r="O13" s="4116">
        <f t="shared" si="4"/>
        <v>23802106</v>
      </c>
      <c r="P13" s="4128">
        <f t="shared" ref="P13:P30" si="5">I13+O13</f>
        <v>348087826</v>
      </c>
    </row>
    <row r="14" spans="1:16" hidden="1">
      <c r="C14" s="5872"/>
      <c r="D14" s="4337" t="s">
        <v>59</v>
      </c>
      <c r="E14" s="4118">
        <v>163186012</v>
      </c>
      <c r="F14" s="4118">
        <v>1</v>
      </c>
      <c r="G14" s="4118">
        <v>1</v>
      </c>
      <c r="H14" s="4115"/>
      <c r="I14" s="4119">
        <f t="shared" si="3"/>
        <v>163186012</v>
      </c>
      <c r="J14" s="4337" t="s">
        <v>59</v>
      </c>
      <c r="K14" s="4114">
        <v>54133994</v>
      </c>
      <c r="L14" s="4114">
        <v>1</v>
      </c>
      <c r="M14" s="4114">
        <v>1</v>
      </c>
      <c r="N14" s="4115"/>
      <c r="O14" s="4116">
        <f t="shared" si="4"/>
        <v>54133994</v>
      </c>
      <c r="P14" s="5870">
        <f t="shared" si="5"/>
        <v>217320006</v>
      </c>
    </row>
    <row r="15" spans="1:16" hidden="1">
      <c r="C15" s="5872"/>
      <c r="D15" s="4012" t="s">
        <v>60</v>
      </c>
      <c r="E15" s="4013">
        <v>21000</v>
      </c>
      <c r="F15" s="4013">
        <v>725</v>
      </c>
      <c r="G15" s="4013">
        <v>11</v>
      </c>
      <c r="H15" s="4014">
        <f>F15*G15</f>
        <v>7975</v>
      </c>
      <c r="I15" s="5846">
        <v>167496000</v>
      </c>
      <c r="J15" s="4026" t="s">
        <v>61</v>
      </c>
      <c r="K15" s="4016">
        <v>21000</v>
      </c>
      <c r="L15" s="4016">
        <f>695*0.6</f>
        <v>417</v>
      </c>
      <c r="M15" s="4016">
        <v>13</v>
      </c>
      <c r="N15" s="4014">
        <f>L15*M15</f>
        <v>5421</v>
      </c>
      <c r="O15" s="5848">
        <f t="shared" si="4"/>
        <v>113841000</v>
      </c>
      <c r="P15" s="4081">
        <f t="shared" si="5"/>
        <v>281337000</v>
      </c>
    </row>
    <row r="16" spans="1:16" hidden="1">
      <c r="C16" s="5872"/>
      <c r="D16" s="4012"/>
      <c r="E16" s="4013"/>
      <c r="F16" s="4013"/>
      <c r="G16" s="4013"/>
      <c r="H16" s="4014"/>
      <c r="I16" s="4015">
        <f t="shared" ref="I16" si="6">E16*F16*G16</f>
        <v>0</v>
      </c>
      <c r="J16" s="2486" t="s">
        <v>62</v>
      </c>
      <c r="K16" s="4016">
        <v>21000</v>
      </c>
      <c r="L16" s="4016">
        <v>200</v>
      </c>
      <c r="M16" s="4016">
        <v>15</v>
      </c>
      <c r="N16" s="4014">
        <f>L16*M16</f>
        <v>3000</v>
      </c>
      <c r="O16" s="5848">
        <f t="shared" si="4"/>
        <v>63000000</v>
      </c>
      <c r="P16" s="4083">
        <f t="shared" si="5"/>
        <v>63000000</v>
      </c>
    </row>
    <row r="17" spans="1:17" hidden="1">
      <c r="B17" s="4018" t="s">
        <v>63</v>
      </c>
      <c r="C17" s="5873">
        <f>SUM(P17)</f>
        <v>1202035000</v>
      </c>
      <c r="D17" s="4019" t="s">
        <v>64</v>
      </c>
      <c r="E17" s="4020">
        <v>19000</v>
      </c>
      <c r="F17" s="4020">
        <v>4189</v>
      </c>
      <c r="G17" s="4020">
        <v>11</v>
      </c>
      <c r="H17" s="4021">
        <f>F17*G17</f>
        <v>46079</v>
      </c>
      <c r="I17" s="4022">
        <f t="shared" si="3"/>
        <v>875501000</v>
      </c>
      <c r="J17" s="4023" t="s">
        <v>64</v>
      </c>
      <c r="K17" s="4024">
        <v>19000</v>
      </c>
      <c r="L17" s="4024">
        <f>3305*0.4</f>
        <v>1322</v>
      </c>
      <c r="M17" s="4024">
        <v>13</v>
      </c>
      <c r="N17" s="4021">
        <f>L17*M17</f>
        <v>17186</v>
      </c>
      <c r="O17" s="4025">
        <f t="shared" si="4"/>
        <v>326534000</v>
      </c>
      <c r="P17" s="4081">
        <f t="shared" si="5"/>
        <v>1202035000</v>
      </c>
    </row>
    <row r="18" spans="1:17" hidden="1">
      <c r="B18" s="4027"/>
      <c r="C18" s="5874"/>
      <c r="D18" s="4028" t="s">
        <v>60</v>
      </c>
      <c r="E18" s="4029">
        <v>19000</v>
      </c>
      <c r="F18" s="4029">
        <v>401</v>
      </c>
      <c r="G18" s="4029">
        <v>11</v>
      </c>
      <c r="H18" s="4030">
        <f>F18*G18</f>
        <v>4411</v>
      </c>
      <c r="I18" s="5840">
        <f t="shared" si="3"/>
        <v>83809000</v>
      </c>
      <c r="J18" s="4031" t="s">
        <v>60</v>
      </c>
      <c r="K18" s="4032">
        <v>19000</v>
      </c>
      <c r="L18" s="4032">
        <f>695*0.4</f>
        <v>278</v>
      </c>
      <c r="M18" s="4032">
        <v>13</v>
      </c>
      <c r="N18" s="4030">
        <f>L18*M18</f>
        <v>3614</v>
      </c>
      <c r="O18" s="5849">
        <f t="shared" si="4"/>
        <v>68666000</v>
      </c>
      <c r="P18" s="4081">
        <f t="shared" si="5"/>
        <v>152475000</v>
      </c>
    </row>
    <row r="19" spans="1:17" hidden="1">
      <c r="B19" s="4034" t="s">
        <v>65</v>
      </c>
      <c r="C19" s="5875">
        <f>SUM(P19)</f>
        <v>127204000</v>
      </c>
      <c r="D19" s="4019" t="s">
        <v>64</v>
      </c>
      <c r="E19" s="4020">
        <v>880</v>
      </c>
      <c r="F19" s="4020">
        <v>9235</v>
      </c>
      <c r="G19" s="4020">
        <v>11</v>
      </c>
      <c r="H19" s="4021">
        <f t="shared" ref="H19:H22" si="7">F19*G19</f>
        <v>101585</v>
      </c>
      <c r="I19" s="4022">
        <f t="shared" si="3"/>
        <v>89394800</v>
      </c>
      <c r="J19" s="4018" t="s">
        <v>64</v>
      </c>
      <c r="K19" s="4024">
        <v>880</v>
      </c>
      <c r="L19" s="4024">
        <v>3305</v>
      </c>
      <c r="M19" s="4024">
        <v>13</v>
      </c>
      <c r="N19" s="4021">
        <f t="shared" ref="N19:N20" si="8">L19*M19</f>
        <v>42965</v>
      </c>
      <c r="O19" s="4025">
        <f t="shared" si="4"/>
        <v>37809200</v>
      </c>
      <c r="P19" s="4082">
        <f t="shared" si="5"/>
        <v>127204000</v>
      </c>
    </row>
    <row r="20" spans="1:17" hidden="1">
      <c r="C20" s="5872"/>
      <c r="D20" s="4012" t="s">
        <v>60</v>
      </c>
      <c r="E20" s="4013">
        <v>880</v>
      </c>
      <c r="F20" s="4013">
        <v>1002</v>
      </c>
      <c r="G20" s="4013">
        <v>11</v>
      </c>
      <c r="H20" s="4014">
        <f t="shared" si="7"/>
        <v>11022</v>
      </c>
      <c r="I20" s="5846">
        <f t="shared" si="3"/>
        <v>9699360</v>
      </c>
      <c r="J20" s="2486" t="s">
        <v>60</v>
      </c>
      <c r="K20" s="4016">
        <v>880</v>
      </c>
      <c r="L20" s="4016">
        <v>695</v>
      </c>
      <c r="M20" s="4016">
        <v>13</v>
      </c>
      <c r="N20" s="4014">
        <f t="shared" si="8"/>
        <v>9035</v>
      </c>
      <c r="O20" s="5848">
        <f t="shared" si="4"/>
        <v>7950800</v>
      </c>
      <c r="P20" s="4081">
        <f t="shared" si="5"/>
        <v>17650160</v>
      </c>
    </row>
    <row r="21" spans="1:17" hidden="1">
      <c r="C21" s="5872"/>
      <c r="D21" s="4012" t="s">
        <v>66</v>
      </c>
      <c r="E21" s="4013">
        <v>880</v>
      </c>
      <c r="F21" s="4013">
        <v>2436</v>
      </c>
      <c r="G21" s="4013">
        <v>18</v>
      </c>
      <c r="H21" s="4014">
        <f t="shared" si="7"/>
        <v>43848</v>
      </c>
      <c r="I21" s="5846">
        <f t="shared" si="3"/>
        <v>38586240</v>
      </c>
      <c r="K21" s="4016"/>
      <c r="L21" s="4016"/>
      <c r="M21" s="4016"/>
      <c r="N21" s="4014"/>
      <c r="O21" s="4017">
        <f t="shared" si="4"/>
        <v>0</v>
      </c>
      <c r="P21" s="4083">
        <f t="shared" si="5"/>
        <v>38586240</v>
      </c>
    </row>
    <row r="22" spans="1:17" hidden="1">
      <c r="B22" s="4034" t="s">
        <v>67</v>
      </c>
      <c r="C22" s="5875">
        <v>920808000</v>
      </c>
      <c r="D22" s="4019" t="s">
        <v>66</v>
      </c>
      <c r="E22" s="4020">
        <v>21000</v>
      </c>
      <c r="F22" s="4020">
        <v>2436</v>
      </c>
      <c r="G22" s="4020">
        <v>18</v>
      </c>
      <c r="H22" s="4021">
        <f t="shared" si="7"/>
        <v>43848</v>
      </c>
      <c r="I22" s="5869">
        <f t="shared" si="3"/>
        <v>920808000</v>
      </c>
      <c r="J22" s="4018"/>
      <c r="K22" s="4024"/>
      <c r="L22" s="4024"/>
      <c r="M22" s="4024"/>
      <c r="N22" s="4021"/>
      <c r="O22" s="4025">
        <f t="shared" si="4"/>
        <v>0</v>
      </c>
      <c r="P22" s="4081">
        <f t="shared" si="5"/>
        <v>920808000</v>
      </c>
    </row>
    <row r="23" spans="1:17" hidden="1">
      <c r="B23" s="2486" t="s">
        <v>92</v>
      </c>
      <c r="C23" s="5872">
        <f>SUM(P23:P24)</f>
        <v>1437358140</v>
      </c>
      <c r="D23" s="4019" t="s">
        <v>69</v>
      </c>
      <c r="E23" s="4020">
        <v>1336000000</v>
      </c>
      <c r="F23" s="4020">
        <v>1</v>
      </c>
      <c r="G23" s="4020">
        <v>1</v>
      </c>
      <c r="H23" s="4021"/>
      <c r="I23" s="4022">
        <f t="shared" si="3"/>
        <v>1336000000</v>
      </c>
      <c r="J23" s="4018"/>
      <c r="K23" s="4024"/>
      <c r="L23" s="4024"/>
      <c r="M23" s="4024"/>
      <c r="N23" s="4021"/>
      <c r="O23" s="4025"/>
      <c r="P23" s="4082">
        <f t="shared" si="5"/>
        <v>1336000000</v>
      </c>
    </row>
    <row r="24" spans="1:17" hidden="1">
      <c r="B24" s="2486" t="s">
        <v>176</v>
      </c>
      <c r="C24" s="5872"/>
      <c r="D24" s="4012" t="s">
        <v>70</v>
      </c>
      <c r="E24" s="4013">
        <v>101358140</v>
      </c>
      <c r="F24" s="4013">
        <v>1</v>
      </c>
      <c r="G24" s="4013">
        <v>1</v>
      </c>
      <c r="H24" s="4014"/>
      <c r="I24" s="4015">
        <f t="shared" si="3"/>
        <v>101358140</v>
      </c>
      <c r="K24" s="4016"/>
      <c r="L24" s="4016"/>
      <c r="M24" s="4016"/>
      <c r="N24" s="4014"/>
      <c r="O24" s="4017">
        <f t="shared" si="4"/>
        <v>0</v>
      </c>
      <c r="P24" s="4083">
        <f t="shared" si="5"/>
        <v>101358140</v>
      </c>
    </row>
    <row r="25" spans="1:17" hidden="1">
      <c r="C25" s="5872"/>
      <c r="D25" s="4012" t="s">
        <v>71</v>
      </c>
      <c r="E25" s="4013">
        <v>408277000</v>
      </c>
      <c r="F25" s="4013">
        <v>1</v>
      </c>
      <c r="G25" s="4013">
        <v>1</v>
      </c>
      <c r="H25" s="4014"/>
      <c r="I25" s="5846">
        <f t="shared" si="3"/>
        <v>408277000</v>
      </c>
      <c r="J25" s="2486" t="s">
        <v>71</v>
      </c>
      <c r="K25" s="4016">
        <v>360000000</v>
      </c>
      <c r="L25" s="4016">
        <v>1</v>
      </c>
      <c r="M25" s="4016">
        <v>1</v>
      </c>
      <c r="N25" s="4014"/>
      <c r="O25" s="5848">
        <f t="shared" si="4"/>
        <v>360000000</v>
      </c>
      <c r="P25" s="4081">
        <f>I25+O25</f>
        <v>768277000</v>
      </c>
    </row>
    <row r="26" spans="1:17" hidden="1">
      <c r="C26" s="5872"/>
      <c r="D26" s="4012" t="s">
        <v>72</v>
      </c>
      <c r="E26" s="4013">
        <v>205723000</v>
      </c>
      <c r="F26" s="4013">
        <v>1</v>
      </c>
      <c r="G26" s="4013">
        <v>1</v>
      </c>
      <c r="H26" s="4014"/>
      <c r="I26" s="5846">
        <f t="shared" si="3"/>
        <v>205723000</v>
      </c>
      <c r="K26" s="4016"/>
      <c r="L26" s="4016"/>
      <c r="M26" s="4016"/>
      <c r="N26" s="4014"/>
      <c r="O26" s="4017">
        <f t="shared" si="4"/>
        <v>0</v>
      </c>
      <c r="P26" s="4083">
        <f t="shared" si="5"/>
        <v>205723000</v>
      </c>
    </row>
    <row r="27" spans="1:17" hidden="1">
      <c r="B27" s="4034" t="s">
        <v>73</v>
      </c>
      <c r="C27" s="5875">
        <f>SUM(P27)</f>
        <v>88652020</v>
      </c>
      <c r="D27" s="4035" t="s">
        <v>64</v>
      </c>
      <c r="E27" s="4036">
        <v>6000000</v>
      </c>
      <c r="F27" s="4036">
        <v>12</v>
      </c>
      <c r="G27" s="4036">
        <v>1</v>
      </c>
      <c r="H27" s="4037"/>
      <c r="I27" s="4038">
        <f t="shared" si="3"/>
        <v>72000000</v>
      </c>
      <c r="J27" s="4034" t="s">
        <v>64</v>
      </c>
      <c r="K27" s="4039">
        <v>2378860</v>
      </c>
      <c r="L27" s="4039">
        <v>7</v>
      </c>
      <c r="M27" s="4039">
        <v>1</v>
      </c>
      <c r="N27" s="4037"/>
      <c r="O27" s="4040">
        <f>K27*L27*M27</f>
        <v>16652020</v>
      </c>
      <c r="P27" s="4081">
        <f t="shared" si="5"/>
        <v>88652020</v>
      </c>
    </row>
    <row r="28" spans="1:17" hidden="1">
      <c r="B28" s="4018" t="s">
        <v>74</v>
      </c>
      <c r="C28" s="5873">
        <f>SUM(P28:P29)</f>
        <v>3450377147</v>
      </c>
      <c r="D28" s="4019" t="s">
        <v>50</v>
      </c>
      <c r="E28" s="4020">
        <v>858587762</v>
      </c>
      <c r="F28" s="4020">
        <v>1</v>
      </c>
      <c r="G28" s="4020">
        <v>1</v>
      </c>
      <c r="H28" s="4021"/>
      <c r="I28" s="4022">
        <f t="shared" si="3"/>
        <v>858587762</v>
      </c>
      <c r="J28" s="4019" t="s">
        <v>50</v>
      </c>
      <c r="K28" s="4024">
        <v>1030634912</v>
      </c>
      <c r="L28" s="4024">
        <v>1</v>
      </c>
      <c r="M28" s="4024">
        <v>1</v>
      </c>
      <c r="N28" s="4021"/>
      <c r="O28" s="4025">
        <f t="shared" ref="O28:O30" si="9">K28*L28*M28</f>
        <v>1030634912</v>
      </c>
      <c r="P28" s="4082">
        <f t="shared" si="5"/>
        <v>1889222674</v>
      </c>
    </row>
    <row r="29" spans="1:17" hidden="1">
      <c r="C29" s="5872"/>
      <c r="D29" s="4012" t="s">
        <v>75</v>
      </c>
      <c r="E29" s="4013">
        <v>1178445153</v>
      </c>
      <c r="F29" s="4013">
        <v>1</v>
      </c>
      <c r="G29" s="4013">
        <v>1</v>
      </c>
      <c r="H29" s="4014"/>
      <c r="I29" s="4015">
        <f t="shared" si="3"/>
        <v>1178445153</v>
      </c>
      <c r="J29" s="4012" t="s">
        <v>75</v>
      </c>
      <c r="K29" s="4016">
        <v>382709320</v>
      </c>
      <c r="L29" s="4016">
        <v>1</v>
      </c>
      <c r="M29" s="4016">
        <v>1</v>
      </c>
      <c r="N29" s="4014"/>
      <c r="O29" s="4041">
        <f t="shared" si="9"/>
        <v>382709320</v>
      </c>
      <c r="P29" s="4083">
        <f t="shared" si="5"/>
        <v>1561154473</v>
      </c>
    </row>
    <row r="30" spans="1:17" ht="19.5" hidden="1" thickBot="1">
      <c r="B30" s="4042" t="s">
        <v>76</v>
      </c>
      <c r="C30" s="5876">
        <f>SUM(P30)</f>
        <v>54466667</v>
      </c>
      <c r="D30" s="4043" t="s">
        <v>75</v>
      </c>
      <c r="E30" s="4044">
        <v>34400000</v>
      </c>
      <c r="F30" s="4044">
        <v>1</v>
      </c>
      <c r="G30" s="4044">
        <v>1</v>
      </c>
      <c r="H30" s="4045"/>
      <c r="I30" s="5867">
        <f t="shared" si="3"/>
        <v>34400000</v>
      </c>
      <c r="J30" s="4129" t="s">
        <v>75</v>
      </c>
      <c r="K30" s="4046">
        <v>20066667</v>
      </c>
      <c r="L30" s="4046">
        <v>1</v>
      </c>
      <c r="M30" s="4046">
        <v>1</v>
      </c>
      <c r="N30" s="4045"/>
      <c r="O30" s="5868">
        <f t="shared" si="9"/>
        <v>20066667</v>
      </c>
      <c r="P30" s="4081">
        <f t="shared" si="5"/>
        <v>54466667</v>
      </c>
      <c r="Q30" s="4047"/>
    </row>
    <row r="31" spans="1:17" ht="19.5" hidden="1" thickTop="1">
      <c r="B31" s="4048" t="s">
        <v>77</v>
      </c>
      <c r="C31" s="5877">
        <f>SUM(C4,C11,C17,C19,C23,C27,C28,C30)</f>
        <v>23477660084</v>
      </c>
      <c r="D31" s="4049"/>
      <c r="E31" s="4050"/>
      <c r="F31" s="4050"/>
      <c r="G31" s="4050"/>
      <c r="H31" s="4051"/>
      <c r="I31" s="4052">
        <f>SUM(I4:I5,I11:I12,I17,I19,I23:I24,I27,I28:I29,I30)</f>
        <v>16453865957</v>
      </c>
      <c r="J31" s="4048"/>
      <c r="K31" s="4053"/>
      <c r="L31" s="4053"/>
      <c r="M31" s="4053"/>
      <c r="N31" s="4051"/>
      <c r="O31" s="4052">
        <f>SUM(O4:O5,O11:O12,O17,O19,O27,O28:O29,O30)</f>
        <v>7023794127</v>
      </c>
      <c r="P31" s="4084">
        <f>SUM(P4:P5,P11:Q12,P17,P19,P23:P24,P27,P28:P29,P30)</f>
        <v>23477660084</v>
      </c>
      <c r="Q31" s="4054"/>
    </row>
    <row r="32" spans="1:17" ht="19.5" hidden="1" thickBot="1">
      <c r="A32" s="4352"/>
      <c r="B32" s="4352"/>
      <c r="C32" s="4352"/>
      <c r="D32" s="4352"/>
      <c r="E32" s="4352"/>
      <c r="F32" s="4352"/>
      <c r="G32" s="4352"/>
      <c r="H32" s="4353"/>
      <c r="I32" s="4352"/>
      <c r="J32" s="4352"/>
      <c r="K32" s="4352"/>
      <c r="L32" s="4352"/>
      <c r="M32" s="4352"/>
      <c r="N32" s="4353"/>
      <c r="O32" s="4352"/>
      <c r="P32" s="4352"/>
      <c r="Q32" s="4352"/>
    </row>
    <row r="33" spans="1:18" hidden="1"/>
    <row r="34" spans="1:18">
      <c r="A34" s="4130" t="s">
        <v>78</v>
      </c>
      <c r="B34" s="4146" t="s">
        <v>79</v>
      </c>
      <c r="D34" s="4003" t="s">
        <v>37</v>
      </c>
      <c r="I34" s="4005"/>
      <c r="J34" s="2486" t="s">
        <v>39</v>
      </c>
      <c r="O34" s="4005"/>
      <c r="P34" s="4089" t="s">
        <v>40</v>
      </c>
    </row>
    <row r="35" spans="1:18" ht="19.5" thickBot="1">
      <c r="B35" s="2486" t="s">
        <v>41</v>
      </c>
      <c r="C35" s="4071" t="s">
        <v>42</v>
      </c>
      <c r="D35" s="4003" t="s">
        <v>43</v>
      </c>
      <c r="E35" s="4006" t="s">
        <v>44</v>
      </c>
      <c r="F35" s="4006" t="s">
        <v>45</v>
      </c>
      <c r="G35" s="4006" t="s">
        <v>46</v>
      </c>
      <c r="I35" s="4005" t="s">
        <v>47</v>
      </c>
      <c r="J35" s="2486" t="s">
        <v>43</v>
      </c>
      <c r="K35" s="4006" t="s">
        <v>44</v>
      </c>
      <c r="L35" s="4006" t="s">
        <v>45</v>
      </c>
      <c r="M35" s="4006" t="s">
        <v>46</v>
      </c>
      <c r="O35" s="4005" t="s">
        <v>47</v>
      </c>
      <c r="P35" s="4089" t="s">
        <v>48</v>
      </c>
      <c r="Q35" s="2486" t="s">
        <v>80</v>
      </c>
      <c r="R35" s="2486" t="s">
        <v>80</v>
      </c>
    </row>
    <row r="36" spans="1:18">
      <c r="B36" s="4007" t="s">
        <v>81</v>
      </c>
      <c r="C36" s="5878">
        <f>C4</f>
        <v>15457292778</v>
      </c>
      <c r="D36" s="4101" t="s">
        <v>50</v>
      </c>
      <c r="E36" s="4055">
        <v>3364680671</v>
      </c>
      <c r="F36" s="4055">
        <v>1</v>
      </c>
      <c r="G36" s="4009">
        <v>1</v>
      </c>
      <c r="H36" s="4010"/>
      <c r="I36" s="4103">
        <f t="shared" ref="I36:I73" si="10">E36*F36*G36</f>
        <v>3364680671</v>
      </c>
      <c r="J36" s="4101" t="s">
        <v>50</v>
      </c>
      <c r="K36" s="4056">
        <v>2615539538</v>
      </c>
      <c r="L36" s="4056">
        <v>1</v>
      </c>
      <c r="M36" s="4056">
        <v>1</v>
      </c>
      <c r="N36" s="4010"/>
      <c r="O36" s="4107">
        <f>K36*L36*M36</f>
        <v>2615539538</v>
      </c>
      <c r="P36" s="4091">
        <f>I36+O36</f>
        <v>5980220209</v>
      </c>
      <c r="Q36" s="4057">
        <f>SUM(P36:P37)-C36</f>
        <v>773113186.96000099</v>
      </c>
      <c r="R36" s="4057">
        <f>SUM(P36:P37)-C36</f>
        <v>773113186.96000099</v>
      </c>
    </row>
    <row r="37" spans="1:18">
      <c r="C37" s="5879"/>
      <c r="D37" s="4102" t="s">
        <v>82</v>
      </c>
      <c r="E37" s="4058"/>
      <c r="F37" s="4058"/>
      <c r="G37" s="4013"/>
      <c r="H37" s="4014"/>
      <c r="I37" s="4104">
        <f>SUM(I38:I42)</f>
        <v>7871432268.9400005</v>
      </c>
      <c r="J37" s="4102" t="s">
        <v>82</v>
      </c>
      <c r="K37" s="4059"/>
      <c r="L37" s="4059"/>
      <c r="M37" s="4059"/>
      <c r="N37" s="4014"/>
      <c r="O37" s="4104">
        <f>SUM(O38:O42)</f>
        <v>2378753487.0200005</v>
      </c>
      <c r="P37" s="4092">
        <f>SUM(P38:P42)</f>
        <v>10250185755.960001</v>
      </c>
      <c r="Q37" s="4057"/>
      <c r="R37" s="4057"/>
    </row>
    <row r="38" spans="1:18">
      <c r="C38" s="5879"/>
      <c r="D38" s="4110" t="s">
        <v>52</v>
      </c>
      <c r="E38" s="4111">
        <v>2334813782</v>
      </c>
      <c r="F38" s="4111">
        <v>1</v>
      </c>
      <c r="G38" s="4111">
        <v>1</v>
      </c>
      <c r="H38" s="4112"/>
      <c r="I38" s="4113">
        <f t="shared" si="10"/>
        <v>2334813782</v>
      </c>
      <c r="J38" s="4110" t="s">
        <v>52</v>
      </c>
      <c r="K38" s="4114">
        <v>237817800</v>
      </c>
      <c r="L38" s="4114">
        <v>1</v>
      </c>
      <c r="M38" s="4114">
        <v>1</v>
      </c>
      <c r="N38" s="4115"/>
      <c r="O38" s="4116">
        <f t="shared" ref="O38:O60" si="11">K38*L38*M38</f>
        <v>237817800</v>
      </c>
      <c r="P38" s="4117">
        <f>I38+O38</f>
        <v>2572631582</v>
      </c>
      <c r="Q38" s="4057"/>
      <c r="R38" s="4057"/>
    </row>
    <row r="39" spans="1:18">
      <c r="C39" s="5879"/>
      <c r="D39" s="4110"/>
      <c r="E39" s="4111"/>
      <c r="F39" s="4111"/>
      <c r="G39" s="4111"/>
      <c r="H39" s="4112"/>
      <c r="I39" s="4113"/>
      <c r="J39" s="4110" t="s">
        <v>53</v>
      </c>
      <c r="K39" s="4114">
        <v>234300000</v>
      </c>
      <c r="L39" s="4114">
        <v>1</v>
      </c>
      <c r="M39" s="4114">
        <v>1</v>
      </c>
      <c r="N39" s="4115"/>
      <c r="O39" s="4116">
        <f t="shared" si="11"/>
        <v>234300000</v>
      </c>
      <c r="P39" s="4117">
        <f t="shared" ref="P39:P41" si="12">I39+O39</f>
        <v>234300000</v>
      </c>
      <c r="Q39" s="4057"/>
      <c r="R39" s="4057"/>
    </row>
    <row r="40" spans="1:18">
      <c r="C40" s="5879"/>
      <c r="D40" s="4110" t="s">
        <v>54</v>
      </c>
      <c r="E40" s="4111">
        <v>1706798249.5800002</v>
      </c>
      <c r="F40" s="4111">
        <v>1</v>
      </c>
      <c r="G40" s="4111">
        <v>1</v>
      </c>
      <c r="H40" s="4112"/>
      <c r="I40" s="4113">
        <f t="shared" si="10"/>
        <v>1706798249.5800002</v>
      </c>
      <c r="J40" s="4110" t="s">
        <v>54</v>
      </c>
      <c r="K40" s="4114">
        <v>412159612</v>
      </c>
      <c r="L40" s="4114">
        <v>1</v>
      </c>
      <c r="M40" s="4114">
        <v>1</v>
      </c>
      <c r="N40" s="4115"/>
      <c r="O40" s="4116">
        <f t="shared" si="11"/>
        <v>412159612</v>
      </c>
      <c r="P40" s="4117">
        <f t="shared" si="12"/>
        <v>2118957861.5800002</v>
      </c>
      <c r="Q40" s="4057"/>
      <c r="R40" s="4057"/>
    </row>
    <row r="41" spans="1:18">
      <c r="C41" s="5879"/>
      <c r="D41" s="4110" t="s">
        <v>83</v>
      </c>
      <c r="E41" s="4111">
        <v>1486097889.8400002</v>
      </c>
      <c r="F41" s="4111">
        <v>1</v>
      </c>
      <c r="G41" s="4111">
        <v>1</v>
      </c>
      <c r="H41" s="4112"/>
      <c r="I41" s="4113">
        <f t="shared" si="10"/>
        <v>1486097889.8400002</v>
      </c>
      <c r="J41" s="4110" t="s">
        <v>83</v>
      </c>
      <c r="K41" s="4114">
        <v>799788000.78000009</v>
      </c>
      <c r="L41" s="4114">
        <v>1</v>
      </c>
      <c r="M41" s="4114">
        <v>1</v>
      </c>
      <c r="N41" s="4115"/>
      <c r="O41" s="4116">
        <f t="shared" si="11"/>
        <v>799788000.78000009</v>
      </c>
      <c r="P41" s="4117">
        <f t="shared" si="12"/>
        <v>2285885890.6200004</v>
      </c>
      <c r="Q41" s="4057"/>
      <c r="R41" s="4057"/>
    </row>
    <row r="42" spans="1:18">
      <c r="C42" s="5879"/>
      <c r="D42" s="4110" t="s">
        <v>84</v>
      </c>
      <c r="E42" s="4111">
        <v>2343722347.52</v>
      </c>
      <c r="F42" s="4111">
        <v>1</v>
      </c>
      <c r="G42" s="4111">
        <v>1</v>
      </c>
      <c r="H42" s="4112"/>
      <c r="I42" s="4113">
        <f>E42*F42*G42</f>
        <v>2343722347.52</v>
      </c>
      <c r="J42" s="4110" t="s">
        <v>84</v>
      </c>
      <c r="K42" s="4114">
        <v>694688074.24000001</v>
      </c>
      <c r="L42" s="4114">
        <v>1</v>
      </c>
      <c r="M42" s="4114">
        <v>1</v>
      </c>
      <c r="N42" s="4115"/>
      <c r="O42" s="4116">
        <f t="shared" si="11"/>
        <v>694688074.24000001</v>
      </c>
      <c r="P42" s="4117">
        <f>I42+O42</f>
        <v>3038410421.7600002</v>
      </c>
      <c r="Q42" s="4057"/>
      <c r="R42" s="4057"/>
    </row>
    <row r="43" spans="1:18">
      <c r="B43" s="4018" t="s">
        <v>57</v>
      </c>
      <c r="C43" s="5880">
        <f>C11</f>
        <v>1660274332</v>
      </c>
      <c r="D43" s="4106" t="s">
        <v>85</v>
      </c>
      <c r="E43" s="4060">
        <v>16900</v>
      </c>
      <c r="F43" s="4060">
        <v>58451</v>
      </c>
      <c r="G43" s="4020">
        <v>1</v>
      </c>
      <c r="H43" s="4021"/>
      <c r="I43" s="4105">
        <f t="shared" si="10"/>
        <v>987821900</v>
      </c>
      <c r="J43" s="4106" t="s">
        <v>85</v>
      </c>
      <c r="K43" s="4061">
        <v>16900</v>
      </c>
      <c r="L43" s="4061">
        <v>31699</v>
      </c>
      <c r="M43" s="4061">
        <v>1</v>
      </c>
      <c r="N43" s="4021">
        <f t="shared" ref="N43" si="13">L43*M43</f>
        <v>31699</v>
      </c>
      <c r="O43" s="4108">
        <f t="shared" si="11"/>
        <v>535713100</v>
      </c>
      <c r="P43" s="4093">
        <f>I43+O43</f>
        <v>1523535000</v>
      </c>
      <c r="Q43" s="4057">
        <f>SUM(P43:P49)-C43</f>
        <v>3552291218</v>
      </c>
      <c r="R43" s="4057">
        <f>SUM(P43:P45)-C43</f>
        <v>1430946248</v>
      </c>
    </row>
    <row r="44" spans="1:18">
      <c r="C44" s="5879"/>
      <c r="D44" s="4102" t="s">
        <v>86</v>
      </c>
      <c r="E44" s="4058">
        <v>79313574</v>
      </c>
      <c r="F44" s="4058">
        <v>1</v>
      </c>
      <c r="G44" s="4013">
        <v>1</v>
      </c>
      <c r="H44" s="4014"/>
      <c r="I44" s="4104">
        <f t="shared" si="10"/>
        <v>79313574</v>
      </c>
      <c r="J44" s="4102" t="s">
        <v>86</v>
      </c>
      <c r="K44" s="4059">
        <v>30879036</v>
      </c>
      <c r="L44" s="4059">
        <v>1</v>
      </c>
      <c r="M44" s="4059">
        <v>1</v>
      </c>
      <c r="N44" s="4014"/>
      <c r="O44" s="4104">
        <f t="shared" si="11"/>
        <v>30879036</v>
      </c>
      <c r="P44" s="4092">
        <f>SUM(I44,O44)</f>
        <v>110192610</v>
      </c>
      <c r="Q44" s="4057"/>
      <c r="R44" s="4057"/>
    </row>
    <row r="45" spans="1:18">
      <c r="C45" s="5879"/>
      <c r="D45" s="4102" t="s">
        <v>82</v>
      </c>
      <c r="E45" s="4058"/>
      <c r="F45" s="4058"/>
      <c r="G45" s="4013"/>
      <c r="H45" s="4014"/>
      <c r="I45" s="4104">
        <f>SUM(I46,I48)</f>
        <v>1181442570</v>
      </c>
      <c r="J45" s="4102" t="s">
        <v>82</v>
      </c>
      <c r="K45" s="4058"/>
      <c r="L45" s="4059"/>
      <c r="M45" s="4059"/>
      <c r="N45" s="4014"/>
      <c r="O45" s="4104">
        <f>SUM(O46:O48)</f>
        <v>276050400</v>
      </c>
      <c r="P45" s="4092">
        <f>SUM(P46:P48)</f>
        <v>1457492970</v>
      </c>
      <c r="Q45" s="4057"/>
      <c r="R45" s="4057"/>
    </row>
    <row r="46" spans="1:18">
      <c r="C46" s="5879"/>
      <c r="D46" s="4110" t="s">
        <v>58</v>
      </c>
      <c r="E46" s="4118">
        <v>446246570.00000006</v>
      </c>
      <c r="F46" s="4118">
        <v>1</v>
      </c>
      <c r="G46" s="4118">
        <v>1</v>
      </c>
      <c r="H46" s="4115"/>
      <c r="I46" s="4119">
        <f t="shared" si="10"/>
        <v>446246570.00000006</v>
      </c>
      <c r="J46" s="4110" t="s">
        <v>58</v>
      </c>
      <c r="K46" s="4114">
        <v>12202607.999999985</v>
      </c>
      <c r="L46" s="4114">
        <v>1</v>
      </c>
      <c r="M46" s="4114">
        <v>1</v>
      </c>
      <c r="N46" s="4115"/>
      <c r="O46" s="4116">
        <f t="shared" si="11"/>
        <v>12202607.999999985</v>
      </c>
      <c r="P46" s="4117">
        <f t="shared" ref="P46:P70" si="14">I46+O46</f>
        <v>458449178.00000006</v>
      </c>
      <c r="Q46" s="4057"/>
      <c r="R46" s="4057"/>
    </row>
    <row r="47" spans="1:18">
      <c r="C47" s="5879"/>
      <c r="D47" s="4110"/>
      <c r="E47" s="4118"/>
      <c r="F47" s="4118"/>
      <c r="G47" s="4118"/>
      <c r="H47" s="4115"/>
      <c r="I47" s="4119"/>
      <c r="J47" s="4110" t="s">
        <v>87</v>
      </c>
      <c r="K47" s="4114">
        <v>60203792.000000015</v>
      </c>
      <c r="L47" s="4114">
        <v>1</v>
      </c>
      <c r="M47" s="4114">
        <v>1</v>
      </c>
      <c r="N47" s="4115"/>
      <c r="O47" s="4116">
        <f t="shared" si="11"/>
        <v>60203792.000000015</v>
      </c>
      <c r="P47" s="4117">
        <f t="shared" si="14"/>
        <v>60203792.000000015</v>
      </c>
      <c r="Q47" s="4057"/>
      <c r="R47" s="4057"/>
    </row>
    <row r="48" spans="1:18">
      <c r="C48" s="5879"/>
      <c r="D48" s="4110" t="s">
        <v>54</v>
      </c>
      <c r="E48" s="4118">
        <v>735196000</v>
      </c>
      <c r="F48" s="4118">
        <v>1</v>
      </c>
      <c r="G48" s="4118">
        <v>1</v>
      </c>
      <c r="H48" s="4014"/>
      <c r="I48" s="4119">
        <f t="shared" ref="I48" si="15">E48*F48*G48</f>
        <v>735196000</v>
      </c>
      <c r="J48" s="4110" t="s">
        <v>54</v>
      </c>
      <c r="K48" s="4114">
        <v>203644000</v>
      </c>
      <c r="L48" s="4118">
        <v>1</v>
      </c>
      <c r="M48" s="4114">
        <v>1</v>
      </c>
      <c r="N48" s="4115"/>
      <c r="O48" s="4116">
        <f t="shared" si="11"/>
        <v>203644000</v>
      </c>
      <c r="P48" s="4117">
        <f>I48+O48</f>
        <v>938840000</v>
      </c>
      <c r="Q48" s="4057"/>
      <c r="R48" s="4057"/>
    </row>
    <row r="49" spans="2:18" hidden="1">
      <c r="C49" s="5879"/>
      <c r="D49" s="4102" t="s">
        <v>88</v>
      </c>
      <c r="E49" s="4058">
        <v>21000</v>
      </c>
      <c r="F49" s="4058">
        <v>22972</v>
      </c>
      <c r="G49" s="4013">
        <v>1</v>
      </c>
      <c r="H49" s="4014"/>
      <c r="I49" s="5837">
        <f t="shared" si="10"/>
        <v>482412000</v>
      </c>
      <c r="J49" s="4102" t="s">
        <v>88</v>
      </c>
      <c r="K49" s="4059">
        <v>21000</v>
      </c>
      <c r="L49" s="4058">
        <v>8640</v>
      </c>
      <c r="M49" s="4059">
        <v>1</v>
      </c>
      <c r="N49" s="4014">
        <f t="shared" ref="N49:N54" si="16">L49*M49</f>
        <v>8640</v>
      </c>
      <c r="O49" s="5842">
        <f t="shared" si="11"/>
        <v>181440000</v>
      </c>
      <c r="P49" s="4131">
        <f>I49+O49</f>
        <v>663852000</v>
      </c>
      <c r="Q49" s="4057"/>
      <c r="R49" s="4057"/>
    </row>
    <row r="50" spans="2:18">
      <c r="B50" s="4018" t="s">
        <v>63</v>
      </c>
      <c r="C50" s="5880">
        <f>C17</f>
        <v>1202035000</v>
      </c>
      <c r="D50" s="4135" t="s">
        <v>89</v>
      </c>
      <c r="E50" s="4060">
        <v>19000</v>
      </c>
      <c r="F50" s="5831">
        <v>8364</v>
      </c>
      <c r="G50" s="5831">
        <v>1</v>
      </c>
      <c r="H50" s="5832"/>
      <c r="I50" s="5833">
        <f t="shared" si="10"/>
        <v>158916000</v>
      </c>
      <c r="J50" s="4135" t="s">
        <v>89</v>
      </c>
      <c r="K50" s="4061">
        <v>19000</v>
      </c>
      <c r="L50" s="5843">
        <v>5536</v>
      </c>
      <c r="M50" s="5843">
        <v>1</v>
      </c>
      <c r="N50" s="5832">
        <f t="shared" si="16"/>
        <v>5536</v>
      </c>
      <c r="O50" s="5844">
        <f t="shared" si="11"/>
        <v>105184000</v>
      </c>
      <c r="P50" s="4093">
        <f>I50+O50</f>
        <v>264100000</v>
      </c>
      <c r="Q50" s="4057">
        <f>SUM(P50:P52)-C50</f>
        <v>469252800</v>
      </c>
      <c r="R50" s="4057">
        <f>SUM(P50,P52)-C50</f>
        <v>86041800</v>
      </c>
    </row>
    <row r="51" spans="2:18" hidden="1">
      <c r="C51" s="5879"/>
      <c r="D51" s="5830" t="s">
        <v>60</v>
      </c>
      <c r="E51" s="4058">
        <v>19000</v>
      </c>
      <c r="F51" s="5834">
        <v>14409</v>
      </c>
      <c r="G51" s="5834">
        <v>1</v>
      </c>
      <c r="H51" s="5835"/>
      <c r="I51" s="5836">
        <f t="shared" si="10"/>
        <v>273771000</v>
      </c>
      <c r="J51" s="5830" t="s">
        <v>60</v>
      </c>
      <c r="K51" s="4058">
        <v>19000</v>
      </c>
      <c r="L51" s="5845">
        <v>5760</v>
      </c>
      <c r="M51" s="5845">
        <v>1</v>
      </c>
      <c r="N51" s="5835"/>
      <c r="O51" s="5836">
        <f t="shared" si="11"/>
        <v>109440000</v>
      </c>
      <c r="P51" s="4092">
        <f t="shared" si="14"/>
        <v>383211000</v>
      </c>
      <c r="Q51" s="4057"/>
      <c r="R51" s="4057"/>
    </row>
    <row r="52" spans="2:18">
      <c r="B52" s="4027"/>
      <c r="C52" s="5881"/>
      <c r="D52" s="4136" t="s">
        <v>90</v>
      </c>
      <c r="E52" s="4062">
        <v>22164</v>
      </c>
      <c r="F52" s="4062">
        <v>30603</v>
      </c>
      <c r="G52" s="4029">
        <v>1</v>
      </c>
      <c r="H52" s="4030"/>
      <c r="I52" s="4120">
        <f t="shared" si="10"/>
        <v>678284892</v>
      </c>
      <c r="J52" s="4136" t="s">
        <v>90</v>
      </c>
      <c r="K52" s="4063">
        <v>22164</v>
      </c>
      <c r="L52" s="4063">
        <v>15597</v>
      </c>
      <c r="M52" s="4063">
        <v>1</v>
      </c>
      <c r="N52" s="4030">
        <f t="shared" si="16"/>
        <v>15597</v>
      </c>
      <c r="O52" s="4121">
        <f t="shared" si="11"/>
        <v>345691908</v>
      </c>
      <c r="P52" s="4092">
        <f>I52+O52</f>
        <v>1023976800</v>
      </c>
      <c r="Q52" s="4057"/>
      <c r="R52" s="4057"/>
    </row>
    <row r="53" spans="2:18">
      <c r="B53" s="2486" t="s">
        <v>65</v>
      </c>
      <c r="C53" s="5879">
        <f>C19</f>
        <v>127204000</v>
      </c>
      <c r="D53" s="4102" t="s">
        <v>64</v>
      </c>
      <c r="E53" s="4058">
        <v>880</v>
      </c>
      <c r="F53" s="4058">
        <v>97418</v>
      </c>
      <c r="G53" s="4013">
        <v>1</v>
      </c>
      <c r="H53" s="4014"/>
      <c r="I53" s="4104">
        <f t="shared" si="10"/>
        <v>85727840</v>
      </c>
      <c r="J53" s="4122" t="s">
        <v>64</v>
      </c>
      <c r="K53" s="4059">
        <v>880</v>
      </c>
      <c r="L53" s="4059">
        <v>52832</v>
      </c>
      <c r="M53" s="4059">
        <v>1</v>
      </c>
      <c r="N53" s="4014">
        <f t="shared" si="16"/>
        <v>52832</v>
      </c>
      <c r="O53" s="4109">
        <f t="shared" si="11"/>
        <v>46492160</v>
      </c>
      <c r="P53" s="4093">
        <f>I53+O53</f>
        <v>132220000</v>
      </c>
      <c r="Q53" s="4057">
        <f>SUM(P53:P55)-C53</f>
        <v>96855440</v>
      </c>
      <c r="R53" s="4057">
        <f>SUM(P53)-C53</f>
        <v>5016000</v>
      </c>
    </row>
    <row r="54" spans="2:18" hidden="1">
      <c r="C54" s="5879"/>
      <c r="D54" s="4102" t="s">
        <v>60</v>
      </c>
      <c r="E54" s="4058">
        <v>880</v>
      </c>
      <c r="F54" s="4058">
        <v>37381</v>
      </c>
      <c r="G54" s="4013">
        <v>1</v>
      </c>
      <c r="H54" s="4014"/>
      <c r="I54" s="5837">
        <f t="shared" si="10"/>
        <v>32895280</v>
      </c>
      <c r="J54" s="4122" t="s">
        <v>60</v>
      </c>
      <c r="K54" s="4059">
        <v>880</v>
      </c>
      <c r="L54" s="4059">
        <v>14400</v>
      </c>
      <c r="M54" s="4059">
        <v>1</v>
      </c>
      <c r="N54" s="4014">
        <f t="shared" si="16"/>
        <v>14400</v>
      </c>
      <c r="O54" s="5842">
        <f t="shared" si="11"/>
        <v>12672000</v>
      </c>
      <c r="P54" s="4092">
        <f t="shared" si="14"/>
        <v>45567280</v>
      </c>
      <c r="Q54" s="4057"/>
      <c r="R54" s="4057"/>
    </row>
    <row r="55" spans="2:18" hidden="1">
      <c r="C55" s="5879"/>
      <c r="D55" s="4102" t="s">
        <v>66</v>
      </c>
      <c r="E55" s="4058">
        <v>880</v>
      </c>
      <c r="F55" s="4058">
        <v>52582</v>
      </c>
      <c r="G55" s="4013">
        <v>1</v>
      </c>
      <c r="H55" s="4014"/>
      <c r="I55" s="5837">
        <f t="shared" si="10"/>
        <v>46272160</v>
      </c>
      <c r="K55" s="4059"/>
      <c r="L55" s="4059"/>
      <c r="M55" s="4059"/>
      <c r="N55" s="4064"/>
      <c r="O55" s="4065">
        <f t="shared" si="11"/>
        <v>0</v>
      </c>
      <c r="P55" s="4094">
        <f t="shared" si="14"/>
        <v>46272160</v>
      </c>
      <c r="Q55" s="4057"/>
      <c r="R55" s="4057"/>
    </row>
    <row r="56" spans="2:18" hidden="1">
      <c r="B56" s="4018" t="s">
        <v>91</v>
      </c>
      <c r="C56" s="5880">
        <v>920808000</v>
      </c>
      <c r="D56" s="4106" t="s">
        <v>66</v>
      </c>
      <c r="E56" s="4060">
        <v>21000</v>
      </c>
      <c r="F56" s="4060">
        <v>52582</v>
      </c>
      <c r="G56" s="4085">
        <v>1</v>
      </c>
      <c r="H56" s="4086"/>
      <c r="I56" s="5838">
        <f t="shared" si="10"/>
        <v>1104222000</v>
      </c>
      <c r="J56" s="4018"/>
      <c r="K56" s="4061"/>
      <c r="L56" s="4061"/>
      <c r="M56" s="4061"/>
      <c r="N56" s="4086"/>
      <c r="O56" s="4025">
        <f t="shared" si="11"/>
        <v>0</v>
      </c>
      <c r="P56" s="4092">
        <f t="shared" si="14"/>
        <v>1104222000</v>
      </c>
      <c r="Q56" s="4057">
        <f>SUM(P56)-C56</f>
        <v>183414000</v>
      </c>
      <c r="R56" s="4057"/>
    </row>
    <row r="57" spans="2:18">
      <c r="B57" s="4018" t="s">
        <v>92</v>
      </c>
      <c r="C57" s="5880">
        <f>C23</f>
        <v>1437358140</v>
      </c>
      <c r="D57" s="4106" t="s">
        <v>69</v>
      </c>
      <c r="E57" s="4060">
        <v>1336000000</v>
      </c>
      <c r="F57" s="4060">
        <v>1</v>
      </c>
      <c r="G57" s="4020">
        <v>1</v>
      </c>
      <c r="H57" s="4021"/>
      <c r="I57" s="4105">
        <f t="shared" si="10"/>
        <v>1336000000</v>
      </c>
      <c r="J57" s="5851"/>
      <c r="K57" s="4061"/>
      <c r="L57" s="4061"/>
      <c r="M57" s="4061"/>
      <c r="N57" s="5852"/>
      <c r="O57" s="4108"/>
      <c r="P57" s="4093">
        <f>I57+O57</f>
        <v>1336000000</v>
      </c>
      <c r="Q57" s="4057">
        <f>SUM(P57:P60)-C57</f>
        <v>974000860</v>
      </c>
      <c r="R57" s="4057">
        <f>SUM(P57:P58)-C57</f>
        <v>860</v>
      </c>
    </row>
    <row r="58" spans="2:18">
      <c r="C58" s="5879"/>
      <c r="D58" s="4102" t="s">
        <v>70</v>
      </c>
      <c r="E58" s="4058">
        <v>101359000</v>
      </c>
      <c r="F58" s="4058">
        <v>1</v>
      </c>
      <c r="G58" s="4013">
        <v>1</v>
      </c>
      <c r="H58" s="4014"/>
      <c r="I58" s="4104">
        <f t="shared" si="10"/>
        <v>101359000</v>
      </c>
      <c r="J58" s="4066"/>
      <c r="K58" s="4059"/>
      <c r="L58" s="4059"/>
      <c r="M58" s="4059"/>
      <c r="N58" s="4067"/>
      <c r="O58" s="4065">
        <f t="shared" si="11"/>
        <v>0</v>
      </c>
      <c r="P58" s="4094">
        <f t="shared" si="14"/>
        <v>101359000</v>
      </c>
      <c r="Q58" s="4057"/>
      <c r="R58" s="4057"/>
    </row>
    <row r="59" spans="2:18" hidden="1">
      <c r="C59" s="5879"/>
      <c r="D59" s="4102" t="s">
        <v>71</v>
      </c>
      <c r="E59" s="4058">
        <v>408277000</v>
      </c>
      <c r="F59" s="4058">
        <v>1</v>
      </c>
      <c r="G59" s="4013">
        <v>1</v>
      </c>
      <c r="H59" s="4014"/>
      <c r="I59" s="5837">
        <f t="shared" si="10"/>
        <v>408277000</v>
      </c>
      <c r="J59" s="4132" t="s">
        <v>71</v>
      </c>
      <c r="K59" s="4061">
        <v>360000000</v>
      </c>
      <c r="L59" s="4061">
        <v>1</v>
      </c>
      <c r="M59" s="4061">
        <v>1</v>
      </c>
      <c r="N59" s="4021"/>
      <c r="O59" s="5841">
        <f t="shared" si="11"/>
        <v>360000000</v>
      </c>
      <c r="P59" s="4092">
        <f t="shared" si="14"/>
        <v>768277000</v>
      </c>
      <c r="Q59" s="4057"/>
      <c r="R59" s="4057"/>
    </row>
    <row r="60" spans="2:18" hidden="1">
      <c r="C60" s="5879"/>
      <c r="D60" s="4102" t="s">
        <v>72</v>
      </c>
      <c r="E60" s="4058">
        <v>205723000</v>
      </c>
      <c r="F60" s="4058">
        <v>1</v>
      </c>
      <c r="G60" s="4013">
        <v>1</v>
      </c>
      <c r="H60" s="4014"/>
      <c r="I60" s="5837">
        <f t="shared" si="10"/>
        <v>205723000</v>
      </c>
      <c r="J60" s="4066"/>
      <c r="K60" s="4059"/>
      <c r="L60" s="4059"/>
      <c r="M60" s="4059"/>
      <c r="N60" s="4067"/>
      <c r="O60" s="4065">
        <f t="shared" si="11"/>
        <v>0</v>
      </c>
      <c r="P60" s="4094">
        <f t="shared" si="14"/>
        <v>205723000</v>
      </c>
      <c r="Q60" s="4057"/>
      <c r="R60" s="4057"/>
    </row>
    <row r="61" spans="2:18">
      <c r="B61" s="4018" t="s">
        <v>177</v>
      </c>
      <c r="C61" s="5880">
        <f>C27</f>
        <v>88652020</v>
      </c>
      <c r="D61" s="4135" t="s">
        <v>93</v>
      </c>
      <c r="E61" s="4060">
        <v>6000000</v>
      </c>
      <c r="F61" s="4060">
        <v>12</v>
      </c>
      <c r="G61" s="4020">
        <v>1</v>
      </c>
      <c r="H61" s="4021"/>
      <c r="I61" s="4105">
        <f t="shared" si="10"/>
        <v>72000000</v>
      </c>
      <c r="J61" s="4135" t="s">
        <v>93</v>
      </c>
      <c r="K61" s="4061">
        <v>2379000</v>
      </c>
      <c r="L61" s="4061">
        <v>7</v>
      </c>
      <c r="M61" s="4061">
        <v>1</v>
      </c>
      <c r="N61" s="4021"/>
      <c r="O61" s="4108">
        <f>K61*L61*M61</f>
        <v>16653000</v>
      </c>
      <c r="P61" s="4092">
        <f t="shared" si="14"/>
        <v>88653000</v>
      </c>
      <c r="Q61" s="4057">
        <f>SUM(P61:P62,P63)-C61</f>
        <v>10458980</v>
      </c>
      <c r="R61" s="4057">
        <f>SUM(P61)-C61</f>
        <v>980</v>
      </c>
    </row>
    <row r="62" spans="2:18" hidden="1">
      <c r="C62" s="5879"/>
      <c r="D62" s="4137" t="s">
        <v>94</v>
      </c>
      <c r="E62" s="4058">
        <v>9351000</v>
      </c>
      <c r="F62" s="4058">
        <v>1</v>
      </c>
      <c r="G62" s="4013">
        <v>1</v>
      </c>
      <c r="H62" s="4014"/>
      <c r="I62" s="5839">
        <f t="shared" si="10"/>
        <v>9351000</v>
      </c>
      <c r="J62" s="4134"/>
      <c r="K62" s="4059"/>
      <c r="L62" s="4059"/>
      <c r="M62" s="4059"/>
      <c r="N62" s="4014"/>
      <c r="O62" s="4109"/>
      <c r="P62" s="4092">
        <f t="shared" si="14"/>
        <v>9351000</v>
      </c>
      <c r="Q62" s="4057"/>
      <c r="R62" s="4057"/>
    </row>
    <row r="63" spans="2:18" hidden="1">
      <c r="B63" s="4027"/>
      <c r="C63" s="5881"/>
      <c r="D63" s="4138" t="s">
        <v>95</v>
      </c>
      <c r="E63" s="4062">
        <v>1107000</v>
      </c>
      <c r="F63" s="4062">
        <v>1</v>
      </c>
      <c r="G63" s="4029">
        <v>1</v>
      </c>
      <c r="H63" s="4030"/>
      <c r="I63" s="5840">
        <f t="shared" si="10"/>
        <v>1107000</v>
      </c>
      <c r="J63" s="4027"/>
      <c r="K63" s="4063"/>
      <c r="L63" s="4063"/>
      <c r="M63" s="4063"/>
      <c r="N63" s="4030"/>
      <c r="O63" s="4033"/>
      <c r="P63" s="4092">
        <f t="shared" si="14"/>
        <v>1107000</v>
      </c>
      <c r="Q63" s="4057"/>
      <c r="R63" s="4057"/>
    </row>
    <row r="64" spans="2:18">
      <c r="B64" s="4018" t="s">
        <v>178</v>
      </c>
      <c r="C64" s="5880">
        <f>C28</f>
        <v>3450377147</v>
      </c>
      <c r="D64" s="4106" t="s">
        <v>50</v>
      </c>
      <c r="E64" s="4060">
        <v>1618789032.9349999</v>
      </c>
      <c r="F64" s="4060">
        <v>1</v>
      </c>
      <c r="G64" s="4020">
        <v>1</v>
      </c>
      <c r="H64" s="4021"/>
      <c r="I64" s="4105">
        <f t="shared" si="10"/>
        <v>1618789032.9349999</v>
      </c>
      <c r="J64" s="4106" t="s">
        <v>50</v>
      </c>
      <c r="K64" s="4061">
        <v>1097181328.0999999</v>
      </c>
      <c r="L64" s="4061">
        <v>1</v>
      </c>
      <c r="M64" s="4061">
        <v>1</v>
      </c>
      <c r="N64" s="4021"/>
      <c r="O64" s="4108">
        <f t="shared" ref="O64:O70" si="17">K64*L64*M64</f>
        <v>1097181328.0999999</v>
      </c>
      <c r="P64" s="4093">
        <f t="shared" si="14"/>
        <v>2715970361.0349998</v>
      </c>
      <c r="Q64" s="4057">
        <f>SUM(P64:P65)-C64</f>
        <v>2072415001.9370003</v>
      </c>
      <c r="R64" s="4057">
        <f>SUM(P64:P65)-C64</f>
        <v>2072415001.9370003</v>
      </c>
    </row>
    <row r="65" spans="2:18">
      <c r="C65" s="5879"/>
      <c r="D65" s="4102" t="s">
        <v>82</v>
      </c>
      <c r="E65" s="4058"/>
      <c r="F65" s="4058"/>
      <c r="G65" s="4013"/>
      <c r="H65" s="4014"/>
      <c r="I65" s="4104">
        <f>SUM(I66:I67)</f>
        <v>1988030489.302</v>
      </c>
      <c r="J65" s="4102" t="s">
        <v>82</v>
      </c>
      <c r="K65" s="4058"/>
      <c r="L65" s="4058"/>
      <c r="M65" s="4013"/>
      <c r="N65" s="4014"/>
      <c r="O65" s="4104">
        <f>SUM(O66:O67)</f>
        <v>818791298.60000014</v>
      </c>
      <c r="P65" s="4092">
        <f>SUM(P66:P67)</f>
        <v>2806821787.9020004</v>
      </c>
      <c r="Q65" s="4057"/>
      <c r="R65" s="4057"/>
    </row>
    <row r="66" spans="2:18">
      <c r="C66" s="5879"/>
      <c r="D66" s="4110" t="s">
        <v>96</v>
      </c>
      <c r="E66" s="4118">
        <v>1140877642.102</v>
      </c>
      <c r="F66" s="4118">
        <v>1</v>
      </c>
      <c r="G66" s="4118">
        <v>1</v>
      </c>
      <c r="H66" s="4115"/>
      <c r="I66" s="4119">
        <f t="shared" si="10"/>
        <v>1140877642.102</v>
      </c>
      <c r="J66" s="4110" t="s">
        <v>96</v>
      </c>
      <c r="K66" s="4114">
        <v>288657600.00000006</v>
      </c>
      <c r="L66" s="4114">
        <v>1</v>
      </c>
      <c r="M66" s="4114">
        <v>1</v>
      </c>
      <c r="N66" s="4115"/>
      <c r="O66" s="4116">
        <f t="shared" si="17"/>
        <v>288657600.00000006</v>
      </c>
      <c r="P66" s="4117">
        <f t="shared" si="14"/>
        <v>1429535242.102</v>
      </c>
      <c r="Q66" s="4057"/>
      <c r="R66" s="4057"/>
    </row>
    <row r="67" spans="2:18">
      <c r="C67" s="5879"/>
      <c r="D67" s="4110" t="s">
        <v>54</v>
      </c>
      <c r="E67" s="4118">
        <v>847152847.20000005</v>
      </c>
      <c r="F67" s="4118">
        <v>1</v>
      </c>
      <c r="G67" s="4118">
        <v>1</v>
      </c>
      <c r="H67" s="4115"/>
      <c r="I67" s="4119">
        <f t="shared" si="10"/>
        <v>847152847.20000005</v>
      </c>
      <c r="J67" s="4110" t="s">
        <v>54</v>
      </c>
      <c r="K67" s="4114">
        <v>530133698.60000002</v>
      </c>
      <c r="L67" s="4114">
        <v>1</v>
      </c>
      <c r="M67" s="4114">
        <v>1</v>
      </c>
      <c r="N67" s="4115"/>
      <c r="O67" s="4123">
        <f t="shared" si="17"/>
        <v>530133698.60000002</v>
      </c>
      <c r="P67" s="4124">
        <f t="shared" si="14"/>
        <v>1377286545.8000002</v>
      </c>
      <c r="Q67" s="4057"/>
      <c r="R67" s="4057"/>
    </row>
    <row r="68" spans="2:18">
      <c r="B68" s="4018" t="s">
        <v>76</v>
      </c>
      <c r="C68" s="5880">
        <f>C30</f>
        <v>54466667</v>
      </c>
      <c r="D68" s="4106" t="s">
        <v>179</v>
      </c>
      <c r="E68" s="4061"/>
      <c r="F68" s="4061"/>
      <c r="G68" s="4024"/>
      <c r="H68" s="4153"/>
      <c r="I68" s="4108">
        <f>SUM(I69:I70)</f>
        <v>117736025.30000001</v>
      </c>
      <c r="J68" s="4151" t="s">
        <v>179</v>
      </c>
      <c r="K68" s="4061"/>
      <c r="L68" s="4061"/>
      <c r="M68" s="4061"/>
      <c r="N68" s="4153"/>
      <c r="O68" s="4108">
        <f>SUM(O69:O70)</f>
        <v>91897355</v>
      </c>
      <c r="P68" s="4092">
        <f t="shared" si="14"/>
        <v>209633380.30000001</v>
      </c>
      <c r="Q68" s="5916">
        <f>SUM(P68)-C68</f>
        <v>155166713.30000001</v>
      </c>
      <c r="R68" s="4176">
        <f>SUM(P68,P71)-C68</f>
        <v>4589361713.3000002</v>
      </c>
    </row>
    <row r="69" spans="2:18">
      <c r="C69" s="5879"/>
      <c r="D69" s="4095" t="s">
        <v>97</v>
      </c>
      <c r="E69" s="4114">
        <v>71660120.400000021</v>
      </c>
      <c r="F69" s="4114">
        <v>1</v>
      </c>
      <c r="G69" s="4114">
        <v>1</v>
      </c>
      <c r="H69" s="5917"/>
      <c r="I69" s="4116">
        <f t="shared" si="10"/>
        <v>71660120.400000021</v>
      </c>
      <c r="J69" s="5918" t="s">
        <v>97</v>
      </c>
      <c r="K69" s="4114">
        <v>91105355</v>
      </c>
      <c r="L69" s="4114">
        <v>1</v>
      </c>
      <c r="M69" s="4114">
        <v>1</v>
      </c>
      <c r="N69" s="5917"/>
      <c r="O69" s="4116">
        <f t="shared" ref="O69" si="18">K69*L69*M69</f>
        <v>91105355</v>
      </c>
      <c r="P69" s="4117">
        <f t="shared" si="14"/>
        <v>162765475.40000004</v>
      </c>
      <c r="Q69" s="5916"/>
      <c r="R69" s="4176"/>
    </row>
    <row r="70" spans="2:18">
      <c r="C70" s="5879"/>
      <c r="D70" s="4095" t="s">
        <v>96</v>
      </c>
      <c r="E70" s="5919">
        <v>46075904.899999999</v>
      </c>
      <c r="F70" s="4114">
        <v>1</v>
      </c>
      <c r="G70" s="4114">
        <v>1</v>
      </c>
      <c r="H70" s="5917"/>
      <c r="I70" s="4116">
        <f t="shared" si="10"/>
        <v>46075904.899999999</v>
      </c>
      <c r="J70" s="5918" t="s">
        <v>96</v>
      </c>
      <c r="K70" s="4114">
        <v>792000</v>
      </c>
      <c r="L70" s="4114">
        <v>1</v>
      </c>
      <c r="M70" s="4114">
        <v>1</v>
      </c>
      <c r="N70" s="5917"/>
      <c r="O70" s="4116">
        <f t="shared" si="17"/>
        <v>792000</v>
      </c>
      <c r="P70" s="4117">
        <f t="shared" si="14"/>
        <v>46867904.899999999</v>
      </c>
      <c r="Q70" s="5916"/>
      <c r="R70" s="4176"/>
    </row>
    <row r="71" spans="2:18">
      <c r="C71" s="5879"/>
      <c r="D71" s="5887" t="s">
        <v>180</v>
      </c>
      <c r="E71" s="5919"/>
      <c r="F71" s="4114"/>
      <c r="G71" s="4114"/>
      <c r="H71" s="5917"/>
      <c r="I71" s="5920">
        <f>SUM(I72:I73)</f>
        <v>2707445000</v>
      </c>
      <c r="J71" s="5921" t="s">
        <v>180</v>
      </c>
      <c r="K71" s="4114"/>
      <c r="L71" s="4114"/>
      <c r="M71" s="4114"/>
      <c r="N71" s="5917"/>
      <c r="O71" s="5920">
        <f>SUM(O72:O73)</f>
        <v>1726750000</v>
      </c>
      <c r="P71" s="4131">
        <f>I71+O71</f>
        <v>4434195000</v>
      </c>
      <c r="Q71" s="4057"/>
      <c r="R71" s="4176"/>
    </row>
    <row r="72" spans="2:18">
      <c r="C72" s="5879"/>
      <c r="D72" s="4095" t="s">
        <v>181</v>
      </c>
      <c r="E72" s="5919">
        <v>10045000</v>
      </c>
      <c r="F72" s="4114">
        <v>1</v>
      </c>
      <c r="G72" s="4114">
        <v>1</v>
      </c>
      <c r="H72" s="5917"/>
      <c r="I72" s="4116">
        <f t="shared" si="10"/>
        <v>10045000</v>
      </c>
      <c r="J72" s="5918" t="s">
        <v>181</v>
      </c>
      <c r="K72" s="4114">
        <v>6750000</v>
      </c>
      <c r="L72" s="4114">
        <v>1</v>
      </c>
      <c r="M72" s="4114">
        <v>1</v>
      </c>
      <c r="N72" s="5917"/>
      <c r="O72" s="4116">
        <f t="shared" ref="O72:O73" si="19">K72*L72*M72</f>
        <v>6750000</v>
      </c>
      <c r="P72" s="4117">
        <f>I72+O72</f>
        <v>16795000</v>
      </c>
      <c r="Q72" s="4057"/>
      <c r="R72" s="4176"/>
    </row>
    <row r="73" spans="2:18">
      <c r="C73" s="5879"/>
      <c r="D73" s="4095" t="s">
        <v>182</v>
      </c>
      <c r="E73" s="5919">
        <v>2697400000</v>
      </c>
      <c r="F73" s="4114">
        <v>1</v>
      </c>
      <c r="G73" s="4114">
        <v>1</v>
      </c>
      <c r="H73" s="5917"/>
      <c r="I73" s="4116">
        <f t="shared" si="10"/>
        <v>2697400000</v>
      </c>
      <c r="J73" s="5918" t="s">
        <v>182</v>
      </c>
      <c r="K73" s="4114">
        <v>1720000000</v>
      </c>
      <c r="L73" s="4114">
        <v>1</v>
      </c>
      <c r="M73" s="4114">
        <v>1</v>
      </c>
      <c r="N73" s="5917"/>
      <c r="O73" s="4116">
        <f t="shared" si="19"/>
        <v>1720000000</v>
      </c>
      <c r="P73" s="4117">
        <f>I73+O73</f>
        <v>4417400000</v>
      </c>
      <c r="Q73" s="4057"/>
      <c r="R73" s="4057"/>
    </row>
    <row r="74" spans="2:18" ht="19.5" thickBot="1">
      <c r="B74" s="4042" t="s">
        <v>98</v>
      </c>
      <c r="C74" s="6327">
        <v>0</v>
      </c>
      <c r="D74" s="5908" t="s">
        <v>99</v>
      </c>
      <c r="E74" s="5911">
        <v>136866942</v>
      </c>
      <c r="F74" s="5911">
        <v>1</v>
      </c>
      <c r="G74" s="5911">
        <v>1</v>
      </c>
      <c r="H74" s="5910"/>
      <c r="I74" s="5915">
        <f>E74*F74*G74</f>
        <v>136866942</v>
      </c>
      <c r="J74" s="5909" t="s">
        <v>99</v>
      </c>
      <c r="K74" s="5912">
        <v>23176780</v>
      </c>
      <c r="L74" s="5912">
        <v>1</v>
      </c>
      <c r="M74" s="5912">
        <v>1</v>
      </c>
      <c r="N74" s="5910"/>
      <c r="O74" s="5914">
        <f>K74*L74*M74</f>
        <v>23176780</v>
      </c>
      <c r="P74" s="5913">
        <f>SUM(I74,O74)</f>
        <v>160043722</v>
      </c>
      <c r="Q74" s="4057"/>
      <c r="R74" s="4057">
        <f>SUM(P74)-C74</f>
        <v>160043722</v>
      </c>
    </row>
    <row r="75" spans="2:18" ht="23" thickTop="1">
      <c r="B75" s="4048" t="s">
        <v>77</v>
      </c>
      <c r="C75" s="5883">
        <f>SUM(C36,C43,C50,C53,C57,C61,C64,C68,C74)</f>
        <v>23477660084</v>
      </c>
      <c r="D75" s="4049"/>
      <c r="E75" s="4050"/>
      <c r="F75" s="4050"/>
      <c r="G75" s="4050"/>
      <c r="H75" s="4051"/>
      <c r="I75" s="4052">
        <f>SUM(I36:I37,I43:I45,I50,I52,I53,I57:I58,I61,I64:I65,I68,I71,I74)</f>
        <v>22485846205.477001</v>
      </c>
      <c r="J75" s="4048"/>
      <c r="K75" s="4053"/>
      <c r="L75" s="4053"/>
      <c r="M75" s="4053"/>
      <c r="N75" s="4051"/>
      <c r="O75" s="4052">
        <f>SUM(O36:O37,O43:O45,O50,O52,O53,O61,O64:O65,O68,O71,O74)</f>
        <v>10108753390.720001</v>
      </c>
      <c r="P75" s="4090">
        <f>SUM(P36,P37,P43,P44,P45,P50,P52,P53,P57,P58,P61,P64,P65,P68,P71,P74)</f>
        <v>32594599596.196999</v>
      </c>
      <c r="Q75" s="4087">
        <f>P75-C75</f>
        <v>9116939512.1969986</v>
      </c>
      <c r="R75" s="6293">
        <f>SUM(R36:R74)</f>
        <v>9116939512.1970024</v>
      </c>
    </row>
    <row r="76" spans="2:18" ht="22" hidden="1" customHeight="1">
      <c r="B76" s="4146" t="s">
        <v>100</v>
      </c>
      <c r="H76" s="2486"/>
      <c r="P76" s="4338" t="s">
        <v>7007</v>
      </c>
      <c r="Q76" s="4088" t="s">
        <v>101</v>
      </c>
      <c r="R76" s="5858"/>
    </row>
    <row r="77" spans="2:18" hidden="1">
      <c r="B77" s="4146" t="s">
        <v>103</v>
      </c>
      <c r="F77" s="5853"/>
      <c r="G77" s="5854" t="s">
        <v>104</v>
      </c>
      <c r="H77" s="5854"/>
      <c r="I77" s="5856">
        <f>I75-I31</f>
        <v>6031980248.4770012</v>
      </c>
      <c r="J77" s="5853"/>
      <c r="K77" s="5853"/>
      <c r="L77" s="5853"/>
      <c r="M77" s="5854" t="s">
        <v>105</v>
      </c>
      <c r="N77" s="5855"/>
      <c r="O77" s="5856">
        <f>O75-O31</f>
        <v>3084959263.7200012</v>
      </c>
      <c r="P77" s="4338"/>
      <c r="R77" s="4057"/>
    </row>
    <row r="78" spans="2:18" hidden="1">
      <c r="B78" s="4146" t="s">
        <v>183</v>
      </c>
      <c r="D78" s="4064"/>
      <c r="H78" s="2486"/>
      <c r="J78" s="4064"/>
      <c r="M78" s="4068"/>
      <c r="O78" s="4057"/>
      <c r="R78" s="4057"/>
    </row>
    <row r="79" spans="2:18" hidden="1">
      <c r="B79" s="4146" t="s">
        <v>121</v>
      </c>
      <c r="H79" s="2486"/>
      <c r="R79" s="4057"/>
    </row>
    <row r="80" spans="2:18" hidden="1">
      <c r="B80" s="4146" t="s">
        <v>122</v>
      </c>
      <c r="D80" s="4064"/>
      <c r="H80" s="2486"/>
      <c r="J80" s="4064"/>
      <c r="M80" s="4068"/>
      <c r="O80" s="4057"/>
      <c r="R80" s="4057"/>
    </row>
    <row r="81" spans="1:18" hidden="1">
      <c r="B81" s="4146" t="s">
        <v>123</v>
      </c>
      <c r="D81" s="4064"/>
      <c r="H81" s="2486"/>
      <c r="J81" s="4064"/>
      <c r="M81" s="4068"/>
      <c r="O81" s="4057"/>
      <c r="R81" s="4057"/>
    </row>
    <row r="82" spans="1:18" hidden="1">
      <c r="B82" s="4146" t="s">
        <v>124</v>
      </c>
      <c r="H82" s="2486"/>
      <c r="O82" s="4064"/>
      <c r="P82" s="4057"/>
      <c r="R82" s="4057"/>
    </row>
    <row r="83" spans="1:18" hidden="1">
      <c r="B83" s="4146" t="s">
        <v>184</v>
      </c>
      <c r="H83" s="2486"/>
      <c r="O83" s="5889"/>
      <c r="R83" s="4057"/>
    </row>
    <row r="84" spans="1:18" ht="19.5" thickBot="1">
      <c r="B84" s="4146"/>
      <c r="R84" s="4057"/>
    </row>
    <row r="85" spans="1:18" ht="19.5" thickTop="1">
      <c r="A85" s="6276"/>
      <c r="B85" s="6277"/>
      <c r="C85" s="6276"/>
      <c r="D85" s="6276"/>
      <c r="E85" s="6276"/>
      <c r="F85" s="6276"/>
      <c r="G85" s="6276"/>
      <c r="H85" s="6278"/>
      <c r="I85" s="6276"/>
      <c r="J85" s="6276"/>
      <c r="K85" s="6276"/>
      <c r="L85" s="6276"/>
      <c r="M85" s="6276"/>
      <c r="N85" s="6278"/>
      <c r="O85" s="6276"/>
      <c r="P85" s="6276"/>
      <c r="R85" s="4057"/>
    </row>
    <row r="86" spans="1:18">
      <c r="A86" s="6279" t="s">
        <v>7004</v>
      </c>
      <c r="B86" s="4146" t="s">
        <v>79</v>
      </c>
      <c r="D86" s="4003" t="s">
        <v>37</v>
      </c>
      <c r="I86" s="4005"/>
      <c r="J86" s="2486" t="s">
        <v>39</v>
      </c>
      <c r="O86" s="4005"/>
      <c r="P86" s="4089" t="s">
        <v>40</v>
      </c>
    </row>
    <row r="87" spans="1:18" ht="19.5" thickBot="1">
      <c r="B87" s="2486" t="s">
        <v>41</v>
      </c>
      <c r="C87" s="4071" t="s">
        <v>7003</v>
      </c>
      <c r="D87" s="4003" t="s">
        <v>43</v>
      </c>
      <c r="E87" s="4006" t="s">
        <v>44</v>
      </c>
      <c r="F87" s="4006" t="s">
        <v>45</v>
      </c>
      <c r="G87" s="4006" t="s">
        <v>46</v>
      </c>
      <c r="I87" s="4005" t="s">
        <v>47</v>
      </c>
      <c r="J87" s="2486" t="s">
        <v>43</v>
      </c>
      <c r="K87" s="4006" t="s">
        <v>44</v>
      </c>
      <c r="L87" s="4006" t="s">
        <v>45</v>
      </c>
      <c r="M87" s="4006" t="s">
        <v>46</v>
      </c>
      <c r="O87" s="4005" t="s">
        <v>47</v>
      </c>
      <c r="P87" s="4089" t="s">
        <v>48</v>
      </c>
      <c r="Q87" s="2486" t="s">
        <v>80</v>
      </c>
      <c r="R87" s="2486" t="s">
        <v>80</v>
      </c>
    </row>
    <row r="88" spans="1:18">
      <c r="B88" s="4007" t="s">
        <v>81</v>
      </c>
      <c r="C88" s="5878">
        <f>SUM(P36,P37)</f>
        <v>16230405964.960001</v>
      </c>
      <c r="D88" s="4101" t="s">
        <v>50</v>
      </c>
      <c r="E88" s="4055" t="e">
        <f>'財政見通し積算 (全SH全項目統合版）'!C26</f>
        <v>#REF!</v>
      </c>
      <c r="F88" s="4055">
        <v>1</v>
      </c>
      <c r="G88" s="4009">
        <v>1</v>
      </c>
      <c r="H88" s="4010"/>
      <c r="I88" s="4103" t="e">
        <f>E88*F88*G88</f>
        <v>#REF!</v>
      </c>
      <c r="J88" s="4101" t="s">
        <v>50</v>
      </c>
      <c r="K88" s="4056" t="e">
        <f>'財政見通し積算 (全SH全項目統合版）'!C31</f>
        <v>#REF!</v>
      </c>
      <c r="L88" s="4056">
        <v>1</v>
      </c>
      <c r="M88" s="4056">
        <v>1</v>
      </c>
      <c r="N88" s="4010"/>
      <c r="O88" s="4107" t="e">
        <f>K88*L88*M88</f>
        <v>#REF!</v>
      </c>
      <c r="P88" s="6309" t="e">
        <f>I88+O88</f>
        <v>#REF!</v>
      </c>
      <c r="Q88" s="4057" t="e">
        <f>SUM(P88:P89)-C88</f>
        <v>#REF!</v>
      </c>
      <c r="R88" s="4057" t="e">
        <f>SUM(P88:P89)-C88</f>
        <v>#REF!</v>
      </c>
    </row>
    <row r="89" spans="1:18">
      <c r="C89" s="5879"/>
      <c r="D89" s="4102" t="s">
        <v>82</v>
      </c>
      <c r="E89" s="4058"/>
      <c r="F89" s="4058"/>
      <c r="G89" s="4013"/>
      <c r="H89" s="4014"/>
      <c r="I89" s="4104">
        <f>SUM(I90:I94)</f>
        <v>7870805610.0799999</v>
      </c>
      <c r="J89" s="4102" t="s">
        <v>82</v>
      </c>
      <c r="K89" s="4059"/>
      <c r="L89" s="4059"/>
      <c r="M89" s="4059"/>
      <c r="N89" s="4014"/>
      <c r="O89" s="4104">
        <f>SUM(O90:O94)</f>
        <v>2056353476.1400001</v>
      </c>
      <c r="P89" s="6310">
        <f>SUM(P90:P94)</f>
        <v>9927159086.2200012</v>
      </c>
      <c r="Q89" s="4057"/>
      <c r="R89" s="4057"/>
    </row>
    <row r="90" spans="1:18">
      <c r="C90" s="5879"/>
      <c r="D90" s="4110" t="s">
        <v>52</v>
      </c>
      <c r="E90" s="4111">
        <f>'財政見通し積算 (全SH全項目統合版）'!C27</f>
        <v>2204156998</v>
      </c>
      <c r="F90" s="4111">
        <v>1</v>
      </c>
      <c r="G90" s="4111">
        <v>1</v>
      </c>
      <c r="H90" s="4112"/>
      <c r="I90" s="4113">
        <f t="shared" ref="I90" si="20">E90*F90*G90</f>
        <v>2204156998</v>
      </c>
      <c r="J90" s="4110" t="s">
        <v>52</v>
      </c>
      <c r="K90" s="4114">
        <f>'財政見通し積算 (全SH全項目統合版）'!C32-K39</f>
        <v>237817800</v>
      </c>
      <c r="L90" s="4114">
        <v>1</v>
      </c>
      <c r="M90" s="4114">
        <v>1</v>
      </c>
      <c r="N90" s="4115"/>
      <c r="O90" s="4116">
        <f t="shared" ref="O90:O96" si="21">K90*L90*M90</f>
        <v>237817800</v>
      </c>
      <c r="P90" s="4117">
        <f>I90+O90</f>
        <v>2441974798</v>
      </c>
      <c r="Q90" s="4057"/>
      <c r="R90" s="4057"/>
    </row>
    <row r="91" spans="1:18">
      <c r="C91" s="5879"/>
      <c r="D91" s="4110"/>
      <c r="E91" s="4111"/>
      <c r="F91" s="4111"/>
      <c r="G91" s="4111"/>
      <c r="H91" s="4112"/>
      <c r="I91" s="4113"/>
      <c r="J91" s="4110" t="s">
        <v>53</v>
      </c>
      <c r="K91" s="4114">
        <f>【250925】アジパラファミリー積算!BS29</f>
        <v>234300000</v>
      </c>
      <c r="L91" s="4114">
        <v>1</v>
      </c>
      <c r="M91" s="4114">
        <v>1</v>
      </c>
      <c r="N91" s="4115"/>
      <c r="O91" s="4116">
        <f t="shared" si="21"/>
        <v>234300000</v>
      </c>
      <c r="P91" s="4117">
        <f t="shared" ref="P91:P93" si="22">I91+O91</f>
        <v>234300000</v>
      </c>
      <c r="Q91" s="4057"/>
      <c r="R91" s="4057"/>
    </row>
    <row r="92" spans="1:18">
      <c r="C92" s="5879"/>
      <c r="D92" s="4110" t="s">
        <v>54</v>
      </c>
      <c r="E92" s="4111">
        <f>'財政見通し積算 (全SH全項目統合版）'!C28</f>
        <v>1724607631</v>
      </c>
      <c r="F92" s="4111">
        <v>1</v>
      </c>
      <c r="G92" s="4111">
        <v>1</v>
      </c>
      <c r="H92" s="4112"/>
      <c r="I92" s="4113">
        <f t="shared" ref="I92:I93" si="23">E92*F92*G92</f>
        <v>1724607631</v>
      </c>
      <c r="J92" s="4110" t="s">
        <v>54</v>
      </c>
      <c r="K92" s="4114">
        <f>'財政見通し積算 (全SH全項目統合版）'!C33</f>
        <v>344907436</v>
      </c>
      <c r="L92" s="4114">
        <v>1</v>
      </c>
      <c r="M92" s="4114">
        <v>1</v>
      </c>
      <c r="N92" s="4115"/>
      <c r="O92" s="4116">
        <f t="shared" si="21"/>
        <v>344907436</v>
      </c>
      <c r="P92" s="4117">
        <f t="shared" si="22"/>
        <v>2069515067</v>
      </c>
      <c r="Q92" s="4057"/>
      <c r="R92" s="4057"/>
    </row>
    <row r="93" spans="1:18">
      <c r="C93" s="5879"/>
      <c r="D93" s="4110" t="s">
        <v>83</v>
      </c>
      <c r="E93" s="4111">
        <f>'財政見通し積算 (全SH全項目統合版）'!C29</f>
        <v>1285487677.0800002</v>
      </c>
      <c r="F93" s="4111">
        <v>1</v>
      </c>
      <c r="G93" s="4111">
        <v>1</v>
      </c>
      <c r="H93" s="4112"/>
      <c r="I93" s="4113">
        <f t="shared" si="23"/>
        <v>1285487677.0800002</v>
      </c>
      <c r="J93" s="4110" t="s">
        <v>83</v>
      </c>
      <c r="K93" s="4114">
        <f>'財政見通し積算 (全SH全項目統合版）'!C34</f>
        <v>837038639.34000003</v>
      </c>
      <c r="L93" s="4114">
        <v>1</v>
      </c>
      <c r="M93" s="4114">
        <v>1</v>
      </c>
      <c r="N93" s="4115"/>
      <c r="O93" s="4116">
        <f t="shared" si="21"/>
        <v>837038639.34000003</v>
      </c>
      <c r="P93" s="4117">
        <f t="shared" si="22"/>
        <v>2122526316.4200001</v>
      </c>
      <c r="Q93" s="4057"/>
      <c r="R93" s="4057"/>
    </row>
    <row r="94" spans="1:18">
      <c r="C94" s="5879"/>
      <c r="D94" s="4110" t="s">
        <v>84</v>
      </c>
      <c r="E94" s="4111">
        <f>'財政見通し積算 (全SH全項目統合版）'!C30</f>
        <v>2656553304</v>
      </c>
      <c r="F94" s="4111">
        <v>1</v>
      </c>
      <c r="G94" s="4111">
        <v>1</v>
      </c>
      <c r="H94" s="4112"/>
      <c r="I94" s="4113">
        <f>E94*F94*G94</f>
        <v>2656553304</v>
      </c>
      <c r="J94" s="4110" t="s">
        <v>84</v>
      </c>
      <c r="K94" s="4114">
        <f>'財政見通し積算 (全SH全項目統合版）'!C35</f>
        <v>402289600.80000001</v>
      </c>
      <c r="L94" s="4114">
        <v>1</v>
      </c>
      <c r="M94" s="4114">
        <v>1</v>
      </c>
      <c r="N94" s="4115"/>
      <c r="O94" s="4116">
        <f t="shared" si="21"/>
        <v>402289600.80000001</v>
      </c>
      <c r="P94" s="4117">
        <f>I94+O94</f>
        <v>3058842904.8000002</v>
      </c>
      <c r="Q94" s="4057"/>
      <c r="R94" s="4057"/>
    </row>
    <row r="95" spans="1:18">
      <c r="B95" s="4018" t="s">
        <v>57</v>
      </c>
      <c r="C95" s="5880">
        <f>SUM(P43,P44,P45)</f>
        <v>3091220580</v>
      </c>
      <c r="D95" s="4106" t="s">
        <v>85</v>
      </c>
      <c r="E95" s="4060">
        <v>22104</v>
      </c>
      <c r="F95" s="4060">
        <v>58549</v>
      </c>
      <c r="G95" s="4020">
        <v>1</v>
      </c>
      <c r="H95" s="4021"/>
      <c r="I95" s="4105">
        <f t="shared" ref="I95:I96" si="24">E95*F95*G95</f>
        <v>1294167096</v>
      </c>
      <c r="J95" s="4106" t="s">
        <v>85</v>
      </c>
      <c r="K95" s="4061">
        <v>22104</v>
      </c>
      <c r="L95" s="4061">
        <v>32390</v>
      </c>
      <c r="M95" s="4061">
        <v>1</v>
      </c>
      <c r="N95" s="4021">
        <f t="shared" ref="N95" si="25">L95*M95</f>
        <v>32390</v>
      </c>
      <c r="O95" s="4108">
        <f t="shared" si="21"/>
        <v>715948560</v>
      </c>
      <c r="P95" s="6311">
        <f>I95+O95</f>
        <v>2010115656</v>
      </c>
      <c r="Q95" s="4057" t="e">
        <f>SUM(P95:P100)-C95</f>
        <v>#REF!</v>
      </c>
      <c r="R95" s="4057" t="e">
        <f>SUM(P95:P97)-C95</f>
        <v>#REF!</v>
      </c>
    </row>
    <row r="96" spans="1:18">
      <c r="B96" s="6275" t="s">
        <v>7013</v>
      </c>
      <c r="C96" s="5879"/>
      <c r="D96" s="4102" t="s">
        <v>86</v>
      </c>
      <c r="E96" s="4058" t="e">
        <f>'財政見通し積算 (全SH全項目統合版）'!E26</f>
        <v>#REF!</v>
      </c>
      <c r="F96" s="4058">
        <v>1</v>
      </c>
      <c r="G96" s="4013">
        <v>1</v>
      </c>
      <c r="H96" s="4014"/>
      <c r="I96" s="4104" t="e">
        <f t="shared" si="24"/>
        <v>#REF!</v>
      </c>
      <c r="J96" s="4102" t="s">
        <v>86</v>
      </c>
      <c r="K96" s="4059" t="e">
        <f>'財政見通し積算 (全SH全項目統合版）'!E31</f>
        <v>#REF!</v>
      </c>
      <c r="L96" s="4059">
        <v>1</v>
      </c>
      <c r="M96" s="4059">
        <v>1</v>
      </c>
      <c r="N96" s="4014"/>
      <c r="O96" s="4104" t="e">
        <f t="shared" si="21"/>
        <v>#REF!</v>
      </c>
      <c r="P96" s="6310" t="e">
        <f>SUM(I96,O96)</f>
        <v>#REF!</v>
      </c>
      <c r="Q96" s="4057"/>
      <c r="R96" s="4057"/>
    </row>
    <row r="97" spans="2:18">
      <c r="C97" s="5879"/>
      <c r="D97" s="4102" t="s">
        <v>82</v>
      </c>
      <c r="E97" s="4058"/>
      <c r="F97" s="4058"/>
      <c r="G97" s="4013"/>
      <c r="H97" s="4014"/>
      <c r="I97" s="4104">
        <f>SUM(I98,I100)</f>
        <v>1179968416</v>
      </c>
      <c r="J97" s="4102" t="s">
        <v>82</v>
      </c>
      <c r="K97" s="4058"/>
      <c r="L97" s="4059"/>
      <c r="M97" s="4059"/>
      <c r="N97" s="4014"/>
      <c r="O97" s="4104">
        <f>SUM(O98:O100)</f>
        <v>267855150</v>
      </c>
      <c r="P97" s="6310">
        <f>SUM(P98:P100)</f>
        <v>1447823566</v>
      </c>
      <c r="Q97" s="4057"/>
      <c r="R97" s="4057"/>
    </row>
    <row r="98" spans="2:18">
      <c r="C98" s="5879"/>
      <c r="D98" s="4110" t="s">
        <v>58</v>
      </c>
      <c r="E98" s="4118">
        <f>'財政見通し積算 (全SH全項目統合版）'!E27</f>
        <v>453261666</v>
      </c>
      <c r="F98" s="4118">
        <v>1</v>
      </c>
      <c r="G98" s="4118">
        <v>1</v>
      </c>
      <c r="H98" s="4115"/>
      <c r="I98" s="4119">
        <f t="shared" ref="I98" si="26">E98*F98*G98</f>
        <v>453261666</v>
      </c>
      <c r="J98" s="4110" t="s">
        <v>58</v>
      </c>
      <c r="K98" s="4114">
        <f>'財政見通し積算 (全SH全項目統合版）'!E32-K47</f>
        <v>12202607.999999985</v>
      </c>
      <c r="L98" s="4114">
        <v>1</v>
      </c>
      <c r="M98" s="4114">
        <v>1</v>
      </c>
      <c r="N98" s="4115"/>
      <c r="O98" s="4116">
        <f t="shared" ref="O98:O105" si="27">K98*L98*M98</f>
        <v>12202607.999999985</v>
      </c>
      <c r="P98" s="4117">
        <f t="shared" ref="P98:P99" si="28">I98+O98</f>
        <v>465464274</v>
      </c>
      <c r="Q98" s="4057"/>
      <c r="R98" s="4057"/>
    </row>
    <row r="99" spans="2:18">
      <c r="C99" s="5879"/>
      <c r="D99" s="4110"/>
      <c r="E99" s="4118"/>
      <c r="F99" s="4118"/>
      <c r="G99" s="4118"/>
      <c r="H99" s="4115"/>
      <c r="I99" s="4119"/>
      <c r="J99" s="4110" t="s">
        <v>87</v>
      </c>
      <c r="K99" s="4114">
        <f>【250925】アジパラファミリー積算!BV29</f>
        <v>60203792.000000015</v>
      </c>
      <c r="L99" s="4114">
        <v>1</v>
      </c>
      <c r="M99" s="4114">
        <v>1</v>
      </c>
      <c r="N99" s="4115"/>
      <c r="O99" s="4116">
        <f t="shared" si="27"/>
        <v>60203792.000000015</v>
      </c>
      <c r="P99" s="4117">
        <f t="shared" si="28"/>
        <v>60203792.000000015</v>
      </c>
      <c r="Q99" s="4057"/>
      <c r="R99" s="4057"/>
    </row>
    <row r="100" spans="2:18">
      <c r="C100" s="5879"/>
      <c r="D100" s="4110" t="s">
        <v>54</v>
      </c>
      <c r="E100" s="4118">
        <f>'財政見通し積算 (全SH全項目統合版）'!E28</f>
        <v>726706750</v>
      </c>
      <c r="F100" s="4118">
        <v>1</v>
      </c>
      <c r="G100" s="4118">
        <v>1</v>
      </c>
      <c r="H100" s="4014"/>
      <c r="I100" s="4119">
        <f t="shared" ref="I100:I109" si="29">E100*F100*G100</f>
        <v>726706750</v>
      </c>
      <c r="J100" s="4110" t="s">
        <v>54</v>
      </c>
      <c r="K100" s="4114">
        <f>'財政見通し積算 (全SH全項目統合版）'!E33</f>
        <v>195448750</v>
      </c>
      <c r="L100" s="4118">
        <v>1</v>
      </c>
      <c r="M100" s="4114">
        <v>1</v>
      </c>
      <c r="N100" s="4115"/>
      <c r="O100" s="4116">
        <f t="shared" si="27"/>
        <v>195448750</v>
      </c>
      <c r="P100" s="4117">
        <f t="shared" ref="P100:P106" si="30">I100+O100</f>
        <v>922155500</v>
      </c>
      <c r="Q100" s="4057"/>
      <c r="R100" s="4057"/>
    </row>
    <row r="101" spans="2:18">
      <c r="B101" s="4018" t="s">
        <v>63</v>
      </c>
      <c r="C101" s="5880">
        <f>SUM(P50,P52)</f>
        <v>1288076800</v>
      </c>
      <c r="D101" s="4135" t="s">
        <v>89</v>
      </c>
      <c r="E101" s="4060">
        <v>22104</v>
      </c>
      <c r="F101" s="5831">
        <v>8589</v>
      </c>
      <c r="G101" s="5831">
        <v>1</v>
      </c>
      <c r="H101" s="5832"/>
      <c r="I101" s="5833">
        <f t="shared" si="29"/>
        <v>189851256</v>
      </c>
      <c r="J101" s="4135" t="s">
        <v>89</v>
      </c>
      <c r="K101" s="4061">
        <v>22104</v>
      </c>
      <c r="L101" s="5843">
        <v>5101</v>
      </c>
      <c r="M101" s="5843">
        <v>1</v>
      </c>
      <c r="N101" s="5832">
        <f t="shared" ref="N101" si="31">L101*M101</f>
        <v>5101</v>
      </c>
      <c r="O101" s="5844">
        <f t="shared" si="27"/>
        <v>112752504</v>
      </c>
      <c r="P101" s="6311">
        <f t="shared" si="30"/>
        <v>302603760</v>
      </c>
      <c r="Q101" s="4057">
        <f>SUM(P101:P102)-C101</f>
        <v>1021314212</v>
      </c>
      <c r="R101" s="4057">
        <f>SUM(P101,P102)-C101</f>
        <v>1021314212</v>
      </c>
    </row>
    <row r="102" spans="2:18">
      <c r="C102" s="5879"/>
      <c r="D102" s="5830" t="s">
        <v>90</v>
      </c>
      <c r="E102" s="4058"/>
      <c r="F102" s="4058"/>
      <c r="G102" s="4013"/>
      <c r="H102" s="4014"/>
      <c r="I102" s="4104">
        <f>SUM(I103:I104)</f>
        <v>1301645530</v>
      </c>
      <c r="J102" s="5830" t="s">
        <v>90</v>
      </c>
      <c r="K102" s="4059"/>
      <c r="L102" s="4059"/>
      <c r="M102" s="4059"/>
      <c r="N102" s="4014">
        <f t="shared" ref="N102:N105" si="32">L102*M102</f>
        <v>0</v>
      </c>
      <c r="O102" s="4104">
        <f>SUM(O103:O104)</f>
        <v>705141722</v>
      </c>
      <c r="P102" s="6310">
        <f t="shared" si="30"/>
        <v>2006787252</v>
      </c>
      <c r="Q102" s="4057"/>
      <c r="R102" s="4057"/>
    </row>
    <row r="103" spans="2:18">
      <c r="C103" s="5879"/>
      <c r="D103" s="4110" t="s">
        <v>7011</v>
      </c>
      <c r="E103" s="6301">
        <v>22164</v>
      </c>
      <c r="F103" s="6301">
        <v>30445</v>
      </c>
      <c r="G103" s="6301">
        <v>1</v>
      </c>
      <c r="H103" s="6302"/>
      <c r="I103" s="6303">
        <f t="shared" ref="I103" si="33">E103*F103*G103</f>
        <v>674782980</v>
      </c>
      <c r="J103" s="4110" t="s">
        <v>7011</v>
      </c>
      <c r="K103" s="6304">
        <v>22164</v>
      </c>
      <c r="L103" s="6304">
        <v>16493</v>
      </c>
      <c r="M103" s="6304">
        <v>1</v>
      </c>
      <c r="N103" s="6302">
        <f t="shared" ref="N103" si="34">L103*M103</f>
        <v>16493</v>
      </c>
      <c r="O103" s="6308">
        <f t="shared" ref="O103:O104" si="35">K103*L103*M103</f>
        <v>365550852</v>
      </c>
      <c r="P103" s="4117">
        <f t="shared" si="30"/>
        <v>1040333832</v>
      </c>
      <c r="Q103" s="4057"/>
      <c r="R103" s="4057"/>
    </row>
    <row r="104" spans="2:18">
      <c r="B104" s="4027"/>
      <c r="C104" s="5881"/>
      <c r="D104" s="4110" t="s">
        <v>7012</v>
      </c>
      <c r="E104" s="6305">
        <v>20590</v>
      </c>
      <c r="F104" s="6305">
        <v>30445</v>
      </c>
      <c r="G104" s="6305">
        <v>1</v>
      </c>
      <c r="H104" s="6306"/>
      <c r="I104" s="6307">
        <f>E104*F104*G104</f>
        <v>626862550</v>
      </c>
      <c r="J104" s="4110" t="s">
        <v>7012</v>
      </c>
      <c r="K104" s="6305">
        <v>20590</v>
      </c>
      <c r="L104" s="6305">
        <v>16493</v>
      </c>
      <c r="M104" s="6305">
        <v>1</v>
      </c>
      <c r="N104" s="6306"/>
      <c r="O104" s="6307">
        <f t="shared" si="35"/>
        <v>339590870</v>
      </c>
      <c r="P104" s="4117">
        <f t="shared" si="30"/>
        <v>966453420</v>
      </c>
      <c r="Q104" s="6298"/>
      <c r="R104" s="4057"/>
    </row>
    <row r="105" spans="2:18">
      <c r="B105" s="2486" t="s">
        <v>65</v>
      </c>
      <c r="C105" s="5879">
        <f>SUM(P53)</f>
        <v>132220000</v>
      </c>
      <c r="D105" s="6299" t="s">
        <v>64</v>
      </c>
      <c r="E105" s="4058">
        <v>880</v>
      </c>
      <c r="F105" s="4058">
        <v>97583</v>
      </c>
      <c r="G105" s="4013">
        <v>1</v>
      </c>
      <c r="H105" s="4014"/>
      <c r="I105" s="4104">
        <f t="shared" si="29"/>
        <v>85873040</v>
      </c>
      <c r="J105" s="6300" t="s">
        <v>64</v>
      </c>
      <c r="K105" s="4059">
        <v>880</v>
      </c>
      <c r="L105" s="4059">
        <v>53984</v>
      </c>
      <c r="M105" s="4059">
        <v>1</v>
      </c>
      <c r="N105" s="4014">
        <f t="shared" si="32"/>
        <v>53984</v>
      </c>
      <c r="O105" s="4109">
        <f t="shared" si="27"/>
        <v>47505920</v>
      </c>
      <c r="P105" s="6312">
        <f t="shared" si="30"/>
        <v>133378960</v>
      </c>
      <c r="Q105" s="4057">
        <f>SUM(P105:P105)-C105</f>
        <v>1158960</v>
      </c>
      <c r="R105" s="4057">
        <f>SUM(P105)-C105</f>
        <v>1158960</v>
      </c>
    </row>
    <row r="106" spans="2:18">
      <c r="B106" s="4018" t="s">
        <v>92</v>
      </c>
      <c r="C106" s="5880">
        <f>SUM(P57,P58:Q58)-444090000</f>
        <v>993269000</v>
      </c>
      <c r="D106" s="4106" t="s">
        <v>69</v>
      </c>
      <c r="E106" s="4060">
        <v>915169000</v>
      </c>
      <c r="F106" s="4060">
        <v>1</v>
      </c>
      <c r="G106" s="4020">
        <v>1</v>
      </c>
      <c r="H106" s="4021"/>
      <c r="I106" s="4105">
        <f t="shared" si="29"/>
        <v>915169000</v>
      </c>
      <c r="J106" s="5851"/>
      <c r="K106" s="4061"/>
      <c r="L106" s="4061"/>
      <c r="M106" s="4061"/>
      <c r="N106" s="5852"/>
      <c r="O106" s="4108"/>
      <c r="P106" s="6311">
        <f t="shared" si="30"/>
        <v>915169000</v>
      </c>
      <c r="Q106" s="4057">
        <f>SUM(P106:P107)-C106</f>
        <v>0</v>
      </c>
      <c r="R106" s="4057">
        <f>SUM(P106:P107)-C106</f>
        <v>0</v>
      </c>
    </row>
    <row r="107" spans="2:18">
      <c r="C107" s="5879"/>
      <c r="D107" s="4102" t="s">
        <v>70</v>
      </c>
      <c r="E107" s="4058">
        <v>78100000</v>
      </c>
      <c r="F107" s="4058">
        <v>1</v>
      </c>
      <c r="G107" s="4013">
        <v>1</v>
      </c>
      <c r="H107" s="4014"/>
      <c r="I107" s="4104">
        <f t="shared" si="29"/>
        <v>78100000</v>
      </c>
      <c r="J107" s="4066"/>
      <c r="K107" s="4059"/>
      <c r="L107" s="4059"/>
      <c r="M107" s="4059"/>
      <c r="N107" s="4067"/>
      <c r="O107" s="4065">
        <f t="shared" ref="O107" si="36">K107*L107*M107</f>
        <v>0</v>
      </c>
      <c r="P107" s="6313">
        <f t="shared" ref="P107:P109" si="37">I107+O107</f>
        <v>78100000</v>
      </c>
      <c r="Q107" s="4057"/>
      <c r="R107" s="4057"/>
    </row>
    <row r="108" spans="2:18">
      <c r="B108" s="4018" t="s">
        <v>177</v>
      </c>
      <c r="C108" s="5880">
        <f>SUM(P61)</f>
        <v>88653000</v>
      </c>
      <c r="D108" s="4135" t="s">
        <v>93</v>
      </c>
      <c r="E108" s="4060">
        <v>6000000</v>
      </c>
      <c r="F108" s="4060">
        <v>12</v>
      </c>
      <c r="G108" s="4020">
        <v>1</v>
      </c>
      <c r="H108" s="4021"/>
      <c r="I108" s="4105">
        <f t="shared" si="29"/>
        <v>72000000</v>
      </c>
      <c r="J108" s="4135" t="s">
        <v>93</v>
      </c>
      <c r="K108" s="4061">
        <v>2379000</v>
      </c>
      <c r="L108" s="4061">
        <v>7</v>
      </c>
      <c r="M108" s="4061">
        <v>1</v>
      </c>
      <c r="N108" s="4021"/>
      <c r="O108" s="4108">
        <f>K108*L108*M108</f>
        <v>16653000</v>
      </c>
      <c r="P108" s="6310">
        <f t="shared" si="37"/>
        <v>88653000</v>
      </c>
      <c r="Q108" s="4057" t="e">
        <f>SUM(P108:P108,#REF!)-C108</f>
        <v>#REF!</v>
      </c>
      <c r="R108" s="4057">
        <f>SUM(P108)-C108</f>
        <v>0</v>
      </c>
    </row>
    <row r="109" spans="2:18">
      <c r="B109" s="4018" t="s">
        <v>178</v>
      </c>
      <c r="C109" s="5880">
        <f>SUM(P64,P65)-SUM('0024_ホテルメルパルク名古屋　別紙1-2'!O46,'0024_ホテルメルパルク名古屋　別紙1-2'!O47)*1.1-'0024_ホテルメルパルク名古屋　別紙1-2'!U46*19-53344500</f>
        <v>5386971859.9370003</v>
      </c>
      <c r="D109" s="4106" t="s">
        <v>50</v>
      </c>
      <c r="E109" s="4060" t="e">
        <f>'財政見通し積算 (全SH全項目統合版）'!D26</f>
        <v>#REF!</v>
      </c>
      <c r="F109" s="4060">
        <v>1</v>
      </c>
      <c r="G109" s="4020">
        <v>1</v>
      </c>
      <c r="H109" s="4021"/>
      <c r="I109" s="4105" t="e">
        <f t="shared" si="29"/>
        <v>#REF!</v>
      </c>
      <c r="J109" s="4106" t="s">
        <v>50</v>
      </c>
      <c r="K109" s="4061" t="e">
        <f>('財政見通し積算 (全SH全項目統合版）'!D31)</f>
        <v>#REF!</v>
      </c>
      <c r="L109" s="4061">
        <v>1</v>
      </c>
      <c r="M109" s="4061">
        <v>1</v>
      </c>
      <c r="N109" s="4021"/>
      <c r="O109" s="4108" t="e">
        <f t="shared" ref="O109" si="38">K109*L109*M109</f>
        <v>#REF!</v>
      </c>
      <c r="P109" s="6311" t="e">
        <f t="shared" si="37"/>
        <v>#REF!</v>
      </c>
      <c r="Q109" s="4057" t="e">
        <f>SUM(P109:P110)-C109</f>
        <v>#REF!</v>
      </c>
      <c r="R109" s="4057" t="e">
        <f>SUM(P109:P110)-C109</f>
        <v>#REF!</v>
      </c>
    </row>
    <row r="110" spans="2:18">
      <c r="C110" s="5879"/>
      <c r="D110" s="4102" t="s">
        <v>82</v>
      </c>
      <c r="E110" s="4058"/>
      <c r="F110" s="4058"/>
      <c r="G110" s="4013"/>
      <c r="H110" s="4014"/>
      <c r="I110" s="4104">
        <f>SUM(I111:I112)</f>
        <v>1894195599.7</v>
      </c>
      <c r="J110" s="4102" t="s">
        <v>82</v>
      </c>
      <c r="K110" s="4058"/>
      <c r="L110" s="4058"/>
      <c r="M110" s="4013"/>
      <c r="N110" s="4014"/>
      <c r="O110" s="4104">
        <f>SUM(O111:O112)</f>
        <v>656390529.10000014</v>
      </c>
      <c r="P110" s="6310">
        <f>SUM(P111:P112)</f>
        <v>2550586128.8000002</v>
      </c>
      <c r="Q110" s="4057"/>
      <c r="R110" s="4057"/>
    </row>
    <row r="111" spans="2:18">
      <c r="C111" s="5879"/>
      <c r="D111" s="4110" t="s">
        <v>96</v>
      </c>
      <c r="E111" s="4118">
        <f>'財政見通し積算 (全SH全項目統合版）'!D27</f>
        <v>1133891586</v>
      </c>
      <c r="F111" s="4118">
        <v>1</v>
      </c>
      <c r="G111" s="4118">
        <v>1</v>
      </c>
      <c r="H111" s="4115"/>
      <c r="I111" s="4119">
        <f t="shared" ref="I111:I112" si="39">E111*F111*G111</f>
        <v>1133891586</v>
      </c>
      <c r="J111" s="4110" t="s">
        <v>96</v>
      </c>
      <c r="K111" s="4114">
        <f>'財政見通し積算 (全SH全項目統合版）'!D32</f>
        <v>288657600.00000006</v>
      </c>
      <c r="L111" s="4114">
        <v>1</v>
      </c>
      <c r="M111" s="4114">
        <v>1</v>
      </c>
      <c r="N111" s="4115"/>
      <c r="O111" s="4116">
        <f t="shared" ref="O111:O112" si="40">K111*L111*M111</f>
        <v>288657600.00000006</v>
      </c>
      <c r="P111" s="4117">
        <f t="shared" ref="P111:P115" si="41">I111+O111</f>
        <v>1422549186</v>
      </c>
      <c r="Q111" s="4057"/>
      <c r="R111" s="4057"/>
    </row>
    <row r="112" spans="2:18">
      <c r="C112" s="5879"/>
      <c r="D112" s="4110" t="s">
        <v>54</v>
      </c>
      <c r="E112" s="4118">
        <f>'財政見通し積算 (全SH全項目統合版）'!D28</f>
        <v>760304013.70000005</v>
      </c>
      <c r="F112" s="4118">
        <v>1</v>
      </c>
      <c r="G112" s="4118">
        <v>1</v>
      </c>
      <c r="H112" s="4115"/>
      <c r="I112" s="4119">
        <f t="shared" si="39"/>
        <v>760304013.70000005</v>
      </c>
      <c r="J112" s="4110" t="s">
        <v>54</v>
      </c>
      <c r="K112" s="4114">
        <f>'財政見通し積算 (全SH全項目統合版）'!D33</f>
        <v>367732929.10000002</v>
      </c>
      <c r="L112" s="4114">
        <v>1</v>
      </c>
      <c r="M112" s="4114">
        <v>1</v>
      </c>
      <c r="N112" s="4115"/>
      <c r="O112" s="4123">
        <f t="shared" si="40"/>
        <v>367732929.10000002</v>
      </c>
      <c r="P112" s="4124">
        <f t="shared" si="41"/>
        <v>1128036942.8000002</v>
      </c>
      <c r="Q112" s="4057"/>
      <c r="R112" s="4057"/>
    </row>
    <row r="113" spans="2:18">
      <c r="B113" s="4018" t="s">
        <v>76</v>
      </c>
      <c r="C113" s="5880">
        <f>SUM(P68,P71)-3006883000</f>
        <v>1636945380.3000002</v>
      </c>
      <c r="D113" s="4106" t="s">
        <v>179</v>
      </c>
      <c r="E113" s="4061"/>
      <c r="F113" s="4061"/>
      <c r="G113" s="4024"/>
      <c r="H113" s="4153"/>
      <c r="I113" s="4108" t="e">
        <f>SUM(I114:I115)</f>
        <v>#REF!</v>
      </c>
      <c r="J113" s="4151" t="s">
        <v>179</v>
      </c>
      <c r="K113" s="4061"/>
      <c r="L113" s="4061"/>
      <c r="M113" s="4061"/>
      <c r="N113" s="4153"/>
      <c r="O113" s="4108" t="e">
        <f>SUM(O114:O115)</f>
        <v>#REF!</v>
      </c>
      <c r="P113" s="6310" t="e">
        <f>I113+O113</f>
        <v>#REF!</v>
      </c>
      <c r="Q113" s="5916" t="e">
        <f>SUM(P113)-C113</f>
        <v>#REF!</v>
      </c>
      <c r="R113" s="4057" t="e">
        <f>SUM(P113,P116)-C113</f>
        <v>#REF!</v>
      </c>
    </row>
    <row r="114" spans="2:18">
      <c r="C114" s="5879"/>
      <c r="D114" s="4095" t="s">
        <v>97</v>
      </c>
      <c r="E114" s="4114" t="e">
        <f>'財政見通し積算 (全SH全項目統合版）'!F26</f>
        <v>#REF!</v>
      </c>
      <c r="F114" s="4114">
        <v>1</v>
      </c>
      <c r="G114" s="4114">
        <v>1</v>
      </c>
      <c r="H114" s="5917"/>
      <c r="I114" s="4116" t="e">
        <f t="shared" ref="I114:I115" si="42">E114*F114*G114</f>
        <v>#REF!</v>
      </c>
      <c r="J114" s="5918" t="s">
        <v>97</v>
      </c>
      <c r="K114" s="4114" t="e">
        <f>'財政見通し積算 (全SH全項目統合版）'!F31</f>
        <v>#REF!</v>
      </c>
      <c r="L114" s="4114">
        <v>1</v>
      </c>
      <c r="M114" s="4114">
        <v>1</v>
      </c>
      <c r="N114" s="5917"/>
      <c r="O114" s="4116" t="e">
        <f t="shared" ref="O114:O115" si="43">K114*L114*M114</f>
        <v>#REF!</v>
      </c>
      <c r="P114" s="4117" t="e">
        <f t="shared" si="41"/>
        <v>#REF!</v>
      </c>
      <c r="Q114" s="5916"/>
      <c r="R114" s="4057"/>
    </row>
    <row r="115" spans="2:18">
      <c r="C115" s="5879"/>
      <c r="D115" s="4095" t="s">
        <v>96</v>
      </c>
      <c r="E115" s="5919">
        <f>'財政見通し積算 (全SH全項目統合版）'!F27</f>
        <v>35875904.899999999</v>
      </c>
      <c r="F115" s="4114">
        <v>1</v>
      </c>
      <c r="G115" s="4114">
        <v>1</v>
      </c>
      <c r="H115" s="5917"/>
      <c r="I115" s="4116">
        <f t="shared" si="42"/>
        <v>35875904.899999999</v>
      </c>
      <c r="J115" s="5918" t="s">
        <v>96</v>
      </c>
      <c r="K115" s="4114">
        <f>'財政見通し積算 (全SH全項目統合版）'!F32</f>
        <v>792000</v>
      </c>
      <c r="L115" s="4114">
        <v>1</v>
      </c>
      <c r="M115" s="4114">
        <v>1</v>
      </c>
      <c r="N115" s="5917"/>
      <c r="O115" s="4116">
        <f t="shared" si="43"/>
        <v>792000</v>
      </c>
      <c r="P115" s="4117">
        <f t="shared" si="41"/>
        <v>36667904.899999999</v>
      </c>
      <c r="Q115" s="5916"/>
      <c r="R115" s="4057"/>
    </row>
    <row r="116" spans="2:18">
      <c r="C116" s="5879"/>
      <c r="D116" s="5887" t="s">
        <v>180</v>
      </c>
      <c r="E116" s="5919"/>
      <c r="F116" s="4114"/>
      <c r="G116" s="4114"/>
      <c r="H116" s="5917"/>
      <c r="I116" s="5920" t="e">
        <f>SUM(I117:I118)</f>
        <v>#REF!</v>
      </c>
      <c r="J116" s="5921" t="s">
        <v>180</v>
      </c>
      <c r="K116" s="4114"/>
      <c r="L116" s="4114"/>
      <c r="M116" s="4114"/>
      <c r="N116" s="5917"/>
      <c r="O116" s="5920" t="e">
        <f>SUM(O117:O118)</f>
        <v>#REF!</v>
      </c>
      <c r="P116" s="6314" t="e">
        <f>I116+O116</f>
        <v>#REF!</v>
      </c>
      <c r="Q116" s="4057"/>
      <c r="R116" s="4057"/>
    </row>
    <row r="117" spans="2:18">
      <c r="C117" s="5879"/>
      <c r="D117" s="4095" t="s">
        <v>181</v>
      </c>
      <c r="E117" s="5919" t="e">
        <f>'財政見通し積算 (全SH全項目統合版）'!G26</f>
        <v>#REF!</v>
      </c>
      <c r="F117" s="4114">
        <v>1</v>
      </c>
      <c r="G117" s="4114">
        <v>1</v>
      </c>
      <c r="H117" s="5917"/>
      <c r="I117" s="4116" t="e">
        <f t="shared" ref="I117:I118" si="44">E117*F117*G117</f>
        <v>#REF!</v>
      </c>
      <c r="J117" s="5918" t="s">
        <v>181</v>
      </c>
      <c r="K117" s="4114" t="e">
        <f>'財政見通し積算 (全SH全項目統合版）'!G31</f>
        <v>#REF!</v>
      </c>
      <c r="L117" s="4114">
        <v>1</v>
      </c>
      <c r="M117" s="4114">
        <v>1</v>
      </c>
      <c r="N117" s="5917"/>
      <c r="O117" s="4116" t="e">
        <f t="shared" ref="O117:O118" si="45">K117*L117*M117</f>
        <v>#REF!</v>
      </c>
      <c r="P117" s="4117" t="e">
        <f>I117+O117</f>
        <v>#REF!</v>
      </c>
      <c r="Q117" s="4057"/>
      <c r="R117" s="4057"/>
    </row>
    <row r="118" spans="2:18">
      <c r="C118" s="5879"/>
      <c r="D118" s="4095" t="s">
        <v>182</v>
      </c>
      <c r="E118" s="5919" t="e">
        <f>ROUND((C113-P113-P117)*2/3,0)</f>
        <v>#REF!</v>
      </c>
      <c r="F118" s="4114">
        <v>1</v>
      </c>
      <c r="G118" s="4114">
        <v>1</v>
      </c>
      <c r="H118" s="5917"/>
      <c r="I118" s="4116" t="e">
        <f t="shared" si="44"/>
        <v>#REF!</v>
      </c>
      <c r="J118" s="5918" t="s">
        <v>182</v>
      </c>
      <c r="K118" s="4114" t="e">
        <f>ROUND((C113-P113-P117)*1/3,0)</f>
        <v>#REF!</v>
      </c>
      <c r="L118" s="4114">
        <v>1</v>
      </c>
      <c r="M118" s="4114">
        <v>1</v>
      </c>
      <c r="N118" s="5917"/>
      <c r="O118" s="4116" t="e">
        <f t="shared" si="45"/>
        <v>#REF!</v>
      </c>
      <c r="P118" s="4117" t="e">
        <f>I118+O118</f>
        <v>#REF!</v>
      </c>
      <c r="Q118" s="4057"/>
      <c r="R118" s="4057"/>
    </row>
    <row r="119" spans="2:18" ht="19.5" thickBot="1">
      <c r="B119" s="4042" t="s">
        <v>98</v>
      </c>
      <c r="C119" s="6327">
        <f>SUM(P74)</f>
        <v>160043722</v>
      </c>
      <c r="D119" s="5908" t="s">
        <v>99</v>
      </c>
      <c r="E119" s="5911">
        <f>'財政見通し積算 (全SH全項目統合版）'!I39</f>
        <v>74703200</v>
      </c>
      <c r="F119" s="5911">
        <v>1</v>
      </c>
      <c r="G119" s="5911">
        <v>1</v>
      </c>
      <c r="H119" s="5910"/>
      <c r="I119" s="5915">
        <f>E119*F119*G119</f>
        <v>74703200</v>
      </c>
      <c r="J119" s="5909" t="s">
        <v>99</v>
      </c>
      <c r="K119" s="5912">
        <f>'財政見通し積算 (全SH全項目統合版）'!I40</f>
        <v>20944000</v>
      </c>
      <c r="L119" s="5912">
        <v>1</v>
      </c>
      <c r="M119" s="5912">
        <v>1</v>
      </c>
      <c r="N119" s="5910"/>
      <c r="O119" s="5914">
        <f>K119*L119*M119</f>
        <v>20944000</v>
      </c>
      <c r="P119" s="6315">
        <f>SUM(I119,O119)</f>
        <v>95647200</v>
      </c>
      <c r="Q119" s="4057"/>
      <c r="R119" s="4057">
        <f>SUM(P119)-C119</f>
        <v>-64396522</v>
      </c>
    </row>
    <row r="120" spans="2:18" ht="23" thickTop="1">
      <c r="B120" s="4048" t="s">
        <v>77</v>
      </c>
      <c r="C120" s="5883">
        <f>SUM(C88,C95,C101,C105,C106,C108,C109,C113,C119)</f>
        <v>29007806307.196999</v>
      </c>
      <c r="D120" s="4049"/>
      <c r="E120" s="4050"/>
      <c r="F120" s="4050"/>
      <c r="G120" s="4050"/>
      <c r="H120" s="4051"/>
      <c r="I120" s="4052" t="e">
        <f>SUM(I88:I89,I95:I97,I101,I102,I105,I106:I107,I108,I109:I110,I113,I116,I119)</f>
        <v>#REF!</v>
      </c>
      <c r="J120" s="4048"/>
      <c r="K120" s="4053"/>
      <c r="L120" s="4053"/>
      <c r="M120" s="4053"/>
      <c r="N120" s="4051"/>
      <c r="O120" s="4052" t="e">
        <f>SUM(O88:O89,O95:O97,O101,O102,O105,O108,O109:O110,O113,O116,O119)</f>
        <v>#REF!</v>
      </c>
      <c r="P120" s="4090" t="e">
        <f>SUM(P88,P89,P95,P96,P97,P101,P102,P105,P106,P107,P108,P109,P110,P113,P116,P119)</f>
        <v>#REF!</v>
      </c>
      <c r="Q120" s="4087" t="e">
        <f>P120-C120</f>
        <v>#REF!</v>
      </c>
      <c r="R120" s="5850" t="e">
        <f>SUM(R88:R119)</f>
        <v>#REF!</v>
      </c>
    </row>
    <row r="121" spans="2:18" ht="22" customHeight="1">
      <c r="B121" s="4146" t="s">
        <v>7015</v>
      </c>
      <c r="P121" s="4176"/>
      <c r="Q121" s="4088" t="s">
        <v>101</v>
      </c>
      <c r="R121" s="5857" t="s">
        <v>7006</v>
      </c>
    </row>
    <row r="122" spans="2:18">
      <c r="B122" s="4146" t="s">
        <v>103</v>
      </c>
      <c r="F122" s="5853"/>
      <c r="G122" s="5854" t="s">
        <v>104</v>
      </c>
      <c r="H122" s="5855"/>
      <c r="I122" s="5856" t="e">
        <f>I120-I82</f>
        <v>#REF!</v>
      </c>
      <c r="J122" s="5853"/>
      <c r="K122" s="5853"/>
      <c r="L122" s="6280"/>
      <c r="M122" s="5854" t="s">
        <v>105</v>
      </c>
      <c r="N122" s="5855"/>
      <c r="O122" s="5856" t="e">
        <f>O120-O82</f>
        <v>#REF!</v>
      </c>
      <c r="R122" s="4057"/>
    </row>
    <row r="123" spans="2:18">
      <c r="B123" s="4146" t="s">
        <v>183</v>
      </c>
      <c r="D123" s="4064"/>
      <c r="J123" s="4064"/>
      <c r="M123" s="4068"/>
      <c r="O123" s="4057"/>
      <c r="R123" s="4057"/>
    </row>
    <row r="124" spans="2:18">
      <c r="B124" s="6275" t="s">
        <v>7005</v>
      </c>
      <c r="R124" s="4057"/>
    </row>
    <row r="125" spans="2:18" hidden="1">
      <c r="B125" s="4146" t="s">
        <v>122</v>
      </c>
      <c r="D125" s="4064"/>
      <c r="J125" s="4064"/>
      <c r="M125" s="4068"/>
      <c r="O125" s="4057"/>
      <c r="P125" s="4064"/>
      <c r="R125" s="4057"/>
    </row>
    <row r="126" spans="2:18" hidden="1">
      <c r="B126" s="5829" t="s">
        <v>184</v>
      </c>
      <c r="C126" s="5859"/>
      <c r="D126" s="5859"/>
      <c r="E126" s="5859"/>
      <c r="F126" s="5859"/>
      <c r="G126" s="5859"/>
      <c r="H126" s="5859"/>
      <c r="I126" s="5859"/>
      <c r="J126" s="5859"/>
      <c r="P126" s="6294" t="s">
        <v>7008</v>
      </c>
      <c r="R126" s="4057" t="s">
        <v>7009</v>
      </c>
    </row>
    <row r="127" spans="2:18" hidden="1">
      <c r="B127" s="4146"/>
      <c r="H127" s="2486"/>
      <c r="P127" s="4057"/>
      <c r="R127" s="4057"/>
    </row>
    <row r="128" spans="2:18" hidden="1">
      <c r="B128" s="4146"/>
      <c r="G128" s="4312" t="s">
        <v>104</v>
      </c>
      <c r="H128" s="4313"/>
      <c r="I128" s="4219" t="e">
        <f>I120-(I75-444090000-(3006883000*2/3))</f>
        <v>#REF!</v>
      </c>
      <c r="M128" s="4312" t="s">
        <v>105</v>
      </c>
      <c r="N128" s="4313"/>
      <c r="O128" s="4219" t="e">
        <f>O120-(O75-SUM('0024_ホテルメルパルク名古屋　別紙1-2'!O46,'0024_ホテルメルパルク名古屋　別紙1-2'!O47)*1.1-53344500-(3006883000*1/3))</f>
        <v>#REF!</v>
      </c>
      <c r="P128" s="4064"/>
      <c r="R128" s="4057"/>
    </row>
    <row r="129" spans="2:18">
      <c r="G129" s="4068" t="s">
        <v>107</v>
      </c>
      <c r="H129" s="4069"/>
      <c r="I129" s="4057" t="e">
        <f>SUM(I88,I89,I96,I97,I104,I109,I110,I113,I117,I119)-SUM(I36,I37,I44,I45,I64,I65,I68,I72,I74)</f>
        <v>#REF!</v>
      </c>
      <c r="M129" s="4068" t="s">
        <v>7016</v>
      </c>
      <c r="N129" s="4069"/>
      <c r="O129" s="4057" t="e">
        <f>SUM(O88,O89,O96,O97,O104,O109,O110,O113,O117,O119)-(SUM(O36,O37,O44,O45,O64,O65,O68,O72,O74)-82329489-53344500)</f>
        <v>#REF!</v>
      </c>
      <c r="P129" s="4176"/>
      <c r="Q129" s="4338" t="s">
        <v>109</v>
      </c>
      <c r="R129" s="5858" t="s">
        <v>109</v>
      </c>
    </row>
    <row r="130" spans="2:18">
      <c r="G130" s="4068" t="s">
        <v>7017</v>
      </c>
      <c r="H130" s="4069"/>
      <c r="I130" s="4057">
        <f>SUM(I95,I101,I103,I105,I106,I107,I108)-SUM(I43,I50,I52,I53,I57,I58,I61)+444090000</f>
        <v>333923740</v>
      </c>
      <c r="M130" s="4068" t="s">
        <v>7017</v>
      </c>
      <c r="N130" s="4069"/>
      <c r="O130" s="4057">
        <f>SUM(O95,O101,O103,O105,O108)-SUM(O43,O50,O52,O53,O61)</f>
        <v>208676668</v>
      </c>
      <c r="Q130" s="4057">
        <f>SUM(I132,O132)</f>
        <v>-142927091.16000009</v>
      </c>
      <c r="R130" s="4057">
        <f>SUM(I132,O132)</f>
        <v>-142927091.16000009</v>
      </c>
    </row>
    <row r="131" spans="2:18" hidden="1">
      <c r="G131" s="4068" t="s">
        <v>111</v>
      </c>
      <c r="H131" s="4069"/>
      <c r="I131" s="4057">
        <f>SUM(I49,I51,I54,I55,I56,I59,I60,I62,I63)-SUM(I15,I18,I20,I21,I22,I25,I26)</f>
        <v>729631840</v>
      </c>
      <c r="M131" s="4068" t="s">
        <v>111</v>
      </c>
      <c r="N131" s="4069"/>
      <c r="O131" s="4057">
        <f>SUM(O49,O51,O54,O56,O59)-SUM(O15,O16,O18,O20,O25)</f>
        <v>50094200</v>
      </c>
      <c r="Q131" s="4057"/>
      <c r="R131" s="4057"/>
    </row>
    <row r="132" spans="2:18" hidden="1">
      <c r="G132" s="4068" t="s">
        <v>112</v>
      </c>
      <c r="H132" s="4069"/>
      <c r="I132" s="4057">
        <f>SUM(I93,I94,I91,I99)-SUM(I39,I41,I42,I47)</f>
        <v>112220743.71999979</v>
      </c>
      <c r="M132" s="4068" t="s">
        <v>112</v>
      </c>
      <c r="N132" s="4069"/>
      <c r="O132" s="4057">
        <f>SUM(O93,O94,O91,O99)-SUM(O39,O41,O42,O47)</f>
        <v>-255147834.87999988</v>
      </c>
      <c r="Q132" s="4338" t="s">
        <v>113</v>
      </c>
      <c r="R132" s="5858" t="s">
        <v>113</v>
      </c>
    </row>
    <row r="133" spans="2:18" hidden="1">
      <c r="G133" s="4068"/>
      <c r="H133" s="4069"/>
      <c r="I133" s="4057"/>
      <c r="M133" s="4068"/>
      <c r="N133" s="4069"/>
      <c r="O133" s="4057"/>
      <c r="Q133" s="4338"/>
      <c r="R133" s="5858"/>
    </row>
    <row r="134" spans="2:18" hidden="1">
      <c r="G134" s="4068"/>
      <c r="H134" s="4069"/>
      <c r="I134" s="6281"/>
      <c r="M134" s="4068"/>
      <c r="N134" s="4069"/>
      <c r="O134" s="6281"/>
      <c r="Q134" s="4057">
        <f>I134+O134</f>
        <v>0</v>
      </c>
      <c r="R134" s="4057" t="e">
        <f>R120-R130</f>
        <v>#REF!</v>
      </c>
    </row>
    <row r="135" spans="2:18" hidden="1">
      <c r="Q135" s="4057"/>
      <c r="R135" s="4057"/>
    </row>
    <row r="136" spans="2:18" hidden="1">
      <c r="B136" s="4146"/>
      <c r="G136" s="5888" t="s">
        <v>185</v>
      </c>
      <c r="I136" s="4064">
        <f>SUM(I36,I43,I44,I50,I52,I61,I64,I57,I58)</f>
        <v>8397165069.9349995</v>
      </c>
      <c r="M136" s="5888" t="s">
        <v>185</v>
      </c>
      <c r="O136" s="4176">
        <f>SUM(O36,O43,O44,O50,O52,O61,O64)</f>
        <v>4746841910.1000004</v>
      </c>
      <c r="R136" s="4057"/>
    </row>
    <row r="137" spans="2:18" hidden="1">
      <c r="B137" s="4146"/>
      <c r="G137" s="5888" t="s">
        <v>186</v>
      </c>
      <c r="I137" s="5889" t="e">
        <f>【251001】アジア選手積算!#REF!</f>
        <v>#REF!</v>
      </c>
      <c r="M137" s="5888" t="s">
        <v>186</v>
      </c>
      <c r="O137" s="4064" t="e">
        <f>【251001】パラ選手積算!#REF!</f>
        <v>#REF!</v>
      </c>
      <c r="R137" s="4057"/>
    </row>
    <row r="138" spans="2:18" hidden="1">
      <c r="B138" s="4146"/>
      <c r="G138" s="5890" t="s">
        <v>187</v>
      </c>
      <c r="I138" s="5891" t="e">
        <f>I136/I137</f>
        <v>#REF!</v>
      </c>
      <c r="M138" s="5890" t="s">
        <v>187</v>
      </c>
      <c r="O138" s="5891" t="e">
        <f>O136/O137</f>
        <v>#REF!</v>
      </c>
      <c r="R138" s="4057"/>
    </row>
    <row r="139" spans="2:18" ht="19.5" thickBot="1">
      <c r="R139" s="4057"/>
    </row>
    <row r="140" spans="2:18" ht="26" thickTop="1">
      <c r="B140" s="4160" t="s">
        <v>125</v>
      </c>
      <c r="C140" s="4172" t="s">
        <v>126</v>
      </c>
      <c r="D140" s="4162"/>
      <c r="E140" s="4161"/>
      <c r="F140" s="4161"/>
      <c r="G140" s="4161"/>
      <c r="H140" s="4163"/>
      <c r="I140" s="4164"/>
      <c r="J140" s="4161"/>
      <c r="K140" s="4161"/>
      <c r="L140" s="4161"/>
      <c r="M140" s="4161"/>
      <c r="N140" s="4163"/>
      <c r="O140" s="4161"/>
      <c r="P140" s="4348" t="s">
        <v>127</v>
      </c>
      <c r="Q140" s="2486" t="s">
        <v>80</v>
      </c>
      <c r="R140" s="4057" t="s">
        <v>80</v>
      </c>
    </row>
    <row r="141" spans="2:18">
      <c r="B141" s="4339" t="s">
        <v>128</v>
      </c>
      <c r="C141" s="4340">
        <f>ROUNDUP(C88*0.1,0)</f>
        <v>1623040597</v>
      </c>
      <c r="D141" s="4339"/>
      <c r="E141" s="4018"/>
      <c r="F141" s="4018"/>
      <c r="G141" s="4018"/>
      <c r="H141" s="4341"/>
      <c r="I141" s="4022" t="e">
        <f>ROUNDUP(SUM(I88,I89)*0.1,0)</f>
        <v>#REF!</v>
      </c>
      <c r="J141" s="4018"/>
      <c r="K141" s="4018"/>
      <c r="L141" s="4018"/>
      <c r="M141" s="4018"/>
      <c r="N141" s="4341"/>
      <c r="O141" s="5852" t="e">
        <f>ROUNDUP(SUM(O88,O89)*0.1,0)</f>
        <v>#REF!</v>
      </c>
      <c r="P141" s="4349" t="e">
        <f>ROUNDUP(SUM(P88,P89)*0.1,0)</f>
        <v>#REF!</v>
      </c>
      <c r="Q141" s="4057" t="e">
        <f>SUM(P141)-C141</f>
        <v>#REF!</v>
      </c>
      <c r="R141" s="4057" t="e">
        <f>SUM(P141)-C141</f>
        <v>#REF!</v>
      </c>
    </row>
    <row r="142" spans="2:18" ht="19.5" thickBot="1">
      <c r="B142" s="4342" t="s">
        <v>129</v>
      </c>
      <c r="C142" s="6291">
        <f>SUM(I39,I41,I42)*0.1+SUM(O39,O41,O42)*0.1</f>
        <v>555859631.23800004</v>
      </c>
      <c r="D142" s="6292" t="s">
        <v>130</v>
      </c>
      <c r="E142" s="4343"/>
      <c r="F142" s="4343"/>
      <c r="G142" s="4343"/>
      <c r="H142" s="4344"/>
      <c r="I142" s="4347">
        <f>ROUNDUP(SUM(I93,I94)*0.1,0)</f>
        <v>394204099</v>
      </c>
      <c r="J142" s="4342" t="s">
        <v>130</v>
      </c>
      <c r="K142" s="4343"/>
      <c r="L142" s="4343"/>
      <c r="M142" s="4343"/>
      <c r="N142" s="4344"/>
      <c r="O142" s="4345">
        <f>ROUNDUP(SUM(O91,O93,O94)*0.1,0)</f>
        <v>147362825</v>
      </c>
      <c r="P142" s="4350">
        <f>SUM(I142,O142)</f>
        <v>541566924</v>
      </c>
      <c r="Q142" s="4057">
        <f>SUM(P142)-C142</f>
        <v>-14292707.238000035</v>
      </c>
      <c r="R142" s="4057">
        <f>SUM(P142)-C142</f>
        <v>-14292707.238000035</v>
      </c>
    </row>
    <row r="143" spans="2:18" ht="19.5" thickTop="1">
      <c r="B143" s="4146" t="s">
        <v>131</v>
      </c>
      <c r="R143" s="4057"/>
    </row>
    <row r="144" spans="2:18">
      <c r="R144" s="4057"/>
    </row>
    <row r="145" spans="2:18">
      <c r="R145" s="4057"/>
    </row>
    <row r="146" spans="2:18" ht="26" hidden="1" thickBot="1">
      <c r="B146" s="4215" t="s">
        <v>132</v>
      </c>
      <c r="C146" s="4211"/>
      <c r="J146" s="4195"/>
      <c r="O146" s="4196"/>
      <c r="P146" s="2486" t="s">
        <v>133</v>
      </c>
      <c r="R146" s="4057"/>
    </row>
    <row r="147" spans="2:18" ht="22.5" hidden="1" customHeight="1">
      <c r="B147" s="6286" t="s">
        <v>57</v>
      </c>
      <c r="C147" s="4288" t="s">
        <v>134</v>
      </c>
      <c r="D147" s="4289" t="s">
        <v>135</v>
      </c>
      <c r="E147" s="4290">
        <v>16900</v>
      </c>
      <c r="F147" s="4290">
        <v>58451</v>
      </c>
      <c r="G147" s="4290">
        <v>1</v>
      </c>
      <c r="H147" s="4290"/>
      <c r="I147" s="4290">
        <f t="shared" ref="I147:I148" si="46">E147*F147*G147</f>
        <v>987821900</v>
      </c>
      <c r="J147" s="4291" t="s">
        <v>135</v>
      </c>
      <c r="K147" s="4290">
        <v>16900</v>
      </c>
      <c r="L147" s="4290">
        <v>31699</v>
      </c>
      <c r="M147" s="4290">
        <v>1</v>
      </c>
      <c r="N147" s="4290">
        <f t="shared" ref="N147" si="47">L147*M147</f>
        <v>31699</v>
      </c>
      <c r="O147" s="4292">
        <f t="shared" ref="O147:O148" si="48">K147*L147*M147</f>
        <v>535713100</v>
      </c>
      <c r="P147" s="4293">
        <f>I147+O147-I148-O148</f>
        <v>428668500</v>
      </c>
      <c r="R147" s="4057"/>
    </row>
    <row r="148" spans="2:18" ht="22.5" hidden="1" customHeight="1">
      <c r="B148" s="6284"/>
      <c r="C148" s="4211" t="s">
        <v>136</v>
      </c>
      <c r="D148" s="2486" t="s">
        <v>135</v>
      </c>
      <c r="E148" s="4064">
        <v>16900</v>
      </c>
      <c r="F148" s="4064">
        <f>3546*11</f>
        <v>39006</v>
      </c>
      <c r="G148" s="4064">
        <v>1</v>
      </c>
      <c r="H148" s="4014">
        <f>F148*G148</f>
        <v>39006</v>
      </c>
      <c r="I148" s="4064">
        <f t="shared" si="46"/>
        <v>659201400</v>
      </c>
      <c r="J148" s="4197" t="s">
        <v>135</v>
      </c>
      <c r="K148" s="4064">
        <v>16900</v>
      </c>
      <c r="L148" s="4064">
        <f>1983*13</f>
        <v>25779</v>
      </c>
      <c r="M148" s="4064">
        <v>1</v>
      </c>
      <c r="N148" s="4014">
        <f>L148*M148</f>
        <v>25779</v>
      </c>
      <c r="O148" s="4198">
        <f t="shared" si="48"/>
        <v>435665100</v>
      </c>
      <c r="P148" s="4064"/>
      <c r="R148" s="4057"/>
    </row>
    <row r="149" spans="2:18" ht="22.5" hidden="1">
      <c r="B149" s="5859"/>
      <c r="C149" s="4294" t="s">
        <v>134</v>
      </c>
      <c r="D149" s="4295" t="str">
        <f t="shared" ref="D149:O149" si="49">D49</f>
        <v>コンテナ（選手団・NOC）※3食</v>
      </c>
      <c r="E149" s="4296">
        <f t="shared" si="49"/>
        <v>21000</v>
      </c>
      <c r="F149" s="4296">
        <f t="shared" si="49"/>
        <v>22972</v>
      </c>
      <c r="G149" s="4296">
        <f t="shared" si="49"/>
        <v>1</v>
      </c>
      <c r="H149" s="4296">
        <f t="shared" si="49"/>
        <v>0</v>
      </c>
      <c r="I149" s="4296">
        <f t="shared" si="49"/>
        <v>482412000</v>
      </c>
      <c r="J149" s="4297" t="str">
        <f t="shared" si="49"/>
        <v>コンテナ（選手団・NOC）※3食</v>
      </c>
      <c r="K149" s="4296">
        <f t="shared" si="49"/>
        <v>21000</v>
      </c>
      <c r="L149" s="4296">
        <f t="shared" si="49"/>
        <v>8640</v>
      </c>
      <c r="M149" s="4296">
        <f t="shared" si="49"/>
        <v>1</v>
      </c>
      <c r="N149" s="4296">
        <f t="shared" si="49"/>
        <v>8640</v>
      </c>
      <c r="O149" s="4298">
        <f t="shared" si="49"/>
        <v>181440000</v>
      </c>
      <c r="P149" s="4299">
        <f>I149+O149-I150-O150-O151</f>
        <v>319536000</v>
      </c>
      <c r="R149" s="4057"/>
    </row>
    <row r="150" spans="2:18" hidden="1">
      <c r="B150" s="5859"/>
      <c r="C150" s="4211" t="s">
        <v>136</v>
      </c>
      <c r="D150" s="2486" t="s">
        <v>137</v>
      </c>
      <c r="E150" s="4176">
        <v>21000</v>
      </c>
      <c r="F150" s="4176">
        <f>725*11</f>
        <v>7975</v>
      </c>
      <c r="G150" s="4176">
        <v>1</v>
      </c>
      <c r="H150" s="4177">
        <v>7975</v>
      </c>
      <c r="I150" s="4176">
        <v>167475000</v>
      </c>
      <c r="J150" s="4199" t="s">
        <v>61</v>
      </c>
      <c r="K150" s="4176">
        <v>21000</v>
      </c>
      <c r="L150" s="4176">
        <f>417*13</f>
        <v>5421</v>
      </c>
      <c r="M150" s="4176">
        <v>1</v>
      </c>
      <c r="N150" s="4177">
        <v>5421</v>
      </c>
      <c r="O150" s="4200">
        <v>113841000</v>
      </c>
      <c r="P150" s="4057"/>
      <c r="R150" s="4057"/>
    </row>
    <row r="151" spans="2:18" ht="19.5" hidden="1" thickBot="1">
      <c r="B151" s="6287"/>
      <c r="C151" s="4212"/>
      <c r="D151" s="4173"/>
      <c r="E151" s="4174"/>
      <c r="F151" s="4174"/>
      <c r="G151" s="4174"/>
      <c r="H151" s="4175"/>
      <c r="I151" s="4174"/>
      <c r="J151" s="4201" t="s">
        <v>138</v>
      </c>
      <c r="K151" s="4174">
        <v>21000</v>
      </c>
      <c r="L151" s="4174">
        <v>3000</v>
      </c>
      <c r="M151" s="4174">
        <v>1</v>
      </c>
      <c r="N151" s="4175">
        <f>L151*M151</f>
        <v>3000</v>
      </c>
      <c r="O151" s="4202">
        <f t="shared" ref="O151" si="50">K151*L151*M151</f>
        <v>63000000</v>
      </c>
      <c r="P151" s="4181"/>
      <c r="R151" s="4057"/>
    </row>
    <row r="152" spans="2:18" ht="22.5" hidden="1">
      <c r="B152" s="6288" t="s">
        <v>63</v>
      </c>
      <c r="C152" s="4288" t="s">
        <v>134</v>
      </c>
      <c r="D152" s="4300" t="str">
        <f t="shared" ref="D152:O152" si="51">D50</f>
        <v>ホテル自前</v>
      </c>
      <c r="E152" s="4300">
        <f t="shared" si="51"/>
        <v>19000</v>
      </c>
      <c r="F152" s="4300">
        <f t="shared" si="51"/>
        <v>8364</v>
      </c>
      <c r="G152" s="4300">
        <f t="shared" si="51"/>
        <v>1</v>
      </c>
      <c r="H152" s="4300">
        <f t="shared" si="51"/>
        <v>0</v>
      </c>
      <c r="I152" s="4300">
        <f t="shared" si="51"/>
        <v>158916000</v>
      </c>
      <c r="J152" s="4301" t="str">
        <f t="shared" si="51"/>
        <v>ホテル自前</v>
      </c>
      <c r="K152" s="4300">
        <f t="shared" si="51"/>
        <v>19000</v>
      </c>
      <c r="L152" s="4300">
        <f t="shared" si="51"/>
        <v>5536</v>
      </c>
      <c r="M152" s="4300">
        <f t="shared" si="51"/>
        <v>1</v>
      </c>
      <c r="N152" s="4300">
        <f t="shared" si="51"/>
        <v>5536</v>
      </c>
      <c r="O152" s="4302">
        <f t="shared" si="51"/>
        <v>105184000</v>
      </c>
      <c r="P152" s="4303">
        <f>I152+O152+I153+O153-I154-O154</f>
        <v>-554724000</v>
      </c>
      <c r="R152" s="4057"/>
    </row>
    <row r="153" spans="2:18" ht="22.5" hidden="1">
      <c r="B153" s="5859"/>
      <c r="C153" s="4274" t="s">
        <v>134</v>
      </c>
      <c r="D153" s="4304" t="s">
        <v>60</v>
      </c>
      <c r="E153" s="4304">
        <v>19000</v>
      </c>
      <c r="F153" s="4304">
        <v>14409</v>
      </c>
      <c r="G153" s="4304">
        <v>1</v>
      </c>
      <c r="H153" s="4304"/>
      <c r="I153" s="4304">
        <v>273771000</v>
      </c>
      <c r="J153" s="4305" t="s">
        <v>60</v>
      </c>
      <c r="K153" s="4304">
        <v>19000</v>
      </c>
      <c r="L153" s="4304">
        <v>5760</v>
      </c>
      <c r="M153" s="4304">
        <v>1</v>
      </c>
      <c r="N153" s="4304"/>
      <c r="O153" s="4306">
        <v>109440000</v>
      </c>
      <c r="P153" s="4307"/>
      <c r="R153" s="4057"/>
    </row>
    <row r="154" spans="2:18" ht="22.5" hidden="1">
      <c r="B154" s="5859"/>
      <c r="C154" s="4213" t="s">
        <v>136</v>
      </c>
      <c r="D154" s="4179" t="s">
        <v>139</v>
      </c>
      <c r="E154" s="4179">
        <v>19000</v>
      </c>
      <c r="F154" s="4179">
        <f>4189*11</f>
        <v>46079</v>
      </c>
      <c r="G154" s="4179">
        <v>1</v>
      </c>
      <c r="H154" s="4180">
        <f>F154*G154</f>
        <v>46079</v>
      </c>
      <c r="I154" s="4179">
        <f t="shared" ref="I154" si="52">E154*F154*G154</f>
        <v>875501000</v>
      </c>
      <c r="J154" s="4203" t="s">
        <v>139</v>
      </c>
      <c r="K154" s="4179">
        <v>19000</v>
      </c>
      <c r="L154" s="4179">
        <f>1322*13</f>
        <v>17186</v>
      </c>
      <c r="M154" s="4179">
        <v>1</v>
      </c>
      <c r="N154" s="4180">
        <f>L154*M154</f>
        <v>17186</v>
      </c>
      <c r="O154" s="4204">
        <f t="shared" ref="O154" si="53">K154*L154*M154</f>
        <v>326534000</v>
      </c>
      <c r="P154" s="4182"/>
      <c r="R154" s="4057"/>
    </row>
    <row r="155" spans="2:18" ht="22.5" hidden="1">
      <c r="B155" s="5859"/>
      <c r="C155" s="4274" t="s">
        <v>134</v>
      </c>
      <c r="D155" s="4304" t="str">
        <f t="shared" ref="D155:O155" si="54">D52</f>
        <v>完調品対応</v>
      </c>
      <c r="E155" s="4304">
        <f t="shared" si="54"/>
        <v>22164</v>
      </c>
      <c r="F155" s="4304">
        <f t="shared" si="54"/>
        <v>30603</v>
      </c>
      <c r="G155" s="4304">
        <f t="shared" si="54"/>
        <v>1</v>
      </c>
      <c r="H155" s="4304">
        <f t="shared" si="54"/>
        <v>0</v>
      </c>
      <c r="I155" s="4304">
        <f t="shared" si="54"/>
        <v>678284892</v>
      </c>
      <c r="J155" s="4305" t="str">
        <f t="shared" si="54"/>
        <v>完調品対応</v>
      </c>
      <c r="K155" s="4304">
        <f t="shared" si="54"/>
        <v>22164</v>
      </c>
      <c r="L155" s="4304">
        <f t="shared" si="54"/>
        <v>15597</v>
      </c>
      <c r="M155" s="4304">
        <f t="shared" si="54"/>
        <v>1</v>
      </c>
      <c r="N155" s="4304">
        <f t="shared" si="54"/>
        <v>15597</v>
      </c>
      <c r="O155" s="4306">
        <f t="shared" si="54"/>
        <v>345691908</v>
      </c>
      <c r="P155" s="4307">
        <f>I155+O155-I156-O156</f>
        <v>871501800</v>
      </c>
      <c r="R155" s="4057"/>
    </row>
    <row r="156" spans="2:18" ht="19.5" hidden="1" thickBot="1">
      <c r="B156" s="6287"/>
      <c r="C156" s="4212" t="s">
        <v>136</v>
      </c>
      <c r="D156" s="4173" t="s">
        <v>137</v>
      </c>
      <c r="E156" s="4174">
        <v>19000</v>
      </c>
      <c r="F156" s="4174">
        <f>401*11</f>
        <v>4411</v>
      </c>
      <c r="G156" s="4174">
        <v>1</v>
      </c>
      <c r="H156" s="4175">
        <f>F156*G156</f>
        <v>4411</v>
      </c>
      <c r="I156" s="4174">
        <f t="shared" ref="I156:I164" si="55">E156*F156*G156</f>
        <v>83809000</v>
      </c>
      <c r="J156" s="4201" t="s">
        <v>137</v>
      </c>
      <c r="K156" s="4174">
        <v>19000</v>
      </c>
      <c r="L156" s="4174">
        <f>278*13</f>
        <v>3614</v>
      </c>
      <c r="M156" s="4174">
        <v>1</v>
      </c>
      <c r="N156" s="4175">
        <f>L156*M156</f>
        <v>3614</v>
      </c>
      <c r="O156" s="4202">
        <f t="shared" ref="O156:O162" si="56">K156*L156*M156</f>
        <v>68666000</v>
      </c>
      <c r="P156" s="4184"/>
      <c r="R156" s="4057"/>
    </row>
    <row r="157" spans="2:18" ht="22.5" hidden="1">
      <c r="B157" s="6288" t="s">
        <v>65</v>
      </c>
      <c r="C157" s="4288" t="s">
        <v>134</v>
      </c>
      <c r="D157" s="4290" t="s">
        <v>139</v>
      </c>
      <c r="E157" s="4290">
        <v>880</v>
      </c>
      <c r="F157" s="4290">
        <v>97418</v>
      </c>
      <c r="G157" s="4290">
        <v>1</v>
      </c>
      <c r="H157" s="4290"/>
      <c r="I157" s="4290">
        <f t="shared" si="55"/>
        <v>85727840</v>
      </c>
      <c r="J157" s="4291" t="s">
        <v>139</v>
      </c>
      <c r="K157" s="4290">
        <v>880</v>
      </c>
      <c r="L157" s="4290">
        <v>52832</v>
      </c>
      <c r="M157" s="4290">
        <v>1</v>
      </c>
      <c r="N157" s="4290">
        <f t="shared" ref="N157:N160" si="57">L157*M157</f>
        <v>52832</v>
      </c>
      <c r="O157" s="4292">
        <f t="shared" si="56"/>
        <v>46492160</v>
      </c>
      <c r="P157" s="4293">
        <f>I157+O157-I158-O158</f>
        <v>5016000</v>
      </c>
      <c r="R157" s="4057"/>
    </row>
    <row r="158" spans="2:18" ht="22.5" hidden="1">
      <c r="B158" s="5859"/>
      <c r="C158" s="4211" t="s">
        <v>136</v>
      </c>
      <c r="D158" s="4064" t="s">
        <v>139</v>
      </c>
      <c r="E158" s="4064">
        <v>880</v>
      </c>
      <c r="F158" s="4064">
        <f>9235*11</f>
        <v>101585</v>
      </c>
      <c r="G158" s="4064">
        <v>1</v>
      </c>
      <c r="H158" s="4014">
        <f t="shared" ref="H158" si="58">F158*G158</f>
        <v>101585</v>
      </c>
      <c r="I158" s="4064">
        <f t="shared" si="55"/>
        <v>89394800</v>
      </c>
      <c r="J158" s="4197" t="s">
        <v>139</v>
      </c>
      <c r="K158" s="4064">
        <v>880</v>
      </c>
      <c r="L158" s="4064">
        <f>3305*13</f>
        <v>42965</v>
      </c>
      <c r="M158" s="4064">
        <v>1</v>
      </c>
      <c r="N158" s="4014">
        <f t="shared" si="57"/>
        <v>42965</v>
      </c>
      <c r="O158" s="4198">
        <f t="shared" si="56"/>
        <v>37809200</v>
      </c>
      <c r="P158" s="4185"/>
      <c r="R158" s="4057"/>
    </row>
    <row r="159" spans="2:18" ht="22.5" hidden="1">
      <c r="B159" s="5859"/>
      <c r="C159" s="4281" t="s">
        <v>134</v>
      </c>
      <c r="D159" s="4283" t="s">
        <v>137</v>
      </c>
      <c r="E159" s="4283">
        <v>880</v>
      </c>
      <c r="F159" s="4283">
        <v>37381</v>
      </c>
      <c r="G159" s="4283">
        <v>1</v>
      </c>
      <c r="H159" s="4283"/>
      <c r="I159" s="4283">
        <f t="shared" si="55"/>
        <v>32895280</v>
      </c>
      <c r="J159" s="4308" t="s">
        <v>137</v>
      </c>
      <c r="K159" s="4283">
        <v>880</v>
      </c>
      <c r="L159" s="4283">
        <v>14400</v>
      </c>
      <c r="M159" s="4283">
        <v>1</v>
      </c>
      <c r="N159" s="4283">
        <f t="shared" si="57"/>
        <v>14400</v>
      </c>
      <c r="O159" s="4309">
        <f t="shared" si="56"/>
        <v>12672000</v>
      </c>
      <c r="P159" s="4287">
        <f>I159+O159-I160-O160</f>
        <v>27917120</v>
      </c>
      <c r="R159" s="4057"/>
    </row>
    <row r="160" spans="2:18" ht="22.5" hidden="1">
      <c r="B160" s="5859"/>
      <c r="C160" s="4213" t="s">
        <v>136</v>
      </c>
      <c r="D160" s="4189" t="s">
        <v>137</v>
      </c>
      <c r="E160" s="4189">
        <v>880</v>
      </c>
      <c r="F160" s="4189">
        <f>1002*11</f>
        <v>11022</v>
      </c>
      <c r="G160" s="4189">
        <v>1</v>
      </c>
      <c r="H160" s="4190">
        <f t="shared" ref="H160" si="59">F160*G160</f>
        <v>11022</v>
      </c>
      <c r="I160" s="4189">
        <f t="shared" si="55"/>
        <v>9699360</v>
      </c>
      <c r="J160" s="4205" t="s">
        <v>137</v>
      </c>
      <c r="K160" s="4189">
        <v>880</v>
      </c>
      <c r="L160" s="4189">
        <f>695*13</f>
        <v>9035</v>
      </c>
      <c r="M160" s="4189">
        <v>1</v>
      </c>
      <c r="N160" s="4190">
        <f t="shared" si="57"/>
        <v>9035</v>
      </c>
      <c r="O160" s="4206">
        <f t="shared" si="56"/>
        <v>7950800</v>
      </c>
      <c r="P160" s="4191"/>
      <c r="R160" s="4057"/>
    </row>
    <row r="161" spans="2:18" ht="22.5" hidden="1">
      <c r="B161" s="5859"/>
      <c r="C161" s="4274" t="s">
        <v>134</v>
      </c>
      <c r="D161" s="4276" t="s">
        <v>140</v>
      </c>
      <c r="E161" s="4276">
        <v>880</v>
      </c>
      <c r="F161" s="4276">
        <v>52582</v>
      </c>
      <c r="G161" s="4276">
        <v>1</v>
      </c>
      <c r="H161" s="4276"/>
      <c r="I161" s="4276">
        <f t="shared" si="55"/>
        <v>46272160</v>
      </c>
      <c r="J161" s="4277"/>
      <c r="K161" s="4278"/>
      <c r="L161" s="4278"/>
      <c r="M161" s="4278"/>
      <c r="N161" s="4278"/>
      <c r="O161" s="4279">
        <f t="shared" si="56"/>
        <v>0</v>
      </c>
      <c r="P161" s="4280">
        <f>I161+O161-I162-O162</f>
        <v>7685920</v>
      </c>
      <c r="R161" s="4057"/>
    </row>
    <row r="162" spans="2:18" ht="19.5" hidden="1" thickBot="1">
      <c r="B162" s="6287"/>
      <c r="C162" s="4212" t="s">
        <v>136</v>
      </c>
      <c r="D162" s="4186" t="s">
        <v>140</v>
      </c>
      <c r="E162" s="4186">
        <v>880</v>
      </c>
      <c r="F162" s="4186">
        <f>2436*18</f>
        <v>43848</v>
      </c>
      <c r="G162" s="4186">
        <v>1</v>
      </c>
      <c r="H162" s="4187">
        <f t="shared" ref="H162" si="60">F162*G162</f>
        <v>43848</v>
      </c>
      <c r="I162" s="4186">
        <f t="shared" si="55"/>
        <v>38586240</v>
      </c>
      <c r="J162" s="4207"/>
      <c r="K162" s="4186"/>
      <c r="L162" s="4186"/>
      <c r="M162" s="4186"/>
      <c r="N162" s="4187"/>
      <c r="O162" s="4208">
        <f t="shared" si="56"/>
        <v>0</v>
      </c>
      <c r="P162" s="4186"/>
      <c r="R162" s="4057"/>
    </row>
    <row r="163" spans="2:18" ht="22.5" hidden="1">
      <c r="B163" s="5859" t="s">
        <v>67</v>
      </c>
      <c r="C163" s="4274" t="s">
        <v>134</v>
      </c>
      <c r="D163" s="4275" t="s">
        <v>140</v>
      </c>
      <c r="E163" s="4276">
        <v>21000</v>
      </c>
      <c r="F163" s="4276">
        <v>52582</v>
      </c>
      <c r="G163" s="4276">
        <v>1</v>
      </c>
      <c r="H163" s="4276"/>
      <c r="I163" s="4276">
        <f t="shared" si="55"/>
        <v>1104222000</v>
      </c>
      <c r="J163" s="4277"/>
      <c r="K163" s="4278"/>
      <c r="L163" s="4278"/>
      <c r="M163" s="4278"/>
      <c r="N163" s="4278"/>
      <c r="O163" s="4279"/>
      <c r="P163" s="4280">
        <f>I163+O163-I164-O164</f>
        <v>183414000</v>
      </c>
      <c r="R163" s="4057"/>
    </row>
    <row r="164" spans="2:18" ht="23" hidden="1" thickBot="1">
      <c r="B164" s="5859"/>
      <c r="C164" s="4211" t="s">
        <v>136</v>
      </c>
      <c r="D164" s="2486" t="s">
        <v>140</v>
      </c>
      <c r="E164" s="4064">
        <v>21000</v>
      </c>
      <c r="F164" s="4064">
        <f>2436*18</f>
        <v>43848</v>
      </c>
      <c r="G164" s="4064">
        <v>1</v>
      </c>
      <c r="H164" s="4014">
        <f t="shared" ref="H164" si="61">F164*G164</f>
        <v>43848</v>
      </c>
      <c r="I164" s="4064">
        <f t="shared" si="55"/>
        <v>920808000</v>
      </c>
      <c r="J164" s="4197"/>
      <c r="K164" s="4064"/>
      <c r="L164" s="4064"/>
      <c r="M164" s="4064"/>
      <c r="N164" s="4014"/>
      <c r="O164" s="4198"/>
      <c r="P164" s="4185"/>
      <c r="R164" s="4057"/>
    </row>
    <row r="165" spans="2:18" ht="19.5" hidden="1" thickBot="1">
      <c r="B165" s="6288" t="s">
        <v>68</v>
      </c>
      <c r="C165" s="4214" t="s">
        <v>141</v>
      </c>
      <c r="D165" s="4007"/>
      <c r="E165" s="4007"/>
      <c r="F165" s="4007"/>
      <c r="G165" s="4007"/>
      <c r="H165" s="4188"/>
      <c r="I165" s="4007"/>
      <c r="J165" s="4209"/>
      <c r="K165" s="4007"/>
      <c r="L165" s="4007"/>
      <c r="M165" s="4007"/>
      <c r="N165" s="4188"/>
      <c r="O165" s="4210"/>
      <c r="P165" s="4007"/>
      <c r="Q165" s="2486" t="s">
        <v>141</v>
      </c>
      <c r="R165" s="4057" t="s">
        <v>141</v>
      </c>
    </row>
    <row r="166" spans="2:18" ht="22.5" hidden="1">
      <c r="B166" s="6288" t="s">
        <v>73</v>
      </c>
      <c r="C166" s="4288" t="s">
        <v>134</v>
      </c>
      <c r="D166" s="4289" t="s">
        <v>142</v>
      </c>
      <c r="E166" s="4290">
        <v>6000000</v>
      </c>
      <c r="F166" s="4290">
        <v>12</v>
      </c>
      <c r="G166" s="4290">
        <v>1</v>
      </c>
      <c r="H166" s="4290"/>
      <c r="I166" s="4290">
        <f t="shared" ref="I166:I168" si="62">E166*F166*G166</f>
        <v>72000000</v>
      </c>
      <c r="J166" s="4291" t="s">
        <v>142</v>
      </c>
      <c r="K166" s="4290">
        <v>2379000</v>
      </c>
      <c r="L166" s="4290">
        <v>7</v>
      </c>
      <c r="M166" s="4290">
        <v>1</v>
      </c>
      <c r="N166" s="4290"/>
      <c r="O166" s="4292">
        <f>K166*L166*M166</f>
        <v>16653000</v>
      </c>
      <c r="P166" s="4293">
        <f>I166+O166-I167-O167</f>
        <v>980</v>
      </c>
    </row>
    <row r="167" spans="2:18" ht="22.5" hidden="1">
      <c r="B167" s="5859"/>
      <c r="C167" s="4211" t="s">
        <v>136</v>
      </c>
      <c r="D167" s="2486" t="s">
        <v>139</v>
      </c>
      <c r="E167" s="4064">
        <v>6000000</v>
      </c>
      <c r="F167" s="4064">
        <v>12</v>
      </c>
      <c r="G167" s="4064">
        <v>1</v>
      </c>
      <c r="H167" s="4014"/>
      <c r="I167" s="4064">
        <f t="shared" si="62"/>
        <v>72000000</v>
      </c>
      <c r="J167" s="4197" t="s">
        <v>139</v>
      </c>
      <c r="K167" s="4064">
        <v>2378860</v>
      </c>
      <c r="L167" s="4064">
        <v>7</v>
      </c>
      <c r="M167" s="4064">
        <v>1</v>
      </c>
      <c r="N167" s="4014"/>
      <c r="O167" s="4198">
        <f>K167*L167*M167</f>
        <v>16652020</v>
      </c>
      <c r="P167" s="4185"/>
    </row>
    <row r="168" spans="2:18" ht="22.5" hidden="1">
      <c r="B168" s="5859"/>
      <c r="C168" s="4281" t="s">
        <v>134</v>
      </c>
      <c r="D168" s="4282" t="s">
        <v>143</v>
      </c>
      <c r="E168" s="4283">
        <v>9351000</v>
      </c>
      <c r="F168" s="4283">
        <v>1</v>
      </c>
      <c r="G168" s="4283">
        <v>1</v>
      </c>
      <c r="H168" s="4283"/>
      <c r="I168" s="4283">
        <f t="shared" si="62"/>
        <v>9351000</v>
      </c>
      <c r="J168" s="4284"/>
      <c r="K168" s="4285"/>
      <c r="L168" s="4285"/>
      <c r="M168" s="4285"/>
      <c r="N168" s="4285"/>
      <c r="O168" s="4286"/>
      <c r="P168" s="4287">
        <f>I168+O168-I169-O169</f>
        <v>9351000</v>
      </c>
    </row>
    <row r="169" spans="2:18" ht="22.5" hidden="1">
      <c r="B169" s="5859"/>
      <c r="C169" s="4213" t="s">
        <v>136</v>
      </c>
      <c r="D169" s="4178" t="s">
        <v>144</v>
      </c>
      <c r="E169" s="4189"/>
      <c r="F169" s="4189"/>
      <c r="G169" s="4189"/>
      <c r="H169" s="4190"/>
      <c r="I169" s="4189">
        <v>0</v>
      </c>
      <c r="J169" s="4205"/>
      <c r="K169" s="4189"/>
      <c r="L169" s="4189"/>
      <c r="M169" s="4189"/>
      <c r="N169" s="4190"/>
      <c r="O169" s="4206"/>
      <c r="P169" s="4191"/>
    </row>
    <row r="170" spans="2:18" ht="22.5" hidden="1">
      <c r="B170" s="5859"/>
      <c r="C170" s="4274" t="s">
        <v>134</v>
      </c>
      <c r="D170" s="4275" t="s">
        <v>145</v>
      </c>
      <c r="E170" s="4276">
        <v>1107000</v>
      </c>
      <c r="F170" s="4276">
        <v>1</v>
      </c>
      <c r="G170" s="4276">
        <v>1</v>
      </c>
      <c r="H170" s="4276"/>
      <c r="I170" s="4276">
        <f t="shared" ref="I170" si="63">E170*F170*G170</f>
        <v>1107000</v>
      </c>
      <c r="J170" s="4277"/>
      <c r="K170" s="4278"/>
      <c r="L170" s="4278"/>
      <c r="M170" s="4278"/>
      <c r="N170" s="4278"/>
      <c r="O170" s="4279"/>
      <c r="P170" s="4280">
        <f>I170+O170-I171-O171</f>
        <v>1107000</v>
      </c>
    </row>
    <row r="171" spans="2:18" ht="23" hidden="1" thickBot="1">
      <c r="B171" s="6287"/>
      <c r="C171" s="4212" t="s">
        <v>136</v>
      </c>
      <c r="D171" s="4173" t="s">
        <v>144</v>
      </c>
      <c r="E171" s="4186"/>
      <c r="F171" s="4186"/>
      <c r="G171" s="4186"/>
      <c r="H171" s="4187"/>
      <c r="I171" s="4186">
        <v>0</v>
      </c>
      <c r="J171" s="4207"/>
      <c r="K171" s="4186"/>
      <c r="L171" s="4186"/>
      <c r="M171" s="4186"/>
      <c r="N171" s="4187"/>
      <c r="O171" s="4208"/>
      <c r="P171" s="4192"/>
    </row>
    <row r="172" spans="2:18" hidden="1"/>
    <row r="173" spans="2:18" ht="25.5" hidden="1">
      <c r="B173" s="6284" t="s">
        <v>146</v>
      </c>
    </row>
    <row r="174" spans="2:18" ht="22.5" hidden="1">
      <c r="B174" s="6285" t="s">
        <v>147</v>
      </c>
    </row>
    <row r="175" spans="2:18" ht="22.5" hidden="1">
      <c r="B175" s="6285" t="s">
        <v>148</v>
      </c>
    </row>
    <row r="176" spans="2:18" hidden="1"/>
    <row r="177" spans="2:16" hidden="1">
      <c r="E177" s="4057"/>
      <c r="F177" s="4057"/>
      <c r="G177" s="4057"/>
      <c r="H177" s="4217"/>
      <c r="I177" s="4057"/>
      <c r="J177" s="4057"/>
      <c r="K177" s="4057"/>
      <c r="L177" s="4057"/>
      <c r="M177" s="4057"/>
      <c r="N177" s="4217"/>
      <c r="O177" s="4057"/>
      <c r="P177" s="4057"/>
    </row>
    <row r="178" spans="2:16" ht="26" hidden="1" thickBot="1">
      <c r="B178" s="4216" t="s">
        <v>149</v>
      </c>
      <c r="C178" s="4211"/>
      <c r="D178" s="4195"/>
      <c r="E178" s="4057"/>
      <c r="F178" s="4057"/>
      <c r="G178" s="4057"/>
      <c r="H178" s="4217"/>
      <c r="I178" s="4223"/>
      <c r="J178" s="4057"/>
      <c r="K178" s="4057"/>
      <c r="L178" s="4057"/>
      <c r="M178" s="4057"/>
      <c r="N178" s="4217"/>
      <c r="O178" s="4223"/>
      <c r="P178" s="2486" t="s">
        <v>133</v>
      </c>
    </row>
    <row r="179" spans="2:16" ht="22.5" hidden="1" customHeight="1">
      <c r="B179" s="6288" t="s">
        <v>81</v>
      </c>
      <c r="C179" s="4248" t="s">
        <v>150</v>
      </c>
      <c r="D179" s="4252" t="s">
        <v>50</v>
      </c>
      <c r="E179" s="4253">
        <v>3343936983</v>
      </c>
      <c r="F179" s="4253">
        <v>1</v>
      </c>
      <c r="G179" s="4253">
        <v>1</v>
      </c>
      <c r="H179" s="4253"/>
      <c r="I179" s="4254">
        <f t="shared" ref="I179:I189" si="64">E179*F179*G179</f>
        <v>3343936983</v>
      </c>
      <c r="J179" s="4253" t="s">
        <v>50</v>
      </c>
      <c r="K179" s="4253">
        <v>2615539538</v>
      </c>
      <c r="L179" s="4253">
        <v>1</v>
      </c>
      <c r="M179" s="4253">
        <v>1</v>
      </c>
      <c r="N179" s="4253"/>
      <c r="O179" s="4254">
        <f t="shared" ref="O179:O189" si="65">K179*L179*M179</f>
        <v>2615539538</v>
      </c>
      <c r="P179" s="4255">
        <f>I179+O179-I180-O180</f>
        <v>320728521</v>
      </c>
    </row>
    <row r="180" spans="2:16" ht="22.5" hidden="1">
      <c r="B180" s="5859"/>
      <c r="C180" s="4245" t="s">
        <v>151</v>
      </c>
      <c r="D180" s="4226" t="s">
        <v>50</v>
      </c>
      <c r="E180" s="4243">
        <v>3042692000</v>
      </c>
      <c r="F180" s="4243">
        <v>1</v>
      </c>
      <c r="G180" s="4243">
        <v>1</v>
      </c>
      <c r="H180" s="4244"/>
      <c r="I180" s="4233">
        <f t="shared" si="64"/>
        <v>3042692000</v>
      </c>
      <c r="J180" s="4243" t="s">
        <v>50</v>
      </c>
      <c r="K180" s="4243">
        <v>2596056000</v>
      </c>
      <c r="L180" s="4243">
        <v>1</v>
      </c>
      <c r="M180" s="4243">
        <v>1</v>
      </c>
      <c r="N180" s="4244"/>
      <c r="O180" s="4233">
        <f t="shared" si="65"/>
        <v>2596056000</v>
      </c>
      <c r="P180" s="4183"/>
    </row>
    <row r="181" spans="2:16" ht="22.5" hidden="1">
      <c r="B181" s="5859"/>
      <c r="C181" s="4249" t="s">
        <v>152</v>
      </c>
      <c r="D181" s="4256" t="s">
        <v>153</v>
      </c>
      <c r="E181" s="4257">
        <v>2334813782</v>
      </c>
      <c r="F181" s="4257">
        <v>1</v>
      </c>
      <c r="G181" s="4257">
        <v>1</v>
      </c>
      <c r="H181" s="4257"/>
      <c r="I181" s="4258">
        <f t="shared" si="64"/>
        <v>2334813782</v>
      </c>
      <c r="J181" s="4257" t="s">
        <v>153</v>
      </c>
      <c r="K181" s="4257">
        <v>470883600</v>
      </c>
      <c r="L181" s="4257">
        <v>1</v>
      </c>
      <c r="M181" s="4257">
        <v>1</v>
      </c>
      <c r="N181" s="4257"/>
      <c r="O181" s="4258">
        <f t="shared" si="65"/>
        <v>470883600</v>
      </c>
      <c r="P181" s="4259">
        <f>I181+O181-I182-O182</f>
        <v>-728328848</v>
      </c>
    </row>
    <row r="182" spans="2:16" ht="22.5" hidden="1">
      <c r="B182" s="5859"/>
      <c r="C182" s="4246" t="s">
        <v>154</v>
      </c>
      <c r="D182" s="4238" t="s">
        <v>153</v>
      </c>
      <c r="E182" s="4239">
        <v>2886270341</v>
      </c>
      <c r="F182" s="4239">
        <v>1</v>
      </c>
      <c r="G182" s="4239">
        <v>1</v>
      </c>
      <c r="H182" s="4240"/>
      <c r="I182" s="4241">
        <f t="shared" si="64"/>
        <v>2886270341</v>
      </c>
      <c r="J182" s="4239" t="s">
        <v>153</v>
      </c>
      <c r="K182" s="4239">
        <v>647755889</v>
      </c>
      <c r="L182" s="4239">
        <v>1</v>
      </c>
      <c r="M182" s="4239">
        <v>1</v>
      </c>
      <c r="N182" s="4240"/>
      <c r="O182" s="4241">
        <f t="shared" si="65"/>
        <v>647755889</v>
      </c>
      <c r="P182" s="4182"/>
    </row>
    <row r="183" spans="2:16" ht="22.5" hidden="1">
      <c r="B183" s="5859"/>
      <c r="C183" s="4249" t="s">
        <v>155</v>
      </c>
      <c r="D183" s="4256" t="s">
        <v>156</v>
      </c>
      <c r="E183" s="4257">
        <v>1469155319.8399999</v>
      </c>
      <c r="F183" s="4257">
        <v>1</v>
      </c>
      <c r="G183" s="4257">
        <v>1</v>
      </c>
      <c r="H183" s="4257"/>
      <c r="I183" s="4258">
        <f t="shared" si="64"/>
        <v>1469155319.8399999</v>
      </c>
      <c r="J183" s="4257" t="s">
        <v>156</v>
      </c>
      <c r="K183" s="4257">
        <v>364022448.31999999</v>
      </c>
      <c r="L183" s="4257">
        <v>1</v>
      </c>
      <c r="M183" s="4257">
        <v>1</v>
      </c>
      <c r="N183" s="4257"/>
      <c r="O183" s="4258">
        <f t="shared" si="65"/>
        <v>364022448.31999999</v>
      </c>
      <c r="P183" s="4260">
        <f>I183+O183-I184-O184</f>
        <v>891998816.15999985</v>
      </c>
    </row>
    <row r="184" spans="2:16" ht="22.5" hidden="1">
      <c r="B184" s="5859"/>
      <c r="C184" s="4246" t="s">
        <v>157</v>
      </c>
      <c r="D184" s="4238" t="s">
        <v>156</v>
      </c>
      <c r="E184" s="4239">
        <v>723774664</v>
      </c>
      <c r="F184" s="4239">
        <v>1</v>
      </c>
      <c r="G184" s="4239">
        <v>1</v>
      </c>
      <c r="H184" s="4240"/>
      <c r="I184" s="4241">
        <f t="shared" si="64"/>
        <v>723774664</v>
      </c>
      <c r="J184" s="4239" t="s">
        <v>156</v>
      </c>
      <c r="K184" s="4239">
        <v>217404288</v>
      </c>
      <c r="L184" s="4239">
        <v>1</v>
      </c>
      <c r="M184" s="4239">
        <v>1</v>
      </c>
      <c r="N184" s="4240"/>
      <c r="O184" s="4241">
        <f t="shared" si="65"/>
        <v>217404288</v>
      </c>
      <c r="P184" s="4242"/>
    </row>
    <row r="185" spans="2:16" ht="22.5" hidden="1">
      <c r="B185" s="5859"/>
      <c r="C185" s="4250" t="s">
        <v>158</v>
      </c>
      <c r="D185" s="4261" t="s">
        <v>159</v>
      </c>
      <c r="E185" s="4262">
        <v>1353014496.72</v>
      </c>
      <c r="F185" s="4262">
        <v>1</v>
      </c>
      <c r="G185" s="4262">
        <v>1</v>
      </c>
      <c r="H185" s="4262"/>
      <c r="I185" s="4263">
        <f t="shared" si="64"/>
        <v>1353014496.72</v>
      </c>
      <c r="J185" s="4262" t="s">
        <v>159</v>
      </c>
      <c r="K185" s="4262">
        <v>728165194.74000001</v>
      </c>
      <c r="L185" s="4262">
        <v>1</v>
      </c>
      <c r="M185" s="4262">
        <v>1</v>
      </c>
      <c r="N185" s="4262"/>
      <c r="O185" s="4263">
        <f t="shared" si="65"/>
        <v>728165194.74000001</v>
      </c>
      <c r="P185" s="4264">
        <f>I185+O185-I186-O186</f>
        <v>-1044194019.54</v>
      </c>
    </row>
    <row r="186" spans="2:16" ht="22.5" hidden="1">
      <c r="B186" s="5859"/>
      <c r="C186" s="4245" t="s">
        <v>160</v>
      </c>
      <c r="D186" s="4229" t="s">
        <v>159</v>
      </c>
      <c r="E186" s="4231">
        <v>2342187094</v>
      </c>
      <c r="F186" s="4231">
        <v>1</v>
      </c>
      <c r="G186" s="4231">
        <v>1</v>
      </c>
      <c r="H186" s="4232"/>
      <c r="I186" s="4233">
        <f t="shared" si="64"/>
        <v>2342187094</v>
      </c>
      <c r="J186" s="4231" t="s">
        <v>159</v>
      </c>
      <c r="K186" s="4231">
        <v>783186617</v>
      </c>
      <c r="L186" s="4231">
        <v>1</v>
      </c>
      <c r="M186" s="4231">
        <v>1</v>
      </c>
      <c r="N186" s="4232"/>
      <c r="O186" s="4233">
        <f t="shared" si="65"/>
        <v>783186617</v>
      </c>
      <c r="P186" s="4242"/>
    </row>
    <row r="187" spans="2:16" ht="22.5" hidden="1">
      <c r="B187" s="5859"/>
      <c r="C187" s="4249" t="s">
        <v>161</v>
      </c>
      <c r="D187" s="4256" t="s">
        <v>162</v>
      </c>
      <c r="E187" s="4257">
        <v>2133836764.1599998</v>
      </c>
      <c r="F187" s="4257">
        <v>1</v>
      </c>
      <c r="G187" s="4257">
        <v>1</v>
      </c>
      <c r="H187" s="4257"/>
      <c r="I187" s="4258">
        <f t="shared" si="64"/>
        <v>2133836764.1599998</v>
      </c>
      <c r="J187" s="4257" t="s">
        <v>162</v>
      </c>
      <c r="K187" s="4257">
        <v>632477201.91999996</v>
      </c>
      <c r="L187" s="4257">
        <v>1</v>
      </c>
      <c r="M187" s="4257">
        <v>1</v>
      </c>
      <c r="N187" s="4257"/>
      <c r="O187" s="4258">
        <f t="shared" si="65"/>
        <v>632477201.91999996</v>
      </c>
      <c r="P187" s="4265">
        <f>I187+O187-I188-O188</f>
        <v>548347380.07999992</v>
      </c>
    </row>
    <row r="188" spans="2:16" ht="23" hidden="1" thickBot="1">
      <c r="B188" s="5859"/>
      <c r="C188" s="4247" t="s">
        <v>163</v>
      </c>
      <c r="D188" s="4237" t="s">
        <v>164</v>
      </c>
      <c r="E188" s="4234">
        <v>1766582476</v>
      </c>
      <c r="F188" s="4234">
        <v>1</v>
      </c>
      <c r="G188" s="4234">
        <v>1</v>
      </c>
      <c r="H188" s="4235"/>
      <c r="I188" s="4236">
        <f t="shared" si="64"/>
        <v>1766582476</v>
      </c>
      <c r="J188" s="4234" t="s">
        <v>164</v>
      </c>
      <c r="K188" s="4234">
        <v>451384110</v>
      </c>
      <c r="L188" s="4234">
        <v>1</v>
      </c>
      <c r="M188" s="4234">
        <v>1</v>
      </c>
      <c r="N188" s="4235"/>
      <c r="O188" s="4236">
        <f t="shared" si="65"/>
        <v>451384110</v>
      </c>
      <c r="P188" s="4220"/>
    </row>
    <row r="189" spans="2:16" ht="22.5" hidden="1">
      <c r="B189" s="6288" t="s">
        <v>57</v>
      </c>
      <c r="C189" s="4248" t="s">
        <v>150</v>
      </c>
      <c r="D189" s="4261" t="s">
        <v>165</v>
      </c>
      <c r="E189" s="4262">
        <v>79313574</v>
      </c>
      <c r="F189" s="4262">
        <v>1</v>
      </c>
      <c r="G189" s="4262">
        <v>1</v>
      </c>
      <c r="H189" s="4262"/>
      <c r="I189" s="4263">
        <f t="shared" si="64"/>
        <v>79313574</v>
      </c>
      <c r="J189" s="4262" t="s">
        <v>86</v>
      </c>
      <c r="K189" s="4262">
        <v>30879036</v>
      </c>
      <c r="L189" s="4262">
        <v>1</v>
      </c>
      <c r="M189" s="4262">
        <v>1</v>
      </c>
      <c r="N189" s="4262"/>
      <c r="O189" s="4263">
        <f t="shared" si="65"/>
        <v>30879036</v>
      </c>
      <c r="P189" s="4265">
        <f>I189+O189-I190-O190</f>
        <v>110192610</v>
      </c>
    </row>
    <row r="190" spans="2:16" ht="22.5" hidden="1">
      <c r="B190" s="5859"/>
      <c r="C190" s="4245" t="s">
        <v>151</v>
      </c>
      <c r="D190" s="4229" t="s">
        <v>144</v>
      </c>
      <c r="E190" s="4057"/>
      <c r="F190" s="4057"/>
      <c r="G190" s="4057"/>
      <c r="H190" s="4217"/>
      <c r="I190" s="4223">
        <v>0</v>
      </c>
      <c r="J190" s="4057" t="s">
        <v>144</v>
      </c>
      <c r="K190" s="4057"/>
      <c r="L190" s="4057"/>
      <c r="M190" s="4057"/>
      <c r="N190" s="4217"/>
      <c r="O190" s="4223">
        <v>0</v>
      </c>
      <c r="P190" s="4183"/>
    </row>
    <row r="191" spans="2:16" ht="22.5" hidden="1">
      <c r="B191" s="6289"/>
      <c r="C191" s="4249" t="s">
        <v>152</v>
      </c>
      <c r="D191" s="4268" t="s">
        <v>166</v>
      </c>
      <c r="E191" s="4269">
        <v>446246570</v>
      </c>
      <c r="F191" s="4269">
        <v>1</v>
      </c>
      <c r="G191" s="4269">
        <v>1</v>
      </c>
      <c r="H191" s="4269"/>
      <c r="I191" s="4270">
        <f>E191*F191*G191</f>
        <v>446246570</v>
      </c>
      <c r="J191" s="4269" t="s">
        <v>166</v>
      </c>
      <c r="K191" s="4269">
        <v>72406400</v>
      </c>
      <c r="L191" s="4269">
        <v>1</v>
      </c>
      <c r="M191" s="4269">
        <v>1</v>
      </c>
      <c r="N191" s="4269"/>
      <c r="O191" s="4270">
        <f t="shared" ref="O191:O197" si="66">K191*L191*M191</f>
        <v>72406400</v>
      </c>
      <c r="P191" s="4259">
        <f>I191+O191-I192-O192</f>
        <v>-46756030</v>
      </c>
    </row>
    <row r="192" spans="2:16" ht="21" hidden="1" customHeight="1" thickBot="1">
      <c r="B192" s="6290"/>
      <c r="C192" s="4247" t="s">
        <v>154</v>
      </c>
      <c r="D192" s="4224" t="s">
        <v>166</v>
      </c>
      <c r="E192" s="4181">
        <v>487472000</v>
      </c>
      <c r="F192" s="4181">
        <v>1</v>
      </c>
      <c r="G192" s="4181">
        <v>1</v>
      </c>
      <c r="H192" s="4218"/>
      <c r="I192" s="4225">
        <f t="shared" ref="I192" si="67">E192*F192*G192</f>
        <v>487472000</v>
      </c>
      <c r="J192" s="4181" t="s">
        <v>166</v>
      </c>
      <c r="K192" s="4181">
        <v>77937000</v>
      </c>
      <c r="L192" s="4181">
        <v>1</v>
      </c>
      <c r="M192" s="4181">
        <v>1</v>
      </c>
      <c r="N192" s="4218"/>
      <c r="O192" s="4225">
        <f t="shared" si="66"/>
        <v>77937000</v>
      </c>
      <c r="P192" s="4220"/>
    </row>
    <row r="193" spans="2:18" ht="22.5" hidden="1">
      <c r="B193" s="5859" t="s">
        <v>74</v>
      </c>
      <c r="C193" s="4250" t="s">
        <v>134</v>
      </c>
      <c r="D193" s="4266" t="s">
        <v>50</v>
      </c>
      <c r="E193" s="4267">
        <v>1597110727.9349999</v>
      </c>
      <c r="F193" s="4267">
        <v>1</v>
      </c>
      <c r="G193" s="4267">
        <v>1</v>
      </c>
      <c r="H193" s="4267"/>
      <c r="I193" s="4254">
        <f>E193*F193*G193</f>
        <v>1597110727.9349999</v>
      </c>
      <c r="J193" s="4267" t="s">
        <v>50</v>
      </c>
      <c r="K193" s="4267">
        <v>1084333133.4000001</v>
      </c>
      <c r="L193" s="4267">
        <v>1</v>
      </c>
      <c r="M193" s="4267">
        <v>1</v>
      </c>
      <c r="N193" s="4267"/>
      <c r="O193" s="4254">
        <f t="shared" si="66"/>
        <v>1084333133.4000001</v>
      </c>
      <c r="P193" s="4265">
        <f>I193+O193-I194-O194</f>
        <v>792220861.33500004</v>
      </c>
    </row>
    <row r="194" spans="2:18" ht="22.5" hidden="1">
      <c r="B194" s="5859"/>
      <c r="C194" s="4245" t="s">
        <v>136</v>
      </c>
      <c r="D194" s="4226" t="s">
        <v>135</v>
      </c>
      <c r="E194" s="4057">
        <v>858588000</v>
      </c>
      <c r="F194" s="4057">
        <v>1</v>
      </c>
      <c r="G194" s="4057">
        <v>1</v>
      </c>
      <c r="H194" s="4217"/>
      <c r="I194" s="4223">
        <f t="shared" ref="I194:I202" si="68">E194*F194*G194</f>
        <v>858588000</v>
      </c>
      <c r="J194" s="4057" t="s">
        <v>135</v>
      </c>
      <c r="K194" s="4057">
        <v>1030635000</v>
      </c>
      <c r="L194" s="4057">
        <v>1</v>
      </c>
      <c r="M194" s="4057">
        <v>1</v>
      </c>
      <c r="N194" s="4217"/>
      <c r="O194" s="4223">
        <f t="shared" si="66"/>
        <v>1030635000</v>
      </c>
      <c r="P194" s="4183"/>
    </row>
    <row r="195" spans="2:18" ht="22.5" hidden="1">
      <c r="B195" s="5859"/>
      <c r="C195" s="4249" t="s">
        <v>152</v>
      </c>
      <c r="D195" s="4268" t="s">
        <v>167</v>
      </c>
      <c r="E195" s="4269">
        <v>1140877642.102</v>
      </c>
      <c r="F195" s="4269">
        <v>1</v>
      </c>
      <c r="G195" s="4269">
        <v>1</v>
      </c>
      <c r="H195" s="4269"/>
      <c r="I195" s="4270">
        <f t="shared" si="68"/>
        <v>1140877642.102</v>
      </c>
      <c r="J195" s="4271" t="s">
        <v>167</v>
      </c>
      <c r="K195" s="4269">
        <v>288657600.00000006</v>
      </c>
      <c r="L195" s="4269">
        <v>1</v>
      </c>
      <c r="M195" s="4269">
        <v>1</v>
      </c>
      <c r="N195" s="4269"/>
      <c r="O195" s="4270">
        <f t="shared" si="66"/>
        <v>288657600.00000006</v>
      </c>
      <c r="P195" s="4259">
        <f>I195+O195-I196-O196</f>
        <v>-131620757.898</v>
      </c>
    </row>
    <row r="196" spans="2:18" ht="22.5" hidden="1">
      <c r="B196" s="5859"/>
      <c r="C196" s="4246" t="s">
        <v>154</v>
      </c>
      <c r="D196" s="4227" t="s">
        <v>166</v>
      </c>
      <c r="E196" s="4221">
        <v>1178446000</v>
      </c>
      <c r="F196" s="4221">
        <v>1</v>
      </c>
      <c r="G196" s="4221">
        <v>1</v>
      </c>
      <c r="H196" s="4222"/>
      <c r="I196" s="4228">
        <f t="shared" si="68"/>
        <v>1178446000</v>
      </c>
      <c r="J196" s="4221" t="s">
        <v>166</v>
      </c>
      <c r="K196" s="4221">
        <v>382710000</v>
      </c>
      <c r="L196" s="4221">
        <v>1</v>
      </c>
      <c r="M196" s="4221">
        <v>1</v>
      </c>
      <c r="N196" s="4222"/>
      <c r="O196" s="4228">
        <f t="shared" si="66"/>
        <v>382710000</v>
      </c>
      <c r="P196" s="4182"/>
    </row>
    <row r="197" spans="2:18" ht="22.5" hidden="1">
      <c r="B197" s="5859"/>
      <c r="C197" s="4250" t="s">
        <v>168</v>
      </c>
      <c r="D197" s="4266" t="s">
        <v>169</v>
      </c>
      <c r="E197" s="4272">
        <v>745838253</v>
      </c>
      <c r="F197" s="4272">
        <v>1</v>
      </c>
      <c r="G197" s="4272">
        <v>1</v>
      </c>
      <c r="H197" s="4272"/>
      <c r="I197" s="4273">
        <f t="shared" si="68"/>
        <v>745838253</v>
      </c>
      <c r="J197" s="4266" t="s">
        <v>169</v>
      </c>
      <c r="K197" s="4272">
        <v>481939726</v>
      </c>
      <c r="L197" s="4272">
        <v>1</v>
      </c>
      <c r="M197" s="4272">
        <v>1</v>
      </c>
      <c r="N197" s="4272"/>
      <c r="O197" s="4273">
        <f t="shared" si="66"/>
        <v>481939726</v>
      </c>
      <c r="P197" s="4265">
        <f>I197+O197-I198-O198</f>
        <v>1227777979</v>
      </c>
    </row>
    <row r="198" spans="2:18" ht="23" hidden="1" thickBot="1">
      <c r="B198" s="5859"/>
      <c r="C198" s="4245" t="s">
        <v>170</v>
      </c>
      <c r="D198" s="4229" t="s">
        <v>144</v>
      </c>
      <c r="E198" s="4057"/>
      <c r="F198" s="4057"/>
      <c r="G198" s="4057"/>
      <c r="H198" s="4217"/>
      <c r="I198" s="4223">
        <v>0</v>
      </c>
      <c r="J198" s="4057" t="s">
        <v>144</v>
      </c>
      <c r="K198" s="4057"/>
      <c r="L198" s="4057"/>
      <c r="M198" s="4057"/>
      <c r="N198" s="4217"/>
      <c r="O198" s="4223">
        <v>0</v>
      </c>
      <c r="P198" s="4183"/>
    </row>
    <row r="199" spans="2:18" ht="22.5" hidden="1">
      <c r="B199" s="6288" t="s">
        <v>76</v>
      </c>
      <c r="C199" s="4248" t="s">
        <v>171</v>
      </c>
      <c r="D199" s="4252" t="s">
        <v>172</v>
      </c>
      <c r="E199" s="4253">
        <v>58961164.900000006</v>
      </c>
      <c r="F199" s="4253">
        <v>1</v>
      </c>
      <c r="G199" s="4253">
        <v>1</v>
      </c>
      <c r="H199" s="4253"/>
      <c r="I199" s="4254">
        <f t="shared" si="68"/>
        <v>58961164.900000006</v>
      </c>
      <c r="J199" s="4252" t="s">
        <v>172</v>
      </c>
      <c r="K199" s="4253">
        <v>87391199.5</v>
      </c>
      <c r="L199" s="4253">
        <v>1</v>
      </c>
      <c r="M199" s="4253">
        <v>1</v>
      </c>
      <c r="N199" s="4253"/>
      <c r="O199" s="4254">
        <f t="shared" ref="O199" si="69">K199*L199*M199</f>
        <v>87391199.5</v>
      </c>
      <c r="P199" s="4255">
        <f>I199+O199-I200-O200</f>
        <v>146352364.40000001</v>
      </c>
    </row>
    <row r="200" spans="2:18" ht="22.5" hidden="1">
      <c r="B200" s="5859"/>
      <c r="C200" s="4245" t="s">
        <v>173</v>
      </c>
      <c r="D200" s="4227" t="s">
        <v>144</v>
      </c>
      <c r="E200" s="4057"/>
      <c r="F200" s="4057"/>
      <c r="G200" s="4057"/>
      <c r="H200" s="4217"/>
      <c r="I200" s="4223">
        <v>0</v>
      </c>
      <c r="J200" s="4057" t="s">
        <v>144</v>
      </c>
      <c r="K200" s="4057"/>
      <c r="L200" s="4057"/>
      <c r="M200" s="4057"/>
      <c r="N200" s="4217"/>
      <c r="O200" s="4223">
        <v>0</v>
      </c>
      <c r="P200" s="4183"/>
    </row>
    <row r="201" spans="2:18" ht="22.5" hidden="1">
      <c r="B201" s="5859"/>
      <c r="C201" s="4251" t="s">
        <v>152</v>
      </c>
      <c r="D201" s="4268" t="s">
        <v>174</v>
      </c>
      <c r="E201" s="4269">
        <v>46075904.899999999</v>
      </c>
      <c r="F201" s="4269">
        <v>1</v>
      </c>
      <c r="G201" s="4269">
        <v>1</v>
      </c>
      <c r="H201" s="4269"/>
      <c r="I201" s="4270">
        <f t="shared" si="68"/>
        <v>46075904.899999999</v>
      </c>
      <c r="J201" s="4268" t="s">
        <v>174</v>
      </c>
      <c r="K201" s="4269">
        <v>792000</v>
      </c>
      <c r="L201" s="4269">
        <v>1</v>
      </c>
      <c r="M201" s="4269">
        <v>1</v>
      </c>
      <c r="N201" s="4269"/>
      <c r="O201" s="4270">
        <f t="shared" ref="O201:O202" si="70">K201*L201*M201</f>
        <v>792000</v>
      </c>
      <c r="P201" s="4259">
        <f>I201+O201-I202-O202</f>
        <v>-7599095.1000000015</v>
      </c>
    </row>
    <row r="202" spans="2:18" ht="23" hidden="1" thickBot="1">
      <c r="B202" s="6287"/>
      <c r="C202" s="4247" t="s">
        <v>154</v>
      </c>
      <c r="D202" s="4230" t="s">
        <v>166</v>
      </c>
      <c r="E202" s="4181">
        <v>34400000</v>
      </c>
      <c r="F202" s="4181">
        <v>1</v>
      </c>
      <c r="G202" s="4181">
        <v>1</v>
      </c>
      <c r="H202" s="4218"/>
      <c r="I202" s="4225">
        <f t="shared" si="68"/>
        <v>34400000</v>
      </c>
      <c r="J202" s="4181" t="s">
        <v>166</v>
      </c>
      <c r="K202" s="4181">
        <v>20067000</v>
      </c>
      <c r="L202" s="4181">
        <v>1</v>
      </c>
      <c r="M202" s="4181">
        <v>1</v>
      </c>
      <c r="N202" s="4218"/>
      <c r="O202" s="4225">
        <f t="shared" si="70"/>
        <v>20067000</v>
      </c>
      <c r="P202" s="4220"/>
    </row>
    <row r="203" spans="2:18" ht="22.5" hidden="1">
      <c r="B203" s="4007"/>
      <c r="E203" s="4057"/>
      <c r="F203" s="4057"/>
      <c r="G203" s="4057"/>
      <c r="H203" s="4217"/>
      <c r="I203" s="4057"/>
      <c r="J203" s="4057"/>
      <c r="K203" s="4057"/>
      <c r="L203" s="4057"/>
      <c r="M203" s="4057"/>
      <c r="N203" s="4217"/>
      <c r="O203" s="4057"/>
      <c r="P203" s="4183"/>
    </row>
    <row r="204" spans="2:18" ht="31" customHeight="1">
      <c r="B204" s="6316" t="s">
        <v>7021</v>
      </c>
      <c r="E204" s="4057"/>
      <c r="F204" s="4057"/>
      <c r="G204" s="4057"/>
      <c r="H204" s="4217"/>
      <c r="I204" s="4057"/>
      <c r="J204" s="4057"/>
      <c r="K204" s="4057"/>
      <c r="L204" s="4057"/>
      <c r="M204" s="4057"/>
      <c r="N204" s="4217"/>
      <c r="O204" s="4057"/>
      <c r="P204" s="4057"/>
    </row>
    <row r="205" spans="2:18" ht="179" customHeight="1">
      <c r="B205" s="6417" t="s">
        <v>7031</v>
      </c>
      <c r="C205" s="6416"/>
      <c r="D205" s="6416"/>
      <c r="E205" s="6416"/>
      <c r="F205" s="6416"/>
      <c r="G205" s="6416"/>
      <c r="H205" s="6416"/>
      <c r="I205" s="6416"/>
      <c r="J205" s="6416"/>
      <c r="K205" s="6416"/>
      <c r="L205" s="6416"/>
      <c r="M205" s="6416"/>
      <c r="N205" s="6416"/>
      <c r="O205" s="6416"/>
      <c r="P205" s="6416"/>
      <c r="Q205" s="6416"/>
      <c r="R205" s="6416"/>
    </row>
    <row r="206" spans="2:18" ht="26" customHeight="1">
      <c r="B206" s="6416"/>
      <c r="C206" s="6416"/>
      <c r="D206" s="6416"/>
      <c r="E206" s="6416"/>
      <c r="F206" s="6416"/>
      <c r="G206" s="6416"/>
      <c r="H206" s="6416"/>
      <c r="I206" s="6416"/>
      <c r="J206" s="6416"/>
      <c r="K206" s="6416"/>
      <c r="L206" s="6416"/>
      <c r="M206" s="6416"/>
      <c r="N206" s="6416"/>
      <c r="O206" s="6416"/>
      <c r="P206" s="6416"/>
      <c r="Q206" s="6416"/>
      <c r="R206" s="6416"/>
    </row>
    <row r="207" spans="2:18" ht="22" customHeight="1">
      <c r="B207" s="6416"/>
      <c r="C207" s="6416"/>
      <c r="D207" s="6416"/>
      <c r="E207" s="6416"/>
      <c r="F207" s="6416"/>
      <c r="G207" s="6416"/>
      <c r="H207" s="6416"/>
      <c r="I207" s="6416"/>
      <c r="J207" s="6416"/>
      <c r="K207" s="6416"/>
      <c r="L207" s="6416"/>
      <c r="M207" s="6416"/>
      <c r="N207" s="6416"/>
      <c r="O207" s="6416"/>
      <c r="P207" s="6416"/>
      <c r="Q207" s="6416"/>
      <c r="R207" s="6416"/>
    </row>
    <row r="208" spans="2:18" ht="114.5" customHeight="1">
      <c r="B208" s="6416"/>
      <c r="C208" s="6416"/>
      <c r="D208" s="6416"/>
      <c r="E208" s="6416"/>
      <c r="F208" s="6416"/>
      <c r="G208" s="6416"/>
      <c r="H208" s="6416"/>
      <c r="I208" s="6416"/>
      <c r="J208" s="6416"/>
      <c r="K208" s="6416"/>
      <c r="L208" s="6416"/>
      <c r="M208" s="6416"/>
      <c r="N208" s="6416"/>
      <c r="O208" s="6416"/>
      <c r="P208" s="6416"/>
      <c r="Q208" s="6416"/>
      <c r="R208" s="6416"/>
    </row>
    <row r="209" spans="2:18" s="6283" customFormat="1" ht="55.5" customHeight="1">
      <c r="B209" s="6416"/>
      <c r="C209" s="6416"/>
      <c r="D209" s="6416"/>
      <c r="E209" s="6416"/>
      <c r="F209" s="6416"/>
      <c r="G209" s="6416"/>
      <c r="H209" s="6416"/>
      <c r="I209" s="6416"/>
      <c r="J209" s="6416"/>
      <c r="K209" s="6416"/>
      <c r="L209" s="6416"/>
      <c r="M209" s="6416"/>
      <c r="N209" s="6416"/>
      <c r="O209" s="6416"/>
      <c r="P209" s="6416"/>
      <c r="Q209" s="6416"/>
      <c r="R209" s="6416"/>
    </row>
    <row r="211" spans="2:18" ht="32" customHeight="1">
      <c r="B211" s="6317" t="s">
        <v>7022</v>
      </c>
    </row>
    <row r="212" spans="2:18" ht="70.5" customHeight="1">
      <c r="B212" s="6417" t="s">
        <v>7030</v>
      </c>
      <c r="C212" s="6416"/>
      <c r="D212" s="6416"/>
      <c r="E212" s="6416"/>
      <c r="F212" s="6416"/>
      <c r="G212" s="6416"/>
      <c r="H212" s="6416"/>
      <c r="I212" s="6416"/>
      <c r="J212" s="6416"/>
      <c r="K212" s="6416"/>
      <c r="L212" s="6416"/>
      <c r="M212" s="6416"/>
      <c r="N212" s="6416"/>
      <c r="O212" s="6416"/>
    </row>
    <row r="213" spans="2:18" ht="173" customHeight="1">
      <c r="B213" s="6416"/>
      <c r="C213" s="6416"/>
      <c r="D213" s="6416"/>
      <c r="E213" s="6416"/>
      <c r="F213" s="6416"/>
      <c r="G213" s="6416"/>
      <c r="H213" s="6416"/>
      <c r="I213" s="6416"/>
      <c r="J213" s="6416"/>
      <c r="K213" s="6416"/>
      <c r="L213" s="6416"/>
      <c r="M213" s="6416"/>
      <c r="N213" s="6416"/>
      <c r="O213" s="6416"/>
    </row>
    <row r="214" spans="2:18" ht="42" customHeight="1">
      <c r="B214" s="6416"/>
      <c r="C214" s="6416"/>
      <c r="D214" s="6416"/>
      <c r="E214" s="6416"/>
      <c r="F214" s="6416"/>
      <c r="G214" s="6416"/>
      <c r="H214" s="6416"/>
      <c r="I214" s="6416"/>
      <c r="J214" s="6416"/>
      <c r="K214" s="6416"/>
      <c r="L214" s="6416"/>
      <c r="M214" s="6416"/>
      <c r="N214" s="6416"/>
      <c r="O214" s="6416"/>
    </row>
    <row r="215" spans="2:18">
      <c r="B215" s="6416"/>
      <c r="C215" s="6416"/>
      <c r="D215" s="6416"/>
      <c r="E215" s="6416"/>
      <c r="F215" s="6416"/>
      <c r="G215" s="6416"/>
      <c r="H215" s="6416"/>
      <c r="I215" s="6416"/>
      <c r="J215" s="6416"/>
      <c r="K215" s="6416"/>
      <c r="L215" s="6416"/>
      <c r="M215" s="6416"/>
      <c r="N215" s="6416"/>
      <c r="O215" s="6416"/>
    </row>
    <row r="216" spans="2:18" ht="34" customHeight="1">
      <c r="B216" s="6416"/>
      <c r="C216" s="6416"/>
      <c r="D216" s="6416"/>
      <c r="E216" s="6416"/>
      <c r="F216" s="6416"/>
      <c r="G216" s="6416"/>
      <c r="H216" s="6416"/>
      <c r="I216" s="6416"/>
      <c r="J216" s="6416"/>
      <c r="K216" s="6416"/>
      <c r="L216" s="6416"/>
      <c r="M216" s="6416"/>
      <c r="N216" s="6416"/>
      <c r="O216" s="6416"/>
    </row>
  </sheetData>
  <mergeCells count="2">
    <mergeCell ref="B212:O216"/>
    <mergeCell ref="B205:R209"/>
  </mergeCells>
  <phoneticPr fontId="2"/>
  <pageMargins left="0.25" right="0.25" top="0.75" bottom="0.75" header="0.3" footer="0.3"/>
  <pageSetup paperSize="8" scale="49" orientation="landscape"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F7FA-C0E4-4B31-AE0C-9A50B01EBB0F}">
  <sheetPr codeName="Sheet306">
    <tabColor rgb="FF00B0F0"/>
    <pageSetUpPr fitToPage="1"/>
  </sheetPr>
  <dimension ref="A1:R175"/>
  <sheetViews>
    <sheetView topLeftCell="A7" zoomScale="55" zoomScaleNormal="55" workbookViewId="0">
      <selection activeCell="E16" sqref="E16"/>
    </sheetView>
  </sheetViews>
  <sheetFormatPr defaultColWidth="8.7265625" defaultRowHeight="19"/>
  <cols>
    <col min="1" max="1" width="13.453125" style="2486" customWidth="1"/>
    <col min="2" max="2" width="60.81640625" style="2486" customWidth="1"/>
    <col min="3" max="3" width="29" style="2486" customWidth="1"/>
    <col min="4" max="4" width="39.54296875" style="2486" customWidth="1"/>
    <col min="5" max="5" width="21.1796875" style="2486" customWidth="1"/>
    <col min="6" max="6" width="13.7265625" style="2486" bestFit="1" customWidth="1"/>
    <col min="7" max="7" width="8.7265625" style="2486"/>
    <col min="8" max="8" width="0" style="4004" hidden="1" customWidth="1"/>
    <col min="9" max="9" width="22.7265625" style="2486" customWidth="1"/>
    <col min="10" max="10" width="39.54296875" style="2486" customWidth="1"/>
    <col min="11" max="11" width="20" style="2486" customWidth="1"/>
    <col min="12" max="12" width="10.7265625" style="2486" customWidth="1"/>
    <col min="13" max="13" width="9.54296875" style="2486" bestFit="1" customWidth="1"/>
    <col min="14" max="14" width="12.453125" style="4004" hidden="1" customWidth="1"/>
    <col min="15" max="15" width="21.453125" style="2486" customWidth="1"/>
    <col min="16" max="16" width="28.453125" style="2486" customWidth="1"/>
    <col min="17" max="17" width="25.1796875" style="2486" hidden="1" customWidth="1"/>
    <col min="18" max="18" width="24.81640625" style="2486" customWidth="1"/>
    <col min="19" max="16384" width="8.7265625" style="2486"/>
  </cols>
  <sheetData>
    <row r="1" spans="1:16">
      <c r="A1" s="4002" t="s">
        <v>35</v>
      </c>
      <c r="B1" s="4146" t="s">
        <v>36</v>
      </c>
      <c r="C1" s="4070"/>
      <c r="D1" s="4003" t="s">
        <v>37</v>
      </c>
      <c r="H1" s="4004" t="s">
        <v>38</v>
      </c>
      <c r="I1" s="4005"/>
      <c r="J1" s="2486" t="s">
        <v>39</v>
      </c>
      <c r="N1" s="4004" t="s">
        <v>38</v>
      </c>
      <c r="O1" s="4005"/>
      <c r="P1" s="4079" t="s">
        <v>40</v>
      </c>
    </row>
    <row r="2" spans="1:16" ht="19.5" thickBot="1">
      <c r="B2" s="2486" t="s">
        <v>41</v>
      </c>
      <c r="C2" s="4071" t="s">
        <v>42</v>
      </c>
      <c r="D2" s="4003" t="s">
        <v>43</v>
      </c>
      <c r="E2" s="4006" t="s">
        <v>44</v>
      </c>
      <c r="F2" s="4006" t="s">
        <v>45</v>
      </c>
      <c r="G2" s="4006" t="s">
        <v>46</v>
      </c>
      <c r="I2" s="4005" t="s">
        <v>47</v>
      </c>
      <c r="J2" s="2486" t="s">
        <v>43</v>
      </c>
      <c r="K2" s="4006" t="s">
        <v>44</v>
      </c>
      <c r="L2" s="4006" t="s">
        <v>45</v>
      </c>
      <c r="M2" s="4006" t="s">
        <v>46</v>
      </c>
      <c r="O2" s="4005" t="s">
        <v>47</v>
      </c>
      <c r="P2" s="4079" t="s">
        <v>48</v>
      </c>
    </row>
    <row r="3" spans="1:16">
      <c r="B3" s="4007" t="s">
        <v>49</v>
      </c>
      <c r="C3" s="5871">
        <f>SUM(P3,P4)</f>
        <v>15457292778</v>
      </c>
      <c r="D3" s="4008" t="s">
        <v>50</v>
      </c>
      <c r="E3" s="4009">
        <v>3042691395</v>
      </c>
      <c r="F3" s="4009">
        <v>1</v>
      </c>
      <c r="G3" s="4009">
        <v>1</v>
      </c>
      <c r="H3" s="4010"/>
      <c r="I3" s="5863">
        <f t="shared" ref="I3:I4" si="0">E3*F3*G3</f>
        <v>3042691395</v>
      </c>
      <c r="J3" s="4008" t="s">
        <v>50</v>
      </c>
      <c r="K3" s="4011">
        <v>2596055904</v>
      </c>
      <c r="L3" s="4011">
        <v>1</v>
      </c>
      <c r="M3" s="4011">
        <v>1</v>
      </c>
      <c r="N3" s="4010"/>
      <c r="O3" s="5865">
        <f>K3*L3*M3</f>
        <v>2596055904</v>
      </c>
      <c r="P3" s="4080">
        <f>I3+O3</f>
        <v>5638747299</v>
      </c>
    </row>
    <row r="4" spans="1:16">
      <c r="C4" s="5872"/>
      <c r="D4" s="4012" t="s">
        <v>51</v>
      </c>
      <c r="E4" s="4013">
        <v>7718814575</v>
      </c>
      <c r="F4" s="4013">
        <v>1</v>
      </c>
      <c r="G4" s="4013">
        <v>1</v>
      </c>
      <c r="H4" s="4014"/>
      <c r="I4" s="5864">
        <f t="shared" si="0"/>
        <v>7718814575</v>
      </c>
      <c r="J4" s="4012" t="s">
        <v>51</v>
      </c>
      <c r="K4" s="4016">
        <v>2099730904</v>
      </c>
      <c r="L4" s="4016">
        <v>1</v>
      </c>
      <c r="M4" s="4016">
        <v>1</v>
      </c>
      <c r="N4" s="4014"/>
      <c r="O4" s="5866">
        <f t="shared" ref="O4" si="1">K4*L4*M4</f>
        <v>2099730904</v>
      </c>
      <c r="P4" s="4081">
        <f>I4+O4</f>
        <v>9818545479</v>
      </c>
    </row>
    <row r="5" spans="1:16">
      <c r="C5" s="5872"/>
      <c r="D5" s="4126" t="s">
        <v>52</v>
      </c>
      <c r="E5" s="4118">
        <v>2004704909</v>
      </c>
      <c r="F5" s="4127">
        <v>1</v>
      </c>
      <c r="G5" s="4127">
        <v>1</v>
      </c>
      <c r="H5" s="4014"/>
      <c r="I5" s="4118">
        <f>E5*F5*G5</f>
        <v>2004704909</v>
      </c>
      <c r="J5" s="4126" t="s">
        <v>52</v>
      </c>
      <c r="K5" s="4118">
        <v>197828150</v>
      </c>
      <c r="L5" s="4127">
        <v>1</v>
      </c>
      <c r="M5" s="4127">
        <v>1</v>
      </c>
      <c r="N5" s="4014"/>
      <c r="O5" s="4118">
        <f>K5*L5*M5</f>
        <v>197828150</v>
      </c>
      <c r="P5" s="4128">
        <f t="shared" ref="P5:P9" si="2">I5+O5</f>
        <v>2202533059</v>
      </c>
    </row>
    <row r="6" spans="1:16">
      <c r="C6" s="5872"/>
      <c r="D6" s="4126" t="s">
        <v>53</v>
      </c>
      <c r="E6" s="4118">
        <v>881565432</v>
      </c>
      <c r="F6" s="4127">
        <v>1</v>
      </c>
      <c r="G6" s="4127">
        <v>1</v>
      </c>
      <c r="H6" s="4014"/>
      <c r="I6" s="4118">
        <f t="shared" ref="I6:I29" si="3">E6*F6*G6</f>
        <v>881565432</v>
      </c>
      <c r="J6" s="4126" t="s">
        <v>53</v>
      </c>
      <c r="K6" s="4118">
        <v>449927739</v>
      </c>
      <c r="L6" s="4127">
        <v>1</v>
      </c>
      <c r="M6" s="4127">
        <v>1</v>
      </c>
      <c r="N6" s="4014"/>
      <c r="O6" s="4118">
        <f>K6*L6*M6</f>
        <v>449927739</v>
      </c>
      <c r="P6" s="4128">
        <f t="shared" si="2"/>
        <v>1331493171</v>
      </c>
    </row>
    <row r="7" spans="1:16">
      <c r="C7" s="5872"/>
      <c r="D7" s="4126" t="s">
        <v>54</v>
      </c>
      <c r="E7" s="4118">
        <v>723774664</v>
      </c>
      <c r="F7" s="4127">
        <v>1</v>
      </c>
      <c r="G7" s="4127">
        <v>1</v>
      </c>
      <c r="H7" s="4014"/>
      <c r="I7" s="4118">
        <f t="shared" si="3"/>
        <v>723774664</v>
      </c>
      <c r="J7" s="4126" t="s">
        <v>54</v>
      </c>
      <c r="K7" s="4118">
        <v>217404288</v>
      </c>
      <c r="L7" s="4127">
        <v>1</v>
      </c>
      <c r="M7" s="4127">
        <v>1</v>
      </c>
      <c r="N7" s="4014"/>
      <c r="O7" s="4118">
        <f t="shared" ref="O7:O25" si="4">K7*L7*M7</f>
        <v>217404288</v>
      </c>
      <c r="P7" s="4128">
        <f t="shared" si="2"/>
        <v>941178952</v>
      </c>
    </row>
    <row r="8" spans="1:16">
      <c r="C8" s="5872"/>
      <c r="D8" s="4126" t="s">
        <v>55</v>
      </c>
      <c r="E8" s="4118">
        <f>SUM('財政見通し積算 (全SH全項目統合版）'!AD29)</f>
        <v>2342187094</v>
      </c>
      <c r="F8" s="4127">
        <v>1</v>
      </c>
      <c r="G8" s="4127">
        <v>1</v>
      </c>
      <c r="H8" s="4014"/>
      <c r="I8" s="4118">
        <f t="shared" si="3"/>
        <v>2342187094</v>
      </c>
      <c r="J8" s="4126" t="s">
        <v>55</v>
      </c>
      <c r="K8" s="4118">
        <v>783186617</v>
      </c>
      <c r="L8" s="4127">
        <v>1</v>
      </c>
      <c r="M8" s="4127">
        <v>1</v>
      </c>
      <c r="N8" s="4014"/>
      <c r="O8" s="4118">
        <f t="shared" si="4"/>
        <v>783186617</v>
      </c>
      <c r="P8" s="4128">
        <f t="shared" si="2"/>
        <v>3125373711</v>
      </c>
    </row>
    <row r="9" spans="1:16">
      <c r="C9" s="5872"/>
      <c r="D9" s="4126" t="s">
        <v>56</v>
      </c>
      <c r="E9" s="4118">
        <f>SUM('財政見通し積算 (全SH全項目統合版）'!AD30)</f>
        <v>1766582476</v>
      </c>
      <c r="F9" s="4127">
        <v>1</v>
      </c>
      <c r="G9" s="4127">
        <v>1</v>
      </c>
      <c r="H9" s="4014"/>
      <c r="I9" s="4118">
        <f t="shared" si="3"/>
        <v>1766582476</v>
      </c>
      <c r="J9" s="4126" t="s">
        <v>56</v>
      </c>
      <c r="K9" s="4114">
        <f>SUM('財政見通し積算 (全SH全項目統合版）'!AD35)</f>
        <v>451384110</v>
      </c>
      <c r="L9" s="4127">
        <v>1</v>
      </c>
      <c r="M9" s="4127">
        <v>1</v>
      </c>
      <c r="N9" s="4014"/>
      <c r="O9" s="4118">
        <f t="shared" si="4"/>
        <v>451384110</v>
      </c>
      <c r="P9" s="4128">
        <f t="shared" si="2"/>
        <v>2217966586</v>
      </c>
    </row>
    <row r="10" spans="1:16">
      <c r="B10" s="4018" t="s">
        <v>57</v>
      </c>
      <c r="C10" s="5873">
        <f>SUM(P10:P11)</f>
        <v>1660274332</v>
      </c>
      <c r="D10" s="4019" t="s">
        <v>50</v>
      </c>
      <c r="E10" s="4020">
        <v>16900</v>
      </c>
      <c r="F10" s="4020">
        <v>3546</v>
      </c>
      <c r="G10" s="4020">
        <v>11</v>
      </c>
      <c r="H10" s="4021">
        <f>F10*G10</f>
        <v>39006</v>
      </c>
      <c r="I10" s="4022">
        <f t="shared" si="3"/>
        <v>659201400</v>
      </c>
      <c r="J10" s="4023" t="s">
        <v>50</v>
      </c>
      <c r="K10" s="4024">
        <v>16900</v>
      </c>
      <c r="L10" s="4024">
        <f>3305*0.6</f>
        <v>1983</v>
      </c>
      <c r="M10" s="4024">
        <v>13</v>
      </c>
      <c r="N10" s="4021">
        <f>L10*M10</f>
        <v>25779</v>
      </c>
      <c r="O10" s="4025">
        <f t="shared" si="4"/>
        <v>435665100</v>
      </c>
      <c r="P10" s="4082">
        <f>I10+O10</f>
        <v>1094866500</v>
      </c>
    </row>
    <row r="11" spans="1:16">
      <c r="C11" s="5872"/>
      <c r="D11" s="4012" t="s">
        <v>51</v>
      </c>
      <c r="E11" s="4016">
        <f>SUM(E12:E13)</f>
        <v>487471732</v>
      </c>
      <c r="F11" s="4013">
        <v>1</v>
      </c>
      <c r="G11" s="4013">
        <v>1</v>
      </c>
      <c r="H11" s="4014"/>
      <c r="I11" s="4015">
        <f t="shared" si="3"/>
        <v>487471732</v>
      </c>
      <c r="J11" s="4012" t="s">
        <v>51</v>
      </c>
      <c r="K11" s="4016">
        <f>SUM(K12:K13)</f>
        <v>77936100</v>
      </c>
      <c r="L11" s="4016">
        <v>1</v>
      </c>
      <c r="M11" s="4016">
        <v>1</v>
      </c>
      <c r="N11" s="4014"/>
      <c r="O11" s="4017">
        <f t="shared" si="4"/>
        <v>77936100</v>
      </c>
      <c r="P11" s="4081">
        <f>I11+O11</f>
        <v>565407832</v>
      </c>
    </row>
    <row r="12" spans="1:16">
      <c r="C12" s="5872"/>
      <c r="D12" s="4337" t="s">
        <v>58</v>
      </c>
      <c r="E12" s="4118">
        <v>324285720</v>
      </c>
      <c r="F12" s="4118">
        <v>1</v>
      </c>
      <c r="G12" s="4118">
        <v>1</v>
      </c>
      <c r="H12" s="4115"/>
      <c r="I12" s="4119">
        <f t="shared" si="3"/>
        <v>324285720</v>
      </c>
      <c r="J12" s="4337" t="s">
        <v>58</v>
      </c>
      <c r="K12" s="4114">
        <v>23802106</v>
      </c>
      <c r="L12" s="4114">
        <v>1</v>
      </c>
      <c r="M12" s="4114">
        <v>1</v>
      </c>
      <c r="N12" s="4115"/>
      <c r="O12" s="4116">
        <f t="shared" si="4"/>
        <v>23802106</v>
      </c>
      <c r="P12" s="4128">
        <f t="shared" ref="P12:P29" si="5">I12+O12</f>
        <v>348087826</v>
      </c>
    </row>
    <row r="13" spans="1:16">
      <c r="C13" s="5872"/>
      <c r="D13" s="4337" t="s">
        <v>59</v>
      </c>
      <c r="E13" s="4118">
        <v>163186012</v>
      </c>
      <c r="F13" s="4118">
        <v>1</v>
      </c>
      <c r="G13" s="4118">
        <v>1</v>
      </c>
      <c r="H13" s="4115"/>
      <c r="I13" s="4119">
        <f t="shared" si="3"/>
        <v>163186012</v>
      </c>
      <c r="J13" s="4337" t="s">
        <v>59</v>
      </c>
      <c r="K13" s="4114">
        <v>54133994</v>
      </c>
      <c r="L13" s="4114">
        <v>1</v>
      </c>
      <c r="M13" s="4114">
        <v>1</v>
      </c>
      <c r="N13" s="4115"/>
      <c r="O13" s="4116">
        <f t="shared" si="4"/>
        <v>54133994</v>
      </c>
      <c r="P13" s="5870">
        <f t="shared" si="5"/>
        <v>217320006</v>
      </c>
    </row>
    <row r="14" spans="1:16" hidden="1">
      <c r="C14" s="5872"/>
      <c r="D14" s="4012" t="s">
        <v>60</v>
      </c>
      <c r="E14" s="4013">
        <v>21000</v>
      </c>
      <c r="F14" s="4013">
        <v>725</v>
      </c>
      <c r="G14" s="4013">
        <v>11</v>
      </c>
      <c r="H14" s="4014">
        <f>F14*G14</f>
        <v>7975</v>
      </c>
      <c r="I14" s="5846">
        <v>167496000</v>
      </c>
      <c r="J14" s="4026" t="s">
        <v>61</v>
      </c>
      <c r="K14" s="4016">
        <v>21000</v>
      </c>
      <c r="L14" s="4016">
        <f>695*0.6</f>
        <v>417</v>
      </c>
      <c r="M14" s="4016">
        <v>13</v>
      </c>
      <c r="N14" s="4014">
        <f>L14*M14</f>
        <v>5421</v>
      </c>
      <c r="O14" s="5848">
        <f t="shared" si="4"/>
        <v>113841000</v>
      </c>
      <c r="P14" s="4081">
        <f t="shared" si="5"/>
        <v>281337000</v>
      </c>
    </row>
    <row r="15" spans="1:16" hidden="1">
      <c r="C15" s="5872"/>
      <c r="D15" s="4012"/>
      <c r="E15" s="4013"/>
      <c r="F15" s="4013"/>
      <c r="G15" s="4013"/>
      <c r="H15" s="4014"/>
      <c r="I15" s="4015">
        <f t="shared" ref="I15" si="6">E15*F15*G15</f>
        <v>0</v>
      </c>
      <c r="J15" s="2486" t="s">
        <v>62</v>
      </c>
      <c r="K15" s="4016">
        <v>21000</v>
      </c>
      <c r="L15" s="4016">
        <v>200</v>
      </c>
      <c r="M15" s="4016">
        <v>15</v>
      </c>
      <c r="N15" s="4014">
        <f>L15*M15</f>
        <v>3000</v>
      </c>
      <c r="O15" s="5848">
        <f t="shared" si="4"/>
        <v>63000000</v>
      </c>
      <c r="P15" s="4083">
        <f t="shared" si="5"/>
        <v>63000000</v>
      </c>
    </row>
    <row r="16" spans="1:16">
      <c r="B16" s="4018" t="s">
        <v>63</v>
      </c>
      <c r="C16" s="5873">
        <f>SUM(P16)</f>
        <v>1202035000</v>
      </c>
      <c r="D16" s="4019" t="s">
        <v>64</v>
      </c>
      <c r="E16" s="4020">
        <v>19000</v>
      </c>
      <c r="F16" s="4020">
        <v>4189</v>
      </c>
      <c r="G16" s="4020">
        <v>11</v>
      </c>
      <c r="H16" s="4021">
        <f>F16*G16</f>
        <v>46079</v>
      </c>
      <c r="I16" s="4022">
        <f t="shared" si="3"/>
        <v>875501000</v>
      </c>
      <c r="J16" s="4023" t="s">
        <v>64</v>
      </c>
      <c r="K16" s="4024">
        <v>19000</v>
      </c>
      <c r="L16" s="4024">
        <f>3305*0.4</f>
        <v>1322</v>
      </c>
      <c r="M16" s="4024">
        <v>13</v>
      </c>
      <c r="N16" s="4021">
        <f>L16*M16</f>
        <v>17186</v>
      </c>
      <c r="O16" s="4025">
        <f t="shared" si="4"/>
        <v>326534000</v>
      </c>
      <c r="P16" s="4081">
        <f t="shared" si="5"/>
        <v>1202035000</v>
      </c>
    </row>
    <row r="17" spans="1:17" hidden="1">
      <c r="B17" s="4027"/>
      <c r="C17" s="5874"/>
      <c r="D17" s="4028" t="s">
        <v>60</v>
      </c>
      <c r="E17" s="4029">
        <v>19000</v>
      </c>
      <c r="F17" s="4029">
        <v>401</v>
      </c>
      <c r="G17" s="4029">
        <v>11</v>
      </c>
      <c r="H17" s="4030">
        <f>F17*G17</f>
        <v>4411</v>
      </c>
      <c r="I17" s="5840">
        <f t="shared" si="3"/>
        <v>83809000</v>
      </c>
      <c r="J17" s="4031" t="s">
        <v>60</v>
      </c>
      <c r="K17" s="4032">
        <v>19000</v>
      </c>
      <c r="L17" s="4032">
        <f>695*0.4</f>
        <v>278</v>
      </c>
      <c r="M17" s="4032">
        <v>13</v>
      </c>
      <c r="N17" s="4030">
        <f>L17*M17</f>
        <v>3614</v>
      </c>
      <c r="O17" s="5849">
        <f t="shared" si="4"/>
        <v>68666000</v>
      </c>
      <c r="P17" s="4081">
        <f t="shared" si="5"/>
        <v>152475000</v>
      </c>
    </row>
    <row r="18" spans="1:17">
      <c r="B18" s="4034" t="s">
        <v>65</v>
      </c>
      <c r="C18" s="5875">
        <f>SUM(P18)</f>
        <v>127204000</v>
      </c>
      <c r="D18" s="4019" t="s">
        <v>64</v>
      </c>
      <c r="E18" s="4020">
        <v>880</v>
      </c>
      <c r="F18" s="4020">
        <v>9235</v>
      </c>
      <c r="G18" s="4020">
        <v>11</v>
      </c>
      <c r="H18" s="4021">
        <f t="shared" ref="H18:H21" si="7">F18*G18</f>
        <v>101585</v>
      </c>
      <c r="I18" s="4022">
        <f t="shared" si="3"/>
        <v>89394800</v>
      </c>
      <c r="J18" s="4018" t="s">
        <v>64</v>
      </c>
      <c r="K18" s="4024">
        <v>880</v>
      </c>
      <c r="L18" s="4024">
        <v>3305</v>
      </c>
      <c r="M18" s="4024">
        <v>13</v>
      </c>
      <c r="N18" s="4021">
        <f t="shared" ref="N18:N19" si="8">L18*M18</f>
        <v>42965</v>
      </c>
      <c r="O18" s="4025">
        <f t="shared" si="4"/>
        <v>37809200</v>
      </c>
      <c r="P18" s="4082">
        <f t="shared" si="5"/>
        <v>127204000</v>
      </c>
    </row>
    <row r="19" spans="1:17" hidden="1">
      <c r="C19" s="5872"/>
      <c r="D19" s="4012" t="s">
        <v>60</v>
      </c>
      <c r="E19" s="4013">
        <v>880</v>
      </c>
      <c r="F19" s="4013">
        <v>1002</v>
      </c>
      <c r="G19" s="4013">
        <v>11</v>
      </c>
      <c r="H19" s="4014">
        <f t="shared" si="7"/>
        <v>11022</v>
      </c>
      <c r="I19" s="5846">
        <f t="shared" si="3"/>
        <v>9699360</v>
      </c>
      <c r="J19" s="2486" t="s">
        <v>60</v>
      </c>
      <c r="K19" s="4016">
        <v>880</v>
      </c>
      <c r="L19" s="4016">
        <v>695</v>
      </c>
      <c r="M19" s="4016">
        <v>13</v>
      </c>
      <c r="N19" s="4014">
        <f t="shared" si="8"/>
        <v>9035</v>
      </c>
      <c r="O19" s="5848">
        <f t="shared" si="4"/>
        <v>7950800</v>
      </c>
      <c r="P19" s="4081">
        <f t="shared" si="5"/>
        <v>17650160</v>
      </c>
    </row>
    <row r="20" spans="1:17" hidden="1">
      <c r="C20" s="5872"/>
      <c r="D20" s="4012" t="s">
        <v>66</v>
      </c>
      <c r="E20" s="4013">
        <v>880</v>
      </c>
      <c r="F20" s="4013">
        <v>2436</v>
      </c>
      <c r="G20" s="4013">
        <v>18</v>
      </c>
      <c r="H20" s="4014">
        <f t="shared" si="7"/>
        <v>43848</v>
      </c>
      <c r="I20" s="5846">
        <f t="shared" si="3"/>
        <v>38586240</v>
      </c>
      <c r="K20" s="4016"/>
      <c r="L20" s="4016"/>
      <c r="M20" s="4016"/>
      <c r="N20" s="4014"/>
      <c r="O20" s="4017">
        <f t="shared" si="4"/>
        <v>0</v>
      </c>
      <c r="P20" s="4083">
        <f t="shared" si="5"/>
        <v>38586240</v>
      </c>
    </row>
    <row r="21" spans="1:17" hidden="1">
      <c r="B21" s="4034" t="s">
        <v>67</v>
      </c>
      <c r="C21" s="5875">
        <v>920808000</v>
      </c>
      <c r="D21" s="4019" t="s">
        <v>66</v>
      </c>
      <c r="E21" s="4020">
        <v>21000</v>
      </c>
      <c r="F21" s="4020">
        <v>2436</v>
      </c>
      <c r="G21" s="4020">
        <v>18</v>
      </c>
      <c r="H21" s="4021">
        <f t="shared" si="7"/>
        <v>43848</v>
      </c>
      <c r="I21" s="5869">
        <f t="shared" si="3"/>
        <v>920808000</v>
      </c>
      <c r="J21" s="4018"/>
      <c r="K21" s="4024"/>
      <c r="L21" s="4024"/>
      <c r="M21" s="4024"/>
      <c r="N21" s="4021"/>
      <c r="O21" s="4025">
        <f t="shared" si="4"/>
        <v>0</v>
      </c>
      <c r="P21" s="4081">
        <f t="shared" si="5"/>
        <v>920808000</v>
      </c>
    </row>
    <row r="22" spans="1:17">
      <c r="B22" s="2486" t="s">
        <v>92</v>
      </c>
      <c r="C22" s="5872">
        <f>SUM(P22:P23)</f>
        <v>1437358140</v>
      </c>
      <c r="D22" s="4019" t="s">
        <v>69</v>
      </c>
      <c r="E22" s="4020">
        <v>1336000000</v>
      </c>
      <c r="F22" s="4020">
        <v>1</v>
      </c>
      <c r="G22" s="4020">
        <v>1</v>
      </c>
      <c r="H22" s="4021"/>
      <c r="I22" s="4022">
        <f t="shared" si="3"/>
        <v>1336000000</v>
      </c>
      <c r="J22" s="4018"/>
      <c r="K22" s="4024"/>
      <c r="L22" s="4024"/>
      <c r="M22" s="4024"/>
      <c r="N22" s="4021"/>
      <c r="O22" s="4025"/>
      <c r="P22" s="4082">
        <f t="shared" si="5"/>
        <v>1336000000</v>
      </c>
    </row>
    <row r="23" spans="1:17">
      <c r="B23" s="2486" t="s">
        <v>176</v>
      </c>
      <c r="C23" s="5872"/>
      <c r="D23" s="4012" t="s">
        <v>70</v>
      </c>
      <c r="E23" s="4013">
        <v>101358140</v>
      </c>
      <c r="F23" s="4013">
        <v>1</v>
      </c>
      <c r="G23" s="4013">
        <v>1</v>
      </c>
      <c r="H23" s="4014"/>
      <c r="I23" s="4015">
        <f t="shared" si="3"/>
        <v>101358140</v>
      </c>
      <c r="K23" s="4016"/>
      <c r="L23" s="4016"/>
      <c r="M23" s="4016"/>
      <c r="N23" s="4014"/>
      <c r="O23" s="4017">
        <f t="shared" si="4"/>
        <v>0</v>
      </c>
      <c r="P23" s="4083">
        <f t="shared" si="5"/>
        <v>101358140</v>
      </c>
    </row>
    <row r="24" spans="1:17" hidden="1">
      <c r="C24" s="5872"/>
      <c r="D24" s="4012" t="s">
        <v>71</v>
      </c>
      <c r="E24" s="4013">
        <v>408277000</v>
      </c>
      <c r="F24" s="4013">
        <v>1</v>
      </c>
      <c r="G24" s="4013">
        <v>1</v>
      </c>
      <c r="H24" s="4014"/>
      <c r="I24" s="5846">
        <f t="shared" si="3"/>
        <v>408277000</v>
      </c>
      <c r="J24" s="2486" t="s">
        <v>71</v>
      </c>
      <c r="K24" s="4016">
        <v>360000000</v>
      </c>
      <c r="L24" s="4016">
        <v>1</v>
      </c>
      <c r="M24" s="4016">
        <v>1</v>
      </c>
      <c r="N24" s="4014"/>
      <c r="O24" s="5848">
        <f t="shared" si="4"/>
        <v>360000000</v>
      </c>
      <c r="P24" s="4081">
        <f>I24+O24</f>
        <v>768277000</v>
      </c>
    </row>
    <row r="25" spans="1:17" hidden="1">
      <c r="C25" s="5872"/>
      <c r="D25" s="4012" t="s">
        <v>72</v>
      </c>
      <c r="E25" s="4013">
        <v>205723000</v>
      </c>
      <c r="F25" s="4013">
        <v>1</v>
      </c>
      <c r="G25" s="4013">
        <v>1</v>
      </c>
      <c r="H25" s="4014"/>
      <c r="I25" s="5846">
        <f t="shared" si="3"/>
        <v>205723000</v>
      </c>
      <c r="K25" s="4016"/>
      <c r="L25" s="4016"/>
      <c r="M25" s="4016"/>
      <c r="N25" s="4014"/>
      <c r="O25" s="4017">
        <f t="shared" si="4"/>
        <v>0</v>
      </c>
      <c r="P25" s="4083">
        <f t="shared" si="5"/>
        <v>205723000</v>
      </c>
    </row>
    <row r="26" spans="1:17">
      <c r="B26" s="4034" t="s">
        <v>73</v>
      </c>
      <c r="C26" s="5875">
        <f>SUM(P26)</f>
        <v>88652020</v>
      </c>
      <c r="D26" s="4035" t="s">
        <v>64</v>
      </c>
      <c r="E26" s="4036">
        <v>6000000</v>
      </c>
      <c r="F26" s="4036">
        <v>12</v>
      </c>
      <c r="G26" s="4036">
        <v>1</v>
      </c>
      <c r="H26" s="4037"/>
      <c r="I26" s="4038">
        <f t="shared" si="3"/>
        <v>72000000</v>
      </c>
      <c r="J26" s="4034" t="s">
        <v>64</v>
      </c>
      <c r="K26" s="4039">
        <v>2378860</v>
      </c>
      <c r="L26" s="4039">
        <v>7</v>
      </c>
      <c r="M26" s="4039">
        <v>1</v>
      </c>
      <c r="N26" s="4037"/>
      <c r="O26" s="4040">
        <f>K26*L26*M26</f>
        <v>16652020</v>
      </c>
      <c r="P26" s="4081">
        <f t="shared" si="5"/>
        <v>88652020</v>
      </c>
    </row>
    <row r="27" spans="1:17">
      <c r="B27" s="4018" t="s">
        <v>74</v>
      </c>
      <c r="C27" s="5873">
        <f>SUM(P27:P28)</f>
        <v>3450377147</v>
      </c>
      <c r="D27" s="4019" t="s">
        <v>50</v>
      </c>
      <c r="E27" s="4020">
        <v>858587762</v>
      </c>
      <c r="F27" s="4020">
        <v>1</v>
      </c>
      <c r="G27" s="4020">
        <v>1</v>
      </c>
      <c r="H27" s="4021"/>
      <c r="I27" s="4022">
        <f t="shared" si="3"/>
        <v>858587762</v>
      </c>
      <c r="J27" s="4019" t="s">
        <v>50</v>
      </c>
      <c r="K27" s="4024">
        <v>1030634912</v>
      </c>
      <c r="L27" s="4024">
        <v>1</v>
      </c>
      <c r="M27" s="4024">
        <v>1</v>
      </c>
      <c r="N27" s="4021"/>
      <c r="O27" s="4025">
        <f t="shared" ref="O27:O29" si="9">K27*L27*M27</f>
        <v>1030634912</v>
      </c>
      <c r="P27" s="4082">
        <f t="shared" si="5"/>
        <v>1889222674</v>
      </c>
    </row>
    <row r="28" spans="1:17">
      <c r="C28" s="5872"/>
      <c r="D28" s="4012" t="s">
        <v>75</v>
      </c>
      <c r="E28" s="4013">
        <v>1178445153</v>
      </c>
      <c r="F28" s="4013">
        <v>1</v>
      </c>
      <c r="G28" s="4013">
        <v>1</v>
      </c>
      <c r="H28" s="4014"/>
      <c r="I28" s="4015">
        <f t="shared" si="3"/>
        <v>1178445153</v>
      </c>
      <c r="J28" s="4012" t="s">
        <v>75</v>
      </c>
      <c r="K28" s="4016">
        <v>382709320</v>
      </c>
      <c r="L28" s="4016">
        <v>1</v>
      </c>
      <c r="M28" s="4016">
        <v>1</v>
      </c>
      <c r="N28" s="4014"/>
      <c r="O28" s="4041">
        <f t="shared" si="9"/>
        <v>382709320</v>
      </c>
      <c r="P28" s="4083">
        <f t="shared" si="5"/>
        <v>1561154473</v>
      </c>
    </row>
    <row r="29" spans="1:17" ht="19.5" thickBot="1">
      <c r="B29" s="4042" t="s">
        <v>76</v>
      </c>
      <c r="C29" s="5876">
        <f>SUM(P29)</f>
        <v>54466667</v>
      </c>
      <c r="D29" s="4043" t="s">
        <v>75</v>
      </c>
      <c r="E29" s="4044">
        <v>34400000</v>
      </c>
      <c r="F29" s="4044">
        <v>1</v>
      </c>
      <c r="G29" s="4044">
        <v>1</v>
      </c>
      <c r="H29" s="4045"/>
      <c r="I29" s="5867">
        <f t="shared" si="3"/>
        <v>34400000</v>
      </c>
      <c r="J29" s="4129" t="s">
        <v>75</v>
      </c>
      <c r="K29" s="4046">
        <v>20066667</v>
      </c>
      <c r="L29" s="4046">
        <v>1</v>
      </c>
      <c r="M29" s="4046">
        <v>1</v>
      </c>
      <c r="N29" s="4045"/>
      <c r="O29" s="5868">
        <f t="shared" si="9"/>
        <v>20066667</v>
      </c>
      <c r="P29" s="4081">
        <f t="shared" si="5"/>
        <v>54466667</v>
      </c>
      <c r="Q29" s="4047"/>
    </row>
    <row r="30" spans="1:17" ht="19.5" thickTop="1">
      <c r="B30" s="4048" t="s">
        <v>77</v>
      </c>
      <c r="C30" s="5877">
        <f>SUM(C3,C10,C16,C18,C22,C26,C27,C29)</f>
        <v>23477660084</v>
      </c>
      <c r="D30" s="4049"/>
      <c r="E30" s="4050"/>
      <c r="F30" s="4050"/>
      <c r="G30" s="4050"/>
      <c r="H30" s="4051"/>
      <c r="I30" s="4052">
        <f>SUM(I3:I4,I10:I11,I16,I18,I22:I23,I26,I27:I28,I29)</f>
        <v>16453865957</v>
      </c>
      <c r="J30" s="4048"/>
      <c r="K30" s="4053"/>
      <c r="L30" s="4053"/>
      <c r="M30" s="4053"/>
      <c r="N30" s="4051"/>
      <c r="O30" s="4052">
        <f>SUM(O3:O4,O10:O11,O16,O18,O26,O27:O28,O29)</f>
        <v>7023794127</v>
      </c>
      <c r="P30" s="4084">
        <f>SUM(P3:P4,P10:Q11,P16,P18,P22:P23,P26,P27:P28,P29)</f>
        <v>23477660084</v>
      </c>
      <c r="Q30" s="4054"/>
    </row>
    <row r="31" spans="1:17" ht="19.5" thickBot="1">
      <c r="A31" s="4352"/>
      <c r="B31" s="4352"/>
      <c r="C31" s="4352"/>
      <c r="D31" s="4352"/>
      <c r="E31" s="4352"/>
      <c r="F31" s="4352"/>
      <c r="G31" s="4352"/>
      <c r="H31" s="4353"/>
      <c r="I31" s="4352"/>
      <c r="J31" s="4352"/>
      <c r="K31" s="4352"/>
      <c r="L31" s="4352"/>
      <c r="M31" s="4352"/>
      <c r="N31" s="4353"/>
      <c r="O31" s="4352"/>
      <c r="P31" s="4352"/>
      <c r="Q31" s="4352"/>
    </row>
    <row r="32" spans="1:17" ht="19.5" thickTop="1"/>
    <row r="33" spans="1:18">
      <c r="A33" s="4130" t="s">
        <v>78</v>
      </c>
      <c r="B33" s="4146" t="s">
        <v>79</v>
      </c>
      <c r="D33" s="4003" t="s">
        <v>37</v>
      </c>
      <c r="I33" s="4005"/>
      <c r="J33" s="2486" t="s">
        <v>39</v>
      </c>
      <c r="O33" s="4005"/>
      <c r="P33" s="4089" t="s">
        <v>40</v>
      </c>
    </row>
    <row r="34" spans="1:18" ht="19.5" thickBot="1">
      <c r="B34" s="2486" t="s">
        <v>41</v>
      </c>
      <c r="C34" s="4071" t="s">
        <v>42</v>
      </c>
      <c r="D34" s="4003" t="s">
        <v>43</v>
      </c>
      <c r="E34" s="4006" t="s">
        <v>44</v>
      </c>
      <c r="F34" s="4006" t="s">
        <v>45</v>
      </c>
      <c r="G34" s="4006" t="s">
        <v>46</v>
      </c>
      <c r="I34" s="4005" t="s">
        <v>47</v>
      </c>
      <c r="J34" s="2486" t="s">
        <v>43</v>
      </c>
      <c r="K34" s="4006" t="s">
        <v>44</v>
      </c>
      <c r="L34" s="4006" t="s">
        <v>45</v>
      </c>
      <c r="M34" s="4006" t="s">
        <v>46</v>
      </c>
      <c r="O34" s="4005" t="s">
        <v>47</v>
      </c>
      <c r="P34" s="4089" t="s">
        <v>48</v>
      </c>
      <c r="Q34" s="2486" t="s">
        <v>80</v>
      </c>
      <c r="R34" s="2486" t="s">
        <v>80</v>
      </c>
    </row>
    <row r="35" spans="1:18">
      <c r="B35" s="4007" t="s">
        <v>81</v>
      </c>
      <c r="C35" s="5878">
        <f>C3</f>
        <v>15457292778</v>
      </c>
      <c r="D35" s="4101" t="s">
        <v>50</v>
      </c>
      <c r="E35" s="4055" t="e">
        <f>'財政見通し積算 (全SH全項目統合版）'!C26</f>
        <v>#REF!</v>
      </c>
      <c r="F35" s="4055">
        <v>1</v>
      </c>
      <c r="G35" s="4009">
        <v>1</v>
      </c>
      <c r="H35" s="4010"/>
      <c r="I35" s="4103" t="e">
        <f t="shared" ref="I35:I72" si="10">E35*F35*G35</f>
        <v>#REF!</v>
      </c>
      <c r="J35" s="4101" t="s">
        <v>50</v>
      </c>
      <c r="K35" s="4056" t="e">
        <f>'財政見通し積算 (全SH全項目統合版）'!C31</f>
        <v>#REF!</v>
      </c>
      <c r="L35" s="4056">
        <v>1</v>
      </c>
      <c r="M35" s="4056">
        <v>1</v>
      </c>
      <c r="N35" s="4010"/>
      <c r="O35" s="4107" t="e">
        <f>K35*L35*M35</f>
        <v>#REF!</v>
      </c>
      <c r="P35" s="4091" t="e">
        <f>I35+O35</f>
        <v>#REF!</v>
      </c>
      <c r="Q35" s="4057" t="e">
        <f>SUM(P35:P36)-C35</f>
        <v>#REF!</v>
      </c>
      <c r="R35" s="4057" t="e">
        <f>SUM(P35:P36)-C35</f>
        <v>#REF!</v>
      </c>
    </row>
    <row r="36" spans="1:18">
      <c r="C36" s="5879"/>
      <c r="D36" s="4102" t="s">
        <v>82</v>
      </c>
      <c r="E36" s="4058"/>
      <c r="F36" s="4058"/>
      <c r="G36" s="4013"/>
      <c r="H36" s="4014"/>
      <c r="I36" s="4104">
        <f>SUM(I37:I41)</f>
        <v>7870805610.0799999</v>
      </c>
      <c r="J36" s="4102" t="s">
        <v>82</v>
      </c>
      <c r="K36" s="4059"/>
      <c r="L36" s="4059"/>
      <c r="M36" s="4059"/>
      <c r="N36" s="4014"/>
      <c r="O36" s="4104">
        <f>SUM(O37:O41)</f>
        <v>2056353476.1400001</v>
      </c>
      <c r="P36" s="4092">
        <f>SUM(P37:P41)</f>
        <v>9927159086.2200012</v>
      </c>
      <c r="Q36" s="4057"/>
      <c r="R36" s="4057"/>
    </row>
    <row r="37" spans="1:18">
      <c r="C37" s="5879"/>
      <c r="D37" s="4110" t="s">
        <v>52</v>
      </c>
      <c r="E37" s="4111">
        <f>'財政見通し積算 (全SH全項目統合版）'!C27</f>
        <v>2204156998</v>
      </c>
      <c r="F37" s="4111">
        <v>1</v>
      </c>
      <c r="G37" s="4111">
        <v>1</v>
      </c>
      <c r="H37" s="4112"/>
      <c r="I37" s="4113">
        <f t="shared" si="10"/>
        <v>2204156998</v>
      </c>
      <c r="J37" s="4110" t="s">
        <v>52</v>
      </c>
      <c r="K37" s="4114">
        <f>'財政見通し積算 (全SH全項目統合版）'!C32-K38</f>
        <v>237817800</v>
      </c>
      <c r="L37" s="4114">
        <v>1</v>
      </c>
      <c r="M37" s="4114">
        <v>1</v>
      </c>
      <c r="N37" s="4115"/>
      <c r="O37" s="4116">
        <f t="shared" ref="O37:O59" si="11">K37*L37*M37</f>
        <v>237817800</v>
      </c>
      <c r="P37" s="4117">
        <f>I37+O37</f>
        <v>2441974798</v>
      </c>
      <c r="Q37" s="4057"/>
      <c r="R37" s="4057"/>
    </row>
    <row r="38" spans="1:18">
      <c r="C38" s="5879"/>
      <c r="D38" s="4110"/>
      <c r="E38" s="4111"/>
      <c r="F38" s="4111"/>
      <c r="G38" s="4111"/>
      <c r="H38" s="4112"/>
      <c r="I38" s="4113"/>
      <c r="J38" s="4110" t="s">
        <v>53</v>
      </c>
      <c r="K38" s="4114">
        <f>【250925】アジパラファミリー積算!BS29</f>
        <v>234300000</v>
      </c>
      <c r="L38" s="4114">
        <v>1</v>
      </c>
      <c r="M38" s="4114">
        <v>1</v>
      </c>
      <c r="N38" s="4115"/>
      <c r="O38" s="4116">
        <f t="shared" si="11"/>
        <v>234300000</v>
      </c>
      <c r="P38" s="4117">
        <f t="shared" ref="P38:P40" si="12">I38+O38</f>
        <v>234300000</v>
      </c>
      <c r="Q38" s="4057"/>
      <c r="R38" s="4057"/>
    </row>
    <row r="39" spans="1:18">
      <c r="C39" s="5879"/>
      <c r="D39" s="4110" t="s">
        <v>54</v>
      </c>
      <c r="E39" s="4111">
        <f>'財政見通し積算 (全SH全項目統合版）'!C28</f>
        <v>1724607631</v>
      </c>
      <c r="F39" s="4111">
        <v>1</v>
      </c>
      <c r="G39" s="4111">
        <v>1</v>
      </c>
      <c r="H39" s="4112"/>
      <c r="I39" s="4113">
        <f t="shared" si="10"/>
        <v>1724607631</v>
      </c>
      <c r="J39" s="4110" t="s">
        <v>54</v>
      </c>
      <c r="K39" s="4114">
        <f>'財政見通し積算 (全SH全項目統合版）'!C33</f>
        <v>344907436</v>
      </c>
      <c r="L39" s="4114">
        <v>1</v>
      </c>
      <c r="M39" s="4114">
        <v>1</v>
      </c>
      <c r="N39" s="4115"/>
      <c r="O39" s="4116">
        <f t="shared" si="11"/>
        <v>344907436</v>
      </c>
      <c r="P39" s="4117">
        <f t="shared" si="12"/>
        <v>2069515067</v>
      </c>
      <c r="Q39" s="4057"/>
      <c r="R39" s="4057"/>
    </row>
    <row r="40" spans="1:18">
      <c r="C40" s="5879"/>
      <c r="D40" s="4110" t="s">
        <v>83</v>
      </c>
      <c r="E40" s="4111">
        <f>'財政見通し積算 (全SH全項目統合版）'!C29</f>
        <v>1285487677.0800002</v>
      </c>
      <c r="F40" s="4111">
        <v>1</v>
      </c>
      <c r="G40" s="4111">
        <v>1</v>
      </c>
      <c r="H40" s="4112"/>
      <c r="I40" s="4113">
        <f t="shared" si="10"/>
        <v>1285487677.0800002</v>
      </c>
      <c r="J40" s="4110" t="s">
        <v>83</v>
      </c>
      <c r="K40" s="4114">
        <f>'財政見通し積算 (全SH全項目統合版）'!C34</f>
        <v>837038639.34000003</v>
      </c>
      <c r="L40" s="4114">
        <v>1</v>
      </c>
      <c r="M40" s="4114">
        <v>1</v>
      </c>
      <c r="N40" s="4115"/>
      <c r="O40" s="4116">
        <f t="shared" si="11"/>
        <v>837038639.34000003</v>
      </c>
      <c r="P40" s="4117">
        <f t="shared" si="12"/>
        <v>2122526316.4200001</v>
      </c>
      <c r="Q40" s="4057"/>
      <c r="R40" s="4057"/>
    </row>
    <row r="41" spans="1:18">
      <c r="C41" s="5879"/>
      <c r="D41" s="4110" t="s">
        <v>84</v>
      </c>
      <c r="E41" s="4111">
        <f>'財政見通し積算 (全SH全項目統合版）'!C30</f>
        <v>2656553304</v>
      </c>
      <c r="F41" s="4111">
        <v>1</v>
      </c>
      <c r="G41" s="4111">
        <v>1</v>
      </c>
      <c r="H41" s="4112"/>
      <c r="I41" s="4113">
        <f>E41*F41*G41</f>
        <v>2656553304</v>
      </c>
      <c r="J41" s="4110" t="s">
        <v>84</v>
      </c>
      <c r="K41" s="4114">
        <f>'財政見通し積算 (全SH全項目統合版）'!C35</f>
        <v>402289600.80000001</v>
      </c>
      <c r="L41" s="4114">
        <v>1</v>
      </c>
      <c r="M41" s="4114">
        <v>1</v>
      </c>
      <c r="N41" s="4115"/>
      <c r="O41" s="4116">
        <f t="shared" si="11"/>
        <v>402289600.80000001</v>
      </c>
      <c r="P41" s="4117">
        <f>I41+O41</f>
        <v>3058842904.8000002</v>
      </c>
      <c r="Q41" s="4057"/>
      <c r="R41" s="4057"/>
    </row>
    <row r="42" spans="1:18">
      <c r="B42" s="4018" t="s">
        <v>57</v>
      </c>
      <c r="C42" s="5880">
        <f>C10</f>
        <v>1660274332</v>
      </c>
      <c r="D42" s="4106" t="s">
        <v>85</v>
      </c>
      <c r="E42" s="4060">
        <v>16900</v>
      </c>
      <c r="F42" s="4060">
        <v>58451</v>
      </c>
      <c r="G42" s="4020">
        <v>1</v>
      </c>
      <c r="H42" s="4021"/>
      <c r="I42" s="4105">
        <f t="shared" si="10"/>
        <v>987821900</v>
      </c>
      <c r="J42" s="4106" t="s">
        <v>85</v>
      </c>
      <c r="K42" s="4061">
        <v>16900</v>
      </c>
      <c r="L42" s="4061">
        <v>31699</v>
      </c>
      <c r="M42" s="4061">
        <v>1</v>
      </c>
      <c r="N42" s="4021">
        <f t="shared" ref="N42" si="13">L42*M42</f>
        <v>31699</v>
      </c>
      <c r="O42" s="4108">
        <f t="shared" si="11"/>
        <v>535713100</v>
      </c>
      <c r="P42" s="4093">
        <f>I42+O42</f>
        <v>1523535000</v>
      </c>
      <c r="Q42" s="4057" t="e">
        <f>SUM(P42:P48)-C42</f>
        <v>#REF!</v>
      </c>
      <c r="R42" s="4057" t="e">
        <f>SUM(P42:P44)-C42</f>
        <v>#REF!</v>
      </c>
    </row>
    <row r="43" spans="1:18">
      <c r="C43" s="5879"/>
      <c r="D43" s="4102" t="s">
        <v>86</v>
      </c>
      <c r="E43" s="4058" t="e">
        <f>'財政見通し積算 (全SH全項目統合版）'!E26</f>
        <v>#REF!</v>
      </c>
      <c r="F43" s="4058">
        <v>1</v>
      </c>
      <c r="G43" s="4013">
        <v>1</v>
      </c>
      <c r="H43" s="4014"/>
      <c r="I43" s="4104" t="e">
        <f t="shared" si="10"/>
        <v>#REF!</v>
      </c>
      <c r="J43" s="4102" t="s">
        <v>86</v>
      </c>
      <c r="K43" s="4059" t="e">
        <f>'財政見通し積算 (全SH全項目統合版）'!E31</f>
        <v>#REF!</v>
      </c>
      <c r="L43" s="4059">
        <v>1</v>
      </c>
      <c r="M43" s="4059">
        <v>1</v>
      </c>
      <c r="N43" s="4014"/>
      <c r="O43" s="4104" t="e">
        <f t="shared" si="11"/>
        <v>#REF!</v>
      </c>
      <c r="P43" s="4092" t="e">
        <f>SUM(I43,O43)</f>
        <v>#REF!</v>
      </c>
      <c r="Q43" s="4057"/>
      <c r="R43" s="4057"/>
    </row>
    <row r="44" spans="1:18">
      <c r="C44" s="5879"/>
      <c r="D44" s="4102" t="s">
        <v>82</v>
      </c>
      <c r="E44" s="4058"/>
      <c r="F44" s="4058"/>
      <c r="G44" s="4013"/>
      <c r="H44" s="4014"/>
      <c r="I44" s="4104">
        <f>SUM(I45,I47)</f>
        <v>1179968416</v>
      </c>
      <c r="J44" s="4102" t="s">
        <v>82</v>
      </c>
      <c r="K44" s="4058"/>
      <c r="L44" s="4059"/>
      <c r="M44" s="4059"/>
      <c r="N44" s="4014"/>
      <c r="O44" s="4104">
        <f>SUM(O45:O47)</f>
        <v>267855150</v>
      </c>
      <c r="P44" s="4092">
        <f>SUM(P45:P47)</f>
        <v>1447823566</v>
      </c>
      <c r="Q44" s="4057"/>
      <c r="R44" s="4057"/>
    </row>
    <row r="45" spans="1:18">
      <c r="C45" s="5879"/>
      <c r="D45" s="4110" t="s">
        <v>58</v>
      </c>
      <c r="E45" s="4118">
        <f>'財政見通し積算 (全SH全項目統合版）'!E27</f>
        <v>453261666</v>
      </c>
      <c r="F45" s="4118">
        <v>1</v>
      </c>
      <c r="G45" s="4118">
        <v>1</v>
      </c>
      <c r="H45" s="4115"/>
      <c r="I45" s="4119">
        <f t="shared" si="10"/>
        <v>453261666</v>
      </c>
      <c r="J45" s="4110" t="s">
        <v>58</v>
      </c>
      <c r="K45" s="4114">
        <f>'財政見通し積算 (全SH全項目統合版）'!E32-K46</f>
        <v>12202607.999999985</v>
      </c>
      <c r="L45" s="4114">
        <v>1</v>
      </c>
      <c r="M45" s="4114">
        <v>1</v>
      </c>
      <c r="N45" s="4115"/>
      <c r="O45" s="4116">
        <f t="shared" si="11"/>
        <v>12202607.999999985</v>
      </c>
      <c r="P45" s="4117">
        <f t="shared" ref="P45:P69" si="14">I45+O45</f>
        <v>465464274</v>
      </c>
      <c r="Q45" s="4057"/>
      <c r="R45" s="4057"/>
    </row>
    <row r="46" spans="1:18">
      <c r="C46" s="5879"/>
      <c r="D46" s="4110"/>
      <c r="E46" s="4118"/>
      <c r="F46" s="4118"/>
      <c r="G46" s="4118"/>
      <c r="H46" s="4115"/>
      <c r="I46" s="4119"/>
      <c r="J46" s="4110" t="s">
        <v>87</v>
      </c>
      <c r="K46" s="4114">
        <f>【250925】アジパラファミリー積算!BV29</f>
        <v>60203792.000000015</v>
      </c>
      <c r="L46" s="4114">
        <v>1</v>
      </c>
      <c r="M46" s="4114">
        <v>1</v>
      </c>
      <c r="N46" s="4115"/>
      <c r="O46" s="4116">
        <f t="shared" si="11"/>
        <v>60203792.000000015</v>
      </c>
      <c r="P46" s="4117">
        <f t="shared" si="14"/>
        <v>60203792.000000015</v>
      </c>
      <c r="Q46" s="4057"/>
      <c r="R46" s="4057"/>
    </row>
    <row r="47" spans="1:18">
      <c r="C47" s="5879"/>
      <c r="D47" s="4110" t="s">
        <v>54</v>
      </c>
      <c r="E47" s="4118">
        <f>'財政見通し積算 (全SH全項目統合版）'!E28</f>
        <v>726706750</v>
      </c>
      <c r="F47" s="4118">
        <v>1</v>
      </c>
      <c r="G47" s="4118">
        <v>1</v>
      </c>
      <c r="H47" s="4014"/>
      <c r="I47" s="4119">
        <f t="shared" ref="I47" si="15">E47*F47*G47</f>
        <v>726706750</v>
      </c>
      <c r="J47" s="4110" t="s">
        <v>54</v>
      </c>
      <c r="K47" s="4114">
        <f>'財政見通し積算 (全SH全項目統合版）'!E33</f>
        <v>195448750</v>
      </c>
      <c r="L47" s="4118">
        <v>1</v>
      </c>
      <c r="M47" s="4114">
        <v>1</v>
      </c>
      <c r="N47" s="4115"/>
      <c r="O47" s="4116">
        <f t="shared" ref="O47" si="16">K47*L47*M47</f>
        <v>195448750</v>
      </c>
      <c r="P47" s="4117">
        <f>I47+O47</f>
        <v>922155500</v>
      </c>
      <c r="Q47" s="4057"/>
      <c r="R47" s="4057"/>
    </row>
    <row r="48" spans="1:18" hidden="1">
      <c r="C48" s="5879"/>
      <c r="D48" s="4102" t="s">
        <v>88</v>
      </c>
      <c r="E48" s="4058">
        <v>21000</v>
      </c>
      <c r="F48" s="4058">
        <v>22972</v>
      </c>
      <c r="G48" s="4013">
        <v>1</v>
      </c>
      <c r="H48" s="4014"/>
      <c r="I48" s="5837">
        <f t="shared" si="10"/>
        <v>482412000</v>
      </c>
      <c r="J48" s="4102" t="s">
        <v>88</v>
      </c>
      <c r="K48" s="4059">
        <v>21000</v>
      </c>
      <c r="L48" s="4058">
        <v>8640</v>
      </c>
      <c r="M48" s="4059">
        <v>1</v>
      </c>
      <c r="N48" s="4014">
        <f t="shared" ref="N48:N53" si="17">L48*M48</f>
        <v>8640</v>
      </c>
      <c r="O48" s="5842">
        <f t="shared" si="11"/>
        <v>181440000</v>
      </c>
      <c r="P48" s="4131">
        <f>I48+O48</f>
        <v>663852000</v>
      </c>
      <c r="Q48" s="4057"/>
      <c r="R48" s="4057"/>
    </row>
    <row r="49" spans="2:18">
      <c r="B49" s="4018" t="s">
        <v>63</v>
      </c>
      <c r="C49" s="5880">
        <f>C16</f>
        <v>1202035000</v>
      </c>
      <c r="D49" s="4135" t="s">
        <v>89</v>
      </c>
      <c r="E49" s="4060">
        <v>19000</v>
      </c>
      <c r="F49" s="5831">
        <v>8364</v>
      </c>
      <c r="G49" s="5831">
        <v>1</v>
      </c>
      <c r="H49" s="5832"/>
      <c r="I49" s="5833">
        <f t="shared" si="10"/>
        <v>158916000</v>
      </c>
      <c r="J49" s="4135" t="s">
        <v>89</v>
      </c>
      <c r="K49" s="4061">
        <v>19000</v>
      </c>
      <c r="L49" s="5843">
        <v>5536</v>
      </c>
      <c r="M49" s="5843">
        <v>1</v>
      </c>
      <c r="N49" s="5832">
        <f t="shared" si="17"/>
        <v>5536</v>
      </c>
      <c r="O49" s="5844">
        <f t="shared" si="11"/>
        <v>105184000</v>
      </c>
      <c r="P49" s="4093">
        <f>I49+O49</f>
        <v>264100000</v>
      </c>
      <c r="Q49" s="4057">
        <f>SUM(P49:P51)-C49</f>
        <v>469252800</v>
      </c>
      <c r="R49" s="4057">
        <f>SUM(P49,P51)-C49</f>
        <v>86041800</v>
      </c>
    </row>
    <row r="50" spans="2:18" hidden="1">
      <c r="C50" s="5879"/>
      <c r="D50" s="5830" t="s">
        <v>60</v>
      </c>
      <c r="E50" s="4058">
        <v>19000</v>
      </c>
      <c r="F50" s="5834">
        <v>14409</v>
      </c>
      <c r="G50" s="5834">
        <v>1</v>
      </c>
      <c r="H50" s="5835"/>
      <c r="I50" s="5836">
        <f t="shared" si="10"/>
        <v>273771000</v>
      </c>
      <c r="J50" s="5830" t="s">
        <v>60</v>
      </c>
      <c r="K50" s="4058">
        <v>19000</v>
      </c>
      <c r="L50" s="5845">
        <v>5760</v>
      </c>
      <c r="M50" s="5845">
        <v>1</v>
      </c>
      <c r="N50" s="5835"/>
      <c r="O50" s="5836">
        <f t="shared" si="11"/>
        <v>109440000</v>
      </c>
      <c r="P50" s="4092">
        <f t="shared" si="14"/>
        <v>383211000</v>
      </c>
      <c r="Q50" s="4057"/>
      <c r="R50" s="4057"/>
    </row>
    <row r="51" spans="2:18">
      <c r="B51" s="4027"/>
      <c r="C51" s="5881"/>
      <c r="D51" s="4136" t="s">
        <v>90</v>
      </c>
      <c r="E51" s="4062">
        <v>22164</v>
      </c>
      <c r="F51" s="4062">
        <v>30603</v>
      </c>
      <c r="G51" s="4029">
        <v>1</v>
      </c>
      <c r="H51" s="4030"/>
      <c r="I51" s="4120">
        <f t="shared" si="10"/>
        <v>678284892</v>
      </c>
      <c r="J51" s="4136" t="s">
        <v>90</v>
      </c>
      <c r="K51" s="4063">
        <v>22164</v>
      </c>
      <c r="L51" s="4063">
        <v>15597</v>
      </c>
      <c r="M51" s="4063">
        <v>1</v>
      </c>
      <c r="N51" s="4030">
        <f t="shared" si="17"/>
        <v>15597</v>
      </c>
      <c r="O51" s="4121">
        <f t="shared" si="11"/>
        <v>345691908</v>
      </c>
      <c r="P51" s="4092">
        <f>I51+O51</f>
        <v>1023976800</v>
      </c>
      <c r="Q51" s="4057"/>
      <c r="R51" s="4057"/>
    </row>
    <row r="52" spans="2:18">
      <c r="B52" s="2486" t="s">
        <v>65</v>
      </c>
      <c r="C52" s="5879">
        <f>C18</f>
        <v>127204000</v>
      </c>
      <c r="D52" s="4102" t="s">
        <v>64</v>
      </c>
      <c r="E52" s="4058">
        <v>880</v>
      </c>
      <c r="F52" s="4058">
        <v>97418</v>
      </c>
      <c r="G52" s="4013">
        <v>1</v>
      </c>
      <c r="H52" s="4014"/>
      <c r="I52" s="4104">
        <f t="shared" si="10"/>
        <v>85727840</v>
      </c>
      <c r="J52" s="4122" t="s">
        <v>64</v>
      </c>
      <c r="K52" s="4059">
        <v>880</v>
      </c>
      <c r="L52" s="4059">
        <v>52832</v>
      </c>
      <c r="M52" s="4059">
        <v>1</v>
      </c>
      <c r="N52" s="4014">
        <f t="shared" si="17"/>
        <v>52832</v>
      </c>
      <c r="O52" s="4109">
        <f t="shared" si="11"/>
        <v>46492160</v>
      </c>
      <c r="P52" s="4093">
        <f>I52+O52</f>
        <v>132220000</v>
      </c>
      <c r="Q52" s="4057">
        <f>SUM(P52:P54)-C52</f>
        <v>96855440</v>
      </c>
      <c r="R52" s="4057">
        <f>SUM(P52)-C52</f>
        <v>5016000</v>
      </c>
    </row>
    <row r="53" spans="2:18" hidden="1">
      <c r="C53" s="5879"/>
      <c r="D53" s="4102" t="s">
        <v>60</v>
      </c>
      <c r="E53" s="4058">
        <v>880</v>
      </c>
      <c r="F53" s="4058">
        <v>37381</v>
      </c>
      <c r="G53" s="4013">
        <v>1</v>
      </c>
      <c r="H53" s="4014"/>
      <c r="I53" s="5837">
        <f t="shared" si="10"/>
        <v>32895280</v>
      </c>
      <c r="J53" s="4122" t="s">
        <v>60</v>
      </c>
      <c r="K53" s="4059">
        <v>880</v>
      </c>
      <c r="L53" s="4059">
        <v>14400</v>
      </c>
      <c r="M53" s="4059">
        <v>1</v>
      </c>
      <c r="N53" s="4014">
        <f t="shared" si="17"/>
        <v>14400</v>
      </c>
      <c r="O53" s="5842">
        <f t="shared" si="11"/>
        <v>12672000</v>
      </c>
      <c r="P53" s="4092">
        <f t="shared" si="14"/>
        <v>45567280</v>
      </c>
      <c r="Q53" s="4057"/>
      <c r="R53" s="4057"/>
    </row>
    <row r="54" spans="2:18" hidden="1">
      <c r="C54" s="5879"/>
      <c r="D54" s="4102" t="s">
        <v>66</v>
      </c>
      <c r="E54" s="4058">
        <v>880</v>
      </c>
      <c r="F54" s="4058">
        <v>52582</v>
      </c>
      <c r="G54" s="4013">
        <v>1</v>
      </c>
      <c r="H54" s="4014"/>
      <c r="I54" s="5837">
        <f t="shared" si="10"/>
        <v>46272160</v>
      </c>
      <c r="K54" s="4059"/>
      <c r="L54" s="4059"/>
      <c r="M54" s="4059"/>
      <c r="N54" s="4064"/>
      <c r="O54" s="4065">
        <f t="shared" si="11"/>
        <v>0</v>
      </c>
      <c r="P54" s="4094">
        <f t="shared" si="14"/>
        <v>46272160</v>
      </c>
      <c r="Q54" s="4057"/>
      <c r="R54" s="4057"/>
    </row>
    <row r="55" spans="2:18" hidden="1">
      <c r="B55" s="4018" t="s">
        <v>91</v>
      </c>
      <c r="C55" s="5880">
        <v>920808000</v>
      </c>
      <c r="D55" s="4106" t="s">
        <v>66</v>
      </c>
      <c r="E55" s="4060">
        <v>21000</v>
      </c>
      <c r="F55" s="4060">
        <v>52582</v>
      </c>
      <c r="G55" s="4085">
        <v>1</v>
      </c>
      <c r="H55" s="4086"/>
      <c r="I55" s="5838">
        <f t="shared" si="10"/>
        <v>1104222000</v>
      </c>
      <c r="J55" s="4018"/>
      <c r="K55" s="4061"/>
      <c r="L55" s="4061"/>
      <c r="M55" s="4061"/>
      <c r="N55" s="4086"/>
      <c r="O55" s="4025">
        <f t="shared" si="11"/>
        <v>0</v>
      </c>
      <c r="P55" s="4092">
        <f t="shared" si="14"/>
        <v>1104222000</v>
      </c>
      <c r="Q55" s="4057">
        <f>SUM(P55)-C55</f>
        <v>183414000</v>
      </c>
      <c r="R55" s="4057"/>
    </row>
    <row r="56" spans="2:18">
      <c r="B56" s="4018" t="s">
        <v>92</v>
      </c>
      <c r="C56" s="5880">
        <f>C22</f>
        <v>1437358140</v>
      </c>
      <c r="D56" s="4106" t="s">
        <v>69</v>
      </c>
      <c r="E56" s="4060">
        <v>1336000000</v>
      </c>
      <c r="F56" s="4060">
        <v>1</v>
      </c>
      <c r="G56" s="4020">
        <v>1</v>
      </c>
      <c r="H56" s="4021"/>
      <c r="I56" s="4105">
        <f t="shared" si="10"/>
        <v>1336000000</v>
      </c>
      <c r="J56" s="5851"/>
      <c r="K56" s="4061"/>
      <c r="L56" s="4061"/>
      <c r="M56" s="4061"/>
      <c r="N56" s="5852"/>
      <c r="O56" s="4108"/>
      <c r="P56" s="4093">
        <f>I56+O56</f>
        <v>1336000000</v>
      </c>
      <c r="Q56" s="4057">
        <f>SUM(P56:P59)-C56</f>
        <v>974000860</v>
      </c>
      <c r="R56" s="4057">
        <f>SUM(P56:P57)-C56</f>
        <v>860</v>
      </c>
    </row>
    <row r="57" spans="2:18">
      <c r="C57" s="5879"/>
      <c r="D57" s="4102" t="s">
        <v>70</v>
      </c>
      <c r="E57" s="4058">
        <v>101359000</v>
      </c>
      <c r="F57" s="4058">
        <v>1</v>
      </c>
      <c r="G57" s="4013">
        <v>1</v>
      </c>
      <c r="H57" s="4014"/>
      <c r="I57" s="4104">
        <f t="shared" si="10"/>
        <v>101359000</v>
      </c>
      <c r="J57" s="4066"/>
      <c r="K57" s="4059"/>
      <c r="L57" s="4059"/>
      <c r="M57" s="4059"/>
      <c r="N57" s="4067"/>
      <c r="O57" s="4065">
        <f t="shared" si="11"/>
        <v>0</v>
      </c>
      <c r="P57" s="4094">
        <f t="shared" si="14"/>
        <v>101359000</v>
      </c>
      <c r="Q57" s="4057"/>
      <c r="R57" s="4057"/>
    </row>
    <row r="58" spans="2:18" hidden="1">
      <c r="C58" s="5879"/>
      <c r="D58" s="4102" t="s">
        <v>71</v>
      </c>
      <c r="E58" s="4058">
        <v>408277000</v>
      </c>
      <c r="F58" s="4058">
        <v>1</v>
      </c>
      <c r="G58" s="4013">
        <v>1</v>
      </c>
      <c r="H58" s="4014"/>
      <c r="I58" s="5837">
        <f t="shared" si="10"/>
        <v>408277000</v>
      </c>
      <c r="J58" s="4132" t="s">
        <v>71</v>
      </c>
      <c r="K58" s="4061">
        <v>360000000</v>
      </c>
      <c r="L58" s="4061">
        <v>1</v>
      </c>
      <c r="M58" s="4061">
        <v>1</v>
      </c>
      <c r="N58" s="4021"/>
      <c r="O58" s="5841">
        <f t="shared" si="11"/>
        <v>360000000</v>
      </c>
      <c r="P58" s="4092">
        <f t="shared" si="14"/>
        <v>768277000</v>
      </c>
      <c r="Q58" s="4057"/>
      <c r="R58" s="4057"/>
    </row>
    <row r="59" spans="2:18" hidden="1">
      <c r="C59" s="5879"/>
      <c r="D59" s="4102" t="s">
        <v>72</v>
      </c>
      <c r="E59" s="4058">
        <v>205723000</v>
      </c>
      <c r="F59" s="4058">
        <v>1</v>
      </c>
      <c r="G59" s="4013">
        <v>1</v>
      </c>
      <c r="H59" s="4014"/>
      <c r="I59" s="5837">
        <f t="shared" si="10"/>
        <v>205723000</v>
      </c>
      <c r="J59" s="4066"/>
      <c r="K59" s="4059"/>
      <c r="L59" s="4059"/>
      <c r="M59" s="4059"/>
      <c r="N59" s="4067"/>
      <c r="O59" s="4065">
        <f t="shared" si="11"/>
        <v>0</v>
      </c>
      <c r="P59" s="4094">
        <f t="shared" si="14"/>
        <v>205723000</v>
      </c>
      <c r="Q59" s="4057"/>
      <c r="R59" s="4057"/>
    </row>
    <row r="60" spans="2:18">
      <c r="B60" s="4018" t="s">
        <v>177</v>
      </c>
      <c r="C60" s="5880">
        <f>C26</f>
        <v>88652020</v>
      </c>
      <c r="D60" s="4135" t="s">
        <v>93</v>
      </c>
      <c r="E60" s="4060">
        <v>6000000</v>
      </c>
      <c r="F60" s="4060">
        <v>12</v>
      </c>
      <c r="G60" s="4020">
        <v>1</v>
      </c>
      <c r="H60" s="4021"/>
      <c r="I60" s="4105">
        <f t="shared" si="10"/>
        <v>72000000</v>
      </c>
      <c r="J60" s="4135" t="s">
        <v>93</v>
      </c>
      <c r="K60" s="4061">
        <v>2379000</v>
      </c>
      <c r="L60" s="4061">
        <v>7</v>
      </c>
      <c r="M60" s="4061">
        <v>1</v>
      </c>
      <c r="N60" s="4021"/>
      <c r="O60" s="4108">
        <f>K60*L60*M60</f>
        <v>16653000</v>
      </c>
      <c r="P60" s="4092">
        <f t="shared" si="14"/>
        <v>88653000</v>
      </c>
      <c r="Q60" s="4057">
        <f>SUM(P60:P61,P62)-C60</f>
        <v>10458980</v>
      </c>
      <c r="R60" s="4057">
        <f>SUM(P60)-C60</f>
        <v>980</v>
      </c>
    </row>
    <row r="61" spans="2:18" hidden="1">
      <c r="C61" s="5879"/>
      <c r="D61" s="4137" t="s">
        <v>94</v>
      </c>
      <c r="E61" s="4058">
        <v>9351000</v>
      </c>
      <c r="F61" s="4058">
        <v>1</v>
      </c>
      <c r="G61" s="4013">
        <v>1</v>
      </c>
      <c r="H61" s="4014"/>
      <c r="I61" s="5839">
        <f t="shared" si="10"/>
        <v>9351000</v>
      </c>
      <c r="J61" s="4134"/>
      <c r="K61" s="4059"/>
      <c r="L61" s="4059"/>
      <c r="M61" s="4059"/>
      <c r="N61" s="4014"/>
      <c r="O61" s="4109"/>
      <c r="P61" s="4092">
        <f t="shared" si="14"/>
        <v>9351000</v>
      </c>
      <c r="Q61" s="4057"/>
      <c r="R61" s="4057"/>
    </row>
    <row r="62" spans="2:18" hidden="1">
      <c r="B62" s="4027"/>
      <c r="C62" s="5881"/>
      <c r="D62" s="4138" t="s">
        <v>95</v>
      </c>
      <c r="E62" s="4062">
        <v>1107000</v>
      </c>
      <c r="F62" s="4062">
        <v>1</v>
      </c>
      <c r="G62" s="4029">
        <v>1</v>
      </c>
      <c r="H62" s="4030"/>
      <c r="I62" s="5840">
        <f t="shared" si="10"/>
        <v>1107000</v>
      </c>
      <c r="J62" s="4027"/>
      <c r="K62" s="4063"/>
      <c r="L62" s="4063"/>
      <c r="M62" s="4063"/>
      <c r="N62" s="4030"/>
      <c r="O62" s="4033"/>
      <c r="P62" s="4092">
        <f t="shared" si="14"/>
        <v>1107000</v>
      </c>
      <c r="Q62" s="4057"/>
      <c r="R62" s="4057"/>
    </row>
    <row r="63" spans="2:18">
      <c r="B63" s="4018" t="s">
        <v>178</v>
      </c>
      <c r="C63" s="5880">
        <f>C27</f>
        <v>3450377147</v>
      </c>
      <c r="D63" s="4106" t="s">
        <v>50</v>
      </c>
      <c r="E63" s="4060" t="e">
        <f>'財政見通し積算 (全SH全項目統合版）'!D26</f>
        <v>#REF!</v>
      </c>
      <c r="F63" s="4060">
        <v>1</v>
      </c>
      <c r="G63" s="4020">
        <v>1</v>
      </c>
      <c r="H63" s="4021"/>
      <c r="I63" s="4105" t="e">
        <f t="shared" si="10"/>
        <v>#REF!</v>
      </c>
      <c r="J63" s="4106" t="s">
        <v>50</v>
      </c>
      <c r="K63" s="4061" t="e">
        <f>'財政見通し積算 (全SH全項目統合版）'!D31</f>
        <v>#REF!</v>
      </c>
      <c r="L63" s="4061">
        <v>1</v>
      </c>
      <c r="M63" s="4061">
        <v>1</v>
      </c>
      <c r="N63" s="4021"/>
      <c r="O63" s="4108" t="e">
        <f t="shared" ref="O63:O69" si="18">K63*L63*M63</f>
        <v>#REF!</v>
      </c>
      <c r="P63" s="4093" t="e">
        <f t="shared" si="14"/>
        <v>#REF!</v>
      </c>
      <c r="Q63" s="4057" t="e">
        <f>SUM(P63:P64)-C63</f>
        <v>#REF!</v>
      </c>
      <c r="R63" s="4057" t="e">
        <f>SUM(P63:P64)-C63</f>
        <v>#REF!</v>
      </c>
    </row>
    <row r="64" spans="2:18">
      <c r="C64" s="5879"/>
      <c r="D64" s="4102" t="s">
        <v>82</v>
      </c>
      <c r="E64" s="4058"/>
      <c r="F64" s="4058"/>
      <c r="G64" s="4013"/>
      <c r="H64" s="4014"/>
      <c r="I64" s="4104">
        <f>SUM(I65:I66)</f>
        <v>1894195599.7</v>
      </c>
      <c r="J64" s="4102" t="s">
        <v>82</v>
      </c>
      <c r="K64" s="4058"/>
      <c r="L64" s="4058"/>
      <c r="M64" s="4013"/>
      <c r="N64" s="4014"/>
      <c r="O64" s="4104">
        <f>SUM(O65:O66)</f>
        <v>656390529.10000014</v>
      </c>
      <c r="P64" s="4092">
        <f>SUM(P65:P66)</f>
        <v>2550586128.8000002</v>
      </c>
      <c r="Q64" s="4057"/>
      <c r="R64" s="4057"/>
    </row>
    <row r="65" spans="2:18">
      <c r="C65" s="5879"/>
      <c r="D65" s="4110" t="s">
        <v>96</v>
      </c>
      <c r="E65" s="4118">
        <f>'財政見通し積算 (全SH全項目統合版）'!D27</f>
        <v>1133891586</v>
      </c>
      <c r="F65" s="4118">
        <v>1</v>
      </c>
      <c r="G65" s="4118">
        <v>1</v>
      </c>
      <c r="H65" s="4115"/>
      <c r="I65" s="4119">
        <f t="shared" si="10"/>
        <v>1133891586</v>
      </c>
      <c r="J65" s="4110" t="s">
        <v>96</v>
      </c>
      <c r="K65" s="4114">
        <f>'財政見通し積算 (全SH全項目統合版）'!D32</f>
        <v>288657600.00000006</v>
      </c>
      <c r="L65" s="4114">
        <v>1</v>
      </c>
      <c r="M65" s="4114">
        <v>1</v>
      </c>
      <c r="N65" s="4115"/>
      <c r="O65" s="4116">
        <f t="shared" si="18"/>
        <v>288657600.00000006</v>
      </c>
      <c r="P65" s="4117">
        <f t="shared" si="14"/>
        <v>1422549186</v>
      </c>
      <c r="Q65" s="4057"/>
      <c r="R65" s="4057"/>
    </row>
    <row r="66" spans="2:18">
      <c r="C66" s="5879"/>
      <c r="D66" s="4110" t="s">
        <v>54</v>
      </c>
      <c r="E66" s="4118">
        <f>'財政見通し積算 (全SH全項目統合版）'!D28</f>
        <v>760304013.70000005</v>
      </c>
      <c r="F66" s="4118">
        <v>1</v>
      </c>
      <c r="G66" s="4118">
        <v>1</v>
      </c>
      <c r="H66" s="4115"/>
      <c r="I66" s="4119">
        <f t="shared" si="10"/>
        <v>760304013.70000005</v>
      </c>
      <c r="J66" s="4110" t="s">
        <v>54</v>
      </c>
      <c r="K66" s="4114">
        <f>'財政見通し積算 (全SH全項目統合版）'!D33</f>
        <v>367732929.10000002</v>
      </c>
      <c r="L66" s="4114">
        <v>1</v>
      </c>
      <c r="M66" s="4114">
        <v>1</v>
      </c>
      <c r="N66" s="4115"/>
      <c r="O66" s="4123">
        <f t="shared" si="18"/>
        <v>367732929.10000002</v>
      </c>
      <c r="P66" s="4124">
        <f t="shared" si="14"/>
        <v>1128036942.8000002</v>
      </c>
      <c r="Q66" s="4057"/>
      <c r="R66" s="4057"/>
    </row>
    <row r="67" spans="2:18">
      <c r="B67" s="4018" t="s">
        <v>76</v>
      </c>
      <c r="C67" s="5880">
        <f>C29</f>
        <v>54466667</v>
      </c>
      <c r="D67" s="4106" t="s">
        <v>179</v>
      </c>
      <c r="E67" s="4061"/>
      <c r="F67" s="4061"/>
      <c r="G67" s="4024"/>
      <c r="H67" s="4153"/>
      <c r="I67" s="4108" t="e">
        <f>SUM(I68:I69)</f>
        <v>#REF!</v>
      </c>
      <c r="J67" s="4151" t="s">
        <v>179</v>
      </c>
      <c r="K67" s="4061"/>
      <c r="L67" s="4061"/>
      <c r="M67" s="4061"/>
      <c r="N67" s="4153"/>
      <c r="O67" s="4108" t="e">
        <f>SUM(O68:O69)</f>
        <v>#REF!</v>
      </c>
      <c r="P67" s="4092" t="e">
        <f t="shared" si="14"/>
        <v>#REF!</v>
      </c>
      <c r="Q67" s="5916" t="e">
        <f>SUM(P67)-C67</f>
        <v>#REF!</v>
      </c>
      <c r="R67" s="4176" t="e">
        <f>SUM(P67,P70)-C67</f>
        <v>#REF!</v>
      </c>
    </row>
    <row r="68" spans="2:18">
      <c r="C68" s="5882"/>
      <c r="D68" s="4095" t="s">
        <v>97</v>
      </c>
      <c r="E68" s="4114" t="e">
        <f>'財政見通し積算 (全SH全項目統合版）'!F26</f>
        <v>#REF!</v>
      </c>
      <c r="F68" s="4114">
        <v>1</v>
      </c>
      <c r="G68" s="4114">
        <v>1</v>
      </c>
      <c r="H68" s="5917"/>
      <c r="I68" s="4116" t="e">
        <f t="shared" si="10"/>
        <v>#REF!</v>
      </c>
      <c r="J68" s="5918" t="s">
        <v>97</v>
      </c>
      <c r="K68" s="4114" t="e">
        <f>'財政見通し積算 (全SH全項目統合版）'!F31</f>
        <v>#REF!</v>
      </c>
      <c r="L68" s="4114">
        <v>1</v>
      </c>
      <c r="M68" s="4114">
        <v>1</v>
      </c>
      <c r="N68" s="5917"/>
      <c r="O68" s="4116" t="e">
        <f t="shared" ref="O68" si="19">K68*L68*M68</f>
        <v>#REF!</v>
      </c>
      <c r="P68" s="4117" t="e">
        <f t="shared" si="14"/>
        <v>#REF!</v>
      </c>
      <c r="Q68" s="5916"/>
      <c r="R68" s="4176"/>
    </row>
    <row r="69" spans="2:18">
      <c r="C69" s="5882"/>
      <c r="D69" s="4095" t="s">
        <v>96</v>
      </c>
      <c r="E69" s="5919">
        <f>'財政見通し積算 (全SH全項目統合版）'!F27</f>
        <v>35875904.899999999</v>
      </c>
      <c r="F69" s="4114">
        <v>1</v>
      </c>
      <c r="G69" s="4114">
        <v>1</v>
      </c>
      <c r="H69" s="5917"/>
      <c r="I69" s="4116">
        <f t="shared" si="10"/>
        <v>35875904.899999999</v>
      </c>
      <c r="J69" s="5918" t="s">
        <v>96</v>
      </c>
      <c r="K69" s="4114">
        <f>'財政見通し積算 (全SH全項目統合版）'!F32</f>
        <v>792000</v>
      </c>
      <c r="L69" s="4114">
        <v>1</v>
      </c>
      <c r="M69" s="4114">
        <v>1</v>
      </c>
      <c r="N69" s="5917"/>
      <c r="O69" s="4116">
        <f t="shared" si="18"/>
        <v>792000</v>
      </c>
      <c r="P69" s="4117">
        <f t="shared" si="14"/>
        <v>36667904.899999999</v>
      </c>
      <c r="Q69" s="5916"/>
      <c r="R69" s="4176"/>
    </row>
    <row r="70" spans="2:18">
      <c r="C70" s="5886"/>
      <c r="D70" s="5887" t="s">
        <v>180</v>
      </c>
      <c r="E70" s="5919"/>
      <c r="F70" s="4114"/>
      <c r="G70" s="4114"/>
      <c r="H70" s="5917"/>
      <c r="I70" s="5920" t="e">
        <f>SUM(I71:I72)</f>
        <v>#REF!</v>
      </c>
      <c r="J70" s="5921" t="s">
        <v>180</v>
      </c>
      <c r="K70" s="4114"/>
      <c r="L70" s="4114"/>
      <c r="M70" s="4114"/>
      <c r="N70" s="5917"/>
      <c r="O70" s="5920" t="e">
        <f>SUM(O71:O72)</f>
        <v>#REF!</v>
      </c>
      <c r="P70" s="4131" t="e">
        <f>I70+O70</f>
        <v>#REF!</v>
      </c>
      <c r="Q70" s="4057"/>
      <c r="R70" s="4176"/>
    </row>
    <row r="71" spans="2:18">
      <c r="C71" s="5886"/>
      <c r="D71" s="4095" t="s">
        <v>181</v>
      </c>
      <c r="E71" s="5919" t="e">
        <f>'財政見通し積算 (全SH全項目統合版）'!G26</f>
        <v>#REF!</v>
      </c>
      <c r="F71" s="4114">
        <v>1</v>
      </c>
      <c r="G71" s="4114">
        <v>1</v>
      </c>
      <c r="H71" s="5917"/>
      <c r="I71" s="4116" t="e">
        <f t="shared" si="10"/>
        <v>#REF!</v>
      </c>
      <c r="J71" s="5918" t="s">
        <v>181</v>
      </c>
      <c r="K71" s="4114" t="e">
        <f>'財政見通し積算 (全SH全項目統合版）'!G31</f>
        <v>#REF!</v>
      </c>
      <c r="L71" s="4114">
        <v>1</v>
      </c>
      <c r="M71" s="4114">
        <v>1</v>
      </c>
      <c r="N71" s="5917"/>
      <c r="O71" s="4116" t="e">
        <f t="shared" ref="O71:O72" si="20">K71*L71*M71</f>
        <v>#REF!</v>
      </c>
      <c r="P71" s="4117" t="e">
        <f>I71+O71</f>
        <v>#REF!</v>
      </c>
      <c r="Q71" s="4057"/>
      <c r="R71" s="4176"/>
    </row>
    <row r="72" spans="2:18">
      <c r="C72" s="5886"/>
      <c r="D72" s="4095" t="s">
        <v>182</v>
      </c>
      <c r="E72" s="5919" t="e">
        <f>'財政見通し積算 (全SH全項目統合版）'!H26</f>
        <v>#REF!</v>
      </c>
      <c r="F72" s="4114">
        <v>1</v>
      </c>
      <c r="G72" s="4114">
        <v>1</v>
      </c>
      <c r="H72" s="5917"/>
      <c r="I72" s="4116" t="e">
        <f t="shared" si="10"/>
        <v>#REF!</v>
      </c>
      <c r="J72" s="5918" t="s">
        <v>182</v>
      </c>
      <c r="K72" s="4114" t="e">
        <f>'財政見通し積算 (全SH全項目統合版）'!H31</f>
        <v>#REF!</v>
      </c>
      <c r="L72" s="4114">
        <v>1</v>
      </c>
      <c r="M72" s="4114">
        <v>1</v>
      </c>
      <c r="N72" s="5917"/>
      <c r="O72" s="4116" t="e">
        <f t="shared" si="20"/>
        <v>#REF!</v>
      </c>
      <c r="P72" s="4117" t="e">
        <f>I72+O72</f>
        <v>#REF!</v>
      </c>
      <c r="Q72" s="4057"/>
      <c r="R72" s="4057"/>
    </row>
    <row r="73" spans="2:18" ht="19.5" thickBot="1">
      <c r="B73" s="4042" t="s">
        <v>98</v>
      </c>
      <c r="C73" s="5907">
        <v>0</v>
      </c>
      <c r="D73" s="5908" t="s">
        <v>99</v>
      </c>
      <c r="E73" s="5911">
        <f>'財政見通し積算 (全SH全項目統合版）'!I39</f>
        <v>74703200</v>
      </c>
      <c r="F73" s="5911">
        <v>1</v>
      </c>
      <c r="G73" s="5911">
        <v>1</v>
      </c>
      <c r="H73" s="5910"/>
      <c r="I73" s="5915">
        <f>E73*F73*G73</f>
        <v>74703200</v>
      </c>
      <c r="J73" s="5909" t="s">
        <v>99</v>
      </c>
      <c r="K73" s="5912">
        <f>'財政見通し積算 (全SH全項目統合版）'!I40</f>
        <v>20944000</v>
      </c>
      <c r="L73" s="5912">
        <v>1</v>
      </c>
      <c r="M73" s="5912">
        <v>1</v>
      </c>
      <c r="N73" s="5910"/>
      <c r="O73" s="5914">
        <f>K73*L73*M73</f>
        <v>20944000</v>
      </c>
      <c r="P73" s="5913">
        <f>SUM(I73,O73)</f>
        <v>95647200</v>
      </c>
      <c r="Q73" s="4057"/>
      <c r="R73" s="4057">
        <f>SUM(P73)-C73</f>
        <v>95647200</v>
      </c>
    </row>
    <row r="74" spans="2:18" ht="23" thickTop="1">
      <c r="B74" s="4048" t="s">
        <v>77</v>
      </c>
      <c r="C74" s="5883">
        <f>SUM(C35,C42,C49,C52,C56,C60,C63,C67,C73)</f>
        <v>23477660084</v>
      </c>
      <c r="D74" s="4049"/>
      <c r="E74" s="4050"/>
      <c r="F74" s="4050"/>
      <c r="G74" s="4050"/>
      <c r="H74" s="4051"/>
      <c r="I74" s="4052" t="e">
        <f>SUM(I35:I36,I42:I44,I49,I51,I52,I56:I57,I60,I63:I64,I67,I70,I73)</f>
        <v>#REF!</v>
      </c>
      <c r="J74" s="4048"/>
      <c r="K74" s="4053"/>
      <c r="L74" s="4053"/>
      <c r="M74" s="4053"/>
      <c r="N74" s="4051"/>
      <c r="O74" s="4052" t="e">
        <f>SUM(O35:O36,O42:O44,O49,O51,O52,O60,O63:O64,O67,O70,O73)</f>
        <v>#REF!</v>
      </c>
      <c r="P74" s="4090" t="e">
        <f>SUM(P35,P36,P42,P43,P44,P49,P51,P52,P56,P57,P60,P63,P64,P67,P70,P73)</f>
        <v>#REF!</v>
      </c>
      <c r="Q74" s="4087" t="e">
        <f>P74-C74</f>
        <v>#REF!</v>
      </c>
      <c r="R74" s="5850" t="e">
        <f>SUM(I84,O84)</f>
        <v>#REF!</v>
      </c>
    </row>
    <row r="75" spans="2:18" ht="22" customHeight="1">
      <c r="B75" s="5829" t="s">
        <v>100</v>
      </c>
      <c r="C75" s="5859"/>
      <c r="D75" s="5859"/>
      <c r="E75" s="5859"/>
      <c r="F75" s="5859"/>
      <c r="P75" s="4176"/>
      <c r="Q75" s="4088" t="s">
        <v>101</v>
      </c>
      <c r="R75" s="5857" t="s">
        <v>102</v>
      </c>
    </row>
    <row r="76" spans="2:18">
      <c r="B76" s="5829" t="s">
        <v>103</v>
      </c>
      <c r="C76" s="5859"/>
      <c r="F76" s="5853"/>
      <c r="G76" s="5854" t="s">
        <v>104</v>
      </c>
      <c r="H76" s="5855"/>
      <c r="I76" s="5856" t="e">
        <f>I74-I30</f>
        <v>#REF!</v>
      </c>
      <c r="J76" s="5853"/>
      <c r="K76" s="5853"/>
      <c r="L76" s="5853"/>
      <c r="M76" s="5854" t="s">
        <v>105</v>
      </c>
      <c r="N76" s="5855"/>
      <c r="O76" s="5856" t="e">
        <f>O74-O30</f>
        <v>#REF!</v>
      </c>
      <c r="R76" s="4057"/>
    </row>
    <row r="77" spans="2:18">
      <c r="B77" s="4146" t="s">
        <v>183</v>
      </c>
      <c r="D77" s="4064"/>
      <c r="J77" s="4064"/>
      <c r="M77" s="4068"/>
      <c r="O77" s="4057"/>
      <c r="R77" s="4057"/>
    </row>
    <row r="78" spans="2:18">
      <c r="B78" s="4146" t="s">
        <v>121</v>
      </c>
      <c r="R78" s="4057"/>
    </row>
    <row r="79" spans="2:18">
      <c r="B79" s="4146" t="s">
        <v>122</v>
      </c>
      <c r="D79" s="4064"/>
      <c r="J79" s="4064"/>
      <c r="M79" s="4068"/>
      <c r="O79" s="4057"/>
      <c r="R79" s="4057"/>
    </row>
    <row r="80" spans="2:18">
      <c r="B80" s="4146" t="s">
        <v>123</v>
      </c>
      <c r="D80" s="4064"/>
      <c r="J80" s="4064"/>
      <c r="M80" s="4068"/>
      <c r="O80" s="4057"/>
      <c r="R80" s="4057"/>
    </row>
    <row r="81" spans="1:18">
      <c r="B81" s="4146" t="s">
        <v>124</v>
      </c>
      <c r="R81" s="4057"/>
    </row>
    <row r="82" spans="1:18">
      <c r="B82" s="5829" t="s">
        <v>184</v>
      </c>
      <c r="C82" s="5859"/>
      <c r="D82" s="5859"/>
      <c r="E82" s="5859"/>
      <c r="F82" s="5859"/>
      <c r="G82" s="5859"/>
      <c r="H82" s="5859"/>
      <c r="I82" s="5859"/>
      <c r="J82" s="5859"/>
      <c r="R82" s="4057"/>
    </row>
    <row r="83" spans="1:18">
      <c r="B83" s="4146"/>
      <c r="R83" s="4057"/>
    </row>
    <row r="84" spans="1:18">
      <c r="B84" s="4146"/>
      <c r="G84" s="4312" t="s">
        <v>104</v>
      </c>
      <c r="H84" s="4313"/>
      <c r="I84" s="4219" t="e">
        <f>I74-I30</f>
        <v>#REF!</v>
      </c>
      <c r="M84" s="4312" t="s">
        <v>105</v>
      </c>
      <c r="N84" s="4313"/>
      <c r="O84" s="4219" t="e">
        <f>O74-O30</f>
        <v>#REF!</v>
      </c>
      <c r="P84" s="4064"/>
      <c r="R84" s="4057"/>
    </row>
    <row r="85" spans="1:18">
      <c r="G85" s="4068" t="s">
        <v>107</v>
      </c>
      <c r="H85" s="4069"/>
      <c r="I85" s="4057" t="e">
        <f>SUM(I35,I36,I43,I44,I63,I64,I67,I70,I73)-SUM(I3,I4,I11,I27,I28,I29)</f>
        <v>#REF!</v>
      </c>
      <c r="M85" s="4068" t="s">
        <v>108</v>
      </c>
      <c r="N85" s="4069"/>
      <c r="O85" s="4057" t="e">
        <f>SUM(O35,O36,O43,O44,O63,O64,O67,O70,O73)-SUM(O3,O4,O11,O27,O28,O29)</f>
        <v>#REF!</v>
      </c>
      <c r="Q85" s="4338" t="s">
        <v>109</v>
      </c>
      <c r="R85" s="5858" t="s">
        <v>109</v>
      </c>
    </row>
    <row r="86" spans="1:18">
      <c r="G86" s="4068" t="s">
        <v>110</v>
      </c>
      <c r="H86" s="4069"/>
      <c r="I86" s="4057">
        <f>SUM(I42,I49,I51,I52,I56,I57,I60)-SUM(I10,I16,I18,I22,I23,I26)</f>
        <v>286654292</v>
      </c>
      <c r="M86" s="4068" t="s">
        <v>110</v>
      </c>
      <c r="N86" s="4069"/>
      <c r="O86" s="4057">
        <f>SUM(O42,O49,O51,O52,O60)-SUM(O10,O16,O18,O26)</f>
        <v>233073848</v>
      </c>
      <c r="Q86" s="4057">
        <f>SUM(I88,O88)</f>
        <v>-1416280460.78</v>
      </c>
      <c r="R86" s="4057">
        <f>SUM(I88,O88)</f>
        <v>-1416280460.78</v>
      </c>
    </row>
    <row r="87" spans="1:18" hidden="1">
      <c r="G87" s="4068" t="s">
        <v>111</v>
      </c>
      <c r="H87" s="4069"/>
      <c r="I87" s="4057">
        <f>SUM(I48,I50,I53,I54,I55,I58,I59,I61,I62)-SUM(I14,I17,I19,I20,I21,I24,I25)</f>
        <v>729631840</v>
      </c>
      <c r="M87" s="4068" t="s">
        <v>111</v>
      </c>
      <c r="N87" s="4069"/>
      <c r="O87" s="4057">
        <f>SUM(O48,O50,O53,O55,O58)-SUM(O14,O15,O17,O19,O24)</f>
        <v>50094200</v>
      </c>
      <c r="Q87" s="4057"/>
      <c r="R87" s="4057"/>
    </row>
    <row r="88" spans="1:18">
      <c r="G88" s="4068" t="s">
        <v>112</v>
      </c>
      <c r="H88" s="4069"/>
      <c r="I88" s="4057">
        <f>SUM(I38,I40,I41,I46)-SUM(I6,I8,I9,I13)</f>
        <v>-1211480032.9200001</v>
      </c>
      <c r="M88" s="4068" t="s">
        <v>112</v>
      </c>
      <c r="N88" s="4069"/>
      <c r="O88" s="4057">
        <f>SUM(O38,O40,O41,O46)-SUM(O6,O8,O9,O13)</f>
        <v>-204800427.8599999</v>
      </c>
      <c r="Q88" s="4338" t="s">
        <v>113</v>
      </c>
      <c r="R88" s="5858" t="s">
        <v>113</v>
      </c>
    </row>
    <row r="89" spans="1:18">
      <c r="G89" s="4068" t="s">
        <v>114</v>
      </c>
      <c r="H89" s="4069"/>
      <c r="I89" s="4057" t="e">
        <f>SUM(I35,I37,I39,I42:I43,I45,I49,I51,I52,I56:I57,I60,I63:I64,I67,I73)-SUM(I3,I5,I7,I10,I12,I16,I18,I22:I23,I26,I27:I28,I29)</f>
        <v>#REF!</v>
      </c>
      <c r="M89" s="4068" t="s">
        <v>114</v>
      </c>
      <c r="N89" s="4069"/>
      <c r="O89" s="4057" t="e">
        <f>SUM(O35,O37,O39,O42:O43,O45,,O49,O51,O52,O60,O63:O64,O67,O73)-SUM(O3,O5,O7,O10,O12,O16,O18,O26,O27:O28,O29)</f>
        <v>#REF!</v>
      </c>
      <c r="Q89" s="4057" t="e">
        <f>I89+O89</f>
        <v>#REF!</v>
      </c>
      <c r="R89" s="4057" t="e">
        <f>R74-R86</f>
        <v>#REF!</v>
      </c>
    </row>
    <row r="90" spans="1:18" hidden="1">
      <c r="Q90" s="4057"/>
      <c r="R90" s="4057"/>
    </row>
    <row r="91" spans="1:18" ht="26" hidden="1" thickTop="1">
      <c r="B91" s="4160" t="s">
        <v>115</v>
      </c>
      <c r="C91" s="4161"/>
      <c r="D91" s="4162" t="s">
        <v>37</v>
      </c>
      <c r="E91" s="4161"/>
      <c r="F91" s="4161"/>
      <c r="G91" s="4161"/>
      <c r="H91" s="4163" t="s">
        <v>38</v>
      </c>
      <c r="I91" s="4164"/>
      <c r="J91" s="4161" t="s">
        <v>39</v>
      </c>
      <c r="K91" s="4161"/>
      <c r="L91" s="4161"/>
      <c r="M91" s="4161"/>
      <c r="N91" s="4163" t="s">
        <v>38</v>
      </c>
      <c r="O91" s="4164"/>
      <c r="P91" s="4165"/>
      <c r="R91" s="4057"/>
    </row>
    <row r="92" spans="1:18" ht="25.5" hidden="1">
      <c r="B92" s="4166"/>
      <c r="D92" s="4003" t="s">
        <v>43</v>
      </c>
      <c r="E92" s="4006" t="s">
        <v>44</v>
      </c>
      <c r="F92" s="4006" t="s">
        <v>45</v>
      </c>
      <c r="G92" s="4006" t="s">
        <v>46</v>
      </c>
      <c r="I92" s="4005" t="s">
        <v>47</v>
      </c>
      <c r="J92" s="2486" t="s">
        <v>43</v>
      </c>
      <c r="K92" s="4006" t="s">
        <v>44</v>
      </c>
      <c r="L92" s="4006" t="s">
        <v>45</v>
      </c>
      <c r="M92" s="4006" t="s">
        <v>46</v>
      </c>
      <c r="O92" s="4005" t="s">
        <v>47</v>
      </c>
      <c r="P92" s="4149"/>
      <c r="R92" s="4057"/>
    </row>
    <row r="93" spans="1:18" hidden="1">
      <c r="B93" s="4168" t="s">
        <v>57</v>
      </c>
      <c r="C93" s="4034"/>
      <c r="D93" s="4145" t="s">
        <v>116</v>
      </c>
      <c r="E93" s="4139">
        <f>'財政見通し積算 (全SH全項目統合版）'!E28</f>
        <v>726706750</v>
      </c>
      <c r="F93" s="4139">
        <v>1</v>
      </c>
      <c r="G93" s="4139">
        <v>1</v>
      </c>
      <c r="H93" s="4140"/>
      <c r="I93" s="4141">
        <f t="shared" ref="I93:I95" si="21">E93*F93*G93</f>
        <v>726706750</v>
      </c>
      <c r="J93" s="4145" t="s">
        <v>116</v>
      </c>
      <c r="K93" s="4142">
        <f>'財政見通し積算 (全SH全項目統合版）'!E33</f>
        <v>195448750</v>
      </c>
      <c r="L93" s="4142">
        <v>1</v>
      </c>
      <c r="M93" s="4142">
        <v>1</v>
      </c>
      <c r="N93" s="4140"/>
      <c r="O93" s="4143">
        <f t="shared" ref="O93:O95" si="22">K93*L93*M93</f>
        <v>195448750</v>
      </c>
      <c r="P93" s="4144">
        <f>I93+O93</f>
        <v>922155500</v>
      </c>
      <c r="R93" s="4057"/>
    </row>
    <row r="94" spans="1:18" hidden="1">
      <c r="B94" s="4169" t="s">
        <v>76</v>
      </c>
      <c r="C94" s="4018"/>
      <c r="D94" s="4106" t="s">
        <v>117</v>
      </c>
      <c r="E94" s="4024" t="e">
        <f>'財政見通し積算 (全SH全項目統合版）'!G26</f>
        <v>#REF!</v>
      </c>
      <c r="F94" s="4024">
        <v>1</v>
      </c>
      <c r="G94" s="4024">
        <v>1</v>
      </c>
      <c r="H94" s="4153"/>
      <c r="I94" s="4152" t="e">
        <f t="shared" si="21"/>
        <v>#REF!</v>
      </c>
      <c r="J94" s="4151" t="s">
        <v>117</v>
      </c>
      <c r="K94" s="4024" t="e">
        <f>'財政見通し積算 (全SH全項目統合版）'!G31</f>
        <v>#REF!</v>
      </c>
      <c r="L94" s="4024">
        <v>1</v>
      </c>
      <c r="M94" s="4024">
        <v>1</v>
      </c>
      <c r="N94" s="4153"/>
      <c r="O94" s="4152" t="e">
        <f t="shared" si="22"/>
        <v>#REF!</v>
      </c>
      <c r="P94" s="4150" t="e">
        <f>I94+O94</f>
        <v>#REF!</v>
      </c>
      <c r="R94" s="4057"/>
    </row>
    <row r="95" spans="1:18" ht="19.5" hidden="1" thickBot="1">
      <c r="B95" s="4167"/>
      <c r="C95" s="4154"/>
      <c r="D95" s="4155" t="s">
        <v>118</v>
      </c>
      <c r="E95" s="4170" t="e">
        <f>'財政見通し積算 (全SH全項目統合版）'!H26</f>
        <v>#REF!</v>
      </c>
      <c r="F95" s="4170">
        <v>1</v>
      </c>
      <c r="G95" s="4170">
        <v>1</v>
      </c>
      <c r="H95" s="4157"/>
      <c r="I95" s="4156" t="e">
        <f t="shared" si="21"/>
        <v>#REF!</v>
      </c>
      <c r="J95" s="4158" t="s">
        <v>118</v>
      </c>
      <c r="K95" s="4170" t="e">
        <f>'財政見通し積算 (全SH全項目統合版）'!H31</f>
        <v>#REF!</v>
      </c>
      <c r="L95" s="4170">
        <v>1</v>
      </c>
      <c r="M95" s="4171">
        <v>1</v>
      </c>
      <c r="N95" s="4157"/>
      <c r="O95" s="4156" t="e">
        <f t="shared" si="22"/>
        <v>#REF!</v>
      </c>
      <c r="P95" s="4159" t="e">
        <f>I95+O95</f>
        <v>#REF!</v>
      </c>
      <c r="R95" s="4057"/>
    </row>
    <row r="96" spans="1:18" ht="19.5" hidden="1" thickTop="1">
      <c r="A96" s="2486" t="s">
        <v>119</v>
      </c>
      <c r="B96" s="4146" t="s">
        <v>120</v>
      </c>
      <c r="D96" s="4064"/>
      <c r="J96" s="4064"/>
      <c r="M96" s="4068"/>
      <c r="O96" s="4057"/>
      <c r="R96" s="4057"/>
    </row>
    <row r="97" spans="2:18" hidden="1">
      <c r="B97" s="4146" t="s">
        <v>183</v>
      </c>
      <c r="D97" s="4064"/>
      <c r="J97" s="4064"/>
      <c r="M97" s="4068"/>
      <c r="O97" s="4057"/>
      <c r="R97" s="4057"/>
    </row>
    <row r="98" spans="2:18" hidden="1">
      <c r="B98" s="4146" t="s">
        <v>121</v>
      </c>
      <c r="R98" s="4057"/>
    </row>
    <row r="99" spans="2:18" hidden="1">
      <c r="B99" s="4146" t="s">
        <v>122</v>
      </c>
      <c r="D99" s="4064"/>
      <c r="J99" s="4064"/>
      <c r="M99" s="4068"/>
      <c r="O99" s="4057"/>
      <c r="R99" s="4057"/>
    </row>
    <row r="100" spans="2:18" hidden="1">
      <c r="B100" s="4146" t="s">
        <v>123</v>
      </c>
      <c r="D100" s="4064"/>
      <c r="J100" s="4064"/>
      <c r="M100" s="4068"/>
      <c r="O100" s="4057"/>
      <c r="R100" s="4057"/>
    </row>
    <row r="101" spans="2:18" hidden="1">
      <c r="B101" s="4146" t="s">
        <v>124</v>
      </c>
      <c r="R101" s="4057"/>
    </row>
    <row r="102" spans="2:18" hidden="1">
      <c r="B102" s="4146"/>
      <c r="G102" s="5888" t="s">
        <v>185</v>
      </c>
      <c r="I102" s="4064" t="e">
        <f>SUM(I35,I42,I43,I49,I51,I60,I63,I56,I57)</f>
        <v>#REF!</v>
      </c>
      <c r="M102" s="5888" t="s">
        <v>185</v>
      </c>
      <c r="O102" s="4176" t="e">
        <f>SUM(O35,O42,O43,O49,O51,O60,O63)</f>
        <v>#REF!</v>
      </c>
      <c r="R102" s="4057"/>
    </row>
    <row r="103" spans="2:18" hidden="1">
      <c r="B103" s="4146"/>
      <c r="G103" s="5888" t="s">
        <v>186</v>
      </c>
      <c r="I103" s="5889" t="e">
        <f>【251001】アジア選手積算!#REF!</f>
        <v>#REF!</v>
      </c>
      <c r="M103" s="5888" t="s">
        <v>186</v>
      </c>
      <c r="O103" s="4064" t="e">
        <f>【251001】パラ選手積算!#REF!</f>
        <v>#REF!</v>
      </c>
      <c r="R103" s="4057"/>
    </row>
    <row r="104" spans="2:18" hidden="1">
      <c r="B104" s="4146"/>
      <c r="G104" s="5890" t="s">
        <v>187</v>
      </c>
      <c r="I104" s="5891" t="e">
        <f>I102/I103</f>
        <v>#REF!</v>
      </c>
      <c r="M104" s="5890" t="s">
        <v>187</v>
      </c>
      <c r="O104" s="5891" t="e">
        <f>O102/O103</f>
        <v>#REF!</v>
      </c>
      <c r="R104" s="4057"/>
    </row>
    <row r="105" spans="2:18" ht="19.5" thickBot="1">
      <c r="R105" s="4057"/>
    </row>
    <row r="106" spans="2:18" ht="26" thickTop="1">
      <c r="B106" s="4160" t="s">
        <v>125</v>
      </c>
      <c r="C106" s="4172" t="s">
        <v>126</v>
      </c>
      <c r="D106" s="4162"/>
      <c r="E106" s="4161"/>
      <c r="F106" s="4161"/>
      <c r="G106" s="4161"/>
      <c r="H106" s="4163"/>
      <c r="I106" s="4164"/>
      <c r="J106" s="4161"/>
      <c r="K106" s="4161"/>
      <c r="L106" s="4161"/>
      <c r="M106" s="4161"/>
      <c r="N106" s="4163"/>
      <c r="O106" s="4161"/>
      <c r="P106" s="4348" t="s">
        <v>127</v>
      </c>
      <c r="Q106" s="2486" t="s">
        <v>80</v>
      </c>
      <c r="R106" s="4057" t="s">
        <v>80</v>
      </c>
    </row>
    <row r="107" spans="2:18">
      <c r="B107" s="4339" t="s">
        <v>128</v>
      </c>
      <c r="C107" s="4340">
        <v>1545729278</v>
      </c>
      <c r="D107" s="4339"/>
      <c r="E107" s="4018"/>
      <c r="F107" s="4018"/>
      <c r="G107" s="4018"/>
      <c r="H107" s="4341"/>
      <c r="I107" s="4022" t="e">
        <f>ROUNDUP(SUM(I35,I36)*0.1,0)</f>
        <v>#REF!</v>
      </c>
      <c r="J107" s="4018"/>
      <c r="K107" s="4018"/>
      <c r="L107" s="4018"/>
      <c r="M107" s="4018"/>
      <c r="N107" s="4341"/>
      <c r="O107" s="5852" t="e">
        <f>ROUNDUP(SUM(O35,O36)*0.1,0)</f>
        <v>#REF!</v>
      </c>
      <c r="P107" s="4349" t="e">
        <f>ROUNDUP(SUM(P35,P36)*0.1,0)</f>
        <v>#REF!</v>
      </c>
      <c r="Q107" s="4057" t="e">
        <f>SUM(P107)-C107</f>
        <v>#REF!</v>
      </c>
      <c r="R107" s="4057" t="e">
        <f>SUM(P107)-C107</f>
        <v>#REF!</v>
      </c>
    </row>
    <row r="108" spans="2:18" ht="19.5" thickBot="1">
      <c r="B108" s="4342" t="s">
        <v>129</v>
      </c>
      <c r="C108" s="4346">
        <f>SUM(I6,I8,I9)*0.1+SUM(O6,O8,O9)*0.1</f>
        <v>667483346.80000007</v>
      </c>
      <c r="D108" s="4342" t="s">
        <v>130</v>
      </c>
      <c r="E108" s="4343"/>
      <c r="F108" s="4343"/>
      <c r="G108" s="4343"/>
      <c r="H108" s="4344"/>
      <c r="I108" s="4347">
        <f>ROUNDUP(SUM(I40,I41)*0.1,0)</f>
        <v>394204099</v>
      </c>
      <c r="J108" s="4342" t="s">
        <v>130</v>
      </c>
      <c r="K108" s="4343"/>
      <c r="L108" s="4343"/>
      <c r="M108" s="4343"/>
      <c r="N108" s="4344"/>
      <c r="O108" s="4345">
        <f>ROUNDUP(SUM(O38,O40,O41)*0.1,0)</f>
        <v>147362825</v>
      </c>
      <c r="P108" s="4350">
        <f>SUM(I108,O108)</f>
        <v>541566924</v>
      </c>
      <c r="Q108" s="4057">
        <f>SUM(P108)-C108</f>
        <v>-125916422.80000007</v>
      </c>
      <c r="R108" s="4057">
        <f>SUM(P108)-C108</f>
        <v>-125916422.80000007</v>
      </c>
    </row>
    <row r="109" spans="2:18" ht="19.5" thickTop="1">
      <c r="B109" s="4146" t="s">
        <v>131</v>
      </c>
      <c r="R109" s="4057"/>
    </row>
    <row r="110" spans="2:18">
      <c r="R110" s="4057"/>
    </row>
    <row r="111" spans="2:18">
      <c r="R111" s="4057"/>
    </row>
    <row r="112" spans="2:18" ht="26" hidden="1" thickBot="1">
      <c r="B112" s="4215" t="s">
        <v>132</v>
      </c>
      <c r="C112" s="4211"/>
      <c r="J112" s="4195"/>
      <c r="O112" s="4196"/>
      <c r="P112" s="2486" t="s">
        <v>133</v>
      </c>
      <c r="R112" s="4057"/>
    </row>
    <row r="113" spans="2:18" ht="22.5" hidden="1" customHeight="1">
      <c r="B113" s="4194" t="s">
        <v>57</v>
      </c>
      <c r="C113" s="4288" t="s">
        <v>134</v>
      </c>
      <c r="D113" s="4289" t="s">
        <v>135</v>
      </c>
      <c r="E113" s="4290">
        <v>16900</v>
      </c>
      <c r="F113" s="4290">
        <v>58451</v>
      </c>
      <c r="G113" s="4290">
        <v>1</v>
      </c>
      <c r="H113" s="4290"/>
      <c r="I113" s="4290">
        <f t="shared" ref="I113:I114" si="23">E113*F113*G113</f>
        <v>987821900</v>
      </c>
      <c r="J113" s="4291" t="s">
        <v>135</v>
      </c>
      <c r="K113" s="4290">
        <v>16900</v>
      </c>
      <c r="L113" s="4290">
        <v>31699</v>
      </c>
      <c r="M113" s="4290">
        <v>1</v>
      </c>
      <c r="N113" s="4290">
        <f t="shared" ref="N113" si="24">L113*M113</f>
        <v>31699</v>
      </c>
      <c r="O113" s="4292">
        <f t="shared" ref="O113:O114" si="25">K113*L113*M113</f>
        <v>535713100</v>
      </c>
      <c r="P113" s="4293">
        <f>I113+O113-I114-O114</f>
        <v>428668500</v>
      </c>
      <c r="R113" s="4057"/>
    </row>
    <row r="114" spans="2:18" ht="22.5" hidden="1" customHeight="1">
      <c r="B114" s="4193"/>
      <c r="C114" s="4211" t="s">
        <v>136</v>
      </c>
      <c r="D114" s="2486" t="s">
        <v>135</v>
      </c>
      <c r="E114" s="4064">
        <v>16900</v>
      </c>
      <c r="F114" s="4064">
        <f>3546*11</f>
        <v>39006</v>
      </c>
      <c r="G114" s="4064">
        <v>1</v>
      </c>
      <c r="H114" s="4014">
        <f>F114*G114</f>
        <v>39006</v>
      </c>
      <c r="I114" s="4064">
        <f t="shared" si="23"/>
        <v>659201400</v>
      </c>
      <c r="J114" s="4197" t="s">
        <v>135</v>
      </c>
      <c r="K114" s="4064">
        <v>16900</v>
      </c>
      <c r="L114" s="4064">
        <f>1983*13</f>
        <v>25779</v>
      </c>
      <c r="M114" s="4064">
        <v>1</v>
      </c>
      <c r="N114" s="4014">
        <f>L114*M114</f>
        <v>25779</v>
      </c>
      <c r="O114" s="4198">
        <f t="shared" si="25"/>
        <v>435665100</v>
      </c>
      <c r="P114" s="4064"/>
      <c r="R114" s="4057"/>
    </row>
    <row r="115" spans="2:18" ht="22.5" hidden="1">
      <c r="C115" s="4294" t="s">
        <v>134</v>
      </c>
      <c r="D115" s="4295" t="str">
        <f t="shared" ref="D115:O115" si="26">D48</f>
        <v>コンテナ（選手団・NOC）※3食</v>
      </c>
      <c r="E115" s="4296">
        <f t="shared" si="26"/>
        <v>21000</v>
      </c>
      <c r="F115" s="4296">
        <f t="shared" si="26"/>
        <v>22972</v>
      </c>
      <c r="G115" s="4296">
        <f t="shared" si="26"/>
        <v>1</v>
      </c>
      <c r="H115" s="4296">
        <f t="shared" si="26"/>
        <v>0</v>
      </c>
      <c r="I115" s="4296">
        <f t="shared" si="26"/>
        <v>482412000</v>
      </c>
      <c r="J115" s="4297" t="str">
        <f t="shared" si="26"/>
        <v>コンテナ（選手団・NOC）※3食</v>
      </c>
      <c r="K115" s="4296">
        <f t="shared" si="26"/>
        <v>21000</v>
      </c>
      <c r="L115" s="4296">
        <f t="shared" si="26"/>
        <v>8640</v>
      </c>
      <c r="M115" s="4296">
        <f t="shared" si="26"/>
        <v>1</v>
      </c>
      <c r="N115" s="4296">
        <f t="shared" si="26"/>
        <v>8640</v>
      </c>
      <c r="O115" s="4298">
        <f t="shared" si="26"/>
        <v>181440000</v>
      </c>
      <c r="P115" s="4299">
        <f>I115+O115-I116-O116-O117</f>
        <v>319536000</v>
      </c>
      <c r="R115" s="4057"/>
    </row>
    <row r="116" spans="2:18" hidden="1">
      <c r="C116" s="4211" t="s">
        <v>136</v>
      </c>
      <c r="D116" s="2486" t="s">
        <v>137</v>
      </c>
      <c r="E116" s="4176">
        <v>21000</v>
      </c>
      <c r="F116" s="4176">
        <f>725*11</f>
        <v>7975</v>
      </c>
      <c r="G116" s="4176">
        <v>1</v>
      </c>
      <c r="H116" s="4177">
        <v>7975</v>
      </c>
      <c r="I116" s="4176">
        <v>167475000</v>
      </c>
      <c r="J116" s="4199" t="s">
        <v>61</v>
      </c>
      <c r="K116" s="4176">
        <v>21000</v>
      </c>
      <c r="L116" s="4176">
        <f>417*13</f>
        <v>5421</v>
      </c>
      <c r="M116" s="4176">
        <v>1</v>
      </c>
      <c r="N116" s="4177">
        <v>5421</v>
      </c>
      <c r="O116" s="4200">
        <v>113841000</v>
      </c>
      <c r="P116" s="4057"/>
      <c r="R116" s="4057"/>
    </row>
    <row r="117" spans="2:18" ht="19.5" hidden="1" thickBot="1">
      <c r="B117" s="4173"/>
      <c r="C117" s="4212"/>
      <c r="D117" s="4173"/>
      <c r="E117" s="4174"/>
      <c r="F117" s="4174"/>
      <c r="G117" s="4174"/>
      <c r="H117" s="4175"/>
      <c r="I117" s="4174"/>
      <c r="J117" s="4201" t="s">
        <v>138</v>
      </c>
      <c r="K117" s="4174">
        <v>21000</v>
      </c>
      <c r="L117" s="4174">
        <v>3000</v>
      </c>
      <c r="M117" s="4174">
        <v>1</v>
      </c>
      <c r="N117" s="4175">
        <f>L117*M117</f>
        <v>3000</v>
      </c>
      <c r="O117" s="4202">
        <f t="shared" ref="O117" si="27">K117*L117*M117</f>
        <v>63000000</v>
      </c>
      <c r="P117" s="4181"/>
      <c r="R117" s="4057"/>
    </row>
    <row r="118" spans="2:18" ht="22.5" hidden="1">
      <c r="B118" s="4007" t="s">
        <v>63</v>
      </c>
      <c r="C118" s="4288" t="s">
        <v>134</v>
      </c>
      <c r="D118" s="4300" t="str">
        <f t="shared" ref="D118:N118" si="28">D49</f>
        <v>ホテル自前</v>
      </c>
      <c r="E118" s="4300">
        <f t="shared" si="28"/>
        <v>19000</v>
      </c>
      <c r="F118" s="4300">
        <f t="shared" si="28"/>
        <v>8364</v>
      </c>
      <c r="G118" s="4300">
        <f t="shared" si="28"/>
        <v>1</v>
      </c>
      <c r="H118" s="4300">
        <f t="shared" si="28"/>
        <v>0</v>
      </c>
      <c r="I118" s="4300">
        <f t="shared" si="28"/>
        <v>158916000</v>
      </c>
      <c r="J118" s="4301" t="str">
        <f t="shared" si="28"/>
        <v>ホテル自前</v>
      </c>
      <c r="K118" s="4300">
        <f t="shared" si="28"/>
        <v>19000</v>
      </c>
      <c r="L118" s="4300">
        <f t="shared" si="28"/>
        <v>5536</v>
      </c>
      <c r="M118" s="4300">
        <f t="shared" si="28"/>
        <v>1</v>
      </c>
      <c r="N118" s="4300">
        <f t="shared" si="28"/>
        <v>5536</v>
      </c>
      <c r="O118" s="4302">
        <f>O49</f>
        <v>105184000</v>
      </c>
      <c r="P118" s="4303">
        <f>I118+O118+I119+O119-I120-O120</f>
        <v>-554724000</v>
      </c>
      <c r="R118" s="4057"/>
    </row>
    <row r="119" spans="2:18" ht="22.5" hidden="1">
      <c r="C119" s="4274" t="s">
        <v>134</v>
      </c>
      <c r="D119" s="4304" t="s">
        <v>60</v>
      </c>
      <c r="E119" s="4304">
        <v>19000</v>
      </c>
      <c r="F119" s="4304">
        <v>14409</v>
      </c>
      <c r="G119" s="4304">
        <v>1</v>
      </c>
      <c r="H119" s="4304"/>
      <c r="I119" s="4304">
        <v>273771000</v>
      </c>
      <c r="J119" s="4305" t="s">
        <v>60</v>
      </c>
      <c r="K119" s="4304">
        <v>19000</v>
      </c>
      <c r="L119" s="4304">
        <v>5760</v>
      </c>
      <c r="M119" s="4304">
        <v>1</v>
      </c>
      <c r="N119" s="4304"/>
      <c r="O119" s="4306">
        <v>109440000</v>
      </c>
      <c r="P119" s="4307"/>
      <c r="R119" s="4057"/>
    </row>
    <row r="120" spans="2:18" ht="22.5" hidden="1">
      <c r="C120" s="4213" t="s">
        <v>136</v>
      </c>
      <c r="D120" s="4179" t="s">
        <v>139</v>
      </c>
      <c r="E120" s="4179">
        <v>19000</v>
      </c>
      <c r="F120" s="4179">
        <f>4189*11</f>
        <v>46079</v>
      </c>
      <c r="G120" s="4179">
        <v>1</v>
      </c>
      <c r="H120" s="4180">
        <f>F120*G120</f>
        <v>46079</v>
      </c>
      <c r="I120" s="4179">
        <f t="shared" ref="I120" si="29">E120*F120*G120</f>
        <v>875501000</v>
      </c>
      <c r="J120" s="4203" t="s">
        <v>139</v>
      </c>
      <c r="K120" s="4179">
        <v>19000</v>
      </c>
      <c r="L120" s="4179">
        <f>1322*13</f>
        <v>17186</v>
      </c>
      <c r="M120" s="4179">
        <v>1</v>
      </c>
      <c r="N120" s="4180">
        <f>L120*M120</f>
        <v>17186</v>
      </c>
      <c r="O120" s="4204">
        <f t="shared" ref="O120" si="30">K120*L120*M120</f>
        <v>326534000</v>
      </c>
      <c r="P120" s="4182"/>
      <c r="R120" s="4057"/>
    </row>
    <row r="121" spans="2:18" ht="22.5" hidden="1">
      <c r="C121" s="4274" t="s">
        <v>134</v>
      </c>
      <c r="D121" s="4304" t="str">
        <f t="shared" ref="D121:O121" si="31">D51</f>
        <v>完調品対応</v>
      </c>
      <c r="E121" s="4304">
        <f t="shared" si="31"/>
        <v>22164</v>
      </c>
      <c r="F121" s="4304">
        <f t="shared" si="31"/>
        <v>30603</v>
      </c>
      <c r="G121" s="4304">
        <f t="shared" si="31"/>
        <v>1</v>
      </c>
      <c r="H121" s="4304">
        <f t="shared" si="31"/>
        <v>0</v>
      </c>
      <c r="I121" s="4304">
        <f t="shared" si="31"/>
        <v>678284892</v>
      </c>
      <c r="J121" s="4305" t="str">
        <f t="shared" si="31"/>
        <v>完調品対応</v>
      </c>
      <c r="K121" s="4304">
        <f t="shared" si="31"/>
        <v>22164</v>
      </c>
      <c r="L121" s="4304">
        <f t="shared" si="31"/>
        <v>15597</v>
      </c>
      <c r="M121" s="4304">
        <f t="shared" si="31"/>
        <v>1</v>
      </c>
      <c r="N121" s="4304">
        <f t="shared" si="31"/>
        <v>15597</v>
      </c>
      <c r="O121" s="4306">
        <f t="shared" si="31"/>
        <v>345691908</v>
      </c>
      <c r="P121" s="4307">
        <f>I121+O121-I122-O122</f>
        <v>871501800</v>
      </c>
      <c r="R121" s="4057"/>
    </row>
    <row r="122" spans="2:18" ht="19.5" hidden="1" thickBot="1">
      <c r="B122" s="4173"/>
      <c r="C122" s="4212" t="s">
        <v>136</v>
      </c>
      <c r="D122" s="4173" t="s">
        <v>137</v>
      </c>
      <c r="E122" s="4174">
        <v>19000</v>
      </c>
      <c r="F122" s="4174">
        <f>401*11</f>
        <v>4411</v>
      </c>
      <c r="G122" s="4174">
        <v>1</v>
      </c>
      <c r="H122" s="4175">
        <f>F122*G122</f>
        <v>4411</v>
      </c>
      <c r="I122" s="4174">
        <f t="shared" ref="I122:I124" si="32">E122*F122*G122</f>
        <v>83809000</v>
      </c>
      <c r="J122" s="4201" t="s">
        <v>137</v>
      </c>
      <c r="K122" s="4174">
        <v>19000</v>
      </c>
      <c r="L122" s="4174">
        <f>278*13</f>
        <v>3614</v>
      </c>
      <c r="M122" s="4174">
        <v>1</v>
      </c>
      <c r="N122" s="4175">
        <f>L122*M122</f>
        <v>3614</v>
      </c>
      <c r="O122" s="4202">
        <f t="shared" ref="O122:O124" si="33">K122*L122*M122</f>
        <v>68666000</v>
      </c>
      <c r="P122" s="4184"/>
      <c r="R122" s="4057"/>
    </row>
    <row r="123" spans="2:18" ht="22.5" hidden="1">
      <c r="B123" s="4007" t="s">
        <v>65</v>
      </c>
      <c r="C123" s="4288" t="s">
        <v>134</v>
      </c>
      <c r="D123" s="4290" t="s">
        <v>139</v>
      </c>
      <c r="E123" s="4290">
        <v>880</v>
      </c>
      <c r="F123" s="4290">
        <v>97418</v>
      </c>
      <c r="G123" s="4290">
        <v>1</v>
      </c>
      <c r="H123" s="4290"/>
      <c r="I123" s="4290">
        <f t="shared" si="32"/>
        <v>85727840</v>
      </c>
      <c r="J123" s="4291" t="s">
        <v>139</v>
      </c>
      <c r="K123" s="4290">
        <v>880</v>
      </c>
      <c r="L123" s="4290">
        <v>52832</v>
      </c>
      <c r="M123" s="4290">
        <v>1</v>
      </c>
      <c r="N123" s="4290">
        <f t="shared" ref="N123:N124" si="34">L123*M123</f>
        <v>52832</v>
      </c>
      <c r="O123" s="4292">
        <f t="shared" si="33"/>
        <v>46492160</v>
      </c>
      <c r="P123" s="4293">
        <f>I123+O123-I124-O124</f>
        <v>5016000</v>
      </c>
      <c r="R123" s="4057"/>
    </row>
    <row r="124" spans="2:18" ht="22.5" hidden="1">
      <c r="C124" s="4211" t="s">
        <v>136</v>
      </c>
      <c r="D124" s="4064" t="s">
        <v>139</v>
      </c>
      <c r="E124" s="4064">
        <v>880</v>
      </c>
      <c r="F124" s="4064">
        <f>9235*11</f>
        <v>101585</v>
      </c>
      <c r="G124" s="4064">
        <v>1</v>
      </c>
      <c r="H124" s="4014">
        <f t="shared" ref="H124" si="35">F124*G124</f>
        <v>101585</v>
      </c>
      <c r="I124" s="4064">
        <f t="shared" si="32"/>
        <v>89394800</v>
      </c>
      <c r="J124" s="4197" t="s">
        <v>139</v>
      </c>
      <c r="K124" s="4064">
        <v>880</v>
      </c>
      <c r="L124" s="4064">
        <f>3305*13</f>
        <v>42965</v>
      </c>
      <c r="M124" s="4064">
        <v>1</v>
      </c>
      <c r="N124" s="4014">
        <f t="shared" si="34"/>
        <v>42965</v>
      </c>
      <c r="O124" s="4198">
        <f t="shared" si="33"/>
        <v>37809200</v>
      </c>
      <c r="P124" s="4185"/>
      <c r="R124" s="4057"/>
    </row>
    <row r="125" spans="2:18" ht="22.5" hidden="1">
      <c r="C125" s="4281" t="s">
        <v>134</v>
      </c>
      <c r="D125" s="4283" t="s">
        <v>137</v>
      </c>
      <c r="E125" s="4283">
        <v>880</v>
      </c>
      <c r="F125" s="4283">
        <v>37381</v>
      </c>
      <c r="G125" s="4283">
        <v>1</v>
      </c>
      <c r="H125" s="4283"/>
      <c r="I125" s="4283">
        <f t="shared" ref="I125:I126" si="36">E125*F125*G125</f>
        <v>32895280</v>
      </c>
      <c r="J125" s="4308" t="s">
        <v>137</v>
      </c>
      <c r="K125" s="4283">
        <v>880</v>
      </c>
      <c r="L125" s="4283">
        <v>14400</v>
      </c>
      <c r="M125" s="4283">
        <v>1</v>
      </c>
      <c r="N125" s="4283">
        <f t="shared" ref="N125:N126" si="37">L125*M125</f>
        <v>14400</v>
      </c>
      <c r="O125" s="4309">
        <f t="shared" ref="O125:O126" si="38">K125*L125*M125</f>
        <v>12672000</v>
      </c>
      <c r="P125" s="4287">
        <f>I125+O125-I126-O126</f>
        <v>27917120</v>
      </c>
      <c r="R125" s="4057"/>
    </row>
    <row r="126" spans="2:18" ht="22.5" hidden="1">
      <c r="C126" s="4213" t="s">
        <v>136</v>
      </c>
      <c r="D126" s="4189" t="s">
        <v>137</v>
      </c>
      <c r="E126" s="4189">
        <v>880</v>
      </c>
      <c r="F126" s="4189">
        <f>1002*11</f>
        <v>11022</v>
      </c>
      <c r="G126" s="4189">
        <v>1</v>
      </c>
      <c r="H126" s="4190">
        <f t="shared" ref="H126" si="39">F126*G126</f>
        <v>11022</v>
      </c>
      <c r="I126" s="4189">
        <f t="shared" si="36"/>
        <v>9699360</v>
      </c>
      <c r="J126" s="4205" t="s">
        <v>137</v>
      </c>
      <c r="K126" s="4189">
        <v>880</v>
      </c>
      <c r="L126" s="4189">
        <f>695*13</f>
        <v>9035</v>
      </c>
      <c r="M126" s="4189">
        <v>1</v>
      </c>
      <c r="N126" s="4190">
        <f t="shared" si="37"/>
        <v>9035</v>
      </c>
      <c r="O126" s="4206">
        <f t="shared" si="38"/>
        <v>7950800</v>
      </c>
      <c r="P126" s="4191"/>
      <c r="R126" s="4057"/>
    </row>
    <row r="127" spans="2:18" ht="22.5" hidden="1">
      <c r="C127" s="4274" t="s">
        <v>134</v>
      </c>
      <c r="D127" s="4276" t="s">
        <v>140</v>
      </c>
      <c r="E127" s="4276">
        <v>880</v>
      </c>
      <c r="F127" s="4276">
        <v>52582</v>
      </c>
      <c r="G127" s="4276">
        <v>1</v>
      </c>
      <c r="H127" s="4276"/>
      <c r="I127" s="4276">
        <f t="shared" ref="I127:I130" si="40">E127*F127*G127</f>
        <v>46272160</v>
      </c>
      <c r="J127" s="4277"/>
      <c r="K127" s="4278"/>
      <c r="L127" s="4278"/>
      <c r="M127" s="4278"/>
      <c r="N127" s="4278"/>
      <c r="O127" s="4279">
        <f t="shared" ref="O127:O128" si="41">K127*L127*M127</f>
        <v>0</v>
      </c>
      <c r="P127" s="4280">
        <f>I127+O127-I128-O128</f>
        <v>7685920</v>
      </c>
      <c r="R127" s="4057"/>
    </row>
    <row r="128" spans="2:18" ht="19.5" hidden="1" thickBot="1">
      <c r="B128" s="4173"/>
      <c r="C128" s="4212" t="s">
        <v>136</v>
      </c>
      <c r="D128" s="4186" t="s">
        <v>140</v>
      </c>
      <c r="E128" s="4186">
        <v>880</v>
      </c>
      <c r="F128" s="4186">
        <f>2436*18</f>
        <v>43848</v>
      </c>
      <c r="G128" s="4186">
        <v>1</v>
      </c>
      <c r="H128" s="4187">
        <f t="shared" ref="H128" si="42">F128*G128</f>
        <v>43848</v>
      </c>
      <c r="I128" s="4186">
        <f t="shared" si="40"/>
        <v>38586240</v>
      </c>
      <c r="J128" s="4207"/>
      <c r="K128" s="4186"/>
      <c r="L128" s="4186"/>
      <c r="M128" s="4186"/>
      <c r="N128" s="4187"/>
      <c r="O128" s="4208">
        <f t="shared" si="41"/>
        <v>0</v>
      </c>
      <c r="P128" s="4186"/>
      <c r="R128" s="4057"/>
    </row>
    <row r="129" spans="2:18" ht="22.5" hidden="1">
      <c r="B129" s="2486" t="s">
        <v>67</v>
      </c>
      <c r="C129" s="4274" t="s">
        <v>134</v>
      </c>
      <c r="D129" s="4275" t="s">
        <v>140</v>
      </c>
      <c r="E129" s="4276">
        <v>21000</v>
      </c>
      <c r="F129" s="4276">
        <v>52582</v>
      </c>
      <c r="G129" s="4276">
        <v>1</v>
      </c>
      <c r="H129" s="4276"/>
      <c r="I129" s="4276">
        <f t="shared" si="40"/>
        <v>1104222000</v>
      </c>
      <c r="J129" s="4277"/>
      <c r="K129" s="4278"/>
      <c r="L129" s="4278"/>
      <c r="M129" s="4278"/>
      <c r="N129" s="4278"/>
      <c r="O129" s="4279"/>
      <c r="P129" s="4280">
        <f>I129+O129-I130-O130</f>
        <v>183414000</v>
      </c>
      <c r="R129" s="4057"/>
    </row>
    <row r="130" spans="2:18" ht="23" hidden="1" thickBot="1">
      <c r="C130" s="4211" t="s">
        <v>136</v>
      </c>
      <c r="D130" s="2486" t="s">
        <v>140</v>
      </c>
      <c r="E130" s="4064">
        <v>21000</v>
      </c>
      <c r="F130" s="4064">
        <f>2436*18</f>
        <v>43848</v>
      </c>
      <c r="G130" s="4064">
        <v>1</v>
      </c>
      <c r="H130" s="4014">
        <f t="shared" ref="H130" si="43">F130*G130</f>
        <v>43848</v>
      </c>
      <c r="I130" s="4064">
        <f t="shared" si="40"/>
        <v>920808000</v>
      </c>
      <c r="J130" s="4197"/>
      <c r="K130" s="4064"/>
      <c r="L130" s="4064"/>
      <c r="M130" s="4064"/>
      <c r="N130" s="4014"/>
      <c r="O130" s="4198"/>
      <c r="P130" s="4185"/>
      <c r="R130" s="4057"/>
    </row>
    <row r="131" spans="2:18" ht="19.5" hidden="1" thickBot="1">
      <c r="B131" s="4007" t="s">
        <v>68</v>
      </c>
      <c r="C131" s="4214" t="s">
        <v>141</v>
      </c>
      <c r="D131" s="4007"/>
      <c r="E131" s="4007"/>
      <c r="F131" s="4007"/>
      <c r="G131" s="4007"/>
      <c r="H131" s="4188"/>
      <c r="I131" s="4007"/>
      <c r="J131" s="4209"/>
      <c r="K131" s="4007"/>
      <c r="L131" s="4007"/>
      <c r="M131" s="4007"/>
      <c r="N131" s="4188"/>
      <c r="O131" s="4210"/>
      <c r="P131" s="4007"/>
      <c r="Q131" s="2486" t="s">
        <v>141</v>
      </c>
      <c r="R131" s="4057" t="s">
        <v>141</v>
      </c>
    </row>
    <row r="132" spans="2:18" ht="22.5" hidden="1">
      <c r="B132" s="4007" t="s">
        <v>73</v>
      </c>
      <c r="C132" s="4288" t="s">
        <v>134</v>
      </c>
      <c r="D132" s="4289" t="s">
        <v>142</v>
      </c>
      <c r="E132" s="4290">
        <v>6000000</v>
      </c>
      <c r="F132" s="4290">
        <v>12</v>
      </c>
      <c r="G132" s="4290">
        <v>1</v>
      </c>
      <c r="H132" s="4290"/>
      <c r="I132" s="4290">
        <f t="shared" ref="I132:I133" si="44">E132*F132*G132</f>
        <v>72000000</v>
      </c>
      <c r="J132" s="4291" t="s">
        <v>142</v>
      </c>
      <c r="K132" s="4290">
        <v>2379000</v>
      </c>
      <c r="L132" s="4290">
        <v>7</v>
      </c>
      <c r="M132" s="4290">
        <v>1</v>
      </c>
      <c r="N132" s="4290"/>
      <c r="O132" s="4292">
        <f>K132*L132*M132</f>
        <v>16653000</v>
      </c>
      <c r="P132" s="4293">
        <f>I132+O132-I133-O133</f>
        <v>980</v>
      </c>
    </row>
    <row r="133" spans="2:18" ht="22.5" hidden="1">
      <c r="C133" s="4211" t="s">
        <v>136</v>
      </c>
      <c r="D133" s="2486" t="s">
        <v>139</v>
      </c>
      <c r="E133" s="4064">
        <v>6000000</v>
      </c>
      <c r="F133" s="4064">
        <v>12</v>
      </c>
      <c r="G133" s="4064">
        <v>1</v>
      </c>
      <c r="H133" s="4014"/>
      <c r="I133" s="4064">
        <f t="shared" si="44"/>
        <v>72000000</v>
      </c>
      <c r="J133" s="4197" t="s">
        <v>139</v>
      </c>
      <c r="K133" s="4064">
        <v>2378860</v>
      </c>
      <c r="L133" s="4064">
        <v>7</v>
      </c>
      <c r="M133" s="4064">
        <v>1</v>
      </c>
      <c r="N133" s="4014"/>
      <c r="O133" s="4198">
        <f>K133*L133*M133</f>
        <v>16652020</v>
      </c>
      <c r="P133" s="4185"/>
    </row>
    <row r="134" spans="2:18" ht="22.5" hidden="1">
      <c r="C134" s="4281" t="s">
        <v>134</v>
      </c>
      <c r="D134" s="4282" t="s">
        <v>143</v>
      </c>
      <c r="E134" s="4283">
        <v>9351000</v>
      </c>
      <c r="F134" s="4283">
        <v>1</v>
      </c>
      <c r="G134" s="4283">
        <v>1</v>
      </c>
      <c r="H134" s="4283"/>
      <c r="I134" s="4283">
        <f t="shared" ref="I134" si="45">E134*F134*G134</f>
        <v>9351000</v>
      </c>
      <c r="J134" s="4284"/>
      <c r="K134" s="4285"/>
      <c r="L134" s="4285"/>
      <c r="M134" s="4285"/>
      <c r="N134" s="4285"/>
      <c r="O134" s="4286"/>
      <c r="P134" s="4287">
        <f>I134+O134-I135-O135</f>
        <v>9351000</v>
      </c>
    </row>
    <row r="135" spans="2:18" ht="22.5" hidden="1">
      <c r="C135" s="4213" t="s">
        <v>136</v>
      </c>
      <c r="D135" s="4178" t="s">
        <v>144</v>
      </c>
      <c r="E135" s="4189"/>
      <c r="F135" s="4189"/>
      <c r="G135" s="4189"/>
      <c r="H135" s="4190"/>
      <c r="I135" s="4189">
        <v>0</v>
      </c>
      <c r="J135" s="4205"/>
      <c r="K135" s="4189"/>
      <c r="L135" s="4189"/>
      <c r="M135" s="4189"/>
      <c r="N135" s="4190"/>
      <c r="O135" s="4206"/>
      <c r="P135" s="4191"/>
    </row>
    <row r="136" spans="2:18" ht="22.5" hidden="1">
      <c r="C136" s="4274" t="s">
        <v>134</v>
      </c>
      <c r="D136" s="4275" t="s">
        <v>145</v>
      </c>
      <c r="E136" s="4276">
        <v>1107000</v>
      </c>
      <c r="F136" s="4276">
        <v>1</v>
      </c>
      <c r="G136" s="4276">
        <v>1</v>
      </c>
      <c r="H136" s="4276"/>
      <c r="I136" s="4276">
        <f t="shared" ref="I136" si="46">E136*F136*G136</f>
        <v>1107000</v>
      </c>
      <c r="J136" s="4277"/>
      <c r="K136" s="4278"/>
      <c r="L136" s="4278"/>
      <c r="M136" s="4278"/>
      <c r="N136" s="4278"/>
      <c r="O136" s="4279"/>
      <c r="P136" s="4280">
        <f>I136+O136-I137-O137</f>
        <v>1107000</v>
      </c>
    </row>
    <row r="137" spans="2:18" ht="23" hidden="1" thickBot="1">
      <c r="B137" s="4173"/>
      <c r="C137" s="4212" t="s">
        <v>136</v>
      </c>
      <c r="D137" s="4173" t="s">
        <v>144</v>
      </c>
      <c r="E137" s="4186"/>
      <c r="F137" s="4186"/>
      <c r="G137" s="4186"/>
      <c r="H137" s="4187"/>
      <c r="I137" s="4186">
        <v>0</v>
      </c>
      <c r="J137" s="4207"/>
      <c r="K137" s="4186"/>
      <c r="L137" s="4186"/>
      <c r="M137" s="4186"/>
      <c r="N137" s="4187"/>
      <c r="O137" s="4208"/>
      <c r="P137" s="4192"/>
    </row>
    <row r="138" spans="2:18" hidden="1"/>
    <row r="139" spans="2:18" ht="25.5" hidden="1">
      <c r="B139" s="4193" t="s">
        <v>146</v>
      </c>
    </row>
    <row r="140" spans="2:18" ht="22.5" hidden="1">
      <c r="B140" s="4351" t="s">
        <v>147</v>
      </c>
    </row>
    <row r="141" spans="2:18" ht="22.5" hidden="1">
      <c r="B141" s="4351" t="s">
        <v>148</v>
      </c>
    </row>
    <row r="143" spans="2:18" ht="19.5" hidden="1" thickBot="1">
      <c r="E143" s="4057"/>
      <c r="F143" s="4057"/>
      <c r="G143" s="4057"/>
      <c r="H143" s="4217"/>
      <c r="I143" s="4057"/>
      <c r="J143" s="4057"/>
      <c r="K143" s="4057"/>
      <c r="L143" s="4057"/>
      <c r="M143" s="4057"/>
      <c r="N143" s="4217"/>
      <c r="O143" s="4057"/>
      <c r="P143" s="4057"/>
    </row>
    <row r="144" spans="2:18" ht="26" hidden="1" thickBot="1">
      <c r="B144" s="4216" t="s">
        <v>149</v>
      </c>
      <c r="C144" s="4211"/>
      <c r="D144" s="4195"/>
      <c r="E144" s="4057"/>
      <c r="F144" s="4057"/>
      <c r="G144" s="4057"/>
      <c r="H144" s="4217"/>
      <c r="I144" s="4223"/>
      <c r="J144" s="4057"/>
      <c r="K144" s="4057"/>
      <c r="L144" s="4057"/>
      <c r="M144" s="4057"/>
      <c r="N144" s="4217"/>
      <c r="O144" s="4223"/>
      <c r="P144" s="2486" t="s">
        <v>133</v>
      </c>
    </row>
    <row r="145" spans="2:16" ht="22.5" hidden="1" customHeight="1">
      <c r="B145" s="4007" t="s">
        <v>81</v>
      </c>
      <c r="C145" s="4248" t="s">
        <v>150</v>
      </c>
      <c r="D145" s="4252" t="s">
        <v>50</v>
      </c>
      <c r="E145" s="4253">
        <v>3343936983</v>
      </c>
      <c r="F145" s="4253">
        <v>1</v>
      </c>
      <c r="G145" s="4253">
        <v>1</v>
      </c>
      <c r="H145" s="4253"/>
      <c r="I145" s="4254">
        <f t="shared" ref="I145:I155" si="47">E145*F145*G145</f>
        <v>3343936983</v>
      </c>
      <c r="J145" s="4253" t="s">
        <v>50</v>
      </c>
      <c r="K145" s="4253">
        <v>2615539538</v>
      </c>
      <c r="L145" s="4253">
        <v>1</v>
      </c>
      <c r="M145" s="4253">
        <v>1</v>
      </c>
      <c r="N145" s="4253"/>
      <c r="O145" s="4254">
        <f t="shared" ref="O145:O155" si="48">K145*L145*M145</f>
        <v>2615539538</v>
      </c>
      <c r="P145" s="4255">
        <f>I145+O145-I146-O146</f>
        <v>320728521</v>
      </c>
    </row>
    <row r="146" spans="2:16" ht="22.5" hidden="1">
      <c r="C146" s="4245" t="s">
        <v>151</v>
      </c>
      <c r="D146" s="4226" t="s">
        <v>50</v>
      </c>
      <c r="E146" s="4243">
        <v>3042692000</v>
      </c>
      <c r="F146" s="4243">
        <v>1</v>
      </c>
      <c r="G146" s="4243">
        <v>1</v>
      </c>
      <c r="H146" s="4244"/>
      <c r="I146" s="4233">
        <f t="shared" si="47"/>
        <v>3042692000</v>
      </c>
      <c r="J146" s="4243" t="s">
        <v>50</v>
      </c>
      <c r="K146" s="4243">
        <v>2596056000</v>
      </c>
      <c r="L146" s="4243">
        <v>1</v>
      </c>
      <c r="M146" s="4243">
        <v>1</v>
      </c>
      <c r="N146" s="4244"/>
      <c r="O146" s="4233">
        <f t="shared" si="48"/>
        <v>2596056000</v>
      </c>
      <c r="P146" s="4183"/>
    </row>
    <row r="147" spans="2:16" ht="22.5" hidden="1">
      <c r="C147" s="4249" t="s">
        <v>152</v>
      </c>
      <c r="D147" s="4256" t="s">
        <v>153</v>
      </c>
      <c r="E147" s="4257">
        <v>2334813782</v>
      </c>
      <c r="F147" s="4257">
        <v>1</v>
      </c>
      <c r="G147" s="4257">
        <v>1</v>
      </c>
      <c r="H147" s="4257"/>
      <c r="I147" s="4258">
        <f t="shared" si="47"/>
        <v>2334813782</v>
      </c>
      <c r="J147" s="4257" t="s">
        <v>153</v>
      </c>
      <c r="K147" s="4257">
        <v>470883600</v>
      </c>
      <c r="L147" s="4257">
        <v>1</v>
      </c>
      <c r="M147" s="4257">
        <v>1</v>
      </c>
      <c r="N147" s="4257"/>
      <c r="O147" s="4258">
        <f t="shared" si="48"/>
        <v>470883600</v>
      </c>
      <c r="P147" s="4259">
        <f>I147+O147-I148-O148</f>
        <v>-728328848</v>
      </c>
    </row>
    <row r="148" spans="2:16" ht="22.5" hidden="1">
      <c r="C148" s="4246" t="s">
        <v>154</v>
      </c>
      <c r="D148" s="4238" t="s">
        <v>153</v>
      </c>
      <c r="E148" s="4239">
        <v>2886270341</v>
      </c>
      <c r="F148" s="4239">
        <v>1</v>
      </c>
      <c r="G148" s="4239">
        <v>1</v>
      </c>
      <c r="H148" s="4240"/>
      <c r="I148" s="4241">
        <f t="shared" si="47"/>
        <v>2886270341</v>
      </c>
      <c r="J148" s="4239" t="s">
        <v>153</v>
      </c>
      <c r="K148" s="4239">
        <v>647755889</v>
      </c>
      <c r="L148" s="4239">
        <v>1</v>
      </c>
      <c r="M148" s="4239">
        <v>1</v>
      </c>
      <c r="N148" s="4240"/>
      <c r="O148" s="4241">
        <f t="shared" si="48"/>
        <v>647755889</v>
      </c>
      <c r="P148" s="4182"/>
    </row>
    <row r="149" spans="2:16" ht="22.5" hidden="1">
      <c r="C149" s="4249" t="s">
        <v>155</v>
      </c>
      <c r="D149" s="4256" t="s">
        <v>156</v>
      </c>
      <c r="E149" s="4257">
        <v>1469155319.8399999</v>
      </c>
      <c r="F149" s="4257">
        <v>1</v>
      </c>
      <c r="G149" s="4257">
        <v>1</v>
      </c>
      <c r="H149" s="4257"/>
      <c r="I149" s="4258">
        <f t="shared" si="47"/>
        <v>1469155319.8399999</v>
      </c>
      <c r="J149" s="4257" t="s">
        <v>156</v>
      </c>
      <c r="K149" s="4257">
        <v>364022448.31999999</v>
      </c>
      <c r="L149" s="4257">
        <v>1</v>
      </c>
      <c r="M149" s="4257">
        <v>1</v>
      </c>
      <c r="N149" s="4257"/>
      <c r="O149" s="4258">
        <f t="shared" si="48"/>
        <v>364022448.31999999</v>
      </c>
      <c r="P149" s="4260">
        <f>I149+O149-I150-O150</f>
        <v>891998816.15999985</v>
      </c>
    </row>
    <row r="150" spans="2:16" ht="22.5" hidden="1">
      <c r="C150" s="4246" t="s">
        <v>157</v>
      </c>
      <c r="D150" s="4238" t="s">
        <v>156</v>
      </c>
      <c r="E150" s="4239">
        <v>723774664</v>
      </c>
      <c r="F150" s="4239">
        <v>1</v>
      </c>
      <c r="G150" s="4239">
        <v>1</v>
      </c>
      <c r="H150" s="4240"/>
      <c r="I150" s="4241">
        <f t="shared" si="47"/>
        <v>723774664</v>
      </c>
      <c r="J150" s="4239" t="s">
        <v>156</v>
      </c>
      <c r="K150" s="4239">
        <v>217404288</v>
      </c>
      <c r="L150" s="4239">
        <v>1</v>
      </c>
      <c r="M150" s="4239">
        <v>1</v>
      </c>
      <c r="N150" s="4240"/>
      <c r="O150" s="4241">
        <f t="shared" si="48"/>
        <v>217404288</v>
      </c>
      <c r="P150" s="4242"/>
    </row>
    <row r="151" spans="2:16" ht="22.5" hidden="1">
      <c r="C151" s="4250" t="s">
        <v>158</v>
      </c>
      <c r="D151" s="4261" t="s">
        <v>159</v>
      </c>
      <c r="E151" s="4262">
        <v>1353014496.72</v>
      </c>
      <c r="F151" s="4262">
        <v>1</v>
      </c>
      <c r="G151" s="4262">
        <v>1</v>
      </c>
      <c r="H151" s="4262"/>
      <c r="I151" s="4263">
        <f t="shared" ref="I151" si="49">E151*F151*G151</f>
        <v>1353014496.72</v>
      </c>
      <c r="J151" s="4262" t="s">
        <v>159</v>
      </c>
      <c r="K151" s="4262">
        <v>728165194.74000001</v>
      </c>
      <c r="L151" s="4262">
        <v>1</v>
      </c>
      <c r="M151" s="4262">
        <v>1</v>
      </c>
      <c r="N151" s="4262"/>
      <c r="O151" s="4263">
        <f t="shared" si="48"/>
        <v>728165194.74000001</v>
      </c>
      <c r="P151" s="4264">
        <f>I151+O151-I152-O152</f>
        <v>-1044194019.54</v>
      </c>
    </row>
    <row r="152" spans="2:16" ht="22.5" hidden="1">
      <c r="C152" s="4245" t="s">
        <v>160</v>
      </c>
      <c r="D152" s="4229" t="s">
        <v>159</v>
      </c>
      <c r="E152" s="4231">
        <v>2342187094</v>
      </c>
      <c r="F152" s="4231">
        <v>1</v>
      </c>
      <c r="G152" s="4231">
        <v>1</v>
      </c>
      <c r="H152" s="4232"/>
      <c r="I152" s="4233">
        <f t="shared" si="47"/>
        <v>2342187094</v>
      </c>
      <c r="J152" s="4231" t="s">
        <v>159</v>
      </c>
      <c r="K152" s="4231">
        <v>783186617</v>
      </c>
      <c r="L152" s="4231">
        <v>1</v>
      </c>
      <c r="M152" s="4231">
        <v>1</v>
      </c>
      <c r="N152" s="4232"/>
      <c r="O152" s="4233">
        <f t="shared" si="48"/>
        <v>783186617</v>
      </c>
      <c r="P152" s="4242"/>
    </row>
    <row r="153" spans="2:16" ht="22.5" hidden="1">
      <c r="C153" s="4249" t="s">
        <v>161</v>
      </c>
      <c r="D153" s="4256" t="s">
        <v>162</v>
      </c>
      <c r="E153" s="4257">
        <v>2133836764.1599998</v>
      </c>
      <c r="F153" s="4257">
        <v>1</v>
      </c>
      <c r="G153" s="4257">
        <v>1</v>
      </c>
      <c r="H153" s="4257"/>
      <c r="I153" s="4258">
        <f t="shared" si="47"/>
        <v>2133836764.1599998</v>
      </c>
      <c r="J153" s="4257" t="s">
        <v>162</v>
      </c>
      <c r="K153" s="4257">
        <v>632477201.91999996</v>
      </c>
      <c r="L153" s="4257">
        <v>1</v>
      </c>
      <c r="M153" s="4257">
        <v>1</v>
      </c>
      <c r="N153" s="4257"/>
      <c r="O153" s="4258">
        <f t="shared" si="48"/>
        <v>632477201.91999996</v>
      </c>
      <c r="P153" s="4265">
        <f>I153+O153-I154-O154</f>
        <v>548347380.07999992</v>
      </c>
    </row>
    <row r="154" spans="2:16" ht="23" hidden="1" thickBot="1">
      <c r="C154" s="4247" t="s">
        <v>163</v>
      </c>
      <c r="D154" s="4237" t="s">
        <v>164</v>
      </c>
      <c r="E154" s="4234">
        <v>1766582476</v>
      </c>
      <c r="F154" s="4234">
        <v>1</v>
      </c>
      <c r="G154" s="4234">
        <v>1</v>
      </c>
      <c r="H154" s="4235"/>
      <c r="I154" s="4236">
        <f t="shared" si="47"/>
        <v>1766582476</v>
      </c>
      <c r="J154" s="4234" t="s">
        <v>164</v>
      </c>
      <c r="K154" s="4234">
        <v>451384110</v>
      </c>
      <c r="L154" s="4234">
        <v>1</v>
      </c>
      <c r="M154" s="4234">
        <v>1</v>
      </c>
      <c r="N154" s="4235"/>
      <c r="O154" s="4236">
        <f t="shared" si="48"/>
        <v>451384110</v>
      </c>
      <c r="P154" s="4220"/>
    </row>
    <row r="155" spans="2:16" ht="22.5" hidden="1">
      <c r="B155" s="4007" t="s">
        <v>57</v>
      </c>
      <c r="C155" s="4248" t="s">
        <v>150</v>
      </c>
      <c r="D155" s="4261" t="s">
        <v>165</v>
      </c>
      <c r="E155" s="4262">
        <v>79313574</v>
      </c>
      <c r="F155" s="4262">
        <v>1</v>
      </c>
      <c r="G155" s="4262">
        <v>1</v>
      </c>
      <c r="H155" s="4262"/>
      <c r="I155" s="4263">
        <f t="shared" si="47"/>
        <v>79313574</v>
      </c>
      <c r="J155" s="4262" t="s">
        <v>86</v>
      </c>
      <c r="K155" s="4262">
        <v>30879036</v>
      </c>
      <c r="L155" s="4262">
        <v>1</v>
      </c>
      <c r="M155" s="4262">
        <v>1</v>
      </c>
      <c r="N155" s="4262"/>
      <c r="O155" s="4263">
        <f t="shared" si="48"/>
        <v>30879036</v>
      </c>
      <c r="P155" s="4265">
        <f>I155+O155-I156-O156</f>
        <v>110192610</v>
      </c>
    </row>
    <row r="156" spans="2:16" ht="22.5" hidden="1">
      <c r="C156" s="4245" t="s">
        <v>151</v>
      </c>
      <c r="D156" s="4229" t="s">
        <v>144</v>
      </c>
      <c r="E156" s="4057"/>
      <c r="F156" s="4057"/>
      <c r="G156" s="4057"/>
      <c r="H156" s="4217"/>
      <c r="I156" s="4223">
        <v>0</v>
      </c>
      <c r="J156" s="4057" t="s">
        <v>144</v>
      </c>
      <c r="K156" s="4057"/>
      <c r="L156" s="4057"/>
      <c r="M156" s="4057"/>
      <c r="N156" s="4217"/>
      <c r="O156" s="4223">
        <v>0</v>
      </c>
      <c r="P156" s="4183"/>
    </row>
    <row r="157" spans="2:16" ht="22.5" hidden="1">
      <c r="B157" s="4196"/>
      <c r="C157" s="4249" t="s">
        <v>152</v>
      </c>
      <c r="D157" s="4268" t="s">
        <v>166</v>
      </c>
      <c r="E157" s="4269">
        <v>446246570</v>
      </c>
      <c r="F157" s="4269">
        <v>1</v>
      </c>
      <c r="G157" s="4269">
        <v>1</v>
      </c>
      <c r="H157" s="4269"/>
      <c r="I157" s="4270">
        <f>E157*F157*G157</f>
        <v>446246570</v>
      </c>
      <c r="J157" s="4269" t="s">
        <v>166</v>
      </c>
      <c r="K157" s="4269">
        <v>72406400</v>
      </c>
      <c r="L157" s="4269">
        <v>1</v>
      </c>
      <c r="M157" s="4269">
        <v>1</v>
      </c>
      <c r="N157" s="4269"/>
      <c r="O157" s="4270">
        <f t="shared" ref="O157:O163" si="50">K157*L157*M157</f>
        <v>72406400</v>
      </c>
      <c r="P157" s="4259">
        <f>I157+O157-I158-O158</f>
        <v>-46756030</v>
      </c>
    </row>
    <row r="158" spans="2:16" ht="21" hidden="1" customHeight="1" thickBot="1">
      <c r="B158" s="4334"/>
      <c r="C158" s="4247" t="s">
        <v>154</v>
      </c>
      <c r="D158" s="4224" t="s">
        <v>166</v>
      </c>
      <c r="E158" s="4181">
        <v>487472000</v>
      </c>
      <c r="F158" s="4181">
        <v>1</v>
      </c>
      <c r="G158" s="4181">
        <v>1</v>
      </c>
      <c r="H158" s="4218"/>
      <c r="I158" s="4225">
        <f t="shared" ref="I158" si="51">E158*F158*G158</f>
        <v>487472000</v>
      </c>
      <c r="J158" s="4181" t="s">
        <v>166</v>
      </c>
      <c r="K158" s="4181">
        <v>77937000</v>
      </c>
      <c r="L158" s="4181">
        <v>1</v>
      </c>
      <c r="M158" s="4181">
        <v>1</v>
      </c>
      <c r="N158" s="4218"/>
      <c r="O158" s="4225">
        <f t="shared" si="50"/>
        <v>77937000</v>
      </c>
      <c r="P158" s="4220"/>
    </row>
    <row r="159" spans="2:16" ht="22.5" hidden="1">
      <c r="B159" s="2486" t="s">
        <v>74</v>
      </c>
      <c r="C159" s="4250" t="s">
        <v>134</v>
      </c>
      <c r="D159" s="4266" t="s">
        <v>50</v>
      </c>
      <c r="E159" s="4267">
        <v>1597110727.9349999</v>
      </c>
      <c r="F159" s="4267">
        <v>1</v>
      </c>
      <c r="G159" s="4267">
        <v>1</v>
      </c>
      <c r="H159" s="4267"/>
      <c r="I159" s="4254">
        <f>E159*F159*G159</f>
        <v>1597110727.9349999</v>
      </c>
      <c r="J159" s="4267" t="s">
        <v>50</v>
      </c>
      <c r="K159" s="4267">
        <v>1084333133.4000001</v>
      </c>
      <c r="L159" s="4267">
        <v>1</v>
      </c>
      <c r="M159" s="4267">
        <v>1</v>
      </c>
      <c r="N159" s="4267"/>
      <c r="O159" s="4254">
        <f t="shared" si="50"/>
        <v>1084333133.4000001</v>
      </c>
      <c r="P159" s="4265">
        <f>I159+O159-I160-O160</f>
        <v>792220861.33500004</v>
      </c>
    </row>
    <row r="160" spans="2:16" ht="22.5" hidden="1">
      <c r="C160" s="4245" t="s">
        <v>136</v>
      </c>
      <c r="D160" s="4226" t="s">
        <v>135</v>
      </c>
      <c r="E160" s="4057">
        <v>858588000</v>
      </c>
      <c r="F160" s="4057">
        <v>1</v>
      </c>
      <c r="G160" s="4057">
        <v>1</v>
      </c>
      <c r="H160" s="4217"/>
      <c r="I160" s="4223">
        <f t="shared" ref="I160:I168" si="52">E160*F160*G160</f>
        <v>858588000</v>
      </c>
      <c r="J160" s="4057" t="s">
        <v>135</v>
      </c>
      <c r="K160" s="4057">
        <v>1030635000</v>
      </c>
      <c r="L160" s="4057">
        <v>1</v>
      </c>
      <c r="M160" s="4057">
        <v>1</v>
      </c>
      <c r="N160" s="4217"/>
      <c r="O160" s="4223">
        <f t="shared" si="50"/>
        <v>1030635000</v>
      </c>
      <c r="P160" s="4183"/>
    </row>
    <row r="161" spans="2:16" ht="22.5" hidden="1">
      <c r="C161" s="4249" t="s">
        <v>152</v>
      </c>
      <c r="D161" s="4268" t="s">
        <v>167</v>
      </c>
      <c r="E161" s="4269">
        <v>1140877642.102</v>
      </c>
      <c r="F161" s="4269">
        <v>1</v>
      </c>
      <c r="G161" s="4269">
        <v>1</v>
      </c>
      <c r="H161" s="4269"/>
      <c r="I161" s="4270">
        <f t="shared" si="52"/>
        <v>1140877642.102</v>
      </c>
      <c r="J161" s="4271" t="s">
        <v>167</v>
      </c>
      <c r="K161" s="4269">
        <v>288657600.00000006</v>
      </c>
      <c r="L161" s="4269">
        <v>1</v>
      </c>
      <c r="M161" s="4269">
        <v>1</v>
      </c>
      <c r="N161" s="4269"/>
      <c r="O161" s="4270">
        <f t="shared" si="50"/>
        <v>288657600.00000006</v>
      </c>
      <c r="P161" s="4259">
        <f>I161+O161-I162-O162</f>
        <v>-131620757.898</v>
      </c>
    </row>
    <row r="162" spans="2:16" ht="22.5" hidden="1">
      <c r="C162" s="4246" t="s">
        <v>154</v>
      </c>
      <c r="D162" s="4227" t="s">
        <v>166</v>
      </c>
      <c r="E162" s="4221">
        <v>1178446000</v>
      </c>
      <c r="F162" s="4221">
        <v>1</v>
      </c>
      <c r="G162" s="4221">
        <v>1</v>
      </c>
      <c r="H162" s="4222"/>
      <c r="I162" s="4228">
        <f t="shared" si="52"/>
        <v>1178446000</v>
      </c>
      <c r="J162" s="4221" t="s">
        <v>166</v>
      </c>
      <c r="K162" s="4221">
        <v>382710000</v>
      </c>
      <c r="L162" s="4221">
        <v>1</v>
      </c>
      <c r="M162" s="4221">
        <v>1</v>
      </c>
      <c r="N162" s="4222"/>
      <c r="O162" s="4228">
        <f t="shared" si="50"/>
        <v>382710000</v>
      </c>
      <c r="P162" s="4182"/>
    </row>
    <row r="163" spans="2:16" ht="22.5" hidden="1">
      <c r="C163" s="4250" t="s">
        <v>168</v>
      </c>
      <c r="D163" s="4266" t="s">
        <v>169</v>
      </c>
      <c r="E163" s="4272">
        <v>745838253</v>
      </c>
      <c r="F163" s="4272">
        <v>1</v>
      </c>
      <c r="G163" s="4272">
        <v>1</v>
      </c>
      <c r="H163" s="4272"/>
      <c r="I163" s="4273">
        <f t="shared" si="52"/>
        <v>745838253</v>
      </c>
      <c r="J163" s="4266" t="s">
        <v>169</v>
      </c>
      <c r="K163" s="4272">
        <v>481939726</v>
      </c>
      <c r="L163" s="4272">
        <v>1</v>
      </c>
      <c r="M163" s="4272">
        <v>1</v>
      </c>
      <c r="N163" s="4272"/>
      <c r="O163" s="4273">
        <f t="shared" si="50"/>
        <v>481939726</v>
      </c>
      <c r="P163" s="4265">
        <f>I163+O163-I164-O164</f>
        <v>1227777979</v>
      </c>
    </row>
    <row r="164" spans="2:16" ht="23" hidden="1" thickBot="1">
      <c r="C164" s="4245" t="s">
        <v>170</v>
      </c>
      <c r="D164" s="4229" t="s">
        <v>144</v>
      </c>
      <c r="E164" s="4057"/>
      <c r="F164" s="4057"/>
      <c r="G164" s="4057"/>
      <c r="H164" s="4217"/>
      <c r="I164" s="4223">
        <v>0</v>
      </c>
      <c r="J164" s="4057" t="s">
        <v>144</v>
      </c>
      <c r="K164" s="4057"/>
      <c r="L164" s="4057"/>
      <c r="M164" s="4057"/>
      <c r="N164" s="4217"/>
      <c r="O164" s="4223">
        <v>0</v>
      </c>
      <c r="P164" s="4183"/>
    </row>
    <row r="165" spans="2:16" ht="22.5" hidden="1">
      <c r="B165" s="4007" t="s">
        <v>76</v>
      </c>
      <c r="C165" s="4248" t="s">
        <v>171</v>
      </c>
      <c r="D165" s="4252" t="s">
        <v>172</v>
      </c>
      <c r="E165" s="4253">
        <v>58961164.900000006</v>
      </c>
      <c r="F165" s="4253">
        <v>1</v>
      </c>
      <c r="G165" s="4253">
        <v>1</v>
      </c>
      <c r="H165" s="4253"/>
      <c r="I165" s="4254">
        <f t="shared" si="52"/>
        <v>58961164.900000006</v>
      </c>
      <c r="J165" s="4252" t="s">
        <v>172</v>
      </c>
      <c r="K165" s="4253">
        <v>87391199.5</v>
      </c>
      <c r="L165" s="4253">
        <v>1</v>
      </c>
      <c r="M165" s="4253">
        <v>1</v>
      </c>
      <c r="N165" s="4253"/>
      <c r="O165" s="4254">
        <f t="shared" ref="O165" si="53">K165*L165*M165</f>
        <v>87391199.5</v>
      </c>
      <c r="P165" s="4255">
        <f>I165+O165-I166-O166</f>
        <v>146352364.40000001</v>
      </c>
    </row>
    <row r="166" spans="2:16" ht="22.5" hidden="1">
      <c r="C166" s="4245" t="s">
        <v>173</v>
      </c>
      <c r="D166" s="4227" t="s">
        <v>144</v>
      </c>
      <c r="E166" s="4057"/>
      <c r="F166" s="4057"/>
      <c r="G166" s="4057"/>
      <c r="H166" s="4217"/>
      <c r="I166" s="4223">
        <v>0</v>
      </c>
      <c r="J166" s="4057" t="s">
        <v>144</v>
      </c>
      <c r="K166" s="4057"/>
      <c r="L166" s="4057"/>
      <c r="M166" s="4057"/>
      <c r="N166" s="4217"/>
      <c r="O166" s="4223">
        <v>0</v>
      </c>
      <c r="P166" s="4183"/>
    </row>
    <row r="167" spans="2:16" ht="22.5" hidden="1">
      <c r="C167" s="4251" t="s">
        <v>152</v>
      </c>
      <c r="D167" s="4268" t="s">
        <v>174</v>
      </c>
      <c r="E167" s="4269">
        <v>46075904.899999999</v>
      </c>
      <c r="F167" s="4269">
        <v>1</v>
      </c>
      <c r="G167" s="4269">
        <v>1</v>
      </c>
      <c r="H167" s="4269"/>
      <c r="I167" s="4270">
        <f t="shared" si="52"/>
        <v>46075904.899999999</v>
      </c>
      <c r="J167" s="4268" t="s">
        <v>174</v>
      </c>
      <c r="K167" s="4269">
        <v>792000</v>
      </c>
      <c r="L167" s="4269">
        <v>1</v>
      </c>
      <c r="M167" s="4269">
        <v>1</v>
      </c>
      <c r="N167" s="4269"/>
      <c r="O167" s="4270">
        <f t="shared" ref="O167:O168" si="54">K167*L167*M167</f>
        <v>792000</v>
      </c>
      <c r="P167" s="4259">
        <f>I167+O167-I168-O168</f>
        <v>-7599095.1000000015</v>
      </c>
    </row>
    <row r="168" spans="2:16" ht="23" hidden="1" thickBot="1">
      <c r="B168" s="4173"/>
      <c r="C168" s="4247" t="s">
        <v>154</v>
      </c>
      <c r="D168" s="4230" t="s">
        <v>166</v>
      </c>
      <c r="E168" s="4181">
        <v>34400000</v>
      </c>
      <c r="F168" s="4181">
        <v>1</v>
      </c>
      <c r="G168" s="4181">
        <v>1</v>
      </c>
      <c r="H168" s="4218"/>
      <c r="I168" s="4225">
        <f t="shared" si="52"/>
        <v>34400000</v>
      </c>
      <c r="J168" s="4181" t="s">
        <v>166</v>
      </c>
      <c r="K168" s="4181">
        <v>20067000</v>
      </c>
      <c r="L168" s="4181">
        <v>1</v>
      </c>
      <c r="M168" s="4181">
        <v>1</v>
      </c>
      <c r="N168" s="4218"/>
      <c r="O168" s="4225">
        <f t="shared" si="54"/>
        <v>20067000</v>
      </c>
      <c r="P168" s="4220"/>
    </row>
    <row r="169" spans="2:16" ht="22.5" hidden="1">
      <c r="B169" s="4007"/>
      <c r="E169" s="4057"/>
      <c r="F169" s="4057"/>
      <c r="G169" s="4057"/>
      <c r="H169" s="4217"/>
      <c r="I169" s="4057"/>
      <c r="J169" s="4057"/>
      <c r="K169" s="4057"/>
      <c r="L169" s="4057"/>
      <c r="M169" s="4057"/>
      <c r="N169" s="4217"/>
      <c r="O169" s="4057"/>
      <c r="P169" s="4183"/>
    </row>
    <row r="170" spans="2:16" ht="31" customHeight="1">
      <c r="B170" s="4193" t="s">
        <v>146</v>
      </c>
      <c r="E170" s="4057"/>
      <c r="F170" s="4057"/>
      <c r="G170" s="4057"/>
      <c r="H170" s="4217"/>
      <c r="I170" s="4057"/>
      <c r="J170" s="4057"/>
      <c r="K170" s="4057"/>
      <c r="L170" s="4057"/>
      <c r="M170" s="4057"/>
      <c r="N170" s="4217"/>
      <c r="O170" s="4057"/>
      <c r="P170" s="4057"/>
    </row>
    <row r="171" spans="2:16" ht="141.65" customHeight="1">
      <c r="B171" s="6416" t="s">
        <v>188</v>
      </c>
      <c r="C171" s="6416"/>
      <c r="D171" s="6416"/>
      <c r="E171" s="6416"/>
      <c r="F171" s="6416"/>
      <c r="G171" s="6416"/>
      <c r="H171" s="6416"/>
      <c r="I171" s="6416"/>
      <c r="J171" s="6416"/>
      <c r="K171" s="6416"/>
      <c r="L171" s="6416"/>
      <c r="M171" s="6416"/>
      <c r="N171" s="6416"/>
      <c r="O171" s="6416"/>
    </row>
    <row r="172" spans="2:16" ht="105" customHeight="1">
      <c r="B172" s="6416"/>
      <c r="C172" s="6416"/>
      <c r="D172" s="6416"/>
      <c r="E172" s="6416"/>
      <c r="F172" s="6416"/>
      <c r="G172" s="6416"/>
      <c r="H172" s="6416"/>
      <c r="I172" s="6416"/>
      <c r="J172" s="6416"/>
      <c r="K172" s="6416"/>
      <c r="L172" s="6416"/>
      <c r="M172" s="6416"/>
      <c r="N172" s="6416"/>
      <c r="O172" s="6416"/>
    </row>
    <row r="173" spans="2:16" ht="198.65" customHeight="1">
      <c r="B173" s="6416"/>
      <c r="C173" s="6416"/>
      <c r="D173" s="6416"/>
      <c r="E173" s="6416"/>
      <c r="F173" s="6416"/>
      <c r="G173" s="6416"/>
      <c r="H173" s="6416"/>
      <c r="I173" s="6416"/>
      <c r="J173" s="6416"/>
      <c r="K173" s="6416"/>
      <c r="L173" s="6416"/>
      <c r="M173" s="6416"/>
      <c r="N173" s="6416"/>
      <c r="O173" s="6416"/>
    </row>
    <row r="174" spans="2:16" ht="75" customHeight="1">
      <c r="B174" s="6416"/>
      <c r="C174" s="6416"/>
      <c r="D174" s="6416"/>
      <c r="E174" s="6416"/>
      <c r="F174" s="6416"/>
      <c r="G174" s="6416"/>
      <c r="H174" s="6416"/>
      <c r="I174" s="6416"/>
      <c r="J174" s="6416"/>
      <c r="K174" s="6416"/>
      <c r="L174" s="6416"/>
      <c r="M174" s="6416"/>
      <c r="N174" s="6416"/>
      <c r="O174" s="6416"/>
    </row>
    <row r="175" spans="2:16" ht="31" customHeight="1">
      <c r="B175" s="6416"/>
      <c r="C175" s="6416"/>
      <c r="D175" s="6416"/>
      <c r="E175" s="6416"/>
      <c r="F175" s="6416"/>
      <c r="G175" s="6416"/>
      <c r="H175" s="6416"/>
      <c r="I175" s="6416"/>
      <c r="J175" s="6416"/>
      <c r="K175" s="6416"/>
      <c r="L175" s="6416"/>
      <c r="M175" s="6416"/>
      <c r="N175" s="6416"/>
      <c r="O175" s="6416"/>
    </row>
  </sheetData>
  <mergeCells count="1">
    <mergeCell ref="B171:O175"/>
  </mergeCells>
  <phoneticPr fontId="46"/>
  <pageMargins left="0.25" right="0.25" top="0.75" bottom="0.75" header="0.3" footer="0.3"/>
  <pageSetup paperSize="8" scale="52" orientation="landscape" verticalDpi="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24B15-9619-4425-A3DB-DEB53E509520}">
  <sheetPr codeName="Sheet307">
    <pageSetUpPr fitToPage="1"/>
  </sheetPr>
  <dimension ref="B2:I39"/>
  <sheetViews>
    <sheetView topLeftCell="A32" workbookViewId="0">
      <selection activeCell="C31" sqref="C31"/>
    </sheetView>
  </sheetViews>
  <sheetFormatPr defaultRowHeight="13"/>
  <cols>
    <col min="2" max="2" width="11.54296875" customWidth="1"/>
    <col min="3" max="3" width="23.26953125" customWidth="1"/>
    <col min="4" max="4" width="9.453125" customWidth="1"/>
    <col min="5" max="5" width="5.453125" customWidth="1"/>
    <col min="6" max="6" width="9.453125" customWidth="1"/>
    <col min="7" max="7" width="5.453125" customWidth="1"/>
    <col min="8" max="8" width="26.81640625" customWidth="1"/>
    <col min="9" max="9" width="34.453125" customWidth="1"/>
  </cols>
  <sheetData>
    <row r="2" spans="2:9" ht="14">
      <c r="B2" s="4333" t="s">
        <v>189</v>
      </c>
    </row>
    <row r="3" spans="2:9">
      <c r="B3" t="s">
        <v>190</v>
      </c>
    </row>
    <row r="4" spans="2:9">
      <c r="B4" t="s">
        <v>191</v>
      </c>
    </row>
    <row r="6" spans="2:9">
      <c r="B6" t="s">
        <v>192</v>
      </c>
    </row>
    <row r="7" spans="2:9">
      <c r="C7" s="6422" t="s">
        <v>193</v>
      </c>
      <c r="D7" s="6422"/>
      <c r="E7" s="4316" t="s">
        <v>194</v>
      </c>
    </row>
    <row r="8" spans="2:9">
      <c r="C8" s="4314"/>
      <c r="D8" s="4314"/>
      <c r="E8" s="4315"/>
    </row>
    <row r="9" spans="2:9">
      <c r="C9" s="4314"/>
      <c r="D9" s="4314"/>
      <c r="E9" s="4315"/>
    </row>
    <row r="10" spans="2:9">
      <c r="C10" s="6422" t="s">
        <v>195</v>
      </c>
      <c r="D10" s="6422"/>
      <c r="E10" t="s">
        <v>196</v>
      </c>
    </row>
    <row r="11" spans="2:9">
      <c r="E11" s="1064"/>
    </row>
    <row r="12" spans="2:9">
      <c r="B12" t="s">
        <v>197</v>
      </c>
      <c r="E12" s="1064"/>
    </row>
    <row r="13" spans="2:9" ht="13.5" thickBot="1">
      <c r="C13" s="6422" t="s">
        <v>193</v>
      </c>
      <c r="D13" s="6422"/>
      <c r="E13" s="4316" t="s">
        <v>194</v>
      </c>
      <c r="F13" s="6423" t="s">
        <v>198</v>
      </c>
      <c r="G13" s="6423"/>
      <c r="H13" s="6423"/>
      <c r="I13" s="6423"/>
    </row>
    <row r="14" spans="2:9">
      <c r="C14" s="4314"/>
      <c r="D14" s="4314"/>
      <c r="E14" s="4315"/>
      <c r="F14" s="6424" t="s">
        <v>199</v>
      </c>
      <c r="G14" s="6425"/>
      <c r="H14" s="4317" t="s">
        <v>200</v>
      </c>
      <c r="I14" s="4318" t="s">
        <v>201</v>
      </c>
    </row>
    <row r="15" spans="2:9" ht="13.5" thickBot="1">
      <c r="C15" s="4314"/>
      <c r="D15" s="4314"/>
      <c r="E15" s="4315"/>
      <c r="F15" s="6426"/>
      <c r="G15" s="6427"/>
      <c r="H15" s="4319"/>
      <c r="I15" s="4320"/>
    </row>
    <row r="16" spans="2:9">
      <c r="C16" s="6422" t="s">
        <v>195</v>
      </c>
      <c r="D16" s="6422"/>
      <c r="E16" t="s">
        <v>196</v>
      </c>
      <c r="H16" s="2812" t="s">
        <v>202</v>
      </c>
    </row>
    <row r="17" spans="2:9">
      <c r="E17" s="1064"/>
    </row>
    <row r="18" spans="2:9">
      <c r="B18" t="s">
        <v>203</v>
      </c>
      <c r="E18" s="1064"/>
    </row>
    <row r="19" spans="2:9" ht="13.5" thickBot="1">
      <c r="C19" s="6422" t="s">
        <v>193</v>
      </c>
      <c r="D19" s="6422"/>
      <c r="E19" s="4316" t="s">
        <v>194</v>
      </c>
      <c r="F19" s="6423" t="s">
        <v>198</v>
      </c>
      <c r="G19" s="6423"/>
      <c r="H19" s="6423"/>
      <c r="I19" s="6423"/>
    </row>
    <row r="20" spans="2:9">
      <c r="C20" s="4314"/>
      <c r="D20" s="4314"/>
      <c r="E20" s="4315"/>
      <c r="F20" s="6418" t="s">
        <v>204</v>
      </c>
      <c r="G20" s="6419"/>
      <c r="H20" s="4317" t="s">
        <v>200</v>
      </c>
      <c r="I20" s="4318" t="s">
        <v>201</v>
      </c>
    </row>
    <row r="21" spans="2:9" ht="13.5" thickBot="1">
      <c r="C21" s="4314"/>
      <c r="D21" s="4314"/>
      <c r="E21" s="4315"/>
      <c r="F21" s="6420" t="s">
        <v>205</v>
      </c>
      <c r="G21" s="6421"/>
      <c r="H21" s="4319"/>
      <c r="I21" s="4320"/>
    </row>
    <row r="22" spans="2:9">
      <c r="C22" s="6422" t="s">
        <v>195</v>
      </c>
      <c r="D22" s="6422"/>
      <c r="E22" t="s">
        <v>196</v>
      </c>
      <c r="H22" s="6428" t="s">
        <v>206</v>
      </c>
      <c r="I22" s="6428"/>
    </row>
    <row r="23" spans="2:9">
      <c r="E23" s="1064"/>
    </row>
    <row r="25" spans="2:9">
      <c r="B25" t="s">
        <v>207</v>
      </c>
    </row>
    <row r="27" spans="2:9" ht="13.5" thickBot="1">
      <c r="C27" s="1064" t="s">
        <v>193</v>
      </c>
      <c r="D27" s="6422" t="s">
        <v>198</v>
      </c>
      <c r="E27" s="6422"/>
      <c r="F27" s="6422"/>
      <c r="G27" s="6422"/>
      <c r="H27" s="6422"/>
      <c r="I27" s="6422"/>
    </row>
    <row r="28" spans="2:9">
      <c r="C28" s="4314"/>
      <c r="D28" s="4323" t="s">
        <v>208</v>
      </c>
      <c r="E28" s="4321" t="s">
        <v>209</v>
      </c>
      <c r="F28" s="6429"/>
      <c r="G28" s="6430"/>
      <c r="H28" s="4317" t="s">
        <v>200</v>
      </c>
      <c r="I28" s="4318" t="s">
        <v>201</v>
      </c>
    </row>
    <row r="29" spans="2:9" ht="13.5" thickBot="1">
      <c r="C29" s="4314"/>
      <c r="D29" s="4324" t="s">
        <v>210</v>
      </c>
      <c r="E29" s="4322" t="s">
        <v>196</v>
      </c>
      <c r="F29" s="6431"/>
      <c r="G29" s="6432"/>
      <c r="H29" s="4319"/>
      <c r="I29" s="4320"/>
    </row>
    <row r="30" spans="2:9">
      <c r="C30" s="1064" t="s">
        <v>211</v>
      </c>
      <c r="D30" s="6428" t="s">
        <v>212</v>
      </c>
      <c r="E30" s="6428"/>
      <c r="H30" s="6428" t="s">
        <v>206</v>
      </c>
      <c r="I30" s="6428"/>
    </row>
    <row r="32" spans="2:9">
      <c r="C32" s="4325" t="s">
        <v>213</v>
      </c>
    </row>
    <row r="33" spans="2:9">
      <c r="C33" s="4325" t="s">
        <v>214</v>
      </c>
    </row>
    <row r="35" spans="2:9">
      <c r="B35" t="s">
        <v>215</v>
      </c>
    </row>
    <row r="36" spans="2:9" ht="13.5" thickBot="1">
      <c r="C36" s="6422" t="s">
        <v>193</v>
      </c>
      <c r="D36" s="6422"/>
      <c r="E36" s="6422" t="s">
        <v>216</v>
      </c>
      <c r="F36" s="6422"/>
      <c r="G36" s="6422"/>
      <c r="H36" s="6422"/>
      <c r="I36" s="6422"/>
    </row>
    <row r="37" spans="2:9">
      <c r="C37" s="4314"/>
      <c r="D37" s="4328"/>
      <c r="E37" s="4329" t="s">
        <v>209</v>
      </c>
      <c r="F37" s="4331" t="s">
        <v>208</v>
      </c>
      <c r="G37" s="4327"/>
      <c r="H37" s="4317" t="s">
        <v>200</v>
      </c>
      <c r="I37" s="4318" t="s">
        <v>201</v>
      </c>
    </row>
    <row r="38" spans="2:9" ht="13.5" thickBot="1">
      <c r="C38" s="4314"/>
      <c r="D38" s="4328"/>
      <c r="E38" s="4330" t="s">
        <v>196</v>
      </c>
      <c r="F38" s="4332" t="s">
        <v>210</v>
      </c>
      <c r="G38" s="4326"/>
      <c r="H38" s="4319"/>
      <c r="I38" s="4320"/>
    </row>
    <row r="39" spans="2:9">
      <c r="C39" s="6422" t="s">
        <v>217</v>
      </c>
      <c r="D39" s="6422"/>
      <c r="E39" s="6428" t="s">
        <v>212</v>
      </c>
      <c r="F39" s="6428"/>
      <c r="H39" s="6428" t="s">
        <v>206</v>
      </c>
      <c r="I39" s="6428"/>
    </row>
  </sheetData>
  <mergeCells count="23">
    <mergeCell ref="F28:G28"/>
    <mergeCell ref="F29:G29"/>
    <mergeCell ref="D30:E30"/>
    <mergeCell ref="H30:I30"/>
    <mergeCell ref="H22:I22"/>
    <mergeCell ref="C22:D22"/>
    <mergeCell ref="D27:I27"/>
    <mergeCell ref="H39:I39"/>
    <mergeCell ref="E39:F39"/>
    <mergeCell ref="C39:D39"/>
    <mergeCell ref="E36:I36"/>
    <mergeCell ref="C36:D36"/>
    <mergeCell ref="F20:G20"/>
    <mergeCell ref="F21:G21"/>
    <mergeCell ref="C7:D7"/>
    <mergeCell ref="C10:D10"/>
    <mergeCell ref="C13:D13"/>
    <mergeCell ref="C16:D16"/>
    <mergeCell ref="C19:D19"/>
    <mergeCell ref="F13:I13"/>
    <mergeCell ref="F19:I19"/>
    <mergeCell ref="F14:G14"/>
    <mergeCell ref="F15:G15"/>
  </mergeCells>
  <phoneticPr fontId="2"/>
  <pageMargins left="0.7" right="0.7" top="0.75" bottom="0.75" header="0.3" footer="0.3"/>
  <pageSetup paperSize="9" scale="93"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7AA4E-08BC-44E4-991D-83FED0D4CF38}">
  <sheetPr codeName="Sheet263">
    <tabColor rgb="FFFFC000"/>
    <pageSetUpPr fitToPage="1"/>
  </sheetPr>
  <dimension ref="A1:S116"/>
  <sheetViews>
    <sheetView topLeftCell="A3" workbookViewId="0"/>
  </sheetViews>
  <sheetFormatPr defaultColWidth="8.7265625" defaultRowHeight="13"/>
  <cols>
    <col min="1" max="1" width="11" style="2766" customWidth="1"/>
    <col min="2" max="2" width="23.81640625" style="2765" customWidth="1"/>
    <col min="3" max="3" width="17.26953125" style="2728" customWidth="1"/>
    <col min="4" max="4" width="14.81640625" style="2771" customWidth="1"/>
    <col min="5" max="5" width="8.81640625" style="2728" customWidth="1"/>
    <col min="6" max="6" width="16.453125" style="2728" bestFit="1" customWidth="1"/>
    <col min="7" max="7" width="14.453125" style="2729" customWidth="1"/>
    <col min="8" max="8" width="16.453125" style="2728" bestFit="1" customWidth="1"/>
    <col min="9" max="9" width="15.453125" style="2728" customWidth="1"/>
    <col min="10" max="10" width="5.453125" style="2728" customWidth="1"/>
    <col min="11" max="11" width="19.453125" style="2728" customWidth="1"/>
    <col min="12" max="12" width="16.453125" style="2728" customWidth="1"/>
    <col min="13" max="13" width="15.26953125" style="2728" customWidth="1"/>
    <col min="14" max="14" width="7.1796875" style="2765" bestFit="1" customWidth="1"/>
    <col min="15" max="15" width="8.81640625" style="2765" bestFit="1" customWidth="1"/>
    <col min="16" max="16" width="7.7265625" style="2765" customWidth="1"/>
    <col min="17" max="17" width="12" style="2765" customWidth="1"/>
    <col min="18" max="18" width="16.7265625" style="2765" customWidth="1"/>
    <col min="19" max="19" width="18.453125" style="2765" customWidth="1"/>
    <col min="20" max="20" width="14.453125" style="2765" customWidth="1"/>
    <col min="21" max="21" width="17.26953125" style="2765" bestFit="1" customWidth="1"/>
    <col min="22" max="22" width="17" style="2765" bestFit="1" customWidth="1"/>
    <col min="23" max="24" width="8.7265625" style="2765"/>
    <col min="25" max="25" width="11.54296875" style="2765" bestFit="1" customWidth="1"/>
    <col min="26" max="16384" width="8.7265625" style="2765"/>
  </cols>
  <sheetData>
    <row r="1" spans="1:19" ht="31.5" customHeight="1">
      <c r="A1" s="2746" t="s">
        <v>218</v>
      </c>
      <c r="E1" s="2744"/>
      <c r="F1" s="2744"/>
      <c r="G1" s="2745"/>
      <c r="H1" s="2744"/>
      <c r="I1" s="2744"/>
      <c r="J1" s="2744"/>
      <c r="L1" s="2744"/>
      <c r="R1" s="2766"/>
      <c r="S1" s="2766"/>
    </row>
    <row r="2" spans="1:19">
      <c r="A2" s="2749" t="s">
        <v>219</v>
      </c>
      <c r="G2" s="2750" t="s">
        <v>220</v>
      </c>
      <c r="I2" s="2740"/>
      <c r="J2" s="2740"/>
      <c r="K2" s="2728" t="s">
        <v>221</v>
      </c>
      <c r="M2" s="2738"/>
    </row>
    <row r="3" spans="1:19" ht="52">
      <c r="A3" s="2767"/>
      <c r="B3" s="2768" t="s">
        <v>222</v>
      </c>
      <c r="C3" s="2741" t="s">
        <v>223</v>
      </c>
      <c r="D3" s="2772" t="s">
        <v>224</v>
      </c>
      <c r="E3" s="2741" t="s">
        <v>225</v>
      </c>
      <c r="F3" s="2748" t="s">
        <v>226</v>
      </c>
      <c r="G3" s="2741" t="s">
        <v>227</v>
      </c>
      <c r="H3" s="2748" t="s">
        <v>228</v>
      </c>
      <c r="I3" s="2731" t="s">
        <v>229</v>
      </c>
      <c r="J3" s="2740"/>
      <c r="K3" s="2748" t="s">
        <v>230</v>
      </c>
      <c r="L3" s="2748" t="s">
        <v>231</v>
      </c>
      <c r="M3" s="2739"/>
      <c r="N3" s="2738"/>
    </row>
    <row r="4" spans="1:19">
      <c r="A4" s="6437" t="s">
        <v>232</v>
      </c>
      <c r="B4" s="2768" t="s">
        <v>233</v>
      </c>
      <c r="C4" s="2734">
        <f>IF(COUNTIF(Results【技術役員スポンサーメディア積算】!C:C, "選手15000")=0, 0, SUMIF(Results【技術役員スポンサーメディア積算】!C:C, "選手15000", Results【技術役員スポンサーメディア積算】!AA:AA) / COUNTIF(Results【技術役員スポンサーメディア積算】!C:C, "選手15000"))</f>
        <v>0</v>
      </c>
      <c r="D4" s="2774">
        <v>11937</v>
      </c>
      <c r="E4" s="2733">
        <v>32</v>
      </c>
      <c r="F4" s="2737">
        <f>$E$4*$C$4*$D$4</f>
        <v>0</v>
      </c>
      <c r="G4" s="2732">
        <f>'物価（案3）'!$I$10</f>
        <v>1.34</v>
      </c>
      <c r="H4" s="2811">
        <f t="shared" ref="H4:H9" si="0">ROUNDUP($C4*$D4*$E4*$G4,0)</f>
        <v>0</v>
      </c>
      <c r="I4" s="2737">
        <f>H4</f>
        <v>0</v>
      </c>
      <c r="J4" s="2740"/>
      <c r="K4" s="2734">
        <f>Results【技術役員スポンサーメディア積算】!BC283</f>
        <v>1720770931</v>
      </c>
      <c r="L4" s="2737">
        <f t="shared" ref="L4:L19" si="1">$K4*$G4</f>
        <v>2305833047.54</v>
      </c>
      <c r="M4" s="2739"/>
      <c r="N4" s="2738"/>
    </row>
    <row r="5" spans="1:19" hidden="1">
      <c r="A5" s="6437"/>
      <c r="B5" s="2776" t="s">
        <v>234</v>
      </c>
      <c r="C5" s="2777">
        <f>IF(COUNTIF(Results【技術役員スポンサーメディア積算】!D:D, "選手12000")=0, 0, SUMIF(Results【技術役員スポンサーメディア積算】!D:D, "選手12000", Results【技術役員スポンサーメディア積算】!AA:AA) / COUNTIF(Results【技術役員スポンサーメディア積算】!D:D, "選手12000"))</f>
        <v>0</v>
      </c>
      <c r="D5" s="2778">
        <v>9962</v>
      </c>
      <c r="E5" s="2779">
        <v>32</v>
      </c>
      <c r="F5" s="2781">
        <f t="shared" ref="F5:F19" si="2">E5*C5*D5</f>
        <v>0</v>
      </c>
      <c r="G5" s="2780">
        <f>'物価（案3）'!$I$10</f>
        <v>1.34</v>
      </c>
      <c r="H5" s="2781">
        <f t="shared" si="0"/>
        <v>0</v>
      </c>
      <c r="I5" s="2781">
        <f>H5</f>
        <v>0</v>
      </c>
      <c r="J5" s="2740" t="s">
        <v>235</v>
      </c>
      <c r="K5" s="2777" t="e">
        <f>Results【技術役員スポンサーメディア積算】!#REF!</f>
        <v>#REF!</v>
      </c>
      <c r="L5" s="2781" t="e">
        <f t="shared" si="1"/>
        <v>#REF!</v>
      </c>
      <c r="M5" s="2739"/>
      <c r="N5" s="2738"/>
    </row>
    <row r="6" spans="1:19">
      <c r="A6" s="6437"/>
      <c r="B6" s="2768" t="s">
        <v>236</v>
      </c>
      <c r="C6" s="2747" cm="1">
        <f t="array" ref="C6">IF(SUMPRODUCT(--(Results【技術役員スポンサーメディア積算】!C:C="ファミリー") + --(Results【技術役員スポンサーメディア積算】!D:D="ファミリー"))=0, 0, SUMIFS(Results【技術役員スポンサーメディア積算】!AA:AA, Results【技術役員スポンサーメディア積算】!C:C, "ファミリー") + SUMIFS(Results【技術役員スポンサーメディア積算】!AA:AA, Results【技術役員スポンサーメディア積算】!D:D, "ファミリー") / SUMPRODUCT(--(Results【技術役員スポンサーメディア積算】!C:C="ファミリー") + --(Results【技術役員スポンサーメディア積算】!D:D="ファミリー")))</f>
        <v>0</v>
      </c>
      <c r="D6" s="2774">
        <v>1645</v>
      </c>
      <c r="E6" s="2733">
        <v>32</v>
      </c>
      <c r="F6" s="2737">
        <f t="shared" si="2"/>
        <v>0</v>
      </c>
      <c r="G6" s="2732">
        <f>'物価（案3）'!$I$10</f>
        <v>1.34</v>
      </c>
      <c r="H6" s="2737">
        <f t="shared" si="0"/>
        <v>0</v>
      </c>
      <c r="I6" s="6438">
        <f>SUM(H6:H11)</f>
        <v>10511814540</v>
      </c>
      <c r="J6" s="2740"/>
      <c r="K6" s="2734">
        <f>Results【技術役員スポンサーメディア積算】!BD283</f>
        <v>959319162</v>
      </c>
      <c r="L6" s="2737">
        <f t="shared" si="1"/>
        <v>1285487677.0800002</v>
      </c>
      <c r="M6" s="2739"/>
      <c r="N6" s="2738"/>
    </row>
    <row r="7" spans="1:19">
      <c r="A7" s="6437"/>
      <c r="B7" s="2768" t="s">
        <v>237</v>
      </c>
      <c r="C7" s="2747" cm="1">
        <f t="array" ref="C7">IF(SUMPRODUCT(--(Results【技術役員スポンサーメディア積算】!C:C="スポンサー") + --(Results【技術役員スポンサーメディア積算】!D:D="スポンサー"))=0, 0, (SUMIFS(Results【技術役員スポンサーメディア積算】!AA:AA, Results【技術役員スポンサーメディア積算】!C:C, "スポンサー") + SUMIFS(Results【技術役員スポンサーメディア積算】!AA:AA, Results【技術役員スポンサーメディア積算】!D:D, "スポンサー")) / SUMPRODUCT(--(Results【技術役員スポンサーメディア積算】!C:C="スポンサー") + --(Results【技術役員スポンサーメディア積算】!D:D="スポンサー")))</f>
        <v>60684.638663747392</v>
      </c>
      <c r="D7" s="2774">
        <v>2560</v>
      </c>
      <c r="E7" s="2733">
        <v>32</v>
      </c>
      <c r="F7" s="2737">
        <f t="shared" si="2"/>
        <v>4971285599.3341866</v>
      </c>
      <c r="G7" s="2732">
        <f>'物価（案3）'!$I$10</f>
        <v>1.34</v>
      </c>
      <c r="H7" s="2737">
        <f t="shared" si="0"/>
        <v>6661522704</v>
      </c>
      <c r="I7" s="6439"/>
      <c r="J7" s="2740"/>
      <c r="K7" s="2734" t="e">
        <f>Results【技術役員スポンサーメディア積算】!#REF!</f>
        <v>#REF!</v>
      </c>
      <c r="L7" s="2737" t="e">
        <f t="shared" si="1"/>
        <v>#REF!</v>
      </c>
      <c r="M7" s="2739"/>
      <c r="N7" s="2738"/>
    </row>
    <row r="8" spans="1:19">
      <c r="A8" s="6437"/>
      <c r="B8" s="2768" t="s">
        <v>238</v>
      </c>
      <c r="C8" s="2747" cm="1">
        <f t="array" ref="C8">IF(SUMPRODUCT(--(Results【技術役員スポンサーメディア積算】!C:C="本部") + --(Results【技術役員スポンサーメディア積算】!D:D="本部"))=0, 0, (SUMIFS(Results【技術役員スポンサーメディア積算】!AA:AA, Results【技術役員スポンサーメディア積算】!C:C, "本部") + SUMIFS(Results【技術役員スポンサーメディア積算】!AA:AA, Results【技術役員スポンサーメディア積算】!D:D, "本部")) / SUMPRODUCT(--(Results【技術役員スポンサーメディア積算】!C:C="本部") + --(Results【技術役員スポンサーメディア積算】!D:D="本部")))</f>
        <v>0</v>
      </c>
      <c r="D8" s="2774">
        <v>286</v>
      </c>
      <c r="E8" s="2736">
        <v>36</v>
      </c>
      <c r="F8" s="2737">
        <f t="shared" si="2"/>
        <v>0</v>
      </c>
      <c r="G8" s="2732">
        <f>'物価（案3）'!$I$10</f>
        <v>1.34</v>
      </c>
      <c r="H8" s="2737">
        <f t="shared" si="0"/>
        <v>0</v>
      </c>
      <c r="I8" s="6439"/>
      <c r="J8" s="2740"/>
      <c r="K8" s="2734" t="e">
        <f>Results【技術役員スポンサーメディア積算】!#REF!</f>
        <v>#REF!</v>
      </c>
      <c r="L8" s="2737" t="e">
        <f t="shared" si="1"/>
        <v>#REF!</v>
      </c>
      <c r="M8" s="2739"/>
      <c r="N8" s="2738"/>
    </row>
    <row r="9" spans="1:19">
      <c r="A9" s="6437"/>
      <c r="B9" s="2768" t="s">
        <v>239</v>
      </c>
      <c r="C9" s="2747" cm="1">
        <f t="array" ref="C9">IF(SUMPRODUCT(--(Results【技術役員スポンサーメディア積算】!C:C="メディア") + --(Results【技術役員スポンサーメディア積算】!D:D="メディア"))=0, 0, (SUMIFS(Results【技術役員スポンサーメディア積算】!AA:AA, Results【技術役員スポンサーメディア積算】!C:C, "メディア") + SUMIFS(Results【技術役員スポンサーメディア積算】!AA:AA, Results【技術役員スポンサーメディア積算】!D:D, "メディア")) / SUMPRODUCT(--(Results【技術役員スポンサーメディア積算】!C:C="メディア") + --(Results【技術役員スポンサーメディア積算】!D:D="メディア")))</f>
        <v>0</v>
      </c>
      <c r="D9" s="2774">
        <v>3000</v>
      </c>
      <c r="E9" s="2733">
        <v>32</v>
      </c>
      <c r="F9" s="2737">
        <f t="shared" si="2"/>
        <v>0</v>
      </c>
      <c r="G9" s="2732">
        <f>'物価（案3）'!$I$10</f>
        <v>1.34</v>
      </c>
      <c r="H9" s="2737">
        <f t="shared" si="0"/>
        <v>0</v>
      </c>
      <c r="I9" s="6439"/>
      <c r="J9" s="2740"/>
      <c r="K9" s="2734">
        <f>Results【技術役員スポンサーメディア積算】!BE283</f>
        <v>1980375600</v>
      </c>
      <c r="L9" s="2737">
        <f t="shared" si="1"/>
        <v>2653703304</v>
      </c>
      <c r="M9" s="2739"/>
      <c r="N9" s="2738"/>
    </row>
    <row r="10" spans="1:19">
      <c r="A10" s="6437"/>
      <c r="B10" s="2768" t="s">
        <v>240</v>
      </c>
      <c r="C10" s="2747" cm="1">
        <f t="array" ref="C10">IF(SUMPRODUCT(--(Results【技術役員スポンサーメディア積算】!C:C="技術役員") + --(Results【技術役員スポンサーメディア積算】!D:D="技術役員"))=0, 0, (SUMIFS(Results【技術役員スポンサーメディア積算】!AA:AA, Results【技術役員スポンサーメディア積算】!C:C, "技術役員") + SUMIFS(Results【技術役員スポンサーメディア積算】!AA:AA, Results【技術役員スポンサーメディア積算】!D:D, "技術役員")) / SUMPRODUCT(--(Results【技術役員スポンサーメディア積算】!C:C="技術役員") + --(Results【技術役員スポンサーメディア積算】!D:D="技術役員")))</f>
        <v>26771.691599707177</v>
      </c>
      <c r="D10" s="2774">
        <v>3354</v>
      </c>
      <c r="E10" s="2733">
        <v>32</v>
      </c>
      <c r="F10" s="2737">
        <f t="shared" si="2"/>
        <v>2873352116.0133719</v>
      </c>
      <c r="G10" s="2732">
        <f>'物価（案3）'!$I$10</f>
        <v>1.34</v>
      </c>
      <c r="H10" s="2737">
        <f t="shared" ref="H10:H19" si="3">ROUNDUP($C10*$D10*$E10*$G10,0)</f>
        <v>3850291836</v>
      </c>
      <c r="I10" s="6439"/>
      <c r="K10" s="2734" t="e">
        <f>Results【技術役員スポンサーメディア積算】!#REF!</f>
        <v>#REF!</v>
      </c>
      <c r="L10" s="2737" t="e">
        <f t="shared" si="1"/>
        <v>#REF!</v>
      </c>
      <c r="N10" s="2728"/>
    </row>
    <row r="11" spans="1:19">
      <c r="A11" s="6437"/>
      <c r="B11" s="2785" t="s">
        <v>241</v>
      </c>
      <c r="C11" s="2786" cm="1">
        <f t="array" ref="C11">IF(SUMPRODUCT(--(Results【技術役員スポンサーメディア積算】!C:C="DCO") + --(Results【技術役員スポンサーメディア積算】!D:D="DCO") + --(Results【技術役員スポンサーメディア積算】!E:E="DCO"))=0, 0, (SUMIFS(Results【技術役員スポンサーメディア積算】!AA:AA, Results【技術役員スポンサーメディア積算】!C:C, "DCO") + SUMIFS(Results【技術役員スポンサーメディア積算】!AA:AA, Results【技術役員スポンサーメディア積算】!D:D, "DCO") + SUMIFS(Results【技術役員スポンサーメディア積算】!AA:AA, Results【技術役員スポンサーメディア積算】!E:E, "DCO")) / SUMPRODUCT(--(Results【技術役員スポンサーメディア積算】!C:C="DCO") + --(Results【技術役員スポンサーメディア積算】!D:D="DCO") + --(Results【技術役員スポンサーメディア積算】!E:E="DCO")))</f>
        <v>0</v>
      </c>
      <c r="D11" s="2787">
        <v>504</v>
      </c>
      <c r="E11" s="2788">
        <v>32</v>
      </c>
      <c r="F11" s="2769">
        <f t="shared" si="2"/>
        <v>0</v>
      </c>
      <c r="G11" s="2789">
        <f>'物価（案3）'!$I$10</f>
        <v>1.34</v>
      </c>
      <c r="H11" s="2769">
        <f t="shared" si="3"/>
        <v>0</v>
      </c>
      <c r="I11" s="6439"/>
      <c r="K11" s="2790" t="e">
        <f>Results【技術役員スポンサーメディア積算】!#REF!</f>
        <v>#REF!</v>
      </c>
      <c r="L11" s="2737" t="e">
        <f t="shared" si="1"/>
        <v>#REF!</v>
      </c>
      <c r="N11" s="2728"/>
    </row>
    <row r="12" spans="1:19">
      <c r="A12" s="6433" t="s">
        <v>242</v>
      </c>
      <c r="B12" s="2768" t="s">
        <v>243</v>
      </c>
      <c r="C12" s="2747" cm="1">
        <f t="array" ref="C12">IF(SUMPRODUCT(--(Results【技術役員スポンサーメディア積算】!F:F="選手") + --(Results【技術役員スポンサーメディア積算】!G:G="選手"))=0, 0, (SUMIFS(Results【技術役員スポンサーメディア積算】!AA:AA, Results【技術役員スポンサーメディア積算】!F:F, "選手") + SUMIFS(Results【技術役員スポンサーメディア積算】!AA:AA, Results【技術役員スポンサーメディア積算】!G:G, "選手")) / SUMPRODUCT(--(Results【技術役員スポンサーメディア積算】!F:F="選手") + --(Results【技術役員スポンサーメディア積算】!G:G="選手")))</f>
        <v>0</v>
      </c>
      <c r="D12" s="2774">
        <v>4988</v>
      </c>
      <c r="E12" s="2733">
        <v>18</v>
      </c>
      <c r="F12" s="2737">
        <f t="shared" si="2"/>
        <v>0</v>
      </c>
      <c r="G12" s="2732">
        <f>'物価（案3）'!$I$10</f>
        <v>1.34</v>
      </c>
      <c r="H12" s="2737">
        <f t="shared" si="3"/>
        <v>0</v>
      </c>
      <c r="I12" s="2737">
        <f>H12</f>
        <v>0</v>
      </c>
      <c r="K12" s="2734">
        <f>Results【技術役員スポンサーメディア積算】!BF283</f>
        <v>344907436</v>
      </c>
      <c r="L12" s="2737">
        <f t="shared" si="1"/>
        <v>462175964.24000001</v>
      </c>
      <c r="N12" s="2728"/>
    </row>
    <row r="13" spans="1:19" hidden="1">
      <c r="A13" s="6433"/>
      <c r="B13" s="2776" t="s">
        <v>244</v>
      </c>
      <c r="C13" s="2777" cm="1">
        <f t="array" ref="C13">IF(SUMPRODUCT(--(Results【技術役員スポンサーメディア積算】!F:F="選手") + --(Results【技術役員スポンサーメディア積算】!G:G="選手"))=0, 0, (SUMIFS(Results【技術役員スポンサーメディア積算】!AA:AA, Results【技術役員スポンサーメディア積算】!F:F, "選手") + SUMIFS(Results【技術役員スポンサーメディア積算】!AA:AA, Results【技術役員スポンサーメディア積算】!G:G, "選手")) / SUMPRODUCT(--(Results【技術役員スポンサーメディア積算】!F:F="選手") + --(Results【技術役員スポンサーメディア積算】!G:G="選手")))</f>
        <v>0</v>
      </c>
      <c r="D13" s="2778">
        <v>4988</v>
      </c>
      <c r="E13" s="2779">
        <v>18</v>
      </c>
      <c r="F13" s="2781">
        <f t="shared" si="2"/>
        <v>0</v>
      </c>
      <c r="G13" s="2780">
        <f>'物価（案3）'!$I$10</f>
        <v>1.34</v>
      </c>
      <c r="H13" s="2781">
        <f t="shared" si="3"/>
        <v>0</v>
      </c>
      <c r="I13" s="2781">
        <f>H13</f>
        <v>0</v>
      </c>
      <c r="J13" s="2740" t="s">
        <v>235</v>
      </c>
      <c r="K13" s="2777">
        <f>Results【技術役員スポンサーメディア積算】!BG283</f>
        <v>624655701</v>
      </c>
      <c r="L13" s="2781">
        <f t="shared" si="1"/>
        <v>837038639.34000003</v>
      </c>
      <c r="N13" s="2728"/>
    </row>
    <row r="14" spans="1:19">
      <c r="A14" s="6433"/>
      <c r="B14" s="2768" t="s">
        <v>236</v>
      </c>
      <c r="C14" s="2747" cm="1">
        <f t="array" ref="C14">IF(SUMPRODUCT(--(Results【技術役員スポンサーメディア積算】!F:F="ファミリー") + --(Results【技術役員スポンサーメディア積算】!G:G="ファミリー"))=0, 0, (SUMIFS(Results【技術役員スポンサーメディア積算】!AA:AA, Results【技術役員スポンサーメディア積算】!F:F, "ファミリー") + SUMIFS(Results【技術役員スポンサーメディア積算】!AA:AA, Results【技術役員スポンサーメディア積算】!G:G, "ファミリー")) / SUMPRODUCT(--(Results【技術役員スポンサーメディア積算】!F:F="ファミリー") + --(Results【技術役員スポンサーメディア積算】!G:G="ファミリー")))</f>
        <v>0</v>
      </c>
      <c r="D14" s="2774">
        <v>370</v>
      </c>
      <c r="E14" s="2733">
        <v>18</v>
      </c>
      <c r="F14" s="2737">
        <f t="shared" si="2"/>
        <v>0</v>
      </c>
      <c r="G14" s="2732">
        <f>'物価（案3）'!$I$10</f>
        <v>1.34</v>
      </c>
      <c r="H14" s="2737">
        <f t="shared" si="3"/>
        <v>0</v>
      </c>
      <c r="I14" s="6435">
        <f>SUM(H14:H19)</f>
        <v>2457049000</v>
      </c>
      <c r="K14" s="2734">
        <f>Results【技術役員スポンサーメディア積算】!BH283</f>
        <v>300216120</v>
      </c>
      <c r="L14" s="2737">
        <f t="shared" si="1"/>
        <v>402289600.80000001</v>
      </c>
      <c r="N14" s="2728"/>
    </row>
    <row r="15" spans="1:19">
      <c r="A15" s="6433"/>
      <c r="B15" s="2768" t="s">
        <v>237</v>
      </c>
      <c r="C15" s="2747" cm="1">
        <f t="array" ref="C15">IF(SUMPRODUCT(--(Results【技術役員スポンサーメディア積算】!F:F="スポンサー") + --(Results【技術役員スポンサーメディア積算】!G:G="スポンサー"))=0, 0, (SUMIFS(Results【技術役員スポンサーメディア積算】!AA:AA, Results【技術役員スポンサーメディア積算】!F:F, "スポンサー") + SUMIFS(Results【技術役員スポンサーメディア積算】!AA:AA, Results【技術役員スポンサーメディア積算】!G:G, "スポンサー")) / SUMPRODUCT(--(Results【技術役員スポンサーメディア積算】!F:F="スポンサー") + --(Results【技術役員スポンサーメディア積算】!G:G="スポンサー")))</f>
        <v>53371.432388818233</v>
      </c>
      <c r="D15" s="2774">
        <v>1560</v>
      </c>
      <c r="E15" s="2733">
        <v>18</v>
      </c>
      <c r="F15" s="2737">
        <f t="shared" si="2"/>
        <v>1498669821.4780159</v>
      </c>
      <c r="G15" s="2732">
        <f>'物価（案3）'!$I$10</f>
        <v>1.34</v>
      </c>
      <c r="H15" s="2737">
        <f t="shared" si="3"/>
        <v>2008217561</v>
      </c>
      <c r="I15" s="6435"/>
      <c r="K15" s="2734" t="e">
        <f>Results【技術役員スポンサーメディア積算】!#REF!</f>
        <v>#REF!</v>
      </c>
      <c r="L15" s="2737" t="e">
        <f t="shared" si="1"/>
        <v>#REF!</v>
      </c>
      <c r="N15" s="2728"/>
    </row>
    <row r="16" spans="1:19">
      <c r="A16" s="6433"/>
      <c r="B16" s="2768" t="s">
        <v>245</v>
      </c>
      <c r="C16" s="2747" cm="1">
        <f t="array" ref="C16">IF(SUMPRODUCT(--(Results【技術役員スポンサーメディア積算】!F:F="本部") + --(Results【技術役員スポンサーメディア積算】!G:G="本部"))=0, 0, (SUMIFS(Results【技術役員スポンサーメディア積算】!AA:AA, Results【技術役員スポンサーメディア積算】!F:F, "本部") + SUMIFS(Results【技術役員スポンサーメディア積算】!AA:AA, Results【技術役員スポンサーメディア積算】!G:G, "本部")) / SUMPRODUCT(--(Results【技術役員スポンサーメディア積算】!F:F="本部") + --(Results【技術役員スポンサーメディア積算】!G:G="本部")))</f>
        <v>0</v>
      </c>
      <c r="D16" s="2774">
        <v>116</v>
      </c>
      <c r="E16" s="2736">
        <v>19</v>
      </c>
      <c r="F16" s="2737">
        <f t="shared" si="2"/>
        <v>0</v>
      </c>
      <c r="G16" s="2732">
        <f>'物価（案3）'!$I$10</f>
        <v>1.34</v>
      </c>
      <c r="H16" s="2737">
        <f t="shared" si="3"/>
        <v>0</v>
      </c>
      <c r="I16" s="6435"/>
      <c r="K16" s="2734" t="e">
        <f>Results【技術役員スポンサーメディア積算】!#REF!</f>
        <v>#REF!</v>
      </c>
      <c r="L16" s="2737" t="e">
        <f t="shared" si="1"/>
        <v>#REF!</v>
      </c>
      <c r="N16" s="2728"/>
    </row>
    <row r="17" spans="1:14">
      <c r="A17" s="6433"/>
      <c r="B17" s="2768" t="s">
        <v>239</v>
      </c>
      <c r="C17" s="2734" cm="1">
        <f t="array" ref="C17">IF(SUMPRODUCT(--(Results【技術役員スポンサーメディア積算】!F:F="メディア") + --(Results【技術役員スポンサーメディア積算】!G:G="メディア"))=0, 0, (SUMIFS(Results【技術役員スポンサーメディア積算】!AA:AA, Results【技術役員スポンサーメディア積算】!F:F, "メディア") + SUMIFS(Results【技術役員スポンサーメディア積算】!AA:AA, Results【技術役員スポンサーメディア積算】!G:G, "メディア")) / SUMPRODUCT(--(Results【技術役員スポンサーメディア積算】!F:F="メディア") + --(Results【技術役員スポンサーメディア積算】!G:G="メディア")))</f>
        <v>0</v>
      </c>
      <c r="D17" s="2774">
        <v>1600</v>
      </c>
      <c r="E17" s="2733">
        <v>18</v>
      </c>
      <c r="F17" s="2737">
        <f t="shared" si="2"/>
        <v>0</v>
      </c>
      <c r="G17" s="2732">
        <f>'物価（案3）'!$I$10</f>
        <v>1.34</v>
      </c>
      <c r="H17" s="2737">
        <f t="shared" si="3"/>
        <v>0</v>
      </c>
      <c r="I17" s="6435"/>
      <c r="K17" s="2734" t="e">
        <f>Results【技術役員スポンサーメディア積算】!#REF!</f>
        <v>#REF!</v>
      </c>
      <c r="L17" s="2737" t="e">
        <f t="shared" si="1"/>
        <v>#REF!</v>
      </c>
      <c r="N17" s="2728"/>
    </row>
    <row r="18" spans="1:14">
      <c r="A18" s="6433"/>
      <c r="B18" s="2768" t="s">
        <v>240</v>
      </c>
      <c r="C18" s="2734" cm="1">
        <f t="array" ref="C18">IF(SUMPRODUCT(--(Results【技術役員スポンサーメディア積算】!F:F="技術役員") + --(Results【技術役員スポンサーメディア積算】!G:G="技術役員"))=0, 0, (SUMIFS(Results【技術役員スポンサーメディア積算】!AA:AA, Results【技術役員スポンサーメディア積算】!F:F, "技術役員") + SUMIFS(Results【技術役員スポンサーメディア積算】!AA:AA, Results【技術役員スポンサーメディア積算】!G:G, "技術役員")) / SUMPRODUCT(--(Results【技術役員スポンサーメディア積算】!F:F="技術役員") + --(Results【技術役員スポンサーメディア積算】!G:G="技術役員")))</f>
        <v>22916.586961035489</v>
      </c>
      <c r="D18" s="2774">
        <v>812</v>
      </c>
      <c r="E18" s="2733">
        <v>18</v>
      </c>
      <c r="F18" s="2737">
        <f t="shared" si="2"/>
        <v>334948835.02249473</v>
      </c>
      <c r="G18" s="2732">
        <f>'物価（案3）'!$I$10</f>
        <v>1.34</v>
      </c>
      <c r="H18" s="2737">
        <f t="shared" si="3"/>
        <v>448831439</v>
      </c>
      <c r="I18" s="6435"/>
      <c r="K18" s="2734" t="e">
        <f>Results【技術役員スポンサーメディア積算】!#REF!</f>
        <v>#REF!</v>
      </c>
      <c r="L18" s="2737" t="e">
        <f t="shared" si="1"/>
        <v>#REF!</v>
      </c>
      <c r="N18" s="2728"/>
    </row>
    <row r="19" spans="1:14" ht="13.5" thickBot="1">
      <c r="A19" s="6434"/>
      <c r="B19" s="2794" t="s">
        <v>241</v>
      </c>
      <c r="C19" s="2795" cm="1">
        <f t="array" ref="C19">IF(SUMPRODUCT(--(Results【技術役員スポンサーメディア積算】!F:F="DCO") + --(Results【技術役員スポンサーメディア積算】!G:G="DCO"))=0, 0, (SUMIFS(Results【技術役員スポンサーメディア積算】!AA:AA, Results【技術役員スポンサーメディア積算】!F:F, "DCO") + SUMIFS(Results【技術役員スポンサーメディア積算】!AA:AA, Results【技術役員スポンサーメディア積算】!G:G, "DCO")) / SUMPRODUCT(--(Results【技術役員スポンサーメディア積算】!F:F="DCO") + --(Results【技術役員スポンサーメディア積算】!G:G="DCO")))</f>
        <v>0</v>
      </c>
      <c r="D19" s="2796">
        <v>122</v>
      </c>
      <c r="E19" s="2797">
        <v>18</v>
      </c>
      <c r="F19" s="2799">
        <f t="shared" si="2"/>
        <v>0</v>
      </c>
      <c r="G19" s="2798">
        <f>'物価（案3）'!$I$10</f>
        <v>1.34</v>
      </c>
      <c r="H19" s="2799">
        <f t="shared" si="3"/>
        <v>0</v>
      </c>
      <c r="I19" s="6436"/>
      <c r="K19" s="2795" t="e">
        <f>Results【技術役員スポンサーメディア積算】!#REF!</f>
        <v>#REF!</v>
      </c>
      <c r="L19" s="2799" t="e">
        <f t="shared" si="1"/>
        <v>#REF!</v>
      </c>
      <c r="N19" s="2728"/>
    </row>
    <row r="20" spans="1:14" ht="13.5" thickTop="1">
      <c r="A20" s="2770" t="s">
        <v>127</v>
      </c>
      <c r="B20" s="2791" t="s">
        <v>246</v>
      </c>
      <c r="C20" s="2792" t="s">
        <v>246</v>
      </c>
      <c r="D20" s="2792" t="s">
        <v>246</v>
      </c>
      <c r="E20" s="2792" t="s">
        <v>246</v>
      </c>
      <c r="F20" s="2792">
        <f>SUBTOTAL(109,F4:F19)</f>
        <v>9678256371.8480701</v>
      </c>
      <c r="G20" s="2807" t="s">
        <v>246</v>
      </c>
      <c r="H20" s="2792">
        <f>SUBTOTAL(109,H4:H19)</f>
        <v>12968863540</v>
      </c>
      <c r="I20" s="2792">
        <f>SUBTOTAL(109,I4:I19)</f>
        <v>12968863540</v>
      </c>
      <c r="K20" s="2792" t="e">
        <f>SUBTOTAL(109,K4:K19)</f>
        <v>#REF!</v>
      </c>
      <c r="L20" s="2792" t="e">
        <f>SUBTOTAL(109,L4:L19)</f>
        <v>#REF!</v>
      </c>
    </row>
    <row r="22" spans="1:14">
      <c r="A22" s="2749" t="s">
        <v>247</v>
      </c>
      <c r="I22" s="2740"/>
      <c r="J22" s="2740"/>
      <c r="M22" s="2738"/>
    </row>
    <row r="23" spans="1:14" ht="52">
      <c r="A23" s="2767"/>
      <c r="B23" s="2768" t="s">
        <v>222</v>
      </c>
      <c r="C23" s="2741" t="s">
        <v>248</v>
      </c>
      <c r="D23" s="2772" t="s">
        <v>249</v>
      </c>
      <c r="E23" s="2741" t="s">
        <v>250</v>
      </c>
      <c r="F23" s="2748" t="s">
        <v>226</v>
      </c>
      <c r="G23" s="2741" t="s">
        <v>227</v>
      </c>
      <c r="H23" s="2748" t="s">
        <v>228</v>
      </c>
      <c r="I23" s="2731" t="s">
        <v>229</v>
      </c>
      <c r="J23" s="2740"/>
      <c r="K23" s="2748" t="s">
        <v>230</v>
      </c>
      <c r="L23" s="2748" t="s">
        <v>231</v>
      </c>
      <c r="M23" s="2739"/>
      <c r="N23" s="2738"/>
    </row>
    <row r="24" spans="1:14">
      <c r="A24" s="6433" t="s">
        <v>232</v>
      </c>
      <c r="B24" s="2768" t="s">
        <v>251</v>
      </c>
      <c r="C24" s="2783">
        <f>IF(COUNTIFS(Results【技術役員スポンサーメディア積算】!C:C, "選手15000", Results【技術役員スポンサーメディア積算】!V:V, "&gt;0")=0, 0, SUMIFS(Results【技術役員スポンサーメディア積算】!V:V, Results【技術役員スポンサーメディア積算】!C:C, "選手15000", Results【技術役員スポンサーメディア積算】!V:V, "&gt;0") / COUNTIFS(Results【技術役員スポンサーメディア積算】!C:C, "選手15000", Results【技術役員スポンサーメディア積算】!V:V, "&gt;0"))</f>
        <v>0</v>
      </c>
      <c r="D24" s="2774">
        <f>IF(COUNTIF(Results【技術役員スポンサーメディア積算】!C:C, "選手15000")=0, 0, SUMIF(Results【技術役員スポンサーメディア積算】!C:C, "選手15000", Results【技術役員スポンサーメディア積算】!I:I))</f>
        <v>0</v>
      </c>
      <c r="E24" s="2733">
        <f>$E4+1</f>
        <v>33</v>
      </c>
      <c r="F24" s="2737">
        <f>E24*C24*D24</f>
        <v>0</v>
      </c>
      <c r="G24" s="2732">
        <f>'物価（案3）'!$I$10</f>
        <v>1.34</v>
      </c>
      <c r="H24" s="2737">
        <f t="shared" ref="H24:H30" si="4">ROUNDUP($C24*$D24*$E24*$G24,0)</f>
        <v>0</v>
      </c>
      <c r="I24" s="2737">
        <f>H24</f>
        <v>0</v>
      </c>
      <c r="J24" s="2740"/>
      <c r="K24" s="2737">
        <f>Results【技術役員スポンサーメディア積算】!BI283</f>
        <v>691185467</v>
      </c>
      <c r="L24" s="2737">
        <f t="shared" ref="L24:L30" si="5">$K24*$G24</f>
        <v>926188525.78000009</v>
      </c>
      <c r="M24" s="2739"/>
      <c r="N24" s="2738"/>
    </row>
    <row r="25" spans="1:14">
      <c r="A25" s="6433"/>
      <c r="B25" s="2768" t="s">
        <v>236</v>
      </c>
      <c r="C25" s="2783">
        <f>IF(COUNTIFS(Results【技術役員スポンサーメディア積算】!D:D, "ファミリー", Results【技術役員スポンサーメディア積算】!V:V, "&gt;0")=0, 0, SUMIFS(Results【技術役員スポンサーメディア積算】!V:V, Results【技術役員スポンサーメディア積算】!D:D, "ファミリー", Results【技術役員スポンサーメディア積算】!V:V, "&gt;0") / COUNTIFS(Results【技術役員スポンサーメディア積算】!D:D, "ファミリー", Results【技術役員スポンサーメディア積算】!V:V, "&gt;0"))</f>
        <v>0</v>
      </c>
      <c r="D25" s="2774">
        <f>IF(COUNTIF(Results【技術役員スポンサーメディア積算】!D:D, "ファミリー")=0, 0, SUMIF(Results【技術役員スポンサーメディア積算】!D:D, "ファミリー", Results【技術役員スポンサーメディア積算】!I:I))</f>
        <v>0</v>
      </c>
      <c r="E25" s="2733">
        <f>$E6+1</f>
        <v>33</v>
      </c>
      <c r="F25" s="2737">
        <f>E25*C25*D25</f>
        <v>0</v>
      </c>
      <c r="G25" s="2732">
        <f>'物価（案3）'!$I$10</f>
        <v>1.34</v>
      </c>
      <c r="H25" s="2737">
        <f t="shared" si="4"/>
        <v>0</v>
      </c>
      <c r="I25" s="6435">
        <f>SUM(H25:H27)</f>
        <v>0</v>
      </c>
      <c r="J25" s="2740"/>
      <c r="K25" s="2737">
        <f>Results【技術役員スポンサーメディア積算】!BJ283</f>
        <v>1898926146</v>
      </c>
      <c r="L25" s="2737">
        <f t="shared" si="5"/>
        <v>2544561035.6400003</v>
      </c>
      <c r="M25" s="2739"/>
      <c r="N25" s="2738"/>
    </row>
    <row r="26" spans="1:14" ht="12.75" hidden="1" customHeight="1">
      <c r="A26" s="6433"/>
      <c r="B26" s="2768" t="s">
        <v>237</v>
      </c>
      <c r="C26" s="2784"/>
      <c r="D26" s="2782"/>
      <c r="E26" s="2775"/>
      <c r="F26" s="2801"/>
      <c r="G26" s="2732">
        <f>'物価（案3）'!$I$10</f>
        <v>1.34</v>
      </c>
      <c r="H26" s="2801">
        <f t="shared" si="4"/>
        <v>0</v>
      </c>
      <c r="I26" s="6435"/>
      <c r="J26" s="2740"/>
      <c r="K26" s="2801"/>
      <c r="L26" s="2737">
        <f t="shared" si="5"/>
        <v>0</v>
      </c>
      <c r="M26" s="2739"/>
      <c r="N26" s="2738"/>
    </row>
    <row r="27" spans="1:14" ht="12.75" customHeight="1">
      <c r="A27" s="6433"/>
      <c r="B27" s="2768" t="s">
        <v>238</v>
      </c>
      <c r="C27" s="2783" cm="1">
        <f t="array" ref="C27">IF(SUMPRODUCT(--(Results【技術役員スポンサーメディア積算】!C:C="本部") + --(Results【技術役員スポンサーメディア積算】!D:D="本部"))=0, 0, (SUMIFS(Results【技術役員スポンサーメディア積算】!V:V, Results【技術役員スポンサーメディア積算】!C:C, "本部") + SUMIFS(Results【技術役員スポンサーメディア積算】!V:V, Results【技術役員スポンサーメディア積算】!D:D, "本部")) / SUMPRODUCT(--(Results【技術役員スポンサーメディア積算】!C:C="本部") + --(Results【技術役員スポンサーメディア積算】!D:D="本部")))</f>
        <v>0</v>
      </c>
      <c r="D27" s="2774">
        <f>IF(AND(COUNTIF(Results【技術役員スポンサーメディア積算】!C:C, "本部")=0, COUNTIF(Results【技術役員スポンサーメディア積算】!D:D, "本部")=0), 0, IFERROR(SUMIF(Results【技術役員スポンサーメディア積算】!C:C, "本部", Results【技術役員スポンサーメディア積算】!I:I), 0) + IFERROR(SUMIF(Results【技術役員スポンサーメディア積算】!D:D, "本部", Results【技術役員スポンサーメディア積算】!I:I), 0))</f>
        <v>0</v>
      </c>
      <c r="E27" s="2736">
        <f>$E8+1</f>
        <v>37</v>
      </c>
      <c r="F27" s="2737">
        <f>E27*C27*D27</f>
        <v>0</v>
      </c>
      <c r="G27" s="2732">
        <f>'物価（案3）'!$I$10</f>
        <v>1.34</v>
      </c>
      <c r="H27" s="2737">
        <f t="shared" si="4"/>
        <v>0</v>
      </c>
      <c r="I27" s="6435"/>
      <c r="J27" s="2740"/>
      <c r="K27" s="2737">
        <f>Results【技術役員スポンサーメディア積算】!BK283</f>
        <v>87385650</v>
      </c>
      <c r="L27" s="2737">
        <f t="shared" si="5"/>
        <v>117096771</v>
      </c>
      <c r="M27" s="2739"/>
      <c r="N27" s="2738"/>
    </row>
    <row r="28" spans="1:14">
      <c r="A28" s="6433" t="s">
        <v>242</v>
      </c>
      <c r="B28" s="2768" t="s">
        <v>251</v>
      </c>
      <c r="C28" s="2783">
        <f>IF(COUNTIFS(Results【技術役員スポンサーメディア積算】!F:F, "選手", Results【技術役員スポンサーメディア積算】!V:V, "&gt;0")=0, 0, SUMIFS(Results【技術役員スポンサーメディア積算】!V:V, Results【技術役員スポンサーメディア積算】!F:F, "選手", Results【技術役員スポンサーメディア積算】!V:V, "&gt;0") / COUNTIFS(Results【技術役員スポンサーメディア積算】!F:F, "選手", Results【技術役員スポンサーメディア積算】!V:V, "&gt;0"))</f>
        <v>0</v>
      </c>
      <c r="D28" s="2747">
        <f>IF(COUNTIF(Results【技術役員スポンサーメディア積算】!F:F, "選手")=0, 0, IFERROR(SUMIF(Results【技術役員スポンサーメディア積算】!F:F, "選手", Results【技術役員スポンサーメディア積算】!I:I), 0))</f>
        <v>0</v>
      </c>
      <c r="E28" s="2733">
        <f>$E12+1</f>
        <v>19</v>
      </c>
      <c r="F28" s="2737">
        <f>E28*C28*D28</f>
        <v>0</v>
      </c>
      <c r="G28" s="2732">
        <f>'物価（案3）'!$I$10</f>
        <v>1.34</v>
      </c>
      <c r="H28" s="2737">
        <f t="shared" si="4"/>
        <v>0</v>
      </c>
      <c r="I28" s="2737">
        <f>H28</f>
        <v>0</v>
      </c>
      <c r="K28" s="2737">
        <f>Results【技術役員スポンサーメディア積算】!BL283</f>
        <v>321313565</v>
      </c>
      <c r="L28" s="2737">
        <f t="shared" si="5"/>
        <v>430560177.10000002</v>
      </c>
      <c r="N28" s="2728"/>
    </row>
    <row r="29" spans="1:14">
      <c r="A29" s="6433"/>
      <c r="B29" s="2768" t="s">
        <v>236</v>
      </c>
      <c r="C29" s="2734" cm="1">
        <f t="array" ref="C29">IF(SUMPRODUCT(--(Results【技術役員スポンサーメディア積算】!F:F="ファミリー") + --(Results【技術役員スポンサーメディア積算】!G:G="ファミリー"))=0, 0, (SUMIFS(Results【技術役員スポンサーメディア積算】!V:V, Results【技術役員スポンサーメディア積算】!F:F, "ファミリー") + SUMIFS(Results【技術役員スポンサーメディア積算】!V:V, Results【技術役員スポンサーメディア積算】!G:G, "ファミリー")) / SUMPRODUCT(--(Results【技術役員スポンサーメディア積算】!F:F="ファミリー") + --(Results【技術役員スポンサーメディア積算】!G:G="ファミリー")))</f>
        <v>0</v>
      </c>
      <c r="D29" s="2747">
        <f>IF(COUNTIF(Results【技術役員スポンサーメディア積算】!F:F, "ファミリー")=0, 0, IFERROR(SUMIF(Results【技術役員スポンサーメディア積算】!F:F, "ファミリー", Results【技術役員スポンサーメディア積算】!I:I), 0))</f>
        <v>0</v>
      </c>
      <c r="E29" s="2733">
        <f>$E14+1</f>
        <v>19</v>
      </c>
      <c r="F29" s="2737">
        <f>E29*C29*D29</f>
        <v>0</v>
      </c>
      <c r="G29" s="2732">
        <f>'物価（案3）'!$I$10</f>
        <v>1.34</v>
      </c>
      <c r="H29" s="2737">
        <f t="shared" si="4"/>
        <v>0</v>
      </c>
      <c r="I29" s="6435">
        <f>SUM(H29:H30)</f>
        <v>0</v>
      </c>
      <c r="K29" s="2737">
        <f>Results【技術役員スポンサーメディア積算】!BN283</f>
        <v>0</v>
      </c>
      <c r="L29" s="2737">
        <f t="shared" si="5"/>
        <v>0</v>
      </c>
      <c r="N29" s="2728"/>
    </row>
    <row r="30" spans="1:14" ht="13" customHeight="1" thickBot="1">
      <c r="A30" s="6434"/>
      <c r="B30" s="2794" t="s">
        <v>245</v>
      </c>
      <c r="C30" s="2795" cm="1">
        <f t="array" ref="C30">IF(SUMPRODUCT(--(Results【技術役員スポンサーメディア積算】!F:F="本部") + --(Results【技術役員スポンサーメディア積算】!G:G="本部"))=0, 0, (SUMIFS(Results【技術役員スポンサーメディア積算】!V:V, Results【技術役員スポンサーメディア積算】!F:F, "本部") + SUMIFS(Results【技術役員スポンサーメディア積算】!V:V, Results【技術役員スポンサーメディア積算】!G:G, "本部")) / SUMPRODUCT(--(Results【技術役員スポンサーメディア積算】!F:F="本部") + --(Results【技術役員スポンサーメディア積算】!G:G="本部")))</f>
        <v>0</v>
      </c>
      <c r="D30" s="2805">
        <f>IF(COUNTIF(Results【技術役員スポンサーメディア積算】!F:F, "本部")=0, 0, IFERROR(SUMIF(Results【技術役員スポンサーメディア積算】!F:F, "本部", Results【技術役員スポンサーメディア積算】!I:I), 0))</f>
        <v>0</v>
      </c>
      <c r="E30" s="2806">
        <f>$E16+1</f>
        <v>20</v>
      </c>
      <c r="F30" s="2799">
        <f>E30*C30*D30</f>
        <v>0</v>
      </c>
      <c r="G30" s="2798">
        <f>'物価（案3）'!$I$10</f>
        <v>1.34</v>
      </c>
      <c r="H30" s="2799">
        <f t="shared" si="4"/>
        <v>0</v>
      </c>
      <c r="I30" s="6436"/>
      <c r="K30" s="2799" t="e">
        <f>Results【技術役員スポンサーメディア積算】!#REF!</f>
        <v>#REF!</v>
      </c>
      <c r="L30" s="2799" t="e">
        <f t="shared" si="5"/>
        <v>#REF!</v>
      </c>
      <c r="N30" s="2728"/>
    </row>
    <row r="31" spans="1:14" ht="13.5" thickTop="1">
      <c r="A31" s="2770" t="s">
        <v>127</v>
      </c>
      <c r="B31" s="2791" t="s">
        <v>246</v>
      </c>
      <c r="C31" s="2800" t="s">
        <v>246</v>
      </c>
      <c r="D31" s="2793" t="s">
        <v>246</v>
      </c>
      <c r="E31" s="2792" t="s">
        <v>246</v>
      </c>
      <c r="F31" s="2792">
        <f>SUBTOTAL(109,F24:F30)</f>
        <v>0</v>
      </c>
      <c r="G31" s="2807" t="s">
        <v>246</v>
      </c>
      <c r="H31" s="2792">
        <f>SUBTOTAL(109,H24:H30)</f>
        <v>0</v>
      </c>
      <c r="I31" s="2792">
        <f>SUBTOTAL(109,I24:I30)</f>
        <v>0</v>
      </c>
      <c r="K31" s="2792" t="e">
        <f>SUBTOTAL(109,K24:K30)</f>
        <v>#REF!</v>
      </c>
      <c r="L31" s="2792" t="e">
        <f>SUBTOTAL(109,L24:L30)</f>
        <v>#REF!</v>
      </c>
    </row>
    <row r="32" spans="1:14">
      <c r="A32" s="2813" t="s">
        <v>252</v>
      </c>
      <c r="E32" s="2813"/>
    </row>
    <row r="34" spans="1:19" s="2728" customFormat="1">
      <c r="A34" s="2766"/>
      <c r="B34" s="2765"/>
      <c r="D34" s="2771"/>
      <c r="G34" s="2823"/>
      <c r="H34" s="2729" t="s">
        <v>253</v>
      </c>
      <c r="N34" s="2765"/>
      <c r="O34" s="2765"/>
      <c r="P34" s="2765"/>
      <c r="Q34" s="2765"/>
      <c r="R34" s="2765"/>
      <c r="S34" s="2765"/>
    </row>
    <row r="35" spans="1:19" s="2728" customFormat="1">
      <c r="A35" s="2766"/>
      <c r="B35" s="2765"/>
      <c r="D35" s="2771"/>
      <c r="G35" s="2823"/>
      <c r="H35" s="2731" t="s">
        <v>254</v>
      </c>
      <c r="I35" s="2733">
        <f>I4+I6+I24+I25</f>
        <v>10511814540</v>
      </c>
      <c r="N35" s="2765"/>
      <c r="O35" s="2765"/>
      <c r="P35" s="2765"/>
      <c r="Q35" s="2765"/>
      <c r="R35" s="2765"/>
      <c r="S35" s="2765"/>
    </row>
    <row r="36" spans="1:19" s="2728" customFormat="1">
      <c r="A36" s="2766"/>
      <c r="B36" s="2765"/>
      <c r="D36" s="2771"/>
      <c r="G36" s="2823"/>
      <c r="H36" s="2731" t="s">
        <v>255</v>
      </c>
      <c r="I36" s="2733">
        <f>I12+I14+I28+I29</f>
        <v>2457049000</v>
      </c>
      <c r="N36" s="2765"/>
      <c r="O36" s="2765"/>
      <c r="P36" s="2765"/>
      <c r="Q36" s="2765"/>
      <c r="R36" s="2765"/>
      <c r="S36" s="2765"/>
    </row>
    <row r="37" spans="1:19" s="2728" customFormat="1">
      <c r="A37" s="2766"/>
      <c r="B37" s="2765"/>
      <c r="D37" s="2771"/>
      <c r="G37" s="2823"/>
      <c r="H37" s="2821" t="s">
        <v>127</v>
      </c>
      <c r="I37" s="2822">
        <f>I35+I36</f>
        <v>12968863540</v>
      </c>
      <c r="N37" s="2765"/>
      <c r="O37" s="2765"/>
      <c r="P37" s="2765"/>
      <c r="Q37" s="2765"/>
      <c r="R37" s="2765"/>
      <c r="S37" s="2765"/>
    </row>
    <row r="38" spans="1:19" s="2728" customFormat="1">
      <c r="A38" s="2766"/>
      <c r="B38" s="2765"/>
      <c r="D38" s="2771"/>
      <c r="G38" s="2823"/>
      <c r="N38" s="2765"/>
      <c r="O38" s="2765"/>
      <c r="P38" s="2765"/>
      <c r="Q38" s="2765"/>
      <c r="R38" s="2765"/>
      <c r="S38" s="2765"/>
    </row>
    <row r="39" spans="1:19" customFormat="1" ht="21.65" customHeight="1">
      <c r="A39" s="2968" t="s">
        <v>256</v>
      </c>
      <c r="B39" s="191"/>
      <c r="C39" s="191"/>
      <c r="D39" s="191"/>
    </row>
    <row r="40" spans="1:19" s="2728" customFormat="1">
      <c r="A40" s="2766"/>
      <c r="B40" s="2765"/>
      <c r="D40" s="2771"/>
      <c r="G40" s="2823"/>
      <c r="N40" s="2765"/>
      <c r="O40" s="2765"/>
      <c r="P40" s="2765"/>
      <c r="Q40" s="2765"/>
      <c r="R40" s="2765"/>
      <c r="S40" s="2765"/>
    </row>
    <row r="41" spans="1:19">
      <c r="A41" s="2749" t="s">
        <v>219</v>
      </c>
      <c r="G41" s="2750" t="s">
        <v>220</v>
      </c>
      <c r="I41" s="2740"/>
      <c r="J41" s="2740"/>
      <c r="K41" s="2728" t="s">
        <v>221</v>
      </c>
      <c r="M41" s="2738"/>
    </row>
    <row r="42" spans="1:19" ht="52">
      <c r="A42" s="2767"/>
      <c r="B42" s="2768" t="s">
        <v>222</v>
      </c>
      <c r="C42" s="2741" t="s">
        <v>223</v>
      </c>
      <c r="D42" s="2772" t="s">
        <v>224</v>
      </c>
      <c r="E42" s="2741" t="s">
        <v>225</v>
      </c>
      <c r="F42" s="2748" t="s">
        <v>226</v>
      </c>
      <c r="G42" s="2741" t="s">
        <v>227</v>
      </c>
      <c r="H42" s="2748" t="s">
        <v>228</v>
      </c>
      <c r="I42" s="2731" t="s">
        <v>229</v>
      </c>
      <c r="J42" s="2740"/>
      <c r="K42" s="2748" t="s">
        <v>230</v>
      </c>
      <c r="L42" s="2748" t="s">
        <v>231</v>
      </c>
      <c r="M42" s="2739"/>
      <c r="N42" s="2738"/>
    </row>
    <row r="43" spans="1:19">
      <c r="A43" s="6437" t="s">
        <v>232</v>
      </c>
      <c r="B43" s="2768" t="s">
        <v>233</v>
      </c>
      <c r="C43" s="2734">
        <f>'[48]債務負担行為積算  (数式)'!C4</f>
        <v>33756.68006176599</v>
      </c>
      <c r="D43" s="2774">
        <f>'[48]債務負担行為積算  (数式)'!D4</f>
        <v>11937</v>
      </c>
      <c r="E43" s="2733">
        <f>'[48]債務負担行為積算  (数式)'!E4</f>
        <v>32</v>
      </c>
      <c r="F43" s="2737">
        <f>'[48]債務負担行為積算  (数式)'!F4</f>
        <v>12894511676.713619</v>
      </c>
      <c r="G43" s="2732">
        <f>'[48]債務負担行為積算  (数式)'!G4</f>
        <v>1.22</v>
      </c>
      <c r="H43" s="2811">
        <f>'[48]債務負担行為積算  (数式)'!H4</f>
        <v>15731304246</v>
      </c>
      <c r="I43" s="2737">
        <f>'[48]債務負担行為積算  (数式)'!I4</f>
        <v>15731304246</v>
      </c>
      <c r="J43" s="2740">
        <f>'[48]債務負担行為積算  (数式)'!J4</f>
        <v>0</v>
      </c>
      <c r="K43" s="2734">
        <f>'[48]債務負担行為積算  (数式)'!K4</f>
        <v>8762124192</v>
      </c>
      <c r="L43" s="2737">
        <f>'[48]債務負担行為積算  (数式)'!L4</f>
        <v>10689791514.24</v>
      </c>
      <c r="M43" s="2739"/>
      <c r="N43" s="2738"/>
    </row>
    <row r="44" spans="1:19" hidden="1">
      <c r="A44" s="6437"/>
      <c r="B44" s="2776" t="s">
        <v>234</v>
      </c>
      <c r="C44" s="2777">
        <f>'[48]債務負担行為積算  (数式)'!C5</f>
        <v>35104.891152886055</v>
      </c>
      <c r="D44" s="2778">
        <f>'[48]債務負担行為積算  (数式)'!D5</f>
        <v>9962</v>
      </c>
      <c r="E44" s="2779">
        <f>'[48]債務負担行為積算  (数式)'!E5</f>
        <v>32</v>
      </c>
      <c r="F44" s="2781">
        <f>'[48]債務負担行為積算  (数式)'!F5</f>
        <v>11190877621.281628</v>
      </c>
      <c r="G44" s="2780">
        <f>'[48]債務負担行為積算  (数式)'!G5</f>
        <v>1.22</v>
      </c>
      <c r="H44" s="2781">
        <f>'[48]債務負担行為積算  (数式)'!H5</f>
        <v>13652870698</v>
      </c>
      <c r="I44" s="2781">
        <f>'[48]債務負担行為積算  (数式)'!I5</f>
        <v>13652870698</v>
      </c>
      <c r="J44" s="2740" t="str">
        <f>'[48]債務負担行為積算  (数式)'!J5</f>
        <v>不要？</v>
      </c>
      <c r="K44" s="2777">
        <f>'[48]債務負担行為積算  (数式)'!K5</f>
        <v>7859948168</v>
      </c>
      <c r="L44" s="2781">
        <f>'[48]債務負担行為積算  (数式)'!L5</f>
        <v>9589136764.9599991</v>
      </c>
      <c r="M44" s="2739"/>
      <c r="N44" s="2738"/>
    </row>
    <row r="45" spans="1:19">
      <c r="A45" s="6437"/>
      <c r="B45" s="2768" t="s">
        <v>236</v>
      </c>
      <c r="C45" s="2747">
        <f>'[48]債務負担行為積算  (数式)'!C6</f>
        <v>104002.92796907018</v>
      </c>
      <c r="D45" s="2774">
        <f>'[48]債務負担行為積算  (数式)'!D6</f>
        <v>1645</v>
      </c>
      <c r="E45" s="2733">
        <f>'[48]債務負担行為積算  (数式)'!E6</f>
        <v>32</v>
      </c>
      <c r="F45" s="2737">
        <f>'[48]債務負担行為積算  (数式)'!F6</f>
        <v>5474714128.2918539</v>
      </c>
      <c r="G45" s="2732">
        <f>'[48]債務負担行為積算  (数式)'!G6</f>
        <v>1.22</v>
      </c>
      <c r="H45" s="2737">
        <f>'[48]債務負担行為積算  (数式)'!H6</f>
        <v>6679151237</v>
      </c>
      <c r="I45" s="6438">
        <f>'[48]債務負担行為積算  (数式)'!I6</f>
        <v>20710310555</v>
      </c>
      <c r="J45" s="2740">
        <f>'[48]債務負担行為積算  (数式)'!J6</f>
        <v>0</v>
      </c>
      <c r="K45" s="2734">
        <f>'[48]債務負担行為積算  (数式)'!K6</f>
        <v>3701286602.1386881</v>
      </c>
      <c r="L45" s="2737">
        <f>'[48]債務負担行為積算  (数式)'!L6</f>
        <v>4515569654.6091995</v>
      </c>
      <c r="M45" s="2739"/>
      <c r="N45" s="2738"/>
    </row>
    <row r="46" spans="1:19">
      <c r="A46" s="6437"/>
      <c r="B46" s="2768" t="s">
        <v>237</v>
      </c>
      <c r="C46" s="2747">
        <f>'[48]債務負担行為積算  (数式)'!C7</f>
        <v>48153.528237378385</v>
      </c>
      <c r="D46" s="2774">
        <f>'[48]債務負担行為積算  (数式)'!D7</f>
        <v>2560</v>
      </c>
      <c r="E46" s="2733">
        <f>'[48]債務負担行為積算  (数式)'!E7</f>
        <v>32</v>
      </c>
      <c r="F46" s="2737">
        <f>'[48]債務負担行為積算  (数式)'!F7</f>
        <v>3944737033.2060375</v>
      </c>
      <c r="G46" s="2732">
        <f>'[48]債務負担行為積算  (数式)'!G7</f>
        <v>1.22</v>
      </c>
      <c r="H46" s="2737">
        <f>'[48]債務負担行為積算  (数式)'!H7</f>
        <v>4812579181</v>
      </c>
      <c r="I46" s="6439"/>
      <c r="J46" s="2740">
        <f>'[48]債務負担行為積算  (数式)'!J7</f>
        <v>0</v>
      </c>
      <c r="K46" s="2734">
        <f>'[48]債務負担行為積算  (数式)'!K7</f>
        <v>2385760498.811594</v>
      </c>
      <c r="L46" s="2737">
        <f>'[48]債務負担行為積算  (数式)'!L7</f>
        <v>2910627808.5501447</v>
      </c>
      <c r="M46" s="2739"/>
      <c r="N46" s="2738"/>
    </row>
    <row r="47" spans="1:19">
      <c r="A47" s="6437"/>
      <c r="B47" s="2768" t="s">
        <v>238</v>
      </c>
      <c r="C47" s="2747">
        <f>'[48]債務負担行為積算  (数式)'!C8</f>
        <v>67393.896602434077</v>
      </c>
      <c r="D47" s="2774">
        <f>'[48]債務負担行為積算  (数式)'!D8</f>
        <v>286</v>
      </c>
      <c r="E47" s="2736">
        <f>'[48]債務負担行為積算  (数式)'!E8</f>
        <v>36</v>
      </c>
      <c r="F47" s="2737">
        <f>'[48]債務負担行為積算  (数式)'!F8</f>
        <v>693887559.41866124</v>
      </c>
      <c r="G47" s="2732">
        <f>'[48]債務負担行為積算  (数式)'!G8</f>
        <v>1.22</v>
      </c>
      <c r="H47" s="2737">
        <f>'[48]債務負担行為積算  (数式)'!H8</f>
        <v>846542823</v>
      </c>
      <c r="I47" s="6439"/>
      <c r="J47" s="2740">
        <f>'[48]債務負担行為積算  (数式)'!J8</f>
        <v>0</v>
      </c>
      <c r="K47" s="2734">
        <f>'[48]債務負担行為積算  (数式)'!K8</f>
        <v>719947332</v>
      </c>
      <c r="L47" s="2737">
        <f>'[48]債務負担行為積算  (数式)'!L8</f>
        <v>878335745.03999996</v>
      </c>
      <c r="M47" s="2739"/>
      <c r="N47" s="2738"/>
    </row>
    <row r="48" spans="1:19">
      <c r="A48" s="6437"/>
      <c r="B48" s="2768" t="s">
        <v>239</v>
      </c>
      <c r="C48" s="2747">
        <f>'[48]債務負担行為積算  (数式)'!C9</f>
        <v>25177.548217762269</v>
      </c>
      <c r="D48" s="2774">
        <f>'[48]債務負担行為積算  (数式)'!D9</f>
        <v>3000</v>
      </c>
      <c r="E48" s="2733">
        <f>'[48]債務負担行為積算  (数式)'!E9</f>
        <v>32</v>
      </c>
      <c r="F48" s="2737">
        <f>'[48]債務負担行為積算  (数式)'!F9</f>
        <v>2417044628.9051776</v>
      </c>
      <c r="G48" s="2732">
        <f>'[48]債務負担行為積算  (数式)'!G9</f>
        <v>1.22</v>
      </c>
      <c r="H48" s="2737">
        <f>'[48]債務負担行為積算  (数式)'!H9</f>
        <v>2948794448</v>
      </c>
      <c r="I48" s="6439"/>
      <c r="J48" s="2740">
        <f>'[48]債務負担行為積算  (数式)'!J9</f>
        <v>0</v>
      </c>
      <c r="K48" s="2734">
        <f>'[48]債務負担行為積算  (数式)'!K9</f>
        <v>2055749958.4638913</v>
      </c>
      <c r="L48" s="2737">
        <f>'[48]債務負担行為積算  (数式)'!L9</f>
        <v>2508014949.3259473</v>
      </c>
      <c r="M48" s="2739"/>
      <c r="N48" s="2738"/>
    </row>
    <row r="49" spans="1:14">
      <c r="A49" s="6437"/>
      <c r="B49" s="2768" t="s">
        <v>240</v>
      </c>
      <c r="C49" s="2747">
        <f>'[48]債務負担行為積算  (数式)'!C10</f>
        <v>34913.680110890979</v>
      </c>
      <c r="D49" s="2774">
        <f>'[48]債務負担行為積算  (数式)'!D10</f>
        <v>3354</v>
      </c>
      <c r="E49" s="2733">
        <f>'[48]債務負担行為積算  (数式)'!E10</f>
        <v>32</v>
      </c>
      <c r="F49" s="2737">
        <f>'[48]債務負担行為積算  (数式)'!F10</f>
        <v>3747215458.9417071</v>
      </c>
      <c r="G49" s="2732">
        <f>'[48]債務負担行為積算  (数式)'!G10</f>
        <v>1.22</v>
      </c>
      <c r="H49" s="2737">
        <f>'[48]債務負担行為積算  (数式)'!H10</f>
        <v>4571602860</v>
      </c>
      <c r="I49" s="6439"/>
      <c r="J49" s="2728">
        <f>'[48]債務負担行為積算  (数式)'!J10</f>
        <v>0</v>
      </c>
      <c r="K49" s="2734">
        <f>'[48]債務負担行為積算  (数式)'!K10</f>
        <v>1124950544.6765776</v>
      </c>
      <c r="L49" s="2737">
        <f>'[48]債務負担行為積算  (数式)'!L10</f>
        <v>1372439664.5054245</v>
      </c>
      <c r="N49" s="2728"/>
    </row>
    <row r="50" spans="1:14">
      <c r="A50" s="6437"/>
      <c r="B50" s="2785" t="s">
        <v>241</v>
      </c>
      <c r="C50" s="2786">
        <f>'[48]債務負担行為積算  (数式)'!C11</f>
        <v>43282.835946779458</v>
      </c>
      <c r="D50" s="2787">
        <f>'[48]債務負担行為積算  (数式)'!D11</f>
        <v>504</v>
      </c>
      <c r="E50" s="2788">
        <f>'[48]債務負担行為積算  (数式)'!E11</f>
        <v>32</v>
      </c>
      <c r="F50" s="2769">
        <f>'[48]債務負担行為積算  (数式)'!F11</f>
        <v>698065578.14965916</v>
      </c>
      <c r="G50" s="2789">
        <f>'[48]債務負担行為積算  (数式)'!G11</f>
        <v>1.22</v>
      </c>
      <c r="H50" s="2769">
        <f>'[48]債務負担行為積算  (数式)'!H11</f>
        <v>851640006</v>
      </c>
      <c r="I50" s="6439"/>
      <c r="J50" s="2728">
        <f>'[48]債務負担行為積算  (数式)'!J11</f>
        <v>0</v>
      </c>
      <c r="K50" s="2790">
        <f>'[48]債務負担行為積算  (数式)'!K11</f>
        <v>457682948.48613292</v>
      </c>
      <c r="L50" s="2737">
        <f>'[48]債務負担行為積算  (数式)'!L11</f>
        <v>558373197.15308213</v>
      </c>
      <c r="N50" s="2728"/>
    </row>
    <row r="51" spans="1:14">
      <c r="A51" s="6433" t="s">
        <v>242</v>
      </c>
      <c r="B51" s="2768" t="s">
        <v>243</v>
      </c>
      <c r="C51" s="2747">
        <f>'[48]債務負担行為積算  (数式)'!C12</f>
        <v>48113.182737500872</v>
      </c>
      <c r="D51" s="2774">
        <f>'[48]債務負担行為積算  (数式)'!D12</f>
        <v>4988</v>
      </c>
      <c r="E51" s="2733">
        <f>'[48]債務負担行為積算  (数式)'!E12</f>
        <v>18</v>
      </c>
      <c r="F51" s="2737">
        <f>'[48]債務負担行為積算  (数式)'!F12</f>
        <v>4319793998.9037781</v>
      </c>
      <c r="G51" s="2732">
        <f>'[48]債務負担行為積算  (数式)'!G12</f>
        <v>1.22</v>
      </c>
      <c r="H51" s="2737">
        <f>'[48]債務負担行為積算  (数式)'!H12</f>
        <v>5270148679</v>
      </c>
      <c r="I51" s="2737">
        <f>'[48]債務負担行為積算  (数式)'!I12</f>
        <v>5270148679</v>
      </c>
      <c r="J51" s="2728">
        <f>'[48]債務負担行為積算  (数式)'!J12</f>
        <v>0</v>
      </c>
      <c r="K51" s="2734">
        <f>'[48]債務負担行為積算  (数式)'!K12</f>
        <v>3773583233.408268</v>
      </c>
      <c r="L51" s="2737">
        <f>'[48]債務負担行為積算  (数式)'!L12</f>
        <v>4603771544.7580872</v>
      </c>
      <c r="N51" s="2728"/>
    </row>
    <row r="52" spans="1:14" hidden="1">
      <c r="A52" s="6433"/>
      <c r="B52" s="2776" t="s">
        <v>244</v>
      </c>
      <c r="C52" s="2777">
        <f>'[48]債務負担行為積算  (数式)'!C13</f>
        <v>48113.182737500872</v>
      </c>
      <c r="D52" s="2778">
        <f>'[48]債務負担行為積算  (数式)'!D13</f>
        <v>4988</v>
      </c>
      <c r="E52" s="2779">
        <f>'[48]債務負担行為積算  (数式)'!E13</f>
        <v>18</v>
      </c>
      <c r="F52" s="2781">
        <f>'[48]債務負担行為積算  (数式)'!F13</f>
        <v>4319793998.9037781</v>
      </c>
      <c r="G52" s="2780">
        <f>'[48]債務負担行為積算  (数式)'!G13</f>
        <v>1.22</v>
      </c>
      <c r="H52" s="2781">
        <f>'[48]債務負担行為積算  (数式)'!H13</f>
        <v>5270148679</v>
      </c>
      <c r="I52" s="2781">
        <f>'[48]債務負担行為積算  (数式)'!I13</f>
        <v>5270148679</v>
      </c>
      <c r="J52" s="2740" t="str">
        <f>'[48]債務負担行為積算  (数式)'!J13</f>
        <v>不要？</v>
      </c>
      <c r="K52" s="2777">
        <f>'[48]債務負担行為積算  (数式)'!K13</f>
        <v>3773583233.408268</v>
      </c>
      <c r="L52" s="2781">
        <f>'[48]債務負担行為積算  (数式)'!L13</f>
        <v>4603771544.7580872</v>
      </c>
      <c r="N52" s="2728"/>
    </row>
    <row r="53" spans="1:14">
      <c r="A53" s="6433"/>
      <c r="B53" s="2768" t="s">
        <v>236</v>
      </c>
      <c r="C53" s="2747">
        <f>'[48]債務負担行為積算  (数式)'!C14</f>
        <v>163100.01822323463</v>
      </c>
      <c r="D53" s="2774">
        <f>'[48]債務負担行為積算  (数式)'!D14</f>
        <v>370</v>
      </c>
      <c r="E53" s="2733">
        <f>'[48]債務負担行為積算  (数式)'!E14</f>
        <v>18</v>
      </c>
      <c r="F53" s="2737">
        <f>'[48]債務負担行為積算  (数式)'!F14</f>
        <v>1086246121.3667426</v>
      </c>
      <c r="G53" s="2732">
        <f>'[48]債務負担行為積算  (数式)'!G14</f>
        <v>1.22</v>
      </c>
      <c r="H53" s="2737">
        <f>'[48]債務負担行為積算  (数式)'!H14</f>
        <v>1325220269</v>
      </c>
      <c r="I53" s="6435">
        <f>'[48]債務負担行為積算  (数式)'!I14</f>
        <v>4852210296</v>
      </c>
      <c r="J53" s="2728">
        <f>'[48]債務負担行為積算  (数式)'!J14</f>
        <v>0</v>
      </c>
      <c r="K53" s="2734">
        <f>'[48]債務負担行為積算  (数式)'!K14</f>
        <v>784511087.65375853</v>
      </c>
      <c r="L53" s="2737">
        <f>'[48]債務負担行為積算  (数式)'!L14</f>
        <v>957103526.93758535</v>
      </c>
      <c r="N53" s="2728"/>
    </row>
    <row r="54" spans="1:14">
      <c r="A54" s="6433"/>
      <c r="B54" s="2768" t="s">
        <v>237</v>
      </c>
      <c r="C54" s="2747">
        <f>'[48]債務負担行為積算  (数式)'!C15</f>
        <v>62210.379825525553</v>
      </c>
      <c r="D54" s="2774">
        <f>'[48]債務負担行為積算  (数式)'!D15</f>
        <v>1560</v>
      </c>
      <c r="E54" s="2733">
        <f>'[48]債務負担行為積算  (数式)'!E15</f>
        <v>18</v>
      </c>
      <c r="F54" s="2737">
        <f>'[48]債務負担行為積算  (数式)'!F15</f>
        <v>1746867465.5007577</v>
      </c>
      <c r="G54" s="2732">
        <f>'[48]債務負担行為積算  (数式)'!G15</f>
        <v>1.22</v>
      </c>
      <c r="H54" s="2737">
        <f>'[48]債務負担行為積算  (数式)'!H15</f>
        <v>2131178308</v>
      </c>
      <c r="I54" s="6435"/>
      <c r="J54" s="2728">
        <f>'[48]債務負担行為積算  (数式)'!J15</f>
        <v>0</v>
      </c>
      <c r="K54" s="2734">
        <f>'[48]債務負担行為積算  (数式)'!K15</f>
        <v>851237005.14489949</v>
      </c>
      <c r="L54" s="2737">
        <f>'[48]債務負担行為積算  (数式)'!L15</f>
        <v>1038509146.2767774</v>
      </c>
      <c r="N54" s="2728"/>
    </row>
    <row r="55" spans="1:14">
      <c r="A55" s="6433"/>
      <c r="B55" s="2768" t="s">
        <v>245</v>
      </c>
      <c r="C55" s="2747">
        <f>'[48]債務負担行為積算  (数式)'!C16</f>
        <v>53988.663793103449</v>
      </c>
      <c r="D55" s="2774">
        <f>'[48]債務負担行為積算  (数式)'!D16</f>
        <v>116</v>
      </c>
      <c r="E55" s="2736">
        <f>'[48]債務負担行為積算  (数式)'!E16</f>
        <v>19</v>
      </c>
      <c r="F55" s="2737">
        <f>'[48]債務負担行為積算  (数式)'!F16</f>
        <v>118991015</v>
      </c>
      <c r="G55" s="2732">
        <f>'[48]債務負担行為積算  (数式)'!G16</f>
        <v>1.22</v>
      </c>
      <c r="H55" s="2737">
        <f>'[48]債務負担行為積算  (数式)'!H16</f>
        <v>145169039</v>
      </c>
      <c r="I55" s="6435"/>
      <c r="J55" s="2728">
        <f>'[48]債務負担行為積算  (数式)'!J16</f>
        <v>0</v>
      </c>
      <c r="K55" s="2734">
        <f>'[48]債務負担行為積算  (数式)'!K16</f>
        <v>106465645</v>
      </c>
      <c r="L55" s="2737">
        <f>'[48]債務負担行為積算  (数式)'!L16</f>
        <v>129888086.89999999</v>
      </c>
      <c r="N55" s="2728"/>
    </row>
    <row r="56" spans="1:14">
      <c r="A56" s="6433"/>
      <c r="B56" s="2768" t="s">
        <v>239</v>
      </c>
      <c r="C56" s="2734">
        <f>'[48]債務負担行為積算  (数式)'!C17</f>
        <v>20629.837335522443</v>
      </c>
      <c r="D56" s="2774">
        <f>'[48]債務負担行為積算  (数式)'!D17</f>
        <v>1600</v>
      </c>
      <c r="E56" s="2733">
        <f>'[48]債務負担行為積算  (数式)'!E17</f>
        <v>18</v>
      </c>
      <c r="F56" s="2737">
        <f>'[48]債務負担行為積算  (数式)'!F17</f>
        <v>594139315.26304626</v>
      </c>
      <c r="G56" s="2732">
        <f>'[48]債務負担行為積算  (数式)'!G17</f>
        <v>1.22</v>
      </c>
      <c r="H56" s="2737">
        <f>'[48]債務負担行為積算  (数式)'!H17</f>
        <v>724849965</v>
      </c>
      <c r="I56" s="6435"/>
      <c r="J56" s="2728">
        <f>'[48]債務負担行為積算  (数式)'!J17</f>
        <v>0</v>
      </c>
      <c r="K56" s="2734">
        <f>'[48]債務負担行為積算  (数式)'!K17</f>
        <v>546790803.79759121</v>
      </c>
      <c r="L56" s="2737">
        <f>'[48]債務負担行為積算  (数式)'!L17</f>
        <v>667084780.63306129</v>
      </c>
      <c r="N56" s="2728"/>
    </row>
    <row r="57" spans="1:14">
      <c r="A57" s="6433"/>
      <c r="B57" s="2768" t="s">
        <v>240</v>
      </c>
      <c r="C57" s="2734">
        <f>'[48]債務負担行為積算  (数式)'!C18</f>
        <v>23446.05186421199</v>
      </c>
      <c r="D57" s="2774">
        <f>'[48]債務負担行為積算  (数式)'!D18</f>
        <v>812</v>
      </c>
      <c r="E57" s="2733">
        <f>'[48]債務負担行為積算  (数式)'!E18</f>
        <v>18</v>
      </c>
      <c r="F57" s="2737">
        <f>'[48]債務負担行為積算  (数式)'!F18</f>
        <v>342687494.04732245</v>
      </c>
      <c r="G57" s="2732">
        <f>'[48]債務負担行為積算  (数式)'!G18</f>
        <v>1.22</v>
      </c>
      <c r="H57" s="2737">
        <f>'[48]債務負担行為積算  (数式)'!H18</f>
        <v>418078743</v>
      </c>
      <c r="I57" s="6435"/>
      <c r="J57" s="2728">
        <f>'[48]債務負担行為積算  (数式)'!J18</f>
        <v>0</v>
      </c>
      <c r="K57" s="2734">
        <f>'[48]債務負担行為積算  (数式)'!K18</f>
        <v>196443986.23141339</v>
      </c>
      <c r="L57" s="2737">
        <f>'[48]債務負担行為積算  (数式)'!L18</f>
        <v>239661663.20232433</v>
      </c>
      <c r="N57" s="2728"/>
    </row>
    <row r="58" spans="1:14" ht="13.5" thickBot="1">
      <c r="A58" s="6434"/>
      <c r="B58" s="2794" t="s">
        <v>241</v>
      </c>
      <c r="C58" s="2795">
        <f>'[48]債務負担行為積算  (数式)'!C19</f>
        <v>40204.982042345626</v>
      </c>
      <c r="D58" s="2796">
        <f>'[48]債務負担行為積算  (数式)'!D19</f>
        <v>122</v>
      </c>
      <c r="E58" s="2797">
        <f>'[48]債務負担行為積算  (数式)'!E19</f>
        <v>18</v>
      </c>
      <c r="F58" s="2799">
        <f>'[48]債務負担行為積算  (数式)'!F19</f>
        <v>88290140.564990997</v>
      </c>
      <c r="G58" s="2798">
        <f>'[48]債務負担行為積算  (数式)'!G19</f>
        <v>1.22</v>
      </c>
      <c r="H58" s="2799">
        <f>'[48]債務負担行為積算  (数式)'!H19</f>
        <v>107713972</v>
      </c>
      <c r="I58" s="6436"/>
      <c r="J58" s="2728">
        <f>'[48]債務負担行為積算  (数式)'!J19</f>
        <v>0</v>
      </c>
      <c r="K58" s="2795">
        <f>'[48]債務負担行為積算  (数式)'!K19</f>
        <v>46172588.91794765</v>
      </c>
      <c r="L58" s="2799">
        <f>'[48]債務負担行為積算  (数式)'!L19</f>
        <v>56330558.479896128</v>
      </c>
      <c r="N58" s="2728"/>
    </row>
    <row r="59" spans="1:14" ht="13.5" thickTop="1">
      <c r="A59" s="2770" t="s">
        <v>127</v>
      </c>
      <c r="B59" s="2791" t="s">
        <v>246</v>
      </c>
      <c r="C59" s="2792" t="str">
        <f>'[48]債務負担行為積算  (数式)'!C20</f>
        <v>-</v>
      </c>
      <c r="D59" s="2792" t="str">
        <f>'[48]債務負担行為積算  (数式)'!D20</f>
        <v>-</v>
      </c>
      <c r="E59" s="2792" t="str">
        <f>'[48]債務負担行為積算  (数式)'!E20</f>
        <v>-</v>
      </c>
      <c r="F59" s="2792">
        <f>'[48]債務負担行為積算  (数式)'!F20</f>
        <v>38167191614.273361</v>
      </c>
      <c r="G59" s="2807" t="str">
        <f>'[48]債務負担行為積算  (数式)'!G20</f>
        <v>-</v>
      </c>
      <c r="H59" s="2792">
        <f>'[48]債務負担行為積算  (数式)'!H20</f>
        <v>46563973776</v>
      </c>
      <c r="I59" s="2792">
        <f>'[48]債務負担行為積算  (数式)'!I20</f>
        <v>46563973776</v>
      </c>
      <c r="J59" s="2728">
        <f>'[48]債務負担行為積算  (数式)'!J20</f>
        <v>0</v>
      </c>
      <c r="K59" s="2792">
        <f>'[48]債務負担行為積算  (数式)'!K20</f>
        <v>25512706426.730766</v>
      </c>
      <c r="L59" s="2792">
        <f>'[48]債務負担行為積算  (数式)'!L20</f>
        <v>31125501840.611534</v>
      </c>
    </row>
    <row r="61" spans="1:14">
      <c r="A61" s="2749" t="s">
        <v>247</v>
      </c>
      <c r="I61" s="2740"/>
      <c r="J61" s="2740"/>
      <c r="M61" s="2738"/>
    </row>
    <row r="62" spans="1:14" ht="52">
      <c r="A62" s="2767"/>
      <c r="B62" s="2768" t="s">
        <v>222</v>
      </c>
      <c r="C62" s="2741" t="s">
        <v>248</v>
      </c>
      <c r="D62" s="2772" t="s">
        <v>249</v>
      </c>
      <c r="E62" s="2741" t="s">
        <v>250</v>
      </c>
      <c r="F62" s="2748" t="s">
        <v>226</v>
      </c>
      <c r="G62" s="2741" t="s">
        <v>227</v>
      </c>
      <c r="H62" s="2748" t="s">
        <v>228</v>
      </c>
      <c r="I62" s="2731" t="s">
        <v>229</v>
      </c>
      <c r="J62" s="2740"/>
      <c r="K62" s="2748" t="s">
        <v>230</v>
      </c>
      <c r="L62" s="2748" t="s">
        <v>231</v>
      </c>
      <c r="M62" s="2739"/>
      <c r="N62" s="2738"/>
    </row>
    <row r="63" spans="1:14">
      <c r="A63" s="6433" t="s">
        <v>232</v>
      </c>
      <c r="B63" s="2768" t="s">
        <v>251</v>
      </c>
      <c r="C63" s="2783">
        <f>'[48]債務負担行為積算  (数式)'!C24</f>
        <v>535555.17040860734</v>
      </c>
      <c r="D63" s="2774">
        <f>'[48]債務負担行為積算  (数式)'!D24</f>
        <v>465</v>
      </c>
      <c r="E63" s="2733">
        <f>'[48]債務負担行為積算  (数式)'!E24</f>
        <v>33</v>
      </c>
      <c r="F63" s="2737">
        <f>'[48]債務負担行為積算  (数式)'!F24</f>
        <v>8218094089.9200792</v>
      </c>
      <c r="G63" s="2732">
        <f>'[48]債務負担行為積算  (数式)'!G24</f>
        <v>1.22</v>
      </c>
      <c r="H63" s="2737">
        <f>'[48]債務負担行為積算  (数式)'!H24</f>
        <v>10026074790</v>
      </c>
      <c r="I63" s="2737">
        <f>'[48]債務負担行為積算  (数式)'!I24</f>
        <v>10026074790</v>
      </c>
      <c r="J63" s="2740">
        <f>'[48]債務負担行為積算  (数式)'!J24</f>
        <v>0</v>
      </c>
      <c r="K63" s="2737">
        <f>'[48]債務負担行為積算  (数式)'!K24</f>
        <v>4910934146</v>
      </c>
      <c r="L63" s="2737">
        <f>'[48]債務負担行為積算  (数式)'!L24</f>
        <v>5991339658.1199999</v>
      </c>
      <c r="M63" s="2739"/>
      <c r="N63" s="2738"/>
    </row>
    <row r="64" spans="1:14">
      <c r="A64" s="6433"/>
      <c r="B64" s="2768" t="s">
        <v>236</v>
      </c>
      <c r="C64" s="2783">
        <f>'[48]債務負担行為積算  (数式)'!C25</f>
        <v>2025837.3020833333</v>
      </c>
      <c r="D64" s="2774">
        <f>'[48]債務負担行為積算  (数式)'!D25</f>
        <v>56</v>
      </c>
      <c r="E64" s="2733">
        <f>'[48]債務負担行為積算  (数式)'!E25</f>
        <v>33</v>
      </c>
      <c r="F64" s="2737">
        <f>'[48]債務負担行為積算  (数式)'!F25</f>
        <v>3743747334.25</v>
      </c>
      <c r="G64" s="2732">
        <f>'[48]債務負担行為積算  (数式)'!G25</f>
        <v>1.22</v>
      </c>
      <c r="H64" s="2737">
        <f>'[48]債務負担行為積算  (数式)'!H25</f>
        <v>4567371748</v>
      </c>
      <c r="I64" s="6435">
        <f>'[48]債務負担行為積算  (数式)'!I25</f>
        <v>6082352041</v>
      </c>
      <c r="J64" s="2740">
        <f>'[48]債務負担行為積算  (数式)'!J25</f>
        <v>0</v>
      </c>
      <c r="K64" s="2737">
        <f>'[48]債務負担行為積算  (数式)'!K25</f>
        <v>1895857531</v>
      </c>
      <c r="L64" s="2737">
        <f>'[48]債務負担行為積算  (数式)'!L25</f>
        <v>2312946187.8200002</v>
      </c>
      <c r="M64" s="2739"/>
      <c r="N64" s="2738"/>
    </row>
    <row r="65" spans="1:14" ht="12.75" hidden="1" customHeight="1">
      <c r="A65" s="6433"/>
      <c r="B65" s="2768" t="s">
        <v>237</v>
      </c>
      <c r="C65" s="2784">
        <f>'[48]債務負担行為積算  (数式)'!C26</f>
        <v>0</v>
      </c>
      <c r="D65" s="2782">
        <f>'[48]債務負担行為積算  (数式)'!D26</f>
        <v>0</v>
      </c>
      <c r="E65" s="2775">
        <f>'[48]債務負担行為積算  (数式)'!E26</f>
        <v>0</v>
      </c>
      <c r="F65" s="2801">
        <f>'[48]債務負担行為積算  (数式)'!F26</f>
        <v>0</v>
      </c>
      <c r="G65" s="2732">
        <f>'[48]債務負担行為積算  (数式)'!G26</f>
        <v>1.22</v>
      </c>
      <c r="H65" s="2801">
        <f>'[48]債務負担行為積算  (数式)'!H26</f>
        <v>0</v>
      </c>
      <c r="I65" s="6435"/>
      <c r="J65" s="2740">
        <f>'[48]債務負担行為積算  (数式)'!J26</f>
        <v>0</v>
      </c>
      <c r="K65" s="2801">
        <f>'[48]債務負担行為積算  (数式)'!K26</f>
        <v>0</v>
      </c>
      <c r="L65" s="2737">
        <f>'[48]債務負担行為積算  (数式)'!L26</f>
        <v>0</v>
      </c>
      <c r="M65" s="2739"/>
      <c r="N65" s="2738"/>
    </row>
    <row r="66" spans="1:14" ht="12.75" customHeight="1">
      <c r="A66" s="6433"/>
      <c r="B66" s="2768" t="s">
        <v>238</v>
      </c>
      <c r="C66" s="2783">
        <f>'[48]債務負担行為積算  (数式)'!C27</f>
        <v>500922.6</v>
      </c>
      <c r="D66" s="2774">
        <f>'[48]債務負担行為積算  (数式)'!D27</f>
        <v>67</v>
      </c>
      <c r="E66" s="2736">
        <f>'[48]債務負担行為積算  (数式)'!E27</f>
        <v>37</v>
      </c>
      <c r="F66" s="2737">
        <f>'[48]債務負担行為積算  (数式)'!F27</f>
        <v>1241787125.3999999</v>
      </c>
      <c r="G66" s="2732">
        <f>'[48]債務負担行為積算  (数式)'!G27</f>
        <v>1.22</v>
      </c>
      <c r="H66" s="2737">
        <f>'[48]債務負担行為積算  (数式)'!H27</f>
        <v>1514980293</v>
      </c>
      <c r="I66" s="6435"/>
      <c r="J66" s="2740">
        <f>'[48]債務負担行為積算  (数式)'!J27</f>
        <v>0</v>
      </c>
      <c r="K66" s="2737">
        <f>'[48]債務負担行為積算  (数式)'!K27</f>
        <v>530888760</v>
      </c>
      <c r="L66" s="2737">
        <f>'[48]債務負担行為積算  (数式)'!L27</f>
        <v>647684287.19999993</v>
      </c>
      <c r="M66" s="2739"/>
      <c r="N66" s="2738"/>
    </row>
    <row r="67" spans="1:14">
      <c r="A67" s="6433" t="s">
        <v>242</v>
      </c>
      <c r="B67" s="2768" t="s">
        <v>251</v>
      </c>
      <c r="C67" s="2783">
        <f>'[48]債務負担行為積算  (数式)'!C28</f>
        <v>1158248.935561944</v>
      </c>
      <c r="D67" s="2747">
        <f>'[48]債務負担行為積算  (数式)'!D28</f>
        <v>259</v>
      </c>
      <c r="E67" s="2733">
        <f>'[48]債務負担行為積算  (数式)'!E28</f>
        <v>19</v>
      </c>
      <c r="F67" s="2737">
        <f>'[48]債務負担行為積算  (数式)'!F28</f>
        <v>5699743011.9003267</v>
      </c>
      <c r="G67" s="2732">
        <f>'[48]債務負担行為積算  (数式)'!G28</f>
        <v>1.22</v>
      </c>
      <c r="H67" s="2737">
        <f>'[48]債務負担行為積算  (数式)'!H28</f>
        <v>6953686475</v>
      </c>
      <c r="I67" s="2737">
        <f>'[48]債務負担行為積算  (数式)'!I28</f>
        <v>6953686475</v>
      </c>
      <c r="J67" s="2728">
        <f>'[48]債務負担行為積算  (数式)'!J28</f>
        <v>0</v>
      </c>
      <c r="K67" s="2737">
        <f>'[48]債務負担行為積算  (数式)'!K28</f>
        <v>2338780960</v>
      </c>
      <c r="L67" s="2737">
        <f>'[48]債務負担行為積算  (数式)'!L28</f>
        <v>2853312771.1999998</v>
      </c>
      <c r="N67" s="2728"/>
    </row>
    <row r="68" spans="1:14">
      <c r="A68" s="6433"/>
      <c r="B68" s="2768" t="s">
        <v>236</v>
      </c>
      <c r="C68" s="2734">
        <f>'[48]債務負担行為積算  (数式)'!C29</f>
        <v>2529412.3125</v>
      </c>
      <c r="D68" s="2747">
        <f>'[48]債務負担行為積算  (数式)'!D29</f>
        <v>16</v>
      </c>
      <c r="E68" s="2733">
        <f>'[48]債務負担行為積算  (数式)'!E29</f>
        <v>19</v>
      </c>
      <c r="F68" s="2737">
        <f>'[48]債務負担行為積算  (数式)'!F29</f>
        <v>768941343</v>
      </c>
      <c r="G68" s="2732">
        <f>'[48]債務負担行為積算  (数式)'!G29</f>
        <v>1.22</v>
      </c>
      <c r="H68" s="2737">
        <f>'[48]債務負担行為積算  (数式)'!H29</f>
        <v>938108439</v>
      </c>
      <c r="I68" s="6435">
        <f>'[48]債務負担行為積算  (数式)'!I29</f>
        <v>1069432802</v>
      </c>
      <c r="J68" s="2728">
        <f>'[48]債務負担行為積算  (数式)'!J29</f>
        <v>0</v>
      </c>
      <c r="K68" s="2737">
        <f>'[48]債務負担行為積算  (数式)'!K29</f>
        <v>526117761</v>
      </c>
      <c r="L68" s="2737">
        <f>'[48]債務負担行為積算  (数式)'!L29</f>
        <v>641863668.41999996</v>
      </c>
      <c r="N68" s="2728"/>
    </row>
    <row r="69" spans="1:14" ht="13" customHeight="1" thickBot="1">
      <c r="A69" s="6434"/>
      <c r="B69" s="2794" t="s">
        <v>245</v>
      </c>
      <c r="C69" s="2795">
        <f>'[48]債務負担行為積算  (数式)'!C30</f>
        <v>768878</v>
      </c>
      <c r="D69" s="2805">
        <f>'[48]債務負担行為積算  (数式)'!D30</f>
        <v>7</v>
      </c>
      <c r="E69" s="2806">
        <f>'[48]債務負担行為積算  (数式)'!E30</f>
        <v>20</v>
      </c>
      <c r="F69" s="2799">
        <f>'[48]債務負担行為積算  (数式)'!F30</f>
        <v>107642920</v>
      </c>
      <c r="G69" s="2798">
        <f>'[48]債務負担行為積算  (数式)'!G30</f>
        <v>1.22</v>
      </c>
      <c r="H69" s="2799">
        <f>'[48]債務負担行為積算  (数式)'!H30</f>
        <v>131324363</v>
      </c>
      <c r="I69" s="6436"/>
      <c r="J69" s="2728">
        <f>'[48]債務負担行為積算  (数式)'!J30</f>
        <v>0</v>
      </c>
      <c r="K69" s="2799">
        <f>'[48]債務負担行為積算  (数式)'!K30</f>
        <v>13070926</v>
      </c>
      <c r="L69" s="2799">
        <f>'[48]債務負担行為積算  (数式)'!L30</f>
        <v>15946529.719999999</v>
      </c>
      <c r="N69" s="2728"/>
    </row>
    <row r="70" spans="1:14" ht="13.5" thickTop="1">
      <c r="A70" s="2770" t="s">
        <v>127</v>
      </c>
      <c r="B70" s="2791" t="s">
        <v>246</v>
      </c>
      <c r="C70" s="2800" t="str">
        <f>'[48]債務負担行為積算  (数式)'!C31</f>
        <v>-</v>
      </c>
      <c r="D70" s="2793" t="str">
        <f>'[48]債務負担行為積算  (数式)'!D31</f>
        <v>-</v>
      </c>
      <c r="E70" s="2792" t="str">
        <f>'[48]債務負担行為積算  (数式)'!E31</f>
        <v>-</v>
      </c>
      <c r="F70" s="2792">
        <f>'[48]債務負担行為積算  (数式)'!F31</f>
        <v>19779955824.470406</v>
      </c>
      <c r="G70" s="2807" t="str">
        <f>'[48]債務負担行為積算  (数式)'!G31</f>
        <v>-</v>
      </c>
      <c r="H70" s="2792">
        <f>'[48]債務負担行為積算  (数式)'!H31</f>
        <v>24131546108</v>
      </c>
      <c r="I70" s="2792">
        <f>'[48]債務負担行為積算  (数式)'!I31</f>
        <v>24131546108</v>
      </c>
      <c r="J70" s="2728">
        <f>'[48]債務負担行為積算  (数式)'!J31</f>
        <v>0</v>
      </c>
      <c r="K70" s="2792">
        <f>'[48]債務負担行為積算  (数式)'!K31</f>
        <v>10215650084</v>
      </c>
      <c r="L70" s="2792">
        <f>'[48]債務負担行為積算  (数式)'!L31</f>
        <v>12463093102.48</v>
      </c>
    </row>
    <row r="71" spans="1:14">
      <c r="A71" s="2813" t="s">
        <v>252</v>
      </c>
      <c r="E71" s="2813"/>
    </row>
    <row r="73" spans="1:14">
      <c r="G73" s="2823"/>
      <c r="H73" s="2729" t="s">
        <v>253</v>
      </c>
    </row>
    <row r="74" spans="1:14">
      <c r="G74" s="2823"/>
      <c r="H74" s="2731" t="s">
        <v>254</v>
      </c>
      <c r="I74" s="2733">
        <f>'[48]債務負担行為積算  (数式)'!I36</f>
        <v>52550041632</v>
      </c>
    </row>
    <row r="75" spans="1:14">
      <c r="G75" s="2823"/>
      <c r="H75" s="2731" t="s">
        <v>255</v>
      </c>
      <c r="I75" s="2733">
        <f>'[48]債務負担行為積算  (数式)'!I37</f>
        <v>18145478252</v>
      </c>
    </row>
    <row r="76" spans="1:14">
      <c r="G76" s="2823"/>
      <c r="H76" s="2821" t="s">
        <v>127</v>
      </c>
      <c r="I76" s="2822">
        <f>'[48]債務負担行為積算  (数式)'!I38</f>
        <v>70695519884</v>
      </c>
    </row>
    <row r="78" spans="1:14" customFormat="1" ht="20.5" customHeight="1">
      <c r="A78" s="2967" t="s">
        <v>257</v>
      </c>
      <c r="B78" s="191"/>
      <c r="C78" s="191"/>
    </row>
    <row r="80" spans="1:14">
      <c r="A80" s="2749" t="s">
        <v>219</v>
      </c>
      <c r="G80" s="2750" t="s">
        <v>220</v>
      </c>
      <c r="I80" s="2740"/>
      <c r="J80" s="2740"/>
      <c r="K80" s="2728" t="s">
        <v>221</v>
      </c>
      <c r="M80" s="2738"/>
    </row>
    <row r="81" spans="1:14" ht="52">
      <c r="A81" s="2767"/>
      <c r="B81" s="2768" t="s">
        <v>222</v>
      </c>
      <c r="C81" s="2741" t="s">
        <v>223</v>
      </c>
      <c r="D81" s="2772" t="s">
        <v>224</v>
      </c>
      <c r="E81" s="2741" t="s">
        <v>225</v>
      </c>
      <c r="F81" s="2748" t="s">
        <v>226</v>
      </c>
      <c r="G81" s="2741" t="s">
        <v>227</v>
      </c>
      <c r="H81" s="2748" t="s">
        <v>228</v>
      </c>
      <c r="I81" s="2731" t="s">
        <v>229</v>
      </c>
      <c r="J81" s="2740"/>
      <c r="K81" s="2748" t="s">
        <v>230</v>
      </c>
      <c r="L81" s="2748" t="s">
        <v>231</v>
      </c>
      <c r="M81" s="2739"/>
      <c r="N81" s="2738"/>
    </row>
    <row r="82" spans="1:14">
      <c r="A82" s="6437" t="s">
        <v>232</v>
      </c>
      <c r="B82" s="2768" t="s">
        <v>233</v>
      </c>
      <c r="C82" s="2734">
        <f>'[49]債務負担行為積算  (数式)'!C4</f>
        <v>33756.68006176599</v>
      </c>
      <c r="D82" s="2774">
        <f>'[49]債務負担行為積算  (数式)'!D4</f>
        <v>11937</v>
      </c>
      <c r="E82" s="2733">
        <f>'[49]債務負担行為積算  (数式)'!E4</f>
        <v>32</v>
      </c>
      <c r="F82" s="2737">
        <f>'[49]債務負担行為積算  (数式)'!F4</f>
        <v>12894511676.713619</v>
      </c>
      <c r="G82" s="2732">
        <f>'[49]債務負担行為積算  (数式)'!G4</f>
        <v>1.22</v>
      </c>
      <c r="H82" s="2811">
        <f>'[49]債務負担行為積算  (数式)'!H4</f>
        <v>15731304246</v>
      </c>
      <c r="I82" s="2737">
        <f>'[49]債務負担行為積算  (数式)'!I4</f>
        <v>15731304246</v>
      </c>
      <c r="J82" s="2740">
        <f>'[49]債務負担行為積算  (数式)'!J4</f>
        <v>0</v>
      </c>
      <c r="K82" s="2734">
        <f>'[49]債務負担行為積算  (数式)'!K4</f>
        <v>8762124192</v>
      </c>
      <c r="L82" s="2737">
        <f>'[49]債務負担行為積算  (数式)'!L4</f>
        <v>10689791514.24</v>
      </c>
      <c r="M82" s="2739"/>
      <c r="N82" s="2738"/>
    </row>
    <row r="83" spans="1:14" hidden="1">
      <c r="A83" s="6437"/>
      <c r="B83" s="2776" t="s">
        <v>234</v>
      </c>
      <c r="C83" s="2777">
        <f>'[49]債務負担行為積算  (数式)'!C5</f>
        <v>35104.891152886055</v>
      </c>
      <c r="D83" s="2778">
        <f>'[49]債務負担行為積算  (数式)'!D5</f>
        <v>9962</v>
      </c>
      <c r="E83" s="2779">
        <f>'[49]債務負担行為積算  (数式)'!E5</f>
        <v>32</v>
      </c>
      <c r="F83" s="2781">
        <f>'[49]債務負担行為積算  (数式)'!F5</f>
        <v>11190877621.281628</v>
      </c>
      <c r="G83" s="2780">
        <f>'[49]債務負担行為積算  (数式)'!G5</f>
        <v>1.22</v>
      </c>
      <c r="H83" s="2781">
        <f>'[49]債務負担行為積算  (数式)'!H5</f>
        <v>13652870698</v>
      </c>
      <c r="I83" s="2781">
        <f>'[49]債務負担行為積算  (数式)'!I5</f>
        <v>13652870698</v>
      </c>
      <c r="J83" s="2740" t="str">
        <f>'[49]債務負担行為積算  (数式)'!J5</f>
        <v>不要？</v>
      </c>
      <c r="K83" s="2777">
        <f>'[49]債務負担行為積算  (数式)'!K5</f>
        <v>7859948168</v>
      </c>
      <c r="L83" s="2781">
        <f>'[49]債務負担行為積算  (数式)'!L5</f>
        <v>9589136764.9599991</v>
      </c>
      <c r="M83" s="2739"/>
      <c r="N83" s="2738"/>
    </row>
    <row r="84" spans="1:14">
      <c r="A84" s="6437"/>
      <c r="B84" s="2768" t="s">
        <v>236</v>
      </c>
      <c r="C84" s="2747">
        <f>'[49]債務負担行為積算  (数式)'!C6</f>
        <v>104002.92796907018</v>
      </c>
      <c r="D84" s="2774">
        <f>'[49]債務負担行為積算  (数式)'!D6</f>
        <v>1645</v>
      </c>
      <c r="E84" s="2733">
        <f>'[49]債務負担行為積算  (数式)'!E6</f>
        <v>32</v>
      </c>
      <c r="F84" s="2737">
        <f>'[49]債務負担行為積算  (数式)'!F6</f>
        <v>5474714128.2918539</v>
      </c>
      <c r="G84" s="2732">
        <f>'[49]債務負担行為積算  (数式)'!G6</f>
        <v>1.22</v>
      </c>
      <c r="H84" s="2737">
        <f>'[49]債務負担行為積算  (数式)'!H6</f>
        <v>6679151237</v>
      </c>
      <c r="I84" s="6438">
        <f>'[49]債務負担行為積算  (数式)'!I6</f>
        <v>20710310555</v>
      </c>
      <c r="J84" s="2740">
        <f>'[49]債務負担行為積算  (数式)'!J6</f>
        <v>0</v>
      </c>
      <c r="K84" s="2734">
        <f>'[49]債務負担行為積算  (数式)'!K6</f>
        <v>3701286602.1386881</v>
      </c>
      <c r="L84" s="2737">
        <f>'[49]債務負担行為積算  (数式)'!L6</f>
        <v>4515569654.6091995</v>
      </c>
      <c r="M84" s="2739"/>
      <c r="N84" s="2738"/>
    </row>
    <row r="85" spans="1:14">
      <c r="A85" s="6437"/>
      <c r="B85" s="2768" t="s">
        <v>237</v>
      </c>
      <c r="C85" s="2747">
        <f>'[49]債務負担行為積算  (数式)'!C7</f>
        <v>48153.528237378385</v>
      </c>
      <c r="D85" s="2774">
        <f>'[49]債務負担行為積算  (数式)'!D7</f>
        <v>2560</v>
      </c>
      <c r="E85" s="2733">
        <f>'[49]債務負担行為積算  (数式)'!E7</f>
        <v>32</v>
      </c>
      <c r="F85" s="2737">
        <f>'[49]債務負担行為積算  (数式)'!F7</f>
        <v>3944737033.2060375</v>
      </c>
      <c r="G85" s="2732">
        <f>'[49]債務負担行為積算  (数式)'!G7</f>
        <v>1.22</v>
      </c>
      <c r="H85" s="2737">
        <f>'[49]債務負担行為積算  (数式)'!H7</f>
        <v>4812579181</v>
      </c>
      <c r="I85" s="6439"/>
      <c r="J85" s="2740">
        <f>'[49]債務負担行為積算  (数式)'!J7</f>
        <v>0</v>
      </c>
      <c r="K85" s="2734">
        <f>'[49]債務負担行為積算  (数式)'!K7</f>
        <v>2385760498.811594</v>
      </c>
      <c r="L85" s="2737">
        <f>'[49]債務負担行為積算  (数式)'!L7</f>
        <v>2910627808.5501447</v>
      </c>
      <c r="M85" s="2739"/>
      <c r="N85" s="2738"/>
    </row>
    <row r="86" spans="1:14">
      <c r="A86" s="6437"/>
      <c r="B86" s="2768" t="s">
        <v>238</v>
      </c>
      <c r="C86" s="2747">
        <f>'[49]債務負担行為積算  (数式)'!C8</f>
        <v>67393.896602434077</v>
      </c>
      <c r="D86" s="2774">
        <f>'[49]債務負担行為積算  (数式)'!D8</f>
        <v>286</v>
      </c>
      <c r="E86" s="2736">
        <f>'[49]債務負担行為積算  (数式)'!E8</f>
        <v>36</v>
      </c>
      <c r="F86" s="2737">
        <f>'[49]債務負担行為積算  (数式)'!F8</f>
        <v>693887559.41866124</v>
      </c>
      <c r="G86" s="2732">
        <f>'[49]債務負担行為積算  (数式)'!G8</f>
        <v>1.22</v>
      </c>
      <c r="H86" s="2737">
        <f>'[49]債務負担行為積算  (数式)'!H8</f>
        <v>846542823</v>
      </c>
      <c r="I86" s="6439"/>
      <c r="J86" s="2740">
        <f>'[49]債務負担行為積算  (数式)'!J8</f>
        <v>0</v>
      </c>
      <c r="K86" s="2734">
        <f>'[49]債務負担行為積算  (数式)'!K8</f>
        <v>719947332</v>
      </c>
      <c r="L86" s="2737">
        <f>'[49]債務負担行為積算  (数式)'!L8</f>
        <v>878335745.03999996</v>
      </c>
      <c r="M86" s="2739"/>
      <c r="N86" s="2738"/>
    </row>
    <row r="87" spans="1:14">
      <c r="A87" s="6437"/>
      <c r="B87" s="2768" t="s">
        <v>239</v>
      </c>
      <c r="C87" s="2747">
        <f>'[49]債務負担行為積算  (数式)'!C9</f>
        <v>25177.548217762269</v>
      </c>
      <c r="D87" s="2774">
        <f>'[49]債務負担行為積算  (数式)'!D9</f>
        <v>3000</v>
      </c>
      <c r="E87" s="2733">
        <f>'[49]債務負担行為積算  (数式)'!E9</f>
        <v>32</v>
      </c>
      <c r="F87" s="2737">
        <f>'[49]債務負担行為積算  (数式)'!F9</f>
        <v>2417044628.9051776</v>
      </c>
      <c r="G87" s="2732">
        <f>'[49]債務負担行為積算  (数式)'!G9</f>
        <v>1.22</v>
      </c>
      <c r="H87" s="2737">
        <f>'[49]債務負担行為積算  (数式)'!H9</f>
        <v>2948794448</v>
      </c>
      <c r="I87" s="6439"/>
      <c r="J87" s="2740">
        <f>'[49]債務負担行為積算  (数式)'!J9</f>
        <v>0</v>
      </c>
      <c r="K87" s="2734">
        <f>'[49]債務負担行為積算  (数式)'!K9</f>
        <v>2055749958.4638913</v>
      </c>
      <c r="L87" s="2737">
        <f>'[49]債務負担行為積算  (数式)'!L9</f>
        <v>2508014949.3259473</v>
      </c>
      <c r="M87" s="2739"/>
      <c r="N87" s="2738"/>
    </row>
    <row r="88" spans="1:14">
      <c r="A88" s="6437"/>
      <c r="B88" s="2768" t="s">
        <v>240</v>
      </c>
      <c r="C88" s="2747">
        <f>'[49]債務負担行為積算  (数式)'!C10</f>
        <v>34913.680110890979</v>
      </c>
      <c r="D88" s="2774">
        <f>'[49]債務負担行為積算  (数式)'!D10</f>
        <v>3354</v>
      </c>
      <c r="E88" s="2733">
        <f>'[49]債務負担行為積算  (数式)'!E10</f>
        <v>32</v>
      </c>
      <c r="F88" s="2737">
        <f>'[49]債務負担行為積算  (数式)'!F10</f>
        <v>3747215458.9417071</v>
      </c>
      <c r="G88" s="2732">
        <f>'[49]債務負担行為積算  (数式)'!G10</f>
        <v>1.22</v>
      </c>
      <c r="H88" s="2737">
        <f>'[49]債務負担行為積算  (数式)'!H10</f>
        <v>4571602860</v>
      </c>
      <c r="I88" s="6439"/>
      <c r="J88" s="2728">
        <f>'[49]債務負担行為積算  (数式)'!J10</f>
        <v>0</v>
      </c>
      <c r="K88" s="2734">
        <f>'[49]債務負担行為積算  (数式)'!K10</f>
        <v>1124950544.6765776</v>
      </c>
      <c r="L88" s="2737">
        <f>'[49]債務負担行為積算  (数式)'!L10</f>
        <v>1372439664.5054245</v>
      </c>
      <c r="N88" s="2728"/>
    </row>
    <row r="89" spans="1:14">
      <c r="A89" s="6437"/>
      <c r="B89" s="2785" t="s">
        <v>241</v>
      </c>
      <c r="C89" s="2786">
        <f>'[49]債務負担行為積算  (数式)'!C11</f>
        <v>43282.835946779458</v>
      </c>
      <c r="D89" s="2787">
        <f>'[49]債務負担行為積算  (数式)'!D11</f>
        <v>504</v>
      </c>
      <c r="E89" s="2788">
        <f>'[49]債務負担行為積算  (数式)'!E11</f>
        <v>32</v>
      </c>
      <c r="F89" s="2769">
        <f>'[49]債務負担行為積算  (数式)'!F11</f>
        <v>698065578.14965916</v>
      </c>
      <c r="G89" s="2789">
        <f>'[49]債務負担行為積算  (数式)'!G11</f>
        <v>1.22</v>
      </c>
      <c r="H89" s="2769">
        <f>'[49]債務負担行為積算  (数式)'!H11</f>
        <v>851640006</v>
      </c>
      <c r="I89" s="6439"/>
      <c r="J89" s="2728">
        <f>'[49]債務負担行為積算  (数式)'!J11</f>
        <v>0</v>
      </c>
      <c r="K89" s="2790">
        <f>'[49]債務負担行為積算  (数式)'!K11</f>
        <v>457682948.48613292</v>
      </c>
      <c r="L89" s="2737">
        <f>'[49]債務負担行為積算  (数式)'!L11</f>
        <v>558373197.15308213</v>
      </c>
      <c r="N89" s="2728"/>
    </row>
    <row r="90" spans="1:14">
      <c r="A90" s="6433" t="s">
        <v>242</v>
      </c>
      <c r="B90" s="2768" t="s">
        <v>243</v>
      </c>
      <c r="C90" s="2747">
        <f>'[49]債務負担行為積算  (数式)'!C12</f>
        <v>48113.182737500872</v>
      </c>
      <c r="D90" s="2774">
        <f>'[49]債務負担行為積算  (数式)'!D12</f>
        <v>4988</v>
      </c>
      <c r="E90" s="2733">
        <f>'[49]債務負担行為積算  (数式)'!E12</f>
        <v>18</v>
      </c>
      <c r="F90" s="2737">
        <f>'[49]債務負担行為積算  (数式)'!F12</f>
        <v>4319793998.9037781</v>
      </c>
      <c r="G90" s="2732">
        <f>'[49]債務負担行為積算  (数式)'!G12</f>
        <v>1.22</v>
      </c>
      <c r="H90" s="2737">
        <f>'[49]債務負担行為積算  (数式)'!H12</f>
        <v>5270148679</v>
      </c>
      <c r="I90" s="2737">
        <f>'[49]債務負担行為積算  (数式)'!I12</f>
        <v>5270148679</v>
      </c>
      <c r="J90" s="2728">
        <f>'[49]債務負担行為積算  (数式)'!J12</f>
        <v>0</v>
      </c>
      <c r="K90" s="2734">
        <f>'[49]債務負担行為積算  (数式)'!K12</f>
        <v>4245281137.5843015</v>
      </c>
      <c r="L90" s="2737">
        <f>'[49]債務負担行為積算  (数式)'!L12</f>
        <v>5179242987.8528481</v>
      </c>
      <c r="N90" s="2728"/>
    </row>
    <row r="91" spans="1:14" hidden="1">
      <c r="A91" s="6433"/>
      <c r="B91" s="2776" t="s">
        <v>244</v>
      </c>
      <c r="C91" s="2777">
        <f>'[49]債務負担行為積算  (数式)'!C13</f>
        <v>48113.182737500872</v>
      </c>
      <c r="D91" s="2778">
        <f>'[49]債務負担行為積算  (数式)'!D13</f>
        <v>4988</v>
      </c>
      <c r="E91" s="2779">
        <f>'[49]債務負担行為積算  (数式)'!E13</f>
        <v>18</v>
      </c>
      <c r="F91" s="2781">
        <f>'[49]債務負担行為積算  (数式)'!F13</f>
        <v>4319793998.9037781</v>
      </c>
      <c r="G91" s="2780">
        <f>'[49]債務負担行為積算  (数式)'!G13</f>
        <v>1.22</v>
      </c>
      <c r="H91" s="2781">
        <f>'[49]債務負担行為積算  (数式)'!H13</f>
        <v>5270148679</v>
      </c>
      <c r="I91" s="2781">
        <f>'[49]債務負担行為積算  (数式)'!I13</f>
        <v>5270148679</v>
      </c>
      <c r="J91" s="2740" t="str">
        <f>'[49]債務負担行為積算  (数式)'!J13</f>
        <v>不要？</v>
      </c>
      <c r="K91" s="2777">
        <f>'[49]債務負担行為積算  (数式)'!K13</f>
        <v>4245281137.5843015</v>
      </c>
      <c r="L91" s="2781">
        <f>'[49]債務負担行為積算  (数式)'!L13</f>
        <v>5179242987.8528481</v>
      </c>
      <c r="N91" s="2728"/>
    </row>
    <row r="92" spans="1:14">
      <c r="A92" s="6433"/>
      <c r="B92" s="2768" t="s">
        <v>236</v>
      </c>
      <c r="C92" s="2747">
        <f>'[49]債務負担行為積算  (数式)'!C14</f>
        <v>163100.01822323463</v>
      </c>
      <c r="D92" s="2774">
        <f>'[49]債務負担行為積算  (数式)'!D14</f>
        <v>370</v>
      </c>
      <c r="E92" s="2733">
        <f>'[49]債務負担行為積算  (数式)'!E14</f>
        <v>18</v>
      </c>
      <c r="F92" s="2737">
        <f>'[49]債務負担行為積算  (数式)'!F14</f>
        <v>1086246121.3667426</v>
      </c>
      <c r="G92" s="2732">
        <f>'[49]債務負担行為積算  (数式)'!G14</f>
        <v>1.22</v>
      </c>
      <c r="H92" s="2737">
        <f>'[49]債務負担行為積算  (数式)'!H14</f>
        <v>1325220269</v>
      </c>
      <c r="I92" s="6435">
        <f>'[49]債務負担行為積算  (数式)'!I14</f>
        <v>4852210296</v>
      </c>
      <c r="J92" s="2728">
        <f>'[49]債務負担行為積算  (数式)'!J14</f>
        <v>0</v>
      </c>
      <c r="K92" s="2734">
        <f>'[49]債務負担行為積算  (数式)'!K14</f>
        <v>784511087.65375853</v>
      </c>
      <c r="L92" s="2737">
        <f>'[49]債務負担行為積算  (数式)'!L14</f>
        <v>957103526.93758535</v>
      </c>
      <c r="N92" s="2728"/>
    </row>
    <row r="93" spans="1:14">
      <c r="A93" s="6433"/>
      <c r="B93" s="2768" t="s">
        <v>237</v>
      </c>
      <c r="C93" s="2747">
        <f>'[49]債務負担行為積算  (数式)'!C15</f>
        <v>62210.379825525553</v>
      </c>
      <c r="D93" s="2774">
        <f>'[49]債務負担行為積算  (数式)'!D15</f>
        <v>1560</v>
      </c>
      <c r="E93" s="2733">
        <f>'[49]債務負担行為積算  (数式)'!E15</f>
        <v>18</v>
      </c>
      <c r="F93" s="2737">
        <f>'[49]債務負担行為積算  (数式)'!F15</f>
        <v>1746867465.5007577</v>
      </c>
      <c r="G93" s="2732">
        <f>'[49]債務負担行為積算  (数式)'!G15</f>
        <v>1.22</v>
      </c>
      <c r="H93" s="2737">
        <f>'[49]債務負担行為積算  (数式)'!H15</f>
        <v>2131178308</v>
      </c>
      <c r="I93" s="6435"/>
      <c r="J93" s="2728">
        <f>'[49]債務負担行為積算  (数式)'!J15</f>
        <v>0</v>
      </c>
      <c r="K93" s="2734">
        <f>'[49]債務負担行為積算  (数式)'!K15</f>
        <v>851237005.14489949</v>
      </c>
      <c r="L93" s="2737">
        <f>'[49]債務負担行為積算  (数式)'!L15</f>
        <v>1038509146.2767774</v>
      </c>
      <c r="N93" s="2728"/>
    </row>
    <row r="94" spans="1:14">
      <c r="A94" s="6433"/>
      <c r="B94" s="2768" t="s">
        <v>245</v>
      </c>
      <c r="C94" s="2747">
        <f>'[49]債務負担行為積算  (数式)'!C16</f>
        <v>53988.663793103449</v>
      </c>
      <c r="D94" s="2774">
        <f>'[49]債務負担行為積算  (数式)'!D16</f>
        <v>116</v>
      </c>
      <c r="E94" s="2736">
        <f>'[49]債務負担行為積算  (数式)'!E16</f>
        <v>19</v>
      </c>
      <c r="F94" s="2737">
        <f>'[49]債務負担行為積算  (数式)'!F16</f>
        <v>118991015</v>
      </c>
      <c r="G94" s="2732">
        <f>'[49]債務負担行為積算  (数式)'!G16</f>
        <v>1.22</v>
      </c>
      <c r="H94" s="2737">
        <f>'[49]債務負担行為積算  (数式)'!H16</f>
        <v>145169039</v>
      </c>
      <c r="I94" s="6435"/>
      <c r="J94" s="2728">
        <f>'[49]債務負担行為積算  (数式)'!J16</f>
        <v>0</v>
      </c>
      <c r="K94" s="2734">
        <f>'[49]債務負担行為積算  (数式)'!K16</f>
        <v>118991015</v>
      </c>
      <c r="L94" s="2737">
        <f>'[49]債務負担行為積算  (数式)'!L16</f>
        <v>145169038.29999998</v>
      </c>
      <c r="N94" s="2728"/>
    </row>
    <row r="95" spans="1:14">
      <c r="A95" s="6433"/>
      <c r="B95" s="2768" t="s">
        <v>239</v>
      </c>
      <c r="C95" s="2734">
        <f>'[49]債務負担行為積算  (数式)'!C17</f>
        <v>20629.837335522443</v>
      </c>
      <c r="D95" s="2774">
        <f>'[49]債務負担行為積算  (数式)'!D17</f>
        <v>1600</v>
      </c>
      <c r="E95" s="2733">
        <f>'[49]債務負担行為積算  (数式)'!E17</f>
        <v>18</v>
      </c>
      <c r="F95" s="2737">
        <f>'[49]債務負担行為積算  (数式)'!F17</f>
        <v>594139315.26304626</v>
      </c>
      <c r="G95" s="2732">
        <f>'[49]債務負担行為積算  (数式)'!G17</f>
        <v>1.22</v>
      </c>
      <c r="H95" s="2737">
        <f>'[49]債務負担行為積算  (数式)'!H17</f>
        <v>724849965</v>
      </c>
      <c r="I95" s="6435"/>
      <c r="J95" s="2728">
        <f>'[49]債務負担行為積算  (数式)'!J17</f>
        <v>0</v>
      </c>
      <c r="K95" s="2734">
        <f>'[49]債務負担行為積算  (数式)'!K17</f>
        <v>546790803.79759121</v>
      </c>
      <c r="L95" s="2737">
        <f>'[49]債務負担行為積算  (数式)'!L17</f>
        <v>667084780.63306129</v>
      </c>
      <c r="N95" s="2728"/>
    </row>
    <row r="96" spans="1:14">
      <c r="A96" s="6433"/>
      <c r="B96" s="2768" t="s">
        <v>240</v>
      </c>
      <c r="C96" s="2734">
        <f>'[49]債務負担行為積算  (数式)'!C18</f>
        <v>23446.05186421199</v>
      </c>
      <c r="D96" s="2774">
        <f>'[49]債務負担行為積算  (数式)'!D18</f>
        <v>812</v>
      </c>
      <c r="E96" s="2733">
        <f>'[49]債務負担行為積算  (数式)'!E18</f>
        <v>18</v>
      </c>
      <c r="F96" s="2737">
        <f>'[49]債務負担行為積算  (数式)'!F18</f>
        <v>342687494.04732245</v>
      </c>
      <c r="G96" s="2732">
        <f>'[49]債務負担行為積算  (数式)'!G18</f>
        <v>1.22</v>
      </c>
      <c r="H96" s="2737">
        <f>'[49]債務負担行為積算  (数式)'!H18</f>
        <v>418078743</v>
      </c>
      <c r="I96" s="6435"/>
      <c r="J96" s="2728">
        <f>'[49]債務負担行為積算  (数式)'!J18</f>
        <v>0</v>
      </c>
      <c r="K96" s="2734">
        <f>'[49]債務負担行為積算  (数式)'!K18</f>
        <v>196443986.23141339</v>
      </c>
      <c r="L96" s="2737">
        <f>'[49]債務負担行為積算  (数式)'!L18</f>
        <v>239661663.20232433</v>
      </c>
      <c r="N96" s="2728"/>
    </row>
    <row r="97" spans="1:14" ht="13.5" thickBot="1">
      <c r="A97" s="6434"/>
      <c r="B97" s="2794" t="s">
        <v>241</v>
      </c>
      <c r="C97" s="2795">
        <f>'[49]債務負担行為積算  (数式)'!C19</f>
        <v>40204.982042345626</v>
      </c>
      <c r="D97" s="2796">
        <f>'[49]債務負担行為積算  (数式)'!D19</f>
        <v>122</v>
      </c>
      <c r="E97" s="2797">
        <f>'[49]債務負担行為積算  (数式)'!E19</f>
        <v>18</v>
      </c>
      <c r="F97" s="2799">
        <f>'[49]債務負担行為積算  (数式)'!F19</f>
        <v>88290140.564990997</v>
      </c>
      <c r="G97" s="2798">
        <f>'[49]債務負担行為積算  (数式)'!G19</f>
        <v>1.22</v>
      </c>
      <c r="H97" s="2799">
        <f>'[49]債務負担行為積算  (数式)'!H19</f>
        <v>107713972</v>
      </c>
      <c r="I97" s="6436"/>
      <c r="J97" s="2728">
        <f>'[49]債務負担行為積算  (数式)'!J19</f>
        <v>0</v>
      </c>
      <c r="K97" s="2795">
        <f>'[49]債務負担行為積算  (数式)'!K19</f>
        <v>46172588.91794765</v>
      </c>
      <c r="L97" s="2799">
        <f>'[49]債務負担行為積算  (数式)'!L19</f>
        <v>56330558.479896128</v>
      </c>
      <c r="N97" s="2728"/>
    </row>
    <row r="98" spans="1:14" ht="13.5" thickTop="1">
      <c r="A98" s="2770" t="s">
        <v>127</v>
      </c>
      <c r="B98" s="2791" t="s">
        <v>246</v>
      </c>
      <c r="C98" s="2792" t="str">
        <f>'[49]債務負担行為積算  (数式)'!C20</f>
        <v>-</v>
      </c>
      <c r="D98" s="2792" t="str">
        <f>'[49]債務負担行為積算  (数式)'!D20</f>
        <v>-</v>
      </c>
      <c r="E98" s="2792" t="str">
        <f>'[49]債務負担行為積算  (数式)'!E20</f>
        <v>-</v>
      </c>
      <c r="F98" s="2792">
        <f>'[49]債務負担行為積算  (数式)'!F20</f>
        <v>38167191614.273361</v>
      </c>
      <c r="G98" s="2807" t="str">
        <f>'[49]債務負担行為積算  (数式)'!G20</f>
        <v>-</v>
      </c>
      <c r="H98" s="2792">
        <f>'[49]債務負担行為積算  (数式)'!H20</f>
        <v>46563973776</v>
      </c>
      <c r="I98" s="2792">
        <f>'[49]債務負担行為積算  (数式)'!I20</f>
        <v>46563973776</v>
      </c>
      <c r="J98" s="2728">
        <f>'[49]債務負担行為積算  (数式)'!J20</f>
        <v>0</v>
      </c>
      <c r="K98" s="2792">
        <f>'[49]債務負担行為積算  (数式)'!K20</f>
        <v>25996929700.906799</v>
      </c>
      <c r="L98" s="2792">
        <f>'[49]債務負担行為積算  (数式)'!L20</f>
        <v>31716254235.106293</v>
      </c>
    </row>
    <row r="100" spans="1:14">
      <c r="A100" s="2749" t="s">
        <v>247</v>
      </c>
      <c r="I100" s="2740"/>
      <c r="J100" s="2740"/>
      <c r="M100" s="2738"/>
    </row>
    <row r="101" spans="1:14" ht="52">
      <c r="A101" s="2767"/>
      <c r="B101" s="2768" t="s">
        <v>222</v>
      </c>
      <c r="C101" s="2741" t="s">
        <v>248</v>
      </c>
      <c r="D101" s="2772" t="s">
        <v>249</v>
      </c>
      <c r="E101" s="2741" t="s">
        <v>250</v>
      </c>
      <c r="F101" s="2748" t="s">
        <v>226</v>
      </c>
      <c r="G101" s="2741" t="s">
        <v>227</v>
      </c>
      <c r="H101" s="2748" t="s">
        <v>228</v>
      </c>
      <c r="I101" s="2731" t="s">
        <v>229</v>
      </c>
      <c r="J101" s="2740"/>
      <c r="K101" s="2748" t="s">
        <v>230</v>
      </c>
      <c r="L101" s="2748" t="s">
        <v>231</v>
      </c>
      <c r="M101" s="2739"/>
      <c r="N101" s="2738"/>
    </row>
    <row r="102" spans="1:14">
      <c r="A102" s="6433" t="s">
        <v>232</v>
      </c>
      <c r="B102" s="2768" t="s">
        <v>251</v>
      </c>
      <c r="C102" s="2783">
        <f>'[49]債務負担行為積算  (数式)'!C24</f>
        <v>535555.17040860734</v>
      </c>
      <c r="D102" s="2774">
        <f>'[49]債務負担行為積算  (数式)'!D24</f>
        <v>465</v>
      </c>
      <c r="E102" s="2733">
        <f>'[49]債務負担行為積算  (数式)'!E24</f>
        <v>33</v>
      </c>
      <c r="F102" s="2737">
        <f>'[49]債務負担行為積算  (数式)'!F24</f>
        <v>8218094089.9200792</v>
      </c>
      <c r="G102" s="2732">
        <f>'[49]債務負担行為積算  (数式)'!G24</f>
        <v>1.22</v>
      </c>
      <c r="H102" s="2737">
        <f>'[49]債務負担行為積算  (数式)'!H24</f>
        <v>10026074790</v>
      </c>
      <c r="I102" s="2737">
        <f>'[49]債務負担行為積算  (数式)'!I24</f>
        <v>10026074790</v>
      </c>
      <c r="J102" s="2740">
        <f>'[49]債務負担行為積算  (数式)'!J24</f>
        <v>0</v>
      </c>
      <c r="K102" s="2737">
        <f>'[49]債務負担行為積算  (数式)'!K24</f>
        <v>4910934146</v>
      </c>
      <c r="L102" s="2737">
        <f>'[49]債務負担行為積算  (数式)'!L24</f>
        <v>5991339658.1199999</v>
      </c>
      <c r="M102" s="2739"/>
      <c r="N102" s="2738"/>
    </row>
    <row r="103" spans="1:14">
      <c r="A103" s="6433"/>
      <c r="B103" s="2768" t="s">
        <v>236</v>
      </c>
      <c r="C103" s="2783">
        <f>'[49]債務負担行為積算  (数式)'!C25</f>
        <v>2025837.3020833333</v>
      </c>
      <c r="D103" s="2774">
        <f>'[49]債務負担行為積算  (数式)'!D25</f>
        <v>56</v>
      </c>
      <c r="E103" s="2733">
        <f>'[49]債務負担行為積算  (数式)'!E25</f>
        <v>33</v>
      </c>
      <c r="F103" s="2737">
        <f>'[49]債務負担行為積算  (数式)'!F25</f>
        <v>3743747334.25</v>
      </c>
      <c r="G103" s="2732">
        <f>'[49]債務負担行為積算  (数式)'!G25</f>
        <v>1.22</v>
      </c>
      <c r="H103" s="2737">
        <f>'[49]債務負担行為積算  (数式)'!H25</f>
        <v>4567371748</v>
      </c>
      <c r="I103" s="6435">
        <f>'[49]債務負担行為積算  (数式)'!I25</f>
        <v>6487398830</v>
      </c>
      <c r="J103" s="2740">
        <f>'[49]債務負担行為積算  (数式)'!J25</f>
        <v>0</v>
      </c>
      <c r="K103" s="2737">
        <f>'[49]債務負担行為積算  (数式)'!K25</f>
        <v>1895857531</v>
      </c>
      <c r="L103" s="2737">
        <f>'[49]債務負担行為積算  (数式)'!L25</f>
        <v>2312946187.8200002</v>
      </c>
      <c r="M103" s="2739"/>
      <c r="N103" s="2738"/>
    </row>
    <row r="104" spans="1:14" ht="12.75" hidden="1" customHeight="1">
      <c r="A104" s="6433"/>
      <c r="B104" s="2768" t="s">
        <v>237</v>
      </c>
      <c r="C104" s="2784">
        <f>'[49]債務負担行為積算  (数式)'!C26</f>
        <v>0</v>
      </c>
      <c r="D104" s="2782">
        <f>'[49]債務負担行為積算  (数式)'!D26</f>
        <v>0</v>
      </c>
      <c r="E104" s="2775">
        <f>'[49]債務負担行為積算  (数式)'!E26</f>
        <v>0</v>
      </c>
      <c r="F104" s="2801">
        <f>'[49]債務負担行為積算  (数式)'!F26</f>
        <v>0</v>
      </c>
      <c r="G104" s="2732">
        <f>'[49]債務負担行為積算  (数式)'!G26</f>
        <v>1.22</v>
      </c>
      <c r="H104" s="2801">
        <f>'[49]債務負担行為積算  (数式)'!H26</f>
        <v>0</v>
      </c>
      <c r="I104" s="6435"/>
      <c r="J104" s="2740">
        <f>'[49]債務負担行為積算  (数式)'!J26</f>
        <v>0</v>
      </c>
      <c r="K104" s="2801">
        <f>'[49]債務負担行為積算  (数式)'!K26</f>
        <v>0</v>
      </c>
      <c r="L104" s="2737">
        <f>'[49]債務負担行為積算  (数式)'!L26</f>
        <v>0</v>
      </c>
      <c r="M104" s="2739"/>
      <c r="N104" s="2738"/>
    </row>
    <row r="105" spans="1:14" ht="12.75" customHeight="1">
      <c r="A105" s="6433"/>
      <c r="B105" s="2768" t="s">
        <v>238</v>
      </c>
      <c r="C105" s="2783">
        <f>'[49]債務負担行為積算  (数式)'!C27</f>
        <v>634849.8142857143</v>
      </c>
      <c r="D105" s="2774">
        <f>'[49]債務負担行為積算  (数式)'!D27</f>
        <v>67</v>
      </c>
      <c r="E105" s="2736">
        <f>'[49]債務負担行為積算  (数式)'!E27</f>
        <v>37</v>
      </c>
      <c r="F105" s="2737">
        <f>'[49]債務負担行為積算  (数式)'!F27</f>
        <v>1573792689.6142857</v>
      </c>
      <c r="G105" s="2732">
        <f>'[49]債務負担行為積算  (数式)'!G27</f>
        <v>1.22</v>
      </c>
      <c r="H105" s="2737">
        <f>'[49]債務負担行為積算  (数式)'!H27</f>
        <v>1920027082</v>
      </c>
      <c r="I105" s="6435"/>
      <c r="J105" s="2740">
        <f>'[49]債務負担行為積算  (数式)'!J27</f>
        <v>0</v>
      </c>
      <c r="K105" s="2737">
        <f>'[49]債務負担行為積算  (数式)'!K27</f>
        <v>764465724</v>
      </c>
      <c r="L105" s="2737">
        <f>'[49]債務負担行為積算  (数式)'!L27</f>
        <v>932648183.27999997</v>
      </c>
      <c r="M105" s="2739"/>
      <c r="N105" s="2738"/>
    </row>
    <row r="106" spans="1:14">
      <c r="A106" s="6433" t="s">
        <v>242</v>
      </c>
      <c r="B106" s="2768" t="s">
        <v>251</v>
      </c>
      <c r="C106" s="2783">
        <f>'[49]債務負担行為積算  (数式)'!C28</f>
        <v>1158248.935561944</v>
      </c>
      <c r="D106" s="2747">
        <f>'[49]債務負担行為積算  (数式)'!D28</f>
        <v>259</v>
      </c>
      <c r="E106" s="2733">
        <f>'[49]債務負担行為積算  (数式)'!E28</f>
        <v>19</v>
      </c>
      <c r="F106" s="2737">
        <f>'[49]債務負担行為積算  (数式)'!F28</f>
        <v>5699743011.9003267</v>
      </c>
      <c r="G106" s="2732">
        <f>'[49]債務負担行為積算  (数式)'!G28</f>
        <v>1.22</v>
      </c>
      <c r="H106" s="2737">
        <f>'[49]債務負担行為積算  (数式)'!H28</f>
        <v>6953686475</v>
      </c>
      <c r="I106" s="2737">
        <f>'[49]債務負担行為積算  (数式)'!I28</f>
        <v>6953686475</v>
      </c>
      <c r="J106" s="2728">
        <f>'[49]債務負担行為積算  (数式)'!J28</f>
        <v>0</v>
      </c>
      <c r="K106" s="2737">
        <f>'[49]債務負担行為積算  (数式)'!K28</f>
        <v>2631128580</v>
      </c>
      <c r="L106" s="2737">
        <f>'[49]債務負担行為積算  (数式)'!L28</f>
        <v>3209976867.5999999</v>
      </c>
      <c r="N106" s="2728"/>
    </row>
    <row r="107" spans="1:14">
      <c r="A107" s="6433"/>
      <c r="B107" s="2768" t="s">
        <v>236</v>
      </c>
      <c r="C107" s="2734">
        <f>'[49]債務負担行為積算  (数式)'!C29</f>
        <v>2529412.3125</v>
      </c>
      <c r="D107" s="2747">
        <f>'[49]債務負担行為積算  (数式)'!D29</f>
        <v>16</v>
      </c>
      <c r="E107" s="2733">
        <f>'[49]債務負担行為積算  (数式)'!E29</f>
        <v>19</v>
      </c>
      <c r="F107" s="2737">
        <f>'[49]債務負担行為積算  (数式)'!F29</f>
        <v>768941343</v>
      </c>
      <c r="G107" s="2732">
        <f>'[49]債務負担行為積算  (数式)'!G29</f>
        <v>1.22</v>
      </c>
      <c r="H107" s="2737">
        <f>'[49]債務負担行為積算  (数式)'!H29</f>
        <v>938108439</v>
      </c>
      <c r="I107" s="6435">
        <f>'[49]債務負担行為積算  (数式)'!I29</f>
        <v>1115182338</v>
      </c>
      <c r="J107" s="2728">
        <f>'[49]債務負担行為積算  (数式)'!J29</f>
        <v>0</v>
      </c>
      <c r="K107" s="2737">
        <f>'[49]債務負担行為積算  (数式)'!K29</f>
        <v>526117761</v>
      </c>
      <c r="L107" s="2737">
        <f>'[49]債務負担行為積算  (数式)'!L29</f>
        <v>641863668.41999996</v>
      </c>
      <c r="N107" s="2728"/>
    </row>
    <row r="108" spans="1:14" ht="13" customHeight="1" thickBot="1">
      <c r="A108" s="6434"/>
      <c r="B108" s="2794" t="s">
        <v>245</v>
      </c>
      <c r="C108" s="2795">
        <f>'[49]債務負担行為積算  (数式)'!C30</f>
        <v>1036732.4285714285</v>
      </c>
      <c r="D108" s="2805">
        <f>'[49]債務負担行為積算  (数式)'!D30</f>
        <v>7</v>
      </c>
      <c r="E108" s="2806">
        <f>'[49]債務負担行為積算  (数式)'!E30</f>
        <v>20</v>
      </c>
      <c r="F108" s="2799">
        <f>'[49]債務負担行為積算  (数式)'!F30</f>
        <v>145142540</v>
      </c>
      <c r="G108" s="2798">
        <f>'[49]債務負担行為積算  (数式)'!G30</f>
        <v>1.22</v>
      </c>
      <c r="H108" s="2799">
        <f>'[49]債務負担行為積算  (数式)'!H30</f>
        <v>177073899</v>
      </c>
      <c r="I108" s="6436"/>
      <c r="J108" s="2728">
        <f>'[49]債務負担行為積算  (数式)'!J30</f>
        <v>0</v>
      </c>
      <c r="K108" s="2799">
        <f>'[49]債務負担行為積算  (数式)'!K30</f>
        <v>137885413</v>
      </c>
      <c r="L108" s="2799">
        <f>'[49]債務負担行為積算  (数式)'!L30</f>
        <v>168220203.85999998</v>
      </c>
      <c r="N108" s="2728"/>
    </row>
    <row r="109" spans="1:14" ht="13.5" thickTop="1">
      <c r="A109" s="2770" t="s">
        <v>127</v>
      </c>
      <c r="B109" s="2791" t="s">
        <v>246</v>
      </c>
      <c r="C109" s="2800" t="str">
        <f>'[49]債務負担行為積算  (数式)'!C31</f>
        <v>-</v>
      </c>
      <c r="D109" s="2793" t="str">
        <f>'[49]債務負担行為積算  (数式)'!D31</f>
        <v>-</v>
      </c>
      <c r="E109" s="2792" t="str">
        <f>'[49]債務負担行為積算  (数式)'!E31</f>
        <v>-</v>
      </c>
      <c r="F109" s="2792">
        <f>'[49]債務負担行為積算  (数式)'!F31</f>
        <v>20149461008.684692</v>
      </c>
      <c r="G109" s="2807" t="str">
        <f>'[49]債務負担行為積算  (数式)'!G31</f>
        <v>-</v>
      </c>
      <c r="H109" s="2792">
        <f>'[49]債務負担行為積算  (数式)'!H31</f>
        <v>24582342433</v>
      </c>
      <c r="I109" s="2792">
        <f>'[49]債務負担行為積算  (数式)'!I31</f>
        <v>24582342433</v>
      </c>
      <c r="J109" s="2728">
        <f>'[49]債務負担行為積算  (数式)'!J31</f>
        <v>0</v>
      </c>
      <c r="K109" s="2792">
        <f>'[49]債務負担行為積算  (数式)'!K31</f>
        <v>10866389155</v>
      </c>
      <c r="L109" s="2792">
        <f>'[49]債務負担行為積算  (数式)'!L31</f>
        <v>13256994769.100002</v>
      </c>
    </row>
    <row r="110" spans="1:14">
      <c r="A110" s="2813" t="s">
        <v>252</v>
      </c>
      <c r="E110" s="2813"/>
    </row>
    <row r="113" spans="8:9">
      <c r="H113" s="2729" t="s">
        <v>253</v>
      </c>
    </row>
    <row r="114" spans="8:9">
      <c r="H114" s="2731" t="s">
        <v>254</v>
      </c>
      <c r="I114" s="2733">
        <f>'[49]債務負担行為積算  (数式)'!I36</f>
        <v>52955088421</v>
      </c>
    </row>
    <row r="115" spans="8:9">
      <c r="H115" s="2731" t="s">
        <v>255</v>
      </c>
      <c r="I115" s="2733">
        <f>'[49]債務負担行為積算  (数式)'!I37</f>
        <v>18191227788</v>
      </c>
    </row>
    <row r="116" spans="8:9">
      <c r="H116" s="2821" t="s">
        <v>127</v>
      </c>
      <c r="I116" s="2822">
        <f>'[49]債務負担行為積算  (数式)'!I38</f>
        <v>71146316209</v>
      </c>
    </row>
  </sheetData>
  <mergeCells count="24">
    <mergeCell ref="A4:A11"/>
    <mergeCell ref="I6:I11"/>
    <mergeCell ref="A12:A19"/>
    <mergeCell ref="I14:I19"/>
    <mergeCell ref="A24:A27"/>
    <mergeCell ref="I25:I27"/>
    <mergeCell ref="A28:A30"/>
    <mergeCell ref="I29:I30"/>
    <mergeCell ref="A43:A50"/>
    <mergeCell ref="I45:I50"/>
    <mergeCell ref="A51:A58"/>
    <mergeCell ref="I53:I58"/>
    <mergeCell ref="A63:A66"/>
    <mergeCell ref="I64:I66"/>
    <mergeCell ref="A67:A69"/>
    <mergeCell ref="I68:I69"/>
    <mergeCell ref="A82:A89"/>
    <mergeCell ref="I84:I89"/>
    <mergeCell ref="A90:A97"/>
    <mergeCell ref="I92:I97"/>
    <mergeCell ref="A102:A105"/>
    <mergeCell ref="I103:I105"/>
    <mergeCell ref="A106:A108"/>
    <mergeCell ref="I107:I108"/>
  </mergeCells>
  <phoneticPr fontId="2"/>
  <printOptions verticalCentered="1"/>
  <pageMargins left="0.70866141732283472" right="0.70866141732283472" top="0.74803149606299213" bottom="0.74803149606299213" header="0.31496062992125984" footer="0.31496062992125984"/>
  <pageSetup paperSize="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E4EF-5FF2-4F38-8B4A-8848A5637752}">
  <sheetPr codeName="Sheet257">
    <tabColor rgb="FF00B050"/>
    <pageSetUpPr fitToPage="1"/>
  </sheetPr>
  <dimension ref="B2:H44"/>
  <sheetViews>
    <sheetView workbookViewId="0">
      <selection activeCell="C28" sqref="C28"/>
    </sheetView>
  </sheetViews>
  <sheetFormatPr defaultRowHeight="13"/>
  <cols>
    <col min="1" max="1" width="3.1796875" customWidth="1"/>
    <col min="2" max="2" width="24.453125" customWidth="1"/>
    <col min="3" max="5" width="27.1796875" customWidth="1"/>
    <col min="6" max="6" width="12.81640625" customWidth="1"/>
    <col min="7" max="7" width="24.453125" customWidth="1"/>
    <col min="8" max="8" width="21.26953125" customWidth="1"/>
  </cols>
  <sheetData>
    <row r="2" spans="2:2" ht="16.5">
      <c r="B2" s="2773" t="s">
        <v>258</v>
      </c>
    </row>
    <row r="3" spans="2:2">
      <c r="B3" t="s">
        <v>259</v>
      </c>
    </row>
    <row r="4" spans="2:2">
      <c r="B4" t="s">
        <v>260</v>
      </c>
    </row>
    <row r="5" spans="2:2">
      <c r="B5" t="s">
        <v>261</v>
      </c>
    </row>
    <row r="6" spans="2:2">
      <c r="B6" t="s">
        <v>262</v>
      </c>
    </row>
    <row r="7" spans="2:2">
      <c r="B7" t="s">
        <v>263</v>
      </c>
    </row>
    <row r="9" spans="2:2" ht="16.5">
      <c r="B9" s="2773" t="s">
        <v>264</v>
      </c>
    </row>
    <row r="10" spans="2:2">
      <c r="B10" t="s">
        <v>265</v>
      </c>
    </row>
    <row r="11" spans="2:2">
      <c r="B11" t="s">
        <v>266</v>
      </c>
    </row>
    <row r="12" spans="2:2">
      <c r="B12" t="s">
        <v>267</v>
      </c>
    </row>
    <row r="13" spans="2:2">
      <c r="B13" t="s">
        <v>268</v>
      </c>
    </row>
    <row r="14" spans="2:2">
      <c r="B14" t="s">
        <v>269</v>
      </c>
    </row>
    <row r="15" spans="2:2">
      <c r="B15" t="s">
        <v>270</v>
      </c>
    </row>
    <row r="16" spans="2:2">
      <c r="B16" t="s">
        <v>271</v>
      </c>
    </row>
    <row r="17" spans="2:8">
      <c r="B17" t="s">
        <v>272</v>
      </c>
    </row>
    <row r="18" spans="2:8">
      <c r="B18" t="s">
        <v>273</v>
      </c>
    </row>
    <row r="19" spans="2:8">
      <c r="B19" t="s">
        <v>274</v>
      </c>
    </row>
    <row r="21" spans="2:8" ht="25.5" customHeight="1">
      <c r="C21" s="2808" t="s">
        <v>275</v>
      </c>
      <c r="D21" s="2808" t="s">
        <v>276</v>
      </c>
      <c r="E21" s="2808" t="s">
        <v>277</v>
      </c>
      <c r="F21" s="2808" t="s">
        <v>278</v>
      </c>
      <c r="G21" s="2808" t="s">
        <v>279</v>
      </c>
      <c r="H21" s="2808" t="s">
        <v>280</v>
      </c>
    </row>
    <row r="22" spans="2:8" ht="29.15" customHeight="1">
      <c r="B22" s="2809" t="s">
        <v>281</v>
      </c>
      <c r="C22" s="2824">
        <f>SUM(Results【技術役員スポンサーメディア積算】!BC283)</f>
        <v>1720770931</v>
      </c>
      <c r="D22" s="2824">
        <f>SUM(Results【技術役員スポンサーメディア積算】!BI283)</f>
        <v>691185467</v>
      </c>
      <c r="E22" s="2824">
        <f t="shared" ref="E22:E37" si="0">SUM(C22:D22)</f>
        <v>2411956398</v>
      </c>
      <c r="F22" s="2803">
        <f>'物価（案3）'!$I$10</f>
        <v>1.34</v>
      </c>
      <c r="G22" s="2804">
        <f>ROUNDUP($E22*$F22,0)</f>
        <v>3232021574</v>
      </c>
      <c r="H22" s="2804">
        <f>G22</f>
        <v>3232021574</v>
      </c>
    </row>
    <row r="23" spans="2:8" ht="29.15" customHeight="1">
      <c r="B23" s="2959" t="s">
        <v>282</v>
      </c>
      <c r="C23" s="2960" t="e">
        <f>SUM(Results【技術役員スポンサーメディア積算】!#REF!)</f>
        <v>#REF!</v>
      </c>
      <c r="D23" s="2960" t="e">
        <f>SUM(Results【技術役員スポンサーメディア積算】!#REF!)</f>
        <v>#REF!</v>
      </c>
      <c r="E23" s="2960" t="e">
        <f t="shared" si="0"/>
        <v>#REF!</v>
      </c>
      <c r="F23" s="2961">
        <f>'物価（案3）'!$I$10</f>
        <v>1.34</v>
      </c>
      <c r="G23" s="2962" t="e">
        <f t="shared" ref="G23:G31" si="1">ROUNDUP($E23*$F23,0)</f>
        <v>#REF!</v>
      </c>
      <c r="H23" s="2962" t="e">
        <f>G23</f>
        <v>#REF!</v>
      </c>
    </row>
    <row r="24" spans="2:8" ht="29.15" customHeight="1">
      <c r="B24" s="2809" t="s">
        <v>283</v>
      </c>
      <c r="C24" s="2824">
        <f>SUM(Results【技術役員スポンサーメディア積算】!BD283)</f>
        <v>959319162</v>
      </c>
      <c r="D24" s="2824">
        <f>SUM(Results【技術役員スポンサーメディア積算】!BJ283)</f>
        <v>1898926146</v>
      </c>
      <c r="E24" s="2824">
        <f t="shared" si="0"/>
        <v>2858245308</v>
      </c>
      <c r="F24" s="2803">
        <f>'物価（案3）'!$I$10</f>
        <v>1.34</v>
      </c>
      <c r="G24" s="2804">
        <f t="shared" si="1"/>
        <v>3830048713</v>
      </c>
      <c r="H24" s="6440" t="e">
        <f>SUM(G24:G29)</f>
        <v>#REF!</v>
      </c>
    </row>
    <row r="25" spans="2:8" ht="29.15" customHeight="1">
      <c r="B25" s="2809" t="s">
        <v>284</v>
      </c>
      <c r="C25" s="2824" t="e">
        <f>SUM(Results【技術役員スポンサーメディア積算】!#REF!)</f>
        <v>#REF!</v>
      </c>
      <c r="D25" s="2824" t="e">
        <f>SUM(Results【技術役員スポンサーメディア積算】!#REF!)</f>
        <v>#REF!</v>
      </c>
      <c r="E25" s="2824" t="e">
        <f t="shared" si="0"/>
        <v>#REF!</v>
      </c>
      <c r="F25" s="2803">
        <f>'物価（案3）'!$I$10</f>
        <v>1.34</v>
      </c>
      <c r="G25" s="2804" t="e">
        <f t="shared" si="1"/>
        <v>#REF!</v>
      </c>
      <c r="H25" s="6440"/>
    </row>
    <row r="26" spans="2:8" ht="29.15" customHeight="1">
      <c r="B26" s="2809" t="s">
        <v>285</v>
      </c>
      <c r="C26" s="2824" t="e">
        <f>SUM(Results【技術役員スポンサーメディア積算】!#REF!)</f>
        <v>#REF!</v>
      </c>
      <c r="D26" s="2824">
        <f>SUM(Results【技術役員スポンサーメディア積算】!BK283)</f>
        <v>87385650</v>
      </c>
      <c r="E26" s="2824" t="e">
        <f t="shared" si="0"/>
        <v>#REF!</v>
      </c>
      <c r="F26" s="2803">
        <f>'物価（案3）'!$I$10</f>
        <v>1.34</v>
      </c>
      <c r="G26" s="2804" t="e">
        <f t="shared" si="1"/>
        <v>#REF!</v>
      </c>
      <c r="H26" s="6440"/>
    </row>
    <row r="27" spans="2:8" ht="29.15" customHeight="1">
      <c r="B27" s="2809" t="s">
        <v>286</v>
      </c>
      <c r="C27" s="2824">
        <f>SUM(Results【技術役員スポンサーメディア積算】!BE283)</f>
        <v>1980375600</v>
      </c>
      <c r="D27" s="2824">
        <v>0</v>
      </c>
      <c r="E27" s="2824">
        <f>SUM(C27:D27)</f>
        <v>1980375600</v>
      </c>
      <c r="F27" s="2803">
        <f>'物価（案3）'!$I$10</f>
        <v>1.34</v>
      </c>
      <c r="G27" s="2825">
        <f>ROUNDUP($E27*$F27,0)</f>
        <v>2653703304</v>
      </c>
      <c r="H27" s="6440"/>
    </row>
    <row r="28" spans="2:8" ht="29.15" customHeight="1">
      <c r="B28" s="2809" t="s">
        <v>287</v>
      </c>
      <c r="C28" s="2824" t="e">
        <f>SUM(Results【技術役員スポンサーメディア積算】!#REF!)</f>
        <v>#REF!</v>
      </c>
      <c r="D28" s="2824">
        <v>0</v>
      </c>
      <c r="E28" s="2824" t="e">
        <f t="shared" si="0"/>
        <v>#REF!</v>
      </c>
      <c r="F28" s="2803">
        <f>'物価（案3）'!$I$10</f>
        <v>1.34</v>
      </c>
      <c r="G28" s="2804" t="e">
        <f t="shared" si="1"/>
        <v>#REF!</v>
      </c>
      <c r="H28" s="6440"/>
    </row>
    <row r="29" spans="2:8" ht="29.15" customHeight="1">
      <c r="B29" s="2809" t="s">
        <v>288</v>
      </c>
      <c r="C29" s="2824" t="e">
        <f>SUM(Results【技術役員スポンサーメディア積算】!#REF!)</f>
        <v>#REF!</v>
      </c>
      <c r="D29" s="2824">
        <v>0</v>
      </c>
      <c r="E29" s="2824" t="e">
        <f t="shared" si="0"/>
        <v>#REF!</v>
      </c>
      <c r="F29" s="2803">
        <f>'物価（案3）'!$I$10</f>
        <v>1.34</v>
      </c>
      <c r="G29" s="2804" t="e">
        <f t="shared" si="1"/>
        <v>#REF!</v>
      </c>
      <c r="H29" s="6440"/>
    </row>
    <row r="30" spans="2:8" ht="29.15" customHeight="1">
      <c r="B30" s="2810" t="s">
        <v>289</v>
      </c>
      <c r="C30" s="2824">
        <f>SUM(Results【技術役員スポンサーメディア積算】!BF283)</f>
        <v>344907436</v>
      </c>
      <c r="D30" s="2824">
        <f>SUM(Results【技術役員スポンサーメディア積算】!BL283)</f>
        <v>321313565</v>
      </c>
      <c r="E30" s="2824">
        <f t="shared" si="0"/>
        <v>666221001</v>
      </c>
      <c r="F30" s="2803">
        <f>'物価（案3）'!$I$10</f>
        <v>1.34</v>
      </c>
      <c r="G30" s="2804">
        <f t="shared" si="1"/>
        <v>892736142</v>
      </c>
      <c r="H30" s="2819">
        <f>G30</f>
        <v>892736142</v>
      </c>
    </row>
    <row r="31" spans="2:8" ht="29.15" customHeight="1">
      <c r="B31" s="2810" t="s">
        <v>290</v>
      </c>
      <c r="C31" s="2824">
        <f>SUM(Results【技術役員スポンサーメディア積算】!BG283)</f>
        <v>624655701</v>
      </c>
      <c r="D31" s="2824">
        <f>SUM(Results【技術役員スポンサーメディア積算】!BM283)</f>
        <v>855630459</v>
      </c>
      <c r="E31" s="2824">
        <f t="shared" si="0"/>
        <v>1480286160</v>
      </c>
      <c r="F31" s="2803">
        <f>'物価（案3）'!$I$10</f>
        <v>1.34</v>
      </c>
      <c r="G31" s="2804">
        <f t="shared" si="1"/>
        <v>1983583455</v>
      </c>
      <c r="H31" s="2819">
        <f>G31</f>
        <v>1983583455</v>
      </c>
    </row>
    <row r="32" spans="2:8" ht="29.15" customHeight="1">
      <c r="B32" s="2810" t="s">
        <v>291</v>
      </c>
      <c r="C32" s="2824">
        <f>SUM(Results【技術役員スポンサーメディア積算】!BH283)</f>
        <v>300216120</v>
      </c>
      <c r="D32" s="2824">
        <f>SUM(Results【技術役員スポンサーメディア積算】!BN283)</f>
        <v>0</v>
      </c>
      <c r="E32" s="2824">
        <f t="shared" si="0"/>
        <v>300216120</v>
      </c>
      <c r="F32" s="2803">
        <f>'物価（案3）'!$I$10</f>
        <v>1.34</v>
      </c>
      <c r="G32" s="2804">
        <f t="shared" ref="G32:G37" si="2">ROUNDUP($E32*$F32,0)</f>
        <v>402289601</v>
      </c>
      <c r="H32" s="6440" t="e">
        <f>SUM(G32:G37)</f>
        <v>#REF!</v>
      </c>
    </row>
    <row r="33" spans="2:8" ht="29.15" customHeight="1">
      <c r="B33" s="2810" t="s">
        <v>292</v>
      </c>
      <c r="C33" s="2824" t="e">
        <f>SUM(Results【技術役員スポンサーメディア積算】!#REF!)</f>
        <v>#REF!</v>
      </c>
      <c r="D33" s="2824">
        <v>0</v>
      </c>
      <c r="E33" s="2824" t="e">
        <f>SUM(C33:D33)</f>
        <v>#REF!</v>
      </c>
      <c r="F33" s="2803">
        <f>'物価（案3）'!$I$10</f>
        <v>1.34</v>
      </c>
      <c r="G33" s="2825" t="e">
        <f>ROUNDUP($E33*$F33,0)</f>
        <v>#REF!</v>
      </c>
      <c r="H33" s="6441"/>
    </row>
    <row r="34" spans="2:8" ht="29.15" customHeight="1">
      <c r="B34" s="2810" t="s">
        <v>293</v>
      </c>
      <c r="C34" s="2824" t="e">
        <f>SUM(Results【技術役員スポンサーメディア積算】!#REF!)</f>
        <v>#REF!</v>
      </c>
      <c r="D34" s="2824" t="e">
        <f>SUM(Results【技術役員スポンサーメディア積算】!#REF!)</f>
        <v>#REF!</v>
      </c>
      <c r="E34" s="2824" t="e">
        <f t="shared" si="0"/>
        <v>#REF!</v>
      </c>
      <c r="F34" s="2803">
        <f>'物価（案3）'!$I$10</f>
        <v>1.34</v>
      </c>
      <c r="G34" s="2804" t="e">
        <f t="shared" si="2"/>
        <v>#REF!</v>
      </c>
      <c r="H34" s="6441"/>
    </row>
    <row r="35" spans="2:8" ht="29.15" customHeight="1">
      <c r="B35" s="2810" t="s">
        <v>294</v>
      </c>
      <c r="C35" s="2824" t="e">
        <f>SUM(Results【技術役員スポンサーメディア積算】!#REF!)</f>
        <v>#REF!</v>
      </c>
      <c r="D35" s="2824">
        <v>0</v>
      </c>
      <c r="E35" s="2824" t="e">
        <f t="shared" si="0"/>
        <v>#REF!</v>
      </c>
      <c r="F35" s="2803">
        <f>'物価（案3）'!$I$10</f>
        <v>1.34</v>
      </c>
      <c r="G35" s="2804" t="e">
        <f t="shared" si="2"/>
        <v>#REF!</v>
      </c>
      <c r="H35" s="6441"/>
    </row>
    <row r="36" spans="2:8" ht="29.15" customHeight="1">
      <c r="B36" s="2810" t="s">
        <v>295</v>
      </c>
      <c r="C36" s="2824" t="e">
        <f>SUM(Results【技術役員スポンサーメディア積算】!#REF!)</f>
        <v>#REF!</v>
      </c>
      <c r="D36" s="2824">
        <v>0</v>
      </c>
      <c r="E36" s="2824" t="e">
        <f t="shared" si="0"/>
        <v>#REF!</v>
      </c>
      <c r="F36" s="2803">
        <f>'物価（案3）'!$I$10</f>
        <v>1.34</v>
      </c>
      <c r="G36" s="2804" t="e">
        <f t="shared" si="2"/>
        <v>#REF!</v>
      </c>
      <c r="H36" s="6441"/>
    </row>
    <row r="37" spans="2:8" ht="29.15" customHeight="1">
      <c r="B37" s="2810" t="s">
        <v>296</v>
      </c>
      <c r="C37" s="2824" t="e">
        <f>SUM(Results【技術役員スポンサーメディア積算】!#REF!)</f>
        <v>#REF!</v>
      </c>
      <c r="D37" s="2824">
        <v>0</v>
      </c>
      <c r="E37" s="2824" t="e">
        <f t="shared" si="0"/>
        <v>#REF!</v>
      </c>
      <c r="F37" s="2803">
        <f>'物価（案3）'!$I$10</f>
        <v>1.34</v>
      </c>
      <c r="G37" s="2804" t="e">
        <f t="shared" si="2"/>
        <v>#REF!</v>
      </c>
      <c r="H37" s="6442"/>
    </row>
    <row r="38" spans="2:8">
      <c r="B38" s="2812" t="s">
        <v>297</v>
      </c>
      <c r="C38" s="2814" t="e">
        <f>SUM(C22:C37)</f>
        <v>#REF!</v>
      </c>
      <c r="D38" s="2814" t="e">
        <f>SUM(D22:D37)</f>
        <v>#REF!</v>
      </c>
      <c r="E38" s="2814" t="e">
        <f>SUM(E22:E37)</f>
        <v>#REF!</v>
      </c>
      <c r="G38" s="2814" t="e">
        <f>SUM(G22:G37)</f>
        <v>#REF!</v>
      </c>
      <c r="H38" s="2814" t="e">
        <f>SUM(H22:H37)</f>
        <v>#REF!</v>
      </c>
    </row>
    <row r="39" spans="2:8" ht="13.5" thickBot="1">
      <c r="B39" s="2812"/>
    </row>
    <row r="40" spans="2:8" ht="13.5" thickBot="1">
      <c r="B40" s="2812"/>
      <c r="C40" s="2818" t="s">
        <v>275</v>
      </c>
      <c r="D40" s="2818" t="s">
        <v>276</v>
      </c>
      <c r="E40" s="2818" t="s">
        <v>277</v>
      </c>
      <c r="F40" s="2818"/>
      <c r="G40" s="2818" t="s">
        <v>279</v>
      </c>
    </row>
    <row r="41" spans="2:8" ht="18.649999999999999" customHeight="1" thickBot="1">
      <c r="B41" s="2815" t="s">
        <v>298</v>
      </c>
      <c r="C41" s="2826" t="e">
        <f>SUM(C22,C24:C29)</f>
        <v>#REF!</v>
      </c>
      <c r="D41" s="2826" t="e">
        <f>SUM(D22,D24:D29)</f>
        <v>#REF!</v>
      </c>
      <c r="E41" s="2826" t="e">
        <f>SUM(E22,E24:E29)</f>
        <v>#REF!</v>
      </c>
      <c r="F41" s="2816"/>
      <c r="G41" s="2820" t="e">
        <f>SUM(G22,G24:G29)</f>
        <v>#REF!</v>
      </c>
    </row>
    <row r="42" spans="2:8" ht="18.649999999999999" customHeight="1" thickBot="1">
      <c r="B42" s="2963" t="s">
        <v>299</v>
      </c>
      <c r="C42" s="2964" t="e">
        <f>SUM(C23,C24:C29)</f>
        <v>#REF!</v>
      </c>
      <c r="D42" s="2964" t="e">
        <f>SUM(D23,D24:D29)</f>
        <v>#REF!</v>
      </c>
      <c r="E42" s="2964" t="e">
        <f>SUM(E23,E24:E29)</f>
        <v>#REF!</v>
      </c>
      <c r="F42" s="2965"/>
      <c r="G42" s="2966" t="e">
        <f>SUM(G23,G24:G29)</f>
        <v>#REF!</v>
      </c>
    </row>
    <row r="43" spans="2:8" ht="18.649999999999999" customHeight="1" thickBot="1">
      <c r="B43" s="2817" t="s">
        <v>300</v>
      </c>
      <c r="C43" s="2826" t="e">
        <f>SUM(C30,C32:C37)</f>
        <v>#REF!</v>
      </c>
      <c r="D43" s="2826" t="e">
        <f>SUM(D30,D32:D37)</f>
        <v>#REF!</v>
      </c>
      <c r="E43" s="2826" t="e">
        <f>SUM(E30,E32:E37)</f>
        <v>#REF!</v>
      </c>
      <c r="F43" s="2816"/>
      <c r="G43" s="2820" t="e">
        <f>SUM(G30,G32:G37)</f>
        <v>#REF!</v>
      </c>
    </row>
    <row r="44" spans="2:8" ht="18.649999999999999" customHeight="1" thickBot="1">
      <c r="B44" s="2817" t="s">
        <v>301</v>
      </c>
      <c r="C44" s="2826" t="e">
        <f>SUM(C31,C32:C37)</f>
        <v>#REF!</v>
      </c>
      <c r="D44" s="2826" t="e">
        <f>SUM(D31,D32:D37)</f>
        <v>#REF!</v>
      </c>
      <c r="E44" s="2826" t="e">
        <f>SUM(E31,E32:E37)</f>
        <v>#REF!</v>
      </c>
      <c r="F44" s="2816"/>
      <c r="G44" s="2820" t="e">
        <f>SUM(G31,G32:G37)</f>
        <v>#REF!</v>
      </c>
    </row>
  </sheetData>
  <mergeCells count="2">
    <mergeCell ref="H24:H29"/>
    <mergeCell ref="H32:H37"/>
  </mergeCells>
  <phoneticPr fontId="2"/>
  <pageMargins left="0.7" right="0.7" top="0.75" bottom="0.75" header="0.3" footer="0.3"/>
  <pageSetup paperSize="9" scale="53"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03A2C-6BD9-4968-B4FE-589745E653F7}">
  <sheetPr codeName="Sheet256">
    <tabColor rgb="FF00B050"/>
    <pageSetUpPr fitToPage="1"/>
  </sheetPr>
  <dimension ref="A1:S39"/>
  <sheetViews>
    <sheetView workbookViewId="0"/>
  </sheetViews>
  <sheetFormatPr defaultColWidth="8.7265625" defaultRowHeight="13"/>
  <cols>
    <col min="1" max="1" width="11" style="2766" customWidth="1"/>
    <col min="2" max="2" width="23.81640625" style="2765" customWidth="1"/>
    <col min="3" max="3" width="17.26953125" style="2728" customWidth="1"/>
    <col min="4" max="4" width="14.81640625" style="2771" customWidth="1"/>
    <col min="5" max="5" width="8.81640625" style="2728" customWidth="1"/>
    <col min="6" max="6" width="16.453125" style="2728" bestFit="1" customWidth="1"/>
    <col min="7" max="7" width="14.453125" style="2729" customWidth="1"/>
    <col min="8" max="8" width="16.453125" style="2728" bestFit="1" customWidth="1"/>
    <col min="9" max="9" width="15.453125" style="2728" customWidth="1"/>
    <col min="10" max="10" width="5.453125" style="2728" customWidth="1"/>
    <col min="11" max="11" width="19.453125" style="2728" customWidth="1"/>
    <col min="12" max="12" width="16.453125" style="2728" customWidth="1"/>
    <col min="13" max="13" width="15.26953125" style="2728" customWidth="1"/>
    <col min="14" max="14" width="7.1796875" style="2765" bestFit="1" customWidth="1"/>
    <col min="15" max="15" width="8.81640625" style="2765" bestFit="1" customWidth="1"/>
    <col min="16" max="16" width="7.7265625" style="2765" customWidth="1"/>
    <col min="17" max="17" width="12" style="2765" customWidth="1"/>
    <col min="18" max="18" width="16.7265625" style="2765" customWidth="1"/>
    <col min="19" max="19" width="18.453125" style="2765" customWidth="1"/>
    <col min="20" max="20" width="14.453125" style="2765" customWidth="1"/>
    <col min="21" max="21" width="17.26953125" style="2765" bestFit="1" customWidth="1"/>
    <col min="22" max="22" width="17" style="2765" bestFit="1" customWidth="1"/>
    <col min="23" max="24" width="8.7265625" style="2765" bestFit="1"/>
    <col min="25" max="25" width="11.54296875" style="2765" bestFit="1" customWidth="1"/>
    <col min="26" max="16384" width="8.7265625" style="2765"/>
  </cols>
  <sheetData>
    <row r="1" spans="1:19" ht="31.5" customHeight="1">
      <c r="A1" s="2746" t="s">
        <v>218</v>
      </c>
      <c r="E1" s="2744"/>
      <c r="F1" s="2744"/>
      <c r="G1" s="2745"/>
      <c r="H1" s="2744"/>
      <c r="I1" s="2744"/>
      <c r="J1" s="2744"/>
      <c r="L1" s="2744"/>
      <c r="R1" s="2766"/>
      <c r="S1" s="2766"/>
    </row>
    <row r="2" spans="1:19">
      <c r="A2" s="2749" t="s">
        <v>219</v>
      </c>
      <c r="G2" s="2750" t="s">
        <v>220</v>
      </c>
      <c r="I2" s="2740"/>
      <c r="J2" s="2740"/>
      <c r="K2" s="2728" t="s">
        <v>221</v>
      </c>
      <c r="M2" s="2738"/>
    </row>
    <row r="3" spans="1:19" ht="52">
      <c r="A3" s="2767"/>
      <c r="B3" s="2768" t="s">
        <v>222</v>
      </c>
      <c r="C3" s="2741" t="s">
        <v>223</v>
      </c>
      <c r="D3" s="2772" t="s">
        <v>224</v>
      </c>
      <c r="E3" s="2741" t="s">
        <v>225</v>
      </c>
      <c r="F3" s="2748" t="s">
        <v>226</v>
      </c>
      <c r="G3" s="2741" t="s">
        <v>227</v>
      </c>
      <c r="H3" s="2748" t="s">
        <v>228</v>
      </c>
      <c r="I3" s="2731" t="s">
        <v>229</v>
      </c>
      <c r="J3" s="2740"/>
      <c r="K3" s="2748" t="s">
        <v>230</v>
      </c>
      <c r="L3" s="2748" t="s">
        <v>231</v>
      </c>
      <c r="M3" s="2739"/>
      <c r="N3" s="2738"/>
    </row>
    <row r="4" spans="1:19">
      <c r="A4" s="6437" t="s">
        <v>232</v>
      </c>
      <c r="B4" s="2768" t="s">
        <v>233</v>
      </c>
      <c r="C4" s="2734">
        <f>IF(COUNTIF(Results【技術役員スポンサーメディア積算】!C:C, "選手15000")=0, 0, SUMIF(Results【技術役員スポンサーメディア積算】!C:C, "選手15000", Results【技術役員スポンサーメディア積算】!AA:AA) / COUNTIF(Results【技術役員スポンサーメディア積算】!C:C, "選手15000"))</f>
        <v>0</v>
      </c>
      <c r="D4" s="2774">
        <v>11937</v>
      </c>
      <c r="E4" s="2733">
        <v>32</v>
      </c>
      <c r="F4" s="2737">
        <f>$E$4*$C$4*$D$4</f>
        <v>0</v>
      </c>
      <c r="G4" s="2732">
        <f>'物価（案3）'!$I$10</f>
        <v>1.34</v>
      </c>
      <c r="H4" s="2811">
        <f t="shared" ref="H4:H19" si="0">ROUNDUP($C4*$D4*$E4*$G4,0)</f>
        <v>0</v>
      </c>
      <c r="I4" s="2737">
        <f>H4</f>
        <v>0</v>
      </c>
      <c r="J4" s="2740"/>
      <c r="K4" s="2734">
        <f>Results【技術役員スポンサーメディア積算】!BC283</f>
        <v>1720770931</v>
      </c>
      <c r="L4" s="2737">
        <f t="shared" ref="L4:L19" si="1">$K4*$G4</f>
        <v>2305833047.54</v>
      </c>
      <c r="M4" s="2739"/>
      <c r="N4" s="2738"/>
    </row>
    <row r="5" spans="1:19" hidden="1">
      <c r="A5" s="6437"/>
      <c r="B5" s="2776" t="s">
        <v>234</v>
      </c>
      <c r="C5" s="2777">
        <f>IF(COUNTIF(Results【技術役員スポンサーメディア積算】!D:D, "選手12000")=0, 0, SUMIF(Results【技術役員スポンサーメディア積算】!D:D, "選手12000", Results【技術役員スポンサーメディア積算】!AA:AA) / COUNTIF(Results【技術役員スポンサーメディア積算】!D:D, "選手12000"))</f>
        <v>0</v>
      </c>
      <c r="D5" s="2778">
        <v>9962</v>
      </c>
      <c r="E5" s="2779">
        <v>32</v>
      </c>
      <c r="F5" s="2781">
        <f t="shared" ref="F5:F19" si="2">E5*C5*D5</f>
        <v>0</v>
      </c>
      <c r="G5" s="2780">
        <f>'物価（案3）'!$I$10</f>
        <v>1.34</v>
      </c>
      <c r="H5" s="2781">
        <f t="shared" si="0"/>
        <v>0</v>
      </c>
      <c r="I5" s="2781">
        <f>H5</f>
        <v>0</v>
      </c>
      <c r="J5" s="2740" t="s">
        <v>235</v>
      </c>
      <c r="K5" s="2777" t="e">
        <f>Results【技術役員スポンサーメディア積算】!#REF!</f>
        <v>#REF!</v>
      </c>
      <c r="L5" s="2781" t="e">
        <f t="shared" si="1"/>
        <v>#REF!</v>
      </c>
      <c r="M5" s="2739"/>
      <c r="N5" s="2738"/>
    </row>
    <row r="6" spans="1:19">
      <c r="A6" s="6437"/>
      <c r="B6" s="2768" t="s">
        <v>236</v>
      </c>
      <c r="C6" s="2747" cm="1">
        <f t="array" ref="C6">IF(SUMPRODUCT(--(Results【技術役員スポンサーメディア積算】!C:C="ファミリー") + --(Results【技術役員スポンサーメディア積算】!D:D="ファミリー"))=0, 0, SUMIFS(Results【技術役員スポンサーメディア積算】!AA:AA, Results【技術役員スポンサーメディア積算】!C:C, "ファミリー") + SUMIFS(Results【技術役員スポンサーメディア積算】!AA:AA, Results【技術役員スポンサーメディア積算】!D:D, "ファミリー") / SUMPRODUCT(--(Results【技術役員スポンサーメディア積算】!C:C="ファミリー") + --(Results【技術役員スポンサーメディア積算】!D:D="ファミリー")))</f>
        <v>0</v>
      </c>
      <c r="D6" s="2774">
        <v>1645</v>
      </c>
      <c r="E6" s="2733">
        <v>32</v>
      </c>
      <c r="F6" s="2737">
        <f t="shared" si="2"/>
        <v>0</v>
      </c>
      <c r="G6" s="2732">
        <f>'物価（案3）'!$I$10</f>
        <v>1.34</v>
      </c>
      <c r="H6" s="2737">
        <f t="shared" si="0"/>
        <v>0</v>
      </c>
      <c r="I6" s="6438">
        <f>SUM(H6:H11)</f>
        <v>10511814540</v>
      </c>
      <c r="J6" s="2740"/>
      <c r="K6" s="2734">
        <f>Results【技術役員スポンサーメディア積算】!BD283</f>
        <v>959319162</v>
      </c>
      <c r="L6" s="2737">
        <f t="shared" si="1"/>
        <v>1285487677.0800002</v>
      </c>
      <c r="M6" s="2739"/>
      <c r="N6" s="2738"/>
    </row>
    <row r="7" spans="1:19">
      <c r="A7" s="6437"/>
      <c r="B7" s="2768" t="s">
        <v>237</v>
      </c>
      <c r="C7" s="2747" cm="1">
        <f t="array" ref="C7">IF(SUMPRODUCT(--(Results【技術役員スポンサーメディア積算】!C:C="スポンサー") + --(Results【技術役員スポンサーメディア積算】!D:D="スポンサー"))=0, 0, (SUMIFS(Results【技術役員スポンサーメディア積算】!AA:AA, Results【技術役員スポンサーメディア積算】!C:C, "スポンサー") + SUMIFS(Results【技術役員スポンサーメディア積算】!AA:AA, Results【技術役員スポンサーメディア積算】!D:D, "スポンサー")) / SUMPRODUCT(--(Results【技術役員スポンサーメディア積算】!C:C="スポンサー") + --(Results【技術役員スポンサーメディア積算】!D:D="スポンサー")))</f>
        <v>60684.638663747392</v>
      </c>
      <c r="D7" s="2774">
        <v>2560</v>
      </c>
      <c r="E7" s="2733">
        <v>32</v>
      </c>
      <c r="F7" s="2737">
        <f t="shared" si="2"/>
        <v>4971285599.3341866</v>
      </c>
      <c r="G7" s="2732">
        <f>'物価（案3）'!$I$10</f>
        <v>1.34</v>
      </c>
      <c r="H7" s="2737">
        <f t="shared" si="0"/>
        <v>6661522704</v>
      </c>
      <c r="I7" s="6439"/>
      <c r="J7" s="2740"/>
      <c r="K7" s="2734" t="e">
        <f>Results【技術役員スポンサーメディア積算】!#REF!</f>
        <v>#REF!</v>
      </c>
      <c r="L7" s="2737" t="e">
        <f t="shared" si="1"/>
        <v>#REF!</v>
      </c>
      <c r="M7" s="2739"/>
      <c r="N7" s="2738"/>
    </row>
    <row r="8" spans="1:19">
      <c r="A8" s="6437"/>
      <c r="B8" s="2768" t="s">
        <v>238</v>
      </c>
      <c r="C8" s="2747" cm="1">
        <f t="array" ref="C8">IF(SUMPRODUCT(--(Results【技術役員スポンサーメディア積算】!C:C="本部") + --(Results【技術役員スポンサーメディア積算】!D:D="本部"))=0, 0, (SUMIFS(Results【技術役員スポンサーメディア積算】!AA:AA, Results【技術役員スポンサーメディア積算】!C:C, "本部") + SUMIFS(Results【技術役員スポンサーメディア積算】!AA:AA, Results【技術役員スポンサーメディア積算】!D:D, "本部")) / SUMPRODUCT(--(Results【技術役員スポンサーメディア積算】!C:C="本部") + --(Results【技術役員スポンサーメディア積算】!D:D="本部")))</f>
        <v>0</v>
      </c>
      <c r="D8" s="2774">
        <v>286</v>
      </c>
      <c r="E8" s="2736">
        <v>36</v>
      </c>
      <c r="F8" s="2737">
        <f t="shared" si="2"/>
        <v>0</v>
      </c>
      <c r="G8" s="2732">
        <f>'物価（案3）'!$I$10</f>
        <v>1.34</v>
      </c>
      <c r="H8" s="2737">
        <f t="shared" si="0"/>
        <v>0</v>
      </c>
      <c r="I8" s="6439"/>
      <c r="J8" s="2740"/>
      <c r="K8" s="2734" t="e">
        <f>Results【技術役員スポンサーメディア積算】!#REF!</f>
        <v>#REF!</v>
      </c>
      <c r="L8" s="2737" t="e">
        <f t="shared" si="1"/>
        <v>#REF!</v>
      </c>
      <c r="M8" s="2739"/>
      <c r="N8" s="2738"/>
    </row>
    <row r="9" spans="1:19">
      <c r="A9" s="6437"/>
      <c r="B9" s="2768" t="s">
        <v>239</v>
      </c>
      <c r="C9" s="2747" cm="1">
        <f t="array" ref="C9">IF(SUMPRODUCT(--(Results【技術役員スポンサーメディア積算】!C:C="メディア") + --(Results【技術役員スポンサーメディア積算】!D:D="メディア"))=0, 0, (SUMIFS(Results【技術役員スポンサーメディア積算】!AA:AA, Results【技術役員スポンサーメディア積算】!C:C, "メディア") + SUMIFS(Results【技術役員スポンサーメディア積算】!AA:AA, Results【技術役員スポンサーメディア積算】!D:D, "メディア")) / SUMPRODUCT(--(Results【技術役員スポンサーメディア積算】!C:C="メディア") + --(Results【技術役員スポンサーメディア積算】!D:D="メディア")))</f>
        <v>0</v>
      </c>
      <c r="D9" s="2774">
        <v>3000</v>
      </c>
      <c r="E9" s="2733">
        <v>32</v>
      </c>
      <c r="F9" s="2737">
        <f t="shared" si="2"/>
        <v>0</v>
      </c>
      <c r="G9" s="2732">
        <f>'物価（案3）'!$I$10</f>
        <v>1.34</v>
      </c>
      <c r="H9" s="2737">
        <f>ROUNDUP($C9*$D9*$E9*$G9,0)</f>
        <v>0</v>
      </c>
      <c r="I9" s="6439"/>
      <c r="J9" s="2740"/>
      <c r="K9" s="2734">
        <f>Results【技術役員スポンサーメディア積算】!BE283</f>
        <v>1980375600</v>
      </c>
      <c r="L9" s="2737">
        <f t="shared" si="1"/>
        <v>2653703304</v>
      </c>
      <c r="M9" s="2739"/>
      <c r="N9" s="2738"/>
    </row>
    <row r="10" spans="1:19">
      <c r="A10" s="6437"/>
      <c r="B10" s="2768" t="s">
        <v>240</v>
      </c>
      <c r="C10" s="2747" cm="1">
        <f t="array" ref="C10">IF(SUMPRODUCT(--(Results【技術役員スポンサーメディア積算】!C:C="技術役員") + --(Results【技術役員スポンサーメディア積算】!D:D="技術役員"))=0, 0, (SUMIFS(Results【技術役員スポンサーメディア積算】!AA:AA, Results【技術役員スポンサーメディア積算】!C:C, "技術役員") + SUMIFS(Results【技術役員スポンサーメディア積算】!AA:AA, Results【技術役員スポンサーメディア積算】!D:D, "技術役員")) / SUMPRODUCT(--(Results【技術役員スポンサーメディア積算】!C:C="技術役員") + --(Results【技術役員スポンサーメディア積算】!D:D="技術役員")))</f>
        <v>26771.691599707177</v>
      </c>
      <c r="D10" s="2774">
        <v>3354</v>
      </c>
      <c r="E10" s="2733">
        <v>32</v>
      </c>
      <c r="F10" s="2737">
        <f t="shared" si="2"/>
        <v>2873352116.0133719</v>
      </c>
      <c r="G10" s="2732">
        <f>'物価（案3）'!$I$10</f>
        <v>1.34</v>
      </c>
      <c r="H10" s="2737">
        <f t="shared" si="0"/>
        <v>3850291836</v>
      </c>
      <c r="I10" s="6439"/>
      <c r="K10" s="2734" t="e">
        <f>Results【技術役員スポンサーメディア積算】!#REF!</f>
        <v>#REF!</v>
      </c>
      <c r="L10" s="2737" t="e">
        <f t="shared" si="1"/>
        <v>#REF!</v>
      </c>
      <c r="N10" s="2728"/>
    </row>
    <row r="11" spans="1:19">
      <c r="A11" s="6437"/>
      <c r="B11" s="2785" t="s">
        <v>241</v>
      </c>
      <c r="C11" s="2786" cm="1">
        <f t="array" ref="C11">IF(SUMPRODUCT(--(Results【技術役員スポンサーメディア積算】!C:C="DCO") + --(Results【技術役員スポンサーメディア積算】!D:D="DCO") + --(Results【技術役員スポンサーメディア積算】!E:E="DCO"))=0, 0, (SUMIFS(Results【技術役員スポンサーメディア積算】!AA:AA, Results【技術役員スポンサーメディア積算】!C:C, "DCO") + SUMIFS(Results【技術役員スポンサーメディア積算】!AA:AA, Results【技術役員スポンサーメディア積算】!D:D, "DCO") + SUMIFS(Results【技術役員スポンサーメディア積算】!AA:AA, Results【技術役員スポンサーメディア積算】!E:E, "DCO")) / SUMPRODUCT(--(Results【技術役員スポンサーメディア積算】!C:C="DCO") + --(Results【技術役員スポンサーメディア積算】!D:D="DCO") + --(Results【技術役員スポンサーメディア積算】!E:E="DCO")))</f>
        <v>0</v>
      </c>
      <c r="D11" s="2787">
        <v>504</v>
      </c>
      <c r="E11" s="2788">
        <v>32</v>
      </c>
      <c r="F11" s="2769">
        <f t="shared" si="2"/>
        <v>0</v>
      </c>
      <c r="G11" s="2789">
        <f>'物価（案3）'!$I$10</f>
        <v>1.34</v>
      </c>
      <c r="H11" s="2769">
        <f t="shared" si="0"/>
        <v>0</v>
      </c>
      <c r="I11" s="6439"/>
      <c r="K11" s="2790" t="e">
        <f>Results【技術役員スポンサーメディア積算】!#REF!</f>
        <v>#REF!</v>
      </c>
      <c r="L11" s="2737" t="e">
        <f t="shared" si="1"/>
        <v>#REF!</v>
      </c>
      <c r="N11" s="2728"/>
    </row>
    <row r="12" spans="1:19">
      <c r="A12" s="6433" t="s">
        <v>242</v>
      </c>
      <c r="B12" s="2768" t="s">
        <v>243</v>
      </c>
      <c r="C12" s="2747" cm="1">
        <f t="array" ref="C12">IF(SUMPRODUCT(--(Results【技術役員スポンサーメディア積算】!F:F="選手") + --(Results【技術役員スポンサーメディア積算】!G:G="選手"))=0, 0, (SUMIFS(Results【技術役員スポンサーメディア積算】!AA:AA, Results【技術役員スポンサーメディア積算】!F:F, "選手") + SUMIFS(Results【技術役員スポンサーメディア積算】!AA:AA, Results【技術役員スポンサーメディア積算】!G:G, "選手")) / SUMPRODUCT(--(Results【技術役員スポンサーメディア積算】!F:F="選手") + --(Results【技術役員スポンサーメディア積算】!G:G="選手")))</f>
        <v>0</v>
      </c>
      <c r="D12" s="2774">
        <v>4988</v>
      </c>
      <c r="E12" s="2733">
        <v>18</v>
      </c>
      <c r="F12" s="2737">
        <f t="shared" si="2"/>
        <v>0</v>
      </c>
      <c r="G12" s="2732">
        <f>'物価（案3）'!$I$10</f>
        <v>1.34</v>
      </c>
      <c r="H12" s="2737">
        <f t="shared" si="0"/>
        <v>0</v>
      </c>
      <c r="I12" s="2737">
        <f>H12</f>
        <v>0</v>
      </c>
      <c r="K12" s="2734">
        <f>Results【技術役員スポンサーメディア積算】!BF283</f>
        <v>344907436</v>
      </c>
      <c r="L12" s="2737">
        <f t="shared" si="1"/>
        <v>462175964.24000001</v>
      </c>
      <c r="N12" s="2728"/>
    </row>
    <row r="13" spans="1:19" hidden="1">
      <c r="A13" s="6433"/>
      <c r="B13" s="2776" t="s">
        <v>244</v>
      </c>
      <c r="C13" s="2777" cm="1">
        <f t="array" ref="C13">IF(SUMPRODUCT(--(Results【技術役員スポンサーメディア積算】!F:F="選手") + --(Results【技術役員スポンサーメディア積算】!G:G="選手"))=0, 0, (SUMIFS(Results【技術役員スポンサーメディア積算】!AA:AA, Results【技術役員スポンサーメディア積算】!F:F, "選手") + SUMIFS(Results【技術役員スポンサーメディア積算】!AA:AA, Results【技術役員スポンサーメディア積算】!G:G, "選手")) / SUMPRODUCT(--(Results【技術役員スポンサーメディア積算】!F:F="選手") + --(Results【技術役員スポンサーメディア積算】!G:G="選手")))</f>
        <v>0</v>
      </c>
      <c r="D13" s="2778">
        <v>4988</v>
      </c>
      <c r="E13" s="2779">
        <v>18</v>
      </c>
      <c r="F13" s="2781">
        <f t="shared" si="2"/>
        <v>0</v>
      </c>
      <c r="G13" s="2780">
        <f>'物価（案3）'!$I$10</f>
        <v>1.34</v>
      </c>
      <c r="H13" s="2781">
        <f t="shared" si="0"/>
        <v>0</v>
      </c>
      <c r="I13" s="2781">
        <f>H13</f>
        <v>0</v>
      </c>
      <c r="J13" s="2740" t="s">
        <v>235</v>
      </c>
      <c r="K13" s="2777">
        <f>Results【技術役員スポンサーメディア積算】!BG283</f>
        <v>624655701</v>
      </c>
      <c r="L13" s="2781">
        <f t="shared" si="1"/>
        <v>837038639.34000003</v>
      </c>
      <c r="N13" s="2728"/>
    </row>
    <row r="14" spans="1:19">
      <c r="A14" s="6433"/>
      <c r="B14" s="2768" t="s">
        <v>236</v>
      </c>
      <c r="C14" s="2747" cm="1">
        <f t="array" ref="C14">IF(SUMPRODUCT(--(Results【技術役員スポンサーメディア積算】!F:F="ファミリー") + --(Results【技術役員スポンサーメディア積算】!G:G="ファミリー"))=0, 0, (SUMIFS(Results【技術役員スポンサーメディア積算】!AA:AA, Results【技術役員スポンサーメディア積算】!F:F, "ファミリー") + SUMIFS(Results【技術役員スポンサーメディア積算】!AA:AA, Results【技術役員スポンサーメディア積算】!G:G, "ファミリー")) / SUMPRODUCT(--(Results【技術役員スポンサーメディア積算】!F:F="ファミリー") + --(Results【技術役員スポンサーメディア積算】!G:G="ファミリー")))</f>
        <v>0</v>
      </c>
      <c r="D14" s="2774">
        <v>370</v>
      </c>
      <c r="E14" s="2733">
        <v>18</v>
      </c>
      <c r="F14" s="2737">
        <f t="shared" si="2"/>
        <v>0</v>
      </c>
      <c r="G14" s="2732">
        <f>'物価（案3）'!$I$10</f>
        <v>1.34</v>
      </c>
      <c r="H14" s="2737">
        <f t="shared" si="0"/>
        <v>0</v>
      </c>
      <c r="I14" s="6435">
        <f>SUM(H14:H19)</f>
        <v>2457049000</v>
      </c>
      <c r="K14" s="2734">
        <f>Results【技術役員スポンサーメディア積算】!BH283</f>
        <v>300216120</v>
      </c>
      <c r="L14" s="2737">
        <f t="shared" si="1"/>
        <v>402289600.80000001</v>
      </c>
      <c r="N14" s="2728"/>
    </row>
    <row r="15" spans="1:19">
      <c r="A15" s="6433"/>
      <c r="B15" s="2768" t="s">
        <v>237</v>
      </c>
      <c r="C15" s="2747" cm="1">
        <f t="array" ref="C15">IF(SUMPRODUCT(--(Results【技術役員スポンサーメディア積算】!F:F="スポンサー") + --(Results【技術役員スポンサーメディア積算】!G:G="スポンサー"))=0, 0, (SUMIFS(Results【技術役員スポンサーメディア積算】!AA:AA, Results【技術役員スポンサーメディア積算】!F:F, "スポンサー") + SUMIFS(Results【技術役員スポンサーメディア積算】!AA:AA, Results【技術役員スポンサーメディア積算】!G:G, "スポンサー")) / SUMPRODUCT(--(Results【技術役員スポンサーメディア積算】!F:F="スポンサー") + --(Results【技術役員スポンサーメディア積算】!G:G="スポンサー")))</f>
        <v>53371.432388818233</v>
      </c>
      <c r="D15" s="2774">
        <v>1560</v>
      </c>
      <c r="E15" s="2733">
        <v>18</v>
      </c>
      <c r="F15" s="2737">
        <f t="shared" si="2"/>
        <v>1498669821.4780159</v>
      </c>
      <c r="G15" s="2732">
        <f>'物価（案3）'!$I$10</f>
        <v>1.34</v>
      </c>
      <c r="H15" s="2737">
        <f t="shared" si="0"/>
        <v>2008217561</v>
      </c>
      <c r="I15" s="6435"/>
      <c r="K15" s="2734" t="e">
        <f>Results【技術役員スポンサーメディア積算】!#REF!</f>
        <v>#REF!</v>
      </c>
      <c r="L15" s="2737" t="e">
        <f t="shared" si="1"/>
        <v>#REF!</v>
      </c>
      <c r="N15" s="2728"/>
    </row>
    <row r="16" spans="1:19">
      <c r="A16" s="6433"/>
      <c r="B16" s="2768" t="s">
        <v>245</v>
      </c>
      <c r="C16" s="2747" cm="1">
        <f t="array" ref="C16">IF(SUMPRODUCT(--(Results【技術役員スポンサーメディア積算】!F:F="本部") + --(Results【技術役員スポンサーメディア積算】!G:G="本部"))=0, 0, (SUMIFS(Results【技術役員スポンサーメディア積算】!AA:AA, Results【技術役員スポンサーメディア積算】!F:F, "本部") + SUMIFS(Results【技術役員スポンサーメディア積算】!AA:AA, Results【技術役員スポンサーメディア積算】!G:G, "本部")) / SUMPRODUCT(--(Results【技術役員スポンサーメディア積算】!F:F="本部") + --(Results【技術役員スポンサーメディア積算】!G:G="本部")))</f>
        <v>0</v>
      </c>
      <c r="D16" s="2774">
        <v>116</v>
      </c>
      <c r="E16" s="2736">
        <v>19</v>
      </c>
      <c r="F16" s="2737">
        <f t="shared" si="2"/>
        <v>0</v>
      </c>
      <c r="G16" s="2732">
        <f>'物価（案3）'!$I$10</f>
        <v>1.34</v>
      </c>
      <c r="H16" s="2737">
        <f t="shared" si="0"/>
        <v>0</v>
      </c>
      <c r="I16" s="6435"/>
      <c r="K16" s="2734" t="e">
        <f>Results【技術役員スポンサーメディア積算】!#REF!</f>
        <v>#REF!</v>
      </c>
      <c r="L16" s="2737" t="e">
        <f t="shared" si="1"/>
        <v>#REF!</v>
      </c>
      <c r="N16" s="2728"/>
    </row>
    <row r="17" spans="1:14">
      <c r="A17" s="6433"/>
      <c r="B17" s="2768" t="s">
        <v>239</v>
      </c>
      <c r="C17" s="2734" cm="1">
        <f t="array" ref="C17">IF(SUMPRODUCT(--(Results【技術役員スポンサーメディア積算】!F:F="メディア") + --(Results【技術役員スポンサーメディア積算】!G:G="メディア"))=0, 0, (SUMIFS(Results【技術役員スポンサーメディア積算】!AA:AA, Results【技術役員スポンサーメディア積算】!F:F, "メディア") + SUMIFS(Results【技術役員スポンサーメディア積算】!AA:AA, Results【技術役員スポンサーメディア積算】!G:G, "メディア")) / SUMPRODUCT(--(Results【技術役員スポンサーメディア積算】!F:F="メディア") + --(Results【技術役員スポンサーメディア積算】!G:G="メディア")))</f>
        <v>0</v>
      </c>
      <c r="D17" s="2774">
        <v>1600</v>
      </c>
      <c r="E17" s="2733">
        <v>18</v>
      </c>
      <c r="F17" s="2737">
        <f t="shared" si="2"/>
        <v>0</v>
      </c>
      <c r="G17" s="2732">
        <f>'物価（案3）'!$I$10</f>
        <v>1.34</v>
      </c>
      <c r="H17" s="2737">
        <f t="shared" si="0"/>
        <v>0</v>
      </c>
      <c r="I17" s="6435"/>
      <c r="K17" s="2734" t="e">
        <f>Results【技術役員スポンサーメディア積算】!#REF!</f>
        <v>#REF!</v>
      </c>
      <c r="L17" s="2737" t="e">
        <f t="shared" si="1"/>
        <v>#REF!</v>
      </c>
      <c r="N17" s="2728"/>
    </row>
    <row r="18" spans="1:14">
      <c r="A18" s="6433"/>
      <c r="B18" s="2768" t="s">
        <v>240</v>
      </c>
      <c r="C18" s="2734" cm="1">
        <f t="array" ref="C18">IF(SUMPRODUCT(--(Results【技術役員スポンサーメディア積算】!F:F="技術役員") + --(Results【技術役員スポンサーメディア積算】!G:G="技術役員"))=0, 0, (SUMIFS(Results【技術役員スポンサーメディア積算】!AA:AA, Results【技術役員スポンサーメディア積算】!F:F, "技術役員") + SUMIFS(Results【技術役員スポンサーメディア積算】!AA:AA, Results【技術役員スポンサーメディア積算】!G:G, "技術役員")) / SUMPRODUCT(--(Results【技術役員スポンサーメディア積算】!F:F="技術役員") + --(Results【技術役員スポンサーメディア積算】!G:G="技術役員")))</f>
        <v>22916.586961035489</v>
      </c>
      <c r="D18" s="2774">
        <v>812</v>
      </c>
      <c r="E18" s="2733">
        <v>18</v>
      </c>
      <c r="F18" s="2737">
        <f t="shared" si="2"/>
        <v>334948835.02249473</v>
      </c>
      <c r="G18" s="2732">
        <f>'物価（案3）'!$I$10</f>
        <v>1.34</v>
      </c>
      <c r="H18" s="2737">
        <f t="shared" si="0"/>
        <v>448831439</v>
      </c>
      <c r="I18" s="6435"/>
      <c r="K18" s="2734" t="e">
        <f>Results【技術役員スポンサーメディア積算】!#REF!</f>
        <v>#REF!</v>
      </c>
      <c r="L18" s="2737" t="e">
        <f t="shared" si="1"/>
        <v>#REF!</v>
      </c>
      <c r="N18" s="2728"/>
    </row>
    <row r="19" spans="1:14" ht="13.5" thickBot="1">
      <c r="A19" s="6434"/>
      <c r="B19" s="2794" t="s">
        <v>241</v>
      </c>
      <c r="C19" s="2795" cm="1">
        <f t="array" ref="C19">IF(SUMPRODUCT(--(Results【技術役員スポンサーメディア積算】!F:F="DCO") + --(Results【技術役員スポンサーメディア積算】!G:G="DCO"))=0, 0, (SUMIFS(Results【技術役員スポンサーメディア積算】!AA:AA, Results【技術役員スポンサーメディア積算】!F:F, "DCO") + SUMIFS(Results【技術役員スポンサーメディア積算】!AA:AA, Results【技術役員スポンサーメディア積算】!G:G, "DCO")) / SUMPRODUCT(--(Results【技術役員スポンサーメディア積算】!F:F="DCO") + --(Results【技術役員スポンサーメディア積算】!G:G="DCO")))</f>
        <v>0</v>
      </c>
      <c r="D19" s="2796">
        <v>122</v>
      </c>
      <c r="E19" s="2797">
        <v>18</v>
      </c>
      <c r="F19" s="2799">
        <f t="shared" si="2"/>
        <v>0</v>
      </c>
      <c r="G19" s="2798">
        <f>'物価（案3）'!$I$10</f>
        <v>1.34</v>
      </c>
      <c r="H19" s="2799">
        <f t="shared" si="0"/>
        <v>0</v>
      </c>
      <c r="I19" s="6436"/>
      <c r="K19" s="2795" t="e">
        <f>Results【技術役員スポンサーメディア積算】!#REF!</f>
        <v>#REF!</v>
      </c>
      <c r="L19" s="2799" t="e">
        <f t="shared" si="1"/>
        <v>#REF!</v>
      </c>
      <c r="N19" s="2728"/>
    </row>
    <row r="20" spans="1:14" ht="13.5" thickTop="1">
      <c r="A20" s="2770" t="s">
        <v>127</v>
      </c>
      <c r="B20" s="2791" t="s">
        <v>246</v>
      </c>
      <c r="C20" s="2792" t="s">
        <v>246</v>
      </c>
      <c r="D20" s="2792" t="s">
        <v>246</v>
      </c>
      <c r="E20" s="2792" t="s">
        <v>246</v>
      </c>
      <c r="F20" s="2792">
        <f>SUBTOTAL(109,F4:F19)</f>
        <v>9678256371.8480701</v>
      </c>
      <c r="G20" s="2807" t="s">
        <v>246</v>
      </c>
      <c r="H20" s="2792">
        <f>SUBTOTAL(109,H4:H19)</f>
        <v>12968863540</v>
      </c>
      <c r="I20" s="2792">
        <f>SUBTOTAL(109,I4:I19)</f>
        <v>12968863540</v>
      </c>
      <c r="K20" s="2792" t="e">
        <f>SUBTOTAL(109,K4:K19)</f>
        <v>#REF!</v>
      </c>
      <c r="L20" s="2792" t="e">
        <f>SUBTOTAL(109,L4:L19)</f>
        <v>#REF!</v>
      </c>
    </row>
    <row r="22" spans="1:14">
      <c r="A22" s="2749" t="s">
        <v>247</v>
      </c>
      <c r="I22" s="2740"/>
      <c r="J22" s="2740"/>
      <c r="M22" s="2738"/>
    </row>
    <row r="23" spans="1:14" ht="52">
      <c r="A23" s="2767"/>
      <c r="B23" s="2768" t="s">
        <v>222</v>
      </c>
      <c r="C23" s="2741" t="s">
        <v>248</v>
      </c>
      <c r="D23" s="2772" t="s">
        <v>249</v>
      </c>
      <c r="E23" s="2741" t="s">
        <v>250</v>
      </c>
      <c r="F23" s="2748" t="s">
        <v>226</v>
      </c>
      <c r="G23" s="2741" t="s">
        <v>227</v>
      </c>
      <c r="H23" s="2748" t="s">
        <v>228</v>
      </c>
      <c r="I23" s="2731" t="s">
        <v>229</v>
      </c>
      <c r="J23" s="2740"/>
      <c r="K23" s="2748" t="s">
        <v>230</v>
      </c>
      <c r="L23" s="2748" t="s">
        <v>231</v>
      </c>
      <c r="M23" s="2739"/>
      <c r="N23" s="2738"/>
    </row>
    <row r="24" spans="1:14">
      <c r="A24" s="6433" t="s">
        <v>232</v>
      </c>
      <c r="B24" s="2768" t="s">
        <v>251</v>
      </c>
      <c r="C24" s="2783">
        <f>IF(COUNTIFS(Results【技術役員スポンサーメディア積算】!C:C, "選手15000", Results【技術役員スポンサーメディア積算】!V:V, "&gt;0")=0, 0, SUMIFS(Results【技術役員スポンサーメディア積算】!V:V, Results【技術役員スポンサーメディア積算】!C:C, "選手15000", Results【技術役員スポンサーメディア積算】!V:V, "&gt;0") / COUNTIFS(Results【技術役員スポンサーメディア積算】!C:C, "選手15000", Results【技術役員スポンサーメディア積算】!V:V, "&gt;0"))</f>
        <v>0</v>
      </c>
      <c r="D24" s="2774">
        <f>IF(COUNTIF(Results【技術役員スポンサーメディア積算】!C:C, "選手15000")=0, 0, SUMIF(Results【技術役員スポンサーメディア積算】!C:C, "選手15000", Results【技術役員スポンサーメディア積算】!I:I))</f>
        <v>0</v>
      </c>
      <c r="E24" s="2733">
        <f>$E4+1</f>
        <v>33</v>
      </c>
      <c r="F24" s="2737">
        <f>E24*C24*D24</f>
        <v>0</v>
      </c>
      <c r="G24" s="2732">
        <f>'物価（案3）'!$I$10</f>
        <v>1.34</v>
      </c>
      <c r="H24" s="2737">
        <f t="shared" ref="H24:H30" si="3">ROUNDUP($C24*$D24*$E24*$G24,0)</f>
        <v>0</v>
      </c>
      <c r="I24" s="2737">
        <f>H24</f>
        <v>0</v>
      </c>
      <c r="J24" s="2740"/>
      <c r="K24" s="2737">
        <f>Results【技術役員スポンサーメディア積算】!BI283</f>
        <v>691185467</v>
      </c>
      <c r="L24" s="2737">
        <f t="shared" ref="L24:L30" si="4">$K24*$G24</f>
        <v>926188525.78000009</v>
      </c>
      <c r="M24" s="2739"/>
      <c r="N24" s="2738"/>
    </row>
    <row r="25" spans="1:14">
      <c r="A25" s="6433"/>
      <c r="B25" s="2768" t="s">
        <v>236</v>
      </c>
      <c r="C25" s="2783">
        <f>IF(COUNTIFS(Results【技術役員スポンサーメディア積算】!D:D, "ファミリー", Results【技術役員スポンサーメディア積算】!V:V, "&gt;0")=0, 0, SUMIFS(Results【技術役員スポンサーメディア積算】!V:V, Results【技術役員スポンサーメディア積算】!D:D, "ファミリー", Results【技術役員スポンサーメディア積算】!V:V, "&gt;0") / COUNTIFS(Results【技術役員スポンサーメディア積算】!D:D, "ファミリー", Results【技術役員スポンサーメディア積算】!V:V, "&gt;0"))</f>
        <v>0</v>
      </c>
      <c r="D25" s="2774">
        <f>IF(COUNTIF(Results【技術役員スポンサーメディア積算】!D:D, "ファミリー")=0, 0, SUMIF(Results【技術役員スポンサーメディア積算】!D:D, "ファミリー", Results【技術役員スポンサーメディア積算】!I:I))</f>
        <v>0</v>
      </c>
      <c r="E25" s="2733">
        <f>$E6+1</f>
        <v>33</v>
      </c>
      <c r="F25" s="2737">
        <f>E25*C25*D25</f>
        <v>0</v>
      </c>
      <c r="G25" s="2732">
        <f>'物価（案3）'!$I$10</f>
        <v>1.34</v>
      </c>
      <c r="H25" s="2737">
        <f t="shared" si="3"/>
        <v>0</v>
      </c>
      <c r="I25" s="6435">
        <f>SUM(H25:H27)</f>
        <v>0</v>
      </c>
      <c r="J25" s="2740"/>
      <c r="K25" s="2737">
        <f>Results【技術役員スポンサーメディア積算】!BJ283</f>
        <v>1898926146</v>
      </c>
      <c r="L25" s="2737">
        <f t="shared" si="4"/>
        <v>2544561035.6400003</v>
      </c>
      <c r="M25" s="2739"/>
      <c r="N25" s="2738"/>
    </row>
    <row r="26" spans="1:14" ht="12.75" hidden="1" customHeight="1">
      <c r="A26" s="6433"/>
      <c r="B26" s="2768" t="s">
        <v>237</v>
      </c>
      <c r="C26" s="2784"/>
      <c r="D26" s="2782"/>
      <c r="E26" s="2775"/>
      <c r="F26" s="2801"/>
      <c r="G26" s="2732">
        <f>'物価（案3）'!$I$10</f>
        <v>1.34</v>
      </c>
      <c r="H26" s="2801">
        <f t="shared" si="3"/>
        <v>0</v>
      </c>
      <c r="I26" s="6435"/>
      <c r="J26" s="2740"/>
      <c r="K26" s="2801"/>
      <c r="L26" s="2737">
        <f t="shared" si="4"/>
        <v>0</v>
      </c>
      <c r="M26" s="2739"/>
      <c r="N26" s="2738"/>
    </row>
    <row r="27" spans="1:14" ht="12.75" customHeight="1">
      <c r="A27" s="6433"/>
      <c r="B27" s="2768" t="s">
        <v>238</v>
      </c>
      <c r="C27" s="2783" cm="1">
        <f t="array" ref="C27">IF(SUMPRODUCT(--(Results【技術役員スポンサーメディア積算】!C:C="本部") + --(Results【技術役員スポンサーメディア積算】!D:D="本部"))=0, 0, (SUMIFS(Results【技術役員スポンサーメディア積算】!V:V, Results【技術役員スポンサーメディア積算】!C:C, "本部") + SUMIFS(Results【技術役員スポンサーメディア積算】!V:V, Results【技術役員スポンサーメディア積算】!D:D, "本部")) / SUMPRODUCT(--(Results【技術役員スポンサーメディア積算】!C:C="本部") + --(Results【技術役員スポンサーメディア積算】!D:D="本部")))</f>
        <v>0</v>
      </c>
      <c r="D27" s="2774">
        <f>IF(AND(COUNTIF(Results【技術役員スポンサーメディア積算】!C:C, "本部")=0, COUNTIF(Results【技術役員スポンサーメディア積算】!D:D, "本部")=0), 0, IFERROR(SUMIF(Results【技術役員スポンサーメディア積算】!C:C, "本部", Results【技術役員スポンサーメディア積算】!I:I), 0) + IFERROR(SUMIF(Results【技術役員スポンサーメディア積算】!D:D, "本部", Results【技術役員スポンサーメディア積算】!I:I), 0))</f>
        <v>0</v>
      </c>
      <c r="E27" s="2736">
        <f>$E8+1</f>
        <v>37</v>
      </c>
      <c r="F27" s="2737">
        <f>E27*C27*D27</f>
        <v>0</v>
      </c>
      <c r="G27" s="2732">
        <f>'物価（案3）'!$I$10</f>
        <v>1.34</v>
      </c>
      <c r="H27" s="2737">
        <f t="shared" si="3"/>
        <v>0</v>
      </c>
      <c r="I27" s="6435"/>
      <c r="J27" s="2740"/>
      <c r="K27" s="2737">
        <f>Results【技術役員スポンサーメディア積算】!BK283</f>
        <v>87385650</v>
      </c>
      <c r="L27" s="2737">
        <f t="shared" si="4"/>
        <v>117096771</v>
      </c>
      <c r="M27" s="2739"/>
      <c r="N27" s="2738"/>
    </row>
    <row r="28" spans="1:14">
      <c r="A28" s="6433" t="s">
        <v>242</v>
      </c>
      <c r="B28" s="2768" t="s">
        <v>251</v>
      </c>
      <c r="C28" s="2783">
        <f>IF(COUNTIFS(Results【技術役員スポンサーメディア積算】!F:F, "選手", Results【技術役員スポンサーメディア積算】!V:V, "&gt;0")=0, 0, SUMIFS(Results【技術役員スポンサーメディア積算】!V:V, Results【技術役員スポンサーメディア積算】!F:F, "選手", Results【技術役員スポンサーメディア積算】!V:V, "&gt;0") / COUNTIFS(Results【技術役員スポンサーメディア積算】!F:F, "選手", Results【技術役員スポンサーメディア積算】!V:V, "&gt;0"))</f>
        <v>0</v>
      </c>
      <c r="D28" s="2747">
        <f>IF(COUNTIF(Results【技術役員スポンサーメディア積算】!F:F, "選手")=0, 0, IFERROR(SUMIF(Results【技術役員スポンサーメディア積算】!F:F, "選手", Results【技術役員スポンサーメディア積算】!I:I), 0))</f>
        <v>0</v>
      </c>
      <c r="E28" s="2733">
        <f>$E12+1</f>
        <v>19</v>
      </c>
      <c r="F28" s="2737">
        <f>E28*C28*D28</f>
        <v>0</v>
      </c>
      <c r="G28" s="2732">
        <f>'物価（案3）'!$I$10</f>
        <v>1.34</v>
      </c>
      <c r="H28" s="2737">
        <f t="shared" si="3"/>
        <v>0</v>
      </c>
      <c r="I28" s="2737">
        <f>H28</f>
        <v>0</v>
      </c>
      <c r="K28" s="2737">
        <f>Results【技術役員スポンサーメディア積算】!BL283</f>
        <v>321313565</v>
      </c>
      <c r="L28" s="2737">
        <f t="shared" si="4"/>
        <v>430560177.10000002</v>
      </c>
      <c r="N28" s="2728"/>
    </row>
    <row r="29" spans="1:14">
      <c r="A29" s="6433"/>
      <c r="B29" s="2768" t="s">
        <v>236</v>
      </c>
      <c r="C29" s="2734" cm="1">
        <f t="array" ref="C29">IF(SUMPRODUCT(--(Results【技術役員スポンサーメディア積算】!F:F="ファミリー") + --(Results【技術役員スポンサーメディア積算】!G:G="ファミリー"))=0, 0, (SUMIFS(Results【技術役員スポンサーメディア積算】!V:V, Results【技術役員スポンサーメディア積算】!F:F, "ファミリー") + SUMIFS(Results【技術役員スポンサーメディア積算】!V:V, Results【技術役員スポンサーメディア積算】!G:G, "ファミリー")) / SUMPRODUCT(--(Results【技術役員スポンサーメディア積算】!F:F="ファミリー") + --(Results【技術役員スポンサーメディア積算】!G:G="ファミリー")))</f>
        <v>0</v>
      </c>
      <c r="D29" s="2747">
        <f>IF(COUNTIF(Results【技術役員スポンサーメディア積算】!F:F, "ファミリー")=0, 0, IFERROR(SUMIF(Results【技術役員スポンサーメディア積算】!F:F, "ファミリー", Results【技術役員スポンサーメディア積算】!I:I), 0))</f>
        <v>0</v>
      </c>
      <c r="E29" s="2733">
        <f>$E14+1</f>
        <v>19</v>
      </c>
      <c r="F29" s="2737">
        <f>E29*C29*D29</f>
        <v>0</v>
      </c>
      <c r="G29" s="2732">
        <f>'物価（案3）'!$I$10</f>
        <v>1.34</v>
      </c>
      <c r="H29" s="2737">
        <f t="shared" si="3"/>
        <v>0</v>
      </c>
      <c r="I29" s="6435">
        <f>SUM(H29:H30)</f>
        <v>0</v>
      </c>
      <c r="K29" s="2737">
        <f>Results【技術役員スポンサーメディア積算】!BN283</f>
        <v>0</v>
      </c>
      <c r="L29" s="2737">
        <f t="shared" si="4"/>
        <v>0</v>
      </c>
      <c r="N29" s="2728"/>
    </row>
    <row r="30" spans="1:14" ht="13" customHeight="1" thickBot="1">
      <c r="A30" s="6434"/>
      <c r="B30" s="2794" t="s">
        <v>245</v>
      </c>
      <c r="C30" s="2795" cm="1">
        <f t="array" ref="C30">IF(SUMPRODUCT(--(Results【技術役員スポンサーメディア積算】!F:F="本部") + --(Results【技術役員スポンサーメディア積算】!G:G="本部"))=0, 0, (SUMIFS(Results【技術役員スポンサーメディア積算】!V:V, Results【技術役員スポンサーメディア積算】!F:F, "本部") + SUMIFS(Results【技術役員スポンサーメディア積算】!V:V, Results【技術役員スポンサーメディア積算】!G:G, "本部")) / SUMPRODUCT(--(Results【技術役員スポンサーメディア積算】!F:F="本部") + --(Results【技術役員スポンサーメディア積算】!G:G="本部")))</f>
        <v>0</v>
      </c>
      <c r="D30" s="2805">
        <f>IF(COUNTIF(Results【技術役員スポンサーメディア積算】!F:F, "本部")=0, 0, IFERROR(SUMIF(Results【技術役員スポンサーメディア積算】!F:F, "本部", Results【技術役員スポンサーメディア積算】!I:I), 0))</f>
        <v>0</v>
      </c>
      <c r="E30" s="2806">
        <f>$E16+1</f>
        <v>20</v>
      </c>
      <c r="F30" s="2799">
        <f>E30*C30*D30</f>
        <v>0</v>
      </c>
      <c r="G30" s="2798">
        <f>'物価（案3）'!$I$10</f>
        <v>1.34</v>
      </c>
      <c r="H30" s="2799">
        <f t="shared" si="3"/>
        <v>0</v>
      </c>
      <c r="I30" s="6436"/>
      <c r="K30" s="2799" t="e">
        <f>Results【技術役員スポンサーメディア積算】!#REF!</f>
        <v>#REF!</v>
      </c>
      <c r="L30" s="2799" t="e">
        <f t="shared" si="4"/>
        <v>#REF!</v>
      </c>
      <c r="N30" s="2728"/>
    </row>
    <row r="31" spans="1:14" ht="13.5" thickTop="1">
      <c r="A31" s="2770" t="s">
        <v>127</v>
      </c>
      <c r="B31" s="2791" t="s">
        <v>246</v>
      </c>
      <c r="C31" s="2800" t="s">
        <v>246</v>
      </c>
      <c r="D31" s="2793" t="s">
        <v>246</v>
      </c>
      <c r="E31" s="2792" t="s">
        <v>246</v>
      </c>
      <c r="F31" s="2792">
        <f>SUBTOTAL(109,F24:F30)</f>
        <v>0</v>
      </c>
      <c r="G31" s="2807" t="s">
        <v>246</v>
      </c>
      <c r="H31" s="2792">
        <f>SUBTOTAL(109,H24:H30)</f>
        <v>0</v>
      </c>
      <c r="I31" s="2792">
        <f>SUBTOTAL(109,I24:I30)</f>
        <v>0</v>
      </c>
      <c r="K31" s="2792" t="e">
        <f>SUBTOTAL(109,K24:K30)</f>
        <v>#REF!</v>
      </c>
      <c r="L31" s="2792" t="e">
        <f>SUBTOTAL(109,L24:L30)</f>
        <v>#REF!</v>
      </c>
    </row>
    <row r="32" spans="1:14">
      <c r="A32" s="2813" t="s">
        <v>252</v>
      </c>
      <c r="E32" s="2813"/>
    </row>
    <row r="35" spans="7:9">
      <c r="G35" s="2823"/>
      <c r="H35" s="2729" t="s">
        <v>253</v>
      </c>
    </row>
    <row r="36" spans="7:9">
      <c r="G36" s="2823"/>
      <c r="H36" s="2731" t="s">
        <v>254</v>
      </c>
      <c r="I36" s="2733">
        <f>I4+I6+I24+I25</f>
        <v>10511814540</v>
      </c>
    </row>
    <row r="37" spans="7:9">
      <c r="G37" s="2823"/>
      <c r="H37" s="2731" t="s">
        <v>255</v>
      </c>
      <c r="I37" s="2733">
        <f>I12+I14+I28+I29</f>
        <v>2457049000</v>
      </c>
    </row>
    <row r="38" spans="7:9">
      <c r="G38" s="2823"/>
      <c r="H38" s="2821" t="s">
        <v>127</v>
      </c>
      <c r="I38" s="2822">
        <f>I36+I37</f>
        <v>12968863540</v>
      </c>
    </row>
    <row r="39" spans="7:9">
      <c r="G39" s="2823"/>
    </row>
  </sheetData>
  <mergeCells count="8">
    <mergeCell ref="A28:A30"/>
    <mergeCell ref="I29:I30"/>
    <mergeCell ref="A4:A11"/>
    <mergeCell ref="I6:I11"/>
    <mergeCell ref="A12:A19"/>
    <mergeCell ref="I14:I19"/>
    <mergeCell ref="A24:A27"/>
    <mergeCell ref="I25:I27"/>
  </mergeCells>
  <phoneticPr fontId="2"/>
  <printOptions verticalCentered="1"/>
  <pageMargins left="0.70866141732283472" right="0.70866141732283472" top="0.74803149606299213" bottom="0.74803149606299213" header="0.31496062992125984" footer="0.31496062992125984"/>
  <pageSetup paperSize="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96C2-1371-4FEF-A879-14BCC22E8F20}">
  <sheetPr codeName="Sheet3">
    <tabColor rgb="FF92D050"/>
  </sheetPr>
  <dimension ref="A1:O7"/>
  <sheetViews>
    <sheetView workbookViewId="0"/>
  </sheetViews>
  <sheetFormatPr defaultRowHeight="13"/>
  <cols>
    <col min="5" max="5" width="8.7265625" customWidth="1"/>
    <col min="6" max="6" width="11.1796875" customWidth="1"/>
    <col min="7" max="14" width="11.1796875" bestFit="1" customWidth="1"/>
  </cols>
  <sheetData>
    <row r="1" spans="1:15">
      <c r="A1" t="s">
        <v>302</v>
      </c>
      <c r="B1" t="s">
        <v>303</v>
      </c>
      <c r="C1" t="s">
        <v>304</v>
      </c>
      <c r="D1" t="s">
        <v>305</v>
      </c>
      <c r="E1" t="s">
        <v>306</v>
      </c>
      <c r="F1">
        <v>2018</v>
      </c>
      <c r="G1">
        <v>2019</v>
      </c>
      <c r="H1">
        <v>2020</v>
      </c>
      <c r="I1">
        <v>2021</v>
      </c>
      <c r="J1">
        <v>2022</v>
      </c>
      <c r="K1">
        <v>2023</v>
      </c>
      <c r="L1">
        <v>2024</v>
      </c>
      <c r="M1">
        <v>2025</v>
      </c>
      <c r="N1">
        <v>2026</v>
      </c>
      <c r="O1" t="s">
        <v>307</v>
      </c>
    </row>
    <row r="2" spans="1:15">
      <c r="A2" t="s">
        <v>308</v>
      </c>
      <c r="B2" t="s">
        <v>309</v>
      </c>
      <c r="C2" t="s">
        <v>310</v>
      </c>
      <c r="D2" t="s">
        <v>304</v>
      </c>
      <c r="E2" t="s">
        <v>311</v>
      </c>
      <c r="F2">
        <v>99.6</v>
      </c>
      <c r="G2">
        <v>100.02</v>
      </c>
      <c r="H2">
        <v>99.992999999999995</v>
      </c>
      <c r="I2" s="191">
        <v>99.759</v>
      </c>
      <c r="J2">
        <v>102.25</v>
      </c>
      <c r="K2">
        <v>105.59099999999999</v>
      </c>
      <c r="L2">
        <v>107.95399999999999</v>
      </c>
      <c r="M2">
        <v>110.217</v>
      </c>
      <c r="N2">
        <v>112.428</v>
      </c>
      <c r="O2">
        <v>2023</v>
      </c>
    </row>
    <row r="3" spans="1:15" s="187" customFormat="1">
      <c r="A3" s="190" t="s">
        <v>312</v>
      </c>
      <c r="F3" s="188">
        <f t="shared" ref="F3:N3" si="0">F2/$I$2</f>
        <v>0.99840615884281114</v>
      </c>
      <c r="G3" s="188">
        <f t="shared" si="0"/>
        <v>1.0026163052957628</v>
      </c>
      <c r="H3" s="188">
        <f t="shared" si="0"/>
        <v>1.0023456530237873</v>
      </c>
      <c r="I3" s="189">
        <f t="shared" si="0"/>
        <v>1</v>
      </c>
      <c r="J3" s="188">
        <f t="shared" si="0"/>
        <v>1.0249701781292917</v>
      </c>
      <c r="K3" s="188">
        <f t="shared" si="0"/>
        <v>1.0584608907466995</v>
      </c>
      <c r="L3" s="188">
        <f t="shared" si="0"/>
        <v>1.082147976623663</v>
      </c>
      <c r="M3" s="188">
        <f t="shared" si="0"/>
        <v>1.1048326466784952</v>
      </c>
      <c r="N3" s="188">
        <f t="shared" si="0"/>
        <v>1.1269960605058189</v>
      </c>
    </row>
    <row r="4" spans="1:15">
      <c r="A4" t="s">
        <v>313</v>
      </c>
      <c r="L4" s="186" t="s">
        <v>314</v>
      </c>
      <c r="M4" s="185" t="s">
        <v>314</v>
      </c>
      <c r="N4" s="185" t="s">
        <v>314</v>
      </c>
    </row>
    <row r="7" spans="1:15">
      <c r="A7" t="s">
        <v>315</v>
      </c>
    </row>
  </sheetData>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B3E33-1720-4A45-9BC8-77E4BFAA6874}">
  <sheetPr codeName="Sheet234"/>
  <dimension ref="A1:K10"/>
  <sheetViews>
    <sheetView workbookViewId="0">
      <selection activeCell="D9" sqref="D9"/>
    </sheetView>
  </sheetViews>
  <sheetFormatPr defaultColWidth="8.7265625" defaultRowHeight="13"/>
  <cols>
    <col min="1" max="1" width="12.453125" style="1064" customWidth="1"/>
    <col min="2" max="2" width="24.81640625" style="1064" customWidth="1"/>
    <col min="3" max="3" width="13.453125" style="1064" customWidth="1"/>
    <col min="4" max="12" width="8.7265625" style="1064"/>
    <col min="13" max="13" width="28.1796875" style="1064" customWidth="1"/>
    <col min="14" max="16384" width="8.7265625" style="1064"/>
  </cols>
  <sheetData>
    <row r="1" spans="1:11">
      <c r="A1" s="1062"/>
      <c r="B1" s="1062" t="s">
        <v>316</v>
      </c>
      <c r="C1" s="1063" t="s">
        <v>317</v>
      </c>
      <c r="D1" s="6445" t="s">
        <v>318</v>
      </c>
      <c r="E1" s="6445"/>
      <c r="F1" s="6445"/>
      <c r="G1" s="6445"/>
      <c r="H1" s="6445"/>
      <c r="I1" s="6445"/>
    </row>
    <row r="2" spans="1:11">
      <c r="A2" s="1062" t="s">
        <v>319</v>
      </c>
      <c r="B2" s="1062">
        <v>99.9</v>
      </c>
      <c r="C2" s="1062">
        <v>98.7</v>
      </c>
      <c r="D2" s="6446">
        <f>ROUNDUP(C3/C2,2)</f>
        <v>1.19</v>
      </c>
      <c r="I2" s="1065"/>
    </row>
    <row r="3" spans="1:11">
      <c r="A3" s="1062" t="s">
        <v>320</v>
      </c>
      <c r="B3" s="1066">
        <v>100</v>
      </c>
      <c r="C3" s="1062">
        <v>116.9</v>
      </c>
      <c r="D3" s="6445"/>
      <c r="E3" s="6445">
        <f>ROUNDUP(C4/C3,2)</f>
        <v>0.98</v>
      </c>
      <c r="I3" s="1065"/>
      <c r="J3" s="1067">
        <v>100</v>
      </c>
      <c r="K3" t="s">
        <v>321</v>
      </c>
    </row>
    <row r="4" spans="1:11">
      <c r="A4" s="1062" t="s">
        <v>322</v>
      </c>
      <c r="B4" s="1062">
        <v>103.2</v>
      </c>
      <c r="C4" s="1062">
        <v>113.6</v>
      </c>
      <c r="D4" s="1068"/>
      <c r="E4" s="6445"/>
      <c r="F4" s="6445">
        <f>ROUNDUP(C5/C4,2)</f>
        <v>1.26</v>
      </c>
      <c r="I4" s="1065"/>
      <c r="J4" s="1067"/>
      <c r="K4"/>
    </row>
    <row r="5" spans="1:11">
      <c r="A5" s="1062" t="s">
        <v>323</v>
      </c>
      <c r="B5" s="1062">
        <v>106.3</v>
      </c>
      <c r="C5" s="1062">
        <v>142.6</v>
      </c>
      <c r="D5" s="1068"/>
      <c r="F5" s="6445"/>
      <c r="G5" s="6447">
        <f>ROUNDUP(AVERAGE(D2,E3,F4),2)</f>
        <v>1.1499999999999999</v>
      </c>
      <c r="I5" s="1065"/>
      <c r="J5" s="1067"/>
      <c r="K5"/>
    </row>
    <row r="6" spans="1:11">
      <c r="A6" s="1069" t="s">
        <v>324</v>
      </c>
      <c r="B6" s="1070"/>
      <c r="C6" s="1069">
        <f>ROUNDUP(C5*G5,1)</f>
        <v>164</v>
      </c>
      <c r="D6" s="1071"/>
      <c r="E6" s="1072"/>
      <c r="F6" s="1072"/>
      <c r="G6" s="6447"/>
      <c r="H6" s="6447">
        <f>G5</f>
        <v>1.1499999999999999</v>
      </c>
      <c r="I6" s="1073"/>
      <c r="J6" s="1067"/>
    </row>
    <row r="7" spans="1:11">
      <c r="A7" s="1069" t="s">
        <v>325</v>
      </c>
      <c r="B7" s="1070"/>
      <c r="C7" s="1069">
        <f>ROUNDUP(C6*H6,1)</f>
        <v>188.6</v>
      </c>
      <c r="D7" s="1071"/>
      <c r="E7" s="1072"/>
      <c r="F7" s="1072"/>
      <c r="G7" s="1072"/>
      <c r="H7" s="6447"/>
      <c r="I7" s="6447">
        <f>G5</f>
        <v>1.1499999999999999</v>
      </c>
      <c r="J7" s="1067"/>
    </row>
    <row r="8" spans="1:11">
      <c r="A8" s="1069" t="s">
        <v>326</v>
      </c>
      <c r="B8" s="1070"/>
      <c r="C8" s="1069">
        <f>ROUNDUP(C7*I7,1)</f>
        <v>216.9</v>
      </c>
      <c r="D8" s="1074"/>
      <c r="E8" s="1075"/>
      <c r="F8" s="1075"/>
      <c r="G8" s="1075"/>
      <c r="H8" s="1075"/>
      <c r="I8" s="6447"/>
      <c r="J8" s="1067">
        <f>ROUNDUP(C8*100/C3,1)</f>
        <v>185.6</v>
      </c>
      <c r="K8" t="s">
        <v>327</v>
      </c>
    </row>
    <row r="9" spans="1:11" ht="13.5" thickBot="1"/>
    <row r="10" spans="1:11" ht="13.5" thickBot="1">
      <c r="F10" s="6443" t="s">
        <v>328</v>
      </c>
      <c r="G10" s="6444"/>
      <c r="H10" s="6444"/>
      <c r="I10" s="1076">
        <f>ROUNDUP(C8/C3,2)</f>
        <v>1.86</v>
      </c>
    </row>
  </sheetData>
  <mergeCells count="8">
    <mergeCell ref="F10:H10"/>
    <mergeCell ref="D1:I1"/>
    <mergeCell ref="D2:D3"/>
    <mergeCell ref="E3:E4"/>
    <mergeCell ref="F4:F5"/>
    <mergeCell ref="G5:G6"/>
    <mergeCell ref="H6:H7"/>
    <mergeCell ref="I7:I8"/>
  </mergeCells>
  <phoneticPr fontId="2"/>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4045-25BB-4D39-BC93-3A579FF72846}">
  <sheetPr codeName="Sheet235"/>
  <dimension ref="A1:K10"/>
  <sheetViews>
    <sheetView workbookViewId="0"/>
  </sheetViews>
  <sheetFormatPr defaultColWidth="8.7265625" defaultRowHeight="13"/>
  <cols>
    <col min="1" max="1" width="12.453125" style="1064" customWidth="1"/>
    <col min="2" max="2" width="24.81640625" style="1064" customWidth="1"/>
    <col min="3" max="3" width="13.453125" style="1064" customWidth="1"/>
    <col min="4" max="12" width="8.7265625" style="1064"/>
    <col min="13" max="13" width="28.1796875" style="1064" customWidth="1"/>
    <col min="14" max="16384" width="8.7265625" style="1064"/>
  </cols>
  <sheetData>
    <row r="1" spans="1:11">
      <c r="A1" s="1062"/>
      <c r="B1" s="1062" t="s">
        <v>316</v>
      </c>
      <c r="C1" s="1063" t="s">
        <v>317</v>
      </c>
      <c r="D1" s="6445" t="s">
        <v>318</v>
      </c>
      <c r="E1" s="6445"/>
      <c r="F1" s="6445"/>
      <c r="G1" s="6445"/>
      <c r="H1" s="6445"/>
      <c r="I1" s="6445"/>
    </row>
    <row r="2" spans="1:11">
      <c r="A2" s="1062" t="s">
        <v>319</v>
      </c>
      <c r="B2" s="1062">
        <v>99.9</v>
      </c>
      <c r="C2" s="1062">
        <v>98.7</v>
      </c>
      <c r="D2" s="6446">
        <f>ROUNDUP(C3/C2,2)</f>
        <v>1.19</v>
      </c>
      <c r="I2" s="1065"/>
    </row>
    <row r="3" spans="1:11">
      <c r="A3" s="1062" t="s">
        <v>320</v>
      </c>
      <c r="B3" s="1066">
        <v>100</v>
      </c>
      <c r="C3" s="1062">
        <v>116.9</v>
      </c>
      <c r="D3" s="6445"/>
      <c r="E3" s="6445">
        <f>ROUNDUP(C4/C3,2)</f>
        <v>0.98</v>
      </c>
      <c r="I3" s="1065"/>
      <c r="J3" s="1067">
        <v>100</v>
      </c>
      <c r="K3" t="s">
        <v>321</v>
      </c>
    </row>
    <row r="4" spans="1:11">
      <c r="A4" s="1062" t="s">
        <v>322</v>
      </c>
      <c r="B4" s="1062">
        <v>103.2</v>
      </c>
      <c r="C4" s="1062">
        <v>113.6</v>
      </c>
      <c r="D4" s="1068"/>
      <c r="E4" s="6445"/>
      <c r="F4" s="6445">
        <f>ROUNDUP(C5/C4,2)</f>
        <v>1.26</v>
      </c>
      <c r="I4" s="1065"/>
      <c r="J4" s="1067"/>
      <c r="K4"/>
    </row>
    <row r="5" spans="1:11">
      <c r="A5" s="1062" t="s">
        <v>323</v>
      </c>
      <c r="B5" s="1062">
        <v>106.3</v>
      </c>
      <c r="C5" s="1062">
        <v>142.6</v>
      </c>
      <c r="D5" s="1068"/>
      <c r="F5" s="6445"/>
      <c r="G5" s="6447">
        <f>F4</f>
        <v>1.26</v>
      </c>
      <c r="I5" s="1065"/>
      <c r="J5" s="1067"/>
      <c r="K5"/>
    </row>
    <row r="6" spans="1:11">
      <c r="A6" s="1069" t="s">
        <v>324</v>
      </c>
      <c r="B6" s="1070"/>
      <c r="C6" s="1069">
        <f>ROUNDUP(C5*G5,1)</f>
        <v>179.7</v>
      </c>
      <c r="D6" s="1071"/>
      <c r="E6" s="1072"/>
      <c r="F6" s="1072"/>
      <c r="G6" s="6447"/>
      <c r="H6" s="6447">
        <f>G5</f>
        <v>1.26</v>
      </c>
      <c r="I6" s="1073"/>
      <c r="J6" s="1067"/>
    </row>
    <row r="7" spans="1:11">
      <c r="A7" s="1069" t="s">
        <v>325</v>
      </c>
      <c r="B7" s="1070"/>
      <c r="C7" s="1069">
        <f>ROUNDUP(C6*H6,1)</f>
        <v>226.5</v>
      </c>
      <c r="D7" s="1071"/>
      <c r="E7" s="1072"/>
      <c r="F7" s="1072"/>
      <c r="G7" s="1072"/>
      <c r="H7" s="6447"/>
      <c r="I7" s="6447">
        <f>G5</f>
        <v>1.26</v>
      </c>
      <c r="J7" s="1067"/>
    </row>
    <row r="8" spans="1:11">
      <c r="A8" s="1069" t="s">
        <v>326</v>
      </c>
      <c r="B8" s="1070"/>
      <c r="C8" s="1069">
        <f>ROUNDUP(C7*I7,1)</f>
        <v>285.40000000000003</v>
      </c>
      <c r="D8" s="1074"/>
      <c r="E8" s="1075"/>
      <c r="F8" s="1075"/>
      <c r="G8" s="1075"/>
      <c r="H8" s="1075"/>
      <c r="I8" s="6447"/>
      <c r="J8" s="1067">
        <f>ROUNDUP(C8*100/C3,1)</f>
        <v>244.2</v>
      </c>
      <c r="K8" t="s">
        <v>327</v>
      </c>
    </row>
    <row r="9" spans="1:11" ht="13.5" thickBot="1"/>
    <row r="10" spans="1:11" ht="13.5" thickBot="1">
      <c r="F10" s="6443" t="s">
        <v>328</v>
      </c>
      <c r="G10" s="6444"/>
      <c r="H10" s="6444"/>
      <c r="I10" s="1076">
        <f>ROUNDUP(C8/C3,2)</f>
        <v>2.4499999999999997</v>
      </c>
    </row>
  </sheetData>
  <mergeCells count="8">
    <mergeCell ref="F10:H10"/>
    <mergeCell ref="D1:I1"/>
    <mergeCell ref="D2:D3"/>
    <mergeCell ref="E3:E4"/>
    <mergeCell ref="F4:F5"/>
    <mergeCell ref="G5:G6"/>
    <mergeCell ref="H6:H7"/>
    <mergeCell ref="I7:I8"/>
  </mergeCells>
  <phoneticPr fontId="2"/>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6552B-E0B4-410F-A287-99C0EF5B3BBE}">
  <sheetPr codeName="Sheet236"/>
  <dimension ref="A1:ABT63"/>
  <sheetViews>
    <sheetView topLeftCell="A10" workbookViewId="0">
      <selection activeCell="ABS4" sqref="ABS4"/>
    </sheetView>
  </sheetViews>
  <sheetFormatPr defaultRowHeight="13"/>
  <cols>
    <col min="3" max="632" width="0" hidden="1" customWidth="1"/>
    <col min="633" max="634" width="30.1796875" customWidth="1"/>
    <col min="635" max="745" width="0" hidden="1" customWidth="1"/>
    <col min="746" max="746" width="3.81640625" customWidth="1"/>
    <col min="747" max="747" width="9.453125" customWidth="1"/>
  </cols>
  <sheetData>
    <row r="1" spans="1:748">
      <c r="A1" t="s">
        <v>339</v>
      </c>
      <c r="B1" t="s">
        <v>340</v>
      </c>
      <c r="C1" t="s">
        <v>341</v>
      </c>
      <c r="D1" t="s">
        <v>342</v>
      </c>
      <c r="E1" t="s">
        <v>343</v>
      </c>
      <c r="F1" t="s">
        <v>344</v>
      </c>
      <c r="G1" t="s">
        <v>345</v>
      </c>
      <c r="H1" t="s">
        <v>346</v>
      </c>
      <c r="I1" t="s">
        <v>347</v>
      </c>
      <c r="J1" t="s">
        <v>348</v>
      </c>
      <c r="K1" t="s">
        <v>349</v>
      </c>
      <c r="L1" t="s">
        <v>350</v>
      </c>
      <c r="M1" t="s">
        <v>351</v>
      </c>
      <c r="N1" t="s">
        <v>352</v>
      </c>
      <c r="O1" t="s">
        <v>353</v>
      </c>
      <c r="P1" t="s">
        <v>354</v>
      </c>
      <c r="Q1" t="s">
        <v>355</v>
      </c>
      <c r="R1" t="s">
        <v>356</v>
      </c>
      <c r="S1" t="s">
        <v>357</v>
      </c>
      <c r="T1" t="s">
        <v>358</v>
      </c>
      <c r="U1" t="s">
        <v>359</v>
      </c>
      <c r="V1" t="s">
        <v>360</v>
      </c>
      <c r="W1" t="s">
        <v>361</v>
      </c>
      <c r="X1" t="s">
        <v>362</v>
      </c>
      <c r="Y1" t="s">
        <v>363</v>
      </c>
      <c r="Z1" t="s">
        <v>364</v>
      </c>
      <c r="AA1" t="s">
        <v>365</v>
      </c>
      <c r="AB1" t="s">
        <v>366</v>
      </c>
      <c r="AC1" t="s">
        <v>367</v>
      </c>
      <c r="AD1" t="s">
        <v>368</v>
      </c>
      <c r="AE1" t="s">
        <v>369</v>
      </c>
      <c r="AF1" t="s">
        <v>370</v>
      </c>
      <c r="AG1" t="s">
        <v>371</v>
      </c>
      <c r="AH1" t="s">
        <v>372</v>
      </c>
      <c r="AI1" t="s">
        <v>373</v>
      </c>
      <c r="AJ1" t="s">
        <v>374</v>
      </c>
      <c r="AK1" t="s">
        <v>375</v>
      </c>
      <c r="AL1" t="s">
        <v>376</v>
      </c>
      <c r="AM1" t="s">
        <v>377</v>
      </c>
      <c r="AN1" t="s">
        <v>378</v>
      </c>
      <c r="AO1" t="s">
        <v>379</v>
      </c>
      <c r="AP1" t="s">
        <v>380</v>
      </c>
      <c r="AQ1" t="s">
        <v>381</v>
      </c>
      <c r="AR1" t="s">
        <v>382</v>
      </c>
      <c r="AS1" t="s">
        <v>383</v>
      </c>
      <c r="AT1" t="s">
        <v>384</v>
      </c>
      <c r="AU1" t="s">
        <v>385</v>
      </c>
      <c r="AV1" t="s">
        <v>386</v>
      </c>
      <c r="AW1" t="s">
        <v>387</v>
      </c>
      <c r="AX1" t="s">
        <v>388</v>
      </c>
      <c r="AY1" t="s">
        <v>389</v>
      </c>
      <c r="AZ1" t="s">
        <v>390</v>
      </c>
      <c r="BA1" t="s">
        <v>391</v>
      </c>
      <c r="BB1" t="s">
        <v>392</v>
      </c>
      <c r="BC1" t="s">
        <v>393</v>
      </c>
      <c r="BD1" t="s">
        <v>394</v>
      </c>
      <c r="BE1" t="s">
        <v>395</v>
      </c>
      <c r="BF1" t="s">
        <v>396</v>
      </c>
      <c r="BG1" t="s">
        <v>397</v>
      </c>
      <c r="BH1" t="s">
        <v>398</v>
      </c>
      <c r="BI1" t="s">
        <v>399</v>
      </c>
      <c r="BJ1" t="s">
        <v>400</v>
      </c>
      <c r="BK1" t="s">
        <v>401</v>
      </c>
      <c r="BL1" t="s">
        <v>402</v>
      </c>
      <c r="BM1" t="s">
        <v>403</v>
      </c>
      <c r="BN1" t="s">
        <v>404</v>
      </c>
      <c r="BO1" t="s">
        <v>405</v>
      </c>
      <c r="BP1" t="s">
        <v>406</v>
      </c>
      <c r="BQ1" t="s">
        <v>407</v>
      </c>
      <c r="BR1" t="s">
        <v>408</v>
      </c>
      <c r="BS1" t="s">
        <v>408</v>
      </c>
      <c r="BT1" t="s">
        <v>409</v>
      </c>
      <c r="BU1" t="s">
        <v>410</v>
      </c>
      <c r="BV1" t="s">
        <v>411</v>
      </c>
      <c r="BW1" t="s">
        <v>412</v>
      </c>
      <c r="BX1" t="s">
        <v>413</v>
      </c>
      <c r="BY1" t="s">
        <v>414</v>
      </c>
      <c r="BZ1" t="s">
        <v>415</v>
      </c>
      <c r="CA1" t="s">
        <v>416</v>
      </c>
      <c r="CB1" t="s">
        <v>417</v>
      </c>
      <c r="CC1" t="s">
        <v>418</v>
      </c>
      <c r="CD1" t="s">
        <v>419</v>
      </c>
      <c r="CE1" t="s">
        <v>420</v>
      </c>
      <c r="CF1" t="s">
        <v>421</v>
      </c>
      <c r="CG1" t="s">
        <v>422</v>
      </c>
      <c r="CH1" t="s">
        <v>423</v>
      </c>
      <c r="CI1" t="s">
        <v>424</v>
      </c>
      <c r="CJ1" t="s">
        <v>425</v>
      </c>
      <c r="CK1" t="s">
        <v>426</v>
      </c>
      <c r="CL1" t="s">
        <v>427</v>
      </c>
      <c r="CM1" t="s">
        <v>428</v>
      </c>
      <c r="CN1" t="s">
        <v>429</v>
      </c>
      <c r="CO1" t="s">
        <v>430</v>
      </c>
      <c r="CP1" t="s">
        <v>431</v>
      </c>
      <c r="CQ1" t="s">
        <v>432</v>
      </c>
      <c r="CR1" t="s">
        <v>433</v>
      </c>
      <c r="CS1" t="s">
        <v>434</v>
      </c>
      <c r="CT1" t="s">
        <v>435</v>
      </c>
      <c r="CU1" t="s">
        <v>436</v>
      </c>
      <c r="CV1" t="s">
        <v>437</v>
      </c>
      <c r="CW1" t="s">
        <v>438</v>
      </c>
      <c r="CX1" t="s">
        <v>439</v>
      </c>
      <c r="CY1" t="s">
        <v>440</v>
      </c>
      <c r="CZ1" t="s">
        <v>441</v>
      </c>
      <c r="DA1" t="s">
        <v>442</v>
      </c>
      <c r="DB1" t="s">
        <v>443</v>
      </c>
      <c r="DC1" t="s">
        <v>444</v>
      </c>
      <c r="DD1" t="s">
        <v>445</v>
      </c>
      <c r="DE1" t="s">
        <v>446</v>
      </c>
      <c r="DF1" t="s">
        <v>447</v>
      </c>
      <c r="DG1" t="s">
        <v>448</v>
      </c>
      <c r="DH1" t="s">
        <v>449</v>
      </c>
      <c r="DI1" t="s">
        <v>450</v>
      </c>
      <c r="DJ1" t="s">
        <v>451</v>
      </c>
      <c r="DK1" t="s">
        <v>452</v>
      </c>
      <c r="DL1" t="s">
        <v>453</v>
      </c>
      <c r="DM1" t="s">
        <v>454</v>
      </c>
      <c r="DN1" t="s">
        <v>455</v>
      </c>
      <c r="DO1" t="s">
        <v>456</v>
      </c>
      <c r="DP1" t="s">
        <v>457</v>
      </c>
      <c r="DQ1" t="s">
        <v>458</v>
      </c>
      <c r="DR1" t="s">
        <v>459</v>
      </c>
      <c r="DS1" t="s">
        <v>460</v>
      </c>
      <c r="DT1" t="s">
        <v>461</v>
      </c>
      <c r="DU1" t="s">
        <v>462</v>
      </c>
      <c r="DV1" t="s">
        <v>463</v>
      </c>
      <c r="DW1" t="s">
        <v>464</v>
      </c>
      <c r="DX1" t="s">
        <v>465</v>
      </c>
      <c r="DY1" t="s">
        <v>466</v>
      </c>
      <c r="DZ1" t="s">
        <v>467</v>
      </c>
      <c r="EA1" t="s">
        <v>468</v>
      </c>
      <c r="EB1" t="s">
        <v>469</v>
      </c>
      <c r="EC1" t="s">
        <v>470</v>
      </c>
      <c r="ED1" t="s">
        <v>471</v>
      </c>
      <c r="EE1" t="s">
        <v>472</v>
      </c>
      <c r="EF1" t="s">
        <v>473</v>
      </c>
      <c r="EG1" t="s">
        <v>474</v>
      </c>
      <c r="EH1" t="s">
        <v>475</v>
      </c>
      <c r="EI1" t="s">
        <v>476</v>
      </c>
      <c r="EJ1" t="s">
        <v>477</v>
      </c>
      <c r="EK1" t="s">
        <v>478</v>
      </c>
      <c r="EL1" t="s">
        <v>479</v>
      </c>
      <c r="EM1" t="s">
        <v>480</v>
      </c>
      <c r="EN1" t="s">
        <v>481</v>
      </c>
      <c r="EO1" t="s">
        <v>482</v>
      </c>
      <c r="EP1" t="s">
        <v>483</v>
      </c>
      <c r="EQ1" t="s">
        <v>484</v>
      </c>
      <c r="ER1" t="s">
        <v>485</v>
      </c>
      <c r="ES1" t="s">
        <v>486</v>
      </c>
      <c r="ET1" t="s">
        <v>487</v>
      </c>
      <c r="EU1" t="s">
        <v>488</v>
      </c>
      <c r="EV1" t="s">
        <v>489</v>
      </c>
      <c r="EW1" t="s">
        <v>490</v>
      </c>
      <c r="EX1" t="s">
        <v>491</v>
      </c>
      <c r="EY1" t="s">
        <v>492</v>
      </c>
      <c r="EZ1" t="s">
        <v>493</v>
      </c>
      <c r="FA1" t="s">
        <v>494</v>
      </c>
      <c r="FB1" t="s">
        <v>495</v>
      </c>
      <c r="FC1" t="s">
        <v>496</v>
      </c>
      <c r="FD1" t="s">
        <v>497</v>
      </c>
      <c r="FE1" t="s">
        <v>498</v>
      </c>
      <c r="FF1" t="s">
        <v>499</v>
      </c>
      <c r="FG1" t="s">
        <v>500</v>
      </c>
      <c r="FH1" t="s">
        <v>501</v>
      </c>
      <c r="FI1" t="s">
        <v>502</v>
      </c>
      <c r="FJ1" t="s">
        <v>503</v>
      </c>
      <c r="FK1" t="s">
        <v>504</v>
      </c>
      <c r="FL1" t="s">
        <v>505</v>
      </c>
      <c r="FM1" t="s">
        <v>506</v>
      </c>
      <c r="FN1" t="s">
        <v>507</v>
      </c>
      <c r="FO1" t="s">
        <v>508</v>
      </c>
      <c r="FP1" t="s">
        <v>509</v>
      </c>
      <c r="FQ1" t="s">
        <v>510</v>
      </c>
      <c r="FR1" t="s">
        <v>511</v>
      </c>
      <c r="FS1" t="s">
        <v>512</v>
      </c>
      <c r="FT1" t="s">
        <v>513</v>
      </c>
      <c r="FU1" t="s">
        <v>514</v>
      </c>
      <c r="FV1" t="s">
        <v>515</v>
      </c>
      <c r="FW1" t="s">
        <v>516</v>
      </c>
      <c r="FX1" t="s">
        <v>517</v>
      </c>
      <c r="FY1" t="s">
        <v>518</v>
      </c>
      <c r="FZ1" t="s">
        <v>519</v>
      </c>
      <c r="GA1" t="s">
        <v>520</v>
      </c>
      <c r="GB1" t="s">
        <v>521</v>
      </c>
      <c r="GC1" t="s">
        <v>522</v>
      </c>
      <c r="GD1" t="s">
        <v>523</v>
      </c>
      <c r="GE1" t="s">
        <v>524</v>
      </c>
      <c r="GF1" t="s">
        <v>525</v>
      </c>
      <c r="GG1" t="s">
        <v>526</v>
      </c>
      <c r="GH1" t="s">
        <v>527</v>
      </c>
      <c r="GI1" t="s">
        <v>528</v>
      </c>
      <c r="GJ1" t="s">
        <v>529</v>
      </c>
      <c r="GK1" t="s">
        <v>530</v>
      </c>
      <c r="GL1" t="s">
        <v>531</v>
      </c>
      <c r="GM1" t="s">
        <v>532</v>
      </c>
      <c r="GN1" t="s">
        <v>533</v>
      </c>
      <c r="GO1" t="s">
        <v>534</v>
      </c>
      <c r="GP1" t="s">
        <v>535</v>
      </c>
      <c r="GQ1" t="s">
        <v>536</v>
      </c>
      <c r="GR1" t="s">
        <v>537</v>
      </c>
      <c r="GS1" t="s">
        <v>538</v>
      </c>
      <c r="GT1" t="s">
        <v>539</v>
      </c>
      <c r="GU1" t="s">
        <v>540</v>
      </c>
      <c r="GV1" t="s">
        <v>541</v>
      </c>
      <c r="GW1" t="s">
        <v>542</v>
      </c>
      <c r="GX1" t="s">
        <v>543</v>
      </c>
      <c r="GY1" t="s">
        <v>544</v>
      </c>
      <c r="GZ1" t="s">
        <v>545</v>
      </c>
      <c r="HA1" t="s">
        <v>546</v>
      </c>
      <c r="HB1" t="s">
        <v>547</v>
      </c>
      <c r="HC1" t="s">
        <v>548</v>
      </c>
      <c r="HD1" t="s">
        <v>549</v>
      </c>
      <c r="HE1" t="s">
        <v>550</v>
      </c>
      <c r="HF1" t="s">
        <v>551</v>
      </c>
      <c r="HG1" t="s">
        <v>552</v>
      </c>
      <c r="HH1" t="s">
        <v>553</v>
      </c>
      <c r="HI1" t="s">
        <v>554</v>
      </c>
      <c r="HJ1" t="s">
        <v>555</v>
      </c>
      <c r="HK1" t="s">
        <v>556</v>
      </c>
      <c r="HL1" t="s">
        <v>557</v>
      </c>
      <c r="HM1" t="s">
        <v>558</v>
      </c>
      <c r="HN1" t="s">
        <v>559</v>
      </c>
      <c r="HO1" t="s">
        <v>560</v>
      </c>
      <c r="HP1" t="s">
        <v>561</v>
      </c>
      <c r="HQ1" t="s">
        <v>562</v>
      </c>
      <c r="HR1" t="s">
        <v>563</v>
      </c>
      <c r="HS1" t="s">
        <v>564</v>
      </c>
      <c r="HT1" t="s">
        <v>565</v>
      </c>
      <c r="HU1" t="s">
        <v>566</v>
      </c>
      <c r="HV1" t="s">
        <v>567</v>
      </c>
      <c r="HW1" t="s">
        <v>568</v>
      </c>
      <c r="HX1" t="s">
        <v>569</v>
      </c>
      <c r="HY1" t="s">
        <v>570</v>
      </c>
      <c r="HZ1" t="s">
        <v>571</v>
      </c>
      <c r="IA1" t="s">
        <v>572</v>
      </c>
      <c r="IB1" t="s">
        <v>573</v>
      </c>
      <c r="IC1" t="s">
        <v>574</v>
      </c>
      <c r="ID1" t="s">
        <v>575</v>
      </c>
      <c r="IE1" t="s">
        <v>576</v>
      </c>
      <c r="IF1" t="s">
        <v>577</v>
      </c>
      <c r="IG1" t="s">
        <v>578</v>
      </c>
      <c r="IH1" t="s">
        <v>579</v>
      </c>
      <c r="II1" t="s">
        <v>580</v>
      </c>
      <c r="IJ1" t="s">
        <v>581</v>
      </c>
      <c r="IK1" t="s">
        <v>582</v>
      </c>
      <c r="IL1" t="s">
        <v>583</v>
      </c>
      <c r="IM1" t="s">
        <v>584</v>
      </c>
      <c r="IN1" t="s">
        <v>585</v>
      </c>
      <c r="IO1" t="s">
        <v>586</v>
      </c>
      <c r="IP1" t="s">
        <v>587</v>
      </c>
      <c r="IQ1" t="s">
        <v>588</v>
      </c>
      <c r="IR1" t="s">
        <v>589</v>
      </c>
      <c r="IS1" t="s">
        <v>590</v>
      </c>
      <c r="IT1" t="s">
        <v>591</v>
      </c>
      <c r="IU1" t="s">
        <v>592</v>
      </c>
      <c r="IV1" t="s">
        <v>593</v>
      </c>
      <c r="IW1" t="s">
        <v>594</v>
      </c>
      <c r="IX1" t="s">
        <v>595</v>
      </c>
      <c r="IY1" t="s">
        <v>596</v>
      </c>
      <c r="IZ1" t="s">
        <v>597</v>
      </c>
      <c r="JA1" t="s">
        <v>598</v>
      </c>
      <c r="JB1" t="s">
        <v>599</v>
      </c>
      <c r="JC1" t="s">
        <v>600</v>
      </c>
      <c r="JD1" t="s">
        <v>601</v>
      </c>
      <c r="JE1" t="s">
        <v>602</v>
      </c>
      <c r="JF1" t="s">
        <v>603</v>
      </c>
      <c r="JG1" t="s">
        <v>604</v>
      </c>
      <c r="JH1" t="s">
        <v>605</v>
      </c>
      <c r="JI1" t="s">
        <v>606</v>
      </c>
      <c r="JJ1" t="s">
        <v>607</v>
      </c>
      <c r="JK1" t="s">
        <v>608</v>
      </c>
      <c r="JL1" t="s">
        <v>609</v>
      </c>
      <c r="JM1" t="s">
        <v>610</v>
      </c>
      <c r="JN1" t="s">
        <v>611</v>
      </c>
      <c r="JO1" t="s">
        <v>612</v>
      </c>
      <c r="JP1" t="s">
        <v>613</v>
      </c>
      <c r="JQ1" t="s">
        <v>614</v>
      </c>
      <c r="JR1" t="s">
        <v>615</v>
      </c>
      <c r="JS1" t="s">
        <v>616</v>
      </c>
      <c r="JT1" t="s">
        <v>617</v>
      </c>
      <c r="JU1" t="s">
        <v>618</v>
      </c>
      <c r="JV1" t="s">
        <v>619</v>
      </c>
      <c r="JW1" t="s">
        <v>620</v>
      </c>
      <c r="JX1" t="s">
        <v>621</v>
      </c>
      <c r="JY1" t="s">
        <v>621</v>
      </c>
      <c r="JZ1" t="s">
        <v>622</v>
      </c>
      <c r="KA1" t="s">
        <v>623</v>
      </c>
      <c r="KB1" t="s">
        <v>624</v>
      </c>
      <c r="KC1" t="s">
        <v>625</v>
      </c>
      <c r="KD1" t="s">
        <v>625</v>
      </c>
      <c r="KE1" t="s">
        <v>626</v>
      </c>
      <c r="KF1" t="s">
        <v>627</v>
      </c>
      <c r="KG1" t="s">
        <v>628</v>
      </c>
      <c r="KH1" t="s">
        <v>629</v>
      </c>
      <c r="KI1" t="s">
        <v>630</v>
      </c>
      <c r="KJ1" t="s">
        <v>631</v>
      </c>
      <c r="KK1" t="s">
        <v>632</v>
      </c>
      <c r="KL1" t="s">
        <v>633</v>
      </c>
      <c r="KM1" t="s">
        <v>634</v>
      </c>
      <c r="KN1" t="s">
        <v>635</v>
      </c>
      <c r="KO1" t="s">
        <v>636</v>
      </c>
      <c r="KP1" t="s">
        <v>637</v>
      </c>
      <c r="KQ1" t="s">
        <v>638</v>
      </c>
      <c r="KR1" t="s">
        <v>639</v>
      </c>
      <c r="KS1" t="s">
        <v>640</v>
      </c>
      <c r="KT1" t="s">
        <v>641</v>
      </c>
      <c r="KU1" t="s">
        <v>642</v>
      </c>
      <c r="KV1" t="s">
        <v>643</v>
      </c>
      <c r="KW1" t="s">
        <v>644</v>
      </c>
      <c r="KX1" t="s">
        <v>645</v>
      </c>
      <c r="KY1" t="s">
        <v>646</v>
      </c>
      <c r="KZ1" t="s">
        <v>647</v>
      </c>
      <c r="LA1" t="s">
        <v>647</v>
      </c>
      <c r="LB1" t="s">
        <v>648</v>
      </c>
      <c r="LC1" t="s">
        <v>649</v>
      </c>
      <c r="LD1" t="s">
        <v>650</v>
      </c>
      <c r="LE1" t="s">
        <v>651</v>
      </c>
      <c r="LF1" t="s">
        <v>652</v>
      </c>
      <c r="LG1" t="s">
        <v>653</v>
      </c>
      <c r="LH1" t="s">
        <v>654</v>
      </c>
      <c r="LI1" t="s">
        <v>655</v>
      </c>
      <c r="LJ1" t="s">
        <v>656</v>
      </c>
      <c r="LK1" t="s">
        <v>657</v>
      </c>
      <c r="LL1" t="s">
        <v>658</v>
      </c>
      <c r="LM1" t="s">
        <v>659</v>
      </c>
      <c r="LN1" t="s">
        <v>660</v>
      </c>
      <c r="LO1" t="s">
        <v>661</v>
      </c>
      <c r="LP1" t="s">
        <v>662</v>
      </c>
      <c r="LQ1" t="s">
        <v>663</v>
      </c>
      <c r="LR1" t="s">
        <v>664</v>
      </c>
      <c r="LS1" t="s">
        <v>665</v>
      </c>
      <c r="LT1" t="s">
        <v>666</v>
      </c>
      <c r="LU1" t="s">
        <v>667</v>
      </c>
      <c r="LV1" t="s">
        <v>668</v>
      </c>
      <c r="LW1" t="s">
        <v>669</v>
      </c>
      <c r="LX1" t="s">
        <v>670</v>
      </c>
      <c r="LY1" t="s">
        <v>671</v>
      </c>
      <c r="LZ1" t="s">
        <v>672</v>
      </c>
      <c r="MA1" t="s">
        <v>673</v>
      </c>
      <c r="MB1" t="s">
        <v>674</v>
      </c>
      <c r="MC1" t="s">
        <v>675</v>
      </c>
      <c r="MD1" t="s">
        <v>676</v>
      </c>
      <c r="ME1" t="s">
        <v>677</v>
      </c>
      <c r="MF1" t="s">
        <v>678</v>
      </c>
      <c r="MG1" t="s">
        <v>679</v>
      </c>
      <c r="MH1" t="s">
        <v>680</v>
      </c>
      <c r="MI1" t="s">
        <v>681</v>
      </c>
      <c r="MJ1" t="s">
        <v>682</v>
      </c>
      <c r="MK1" t="s">
        <v>683</v>
      </c>
      <c r="ML1" t="s">
        <v>684</v>
      </c>
      <c r="MM1" t="s">
        <v>685</v>
      </c>
      <c r="MN1" t="s">
        <v>686</v>
      </c>
      <c r="MO1" t="s">
        <v>687</v>
      </c>
      <c r="MP1" t="s">
        <v>688</v>
      </c>
      <c r="MQ1" t="s">
        <v>689</v>
      </c>
      <c r="MR1" t="s">
        <v>690</v>
      </c>
      <c r="MS1" t="s">
        <v>691</v>
      </c>
      <c r="MT1" t="s">
        <v>692</v>
      </c>
      <c r="MU1" t="s">
        <v>693</v>
      </c>
      <c r="MV1" t="s">
        <v>694</v>
      </c>
      <c r="MW1" t="s">
        <v>695</v>
      </c>
      <c r="MX1" t="s">
        <v>696</v>
      </c>
      <c r="MY1" t="s">
        <v>697</v>
      </c>
      <c r="MZ1" t="s">
        <v>698</v>
      </c>
      <c r="NA1" t="s">
        <v>699</v>
      </c>
      <c r="NB1" t="s">
        <v>700</v>
      </c>
      <c r="NC1" t="s">
        <v>701</v>
      </c>
      <c r="ND1" t="s">
        <v>702</v>
      </c>
      <c r="NE1" t="s">
        <v>703</v>
      </c>
      <c r="NF1" t="s">
        <v>704</v>
      </c>
      <c r="NG1" t="s">
        <v>705</v>
      </c>
      <c r="NH1" t="s">
        <v>706</v>
      </c>
      <c r="NI1" t="s">
        <v>707</v>
      </c>
      <c r="NJ1" t="s">
        <v>708</v>
      </c>
      <c r="NK1" t="s">
        <v>709</v>
      </c>
      <c r="NL1" t="s">
        <v>710</v>
      </c>
      <c r="NM1" t="s">
        <v>711</v>
      </c>
      <c r="NN1" t="s">
        <v>712</v>
      </c>
      <c r="NO1" t="s">
        <v>713</v>
      </c>
      <c r="NP1" t="s">
        <v>714</v>
      </c>
      <c r="NQ1" t="s">
        <v>715</v>
      </c>
      <c r="NR1" t="s">
        <v>716</v>
      </c>
      <c r="NS1" t="s">
        <v>716</v>
      </c>
      <c r="NT1" t="s">
        <v>717</v>
      </c>
      <c r="NU1" t="s">
        <v>718</v>
      </c>
      <c r="NV1" t="s">
        <v>719</v>
      </c>
      <c r="NW1" t="s">
        <v>720</v>
      </c>
      <c r="NX1" t="s">
        <v>721</v>
      </c>
      <c r="NY1" t="s">
        <v>722</v>
      </c>
      <c r="NZ1" t="s">
        <v>723</v>
      </c>
      <c r="OA1" t="s">
        <v>724</v>
      </c>
      <c r="OB1" t="s">
        <v>725</v>
      </c>
      <c r="OC1" t="s">
        <v>726</v>
      </c>
      <c r="OD1" t="s">
        <v>727</v>
      </c>
      <c r="OE1" t="s">
        <v>728</v>
      </c>
      <c r="OF1" t="s">
        <v>729</v>
      </c>
      <c r="OG1" t="s">
        <v>730</v>
      </c>
      <c r="OH1" t="s">
        <v>731</v>
      </c>
      <c r="OI1" t="s">
        <v>732</v>
      </c>
      <c r="OJ1" t="s">
        <v>733</v>
      </c>
      <c r="OK1" t="s">
        <v>734</v>
      </c>
      <c r="OL1" t="s">
        <v>735</v>
      </c>
      <c r="OM1" t="s">
        <v>736</v>
      </c>
      <c r="ON1" t="s">
        <v>737</v>
      </c>
      <c r="OO1" t="s">
        <v>738</v>
      </c>
      <c r="OP1" t="s">
        <v>739</v>
      </c>
      <c r="OQ1" t="s">
        <v>740</v>
      </c>
      <c r="OR1" t="s">
        <v>741</v>
      </c>
      <c r="OS1" t="s">
        <v>742</v>
      </c>
      <c r="OT1" t="s">
        <v>743</v>
      </c>
      <c r="OU1" t="s">
        <v>744</v>
      </c>
      <c r="OV1" t="s">
        <v>745</v>
      </c>
      <c r="OW1" t="s">
        <v>746</v>
      </c>
      <c r="OX1" t="s">
        <v>747</v>
      </c>
      <c r="OY1" t="s">
        <v>748</v>
      </c>
      <c r="OZ1" t="s">
        <v>749</v>
      </c>
      <c r="PA1" t="s">
        <v>750</v>
      </c>
      <c r="PB1" t="s">
        <v>751</v>
      </c>
      <c r="PC1" t="s">
        <v>752</v>
      </c>
      <c r="PD1" t="s">
        <v>753</v>
      </c>
      <c r="PE1" t="s">
        <v>754</v>
      </c>
      <c r="PF1" t="s">
        <v>755</v>
      </c>
      <c r="PG1" t="s">
        <v>756</v>
      </c>
      <c r="PH1" t="s">
        <v>757</v>
      </c>
      <c r="PI1" t="s">
        <v>758</v>
      </c>
      <c r="PJ1" t="s">
        <v>759</v>
      </c>
      <c r="PK1" t="s">
        <v>760</v>
      </c>
      <c r="PL1" t="s">
        <v>761</v>
      </c>
      <c r="PM1" t="s">
        <v>762</v>
      </c>
      <c r="PN1" t="s">
        <v>763</v>
      </c>
      <c r="PO1" t="s">
        <v>764</v>
      </c>
      <c r="PP1" t="s">
        <v>765</v>
      </c>
      <c r="PQ1" t="s">
        <v>766</v>
      </c>
      <c r="PR1" t="s">
        <v>767</v>
      </c>
      <c r="PS1" t="s">
        <v>768</v>
      </c>
      <c r="PT1" t="s">
        <v>769</v>
      </c>
      <c r="PU1" t="s">
        <v>770</v>
      </c>
      <c r="PV1" t="s">
        <v>771</v>
      </c>
      <c r="PW1" t="s">
        <v>772</v>
      </c>
      <c r="PX1" t="s">
        <v>773</v>
      </c>
      <c r="PY1" t="s">
        <v>774</v>
      </c>
      <c r="PZ1" t="s">
        <v>775</v>
      </c>
      <c r="QA1" t="s">
        <v>776</v>
      </c>
      <c r="QB1" t="s">
        <v>777</v>
      </c>
      <c r="QC1" t="s">
        <v>778</v>
      </c>
      <c r="QD1" t="s">
        <v>779</v>
      </c>
      <c r="QE1" t="s">
        <v>780</v>
      </c>
      <c r="QF1" t="s">
        <v>781</v>
      </c>
      <c r="QG1" t="s">
        <v>782</v>
      </c>
      <c r="QH1" t="s">
        <v>783</v>
      </c>
      <c r="QI1" t="s">
        <v>784</v>
      </c>
      <c r="QJ1" t="s">
        <v>785</v>
      </c>
      <c r="QK1" t="s">
        <v>786</v>
      </c>
      <c r="QL1" t="s">
        <v>787</v>
      </c>
      <c r="QM1" t="s">
        <v>788</v>
      </c>
      <c r="QN1" t="s">
        <v>789</v>
      </c>
      <c r="QO1" t="s">
        <v>790</v>
      </c>
      <c r="QP1" t="s">
        <v>791</v>
      </c>
      <c r="QQ1" t="s">
        <v>792</v>
      </c>
      <c r="QR1" t="s">
        <v>793</v>
      </c>
      <c r="QS1" t="s">
        <v>794</v>
      </c>
      <c r="QT1" t="s">
        <v>795</v>
      </c>
      <c r="QU1" t="s">
        <v>796</v>
      </c>
      <c r="QV1" t="s">
        <v>797</v>
      </c>
      <c r="QW1" t="s">
        <v>798</v>
      </c>
      <c r="QX1" t="s">
        <v>799</v>
      </c>
      <c r="QY1" t="s">
        <v>800</v>
      </c>
      <c r="QZ1" t="s">
        <v>801</v>
      </c>
      <c r="RA1" t="s">
        <v>802</v>
      </c>
      <c r="RB1" t="s">
        <v>803</v>
      </c>
      <c r="RC1" t="s">
        <v>804</v>
      </c>
      <c r="RD1" t="s">
        <v>805</v>
      </c>
      <c r="RE1" t="s">
        <v>806</v>
      </c>
      <c r="RF1" t="s">
        <v>807</v>
      </c>
      <c r="RG1" t="s">
        <v>808</v>
      </c>
      <c r="RH1" t="s">
        <v>809</v>
      </c>
      <c r="RI1" t="s">
        <v>810</v>
      </c>
      <c r="RJ1" t="s">
        <v>811</v>
      </c>
      <c r="RK1" t="s">
        <v>812</v>
      </c>
      <c r="RL1" t="s">
        <v>813</v>
      </c>
      <c r="RM1" t="s">
        <v>814</v>
      </c>
      <c r="RN1" t="s">
        <v>815</v>
      </c>
      <c r="RO1" t="s">
        <v>816</v>
      </c>
      <c r="RP1" t="s">
        <v>817</v>
      </c>
      <c r="RQ1" t="s">
        <v>818</v>
      </c>
      <c r="RR1" t="s">
        <v>819</v>
      </c>
      <c r="RS1" t="s">
        <v>820</v>
      </c>
      <c r="RT1" t="s">
        <v>821</v>
      </c>
      <c r="RU1" t="s">
        <v>822</v>
      </c>
      <c r="RV1" t="s">
        <v>823</v>
      </c>
      <c r="RW1" t="s">
        <v>824</v>
      </c>
      <c r="RX1" t="s">
        <v>825</v>
      </c>
      <c r="RY1" t="s">
        <v>826</v>
      </c>
      <c r="RZ1" t="s">
        <v>827</v>
      </c>
      <c r="SA1" t="s">
        <v>828</v>
      </c>
      <c r="SB1" t="s">
        <v>829</v>
      </c>
      <c r="SC1" t="s">
        <v>830</v>
      </c>
      <c r="SD1" t="s">
        <v>831</v>
      </c>
      <c r="SE1" t="s">
        <v>832</v>
      </c>
      <c r="SF1" t="s">
        <v>833</v>
      </c>
      <c r="SG1" t="s">
        <v>834</v>
      </c>
      <c r="SH1" t="s">
        <v>835</v>
      </c>
      <c r="SI1" t="s">
        <v>836</v>
      </c>
      <c r="SJ1" t="s">
        <v>837</v>
      </c>
      <c r="SK1" t="s">
        <v>838</v>
      </c>
      <c r="SL1" t="s">
        <v>839</v>
      </c>
      <c r="SM1" t="s">
        <v>840</v>
      </c>
      <c r="SN1" t="s">
        <v>841</v>
      </c>
      <c r="SO1" t="s">
        <v>842</v>
      </c>
      <c r="SP1" t="s">
        <v>843</v>
      </c>
      <c r="SQ1" t="s">
        <v>844</v>
      </c>
      <c r="SR1" t="s">
        <v>845</v>
      </c>
      <c r="SS1" t="s">
        <v>846</v>
      </c>
      <c r="ST1" t="s">
        <v>847</v>
      </c>
      <c r="SU1" t="s">
        <v>848</v>
      </c>
      <c r="SV1" t="s">
        <v>849</v>
      </c>
      <c r="SW1" t="s">
        <v>850</v>
      </c>
      <c r="SX1" t="s">
        <v>851</v>
      </c>
      <c r="SY1" t="s">
        <v>852</v>
      </c>
      <c r="SZ1" t="s">
        <v>853</v>
      </c>
      <c r="TA1" t="s">
        <v>854</v>
      </c>
      <c r="TB1" t="s">
        <v>855</v>
      </c>
      <c r="TC1" t="s">
        <v>856</v>
      </c>
      <c r="TD1" t="s">
        <v>857</v>
      </c>
      <c r="TE1" t="s">
        <v>858</v>
      </c>
      <c r="TF1" t="s">
        <v>859</v>
      </c>
      <c r="TG1" t="s">
        <v>860</v>
      </c>
      <c r="TH1" t="s">
        <v>861</v>
      </c>
      <c r="TI1" t="s">
        <v>862</v>
      </c>
      <c r="TJ1" t="s">
        <v>863</v>
      </c>
      <c r="TK1" t="s">
        <v>864</v>
      </c>
      <c r="TL1" t="s">
        <v>865</v>
      </c>
      <c r="TM1" t="s">
        <v>866</v>
      </c>
      <c r="TN1" t="s">
        <v>867</v>
      </c>
      <c r="TO1" t="s">
        <v>868</v>
      </c>
      <c r="TP1" t="s">
        <v>869</v>
      </c>
      <c r="TQ1" t="s">
        <v>870</v>
      </c>
      <c r="TR1" t="s">
        <v>871</v>
      </c>
      <c r="TS1" t="s">
        <v>872</v>
      </c>
      <c r="TT1" t="s">
        <v>873</v>
      </c>
      <c r="TU1" t="s">
        <v>874</v>
      </c>
      <c r="TV1" t="s">
        <v>875</v>
      </c>
      <c r="TW1" t="s">
        <v>876</v>
      </c>
      <c r="TX1" t="s">
        <v>877</v>
      </c>
      <c r="TY1" t="s">
        <v>878</v>
      </c>
      <c r="TZ1" t="s">
        <v>879</v>
      </c>
      <c r="UA1" t="s">
        <v>880</v>
      </c>
      <c r="UB1" t="s">
        <v>881</v>
      </c>
      <c r="UC1" t="s">
        <v>882</v>
      </c>
      <c r="UD1" t="s">
        <v>883</v>
      </c>
      <c r="UE1" t="s">
        <v>884</v>
      </c>
      <c r="UF1" t="s">
        <v>885</v>
      </c>
      <c r="UG1" t="s">
        <v>886</v>
      </c>
      <c r="UH1" t="s">
        <v>887</v>
      </c>
      <c r="UI1" t="s">
        <v>888</v>
      </c>
      <c r="UJ1" t="s">
        <v>889</v>
      </c>
      <c r="UK1" t="s">
        <v>890</v>
      </c>
      <c r="UL1" t="s">
        <v>891</v>
      </c>
      <c r="UM1" t="s">
        <v>892</v>
      </c>
      <c r="UN1" t="s">
        <v>893</v>
      </c>
      <c r="UO1" t="s">
        <v>894</v>
      </c>
      <c r="UP1" t="s">
        <v>895</v>
      </c>
      <c r="UQ1" t="s">
        <v>896</v>
      </c>
      <c r="UR1" t="s">
        <v>897</v>
      </c>
      <c r="US1" t="s">
        <v>898</v>
      </c>
      <c r="UT1" t="s">
        <v>899</v>
      </c>
      <c r="UU1" t="s">
        <v>900</v>
      </c>
      <c r="UV1" t="s">
        <v>901</v>
      </c>
      <c r="UW1" t="s">
        <v>902</v>
      </c>
      <c r="UX1" t="s">
        <v>903</v>
      </c>
      <c r="UY1" t="s">
        <v>904</v>
      </c>
      <c r="UZ1" t="s">
        <v>905</v>
      </c>
      <c r="VA1" t="s">
        <v>906</v>
      </c>
      <c r="VB1" t="s">
        <v>907</v>
      </c>
      <c r="VC1" t="s">
        <v>908</v>
      </c>
      <c r="VD1" t="s">
        <v>909</v>
      </c>
      <c r="VE1" t="s">
        <v>910</v>
      </c>
      <c r="VF1" t="s">
        <v>911</v>
      </c>
      <c r="VG1" t="s">
        <v>912</v>
      </c>
      <c r="VH1" t="s">
        <v>913</v>
      </c>
      <c r="VI1" t="s">
        <v>914</v>
      </c>
      <c r="VJ1" t="s">
        <v>915</v>
      </c>
      <c r="VK1" t="s">
        <v>916</v>
      </c>
      <c r="VL1" t="s">
        <v>917</v>
      </c>
      <c r="VM1" t="s">
        <v>918</v>
      </c>
      <c r="VN1" t="s">
        <v>919</v>
      </c>
      <c r="VO1" t="s">
        <v>920</v>
      </c>
      <c r="VP1" t="s">
        <v>921</v>
      </c>
      <c r="VQ1" t="s">
        <v>922</v>
      </c>
      <c r="VR1" t="s">
        <v>923</v>
      </c>
      <c r="VS1" t="s">
        <v>924</v>
      </c>
      <c r="VT1" t="s">
        <v>925</v>
      </c>
      <c r="VU1" t="s">
        <v>926</v>
      </c>
      <c r="VV1" t="s">
        <v>927</v>
      </c>
      <c r="VW1" t="s">
        <v>928</v>
      </c>
      <c r="VX1" t="s">
        <v>929</v>
      </c>
      <c r="VY1" t="s">
        <v>930</v>
      </c>
      <c r="VZ1" t="s">
        <v>931</v>
      </c>
      <c r="WA1" t="s">
        <v>932</v>
      </c>
      <c r="WB1" t="s">
        <v>933</v>
      </c>
      <c r="WC1" t="s">
        <v>934</v>
      </c>
      <c r="WD1" t="s">
        <v>935</v>
      </c>
      <c r="WE1" t="s">
        <v>936</v>
      </c>
      <c r="WF1" t="s">
        <v>937</v>
      </c>
      <c r="WG1" t="s">
        <v>938</v>
      </c>
      <c r="WH1" t="s">
        <v>939</v>
      </c>
      <c r="WI1" t="s">
        <v>940</v>
      </c>
      <c r="WJ1" t="s">
        <v>941</v>
      </c>
      <c r="WK1" t="s">
        <v>942</v>
      </c>
      <c r="WL1" t="s">
        <v>943</v>
      </c>
      <c r="WM1" t="s">
        <v>944</v>
      </c>
      <c r="WN1" t="s">
        <v>945</v>
      </c>
      <c r="WO1" t="s">
        <v>946</v>
      </c>
      <c r="WP1" t="s">
        <v>947</v>
      </c>
      <c r="WQ1" t="s">
        <v>948</v>
      </c>
      <c r="WR1" t="s">
        <v>949</v>
      </c>
      <c r="WS1" t="s">
        <v>950</v>
      </c>
      <c r="WT1" t="s">
        <v>951</v>
      </c>
      <c r="WU1" t="s">
        <v>952</v>
      </c>
      <c r="WV1" t="s">
        <v>953</v>
      </c>
      <c r="WW1" t="s">
        <v>954</v>
      </c>
      <c r="WX1" t="s">
        <v>955</v>
      </c>
      <c r="WY1" t="s">
        <v>956</v>
      </c>
      <c r="WZ1" t="s">
        <v>957</v>
      </c>
      <c r="XA1" t="s">
        <v>958</v>
      </c>
      <c r="XB1" t="s">
        <v>959</v>
      </c>
      <c r="XC1" t="s">
        <v>960</v>
      </c>
      <c r="XD1" t="s">
        <v>961</v>
      </c>
      <c r="XE1" t="s">
        <v>962</v>
      </c>
      <c r="XF1" t="s">
        <v>963</v>
      </c>
      <c r="XG1" t="s">
        <v>964</v>
      </c>
      <c r="XH1" t="s">
        <v>965</v>
      </c>
      <c r="XI1" s="191" t="s">
        <v>317</v>
      </c>
      <c r="XJ1" s="191" t="s">
        <v>317</v>
      </c>
      <c r="XK1" t="s">
        <v>966</v>
      </c>
      <c r="XL1" t="s">
        <v>967</v>
      </c>
      <c r="XM1" t="s">
        <v>968</v>
      </c>
      <c r="XN1" t="s">
        <v>969</v>
      </c>
      <c r="XO1" t="s">
        <v>970</v>
      </c>
      <c r="XP1" t="s">
        <v>971</v>
      </c>
      <c r="XQ1" t="s">
        <v>972</v>
      </c>
      <c r="XR1" t="s">
        <v>973</v>
      </c>
      <c r="XS1" t="s">
        <v>974</v>
      </c>
      <c r="XT1" t="s">
        <v>975</v>
      </c>
      <c r="XU1" t="s">
        <v>976</v>
      </c>
      <c r="XV1" t="s">
        <v>977</v>
      </c>
      <c r="XW1" t="s">
        <v>978</v>
      </c>
      <c r="XX1" t="s">
        <v>979</v>
      </c>
      <c r="XY1" t="s">
        <v>980</v>
      </c>
      <c r="XZ1" t="s">
        <v>981</v>
      </c>
      <c r="YA1" t="s">
        <v>982</v>
      </c>
      <c r="YB1" t="s">
        <v>983</v>
      </c>
      <c r="YC1" t="s">
        <v>984</v>
      </c>
      <c r="YD1" t="s">
        <v>985</v>
      </c>
      <c r="YE1" t="s">
        <v>986</v>
      </c>
      <c r="YF1" t="s">
        <v>987</v>
      </c>
      <c r="YG1" t="s">
        <v>988</v>
      </c>
      <c r="YH1" t="s">
        <v>989</v>
      </c>
      <c r="YI1" t="s">
        <v>990</v>
      </c>
      <c r="YJ1" t="s">
        <v>991</v>
      </c>
      <c r="YK1" t="s">
        <v>992</v>
      </c>
      <c r="YL1" t="s">
        <v>993</v>
      </c>
      <c r="YM1" t="s">
        <v>994</v>
      </c>
      <c r="YN1" t="s">
        <v>995</v>
      </c>
      <c r="YO1" t="s">
        <v>996</v>
      </c>
      <c r="YP1" t="s">
        <v>997</v>
      </c>
      <c r="YQ1" t="s">
        <v>998</v>
      </c>
      <c r="YR1" t="s">
        <v>999</v>
      </c>
      <c r="YS1" t="s">
        <v>1000</v>
      </c>
      <c r="YT1" t="s">
        <v>1001</v>
      </c>
      <c r="YU1" t="s">
        <v>1002</v>
      </c>
      <c r="YV1" t="s">
        <v>1003</v>
      </c>
      <c r="YW1" t="s">
        <v>1004</v>
      </c>
      <c r="YX1" t="s">
        <v>1005</v>
      </c>
      <c r="YY1" t="s">
        <v>1006</v>
      </c>
      <c r="YZ1" t="s">
        <v>1007</v>
      </c>
      <c r="ZA1" t="s">
        <v>1008</v>
      </c>
      <c r="ZB1" t="s">
        <v>1009</v>
      </c>
      <c r="ZC1" t="s">
        <v>1010</v>
      </c>
      <c r="ZD1" t="s">
        <v>1011</v>
      </c>
      <c r="ZE1" t="s">
        <v>1012</v>
      </c>
      <c r="ZF1" t="s">
        <v>1013</v>
      </c>
      <c r="ZG1" t="s">
        <v>1014</v>
      </c>
      <c r="ZH1" t="s">
        <v>1015</v>
      </c>
      <c r="ZI1" t="s">
        <v>1016</v>
      </c>
      <c r="ZJ1" t="s">
        <v>1017</v>
      </c>
      <c r="ZK1" t="s">
        <v>1018</v>
      </c>
      <c r="ZL1" t="s">
        <v>1019</v>
      </c>
      <c r="ZM1" t="s">
        <v>1020</v>
      </c>
      <c r="ZN1" t="s">
        <v>1021</v>
      </c>
      <c r="ZO1" t="s">
        <v>1022</v>
      </c>
      <c r="ZP1" t="s">
        <v>1023</v>
      </c>
      <c r="ZQ1" t="s">
        <v>1024</v>
      </c>
      <c r="ZR1" t="s">
        <v>1025</v>
      </c>
      <c r="ZS1" t="s">
        <v>1026</v>
      </c>
      <c r="ZT1" t="s">
        <v>1027</v>
      </c>
      <c r="ZU1" t="s">
        <v>1028</v>
      </c>
      <c r="ZV1" t="s">
        <v>1029</v>
      </c>
      <c r="ZW1" t="s">
        <v>1030</v>
      </c>
      <c r="ZX1" t="s">
        <v>1031</v>
      </c>
      <c r="ZY1" t="s">
        <v>1032</v>
      </c>
      <c r="ZZ1" t="s">
        <v>1033</v>
      </c>
      <c r="AAA1" t="s">
        <v>1034</v>
      </c>
      <c r="AAB1" t="s">
        <v>1035</v>
      </c>
      <c r="AAC1" t="s">
        <v>1036</v>
      </c>
      <c r="AAD1" t="s">
        <v>1037</v>
      </c>
      <c r="AAE1" t="s">
        <v>1038</v>
      </c>
      <c r="AAF1" t="s">
        <v>1039</v>
      </c>
      <c r="AAG1" t="s">
        <v>1040</v>
      </c>
      <c r="AAH1" t="s">
        <v>1041</v>
      </c>
      <c r="AAI1" t="s">
        <v>1042</v>
      </c>
      <c r="AAJ1" t="s">
        <v>1043</v>
      </c>
      <c r="AAK1" t="s">
        <v>1044</v>
      </c>
      <c r="AAL1" t="s">
        <v>1045</v>
      </c>
      <c r="AAM1" t="s">
        <v>1046</v>
      </c>
      <c r="AAN1" t="s">
        <v>1047</v>
      </c>
      <c r="AAO1" t="s">
        <v>1048</v>
      </c>
      <c r="AAP1" t="s">
        <v>1049</v>
      </c>
      <c r="AAQ1" t="s">
        <v>1050</v>
      </c>
      <c r="AAR1" t="s">
        <v>1051</v>
      </c>
      <c r="AAS1" t="s">
        <v>1052</v>
      </c>
      <c r="AAT1" t="s">
        <v>1053</v>
      </c>
      <c r="AAU1" t="s">
        <v>1054</v>
      </c>
      <c r="AAV1" t="s">
        <v>1055</v>
      </c>
      <c r="AAW1" t="s">
        <v>1056</v>
      </c>
      <c r="AAX1" t="s">
        <v>1057</v>
      </c>
      <c r="AAY1" t="s">
        <v>1058</v>
      </c>
      <c r="AAZ1" t="s">
        <v>1059</v>
      </c>
      <c r="ABA1" t="s">
        <v>1060</v>
      </c>
      <c r="ABB1" t="s">
        <v>1061</v>
      </c>
      <c r="ABC1" t="s">
        <v>1062</v>
      </c>
      <c r="ABD1" t="s">
        <v>1063</v>
      </c>
      <c r="ABE1" t="s">
        <v>1064</v>
      </c>
      <c r="ABF1" t="s">
        <v>1065</v>
      </c>
      <c r="ABG1" t="s">
        <v>1066</v>
      </c>
      <c r="ABH1" t="s">
        <v>1067</v>
      </c>
      <c r="ABI1" t="s">
        <v>1068</v>
      </c>
      <c r="ABJ1" t="s">
        <v>1069</v>
      </c>
      <c r="ABK1" t="s">
        <v>1070</v>
      </c>
      <c r="ABL1" t="s">
        <v>1071</v>
      </c>
      <c r="ABM1" t="s">
        <v>1072</v>
      </c>
      <c r="ABN1" t="s">
        <v>1073</v>
      </c>
      <c r="ABO1" t="s">
        <v>1074</v>
      </c>
      <c r="ABP1" t="s">
        <v>1075</v>
      </c>
      <c r="ABQ1" t="s">
        <v>1076</v>
      </c>
      <c r="ABS1" s="196" t="s">
        <v>1077</v>
      </c>
      <c r="ABT1" t="s">
        <v>1078</v>
      </c>
    </row>
    <row r="2" spans="1:748">
      <c r="A2" t="s">
        <v>1079</v>
      </c>
      <c r="B2" t="s">
        <v>1080</v>
      </c>
      <c r="C2" t="s">
        <v>1081</v>
      </c>
      <c r="D2" t="s">
        <v>1082</v>
      </c>
      <c r="E2" t="s">
        <v>1083</v>
      </c>
      <c r="F2" t="s">
        <v>1084</v>
      </c>
      <c r="G2" t="s">
        <v>1085</v>
      </c>
      <c r="H2" t="s">
        <v>1086</v>
      </c>
      <c r="I2" t="s">
        <v>1087</v>
      </c>
      <c r="J2" t="s">
        <v>1088</v>
      </c>
      <c r="K2" t="s">
        <v>1089</v>
      </c>
      <c r="L2" t="s">
        <v>1090</v>
      </c>
      <c r="M2" t="s">
        <v>1091</v>
      </c>
      <c r="N2" t="s">
        <v>1092</v>
      </c>
      <c r="O2" t="s">
        <v>1093</v>
      </c>
      <c r="P2" t="s">
        <v>1094</v>
      </c>
      <c r="Q2" t="s">
        <v>1095</v>
      </c>
      <c r="R2" t="s">
        <v>1096</v>
      </c>
      <c r="S2" t="s">
        <v>1097</v>
      </c>
      <c r="T2" t="s">
        <v>1098</v>
      </c>
      <c r="U2" t="s">
        <v>1099</v>
      </c>
      <c r="V2" t="s">
        <v>1100</v>
      </c>
      <c r="W2" t="s">
        <v>1101</v>
      </c>
      <c r="X2" t="s">
        <v>1102</v>
      </c>
      <c r="Y2" t="s">
        <v>1103</v>
      </c>
      <c r="Z2" t="s">
        <v>1104</v>
      </c>
      <c r="AA2" t="s">
        <v>1105</v>
      </c>
      <c r="AB2" t="s">
        <v>1106</v>
      </c>
      <c r="AC2" t="s">
        <v>1107</v>
      </c>
      <c r="AD2" t="s">
        <v>1108</v>
      </c>
      <c r="AE2" t="s">
        <v>1109</v>
      </c>
      <c r="AF2" t="s">
        <v>1110</v>
      </c>
      <c r="AG2" t="s">
        <v>1111</v>
      </c>
      <c r="AH2" t="s">
        <v>1112</v>
      </c>
      <c r="AI2" t="s">
        <v>1113</v>
      </c>
      <c r="AJ2" t="s">
        <v>1114</v>
      </c>
      <c r="AK2" t="s">
        <v>1115</v>
      </c>
      <c r="AL2" t="s">
        <v>1116</v>
      </c>
      <c r="AM2" t="s">
        <v>1117</v>
      </c>
      <c r="AN2" t="s">
        <v>1118</v>
      </c>
      <c r="AO2" t="s">
        <v>1119</v>
      </c>
      <c r="AP2" t="s">
        <v>1120</v>
      </c>
      <c r="AQ2" t="s">
        <v>1121</v>
      </c>
      <c r="AR2" t="s">
        <v>1122</v>
      </c>
      <c r="AS2" t="s">
        <v>1123</v>
      </c>
      <c r="AT2" t="s">
        <v>1124</v>
      </c>
      <c r="AU2" t="s">
        <v>1125</v>
      </c>
      <c r="AV2" t="s">
        <v>1126</v>
      </c>
      <c r="AW2" t="s">
        <v>1127</v>
      </c>
      <c r="AX2" t="s">
        <v>1128</v>
      </c>
      <c r="AY2" t="s">
        <v>1129</v>
      </c>
      <c r="AZ2" t="s">
        <v>1130</v>
      </c>
      <c r="BA2" t="s">
        <v>1131</v>
      </c>
      <c r="BB2" t="s">
        <v>1132</v>
      </c>
      <c r="BC2" t="s">
        <v>1133</v>
      </c>
      <c r="BD2" t="s">
        <v>1134</v>
      </c>
      <c r="BE2" t="s">
        <v>1135</v>
      </c>
      <c r="BF2" t="s">
        <v>1136</v>
      </c>
      <c r="BG2" t="s">
        <v>1137</v>
      </c>
      <c r="BH2" t="s">
        <v>1138</v>
      </c>
      <c r="BI2" t="s">
        <v>1139</v>
      </c>
      <c r="BJ2" t="s">
        <v>1140</v>
      </c>
      <c r="BK2" t="s">
        <v>1141</v>
      </c>
      <c r="BL2" t="s">
        <v>1142</v>
      </c>
      <c r="BM2" t="s">
        <v>1143</v>
      </c>
      <c r="BN2" t="s">
        <v>1144</v>
      </c>
      <c r="BO2" t="s">
        <v>1145</v>
      </c>
      <c r="BP2" t="s">
        <v>1146</v>
      </c>
      <c r="BQ2" t="s">
        <v>1147</v>
      </c>
      <c r="BR2" t="s">
        <v>1148</v>
      </c>
      <c r="BS2" t="s">
        <v>1148</v>
      </c>
      <c r="BT2" t="s">
        <v>1149</v>
      </c>
      <c r="BU2" t="s">
        <v>1150</v>
      </c>
      <c r="BV2" t="s">
        <v>1151</v>
      </c>
      <c r="BW2" t="s">
        <v>1152</v>
      </c>
      <c r="BX2" t="s">
        <v>1153</v>
      </c>
      <c r="BY2" t="s">
        <v>1154</v>
      </c>
      <c r="BZ2" t="s">
        <v>1155</v>
      </c>
      <c r="CA2" t="s">
        <v>1156</v>
      </c>
      <c r="CB2" t="s">
        <v>1157</v>
      </c>
      <c r="CC2" t="s">
        <v>1158</v>
      </c>
      <c r="CD2" t="s">
        <v>1159</v>
      </c>
      <c r="CE2" t="s">
        <v>1160</v>
      </c>
      <c r="CF2" t="s">
        <v>1161</v>
      </c>
      <c r="CG2" t="s">
        <v>1162</v>
      </c>
      <c r="CH2" t="s">
        <v>1163</v>
      </c>
      <c r="CI2" t="s">
        <v>1164</v>
      </c>
      <c r="CJ2" t="s">
        <v>1165</v>
      </c>
      <c r="CK2" t="s">
        <v>1166</v>
      </c>
      <c r="CL2" t="s">
        <v>1167</v>
      </c>
      <c r="CM2" t="s">
        <v>1168</v>
      </c>
      <c r="CN2" t="s">
        <v>1169</v>
      </c>
      <c r="CO2" t="s">
        <v>1170</v>
      </c>
      <c r="CP2" t="s">
        <v>1171</v>
      </c>
      <c r="CQ2" t="s">
        <v>1172</v>
      </c>
      <c r="CR2" t="s">
        <v>1173</v>
      </c>
      <c r="CS2" t="s">
        <v>1174</v>
      </c>
      <c r="CT2" t="s">
        <v>1175</v>
      </c>
      <c r="CU2" t="s">
        <v>1176</v>
      </c>
      <c r="CV2" t="s">
        <v>1177</v>
      </c>
      <c r="CW2" t="s">
        <v>1178</v>
      </c>
      <c r="CX2" t="s">
        <v>1179</v>
      </c>
      <c r="CY2" t="s">
        <v>1180</v>
      </c>
      <c r="CZ2" t="s">
        <v>1181</v>
      </c>
      <c r="DA2" t="s">
        <v>1182</v>
      </c>
      <c r="DB2" t="s">
        <v>1183</v>
      </c>
      <c r="DC2" t="s">
        <v>1184</v>
      </c>
      <c r="DD2" t="s">
        <v>1185</v>
      </c>
      <c r="DE2" t="s">
        <v>1186</v>
      </c>
      <c r="DF2" t="s">
        <v>1187</v>
      </c>
      <c r="DG2" t="s">
        <v>1188</v>
      </c>
      <c r="DH2" t="s">
        <v>1189</v>
      </c>
      <c r="DI2" t="s">
        <v>1190</v>
      </c>
      <c r="DJ2" t="s">
        <v>1191</v>
      </c>
      <c r="DK2" t="s">
        <v>1192</v>
      </c>
      <c r="DL2" t="s">
        <v>1193</v>
      </c>
      <c r="DM2" t="s">
        <v>1194</v>
      </c>
      <c r="DN2" t="s">
        <v>1195</v>
      </c>
      <c r="DO2" t="s">
        <v>1196</v>
      </c>
      <c r="DP2" t="s">
        <v>1197</v>
      </c>
      <c r="DQ2" t="s">
        <v>1198</v>
      </c>
      <c r="DR2" t="s">
        <v>1199</v>
      </c>
      <c r="DS2" t="s">
        <v>1200</v>
      </c>
      <c r="DT2" t="s">
        <v>1201</v>
      </c>
      <c r="DU2" t="s">
        <v>1202</v>
      </c>
      <c r="DV2" t="s">
        <v>1203</v>
      </c>
      <c r="DW2" t="s">
        <v>1204</v>
      </c>
      <c r="DX2" t="s">
        <v>1205</v>
      </c>
      <c r="DY2" t="s">
        <v>1206</v>
      </c>
      <c r="DZ2" t="s">
        <v>1207</v>
      </c>
      <c r="EA2" t="s">
        <v>1208</v>
      </c>
      <c r="EB2" t="s">
        <v>1209</v>
      </c>
      <c r="EC2" t="s">
        <v>1210</v>
      </c>
      <c r="ED2" t="s">
        <v>1211</v>
      </c>
      <c r="EE2" t="s">
        <v>1212</v>
      </c>
      <c r="EF2" t="s">
        <v>1213</v>
      </c>
      <c r="EG2" t="s">
        <v>1214</v>
      </c>
      <c r="EH2" t="s">
        <v>1215</v>
      </c>
      <c r="EI2" t="s">
        <v>1216</v>
      </c>
      <c r="EJ2" t="s">
        <v>1217</v>
      </c>
      <c r="EK2" t="s">
        <v>1218</v>
      </c>
      <c r="EL2" t="s">
        <v>1219</v>
      </c>
      <c r="EM2" t="s">
        <v>1220</v>
      </c>
      <c r="EN2" t="s">
        <v>1221</v>
      </c>
      <c r="EO2" t="s">
        <v>1222</v>
      </c>
      <c r="EP2" t="s">
        <v>1223</v>
      </c>
      <c r="EQ2" t="s">
        <v>1224</v>
      </c>
      <c r="ER2" t="s">
        <v>1225</v>
      </c>
      <c r="ES2" t="s">
        <v>1226</v>
      </c>
      <c r="ET2" t="s">
        <v>1227</v>
      </c>
      <c r="EU2" t="s">
        <v>1228</v>
      </c>
      <c r="EV2" t="s">
        <v>1229</v>
      </c>
      <c r="EW2" t="s">
        <v>1230</v>
      </c>
      <c r="EX2" t="s">
        <v>1231</v>
      </c>
      <c r="EY2" t="s">
        <v>1232</v>
      </c>
      <c r="EZ2" t="s">
        <v>1233</v>
      </c>
      <c r="FA2" t="s">
        <v>1234</v>
      </c>
      <c r="FB2" t="s">
        <v>1235</v>
      </c>
      <c r="FC2" t="s">
        <v>1236</v>
      </c>
      <c r="FD2" t="s">
        <v>1237</v>
      </c>
      <c r="FE2" t="s">
        <v>1238</v>
      </c>
      <c r="FF2" t="s">
        <v>1239</v>
      </c>
      <c r="FG2" t="s">
        <v>1240</v>
      </c>
      <c r="FH2" t="s">
        <v>1241</v>
      </c>
      <c r="FI2" t="s">
        <v>1242</v>
      </c>
      <c r="FJ2" t="s">
        <v>1243</v>
      </c>
      <c r="FK2" t="s">
        <v>1244</v>
      </c>
      <c r="FL2" t="s">
        <v>1245</v>
      </c>
      <c r="FM2" t="s">
        <v>1246</v>
      </c>
      <c r="FN2" t="s">
        <v>1247</v>
      </c>
      <c r="FO2" t="s">
        <v>1248</v>
      </c>
      <c r="FP2" t="s">
        <v>1249</v>
      </c>
      <c r="FQ2" t="s">
        <v>1250</v>
      </c>
      <c r="FR2" t="s">
        <v>1251</v>
      </c>
      <c r="FS2" t="s">
        <v>1252</v>
      </c>
      <c r="FT2" t="s">
        <v>1253</v>
      </c>
      <c r="FU2" t="s">
        <v>1254</v>
      </c>
      <c r="FV2" t="s">
        <v>1255</v>
      </c>
      <c r="FW2" t="s">
        <v>1256</v>
      </c>
      <c r="FX2" t="s">
        <v>1257</v>
      </c>
      <c r="FY2" t="s">
        <v>1258</v>
      </c>
      <c r="FZ2" t="s">
        <v>1259</v>
      </c>
      <c r="GA2" t="s">
        <v>1260</v>
      </c>
      <c r="GB2" t="s">
        <v>1261</v>
      </c>
      <c r="GC2" t="s">
        <v>1262</v>
      </c>
      <c r="GD2" t="s">
        <v>1263</v>
      </c>
      <c r="GE2" t="s">
        <v>1264</v>
      </c>
      <c r="GF2" t="s">
        <v>1265</v>
      </c>
      <c r="GG2" t="s">
        <v>1266</v>
      </c>
      <c r="GH2" t="s">
        <v>1267</v>
      </c>
      <c r="GI2" t="s">
        <v>1268</v>
      </c>
      <c r="GJ2" t="s">
        <v>1269</v>
      </c>
      <c r="GK2" t="s">
        <v>1270</v>
      </c>
      <c r="GL2" t="s">
        <v>1271</v>
      </c>
      <c r="GM2" t="s">
        <v>1272</v>
      </c>
      <c r="GN2" t="s">
        <v>1273</v>
      </c>
      <c r="GO2" t="s">
        <v>1274</v>
      </c>
      <c r="GP2" t="s">
        <v>1275</v>
      </c>
      <c r="GQ2" t="s">
        <v>1276</v>
      </c>
      <c r="GR2" t="s">
        <v>1277</v>
      </c>
      <c r="GS2" t="s">
        <v>1278</v>
      </c>
      <c r="GT2" t="s">
        <v>1279</v>
      </c>
      <c r="GU2" t="s">
        <v>1280</v>
      </c>
      <c r="GV2" t="s">
        <v>1281</v>
      </c>
      <c r="GW2" t="s">
        <v>1282</v>
      </c>
      <c r="GX2" t="s">
        <v>1283</v>
      </c>
      <c r="GY2" t="s">
        <v>1284</v>
      </c>
      <c r="GZ2" t="s">
        <v>1285</v>
      </c>
      <c r="HA2" t="s">
        <v>1286</v>
      </c>
      <c r="HB2" t="s">
        <v>1287</v>
      </c>
      <c r="HC2" t="s">
        <v>1288</v>
      </c>
      <c r="HD2" t="s">
        <v>1289</v>
      </c>
      <c r="HE2" t="s">
        <v>1290</v>
      </c>
      <c r="HF2" t="s">
        <v>1291</v>
      </c>
      <c r="HG2" t="s">
        <v>1292</v>
      </c>
      <c r="HH2" t="s">
        <v>1293</v>
      </c>
      <c r="HI2" t="s">
        <v>1294</v>
      </c>
      <c r="HJ2" t="s">
        <v>1295</v>
      </c>
      <c r="HK2" t="s">
        <v>1296</v>
      </c>
      <c r="HL2" t="s">
        <v>1297</v>
      </c>
      <c r="HM2" t="s">
        <v>1298</v>
      </c>
      <c r="HN2" t="s">
        <v>1299</v>
      </c>
      <c r="HO2" t="s">
        <v>1300</v>
      </c>
      <c r="HP2" t="s">
        <v>1301</v>
      </c>
      <c r="HQ2" t="s">
        <v>1302</v>
      </c>
      <c r="HR2" t="s">
        <v>1303</v>
      </c>
      <c r="HS2" t="s">
        <v>1304</v>
      </c>
      <c r="HT2" t="s">
        <v>1305</v>
      </c>
      <c r="HU2" t="s">
        <v>1306</v>
      </c>
      <c r="HV2" t="s">
        <v>1307</v>
      </c>
      <c r="HW2" t="s">
        <v>1308</v>
      </c>
      <c r="HX2" t="s">
        <v>1309</v>
      </c>
      <c r="HY2" t="s">
        <v>1310</v>
      </c>
      <c r="HZ2" t="s">
        <v>1311</v>
      </c>
      <c r="IA2" t="s">
        <v>1312</v>
      </c>
      <c r="IB2" t="s">
        <v>1313</v>
      </c>
      <c r="IC2" t="s">
        <v>1314</v>
      </c>
      <c r="ID2" t="s">
        <v>1315</v>
      </c>
      <c r="IE2" t="s">
        <v>1316</v>
      </c>
      <c r="IF2" t="s">
        <v>1317</v>
      </c>
      <c r="IG2" t="s">
        <v>1318</v>
      </c>
      <c r="IH2" t="s">
        <v>1319</v>
      </c>
      <c r="II2" t="s">
        <v>1320</v>
      </c>
      <c r="IJ2" t="s">
        <v>1321</v>
      </c>
      <c r="IK2" t="s">
        <v>1322</v>
      </c>
      <c r="IL2" t="s">
        <v>1323</v>
      </c>
      <c r="IM2" t="s">
        <v>1324</v>
      </c>
      <c r="IN2" t="s">
        <v>1325</v>
      </c>
      <c r="IO2" t="s">
        <v>1326</v>
      </c>
      <c r="IP2" t="s">
        <v>1327</v>
      </c>
      <c r="IQ2" t="s">
        <v>1328</v>
      </c>
      <c r="IR2" t="s">
        <v>1329</v>
      </c>
      <c r="IS2" t="s">
        <v>1330</v>
      </c>
      <c r="IT2" t="s">
        <v>1331</v>
      </c>
      <c r="IU2" t="s">
        <v>1332</v>
      </c>
      <c r="IV2" t="s">
        <v>1333</v>
      </c>
      <c r="IW2" t="s">
        <v>1334</v>
      </c>
      <c r="IX2" t="s">
        <v>1335</v>
      </c>
      <c r="IY2" t="s">
        <v>1336</v>
      </c>
      <c r="IZ2" t="s">
        <v>1337</v>
      </c>
      <c r="JA2" t="s">
        <v>1338</v>
      </c>
      <c r="JB2" t="s">
        <v>1339</v>
      </c>
      <c r="JC2" t="s">
        <v>1340</v>
      </c>
      <c r="JD2" t="s">
        <v>1341</v>
      </c>
      <c r="JE2" t="s">
        <v>1342</v>
      </c>
      <c r="JF2" t="s">
        <v>1343</v>
      </c>
      <c r="JG2" t="s">
        <v>1344</v>
      </c>
      <c r="JH2" t="s">
        <v>1345</v>
      </c>
      <c r="JI2" t="s">
        <v>1346</v>
      </c>
      <c r="JJ2" t="s">
        <v>1347</v>
      </c>
      <c r="JK2" t="s">
        <v>1348</v>
      </c>
      <c r="JL2" t="s">
        <v>1349</v>
      </c>
      <c r="JM2" t="s">
        <v>1350</v>
      </c>
      <c r="JN2" t="s">
        <v>1351</v>
      </c>
      <c r="JO2" t="s">
        <v>1352</v>
      </c>
      <c r="JP2" t="s">
        <v>1353</v>
      </c>
      <c r="JQ2" t="s">
        <v>1354</v>
      </c>
      <c r="JR2" t="s">
        <v>1355</v>
      </c>
      <c r="JS2" t="s">
        <v>1356</v>
      </c>
      <c r="JT2" t="s">
        <v>1357</v>
      </c>
      <c r="JU2" t="s">
        <v>1358</v>
      </c>
      <c r="JV2" t="s">
        <v>1359</v>
      </c>
      <c r="JW2" t="s">
        <v>1360</v>
      </c>
      <c r="JX2" t="s">
        <v>1361</v>
      </c>
      <c r="JY2" t="s">
        <v>1361</v>
      </c>
      <c r="JZ2" t="s">
        <v>1362</v>
      </c>
      <c r="KA2" t="s">
        <v>1363</v>
      </c>
      <c r="KB2" t="s">
        <v>1364</v>
      </c>
      <c r="KC2" t="s">
        <v>1365</v>
      </c>
      <c r="KD2" t="s">
        <v>1365</v>
      </c>
      <c r="KE2" t="s">
        <v>1366</v>
      </c>
      <c r="KF2" t="s">
        <v>1367</v>
      </c>
      <c r="KG2" t="s">
        <v>1368</v>
      </c>
      <c r="KH2" t="s">
        <v>1369</v>
      </c>
      <c r="KI2" t="s">
        <v>1370</v>
      </c>
      <c r="KJ2" t="s">
        <v>1371</v>
      </c>
      <c r="KK2" t="s">
        <v>1372</v>
      </c>
      <c r="KL2" t="s">
        <v>1373</v>
      </c>
      <c r="KM2" t="s">
        <v>1374</v>
      </c>
      <c r="KN2" t="s">
        <v>1375</v>
      </c>
      <c r="KO2" t="s">
        <v>1376</v>
      </c>
      <c r="KP2" t="s">
        <v>1377</v>
      </c>
      <c r="KQ2" t="s">
        <v>1378</v>
      </c>
      <c r="KR2" t="s">
        <v>1379</v>
      </c>
      <c r="KS2" t="s">
        <v>1380</v>
      </c>
      <c r="KT2" t="s">
        <v>1381</v>
      </c>
      <c r="KU2" t="s">
        <v>1382</v>
      </c>
      <c r="KV2" t="s">
        <v>1383</v>
      </c>
      <c r="KW2" t="s">
        <v>1384</v>
      </c>
      <c r="KX2" t="s">
        <v>1385</v>
      </c>
      <c r="KY2" t="s">
        <v>1386</v>
      </c>
      <c r="KZ2" t="s">
        <v>1387</v>
      </c>
      <c r="LA2" t="s">
        <v>1387</v>
      </c>
      <c r="LB2" t="s">
        <v>1388</v>
      </c>
      <c r="LC2" t="s">
        <v>1389</v>
      </c>
      <c r="LD2" t="s">
        <v>1390</v>
      </c>
      <c r="LE2" t="s">
        <v>1391</v>
      </c>
      <c r="LF2" t="s">
        <v>1392</v>
      </c>
      <c r="LG2" t="s">
        <v>1393</v>
      </c>
      <c r="LH2" t="s">
        <v>1394</v>
      </c>
      <c r="LI2" t="s">
        <v>1395</v>
      </c>
      <c r="LJ2" t="s">
        <v>1396</v>
      </c>
      <c r="LK2" t="s">
        <v>1397</v>
      </c>
      <c r="LL2" t="s">
        <v>1398</v>
      </c>
      <c r="LM2" t="s">
        <v>1399</v>
      </c>
      <c r="LN2" t="s">
        <v>1400</v>
      </c>
      <c r="LO2" t="s">
        <v>1401</v>
      </c>
      <c r="LP2" t="s">
        <v>1402</v>
      </c>
      <c r="LQ2" t="s">
        <v>1403</v>
      </c>
      <c r="LR2" t="s">
        <v>1404</v>
      </c>
      <c r="LS2" t="s">
        <v>1405</v>
      </c>
      <c r="LT2" t="s">
        <v>1406</v>
      </c>
      <c r="LU2" t="s">
        <v>1407</v>
      </c>
      <c r="LV2" t="s">
        <v>1408</v>
      </c>
      <c r="LW2" t="s">
        <v>1409</v>
      </c>
      <c r="LX2" t="s">
        <v>1410</v>
      </c>
      <c r="LY2" t="s">
        <v>1411</v>
      </c>
      <c r="LZ2" t="s">
        <v>1412</v>
      </c>
      <c r="MA2" t="s">
        <v>1413</v>
      </c>
      <c r="MB2" t="s">
        <v>1414</v>
      </c>
      <c r="MC2" t="s">
        <v>1415</v>
      </c>
      <c r="MD2" t="s">
        <v>1416</v>
      </c>
      <c r="ME2" t="s">
        <v>1417</v>
      </c>
      <c r="MF2" t="s">
        <v>1418</v>
      </c>
      <c r="MG2" t="s">
        <v>1419</v>
      </c>
      <c r="MH2" t="s">
        <v>1420</v>
      </c>
      <c r="MI2" t="s">
        <v>1421</v>
      </c>
      <c r="MJ2" t="s">
        <v>1422</v>
      </c>
      <c r="MK2" t="s">
        <v>1423</v>
      </c>
      <c r="ML2" t="s">
        <v>1424</v>
      </c>
      <c r="MM2" t="s">
        <v>1425</v>
      </c>
      <c r="MN2" t="s">
        <v>1426</v>
      </c>
      <c r="MO2" t="s">
        <v>1427</v>
      </c>
      <c r="MP2" t="s">
        <v>1428</v>
      </c>
      <c r="MQ2" t="s">
        <v>1429</v>
      </c>
      <c r="MR2" t="s">
        <v>1430</v>
      </c>
      <c r="MS2" t="s">
        <v>1431</v>
      </c>
      <c r="MT2" t="s">
        <v>1432</v>
      </c>
      <c r="MU2" t="s">
        <v>1433</v>
      </c>
      <c r="MV2" t="s">
        <v>1434</v>
      </c>
      <c r="MW2" t="s">
        <v>1435</v>
      </c>
      <c r="MX2" t="s">
        <v>1436</v>
      </c>
      <c r="MY2" t="s">
        <v>1437</v>
      </c>
      <c r="MZ2" t="s">
        <v>1438</v>
      </c>
      <c r="NA2" t="s">
        <v>1439</v>
      </c>
      <c r="NB2" t="s">
        <v>1440</v>
      </c>
      <c r="NC2" t="s">
        <v>1441</v>
      </c>
      <c r="ND2" t="s">
        <v>1442</v>
      </c>
      <c r="NE2" t="s">
        <v>1443</v>
      </c>
      <c r="NF2" t="s">
        <v>1444</v>
      </c>
      <c r="NG2" t="s">
        <v>1445</v>
      </c>
      <c r="NH2" t="s">
        <v>1446</v>
      </c>
      <c r="NI2" t="s">
        <v>1447</v>
      </c>
      <c r="NJ2" t="s">
        <v>1448</v>
      </c>
      <c r="NK2" t="s">
        <v>1449</v>
      </c>
      <c r="NL2" t="s">
        <v>1450</v>
      </c>
      <c r="NM2" t="s">
        <v>1451</v>
      </c>
      <c r="NN2" t="s">
        <v>1452</v>
      </c>
      <c r="NO2" t="s">
        <v>1453</v>
      </c>
      <c r="NP2" t="s">
        <v>1454</v>
      </c>
      <c r="NQ2" t="s">
        <v>1455</v>
      </c>
      <c r="NR2" t="s">
        <v>1456</v>
      </c>
      <c r="NS2" t="s">
        <v>1456</v>
      </c>
      <c r="NT2" t="s">
        <v>1457</v>
      </c>
      <c r="NU2" t="s">
        <v>1458</v>
      </c>
      <c r="NV2" t="s">
        <v>1459</v>
      </c>
      <c r="NW2" t="s">
        <v>1460</v>
      </c>
      <c r="NX2" t="s">
        <v>1461</v>
      </c>
      <c r="NY2" t="s">
        <v>1462</v>
      </c>
      <c r="NZ2" t="s">
        <v>1463</v>
      </c>
      <c r="OA2" t="s">
        <v>1464</v>
      </c>
      <c r="OB2" t="s">
        <v>1465</v>
      </c>
      <c r="OC2" t="s">
        <v>1466</v>
      </c>
      <c r="OD2" t="s">
        <v>1467</v>
      </c>
      <c r="OE2" t="s">
        <v>1468</v>
      </c>
      <c r="OF2" t="s">
        <v>1469</v>
      </c>
      <c r="OG2" t="s">
        <v>1470</v>
      </c>
      <c r="OH2" t="s">
        <v>1471</v>
      </c>
      <c r="OI2" t="s">
        <v>1472</v>
      </c>
      <c r="OJ2" t="s">
        <v>1473</v>
      </c>
      <c r="OK2" t="s">
        <v>1474</v>
      </c>
      <c r="OL2" t="s">
        <v>1475</v>
      </c>
      <c r="OM2" t="s">
        <v>1476</v>
      </c>
      <c r="ON2" t="s">
        <v>1477</v>
      </c>
      <c r="OO2" t="s">
        <v>1478</v>
      </c>
      <c r="OP2" t="s">
        <v>1479</v>
      </c>
      <c r="OQ2" t="s">
        <v>1480</v>
      </c>
      <c r="OR2" t="s">
        <v>1481</v>
      </c>
      <c r="OS2" t="s">
        <v>1482</v>
      </c>
      <c r="OT2" t="s">
        <v>1483</v>
      </c>
      <c r="OU2" t="s">
        <v>1484</v>
      </c>
      <c r="OV2" t="s">
        <v>1485</v>
      </c>
      <c r="OW2" t="s">
        <v>1486</v>
      </c>
      <c r="OX2" t="s">
        <v>1487</v>
      </c>
      <c r="OY2" t="s">
        <v>1488</v>
      </c>
      <c r="OZ2" t="s">
        <v>1489</v>
      </c>
      <c r="PA2" t="s">
        <v>1490</v>
      </c>
      <c r="PB2" t="s">
        <v>1491</v>
      </c>
      <c r="PC2" t="s">
        <v>1492</v>
      </c>
      <c r="PD2" t="s">
        <v>1493</v>
      </c>
      <c r="PE2" t="s">
        <v>1494</v>
      </c>
      <c r="PF2" t="s">
        <v>1495</v>
      </c>
      <c r="PG2" t="s">
        <v>1496</v>
      </c>
      <c r="PH2" t="s">
        <v>1497</v>
      </c>
      <c r="PI2" t="s">
        <v>1498</v>
      </c>
      <c r="PJ2" t="s">
        <v>1499</v>
      </c>
      <c r="PK2" t="s">
        <v>1500</v>
      </c>
      <c r="PL2" t="s">
        <v>1501</v>
      </c>
      <c r="PM2" t="s">
        <v>1502</v>
      </c>
      <c r="PN2" t="s">
        <v>1503</v>
      </c>
      <c r="PO2" t="s">
        <v>1504</v>
      </c>
      <c r="PP2" t="s">
        <v>1505</v>
      </c>
      <c r="PQ2" t="s">
        <v>1506</v>
      </c>
      <c r="PR2" t="s">
        <v>1507</v>
      </c>
      <c r="PS2" t="s">
        <v>1508</v>
      </c>
      <c r="PT2" t="s">
        <v>1509</v>
      </c>
      <c r="PU2" t="s">
        <v>1510</v>
      </c>
      <c r="PV2" t="s">
        <v>1511</v>
      </c>
      <c r="PW2" t="s">
        <v>1512</v>
      </c>
      <c r="PX2" t="s">
        <v>1513</v>
      </c>
      <c r="PY2" t="s">
        <v>1514</v>
      </c>
      <c r="PZ2" t="s">
        <v>1515</v>
      </c>
      <c r="QA2" t="s">
        <v>1516</v>
      </c>
      <c r="QB2" t="s">
        <v>1517</v>
      </c>
      <c r="QC2" t="s">
        <v>1518</v>
      </c>
      <c r="QD2" t="s">
        <v>1519</v>
      </c>
      <c r="QE2" t="s">
        <v>1520</v>
      </c>
      <c r="QF2" t="s">
        <v>1521</v>
      </c>
      <c r="QG2" t="s">
        <v>1522</v>
      </c>
      <c r="QH2" t="s">
        <v>1523</v>
      </c>
      <c r="QI2" t="s">
        <v>1523</v>
      </c>
      <c r="QJ2" t="s">
        <v>1524</v>
      </c>
      <c r="QK2" t="s">
        <v>1525</v>
      </c>
      <c r="QL2" t="s">
        <v>1526</v>
      </c>
      <c r="QM2" t="s">
        <v>1527</v>
      </c>
      <c r="QN2" t="s">
        <v>1528</v>
      </c>
      <c r="QO2" t="s">
        <v>1529</v>
      </c>
      <c r="QP2" t="s">
        <v>1530</v>
      </c>
      <c r="QQ2" t="s">
        <v>1531</v>
      </c>
      <c r="QR2" t="s">
        <v>1532</v>
      </c>
      <c r="QS2" t="s">
        <v>1533</v>
      </c>
      <c r="QT2" t="s">
        <v>1534</v>
      </c>
      <c r="QU2" t="s">
        <v>1535</v>
      </c>
      <c r="QV2" t="s">
        <v>1536</v>
      </c>
      <c r="QW2" t="s">
        <v>1537</v>
      </c>
      <c r="QX2" t="s">
        <v>1538</v>
      </c>
      <c r="QY2" t="s">
        <v>1539</v>
      </c>
      <c r="QZ2" t="s">
        <v>1540</v>
      </c>
      <c r="RA2" t="s">
        <v>1541</v>
      </c>
      <c r="RB2" t="s">
        <v>1542</v>
      </c>
      <c r="RC2" t="s">
        <v>1543</v>
      </c>
      <c r="RD2" t="s">
        <v>1544</v>
      </c>
      <c r="RE2" t="s">
        <v>1545</v>
      </c>
      <c r="RF2" t="s">
        <v>1546</v>
      </c>
      <c r="RG2" t="s">
        <v>1547</v>
      </c>
      <c r="RH2" t="s">
        <v>1548</v>
      </c>
      <c r="RI2" t="s">
        <v>1549</v>
      </c>
      <c r="RJ2" t="s">
        <v>1550</v>
      </c>
      <c r="RK2" t="s">
        <v>1551</v>
      </c>
      <c r="RL2" t="s">
        <v>1552</v>
      </c>
      <c r="RM2" t="s">
        <v>1553</v>
      </c>
      <c r="RN2" t="s">
        <v>1554</v>
      </c>
      <c r="RO2" t="s">
        <v>1555</v>
      </c>
      <c r="RP2" t="s">
        <v>1556</v>
      </c>
      <c r="RQ2" t="s">
        <v>1557</v>
      </c>
      <c r="RR2" t="s">
        <v>1558</v>
      </c>
      <c r="RS2" t="s">
        <v>1559</v>
      </c>
      <c r="RT2" t="s">
        <v>1560</v>
      </c>
      <c r="RU2" t="s">
        <v>1561</v>
      </c>
      <c r="RV2" t="s">
        <v>1562</v>
      </c>
      <c r="RW2" t="s">
        <v>1563</v>
      </c>
      <c r="RX2" t="s">
        <v>1564</v>
      </c>
      <c r="RY2" t="s">
        <v>1565</v>
      </c>
      <c r="RZ2" t="s">
        <v>1566</v>
      </c>
      <c r="SA2" t="s">
        <v>1567</v>
      </c>
      <c r="SB2" t="s">
        <v>1568</v>
      </c>
      <c r="SC2" t="s">
        <v>1569</v>
      </c>
      <c r="SD2" t="s">
        <v>1570</v>
      </c>
      <c r="SE2" t="s">
        <v>1571</v>
      </c>
      <c r="SF2" t="s">
        <v>1572</v>
      </c>
      <c r="SG2" t="s">
        <v>1573</v>
      </c>
      <c r="SH2" t="s">
        <v>1574</v>
      </c>
      <c r="SI2" t="s">
        <v>1575</v>
      </c>
      <c r="SJ2" t="s">
        <v>1576</v>
      </c>
      <c r="SK2" t="s">
        <v>1577</v>
      </c>
      <c r="SL2" t="s">
        <v>1578</v>
      </c>
      <c r="SM2" t="s">
        <v>1579</v>
      </c>
      <c r="SN2" t="s">
        <v>1580</v>
      </c>
      <c r="SO2" t="s">
        <v>1581</v>
      </c>
      <c r="SP2" t="s">
        <v>1582</v>
      </c>
      <c r="SQ2" t="s">
        <v>1583</v>
      </c>
      <c r="SR2" t="s">
        <v>1584</v>
      </c>
      <c r="SS2" t="s">
        <v>1585</v>
      </c>
      <c r="ST2" t="s">
        <v>1580</v>
      </c>
      <c r="SU2" t="s">
        <v>1583</v>
      </c>
      <c r="SV2" t="s">
        <v>1584</v>
      </c>
      <c r="SW2" t="s">
        <v>1586</v>
      </c>
      <c r="SX2" t="s">
        <v>1587</v>
      </c>
      <c r="SY2" t="s">
        <v>1588</v>
      </c>
      <c r="SZ2" t="s">
        <v>1589</v>
      </c>
      <c r="TA2" t="s">
        <v>1590</v>
      </c>
      <c r="TB2" t="s">
        <v>1591</v>
      </c>
      <c r="TC2" t="s">
        <v>1592</v>
      </c>
      <c r="TD2" t="s">
        <v>1593</v>
      </c>
      <c r="TE2" t="s">
        <v>1594</v>
      </c>
      <c r="TF2" t="s">
        <v>1595</v>
      </c>
      <c r="TG2" t="s">
        <v>1596</v>
      </c>
      <c r="TH2" t="s">
        <v>1597</v>
      </c>
      <c r="TI2" t="s">
        <v>1598</v>
      </c>
      <c r="TJ2" t="s">
        <v>1599</v>
      </c>
      <c r="TK2" t="s">
        <v>1600</v>
      </c>
      <c r="TL2" t="s">
        <v>1601</v>
      </c>
      <c r="TM2" t="s">
        <v>1602</v>
      </c>
      <c r="TN2" t="s">
        <v>1603</v>
      </c>
      <c r="TO2" t="s">
        <v>1604</v>
      </c>
      <c r="TP2" t="s">
        <v>1605</v>
      </c>
      <c r="TQ2" t="s">
        <v>1606</v>
      </c>
      <c r="TR2" t="s">
        <v>1607</v>
      </c>
      <c r="TS2" t="s">
        <v>1608</v>
      </c>
      <c r="TT2" t="s">
        <v>1609</v>
      </c>
      <c r="TU2" t="s">
        <v>1610</v>
      </c>
      <c r="TV2" t="s">
        <v>1611</v>
      </c>
      <c r="TW2" t="s">
        <v>1612</v>
      </c>
      <c r="TX2" t="s">
        <v>1613</v>
      </c>
      <c r="TY2" t="s">
        <v>1614</v>
      </c>
      <c r="TZ2" t="s">
        <v>1615</v>
      </c>
      <c r="UA2" t="s">
        <v>1616</v>
      </c>
      <c r="UB2" t="s">
        <v>1617</v>
      </c>
      <c r="UC2" t="s">
        <v>1618</v>
      </c>
      <c r="UD2" t="s">
        <v>1619</v>
      </c>
      <c r="UE2" t="s">
        <v>1620</v>
      </c>
      <c r="UF2" t="s">
        <v>1621</v>
      </c>
      <c r="UG2" t="s">
        <v>1622</v>
      </c>
      <c r="UH2" t="s">
        <v>1623</v>
      </c>
      <c r="UI2" t="s">
        <v>1624</v>
      </c>
      <c r="UJ2" t="s">
        <v>1625</v>
      </c>
      <c r="UK2" t="s">
        <v>1626</v>
      </c>
      <c r="UL2" t="s">
        <v>1627</v>
      </c>
      <c r="UM2" t="s">
        <v>1628</v>
      </c>
      <c r="UN2" t="s">
        <v>1629</v>
      </c>
      <c r="UO2" t="s">
        <v>1630</v>
      </c>
      <c r="UP2" t="s">
        <v>1631</v>
      </c>
      <c r="UQ2" t="s">
        <v>1632</v>
      </c>
      <c r="UR2" t="s">
        <v>1633</v>
      </c>
      <c r="US2" t="s">
        <v>1634</v>
      </c>
      <c r="UT2" t="s">
        <v>1635</v>
      </c>
      <c r="UU2" t="s">
        <v>1636</v>
      </c>
      <c r="UV2" t="s">
        <v>1637</v>
      </c>
      <c r="UW2" t="s">
        <v>1638</v>
      </c>
      <c r="UX2" t="s">
        <v>1639</v>
      </c>
      <c r="UY2" t="s">
        <v>1640</v>
      </c>
      <c r="UZ2" t="s">
        <v>1641</v>
      </c>
      <c r="VA2" t="s">
        <v>1357</v>
      </c>
      <c r="VB2" t="s">
        <v>1358</v>
      </c>
      <c r="VC2" t="s">
        <v>1642</v>
      </c>
      <c r="VD2" t="s">
        <v>1643</v>
      </c>
      <c r="VE2" t="s">
        <v>1644</v>
      </c>
      <c r="VF2" t="s">
        <v>1645</v>
      </c>
      <c r="VG2" t="s">
        <v>1646</v>
      </c>
      <c r="VH2" t="s">
        <v>1647</v>
      </c>
      <c r="VI2" t="s">
        <v>1648</v>
      </c>
      <c r="VJ2" t="s">
        <v>1649</v>
      </c>
      <c r="VK2" t="s">
        <v>1650</v>
      </c>
      <c r="VL2" t="s">
        <v>1651</v>
      </c>
      <c r="VM2" t="s">
        <v>1652</v>
      </c>
      <c r="VN2" t="s">
        <v>1653</v>
      </c>
      <c r="VO2" t="s">
        <v>1654</v>
      </c>
      <c r="VP2" t="s">
        <v>1655</v>
      </c>
      <c r="VQ2" t="s">
        <v>1656</v>
      </c>
      <c r="VR2" t="s">
        <v>1657</v>
      </c>
      <c r="VS2" t="s">
        <v>1658</v>
      </c>
      <c r="VT2" t="s">
        <v>1659</v>
      </c>
      <c r="VU2" t="s">
        <v>1660</v>
      </c>
      <c r="VV2" t="s">
        <v>1661</v>
      </c>
      <c r="VW2" t="s">
        <v>1662</v>
      </c>
      <c r="VX2" t="s">
        <v>1663</v>
      </c>
      <c r="VY2" t="s">
        <v>1664</v>
      </c>
      <c r="VZ2" t="s">
        <v>1665</v>
      </c>
      <c r="WA2" t="s">
        <v>1666</v>
      </c>
      <c r="WB2" t="s">
        <v>1667</v>
      </c>
      <c r="WC2" t="s">
        <v>1668</v>
      </c>
      <c r="WD2" t="s">
        <v>1669</v>
      </c>
      <c r="WE2" t="s">
        <v>1670</v>
      </c>
      <c r="WF2" t="s">
        <v>1671</v>
      </c>
      <c r="WG2" t="s">
        <v>1672</v>
      </c>
      <c r="WH2" t="s">
        <v>1673</v>
      </c>
      <c r="WI2" t="s">
        <v>1674</v>
      </c>
      <c r="WJ2" t="s">
        <v>1675</v>
      </c>
      <c r="WK2" t="s">
        <v>1676</v>
      </c>
      <c r="WL2" t="s">
        <v>1677</v>
      </c>
      <c r="WM2" t="s">
        <v>1678</v>
      </c>
      <c r="WN2" t="s">
        <v>1679</v>
      </c>
      <c r="WO2" t="s">
        <v>1680</v>
      </c>
      <c r="WP2" t="s">
        <v>1681</v>
      </c>
      <c r="WQ2" t="s">
        <v>1682</v>
      </c>
      <c r="WR2" t="s">
        <v>1683</v>
      </c>
      <c r="WS2" t="s">
        <v>1684</v>
      </c>
      <c r="WT2" t="s">
        <v>1685</v>
      </c>
      <c r="WU2" t="s">
        <v>1686</v>
      </c>
      <c r="WV2" t="s">
        <v>1687</v>
      </c>
      <c r="WW2" t="s">
        <v>1688</v>
      </c>
      <c r="WX2" t="s">
        <v>1689</v>
      </c>
      <c r="WY2" t="s">
        <v>1690</v>
      </c>
      <c r="WZ2" t="s">
        <v>1691</v>
      </c>
      <c r="XA2" t="s">
        <v>1692</v>
      </c>
      <c r="XB2" t="s">
        <v>1693</v>
      </c>
      <c r="XC2" t="s">
        <v>1694</v>
      </c>
      <c r="XD2" t="s">
        <v>1695</v>
      </c>
      <c r="XE2" t="s">
        <v>1696</v>
      </c>
      <c r="XF2" t="s">
        <v>1697</v>
      </c>
      <c r="XG2" t="s">
        <v>1698</v>
      </c>
      <c r="XH2" t="s">
        <v>1699</v>
      </c>
      <c r="XI2" t="s">
        <v>1700</v>
      </c>
      <c r="XJ2" t="s">
        <v>1700</v>
      </c>
      <c r="XK2" t="s">
        <v>1701</v>
      </c>
      <c r="XL2" t="s">
        <v>1702</v>
      </c>
      <c r="XM2" t="s">
        <v>1703</v>
      </c>
      <c r="XN2" t="s">
        <v>1704</v>
      </c>
      <c r="XO2" t="s">
        <v>1705</v>
      </c>
      <c r="XP2" t="s">
        <v>1706</v>
      </c>
      <c r="XQ2" t="s">
        <v>1707</v>
      </c>
      <c r="XR2" t="s">
        <v>1708</v>
      </c>
      <c r="XS2" t="s">
        <v>1709</v>
      </c>
      <c r="XT2" t="s">
        <v>1710</v>
      </c>
      <c r="XU2" t="s">
        <v>1711</v>
      </c>
      <c r="XV2" t="s">
        <v>1712</v>
      </c>
      <c r="XW2" t="s">
        <v>1713</v>
      </c>
      <c r="XX2" t="s">
        <v>1714</v>
      </c>
      <c r="XY2" t="s">
        <v>1715</v>
      </c>
      <c r="XZ2" t="s">
        <v>1716</v>
      </c>
      <c r="YA2" t="s">
        <v>1717</v>
      </c>
      <c r="YB2" t="s">
        <v>1718</v>
      </c>
      <c r="YC2" t="s">
        <v>1719</v>
      </c>
      <c r="YD2" t="s">
        <v>1720</v>
      </c>
      <c r="YE2" t="s">
        <v>1721</v>
      </c>
      <c r="YF2" t="s">
        <v>1722</v>
      </c>
      <c r="YG2" t="s">
        <v>1723</v>
      </c>
      <c r="YH2" t="s">
        <v>1724</v>
      </c>
      <c r="YI2" t="s">
        <v>1725</v>
      </c>
      <c r="YJ2" t="s">
        <v>1726</v>
      </c>
      <c r="YK2" t="s">
        <v>1727</v>
      </c>
      <c r="YL2" t="s">
        <v>1728</v>
      </c>
      <c r="YM2" t="s">
        <v>1711</v>
      </c>
      <c r="YN2" t="s">
        <v>1729</v>
      </c>
      <c r="YO2" t="s">
        <v>1730</v>
      </c>
      <c r="YP2" t="s">
        <v>1731</v>
      </c>
      <c r="YQ2" t="s">
        <v>1732</v>
      </c>
      <c r="YR2" t="s">
        <v>1733</v>
      </c>
      <c r="YS2" t="s">
        <v>1734</v>
      </c>
      <c r="YT2" t="s">
        <v>1735</v>
      </c>
      <c r="YU2" t="s">
        <v>1736</v>
      </c>
      <c r="YV2" t="s">
        <v>1737</v>
      </c>
      <c r="YW2" t="s">
        <v>1738</v>
      </c>
      <c r="YX2" t="s">
        <v>1739</v>
      </c>
      <c r="YY2" t="s">
        <v>1740</v>
      </c>
      <c r="YZ2" t="s">
        <v>1741</v>
      </c>
      <c r="ZA2" t="s">
        <v>1742</v>
      </c>
      <c r="ZB2" t="s">
        <v>1743</v>
      </c>
      <c r="ZC2" t="s">
        <v>1744</v>
      </c>
      <c r="ZD2" t="s">
        <v>1745</v>
      </c>
      <c r="ZE2" t="s">
        <v>1746</v>
      </c>
      <c r="ZF2" t="s">
        <v>1747</v>
      </c>
      <c r="ZG2" t="s">
        <v>1748</v>
      </c>
      <c r="ZH2" t="s">
        <v>1749</v>
      </c>
      <c r="ZI2" t="s">
        <v>1750</v>
      </c>
      <c r="ZJ2" t="s">
        <v>1751</v>
      </c>
      <c r="ZK2" t="s">
        <v>1752</v>
      </c>
      <c r="ZL2" t="s">
        <v>1753</v>
      </c>
      <c r="ZM2" t="s">
        <v>1754</v>
      </c>
      <c r="ZN2" t="s">
        <v>1755</v>
      </c>
      <c r="ZO2" t="s">
        <v>1756</v>
      </c>
      <c r="ZP2" t="s">
        <v>1757</v>
      </c>
      <c r="ZQ2" t="s">
        <v>1758</v>
      </c>
      <c r="ZR2" t="s">
        <v>1759</v>
      </c>
      <c r="ZS2" t="s">
        <v>1760</v>
      </c>
      <c r="ZT2" t="s">
        <v>1761</v>
      </c>
      <c r="ZU2" t="s">
        <v>1762</v>
      </c>
      <c r="ZV2" t="s">
        <v>1763</v>
      </c>
      <c r="ZW2" t="s">
        <v>1764</v>
      </c>
      <c r="ZX2" t="s">
        <v>1765</v>
      </c>
      <c r="ZY2" t="s">
        <v>1766</v>
      </c>
      <c r="ZZ2" t="s">
        <v>1767</v>
      </c>
      <c r="AAA2" t="s">
        <v>1768</v>
      </c>
      <c r="AAB2" t="s">
        <v>1769</v>
      </c>
      <c r="AAC2" t="s">
        <v>1770</v>
      </c>
      <c r="AAD2" t="s">
        <v>1771</v>
      </c>
      <c r="AAE2" t="s">
        <v>1772</v>
      </c>
      <c r="AAF2" t="s">
        <v>1773</v>
      </c>
      <c r="AAG2" t="s">
        <v>1774</v>
      </c>
      <c r="AAH2" t="s">
        <v>1775</v>
      </c>
      <c r="AAI2" t="s">
        <v>1776</v>
      </c>
      <c r="AAJ2" t="s">
        <v>1777</v>
      </c>
      <c r="AAK2" t="s">
        <v>1778</v>
      </c>
      <c r="AAL2" t="s">
        <v>1779</v>
      </c>
      <c r="AAM2" t="s">
        <v>1780</v>
      </c>
      <c r="AAN2" t="s">
        <v>1781</v>
      </c>
      <c r="AAO2" t="s">
        <v>1782</v>
      </c>
      <c r="AAP2" t="s">
        <v>1783</v>
      </c>
      <c r="AAQ2" t="s">
        <v>1784</v>
      </c>
      <c r="AAR2" t="s">
        <v>1785</v>
      </c>
      <c r="AAS2" t="s">
        <v>1786</v>
      </c>
      <c r="AAT2" t="s">
        <v>1787</v>
      </c>
      <c r="AAU2" t="s">
        <v>1788</v>
      </c>
      <c r="AAV2" t="s">
        <v>1789</v>
      </c>
      <c r="AAW2" t="s">
        <v>1790</v>
      </c>
      <c r="AAX2" t="s">
        <v>1791</v>
      </c>
      <c r="AAY2" t="s">
        <v>1792</v>
      </c>
      <c r="AAZ2" t="s">
        <v>1793</v>
      </c>
      <c r="ABA2" t="s">
        <v>1794</v>
      </c>
      <c r="ABB2" t="s">
        <v>1795</v>
      </c>
      <c r="ABC2" t="s">
        <v>1796</v>
      </c>
      <c r="ABD2" t="s">
        <v>1797</v>
      </c>
      <c r="ABE2" t="s">
        <v>1798</v>
      </c>
      <c r="ABF2" t="s">
        <v>1799</v>
      </c>
      <c r="ABG2" t="s">
        <v>1800</v>
      </c>
      <c r="ABH2" t="s">
        <v>1801</v>
      </c>
      <c r="ABI2" t="s">
        <v>1802</v>
      </c>
      <c r="ABJ2" t="s">
        <v>1803</v>
      </c>
      <c r="ABK2" t="s">
        <v>1804</v>
      </c>
      <c r="ABL2" t="s">
        <v>1805</v>
      </c>
      <c r="ABM2" t="s">
        <v>1806</v>
      </c>
      <c r="ABN2" t="s">
        <v>1807</v>
      </c>
      <c r="ABO2" t="s">
        <v>1808</v>
      </c>
      <c r="ABP2" t="s">
        <v>1809</v>
      </c>
      <c r="ABQ2" t="s">
        <v>1810</v>
      </c>
      <c r="ABS2" t="s">
        <v>1811</v>
      </c>
    </row>
    <row r="3" spans="1:748">
      <c r="A3" t="s">
        <v>1812</v>
      </c>
      <c r="B3" s="1077" t="s">
        <v>1813</v>
      </c>
      <c r="C3" s="1077" t="s">
        <v>1814</v>
      </c>
      <c r="D3" s="1077" t="s">
        <v>1815</v>
      </c>
      <c r="E3" s="1077" t="s">
        <v>1816</v>
      </c>
      <c r="F3">
        <v>1001</v>
      </c>
      <c r="G3">
        <v>1002</v>
      </c>
      <c r="H3" s="1077" t="s">
        <v>1817</v>
      </c>
      <c r="I3">
        <v>1021</v>
      </c>
      <c r="J3">
        <v>1022</v>
      </c>
      <c r="K3">
        <v>1023</v>
      </c>
      <c r="L3" s="1077" t="s">
        <v>1818</v>
      </c>
      <c r="M3">
        <v>1031</v>
      </c>
      <c r="N3">
        <v>1041</v>
      </c>
      <c r="O3">
        <v>1042</v>
      </c>
      <c r="P3">
        <v>1051</v>
      </c>
      <c r="Q3">
        <v>1052</v>
      </c>
      <c r="R3" s="1077" t="s">
        <v>1819</v>
      </c>
      <c r="S3">
        <v>1071</v>
      </c>
      <c r="T3">
        <v>1081</v>
      </c>
      <c r="U3">
        <v>1090</v>
      </c>
      <c r="V3" s="1077" t="s">
        <v>1820</v>
      </c>
      <c r="W3" s="1077" t="s">
        <v>1821</v>
      </c>
      <c r="X3">
        <v>1101</v>
      </c>
      <c r="Y3">
        <v>1102</v>
      </c>
      <c r="Z3">
        <v>1103</v>
      </c>
      <c r="AA3">
        <v>1104</v>
      </c>
      <c r="AB3">
        <v>1106</v>
      </c>
      <c r="AC3">
        <v>1107</v>
      </c>
      <c r="AD3">
        <v>1108</v>
      </c>
      <c r="AE3">
        <v>1110</v>
      </c>
      <c r="AF3">
        <v>1111</v>
      </c>
      <c r="AG3">
        <v>1112</v>
      </c>
      <c r="AH3">
        <v>1113</v>
      </c>
      <c r="AI3">
        <v>1114</v>
      </c>
      <c r="AJ3">
        <v>1131</v>
      </c>
      <c r="AK3">
        <v>1132</v>
      </c>
      <c r="AL3">
        <v>1133</v>
      </c>
      <c r="AM3" s="1077" t="s">
        <v>1822</v>
      </c>
      <c r="AN3">
        <v>1141</v>
      </c>
      <c r="AO3">
        <v>1142</v>
      </c>
      <c r="AP3">
        <v>1143</v>
      </c>
      <c r="AQ3">
        <v>1144</v>
      </c>
      <c r="AR3">
        <v>1146</v>
      </c>
      <c r="AS3">
        <v>1150</v>
      </c>
      <c r="AT3">
        <v>1167</v>
      </c>
      <c r="AU3" s="1077" t="s">
        <v>1823</v>
      </c>
      <c r="AV3">
        <v>1151</v>
      </c>
      <c r="AW3">
        <v>1152</v>
      </c>
      <c r="AX3">
        <v>1153</v>
      </c>
      <c r="AY3" s="1077" t="s">
        <v>1824</v>
      </c>
      <c r="AZ3">
        <v>1161</v>
      </c>
      <c r="BA3">
        <v>1165</v>
      </c>
      <c r="BB3">
        <v>1166</v>
      </c>
      <c r="BC3">
        <v>1173</v>
      </c>
      <c r="BD3" s="1077" t="s">
        <v>1825</v>
      </c>
      <c r="BE3" s="1077" t="s">
        <v>1826</v>
      </c>
      <c r="BF3">
        <v>1201</v>
      </c>
      <c r="BG3">
        <v>1203</v>
      </c>
      <c r="BH3">
        <v>1211</v>
      </c>
      <c r="BI3">
        <v>1214</v>
      </c>
      <c r="BJ3">
        <v>1221</v>
      </c>
      <c r="BK3" s="1077" t="s">
        <v>1827</v>
      </c>
      <c r="BL3">
        <v>1252</v>
      </c>
      <c r="BM3">
        <v>1261</v>
      </c>
      <c r="BN3">
        <v>1271</v>
      </c>
      <c r="BO3">
        <v>1292</v>
      </c>
      <c r="BP3" s="1077" t="s">
        <v>1828</v>
      </c>
      <c r="BQ3" s="1077" t="s">
        <v>1829</v>
      </c>
      <c r="BR3" s="1077" t="s">
        <v>1830</v>
      </c>
      <c r="BS3">
        <v>1303</v>
      </c>
      <c r="BT3" s="1077" t="s">
        <v>1831</v>
      </c>
      <c r="BU3">
        <v>1311</v>
      </c>
      <c r="BV3">
        <v>1333</v>
      </c>
      <c r="BW3">
        <v>1321</v>
      </c>
      <c r="BX3">
        <v>1331</v>
      </c>
      <c r="BY3">
        <v>1332</v>
      </c>
      <c r="BZ3" s="1077" t="s">
        <v>1832</v>
      </c>
      <c r="CA3">
        <v>1341</v>
      </c>
      <c r="CB3" s="1077" t="s">
        <v>1833</v>
      </c>
      <c r="CC3" s="1077" t="s">
        <v>1834</v>
      </c>
      <c r="CD3">
        <v>1401</v>
      </c>
      <c r="CE3">
        <v>1402</v>
      </c>
      <c r="CF3">
        <v>1403</v>
      </c>
      <c r="CG3">
        <v>1405</v>
      </c>
      <c r="CH3">
        <v>1406</v>
      </c>
      <c r="CI3">
        <v>1409</v>
      </c>
      <c r="CJ3">
        <v>1407</v>
      </c>
      <c r="CK3">
        <v>1410</v>
      </c>
      <c r="CL3">
        <v>1411</v>
      </c>
      <c r="CM3">
        <v>1412</v>
      </c>
      <c r="CN3">
        <v>1413</v>
      </c>
      <c r="CO3">
        <v>1414</v>
      </c>
      <c r="CP3">
        <v>1415</v>
      </c>
      <c r="CQ3">
        <v>1416</v>
      </c>
      <c r="CR3">
        <v>1417</v>
      </c>
      <c r="CS3">
        <v>1419</v>
      </c>
      <c r="CT3">
        <v>1420</v>
      </c>
      <c r="CU3">
        <v>1421</v>
      </c>
      <c r="CV3">
        <v>1430</v>
      </c>
      <c r="CW3">
        <v>1432</v>
      </c>
      <c r="CX3">
        <v>1433</v>
      </c>
      <c r="CY3">
        <v>1434</v>
      </c>
      <c r="CZ3">
        <v>1435</v>
      </c>
      <c r="DA3">
        <v>1436</v>
      </c>
      <c r="DB3">
        <v>1437</v>
      </c>
      <c r="DC3">
        <v>1438</v>
      </c>
      <c r="DD3">
        <v>1442</v>
      </c>
      <c r="DE3">
        <v>1443</v>
      </c>
      <c r="DF3">
        <v>1444</v>
      </c>
      <c r="DG3" s="1077" t="s">
        <v>1835</v>
      </c>
      <c r="DH3" s="1077" t="s">
        <v>1836</v>
      </c>
      <c r="DI3">
        <v>1453</v>
      </c>
      <c r="DJ3">
        <v>1461</v>
      </c>
      <c r="DK3">
        <v>1462</v>
      </c>
      <c r="DL3">
        <v>1463</v>
      </c>
      <c r="DM3">
        <v>1464</v>
      </c>
      <c r="DN3" s="1077" t="s">
        <v>1837</v>
      </c>
      <c r="DO3">
        <v>1471</v>
      </c>
      <c r="DP3">
        <v>1472</v>
      </c>
      <c r="DQ3">
        <v>1473</v>
      </c>
      <c r="DR3" s="1077" t="s">
        <v>1838</v>
      </c>
      <c r="DS3">
        <v>1481</v>
      </c>
      <c r="DT3">
        <v>1482</v>
      </c>
      <c r="DU3">
        <v>1483</v>
      </c>
      <c r="DV3">
        <v>1486</v>
      </c>
      <c r="DW3">
        <v>1487</v>
      </c>
      <c r="DX3">
        <v>1485</v>
      </c>
      <c r="DY3">
        <v>1491</v>
      </c>
      <c r="DZ3" s="1077" t="s">
        <v>1839</v>
      </c>
      <c r="EA3" s="1077" t="s">
        <v>1840</v>
      </c>
      <c r="EB3">
        <v>1502</v>
      </c>
      <c r="EC3">
        <v>1511</v>
      </c>
      <c r="ED3">
        <v>1515</v>
      </c>
      <c r="EE3">
        <v>1517</v>
      </c>
      <c r="EF3">
        <v>1521</v>
      </c>
      <c r="EG3">
        <v>1531</v>
      </c>
      <c r="EH3">
        <v>1532</v>
      </c>
      <c r="EI3">
        <v>1541</v>
      </c>
      <c r="EJ3">
        <v>1551</v>
      </c>
      <c r="EK3">
        <v>1561</v>
      </c>
      <c r="EL3">
        <v>1563</v>
      </c>
      <c r="EM3">
        <v>1571</v>
      </c>
      <c r="EN3">
        <v>1581</v>
      </c>
      <c r="EO3">
        <v>1582</v>
      </c>
      <c r="EP3">
        <v>1572</v>
      </c>
      <c r="EQ3">
        <v>1583</v>
      </c>
      <c r="ER3" s="1077" t="s">
        <v>1841</v>
      </c>
      <c r="ES3">
        <v>1594</v>
      </c>
      <c r="ET3" s="1077" t="s">
        <v>1842</v>
      </c>
      <c r="EU3" s="1077" t="s">
        <v>1843</v>
      </c>
      <c r="EV3">
        <v>1601</v>
      </c>
      <c r="EW3">
        <v>1602</v>
      </c>
      <c r="EX3" s="1077" t="s">
        <v>1844</v>
      </c>
      <c r="EY3">
        <v>1611</v>
      </c>
      <c r="EZ3">
        <v>1621</v>
      </c>
      <c r="FA3">
        <v>1631</v>
      </c>
      <c r="FB3">
        <v>1632</v>
      </c>
      <c r="FC3">
        <v>1633</v>
      </c>
      <c r="FD3">
        <v>1641</v>
      </c>
      <c r="FE3">
        <v>1642</v>
      </c>
      <c r="FF3">
        <v>1643</v>
      </c>
      <c r="FG3">
        <v>1645</v>
      </c>
      <c r="FH3">
        <v>1644</v>
      </c>
      <c r="FI3">
        <v>1652</v>
      </c>
      <c r="FJ3">
        <v>1653</v>
      </c>
      <c r="FK3">
        <v>1654</v>
      </c>
      <c r="FL3">
        <v>1656</v>
      </c>
      <c r="FM3">
        <v>1655</v>
      </c>
      <c r="FN3">
        <v>1659</v>
      </c>
      <c r="FO3">
        <v>1657</v>
      </c>
      <c r="FP3">
        <v>1658</v>
      </c>
      <c r="FQ3" s="1077" t="s">
        <v>1845</v>
      </c>
      <c r="FR3">
        <v>1701</v>
      </c>
      <c r="FS3">
        <v>1702</v>
      </c>
      <c r="FT3">
        <v>1703</v>
      </c>
      <c r="FU3">
        <v>1711</v>
      </c>
      <c r="FV3">
        <v>1712</v>
      </c>
      <c r="FW3">
        <v>1784</v>
      </c>
      <c r="FX3">
        <v>1714</v>
      </c>
      <c r="FY3">
        <v>1713</v>
      </c>
      <c r="FZ3">
        <v>1715</v>
      </c>
      <c r="GA3">
        <v>1741</v>
      </c>
      <c r="GB3">
        <v>1721</v>
      </c>
      <c r="GC3">
        <v>1783</v>
      </c>
      <c r="GD3">
        <v>1732</v>
      </c>
      <c r="GE3">
        <v>1761</v>
      </c>
      <c r="GF3">
        <v>1782</v>
      </c>
      <c r="GG3">
        <v>1772</v>
      </c>
      <c r="GH3">
        <v>1781</v>
      </c>
      <c r="GI3" s="1077" t="s">
        <v>1846</v>
      </c>
      <c r="GJ3" s="1077" t="s">
        <v>1847</v>
      </c>
      <c r="GK3">
        <v>1795</v>
      </c>
      <c r="GL3">
        <v>1798</v>
      </c>
      <c r="GM3">
        <v>1791</v>
      </c>
      <c r="GN3">
        <v>1797</v>
      </c>
      <c r="GO3">
        <v>1793</v>
      </c>
      <c r="GP3">
        <v>1792</v>
      </c>
      <c r="GQ3">
        <v>1794</v>
      </c>
      <c r="GR3">
        <v>1796</v>
      </c>
      <c r="GS3">
        <v>1799</v>
      </c>
      <c r="GT3">
        <v>1790</v>
      </c>
      <c r="GU3" s="1077" t="s">
        <v>1848</v>
      </c>
      <c r="GV3">
        <v>1801</v>
      </c>
      <c r="GW3">
        <v>1811</v>
      </c>
      <c r="GX3">
        <v>1821</v>
      </c>
      <c r="GY3">
        <v>1831</v>
      </c>
      <c r="GZ3">
        <v>1842</v>
      </c>
      <c r="HA3">
        <v>1881</v>
      </c>
      <c r="HB3">
        <v>1843</v>
      </c>
      <c r="HC3">
        <v>1844</v>
      </c>
      <c r="HD3">
        <v>1851</v>
      </c>
      <c r="HE3">
        <v>1852</v>
      </c>
      <c r="HF3">
        <v>1853</v>
      </c>
      <c r="HG3">
        <v>1871</v>
      </c>
      <c r="HH3">
        <v>1891</v>
      </c>
      <c r="HI3">
        <v>1812</v>
      </c>
      <c r="HJ3">
        <v>1802</v>
      </c>
      <c r="HK3">
        <v>1813</v>
      </c>
      <c r="HL3">
        <v>1814</v>
      </c>
      <c r="HM3">
        <v>1892</v>
      </c>
      <c r="HN3">
        <v>1893</v>
      </c>
      <c r="HO3" s="1077" t="s">
        <v>1849</v>
      </c>
      <c r="HP3" s="1077" t="s">
        <v>1850</v>
      </c>
      <c r="HQ3">
        <v>1902</v>
      </c>
      <c r="HR3">
        <v>1911</v>
      </c>
      <c r="HS3">
        <v>1914</v>
      </c>
      <c r="HT3" s="1077" t="s">
        <v>1851</v>
      </c>
      <c r="HU3">
        <v>1921</v>
      </c>
      <c r="HV3">
        <v>1922</v>
      </c>
      <c r="HW3">
        <v>1923</v>
      </c>
      <c r="HX3">
        <v>1924</v>
      </c>
      <c r="HY3" s="1077" t="s">
        <v>1852</v>
      </c>
      <c r="HZ3">
        <v>1930</v>
      </c>
      <c r="IA3">
        <v>1931</v>
      </c>
      <c r="IB3">
        <v>1941</v>
      </c>
      <c r="IC3">
        <v>1951</v>
      </c>
      <c r="ID3">
        <v>1952</v>
      </c>
      <c r="IE3">
        <v>1972</v>
      </c>
      <c r="IF3">
        <v>1982</v>
      </c>
      <c r="IG3">
        <v>1984</v>
      </c>
      <c r="IH3">
        <v>1981</v>
      </c>
      <c r="II3">
        <v>1983</v>
      </c>
      <c r="IJ3" s="1077" t="s">
        <v>1853</v>
      </c>
      <c r="IK3">
        <v>2003</v>
      </c>
      <c r="IL3">
        <v>2011</v>
      </c>
      <c r="IM3">
        <v>2021</v>
      </c>
      <c r="IN3">
        <v>2026</v>
      </c>
      <c r="IO3">
        <v>2033</v>
      </c>
      <c r="IP3">
        <v>2041</v>
      </c>
      <c r="IQ3">
        <v>2042</v>
      </c>
      <c r="IR3">
        <v>2012</v>
      </c>
      <c r="IS3">
        <v>2027</v>
      </c>
      <c r="IT3" s="1077" t="s">
        <v>1854</v>
      </c>
      <c r="IU3" s="1077" t="s">
        <v>1855</v>
      </c>
      <c r="IV3">
        <v>2101</v>
      </c>
      <c r="IW3">
        <v>2103</v>
      </c>
      <c r="IX3">
        <v>2102</v>
      </c>
      <c r="IY3">
        <v>2112</v>
      </c>
      <c r="IZ3">
        <v>2123</v>
      </c>
      <c r="JA3">
        <v>2121</v>
      </c>
      <c r="JB3">
        <v>2132</v>
      </c>
      <c r="JC3">
        <v>2133</v>
      </c>
      <c r="JD3">
        <v>2136</v>
      </c>
      <c r="JE3">
        <v>2142</v>
      </c>
      <c r="JF3">
        <v>2146</v>
      </c>
      <c r="JG3">
        <v>2164</v>
      </c>
      <c r="JH3">
        <v>2134</v>
      </c>
      <c r="JI3">
        <v>2141</v>
      </c>
      <c r="JJ3">
        <v>2145</v>
      </c>
      <c r="JK3">
        <v>2135</v>
      </c>
      <c r="JL3">
        <v>2161</v>
      </c>
      <c r="JM3">
        <v>2144</v>
      </c>
      <c r="JN3">
        <v>2163</v>
      </c>
      <c r="JO3">
        <v>2162</v>
      </c>
      <c r="JP3">
        <v>2165</v>
      </c>
      <c r="JQ3">
        <v>2171</v>
      </c>
      <c r="JR3">
        <v>2172</v>
      </c>
      <c r="JS3" s="1077" t="s">
        <v>1856</v>
      </c>
      <c r="JT3">
        <v>2182</v>
      </c>
      <c r="JU3">
        <v>2183</v>
      </c>
      <c r="JV3" s="1077" t="s">
        <v>1857</v>
      </c>
      <c r="JW3" s="1077" t="s">
        <v>1858</v>
      </c>
      <c r="JX3" s="1077" t="s">
        <v>1859</v>
      </c>
      <c r="JY3">
        <v>3000</v>
      </c>
      <c r="JZ3" s="1077" t="s">
        <v>1860</v>
      </c>
      <c r="KA3">
        <v>3016</v>
      </c>
      <c r="KB3">
        <v>3017</v>
      </c>
      <c r="KC3" s="1077" t="s">
        <v>1861</v>
      </c>
      <c r="KD3">
        <v>3030</v>
      </c>
      <c r="KE3" s="1077" t="s">
        <v>1862</v>
      </c>
      <c r="KF3" s="1077" t="s">
        <v>1863</v>
      </c>
      <c r="KG3">
        <v>3101</v>
      </c>
      <c r="KH3">
        <v>3103</v>
      </c>
      <c r="KI3">
        <v>3104</v>
      </c>
      <c r="KJ3">
        <v>3105</v>
      </c>
      <c r="KK3">
        <v>3106</v>
      </c>
      <c r="KL3">
        <v>3121</v>
      </c>
      <c r="KM3" s="1077" t="s">
        <v>1864</v>
      </c>
      <c r="KN3">
        <v>3151</v>
      </c>
      <c r="KO3">
        <v>3176</v>
      </c>
      <c r="KP3">
        <v>3175</v>
      </c>
      <c r="KQ3">
        <v>3178</v>
      </c>
      <c r="KR3">
        <v>3162</v>
      </c>
      <c r="KS3">
        <v>3174</v>
      </c>
      <c r="KT3">
        <v>3171</v>
      </c>
      <c r="KU3">
        <v>3172</v>
      </c>
      <c r="KV3">
        <v>3179</v>
      </c>
      <c r="KW3">
        <v>3185</v>
      </c>
      <c r="KX3">
        <v>3180</v>
      </c>
      <c r="KY3" s="1077" t="s">
        <v>1865</v>
      </c>
      <c r="KZ3" s="1077" t="s">
        <v>1866</v>
      </c>
      <c r="LA3">
        <v>3500</v>
      </c>
      <c r="LB3" s="1077" t="s">
        <v>1867</v>
      </c>
      <c r="LC3">
        <v>3600</v>
      </c>
      <c r="LD3">
        <v>3612</v>
      </c>
      <c r="LE3" s="1077" t="s">
        <v>1868</v>
      </c>
      <c r="LF3">
        <v>3701</v>
      </c>
      <c r="LG3" s="1077" t="s">
        <v>1869</v>
      </c>
      <c r="LH3">
        <v>3810</v>
      </c>
      <c r="LI3">
        <v>4610</v>
      </c>
      <c r="LJ3" s="1077" t="s">
        <v>1870</v>
      </c>
      <c r="LK3" s="1077" t="s">
        <v>1871</v>
      </c>
      <c r="LL3" s="1077" t="s">
        <v>1872</v>
      </c>
      <c r="LM3">
        <v>4003</v>
      </c>
      <c r="LN3">
        <v>4002</v>
      </c>
      <c r="LO3">
        <v>4011</v>
      </c>
      <c r="LP3">
        <v>4021</v>
      </c>
      <c r="LQ3">
        <v>4032</v>
      </c>
      <c r="LR3">
        <v>4042</v>
      </c>
      <c r="LS3">
        <v>4043</v>
      </c>
      <c r="LT3" s="1077" t="s">
        <v>1873</v>
      </c>
      <c r="LU3">
        <v>4063</v>
      </c>
      <c r="LV3">
        <v>4072</v>
      </c>
      <c r="LW3">
        <v>4075</v>
      </c>
      <c r="LX3" s="1077" t="s">
        <v>1874</v>
      </c>
      <c r="LY3">
        <v>4092</v>
      </c>
      <c r="LZ3">
        <v>4093</v>
      </c>
      <c r="MA3">
        <v>4083</v>
      </c>
      <c r="MB3" s="1077" t="s">
        <v>1875</v>
      </c>
      <c r="MC3">
        <v>4115</v>
      </c>
      <c r="MD3">
        <v>4121</v>
      </c>
      <c r="ME3">
        <v>4141</v>
      </c>
      <c r="MF3">
        <v>4142</v>
      </c>
      <c r="MG3" s="1077" t="s">
        <v>1876</v>
      </c>
      <c r="MH3">
        <v>4201</v>
      </c>
      <c r="MI3">
        <v>4211</v>
      </c>
      <c r="MJ3">
        <v>4251</v>
      </c>
      <c r="MK3">
        <v>4271</v>
      </c>
      <c r="ML3">
        <v>4272</v>
      </c>
      <c r="MM3" s="1077" t="s">
        <v>1877</v>
      </c>
      <c r="MN3" s="1077" t="s">
        <v>1878</v>
      </c>
      <c r="MO3">
        <v>4301</v>
      </c>
      <c r="MP3">
        <v>4302</v>
      </c>
      <c r="MQ3" s="1077" t="s">
        <v>1879</v>
      </c>
      <c r="MR3">
        <v>4326</v>
      </c>
      <c r="MS3">
        <v>4331</v>
      </c>
      <c r="MT3">
        <v>4334</v>
      </c>
      <c r="MU3">
        <v>4342</v>
      </c>
      <c r="MV3" s="1077" t="s">
        <v>1880</v>
      </c>
      <c r="MW3">
        <v>4352</v>
      </c>
      <c r="MX3">
        <v>4361</v>
      </c>
      <c r="MY3">
        <v>4362</v>
      </c>
      <c r="MZ3">
        <v>4372</v>
      </c>
      <c r="NA3">
        <v>4373</v>
      </c>
      <c r="NB3" s="1077" t="s">
        <v>1881</v>
      </c>
      <c r="NC3" s="1077" t="s">
        <v>1882</v>
      </c>
      <c r="ND3">
        <v>4412</v>
      </c>
      <c r="NE3">
        <v>4413</v>
      </c>
      <c r="NF3" s="1077" t="s">
        <v>1883</v>
      </c>
      <c r="NG3">
        <v>4431</v>
      </c>
      <c r="NH3">
        <v>4441</v>
      </c>
      <c r="NI3" s="1077" t="s">
        <v>1884</v>
      </c>
      <c r="NJ3">
        <v>4401</v>
      </c>
      <c r="NK3">
        <v>4402</v>
      </c>
      <c r="NL3">
        <v>4451</v>
      </c>
      <c r="NM3">
        <v>4442</v>
      </c>
      <c r="NN3">
        <v>4471</v>
      </c>
      <c r="NO3">
        <v>4403</v>
      </c>
      <c r="NP3">
        <v>4472</v>
      </c>
      <c r="NQ3" s="1077" t="s">
        <v>1885</v>
      </c>
      <c r="NR3" s="1077" t="s">
        <v>1886</v>
      </c>
      <c r="NS3">
        <v>4501</v>
      </c>
      <c r="NT3" s="1077" t="s">
        <v>1887</v>
      </c>
      <c r="NU3">
        <v>4521</v>
      </c>
      <c r="NV3">
        <v>4515</v>
      </c>
      <c r="NW3" s="1077" t="s">
        <v>1888</v>
      </c>
      <c r="NX3">
        <v>4701</v>
      </c>
      <c r="NY3" s="1077" t="s">
        <v>1889</v>
      </c>
      <c r="NZ3" s="1077" t="s">
        <v>1890</v>
      </c>
      <c r="OA3" s="1077" t="s">
        <v>1891</v>
      </c>
      <c r="OB3">
        <v>5011</v>
      </c>
      <c r="OC3">
        <v>5041</v>
      </c>
      <c r="OD3" s="1077" t="s">
        <v>1892</v>
      </c>
      <c r="OE3" s="1077" t="s">
        <v>1893</v>
      </c>
      <c r="OF3">
        <v>5101</v>
      </c>
      <c r="OG3">
        <v>5103</v>
      </c>
      <c r="OH3">
        <v>5102</v>
      </c>
      <c r="OI3">
        <v>5104</v>
      </c>
      <c r="OJ3">
        <v>5111</v>
      </c>
      <c r="OK3">
        <v>5122</v>
      </c>
      <c r="OL3">
        <v>5121</v>
      </c>
      <c r="OM3">
        <v>5123</v>
      </c>
      <c r="ON3">
        <v>5131</v>
      </c>
      <c r="OO3">
        <v>5141</v>
      </c>
      <c r="OP3" s="1077" t="s">
        <v>1894</v>
      </c>
      <c r="OQ3">
        <v>5166</v>
      </c>
      <c r="OR3">
        <v>5167</v>
      </c>
      <c r="OS3">
        <v>5162</v>
      </c>
      <c r="OT3">
        <v>5168</v>
      </c>
      <c r="OU3">
        <v>5161</v>
      </c>
      <c r="OV3">
        <v>5163</v>
      </c>
      <c r="OW3">
        <v>5183</v>
      </c>
      <c r="OX3">
        <v>5169</v>
      </c>
      <c r="OY3">
        <v>5172</v>
      </c>
      <c r="OZ3">
        <v>5181</v>
      </c>
      <c r="PA3">
        <v>5179</v>
      </c>
      <c r="PB3">
        <v>5182</v>
      </c>
      <c r="PC3">
        <v>5184</v>
      </c>
      <c r="PD3" s="1077" t="s">
        <v>1895</v>
      </c>
      <c r="PE3">
        <v>5195</v>
      </c>
      <c r="PF3">
        <v>5196</v>
      </c>
      <c r="PG3">
        <v>5193</v>
      </c>
      <c r="PH3" s="1077" t="s">
        <v>1896</v>
      </c>
      <c r="PI3" s="1077" t="s">
        <v>1897</v>
      </c>
      <c r="PJ3" s="1077" t="s">
        <v>1898</v>
      </c>
      <c r="PK3">
        <v>5202</v>
      </c>
      <c r="PL3">
        <v>5211</v>
      </c>
      <c r="PM3">
        <v>5212</v>
      </c>
      <c r="PN3">
        <v>5221</v>
      </c>
      <c r="PO3" s="1077" t="s">
        <v>1899</v>
      </c>
      <c r="PP3">
        <v>5231</v>
      </c>
      <c r="PQ3">
        <v>5232</v>
      </c>
      <c r="PR3">
        <v>5233</v>
      </c>
      <c r="PS3">
        <v>5234</v>
      </c>
      <c r="PT3">
        <v>5241</v>
      </c>
      <c r="PU3">
        <v>5242</v>
      </c>
      <c r="PV3" s="1077" t="s">
        <v>1900</v>
      </c>
      <c r="PW3">
        <v>5243</v>
      </c>
      <c r="PX3">
        <v>5244</v>
      </c>
      <c r="PY3" s="1077" t="s">
        <v>1901</v>
      </c>
      <c r="PZ3" s="1077" t="s">
        <v>1902</v>
      </c>
      <c r="QA3">
        <v>5301</v>
      </c>
      <c r="QB3">
        <v>5311</v>
      </c>
      <c r="QC3">
        <v>5331</v>
      </c>
      <c r="QD3" s="1077" t="s">
        <v>1903</v>
      </c>
      <c r="QE3">
        <v>5341</v>
      </c>
      <c r="QF3">
        <v>5351</v>
      </c>
      <c r="QG3">
        <v>5361</v>
      </c>
      <c r="QH3" s="1077" t="s">
        <v>1904</v>
      </c>
      <c r="QI3">
        <v>5372</v>
      </c>
      <c r="QJ3" s="1077" t="s">
        <v>1905</v>
      </c>
      <c r="QK3">
        <v>5601</v>
      </c>
      <c r="QL3">
        <v>5611</v>
      </c>
      <c r="QM3">
        <v>5641</v>
      </c>
      <c r="QN3">
        <v>5631</v>
      </c>
      <c r="QO3">
        <v>5671</v>
      </c>
      <c r="QP3">
        <v>5652</v>
      </c>
      <c r="QQ3" s="1077" t="s">
        <v>1906</v>
      </c>
      <c r="QR3">
        <v>5501</v>
      </c>
      <c r="QS3">
        <v>5511</v>
      </c>
      <c r="QT3">
        <v>5572</v>
      </c>
      <c r="QU3">
        <v>5521</v>
      </c>
      <c r="QV3">
        <v>5531</v>
      </c>
      <c r="QW3">
        <v>5541</v>
      </c>
      <c r="QX3">
        <v>5571</v>
      </c>
      <c r="QY3" s="1077" t="s">
        <v>1907</v>
      </c>
      <c r="QZ3">
        <v>5711</v>
      </c>
      <c r="RA3">
        <v>5712</v>
      </c>
      <c r="RB3">
        <v>5721</v>
      </c>
      <c r="RC3">
        <v>5731</v>
      </c>
      <c r="RD3" s="1077" t="s">
        <v>1908</v>
      </c>
      <c r="RE3" s="1077" t="s">
        <v>1909</v>
      </c>
      <c r="RF3">
        <v>6001</v>
      </c>
      <c r="RG3">
        <v>6002</v>
      </c>
      <c r="RH3">
        <v>6012</v>
      </c>
      <c r="RI3">
        <v>6021</v>
      </c>
      <c r="RJ3">
        <v>6022</v>
      </c>
      <c r="RK3">
        <v>6031</v>
      </c>
      <c r="RL3">
        <v>6051</v>
      </c>
      <c r="RM3">
        <v>6061</v>
      </c>
      <c r="RN3">
        <v>6062</v>
      </c>
      <c r="RO3">
        <v>6091</v>
      </c>
      <c r="RP3">
        <v>6003</v>
      </c>
      <c r="RQ3">
        <v>6090</v>
      </c>
      <c r="RR3">
        <v>6094</v>
      </c>
      <c r="RS3" s="1077" t="s">
        <v>1910</v>
      </c>
      <c r="RT3">
        <v>6141</v>
      </c>
      <c r="RU3">
        <v>6142</v>
      </c>
      <c r="RV3">
        <v>6101</v>
      </c>
      <c r="RW3">
        <v>6095</v>
      </c>
      <c r="RX3">
        <v>6181</v>
      </c>
      <c r="RY3">
        <v>6102</v>
      </c>
      <c r="RZ3">
        <v>6182</v>
      </c>
      <c r="SA3">
        <v>6121</v>
      </c>
      <c r="SB3">
        <v>6161</v>
      </c>
      <c r="SC3">
        <v>6171</v>
      </c>
      <c r="SD3">
        <v>6172</v>
      </c>
      <c r="SE3">
        <v>6173</v>
      </c>
      <c r="SF3" s="1077" t="s">
        <v>1911</v>
      </c>
      <c r="SG3">
        <v>6200</v>
      </c>
      <c r="SH3">
        <v>6221</v>
      </c>
      <c r="SI3">
        <v>6222</v>
      </c>
      <c r="SJ3">
        <v>6223</v>
      </c>
      <c r="SK3" s="1077" t="s">
        <v>1912</v>
      </c>
      <c r="SL3" s="1077" t="s">
        <v>1913</v>
      </c>
      <c r="SM3" s="1077" t="s">
        <v>1914</v>
      </c>
      <c r="SN3">
        <v>7527</v>
      </c>
      <c r="SO3">
        <v>7528</v>
      </c>
      <c r="SP3">
        <v>7530</v>
      </c>
      <c r="SQ3">
        <v>7029</v>
      </c>
      <c r="SR3">
        <v>7030</v>
      </c>
      <c r="SS3" s="1077" t="s">
        <v>1915</v>
      </c>
      <c r="ST3">
        <v>7008</v>
      </c>
      <c r="SU3">
        <v>7009</v>
      </c>
      <c r="SV3">
        <v>7010</v>
      </c>
      <c r="SW3" s="1077" t="s">
        <v>1916</v>
      </c>
      <c r="SX3">
        <v>7050</v>
      </c>
      <c r="SY3">
        <v>7057</v>
      </c>
      <c r="SZ3">
        <v>7060</v>
      </c>
      <c r="TA3">
        <v>7070</v>
      </c>
      <c r="TB3" s="1077" t="s">
        <v>1917</v>
      </c>
      <c r="TC3">
        <v>7363</v>
      </c>
      <c r="TD3">
        <v>7364</v>
      </c>
      <c r="TE3" s="1077" t="s">
        <v>1918</v>
      </c>
      <c r="TF3" s="1077" t="s">
        <v>1919</v>
      </c>
      <c r="TG3">
        <v>7105</v>
      </c>
      <c r="TH3">
        <v>7106</v>
      </c>
      <c r="TI3">
        <v>7113</v>
      </c>
      <c r="TJ3">
        <v>7115</v>
      </c>
      <c r="TK3" s="1077" t="s">
        <v>1920</v>
      </c>
      <c r="TL3">
        <v>7201</v>
      </c>
      <c r="TM3">
        <v>7202</v>
      </c>
      <c r="TN3" s="1077" t="s">
        <v>1921</v>
      </c>
      <c r="TO3">
        <v>7301</v>
      </c>
      <c r="TP3">
        <v>7311</v>
      </c>
      <c r="TQ3">
        <v>7312</v>
      </c>
      <c r="TR3">
        <v>7313</v>
      </c>
      <c r="TS3">
        <v>7315</v>
      </c>
      <c r="TT3">
        <v>7331</v>
      </c>
      <c r="TU3">
        <v>7335</v>
      </c>
      <c r="TV3">
        <v>7341</v>
      </c>
      <c r="TW3">
        <v>7342</v>
      </c>
      <c r="TX3">
        <v>7343</v>
      </c>
      <c r="TY3">
        <v>7351</v>
      </c>
      <c r="TZ3">
        <v>7344</v>
      </c>
      <c r="UA3">
        <v>7347</v>
      </c>
      <c r="UB3">
        <v>7350</v>
      </c>
      <c r="UC3">
        <v>7370</v>
      </c>
      <c r="UD3">
        <v>7390</v>
      </c>
      <c r="UE3" s="1077" t="s">
        <v>1922</v>
      </c>
      <c r="UF3">
        <v>7401</v>
      </c>
      <c r="UG3">
        <v>7402</v>
      </c>
      <c r="UH3">
        <v>7410</v>
      </c>
      <c r="UI3">
        <v>7430</v>
      </c>
      <c r="UJ3">
        <v>7433</v>
      </c>
      <c r="UK3">
        <v>7446</v>
      </c>
      <c r="UL3" s="1077" t="s">
        <v>1923</v>
      </c>
      <c r="UM3" s="1077" t="s">
        <v>1924</v>
      </c>
      <c r="UN3">
        <v>8001</v>
      </c>
      <c r="UO3">
        <v>8002</v>
      </c>
      <c r="UP3">
        <v>8010</v>
      </c>
      <c r="UQ3">
        <v>8020</v>
      </c>
      <c r="UR3">
        <v>8030</v>
      </c>
      <c r="US3">
        <v>8040</v>
      </c>
      <c r="UT3">
        <v>8060</v>
      </c>
      <c r="UU3">
        <v>8070</v>
      </c>
      <c r="UV3">
        <v>8077</v>
      </c>
      <c r="UW3" s="1077" t="s">
        <v>1925</v>
      </c>
      <c r="UX3">
        <v>8110</v>
      </c>
      <c r="UY3">
        <v>8100</v>
      </c>
      <c r="UZ3" s="1077" t="s">
        <v>1926</v>
      </c>
      <c r="VA3">
        <v>8203</v>
      </c>
      <c r="VB3">
        <v>8201</v>
      </c>
      <c r="VC3">
        <v>8204</v>
      </c>
      <c r="VD3" s="1077" t="s">
        <v>1927</v>
      </c>
      <c r="VE3" s="1077" t="s">
        <v>1928</v>
      </c>
      <c r="VF3">
        <v>9013</v>
      </c>
      <c r="VG3">
        <v>9034</v>
      </c>
      <c r="VH3">
        <v>9078</v>
      </c>
      <c r="VI3">
        <v>9079</v>
      </c>
      <c r="VJ3">
        <v>9080</v>
      </c>
      <c r="VK3">
        <v>9081</v>
      </c>
      <c r="VL3">
        <v>9043</v>
      </c>
      <c r="VM3">
        <v>9051</v>
      </c>
      <c r="VN3">
        <v>9061</v>
      </c>
      <c r="VO3" s="1077" t="s">
        <v>1929</v>
      </c>
      <c r="VP3" s="1077" t="s">
        <v>1930</v>
      </c>
      <c r="VQ3">
        <v>9111</v>
      </c>
      <c r="VR3">
        <v>9121</v>
      </c>
      <c r="VS3">
        <v>9129</v>
      </c>
      <c r="VT3" s="1077" t="s">
        <v>1931</v>
      </c>
      <c r="VU3">
        <v>9142</v>
      </c>
      <c r="VV3">
        <v>9141</v>
      </c>
      <c r="VW3">
        <v>9143</v>
      </c>
      <c r="VX3">
        <v>9144</v>
      </c>
      <c r="VY3">
        <v>9145</v>
      </c>
      <c r="VZ3">
        <v>9149</v>
      </c>
      <c r="WA3">
        <v>9140</v>
      </c>
      <c r="WB3" s="1077" t="s">
        <v>1932</v>
      </c>
      <c r="WC3">
        <v>9154</v>
      </c>
      <c r="WD3">
        <v>9156</v>
      </c>
      <c r="WE3">
        <v>9151</v>
      </c>
      <c r="WF3">
        <v>9152</v>
      </c>
      <c r="WG3">
        <v>9153</v>
      </c>
      <c r="WH3" s="1077" t="s">
        <v>1933</v>
      </c>
      <c r="WI3">
        <v>9181</v>
      </c>
      <c r="WJ3">
        <v>9182</v>
      </c>
      <c r="WK3">
        <v>9183</v>
      </c>
      <c r="WL3" s="1077" t="s">
        <v>1934</v>
      </c>
      <c r="WM3">
        <v>9199</v>
      </c>
      <c r="WN3">
        <v>9172</v>
      </c>
      <c r="WO3">
        <v>9174</v>
      </c>
      <c r="WP3">
        <v>9193</v>
      </c>
      <c r="WQ3">
        <v>9196</v>
      </c>
      <c r="WR3">
        <v>9185</v>
      </c>
      <c r="WS3">
        <v>9184</v>
      </c>
      <c r="WT3">
        <v>9190</v>
      </c>
      <c r="WU3">
        <v>9189</v>
      </c>
      <c r="WV3">
        <v>9195</v>
      </c>
      <c r="WW3">
        <v>9128</v>
      </c>
      <c r="WX3" s="1077" t="s">
        <v>1935</v>
      </c>
      <c r="WY3" s="1077" t="s">
        <v>1936</v>
      </c>
      <c r="WZ3">
        <v>9204</v>
      </c>
      <c r="XA3">
        <v>9205</v>
      </c>
      <c r="XB3" s="1077" t="s">
        <v>1937</v>
      </c>
      <c r="XC3">
        <v>9226</v>
      </c>
      <c r="XD3">
        <v>9230</v>
      </c>
      <c r="XE3" s="1077" t="s">
        <v>1938</v>
      </c>
      <c r="XF3">
        <v>9261</v>
      </c>
      <c r="XG3">
        <v>9263</v>
      </c>
      <c r="XH3" s="1077" t="s">
        <v>1939</v>
      </c>
      <c r="XI3" s="1077" t="s">
        <v>1940</v>
      </c>
      <c r="XJ3">
        <v>9300</v>
      </c>
      <c r="XK3" s="1077" t="s">
        <v>1941</v>
      </c>
      <c r="XL3">
        <v>9305</v>
      </c>
      <c r="XM3" s="1077" t="s">
        <v>1942</v>
      </c>
      <c r="XN3">
        <v>9328</v>
      </c>
      <c r="XO3">
        <v>9329</v>
      </c>
      <c r="XP3">
        <v>9326</v>
      </c>
      <c r="XQ3">
        <v>9319</v>
      </c>
      <c r="XR3">
        <v>9313</v>
      </c>
      <c r="XS3">
        <v>9343</v>
      </c>
      <c r="XT3">
        <v>9320</v>
      </c>
      <c r="XU3" s="1077" t="s">
        <v>1943</v>
      </c>
      <c r="XV3" s="1077" t="s">
        <v>1944</v>
      </c>
      <c r="XW3">
        <v>9330</v>
      </c>
      <c r="XX3">
        <v>9368</v>
      </c>
      <c r="XY3">
        <v>9367</v>
      </c>
      <c r="XZ3" s="1077" t="s">
        <v>1945</v>
      </c>
      <c r="YA3">
        <v>9341</v>
      </c>
      <c r="YB3">
        <v>9342</v>
      </c>
      <c r="YC3">
        <v>9345</v>
      </c>
      <c r="YD3">
        <v>9350</v>
      </c>
      <c r="YE3">
        <v>9353</v>
      </c>
      <c r="YF3">
        <v>9357</v>
      </c>
      <c r="YG3">
        <v>9361</v>
      </c>
      <c r="YH3">
        <v>9359</v>
      </c>
      <c r="YI3">
        <v>9362</v>
      </c>
      <c r="YJ3">
        <v>9374</v>
      </c>
      <c r="YK3">
        <v>9372</v>
      </c>
      <c r="YL3">
        <v>9395</v>
      </c>
      <c r="YM3" s="1077" t="s">
        <v>1946</v>
      </c>
      <c r="YN3">
        <v>9381</v>
      </c>
      <c r="YO3">
        <v>9391</v>
      </c>
      <c r="YP3">
        <v>9397</v>
      </c>
      <c r="YQ3">
        <v>9403</v>
      </c>
      <c r="YR3">
        <v>9396</v>
      </c>
      <c r="YS3">
        <v>9188</v>
      </c>
      <c r="YT3" s="1077" t="s">
        <v>1947</v>
      </c>
      <c r="YU3" s="1077" t="s">
        <v>1948</v>
      </c>
      <c r="YV3">
        <v>9504</v>
      </c>
      <c r="YW3">
        <v>9511</v>
      </c>
      <c r="YX3">
        <v>9521</v>
      </c>
      <c r="YY3">
        <v>9531</v>
      </c>
      <c r="YZ3">
        <v>9532</v>
      </c>
      <c r="ZA3">
        <v>9505</v>
      </c>
      <c r="ZB3" s="1077" t="s">
        <v>1949</v>
      </c>
      <c r="ZC3" s="1077" t="s">
        <v>1950</v>
      </c>
      <c r="ZD3">
        <v>9602</v>
      </c>
      <c r="ZE3">
        <v>9611</v>
      </c>
      <c r="ZF3" s="1077" t="s">
        <v>1951</v>
      </c>
      <c r="ZG3">
        <v>9621</v>
      </c>
      <c r="ZH3">
        <v>9626</v>
      </c>
      <c r="ZI3">
        <v>9627</v>
      </c>
      <c r="ZJ3">
        <v>9628</v>
      </c>
      <c r="ZK3">
        <v>9622</v>
      </c>
      <c r="ZL3">
        <v>9624</v>
      </c>
      <c r="ZM3">
        <v>9623</v>
      </c>
      <c r="ZN3" s="1077" t="s">
        <v>1952</v>
      </c>
      <c r="ZO3">
        <v>9631</v>
      </c>
      <c r="ZP3">
        <v>9641</v>
      </c>
      <c r="ZQ3">
        <v>9650</v>
      </c>
      <c r="ZR3">
        <v>9652</v>
      </c>
      <c r="ZS3">
        <v>9660</v>
      </c>
      <c r="ZT3">
        <v>9661</v>
      </c>
      <c r="ZU3">
        <v>9690</v>
      </c>
      <c r="ZV3">
        <v>9692</v>
      </c>
      <c r="ZW3">
        <v>9670</v>
      </c>
      <c r="ZX3">
        <v>9672</v>
      </c>
      <c r="ZY3">
        <v>9680</v>
      </c>
      <c r="ZZ3">
        <v>9682</v>
      </c>
      <c r="AAA3">
        <v>9625</v>
      </c>
      <c r="AAB3">
        <v>9693</v>
      </c>
      <c r="AAC3" s="1077" t="s">
        <v>1953</v>
      </c>
      <c r="AAD3" s="1077" t="s">
        <v>1954</v>
      </c>
      <c r="AAE3">
        <v>9721</v>
      </c>
      <c r="AAF3">
        <v>9722</v>
      </c>
      <c r="AAG3">
        <v>9711</v>
      </c>
      <c r="AAH3">
        <v>9731</v>
      </c>
      <c r="AAI3" s="1077" t="s">
        <v>1955</v>
      </c>
      <c r="AAJ3">
        <v>9741</v>
      </c>
      <c r="AAK3">
        <v>9751</v>
      </c>
      <c r="AAL3" s="1077" t="s">
        <v>1956</v>
      </c>
      <c r="AAM3">
        <v>9701</v>
      </c>
      <c r="AAN3">
        <v>9761</v>
      </c>
      <c r="AAO3" s="1077" t="s">
        <v>1957</v>
      </c>
      <c r="AAP3">
        <v>9799</v>
      </c>
      <c r="AAQ3">
        <v>9798</v>
      </c>
      <c r="AAR3" s="1077" t="s">
        <v>1958</v>
      </c>
      <c r="AAS3">
        <v>9960</v>
      </c>
      <c r="AAT3">
        <v>9928</v>
      </c>
      <c r="AAU3">
        <v>9921</v>
      </c>
      <c r="AAV3">
        <v>9951</v>
      </c>
      <c r="AAW3">
        <v>9914</v>
      </c>
      <c r="AAX3">
        <v>9901</v>
      </c>
      <c r="AAY3">
        <v>9912</v>
      </c>
      <c r="AAZ3">
        <v>9920</v>
      </c>
      <c r="ABA3">
        <v>9931</v>
      </c>
      <c r="ABB3" s="1077" t="s">
        <v>1959</v>
      </c>
      <c r="ABC3" s="1077" t="s">
        <v>1960</v>
      </c>
      <c r="ABD3" s="1077" t="s">
        <v>1961</v>
      </c>
      <c r="ABE3" s="1077" t="s">
        <v>1962</v>
      </c>
      <c r="ABF3" s="1077" t="s">
        <v>1963</v>
      </c>
      <c r="ABG3" s="1077" t="s">
        <v>1964</v>
      </c>
      <c r="ABH3" s="1077" t="s">
        <v>1965</v>
      </c>
      <c r="ABI3" s="1077" t="s">
        <v>1966</v>
      </c>
      <c r="ABJ3" s="1077" t="s">
        <v>1967</v>
      </c>
      <c r="ABK3" s="1077" t="s">
        <v>1968</v>
      </c>
      <c r="ABL3" s="1077" t="s">
        <v>1969</v>
      </c>
      <c r="ABM3" s="1077" t="s">
        <v>1970</v>
      </c>
      <c r="ABN3" s="1077" t="s">
        <v>1971</v>
      </c>
      <c r="ABO3" s="1077" t="s">
        <v>1972</v>
      </c>
      <c r="ABP3" s="1077" t="s">
        <v>1973</v>
      </c>
      <c r="ABQ3" s="1077" t="s">
        <v>1974</v>
      </c>
      <c r="ABR3" s="1077"/>
      <c r="ABS3" t="s">
        <v>1975</v>
      </c>
    </row>
    <row r="4" spans="1:748">
      <c r="A4" t="s">
        <v>1976</v>
      </c>
      <c r="B4" s="1077" t="s">
        <v>1977</v>
      </c>
      <c r="C4" s="1077" t="s">
        <v>1978</v>
      </c>
      <c r="D4" s="1077" t="s">
        <v>1979</v>
      </c>
      <c r="E4" s="1077" t="s">
        <v>1980</v>
      </c>
      <c r="F4" s="1077" t="s">
        <v>1981</v>
      </c>
      <c r="G4" s="1077" t="s">
        <v>1982</v>
      </c>
      <c r="H4" s="1077" t="s">
        <v>1983</v>
      </c>
      <c r="I4" s="1077" t="s">
        <v>1984</v>
      </c>
      <c r="J4" s="1077" t="s">
        <v>1985</v>
      </c>
      <c r="K4" s="1077" t="s">
        <v>1986</v>
      </c>
      <c r="L4" s="1077" t="s">
        <v>1987</v>
      </c>
      <c r="M4" s="1077" t="s">
        <v>1988</v>
      </c>
      <c r="N4" s="1077" t="s">
        <v>1989</v>
      </c>
      <c r="O4" s="1077" t="s">
        <v>1990</v>
      </c>
      <c r="P4" s="1077" t="s">
        <v>1991</v>
      </c>
      <c r="Q4" s="1077" t="s">
        <v>1992</v>
      </c>
      <c r="R4" s="1077" t="s">
        <v>1993</v>
      </c>
      <c r="S4" s="1077" t="s">
        <v>1994</v>
      </c>
      <c r="T4" s="1077" t="s">
        <v>1995</v>
      </c>
      <c r="U4" s="1077" t="s">
        <v>1996</v>
      </c>
      <c r="V4" s="1077" t="s">
        <v>1997</v>
      </c>
      <c r="W4" s="1077" t="s">
        <v>1998</v>
      </c>
      <c r="X4" s="1077" t="s">
        <v>1999</v>
      </c>
      <c r="Y4" s="1077" t="s">
        <v>2000</v>
      </c>
      <c r="Z4" s="1077" t="s">
        <v>2001</v>
      </c>
      <c r="AA4" s="1077" t="s">
        <v>2002</v>
      </c>
      <c r="AB4" s="1077" t="s">
        <v>2003</v>
      </c>
      <c r="AC4" s="1077" t="s">
        <v>2004</v>
      </c>
      <c r="AD4" s="1077" t="s">
        <v>2005</v>
      </c>
      <c r="AE4" s="1077" t="s">
        <v>2006</v>
      </c>
      <c r="AF4" s="1077" t="s">
        <v>2007</v>
      </c>
      <c r="AG4" s="1077" t="s">
        <v>2008</v>
      </c>
      <c r="AH4" s="1077" t="s">
        <v>2009</v>
      </c>
      <c r="AI4" s="1077" t="s">
        <v>2010</v>
      </c>
      <c r="AJ4" s="1077" t="s">
        <v>2011</v>
      </c>
      <c r="AK4" s="1077" t="s">
        <v>2012</v>
      </c>
      <c r="AL4" s="1077" t="s">
        <v>2013</v>
      </c>
      <c r="AM4" s="1077" t="s">
        <v>2014</v>
      </c>
      <c r="AN4" s="1077" t="s">
        <v>2015</v>
      </c>
      <c r="AO4" s="1077" t="s">
        <v>2016</v>
      </c>
      <c r="AP4" s="1077" t="s">
        <v>2017</v>
      </c>
      <c r="AQ4" s="1077" t="s">
        <v>2018</v>
      </c>
      <c r="AR4" s="1077" t="s">
        <v>2019</v>
      </c>
      <c r="AS4" s="1077" t="s">
        <v>2020</v>
      </c>
      <c r="AT4" s="1077" t="s">
        <v>2021</v>
      </c>
      <c r="AU4" s="1077" t="s">
        <v>2022</v>
      </c>
      <c r="AV4" s="1077" t="s">
        <v>2023</v>
      </c>
      <c r="AW4" s="1077" t="s">
        <v>2024</v>
      </c>
      <c r="AX4" s="1077" t="s">
        <v>2025</v>
      </c>
      <c r="AY4" s="1077" t="s">
        <v>2026</v>
      </c>
      <c r="AZ4" s="1077" t="s">
        <v>2027</v>
      </c>
      <c r="BA4" s="1077" t="s">
        <v>2028</v>
      </c>
      <c r="BB4" s="1077" t="s">
        <v>2029</v>
      </c>
      <c r="BC4" s="1077" t="s">
        <v>2030</v>
      </c>
      <c r="BD4" s="1077" t="s">
        <v>2031</v>
      </c>
      <c r="BE4" s="1077" t="s">
        <v>2032</v>
      </c>
      <c r="BF4" s="1077" t="s">
        <v>2033</v>
      </c>
      <c r="BG4" s="1077" t="s">
        <v>2034</v>
      </c>
      <c r="BH4" s="1077" t="s">
        <v>2035</v>
      </c>
      <c r="BI4" s="1077" t="s">
        <v>2036</v>
      </c>
      <c r="BJ4" s="1077" t="s">
        <v>2037</v>
      </c>
      <c r="BK4" s="1077" t="s">
        <v>2038</v>
      </c>
      <c r="BL4" s="1077" t="s">
        <v>2039</v>
      </c>
      <c r="BM4" s="1077" t="s">
        <v>2040</v>
      </c>
      <c r="BN4" s="1077" t="s">
        <v>2041</v>
      </c>
      <c r="BO4" s="1077" t="s">
        <v>2042</v>
      </c>
      <c r="BP4" s="1077" t="s">
        <v>2043</v>
      </c>
      <c r="BQ4" s="1077" t="s">
        <v>2044</v>
      </c>
      <c r="BR4" s="1077" t="s">
        <v>2045</v>
      </c>
      <c r="BS4" s="1077" t="s">
        <v>2046</v>
      </c>
      <c r="BT4" s="1077" t="s">
        <v>2047</v>
      </c>
      <c r="BU4" s="1077" t="s">
        <v>2048</v>
      </c>
      <c r="BV4" s="1077" t="s">
        <v>2049</v>
      </c>
      <c r="BW4" s="1077" t="s">
        <v>2050</v>
      </c>
      <c r="BX4" s="1077" t="s">
        <v>2051</v>
      </c>
      <c r="BY4" s="1077" t="s">
        <v>2052</v>
      </c>
      <c r="BZ4" s="1077" t="s">
        <v>2053</v>
      </c>
      <c r="CA4" s="1077" t="s">
        <v>2054</v>
      </c>
      <c r="CB4" s="1077" t="s">
        <v>2055</v>
      </c>
      <c r="CC4" s="1077" t="s">
        <v>2056</v>
      </c>
      <c r="CD4" s="1077" t="s">
        <v>2057</v>
      </c>
      <c r="CE4" s="1077" t="s">
        <v>2058</v>
      </c>
      <c r="CF4" s="1077" t="s">
        <v>2059</v>
      </c>
      <c r="CG4" s="1077" t="s">
        <v>2060</v>
      </c>
      <c r="CH4" s="1077" t="s">
        <v>2061</v>
      </c>
      <c r="CI4" s="1077" t="s">
        <v>2062</v>
      </c>
      <c r="CJ4" s="1077" t="s">
        <v>2063</v>
      </c>
      <c r="CK4" s="1077" t="s">
        <v>2064</v>
      </c>
      <c r="CL4" s="1077" t="s">
        <v>2065</v>
      </c>
      <c r="CM4" s="1077" t="s">
        <v>2066</v>
      </c>
      <c r="CN4" s="1077" t="s">
        <v>2067</v>
      </c>
      <c r="CO4" s="1077" t="s">
        <v>2068</v>
      </c>
      <c r="CP4" s="1077" t="s">
        <v>2069</v>
      </c>
      <c r="CQ4" s="1077" t="s">
        <v>2070</v>
      </c>
      <c r="CR4" s="1077" t="s">
        <v>2071</v>
      </c>
      <c r="CS4" s="1077" t="s">
        <v>2072</v>
      </c>
      <c r="CT4" s="1077" t="s">
        <v>2073</v>
      </c>
      <c r="CU4" s="1077" t="s">
        <v>2074</v>
      </c>
      <c r="CV4" s="1077" t="s">
        <v>2075</v>
      </c>
      <c r="CW4">
        <v>100</v>
      </c>
      <c r="CX4">
        <v>101</v>
      </c>
      <c r="CY4">
        <v>102</v>
      </c>
      <c r="CZ4">
        <v>103</v>
      </c>
      <c r="DA4">
        <v>104</v>
      </c>
      <c r="DB4">
        <v>105</v>
      </c>
      <c r="DC4">
        <v>106</v>
      </c>
      <c r="DD4">
        <v>107</v>
      </c>
      <c r="DE4">
        <v>108</v>
      </c>
      <c r="DF4">
        <v>109</v>
      </c>
      <c r="DG4">
        <v>110</v>
      </c>
      <c r="DH4">
        <v>111</v>
      </c>
      <c r="DI4">
        <v>112</v>
      </c>
      <c r="DJ4">
        <v>113</v>
      </c>
      <c r="DK4">
        <v>114</v>
      </c>
      <c r="DL4">
        <v>115</v>
      </c>
      <c r="DM4">
        <v>116</v>
      </c>
      <c r="DN4">
        <v>117</v>
      </c>
      <c r="DO4">
        <v>118</v>
      </c>
      <c r="DP4">
        <v>119</v>
      </c>
      <c r="DQ4">
        <v>120</v>
      </c>
      <c r="DR4">
        <v>121</v>
      </c>
      <c r="DS4">
        <v>122</v>
      </c>
      <c r="DT4">
        <v>123</v>
      </c>
      <c r="DU4">
        <v>124</v>
      </c>
      <c r="DV4">
        <v>125</v>
      </c>
      <c r="DW4">
        <v>126</v>
      </c>
      <c r="DX4">
        <v>127</v>
      </c>
      <c r="DY4">
        <v>128</v>
      </c>
      <c r="DZ4">
        <v>129</v>
      </c>
      <c r="EA4">
        <v>130</v>
      </c>
      <c r="EB4">
        <v>131</v>
      </c>
      <c r="EC4">
        <v>132</v>
      </c>
      <c r="ED4">
        <v>133</v>
      </c>
      <c r="EE4">
        <v>134</v>
      </c>
      <c r="EF4">
        <v>135</v>
      </c>
      <c r="EG4">
        <v>136</v>
      </c>
      <c r="EH4">
        <v>137</v>
      </c>
      <c r="EI4">
        <v>138</v>
      </c>
      <c r="EJ4">
        <v>139</v>
      </c>
      <c r="EK4">
        <v>140</v>
      </c>
      <c r="EL4">
        <v>141</v>
      </c>
      <c r="EM4">
        <v>142</v>
      </c>
      <c r="EN4">
        <v>143</v>
      </c>
      <c r="EO4">
        <v>144</v>
      </c>
      <c r="EP4">
        <v>145</v>
      </c>
      <c r="EQ4">
        <v>146</v>
      </c>
      <c r="ER4">
        <v>147</v>
      </c>
      <c r="ES4">
        <v>148</v>
      </c>
      <c r="ET4">
        <v>149</v>
      </c>
      <c r="EU4">
        <v>150</v>
      </c>
      <c r="EV4">
        <v>151</v>
      </c>
      <c r="EW4">
        <v>152</v>
      </c>
      <c r="EX4">
        <v>153</v>
      </c>
      <c r="EY4">
        <v>154</v>
      </c>
      <c r="EZ4">
        <v>155</v>
      </c>
      <c r="FA4">
        <v>156</v>
      </c>
      <c r="FB4">
        <v>157</v>
      </c>
      <c r="FC4">
        <v>158</v>
      </c>
      <c r="FD4">
        <v>159</v>
      </c>
      <c r="FE4">
        <v>160</v>
      </c>
      <c r="FF4">
        <v>161</v>
      </c>
      <c r="FG4">
        <v>162</v>
      </c>
      <c r="FH4">
        <v>163</v>
      </c>
      <c r="FI4">
        <v>164</v>
      </c>
      <c r="FJ4">
        <v>165</v>
      </c>
      <c r="FK4">
        <v>166</v>
      </c>
      <c r="FL4">
        <v>167</v>
      </c>
      <c r="FM4">
        <v>168</v>
      </c>
      <c r="FN4">
        <v>169</v>
      </c>
      <c r="FO4">
        <v>170</v>
      </c>
      <c r="FP4">
        <v>171</v>
      </c>
      <c r="FQ4">
        <v>172</v>
      </c>
      <c r="FR4">
        <v>173</v>
      </c>
      <c r="FS4">
        <v>174</v>
      </c>
      <c r="FT4">
        <v>175</v>
      </c>
      <c r="FU4">
        <v>176</v>
      </c>
      <c r="FV4">
        <v>177</v>
      </c>
      <c r="FW4">
        <v>178</v>
      </c>
      <c r="FX4">
        <v>179</v>
      </c>
      <c r="FY4">
        <v>180</v>
      </c>
      <c r="FZ4">
        <v>181</v>
      </c>
      <c r="GA4">
        <v>182</v>
      </c>
      <c r="GB4">
        <v>183</v>
      </c>
      <c r="GC4">
        <v>184</v>
      </c>
      <c r="GD4">
        <v>185</v>
      </c>
      <c r="GE4">
        <v>186</v>
      </c>
      <c r="GF4">
        <v>187</v>
      </c>
      <c r="GG4">
        <v>188</v>
      </c>
      <c r="GH4">
        <v>189</v>
      </c>
      <c r="GI4">
        <v>190</v>
      </c>
      <c r="GJ4">
        <v>191</v>
      </c>
      <c r="GK4">
        <v>192</v>
      </c>
      <c r="GL4">
        <v>193</v>
      </c>
      <c r="GM4">
        <v>194</v>
      </c>
      <c r="GN4">
        <v>195</v>
      </c>
      <c r="GO4">
        <v>196</v>
      </c>
      <c r="GP4">
        <v>197</v>
      </c>
      <c r="GQ4">
        <v>198</v>
      </c>
      <c r="GR4">
        <v>199</v>
      </c>
      <c r="GS4">
        <v>200</v>
      </c>
      <c r="GT4">
        <v>201</v>
      </c>
      <c r="GU4">
        <v>202</v>
      </c>
      <c r="GV4">
        <v>203</v>
      </c>
      <c r="GW4">
        <v>204</v>
      </c>
      <c r="GX4">
        <v>205</v>
      </c>
      <c r="GY4">
        <v>206</v>
      </c>
      <c r="GZ4">
        <v>207</v>
      </c>
      <c r="HA4">
        <v>208</v>
      </c>
      <c r="HB4">
        <v>209</v>
      </c>
      <c r="HC4">
        <v>210</v>
      </c>
      <c r="HD4">
        <v>211</v>
      </c>
      <c r="HE4">
        <v>212</v>
      </c>
      <c r="HF4">
        <v>213</v>
      </c>
      <c r="HG4">
        <v>214</v>
      </c>
      <c r="HH4">
        <v>215</v>
      </c>
      <c r="HI4">
        <v>216</v>
      </c>
      <c r="HJ4">
        <v>217</v>
      </c>
      <c r="HK4">
        <v>218</v>
      </c>
      <c r="HL4">
        <v>219</v>
      </c>
      <c r="HM4">
        <v>220</v>
      </c>
      <c r="HN4">
        <v>221</v>
      </c>
      <c r="HO4">
        <v>222</v>
      </c>
      <c r="HP4">
        <v>223</v>
      </c>
      <c r="HQ4">
        <v>224</v>
      </c>
      <c r="HR4">
        <v>225</v>
      </c>
      <c r="HS4">
        <v>226</v>
      </c>
      <c r="HT4">
        <v>227</v>
      </c>
      <c r="HU4">
        <v>228</v>
      </c>
      <c r="HV4">
        <v>229</v>
      </c>
      <c r="HW4">
        <v>230</v>
      </c>
      <c r="HX4">
        <v>231</v>
      </c>
      <c r="HY4">
        <v>232</v>
      </c>
      <c r="HZ4">
        <v>233</v>
      </c>
      <c r="IA4">
        <v>234</v>
      </c>
      <c r="IB4">
        <v>235</v>
      </c>
      <c r="IC4">
        <v>236</v>
      </c>
      <c r="ID4">
        <v>237</v>
      </c>
      <c r="IE4">
        <v>238</v>
      </c>
      <c r="IF4">
        <v>239</v>
      </c>
      <c r="IG4">
        <v>240</v>
      </c>
      <c r="IH4">
        <v>241</v>
      </c>
      <c r="II4">
        <v>242</v>
      </c>
      <c r="IJ4">
        <v>243</v>
      </c>
      <c r="IK4">
        <v>244</v>
      </c>
      <c r="IL4">
        <v>245</v>
      </c>
      <c r="IM4">
        <v>246</v>
      </c>
      <c r="IN4">
        <v>247</v>
      </c>
      <c r="IO4">
        <v>248</v>
      </c>
      <c r="IP4">
        <v>249</v>
      </c>
      <c r="IQ4">
        <v>250</v>
      </c>
      <c r="IR4">
        <v>251</v>
      </c>
      <c r="IS4">
        <v>252</v>
      </c>
      <c r="IT4">
        <v>253</v>
      </c>
      <c r="IU4">
        <v>254</v>
      </c>
      <c r="IV4">
        <v>255</v>
      </c>
      <c r="IW4">
        <v>256</v>
      </c>
      <c r="IX4">
        <v>257</v>
      </c>
      <c r="IY4">
        <v>258</v>
      </c>
      <c r="IZ4">
        <v>259</v>
      </c>
      <c r="JA4">
        <v>260</v>
      </c>
      <c r="JB4">
        <v>261</v>
      </c>
      <c r="JC4">
        <v>262</v>
      </c>
      <c r="JD4">
        <v>263</v>
      </c>
      <c r="JE4">
        <v>264</v>
      </c>
      <c r="JF4">
        <v>265</v>
      </c>
      <c r="JG4">
        <v>266</v>
      </c>
      <c r="JH4">
        <v>267</v>
      </c>
      <c r="JI4">
        <v>268</v>
      </c>
      <c r="JJ4">
        <v>269</v>
      </c>
      <c r="JK4">
        <v>270</v>
      </c>
      <c r="JL4">
        <v>271</v>
      </c>
      <c r="JM4">
        <v>272</v>
      </c>
      <c r="JN4">
        <v>273</v>
      </c>
      <c r="JO4">
        <v>274</v>
      </c>
      <c r="JP4">
        <v>275</v>
      </c>
      <c r="JQ4">
        <v>276</v>
      </c>
      <c r="JR4">
        <v>277</v>
      </c>
      <c r="JS4">
        <v>278</v>
      </c>
      <c r="JT4">
        <v>279</v>
      </c>
      <c r="JU4">
        <v>280</v>
      </c>
      <c r="JV4">
        <v>281</v>
      </c>
      <c r="JW4">
        <v>282</v>
      </c>
      <c r="JX4">
        <v>283</v>
      </c>
      <c r="JY4">
        <v>284</v>
      </c>
      <c r="JZ4">
        <v>285</v>
      </c>
      <c r="KA4">
        <v>286</v>
      </c>
      <c r="KB4">
        <v>287</v>
      </c>
      <c r="KC4">
        <v>288</v>
      </c>
      <c r="KD4">
        <v>289</v>
      </c>
      <c r="KE4">
        <v>290</v>
      </c>
      <c r="KF4">
        <v>291</v>
      </c>
      <c r="KG4">
        <v>292</v>
      </c>
      <c r="KH4">
        <v>293</v>
      </c>
      <c r="KI4">
        <v>294</v>
      </c>
      <c r="KJ4">
        <v>295</v>
      </c>
      <c r="KK4">
        <v>296</v>
      </c>
      <c r="KL4">
        <v>297</v>
      </c>
      <c r="KM4">
        <v>298</v>
      </c>
      <c r="KN4">
        <v>299</v>
      </c>
      <c r="KO4">
        <v>300</v>
      </c>
      <c r="KP4">
        <v>301</v>
      </c>
      <c r="KQ4">
        <v>302</v>
      </c>
      <c r="KR4">
        <v>303</v>
      </c>
      <c r="KS4">
        <v>304</v>
      </c>
      <c r="KT4">
        <v>305</v>
      </c>
      <c r="KU4">
        <v>306</v>
      </c>
      <c r="KV4">
        <v>307</v>
      </c>
      <c r="KW4">
        <v>308</v>
      </c>
      <c r="KX4">
        <v>309</v>
      </c>
      <c r="KY4">
        <v>310</v>
      </c>
      <c r="KZ4">
        <v>311</v>
      </c>
      <c r="LA4">
        <v>312</v>
      </c>
      <c r="LB4">
        <v>313</v>
      </c>
      <c r="LC4">
        <v>314</v>
      </c>
      <c r="LD4">
        <v>315</v>
      </c>
      <c r="LE4">
        <v>316</v>
      </c>
      <c r="LF4">
        <v>317</v>
      </c>
      <c r="LG4">
        <v>318</v>
      </c>
      <c r="LH4">
        <v>319</v>
      </c>
      <c r="LI4">
        <v>320</v>
      </c>
      <c r="LJ4">
        <v>321</v>
      </c>
      <c r="LK4">
        <v>322</v>
      </c>
      <c r="LL4">
        <v>323</v>
      </c>
      <c r="LM4">
        <v>324</v>
      </c>
      <c r="LN4">
        <v>325</v>
      </c>
      <c r="LO4">
        <v>326</v>
      </c>
      <c r="LP4">
        <v>327</v>
      </c>
      <c r="LQ4">
        <v>328</v>
      </c>
      <c r="LR4">
        <v>329</v>
      </c>
      <c r="LS4">
        <v>330</v>
      </c>
      <c r="LT4">
        <v>331</v>
      </c>
      <c r="LU4">
        <v>332</v>
      </c>
      <c r="LV4">
        <v>333</v>
      </c>
      <c r="LW4">
        <v>334</v>
      </c>
      <c r="LX4">
        <v>335</v>
      </c>
      <c r="LY4">
        <v>336</v>
      </c>
      <c r="LZ4">
        <v>337</v>
      </c>
      <c r="MA4">
        <v>338</v>
      </c>
      <c r="MB4">
        <v>339</v>
      </c>
      <c r="MC4">
        <v>340</v>
      </c>
      <c r="MD4">
        <v>341</v>
      </c>
      <c r="ME4">
        <v>342</v>
      </c>
      <c r="MF4">
        <v>343</v>
      </c>
      <c r="MG4">
        <v>344</v>
      </c>
      <c r="MH4">
        <v>345</v>
      </c>
      <c r="MI4">
        <v>346</v>
      </c>
      <c r="MJ4">
        <v>347</v>
      </c>
      <c r="MK4">
        <v>348</v>
      </c>
      <c r="ML4">
        <v>349</v>
      </c>
      <c r="MM4">
        <v>350</v>
      </c>
      <c r="MN4">
        <v>351</v>
      </c>
      <c r="MO4">
        <v>352</v>
      </c>
      <c r="MP4">
        <v>353</v>
      </c>
      <c r="MQ4">
        <v>354</v>
      </c>
      <c r="MR4">
        <v>355</v>
      </c>
      <c r="MS4">
        <v>356</v>
      </c>
      <c r="MT4">
        <v>357</v>
      </c>
      <c r="MU4">
        <v>358</v>
      </c>
      <c r="MV4">
        <v>359</v>
      </c>
      <c r="MW4">
        <v>360</v>
      </c>
      <c r="MX4">
        <v>361</v>
      </c>
      <c r="MY4">
        <v>362</v>
      </c>
      <c r="MZ4">
        <v>363</v>
      </c>
      <c r="NA4">
        <v>364</v>
      </c>
      <c r="NB4">
        <v>365</v>
      </c>
      <c r="NC4">
        <v>366</v>
      </c>
      <c r="ND4">
        <v>367</v>
      </c>
      <c r="NE4">
        <v>368</v>
      </c>
      <c r="NF4">
        <v>369</v>
      </c>
      <c r="NG4">
        <v>370</v>
      </c>
      <c r="NH4">
        <v>371</v>
      </c>
      <c r="NI4">
        <v>372</v>
      </c>
      <c r="NJ4">
        <v>373</v>
      </c>
      <c r="NK4">
        <v>374</v>
      </c>
      <c r="NL4">
        <v>375</v>
      </c>
      <c r="NM4">
        <v>376</v>
      </c>
      <c r="NN4">
        <v>377</v>
      </c>
      <c r="NO4">
        <v>378</v>
      </c>
      <c r="NP4">
        <v>379</v>
      </c>
      <c r="NQ4">
        <v>380</v>
      </c>
      <c r="NR4">
        <v>381</v>
      </c>
      <c r="NS4">
        <v>382</v>
      </c>
      <c r="NT4">
        <v>383</v>
      </c>
      <c r="NU4">
        <v>384</v>
      </c>
      <c r="NV4">
        <v>385</v>
      </c>
      <c r="NW4">
        <v>386</v>
      </c>
      <c r="NX4">
        <v>387</v>
      </c>
      <c r="NY4">
        <v>388</v>
      </c>
      <c r="NZ4">
        <v>389</v>
      </c>
      <c r="OA4">
        <v>390</v>
      </c>
      <c r="OB4">
        <v>391</v>
      </c>
      <c r="OC4">
        <v>392</v>
      </c>
      <c r="OD4">
        <v>393</v>
      </c>
      <c r="OE4">
        <v>394</v>
      </c>
      <c r="OF4">
        <v>395</v>
      </c>
      <c r="OG4">
        <v>396</v>
      </c>
      <c r="OH4">
        <v>397</v>
      </c>
      <c r="OI4">
        <v>398</v>
      </c>
      <c r="OJ4">
        <v>399</v>
      </c>
      <c r="OK4">
        <v>400</v>
      </c>
      <c r="OL4">
        <v>401</v>
      </c>
      <c r="OM4">
        <v>402</v>
      </c>
      <c r="ON4">
        <v>403</v>
      </c>
      <c r="OO4">
        <v>404</v>
      </c>
      <c r="OP4">
        <v>405</v>
      </c>
      <c r="OQ4">
        <v>406</v>
      </c>
      <c r="OR4">
        <v>407</v>
      </c>
      <c r="OS4">
        <v>408</v>
      </c>
      <c r="OT4">
        <v>409</v>
      </c>
      <c r="OU4">
        <v>410</v>
      </c>
      <c r="OV4">
        <v>411</v>
      </c>
      <c r="OW4">
        <v>412</v>
      </c>
      <c r="OX4">
        <v>413</v>
      </c>
      <c r="OY4">
        <v>414</v>
      </c>
      <c r="OZ4">
        <v>415</v>
      </c>
      <c r="PA4">
        <v>416</v>
      </c>
      <c r="PB4">
        <v>417</v>
      </c>
      <c r="PC4">
        <v>418</v>
      </c>
      <c r="PD4">
        <v>419</v>
      </c>
      <c r="PE4">
        <v>420</v>
      </c>
      <c r="PF4">
        <v>421</v>
      </c>
      <c r="PG4">
        <v>422</v>
      </c>
      <c r="PH4">
        <v>423</v>
      </c>
      <c r="PI4">
        <v>424</v>
      </c>
      <c r="PJ4">
        <v>425</v>
      </c>
      <c r="PK4">
        <v>426</v>
      </c>
      <c r="PL4">
        <v>427</v>
      </c>
      <c r="PM4">
        <v>428</v>
      </c>
      <c r="PN4">
        <v>429</v>
      </c>
      <c r="PO4">
        <v>430</v>
      </c>
      <c r="PP4">
        <v>431</v>
      </c>
      <c r="PQ4">
        <v>432</v>
      </c>
      <c r="PR4">
        <v>433</v>
      </c>
      <c r="PS4">
        <v>434</v>
      </c>
      <c r="PT4">
        <v>435</v>
      </c>
      <c r="PU4">
        <v>436</v>
      </c>
      <c r="PV4">
        <v>437</v>
      </c>
      <c r="PW4">
        <v>438</v>
      </c>
      <c r="PX4">
        <v>439</v>
      </c>
      <c r="PY4">
        <v>440</v>
      </c>
      <c r="PZ4">
        <v>441</v>
      </c>
      <c r="QA4">
        <v>442</v>
      </c>
      <c r="QB4">
        <v>443</v>
      </c>
      <c r="QC4">
        <v>444</v>
      </c>
      <c r="QD4">
        <v>445</v>
      </c>
      <c r="QE4">
        <v>446</v>
      </c>
      <c r="QF4">
        <v>447</v>
      </c>
      <c r="QG4">
        <v>448</v>
      </c>
      <c r="QH4">
        <v>449</v>
      </c>
      <c r="QI4">
        <v>450</v>
      </c>
      <c r="QJ4">
        <v>451</v>
      </c>
      <c r="QK4">
        <v>452</v>
      </c>
      <c r="QL4">
        <v>453</v>
      </c>
      <c r="QM4">
        <v>454</v>
      </c>
      <c r="QN4">
        <v>455</v>
      </c>
      <c r="QO4">
        <v>456</v>
      </c>
      <c r="QP4">
        <v>457</v>
      </c>
      <c r="QQ4">
        <v>458</v>
      </c>
      <c r="QR4">
        <v>459</v>
      </c>
      <c r="QS4">
        <v>460</v>
      </c>
      <c r="QT4">
        <v>461</v>
      </c>
      <c r="QU4">
        <v>462</v>
      </c>
      <c r="QV4">
        <v>463</v>
      </c>
      <c r="QW4">
        <v>464</v>
      </c>
      <c r="QX4">
        <v>465</v>
      </c>
      <c r="QY4">
        <v>466</v>
      </c>
      <c r="QZ4">
        <v>467</v>
      </c>
      <c r="RA4">
        <v>468</v>
      </c>
      <c r="RB4">
        <v>469</v>
      </c>
      <c r="RC4">
        <v>470</v>
      </c>
      <c r="RD4">
        <v>471</v>
      </c>
      <c r="RE4">
        <v>472</v>
      </c>
      <c r="RF4">
        <v>473</v>
      </c>
      <c r="RG4">
        <v>474</v>
      </c>
      <c r="RH4">
        <v>475</v>
      </c>
      <c r="RI4">
        <v>476</v>
      </c>
      <c r="RJ4">
        <v>477</v>
      </c>
      <c r="RK4">
        <v>478</v>
      </c>
      <c r="RL4">
        <v>479</v>
      </c>
      <c r="RM4">
        <v>480</v>
      </c>
      <c r="RN4">
        <v>481</v>
      </c>
      <c r="RO4">
        <v>482</v>
      </c>
      <c r="RP4">
        <v>483</v>
      </c>
      <c r="RQ4">
        <v>484</v>
      </c>
      <c r="RR4">
        <v>485</v>
      </c>
      <c r="RS4">
        <v>486</v>
      </c>
      <c r="RT4">
        <v>487</v>
      </c>
      <c r="RU4">
        <v>488</v>
      </c>
      <c r="RV4">
        <v>489</v>
      </c>
      <c r="RW4">
        <v>490</v>
      </c>
      <c r="RX4">
        <v>491</v>
      </c>
      <c r="RY4">
        <v>492</v>
      </c>
      <c r="RZ4">
        <v>493</v>
      </c>
      <c r="SA4">
        <v>494</v>
      </c>
      <c r="SB4">
        <v>495</v>
      </c>
      <c r="SC4">
        <v>496</v>
      </c>
      <c r="SD4">
        <v>497</v>
      </c>
      <c r="SE4">
        <v>498</v>
      </c>
      <c r="SF4">
        <v>499</v>
      </c>
      <c r="SG4">
        <v>500</v>
      </c>
      <c r="SH4">
        <v>501</v>
      </c>
      <c r="SI4">
        <v>502</v>
      </c>
      <c r="SJ4">
        <v>503</v>
      </c>
      <c r="SK4">
        <v>504</v>
      </c>
      <c r="SL4">
        <v>505</v>
      </c>
      <c r="SM4">
        <v>506</v>
      </c>
      <c r="SN4">
        <v>507</v>
      </c>
      <c r="SO4">
        <v>508</v>
      </c>
      <c r="SP4">
        <v>509</v>
      </c>
      <c r="SQ4">
        <v>510</v>
      </c>
      <c r="SR4">
        <v>511</v>
      </c>
      <c r="SS4">
        <v>512</v>
      </c>
      <c r="ST4">
        <v>513</v>
      </c>
      <c r="SU4">
        <v>514</v>
      </c>
      <c r="SV4">
        <v>515</v>
      </c>
      <c r="SW4">
        <v>516</v>
      </c>
      <c r="SX4">
        <v>517</v>
      </c>
      <c r="SY4">
        <v>518</v>
      </c>
      <c r="SZ4">
        <v>519</v>
      </c>
      <c r="TA4">
        <v>520</v>
      </c>
      <c r="TB4">
        <v>521</v>
      </c>
      <c r="TC4">
        <v>522</v>
      </c>
      <c r="TD4">
        <v>523</v>
      </c>
      <c r="TE4">
        <v>524</v>
      </c>
      <c r="TF4">
        <v>525</v>
      </c>
      <c r="TG4">
        <v>526</v>
      </c>
      <c r="TH4">
        <v>527</v>
      </c>
      <c r="TI4">
        <v>528</v>
      </c>
      <c r="TJ4">
        <v>529</v>
      </c>
      <c r="TK4">
        <v>530</v>
      </c>
      <c r="TL4">
        <v>531</v>
      </c>
      <c r="TM4">
        <v>532</v>
      </c>
      <c r="TN4">
        <v>533</v>
      </c>
      <c r="TO4">
        <v>534</v>
      </c>
      <c r="TP4">
        <v>535</v>
      </c>
      <c r="TQ4">
        <v>536</v>
      </c>
      <c r="TR4">
        <v>537</v>
      </c>
      <c r="TS4">
        <v>538</v>
      </c>
      <c r="TT4">
        <v>539</v>
      </c>
      <c r="TU4">
        <v>540</v>
      </c>
      <c r="TV4">
        <v>541</v>
      </c>
      <c r="TW4">
        <v>542</v>
      </c>
      <c r="TX4">
        <v>543</v>
      </c>
      <c r="TY4">
        <v>544</v>
      </c>
      <c r="TZ4">
        <v>545</v>
      </c>
      <c r="UA4">
        <v>546</v>
      </c>
      <c r="UB4">
        <v>547</v>
      </c>
      <c r="UC4">
        <v>548</v>
      </c>
      <c r="UD4">
        <v>549</v>
      </c>
      <c r="UE4">
        <v>550</v>
      </c>
      <c r="UF4">
        <v>551</v>
      </c>
      <c r="UG4">
        <v>552</v>
      </c>
      <c r="UH4">
        <v>553</v>
      </c>
      <c r="UI4">
        <v>554</v>
      </c>
      <c r="UJ4">
        <v>555</v>
      </c>
      <c r="UK4">
        <v>556</v>
      </c>
      <c r="UL4">
        <v>557</v>
      </c>
      <c r="UM4">
        <v>558</v>
      </c>
      <c r="UN4">
        <v>559</v>
      </c>
      <c r="UO4">
        <v>560</v>
      </c>
      <c r="UP4">
        <v>561</v>
      </c>
      <c r="UQ4">
        <v>562</v>
      </c>
      <c r="UR4">
        <v>563</v>
      </c>
      <c r="US4">
        <v>564</v>
      </c>
      <c r="UT4">
        <v>565</v>
      </c>
      <c r="UU4">
        <v>566</v>
      </c>
      <c r="UV4">
        <v>567</v>
      </c>
      <c r="UW4">
        <v>568</v>
      </c>
      <c r="UX4">
        <v>569</v>
      </c>
      <c r="UY4">
        <v>570</v>
      </c>
      <c r="UZ4">
        <v>571</v>
      </c>
      <c r="VA4">
        <v>572</v>
      </c>
      <c r="VB4">
        <v>573</v>
      </c>
      <c r="VC4">
        <v>574</v>
      </c>
      <c r="VD4">
        <v>575</v>
      </c>
      <c r="VE4">
        <v>576</v>
      </c>
      <c r="VF4">
        <v>577</v>
      </c>
      <c r="VG4">
        <v>578</v>
      </c>
      <c r="VH4">
        <v>579</v>
      </c>
      <c r="VI4">
        <v>580</v>
      </c>
      <c r="VJ4">
        <v>581</v>
      </c>
      <c r="VK4">
        <v>582</v>
      </c>
      <c r="VL4">
        <v>583</v>
      </c>
      <c r="VM4">
        <v>584</v>
      </c>
      <c r="VN4">
        <v>585</v>
      </c>
      <c r="VO4">
        <v>586</v>
      </c>
      <c r="VP4">
        <v>587</v>
      </c>
      <c r="VQ4">
        <v>588</v>
      </c>
      <c r="VR4">
        <v>589</v>
      </c>
      <c r="VS4">
        <v>590</v>
      </c>
      <c r="VT4">
        <v>591</v>
      </c>
      <c r="VU4">
        <v>592</v>
      </c>
      <c r="VV4">
        <v>593</v>
      </c>
      <c r="VW4">
        <v>594</v>
      </c>
      <c r="VX4">
        <v>595</v>
      </c>
      <c r="VY4">
        <v>596</v>
      </c>
      <c r="VZ4">
        <v>597</v>
      </c>
      <c r="WA4">
        <v>598</v>
      </c>
      <c r="WB4">
        <v>599</v>
      </c>
      <c r="WC4">
        <v>600</v>
      </c>
      <c r="WD4">
        <v>601</v>
      </c>
      <c r="WE4">
        <v>602</v>
      </c>
      <c r="WF4">
        <v>603</v>
      </c>
      <c r="WG4">
        <v>604</v>
      </c>
      <c r="WH4">
        <v>605</v>
      </c>
      <c r="WI4">
        <v>606</v>
      </c>
      <c r="WJ4">
        <v>607</v>
      </c>
      <c r="WK4">
        <v>608</v>
      </c>
      <c r="WL4">
        <v>609</v>
      </c>
      <c r="WM4">
        <v>610</v>
      </c>
      <c r="WN4">
        <v>611</v>
      </c>
      <c r="WO4">
        <v>612</v>
      </c>
      <c r="WP4">
        <v>613</v>
      </c>
      <c r="WQ4">
        <v>614</v>
      </c>
      <c r="WR4">
        <v>615</v>
      </c>
      <c r="WS4">
        <v>616</v>
      </c>
      <c r="WT4">
        <v>617</v>
      </c>
      <c r="WU4">
        <v>618</v>
      </c>
      <c r="WV4">
        <v>619</v>
      </c>
      <c r="WW4">
        <v>620</v>
      </c>
      <c r="WX4">
        <v>621</v>
      </c>
      <c r="WY4">
        <v>622</v>
      </c>
      <c r="WZ4">
        <v>623</v>
      </c>
      <c r="XA4">
        <v>624</v>
      </c>
      <c r="XB4">
        <v>625</v>
      </c>
      <c r="XC4">
        <v>626</v>
      </c>
      <c r="XD4">
        <v>627</v>
      </c>
      <c r="XE4">
        <v>628</v>
      </c>
      <c r="XF4">
        <v>629</v>
      </c>
      <c r="XG4">
        <v>630</v>
      </c>
      <c r="XH4">
        <v>631</v>
      </c>
      <c r="XI4">
        <v>632</v>
      </c>
      <c r="XJ4">
        <v>633</v>
      </c>
      <c r="XK4">
        <v>634</v>
      </c>
      <c r="XL4">
        <v>635</v>
      </c>
      <c r="XM4">
        <v>636</v>
      </c>
      <c r="XN4">
        <v>637</v>
      </c>
      <c r="XO4">
        <v>638</v>
      </c>
      <c r="XP4">
        <v>639</v>
      </c>
      <c r="XQ4">
        <v>640</v>
      </c>
      <c r="XR4">
        <v>641</v>
      </c>
      <c r="XS4">
        <v>642</v>
      </c>
      <c r="XT4">
        <v>643</v>
      </c>
      <c r="XU4">
        <v>644</v>
      </c>
      <c r="XV4">
        <v>645</v>
      </c>
      <c r="XW4">
        <v>646</v>
      </c>
      <c r="XX4">
        <v>647</v>
      </c>
      <c r="XY4">
        <v>648</v>
      </c>
      <c r="XZ4">
        <v>649</v>
      </c>
      <c r="YA4">
        <v>650</v>
      </c>
      <c r="YB4">
        <v>651</v>
      </c>
      <c r="YC4">
        <v>652</v>
      </c>
      <c r="YD4">
        <v>653</v>
      </c>
      <c r="YE4">
        <v>654</v>
      </c>
      <c r="YF4">
        <v>655</v>
      </c>
      <c r="YG4">
        <v>656</v>
      </c>
      <c r="YH4">
        <v>657</v>
      </c>
      <c r="YI4">
        <v>658</v>
      </c>
      <c r="YJ4">
        <v>659</v>
      </c>
      <c r="YK4">
        <v>660</v>
      </c>
      <c r="YL4">
        <v>661</v>
      </c>
      <c r="YM4">
        <v>662</v>
      </c>
      <c r="YN4">
        <v>663</v>
      </c>
      <c r="YO4">
        <v>664</v>
      </c>
      <c r="YP4">
        <v>665</v>
      </c>
      <c r="YQ4">
        <v>666</v>
      </c>
      <c r="YR4">
        <v>667</v>
      </c>
      <c r="YS4">
        <v>668</v>
      </c>
      <c r="YT4">
        <v>669</v>
      </c>
      <c r="YU4">
        <v>670</v>
      </c>
      <c r="YV4">
        <v>671</v>
      </c>
      <c r="YW4">
        <v>672</v>
      </c>
      <c r="YX4">
        <v>673</v>
      </c>
      <c r="YY4">
        <v>674</v>
      </c>
      <c r="YZ4">
        <v>675</v>
      </c>
      <c r="ZA4">
        <v>676</v>
      </c>
      <c r="ZB4">
        <v>677</v>
      </c>
      <c r="ZC4">
        <v>678</v>
      </c>
      <c r="ZD4">
        <v>679</v>
      </c>
      <c r="ZE4">
        <v>680</v>
      </c>
      <c r="ZF4">
        <v>681</v>
      </c>
      <c r="ZG4">
        <v>682</v>
      </c>
      <c r="ZH4">
        <v>683</v>
      </c>
      <c r="ZI4">
        <v>684</v>
      </c>
      <c r="ZJ4">
        <v>685</v>
      </c>
      <c r="ZK4">
        <v>686</v>
      </c>
      <c r="ZL4">
        <v>687</v>
      </c>
      <c r="ZM4">
        <v>688</v>
      </c>
      <c r="ZN4">
        <v>689</v>
      </c>
      <c r="ZO4">
        <v>690</v>
      </c>
      <c r="ZP4">
        <v>691</v>
      </c>
      <c r="ZQ4">
        <v>692</v>
      </c>
      <c r="ZR4">
        <v>693</v>
      </c>
      <c r="ZS4">
        <v>694</v>
      </c>
      <c r="ZT4">
        <v>695</v>
      </c>
      <c r="ZU4">
        <v>696</v>
      </c>
      <c r="ZV4">
        <v>697</v>
      </c>
      <c r="ZW4">
        <v>698</v>
      </c>
      <c r="ZX4">
        <v>699</v>
      </c>
      <c r="ZY4">
        <v>700</v>
      </c>
      <c r="ZZ4">
        <v>701</v>
      </c>
      <c r="AAA4">
        <v>702</v>
      </c>
      <c r="AAB4">
        <v>703</v>
      </c>
      <c r="AAC4">
        <v>704</v>
      </c>
      <c r="AAD4">
        <v>705</v>
      </c>
      <c r="AAE4">
        <v>706</v>
      </c>
      <c r="AAF4">
        <v>707</v>
      </c>
      <c r="AAG4">
        <v>708</v>
      </c>
      <c r="AAH4">
        <v>709</v>
      </c>
      <c r="AAI4">
        <v>710</v>
      </c>
      <c r="AAJ4">
        <v>711</v>
      </c>
      <c r="AAK4">
        <v>712</v>
      </c>
      <c r="AAL4">
        <v>713</v>
      </c>
      <c r="AAM4">
        <v>714</v>
      </c>
      <c r="AAN4">
        <v>715</v>
      </c>
      <c r="AAO4">
        <v>716</v>
      </c>
      <c r="AAP4">
        <v>717</v>
      </c>
      <c r="AAQ4">
        <v>718</v>
      </c>
      <c r="AAR4">
        <v>719</v>
      </c>
      <c r="AAS4">
        <v>720</v>
      </c>
      <c r="AAT4">
        <v>721</v>
      </c>
      <c r="AAU4">
        <v>722</v>
      </c>
      <c r="AAV4">
        <v>723</v>
      </c>
      <c r="AAW4">
        <v>724</v>
      </c>
      <c r="AAX4">
        <v>725</v>
      </c>
      <c r="AAY4">
        <v>726</v>
      </c>
      <c r="AAZ4">
        <v>727</v>
      </c>
      <c r="ABA4">
        <v>728</v>
      </c>
      <c r="ABB4">
        <v>729</v>
      </c>
      <c r="ABC4">
        <v>730</v>
      </c>
      <c r="ABD4">
        <v>731</v>
      </c>
      <c r="ABE4">
        <v>732</v>
      </c>
      <c r="ABF4">
        <v>733</v>
      </c>
      <c r="ABG4">
        <v>734</v>
      </c>
      <c r="ABH4">
        <v>735</v>
      </c>
      <c r="ABI4">
        <v>736</v>
      </c>
      <c r="ABJ4">
        <v>737</v>
      </c>
      <c r="ABK4">
        <v>738</v>
      </c>
      <c r="ABL4">
        <v>739</v>
      </c>
      <c r="ABM4">
        <v>740</v>
      </c>
      <c r="ABN4">
        <v>741</v>
      </c>
      <c r="ABO4">
        <v>742</v>
      </c>
      <c r="ABP4">
        <v>743</v>
      </c>
      <c r="ABQ4">
        <v>744</v>
      </c>
    </row>
    <row r="5" spans="1:748">
      <c r="A5" t="s">
        <v>2076</v>
      </c>
      <c r="B5">
        <v>3190396706</v>
      </c>
      <c r="C5">
        <v>837777792</v>
      </c>
      <c r="D5">
        <v>68149976</v>
      </c>
      <c r="E5">
        <v>19755438</v>
      </c>
      <c r="F5">
        <v>7278317</v>
      </c>
      <c r="G5">
        <v>12477121</v>
      </c>
      <c r="H5">
        <v>27292573</v>
      </c>
      <c r="I5">
        <v>10339633</v>
      </c>
      <c r="J5">
        <v>11301962</v>
      </c>
      <c r="K5">
        <v>5650978</v>
      </c>
      <c r="L5">
        <v>16312084</v>
      </c>
      <c r="M5">
        <v>3076599</v>
      </c>
      <c r="N5">
        <v>1971793</v>
      </c>
      <c r="O5">
        <v>1159963</v>
      </c>
      <c r="P5">
        <v>6325934</v>
      </c>
      <c r="Q5">
        <v>3777795</v>
      </c>
      <c r="R5">
        <v>4789881</v>
      </c>
      <c r="S5">
        <v>867416</v>
      </c>
      <c r="T5">
        <v>2259834</v>
      </c>
      <c r="U5">
        <v>1662631</v>
      </c>
      <c r="V5">
        <v>63474625</v>
      </c>
      <c r="W5">
        <v>35700683</v>
      </c>
      <c r="X5">
        <v>6930675</v>
      </c>
      <c r="Y5">
        <v>1433541</v>
      </c>
      <c r="Z5">
        <v>627245</v>
      </c>
      <c r="AA5">
        <v>1789582</v>
      </c>
      <c r="AB5">
        <v>6717255</v>
      </c>
      <c r="AC5">
        <v>1262495</v>
      </c>
      <c r="AD5">
        <v>850990</v>
      </c>
      <c r="AE5">
        <v>1319094</v>
      </c>
      <c r="AF5">
        <v>3964027</v>
      </c>
      <c r="AG5">
        <v>2358000</v>
      </c>
      <c r="AH5">
        <v>1735131</v>
      </c>
      <c r="AI5">
        <v>3824373</v>
      </c>
      <c r="AJ5">
        <v>1100326</v>
      </c>
      <c r="AK5">
        <v>728574</v>
      </c>
      <c r="AL5">
        <v>1059375</v>
      </c>
      <c r="AM5">
        <v>11458648</v>
      </c>
      <c r="AN5">
        <v>3061578</v>
      </c>
      <c r="AO5">
        <v>2915224</v>
      </c>
      <c r="AP5">
        <v>2232117</v>
      </c>
      <c r="AQ5">
        <v>878313</v>
      </c>
      <c r="AR5">
        <v>592853</v>
      </c>
      <c r="AS5">
        <v>592853</v>
      </c>
      <c r="AT5">
        <v>1185710</v>
      </c>
      <c r="AU5">
        <v>7098230</v>
      </c>
      <c r="AV5">
        <v>2226148</v>
      </c>
      <c r="AW5">
        <v>1726171</v>
      </c>
      <c r="AX5">
        <v>3145911</v>
      </c>
      <c r="AY5">
        <v>9217064</v>
      </c>
      <c r="AZ5">
        <v>1017163</v>
      </c>
      <c r="BA5">
        <v>3487473</v>
      </c>
      <c r="BB5">
        <v>1124602</v>
      </c>
      <c r="BC5">
        <v>3587826</v>
      </c>
      <c r="BD5">
        <v>79333024</v>
      </c>
      <c r="BE5">
        <v>63800894</v>
      </c>
      <c r="BF5">
        <v>12435006</v>
      </c>
      <c r="BG5">
        <v>8290001</v>
      </c>
      <c r="BH5">
        <v>17232428</v>
      </c>
      <c r="BI5">
        <v>11488290</v>
      </c>
      <c r="BJ5">
        <v>14355169</v>
      </c>
      <c r="BK5">
        <v>15532130</v>
      </c>
      <c r="BL5">
        <v>4546345</v>
      </c>
      <c r="BM5">
        <v>6784517</v>
      </c>
      <c r="BN5">
        <v>2431765</v>
      </c>
      <c r="BO5">
        <v>1769503</v>
      </c>
      <c r="BP5">
        <v>40174994</v>
      </c>
      <c r="BQ5">
        <v>32048314</v>
      </c>
      <c r="BR5">
        <v>13048234</v>
      </c>
      <c r="BS5">
        <v>13048234</v>
      </c>
      <c r="BT5">
        <v>19000080</v>
      </c>
      <c r="BU5">
        <v>606028</v>
      </c>
      <c r="BV5">
        <v>11741670</v>
      </c>
      <c r="BW5">
        <v>1096053</v>
      </c>
      <c r="BX5">
        <v>3333797</v>
      </c>
      <c r="BY5">
        <v>2222532</v>
      </c>
      <c r="BZ5">
        <v>8126680</v>
      </c>
      <c r="CA5">
        <v>8126680</v>
      </c>
      <c r="CB5">
        <v>90779258</v>
      </c>
      <c r="CC5">
        <v>60100312</v>
      </c>
      <c r="CD5">
        <v>3228731</v>
      </c>
      <c r="CE5">
        <v>2255797</v>
      </c>
      <c r="CF5">
        <v>1372737</v>
      </c>
      <c r="CG5">
        <v>3559279</v>
      </c>
      <c r="CH5">
        <v>2788907</v>
      </c>
      <c r="CI5">
        <v>2622997</v>
      </c>
      <c r="CJ5">
        <v>1119942</v>
      </c>
      <c r="CK5">
        <v>1501477</v>
      </c>
      <c r="CL5">
        <v>1021642</v>
      </c>
      <c r="CM5">
        <v>2375857</v>
      </c>
      <c r="CN5">
        <v>735173</v>
      </c>
      <c r="CO5">
        <v>1529012</v>
      </c>
      <c r="CP5">
        <v>2248798</v>
      </c>
      <c r="CQ5">
        <v>955482</v>
      </c>
      <c r="CR5">
        <v>3112824</v>
      </c>
      <c r="CS5">
        <v>895235</v>
      </c>
      <c r="CT5">
        <v>1649687</v>
      </c>
      <c r="CU5">
        <v>659879</v>
      </c>
      <c r="CV5">
        <v>922469</v>
      </c>
      <c r="CW5">
        <v>922469</v>
      </c>
      <c r="CX5">
        <v>1478888</v>
      </c>
      <c r="CY5">
        <v>3253019</v>
      </c>
      <c r="CZ5">
        <v>1952062</v>
      </c>
      <c r="DA5">
        <v>7569152</v>
      </c>
      <c r="DB5">
        <v>2157137</v>
      </c>
      <c r="DC5">
        <v>2835700</v>
      </c>
      <c r="DD5">
        <v>1754689</v>
      </c>
      <c r="DE5">
        <v>2603923</v>
      </c>
      <c r="DF5">
        <v>1017348</v>
      </c>
      <c r="DG5">
        <v>30678946</v>
      </c>
      <c r="DH5">
        <v>7827249</v>
      </c>
      <c r="DI5">
        <v>460115</v>
      </c>
      <c r="DJ5">
        <v>3487105</v>
      </c>
      <c r="DK5">
        <v>1879886</v>
      </c>
      <c r="DL5">
        <v>1015900</v>
      </c>
      <c r="DM5">
        <v>984243</v>
      </c>
      <c r="DN5">
        <v>11395756</v>
      </c>
      <c r="DO5">
        <v>4714142</v>
      </c>
      <c r="DP5">
        <v>2674202</v>
      </c>
      <c r="DQ5">
        <v>4007412</v>
      </c>
      <c r="DR5">
        <v>11455941</v>
      </c>
      <c r="DS5">
        <v>1649786</v>
      </c>
      <c r="DT5">
        <v>2473608</v>
      </c>
      <c r="DU5">
        <v>1780968</v>
      </c>
      <c r="DV5">
        <v>919693</v>
      </c>
      <c r="DW5">
        <v>2226585</v>
      </c>
      <c r="DX5">
        <v>1424316</v>
      </c>
      <c r="DY5">
        <v>980985</v>
      </c>
      <c r="DZ5">
        <v>33431502</v>
      </c>
      <c r="EA5">
        <v>30495650</v>
      </c>
      <c r="EB5">
        <v>4047320</v>
      </c>
      <c r="EC5">
        <v>4753725</v>
      </c>
      <c r="ED5">
        <v>742191</v>
      </c>
      <c r="EE5">
        <v>666858</v>
      </c>
      <c r="EF5">
        <v>1571745</v>
      </c>
      <c r="EG5">
        <v>934249</v>
      </c>
      <c r="EH5">
        <v>1868500</v>
      </c>
      <c r="EI5">
        <v>993617</v>
      </c>
      <c r="EJ5">
        <v>921175</v>
      </c>
      <c r="EK5">
        <v>1201302</v>
      </c>
      <c r="EL5">
        <v>919847</v>
      </c>
      <c r="EM5">
        <v>3244479</v>
      </c>
      <c r="EN5">
        <v>4816311</v>
      </c>
      <c r="EO5">
        <v>1987722</v>
      </c>
      <c r="EP5">
        <v>608869</v>
      </c>
      <c r="EQ5">
        <v>1217740</v>
      </c>
      <c r="ER5">
        <v>2935852</v>
      </c>
      <c r="ES5">
        <v>2935852</v>
      </c>
      <c r="ET5">
        <v>38497685</v>
      </c>
      <c r="EU5">
        <v>4151092</v>
      </c>
      <c r="EV5">
        <v>3582775</v>
      </c>
      <c r="EW5">
        <v>568317</v>
      </c>
      <c r="EX5">
        <v>34346593</v>
      </c>
      <c r="EY5">
        <v>503708</v>
      </c>
      <c r="EZ5">
        <v>1954094</v>
      </c>
      <c r="FA5">
        <v>2444310</v>
      </c>
      <c r="FB5">
        <v>1225879</v>
      </c>
      <c r="FC5">
        <v>1018467</v>
      </c>
      <c r="FD5">
        <v>859166</v>
      </c>
      <c r="FE5">
        <v>728413</v>
      </c>
      <c r="FF5">
        <v>1442157</v>
      </c>
      <c r="FG5">
        <v>2448979</v>
      </c>
      <c r="FH5">
        <v>1428930</v>
      </c>
      <c r="FI5">
        <v>1556868</v>
      </c>
      <c r="FJ5">
        <v>4022806</v>
      </c>
      <c r="FK5">
        <v>2793838</v>
      </c>
      <c r="FL5">
        <v>1827004</v>
      </c>
      <c r="FM5">
        <v>1898116</v>
      </c>
      <c r="FN5">
        <v>3796224</v>
      </c>
      <c r="FO5">
        <v>2931755</v>
      </c>
      <c r="FP5">
        <v>1465879</v>
      </c>
      <c r="FQ5">
        <v>75224349</v>
      </c>
      <c r="FR5">
        <v>2769542</v>
      </c>
      <c r="FS5">
        <v>4094930</v>
      </c>
      <c r="FT5">
        <v>4559527</v>
      </c>
      <c r="FU5">
        <v>1450736</v>
      </c>
      <c r="FV5">
        <v>7970444</v>
      </c>
      <c r="FW5">
        <v>4126824</v>
      </c>
      <c r="FX5">
        <v>3133698</v>
      </c>
      <c r="FY5">
        <v>1934369</v>
      </c>
      <c r="FZ5">
        <v>3339410</v>
      </c>
      <c r="GA5">
        <v>6449767</v>
      </c>
      <c r="GB5">
        <v>4355505</v>
      </c>
      <c r="GC5">
        <v>5666915</v>
      </c>
      <c r="GD5">
        <v>2602851</v>
      </c>
      <c r="GE5">
        <v>9727514</v>
      </c>
      <c r="GF5">
        <v>11125957</v>
      </c>
      <c r="GG5">
        <v>958180</v>
      </c>
      <c r="GH5">
        <v>958180</v>
      </c>
      <c r="GI5">
        <v>112214782</v>
      </c>
      <c r="GJ5">
        <v>47021846</v>
      </c>
      <c r="GK5">
        <v>9336834</v>
      </c>
      <c r="GL5">
        <v>4668414</v>
      </c>
      <c r="GM5">
        <v>7879581</v>
      </c>
      <c r="GN5">
        <v>7879581</v>
      </c>
      <c r="GO5">
        <v>4758256</v>
      </c>
      <c r="GP5">
        <v>5601209</v>
      </c>
      <c r="GQ5">
        <v>2299328</v>
      </c>
      <c r="GR5">
        <v>1532881</v>
      </c>
      <c r="GS5">
        <v>1532881</v>
      </c>
      <c r="GT5">
        <v>1532881</v>
      </c>
      <c r="GU5">
        <v>65192936</v>
      </c>
      <c r="GV5">
        <v>2765178</v>
      </c>
      <c r="GW5">
        <v>6061785</v>
      </c>
      <c r="GX5">
        <v>3984592</v>
      </c>
      <c r="GY5">
        <v>4160613</v>
      </c>
      <c r="GZ5">
        <v>9454313</v>
      </c>
      <c r="HA5">
        <v>3606214</v>
      </c>
      <c r="HB5">
        <v>2732378</v>
      </c>
      <c r="HC5">
        <v>1616262</v>
      </c>
      <c r="HD5">
        <v>1905799</v>
      </c>
      <c r="HE5">
        <v>2858696</v>
      </c>
      <c r="HF5">
        <v>4764483</v>
      </c>
      <c r="HG5">
        <v>4729475</v>
      </c>
      <c r="HH5">
        <v>2364737</v>
      </c>
      <c r="HI5">
        <v>2364737</v>
      </c>
      <c r="HJ5">
        <v>3152979</v>
      </c>
      <c r="HK5">
        <v>788248</v>
      </c>
      <c r="HL5">
        <v>3152979</v>
      </c>
      <c r="HM5">
        <v>3152979</v>
      </c>
      <c r="HN5">
        <v>1576489</v>
      </c>
      <c r="HO5">
        <v>52027047</v>
      </c>
      <c r="HP5">
        <v>12054168</v>
      </c>
      <c r="HQ5">
        <v>4250295</v>
      </c>
      <c r="HR5">
        <v>901348</v>
      </c>
      <c r="HS5">
        <v>6902525</v>
      </c>
      <c r="HT5">
        <v>10989446</v>
      </c>
      <c r="HU5">
        <v>2810294</v>
      </c>
      <c r="HV5">
        <v>2810294</v>
      </c>
      <c r="HW5">
        <v>4295090</v>
      </c>
      <c r="HX5">
        <v>1073768</v>
      </c>
      <c r="HY5">
        <v>28983433</v>
      </c>
      <c r="HZ5">
        <v>2275672</v>
      </c>
      <c r="IA5">
        <v>2275672</v>
      </c>
      <c r="IB5">
        <v>4551331</v>
      </c>
      <c r="IC5">
        <v>6251454</v>
      </c>
      <c r="ID5">
        <v>1041905</v>
      </c>
      <c r="IE5">
        <v>4838502</v>
      </c>
      <c r="IF5">
        <v>3217801</v>
      </c>
      <c r="IG5">
        <v>1072603</v>
      </c>
      <c r="IH5">
        <v>1660788</v>
      </c>
      <c r="II5">
        <v>1797705</v>
      </c>
      <c r="IJ5">
        <v>37859433</v>
      </c>
      <c r="IK5">
        <v>5021196</v>
      </c>
      <c r="IL5">
        <v>5637748</v>
      </c>
      <c r="IM5">
        <v>9896030</v>
      </c>
      <c r="IN5">
        <v>2435047</v>
      </c>
      <c r="IO5">
        <v>1843366</v>
      </c>
      <c r="IP5">
        <v>978296</v>
      </c>
      <c r="IQ5">
        <v>2282178</v>
      </c>
      <c r="IR5">
        <v>3677976</v>
      </c>
      <c r="IS5">
        <v>6087596</v>
      </c>
      <c r="IT5">
        <v>146611117</v>
      </c>
      <c r="IU5">
        <v>138609468</v>
      </c>
      <c r="IV5">
        <v>4292149</v>
      </c>
      <c r="IW5">
        <v>4292149</v>
      </c>
      <c r="IX5">
        <v>9446902</v>
      </c>
      <c r="IY5">
        <v>3408568</v>
      </c>
      <c r="IZ5">
        <v>7931304</v>
      </c>
      <c r="JA5">
        <v>11896950</v>
      </c>
      <c r="JB5">
        <v>4162690</v>
      </c>
      <c r="JC5">
        <v>5946705</v>
      </c>
      <c r="JD5">
        <v>4162690</v>
      </c>
      <c r="JE5">
        <v>8325382</v>
      </c>
      <c r="JF5">
        <v>2378684</v>
      </c>
      <c r="JG5">
        <v>4757359</v>
      </c>
      <c r="JH5">
        <v>6365882</v>
      </c>
      <c r="JI5">
        <v>8997925</v>
      </c>
      <c r="JJ5">
        <v>15305310</v>
      </c>
      <c r="JK5">
        <v>6968468</v>
      </c>
      <c r="JL5">
        <v>3435121</v>
      </c>
      <c r="JM5">
        <v>2327687</v>
      </c>
      <c r="JN5">
        <v>551694</v>
      </c>
      <c r="JO5">
        <v>4442526</v>
      </c>
      <c r="JP5">
        <v>2221262</v>
      </c>
      <c r="JQ5">
        <v>10195236</v>
      </c>
      <c r="JR5">
        <v>6796825</v>
      </c>
      <c r="JS5">
        <v>8001649</v>
      </c>
      <c r="JT5">
        <v>5334435</v>
      </c>
      <c r="JU5">
        <v>2667214</v>
      </c>
      <c r="JV5">
        <v>685773216</v>
      </c>
      <c r="JW5">
        <v>584936605</v>
      </c>
      <c r="JX5">
        <v>71918800</v>
      </c>
      <c r="JY5">
        <v>71918800</v>
      </c>
      <c r="JZ5">
        <v>9028871</v>
      </c>
      <c r="KA5">
        <v>4643721</v>
      </c>
      <c r="KB5">
        <v>4385150</v>
      </c>
      <c r="KC5">
        <v>503988934</v>
      </c>
      <c r="KD5">
        <v>503988934</v>
      </c>
      <c r="KE5">
        <v>100836611</v>
      </c>
      <c r="KF5">
        <v>29215022</v>
      </c>
      <c r="KG5">
        <v>3751471</v>
      </c>
      <c r="KH5">
        <v>2500987</v>
      </c>
      <c r="KI5">
        <v>10003935</v>
      </c>
      <c r="KJ5">
        <v>7502949</v>
      </c>
      <c r="KK5">
        <v>1250489</v>
      </c>
      <c r="KL5">
        <v>4205191</v>
      </c>
      <c r="KM5">
        <v>71621589</v>
      </c>
      <c r="KN5">
        <v>558686</v>
      </c>
      <c r="KO5">
        <v>5226347</v>
      </c>
      <c r="KP5">
        <v>2525965</v>
      </c>
      <c r="KQ5">
        <v>15154112</v>
      </c>
      <c r="KR5">
        <v>7577231</v>
      </c>
      <c r="KS5">
        <v>3189708</v>
      </c>
      <c r="KT5">
        <v>1604825</v>
      </c>
      <c r="KU5">
        <v>4814487</v>
      </c>
      <c r="KV5">
        <v>8024138</v>
      </c>
      <c r="KW5">
        <v>1604825</v>
      </c>
      <c r="KX5">
        <v>21341265</v>
      </c>
      <c r="KY5">
        <v>221145728</v>
      </c>
      <c r="KZ5">
        <v>108710567</v>
      </c>
      <c r="LA5">
        <v>108710567</v>
      </c>
      <c r="LB5">
        <v>48173221</v>
      </c>
      <c r="LC5">
        <v>29883297</v>
      </c>
      <c r="LD5">
        <v>18289924</v>
      </c>
      <c r="LE5">
        <v>12158452</v>
      </c>
      <c r="LF5">
        <v>12158452</v>
      </c>
      <c r="LG5">
        <v>52103488</v>
      </c>
      <c r="LH5">
        <v>30818005</v>
      </c>
      <c r="LI5">
        <v>21285483</v>
      </c>
      <c r="LJ5">
        <v>123411836</v>
      </c>
      <c r="LK5">
        <v>42179255</v>
      </c>
      <c r="LL5">
        <v>22183718</v>
      </c>
      <c r="LM5">
        <v>1426929</v>
      </c>
      <c r="LN5">
        <v>3706966</v>
      </c>
      <c r="LO5">
        <v>642249</v>
      </c>
      <c r="LP5">
        <v>6812068</v>
      </c>
      <c r="LQ5">
        <v>2976178</v>
      </c>
      <c r="LR5">
        <v>3309664</v>
      </c>
      <c r="LS5">
        <v>3309664</v>
      </c>
      <c r="LT5">
        <v>14353498</v>
      </c>
      <c r="LU5">
        <v>12011554</v>
      </c>
      <c r="LV5">
        <v>1493718</v>
      </c>
      <c r="LW5">
        <v>848226</v>
      </c>
      <c r="LX5">
        <v>5642039</v>
      </c>
      <c r="LY5">
        <v>1615862</v>
      </c>
      <c r="LZ5">
        <v>3205373</v>
      </c>
      <c r="MA5">
        <v>820804</v>
      </c>
      <c r="MB5">
        <v>6577565</v>
      </c>
      <c r="MC5">
        <v>1587593</v>
      </c>
      <c r="MD5">
        <v>2322330</v>
      </c>
      <c r="ME5">
        <v>1766920</v>
      </c>
      <c r="MF5">
        <v>900722</v>
      </c>
      <c r="MG5">
        <v>8613708</v>
      </c>
      <c r="MH5">
        <v>2203105</v>
      </c>
      <c r="MI5">
        <v>3096170</v>
      </c>
      <c r="MJ5">
        <v>698727</v>
      </c>
      <c r="MK5">
        <v>523142</v>
      </c>
      <c r="ML5">
        <v>2092564</v>
      </c>
      <c r="MM5">
        <v>23738356</v>
      </c>
      <c r="MN5">
        <v>2773707</v>
      </c>
      <c r="MO5">
        <v>1109486</v>
      </c>
      <c r="MP5">
        <v>1664221</v>
      </c>
      <c r="MQ5">
        <v>7097781</v>
      </c>
      <c r="MR5">
        <v>1343561</v>
      </c>
      <c r="MS5">
        <v>1859452</v>
      </c>
      <c r="MT5">
        <v>2789189</v>
      </c>
      <c r="MU5">
        <v>1105579</v>
      </c>
      <c r="MV5">
        <v>13866868</v>
      </c>
      <c r="MW5">
        <v>2262770</v>
      </c>
      <c r="MX5">
        <v>4667684</v>
      </c>
      <c r="MY5">
        <v>2312136</v>
      </c>
      <c r="MZ5">
        <v>1156067</v>
      </c>
      <c r="NA5">
        <v>3468211</v>
      </c>
      <c r="NB5">
        <v>33518214</v>
      </c>
      <c r="NC5">
        <v>7500074</v>
      </c>
      <c r="ND5">
        <v>2912378</v>
      </c>
      <c r="NE5">
        <v>4587696</v>
      </c>
      <c r="NF5">
        <v>9545549</v>
      </c>
      <c r="NG5">
        <v>3963154</v>
      </c>
      <c r="NH5">
        <v>5582395</v>
      </c>
      <c r="NI5">
        <v>16472591</v>
      </c>
      <c r="NJ5">
        <v>1932436</v>
      </c>
      <c r="NK5">
        <v>2898655</v>
      </c>
      <c r="NL5">
        <v>2806269</v>
      </c>
      <c r="NM5">
        <v>3182747</v>
      </c>
      <c r="NN5">
        <v>2560989</v>
      </c>
      <c r="NO5">
        <v>1030500</v>
      </c>
      <c r="NP5">
        <v>2060995</v>
      </c>
      <c r="NQ5">
        <v>8784738</v>
      </c>
      <c r="NR5">
        <v>1306111</v>
      </c>
      <c r="NS5">
        <v>1306111</v>
      </c>
      <c r="NT5">
        <v>5279908</v>
      </c>
      <c r="NU5">
        <v>1552728</v>
      </c>
      <c r="NV5">
        <v>3727180</v>
      </c>
      <c r="NW5">
        <v>2198719</v>
      </c>
      <c r="NX5">
        <v>2198719</v>
      </c>
      <c r="NY5">
        <v>112584877</v>
      </c>
      <c r="NZ5">
        <v>48397154</v>
      </c>
      <c r="OA5">
        <v>1341826</v>
      </c>
      <c r="OB5">
        <v>989228</v>
      </c>
      <c r="OC5">
        <v>352598</v>
      </c>
      <c r="OD5">
        <v>47055328</v>
      </c>
      <c r="OE5">
        <v>14590722</v>
      </c>
      <c r="OF5">
        <v>1521174</v>
      </c>
      <c r="OG5">
        <v>1014108</v>
      </c>
      <c r="OH5">
        <v>1521174</v>
      </c>
      <c r="OI5">
        <v>1014108</v>
      </c>
      <c r="OJ5">
        <v>1873869</v>
      </c>
      <c r="OK5">
        <v>2188131</v>
      </c>
      <c r="OL5">
        <v>1944995</v>
      </c>
      <c r="OM5">
        <v>729372</v>
      </c>
      <c r="ON5">
        <v>1460017</v>
      </c>
      <c r="OO5">
        <v>1323774</v>
      </c>
      <c r="OP5">
        <v>25940153</v>
      </c>
      <c r="OQ5">
        <v>1057989</v>
      </c>
      <c r="OR5">
        <v>705328</v>
      </c>
      <c r="OS5">
        <v>1057989</v>
      </c>
      <c r="OT5">
        <v>705328</v>
      </c>
      <c r="OU5">
        <v>1763316</v>
      </c>
      <c r="OV5">
        <v>1763316</v>
      </c>
      <c r="OW5">
        <v>2604270</v>
      </c>
      <c r="OX5">
        <v>1413066</v>
      </c>
      <c r="OY5">
        <v>1413066</v>
      </c>
      <c r="OZ5">
        <v>3327461</v>
      </c>
      <c r="PA5">
        <v>4991189</v>
      </c>
      <c r="PB5">
        <v>3655600</v>
      </c>
      <c r="PC5">
        <v>1482235</v>
      </c>
      <c r="PD5">
        <v>6524453</v>
      </c>
      <c r="PE5">
        <v>2320866</v>
      </c>
      <c r="PF5">
        <v>3481303</v>
      </c>
      <c r="PG5">
        <v>722284</v>
      </c>
      <c r="PH5">
        <v>33461117</v>
      </c>
      <c r="PI5">
        <v>22528451</v>
      </c>
      <c r="PJ5">
        <v>7150049</v>
      </c>
      <c r="PK5">
        <v>1763776</v>
      </c>
      <c r="PL5">
        <v>1124908</v>
      </c>
      <c r="PM5">
        <v>2624784</v>
      </c>
      <c r="PN5">
        <v>1636581</v>
      </c>
      <c r="PO5">
        <v>13312914</v>
      </c>
      <c r="PP5">
        <v>1045770</v>
      </c>
      <c r="PQ5">
        <v>1568650</v>
      </c>
      <c r="PR5">
        <v>2585628</v>
      </c>
      <c r="PS5">
        <v>3878453</v>
      </c>
      <c r="PT5">
        <v>3387531</v>
      </c>
      <c r="PU5">
        <v>846882</v>
      </c>
      <c r="PV5">
        <v>2065488</v>
      </c>
      <c r="PW5">
        <v>1032744</v>
      </c>
      <c r="PX5">
        <v>1032744</v>
      </c>
      <c r="PY5">
        <v>10932666</v>
      </c>
      <c r="PZ5">
        <v>3312965</v>
      </c>
      <c r="QA5">
        <v>1726006</v>
      </c>
      <c r="QB5">
        <v>863003</v>
      </c>
      <c r="QC5">
        <v>723956</v>
      </c>
      <c r="QD5">
        <v>6220705</v>
      </c>
      <c r="QE5">
        <v>1010343</v>
      </c>
      <c r="QF5">
        <v>2605181</v>
      </c>
      <c r="QG5">
        <v>2605181</v>
      </c>
      <c r="QH5">
        <v>1398996</v>
      </c>
      <c r="QI5">
        <v>1398996</v>
      </c>
      <c r="QJ5">
        <v>15357481</v>
      </c>
      <c r="QK5">
        <v>3308209</v>
      </c>
      <c r="QL5">
        <v>5215196</v>
      </c>
      <c r="QM5">
        <v>2564225</v>
      </c>
      <c r="QN5">
        <v>3152661</v>
      </c>
      <c r="QO5">
        <v>380884</v>
      </c>
      <c r="QP5">
        <v>736306</v>
      </c>
      <c r="QQ5">
        <v>9128106</v>
      </c>
      <c r="QR5">
        <v>1664956</v>
      </c>
      <c r="QS5">
        <v>465244</v>
      </c>
      <c r="QT5">
        <v>948865</v>
      </c>
      <c r="QU5">
        <v>2177284</v>
      </c>
      <c r="QV5">
        <v>621317</v>
      </c>
      <c r="QW5">
        <v>2539278</v>
      </c>
      <c r="QX5">
        <v>711162</v>
      </c>
      <c r="QY5">
        <v>6241019</v>
      </c>
      <c r="QZ5">
        <v>2228746</v>
      </c>
      <c r="RA5">
        <v>2228746</v>
      </c>
      <c r="RB5">
        <v>667403</v>
      </c>
      <c r="RC5">
        <v>1116124</v>
      </c>
      <c r="RD5">
        <v>152330482</v>
      </c>
      <c r="RE5">
        <v>40726717</v>
      </c>
      <c r="RF5">
        <v>3488221</v>
      </c>
      <c r="RG5">
        <v>1494951</v>
      </c>
      <c r="RH5">
        <v>2969283</v>
      </c>
      <c r="RI5">
        <v>1294247</v>
      </c>
      <c r="RJ5">
        <v>1294247</v>
      </c>
      <c r="RK5">
        <v>6039844</v>
      </c>
      <c r="RL5">
        <v>2147095</v>
      </c>
      <c r="RM5">
        <v>1761292</v>
      </c>
      <c r="RN5">
        <v>2641935</v>
      </c>
      <c r="RO5">
        <v>2579544</v>
      </c>
      <c r="RP5">
        <v>2579544</v>
      </c>
      <c r="RQ5">
        <v>6218257</v>
      </c>
      <c r="RR5">
        <v>6218257</v>
      </c>
      <c r="RS5">
        <v>28947320</v>
      </c>
      <c r="RT5">
        <v>1568098</v>
      </c>
      <c r="RU5">
        <v>1568098</v>
      </c>
      <c r="RV5">
        <v>2105280</v>
      </c>
      <c r="RW5">
        <v>1052645</v>
      </c>
      <c r="RX5">
        <v>1052645</v>
      </c>
      <c r="RY5">
        <v>6315847</v>
      </c>
      <c r="RZ5">
        <v>1052645</v>
      </c>
      <c r="SA5">
        <v>5781599</v>
      </c>
      <c r="SB5">
        <v>3688508</v>
      </c>
      <c r="SC5">
        <v>1190486</v>
      </c>
      <c r="SD5">
        <v>2380983</v>
      </c>
      <c r="SE5">
        <v>1190486</v>
      </c>
      <c r="SF5">
        <v>82656445</v>
      </c>
      <c r="SG5">
        <v>72916941</v>
      </c>
      <c r="SH5">
        <v>3402066</v>
      </c>
      <c r="SI5">
        <v>3726969</v>
      </c>
      <c r="SJ5">
        <v>2610469</v>
      </c>
      <c r="SK5">
        <v>476190801</v>
      </c>
      <c r="SL5">
        <v>53231261</v>
      </c>
      <c r="SM5">
        <v>18120847</v>
      </c>
      <c r="SN5">
        <v>6822112</v>
      </c>
      <c r="SO5">
        <v>1443073</v>
      </c>
      <c r="SP5">
        <v>3934998</v>
      </c>
      <c r="SQ5">
        <v>1310225</v>
      </c>
      <c r="SR5">
        <v>4610439</v>
      </c>
      <c r="SS5">
        <v>12916919</v>
      </c>
      <c r="ST5">
        <v>5438094</v>
      </c>
      <c r="SU5">
        <v>1290565</v>
      </c>
      <c r="SV5">
        <v>6188260</v>
      </c>
      <c r="SW5">
        <v>13650888</v>
      </c>
      <c r="SX5">
        <v>3393448</v>
      </c>
      <c r="SY5">
        <v>1131153</v>
      </c>
      <c r="SZ5">
        <v>3943522</v>
      </c>
      <c r="TA5">
        <v>5182765</v>
      </c>
      <c r="TB5">
        <v>8542607</v>
      </c>
      <c r="TC5">
        <v>6458605</v>
      </c>
      <c r="TD5">
        <v>2084002</v>
      </c>
      <c r="TE5">
        <v>282263274</v>
      </c>
      <c r="TF5">
        <v>71584259</v>
      </c>
      <c r="TG5">
        <v>15713586</v>
      </c>
      <c r="TH5">
        <v>19205492</v>
      </c>
      <c r="TI5">
        <v>27935269</v>
      </c>
      <c r="TJ5">
        <v>8729912</v>
      </c>
      <c r="TK5">
        <v>3421508</v>
      </c>
      <c r="TL5">
        <v>2052830</v>
      </c>
      <c r="TM5">
        <v>1368678</v>
      </c>
      <c r="TN5">
        <v>207257507</v>
      </c>
      <c r="TO5">
        <v>58136683</v>
      </c>
      <c r="TP5">
        <v>12217919</v>
      </c>
      <c r="TQ5">
        <v>3054479</v>
      </c>
      <c r="TR5">
        <v>4188576</v>
      </c>
      <c r="TS5">
        <v>5864013</v>
      </c>
      <c r="TT5">
        <v>11679795</v>
      </c>
      <c r="TU5">
        <v>9343836</v>
      </c>
      <c r="TV5">
        <v>4011392</v>
      </c>
      <c r="TW5">
        <v>14388783</v>
      </c>
      <c r="TX5">
        <v>2554626</v>
      </c>
      <c r="TY5">
        <v>539376</v>
      </c>
      <c r="TZ5">
        <v>2260956</v>
      </c>
      <c r="UA5">
        <v>539376</v>
      </c>
      <c r="UB5">
        <v>1078753</v>
      </c>
      <c r="UC5">
        <v>14135172</v>
      </c>
      <c r="UD5">
        <v>63263772</v>
      </c>
      <c r="UE5">
        <v>140696266</v>
      </c>
      <c r="UF5">
        <v>750742</v>
      </c>
      <c r="UG5">
        <v>1501468</v>
      </c>
      <c r="UH5">
        <v>17407854</v>
      </c>
      <c r="UI5">
        <v>86460977</v>
      </c>
      <c r="UJ5">
        <v>5754896</v>
      </c>
      <c r="UK5">
        <v>28820329</v>
      </c>
      <c r="UL5">
        <v>97001854</v>
      </c>
      <c r="UM5">
        <v>68010600</v>
      </c>
      <c r="UN5">
        <v>4450991</v>
      </c>
      <c r="UO5">
        <v>3708415</v>
      </c>
      <c r="UP5">
        <v>3482205</v>
      </c>
      <c r="UQ5">
        <v>6107214</v>
      </c>
      <c r="UR5">
        <v>11768660</v>
      </c>
      <c r="US5">
        <v>3861615</v>
      </c>
      <c r="UT5">
        <v>29080504</v>
      </c>
      <c r="UU5">
        <v>1536445</v>
      </c>
      <c r="UV5">
        <v>4014551</v>
      </c>
      <c r="UW5">
        <v>2197039</v>
      </c>
      <c r="UX5">
        <v>976760</v>
      </c>
      <c r="UY5">
        <v>1220279</v>
      </c>
      <c r="UZ5">
        <v>26794215</v>
      </c>
      <c r="VA5">
        <v>7733356</v>
      </c>
      <c r="VB5">
        <v>11603049</v>
      </c>
      <c r="VC5">
        <v>7457810</v>
      </c>
      <c r="VD5">
        <v>290669386</v>
      </c>
      <c r="VE5">
        <v>24536787</v>
      </c>
      <c r="VF5">
        <v>7491079</v>
      </c>
      <c r="VG5">
        <v>1437548</v>
      </c>
      <c r="VH5">
        <v>3359243</v>
      </c>
      <c r="VI5">
        <v>6158631</v>
      </c>
      <c r="VJ5">
        <v>1679631</v>
      </c>
      <c r="VK5">
        <v>1119748</v>
      </c>
      <c r="VL5">
        <v>1005745</v>
      </c>
      <c r="VM5">
        <v>1427555</v>
      </c>
      <c r="VN5">
        <v>857607</v>
      </c>
      <c r="VO5">
        <v>65733216</v>
      </c>
      <c r="VP5">
        <v>6489839</v>
      </c>
      <c r="VQ5">
        <v>1516157</v>
      </c>
      <c r="VR5">
        <v>3380256</v>
      </c>
      <c r="VS5">
        <v>1593426</v>
      </c>
      <c r="VT5">
        <v>15566126</v>
      </c>
      <c r="VU5">
        <v>2647372</v>
      </c>
      <c r="VV5">
        <v>350989</v>
      </c>
      <c r="VW5">
        <v>1052452</v>
      </c>
      <c r="VX5">
        <v>1403267</v>
      </c>
      <c r="VY5">
        <v>5056027</v>
      </c>
      <c r="VZ5">
        <v>2166867</v>
      </c>
      <c r="WA5">
        <v>2889152</v>
      </c>
      <c r="WB5">
        <v>8087987</v>
      </c>
      <c r="WC5">
        <v>1225132</v>
      </c>
      <c r="WD5">
        <v>1814263</v>
      </c>
      <c r="WE5">
        <v>841434</v>
      </c>
      <c r="WF5">
        <v>1682861</v>
      </c>
      <c r="WG5">
        <v>2524297</v>
      </c>
      <c r="WH5">
        <v>7992719</v>
      </c>
      <c r="WI5">
        <v>1141824</v>
      </c>
      <c r="WJ5">
        <v>4567268</v>
      </c>
      <c r="WK5">
        <v>2283627</v>
      </c>
      <c r="WL5">
        <v>27596545</v>
      </c>
      <c r="WM5">
        <v>661670</v>
      </c>
      <c r="WN5">
        <v>1074771</v>
      </c>
      <c r="WO5">
        <v>1074771</v>
      </c>
      <c r="WP5">
        <v>3830344</v>
      </c>
      <c r="WQ5">
        <v>3830344</v>
      </c>
      <c r="WR5">
        <v>5294553</v>
      </c>
      <c r="WS5">
        <v>3626722</v>
      </c>
      <c r="WT5">
        <v>1712554</v>
      </c>
      <c r="WU5">
        <v>2568834</v>
      </c>
      <c r="WV5">
        <v>2032779</v>
      </c>
      <c r="WW5">
        <v>1889203</v>
      </c>
      <c r="WX5">
        <v>35138875</v>
      </c>
      <c r="WY5">
        <v>24339390</v>
      </c>
      <c r="WZ5">
        <v>10765340</v>
      </c>
      <c r="XA5">
        <v>13574050</v>
      </c>
      <c r="XB5">
        <v>2849507</v>
      </c>
      <c r="XC5">
        <v>2279607</v>
      </c>
      <c r="XD5">
        <v>569900</v>
      </c>
      <c r="XE5">
        <v>7949978</v>
      </c>
      <c r="XF5">
        <v>3407131</v>
      </c>
      <c r="XG5">
        <v>4542847</v>
      </c>
      <c r="XH5">
        <v>165260508</v>
      </c>
      <c r="XI5">
        <v>25947604</v>
      </c>
      <c r="XJ5">
        <v>25947604</v>
      </c>
      <c r="XK5">
        <v>7942441</v>
      </c>
      <c r="XL5">
        <v>7942441</v>
      </c>
      <c r="XM5">
        <v>28870380</v>
      </c>
      <c r="XN5">
        <v>3573597</v>
      </c>
      <c r="XO5">
        <v>2732067</v>
      </c>
      <c r="XP5">
        <v>5048752</v>
      </c>
      <c r="XQ5">
        <v>2966576</v>
      </c>
      <c r="XR5">
        <v>9013646</v>
      </c>
      <c r="XS5">
        <v>2253404</v>
      </c>
      <c r="XT5">
        <v>3282338</v>
      </c>
      <c r="XU5">
        <v>102500083</v>
      </c>
      <c r="XV5">
        <v>25776412</v>
      </c>
      <c r="XW5">
        <v>13260491</v>
      </c>
      <c r="XX5">
        <v>10657408</v>
      </c>
      <c r="XY5">
        <v>1858513</v>
      </c>
      <c r="XZ5">
        <v>32169182</v>
      </c>
      <c r="YA5">
        <v>3027898</v>
      </c>
      <c r="YB5">
        <v>2270929</v>
      </c>
      <c r="YC5">
        <v>418398</v>
      </c>
      <c r="YD5">
        <v>1235720</v>
      </c>
      <c r="YE5">
        <v>1887695</v>
      </c>
      <c r="YF5">
        <v>8419640</v>
      </c>
      <c r="YG5">
        <v>1098837</v>
      </c>
      <c r="YH5">
        <v>1098837</v>
      </c>
      <c r="YI5">
        <v>5524381</v>
      </c>
      <c r="YJ5">
        <v>1948561</v>
      </c>
      <c r="YK5">
        <v>4280425</v>
      </c>
      <c r="YL5">
        <v>957861</v>
      </c>
      <c r="YM5">
        <v>44554489</v>
      </c>
      <c r="YN5">
        <v>3178495</v>
      </c>
      <c r="YO5">
        <v>979944</v>
      </c>
      <c r="YP5">
        <v>28078610</v>
      </c>
      <c r="YQ5">
        <v>1749980</v>
      </c>
      <c r="YR5">
        <v>7655216</v>
      </c>
      <c r="YS5">
        <v>2912244</v>
      </c>
      <c r="YT5">
        <v>193510734</v>
      </c>
      <c r="YU5">
        <v>35161552</v>
      </c>
      <c r="YV5">
        <v>3017126</v>
      </c>
      <c r="YW5">
        <v>8289584</v>
      </c>
      <c r="YX5">
        <v>5355874</v>
      </c>
      <c r="YY5">
        <v>10727695</v>
      </c>
      <c r="YZ5">
        <v>4912251</v>
      </c>
      <c r="ZA5">
        <v>2859022</v>
      </c>
      <c r="ZB5">
        <v>51225533</v>
      </c>
      <c r="ZC5">
        <v>3690655</v>
      </c>
      <c r="ZD5">
        <v>1921244</v>
      </c>
      <c r="ZE5">
        <v>1769411</v>
      </c>
      <c r="ZF5">
        <v>15362557</v>
      </c>
      <c r="ZG5">
        <v>1652245</v>
      </c>
      <c r="ZH5">
        <v>1652245</v>
      </c>
      <c r="ZI5">
        <v>1652245</v>
      </c>
      <c r="ZJ5">
        <v>1239193</v>
      </c>
      <c r="ZK5">
        <v>3478126</v>
      </c>
      <c r="ZL5">
        <v>2417443</v>
      </c>
      <c r="ZM5">
        <v>3271060</v>
      </c>
      <c r="ZN5">
        <v>32172321</v>
      </c>
      <c r="ZO5">
        <v>2152513</v>
      </c>
      <c r="ZP5">
        <v>1761145</v>
      </c>
      <c r="ZQ5">
        <v>6348477</v>
      </c>
      <c r="ZR5">
        <v>1587117</v>
      </c>
      <c r="ZS5">
        <v>5121922</v>
      </c>
      <c r="ZT5">
        <v>1707303</v>
      </c>
      <c r="ZU5">
        <v>2196764</v>
      </c>
      <c r="ZV5">
        <v>549186</v>
      </c>
      <c r="ZW5">
        <v>3557961</v>
      </c>
      <c r="ZX5">
        <v>508278</v>
      </c>
      <c r="ZY5">
        <v>973922</v>
      </c>
      <c r="ZZ5">
        <v>486964</v>
      </c>
      <c r="AAA5">
        <v>2730902</v>
      </c>
      <c r="AAB5">
        <v>2489867</v>
      </c>
      <c r="AAC5">
        <v>20181956</v>
      </c>
      <c r="AAD5">
        <v>13705060</v>
      </c>
      <c r="AAE5">
        <v>4316124</v>
      </c>
      <c r="AAF5">
        <v>5035476</v>
      </c>
      <c r="AAG5">
        <v>2890323</v>
      </c>
      <c r="AAH5">
        <v>1463137</v>
      </c>
      <c r="AAI5">
        <v>4190827</v>
      </c>
      <c r="AAJ5">
        <v>1233700</v>
      </c>
      <c r="AAK5">
        <v>2957127</v>
      </c>
      <c r="AAL5">
        <v>2286069</v>
      </c>
      <c r="AAM5">
        <v>1451906</v>
      </c>
      <c r="AAN5">
        <v>834163</v>
      </c>
      <c r="AAO5">
        <v>12596598</v>
      </c>
      <c r="AAP5">
        <v>6298299</v>
      </c>
      <c r="AAQ5">
        <v>6298299</v>
      </c>
      <c r="AAR5">
        <v>74345095</v>
      </c>
      <c r="AAS5">
        <v>9915873</v>
      </c>
      <c r="AAT5">
        <v>38044564</v>
      </c>
      <c r="AAU5">
        <v>16496050</v>
      </c>
      <c r="AAV5">
        <v>2164189</v>
      </c>
      <c r="AAW5">
        <v>6079455</v>
      </c>
      <c r="AAX5">
        <v>546810</v>
      </c>
      <c r="AAY5">
        <v>275672</v>
      </c>
      <c r="AAZ5">
        <v>275672</v>
      </c>
      <c r="ABA5">
        <v>546810</v>
      </c>
      <c r="ABB5">
        <v>126296645</v>
      </c>
      <c r="ABC5">
        <v>35700683</v>
      </c>
      <c r="ABD5">
        <v>60100312</v>
      </c>
      <c r="ABE5">
        <v>30495650</v>
      </c>
      <c r="ABF5">
        <v>3064100061</v>
      </c>
      <c r="ABG5">
        <v>711481147</v>
      </c>
      <c r="ABH5">
        <v>2686407772</v>
      </c>
      <c r="ABI5">
        <v>181784282</v>
      </c>
      <c r="ABJ5">
        <v>80947671</v>
      </c>
      <c r="ABK5">
        <v>2560111127</v>
      </c>
      <c r="ABL5">
        <v>227178923</v>
      </c>
      <c r="ABM5">
        <v>2836921138</v>
      </c>
      <c r="ABN5">
        <v>2163299424</v>
      </c>
      <c r="ABO5">
        <v>120648071</v>
      </c>
      <c r="ABP5">
        <v>308848382</v>
      </c>
      <c r="ABQ5">
        <v>159473833</v>
      </c>
    </row>
    <row r="6" spans="1:748">
      <c r="A6" t="s">
        <v>2077</v>
      </c>
      <c r="B6">
        <v>10000</v>
      </c>
      <c r="C6">
        <v>2626</v>
      </c>
      <c r="D6">
        <v>214</v>
      </c>
      <c r="E6">
        <v>62</v>
      </c>
      <c r="F6">
        <v>23</v>
      </c>
      <c r="G6">
        <v>39</v>
      </c>
      <c r="H6">
        <v>86</v>
      </c>
      <c r="I6">
        <v>32</v>
      </c>
      <c r="J6">
        <v>35</v>
      </c>
      <c r="K6">
        <v>18</v>
      </c>
      <c r="L6">
        <v>51</v>
      </c>
      <c r="M6">
        <v>10</v>
      </c>
      <c r="N6">
        <v>6</v>
      </c>
      <c r="O6">
        <v>4</v>
      </c>
      <c r="P6">
        <v>20</v>
      </c>
      <c r="Q6">
        <v>12</v>
      </c>
      <c r="R6">
        <v>15</v>
      </c>
      <c r="S6">
        <v>3</v>
      </c>
      <c r="T6">
        <v>7</v>
      </c>
      <c r="U6">
        <v>5</v>
      </c>
      <c r="V6">
        <v>199</v>
      </c>
      <c r="W6">
        <v>112</v>
      </c>
      <c r="X6">
        <v>22</v>
      </c>
      <c r="Y6">
        <v>4</v>
      </c>
      <c r="Z6">
        <v>2</v>
      </c>
      <c r="AA6">
        <v>6</v>
      </c>
      <c r="AB6">
        <v>21</v>
      </c>
      <c r="AC6">
        <v>4</v>
      </c>
      <c r="AD6">
        <v>3</v>
      </c>
      <c r="AE6">
        <v>4</v>
      </c>
      <c r="AF6">
        <v>12</v>
      </c>
      <c r="AG6">
        <v>7</v>
      </c>
      <c r="AH6">
        <v>5</v>
      </c>
      <c r="AI6">
        <v>12</v>
      </c>
      <c r="AJ6">
        <v>3</v>
      </c>
      <c r="AK6">
        <v>2</v>
      </c>
      <c r="AL6">
        <v>3</v>
      </c>
      <c r="AM6">
        <v>36</v>
      </c>
      <c r="AN6">
        <v>10</v>
      </c>
      <c r="AO6">
        <v>9</v>
      </c>
      <c r="AP6">
        <v>7</v>
      </c>
      <c r="AQ6">
        <v>3</v>
      </c>
      <c r="AR6">
        <v>2</v>
      </c>
      <c r="AS6">
        <v>2</v>
      </c>
      <c r="AT6">
        <v>4</v>
      </c>
      <c r="AU6">
        <v>22</v>
      </c>
      <c r="AV6">
        <v>7</v>
      </c>
      <c r="AW6">
        <v>5</v>
      </c>
      <c r="AX6">
        <v>10</v>
      </c>
      <c r="AY6">
        <v>29</v>
      </c>
      <c r="AZ6">
        <v>3</v>
      </c>
      <c r="BA6">
        <v>11</v>
      </c>
      <c r="BB6">
        <v>4</v>
      </c>
      <c r="BC6">
        <v>11</v>
      </c>
      <c r="BD6">
        <v>249</v>
      </c>
      <c r="BE6">
        <v>200</v>
      </c>
      <c r="BF6">
        <v>39</v>
      </c>
      <c r="BG6">
        <v>26</v>
      </c>
      <c r="BH6">
        <v>54</v>
      </c>
      <c r="BI6">
        <v>36</v>
      </c>
      <c r="BJ6">
        <v>45</v>
      </c>
      <c r="BK6">
        <v>49</v>
      </c>
      <c r="BL6">
        <v>14</v>
      </c>
      <c r="BM6">
        <v>21</v>
      </c>
      <c r="BN6">
        <v>8</v>
      </c>
      <c r="BO6">
        <v>6</v>
      </c>
      <c r="BP6">
        <v>126</v>
      </c>
      <c r="BQ6">
        <v>100</v>
      </c>
      <c r="BR6">
        <v>41</v>
      </c>
      <c r="BS6">
        <v>41</v>
      </c>
      <c r="BT6">
        <v>60</v>
      </c>
      <c r="BU6">
        <v>2</v>
      </c>
      <c r="BV6">
        <v>37</v>
      </c>
      <c r="BW6">
        <v>3</v>
      </c>
      <c r="BX6">
        <v>10</v>
      </c>
      <c r="BY6">
        <v>7</v>
      </c>
      <c r="BZ6">
        <v>25</v>
      </c>
      <c r="CA6">
        <v>25</v>
      </c>
      <c r="CB6">
        <v>285</v>
      </c>
      <c r="CC6">
        <v>188</v>
      </c>
      <c r="CD6">
        <v>10</v>
      </c>
      <c r="CE6">
        <v>7</v>
      </c>
      <c r="CF6">
        <v>4</v>
      </c>
      <c r="CG6">
        <v>11</v>
      </c>
      <c r="CH6">
        <v>9</v>
      </c>
      <c r="CI6">
        <v>8</v>
      </c>
      <c r="CJ6">
        <v>4</v>
      </c>
      <c r="CK6">
        <v>5</v>
      </c>
      <c r="CL6">
        <v>3</v>
      </c>
      <c r="CM6">
        <v>7</v>
      </c>
      <c r="CN6">
        <v>2</v>
      </c>
      <c r="CO6">
        <v>5</v>
      </c>
      <c r="CP6">
        <v>7</v>
      </c>
      <c r="CQ6">
        <v>3</v>
      </c>
      <c r="CR6">
        <v>10</v>
      </c>
      <c r="CS6">
        <v>3</v>
      </c>
      <c r="CT6">
        <v>5</v>
      </c>
      <c r="CU6">
        <v>2</v>
      </c>
      <c r="CV6">
        <v>3</v>
      </c>
      <c r="CW6">
        <v>3</v>
      </c>
      <c r="CX6">
        <v>5</v>
      </c>
      <c r="CY6">
        <v>10</v>
      </c>
      <c r="CZ6">
        <v>6</v>
      </c>
      <c r="DA6">
        <v>24</v>
      </c>
      <c r="DB6">
        <v>7</v>
      </c>
      <c r="DC6">
        <v>9</v>
      </c>
      <c r="DD6">
        <v>5</v>
      </c>
      <c r="DE6">
        <v>8</v>
      </c>
      <c r="DF6">
        <v>3</v>
      </c>
      <c r="DG6">
        <v>96</v>
      </c>
      <c r="DH6">
        <v>25</v>
      </c>
      <c r="DI6">
        <v>1</v>
      </c>
      <c r="DJ6">
        <v>11</v>
      </c>
      <c r="DK6">
        <v>6</v>
      </c>
      <c r="DL6">
        <v>3</v>
      </c>
      <c r="DM6">
        <v>3</v>
      </c>
      <c r="DN6">
        <v>36</v>
      </c>
      <c r="DO6">
        <v>15</v>
      </c>
      <c r="DP6">
        <v>8</v>
      </c>
      <c r="DQ6">
        <v>13</v>
      </c>
      <c r="DR6">
        <v>36</v>
      </c>
      <c r="DS6">
        <v>5</v>
      </c>
      <c r="DT6">
        <v>8</v>
      </c>
      <c r="DU6">
        <v>6</v>
      </c>
      <c r="DV6">
        <v>3</v>
      </c>
      <c r="DW6">
        <v>7</v>
      </c>
      <c r="DX6">
        <v>4</v>
      </c>
      <c r="DY6">
        <v>3</v>
      </c>
      <c r="DZ6">
        <v>105</v>
      </c>
      <c r="EA6">
        <v>96</v>
      </c>
      <c r="EB6">
        <v>13</v>
      </c>
      <c r="EC6">
        <v>15</v>
      </c>
      <c r="ED6">
        <v>2</v>
      </c>
      <c r="EE6">
        <v>2</v>
      </c>
      <c r="EF6">
        <v>5</v>
      </c>
      <c r="EG6">
        <v>3</v>
      </c>
      <c r="EH6">
        <v>6</v>
      </c>
      <c r="EI6">
        <v>3</v>
      </c>
      <c r="EJ6">
        <v>3</v>
      </c>
      <c r="EK6">
        <v>4</v>
      </c>
      <c r="EL6">
        <v>3</v>
      </c>
      <c r="EM6">
        <v>10</v>
      </c>
      <c r="EN6">
        <v>15</v>
      </c>
      <c r="EO6">
        <v>6</v>
      </c>
      <c r="EP6">
        <v>2</v>
      </c>
      <c r="EQ6">
        <v>4</v>
      </c>
      <c r="ER6">
        <v>9</v>
      </c>
      <c r="ES6">
        <v>9</v>
      </c>
      <c r="ET6">
        <v>121</v>
      </c>
      <c r="EU6">
        <v>13</v>
      </c>
      <c r="EV6">
        <v>11</v>
      </c>
      <c r="EW6">
        <v>2</v>
      </c>
      <c r="EX6">
        <v>108</v>
      </c>
      <c r="EY6">
        <v>2</v>
      </c>
      <c r="EZ6">
        <v>6</v>
      </c>
      <c r="FA6">
        <v>8</v>
      </c>
      <c r="FB6">
        <v>4</v>
      </c>
      <c r="FC6">
        <v>3</v>
      </c>
      <c r="FD6">
        <v>3</v>
      </c>
      <c r="FE6">
        <v>2</v>
      </c>
      <c r="FF6">
        <v>5</v>
      </c>
      <c r="FG6">
        <v>8</v>
      </c>
      <c r="FH6">
        <v>4</v>
      </c>
      <c r="FI6">
        <v>5</v>
      </c>
      <c r="FJ6">
        <v>13</v>
      </c>
      <c r="FK6">
        <v>9</v>
      </c>
      <c r="FL6">
        <v>6</v>
      </c>
      <c r="FM6">
        <v>6</v>
      </c>
      <c r="FN6">
        <v>12</v>
      </c>
      <c r="FO6">
        <v>9</v>
      </c>
      <c r="FP6">
        <v>5</v>
      </c>
      <c r="FQ6">
        <v>236</v>
      </c>
      <c r="FR6">
        <v>9</v>
      </c>
      <c r="FS6">
        <v>13</v>
      </c>
      <c r="FT6">
        <v>14</v>
      </c>
      <c r="FU6">
        <v>5</v>
      </c>
      <c r="FV6">
        <v>25</v>
      </c>
      <c r="FW6">
        <v>13</v>
      </c>
      <c r="FX6">
        <v>10</v>
      </c>
      <c r="FY6">
        <v>6</v>
      </c>
      <c r="FZ6">
        <v>10</v>
      </c>
      <c r="GA6">
        <v>20</v>
      </c>
      <c r="GB6">
        <v>14</v>
      </c>
      <c r="GC6">
        <v>18</v>
      </c>
      <c r="GD6">
        <v>8</v>
      </c>
      <c r="GE6">
        <v>30</v>
      </c>
      <c r="GF6">
        <v>35</v>
      </c>
      <c r="GG6">
        <v>3</v>
      </c>
      <c r="GH6">
        <v>3</v>
      </c>
      <c r="GI6">
        <v>352</v>
      </c>
      <c r="GJ6">
        <v>147</v>
      </c>
      <c r="GK6">
        <v>29</v>
      </c>
      <c r="GL6">
        <v>15</v>
      </c>
      <c r="GM6">
        <v>25</v>
      </c>
      <c r="GN6">
        <v>25</v>
      </c>
      <c r="GO6">
        <v>15</v>
      </c>
      <c r="GP6">
        <v>18</v>
      </c>
      <c r="GQ6">
        <v>7</v>
      </c>
      <c r="GR6">
        <v>5</v>
      </c>
      <c r="GS6">
        <v>5</v>
      </c>
      <c r="GT6">
        <v>5</v>
      </c>
      <c r="GU6">
        <v>204</v>
      </c>
      <c r="GV6">
        <v>9</v>
      </c>
      <c r="GW6">
        <v>19</v>
      </c>
      <c r="GX6">
        <v>12</v>
      </c>
      <c r="GY6">
        <v>13</v>
      </c>
      <c r="GZ6">
        <v>30</v>
      </c>
      <c r="HA6">
        <v>11</v>
      </c>
      <c r="HB6">
        <v>9</v>
      </c>
      <c r="HC6">
        <v>5</v>
      </c>
      <c r="HD6">
        <v>6</v>
      </c>
      <c r="HE6">
        <v>9</v>
      </c>
      <c r="HF6">
        <v>15</v>
      </c>
      <c r="HG6">
        <v>15</v>
      </c>
      <c r="HH6">
        <v>7</v>
      </c>
      <c r="HI6">
        <v>7</v>
      </c>
      <c r="HJ6">
        <v>10</v>
      </c>
      <c r="HK6">
        <v>2</v>
      </c>
      <c r="HL6">
        <v>10</v>
      </c>
      <c r="HM6">
        <v>10</v>
      </c>
      <c r="HN6">
        <v>5</v>
      </c>
      <c r="HO6">
        <v>163</v>
      </c>
      <c r="HP6">
        <v>38</v>
      </c>
      <c r="HQ6">
        <v>13</v>
      </c>
      <c r="HR6">
        <v>3</v>
      </c>
      <c r="HS6">
        <v>22</v>
      </c>
      <c r="HT6">
        <v>34</v>
      </c>
      <c r="HU6">
        <v>9</v>
      </c>
      <c r="HV6">
        <v>9</v>
      </c>
      <c r="HW6">
        <v>13</v>
      </c>
      <c r="HX6">
        <v>3</v>
      </c>
      <c r="HY6">
        <v>91</v>
      </c>
      <c r="HZ6">
        <v>7</v>
      </c>
      <c r="IA6">
        <v>7</v>
      </c>
      <c r="IB6">
        <v>14</v>
      </c>
      <c r="IC6">
        <v>20</v>
      </c>
      <c r="ID6">
        <v>3</v>
      </c>
      <c r="IE6">
        <v>15</v>
      </c>
      <c r="IF6">
        <v>10</v>
      </c>
      <c r="IG6">
        <v>3</v>
      </c>
      <c r="IH6">
        <v>5</v>
      </c>
      <c r="II6">
        <v>6</v>
      </c>
      <c r="IJ6">
        <v>119</v>
      </c>
      <c r="IK6">
        <v>16</v>
      </c>
      <c r="IL6">
        <v>18</v>
      </c>
      <c r="IM6">
        <v>31</v>
      </c>
      <c r="IN6">
        <v>8</v>
      </c>
      <c r="IO6">
        <v>6</v>
      </c>
      <c r="IP6">
        <v>3</v>
      </c>
      <c r="IQ6">
        <v>7</v>
      </c>
      <c r="IR6">
        <v>12</v>
      </c>
      <c r="IS6">
        <v>19</v>
      </c>
      <c r="IT6">
        <v>460</v>
      </c>
      <c r="IU6">
        <v>434</v>
      </c>
      <c r="IV6">
        <v>13</v>
      </c>
      <c r="IW6">
        <v>13</v>
      </c>
      <c r="IX6">
        <v>30</v>
      </c>
      <c r="IY6">
        <v>11</v>
      </c>
      <c r="IZ6">
        <v>25</v>
      </c>
      <c r="JA6">
        <v>37</v>
      </c>
      <c r="JB6">
        <v>13</v>
      </c>
      <c r="JC6">
        <v>19</v>
      </c>
      <c r="JD6">
        <v>13</v>
      </c>
      <c r="JE6">
        <v>26</v>
      </c>
      <c r="JF6">
        <v>7</v>
      </c>
      <c r="JG6">
        <v>15</v>
      </c>
      <c r="JH6">
        <v>20</v>
      </c>
      <c r="JI6">
        <v>28</v>
      </c>
      <c r="JJ6">
        <v>48</v>
      </c>
      <c r="JK6">
        <v>22</v>
      </c>
      <c r="JL6">
        <v>11</v>
      </c>
      <c r="JM6">
        <v>7</v>
      </c>
      <c r="JN6">
        <v>2</v>
      </c>
      <c r="JO6">
        <v>14</v>
      </c>
      <c r="JP6">
        <v>7</v>
      </c>
      <c r="JQ6">
        <v>32</v>
      </c>
      <c r="JR6">
        <v>21</v>
      </c>
      <c r="JS6">
        <v>25</v>
      </c>
      <c r="JT6">
        <v>17</v>
      </c>
      <c r="JU6">
        <v>8</v>
      </c>
      <c r="JV6">
        <v>2149</v>
      </c>
      <c r="JW6">
        <v>1833</v>
      </c>
      <c r="JX6">
        <v>225</v>
      </c>
      <c r="JY6">
        <v>225</v>
      </c>
      <c r="JZ6">
        <v>28</v>
      </c>
      <c r="KA6">
        <v>15</v>
      </c>
      <c r="KB6">
        <v>14</v>
      </c>
      <c r="KC6">
        <v>1580</v>
      </c>
      <c r="KD6">
        <v>1580</v>
      </c>
      <c r="KE6">
        <v>316</v>
      </c>
      <c r="KF6">
        <v>92</v>
      </c>
      <c r="KG6">
        <v>12</v>
      </c>
      <c r="KH6">
        <v>8</v>
      </c>
      <c r="KI6">
        <v>31</v>
      </c>
      <c r="KJ6">
        <v>24</v>
      </c>
      <c r="KK6">
        <v>4</v>
      </c>
      <c r="KL6">
        <v>13</v>
      </c>
      <c r="KM6">
        <v>224</v>
      </c>
      <c r="KN6">
        <v>2</v>
      </c>
      <c r="KO6">
        <v>16</v>
      </c>
      <c r="KP6">
        <v>8</v>
      </c>
      <c r="KQ6">
        <v>47</v>
      </c>
      <c r="KR6">
        <v>24</v>
      </c>
      <c r="KS6">
        <v>10</v>
      </c>
      <c r="KT6">
        <v>5</v>
      </c>
      <c r="KU6">
        <v>15</v>
      </c>
      <c r="KV6">
        <v>25</v>
      </c>
      <c r="KW6">
        <v>5</v>
      </c>
      <c r="KX6">
        <v>67</v>
      </c>
      <c r="KY6">
        <v>693</v>
      </c>
      <c r="KZ6">
        <v>341</v>
      </c>
      <c r="LA6">
        <v>341</v>
      </c>
      <c r="LB6">
        <v>151</v>
      </c>
      <c r="LC6">
        <v>94</v>
      </c>
      <c r="LD6">
        <v>57</v>
      </c>
      <c r="LE6">
        <v>38</v>
      </c>
      <c r="LF6">
        <v>38</v>
      </c>
      <c r="LG6">
        <v>163</v>
      </c>
      <c r="LH6">
        <v>97</v>
      </c>
      <c r="LI6">
        <v>67</v>
      </c>
      <c r="LJ6">
        <v>387</v>
      </c>
      <c r="LK6">
        <v>132</v>
      </c>
      <c r="LL6">
        <v>70</v>
      </c>
      <c r="LM6">
        <v>4</v>
      </c>
      <c r="LN6">
        <v>12</v>
      </c>
      <c r="LO6">
        <v>2</v>
      </c>
      <c r="LP6">
        <v>21</v>
      </c>
      <c r="LQ6">
        <v>9</v>
      </c>
      <c r="LR6">
        <v>10</v>
      </c>
      <c r="LS6">
        <v>10</v>
      </c>
      <c r="LT6">
        <v>45</v>
      </c>
      <c r="LU6">
        <v>38</v>
      </c>
      <c r="LV6">
        <v>5</v>
      </c>
      <c r="LW6">
        <v>3</v>
      </c>
      <c r="LX6">
        <v>18</v>
      </c>
      <c r="LY6">
        <v>5</v>
      </c>
      <c r="LZ6">
        <v>10</v>
      </c>
      <c r="MA6">
        <v>3</v>
      </c>
      <c r="MB6">
        <v>21</v>
      </c>
      <c r="MC6">
        <v>5</v>
      </c>
      <c r="MD6">
        <v>7</v>
      </c>
      <c r="ME6">
        <v>6</v>
      </c>
      <c r="MF6">
        <v>3</v>
      </c>
      <c r="MG6">
        <v>27</v>
      </c>
      <c r="MH6">
        <v>7</v>
      </c>
      <c r="MI6">
        <v>10</v>
      </c>
      <c r="MJ6">
        <v>2</v>
      </c>
      <c r="MK6">
        <v>2</v>
      </c>
      <c r="ML6">
        <v>7</v>
      </c>
      <c r="MM6">
        <v>74</v>
      </c>
      <c r="MN6">
        <v>9</v>
      </c>
      <c r="MO6">
        <v>3</v>
      </c>
      <c r="MP6">
        <v>5</v>
      </c>
      <c r="MQ6">
        <v>22</v>
      </c>
      <c r="MR6">
        <v>4</v>
      </c>
      <c r="MS6">
        <v>6</v>
      </c>
      <c r="MT6">
        <v>9</v>
      </c>
      <c r="MU6">
        <v>3</v>
      </c>
      <c r="MV6">
        <v>43</v>
      </c>
      <c r="MW6">
        <v>7</v>
      </c>
      <c r="MX6">
        <v>15</v>
      </c>
      <c r="MY6">
        <v>7</v>
      </c>
      <c r="MZ6">
        <v>4</v>
      </c>
      <c r="NA6">
        <v>11</v>
      </c>
      <c r="NB6">
        <v>105</v>
      </c>
      <c r="NC6">
        <v>24</v>
      </c>
      <c r="ND6">
        <v>9</v>
      </c>
      <c r="NE6">
        <v>14</v>
      </c>
      <c r="NF6">
        <v>30</v>
      </c>
      <c r="NG6">
        <v>12</v>
      </c>
      <c r="NH6">
        <v>17</v>
      </c>
      <c r="NI6">
        <v>52</v>
      </c>
      <c r="NJ6">
        <v>6</v>
      </c>
      <c r="NK6">
        <v>9</v>
      </c>
      <c r="NL6">
        <v>9</v>
      </c>
      <c r="NM6">
        <v>10</v>
      </c>
      <c r="NN6">
        <v>8</v>
      </c>
      <c r="NO6">
        <v>3</v>
      </c>
      <c r="NP6">
        <v>6</v>
      </c>
      <c r="NQ6">
        <v>28</v>
      </c>
      <c r="NR6">
        <v>4</v>
      </c>
      <c r="NS6">
        <v>4</v>
      </c>
      <c r="NT6">
        <v>17</v>
      </c>
      <c r="NU6">
        <v>5</v>
      </c>
      <c r="NV6">
        <v>12</v>
      </c>
      <c r="NW6">
        <v>7</v>
      </c>
      <c r="NX6">
        <v>7</v>
      </c>
      <c r="NY6">
        <v>353</v>
      </c>
      <c r="NZ6">
        <v>152</v>
      </c>
      <c r="OA6">
        <v>4</v>
      </c>
      <c r="OB6">
        <v>3</v>
      </c>
      <c r="OC6">
        <v>1</v>
      </c>
      <c r="OD6">
        <v>147</v>
      </c>
      <c r="OE6">
        <v>46</v>
      </c>
      <c r="OF6">
        <v>5</v>
      </c>
      <c r="OG6">
        <v>3</v>
      </c>
      <c r="OH6">
        <v>5</v>
      </c>
      <c r="OI6">
        <v>3</v>
      </c>
      <c r="OJ6">
        <v>6</v>
      </c>
      <c r="OK6">
        <v>7</v>
      </c>
      <c r="OL6">
        <v>6</v>
      </c>
      <c r="OM6">
        <v>2</v>
      </c>
      <c r="ON6">
        <v>5</v>
      </c>
      <c r="OO6">
        <v>4</v>
      </c>
      <c r="OP6">
        <v>81</v>
      </c>
      <c r="OQ6">
        <v>3</v>
      </c>
      <c r="OR6">
        <v>2</v>
      </c>
      <c r="OS6">
        <v>3</v>
      </c>
      <c r="OT6">
        <v>2</v>
      </c>
      <c r="OU6">
        <v>6</v>
      </c>
      <c r="OV6">
        <v>6</v>
      </c>
      <c r="OW6">
        <v>8</v>
      </c>
      <c r="OX6">
        <v>4</v>
      </c>
      <c r="OY6">
        <v>4</v>
      </c>
      <c r="OZ6">
        <v>10</v>
      </c>
      <c r="PA6">
        <v>16</v>
      </c>
      <c r="PB6">
        <v>11</v>
      </c>
      <c r="PC6">
        <v>5</v>
      </c>
      <c r="PD6">
        <v>20</v>
      </c>
      <c r="PE6">
        <v>7</v>
      </c>
      <c r="PF6">
        <v>11</v>
      </c>
      <c r="PG6">
        <v>2</v>
      </c>
      <c r="PH6">
        <v>105</v>
      </c>
      <c r="PI6">
        <v>71</v>
      </c>
      <c r="PJ6">
        <v>22</v>
      </c>
      <c r="PK6">
        <v>6</v>
      </c>
      <c r="PL6">
        <v>4</v>
      </c>
      <c r="PM6">
        <v>8</v>
      </c>
      <c r="PN6">
        <v>5</v>
      </c>
      <c r="PO6">
        <v>42</v>
      </c>
      <c r="PP6">
        <v>3</v>
      </c>
      <c r="PQ6">
        <v>5</v>
      </c>
      <c r="PR6">
        <v>8</v>
      </c>
      <c r="PS6">
        <v>12</v>
      </c>
      <c r="PT6">
        <v>11</v>
      </c>
      <c r="PU6">
        <v>3</v>
      </c>
      <c r="PV6">
        <v>6</v>
      </c>
      <c r="PW6">
        <v>3</v>
      </c>
      <c r="PX6">
        <v>3</v>
      </c>
      <c r="PY6">
        <v>34</v>
      </c>
      <c r="PZ6">
        <v>10</v>
      </c>
      <c r="QA6">
        <v>5</v>
      </c>
      <c r="QB6">
        <v>3</v>
      </c>
      <c r="QC6">
        <v>2</v>
      </c>
      <c r="QD6">
        <v>19</v>
      </c>
      <c r="QE6">
        <v>3</v>
      </c>
      <c r="QF6">
        <v>8</v>
      </c>
      <c r="QG6">
        <v>8</v>
      </c>
      <c r="QH6">
        <v>4</v>
      </c>
      <c r="QI6">
        <v>4</v>
      </c>
      <c r="QJ6">
        <v>48</v>
      </c>
      <c r="QK6">
        <v>10</v>
      </c>
      <c r="QL6">
        <v>16</v>
      </c>
      <c r="QM6">
        <v>8</v>
      </c>
      <c r="QN6">
        <v>10</v>
      </c>
      <c r="QO6">
        <v>1</v>
      </c>
      <c r="QP6">
        <v>2</v>
      </c>
      <c r="QQ6">
        <v>29</v>
      </c>
      <c r="QR6">
        <v>5</v>
      </c>
      <c r="QS6">
        <v>1</v>
      </c>
      <c r="QT6">
        <v>3</v>
      </c>
      <c r="QU6">
        <v>7</v>
      </c>
      <c r="QV6">
        <v>2</v>
      </c>
      <c r="QW6">
        <v>8</v>
      </c>
      <c r="QX6">
        <v>2</v>
      </c>
      <c r="QY6">
        <v>20</v>
      </c>
      <c r="QZ6">
        <v>7</v>
      </c>
      <c r="RA6">
        <v>7</v>
      </c>
      <c r="RB6">
        <v>2</v>
      </c>
      <c r="RC6">
        <v>3</v>
      </c>
      <c r="RD6">
        <v>477</v>
      </c>
      <c r="RE6">
        <v>128</v>
      </c>
      <c r="RF6">
        <v>11</v>
      </c>
      <c r="RG6">
        <v>5</v>
      </c>
      <c r="RH6">
        <v>9</v>
      </c>
      <c r="RI6">
        <v>4</v>
      </c>
      <c r="RJ6">
        <v>4</v>
      </c>
      <c r="RK6">
        <v>19</v>
      </c>
      <c r="RL6">
        <v>7</v>
      </c>
      <c r="RM6">
        <v>6</v>
      </c>
      <c r="RN6">
        <v>8</v>
      </c>
      <c r="RO6">
        <v>8</v>
      </c>
      <c r="RP6">
        <v>8</v>
      </c>
      <c r="RQ6">
        <v>19</v>
      </c>
      <c r="RR6">
        <v>19</v>
      </c>
      <c r="RS6">
        <v>91</v>
      </c>
      <c r="RT6">
        <v>5</v>
      </c>
      <c r="RU6">
        <v>5</v>
      </c>
      <c r="RV6">
        <v>7</v>
      </c>
      <c r="RW6">
        <v>3</v>
      </c>
      <c r="RX6">
        <v>3</v>
      </c>
      <c r="RY6">
        <v>20</v>
      </c>
      <c r="RZ6">
        <v>3</v>
      </c>
      <c r="SA6">
        <v>18</v>
      </c>
      <c r="SB6">
        <v>12</v>
      </c>
      <c r="SC6">
        <v>4</v>
      </c>
      <c r="SD6">
        <v>7</v>
      </c>
      <c r="SE6">
        <v>4</v>
      </c>
      <c r="SF6">
        <v>259</v>
      </c>
      <c r="SG6">
        <v>229</v>
      </c>
      <c r="SH6">
        <v>11</v>
      </c>
      <c r="SI6">
        <v>12</v>
      </c>
      <c r="SJ6">
        <v>8</v>
      </c>
      <c r="SK6">
        <v>1493</v>
      </c>
      <c r="SL6">
        <v>167</v>
      </c>
      <c r="SM6">
        <v>57</v>
      </c>
      <c r="SN6">
        <v>21</v>
      </c>
      <c r="SO6">
        <v>5</v>
      </c>
      <c r="SP6">
        <v>12</v>
      </c>
      <c r="SQ6">
        <v>4</v>
      </c>
      <c r="SR6">
        <v>14</v>
      </c>
      <c r="SS6">
        <v>40</v>
      </c>
      <c r="ST6">
        <v>17</v>
      </c>
      <c r="SU6">
        <v>4</v>
      </c>
      <c r="SV6">
        <v>19</v>
      </c>
      <c r="SW6">
        <v>43</v>
      </c>
      <c r="SX6">
        <v>11</v>
      </c>
      <c r="SY6">
        <v>4</v>
      </c>
      <c r="SZ6">
        <v>12</v>
      </c>
      <c r="TA6">
        <v>16</v>
      </c>
      <c r="TB6">
        <v>27</v>
      </c>
      <c r="TC6">
        <v>20</v>
      </c>
      <c r="TD6">
        <v>7</v>
      </c>
      <c r="TE6">
        <v>885</v>
      </c>
      <c r="TF6">
        <v>224</v>
      </c>
      <c r="TG6">
        <v>49</v>
      </c>
      <c r="TH6">
        <v>60</v>
      </c>
      <c r="TI6">
        <v>88</v>
      </c>
      <c r="TJ6">
        <v>27</v>
      </c>
      <c r="TK6">
        <v>11</v>
      </c>
      <c r="TL6">
        <v>6</v>
      </c>
      <c r="TM6">
        <v>4</v>
      </c>
      <c r="TN6">
        <v>650</v>
      </c>
      <c r="TO6">
        <v>182</v>
      </c>
      <c r="TP6">
        <v>38</v>
      </c>
      <c r="TQ6">
        <v>10</v>
      </c>
      <c r="TR6">
        <v>13</v>
      </c>
      <c r="TS6">
        <v>18</v>
      </c>
      <c r="TT6">
        <v>37</v>
      </c>
      <c r="TU6">
        <v>29</v>
      </c>
      <c r="TV6">
        <v>13</v>
      </c>
      <c r="TW6">
        <v>45</v>
      </c>
      <c r="TX6">
        <v>8</v>
      </c>
      <c r="TY6">
        <v>2</v>
      </c>
      <c r="TZ6">
        <v>7</v>
      </c>
      <c r="UA6">
        <v>2</v>
      </c>
      <c r="UB6">
        <v>3</v>
      </c>
      <c r="UC6">
        <v>44</v>
      </c>
      <c r="UD6">
        <v>198</v>
      </c>
      <c r="UE6">
        <v>441</v>
      </c>
      <c r="UF6">
        <v>2</v>
      </c>
      <c r="UG6">
        <v>5</v>
      </c>
      <c r="UH6">
        <v>55</v>
      </c>
      <c r="UI6">
        <v>271</v>
      </c>
      <c r="UJ6">
        <v>18</v>
      </c>
      <c r="UK6">
        <v>90</v>
      </c>
      <c r="UL6">
        <v>304</v>
      </c>
      <c r="UM6">
        <v>213</v>
      </c>
      <c r="UN6">
        <v>14</v>
      </c>
      <c r="UO6">
        <v>12</v>
      </c>
      <c r="UP6">
        <v>11</v>
      </c>
      <c r="UQ6">
        <v>19</v>
      </c>
      <c r="UR6">
        <v>37</v>
      </c>
      <c r="US6">
        <v>12</v>
      </c>
      <c r="UT6">
        <v>91</v>
      </c>
      <c r="UU6">
        <v>5</v>
      </c>
      <c r="UV6">
        <v>13</v>
      </c>
      <c r="UW6">
        <v>7</v>
      </c>
      <c r="UX6">
        <v>3</v>
      </c>
      <c r="UY6">
        <v>4</v>
      </c>
      <c r="UZ6">
        <v>84</v>
      </c>
      <c r="VA6">
        <v>24</v>
      </c>
      <c r="VB6">
        <v>36</v>
      </c>
      <c r="VC6">
        <v>23</v>
      </c>
      <c r="VD6">
        <v>911</v>
      </c>
      <c r="VE6">
        <v>77</v>
      </c>
      <c r="VF6">
        <v>23</v>
      </c>
      <c r="VG6">
        <v>5</v>
      </c>
      <c r="VH6">
        <v>11</v>
      </c>
      <c r="VI6">
        <v>19</v>
      </c>
      <c r="VJ6">
        <v>5</v>
      </c>
      <c r="VK6">
        <v>4</v>
      </c>
      <c r="VL6">
        <v>3</v>
      </c>
      <c r="VM6">
        <v>4</v>
      </c>
      <c r="VN6">
        <v>3</v>
      </c>
      <c r="VO6">
        <v>206</v>
      </c>
      <c r="VP6">
        <v>20</v>
      </c>
      <c r="VQ6">
        <v>5</v>
      </c>
      <c r="VR6">
        <v>11</v>
      </c>
      <c r="VS6">
        <v>5</v>
      </c>
      <c r="VT6">
        <v>49</v>
      </c>
      <c r="VU6">
        <v>8</v>
      </c>
      <c r="VV6">
        <v>1</v>
      </c>
      <c r="VW6">
        <v>3</v>
      </c>
      <c r="VX6">
        <v>4</v>
      </c>
      <c r="VY6">
        <v>16</v>
      </c>
      <c r="VZ6">
        <v>7</v>
      </c>
      <c r="WA6">
        <v>9</v>
      </c>
      <c r="WB6">
        <v>25</v>
      </c>
      <c r="WC6">
        <v>4</v>
      </c>
      <c r="WD6">
        <v>6</v>
      </c>
      <c r="WE6">
        <v>3</v>
      </c>
      <c r="WF6">
        <v>5</v>
      </c>
      <c r="WG6">
        <v>8</v>
      </c>
      <c r="WH6">
        <v>25</v>
      </c>
      <c r="WI6">
        <v>4</v>
      </c>
      <c r="WJ6">
        <v>14</v>
      </c>
      <c r="WK6">
        <v>7</v>
      </c>
      <c r="WL6">
        <v>86</v>
      </c>
      <c r="WM6">
        <v>2</v>
      </c>
      <c r="WN6">
        <v>3</v>
      </c>
      <c r="WO6">
        <v>3</v>
      </c>
      <c r="WP6">
        <v>12</v>
      </c>
      <c r="WQ6">
        <v>12</v>
      </c>
      <c r="WR6">
        <v>17</v>
      </c>
      <c r="WS6">
        <v>11</v>
      </c>
      <c r="WT6">
        <v>5</v>
      </c>
      <c r="WU6">
        <v>8</v>
      </c>
      <c r="WV6">
        <v>6</v>
      </c>
      <c r="WW6">
        <v>6</v>
      </c>
      <c r="WX6">
        <v>110</v>
      </c>
      <c r="WY6">
        <v>76</v>
      </c>
      <c r="WZ6">
        <v>34</v>
      </c>
      <c r="XA6">
        <v>43</v>
      </c>
      <c r="XB6">
        <v>9</v>
      </c>
      <c r="XC6">
        <v>7</v>
      </c>
      <c r="XD6">
        <v>2</v>
      </c>
      <c r="XE6">
        <v>25</v>
      </c>
      <c r="XF6">
        <v>11</v>
      </c>
      <c r="XG6">
        <v>14</v>
      </c>
      <c r="XH6">
        <v>518</v>
      </c>
      <c r="XI6">
        <v>81</v>
      </c>
      <c r="XJ6">
        <v>81</v>
      </c>
      <c r="XK6">
        <v>25</v>
      </c>
      <c r="XL6">
        <v>25</v>
      </c>
      <c r="XM6">
        <v>90</v>
      </c>
      <c r="XN6">
        <v>11</v>
      </c>
      <c r="XO6">
        <v>9</v>
      </c>
      <c r="XP6">
        <v>16</v>
      </c>
      <c r="XQ6">
        <v>9</v>
      </c>
      <c r="XR6">
        <v>28</v>
      </c>
      <c r="XS6">
        <v>7</v>
      </c>
      <c r="XT6">
        <v>10</v>
      </c>
      <c r="XU6">
        <v>321</v>
      </c>
      <c r="XV6">
        <v>81</v>
      </c>
      <c r="XW6">
        <v>42</v>
      </c>
      <c r="XX6">
        <v>33</v>
      </c>
      <c r="XY6">
        <v>6</v>
      </c>
      <c r="XZ6">
        <v>101</v>
      </c>
      <c r="YA6">
        <v>9</v>
      </c>
      <c r="YB6">
        <v>7</v>
      </c>
      <c r="YC6">
        <v>1</v>
      </c>
      <c r="YD6">
        <v>4</v>
      </c>
      <c r="YE6">
        <v>6</v>
      </c>
      <c r="YF6">
        <v>26</v>
      </c>
      <c r="YG6">
        <v>3</v>
      </c>
      <c r="YH6">
        <v>3</v>
      </c>
      <c r="YI6">
        <v>17</v>
      </c>
      <c r="YJ6">
        <v>6</v>
      </c>
      <c r="YK6">
        <v>13</v>
      </c>
      <c r="YL6">
        <v>3</v>
      </c>
      <c r="YM6">
        <v>140</v>
      </c>
      <c r="YN6">
        <v>10</v>
      </c>
      <c r="YO6">
        <v>3</v>
      </c>
      <c r="YP6">
        <v>88</v>
      </c>
      <c r="YQ6">
        <v>5</v>
      </c>
      <c r="YR6">
        <v>24</v>
      </c>
      <c r="YS6">
        <v>9</v>
      </c>
      <c r="YT6">
        <v>607</v>
      </c>
      <c r="YU6">
        <v>110</v>
      </c>
      <c r="YV6">
        <v>9</v>
      </c>
      <c r="YW6">
        <v>26</v>
      </c>
      <c r="YX6">
        <v>17</v>
      </c>
      <c r="YY6">
        <v>34</v>
      </c>
      <c r="YZ6">
        <v>15</v>
      </c>
      <c r="ZA6">
        <v>9</v>
      </c>
      <c r="ZB6">
        <v>161</v>
      </c>
      <c r="ZC6">
        <v>12</v>
      </c>
      <c r="ZD6">
        <v>6</v>
      </c>
      <c r="ZE6">
        <v>6</v>
      </c>
      <c r="ZF6">
        <v>48</v>
      </c>
      <c r="ZG6">
        <v>5</v>
      </c>
      <c r="ZH6">
        <v>5</v>
      </c>
      <c r="ZI6">
        <v>5</v>
      </c>
      <c r="ZJ6">
        <v>4</v>
      </c>
      <c r="ZK6">
        <v>11</v>
      </c>
      <c r="ZL6">
        <v>8</v>
      </c>
      <c r="ZM6">
        <v>10</v>
      </c>
      <c r="ZN6">
        <v>101</v>
      </c>
      <c r="ZO6">
        <v>7</v>
      </c>
      <c r="ZP6">
        <v>6</v>
      </c>
      <c r="ZQ6">
        <v>20</v>
      </c>
      <c r="ZR6">
        <v>5</v>
      </c>
      <c r="ZS6">
        <v>16</v>
      </c>
      <c r="ZT6">
        <v>5</v>
      </c>
      <c r="ZU6">
        <v>7</v>
      </c>
      <c r="ZV6">
        <v>2</v>
      </c>
      <c r="ZW6">
        <v>11</v>
      </c>
      <c r="ZX6">
        <v>2</v>
      </c>
      <c r="ZY6">
        <v>3</v>
      </c>
      <c r="ZZ6">
        <v>2</v>
      </c>
      <c r="AAA6">
        <v>9</v>
      </c>
      <c r="AAB6">
        <v>8</v>
      </c>
      <c r="AAC6">
        <v>63</v>
      </c>
      <c r="AAD6">
        <v>43</v>
      </c>
      <c r="AAE6">
        <v>14</v>
      </c>
      <c r="AAF6">
        <v>16</v>
      </c>
      <c r="AAG6">
        <v>9</v>
      </c>
      <c r="AAH6">
        <v>5</v>
      </c>
      <c r="AAI6">
        <v>13</v>
      </c>
      <c r="AAJ6">
        <v>4</v>
      </c>
      <c r="AAK6">
        <v>9</v>
      </c>
      <c r="AAL6">
        <v>7</v>
      </c>
      <c r="AAM6">
        <v>5</v>
      </c>
      <c r="AAN6">
        <v>3</v>
      </c>
      <c r="AAO6">
        <v>39</v>
      </c>
      <c r="AAP6">
        <v>20</v>
      </c>
      <c r="AAQ6">
        <v>20</v>
      </c>
      <c r="AAR6">
        <v>233</v>
      </c>
      <c r="AAS6">
        <v>31</v>
      </c>
      <c r="AAT6">
        <v>119</v>
      </c>
      <c r="AAU6">
        <v>52</v>
      </c>
      <c r="AAV6">
        <v>7</v>
      </c>
      <c r="AAW6">
        <v>19</v>
      </c>
      <c r="AAX6">
        <v>2</v>
      </c>
      <c r="AAY6">
        <v>1</v>
      </c>
      <c r="AAZ6">
        <v>1</v>
      </c>
      <c r="ABA6">
        <v>2</v>
      </c>
      <c r="ABB6">
        <v>396</v>
      </c>
      <c r="ABC6">
        <v>112</v>
      </c>
      <c r="ABD6">
        <v>188</v>
      </c>
      <c r="ABE6">
        <v>96</v>
      </c>
      <c r="ABF6">
        <v>9604</v>
      </c>
      <c r="ABG6">
        <v>2230</v>
      </c>
      <c r="ABH6">
        <v>8420</v>
      </c>
      <c r="ABI6">
        <v>570</v>
      </c>
      <c r="ABJ6">
        <v>254</v>
      </c>
      <c r="ABK6">
        <v>8024</v>
      </c>
      <c r="ABL6">
        <v>712</v>
      </c>
      <c r="ABM6">
        <v>8892</v>
      </c>
      <c r="ABN6">
        <v>6781</v>
      </c>
      <c r="ABO6">
        <v>378</v>
      </c>
      <c r="ABP6">
        <v>968</v>
      </c>
      <c r="ABQ6">
        <v>500</v>
      </c>
    </row>
    <row r="7" spans="1:748">
      <c r="A7">
        <v>1970</v>
      </c>
      <c r="B7">
        <v>31.4</v>
      </c>
      <c r="C7">
        <v>29.1</v>
      </c>
      <c r="D7">
        <v>33.799999999999997</v>
      </c>
      <c r="E7">
        <v>41.9</v>
      </c>
      <c r="H7">
        <v>26.5</v>
      </c>
      <c r="I7">
        <v>28.1</v>
      </c>
      <c r="J7">
        <v>23.4</v>
      </c>
      <c r="L7">
        <v>24.6</v>
      </c>
      <c r="N7">
        <v>18.600000000000001</v>
      </c>
      <c r="P7">
        <v>28.7</v>
      </c>
      <c r="R7">
        <v>37</v>
      </c>
      <c r="S7">
        <v>29.8</v>
      </c>
      <c r="V7">
        <v>21.2</v>
      </c>
      <c r="W7">
        <v>23</v>
      </c>
      <c r="X7">
        <v>31.3</v>
      </c>
      <c r="Y7">
        <v>26.7</v>
      </c>
      <c r="Z7">
        <v>35.4</v>
      </c>
      <c r="AA7">
        <v>26.2</v>
      </c>
      <c r="AB7">
        <v>27.5</v>
      </c>
      <c r="AC7">
        <v>14.6</v>
      </c>
      <c r="AD7">
        <v>33.6</v>
      </c>
      <c r="AE7">
        <v>36.5</v>
      </c>
      <c r="AF7">
        <v>36.9</v>
      </c>
      <c r="AG7">
        <v>14.7</v>
      </c>
      <c r="AH7">
        <v>18.8</v>
      </c>
      <c r="AJ7">
        <v>7.6</v>
      </c>
      <c r="AK7">
        <v>19.899999999999999</v>
      </c>
      <c r="AM7">
        <v>20.7</v>
      </c>
      <c r="AN7">
        <v>26.1</v>
      </c>
      <c r="AO7">
        <v>18.399999999999999</v>
      </c>
      <c r="AP7">
        <v>16.3</v>
      </c>
      <c r="AR7">
        <v>19.3</v>
      </c>
      <c r="AU7">
        <v>18.600000000000001</v>
      </c>
      <c r="AV7">
        <v>13.8</v>
      </c>
      <c r="AW7">
        <v>16.7</v>
      </c>
      <c r="AX7">
        <v>23</v>
      </c>
      <c r="AY7">
        <v>18.2</v>
      </c>
      <c r="AZ7">
        <v>29.6</v>
      </c>
      <c r="BD7">
        <v>34.5</v>
      </c>
      <c r="BE7">
        <v>32.5</v>
      </c>
      <c r="BF7">
        <v>19.7</v>
      </c>
      <c r="BH7">
        <v>34.799999999999997</v>
      </c>
      <c r="BJ7">
        <v>48.7</v>
      </c>
      <c r="BK7">
        <v>43.8</v>
      </c>
      <c r="BM7">
        <v>40.9</v>
      </c>
      <c r="BP7">
        <v>45.7</v>
      </c>
      <c r="BQ7">
        <v>39.700000000000003</v>
      </c>
      <c r="BR7">
        <v>39.6</v>
      </c>
      <c r="BT7">
        <v>40.9</v>
      </c>
      <c r="BU7">
        <v>25</v>
      </c>
      <c r="BW7">
        <v>35.200000000000003</v>
      </c>
      <c r="BX7">
        <v>37.1</v>
      </c>
      <c r="BZ7">
        <v>59.1</v>
      </c>
      <c r="CA7">
        <v>59.1</v>
      </c>
      <c r="CB7">
        <v>24.1</v>
      </c>
      <c r="CC7">
        <v>25.9</v>
      </c>
      <c r="CD7">
        <v>36.299999999999997</v>
      </c>
      <c r="CE7">
        <v>12.5</v>
      </c>
      <c r="CF7">
        <v>23.6</v>
      </c>
      <c r="CG7">
        <v>15.6</v>
      </c>
      <c r="CH7">
        <v>40.200000000000003</v>
      </c>
      <c r="CL7">
        <v>18.899999999999999</v>
      </c>
      <c r="CM7">
        <v>22.5</v>
      </c>
      <c r="CN7">
        <v>18.3</v>
      </c>
      <c r="CO7">
        <v>33.1</v>
      </c>
      <c r="CP7">
        <v>27.5</v>
      </c>
      <c r="CQ7">
        <v>19.5</v>
      </c>
      <c r="CR7">
        <v>42.4</v>
      </c>
      <c r="CS7">
        <v>28.4</v>
      </c>
      <c r="CX7">
        <v>22.7</v>
      </c>
      <c r="CY7">
        <v>26.8</v>
      </c>
      <c r="CZ7">
        <v>22.6</v>
      </c>
      <c r="DA7">
        <v>26</v>
      </c>
      <c r="DB7">
        <v>17.3</v>
      </c>
      <c r="DG7">
        <v>21.8</v>
      </c>
      <c r="DH7">
        <v>24.7</v>
      </c>
      <c r="DI7">
        <v>23.2</v>
      </c>
      <c r="DJ7">
        <v>45.9</v>
      </c>
      <c r="DK7">
        <v>19.899999999999999</v>
      </c>
      <c r="DL7">
        <v>11.2</v>
      </c>
      <c r="DN7">
        <v>26.4</v>
      </c>
      <c r="DO7">
        <v>26.7</v>
      </c>
      <c r="DP7">
        <v>23.7</v>
      </c>
      <c r="DQ7">
        <v>28</v>
      </c>
      <c r="DR7">
        <v>16.5</v>
      </c>
      <c r="DS7">
        <v>21.3</v>
      </c>
      <c r="DT7">
        <v>16.7</v>
      </c>
      <c r="DU7">
        <v>17.399999999999999</v>
      </c>
      <c r="DX7">
        <v>11.9</v>
      </c>
      <c r="DZ7">
        <v>27.9</v>
      </c>
      <c r="EA7">
        <v>27.2</v>
      </c>
      <c r="EB7">
        <v>25.7</v>
      </c>
      <c r="EC7">
        <v>20.9</v>
      </c>
      <c r="EF7">
        <v>16.8</v>
      </c>
      <c r="EG7">
        <v>32.4</v>
      </c>
      <c r="EI7">
        <v>26.6</v>
      </c>
      <c r="EJ7">
        <v>15.6</v>
      </c>
      <c r="EK7">
        <v>22.8</v>
      </c>
      <c r="EM7">
        <v>27.2</v>
      </c>
      <c r="EN7">
        <v>59.1</v>
      </c>
      <c r="ER7">
        <v>50.5</v>
      </c>
      <c r="ET7">
        <v>47.9</v>
      </c>
      <c r="EU7">
        <v>68.7</v>
      </c>
      <c r="EV7">
        <v>75.599999999999994</v>
      </c>
      <c r="EW7">
        <v>49</v>
      </c>
      <c r="EX7">
        <v>45.1</v>
      </c>
      <c r="EY7">
        <v>25.7</v>
      </c>
      <c r="EZ7">
        <v>44.1</v>
      </c>
      <c r="FA7">
        <v>38.9</v>
      </c>
      <c r="FB7">
        <v>63.7</v>
      </c>
      <c r="FC7">
        <v>48.9</v>
      </c>
      <c r="FD7">
        <v>52.1</v>
      </c>
      <c r="FE7">
        <v>66.599999999999994</v>
      </c>
      <c r="FF7">
        <v>57.5</v>
      </c>
      <c r="FI7">
        <v>36.299999999999997</v>
      </c>
      <c r="FJ7">
        <v>36.6</v>
      </c>
      <c r="FQ7">
        <v>26.9</v>
      </c>
      <c r="FR7">
        <v>18.2</v>
      </c>
      <c r="FU7">
        <v>27.7</v>
      </c>
      <c r="FY7">
        <v>29.6</v>
      </c>
      <c r="GA7">
        <v>37.700000000000003</v>
      </c>
      <c r="GB7">
        <v>25.4</v>
      </c>
      <c r="GD7">
        <v>24.6</v>
      </c>
      <c r="GE7">
        <v>52.9</v>
      </c>
      <c r="GF7">
        <v>34.9</v>
      </c>
      <c r="GG7">
        <v>38.4</v>
      </c>
      <c r="GH7">
        <v>32.299999999999997</v>
      </c>
      <c r="GI7">
        <v>24.6</v>
      </c>
      <c r="GU7">
        <v>24.2</v>
      </c>
      <c r="GV7">
        <v>18.2</v>
      </c>
      <c r="GW7">
        <v>17.899999999999999</v>
      </c>
      <c r="GX7">
        <v>21.8</v>
      </c>
      <c r="HO7">
        <v>53.4</v>
      </c>
      <c r="HP7">
        <v>41.4</v>
      </c>
      <c r="HQ7">
        <v>29.2</v>
      </c>
      <c r="HR7">
        <v>66.400000000000006</v>
      </c>
      <c r="HT7">
        <v>52.8</v>
      </c>
      <c r="HU7">
        <v>49.6</v>
      </c>
      <c r="HY7">
        <v>59.6</v>
      </c>
      <c r="IA7">
        <v>72.5</v>
      </c>
      <c r="IC7">
        <v>71.900000000000006</v>
      </c>
      <c r="IJ7">
        <v>44.1</v>
      </c>
      <c r="IK7">
        <v>46</v>
      </c>
      <c r="IL7">
        <v>28.4</v>
      </c>
      <c r="IM7">
        <v>42.4</v>
      </c>
      <c r="IO7">
        <v>66.8</v>
      </c>
      <c r="IT7">
        <v>23.3</v>
      </c>
      <c r="IU7">
        <v>23.1</v>
      </c>
      <c r="IV7">
        <v>14.1</v>
      </c>
      <c r="IX7">
        <v>16.600000000000001</v>
      </c>
      <c r="JA7">
        <v>21</v>
      </c>
      <c r="JC7">
        <v>20.8</v>
      </c>
      <c r="JO7">
        <v>22.8</v>
      </c>
      <c r="JQ7">
        <v>28.9</v>
      </c>
      <c r="JV7">
        <v>26.9</v>
      </c>
      <c r="JW7">
        <v>29.2</v>
      </c>
      <c r="JX7">
        <v>33.4</v>
      </c>
      <c r="JY7">
        <v>33.4</v>
      </c>
      <c r="JZ7">
        <v>20.399999999999999</v>
      </c>
      <c r="KA7">
        <v>21.5</v>
      </c>
      <c r="KB7">
        <v>19.2</v>
      </c>
      <c r="KC7">
        <v>28.6</v>
      </c>
      <c r="KD7">
        <v>28.6</v>
      </c>
      <c r="KE7">
        <v>18.899999999999999</v>
      </c>
      <c r="KF7">
        <v>32.200000000000003</v>
      </c>
      <c r="KL7">
        <v>16.7</v>
      </c>
      <c r="KM7">
        <v>16.5</v>
      </c>
      <c r="KN7">
        <v>18</v>
      </c>
      <c r="KO7">
        <v>6.4</v>
      </c>
      <c r="KP7">
        <v>13.9</v>
      </c>
      <c r="KT7">
        <v>14</v>
      </c>
      <c r="KU7">
        <v>15.8</v>
      </c>
      <c r="KX7">
        <v>41.7</v>
      </c>
      <c r="KY7">
        <v>30.6</v>
      </c>
      <c r="KZ7">
        <v>54.9</v>
      </c>
      <c r="LA7">
        <v>54.9</v>
      </c>
      <c r="LB7">
        <v>26.2</v>
      </c>
      <c r="LC7">
        <v>32.5</v>
      </c>
      <c r="LD7">
        <v>19.600000000000001</v>
      </c>
      <c r="LE7">
        <v>18.3</v>
      </c>
      <c r="LF7">
        <v>20</v>
      </c>
      <c r="LH7">
        <v>19.899999999999999</v>
      </c>
      <c r="LJ7">
        <v>73.3</v>
      </c>
      <c r="LK7">
        <v>211.5</v>
      </c>
      <c r="LL7">
        <v>597.1</v>
      </c>
      <c r="LN7">
        <v>228.3</v>
      </c>
      <c r="LO7">
        <v>97.8</v>
      </c>
      <c r="LP7">
        <v>2122.9</v>
      </c>
      <c r="LQ7">
        <v>664.3</v>
      </c>
      <c r="LT7">
        <v>199.2</v>
      </c>
      <c r="LV7">
        <v>92.7</v>
      </c>
      <c r="LX7">
        <v>32.799999999999997</v>
      </c>
      <c r="MB7">
        <v>73.400000000000006</v>
      </c>
      <c r="MD7">
        <v>114.6</v>
      </c>
      <c r="ME7">
        <v>35.799999999999997</v>
      </c>
      <c r="MG7">
        <v>59.2</v>
      </c>
      <c r="MI7">
        <v>89.5</v>
      </c>
      <c r="MJ7">
        <v>33.5</v>
      </c>
      <c r="MM7">
        <v>28.9</v>
      </c>
      <c r="MN7">
        <v>19.899999999999999</v>
      </c>
      <c r="MO7">
        <v>15.3</v>
      </c>
      <c r="MP7">
        <v>22.7</v>
      </c>
      <c r="MQ7">
        <v>31</v>
      </c>
      <c r="MS7">
        <v>26.6</v>
      </c>
      <c r="MU7">
        <v>21.1</v>
      </c>
      <c r="MV7">
        <v>37</v>
      </c>
      <c r="MW7">
        <v>64.3</v>
      </c>
      <c r="MX7">
        <v>28.2</v>
      </c>
      <c r="NB7">
        <v>67</v>
      </c>
      <c r="NC7">
        <v>55.7</v>
      </c>
      <c r="NF7">
        <v>91.1</v>
      </c>
      <c r="NG7">
        <v>100.1</v>
      </c>
      <c r="NH7">
        <v>103.9</v>
      </c>
      <c r="NI7">
        <v>59.3</v>
      </c>
      <c r="NL7">
        <v>60.5</v>
      </c>
      <c r="NQ7">
        <v>18.3</v>
      </c>
      <c r="NR7">
        <v>16.5</v>
      </c>
      <c r="NS7">
        <v>16.5</v>
      </c>
      <c r="NT7">
        <v>18</v>
      </c>
      <c r="NY7">
        <v>28.3</v>
      </c>
      <c r="NZ7">
        <v>26.4</v>
      </c>
      <c r="OA7">
        <v>22.9</v>
      </c>
      <c r="OB7">
        <v>21</v>
      </c>
      <c r="OC7">
        <v>20.6</v>
      </c>
      <c r="OD7">
        <v>27.9</v>
      </c>
      <c r="OE7">
        <v>30.6</v>
      </c>
      <c r="OF7">
        <v>28.2</v>
      </c>
      <c r="OH7">
        <v>34.4</v>
      </c>
      <c r="OK7">
        <v>28</v>
      </c>
      <c r="OL7">
        <v>27.9</v>
      </c>
      <c r="ON7">
        <v>33</v>
      </c>
      <c r="OO7">
        <v>22.9</v>
      </c>
      <c r="OP7">
        <v>18.399999999999999</v>
      </c>
      <c r="OS7">
        <v>18.899999999999999</v>
      </c>
      <c r="OU7">
        <v>12.4</v>
      </c>
      <c r="PB7">
        <v>19.7</v>
      </c>
      <c r="PH7">
        <v>31.1</v>
      </c>
      <c r="PI7">
        <v>29.8</v>
      </c>
      <c r="PJ7">
        <v>33.799999999999997</v>
      </c>
      <c r="PK7">
        <v>43.4</v>
      </c>
      <c r="PO7">
        <v>25.6</v>
      </c>
      <c r="PT7">
        <v>25.1</v>
      </c>
      <c r="PY7">
        <v>31.1</v>
      </c>
      <c r="PZ7">
        <v>39</v>
      </c>
      <c r="QA7">
        <v>37.9</v>
      </c>
      <c r="QB7">
        <v>37</v>
      </c>
      <c r="QD7">
        <v>24.7</v>
      </c>
      <c r="QF7">
        <v>36.9</v>
      </c>
      <c r="QG7">
        <v>21.9</v>
      </c>
      <c r="QH7">
        <v>35.4</v>
      </c>
      <c r="QJ7">
        <v>27.2</v>
      </c>
      <c r="QK7">
        <v>30.1</v>
      </c>
      <c r="QL7">
        <v>26.5</v>
      </c>
      <c r="QM7">
        <v>22.5</v>
      </c>
      <c r="QN7">
        <v>31.3</v>
      </c>
      <c r="QO7">
        <v>25.6</v>
      </c>
      <c r="QQ7">
        <v>38.4</v>
      </c>
      <c r="QR7">
        <v>21.6</v>
      </c>
      <c r="QS7">
        <v>42.7</v>
      </c>
      <c r="QU7">
        <v>40</v>
      </c>
      <c r="QV7">
        <v>115.7</v>
      </c>
      <c r="QW7">
        <v>46.8</v>
      </c>
      <c r="QY7">
        <v>24.2</v>
      </c>
      <c r="QZ7">
        <v>20.8</v>
      </c>
      <c r="RA7">
        <v>31</v>
      </c>
      <c r="RB7">
        <v>13.2</v>
      </c>
      <c r="RD7">
        <v>37.9</v>
      </c>
      <c r="RE7">
        <v>49</v>
      </c>
      <c r="RF7">
        <v>33.6</v>
      </c>
      <c r="RI7">
        <v>61.7</v>
      </c>
      <c r="RL7">
        <v>32.200000000000003</v>
      </c>
      <c r="RM7">
        <v>34.9</v>
      </c>
      <c r="RS7">
        <v>52.4</v>
      </c>
      <c r="RV7">
        <v>62.2</v>
      </c>
      <c r="SF7">
        <v>27.1</v>
      </c>
      <c r="SG7">
        <v>32.700000000000003</v>
      </c>
      <c r="SK7">
        <v>40</v>
      </c>
      <c r="SL7">
        <v>19.8</v>
      </c>
      <c r="SM7">
        <v>25.1</v>
      </c>
      <c r="SS7">
        <v>19.3</v>
      </c>
      <c r="SX7">
        <v>13.1</v>
      </c>
      <c r="SZ7">
        <v>16.600000000000001</v>
      </c>
      <c r="TA7">
        <v>45.1</v>
      </c>
      <c r="TE7">
        <v>46.5</v>
      </c>
      <c r="TF7">
        <v>60.7</v>
      </c>
      <c r="TK7">
        <v>55.6</v>
      </c>
      <c r="TL7">
        <v>53.7</v>
      </c>
      <c r="TN7">
        <v>38.700000000000003</v>
      </c>
      <c r="TO7">
        <v>37.799999999999997</v>
      </c>
      <c r="TP7">
        <v>46.3</v>
      </c>
      <c r="TT7">
        <v>43</v>
      </c>
      <c r="TU7">
        <v>15.2</v>
      </c>
      <c r="TV7">
        <v>33.200000000000003</v>
      </c>
      <c r="TY7">
        <v>19.7</v>
      </c>
      <c r="UC7">
        <v>132.69999999999999</v>
      </c>
      <c r="UE7">
        <v>87.1</v>
      </c>
      <c r="UH7">
        <v>89.1</v>
      </c>
      <c r="UL7">
        <v>15.2</v>
      </c>
      <c r="UM7">
        <v>14.2</v>
      </c>
      <c r="UN7">
        <v>22.3</v>
      </c>
      <c r="UO7">
        <v>26.9</v>
      </c>
      <c r="UP7">
        <v>11.5</v>
      </c>
      <c r="UQ7">
        <v>28.7</v>
      </c>
      <c r="UR7">
        <v>14.3</v>
      </c>
      <c r="US7">
        <v>2.2999999999999998</v>
      </c>
      <c r="UT7">
        <v>10.5</v>
      </c>
      <c r="UW7">
        <v>26.6</v>
      </c>
      <c r="UY7">
        <v>25.3</v>
      </c>
      <c r="VD7">
        <v>39</v>
      </c>
      <c r="VE7">
        <v>2008.3</v>
      </c>
      <c r="VL7">
        <v>3233.5</v>
      </c>
      <c r="VM7">
        <v>36</v>
      </c>
      <c r="VO7">
        <v>36.799999999999997</v>
      </c>
      <c r="VP7">
        <v>30.4</v>
      </c>
      <c r="VQ7">
        <v>60.1</v>
      </c>
      <c r="VR7">
        <v>23.7</v>
      </c>
      <c r="VT7">
        <v>38.700000000000003</v>
      </c>
      <c r="VV7">
        <v>17.399999999999999</v>
      </c>
      <c r="VY7">
        <v>51.4</v>
      </c>
      <c r="WB7">
        <v>69.599999999999994</v>
      </c>
      <c r="WE7">
        <v>55.5</v>
      </c>
      <c r="WH7">
        <v>18.100000000000001</v>
      </c>
      <c r="WI7">
        <v>17.600000000000001</v>
      </c>
      <c r="WJ7">
        <v>19.600000000000001</v>
      </c>
      <c r="WL7">
        <v>58</v>
      </c>
      <c r="WX7">
        <v>18.5</v>
      </c>
      <c r="WY7">
        <v>17.5</v>
      </c>
      <c r="XB7">
        <v>24</v>
      </c>
      <c r="XD7">
        <v>18.600000000000001</v>
      </c>
      <c r="XE7">
        <v>17.8</v>
      </c>
      <c r="XF7">
        <v>17</v>
      </c>
      <c r="XH7">
        <v>24.5</v>
      </c>
      <c r="XI7">
        <v>28.5</v>
      </c>
      <c r="XJ7">
        <v>28.5</v>
      </c>
      <c r="XM7">
        <v>14.2</v>
      </c>
      <c r="XT7">
        <v>15.7</v>
      </c>
      <c r="XU7">
        <v>42.6</v>
      </c>
      <c r="XV7">
        <v>34.799999999999997</v>
      </c>
      <c r="XW7">
        <v>35.6</v>
      </c>
      <c r="XZ7">
        <v>34.5</v>
      </c>
      <c r="YA7">
        <v>26.2</v>
      </c>
      <c r="YD7">
        <v>12.1</v>
      </c>
      <c r="YG7">
        <v>42.4</v>
      </c>
      <c r="YM7">
        <v>112.1</v>
      </c>
      <c r="YT7">
        <v>28.4</v>
      </c>
      <c r="YU7">
        <v>15.5</v>
      </c>
      <c r="YW7">
        <v>15</v>
      </c>
      <c r="YX7">
        <v>18.3</v>
      </c>
      <c r="ZB7">
        <v>68.2</v>
      </c>
      <c r="ZC7">
        <v>129.69999999999999</v>
      </c>
      <c r="ZE7">
        <v>86.7</v>
      </c>
      <c r="ZF7">
        <v>70.400000000000006</v>
      </c>
      <c r="ZG7">
        <v>54.2</v>
      </c>
      <c r="ZK7">
        <v>66.2</v>
      </c>
      <c r="ZM7">
        <v>102.8</v>
      </c>
      <c r="ZN7">
        <v>65.3</v>
      </c>
      <c r="ZO7">
        <v>73.900000000000006</v>
      </c>
      <c r="ZP7">
        <v>54.6</v>
      </c>
      <c r="ZQ7">
        <v>85.5</v>
      </c>
      <c r="ZT7">
        <v>50.5</v>
      </c>
      <c r="ZW7">
        <v>50</v>
      </c>
      <c r="ZY7">
        <v>56.6</v>
      </c>
      <c r="AAC7">
        <v>23.9</v>
      </c>
      <c r="AAD7">
        <v>19.899999999999999</v>
      </c>
      <c r="AAE7">
        <v>36.6</v>
      </c>
      <c r="AAG7">
        <v>12.8</v>
      </c>
      <c r="AAH7">
        <v>54</v>
      </c>
      <c r="AAI7">
        <v>27.1</v>
      </c>
      <c r="AAJ7">
        <v>11</v>
      </c>
      <c r="AAK7">
        <v>99.3</v>
      </c>
      <c r="AAL7">
        <v>48.1</v>
      </c>
      <c r="AAM7">
        <v>70</v>
      </c>
      <c r="AAN7">
        <v>26</v>
      </c>
      <c r="AAO7">
        <v>20.2</v>
      </c>
      <c r="AAP7">
        <v>19.7</v>
      </c>
      <c r="AAR7">
        <v>11.7</v>
      </c>
      <c r="AAX7">
        <v>14</v>
      </c>
      <c r="ABB7">
        <v>25.1</v>
      </c>
      <c r="ABC7">
        <v>23</v>
      </c>
      <c r="ABD7">
        <v>25.9</v>
      </c>
      <c r="ABE7">
        <v>27.2</v>
      </c>
      <c r="ABF7">
        <v>31.7</v>
      </c>
      <c r="ABG7">
        <v>30.2</v>
      </c>
      <c r="ABH7">
        <v>31.7</v>
      </c>
      <c r="ABI7">
        <v>24.4</v>
      </c>
      <c r="ABJ7">
        <v>31.4</v>
      </c>
      <c r="ABK7">
        <v>32.1</v>
      </c>
      <c r="ABL7">
        <v>35.799999999999997</v>
      </c>
      <c r="ABM7">
        <v>31.5</v>
      </c>
      <c r="ABN7">
        <v>32.1</v>
      </c>
    </row>
    <row r="8" spans="1:748">
      <c r="A8">
        <v>1971</v>
      </c>
      <c r="B8">
        <v>33.299999999999997</v>
      </c>
      <c r="C8">
        <v>30.7</v>
      </c>
      <c r="D8">
        <v>34.4</v>
      </c>
      <c r="E8">
        <v>42.1</v>
      </c>
      <c r="H8">
        <v>28.4</v>
      </c>
      <c r="I8">
        <v>30</v>
      </c>
      <c r="J8">
        <v>25.7</v>
      </c>
      <c r="L8">
        <v>26.5</v>
      </c>
      <c r="N8">
        <v>20.3</v>
      </c>
      <c r="P8">
        <v>30.3</v>
      </c>
      <c r="R8">
        <v>39.1</v>
      </c>
      <c r="S8">
        <v>31.8</v>
      </c>
      <c r="V8">
        <v>24.1</v>
      </c>
      <c r="W8">
        <v>26.7</v>
      </c>
      <c r="X8">
        <v>36.200000000000003</v>
      </c>
      <c r="Y8">
        <v>28.3</v>
      </c>
      <c r="Z8">
        <v>31.5</v>
      </c>
      <c r="AA8">
        <v>35</v>
      </c>
      <c r="AB8">
        <v>27.5</v>
      </c>
      <c r="AC8">
        <v>15.6</v>
      </c>
      <c r="AD8">
        <v>38.299999999999997</v>
      </c>
      <c r="AE8">
        <v>42.3</v>
      </c>
      <c r="AF8">
        <v>41.7</v>
      </c>
      <c r="AG8">
        <v>21</v>
      </c>
      <c r="AH8">
        <v>22.4</v>
      </c>
      <c r="AJ8">
        <v>8.3000000000000007</v>
      </c>
      <c r="AK8">
        <v>20.3</v>
      </c>
      <c r="AM8">
        <v>22.6</v>
      </c>
      <c r="AN8">
        <v>26.7</v>
      </c>
      <c r="AO8">
        <v>20.3</v>
      </c>
      <c r="AP8">
        <v>16.899999999999999</v>
      </c>
      <c r="AR8">
        <v>22.8</v>
      </c>
      <c r="AU8">
        <v>19.7</v>
      </c>
      <c r="AV8">
        <v>14.8</v>
      </c>
      <c r="AW8">
        <v>17.600000000000001</v>
      </c>
      <c r="AX8">
        <v>24.7</v>
      </c>
      <c r="AY8">
        <v>20.9</v>
      </c>
      <c r="AZ8">
        <v>33.9</v>
      </c>
      <c r="BD8">
        <v>36.1</v>
      </c>
      <c r="BE8">
        <v>34.299999999999997</v>
      </c>
      <c r="BF8">
        <v>20.6</v>
      </c>
      <c r="BH8">
        <v>37.200000000000003</v>
      </c>
      <c r="BJ8">
        <v>50.6</v>
      </c>
      <c r="BK8">
        <v>45.1</v>
      </c>
      <c r="BM8">
        <v>41.4</v>
      </c>
      <c r="BP8">
        <v>49.2</v>
      </c>
      <c r="BQ8">
        <v>43.9</v>
      </c>
      <c r="BR8">
        <v>44.2</v>
      </c>
      <c r="BT8">
        <v>43.7</v>
      </c>
      <c r="BU8">
        <v>27.5</v>
      </c>
      <c r="BW8">
        <v>38.1</v>
      </c>
      <c r="BX8">
        <v>37.299999999999997</v>
      </c>
      <c r="BZ8">
        <v>60.8</v>
      </c>
      <c r="CA8">
        <v>60.8</v>
      </c>
      <c r="CB8">
        <v>23.6</v>
      </c>
      <c r="CC8">
        <v>23.1</v>
      </c>
      <c r="CD8">
        <v>24.1</v>
      </c>
      <c r="CE8">
        <v>11.8</v>
      </c>
      <c r="CF8">
        <v>19</v>
      </c>
      <c r="CG8">
        <v>13.3</v>
      </c>
      <c r="CH8">
        <v>34.6</v>
      </c>
      <c r="CL8">
        <v>18.3</v>
      </c>
      <c r="CM8">
        <v>17.5</v>
      </c>
      <c r="CN8">
        <v>17.3</v>
      </c>
      <c r="CO8">
        <v>27.5</v>
      </c>
      <c r="CP8">
        <v>24.8</v>
      </c>
      <c r="CQ8">
        <v>19.2</v>
      </c>
      <c r="CR8">
        <v>36.200000000000003</v>
      </c>
      <c r="CS8">
        <v>27.6</v>
      </c>
      <c r="CX8">
        <v>19.8</v>
      </c>
      <c r="CY8">
        <v>25.6</v>
      </c>
      <c r="CZ8">
        <v>22.5</v>
      </c>
      <c r="DA8">
        <v>24</v>
      </c>
      <c r="DB8">
        <v>20.3</v>
      </c>
      <c r="DG8">
        <v>24.7</v>
      </c>
      <c r="DH8">
        <v>25.5</v>
      </c>
      <c r="DI8">
        <v>26.5</v>
      </c>
      <c r="DJ8">
        <v>42.7</v>
      </c>
      <c r="DK8">
        <v>22</v>
      </c>
      <c r="DL8">
        <v>14.2</v>
      </c>
      <c r="DN8">
        <v>29.7</v>
      </c>
      <c r="DO8">
        <v>29.9</v>
      </c>
      <c r="DP8">
        <v>27.3</v>
      </c>
      <c r="DQ8">
        <v>30.8</v>
      </c>
      <c r="DR8">
        <v>20.399999999999999</v>
      </c>
      <c r="DS8">
        <v>28.9</v>
      </c>
      <c r="DT8">
        <v>17.100000000000001</v>
      </c>
      <c r="DU8">
        <v>21.4</v>
      </c>
      <c r="DX8">
        <v>15</v>
      </c>
      <c r="DZ8">
        <v>27.5</v>
      </c>
      <c r="EA8">
        <v>26.8</v>
      </c>
      <c r="EB8">
        <v>27.2</v>
      </c>
      <c r="EC8">
        <v>22.1</v>
      </c>
      <c r="EF8">
        <v>17.399999999999999</v>
      </c>
      <c r="EG8">
        <v>35.799999999999997</v>
      </c>
      <c r="EI8">
        <v>30.2</v>
      </c>
      <c r="EJ8">
        <v>16.5</v>
      </c>
      <c r="EK8">
        <v>22.8</v>
      </c>
      <c r="EM8">
        <v>26.5</v>
      </c>
      <c r="EN8">
        <v>48.4</v>
      </c>
      <c r="ER8">
        <v>49.8</v>
      </c>
      <c r="ET8">
        <v>50.4</v>
      </c>
      <c r="EU8">
        <v>71.5</v>
      </c>
      <c r="EV8">
        <v>78</v>
      </c>
      <c r="EW8">
        <v>51.8</v>
      </c>
      <c r="EX8">
        <v>47.4</v>
      </c>
      <c r="EY8">
        <v>25.7</v>
      </c>
      <c r="EZ8">
        <v>46.7</v>
      </c>
      <c r="FA8">
        <v>41.6</v>
      </c>
      <c r="FB8">
        <v>65.599999999999994</v>
      </c>
      <c r="FC8">
        <v>52.4</v>
      </c>
      <c r="FD8">
        <v>57</v>
      </c>
      <c r="FE8">
        <v>69.2</v>
      </c>
      <c r="FF8">
        <v>58.8</v>
      </c>
      <c r="FI8">
        <v>38.5</v>
      </c>
      <c r="FJ8">
        <v>38.200000000000003</v>
      </c>
      <c r="FQ8">
        <v>29.1</v>
      </c>
      <c r="FR8">
        <v>19.899999999999999</v>
      </c>
      <c r="FU8">
        <v>29.6</v>
      </c>
      <c r="FY8">
        <v>34.700000000000003</v>
      </c>
      <c r="GA8">
        <v>39</v>
      </c>
      <c r="GB8">
        <v>27.1</v>
      </c>
      <c r="GD8">
        <v>27.6</v>
      </c>
      <c r="GE8">
        <v>53</v>
      </c>
      <c r="GF8">
        <v>37.799999999999997</v>
      </c>
      <c r="GG8">
        <v>40.299999999999997</v>
      </c>
      <c r="GH8">
        <v>37.6</v>
      </c>
      <c r="GI8">
        <v>26.1</v>
      </c>
      <c r="GU8">
        <v>25.6</v>
      </c>
      <c r="GV8">
        <v>21.6</v>
      </c>
      <c r="GW8">
        <v>18.2</v>
      </c>
      <c r="GX8">
        <v>22.7</v>
      </c>
      <c r="HO8">
        <v>54.6</v>
      </c>
      <c r="HP8">
        <v>43.8</v>
      </c>
      <c r="HQ8">
        <v>31.2</v>
      </c>
      <c r="HR8">
        <v>66.400000000000006</v>
      </c>
      <c r="HT8">
        <v>54.1</v>
      </c>
      <c r="HU8">
        <v>50.8</v>
      </c>
      <c r="HY8">
        <v>59.9</v>
      </c>
      <c r="IA8">
        <v>74.099999999999994</v>
      </c>
      <c r="IC8">
        <v>71.900000000000006</v>
      </c>
      <c r="IJ8">
        <v>45.6</v>
      </c>
      <c r="IK8">
        <v>48.2</v>
      </c>
      <c r="IL8">
        <v>29.7</v>
      </c>
      <c r="IM8">
        <v>44.2</v>
      </c>
      <c r="IO8">
        <v>66.8</v>
      </c>
      <c r="IT8">
        <v>25.6</v>
      </c>
      <c r="IU8">
        <v>25.4</v>
      </c>
      <c r="IV8">
        <v>15.9</v>
      </c>
      <c r="IX8">
        <v>18.3</v>
      </c>
      <c r="JA8">
        <v>23.4</v>
      </c>
      <c r="JC8">
        <v>22.7</v>
      </c>
      <c r="JO8">
        <v>25.3</v>
      </c>
      <c r="JQ8">
        <v>30.9</v>
      </c>
      <c r="JV8">
        <v>29.3</v>
      </c>
      <c r="JW8">
        <v>31.9</v>
      </c>
      <c r="JX8">
        <v>36.299999999999997</v>
      </c>
      <c r="JY8">
        <v>36.299999999999997</v>
      </c>
      <c r="JZ8">
        <v>22.1</v>
      </c>
      <c r="KA8">
        <v>23.3</v>
      </c>
      <c r="KB8">
        <v>20.7</v>
      </c>
      <c r="KC8">
        <v>31.3</v>
      </c>
      <c r="KD8">
        <v>31.3</v>
      </c>
      <c r="KE8">
        <v>20.7</v>
      </c>
      <c r="KF8">
        <v>33.5</v>
      </c>
      <c r="KL8">
        <v>16.7</v>
      </c>
      <c r="KM8">
        <v>18.3</v>
      </c>
      <c r="KN8">
        <v>20</v>
      </c>
      <c r="KO8">
        <v>7.3</v>
      </c>
      <c r="KP8">
        <v>15.8</v>
      </c>
      <c r="KT8">
        <v>16</v>
      </c>
      <c r="KU8">
        <v>17.600000000000001</v>
      </c>
      <c r="KX8">
        <v>42.4</v>
      </c>
      <c r="KY8">
        <v>31.6</v>
      </c>
      <c r="KZ8">
        <v>54.8</v>
      </c>
      <c r="LA8">
        <v>54.8</v>
      </c>
      <c r="LB8">
        <v>27</v>
      </c>
      <c r="LC8">
        <v>32.4</v>
      </c>
      <c r="LD8">
        <v>21.1</v>
      </c>
      <c r="LE8">
        <v>20.399999999999999</v>
      </c>
      <c r="LF8">
        <v>21</v>
      </c>
      <c r="LH8">
        <v>20.100000000000001</v>
      </c>
      <c r="LJ8">
        <v>76.2</v>
      </c>
      <c r="LK8">
        <v>213.4</v>
      </c>
      <c r="LL8">
        <v>596.20000000000005</v>
      </c>
      <c r="LN8">
        <v>230</v>
      </c>
      <c r="LO8">
        <v>105</v>
      </c>
      <c r="LP8">
        <v>2069</v>
      </c>
      <c r="LQ8">
        <v>630.20000000000005</v>
      </c>
      <c r="LT8">
        <v>192.9</v>
      </c>
      <c r="LV8">
        <v>90.3</v>
      </c>
      <c r="LX8">
        <v>34.6</v>
      </c>
      <c r="MB8">
        <v>78.099999999999994</v>
      </c>
      <c r="MD8">
        <v>118.7</v>
      </c>
      <c r="ME8">
        <v>39.700000000000003</v>
      </c>
      <c r="MG8">
        <v>62.4</v>
      </c>
      <c r="MI8">
        <v>91.4</v>
      </c>
      <c r="MJ8">
        <v>35.9</v>
      </c>
      <c r="MM8">
        <v>30.9</v>
      </c>
      <c r="MN8">
        <v>21.4</v>
      </c>
      <c r="MO8">
        <v>17.100000000000001</v>
      </c>
      <c r="MP8">
        <v>24.1</v>
      </c>
      <c r="MQ8">
        <v>33</v>
      </c>
      <c r="MS8">
        <v>28.1</v>
      </c>
      <c r="MU8">
        <v>24</v>
      </c>
      <c r="MV8">
        <v>39.5</v>
      </c>
      <c r="MW8">
        <v>63.8</v>
      </c>
      <c r="MX8">
        <v>31.5</v>
      </c>
      <c r="NB8">
        <v>70.5</v>
      </c>
      <c r="NC8">
        <v>58.1</v>
      </c>
      <c r="NF8">
        <v>97.4</v>
      </c>
      <c r="NG8">
        <v>99.8</v>
      </c>
      <c r="NH8">
        <v>103.7</v>
      </c>
      <c r="NI8">
        <v>59.8</v>
      </c>
      <c r="NL8">
        <v>61.2</v>
      </c>
      <c r="NQ8">
        <v>19.899999999999999</v>
      </c>
      <c r="NR8">
        <v>19.399999999999999</v>
      </c>
      <c r="NS8">
        <v>19.399999999999999</v>
      </c>
      <c r="NT8">
        <v>19</v>
      </c>
      <c r="NY8">
        <v>30.8</v>
      </c>
      <c r="NZ8">
        <v>29.1</v>
      </c>
      <c r="OA8">
        <v>26.5</v>
      </c>
      <c r="OB8">
        <v>25.2</v>
      </c>
      <c r="OC8">
        <v>21.9</v>
      </c>
      <c r="OD8">
        <v>30.3</v>
      </c>
      <c r="OE8">
        <v>33.299999999999997</v>
      </c>
      <c r="OF8">
        <v>32.1</v>
      </c>
      <c r="OH8">
        <v>37.4</v>
      </c>
      <c r="OK8">
        <v>30.6</v>
      </c>
      <c r="OL8">
        <v>29.3</v>
      </c>
      <c r="ON8">
        <v>33.9</v>
      </c>
      <c r="OO8">
        <v>24.6</v>
      </c>
      <c r="OP8">
        <v>20.399999999999999</v>
      </c>
      <c r="OS8">
        <v>20.3</v>
      </c>
      <c r="OU8">
        <v>15.3</v>
      </c>
      <c r="OY8">
        <v>19.899999999999999</v>
      </c>
      <c r="PB8">
        <v>21</v>
      </c>
      <c r="PD8">
        <v>78.099999999999994</v>
      </c>
      <c r="PH8">
        <v>33.4</v>
      </c>
      <c r="PI8">
        <v>32</v>
      </c>
      <c r="PJ8">
        <v>35.299999999999997</v>
      </c>
      <c r="PK8">
        <v>45.1</v>
      </c>
      <c r="PO8">
        <v>28</v>
      </c>
      <c r="PT8">
        <v>28</v>
      </c>
      <c r="PU8">
        <v>35.700000000000003</v>
      </c>
      <c r="PY8">
        <v>33.4</v>
      </c>
      <c r="PZ8">
        <v>42.3</v>
      </c>
      <c r="QA8">
        <v>41.8</v>
      </c>
      <c r="QB8">
        <v>39.700000000000003</v>
      </c>
      <c r="QD8">
        <v>25.6</v>
      </c>
      <c r="QF8">
        <v>36.5</v>
      </c>
      <c r="QG8">
        <v>23.3</v>
      </c>
      <c r="QH8">
        <v>39.1</v>
      </c>
      <c r="QI8">
        <v>38.799999999999997</v>
      </c>
      <c r="QJ8">
        <v>29.1</v>
      </c>
      <c r="QK8">
        <v>31.5</v>
      </c>
      <c r="QL8">
        <v>28</v>
      </c>
      <c r="QM8">
        <v>26</v>
      </c>
      <c r="QN8">
        <v>33.4</v>
      </c>
      <c r="QO8">
        <v>27</v>
      </c>
      <c r="QQ8">
        <v>41.1</v>
      </c>
      <c r="QR8">
        <v>23.8</v>
      </c>
      <c r="QS8">
        <v>49.9</v>
      </c>
      <c r="QU8">
        <v>42.4</v>
      </c>
      <c r="QV8">
        <v>114.8</v>
      </c>
      <c r="QW8">
        <v>49.1</v>
      </c>
      <c r="QY8">
        <v>26.7</v>
      </c>
      <c r="QZ8">
        <v>23.6</v>
      </c>
      <c r="RA8">
        <v>33</v>
      </c>
      <c r="RB8">
        <v>15.2</v>
      </c>
      <c r="RD8">
        <v>38.9</v>
      </c>
      <c r="RE8">
        <v>50.5</v>
      </c>
      <c r="RF8">
        <v>33.6</v>
      </c>
      <c r="RI8">
        <v>61.7</v>
      </c>
      <c r="RL8">
        <v>40.1</v>
      </c>
      <c r="RM8">
        <v>38.700000000000003</v>
      </c>
      <c r="RS8">
        <v>54.6</v>
      </c>
      <c r="RV8">
        <v>63.9</v>
      </c>
      <c r="SF8">
        <v>27.7</v>
      </c>
      <c r="SG8">
        <v>33.4</v>
      </c>
      <c r="SK8">
        <v>41.5</v>
      </c>
      <c r="SL8">
        <v>20.399999999999999</v>
      </c>
      <c r="SM8">
        <v>25.1</v>
      </c>
      <c r="SS8">
        <v>21.4</v>
      </c>
      <c r="SX8">
        <v>13.5</v>
      </c>
      <c r="SZ8">
        <v>17.600000000000001</v>
      </c>
      <c r="TA8">
        <v>45.1</v>
      </c>
      <c r="TE8">
        <v>48.5</v>
      </c>
      <c r="TF8">
        <v>61.4</v>
      </c>
      <c r="TK8">
        <v>57.2</v>
      </c>
      <c r="TL8">
        <v>55.2</v>
      </c>
      <c r="TN8">
        <v>41.2</v>
      </c>
      <c r="TO8">
        <v>40.799999999999997</v>
      </c>
      <c r="TP8">
        <v>48</v>
      </c>
      <c r="TT8">
        <v>44.4</v>
      </c>
      <c r="TU8">
        <v>17.399999999999999</v>
      </c>
      <c r="TV8">
        <v>37.1</v>
      </c>
      <c r="TY8">
        <v>19.7</v>
      </c>
      <c r="UC8">
        <v>132.69999999999999</v>
      </c>
      <c r="UE8">
        <v>90.5</v>
      </c>
      <c r="UH8">
        <v>89.6</v>
      </c>
      <c r="UL8">
        <v>16.5</v>
      </c>
      <c r="UM8">
        <v>15.2</v>
      </c>
      <c r="UN8">
        <v>23.5</v>
      </c>
      <c r="UO8">
        <v>28.3</v>
      </c>
      <c r="UP8">
        <v>12.9</v>
      </c>
      <c r="UQ8">
        <v>28.5</v>
      </c>
      <c r="UR8">
        <v>15.8</v>
      </c>
      <c r="US8">
        <v>2.2999999999999998</v>
      </c>
      <c r="UT8">
        <v>10.8</v>
      </c>
      <c r="UW8">
        <v>30</v>
      </c>
      <c r="UY8">
        <v>28.5</v>
      </c>
      <c r="VD8">
        <v>41.9</v>
      </c>
      <c r="VE8">
        <v>1964.4</v>
      </c>
      <c r="VL8">
        <v>3273.9</v>
      </c>
      <c r="VM8">
        <v>38.6</v>
      </c>
      <c r="VO8">
        <v>38.299999999999997</v>
      </c>
      <c r="VP8">
        <v>32.4</v>
      </c>
      <c r="VQ8">
        <v>59.6</v>
      </c>
      <c r="VR8">
        <v>25.4</v>
      </c>
      <c r="VT8">
        <v>39.5</v>
      </c>
      <c r="VV8">
        <v>18.5</v>
      </c>
      <c r="VY8">
        <v>51.1</v>
      </c>
      <c r="WB8">
        <v>72.7</v>
      </c>
      <c r="WE8">
        <v>57.5</v>
      </c>
      <c r="WF8">
        <v>38.799999999999997</v>
      </c>
      <c r="WH8">
        <v>19.399999999999999</v>
      </c>
      <c r="WI8">
        <v>18.7</v>
      </c>
      <c r="WJ8">
        <v>21.1</v>
      </c>
      <c r="WL8">
        <v>58.4</v>
      </c>
      <c r="WX8">
        <v>21.6</v>
      </c>
      <c r="WY8">
        <v>21.1</v>
      </c>
      <c r="XB8">
        <v>26.8</v>
      </c>
      <c r="XD8">
        <v>21.6</v>
      </c>
      <c r="XE8">
        <v>19.8</v>
      </c>
      <c r="XF8">
        <v>17.3</v>
      </c>
      <c r="XH8">
        <v>26.9</v>
      </c>
      <c r="XI8">
        <v>31.6</v>
      </c>
      <c r="XJ8">
        <v>31.6</v>
      </c>
      <c r="XM8">
        <v>16.100000000000001</v>
      </c>
      <c r="XT8">
        <v>17.7</v>
      </c>
      <c r="XU8">
        <v>43.9</v>
      </c>
      <c r="XV8">
        <v>34.799999999999997</v>
      </c>
      <c r="XW8">
        <v>35.6</v>
      </c>
      <c r="XZ8">
        <v>38</v>
      </c>
      <c r="YA8">
        <v>29</v>
      </c>
      <c r="YD8">
        <v>12.8</v>
      </c>
      <c r="YG8">
        <v>46.7</v>
      </c>
      <c r="YM8">
        <v>113.7</v>
      </c>
      <c r="YT8">
        <v>29.6</v>
      </c>
      <c r="YU8">
        <v>17.5</v>
      </c>
      <c r="YW8">
        <v>17.3</v>
      </c>
      <c r="YX8">
        <v>21</v>
      </c>
      <c r="ZB8">
        <v>69.5</v>
      </c>
      <c r="ZC8">
        <v>132.19999999999999</v>
      </c>
      <c r="ZE8">
        <v>87.2</v>
      </c>
      <c r="ZF8">
        <v>70.400000000000006</v>
      </c>
      <c r="ZG8">
        <v>54.2</v>
      </c>
      <c r="ZK8">
        <v>66.3</v>
      </c>
      <c r="ZM8">
        <v>102.8</v>
      </c>
      <c r="ZN8">
        <v>67.099999999999994</v>
      </c>
      <c r="ZO8">
        <v>76.2</v>
      </c>
      <c r="ZP8">
        <v>66.8</v>
      </c>
      <c r="ZQ8">
        <v>85.5</v>
      </c>
      <c r="ZT8">
        <v>51.8</v>
      </c>
      <c r="ZW8">
        <v>50</v>
      </c>
      <c r="ZY8">
        <v>56.6</v>
      </c>
      <c r="AAC8">
        <v>24.9</v>
      </c>
      <c r="AAD8">
        <v>21.3</v>
      </c>
      <c r="AAE8">
        <v>38.9</v>
      </c>
      <c r="AAG8">
        <v>14.3</v>
      </c>
      <c r="AAH8">
        <v>56.3</v>
      </c>
      <c r="AAI8">
        <v>27.5</v>
      </c>
      <c r="AAJ8">
        <v>11</v>
      </c>
      <c r="AAK8">
        <v>99.1</v>
      </c>
      <c r="AAL8">
        <v>49.4</v>
      </c>
      <c r="AAM8">
        <v>71.099999999999994</v>
      </c>
      <c r="AAN8">
        <v>27.4</v>
      </c>
      <c r="AAO8">
        <v>20.2</v>
      </c>
      <c r="AAP8">
        <v>19.7</v>
      </c>
      <c r="AAR8">
        <v>11.8</v>
      </c>
      <c r="AAX8">
        <v>14.2</v>
      </c>
      <c r="ABB8">
        <v>25.4</v>
      </c>
      <c r="ABC8">
        <v>26.7</v>
      </c>
      <c r="ABD8">
        <v>23.1</v>
      </c>
      <c r="ABE8">
        <v>26.8</v>
      </c>
      <c r="ABF8">
        <v>33.799999999999997</v>
      </c>
      <c r="ABG8">
        <v>32</v>
      </c>
      <c r="ABH8">
        <v>33.5</v>
      </c>
      <c r="ABI8">
        <v>26.5</v>
      </c>
      <c r="ABJ8">
        <v>33.9</v>
      </c>
      <c r="ABK8">
        <v>34.1</v>
      </c>
      <c r="ABL8">
        <v>37.299999999999997</v>
      </c>
      <c r="ABM8">
        <v>33.6</v>
      </c>
      <c r="ABN8">
        <v>34.200000000000003</v>
      </c>
    </row>
    <row r="9" spans="1:748">
      <c r="A9">
        <v>1972</v>
      </c>
      <c r="B9">
        <v>35.200000000000003</v>
      </c>
      <c r="C9">
        <v>32.200000000000003</v>
      </c>
      <c r="D9">
        <v>36.5</v>
      </c>
      <c r="E9">
        <v>44.6</v>
      </c>
      <c r="H9">
        <v>30.5</v>
      </c>
      <c r="I9">
        <v>32.5</v>
      </c>
      <c r="J9">
        <v>26.6</v>
      </c>
      <c r="L9">
        <v>27.3</v>
      </c>
      <c r="N9">
        <v>21.4</v>
      </c>
      <c r="P9">
        <v>30.4</v>
      </c>
      <c r="R9">
        <v>39.9</v>
      </c>
      <c r="S9">
        <v>32.4</v>
      </c>
      <c r="V9">
        <v>25.3</v>
      </c>
      <c r="W9">
        <v>27.9</v>
      </c>
      <c r="X9">
        <v>38.200000000000003</v>
      </c>
      <c r="Y9">
        <v>34.799999999999997</v>
      </c>
      <c r="Z9">
        <v>31.9</v>
      </c>
      <c r="AA9">
        <v>32.299999999999997</v>
      </c>
      <c r="AB9">
        <v>28.8</v>
      </c>
      <c r="AC9">
        <v>16.5</v>
      </c>
      <c r="AD9">
        <v>32.1</v>
      </c>
      <c r="AE9">
        <v>48.2</v>
      </c>
      <c r="AF9">
        <v>44.9</v>
      </c>
      <c r="AG9">
        <v>19.100000000000001</v>
      </c>
      <c r="AH9">
        <v>22.4</v>
      </c>
      <c r="AJ9">
        <v>9.8000000000000007</v>
      </c>
      <c r="AK9">
        <v>22.7</v>
      </c>
      <c r="AM9">
        <v>23.5</v>
      </c>
      <c r="AN9">
        <v>28.4</v>
      </c>
      <c r="AO9">
        <v>21.2</v>
      </c>
      <c r="AP9">
        <v>17.7</v>
      </c>
      <c r="AR9">
        <v>23.5</v>
      </c>
      <c r="AU9">
        <v>20.8</v>
      </c>
      <c r="AV9">
        <v>16.3</v>
      </c>
      <c r="AW9">
        <v>19.399999999999999</v>
      </c>
      <c r="AX9">
        <v>25.4</v>
      </c>
      <c r="AY9">
        <v>23.1</v>
      </c>
      <c r="AZ9">
        <v>37.299999999999997</v>
      </c>
      <c r="BD9">
        <v>38.5</v>
      </c>
      <c r="BE9">
        <v>36.6</v>
      </c>
      <c r="BF9">
        <v>23.2</v>
      </c>
      <c r="BH9">
        <v>39.4</v>
      </c>
      <c r="BJ9">
        <v>51.3</v>
      </c>
      <c r="BK9">
        <v>47.1</v>
      </c>
      <c r="BM9">
        <v>43.2</v>
      </c>
      <c r="BP9">
        <v>51.6</v>
      </c>
      <c r="BQ9">
        <v>45.2</v>
      </c>
      <c r="BR9">
        <v>45.5</v>
      </c>
      <c r="BT9">
        <v>44.9</v>
      </c>
      <c r="BU9">
        <v>27.5</v>
      </c>
      <c r="BW9">
        <v>38.9</v>
      </c>
      <c r="BX9">
        <v>40.700000000000003</v>
      </c>
      <c r="BZ9">
        <v>66</v>
      </c>
      <c r="CA9">
        <v>66</v>
      </c>
      <c r="CB9">
        <v>25.7</v>
      </c>
      <c r="CC9">
        <v>24.9</v>
      </c>
      <c r="CD9">
        <v>24.3</v>
      </c>
      <c r="CE9">
        <v>15</v>
      </c>
      <c r="CF9">
        <v>19.399999999999999</v>
      </c>
      <c r="CG9">
        <v>14.8</v>
      </c>
      <c r="CH9">
        <v>46.7</v>
      </c>
      <c r="CL9">
        <v>17</v>
      </c>
      <c r="CM9">
        <v>21</v>
      </c>
      <c r="CN9">
        <v>16.399999999999999</v>
      </c>
      <c r="CO9">
        <v>30.2</v>
      </c>
      <c r="CP9">
        <v>23.7</v>
      </c>
      <c r="CQ9">
        <v>24.1</v>
      </c>
      <c r="CR9">
        <v>27.5</v>
      </c>
      <c r="CS9">
        <v>27</v>
      </c>
      <c r="CX9">
        <v>27</v>
      </c>
      <c r="CY9">
        <v>27.8</v>
      </c>
      <c r="CZ9">
        <v>24.8</v>
      </c>
      <c r="DA9">
        <v>26.5</v>
      </c>
      <c r="DB9">
        <v>22.8</v>
      </c>
      <c r="DG9">
        <v>27.3</v>
      </c>
      <c r="DH9">
        <v>27.8</v>
      </c>
      <c r="DI9">
        <v>26.6</v>
      </c>
      <c r="DJ9">
        <v>47.9</v>
      </c>
      <c r="DK9">
        <v>23.4</v>
      </c>
      <c r="DL9">
        <v>16.3</v>
      </c>
      <c r="DN9">
        <v>33.6</v>
      </c>
      <c r="DO9">
        <v>33.700000000000003</v>
      </c>
      <c r="DP9">
        <v>31.2</v>
      </c>
      <c r="DQ9">
        <v>35.5</v>
      </c>
      <c r="DR9">
        <v>22.3</v>
      </c>
      <c r="DS9">
        <v>33.6</v>
      </c>
      <c r="DT9">
        <v>17.600000000000001</v>
      </c>
      <c r="DU9">
        <v>22.2</v>
      </c>
      <c r="DX9">
        <v>17</v>
      </c>
      <c r="DZ9">
        <v>26.2</v>
      </c>
      <c r="EA9">
        <v>25.4</v>
      </c>
      <c r="EB9">
        <v>28.9</v>
      </c>
      <c r="EC9">
        <v>16.8</v>
      </c>
      <c r="EF9">
        <v>20.100000000000001</v>
      </c>
      <c r="EG9">
        <v>36.700000000000003</v>
      </c>
      <c r="EH9">
        <v>36.5</v>
      </c>
      <c r="EI9">
        <v>32</v>
      </c>
      <c r="EJ9">
        <v>19.2</v>
      </c>
      <c r="EK9">
        <v>22.8</v>
      </c>
      <c r="EM9">
        <v>25.8</v>
      </c>
      <c r="EN9">
        <v>44.1</v>
      </c>
      <c r="ER9">
        <v>50.6</v>
      </c>
      <c r="ET9">
        <v>51.8</v>
      </c>
      <c r="EU9">
        <v>73.8</v>
      </c>
      <c r="EV9">
        <v>81</v>
      </c>
      <c r="EW9">
        <v>52.5</v>
      </c>
      <c r="EX9">
        <v>48.7</v>
      </c>
      <c r="EY9">
        <v>25.7</v>
      </c>
      <c r="EZ9">
        <v>48</v>
      </c>
      <c r="FA9">
        <v>44.5</v>
      </c>
      <c r="FB9">
        <v>66.8</v>
      </c>
      <c r="FC9">
        <v>55.5</v>
      </c>
      <c r="FD9">
        <v>59.4</v>
      </c>
      <c r="FE9">
        <v>69.3</v>
      </c>
      <c r="FF9">
        <v>58.7</v>
      </c>
      <c r="FI9">
        <v>38.299999999999997</v>
      </c>
      <c r="FJ9">
        <v>38.4</v>
      </c>
      <c r="FQ9">
        <v>30.7</v>
      </c>
      <c r="FR9">
        <v>21.3</v>
      </c>
      <c r="FU9">
        <v>31</v>
      </c>
      <c r="FY9">
        <v>37.5</v>
      </c>
      <c r="GA9">
        <v>40.4</v>
      </c>
      <c r="GB9">
        <v>29</v>
      </c>
      <c r="GD9">
        <v>29.8</v>
      </c>
      <c r="GE9">
        <v>52.9</v>
      </c>
      <c r="GF9">
        <v>41.9</v>
      </c>
      <c r="GG9">
        <v>41.5</v>
      </c>
      <c r="GH9">
        <v>37.299999999999997</v>
      </c>
      <c r="GI9">
        <v>28.4</v>
      </c>
      <c r="GU9">
        <v>27.9</v>
      </c>
      <c r="GV9">
        <v>28.8</v>
      </c>
      <c r="GW9">
        <v>19</v>
      </c>
      <c r="GX9">
        <v>23.8</v>
      </c>
      <c r="HO9">
        <v>55.3</v>
      </c>
      <c r="HP9">
        <v>46.5</v>
      </c>
      <c r="HQ9">
        <v>33.700000000000003</v>
      </c>
      <c r="HR9">
        <v>65.7</v>
      </c>
      <c r="HT9">
        <v>53.2</v>
      </c>
      <c r="HU9">
        <v>49.9</v>
      </c>
      <c r="HY9">
        <v>59.7</v>
      </c>
      <c r="IA9">
        <v>74.2</v>
      </c>
      <c r="IC9">
        <v>72.099999999999994</v>
      </c>
      <c r="IJ9">
        <v>45.6</v>
      </c>
      <c r="IK9">
        <v>48.2</v>
      </c>
      <c r="IL9">
        <v>29.8</v>
      </c>
      <c r="IM9">
        <v>44.2</v>
      </c>
      <c r="IO9">
        <v>66.8</v>
      </c>
      <c r="IT9">
        <v>27.7</v>
      </c>
      <c r="IU9">
        <v>27.5</v>
      </c>
      <c r="IV9">
        <v>17.8</v>
      </c>
      <c r="IX9">
        <v>20.5</v>
      </c>
      <c r="JA9">
        <v>25.2</v>
      </c>
      <c r="JC9">
        <v>24.7</v>
      </c>
      <c r="JO9">
        <v>27.8</v>
      </c>
      <c r="JQ9">
        <v>31.9</v>
      </c>
      <c r="JV9">
        <v>32.299999999999997</v>
      </c>
      <c r="JW9">
        <v>35.200000000000003</v>
      </c>
      <c r="JX9">
        <v>39.4</v>
      </c>
      <c r="JY9">
        <v>39.4</v>
      </c>
      <c r="JZ9">
        <v>23.6</v>
      </c>
      <c r="KA9">
        <v>24.9</v>
      </c>
      <c r="KB9">
        <v>22.1</v>
      </c>
      <c r="KC9">
        <v>34.700000000000003</v>
      </c>
      <c r="KD9">
        <v>34.700000000000003</v>
      </c>
      <c r="KE9">
        <v>22.4</v>
      </c>
      <c r="KF9">
        <v>37.700000000000003</v>
      </c>
      <c r="KL9">
        <v>18.100000000000001</v>
      </c>
      <c r="KM9">
        <v>19.600000000000001</v>
      </c>
      <c r="KN9">
        <v>21.2</v>
      </c>
      <c r="KO9">
        <v>8.4</v>
      </c>
      <c r="KP9">
        <v>17</v>
      </c>
      <c r="KT9">
        <v>18</v>
      </c>
      <c r="KU9">
        <v>19.600000000000001</v>
      </c>
      <c r="KX9">
        <v>41.1</v>
      </c>
      <c r="KY9">
        <v>32.200000000000003</v>
      </c>
      <c r="KZ9">
        <v>54.7</v>
      </c>
      <c r="LA9">
        <v>54.7</v>
      </c>
      <c r="LB9">
        <v>28.4</v>
      </c>
      <c r="LC9">
        <v>34.799999999999997</v>
      </c>
      <c r="LD9">
        <v>21.6</v>
      </c>
      <c r="LE9">
        <v>20.6</v>
      </c>
      <c r="LF9">
        <v>20.100000000000001</v>
      </c>
      <c r="LH9">
        <v>21</v>
      </c>
      <c r="LJ9">
        <v>77.5</v>
      </c>
      <c r="LK9">
        <v>213.8</v>
      </c>
      <c r="LL9">
        <v>578</v>
      </c>
      <c r="LN9">
        <v>230.5</v>
      </c>
      <c r="LO9">
        <v>105.5</v>
      </c>
      <c r="LP9">
        <v>2023.7</v>
      </c>
      <c r="LQ9">
        <v>573.79999999999995</v>
      </c>
      <c r="LT9">
        <v>202.2</v>
      </c>
      <c r="LV9">
        <v>95.1</v>
      </c>
      <c r="LX9">
        <v>36.1</v>
      </c>
      <c r="MB9">
        <v>80.5</v>
      </c>
      <c r="MD9">
        <v>118.2</v>
      </c>
      <c r="ME9">
        <v>42.8</v>
      </c>
      <c r="MG9">
        <v>63.8</v>
      </c>
      <c r="MI9">
        <v>88.8</v>
      </c>
      <c r="MJ9">
        <v>38.1</v>
      </c>
      <c r="MM9">
        <v>32.200000000000003</v>
      </c>
      <c r="MN9">
        <v>22.5</v>
      </c>
      <c r="MO9">
        <v>18.7</v>
      </c>
      <c r="MP9">
        <v>24.8</v>
      </c>
      <c r="MQ9">
        <v>33.700000000000003</v>
      </c>
      <c r="MS9">
        <v>28.6</v>
      </c>
      <c r="MU9">
        <v>25.5</v>
      </c>
      <c r="MV9">
        <v>41.3</v>
      </c>
      <c r="MW9">
        <v>63.1</v>
      </c>
      <c r="MX9">
        <v>33.299999999999997</v>
      </c>
      <c r="NB9">
        <v>71.2</v>
      </c>
      <c r="NC9">
        <v>59.4</v>
      </c>
      <c r="NF9">
        <v>97.9</v>
      </c>
      <c r="NG9">
        <v>99.4</v>
      </c>
      <c r="NH9">
        <v>103.5</v>
      </c>
      <c r="NI9">
        <v>59.9</v>
      </c>
      <c r="NL9">
        <v>61.3</v>
      </c>
      <c r="NQ9">
        <v>21.8</v>
      </c>
      <c r="NR9">
        <v>21</v>
      </c>
      <c r="NS9">
        <v>21</v>
      </c>
      <c r="NT9">
        <v>20.9</v>
      </c>
      <c r="NY9">
        <v>33</v>
      </c>
      <c r="NZ9">
        <v>31.4</v>
      </c>
      <c r="OA9">
        <v>29.8</v>
      </c>
      <c r="OB9">
        <v>29.6</v>
      </c>
      <c r="OC9">
        <v>24</v>
      </c>
      <c r="OD9">
        <v>32.200000000000003</v>
      </c>
      <c r="OE9">
        <v>35.5</v>
      </c>
      <c r="OF9">
        <v>34.4</v>
      </c>
      <c r="OH9">
        <v>40.4</v>
      </c>
      <c r="OK9">
        <v>32.5</v>
      </c>
      <c r="OL9">
        <v>30.5</v>
      </c>
      <c r="ON9">
        <v>36.700000000000003</v>
      </c>
      <c r="OO9">
        <v>26.2</v>
      </c>
      <c r="OP9">
        <v>22</v>
      </c>
      <c r="OS9">
        <v>24.6</v>
      </c>
      <c r="OU9">
        <v>15.7</v>
      </c>
      <c r="OY9">
        <v>21.3</v>
      </c>
      <c r="PB9">
        <v>23.4</v>
      </c>
      <c r="PD9">
        <v>80.900000000000006</v>
      </c>
      <c r="PH9">
        <v>35.1</v>
      </c>
      <c r="PI9">
        <v>33.700000000000003</v>
      </c>
      <c r="PJ9">
        <v>37.299999999999997</v>
      </c>
      <c r="PK9">
        <v>46.6</v>
      </c>
      <c r="PO9">
        <v>30</v>
      </c>
      <c r="PT9">
        <v>30.5</v>
      </c>
      <c r="PU9">
        <v>36.9</v>
      </c>
      <c r="PY9">
        <v>35.1</v>
      </c>
      <c r="PZ9">
        <v>44.6</v>
      </c>
      <c r="QA9">
        <v>44.1</v>
      </c>
      <c r="QB9">
        <v>41.6</v>
      </c>
      <c r="QD9">
        <v>26.9</v>
      </c>
      <c r="QF9">
        <v>38.6</v>
      </c>
      <c r="QG9">
        <v>24.3</v>
      </c>
      <c r="QH9">
        <v>41</v>
      </c>
      <c r="QI9">
        <v>40.1</v>
      </c>
      <c r="QJ9">
        <v>31.5</v>
      </c>
      <c r="QK9">
        <v>34.1</v>
      </c>
      <c r="QL9">
        <v>30.4</v>
      </c>
      <c r="QM9">
        <v>30</v>
      </c>
      <c r="QN9">
        <v>34.200000000000003</v>
      </c>
      <c r="QO9">
        <v>28.6</v>
      </c>
      <c r="QQ9">
        <v>42.9</v>
      </c>
      <c r="QR9">
        <v>25.4</v>
      </c>
      <c r="QS9">
        <v>55.2</v>
      </c>
      <c r="QU9">
        <v>44</v>
      </c>
      <c r="QV9">
        <v>109.4</v>
      </c>
      <c r="QW9">
        <v>49.8</v>
      </c>
      <c r="QY9">
        <v>28.9</v>
      </c>
      <c r="QZ9">
        <v>25.6</v>
      </c>
      <c r="RA9">
        <v>34.5</v>
      </c>
      <c r="RB9">
        <v>18.2</v>
      </c>
      <c r="RD9">
        <v>42.2</v>
      </c>
      <c r="RE9">
        <v>52.2</v>
      </c>
      <c r="RF9">
        <v>33.6</v>
      </c>
      <c r="RG9">
        <v>50.6</v>
      </c>
      <c r="RH9">
        <v>61.1</v>
      </c>
      <c r="RI9">
        <v>61.5</v>
      </c>
      <c r="RL9">
        <v>42.1</v>
      </c>
      <c r="RM9">
        <v>38.6</v>
      </c>
      <c r="RS9">
        <v>60.7</v>
      </c>
      <c r="RV9">
        <v>73.5</v>
      </c>
      <c r="SF9">
        <v>30.6</v>
      </c>
      <c r="SG9">
        <v>36.9</v>
      </c>
      <c r="SK9">
        <v>43.2</v>
      </c>
      <c r="SL9">
        <v>21.8</v>
      </c>
      <c r="SM9">
        <v>25.1</v>
      </c>
      <c r="SS9">
        <v>22.5</v>
      </c>
      <c r="SX9">
        <v>15.2</v>
      </c>
      <c r="SZ9">
        <v>20.7</v>
      </c>
      <c r="TA9">
        <v>48</v>
      </c>
      <c r="TE9">
        <v>49.2</v>
      </c>
      <c r="TF9">
        <v>61.5</v>
      </c>
      <c r="TK9">
        <v>57.8</v>
      </c>
      <c r="TL9">
        <v>55.8</v>
      </c>
      <c r="TN9">
        <v>42.3</v>
      </c>
      <c r="TO9">
        <v>41.6</v>
      </c>
      <c r="TP9">
        <v>49</v>
      </c>
      <c r="TT9">
        <v>46.3</v>
      </c>
      <c r="TU9">
        <v>18</v>
      </c>
      <c r="TV9">
        <v>38.4</v>
      </c>
      <c r="TY9">
        <v>19.7</v>
      </c>
      <c r="UC9">
        <v>132.69999999999999</v>
      </c>
      <c r="UE9">
        <v>93.7</v>
      </c>
      <c r="UH9">
        <v>90</v>
      </c>
      <c r="UL9">
        <v>17.899999999999999</v>
      </c>
      <c r="UM9">
        <v>16.7</v>
      </c>
      <c r="UN9">
        <v>25.1</v>
      </c>
      <c r="UO9">
        <v>29.7</v>
      </c>
      <c r="UP9">
        <v>14.8</v>
      </c>
      <c r="UQ9">
        <v>30.4</v>
      </c>
      <c r="UR9">
        <v>17.899999999999999</v>
      </c>
      <c r="US9">
        <v>2.8</v>
      </c>
      <c r="UT9">
        <v>11.6</v>
      </c>
      <c r="UW9">
        <v>30.3</v>
      </c>
      <c r="UY9">
        <v>28.8</v>
      </c>
      <c r="VD9">
        <v>43.8</v>
      </c>
      <c r="VE9">
        <v>1968.8</v>
      </c>
      <c r="VL9">
        <v>3516.5</v>
      </c>
      <c r="VM9">
        <v>39</v>
      </c>
      <c r="VO9">
        <v>41.7</v>
      </c>
      <c r="VP9">
        <v>35</v>
      </c>
      <c r="VQ9">
        <v>59.3</v>
      </c>
      <c r="VR9">
        <v>27.1</v>
      </c>
      <c r="VT9">
        <v>42.2</v>
      </c>
      <c r="VV9">
        <v>20</v>
      </c>
      <c r="VY9">
        <v>52.7</v>
      </c>
      <c r="WB9">
        <v>77.099999999999994</v>
      </c>
      <c r="WE9">
        <v>58.9</v>
      </c>
      <c r="WF9">
        <v>40.6</v>
      </c>
      <c r="WH9">
        <v>21.9</v>
      </c>
      <c r="WI9">
        <v>21.4</v>
      </c>
      <c r="WJ9">
        <v>23.5</v>
      </c>
      <c r="WL9">
        <v>66.3</v>
      </c>
      <c r="WX9">
        <v>22.4</v>
      </c>
      <c r="WY9">
        <v>21.1</v>
      </c>
      <c r="XB9">
        <v>29.3</v>
      </c>
      <c r="XD9">
        <v>23.6</v>
      </c>
      <c r="XE9">
        <v>21.8</v>
      </c>
      <c r="XF9">
        <v>20.3</v>
      </c>
      <c r="XH9">
        <v>28.2</v>
      </c>
      <c r="XI9">
        <v>31.8</v>
      </c>
      <c r="XJ9">
        <v>31.8</v>
      </c>
      <c r="XM9">
        <v>18.2</v>
      </c>
      <c r="XT9">
        <v>19.600000000000001</v>
      </c>
      <c r="XU9">
        <v>44.4</v>
      </c>
      <c r="XV9">
        <v>34.799999999999997</v>
      </c>
      <c r="XW9">
        <v>35.6</v>
      </c>
      <c r="XZ9">
        <v>40.1</v>
      </c>
      <c r="YA9">
        <v>32.1</v>
      </c>
      <c r="YD9">
        <v>13.8</v>
      </c>
      <c r="YG9">
        <v>48.6</v>
      </c>
      <c r="YM9">
        <v>111.5</v>
      </c>
      <c r="YT9">
        <v>30.9</v>
      </c>
      <c r="YU9">
        <v>20</v>
      </c>
      <c r="YW9">
        <v>19.7</v>
      </c>
      <c r="YX9">
        <v>24.4</v>
      </c>
      <c r="ZB9">
        <v>69.099999999999994</v>
      </c>
      <c r="ZC9">
        <v>134.9</v>
      </c>
      <c r="ZE9">
        <v>86.8</v>
      </c>
      <c r="ZF9">
        <v>70.599999999999994</v>
      </c>
      <c r="ZG9">
        <v>54.2</v>
      </c>
      <c r="ZK9">
        <v>66.3</v>
      </c>
      <c r="ZM9">
        <v>103</v>
      </c>
      <c r="ZN9">
        <v>66.400000000000006</v>
      </c>
      <c r="ZO9">
        <v>76.3</v>
      </c>
      <c r="ZP9">
        <v>66.8</v>
      </c>
      <c r="ZQ9">
        <v>83</v>
      </c>
      <c r="ZT9">
        <v>52</v>
      </c>
      <c r="ZW9">
        <v>50</v>
      </c>
      <c r="ZY9">
        <v>56.6</v>
      </c>
      <c r="AAC9">
        <v>26</v>
      </c>
      <c r="AAD9">
        <v>22.7</v>
      </c>
      <c r="AAE9">
        <v>41.4</v>
      </c>
      <c r="AAG9">
        <v>15.7</v>
      </c>
      <c r="AAH9">
        <v>58.4</v>
      </c>
      <c r="AAI9">
        <v>28.5</v>
      </c>
      <c r="AAJ9">
        <v>11.5</v>
      </c>
      <c r="AAK9">
        <v>99.3</v>
      </c>
      <c r="AAL9">
        <v>49.7</v>
      </c>
      <c r="AAM9">
        <v>70.8</v>
      </c>
      <c r="AAN9">
        <v>27.9</v>
      </c>
      <c r="AAO9">
        <v>20.2</v>
      </c>
      <c r="AAP9">
        <v>19.7</v>
      </c>
      <c r="AAR9">
        <v>12</v>
      </c>
      <c r="AAX9">
        <v>14.6</v>
      </c>
      <c r="ABB9">
        <v>26.1</v>
      </c>
      <c r="ABC9">
        <v>27.9</v>
      </c>
      <c r="ABD9">
        <v>24.9</v>
      </c>
      <c r="ABE9">
        <v>25.4</v>
      </c>
      <c r="ABF9">
        <v>35.700000000000003</v>
      </c>
      <c r="ABG9">
        <v>33.9</v>
      </c>
      <c r="ABH9">
        <v>35.200000000000003</v>
      </c>
      <c r="ABI9">
        <v>28.6</v>
      </c>
      <c r="ABJ9">
        <v>36.799999999999997</v>
      </c>
      <c r="ABK9">
        <v>35.9</v>
      </c>
      <c r="ABL9">
        <v>37.9</v>
      </c>
      <c r="ABM9">
        <v>35.6</v>
      </c>
      <c r="ABN9">
        <v>36.299999999999997</v>
      </c>
    </row>
    <row r="10" spans="1:748">
      <c r="A10">
        <v>1973</v>
      </c>
      <c r="B10">
        <v>40.700000000000003</v>
      </c>
      <c r="C10">
        <v>38.200000000000003</v>
      </c>
      <c r="D10">
        <v>40.5</v>
      </c>
      <c r="E10">
        <v>47.8</v>
      </c>
      <c r="H10">
        <v>36.799999999999997</v>
      </c>
      <c r="I10">
        <v>38.799999999999997</v>
      </c>
      <c r="J10">
        <v>33.799999999999997</v>
      </c>
      <c r="L10">
        <v>34.5</v>
      </c>
      <c r="N10">
        <v>26.7</v>
      </c>
      <c r="P10">
        <v>39</v>
      </c>
      <c r="R10">
        <v>46.6</v>
      </c>
      <c r="S10">
        <v>37.700000000000003</v>
      </c>
      <c r="V10">
        <v>30.3</v>
      </c>
      <c r="W10">
        <v>32.700000000000003</v>
      </c>
      <c r="X10">
        <v>43.6</v>
      </c>
      <c r="Y10">
        <v>44.5</v>
      </c>
      <c r="Z10">
        <v>30.2</v>
      </c>
      <c r="AA10">
        <v>36</v>
      </c>
      <c r="AB10">
        <v>40</v>
      </c>
      <c r="AC10">
        <v>20.9</v>
      </c>
      <c r="AD10">
        <v>23.4</v>
      </c>
      <c r="AE10">
        <v>57.4</v>
      </c>
      <c r="AF10">
        <v>46.7</v>
      </c>
      <c r="AG10">
        <v>22.6</v>
      </c>
      <c r="AH10">
        <v>25</v>
      </c>
      <c r="AJ10">
        <v>12.4</v>
      </c>
      <c r="AK10">
        <v>26.7</v>
      </c>
      <c r="AM10">
        <v>29.1</v>
      </c>
      <c r="AN10">
        <v>40.1</v>
      </c>
      <c r="AO10">
        <v>26.7</v>
      </c>
      <c r="AP10">
        <v>18.600000000000001</v>
      </c>
      <c r="AR10">
        <v>26.8</v>
      </c>
      <c r="AU10">
        <v>26.5</v>
      </c>
      <c r="AV10">
        <v>21.3</v>
      </c>
      <c r="AW10">
        <v>26.7</v>
      </c>
      <c r="AX10">
        <v>30.3</v>
      </c>
      <c r="AY10">
        <v>27.1</v>
      </c>
      <c r="AZ10">
        <v>41.2</v>
      </c>
      <c r="BD10">
        <v>47.3</v>
      </c>
      <c r="BE10">
        <v>45.2</v>
      </c>
      <c r="BF10">
        <v>32.6</v>
      </c>
      <c r="BH10">
        <v>45.4</v>
      </c>
      <c r="BJ10">
        <v>60.4</v>
      </c>
      <c r="BK10">
        <v>57.2</v>
      </c>
      <c r="BM10">
        <v>53.1</v>
      </c>
      <c r="BP10">
        <v>59.7</v>
      </c>
      <c r="BQ10">
        <v>53.1</v>
      </c>
      <c r="BR10">
        <v>54.3</v>
      </c>
      <c r="BT10">
        <v>48.4</v>
      </c>
      <c r="BU10">
        <v>29.8</v>
      </c>
      <c r="BW10">
        <v>41.9</v>
      </c>
      <c r="BX10">
        <v>43.4</v>
      </c>
      <c r="BZ10">
        <v>74.3</v>
      </c>
      <c r="CA10">
        <v>74.3</v>
      </c>
      <c r="CB10">
        <v>34.299999999999997</v>
      </c>
      <c r="CC10">
        <v>34.9</v>
      </c>
      <c r="CD10">
        <v>49</v>
      </c>
      <c r="CE10">
        <v>23.3</v>
      </c>
      <c r="CF10">
        <v>27</v>
      </c>
      <c r="CG10">
        <v>23.7</v>
      </c>
      <c r="CH10">
        <v>57</v>
      </c>
      <c r="CL10">
        <v>25.9</v>
      </c>
      <c r="CM10">
        <v>31.2</v>
      </c>
      <c r="CN10">
        <v>34.4</v>
      </c>
      <c r="CO10">
        <v>47.3</v>
      </c>
      <c r="CP10">
        <v>40</v>
      </c>
      <c r="CQ10">
        <v>27.5</v>
      </c>
      <c r="CR10">
        <v>53.8</v>
      </c>
      <c r="CS10">
        <v>26.5</v>
      </c>
      <c r="CX10">
        <v>31</v>
      </c>
      <c r="CY10">
        <v>34</v>
      </c>
      <c r="CZ10">
        <v>25.9</v>
      </c>
      <c r="DA10">
        <v>28.6</v>
      </c>
      <c r="DB10">
        <v>23.5</v>
      </c>
      <c r="DG10">
        <v>33.9</v>
      </c>
      <c r="DH10">
        <v>32</v>
      </c>
      <c r="DI10">
        <v>35</v>
      </c>
      <c r="DJ10">
        <v>53.5</v>
      </c>
      <c r="DK10">
        <v>25.4</v>
      </c>
      <c r="DL10">
        <v>19.399999999999999</v>
      </c>
      <c r="DN10">
        <v>46.7</v>
      </c>
      <c r="DO10">
        <v>45.9</v>
      </c>
      <c r="DP10">
        <v>43.4</v>
      </c>
      <c r="DQ10">
        <v>55.4</v>
      </c>
      <c r="DR10">
        <v>27.2</v>
      </c>
      <c r="DS10">
        <v>43.6</v>
      </c>
      <c r="DT10">
        <v>19.2</v>
      </c>
      <c r="DU10">
        <v>26.2</v>
      </c>
      <c r="DX10">
        <v>20.9</v>
      </c>
      <c r="DZ10">
        <v>29.1</v>
      </c>
      <c r="EA10">
        <v>28.4</v>
      </c>
      <c r="EB10">
        <v>33.299999999999997</v>
      </c>
      <c r="EC10">
        <v>19.8</v>
      </c>
      <c r="EF10">
        <v>22.1</v>
      </c>
      <c r="EG10">
        <v>40.9</v>
      </c>
      <c r="EH10">
        <v>41.1</v>
      </c>
      <c r="EI10">
        <v>31.6</v>
      </c>
      <c r="EJ10">
        <v>21</v>
      </c>
      <c r="EK10">
        <v>27.2</v>
      </c>
      <c r="EM10">
        <v>26.5</v>
      </c>
      <c r="EN10">
        <v>46.5</v>
      </c>
      <c r="ER10">
        <v>52.3</v>
      </c>
      <c r="ET10">
        <v>61.6</v>
      </c>
      <c r="EU10">
        <v>81</v>
      </c>
      <c r="EV10">
        <v>90.6</v>
      </c>
      <c r="EW10">
        <v>54.7</v>
      </c>
      <c r="EX10">
        <v>58.7</v>
      </c>
      <c r="EY10">
        <v>25.7</v>
      </c>
      <c r="EZ10">
        <v>61.4</v>
      </c>
      <c r="FA10">
        <v>60.8</v>
      </c>
      <c r="FB10">
        <v>81.3</v>
      </c>
      <c r="FC10">
        <v>61.4</v>
      </c>
      <c r="FD10">
        <v>68.8</v>
      </c>
      <c r="FE10">
        <v>76.3</v>
      </c>
      <c r="FF10">
        <v>66.099999999999994</v>
      </c>
      <c r="FI10">
        <v>43.5</v>
      </c>
      <c r="FJ10">
        <v>40.4</v>
      </c>
      <c r="FQ10">
        <v>35.6</v>
      </c>
      <c r="FR10">
        <v>24.9</v>
      </c>
      <c r="FU10">
        <v>36.799999999999997</v>
      </c>
      <c r="FY10">
        <v>44.8</v>
      </c>
      <c r="GA10">
        <v>47.8</v>
      </c>
      <c r="GB10">
        <v>33.9</v>
      </c>
      <c r="GD10">
        <v>35.799999999999997</v>
      </c>
      <c r="GE10">
        <v>55.7</v>
      </c>
      <c r="GF10">
        <v>42.2</v>
      </c>
      <c r="GG10">
        <v>52</v>
      </c>
      <c r="GH10">
        <v>38</v>
      </c>
      <c r="GI10">
        <v>35.799999999999997</v>
      </c>
      <c r="GU10">
        <v>35.200000000000003</v>
      </c>
      <c r="GV10">
        <v>31.6</v>
      </c>
      <c r="GW10">
        <v>24.1</v>
      </c>
      <c r="GX10">
        <v>31.3</v>
      </c>
      <c r="HO10">
        <v>59.1</v>
      </c>
      <c r="HP10">
        <v>51.4</v>
      </c>
      <c r="HQ10">
        <v>37.6</v>
      </c>
      <c r="HR10">
        <v>68.599999999999994</v>
      </c>
      <c r="HT10">
        <v>55.8</v>
      </c>
      <c r="HU10">
        <v>52.3</v>
      </c>
      <c r="HY10">
        <v>63</v>
      </c>
      <c r="IA10">
        <v>77.3</v>
      </c>
      <c r="IC10">
        <v>75.8</v>
      </c>
      <c r="IJ10">
        <v>49.1</v>
      </c>
      <c r="IK10">
        <v>54.1</v>
      </c>
      <c r="IL10">
        <v>34.299999999999997</v>
      </c>
      <c r="IM10">
        <v>46.7</v>
      </c>
      <c r="IO10">
        <v>66.8</v>
      </c>
      <c r="IT10">
        <v>32.799999999999997</v>
      </c>
      <c r="IU10">
        <v>32.5</v>
      </c>
      <c r="IV10">
        <v>22.5</v>
      </c>
      <c r="IX10">
        <v>25.3</v>
      </c>
      <c r="JA10">
        <v>29.6</v>
      </c>
      <c r="JC10">
        <v>29.4</v>
      </c>
      <c r="JO10">
        <v>33.299999999999997</v>
      </c>
      <c r="JQ10">
        <v>34.4</v>
      </c>
      <c r="JV10">
        <v>36.299999999999997</v>
      </c>
      <c r="JW10">
        <v>38.299999999999997</v>
      </c>
      <c r="JX10">
        <v>42.8</v>
      </c>
      <c r="JY10">
        <v>42.8</v>
      </c>
      <c r="JZ10">
        <v>25.3</v>
      </c>
      <c r="KA10">
        <v>26.7</v>
      </c>
      <c r="KB10">
        <v>23.8</v>
      </c>
      <c r="KC10">
        <v>37.9</v>
      </c>
      <c r="KD10">
        <v>37.9</v>
      </c>
      <c r="KE10">
        <v>29</v>
      </c>
      <c r="KF10">
        <v>52.9</v>
      </c>
      <c r="KL10">
        <v>27.2</v>
      </c>
      <c r="KM10">
        <v>25</v>
      </c>
      <c r="KN10">
        <v>26.5</v>
      </c>
      <c r="KO10">
        <v>12.1</v>
      </c>
      <c r="KP10">
        <v>23</v>
      </c>
      <c r="KT10">
        <v>24.9</v>
      </c>
      <c r="KU10">
        <v>24</v>
      </c>
      <c r="KX10">
        <v>42.8</v>
      </c>
      <c r="KY10">
        <v>35</v>
      </c>
      <c r="KZ10">
        <v>54.7</v>
      </c>
      <c r="LA10">
        <v>54.7</v>
      </c>
      <c r="LB10">
        <v>32.700000000000003</v>
      </c>
      <c r="LC10">
        <v>37.5</v>
      </c>
      <c r="LD10">
        <v>27</v>
      </c>
      <c r="LE10">
        <v>24.4</v>
      </c>
      <c r="LF10">
        <v>23.8</v>
      </c>
      <c r="LH10">
        <v>21.5</v>
      </c>
      <c r="LJ10">
        <v>92.6</v>
      </c>
      <c r="LK10">
        <v>250.6</v>
      </c>
      <c r="LL10">
        <v>637</v>
      </c>
      <c r="LN10">
        <v>264.8</v>
      </c>
      <c r="LO10">
        <v>118.6</v>
      </c>
      <c r="LP10">
        <v>2165.4</v>
      </c>
      <c r="LQ10">
        <v>616.6</v>
      </c>
      <c r="LT10">
        <v>226.8</v>
      </c>
      <c r="LV10">
        <v>112.1</v>
      </c>
      <c r="LX10">
        <v>49.2</v>
      </c>
      <c r="MB10">
        <v>91.1</v>
      </c>
      <c r="MD10">
        <v>112.7</v>
      </c>
      <c r="ME10">
        <v>52.1</v>
      </c>
      <c r="MG10">
        <v>78.900000000000006</v>
      </c>
      <c r="MI10">
        <v>100.8</v>
      </c>
      <c r="MJ10">
        <v>56.1</v>
      </c>
      <c r="MM10">
        <v>39</v>
      </c>
      <c r="MN10">
        <v>27.5</v>
      </c>
      <c r="MO10">
        <v>23.9</v>
      </c>
      <c r="MP10">
        <v>29.6</v>
      </c>
      <c r="MQ10">
        <v>40.4</v>
      </c>
      <c r="MS10">
        <v>34.4</v>
      </c>
      <c r="MU10">
        <v>34.700000000000003</v>
      </c>
      <c r="MV10">
        <v>50.5</v>
      </c>
      <c r="MW10">
        <v>69.2</v>
      </c>
      <c r="MX10">
        <v>48.9</v>
      </c>
      <c r="NB10">
        <v>88.5</v>
      </c>
      <c r="NC10">
        <v>95.9</v>
      </c>
      <c r="NF10">
        <v>104.6</v>
      </c>
      <c r="NG10">
        <v>103.6</v>
      </c>
      <c r="NH10">
        <v>110.8</v>
      </c>
      <c r="NI10">
        <v>63</v>
      </c>
      <c r="NL10">
        <v>61.9</v>
      </c>
      <c r="NQ10">
        <v>23.9</v>
      </c>
      <c r="NR10">
        <v>24.1</v>
      </c>
      <c r="NS10">
        <v>24.1</v>
      </c>
      <c r="NT10">
        <v>22.5</v>
      </c>
      <c r="NY10">
        <v>42.1</v>
      </c>
      <c r="NZ10">
        <v>40.700000000000003</v>
      </c>
      <c r="OA10">
        <v>39.4</v>
      </c>
      <c r="OB10">
        <v>40</v>
      </c>
      <c r="OC10">
        <v>32.1</v>
      </c>
      <c r="OD10">
        <v>41.3</v>
      </c>
      <c r="OE10">
        <v>43.3</v>
      </c>
      <c r="OF10">
        <v>39.9</v>
      </c>
      <c r="OH10">
        <v>51.2</v>
      </c>
      <c r="OK10">
        <v>36.6</v>
      </c>
      <c r="OL10">
        <v>38</v>
      </c>
      <c r="ON10">
        <v>43.8</v>
      </c>
      <c r="OO10">
        <v>33.9</v>
      </c>
      <c r="OP10">
        <v>31.6</v>
      </c>
      <c r="OS10">
        <v>32.700000000000003</v>
      </c>
      <c r="OU10">
        <v>25.6</v>
      </c>
      <c r="OY10">
        <v>33.700000000000003</v>
      </c>
      <c r="PB10">
        <v>31.7</v>
      </c>
      <c r="PD10">
        <v>98.5</v>
      </c>
      <c r="PH10">
        <v>44.2</v>
      </c>
      <c r="PI10">
        <v>43.1</v>
      </c>
      <c r="PJ10">
        <v>46.8</v>
      </c>
      <c r="PK10">
        <v>55.3</v>
      </c>
      <c r="PN10">
        <v>47.7</v>
      </c>
      <c r="PO10">
        <v>39.4</v>
      </c>
      <c r="PT10">
        <v>42.2</v>
      </c>
      <c r="PU10">
        <v>43.7</v>
      </c>
      <c r="PY10">
        <v>43.4</v>
      </c>
      <c r="PZ10">
        <v>56.5</v>
      </c>
      <c r="QA10">
        <v>56.6</v>
      </c>
      <c r="QB10">
        <v>52.4</v>
      </c>
      <c r="QD10">
        <v>31</v>
      </c>
      <c r="QF10">
        <v>45.9</v>
      </c>
      <c r="QG10">
        <v>27.6</v>
      </c>
      <c r="QH10">
        <v>51.8</v>
      </c>
      <c r="QI10">
        <v>46.8</v>
      </c>
      <c r="QJ10">
        <v>39.299999999999997</v>
      </c>
      <c r="QK10">
        <v>41.5</v>
      </c>
      <c r="QL10">
        <v>37.4</v>
      </c>
      <c r="QM10">
        <v>40.9</v>
      </c>
      <c r="QN10">
        <v>41.1</v>
      </c>
      <c r="QO10">
        <v>36.1</v>
      </c>
      <c r="QQ10">
        <v>50</v>
      </c>
      <c r="QR10">
        <v>30.6</v>
      </c>
      <c r="QS10">
        <v>70.3</v>
      </c>
      <c r="QU10">
        <v>48.3</v>
      </c>
      <c r="QV10">
        <v>106.1</v>
      </c>
      <c r="QW10">
        <v>57.7</v>
      </c>
      <c r="QY10">
        <v>34.5</v>
      </c>
      <c r="QZ10">
        <v>31</v>
      </c>
      <c r="RA10">
        <v>38.5</v>
      </c>
      <c r="RB10">
        <v>24.7</v>
      </c>
      <c r="RD10">
        <v>41.1</v>
      </c>
      <c r="RE10">
        <v>54</v>
      </c>
      <c r="RF10">
        <v>33.5</v>
      </c>
      <c r="RG10">
        <v>52.9</v>
      </c>
      <c r="RH10">
        <v>61.3</v>
      </c>
      <c r="RI10">
        <v>61.5</v>
      </c>
      <c r="RL10">
        <v>43.2</v>
      </c>
      <c r="RM10">
        <v>43.7</v>
      </c>
      <c r="RS10">
        <v>66.5</v>
      </c>
      <c r="RV10">
        <v>80.900000000000006</v>
      </c>
      <c r="SF10">
        <v>28.8</v>
      </c>
      <c r="SG10">
        <v>34.799999999999997</v>
      </c>
      <c r="SK10">
        <v>46.9</v>
      </c>
      <c r="SL10">
        <v>23.4</v>
      </c>
      <c r="SM10">
        <v>25.1</v>
      </c>
      <c r="SS10">
        <v>23</v>
      </c>
      <c r="SX10">
        <v>18.899999999999999</v>
      </c>
      <c r="SZ10">
        <v>22.8</v>
      </c>
      <c r="TA10">
        <v>49.4</v>
      </c>
      <c r="TE10">
        <v>56.2</v>
      </c>
      <c r="TF10">
        <v>66.400000000000006</v>
      </c>
      <c r="TK10">
        <v>64.599999999999994</v>
      </c>
      <c r="TL10">
        <v>62.4</v>
      </c>
      <c r="TN10">
        <v>50.3</v>
      </c>
      <c r="TO10">
        <v>50.6</v>
      </c>
      <c r="TP10">
        <v>65.5</v>
      </c>
      <c r="TT10">
        <v>55.7</v>
      </c>
      <c r="TU10">
        <v>21.1</v>
      </c>
      <c r="TV10">
        <v>43.8</v>
      </c>
      <c r="TY10">
        <v>30.8</v>
      </c>
      <c r="UC10">
        <v>131.69999999999999</v>
      </c>
      <c r="UE10">
        <v>95.3</v>
      </c>
      <c r="UH10">
        <v>91.8</v>
      </c>
      <c r="UL10">
        <v>20</v>
      </c>
      <c r="UM10">
        <v>18.7</v>
      </c>
      <c r="UN10">
        <v>27.3</v>
      </c>
      <c r="UO10">
        <v>30.8</v>
      </c>
      <c r="UP10">
        <v>16.600000000000001</v>
      </c>
      <c r="UQ10">
        <v>32.700000000000003</v>
      </c>
      <c r="UR10">
        <v>20.3</v>
      </c>
      <c r="US10">
        <v>4.7</v>
      </c>
      <c r="UT10">
        <v>12.5</v>
      </c>
      <c r="UW10">
        <v>34.299999999999997</v>
      </c>
      <c r="UY10">
        <v>32.5</v>
      </c>
      <c r="VD10">
        <v>49.7</v>
      </c>
      <c r="VE10">
        <v>2093.8000000000002</v>
      </c>
      <c r="VL10">
        <v>3667.1</v>
      </c>
      <c r="VM10">
        <v>45.9</v>
      </c>
      <c r="VO10">
        <v>49</v>
      </c>
      <c r="VP10">
        <v>41.5</v>
      </c>
      <c r="VQ10">
        <v>61.2</v>
      </c>
      <c r="VR10">
        <v>34.299999999999997</v>
      </c>
      <c r="VT10">
        <v>51.5</v>
      </c>
      <c r="VV10">
        <v>25.2</v>
      </c>
      <c r="VY10">
        <v>67</v>
      </c>
      <c r="WB10">
        <v>90</v>
      </c>
      <c r="WE10">
        <v>69.5</v>
      </c>
      <c r="WF10">
        <v>47.5</v>
      </c>
      <c r="WH10">
        <v>26</v>
      </c>
      <c r="WI10">
        <v>25.8</v>
      </c>
      <c r="WJ10">
        <v>27.6</v>
      </c>
      <c r="WL10">
        <v>69.8</v>
      </c>
      <c r="WX10">
        <v>26.3</v>
      </c>
      <c r="WY10">
        <v>24.5</v>
      </c>
      <c r="XB10">
        <v>32.799999999999997</v>
      </c>
      <c r="XD10">
        <v>27.2</v>
      </c>
      <c r="XE10">
        <v>26.6</v>
      </c>
      <c r="XF10">
        <v>20.3</v>
      </c>
      <c r="XH10">
        <v>31.7</v>
      </c>
      <c r="XI10">
        <v>36.9</v>
      </c>
      <c r="XJ10">
        <v>36.9</v>
      </c>
      <c r="XM10">
        <v>20.6</v>
      </c>
      <c r="XT10">
        <v>22.4</v>
      </c>
      <c r="XU10">
        <v>45.6</v>
      </c>
      <c r="XV10">
        <v>34.799999999999997</v>
      </c>
      <c r="XW10">
        <v>35.6</v>
      </c>
      <c r="XZ10">
        <v>40.6</v>
      </c>
      <c r="YA10">
        <v>37.700000000000003</v>
      </c>
      <c r="YD10">
        <v>14.1</v>
      </c>
      <c r="YG10">
        <v>46.6</v>
      </c>
      <c r="YM10">
        <v>119</v>
      </c>
      <c r="YT10">
        <v>33.9</v>
      </c>
      <c r="YU10">
        <v>24.7</v>
      </c>
      <c r="YW10">
        <v>24.5</v>
      </c>
      <c r="YX10">
        <v>30.3</v>
      </c>
      <c r="ZB10">
        <v>67.599999999999994</v>
      </c>
      <c r="ZC10">
        <v>140.5</v>
      </c>
      <c r="ZE10">
        <v>90.3</v>
      </c>
      <c r="ZF10">
        <v>77.599999999999994</v>
      </c>
      <c r="ZG10">
        <v>66.099999999999994</v>
      </c>
      <c r="ZK10">
        <v>67.7</v>
      </c>
      <c r="ZM10">
        <v>108.9</v>
      </c>
      <c r="ZN10">
        <v>62.6</v>
      </c>
      <c r="ZO10">
        <v>76.3</v>
      </c>
      <c r="ZP10">
        <v>66.8</v>
      </c>
      <c r="ZQ10">
        <v>70.400000000000006</v>
      </c>
      <c r="ZT10">
        <v>52.3</v>
      </c>
      <c r="ZW10">
        <v>50</v>
      </c>
      <c r="ZY10">
        <v>56.7</v>
      </c>
      <c r="AAC10">
        <v>30.7</v>
      </c>
      <c r="AAD10">
        <v>28</v>
      </c>
      <c r="AAE10">
        <v>51.7</v>
      </c>
      <c r="AAG10">
        <v>19.5</v>
      </c>
      <c r="AAH10">
        <v>67.099999999999994</v>
      </c>
      <c r="AAI10">
        <v>32.6</v>
      </c>
      <c r="AAJ10">
        <v>14.3</v>
      </c>
      <c r="AAK10">
        <v>98.2</v>
      </c>
      <c r="AAL10">
        <v>55.2</v>
      </c>
      <c r="AAM10">
        <v>75</v>
      </c>
      <c r="AAN10">
        <v>33.799999999999997</v>
      </c>
      <c r="AAO10">
        <v>20.2</v>
      </c>
      <c r="AAP10">
        <v>19.7</v>
      </c>
      <c r="AAR10">
        <v>13.9</v>
      </c>
      <c r="AAX10">
        <v>14.9</v>
      </c>
      <c r="ABB10">
        <v>32.299999999999997</v>
      </c>
      <c r="ABC10">
        <v>32.700000000000003</v>
      </c>
      <c r="ABD10">
        <v>34.9</v>
      </c>
      <c r="ABE10">
        <v>28.4</v>
      </c>
      <c r="ABF10">
        <v>41.1</v>
      </c>
      <c r="ABG10">
        <v>39.700000000000003</v>
      </c>
      <c r="ABH10">
        <v>40.9</v>
      </c>
      <c r="ABI10">
        <v>33.9</v>
      </c>
      <c r="ABJ10">
        <v>39.9</v>
      </c>
      <c r="ABK10">
        <v>41.5</v>
      </c>
      <c r="ABL10">
        <v>42.4</v>
      </c>
      <c r="ABM10">
        <v>41</v>
      </c>
      <c r="ABN10">
        <v>41.3</v>
      </c>
    </row>
    <row r="11" spans="1:748">
      <c r="A11">
        <v>1974</v>
      </c>
      <c r="B11">
        <v>49.1</v>
      </c>
      <c r="C11">
        <v>47.3</v>
      </c>
      <c r="D11">
        <v>50.8</v>
      </c>
      <c r="E11">
        <v>57.8</v>
      </c>
      <c r="H11">
        <v>48.3</v>
      </c>
      <c r="I11">
        <v>51.1</v>
      </c>
      <c r="J11">
        <v>43.7</v>
      </c>
      <c r="L11">
        <v>49.5</v>
      </c>
      <c r="N11">
        <v>40.700000000000003</v>
      </c>
      <c r="P11">
        <v>51.5</v>
      </c>
      <c r="R11">
        <v>62.3</v>
      </c>
      <c r="S11">
        <v>49.2</v>
      </c>
      <c r="V11">
        <v>38.6</v>
      </c>
      <c r="W11">
        <v>41.9</v>
      </c>
      <c r="X11">
        <v>53.7</v>
      </c>
      <c r="Y11">
        <v>57.2</v>
      </c>
      <c r="Z11">
        <v>33.200000000000003</v>
      </c>
      <c r="AA11">
        <v>42.1</v>
      </c>
      <c r="AB11">
        <v>46</v>
      </c>
      <c r="AC11">
        <v>23.7</v>
      </c>
      <c r="AD11">
        <v>25.3</v>
      </c>
      <c r="AE11">
        <v>70.5</v>
      </c>
      <c r="AF11">
        <v>60.8</v>
      </c>
      <c r="AG11">
        <v>35</v>
      </c>
      <c r="AH11">
        <v>30.3</v>
      </c>
      <c r="AJ11">
        <v>16.899999999999999</v>
      </c>
      <c r="AK11">
        <v>33.700000000000003</v>
      </c>
      <c r="AM11">
        <v>35.4</v>
      </c>
      <c r="AN11">
        <v>45.5</v>
      </c>
      <c r="AO11">
        <v>27.8</v>
      </c>
      <c r="AP11">
        <v>29.6</v>
      </c>
      <c r="AR11">
        <v>35.200000000000003</v>
      </c>
      <c r="AU11">
        <v>34.4</v>
      </c>
      <c r="AV11">
        <v>29.2</v>
      </c>
      <c r="AW11">
        <v>34.700000000000003</v>
      </c>
      <c r="AX11">
        <v>37.299999999999997</v>
      </c>
      <c r="AY11">
        <v>37.1</v>
      </c>
      <c r="AZ11">
        <v>47.1</v>
      </c>
      <c r="BD11">
        <v>54.8</v>
      </c>
      <c r="BE11">
        <v>51.9</v>
      </c>
      <c r="BF11">
        <v>37.4</v>
      </c>
      <c r="BH11">
        <v>51</v>
      </c>
      <c r="BJ11">
        <v>71.400000000000006</v>
      </c>
      <c r="BK11">
        <v>69.2</v>
      </c>
      <c r="BM11">
        <v>65.8</v>
      </c>
      <c r="BP11">
        <v>76.5</v>
      </c>
      <c r="BQ11">
        <v>68.599999999999994</v>
      </c>
      <c r="BR11">
        <v>70.400000000000006</v>
      </c>
      <c r="BT11">
        <v>61.9</v>
      </c>
      <c r="BU11">
        <v>39.700000000000003</v>
      </c>
      <c r="BW11">
        <v>49.4</v>
      </c>
      <c r="BX11">
        <v>55.4</v>
      </c>
      <c r="BZ11">
        <v>93.8</v>
      </c>
      <c r="CA11">
        <v>93.8</v>
      </c>
      <c r="CB11">
        <v>39.799999999999997</v>
      </c>
      <c r="CC11">
        <v>39.6</v>
      </c>
      <c r="CD11">
        <v>45.7</v>
      </c>
      <c r="CE11">
        <v>20.3</v>
      </c>
      <c r="CF11">
        <v>31</v>
      </c>
      <c r="CG11">
        <v>27.7</v>
      </c>
      <c r="CH11">
        <v>53.7</v>
      </c>
      <c r="CL11">
        <v>40.6</v>
      </c>
      <c r="CM11">
        <v>34.299999999999997</v>
      </c>
      <c r="CN11">
        <v>38.5</v>
      </c>
      <c r="CO11">
        <v>46.9</v>
      </c>
      <c r="CP11">
        <v>44</v>
      </c>
      <c r="CQ11">
        <v>35.6</v>
      </c>
      <c r="CR11">
        <v>47.9</v>
      </c>
      <c r="CS11">
        <v>33.5</v>
      </c>
      <c r="CX11">
        <v>34.299999999999997</v>
      </c>
      <c r="CY11">
        <v>38.700000000000003</v>
      </c>
      <c r="CZ11">
        <v>36.6</v>
      </c>
      <c r="DA11">
        <v>39.299999999999997</v>
      </c>
      <c r="DB11">
        <v>35.4</v>
      </c>
      <c r="DG11">
        <v>40.799999999999997</v>
      </c>
      <c r="DH11">
        <v>33.9</v>
      </c>
      <c r="DI11">
        <v>39.299999999999997</v>
      </c>
      <c r="DJ11">
        <v>48.9</v>
      </c>
      <c r="DK11">
        <v>27.6</v>
      </c>
      <c r="DL11">
        <v>26.6</v>
      </c>
      <c r="DN11">
        <v>55.3</v>
      </c>
      <c r="DO11">
        <v>53.8</v>
      </c>
      <c r="DP11">
        <v>52.7</v>
      </c>
      <c r="DQ11">
        <v>62.4</v>
      </c>
      <c r="DR11">
        <v>36.700000000000003</v>
      </c>
      <c r="DS11">
        <v>53.3</v>
      </c>
      <c r="DT11">
        <v>22.4</v>
      </c>
      <c r="DU11">
        <v>36.799999999999997</v>
      </c>
      <c r="DX11">
        <v>30.2</v>
      </c>
      <c r="DZ11">
        <v>36</v>
      </c>
      <c r="EA11">
        <v>35.200000000000003</v>
      </c>
      <c r="EB11">
        <v>44.8</v>
      </c>
      <c r="EC11">
        <v>23.9</v>
      </c>
      <c r="EF11">
        <v>24.1</v>
      </c>
      <c r="EG11">
        <v>48.2</v>
      </c>
      <c r="EH11">
        <v>43.7</v>
      </c>
      <c r="EI11">
        <v>39.4</v>
      </c>
      <c r="EJ11">
        <v>25.8</v>
      </c>
      <c r="EK11">
        <v>35.299999999999997</v>
      </c>
      <c r="EM11">
        <v>38.5</v>
      </c>
      <c r="EN11">
        <v>57.8</v>
      </c>
      <c r="ER11">
        <v>60.8</v>
      </c>
      <c r="ET11">
        <v>80.2</v>
      </c>
      <c r="EU11">
        <v>115.6</v>
      </c>
      <c r="EV11">
        <v>130.5</v>
      </c>
      <c r="EW11">
        <v>75.2</v>
      </c>
      <c r="EX11">
        <v>75.3</v>
      </c>
      <c r="EY11">
        <v>25.7</v>
      </c>
      <c r="EZ11">
        <v>76.099999999999994</v>
      </c>
      <c r="FA11">
        <v>71.5</v>
      </c>
      <c r="FB11">
        <v>114.5</v>
      </c>
      <c r="FC11">
        <v>77.400000000000006</v>
      </c>
      <c r="FD11">
        <v>87.4</v>
      </c>
      <c r="FE11">
        <v>107.8</v>
      </c>
      <c r="FF11">
        <v>96.3</v>
      </c>
      <c r="FI11">
        <v>61.9</v>
      </c>
      <c r="FJ11">
        <v>47.6</v>
      </c>
      <c r="FQ11">
        <v>49.3</v>
      </c>
      <c r="FR11">
        <v>32.6</v>
      </c>
      <c r="FU11">
        <v>47</v>
      </c>
      <c r="FY11">
        <v>55.7</v>
      </c>
      <c r="GA11">
        <v>67.8</v>
      </c>
      <c r="GB11">
        <v>51.4</v>
      </c>
      <c r="GD11">
        <v>56.3</v>
      </c>
      <c r="GE11">
        <v>86.3</v>
      </c>
      <c r="GF11">
        <v>60.5</v>
      </c>
      <c r="GG11">
        <v>65.400000000000006</v>
      </c>
      <c r="GH11">
        <v>59</v>
      </c>
      <c r="GI11">
        <v>47.9</v>
      </c>
      <c r="GU11">
        <v>47.1</v>
      </c>
      <c r="GV11">
        <v>35.9</v>
      </c>
      <c r="GW11">
        <v>32.299999999999997</v>
      </c>
      <c r="GX11">
        <v>43.2</v>
      </c>
      <c r="HO11">
        <v>71</v>
      </c>
      <c r="HP11">
        <v>60</v>
      </c>
      <c r="HQ11">
        <v>43.8</v>
      </c>
      <c r="HR11">
        <v>82.2</v>
      </c>
      <c r="HT11">
        <v>65.599999999999994</v>
      </c>
      <c r="HU11">
        <v>61.6</v>
      </c>
      <c r="HY11">
        <v>77.099999999999994</v>
      </c>
      <c r="IA11">
        <v>92.1</v>
      </c>
      <c r="IC11">
        <v>93.4</v>
      </c>
      <c r="IJ11">
        <v>57.2</v>
      </c>
      <c r="IK11">
        <v>67.599999999999994</v>
      </c>
      <c r="IL11">
        <v>43.9</v>
      </c>
      <c r="IM11">
        <v>50.5</v>
      </c>
      <c r="IO11">
        <v>75.2</v>
      </c>
      <c r="IT11">
        <v>40.4</v>
      </c>
      <c r="IU11">
        <v>40.1</v>
      </c>
      <c r="IV11">
        <v>29.4</v>
      </c>
      <c r="IX11">
        <v>32.5</v>
      </c>
      <c r="JA11">
        <v>36.200000000000003</v>
      </c>
      <c r="JC11">
        <v>36.799999999999997</v>
      </c>
      <c r="JO11">
        <v>41.5</v>
      </c>
      <c r="JQ11">
        <v>38.9</v>
      </c>
      <c r="JV11">
        <v>41.1</v>
      </c>
      <c r="JW11">
        <v>41.4</v>
      </c>
      <c r="JX11">
        <v>46.3</v>
      </c>
      <c r="JY11">
        <v>46.3</v>
      </c>
      <c r="JZ11">
        <v>26.8</v>
      </c>
      <c r="KA11">
        <v>28.2</v>
      </c>
      <c r="KB11">
        <v>25.1</v>
      </c>
      <c r="KC11">
        <v>41</v>
      </c>
      <c r="KD11">
        <v>41</v>
      </c>
      <c r="KE11">
        <v>38.299999999999997</v>
      </c>
      <c r="KF11">
        <v>65.900000000000006</v>
      </c>
      <c r="KL11">
        <v>33.9</v>
      </c>
      <c r="KM11">
        <v>33.5</v>
      </c>
      <c r="KN11">
        <v>34</v>
      </c>
      <c r="KO11">
        <v>18</v>
      </c>
      <c r="KP11">
        <v>31.6</v>
      </c>
      <c r="KT11">
        <v>31.9</v>
      </c>
      <c r="KU11">
        <v>30.6</v>
      </c>
      <c r="KX11">
        <v>53.9</v>
      </c>
      <c r="KY11">
        <v>44.6</v>
      </c>
      <c r="KZ11">
        <v>64.900000000000006</v>
      </c>
      <c r="LA11">
        <v>64.900000000000006</v>
      </c>
      <c r="LB11">
        <v>42.7</v>
      </c>
      <c r="LC11">
        <v>48.3</v>
      </c>
      <c r="LD11">
        <v>35.9</v>
      </c>
      <c r="LE11">
        <v>36.1</v>
      </c>
      <c r="LF11">
        <v>35.5</v>
      </c>
      <c r="LH11">
        <v>22.6</v>
      </c>
      <c r="LJ11">
        <v>119</v>
      </c>
      <c r="LK11">
        <v>335.9</v>
      </c>
      <c r="LL11">
        <v>863</v>
      </c>
      <c r="LN11">
        <v>397.8</v>
      </c>
      <c r="LO11">
        <v>167.1</v>
      </c>
      <c r="LP11">
        <v>2593.3000000000002</v>
      </c>
      <c r="LQ11">
        <v>882.1</v>
      </c>
      <c r="LT11">
        <v>311.2</v>
      </c>
      <c r="LV11">
        <v>161.80000000000001</v>
      </c>
      <c r="LX11">
        <v>63.8</v>
      </c>
      <c r="MB11">
        <v>112.7</v>
      </c>
      <c r="MD11">
        <v>124.7</v>
      </c>
      <c r="ME11">
        <v>63.4</v>
      </c>
      <c r="MG11">
        <v>92.6</v>
      </c>
      <c r="MI11">
        <v>115.4</v>
      </c>
      <c r="MJ11">
        <v>64.2</v>
      </c>
      <c r="MM11">
        <v>52.1</v>
      </c>
      <c r="MN11">
        <v>37.1</v>
      </c>
      <c r="MO11">
        <v>34.1</v>
      </c>
      <c r="MP11">
        <v>40.299999999999997</v>
      </c>
      <c r="MQ11">
        <v>54.2</v>
      </c>
      <c r="MS11">
        <v>45.7</v>
      </c>
      <c r="MU11">
        <v>52.6</v>
      </c>
      <c r="MV11">
        <v>66.5</v>
      </c>
      <c r="MW11">
        <v>86.8</v>
      </c>
      <c r="MX11">
        <v>55.8</v>
      </c>
      <c r="NB11">
        <v>109.6</v>
      </c>
      <c r="NC11">
        <v>113.6</v>
      </c>
      <c r="NF11">
        <v>131.69999999999999</v>
      </c>
      <c r="NG11">
        <v>125.4</v>
      </c>
      <c r="NH11">
        <v>140.69999999999999</v>
      </c>
      <c r="NI11">
        <v>85.2</v>
      </c>
      <c r="NL11">
        <v>71.5</v>
      </c>
      <c r="NQ11">
        <v>29.5</v>
      </c>
      <c r="NR11">
        <v>29.3</v>
      </c>
      <c r="NS11">
        <v>29.3</v>
      </c>
      <c r="NT11">
        <v>28</v>
      </c>
      <c r="NY11">
        <v>49.1</v>
      </c>
      <c r="NZ11">
        <v>46.9</v>
      </c>
      <c r="OA11">
        <v>44.1</v>
      </c>
      <c r="OB11">
        <v>44.8</v>
      </c>
      <c r="OC11">
        <v>37</v>
      </c>
      <c r="OD11">
        <v>48.2</v>
      </c>
      <c r="OE11">
        <v>51.9</v>
      </c>
      <c r="OF11">
        <v>49.9</v>
      </c>
      <c r="OH11">
        <v>60.3</v>
      </c>
      <c r="OK11">
        <v>44.7</v>
      </c>
      <c r="OL11">
        <v>41.9</v>
      </c>
      <c r="ON11">
        <v>54</v>
      </c>
      <c r="OO11">
        <v>42.6</v>
      </c>
      <c r="OP11">
        <v>35.4</v>
      </c>
      <c r="OS11">
        <v>34</v>
      </c>
      <c r="OU11">
        <v>30.7</v>
      </c>
      <c r="OY11">
        <v>37.1</v>
      </c>
      <c r="PB11">
        <v>33</v>
      </c>
      <c r="PD11">
        <v>115.5</v>
      </c>
      <c r="PH11">
        <v>52.6</v>
      </c>
      <c r="PI11">
        <v>49.6</v>
      </c>
      <c r="PJ11">
        <v>55</v>
      </c>
      <c r="PK11">
        <v>64.8</v>
      </c>
      <c r="PN11">
        <v>53.9</v>
      </c>
      <c r="PO11">
        <v>44</v>
      </c>
      <c r="PT11">
        <v>46.8</v>
      </c>
      <c r="PU11">
        <v>50.7</v>
      </c>
      <c r="PY11">
        <v>53.3</v>
      </c>
      <c r="PZ11">
        <v>70.7</v>
      </c>
      <c r="QA11">
        <v>72.400000000000006</v>
      </c>
      <c r="QB11">
        <v>63.4</v>
      </c>
      <c r="QD11">
        <v>36.200000000000003</v>
      </c>
      <c r="QF11">
        <v>54.9</v>
      </c>
      <c r="QG11">
        <v>31.9</v>
      </c>
      <c r="QH11">
        <v>65</v>
      </c>
      <c r="QI11">
        <v>65.900000000000006</v>
      </c>
      <c r="QJ11">
        <v>49.4</v>
      </c>
      <c r="QK11">
        <v>48.6</v>
      </c>
      <c r="QL11">
        <v>43.5</v>
      </c>
      <c r="QM11">
        <v>55.6</v>
      </c>
      <c r="QN11">
        <v>53.2</v>
      </c>
      <c r="QO11">
        <v>49.8</v>
      </c>
      <c r="QQ11">
        <v>59.2</v>
      </c>
      <c r="QR11">
        <v>43.5</v>
      </c>
      <c r="QS11">
        <v>79.7</v>
      </c>
      <c r="QU11">
        <v>55.1</v>
      </c>
      <c r="QV11">
        <v>104.5</v>
      </c>
      <c r="QW11">
        <v>65</v>
      </c>
      <c r="QY11">
        <v>42.6</v>
      </c>
      <c r="QZ11">
        <v>40</v>
      </c>
      <c r="RA11">
        <v>46</v>
      </c>
      <c r="RB11">
        <v>32.700000000000003</v>
      </c>
      <c r="RD11">
        <v>46.6</v>
      </c>
      <c r="RE11">
        <v>57.5</v>
      </c>
      <c r="RF11">
        <v>37.6</v>
      </c>
      <c r="RG11">
        <v>54</v>
      </c>
      <c r="RH11">
        <v>68.900000000000006</v>
      </c>
      <c r="RI11">
        <v>61.5</v>
      </c>
      <c r="RL11">
        <v>51.5</v>
      </c>
      <c r="RM11">
        <v>47.5</v>
      </c>
      <c r="RS11">
        <v>91.2</v>
      </c>
      <c r="RV11">
        <v>114.2</v>
      </c>
      <c r="SF11">
        <v>32.700000000000003</v>
      </c>
      <c r="SG11">
        <v>39.4</v>
      </c>
      <c r="SK11">
        <v>56.2</v>
      </c>
      <c r="SL11">
        <v>27.9</v>
      </c>
      <c r="SM11">
        <v>27.7</v>
      </c>
      <c r="SS11">
        <v>28.1</v>
      </c>
      <c r="SX11">
        <v>23</v>
      </c>
      <c r="SZ11">
        <v>30</v>
      </c>
      <c r="TA11">
        <v>57.8</v>
      </c>
      <c r="TE11">
        <v>72.5</v>
      </c>
      <c r="TF11">
        <v>77.2</v>
      </c>
      <c r="TK11">
        <v>81.5</v>
      </c>
      <c r="TL11">
        <v>78.7</v>
      </c>
      <c r="TN11">
        <v>68.900000000000006</v>
      </c>
      <c r="TO11">
        <v>74.599999999999994</v>
      </c>
      <c r="TP11">
        <v>87.9</v>
      </c>
      <c r="TT11">
        <v>71.3</v>
      </c>
      <c r="TU11">
        <v>28.1</v>
      </c>
      <c r="TV11">
        <v>56.8</v>
      </c>
      <c r="TY11">
        <v>32.1</v>
      </c>
      <c r="UC11">
        <v>129.4</v>
      </c>
      <c r="UE11">
        <v>96.8</v>
      </c>
      <c r="UH11">
        <v>92</v>
      </c>
      <c r="UL11">
        <v>24</v>
      </c>
      <c r="UM11">
        <v>22.2</v>
      </c>
      <c r="UN11">
        <v>30.6</v>
      </c>
      <c r="UO11">
        <v>34.5</v>
      </c>
      <c r="UP11">
        <v>20.8</v>
      </c>
      <c r="UQ11">
        <v>34.799999999999997</v>
      </c>
      <c r="UR11">
        <v>25.3</v>
      </c>
      <c r="US11">
        <v>5.7</v>
      </c>
      <c r="UT11">
        <v>13.8</v>
      </c>
      <c r="UW11">
        <v>42.8</v>
      </c>
      <c r="UY11">
        <v>40.6</v>
      </c>
      <c r="VD11">
        <v>60.4</v>
      </c>
      <c r="VE11">
        <v>2418.1999999999998</v>
      </c>
      <c r="VL11">
        <v>4398.3</v>
      </c>
      <c r="VM11">
        <v>57.3</v>
      </c>
      <c r="VO11">
        <v>60.9</v>
      </c>
      <c r="VP11">
        <v>54.7</v>
      </c>
      <c r="VQ11">
        <v>67.400000000000006</v>
      </c>
      <c r="VR11">
        <v>43.8</v>
      </c>
      <c r="VT11">
        <v>63.9</v>
      </c>
      <c r="VV11">
        <v>28.6</v>
      </c>
      <c r="VY11">
        <v>81.400000000000006</v>
      </c>
      <c r="WB11">
        <v>112.4</v>
      </c>
      <c r="WE11">
        <v>84</v>
      </c>
      <c r="WF11">
        <v>53.6</v>
      </c>
      <c r="WH11">
        <v>32.299999999999997</v>
      </c>
      <c r="WI11">
        <v>32.200000000000003</v>
      </c>
      <c r="WJ11">
        <v>34.1</v>
      </c>
      <c r="WL11">
        <v>73.3</v>
      </c>
      <c r="WX11">
        <v>36.5</v>
      </c>
      <c r="WY11">
        <v>36.1</v>
      </c>
      <c r="XB11">
        <v>41.8</v>
      </c>
      <c r="XD11">
        <v>33.200000000000003</v>
      </c>
      <c r="XE11">
        <v>33.799999999999997</v>
      </c>
      <c r="XF11">
        <v>24.1</v>
      </c>
      <c r="XH11">
        <v>36.299999999999997</v>
      </c>
      <c r="XI11">
        <v>38.6</v>
      </c>
      <c r="XJ11">
        <v>38.6</v>
      </c>
      <c r="XM11">
        <v>26.1</v>
      </c>
      <c r="XT11">
        <v>28.7</v>
      </c>
      <c r="XU11">
        <v>51</v>
      </c>
      <c r="XV11">
        <v>34.799999999999997</v>
      </c>
      <c r="XW11">
        <v>35.6</v>
      </c>
      <c r="XZ11">
        <v>43.9</v>
      </c>
      <c r="YA11">
        <v>47.3</v>
      </c>
      <c r="YD11">
        <v>17.600000000000001</v>
      </c>
      <c r="YG11">
        <v>46.2</v>
      </c>
      <c r="YM11">
        <v>150.30000000000001</v>
      </c>
      <c r="YT11">
        <v>39.9</v>
      </c>
      <c r="YU11">
        <v>33.9</v>
      </c>
      <c r="YW11">
        <v>33.6</v>
      </c>
      <c r="YX11">
        <v>40.799999999999997</v>
      </c>
      <c r="ZB11">
        <v>75.099999999999994</v>
      </c>
      <c r="ZC11">
        <v>166.6</v>
      </c>
      <c r="ZE11">
        <v>110.2</v>
      </c>
      <c r="ZF11">
        <v>101.8</v>
      </c>
      <c r="ZG11">
        <v>98.1</v>
      </c>
      <c r="ZK11">
        <v>84.4</v>
      </c>
      <c r="ZM11">
        <v>132.1</v>
      </c>
      <c r="ZN11">
        <v>65.099999999999994</v>
      </c>
      <c r="ZO11">
        <v>76.400000000000006</v>
      </c>
      <c r="ZP11">
        <v>67.099999999999994</v>
      </c>
      <c r="ZQ11">
        <v>70.400000000000006</v>
      </c>
      <c r="ZT11">
        <v>60.8</v>
      </c>
      <c r="ZW11">
        <v>50</v>
      </c>
      <c r="ZY11">
        <v>56.7</v>
      </c>
      <c r="AAC11">
        <v>37.700000000000003</v>
      </c>
      <c r="AAD11">
        <v>32.9</v>
      </c>
      <c r="AAE11">
        <v>59.2</v>
      </c>
      <c r="AAG11">
        <v>23.7</v>
      </c>
      <c r="AAH11">
        <v>81.7</v>
      </c>
      <c r="AAI11">
        <v>43.2</v>
      </c>
      <c r="AAJ11">
        <v>22.3</v>
      </c>
      <c r="AAK11">
        <v>100.5</v>
      </c>
      <c r="AAL11">
        <v>60.9</v>
      </c>
      <c r="AAM11">
        <v>81.7</v>
      </c>
      <c r="AAN11">
        <v>38</v>
      </c>
      <c r="AAO11">
        <v>20.2</v>
      </c>
      <c r="AAP11">
        <v>19.7</v>
      </c>
      <c r="AAR11">
        <v>14.9</v>
      </c>
      <c r="AAX11">
        <v>16</v>
      </c>
      <c r="ABB11">
        <v>39.5</v>
      </c>
      <c r="ABC11">
        <v>41.9</v>
      </c>
      <c r="ABD11">
        <v>39.6</v>
      </c>
      <c r="ABE11">
        <v>35.200000000000003</v>
      </c>
      <c r="ABF11">
        <v>49.6</v>
      </c>
      <c r="ABG11">
        <v>49.5</v>
      </c>
      <c r="ABH11">
        <v>49.8</v>
      </c>
      <c r="ABI11">
        <v>40.5</v>
      </c>
      <c r="ABJ11">
        <v>42.9</v>
      </c>
      <c r="ABK11">
        <v>50.6</v>
      </c>
      <c r="ABL11">
        <v>56.9</v>
      </c>
      <c r="ABM11">
        <v>49.3</v>
      </c>
      <c r="ABN11">
        <v>48.6</v>
      </c>
    </row>
    <row r="12" spans="1:748">
      <c r="A12">
        <v>1975</v>
      </c>
      <c r="B12">
        <v>54.2</v>
      </c>
      <c r="C12">
        <v>52.8</v>
      </c>
      <c r="D12">
        <v>59.6</v>
      </c>
      <c r="E12">
        <v>72.2</v>
      </c>
      <c r="F12">
        <v>75.099999999999994</v>
      </c>
      <c r="G12">
        <v>76.2</v>
      </c>
      <c r="H12">
        <v>49.8</v>
      </c>
      <c r="I12">
        <v>51.8</v>
      </c>
      <c r="J12">
        <v>48.1</v>
      </c>
      <c r="L12">
        <v>49</v>
      </c>
      <c r="M12">
        <v>49.1</v>
      </c>
      <c r="N12">
        <v>40.9</v>
      </c>
      <c r="P12">
        <v>49.6</v>
      </c>
      <c r="R12">
        <v>62.9</v>
      </c>
      <c r="S12">
        <v>49.1</v>
      </c>
      <c r="T12">
        <v>70.8</v>
      </c>
      <c r="V12">
        <v>42.7</v>
      </c>
      <c r="W12">
        <v>47.1</v>
      </c>
      <c r="X12">
        <v>61.2</v>
      </c>
      <c r="Y12">
        <v>59.5</v>
      </c>
      <c r="Z12">
        <v>30.6</v>
      </c>
      <c r="AA12">
        <v>49.9</v>
      </c>
      <c r="AB12">
        <v>52.8</v>
      </c>
      <c r="AC12">
        <v>26.5</v>
      </c>
      <c r="AD12">
        <v>35</v>
      </c>
      <c r="AE12">
        <v>82.9</v>
      </c>
      <c r="AF12">
        <v>71.400000000000006</v>
      </c>
      <c r="AG12">
        <v>36.5</v>
      </c>
      <c r="AH12">
        <v>36.799999999999997</v>
      </c>
      <c r="AI12">
        <v>75.7</v>
      </c>
      <c r="AJ12">
        <v>21</v>
      </c>
      <c r="AK12">
        <v>37.200000000000003</v>
      </c>
      <c r="AM12">
        <v>39</v>
      </c>
      <c r="AN12">
        <v>51</v>
      </c>
      <c r="AO12">
        <v>28.1</v>
      </c>
      <c r="AP12">
        <v>33.5</v>
      </c>
      <c r="AR12">
        <v>40.299999999999997</v>
      </c>
      <c r="AU12">
        <v>36.700000000000003</v>
      </c>
      <c r="AV12">
        <v>32.200000000000003</v>
      </c>
      <c r="AW12">
        <v>36</v>
      </c>
      <c r="AX12">
        <v>39.200000000000003</v>
      </c>
      <c r="AY12">
        <v>38.6</v>
      </c>
      <c r="AZ12">
        <v>48.9</v>
      </c>
      <c r="BD12">
        <v>63.4</v>
      </c>
      <c r="BE12">
        <v>60.9</v>
      </c>
      <c r="BF12">
        <v>41.9</v>
      </c>
      <c r="BH12">
        <v>63.5</v>
      </c>
      <c r="BJ12">
        <v>77.5</v>
      </c>
      <c r="BK12">
        <v>74.599999999999994</v>
      </c>
      <c r="BM12">
        <v>71.2</v>
      </c>
      <c r="BN12">
        <v>66.2</v>
      </c>
      <c r="BP12">
        <v>79.099999999999994</v>
      </c>
      <c r="BQ12">
        <v>72.7</v>
      </c>
      <c r="BR12">
        <v>74.5</v>
      </c>
      <c r="BS12">
        <v>91.5</v>
      </c>
      <c r="BT12">
        <v>66.2</v>
      </c>
      <c r="BU12">
        <v>40.700000000000003</v>
      </c>
      <c r="BW12">
        <v>58.9</v>
      </c>
      <c r="BX12">
        <v>58.4</v>
      </c>
      <c r="BZ12">
        <v>92.9</v>
      </c>
      <c r="CA12">
        <v>92.9</v>
      </c>
      <c r="CB12">
        <v>43.4</v>
      </c>
      <c r="CC12">
        <v>44</v>
      </c>
      <c r="CD12">
        <v>54.2</v>
      </c>
      <c r="CE12">
        <v>30.4</v>
      </c>
      <c r="CF12">
        <v>35.200000000000003</v>
      </c>
      <c r="CG12">
        <v>31.6</v>
      </c>
      <c r="CH12">
        <v>69.7</v>
      </c>
      <c r="CJ12">
        <v>67</v>
      </c>
      <c r="CL12">
        <v>33.1</v>
      </c>
      <c r="CM12">
        <v>32.5</v>
      </c>
      <c r="CN12">
        <v>34.799999999999997</v>
      </c>
      <c r="CO12">
        <v>63.9</v>
      </c>
      <c r="CP12">
        <v>49.7</v>
      </c>
      <c r="CQ12">
        <v>45.6</v>
      </c>
      <c r="CR12">
        <v>48.4</v>
      </c>
      <c r="CS12">
        <v>41</v>
      </c>
      <c r="CX12">
        <v>39.9</v>
      </c>
      <c r="CY12">
        <v>42.5</v>
      </c>
      <c r="CZ12">
        <v>35.700000000000003</v>
      </c>
      <c r="DA12">
        <v>42.2</v>
      </c>
      <c r="DB12">
        <v>32.5</v>
      </c>
      <c r="DC12">
        <v>72.5</v>
      </c>
      <c r="DG12">
        <v>43.1</v>
      </c>
      <c r="DH12">
        <v>34.6</v>
      </c>
      <c r="DI12">
        <v>36.9</v>
      </c>
      <c r="DJ12">
        <v>50</v>
      </c>
      <c r="DK12">
        <v>27.8</v>
      </c>
      <c r="DL12">
        <v>28.8</v>
      </c>
      <c r="DN12">
        <v>57.3</v>
      </c>
      <c r="DO12">
        <v>55.6</v>
      </c>
      <c r="DP12">
        <v>55.7</v>
      </c>
      <c r="DQ12">
        <v>61.5</v>
      </c>
      <c r="DR12">
        <v>39.9</v>
      </c>
      <c r="DS12">
        <v>52.8</v>
      </c>
      <c r="DT12">
        <v>23.1</v>
      </c>
      <c r="DU12">
        <v>41.4</v>
      </c>
      <c r="DX12">
        <v>34.1</v>
      </c>
      <c r="DY12">
        <v>78.8</v>
      </c>
      <c r="DZ12">
        <v>40.9</v>
      </c>
      <c r="EA12">
        <v>40.200000000000003</v>
      </c>
      <c r="EB12">
        <v>59.5</v>
      </c>
      <c r="EC12">
        <v>23.8</v>
      </c>
      <c r="EF12">
        <v>31.7</v>
      </c>
      <c r="EG12">
        <v>52.5</v>
      </c>
      <c r="EH12">
        <v>51.6</v>
      </c>
      <c r="EI12">
        <v>49.8</v>
      </c>
      <c r="EJ12">
        <v>29.1</v>
      </c>
      <c r="EK12">
        <v>34.9</v>
      </c>
      <c r="EM12">
        <v>45.5</v>
      </c>
      <c r="EN12">
        <v>63.3</v>
      </c>
      <c r="ER12">
        <v>60.8</v>
      </c>
      <c r="ET12">
        <v>87.5</v>
      </c>
      <c r="EU12">
        <v>132.9</v>
      </c>
      <c r="EV12">
        <v>148.1</v>
      </c>
      <c r="EW12">
        <v>89.3</v>
      </c>
      <c r="EX12">
        <v>81.3</v>
      </c>
      <c r="EY12">
        <v>25.7</v>
      </c>
      <c r="EZ12">
        <v>76.2</v>
      </c>
      <c r="FA12">
        <v>70.900000000000006</v>
      </c>
      <c r="FB12">
        <v>136.1</v>
      </c>
      <c r="FC12">
        <v>88.2</v>
      </c>
      <c r="FD12">
        <v>96.8</v>
      </c>
      <c r="FE12">
        <v>124.6</v>
      </c>
      <c r="FF12">
        <v>108.5</v>
      </c>
      <c r="FI12">
        <v>68.400000000000006</v>
      </c>
      <c r="FJ12">
        <v>50.1</v>
      </c>
      <c r="FQ12">
        <v>54.3</v>
      </c>
      <c r="FR12">
        <v>36.700000000000003</v>
      </c>
      <c r="FS12">
        <v>44</v>
      </c>
      <c r="FU12">
        <v>52.7</v>
      </c>
      <c r="FV12">
        <v>42.8</v>
      </c>
      <c r="FY12">
        <v>61.7</v>
      </c>
      <c r="GA12">
        <v>70.099999999999994</v>
      </c>
      <c r="GB12">
        <v>52</v>
      </c>
      <c r="GD12">
        <v>62.7</v>
      </c>
      <c r="GE12">
        <v>88.5</v>
      </c>
      <c r="GF12">
        <v>71.900000000000006</v>
      </c>
      <c r="GG12">
        <v>75.2</v>
      </c>
      <c r="GH12">
        <v>60.6</v>
      </c>
      <c r="GI12">
        <v>52.3</v>
      </c>
      <c r="GU12">
        <v>51.3</v>
      </c>
      <c r="GV12">
        <v>38.6</v>
      </c>
      <c r="GW12">
        <v>35.9</v>
      </c>
      <c r="GX12">
        <v>47.7</v>
      </c>
      <c r="GY12">
        <v>58.3</v>
      </c>
      <c r="HD12">
        <v>68.7</v>
      </c>
      <c r="HO12">
        <v>79.3</v>
      </c>
      <c r="HP12">
        <v>66</v>
      </c>
      <c r="HQ12">
        <v>49.1</v>
      </c>
      <c r="HR12">
        <v>83.8</v>
      </c>
      <c r="HT12">
        <v>72.8</v>
      </c>
      <c r="HU12">
        <v>68.3</v>
      </c>
      <c r="HY12">
        <v>86.9</v>
      </c>
      <c r="IA12">
        <v>96.5</v>
      </c>
      <c r="IC12">
        <v>103</v>
      </c>
      <c r="IE12">
        <v>58.8</v>
      </c>
      <c r="IJ12">
        <v>61.8</v>
      </c>
      <c r="IK12">
        <v>71.599999999999994</v>
      </c>
      <c r="IL12">
        <v>44.9</v>
      </c>
      <c r="IM12">
        <v>56.5</v>
      </c>
      <c r="IO12">
        <v>77.8</v>
      </c>
      <c r="IT12">
        <v>45.7</v>
      </c>
      <c r="IU12">
        <v>45.6</v>
      </c>
      <c r="IV12">
        <v>33.5</v>
      </c>
      <c r="IX12">
        <v>36.4</v>
      </c>
      <c r="JA12">
        <v>41.4</v>
      </c>
      <c r="JB12">
        <v>44.2</v>
      </c>
      <c r="JC12">
        <v>41.7</v>
      </c>
      <c r="JI12">
        <v>52.7</v>
      </c>
      <c r="JL12">
        <v>50.7</v>
      </c>
      <c r="JO12">
        <v>46.7</v>
      </c>
      <c r="JQ12">
        <v>43.9</v>
      </c>
      <c r="JS12">
        <v>49.3</v>
      </c>
      <c r="JT12">
        <v>48.5</v>
      </c>
      <c r="JU12">
        <v>51.3</v>
      </c>
      <c r="JV12">
        <v>45.1</v>
      </c>
      <c r="JW12">
        <v>45.9</v>
      </c>
      <c r="JX12">
        <v>51.1</v>
      </c>
      <c r="JY12">
        <v>51.1</v>
      </c>
      <c r="JZ12">
        <v>28.8</v>
      </c>
      <c r="KA12">
        <v>30.3</v>
      </c>
      <c r="KB12">
        <v>27</v>
      </c>
      <c r="KC12">
        <v>45.5</v>
      </c>
      <c r="KD12">
        <v>45.5</v>
      </c>
      <c r="KE12">
        <v>41.2</v>
      </c>
      <c r="KF12">
        <v>65.3</v>
      </c>
      <c r="KL12">
        <v>32.799999999999997</v>
      </c>
      <c r="KM12">
        <v>36.6</v>
      </c>
      <c r="KN12">
        <v>37</v>
      </c>
      <c r="KO12">
        <v>20.2</v>
      </c>
      <c r="KP12">
        <v>33.700000000000003</v>
      </c>
      <c r="KT12">
        <v>35</v>
      </c>
      <c r="KU12">
        <v>35.299999999999997</v>
      </c>
      <c r="KX12">
        <v>58</v>
      </c>
      <c r="KY12">
        <v>48.7</v>
      </c>
      <c r="KZ12">
        <v>65.3</v>
      </c>
      <c r="LA12">
        <v>65.3</v>
      </c>
      <c r="LB12">
        <v>48.3</v>
      </c>
      <c r="LC12">
        <v>57.4</v>
      </c>
      <c r="LD12">
        <v>38.1</v>
      </c>
      <c r="LE12">
        <v>40.700000000000003</v>
      </c>
      <c r="LF12">
        <v>39.700000000000003</v>
      </c>
      <c r="LH12">
        <v>28.5</v>
      </c>
      <c r="LJ12">
        <v>120</v>
      </c>
      <c r="LK12">
        <v>337</v>
      </c>
      <c r="LL12">
        <v>883.9</v>
      </c>
      <c r="LN12">
        <v>400.4</v>
      </c>
      <c r="LO12">
        <v>170.1</v>
      </c>
      <c r="LP12">
        <v>2825.8</v>
      </c>
      <c r="LQ12">
        <v>828.6</v>
      </c>
      <c r="LR12">
        <v>1362.4</v>
      </c>
      <c r="LT12">
        <v>305.60000000000002</v>
      </c>
      <c r="LV12">
        <v>155.1</v>
      </c>
      <c r="LX12">
        <v>62.7</v>
      </c>
      <c r="MB12">
        <v>114.8</v>
      </c>
      <c r="MD12">
        <v>123.9</v>
      </c>
      <c r="ME12">
        <v>64.8</v>
      </c>
      <c r="MG12">
        <v>92.3</v>
      </c>
      <c r="MI12">
        <v>114.1</v>
      </c>
      <c r="MJ12">
        <v>63.1</v>
      </c>
      <c r="MK12">
        <v>85.2</v>
      </c>
      <c r="MM12">
        <v>53.7</v>
      </c>
      <c r="MN12">
        <v>38.1</v>
      </c>
      <c r="MO12">
        <v>35.299999999999997</v>
      </c>
      <c r="MP12">
        <v>40.5</v>
      </c>
      <c r="MQ12">
        <v>55.4</v>
      </c>
      <c r="MS12">
        <v>47.5</v>
      </c>
      <c r="MU12">
        <v>54.2</v>
      </c>
      <c r="MV12">
        <v>69.2</v>
      </c>
      <c r="MW12">
        <v>88.7</v>
      </c>
      <c r="MX12">
        <v>55.6</v>
      </c>
      <c r="NB12">
        <v>106.3</v>
      </c>
      <c r="NC12">
        <v>92.6</v>
      </c>
      <c r="NE12">
        <v>86.8</v>
      </c>
      <c r="NF12">
        <v>141.1</v>
      </c>
      <c r="NG12">
        <v>137.80000000000001</v>
      </c>
      <c r="NH12">
        <v>146.80000000000001</v>
      </c>
      <c r="NI12">
        <v>90.3</v>
      </c>
      <c r="NJ12">
        <v>92.6</v>
      </c>
      <c r="NL12">
        <v>79.3</v>
      </c>
      <c r="NQ12">
        <v>34.200000000000003</v>
      </c>
      <c r="NR12">
        <v>34.9</v>
      </c>
      <c r="NS12">
        <v>34.9</v>
      </c>
      <c r="NT12">
        <v>32.1</v>
      </c>
      <c r="NY12">
        <v>51.9</v>
      </c>
      <c r="NZ12">
        <v>50.8</v>
      </c>
      <c r="OA12">
        <v>48.1</v>
      </c>
      <c r="OB12">
        <v>50.1</v>
      </c>
      <c r="OC12">
        <v>38.9</v>
      </c>
      <c r="OD12">
        <v>52.1</v>
      </c>
      <c r="OE12">
        <v>54.8</v>
      </c>
      <c r="OF12">
        <v>53.7</v>
      </c>
      <c r="OH12">
        <v>63.7</v>
      </c>
      <c r="OJ12">
        <v>43.3</v>
      </c>
      <c r="OK12">
        <v>45.2</v>
      </c>
      <c r="OL12">
        <v>43.8</v>
      </c>
      <c r="OM12">
        <v>43.7</v>
      </c>
      <c r="ON12">
        <v>57.6</v>
      </c>
      <c r="OO12">
        <v>44.4</v>
      </c>
      <c r="OP12">
        <v>40.5</v>
      </c>
      <c r="OS12">
        <v>38.6</v>
      </c>
      <c r="OU12">
        <v>36</v>
      </c>
      <c r="OY12">
        <v>39.799999999999997</v>
      </c>
      <c r="OZ12">
        <v>33.799999999999997</v>
      </c>
      <c r="PB12">
        <v>36.9</v>
      </c>
      <c r="PD12">
        <v>120.3</v>
      </c>
      <c r="PG12">
        <v>56.5</v>
      </c>
      <c r="PH12">
        <v>53.4</v>
      </c>
      <c r="PI12">
        <v>51.8</v>
      </c>
      <c r="PJ12">
        <v>56.5</v>
      </c>
      <c r="PK12">
        <v>66.3</v>
      </c>
      <c r="PL12">
        <v>70.400000000000006</v>
      </c>
      <c r="PN12">
        <v>55.3</v>
      </c>
      <c r="PO12">
        <v>46.9</v>
      </c>
      <c r="PP12">
        <v>41.8</v>
      </c>
      <c r="PT12">
        <v>50.5</v>
      </c>
      <c r="PU12">
        <v>52.8</v>
      </c>
      <c r="PV12">
        <v>68.099999999999994</v>
      </c>
      <c r="PY12">
        <v>52.7</v>
      </c>
      <c r="PZ12">
        <v>68.400000000000006</v>
      </c>
      <c r="QA12">
        <v>70.7</v>
      </c>
      <c r="QB12">
        <v>61.4</v>
      </c>
      <c r="QD12">
        <v>37.200000000000003</v>
      </c>
      <c r="QF12">
        <v>54.2</v>
      </c>
      <c r="QG12">
        <v>33.4</v>
      </c>
      <c r="QH12">
        <v>64.2</v>
      </c>
      <c r="QI12">
        <v>63.2</v>
      </c>
      <c r="QJ12">
        <v>51.5</v>
      </c>
      <c r="QK12">
        <v>50.3</v>
      </c>
      <c r="QL12">
        <v>46</v>
      </c>
      <c r="QM12">
        <v>59.7</v>
      </c>
      <c r="QN12">
        <v>53.7</v>
      </c>
      <c r="QO12">
        <v>52.4</v>
      </c>
      <c r="QQ12">
        <v>62.1</v>
      </c>
      <c r="QR12">
        <v>47.7</v>
      </c>
      <c r="QS12">
        <v>85.1</v>
      </c>
      <c r="QU12">
        <v>57</v>
      </c>
      <c r="QV12">
        <v>102.2</v>
      </c>
      <c r="QW12">
        <v>67.2</v>
      </c>
      <c r="QY12">
        <v>46.6</v>
      </c>
      <c r="QZ12">
        <v>44.4</v>
      </c>
      <c r="RA12">
        <v>49</v>
      </c>
      <c r="RB12">
        <v>36.6</v>
      </c>
      <c r="RD12">
        <v>50.9</v>
      </c>
      <c r="RE12">
        <v>65.7</v>
      </c>
      <c r="RF12">
        <v>41.2</v>
      </c>
      <c r="RG12">
        <v>59.9</v>
      </c>
      <c r="RH12">
        <v>80.099999999999994</v>
      </c>
      <c r="RI12">
        <v>75.599999999999994</v>
      </c>
      <c r="RJ12">
        <v>114.6</v>
      </c>
      <c r="RL12">
        <v>57.6</v>
      </c>
      <c r="RM12">
        <v>53.6</v>
      </c>
      <c r="RS12">
        <v>98.1</v>
      </c>
      <c r="RV12">
        <v>123.5</v>
      </c>
      <c r="SA12">
        <v>75.7</v>
      </c>
      <c r="SF12">
        <v>35.299999999999997</v>
      </c>
      <c r="SG12">
        <v>42.4</v>
      </c>
      <c r="SK12">
        <v>61.6</v>
      </c>
      <c r="SL12">
        <v>32.799999999999997</v>
      </c>
      <c r="SM12">
        <v>31.6</v>
      </c>
      <c r="SN12">
        <v>29.3</v>
      </c>
      <c r="SO12">
        <v>38.5</v>
      </c>
      <c r="SP12">
        <v>39</v>
      </c>
      <c r="SQ12">
        <v>17.2</v>
      </c>
      <c r="SR12">
        <v>30.8</v>
      </c>
      <c r="SS12">
        <v>33.4</v>
      </c>
      <c r="ST12">
        <v>35</v>
      </c>
      <c r="SU12">
        <v>31</v>
      </c>
      <c r="SV12">
        <v>30.8</v>
      </c>
      <c r="SX12">
        <v>27.8</v>
      </c>
      <c r="SZ12">
        <v>35.6</v>
      </c>
      <c r="TA12">
        <v>65.400000000000006</v>
      </c>
      <c r="TB12">
        <v>41.4</v>
      </c>
      <c r="TE12">
        <v>76.599999999999994</v>
      </c>
      <c r="TF12">
        <v>81.099999999999994</v>
      </c>
      <c r="TK12">
        <v>84.8</v>
      </c>
      <c r="TL12">
        <v>81.900000000000006</v>
      </c>
      <c r="TN12">
        <v>73.2</v>
      </c>
      <c r="TO12">
        <v>78.900000000000006</v>
      </c>
      <c r="TP12">
        <v>89.3</v>
      </c>
      <c r="TT12">
        <v>78.2</v>
      </c>
      <c r="TU12">
        <v>31.7</v>
      </c>
      <c r="TV12">
        <v>59.6</v>
      </c>
      <c r="TY12">
        <v>42</v>
      </c>
      <c r="UC12">
        <v>129.4</v>
      </c>
      <c r="UE12">
        <v>99.3</v>
      </c>
      <c r="UH12">
        <v>92.3</v>
      </c>
      <c r="UL12">
        <v>29.8</v>
      </c>
      <c r="UM12">
        <v>28.3</v>
      </c>
      <c r="UN12">
        <v>33.700000000000003</v>
      </c>
      <c r="UO12">
        <v>37.799999999999997</v>
      </c>
      <c r="UP12">
        <v>29.3</v>
      </c>
      <c r="UQ12">
        <v>35.299999999999997</v>
      </c>
      <c r="UR12">
        <v>35.6</v>
      </c>
      <c r="US12">
        <v>8.4</v>
      </c>
      <c r="UT12">
        <v>17.100000000000001</v>
      </c>
      <c r="UW12">
        <v>49.3</v>
      </c>
      <c r="UY12">
        <v>46.7</v>
      </c>
      <c r="VD12">
        <v>67.3</v>
      </c>
      <c r="VE12">
        <v>2451.1</v>
      </c>
      <c r="VL12">
        <v>4435.1000000000004</v>
      </c>
      <c r="VM12">
        <v>59.4</v>
      </c>
      <c r="VN12">
        <v>62.9</v>
      </c>
      <c r="VO12">
        <v>64.3</v>
      </c>
      <c r="VP12">
        <v>55.8</v>
      </c>
      <c r="VQ12">
        <v>73.7</v>
      </c>
      <c r="VR12">
        <v>44.3</v>
      </c>
      <c r="VT12">
        <v>66.3</v>
      </c>
      <c r="VV12">
        <v>29.8</v>
      </c>
      <c r="VW12">
        <v>61.4</v>
      </c>
      <c r="VY12">
        <v>82.2</v>
      </c>
      <c r="WB12">
        <v>113.6</v>
      </c>
      <c r="WE12">
        <v>84.7</v>
      </c>
      <c r="WF12">
        <v>55.6</v>
      </c>
      <c r="WH12">
        <v>38</v>
      </c>
      <c r="WI12">
        <v>36.9</v>
      </c>
      <c r="WJ12">
        <v>41.3</v>
      </c>
      <c r="WL12">
        <v>76.7</v>
      </c>
      <c r="WX12">
        <v>39.5</v>
      </c>
      <c r="WY12">
        <v>39.700000000000003</v>
      </c>
      <c r="XB12">
        <v>44.7</v>
      </c>
      <c r="XD12">
        <v>36.799999999999997</v>
      </c>
      <c r="XE12">
        <v>34.700000000000003</v>
      </c>
      <c r="XF12">
        <v>26</v>
      </c>
      <c r="XH12">
        <v>43.7</v>
      </c>
      <c r="XI12">
        <v>49.7</v>
      </c>
      <c r="XJ12">
        <v>49.7</v>
      </c>
      <c r="XM12">
        <v>31.1</v>
      </c>
      <c r="XT12">
        <v>33.9</v>
      </c>
      <c r="XU12">
        <v>53.1</v>
      </c>
      <c r="XV12">
        <v>34.799999999999997</v>
      </c>
      <c r="XW12">
        <v>35.6</v>
      </c>
      <c r="XZ12">
        <v>46.9</v>
      </c>
      <c r="YA12">
        <v>53.4</v>
      </c>
      <c r="YD12">
        <v>21.2</v>
      </c>
      <c r="YG12">
        <v>46.4</v>
      </c>
      <c r="YM12">
        <v>156.69999999999999</v>
      </c>
      <c r="YT12">
        <v>45.2</v>
      </c>
      <c r="YU12">
        <v>40.299999999999997</v>
      </c>
      <c r="YW12">
        <v>39.299999999999997</v>
      </c>
      <c r="YX12">
        <v>47.5</v>
      </c>
      <c r="ZB12">
        <v>79.599999999999994</v>
      </c>
      <c r="ZC12">
        <v>175.1</v>
      </c>
      <c r="ZE12">
        <v>113.8</v>
      </c>
      <c r="ZF12">
        <v>102.2</v>
      </c>
      <c r="ZG12">
        <v>95.8</v>
      </c>
      <c r="ZK12">
        <v>89.1</v>
      </c>
      <c r="ZM12">
        <v>132.1</v>
      </c>
      <c r="ZN12">
        <v>70.3</v>
      </c>
      <c r="ZO12">
        <v>76.099999999999994</v>
      </c>
      <c r="ZP12">
        <v>74.3</v>
      </c>
      <c r="ZQ12">
        <v>80.900000000000006</v>
      </c>
      <c r="ZT12">
        <v>65.099999999999994</v>
      </c>
      <c r="ZW12">
        <v>50.2</v>
      </c>
      <c r="ZY12">
        <v>56.6</v>
      </c>
      <c r="AAC12">
        <v>41.3</v>
      </c>
      <c r="AAD12">
        <v>34.9</v>
      </c>
      <c r="AAE12">
        <v>62</v>
      </c>
      <c r="AAG12">
        <v>25.7</v>
      </c>
      <c r="AAH12">
        <v>86.8</v>
      </c>
      <c r="AAI12">
        <v>49.6</v>
      </c>
      <c r="AAJ12">
        <v>26.7</v>
      </c>
      <c r="AAK12">
        <v>106.3</v>
      </c>
      <c r="AAL12">
        <v>62.4</v>
      </c>
      <c r="AAM12">
        <v>82.3</v>
      </c>
      <c r="AAN12">
        <v>40</v>
      </c>
      <c r="AAO12">
        <v>22.7</v>
      </c>
      <c r="AAP12">
        <v>22.1</v>
      </c>
      <c r="AAR12">
        <v>15.1</v>
      </c>
      <c r="AAX12">
        <v>16.5</v>
      </c>
      <c r="ABB12">
        <v>44</v>
      </c>
      <c r="ABC12">
        <v>47.1</v>
      </c>
      <c r="ABD12">
        <v>44</v>
      </c>
      <c r="ABE12">
        <v>40.200000000000003</v>
      </c>
      <c r="ABF12">
        <v>54.7</v>
      </c>
      <c r="ABG12">
        <v>55.1</v>
      </c>
      <c r="ABH12">
        <v>55</v>
      </c>
      <c r="ABI12">
        <v>44</v>
      </c>
      <c r="ABJ12">
        <v>47.1</v>
      </c>
      <c r="ABK12">
        <v>55.6</v>
      </c>
      <c r="ABL12">
        <v>61.1</v>
      </c>
      <c r="ABM12">
        <v>54.4</v>
      </c>
      <c r="ABN12">
        <v>53.3</v>
      </c>
      <c r="ABO12">
        <v>34</v>
      </c>
    </row>
    <row r="13" spans="1:748">
      <c r="A13">
        <v>1976</v>
      </c>
      <c r="B13">
        <v>59.4</v>
      </c>
      <c r="C13">
        <v>57.2</v>
      </c>
      <c r="D13">
        <v>66.599999999999994</v>
      </c>
      <c r="E13">
        <v>81.599999999999994</v>
      </c>
      <c r="F13">
        <v>84.2</v>
      </c>
      <c r="G13">
        <v>85.4</v>
      </c>
      <c r="H13">
        <v>56.8</v>
      </c>
      <c r="I13">
        <v>59.6</v>
      </c>
      <c r="J13">
        <v>53.5</v>
      </c>
      <c r="L13">
        <v>51</v>
      </c>
      <c r="M13">
        <v>55.4</v>
      </c>
      <c r="N13">
        <v>43.5</v>
      </c>
      <c r="P13">
        <v>49</v>
      </c>
      <c r="R13">
        <v>65.599999999999994</v>
      </c>
      <c r="S13">
        <v>57.1</v>
      </c>
      <c r="T13">
        <v>70.7</v>
      </c>
      <c r="V13">
        <v>48</v>
      </c>
      <c r="W13">
        <v>55.1</v>
      </c>
      <c r="X13">
        <v>66.599999999999994</v>
      </c>
      <c r="Y13">
        <v>77.099999999999994</v>
      </c>
      <c r="Z13">
        <v>31.5</v>
      </c>
      <c r="AA13">
        <v>52.2</v>
      </c>
      <c r="AB13">
        <v>55.6</v>
      </c>
      <c r="AC13">
        <v>33</v>
      </c>
      <c r="AD13">
        <v>50.8</v>
      </c>
      <c r="AE13">
        <v>90.6</v>
      </c>
      <c r="AF13">
        <v>72.3</v>
      </c>
      <c r="AG13">
        <v>42.8</v>
      </c>
      <c r="AH13">
        <v>42.2</v>
      </c>
      <c r="AI13">
        <v>98</v>
      </c>
      <c r="AJ13">
        <v>25.8</v>
      </c>
      <c r="AK13">
        <v>43</v>
      </c>
      <c r="AM13">
        <v>41.6</v>
      </c>
      <c r="AN13">
        <v>53.6</v>
      </c>
      <c r="AO13">
        <v>32</v>
      </c>
      <c r="AP13">
        <v>32.4</v>
      </c>
      <c r="AR13">
        <v>45.3</v>
      </c>
      <c r="AU13">
        <v>38</v>
      </c>
      <c r="AV13">
        <v>34.299999999999997</v>
      </c>
      <c r="AW13">
        <v>37.5</v>
      </c>
      <c r="AX13">
        <v>39.799999999999997</v>
      </c>
      <c r="AY13">
        <v>40.5</v>
      </c>
      <c r="AZ13">
        <v>52.3</v>
      </c>
      <c r="BD13">
        <v>67.2</v>
      </c>
      <c r="BE13">
        <v>64.900000000000006</v>
      </c>
      <c r="BF13">
        <v>46.7</v>
      </c>
      <c r="BH13">
        <v>65</v>
      </c>
      <c r="BJ13">
        <v>83.3</v>
      </c>
      <c r="BK13">
        <v>78.2</v>
      </c>
      <c r="BM13">
        <v>74.5</v>
      </c>
      <c r="BN13">
        <v>72.099999999999994</v>
      </c>
      <c r="BP13">
        <v>83.4</v>
      </c>
      <c r="BQ13">
        <v>79.2</v>
      </c>
      <c r="BR13">
        <v>82.1</v>
      </c>
      <c r="BS13">
        <v>99.9</v>
      </c>
      <c r="BT13">
        <v>67.900000000000006</v>
      </c>
      <c r="BU13">
        <v>41.9</v>
      </c>
      <c r="BW13">
        <v>63.1</v>
      </c>
      <c r="BX13">
        <v>57.9</v>
      </c>
      <c r="BZ13">
        <v>92.8</v>
      </c>
      <c r="CA13">
        <v>92.8</v>
      </c>
      <c r="CB13">
        <v>46.8</v>
      </c>
      <c r="CC13">
        <v>48.2</v>
      </c>
      <c r="CD13">
        <v>62.5</v>
      </c>
      <c r="CE13">
        <v>31.4</v>
      </c>
      <c r="CF13">
        <v>36.4</v>
      </c>
      <c r="CG13">
        <v>36.200000000000003</v>
      </c>
      <c r="CH13">
        <v>75.2</v>
      </c>
      <c r="CJ13">
        <v>87.5</v>
      </c>
      <c r="CL13">
        <v>37.4</v>
      </c>
      <c r="CM13">
        <v>35.6</v>
      </c>
      <c r="CN13">
        <v>30.9</v>
      </c>
      <c r="CO13">
        <v>60.1</v>
      </c>
      <c r="CP13">
        <v>43.3</v>
      </c>
      <c r="CQ13">
        <v>41.3</v>
      </c>
      <c r="CR13">
        <v>64.3</v>
      </c>
      <c r="CS13">
        <v>46.9</v>
      </c>
      <c r="CX13">
        <v>49.4</v>
      </c>
      <c r="CY13">
        <v>48.3</v>
      </c>
      <c r="CZ13">
        <v>42.1</v>
      </c>
      <c r="DA13">
        <v>43.3</v>
      </c>
      <c r="DB13">
        <v>39.6</v>
      </c>
      <c r="DC13">
        <v>82.8</v>
      </c>
      <c r="DG13">
        <v>44.9</v>
      </c>
      <c r="DH13">
        <v>37</v>
      </c>
      <c r="DI13">
        <v>41.5</v>
      </c>
      <c r="DJ13">
        <v>51.2</v>
      </c>
      <c r="DK13">
        <v>30</v>
      </c>
      <c r="DL13">
        <v>30.2</v>
      </c>
      <c r="DN13">
        <v>58</v>
      </c>
      <c r="DO13">
        <v>56.2</v>
      </c>
      <c r="DP13">
        <v>56.4</v>
      </c>
      <c r="DQ13">
        <v>61.7</v>
      </c>
      <c r="DR13">
        <v>41.7</v>
      </c>
      <c r="DS13">
        <v>51.1</v>
      </c>
      <c r="DT13">
        <v>25.1</v>
      </c>
      <c r="DU13">
        <v>44.5</v>
      </c>
      <c r="DX13">
        <v>36.200000000000003</v>
      </c>
      <c r="DY13">
        <v>81.599999999999994</v>
      </c>
      <c r="DZ13">
        <v>47.1</v>
      </c>
      <c r="EA13">
        <v>46.3</v>
      </c>
      <c r="EB13">
        <v>64.900000000000006</v>
      </c>
      <c r="EC13">
        <v>32.5</v>
      </c>
      <c r="EF13">
        <v>34</v>
      </c>
      <c r="EG13">
        <v>56.2</v>
      </c>
      <c r="EH13">
        <v>51.5</v>
      </c>
      <c r="EI13">
        <v>54.3</v>
      </c>
      <c r="EJ13">
        <v>36.4</v>
      </c>
      <c r="EK13">
        <v>41</v>
      </c>
      <c r="EM13">
        <v>49.8</v>
      </c>
      <c r="EN13">
        <v>64.900000000000006</v>
      </c>
      <c r="ER13">
        <v>64.2</v>
      </c>
      <c r="ET13">
        <v>87.5</v>
      </c>
      <c r="EU13">
        <v>130.5</v>
      </c>
      <c r="EV13">
        <v>146.80000000000001</v>
      </c>
      <c r="EW13">
        <v>86.2</v>
      </c>
      <c r="EX13">
        <v>81.599999999999994</v>
      </c>
      <c r="EY13">
        <v>47</v>
      </c>
      <c r="EZ13">
        <v>78</v>
      </c>
      <c r="FA13">
        <v>75.3</v>
      </c>
      <c r="FB13">
        <v>119.8</v>
      </c>
      <c r="FC13">
        <v>88.3</v>
      </c>
      <c r="FD13">
        <v>98.2</v>
      </c>
      <c r="FE13">
        <v>130.1</v>
      </c>
      <c r="FF13">
        <v>104.3</v>
      </c>
      <c r="FI13">
        <v>68.5</v>
      </c>
      <c r="FJ13">
        <v>53.4</v>
      </c>
      <c r="FQ13">
        <v>56.6</v>
      </c>
      <c r="FR13">
        <v>39.200000000000003</v>
      </c>
      <c r="FS13">
        <v>47.7</v>
      </c>
      <c r="FU13">
        <v>55.7</v>
      </c>
      <c r="FV13">
        <v>44.8</v>
      </c>
      <c r="FY13">
        <v>64.5</v>
      </c>
      <c r="GA13">
        <v>71.3</v>
      </c>
      <c r="GB13">
        <v>52.3</v>
      </c>
      <c r="GD13">
        <v>64.599999999999994</v>
      </c>
      <c r="GE13">
        <v>85.9</v>
      </c>
      <c r="GF13">
        <v>76</v>
      </c>
      <c r="GG13">
        <v>83.3</v>
      </c>
      <c r="GH13">
        <v>60.1</v>
      </c>
      <c r="GI13">
        <v>55.1</v>
      </c>
      <c r="GU13">
        <v>54.1</v>
      </c>
      <c r="GV13">
        <v>39.9</v>
      </c>
      <c r="GW13">
        <v>38.5</v>
      </c>
      <c r="GX13">
        <v>50.9</v>
      </c>
      <c r="GY13">
        <v>62.6</v>
      </c>
      <c r="HD13">
        <v>67.5</v>
      </c>
      <c r="HO13">
        <v>84.6</v>
      </c>
      <c r="HP13">
        <v>70.7</v>
      </c>
      <c r="HQ13">
        <v>53.2</v>
      </c>
      <c r="HR13">
        <v>83.3</v>
      </c>
      <c r="HT13">
        <v>81.3</v>
      </c>
      <c r="HU13">
        <v>76.3</v>
      </c>
      <c r="HY13">
        <v>91.6</v>
      </c>
      <c r="IA13">
        <v>97.4</v>
      </c>
      <c r="IC13">
        <v>103.6</v>
      </c>
      <c r="IE13">
        <v>68.2</v>
      </c>
      <c r="IJ13">
        <v>65.8</v>
      </c>
      <c r="IK13">
        <v>74.099999999999994</v>
      </c>
      <c r="IL13">
        <v>46</v>
      </c>
      <c r="IM13">
        <v>61.5</v>
      </c>
      <c r="IO13">
        <v>80.2</v>
      </c>
      <c r="IT13">
        <v>50.3</v>
      </c>
      <c r="IU13">
        <v>49.8</v>
      </c>
      <c r="IV13">
        <v>37.5</v>
      </c>
      <c r="IX13">
        <v>40.4</v>
      </c>
      <c r="JA13">
        <v>45.2</v>
      </c>
      <c r="JB13">
        <v>48.8</v>
      </c>
      <c r="JC13">
        <v>45.7</v>
      </c>
      <c r="JI13">
        <v>56.9</v>
      </c>
      <c r="JL13">
        <v>54.2</v>
      </c>
      <c r="JO13">
        <v>51.1</v>
      </c>
      <c r="JQ13">
        <v>48.6</v>
      </c>
      <c r="JS13">
        <v>55.7</v>
      </c>
      <c r="JT13">
        <v>54.4</v>
      </c>
      <c r="JU13">
        <v>58.7</v>
      </c>
      <c r="JV13">
        <v>49.7</v>
      </c>
      <c r="JW13">
        <v>50.6</v>
      </c>
      <c r="JX13">
        <v>56.2</v>
      </c>
      <c r="JY13">
        <v>56.2</v>
      </c>
      <c r="JZ13">
        <v>32.9</v>
      </c>
      <c r="KA13">
        <v>34.700000000000003</v>
      </c>
      <c r="KB13">
        <v>30.9</v>
      </c>
      <c r="KC13">
        <v>50.3</v>
      </c>
      <c r="KD13">
        <v>50.3</v>
      </c>
      <c r="KE13">
        <v>45</v>
      </c>
      <c r="KF13">
        <v>70.7</v>
      </c>
      <c r="KL13">
        <v>35.1</v>
      </c>
      <c r="KM13">
        <v>40.1</v>
      </c>
      <c r="KN13">
        <v>45.2</v>
      </c>
      <c r="KO13">
        <v>22.4</v>
      </c>
      <c r="KP13">
        <v>36.200000000000003</v>
      </c>
      <c r="KT13">
        <v>38.200000000000003</v>
      </c>
      <c r="KU13">
        <v>39.1</v>
      </c>
      <c r="KX13">
        <v>61.2</v>
      </c>
      <c r="KY13">
        <v>54.8</v>
      </c>
      <c r="KZ13">
        <v>73.3</v>
      </c>
      <c r="LA13">
        <v>73.3</v>
      </c>
      <c r="LB13">
        <v>52.3</v>
      </c>
      <c r="LC13">
        <v>61.9</v>
      </c>
      <c r="LD13">
        <v>41.5</v>
      </c>
      <c r="LE13">
        <v>44.6</v>
      </c>
      <c r="LF13">
        <v>43.7</v>
      </c>
      <c r="LH13">
        <v>36.700000000000003</v>
      </c>
      <c r="LJ13">
        <v>123.4</v>
      </c>
      <c r="LK13">
        <v>338.9</v>
      </c>
      <c r="LL13">
        <v>881.1</v>
      </c>
      <c r="LN13">
        <v>398.3</v>
      </c>
      <c r="LO13">
        <v>168.7</v>
      </c>
      <c r="LP13">
        <v>2817.3</v>
      </c>
      <c r="LQ13">
        <v>819.9</v>
      </c>
      <c r="LR13">
        <v>1323.3</v>
      </c>
      <c r="LT13">
        <v>308.60000000000002</v>
      </c>
      <c r="LV13">
        <v>153</v>
      </c>
      <c r="LX13">
        <v>64.3</v>
      </c>
      <c r="MB13">
        <v>121.2</v>
      </c>
      <c r="MD13">
        <v>125.7</v>
      </c>
      <c r="ME13">
        <v>66</v>
      </c>
      <c r="MG13">
        <v>96.5</v>
      </c>
      <c r="MI13">
        <v>118.4</v>
      </c>
      <c r="MJ13">
        <v>66.400000000000006</v>
      </c>
      <c r="MK13">
        <v>90.4</v>
      </c>
      <c r="MM13">
        <v>55</v>
      </c>
      <c r="MN13">
        <v>39</v>
      </c>
      <c r="MO13">
        <v>36.6</v>
      </c>
      <c r="MP13">
        <v>40.6</v>
      </c>
      <c r="MQ13">
        <v>56.7</v>
      </c>
      <c r="MS13">
        <v>50.6</v>
      </c>
      <c r="MU13">
        <v>54</v>
      </c>
      <c r="MV13">
        <v>70.8</v>
      </c>
      <c r="MW13">
        <v>87.9</v>
      </c>
      <c r="MX13">
        <v>59.4</v>
      </c>
      <c r="NB13">
        <v>109.8</v>
      </c>
      <c r="NC13">
        <v>95.3</v>
      </c>
      <c r="NE13">
        <v>89</v>
      </c>
      <c r="NF13">
        <v>146.5</v>
      </c>
      <c r="NG13">
        <v>144.80000000000001</v>
      </c>
      <c r="NH13">
        <v>151.4</v>
      </c>
      <c r="NI13">
        <v>93</v>
      </c>
      <c r="NJ13">
        <v>97.8</v>
      </c>
      <c r="NL13">
        <v>80</v>
      </c>
      <c r="NQ13">
        <v>40.4</v>
      </c>
      <c r="NR13">
        <v>38.9</v>
      </c>
      <c r="NS13">
        <v>38.9</v>
      </c>
      <c r="NT13">
        <v>38.5</v>
      </c>
      <c r="NY13">
        <v>56.5</v>
      </c>
      <c r="NZ13">
        <v>56.3</v>
      </c>
      <c r="OA13">
        <v>54.1</v>
      </c>
      <c r="OB13">
        <v>57.3</v>
      </c>
      <c r="OC13">
        <v>43.1</v>
      </c>
      <c r="OD13">
        <v>57.5</v>
      </c>
      <c r="OE13">
        <v>59.3</v>
      </c>
      <c r="OF13">
        <v>59.2</v>
      </c>
      <c r="OH13">
        <v>68.099999999999994</v>
      </c>
      <c r="OJ13">
        <v>48.6</v>
      </c>
      <c r="OK13">
        <v>48.8</v>
      </c>
      <c r="OL13">
        <v>47.8</v>
      </c>
      <c r="OM13">
        <v>46.3</v>
      </c>
      <c r="ON13">
        <v>64.5</v>
      </c>
      <c r="OO13">
        <v>47.5</v>
      </c>
      <c r="OP13">
        <v>46</v>
      </c>
      <c r="OS13">
        <v>43.7</v>
      </c>
      <c r="OU13">
        <v>42.7</v>
      </c>
      <c r="OY13">
        <v>46.5</v>
      </c>
      <c r="OZ13">
        <v>38.299999999999997</v>
      </c>
      <c r="PB13">
        <v>42.4</v>
      </c>
      <c r="PD13">
        <v>129.4</v>
      </c>
      <c r="PG13">
        <v>59.7</v>
      </c>
      <c r="PH13">
        <v>57.6</v>
      </c>
      <c r="PI13">
        <v>57.3</v>
      </c>
      <c r="PJ13">
        <v>60.6</v>
      </c>
      <c r="PK13">
        <v>69.8</v>
      </c>
      <c r="PL13">
        <v>74.099999999999994</v>
      </c>
      <c r="PN13">
        <v>61.5</v>
      </c>
      <c r="PO13">
        <v>53.1</v>
      </c>
      <c r="PP13">
        <v>47.1</v>
      </c>
      <c r="PT13">
        <v>55.8</v>
      </c>
      <c r="PU13">
        <v>61.1</v>
      </c>
      <c r="PV13">
        <v>73.3</v>
      </c>
      <c r="PY13">
        <v>55.1</v>
      </c>
      <c r="PZ13">
        <v>70</v>
      </c>
      <c r="QA13">
        <v>72</v>
      </c>
      <c r="QB13">
        <v>63</v>
      </c>
      <c r="QD13">
        <v>40.299999999999997</v>
      </c>
      <c r="QF13">
        <v>56</v>
      </c>
      <c r="QG13">
        <v>37.299999999999997</v>
      </c>
      <c r="QH13">
        <v>66.8</v>
      </c>
      <c r="QI13">
        <v>64.8</v>
      </c>
      <c r="QJ13">
        <v>55</v>
      </c>
      <c r="QK13">
        <v>54.5</v>
      </c>
      <c r="QL13">
        <v>51.6</v>
      </c>
      <c r="QM13">
        <v>62.7</v>
      </c>
      <c r="QN13">
        <v>55.3</v>
      </c>
      <c r="QO13">
        <v>54.6</v>
      </c>
      <c r="QQ13">
        <v>66</v>
      </c>
      <c r="QR13">
        <v>51.3</v>
      </c>
      <c r="QS13">
        <v>93.8</v>
      </c>
      <c r="QU13">
        <v>59.7</v>
      </c>
      <c r="QV13">
        <v>101.3</v>
      </c>
      <c r="QW13">
        <v>69.599999999999994</v>
      </c>
      <c r="QY13">
        <v>50.2</v>
      </c>
      <c r="QZ13">
        <v>49</v>
      </c>
      <c r="RA13">
        <v>52</v>
      </c>
      <c r="RB13">
        <v>40.1</v>
      </c>
      <c r="RD13">
        <v>55.7</v>
      </c>
      <c r="RE13">
        <v>68.900000000000006</v>
      </c>
      <c r="RF13">
        <v>44</v>
      </c>
      <c r="RG13">
        <v>64.3</v>
      </c>
      <c r="RH13">
        <v>83.7</v>
      </c>
      <c r="RI13">
        <v>77.900000000000006</v>
      </c>
      <c r="RJ13">
        <v>116.2</v>
      </c>
      <c r="RL13">
        <v>58.5</v>
      </c>
      <c r="RM13">
        <v>61.8</v>
      </c>
      <c r="RS13">
        <v>100.8</v>
      </c>
      <c r="RV13">
        <v>124</v>
      </c>
      <c r="SA13">
        <v>78.5</v>
      </c>
      <c r="SF13">
        <v>39.700000000000003</v>
      </c>
      <c r="SG13">
        <v>45.9</v>
      </c>
      <c r="SK13">
        <v>69.5</v>
      </c>
      <c r="SL13">
        <v>39.1</v>
      </c>
      <c r="SM13">
        <v>40.6</v>
      </c>
      <c r="SN13">
        <v>36</v>
      </c>
      <c r="SO13">
        <v>54.2</v>
      </c>
      <c r="SP13">
        <v>54.9</v>
      </c>
      <c r="SQ13">
        <v>21.2</v>
      </c>
      <c r="SR13">
        <v>37.1</v>
      </c>
      <c r="SS13">
        <v>39.799999999999997</v>
      </c>
      <c r="ST13">
        <v>41.7</v>
      </c>
      <c r="SU13">
        <v>37.1</v>
      </c>
      <c r="SV13">
        <v>37.200000000000003</v>
      </c>
      <c r="SX13">
        <v>34.799999999999997</v>
      </c>
      <c r="SZ13">
        <v>36</v>
      </c>
      <c r="TA13">
        <v>66.400000000000006</v>
      </c>
      <c r="TB13">
        <v>41.4</v>
      </c>
      <c r="TE13">
        <v>80.599999999999994</v>
      </c>
      <c r="TF13">
        <v>84.9</v>
      </c>
      <c r="TK13">
        <v>83.9</v>
      </c>
      <c r="TL13">
        <v>81.099999999999994</v>
      </c>
      <c r="TN13">
        <v>77.400000000000006</v>
      </c>
      <c r="TO13">
        <v>84.6</v>
      </c>
      <c r="TP13">
        <v>90.1</v>
      </c>
      <c r="TT13">
        <v>82.2</v>
      </c>
      <c r="TU13">
        <v>33.9</v>
      </c>
      <c r="TV13">
        <v>61.2</v>
      </c>
      <c r="TY13">
        <v>42</v>
      </c>
      <c r="UC13">
        <v>129.4</v>
      </c>
      <c r="UE13">
        <v>120.4</v>
      </c>
      <c r="UH13">
        <v>107.3</v>
      </c>
      <c r="UL13">
        <v>35.299999999999997</v>
      </c>
      <c r="UM13">
        <v>35.4</v>
      </c>
      <c r="UN13">
        <v>37.4</v>
      </c>
      <c r="UO13">
        <v>40.700000000000003</v>
      </c>
      <c r="UP13">
        <v>35.4</v>
      </c>
      <c r="UQ13">
        <v>61.4</v>
      </c>
      <c r="UR13">
        <v>43.9</v>
      </c>
      <c r="US13">
        <v>9.6999999999999993</v>
      </c>
      <c r="UT13">
        <v>20.9</v>
      </c>
      <c r="UW13">
        <v>49.8</v>
      </c>
      <c r="UY13">
        <v>47.3</v>
      </c>
      <c r="UZ13">
        <v>29.6</v>
      </c>
      <c r="VB13">
        <v>30.9</v>
      </c>
      <c r="VD13">
        <v>71.2</v>
      </c>
      <c r="VE13">
        <v>2438</v>
      </c>
      <c r="VL13">
        <v>4482.8</v>
      </c>
      <c r="VM13">
        <v>59.4</v>
      </c>
      <c r="VN13">
        <v>62.9</v>
      </c>
      <c r="VO13">
        <v>69.2</v>
      </c>
      <c r="VP13">
        <v>56.2</v>
      </c>
      <c r="VQ13">
        <v>74</v>
      </c>
      <c r="VR13">
        <v>46.5</v>
      </c>
      <c r="VT13">
        <v>70.5</v>
      </c>
      <c r="VV13">
        <v>34</v>
      </c>
      <c r="VW13">
        <v>65.599999999999994</v>
      </c>
      <c r="VY13">
        <v>87.6</v>
      </c>
      <c r="WB13">
        <v>117.5</v>
      </c>
      <c r="WE13">
        <v>86.1</v>
      </c>
      <c r="WF13">
        <v>57.5</v>
      </c>
      <c r="WH13">
        <v>46.1</v>
      </c>
      <c r="WI13">
        <v>44.4</v>
      </c>
      <c r="WJ13">
        <v>50.3</v>
      </c>
      <c r="WL13">
        <v>82</v>
      </c>
      <c r="WX13">
        <v>41</v>
      </c>
      <c r="WY13">
        <v>39.700000000000003</v>
      </c>
      <c r="XB13">
        <v>46.9</v>
      </c>
      <c r="XD13">
        <v>37.700000000000003</v>
      </c>
      <c r="XE13">
        <v>38.200000000000003</v>
      </c>
      <c r="XF13">
        <v>29.8</v>
      </c>
      <c r="XG13">
        <v>36.5</v>
      </c>
      <c r="XH13">
        <v>47.2</v>
      </c>
      <c r="XI13">
        <v>51.8</v>
      </c>
      <c r="XJ13">
        <v>51.8</v>
      </c>
      <c r="XM13">
        <v>35</v>
      </c>
      <c r="XT13">
        <v>36.9</v>
      </c>
      <c r="XU13">
        <v>58.8</v>
      </c>
      <c r="XV13">
        <v>49.5</v>
      </c>
      <c r="XW13">
        <v>51.2</v>
      </c>
      <c r="XZ13">
        <v>51.1</v>
      </c>
      <c r="YA13">
        <v>61</v>
      </c>
      <c r="YD13">
        <v>24.4</v>
      </c>
      <c r="YG13">
        <v>47.3</v>
      </c>
      <c r="YM13">
        <v>152.19999999999999</v>
      </c>
      <c r="YT13">
        <v>53</v>
      </c>
      <c r="YU13">
        <v>46.5</v>
      </c>
      <c r="YW13">
        <v>45</v>
      </c>
      <c r="YX13">
        <v>53.9</v>
      </c>
      <c r="ZB13">
        <v>83.8</v>
      </c>
      <c r="ZC13">
        <v>181</v>
      </c>
      <c r="ZE13">
        <v>113.8</v>
      </c>
      <c r="ZF13">
        <v>102.3</v>
      </c>
      <c r="ZG13">
        <v>94.7</v>
      </c>
      <c r="ZK13">
        <v>90.7</v>
      </c>
      <c r="ZM13">
        <v>131.6</v>
      </c>
      <c r="ZN13">
        <v>75</v>
      </c>
      <c r="ZO13">
        <v>81.099999999999994</v>
      </c>
      <c r="ZP13">
        <v>79.8</v>
      </c>
      <c r="ZQ13">
        <v>82.9</v>
      </c>
      <c r="ZT13">
        <v>72.8</v>
      </c>
      <c r="ZW13">
        <v>56.1</v>
      </c>
      <c r="ZY13">
        <v>57.7</v>
      </c>
      <c r="AAC13">
        <v>43</v>
      </c>
      <c r="AAD13">
        <v>36.9</v>
      </c>
      <c r="AAE13">
        <v>66.099999999999994</v>
      </c>
      <c r="AAG13">
        <v>27.5</v>
      </c>
      <c r="AAH13">
        <v>89.4</v>
      </c>
      <c r="AAI13">
        <v>50.4</v>
      </c>
      <c r="AAJ13">
        <v>26.3</v>
      </c>
      <c r="AAK13">
        <v>107.1</v>
      </c>
      <c r="AAL13">
        <v>64.2</v>
      </c>
      <c r="AAM13">
        <v>83.3</v>
      </c>
      <c r="AAN13">
        <v>42.5</v>
      </c>
      <c r="AAO13">
        <v>30.1</v>
      </c>
      <c r="AAP13">
        <v>29.3</v>
      </c>
      <c r="AAR13">
        <v>34.5</v>
      </c>
      <c r="AAX13">
        <v>23.9</v>
      </c>
      <c r="ABB13">
        <v>50.2</v>
      </c>
      <c r="ABC13">
        <v>55.1</v>
      </c>
      <c r="ABD13">
        <v>48.2</v>
      </c>
      <c r="ABE13">
        <v>46.3</v>
      </c>
      <c r="ABF13">
        <v>59.7</v>
      </c>
      <c r="ABG13">
        <v>59</v>
      </c>
      <c r="ABH13">
        <v>60.1</v>
      </c>
      <c r="ABI13">
        <v>48.3</v>
      </c>
      <c r="ABJ13">
        <v>52.1</v>
      </c>
      <c r="ABK13">
        <v>60.7</v>
      </c>
      <c r="ABL13">
        <v>66.900000000000006</v>
      </c>
      <c r="ABM13">
        <v>59.3</v>
      </c>
      <c r="ABN13">
        <v>58.8</v>
      </c>
      <c r="ABO13">
        <v>39.299999999999997</v>
      </c>
    </row>
    <row r="14" spans="1:748">
      <c r="A14">
        <v>1977</v>
      </c>
      <c r="B14">
        <v>63.5</v>
      </c>
      <c r="C14">
        <v>60.5</v>
      </c>
      <c r="D14">
        <v>71.7</v>
      </c>
      <c r="E14">
        <v>89.4</v>
      </c>
      <c r="F14">
        <v>91.4</v>
      </c>
      <c r="G14">
        <v>93.1</v>
      </c>
      <c r="H14">
        <v>58.8</v>
      </c>
      <c r="I14">
        <v>62.2</v>
      </c>
      <c r="J14">
        <v>54.3</v>
      </c>
      <c r="L14">
        <v>53.7</v>
      </c>
      <c r="M14">
        <v>58.1</v>
      </c>
      <c r="N14">
        <v>46.3</v>
      </c>
      <c r="P14">
        <v>51.3</v>
      </c>
      <c r="R14">
        <v>69.099999999999994</v>
      </c>
      <c r="S14">
        <v>60.3</v>
      </c>
      <c r="T14">
        <v>74.5</v>
      </c>
      <c r="V14">
        <v>57.2</v>
      </c>
      <c r="W14">
        <v>64.2</v>
      </c>
      <c r="X14">
        <v>71.900000000000006</v>
      </c>
      <c r="Y14">
        <v>106.9</v>
      </c>
      <c r="Z14">
        <v>33.799999999999997</v>
      </c>
      <c r="AA14">
        <v>64.599999999999994</v>
      </c>
      <c r="AB14">
        <v>71.099999999999994</v>
      </c>
      <c r="AC14">
        <v>35.5</v>
      </c>
      <c r="AD14">
        <v>73.099999999999994</v>
      </c>
      <c r="AE14">
        <v>99</v>
      </c>
      <c r="AF14">
        <v>83.5</v>
      </c>
      <c r="AG14">
        <v>52.9</v>
      </c>
      <c r="AH14">
        <v>44.1</v>
      </c>
      <c r="AI14">
        <v>104.5</v>
      </c>
      <c r="AJ14">
        <v>31.7</v>
      </c>
      <c r="AK14">
        <v>42.9</v>
      </c>
      <c r="AM14">
        <v>53.3</v>
      </c>
      <c r="AN14">
        <v>68.3</v>
      </c>
      <c r="AO14">
        <v>49.3</v>
      </c>
      <c r="AP14">
        <v>39.4</v>
      </c>
      <c r="AR14">
        <v>47.5</v>
      </c>
      <c r="AU14">
        <v>45.6</v>
      </c>
      <c r="AV14">
        <v>43.1</v>
      </c>
      <c r="AW14">
        <v>46.8</v>
      </c>
      <c r="AX14">
        <v>45.9</v>
      </c>
      <c r="AY14">
        <v>46.4</v>
      </c>
      <c r="AZ14">
        <v>57.9</v>
      </c>
      <c r="BD14">
        <v>67.3</v>
      </c>
      <c r="BE14">
        <v>64.7</v>
      </c>
      <c r="BF14">
        <v>47.9</v>
      </c>
      <c r="BH14">
        <v>64.400000000000006</v>
      </c>
      <c r="BJ14">
        <v>82.8</v>
      </c>
      <c r="BK14">
        <v>79.599999999999994</v>
      </c>
      <c r="BM14">
        <v>76.3</v>
      </c>
      <c r="BN14">
        <v>71.7</v>
      </c>
      <c r="BP14">
        <v>83.4</v>
      </c>
      <c r="BQ14">
        <v>79.900000000000006</v>
      </c>
      <c r="BR14">
        <v>82</v>
      </c>
      <c r="BS14">
        <v>99.2</v>
      </c>
      <c r="BT14">
        <v>71.900000000000006</v>
      </c>
      <c r="BU14">
        <v>47.4</v>
      </c>
      <c r="BW14">
        <v>65.5</v>
      </c>
      <c r="BX14">
        <v>57.6</v>
      </c>
      <c r="BZ14">
        <v>91.5</v>
      </c>
      <c r="CA14">
        <v>91.5</v>
      </c>
      <c r="CB14">
        <v>46.2</v>
      </c>
      <c r="CC14">
        <v>45.2</v>
      </c>
      <c r="CD14">
        <v>49.9</v>
      </c>
      <c r="CE14">
        <v>28</v>
      </c>
      <c r="CF14">
        <v>29.7</v>
      </c>
      <c r="CG14">
        <v>33.4</v>
      </c>
      <c r="CH14">
        <v>60.2</v>
      </c>
      <c r="CJ14">
        <v>89</v>
      </c>
      <c r="CL14">
        <v>38.5</v>
      </c>
      <c r="CM14">
        <v>38.6</v>
      </c>
      <c r="CN14">
        <v>32.200000000000003</v>
      </c>
      <c r="CO14">
        <v>56.2</v>
      </c>
      <c r="CP14">
        <v>42</v>
      </c>
      <c r="CQ14">
        <v>43.7</v>
      </c>
      <c r="CR14">
        <v>61.4</v>
      </c>
      <c r="CS14">
        <v>46.8</v>
      </c>
      <c r="CX14">
        <v>43.3</v>
      </c>
      <c r="CY14">
        <v>44.5</v>
      </c>
      <c r="CZ14">
        <v>40.6</v>
      </c>
      <c r="DA14">
        <v>44.3</v>
      </c>
      <c r="DB14">
        <v>32.299999999999997</v>
      </c>
      <c r="DC14">
        <v>78.099999999999994</v>
      </c>
      <c r="DG14">
        <v>48.4</v>
      </c>
      <c r="DH14">
        <v>41</v>
      </c>
      <c r="DI14">
        <v>49.2</v>
      </c>
      <c r="DJ14">
        <v>56.5</v>
      </c>
      <c r="DK14">
        <v>30.9</v>
      </c>
      <c r="DL14">
        <v>31.1</v>
      </c>
      <c r="DN14">
        <v>61.5</v>
      </c>
      <c r="DO14">
        <v>59.9</v>
      </c>
      <c r="DP14">
        <v>60.3</v>
      </c>
      <c r="DQ14">
        <v>63.6</v>
      </c>
      <c r="DR14">
        <v>44</v>
      </c>
      <c r="DS14">
        <v>50.6</v>
      </c>
      <c r="DT14">
        <v>28.4</v>
      </c>
      <c r="DU14">
        <v>47.4</v>
      </c>
      <c r="DX14">
        <v>39.4</v>
      </c>
      <c r="DY14">
        <v>83.5</v>
      </c>
      <c r="DZ14">
        <v>47.4</v>
      </c>
      <c r="EA14">
        <v>46.5</v>
      </c>
      <c r="EB14">
        <v>68.7</v>
      </c>
      <c r="EC14">
        <v>28.7</v>
      </c>
      <c r="EF14">
        <v>34</v>
      </c>
      <c r="EG14">
        <v>54.7</v>
      </c>
      <c r="EH14">
        <v>57.4</v>
      </c>
      <c r="EI14">
        <v>58.8</v>
      </c>
      <c r="EJ14">
        <v>36.200000000000003</v>
      </c>
      <c r="EK14">
        <v>40</v>
      </c>
      <c r="EM14">
        <v>51.5</v>
      </c>
      <c r="EN14">
        <v>65.7</v>
      </c>
      <c r="ER14">
        <v>72.3</v>
      </c>
      <c r="ET14">
        <v>88.3</v>
      </c>
      <c r="EU14">
        <v>128.4</v>
      </c>
      <c r="EV14">
        <v>145.69999999999999</v>
      </c>
      <c r="EW14">
        <v>82.9</v>
      </c>
      <c r="EX14">
        <v>83.1</v>
      </c>
      <c r="EY14">
        <v>50.7</v>
      </c>
      <c r="EZ14">
        <v>83.8</v>
      </c>
      <c r="FA14">
        <v>78.3</v>
      </c>
      <c r="FB14">
        <v>110.5</v>
      </c>
      <c r="FC14">
        <v>88.1</v>
      </c>
      <c r="FD14">
        <v>98.6</v>
      </c>
      <c r="FE14">
        <v>131.9</v>
      </c>
      <c r="FF14">
        <v>102.6</v>
      </c>
      <c r="FI14">
        <v>74</v>
      </c>
      <c r="FJ14">
        <v>57.2</v>
      </c>
      <c r="FQ14">
        <v>58.7</v>
      </c>
      <c r="FR14">
        <v>42.2</v>
      </c>
      <c r="FS14">
        <v>51.3</v>
      </c>
      <c r="FU14">
        <v>58.4</v>
      </c>
      <c r="FV14">
        <v>46.2</v>
      </c>
      <c r="FY14">
        <v>66.099999999999994</v>
      </c>
      <c r="GA14">
        <v>72.400000000000006</v>
      </c>
      <c r="GB14">
        <v>52.9</v>
      </c>
      <c r="GD14">
        <v>64.900000000000006</v>
      </c>
      <c r="GE14">
        <v>95.6</v>
      </c>
      <c r="GF14">
        <v>76.2</v>
      </c>
      <c r="GG14">
        <v>86.8</v>
      </c>
      <c r="GH14">
        <v>59.6</v>
      </c>
      <c r="GI14">
        <v>57.8</v>
      </c>
      <c r="GU14">
        <v>56.7</v>
      </c>
      <c r="GV14">
        <v>40.299999999999997</v>
      </c>
      <c r="GW14">
        <v>40.6</v>
      </c>
      <c r="GX14">
        <v>53.2</v>
      </c>
      <c r="GY14">
        <v>63.9</v>
      </c>
      <c r="HD14">
        <v>68.7</v>
      </c>
      <c r="HO14">
        <v>92.8</v>
      </c>
      <c r="HP14">
        <v>77.400000000000006</v>
      </c>
      <c r="HQ14">
        <v>58</v>
      </c>
      <c r="HR14">
        <v>96.8</v>
      </c>
      <c r="HT14">
        <v>127.3</v>
      </c>
      <c r="HU14">
        <v>119.4</v>
      </c>
      <c r="HY14">
        <v>91.9</v>
      </c>
      <c r="IA14">
        <v>97.9</v>
      </c>
      <c r="IC14">
        <v>103.9</v>
      </c>
      <c r="IE14">
        <v>68.400000000000006</v>
      </c>
      <c r="IJ14">
        <v>67.400000000000006</v>
      </c>
      <c r="IK14">
        <v>78.400000000000006</v>
      </c>
      <c r="IL14">
        <v>47.7</v>
      </c>
      <c r="IM14">
        <v>61.5</v>
      </c>
      <c r="IO14">
        <v>80.2</v>
      </c>
      <c r="IT14">
        <v>53.5</v>
      </c>
      <c r="IU14">
        <v>53.1</v>
      </c>
      <c r="IV14">
        <v>40.799999999999997</v>
      </c>
      <c r="IX14">
        <v>43.8</v>
      </c>
      <c r="JA14">
        <v>48.8</v>
      </c>
      <c r="JB14">
        <v>52.4</v>
      </c>
      <c r="JC14">
        <v>49</v>
      </c>
      <c r="JI14">
        <v>59.9</v>
      </c>
      <c r="JL14">
        <v>57.2</v>
      </c>
      <c r="JO14">
        <v>56.3</v>
      </c>
      <c r="JQ14">
        <v>49.8</v>
      </c>
      <c r="JS14">
        <v>59.1</v>
      </c>
      <c r="JT14">
        <v>58.1</v>
      </c>
      <c r="JU14">
        <v>61.5</v>
      </c>
      <c r="JV14">
        <v>54.2</v>
      </c>
      <c r="JW14">
        <v>55.4</v>
      </c>
      <c r="JX14">
        <v>61.1</v>
      </c>
      <c r="JY14">
        <v>61.1</v>
      </c>
      <c r="JZ14">
        <v>40.200000000000003</v>
      </c>
      <c r="KA14">
        <v>42.4</v>
      </c>
      <c r="KB14">
        <v>37.700000000000003</v>
      </c>
      <c r="KC14">
        <v>55</v>
      </c>
      <c r="KD14">
        <v>55</v>
      </c>
      <c r="KE14">
        <v>47.9</v>
      </c>
      <c r="KF14">
        <v>72.5</v>
      </c>
      <c r="KL14">
        <v>37.200000000000003</v>
      </c>
      <c r="KM14">
        <v>43.1</v>
      </c>
      <c r="KN14">
        <v>49.3</v>
      </c>
      <c r="KO14">
        <v>25.4</v>
      </c>
      <c r="KP14">
        <v>37.9</v>
      </c>
      <c r="KT14">
        <v>41.8</v>
      </c>
      <c r="KU14">
        <v>42.7</v>
      </c>
      <c r="KX14">
        <v>64.8</v>
      </c>
      <c r="KY14">
        <v>58</v>
      </c>
      <c r="KZ14">
        <v>78</v>
      </c>
      <c r="LA14">
        <v>78</v>
      </c>
      <c r="LB14">
        <v>56.1</v>
      </c>
      <c r="LC14">
        <v>69</v>
      </c>
      <c r="LD14">
        <v>42.8</v>
      </c>
      <c r="LE14">
        <v>45</v>
      </c>
      <c r="LF14">
        <v>44.1</v>
      </c>
      <c r="LH14">
        <v>38.6</v>
      </c>
      <c r="LJ14">
        <v>127.8</v>
      </c>
      <c r="LK14">
        <v>345.2</v>
      </c>
      <c r="LL14">
        <v>889.3</v>
      </c>
      <c r="LN14">
        <v>398.7</v>
      </c>
      <c r="LO14">
        <v>168.5</v>
      </c>
      <c r="LP14">
        <v>2814.4</v>
      </c>
      <c r="LQ14">
        <v>827.7</v>
      </c>
      <c r="LR14">
        <v>1298.0999999999999</v>
      </c>
      <c r="LT14">
        <v>315.60000000000002</v>
      </c>
      <c r="LV14">
        <v>152.69999999999999</v>
      </c>
      <c r="LX14">
        <v>66.599999999999994</v>
      </c>
      <c r="MB14">
        <v>124.7</v>
      </c>
      <c r="MD14">
        <v>125</v>
      </c>
      <c r="ME14">
        <v>69.599999999999994</v>
      </c>
      <c r="MG14">
        <v>102.3</v>
      </c>
      <c r="MI14">
        <v>122.4</v>
      </c>
      <c r="MJ14">
        <v>71</v>
      </c>
      <c r="MK14">
        <v>96</v>
      </c>
      <c r="MM14">
        <v>58</v>
      </c>
      <c r="MN14">
        <v>41.4</v>
      </c>
      <c r="MO14">
        <v>38.9</v>
      </c>
      <c r="MP14">
        <v>42.8</v>
      </c>
      <c r="MQ14">
        <v>59.5</v>
      </c>
      <c r="MS14">
        <v>55.3</v>
      </c>
      <c r="MU14">
        <v>55</v>
      </c>
      <c r="MV14">
        <v>74.400000000000006</v>
      </c>
      <c r="MW14">
        <v>87.7</v>
      </c>
      <c r="MX14">
        <v>63.3</v>
      </c>
      <c r="NB14">
        <v>112.4</v>
      </c>
      <c r="NC14">
        <v>97.3</v>
      </c>
      <c r="NE14">
        <v>90.4</v>
      </c>
      <c r="NF14">
        <v>150.6</v>
      </c>
      <c r="NG14">
        <v>149</v>
      </c>
      <c r="NH14">
        <v>157</v>
      </c>
      <c r="NI14">
        <v>95.3</v>
      </c>
      <c r="NJ14">
        <v>101.4</v>
      </c>
      <c r="NL14">
        <v>81.5</v>
      </c>
      <c r="NQ14">
        <v>44.5</v>
      </c>
      <c r="NR14">
        <v>42.9</v>
      </c>
      <c r="NS14">
        <v>42.9</v>
      </c>
      <c r="NT14">
        <v>42.4</v>
      </c>
      <c r="NY14">
        <v>59.2</v>
      </c>
      <c r="NZ14">
        <v>58.6</v>
      </c>
      <c r="OA14">
        <v>58</v>
      </c>
      <c r="OB14">
        <v>62.4</v>
      </c>
      <c r="OC14">
        <v>46.3</v>
      </c>
      <c r="OD14">
        <v>59.5</v>
      </c>
      <c r="OE14">
        <v>62.8</v>
      </c>
      <c r="OF14">
        <v>63.1</v>
      </c>
      <c r="OH14">
        <v>70.599999999999994</v>
      </c>
      <c r="OJ14">
        <v>52.2</v>
      </c>
      <c r="OK14">
        <v>52.9</v>
      </c>
      <c r="OL14">
        <v>50.7</v>
      </c>
      <c r="OM14">
        <v>50.3</v>
      </c>
      <c r="ON14">
        <v>68.900000000000006</v>
      </c>
      <c r="OO14">
        <v>50</v>
      </c>
      <c r="OP14">
        <v>46</v>
      </c>
      <c r="OS14">
        <v>45.2</v>
      </c>
      <c r="OU14">
        <v>38.700000000000003</v>
      </c>
      <c r="OY14">
        <v>47.6</v>
      </c>
      <c r="OZ14">
        <v>40.4</v>
      </c>
      <c r="PB14">
        <v>42.7</v>
      </c>
      <c r="PD14">
        <v>136.69999999999999</v>
      </c>
      <c r="PG14">
        <v>63.4</v>
      </c>
      <c r="PH14">
        <v>60.3</v>
      </c>
      <c r="PI14">
        <v>60.1</v>
      </c>
      <c r="PJ14">
        <v>63.5</v>
      </c>
      <c r="PK14">
        <v>73.2</v>
      </c>
      <c r="PL14">
        <v>71.900000000000006</v>
      </c>
      <c r="PN14">
        <v>64.7</v>
      </c>
      <c r="PO14">
        <v>55.9</v>
      </c>
      <c r="PP14">
        <v>50.7</v>
      </c>
      <c r="PT14">
        <v>58.5</v>
      </c>
      <c r="PU14">
        <v>64</v>
      </c>
      <c r="PV14">
        <v>73.900000000000006</v>
      </c>
      <c r="PY14">
        <v>57.7</v>
      </c>
      <c r="PZ14">
        <v>72.099999999999994</v>
      </c>
      <c r="QA14">
        <v>75.099999999999994</v>
      </c>
      <c r="QB14">
        <v>64.5</v>
      </c>
      <c r="QD14">
        <v>43.4</v>
      </c>
      <c r="QF14">
        <v>57.5</v>
      </c>
      <c r="QG14">
        <v>41.1</v>
      </c>
      <c r="QH14">
        <v>68.900000000000006</v>
      </c>
      <c r="QI14">
        <v>69.5</v>
      </c>
      <c r="QJ14">
        <v>58.8</v>
      </c>
      <c r="QK14">
        <v>59.1</v>
      </c>
      <c r="QL14">
        <v>57.2</v>
      </c>
      <c r="QM14">
        <v>65.400000000000006</v>
      </c>
      <c r="QN14">
        <v>58.7</v>
      </c>
      <c r="QO14">
        <v>56.3</v>
      </c>
      <c r="QQ14">
        <v>69.7</v>
      </c>
      <c r="QR14">
        <v>56.2</v>
      </c>
      <c r="QS14">
        <v>98.7</v>
      </c>
      <c r="QU14">
        <v>63.6</v>
      </c>
      <c r="QV14">
        <v>100.9</v>
      </c>
      <c r="QW14">
        <v>73.8</v>
      </c>
      <c r="QY14">
        <v>53.4</v>
      </c>
      <c r="QZ14">
        <v>53.1</v>
      </c>
      <c r="RA14">
        <v>54.4</v>
      </c>
      <c r="RB14">
        <v>43.8</v>
      </c>
      <c r="RD14">
        <v>58.6</v>
      </c>
      <c r="RE14">
        <v>73.599999999999994</v>
      </c>
      <c r="RF14">
        <v>48.3</v>
      </c>
      <c r="RG14">
        <v>65.099999999999994</v>
      </c>
      <c r="RH14">
        <v>86.1</v>
      </c>
      <c r="RI14">
        <v>78.3</v>
      </c>
      <c r="RJ14">
        <v>131.69999999999999</v>
      </c>
      <c r="RL14">
        <v>59.1</v>
      </c>
      <c r="RM14">
        <v>67.400000000000006</v>
      </c>
      <c r="RS14">
        <v>107.7</v>
      </c>
      <c r="RV14">
        <v>123.8</v>
      </c>
      <c r="SA14">
        <v>81.8</v>
      </c>
      <c r="SF14">
        <v>41.3</v>
      </c>
      <c r="SG14">
        <v>47</v>
      </c>
      <c r="SK14">
        <v>79.599999999999994</v>
      </c>
      <c r="SL14">
        <v>44.7</v>
      </c>
      <c r="SM14">
        <v>50.2</v>
      </c>
      <c r="SN14">
        <v>45.3</v>
      </c>
      <c r="SO14">
        <v>65.3</v>
      </c>
      <c r="SP14">
        <v>66</v>
      </c>
      <c r="SQ14">
        <v>26.8</v>
      </c>
      <c r="SR14">
        <v>46.2</v>
      </c>
      <c r="SS14">
        <v>41.8</v>
      </c>
      <c r="ST14">
        <v>43.4</v>
      </c>
      <c r="SU14">
        <v>39</v>
      </c>
      <c r="SV14">
        <v>39.6</v>
      </c>
      <c r="SX14">
        <v>38.700000000000003</v>
      </c>
      <c r="SZ14">
        <v>40.700000000000003</v>
      </c>
      <c r="TA14">
        <v>66.400000000000006</v>
      </c>
      <c r="TB14">
        <v>41.4</v>
      </c>
      <c r="TE14">
        <v>81.5</v>
      </c>
      <c r="TF14">
        <v>86.5</v>
      </c>
      <c r="TK14">
        <v>84.9</v>
      </c>
      <c r="TL14">
        <v>82</v>
      </c>
      <c r="TN14">
        <v>78</v>
      </c>
      <c r="TO14">
        <v>84.5</v>
      </c>
      <c r="TP14">
        <v>88.8</v>
      </c>
      <c r="TT14">
        <v>86.6</v>
      </c>
      <c r="TU14">
        <v>36.1</v>
      </c>
      <c r="TV14">
        <v>61.5</v>
      </c>
      <c r="TY14">
        <v>42</v>
      </c>
      <c r="UC14">
        <v>129.4</v>
      </c>
      <c r="UE14">
        <v>170.2</v>
      </c>
      <c r="UH14">
        <v>158</v>
      </c>
      <c r="UL14">
        <v>39.9</v>
      </c>
      <c r="UM14">
        <v>41.2</v>
      </c>
      <c r="UN14">
        <v>40.700000000000003</v>
      </c>
      <c r="UO14">
        <v>44.8</v>
      </c>
      <c r="UP14">
        <v>40</v>
      </c>
      <c r="UQ14">
        <v>83.2</v>
      </c>
      <c r="UR14">
        <v>49.7</v>
      </c>
      <c r="US14">
        <v>13.6</v>
      </c>
      <c r="UT14">
        <v>24.8</v>
      </c>
      <c r="UW14">
        <v>50.4</v>
      </c>
      <c r="UY14">
        <v>47.8</v>
      </c>
      <c r="UZ14">
        <v>33.700000000000003</v>
      </c>
      <c r="VB14">
        <v>35.299999999999997</v>
      </c>
      <c r="VD14">
        <v>75.8</v>
      </c>
      <c r="VE14">
        <v>2442.4</v>
      </c>
      <c r="VL14">
        <v>4460.8</v>
      </c>
      <c r="VM14">
        <v>59.4</v>
      </c>
      <c r="VN14">
        <v>66.3</v>
      </c>
      <c r="VO14">
        <v>71.8</v>
      </c>
      <c r="VP14">
        <v>58.1</v>
      </c>
      <c r="VQ14">
        <v>74.099999999999994</v>
      </c>
      <c r="VR14">
        <v>48.6</v>
      </c>
      <c r="VT14">
        <v>75.400000000000006</v>
      </c>
      <c r="VV14">
        <v>37.9</v>
      </c>
      <c r="VW14">
        <v>68.900000000000006</v>
      </c>
      <c r="VY14">
        <v>93.2</v>
      </c>
      <c r="WB14">
        <v>124.9</v>
      </c>
      <c r="WE14">
        <v>86.9</v>
      </c>
      <c r="WF14">
        <v>60.8</v>
      </c>
      <c r="WH14">
        <v>45.4</v>
      </c>
      <c r="WI14">
        <v>45.1</v>
      </c>
      <c r="WJ14">
        <v>47.9</v>
      </c>
      <c r="WL14">
        <v>84.1</v>
      </c>
      <c r="WX14">
        <v>41.9</v>
      </c>
      <c r="WY14">
        <v>40</v>
      </c>
      <c r="XB14">
        <v>50.1</v>
      </c>
      <c r="XD14">
        <v>40.4</v>
      </c>
      <c r="XE14">
        <v>39.200000000000003</v>
      </c>
      <c r="XF14">
        <v>31.6</v>
      </c>
      <c r="XG14">
        <v>37.9</v>
      </c>
      <c r="XH14">
        <v>52.4</v>
      </c>
      <c r="XI14">
        <v>58.8</v>
      </c>
      <c r="XJ14">
        <v>58.8</v>
      </c>
      <c r="XM14">
        <v>39.200000000000003</v>
      </c>
      <c r="XT14">
        <v>39.6</v>
      </c>
      <c r="XU14">
        <v>62</v>
      </c>
      <c r="XV14">
        <v>52.5</v>
      </c>
      <c r="XW14">
        <v>54.3</v>
      </c>
      <c r="XZ14">
        <v>55.7</v>
      </c>
      <c r="YA14">
        <v>66.099999999999994</v>
      </c>
      <c r="YD14">
        <v>28.1</v>
      </c>
      <c r="YG14">
        <v>50.3</v>
      </c>
      <c r="YM14">
        <v>148.5</v>
      </c>
      <c r="YT14">
        <v>55.8</v>
      </c>
      <c r="YU14">
        <v>51.1</v>
      </c>
      <c r="YW14">
        <v>49.1</v>
      </c>
      <c r="YX14">
        <v>58.7</v>
      </c>
      <c r="ZB14">
        <v>91.2</v>
      </c>
      <c r="ZC14">
        <v>191.1</v>
      </c>
      <c r="ZE14">
        <v>112.8</v>
      </c>
      <c r="ZF14">
        <v>102.3</v>
      </c>
      <c r="ZG14">
        <v>94.5</v>
      </c>
      <c r="ZK14">
        <v>91.2</v>
      </c>
      <c r="ZM14">
        <v>131.19999999999999</v>
      </c>
      <c r="ZN14">
        <v>83.3</v>
      </c>
      <c r="ZO14">
        <v>84.9</v>
      </c>
      <c r="ZP14">
        <v>80.400000000000006</v>
      </c>
      <c r="ZQ14">
        <v>83.5</v>
      </c>
      <c r="ZT14">
        <v>82</v>
      </c>
      <c r="ZW14">
        <v>77.099999999999994</v>
      </c>
      <c r="ZY14">
        <v>65</v>
      </c>
      <c r="AAC14">
        <v>45.1</v>
      </c>
      <c r="AAD14">
        <v>39.9</v>
      </c>
      <c r="AAE14">
        <v>71.7</v>
      </c>
      <c r="AAG14">
        <v>30.1</v>
      </c>
      <c r="AAH14">
        <v>92.1</v>
      </c>
      <c r="AAI14">
        <v>50.6</v>
      </c>
      <c r="AAJ14">
        <v>25.6</v>
      </c>
      <c r="AAK14">
        <v>107.8</v>
      </c>
      <c r="AAL14">
        <v>66</v>
      </c>
      <c r="AAM14">
        <v>84.7</v>
      </c>
      <c r="AAN14">
        <v>44.7</v>
      </c>
      <c r="AAO14">
        <v>30.1</v>
      </c>
      <c r="AAP14">
        <v>29.3</v>
      </c>
      <c r="AAR14">
        <v>37.9</v>
      </c>
      <c r="AAX14">
        <v>30.2</v>
      </c>
      <c r="ABB14">
        <v>52.3</v>
      </c>
      <c r="ABC14">
        <v>64.2</v>
      </c>
      <c r="ABD14">
        <v>45.2</v>
      </c>
      <c r="ABE14">
        <v>46.5</v>
      </c>
      <c r="ABF14">
        <v>64</v>
      </c>
      <c r="ABG14">
        <v>62.5</v>
      </c>
      <c r="ABH14">
        <v>64.2</v>
      </c>
      <c r="ABI14">
        <v>52.3</v>
      </c>
      <c r="ABJ14">
        <v>57.2</v>
      </c>
      <c r="ABK14">
        <v>64.900000000000006</v>
      </c>
      <c r="ABL14">
        <v>69.8</v>
      </c>
      <c r="ABM14">
        <v>63.7</v>
      </c>
      <c r="ABN14">
        <v>63.4</v>
      </c>
      <c r="ABO14">
        <v>43.6</v>
      </c>
    </row>
    <row r="15" spans="1:748">
      <c r="A15">
        <v>1978</v>
      </c>
      <c r="B15">
        <v>65.900000000000006</v>
      </c>
      <c r="C15">
        <v>62.4</v>
      </c>
      <c r="D15">
        <v>74.400000000000006</v>
      </c>
      <c r="E15">
        <v>93.2</v>
      </c>
      <c r="F15">
        <v>94.5</v>
      </c>
      <c r="G15">
        <v>96.4</v>
      </c>
      <c r="H15">
        <v>59.4</v>
      </c>
      <c r="I15">
        <v>63</v>
      </c>
      <c r="J15">
        <v>54.1</v>
      </c>
      <c r="L15">
        <v>56.2</v>
      </c>
      <c r="M15">
        <v>58.7</v>
      </c>
      <c r="N15">
        <v>47.3</v>
      </c>
      <c r="P15">
        <v>55.6</v>
      </c>
      <c r="R15">
        <v>72.599999999999994</v>
      </c>
      <c r="S15">
        <v>60.3</v>
      </c>
      <c r="T15">
        <v>79.7</v>
      </c>
      <c r="V15">
        <v>59.7</v>
      </c>
      <c r="W15">
        <v>64</v>
      </c>
      <c r="X15">
        <v>69.2</v>
      </c>
      <c r="Y15">
        <v>115.3</v>
      </c>
      <c r="Z15">
        <v>31.2</v>
      </c>
      <c r="AA15">
        <v>52.7</v>
      </c>
      <c r="AB15">
        <v>77.599999999999994</v>
      </c>
      <c r="AC15">
        <v>32.6</v>
      </c>
      <c r="AD15">
        <v>53.4</v>
      </c>
      <c r="AE15">
        <v>101.3</v>
      </c>
      <c r="AF15">
        <v>76.900000000000006</v>
      </c>
      <c r="AG15">
        <v>56.6</v>
      </c>
      <c r="AH15">
        <v>43.9</v>
      </c>
      <c r="AI15">
        <v>105.5</v>
      </c>
      <c r="AJ15">
        <v>36.200000000000003</v>
      </c>
      <c r="AK15">
        <v>42.8</v>
      </c>
      <c r="AM15">
        <v>61.8</v>
      </c>
      <c r="AN15">
        <v>75.099999999999994</v>
      </c>
      <c r="AO15">
        <v>71.3</v>
      </c>
      <c r="AP15">
        <v>46.6</v>
      </c>
      <c r="AR15">
        <v>49.1</v>
      </c>
      <c r="AU15">
        <v>49.9</v>
      </c>
      <c r="AV15">
        <v>47.2</v>
      </c>
      <c r="AW15">
        <v>52.7</v>
      </c>
      <c r="AX15">
        <v>49.4</v>
      </c>
      <c r="AY15">
        <v>47.5</v>
      </c>
      <c r="AZ15">
        <v>60.5</v>
      </c>
      <c r="BD15">
        <v>66.7</v>
      </c>
      <c r="BE15">
        <v>63.8</v>
      </c>
      <c r="BF15">
        <v>48.6</v>
      </c>
      <c r="BH15">
        <v>63.6</v>
      </c>
      <c r="BJ15">
        <v>78.900000000000006</v>
      </c>
      <c r="BK15">
        <v>80.400000000000006</v>
      </c>
      <c r="BM15">
        <v>77</v>
      </c>
      <c r="BN15">
        <v>71.099999999999994</v>
      </c>
      <c r="BP15">
        <v>82</v>
      </c>
      <c r="BQ15">
        <v>82.7</v>
      </c>
      <c r="BR15">
        <v>85.1</v>
      </c>
      <c r="BS15">
        <v>102.2</v>
      </c>
      <c r="BT15">
        <v>73.8</v>
      </c>
      <c r="BU15">
        <v>49.3</v>
      </c>
      <c r="BW15">
        <v>69.099999999999994</v>
      </c>
      <c r="BX15">
        <v>57.1</v>
      </c>
      <c r="BZ15">
        <v>80.400000000000006</v>
      </c>
      <c r="CA15">
        <v>80.400000000000006</v>
      </c>
      <c r="CB15">
        <v>48.6</v>
      </c>
      <c r="CC15">
        <v>47.8</v>
      </c>
      <c r="CD15">
        <v>58.6</v>
      </c>
      <c r="CE15">
        <v>24.4</v>
      </c>
      <c r="CF15">
        <v>30</v>
      </c>
      <c r="CG15">
        <v>31.3</v>
      </c>
      <c r="CH15">
        <v>63.6</v>
      </c>
      <c r="CJ15">
        <v>87</v>
      </c>
      <c r="CL15">
        <v>36.5</v>
      </c>
      <c r="CM15">
        <v>40</v>
      </c>
      <c r="CN15">
        <v>50.1</v>
      </c>
      <c r="CO15">
        <v>59</v>
      </c>
      <c r="CP15">
        <v>49.5</v>
      </c>
      <c r="CQ15">
        <v>45.9</v>
      </c>
      <c r="CR15">
        <v>54.8</v>
      </c>
      <c r="CS15">
        <v>42.3</v>
      </c>
      <c r="CX15">
        <v>43.6</v>
      </c>
      <c r="CY15">
        <v>50.9</v>
      </c>
      <c r="CZ15">
        <v>41.6</v>
      </c>
      <c r="DA15">
        <v>48</v>
      </c>
      <c r="DB15">
        <v>38.9</v>
      </c>
      <c r="DC15">
        <v>78.7</v>
      </c>
      <c r="DG15">
        <v>50.6</v>
      </c>
      <c r="DH15">
        <v>44.9</v>
      </c>
      <c r="DI15">
        <v>52.5</v>
      </c>
      <c r="DJ15">
        <v>67.099999999999994</v>
      </c>
      <c r="DK15">
        <v>30.6</v>
      </c>
      <c r="DL15">
        <v>31.8</v>
      </c>
      <c r="DN15">
        <v>61.8</v>
      </c>
      <c r="DO15">
        <v>60.1</v>
      </c>
      <c r="DP15">
        <v>60.5</v>
      </c>
      <c r="DQ15">
        <v>64.2</v>
      </c>
      <c r="DR15">
        <v>45.4</v>
      </c>
      <c r="DS15">
        <v>50.3</v>
      </c>
      <c r="DT15">
        <v>29.2</v>
      </c>
      <c r="DU15">
        <v>48.8</v>
      </c>
      <c r="DX15">
        <v>41.5</v>
      </c>
      <c r="DY15">
        <v>85.2</v>
      </c>
      <c r="DZ15">
        <v>51.1</v>
      </c>
      <c r="EA15">
        <v>50.3</v>
      </c>
      <c r="EB15">
        <v>72.2</v>
      </c>
      <c r="EC15">
        <v>34.700000000000003</v>
      </c>
      <c r="EF15">
        <v>38.9</v>
      </c>
      <c r="EG15">
        <v>59.7</v>
      </c>
      <c r="EH15">
        <v>60.4</v>
      </c>
      <c r="EI15">
        <v>60.9</v>
      </c>
      <c r="EJ15">
        <v>38.1</v>
      </c>
      <c r="EK15">
        <v>44.5</v>
      </c>
      <c r="EM15">
        <v>50.6</v>
      </c>
      <c r="EN15">
        <v>61.4</v>
      </c>
      <c r="ER15">
        <v>72.8</v>
      </c>
      <c r="ET15">
        <v>88.5</v>
      </c>
      <c r="EU15">
        <v>125.7</v>
      </c>
      <c r="EV15">
        <v>141.69999999999999</v>
      </c>
      <c r="EW15">
        <v>82.2</v>
      </c>
      <c r="EX15">
        <v>83.7</v>
      </c>
      <c r="EY15">
        <v>50.6</v>
      </c>
      <c r="EZ15">
        <v>84.1</v>
      </c>
      <c r="FA15">
        <v>81.5</v>
      </c>
      <c r="FB15">
        <v>109</v>
      </c>
      <c r="FC15">
        <v>87.2</v>
      </c>
      <c r="FD15">
        <v>98</v>
      </c>
      <c r="FE15">
        <v>131.9</v>
      </c>
      <c r="FF15">
        <v>100.6</v>
      </c>
      <c r="FI15">
        <v>75.400000000000006</v>
      </c>
      <c r="FJ15">
        <v>57.9</v>
      </c>
      <c r="FQ15">
        <v>59.6</v>
      </c>
      <c r="FR15">
        <v>43.2</v>
      </c>
      <c r="FS15">
        <v>52.6</v>
      </c>
      <c r="FU15">
        <v>58.8</v>
      </c>
      <c r="FV15">
        <v>46.7</v>
      </c>
      <c r="FY15">
        <v>68.099999999999994</v>
      </c>
      <c r="GA15">
        <v>71.900000000000006</v>
      </c>
      <c r="GB15">
        <v>52.9</v>
      </c>
      <c r="GD15">
        <v>64.8</v>
      </c>
      <c r="GE15">
        <v>104.7</v>
      </c>
      <c r="GF15">
        <v>75.900000000000006</v>
      </c>
      <c r="GG15">
        <v>87.3</v>
      </c>
      <c r="GH15">
        <v>59.2</v>
      </c>
      <c r="GI15">
        <v>59.3</v>
      </c>
      <c r="GU15">
        <v>58.3</v>
      </c>
      <c r="GV15">
        <v>42.3</v>
      </c>
      <c r="GW15">
        <v>41.7</v>
      </c>
      <c r="GX15">
        <v>53.6</v>
      </c>
      <c r="GY15">
        <v>64.900000000000006</v>
      </c>
      <c r="HD15">
        <v>69.900000000000006</v>
      </c>
      <c r="HO15">
        <v>93.9</v>
      </c>
      <c r="HP15">
        <v>83.3</v>
      </c>
      <c r="HQ15">
        <v>62.5</v>
      </c>
      <c r="HR15">
        <v>113.1</v>
      </c>
      <c r="HT15">
        <v>121.9</v>
      </c>
      <c r="HU15">
        <v>114.4</v>
      </c>
      <c r="HY15">
        <v>91.9</v>
      </c>
      <c r="IA15">
        <v>97.7</v>
      </c>
      <c r="IC15">
        <v>103.9</v>
      </c>
      <c r="IE15">
        <v>68.400000000000006</v>
      </c>
      <c r="IJ15">
        <v>71.599999999999994</v>
      </c>
      <c r="IK15">
        <v>80.599999999999994</v>
      </c>
      <c r="IL15">
        <v>48.4</v>
      </c>
      <c r="IM15">
        <v>67.3</v>
      </c>
      <c r="IO15">
        <v>86.4</v>
      </c>
      <c r="IT15">
        <v>55.5</v>
      </c>
      <c r="IU15">
        <v>55.2</v>
      </c>
      <c r="IV15">
        <v>42.6</v>
      </c>
      <c r="IX15">
        <v>46</v>
      </c>
      <c r="JA15">
        <v>51</v>
      </c>
      <c r="JB15">
        <v>54.4</v>
      </c>
      <c r="JC15">
        <v>50.9</v>
      </c>
      <c r="JI15">
        <v>61.7</v>
      </c>
      <c r="JL15">
        <v>58.7</v>
      </c>
      <c r="JO15">
        <v>58.2</v>
      </c>
      <c r="JQ15">
        <v>52.6</v>
      </c>
      <c r="JS15">
        <v>61.1</v>
      </c>
      <c r="JT15">
        <v>60.1</v>
      </c>
      <c r="JU15">
        <v>63.6</v>
      </c>
      <c r="JV15">
        <v>58.3</v>
      </c>
      <c r="JW15">
        <v>60</v>
      </c>
      <c r="JX15">
        <v>65.5</v>
      </c>
      <c r="JY15">
        <v>65.5</v>
      </c>
      <c r="JZ15">
        <v>45.7</v>
      </c>
      <c r="KA15">
        <v>48.2</v>
      </c>
      <c r="KB15">
        <v>42.9</v>
      </c>
      <c r="KC15">
        <v>59.6</v>
      </c>
      <c r="KD15">
        <v>59.6</v>
      </c>
      <c r="KE15">
        <v>50</v>
      </c>
      <c r="KF15">
        <v>73.5</v>
      </c>
      <c r="KL15">
        <v>36.6</v>
      </c>
      <c r="KM15">
        <v>45.2</v>
      </c>
      <c r="KN15">
        <v>50.1</v>
      </c>
      <c r="KO15">
        <v>26.6</v>
      </c>
      <c r="KP15">
        <v>39.9</v>
      </c>
      <c r="KT15">
        <v>43.3</v>
      </c>
      <c r="KU15">
        <v>45.6</v>
      </c>
      <c r="KX15">
        <v>67.599999999999994</v>
      </c>
      <c r="KY15">
        <v>57</v>
      </c>
      <c r="KZ15">
        <v>75.099999999999994</v>
      </c>
      <c r="LA15">
        <v>75.099999999999994</v>
      </c>
      <c r="LB15">
        <v>55.3</v>
      </c>
      <c r="LC15">
        <v>67.599999999999994</v>
      </c>
      <c r="LD15">
        <v>42.5</v>
      </c>
      <c r="LE15">
        <v>42.6</v>
      </c>
      <c r="LF15">
        <v>41</v>
      </c>
      <c r="LH15">
        <v>41.7</v>
      </c>
      <c r="LJ15">
        <v>129.69999999999999</v>
      </c>
      <c r="LK15">
        <v>349.4</v>
      </c>
      <c r="LL15">
        <v>906.5</v>
      </c>
      <c r="LN15">
        <v>410.3</v>
      </c>
      <c r="LO15">
        <v>167.5</v>
      </c>
      <c r="LP15">
        <v>2834.3</v>
      </c>
      <c r="LQ15">
        <v>853.9</v>
      </c>
      <c r="LR15">
        <v>1269.3</v>
      </c>
      <c r="LT15">
        <v>316.60000000000002</v>
      </c>
      <c r="LV15">
        <v>150.6</v>
      </c>
      <c r="LX15">
        <v>67.2</v>
      </c>
      <c r="MB15">
        <v>125.1</v>
      </c>
      <c r="MD15">
        <v>123.2</v>
      </c>
      <c r="ME15">
        <v>75.5</v>
      </c>
      <c r="MG15">
        <v>103.5</v>
      </c>
      <c r="MI15">
        <v>123</v>
      </c>
      <c r="MJ15">
        <v>72.099999999999994</v>
      </c>
      <c r="MK15">
        <v>98.1</v>
      </c>
      <c r="MM15">
        <v>59.8</v>
      </c>
      <c r="MN15">
        <v>42.9</v>
      </c>
      <c r="MO15">
        <v>40.299999999999997</v>
      </c>
      <c r="MP15">
        <v>43.7</v>
      </c>
      <c r="MQ15">
        <v>60.9</v>
      </c>
      <c r="MS15">
        <v>57.5</v>
      </c>
      <c r="MU15">
        <v>55.9</v>
      </c>
      <c r="MV15">
        <v>76.900000000000006</v>
      </c>
      <c r="MW15">
        <v>86.2</v>
      </c>
      <c r="MX15">
        <v>65.7</v>
      </c>
      <c r="NB15">
        <v>111.5</v>
      </c>
      <c r="NC15">
        <v>95.5</v>
      </c>
      <c r="NE15">
        <v>87.6</v>
      </c>
      <c r="NF15">
        <v>150.6</v>
      </c>
      <c r="NG15">
        <v>148.80000000000001</v>
      </c>
      <c r="NH15">
        <v>157.6</v>
      </c>
      <c r="NI15">
        <v>94.1</v>
      </c>
      <c r="NJ15">
        <v>100.7</v>
      </c>
      <c r="NL15">
        <v>79.3</v>
      </c>
      <c r="NQ15">
        <v>47.8</v>
      </c>
      <c r="NR15">
        <v>45.8</v>
      </c>
      <c r="NS15">
        <v>45.8</v>
      </c>
      <c r="NT15">
        <v>45.5</v>
      </c>
      <c r="NY15">
        <v>61.4</v>
      </c>
      <c r="NZ15">
        <v>61.2</v>
      </c>
      <c r="OA15">
        <v>62.2</v>
      </c>
      <c r="OB15">
        <v>67.599999999999994</v>
      </c>
      <c r="OC15">
        <v>49.8</v>
      </c>
      <c r="OD15">
        <v>61.5</v>
      </c>
      <c r="OE15">
        <v>63.2</v>
      </c>
      <c r="OF15">
        <v>62.9</v>
      </c>
      <c r="OH15">
        <v>70.2</v>
      </c>
      <c r="OJ15">
        <v>52.9</v>
      </c>
      <c r="OK15">
        <v>54.6</v>
      </c>
      <c r="OL15">
        <v>51.8</v>
      </c>
      <c r="OM15">
        <v>51</v>
      </c>
      <c r="ON15">
        <v>70.099999999999994</v>
      </c>
      <c r="OO15">
        <v>50.9</v>
      </c>
      <c r="OP15">
        <v>49.2</v>
      </c>
      <c r="OS15">
        <v>47.2</v>
      </c>
      <c r="OU15">
        <v>44.7</v>
      </c>
      <c r="OY15">
        <v>50.1</v>
      </c>
      <c r="OZ15">
        <v>41.5</v>
      </c>
      <c r="PB15">
        <v>45</v>
      </c>
      <c r="PD15">
        <v>139.30000000000001</v>
      </c>
      <c r="PG15">
        <v>66.599999999999994</v>
      </c>
      <c r="PH15">
        <v>62</v>
      </c>
      <c r="PI15">
        <v>62.3</v>
      </c>
      <c r="PJ15">
        <v>65.2</v>
      </c>
      <c r="PK15">
        <v>74.5</v>
      </c>
      <c r="PL15">
        <v>73.900000000000006</v>
      </c>
      <c r="PN15">
        <v>66.900000000000006</v>
      </c>
      <c r="PO15">
        <v>58.9</v>
      </c>
      <c r="PP15">
        <v>55.2</v>
      </c>
      <c r="PT15">
        <v>61.3</v>
      </c>
      <c r="PU15">
        <v>65.2</v>
      </c>
      <c r="PV15">
        <v>74</v>
      </c>
      <c r="PY15">
        <v>58.6</v>
      </c>
      <c r="PZ15">
        <v>72.7</v>
      </c>
      <c r="QA15">
        <v>75.5</v>
      </c>
      <c r="QB15">
        <v>64.8</v>
      </c>
      <c r="QD15">
        <v>45.1</v>
      </c>
      <c r="QF15">
        <v>57.9</v>
      </c>
      <c r="QG15">
        <v>43.4</v>
      </c>
      <c r="QH15">
        <v>68.900000000000006</v>
      </c>
      <c r="QI15">
        <v>69.2</v>
      </c>
      <c r="QJ15">
        <v>60.6</v>
      </c>
      <c r="QK15">
        <v>60.9</v>
      </c>
      <c r="QL15">
        <v>61.2</v>
      </c>
      <c r="QM15">
        <v>65.900000000000006</v>
      </c>
      <c r="QN15">
        <v>59.8</v>
      </c>
      <c r="QO15">
        <v>57.6</v>
      </c>
      <c r="QQ15">
        <v>72</v>
      </c>
      <c r="QR15">
        <v>59.7</v>
      </c>
      <c r="QS15">
        <v>101.9</v>
      </c>
      <c r="QU15">
        <v>66.099999999999994</v>
      </c>
      <c r="QV15">
        <v>99.7</v>
      </c>
      <c r="QW15">
        <v>76.900000000000006</v>
      </c>
      <c r="QY15">
        <v>54.8</v>
      </c>
      <c r="QZ15">
        <v>54.4</v>
      </c>
      <c r="RA15">
        <v>55.2</v>
      </c>
      <c r="RB15">
        <v>46.8</v>
      </c>
      <c r="RD15">
        <v>63.4</v>
      </c>
      <c r="RE15">
        <v>75.400000000000006</v>
      </c>
      <c r="RF15">
        <v>51.3</v>
      </c>
      <c r="RG15">
        <v>66.2</v>
      </c>
      <c r="RH15">
        <v>95.8</v>
      </c>
      <c r="RI15">
        <v>78.7</v>
      </c>
      <c r="RJ15">
        <v>132.9</v>
      </c>
      <c r="RL15">
        <v>63.7</v>
      </c>
      <c r="RM15">
        <v>67.3</v>
      </c>
      <c r="RS15">
        <v>109.3</v>
      </c>
      <c r="RV15">
        <v>123.2</v>
      </c>
      <c r="SA15">
        <v>82.9</v>
      </c>
      <c r="SF15">
        <v>46.1</v>
      </c>
      <c r="SG15">
        <v>51.9</v>
      </c>
      <c r="SK15">
        <v>80</v>
      </c>
      <c r="SL15">
        <v>48</v>
      </c>
      <c r="SM15">
        <v>55.1</v>
      </c>
      <c r="SN15">
        <v>51.6</v>
      </c>
      <c r="SO15">
        <v>67.8</v>
      </c>
      <c r="SP15">
        <v>68.599999999999994</v>
      </c>
      <c r="SQ15">
        <v>31.4</v>
      </c>
      <c r="SR15">
        <v>50.8</v>
      </c>
      <c r="SS15">
        <v>44.3</v>
      </c>
      <c r="ST15">
        <v>45.6</v>
      </c>
      <c r="SU15">
        <v>41.8</v>
      </c>
      <c r="SV15">
        <v>42.2</v>
      </c>
      <c r="SX15">
        <v>42.2</v>
      </c>
      <c r="SZ15">
        <v>41.9</v>
      </c>
      <c r="TA15">
        <v>66.400000000000006</v>
      </c>
      <c r="TB15">
        <v>41.4</v>
      </c>
      <c r="TE15">
        <v>77.900000000000006</v>
      </c>
      <c r="TF15">
        <v>87.9</v>
      </c>
      <c r="TK15">
        <v>85.4</v>
      </c>
      <c r="TL15">
        <v>82.4</v>
      </c>
      <c r="TN15">
        <v>71.3</v>
      </c>
      <c r="TO15">
        <v>72.900000000000006</v>
      </c>
      <c r="TP15">
        <v>86.8</v>
      </c>
      <c r="TT15">
        <v>88.5</v>
      </c>
      <c r="TU15">
        <v>37.4</v>
      </c>
      <c r="TV15">
        <v>62.4</v>
      </c>
      <c r="TY15">
        <v>47.7</v>
      </c>
      <c r="UC15">
        <v>126.2</v>
      </c>
      <c r="UE15">
        <v>170.2</v>
      </c>
      <c r="UH15">
        <v>158</v>
      </c>
      <c r="UL15">
        <v>44.7</v>
      </c>
      <c r="UM15">
        <v>47.1</v>
      </c>
      <c r="UN15">
        <v>43.5</v>
      </c>
      <c r="UO15">
        <v>46.9</v>
      </c>
      <c r="UP15">
        <v>43.6</v>
      </c>
      <c r="UQ15">
        <v>116.1</v>
      </c>
      <c r="UR15">
        <v>53.6</v>
      </c>
      <c r="US15">
        <v>18.7</v>
      </c>
      <c r="UT15">
        <v>28.7</v>
      </c>
      <c r="UW15">
        <v>52.4</v>
      </c>
      <c r="UY15">
        <v>49.7</v>
      </c>
      <c r="UZ15">
        <v>36.4</v>
      </c>
      <c r="VB15">
        <v>38.1</v>
      </c>
      <c r="VD15">
        <v>78.7</v>
      </c>
      <c r="VE15">
        <v>2470.9</v>
      </c>
      <c r="VL15">
        <v>4376.3</v>
      </c>
      <c r="VM15">
        <v>59.4</v>
      </c>
      <c r="VN15">
        <v>67</v>
      </c>
      <c r="VO15">
        <v>74.3</v>
      </c>
      <c r="VP15">
        <v>58.4</v>
      </c>
      <c r="VQ15">
        <v>73.900000000000006</v>
      </c>
      <c r="VR15">
        <v>48.8</v>
      </c>
      <c r="VT15">
        <v>78.2</v>
      </c>
      <c r="VV15">
        <v>41.5</v>
      </c>
      <c r="VW15">
        <v>72</v>
      </c>
      <c r="VY15">
        <v>96</v>
      </c>
      <c r="WB15">
        <v>127.9</v>
      </c>
      <c r="WE15">
        <v>87.6</v>
      </c>
      <c r="WF15">
        <v>62.1</v>
      </c>
      <c r="WH15">
        <v>49.3</v>
      </c>
      <c r="WI15">
        <v>49</v>
      </c>
      <c r="WJ15">
        <v>52.3</v>
      </c>
      <c r="WL15">
        <v>84.6</v>
      </c>
      <c r="WX15">
        <v>44.9</v>
      </c>
      <c r="WY15">
        <v>44.7</v>
      </c>
      <c r="XB15">
        <v>51.6</v>
      </c>
      <c r="XD15">
        <v>40.200000000000003</v>
      </c>
      <c r="XE15">
        <v>40.200000000000003</v>
      </c>
      <c r="XF15">
        <v>33.5</v>
      </c>
      <c r="XG15">
        <v>39.200000000000003</v>
      </c>
      <c r="XH15">
        <v>54.2</v>
      </c>
      <c r="XI15">
        <v>59.4</v>
      </c>
      <c r="XJ15">
        <v>59.4</v>
      </c>
      <c r="XM15">
        <v>42.4</v>
      </c>
      <c r="XT15">
        <v>42.5</v>
      </c>
      <c r="XU15">
        <v>63.8</v>
      </c>
      <c r="XV15">
        <v>52.5</v>
      </c>
      <c r="XW15">
        <v>54.3</v>
      </c>
      <c r="XZ15">
        <v>59.2</v>
      </c>
      <c r="YA15">
        <v>69.400000000000006</v>
      </c>
      <c r="YD15">
        <v>32.9</v>
      </c>
      <c r="YG15">
        <v>51.9</v>
      </c>
      <c r="YM15">
        <v>144.1</v>
      </c>
      <c r="YT15">
        <v>57.3</v>
      </c>
      <c r="YU15">
        <v>54.2</v>
      </c>
      <c r="YW15">
        <v>52.1</v>
      </c>
      <c r="YX15">
        <v>60.8</v>
      </c>
      <c r="ZB15">
        <v>92.6</v>
      </c>
      <c r="ZC15">
        <v>194.5</v>
      </c>
      <c r="ZE15">
        <v>112.4</v>
      </c>
      <c r="ZF15">
        <v>102.2</v>
      </c>
      <c r="ZG15">
        <v>94.4</v>
      </c>
      <c r="ZK15">
        <v>91.2</v>
      </c>
      <c r="ZM15">
        <v>130.9</v>
      </c>
      <c r="ZN15">
        <v>85</v>
      </c>
      <c r="ZO15">
        <v>85.5</v>
      </c>
      <c r="ZP15">
        <v>80.599999999999994</v>
      </c>
      <c r="ZQ15">
        <v>83.9</v>
      </c>
      <c r="ZT15">
        <v>87.6</v>
      </c>
      <c r="ZW15">
        <v>77.099999999999994</v>
      </c>
      <c r="ZY15">
        <v>67.2</v>
      </c>
      <c r="AAC15">
        <v>46.5</v>
      </c>
      <c r="AAD15">
        <v>41.7</v>
      </c>
      <c r="AAE15">
        <v>74.900000000000006</v>
      </c>
      <c r="AAG15">
        <v>32</v>
      </c>
      <c r="AAH15">
        <v>94.9</v>
      </c>
      <c r="AAI15">
        <v>51.3</v>
      </c>
      <c r="AAJ15">
        <v>25.7</v>
      </c>
      <c r="AAK15">
        <v>108</v>
      </c>
      <c r="AAL15">
        <v>67.5</v>
      </c>
      <c r="AAM15">
        <v>85.8</v>
      </c>
      <c r="AAN15">
        <v>46.7</v>
      </c>
      <c r="AAO15">
        <v>30.1</v>
      </c>
      <c r="AAP15">
        <v>29.3</v>
      </c>
      <c r="AAR15">
        <v>38.5</v>
      </c>
      <c r="AAX15">
        <v>32</v>
      </c>
      <c r="ABB15">
        <v>54.3</v>
      </c>
      <c r="ABC15">
        <v>64</v>
      </c>
      <c r="ABD15">
        <v>47.8</v>
      </c>
      <c r="ABE15">
        <v>50.3</v>
      </c>
      <c r="ABF15">
        <v>66.400000000000006</v>
      </c>
      <c r="ABG15">
        <v>64.400000000000006</v>
      </c>
      <c r="ABH15">
        <v>66.400000000000006</v>
      </c>
      <c r="ABI15">
        <v>55.5</v>
      </c>
      <c r="ABJ15">
        <v>61.7</v>
      </c>
      <c r="ABK15">
        <v>67.099999999999994</v>
      </c>
      <c r="ABL15">
        <v>65.599999999999994</v>
      </c>
      <c r="ABM15">
        <v>66.5</v>
      </c>
      <c r="ABN15">
        <v>66.599999999999994</v>
      </c>
      <c r="ABO15">
        <v>47.5</v>
      </c>
    </row>
    <row r="16" spans="1:748">
      <c r="A16">
        <v>1979</v>
      </c>
      <c r="B16">
        <v>69.099999999999994</v>
      </c>
      <c r="C16">
        <v>64.599999999999994</v>
      </c>
      <c r="D16">
        <v>75.900000000000006</v>
      </c>
      <c r="E16">
        <v>95.2</v>
      </c>
      <c r="F16">
        <v>94.6</v>
      </c>
      <c r="G16">
        <v>97</v>
      </c>
      <c r="H16">
        <v>60.3</v>
      </c>
      <c r="I16">
        <v>63.7</v>
      </c>
      <c r="J16">
        <v>55.4</v>
      </c>
      <c r="L16">
        <v>56.5</v>
      </c>
      <c r="M16">
        <v>59.2</v>
      </c>
      <c r="N16">
        <v>47.9</v>
      </c>
      <c r="P16">
        <v>55.7</v>
      </c>
      <c r="R16">
        <v>72.7</v>
      </c>
      <c r="S16">
        <v>60.4</v>
      </c>
      <c r="T16">
        <v>79.599999999999994</v>
      </c>
      <c r="V16">
        <v>62.5</v>
      </c>
      <c r="W16">
        <v>68.5</v>
      </c>
      <c r="X16">
        <v>77.7</v>
      </c>
      <c r="Y16">
        <v>119.6</v>
      </c>
      <c r="Z16">
        <v>33.6</v>
      </c>
      <c r="AA16">
        <v>59.7</v>
      </c>
      <c r="AB16">
        <v>77.599999999999994</v>
      </c>
      <c r="AC16">
        <v>37.799999999999997</v>
      </c>
      <c r="AD16">
        <v>42.6</v>
      </c>
      <c r="AE16">
        <v>105.4</v>
      </c>
      <c r="AF16">
        <v>76.400000000000006</v>
      </c>
      <c r="AG16">
        <v>59</v>
      </c>
      <c r="AH16">
        <v>57.2</v>
      </c>
      <c r="AI16">
        <v>113.2</v>
      </c>
      <c r="AJ16">
        <v>41.6</v>
      </c>
      <c r="AK16">
        <v>46.4</v>
      </c>
      <c r="AM16">
        <v>62.8</v>
      </c>
      <c r="AN16">
        <v>75.7</v>
      </c>
      <c r="AO16">
        <v>74</v>
      </c>
      <c r="AP16">
        <v>43.9</v>
      </c>
      <c r="AR16">
        <v>51.5</v>
      </c>
      <c r="AU16">
        <v>50.8</v>
      </c>
      <c r="AV16">
        <v>48.1</v>
      </c>
      <c r="AW16">
        <v>53.8</v>
      </c>
      <c r="AX16">
        <v>50.4</v>
      </c>
      <c r="AY16">
        <v>46.6</v>
      </c>
      <c r="AZ16">
        <v>60</v>
      </c>
      <c r="BD16">
        <v>66.5</v>
      </c>
      <c r="BE16">
        <v>63.3</v>
      </c>
      <c r="BF16">
        <v>50.7</v>
      </c>
      <c r="BH16">
        <v>61.9</v>
      </c>
      <c r="BJ16">
        <v>77.400000000000006</v>
      </c>
      <c r="BK16">
        <v>81.2</v>
      </c>
      <c r="BM16">
        <v>77.2</v>
      </c>
      <c r="BN16">
        <v>70.3</v>
      </c>
      <c r="BP16">
        <v>84.9</v>
      </c>
      <c r="BQ16">
        <v>83.8</v>
      </c>
      <c r="BR16">
        <v>86.3</v>
      </c>
      <c r="BS16">
        <v>103.1</v>
      </c>
      <c r="BT16">
        <v>74.3</v>
      </c>
      <c r="BU16">
        <v>50.6</v>
      </c>
      <c r="BW16">
        <v>69</v>
      </c>
      <c r="BX16">
        <v>56.7</v>
      </c>
      <c r="BZ16">
        <v>87</v>
      </c>
      <c r="CA16">
        <v>87</v>
      </c>
      <c r="CB16">
        <v>57</v>
      </c>
      <c r="CC16">
        <v>60.4</v>
      </c>
      <c r="CD16">
        <v>87.7</v>
      </c>
      <c r="CE16">
        <v>45.1</v>
      </c>
      <c r="CF16">
        <v>77.400000000000006</v>
      </c>
      <c r="CG16">
        <v>41.5</v>
      </c>
      <c r="CH16">
        <v>102.9</v>
      </c>
      <c r="CJ16">
        <v>85.7</v>
      </c>
      <c r="CL16">
        <v>45.8</v>
      </c>
      <c r="CM16">
        <v>38.700000000000003</v>
      </c>
      <c r="CN16">
        <v>38</v>
      </c>
      <c r="CO16">
        <v>90.6</v>
      </c>
      <c r="CP16">
        <v>56.2</v>
      </c>
      <c r="CQ16">
        <v>45</v>
      </c>
      <c r="CR16">
        <v>48.3</v>
      </c>
      <c r="CS16">
        <v>46</v>
      </c>
      <c r="CX16">
        <v>66</v>
      </c>
      <c r="CY16">
        <v>58.3</v>
      </c>
      <c r="CZ16">
        <v>49.4</v>
      </c>
      <c r="DA16">
        <v>52.6</v>
      </c>
      <c r="DB16">
        <v>53.3</v>
      </c>
      <c r="DC16">
        <v>84.1</v>
      </c>
      <c r="DG16">
        <v>52.5</v>
      </c>
      <c r="DH16">
        <v>46.3</v>
      </c>
      <c r="DI16">
        <v>53</v>
      </c>
      <c r="DJ16">
        <v>71</v>
      </c>
      <c r="DK16">
        <v>31.1</v>
      </c>
      <c r="DL16">
        <v>32.5</v>
      </c>
      <c r="DN16">
        <v>63.1</v>
      </c>
      <c r="DO16">
        <v>61.3</v>
      </c>
      <c r="DP16">
        <v>62.4</v>
      </c>
      <c r="DQ16">
        <v>64.099999999999994</v>
      </c>
      <c r="DR16">
        <v>47.7</v>
      </c>
      <c r="DS16">
        <v>54.8</v>
      </c>
      <c r="DT16">
        <v>32.1</v>
      </c>
      <c r="DU16">
        <v>50.2</v>
      </c>
      <c r="DX16">
        <v>43.6</v>
      </c>
      <c r="DY16">
        <v>84.9</v>
      </c>
      <c r="DZ16">
        <v>49.8</v>
      </c>
      <c r="EA16">
        <v>48.9</v>
      </c>
      <c r="EB16">
        <v>80.599999999999994</v>
      </c>
      <c r="EC16">
        <v>28.2</v>
      </c>
      <c r="EF16">
        <v>37.5</v>
      </c>
      <c r="EG16">
        <v>52.8</v>
      </c>
      <c r="EH16">
        <v>53.3</v>
      </c>
      <c r="EI16">
        <v>66.599999999999994</v>
      </c>
      <c r="EJ16">
        <v>38.700000000000003</v>
      </c>
      <c r="EK16">
        <v>46.3</v>
      </c>
      <c r="EM16">
        <v>50.9</v>
      </c>
      <c r="EN16">
        <v>65.599999999999994</v>
      </c>
      <c r="ER16">
        <v>74.5</v>
      </c>
      <c r="ET16">
        <v>88.5</v>
      </c>
      <c r="EU16">
        <v>123</v>
      </c>
      <c r="EV16">
        <v>138.4</v>
      </c>
      <c r="EW16">
        <v>81.3</v>
      </c>
      <c r="EX16">
        <v>84.2</v>
      </c>
      <c r="EY16">
        <v>50.6</v>
      </c>
      <c r="EZ16">
        <v>85</v>
      </c>
      <c r="FA16">
        <v>81.599999999999994</v>
      </c>
      <c r="FB16">
        <v>110.9</v>
      </c>
      <c r="FC16">
        <v>86.9</v>
      </c>
      <c r="FD16">
        <v>98.4</v>
      </c>
      <c r="FE16">
        <v>131.4</v>
      </c>
      <c r="FF16">
        <v>100.7</v>
      </c>
      <c r="FI16">
        <v>75.8</v>
      </c>
      <c r="FJ16">
        <v>58</v>
      </c>
      <c r="FQ16">
        <v>60.1</v>
      </c>
      <c r="FR16">
        <v>43.8</v>
      </c>
      <c r="FS16">
        <v>53.7</v>
      </c>
      <c r="FU16">
        <v>59.4</v>
      </c>
      <c r="FV16">
        <v>47.7</v>
      </c>
      <c r="FY16">
        <v>68.2</v>
      </c>
      <c r="GA16">
        <v>71.7</v>
      </c>
      <c r="GB16">
        <v>52.9</v>
      </c>
      <c r="GD16">
        <v>64.3</v>
      </c>
      <c r="GE16">
        <v>105</v>
      </c>
      <c r="GF16">
        <v>76</v>
      </c>
      <c r="GG16">
        <v>86.7</v>
      </c>
      <c r="GH16">
        <v>58.8</v>
      </c>
      <c r="GI16">
        <v>60.1</v>
      </c>
      <c r="GU16">
        <v>59</v>
      </c>
      <c r="GV16">
        <v>41.6</v>
      </c>
      <c r="GW16">
        <v>43.4</v>
      </c>
      <c r="GX16">
        <v>54.4</v>
      </c>
      <c r="GY16">
        <v>65</v>
      </c>
      <c r="HD16">
        <v>69.900000000000006</v>
      </c>
      <c r="HO16">
        <v>93.6</v>
      </c>
      <c r="HP16">
        <v>86.9</v>
      </c>
      <c r="HQ16">
        <v>65.900000000000006</v>
      </c>
      <c r="HR16">
        <v>113.9</v>
      </c>
      <c r="HT16">
        <v>111.4</v>
      </c>
      <c r="HU16">
        <v>104.6</v>
      </c>
      <c r="HY16">
        <v>91.9</v>
      </c>
      <c r="IA16">
        <v>97.7</v>
      </c>
      <c r="IC16">
        <v>103.9</v>
      </c>
      <c r="IE16">
        <v>68.400000000000006</v>
      </c>
      <c r="IJ16">
        <v>72.2</v>
      </c>
      <c r="IK16">
        <v>81.2</v>
      </c>
      <c r="IL16">
        <v>50.4</v>
      </c>
      <c r="IM16">
        <v>67.8</v>
      </c>
      <c r="IO16">
        <v>86.9</v>
      </c>
      <c r="IT16">
        <v>57.4</v>
      </c>
      <c r="IU16">
        <v>56.9</v>
      </c>
      <c r="IV16">
        <v>44.8</v>
      </c>
      <c r="IX16">
        <v>48.3</v>
      </c>
      <c r="JA16">
        <v>53.4</v>
      </c>
      <c r="JB16">
        <v>56</v>
      </c>
      <c r="JC16">
        <v>52.7</v>
      </c>
      <c r="JI16">
        <v>62.8</v>
      </c>
      <c r="JL16">
        <v>60.1</v>
      </c>
      <c r="JO16">
        <v>59.3</v>
      </c>
      <c r="JQ16">
        <v>53.9</v>
      </c>
      <c r="JS16">
        <v>62.9</v>
      </c>
      <c r="JT16">
        <v>62</v>
      </c>
      <c r="JU16">
        <v>65.5</v>
      </c>
      <c r="JV16">
        <v>61.5</v>
      </c>
      <c r="JW16">
        <v>62.8</v>
      </c>
      <c r="JX16">
        <v>68.2</v>
      </c>
      <c r="JY16">
        <v>68.2</v>
      </c>
      <c r="JZ16">
        <v>50.6</v>
      </c>
      <c r="KA16">
        <v>53.4</v>
      </c>
      <c r="KB16">
        <v>47.5</v>
      </c>
      <c r="KC16">
        <v>62.5</v>
      </c>
      <c r="KD16">
        <v>62.5</v>
      </c>
      <c r="KE16">
        <v>54.1</v>
      </c>
      <c r="KF16">
        <v>82.3</v>
      </c>
      <c r="KL16">
        <v>46.2</v>
      </c>
      <c r="KM16">
        <v>48.6</v>
      </c>
      <c r="KN16">
        <v>51.3</v>
      </c>
      <c r="KO16">
        <v>29.2</v>
      </c>
      <c r="KP16">
        <v>44.5</v>
      </c>
      <c r="KT16">
        <v>47.2</v>
      </c>
      <c r="KU16">
        <v>49.2</v>
      </c>
      <c r="KX16">
        <v>69.2</v>
      </c>
      <c r="KY16">
        <v>63.1</v>
      </c>
      <c r="KZ16">
        <v>78.2</v>
      </c>
      <c r="LA16">
        <v>78.2</v>
      </c>
      <c r="LB16">
        <v>59.6</v>
      </c>
      <c r="LC16">
        <v>70.099999999999994</v>
      </c>
      <c r="LD16">
        <v>47.8</v>
      </c>
      <c r="LE16">
        <v>62.3</v>
      </c>
      <c r="LF16">
        <v>63.1</v>
      </c>
      <c r="LH16">
        <v>44.2</v>
      </c>
      <c r="LJ16">
        <v>132.9</v>
      </c>
      <c r="LK16">
        <v>355.4</v>
      </c>
      <c r="LL16">
        <v>908.4</v>
      </c>
      <c r="LN16">
        <v>416.3</v>
      </c>
      <c r="LO16">
        <v>167.1</v>
      </c>
      <c r="LP16">
        <v>2805.9</v>
      </c>
      <c r="LQ16">
        <v>866.6</v>
      </c>
      <c r="LR16">
        <v>1282</v>
      </c>
      <c r="LT16">
        <v>314.89999999999998</v>
      </c>
      <c r="LV16">
        <v>160.80000000000001</v>
      </c>
      <c r="LX16">
        <v>72.8</v>
      </c>
      <c r="MB16">
        <v>127.7</v>
      </c>
      <c r="MD16">
        <v>124.3</v>
      </c>
      <c r="ME16">
        <v>82.7</v>
      </c>
      <c r="MG16">
        <v>106.4</v>
      </c>
      <c r="MI16">
        <v>125.4</v>
      </c>
      <c r="MJ16">
        <v>74.099999999999994</v>
      </c>
      <c r="MK16">
        <v>99.6</v>
      </c>
      <c r="MM16">
        <v>62.2</v>
      </c>
      <c r="MN16">
        <v>45</v>
      </c>
      <c r="MO16">
        <v>42</v>
      </c>
      <c r="MP16">
        <v>45.6</v>
      </c>
      <c r="MQ16">
        <v>63.6</v>
      </c>
      <c r="MS16">
        <v>60.9</v>
      </c>
      <c r="MU16">
        <v>56.9</v>
      </c>
      <c r="MV16">
        <v>79</v>
      </c>
      <c r="MW16">
        <v>85.2</v>
      </c>
      <c r="MX16">
        <v>66.7</v>
      </c>
      <c r="NB16">
        <v>114.6</v>
      </c>
      <c r="NC16">
        <v>101.3</v>
      </c>
      <c r="NE16">
        <v>93.5</v>
      </c>
      <c r="NF16">
        <v>153.1</v>
      </c>
      <c r="NG16">
        <v>149.9</v>
      </c>
      <c r="NH16">
        <v>161.69999999999999</v>
      </c>
      <c r="NI16">
        <v>94.9</v>
      </c>
      <c r="NJ16">
        <v>102.6</v>
      </c>
      <c r="NL16">
        <v>78.900000000000006</v>
      </c>
      <c r="NQ16">
        <v>50.1</v>
      </c>
      <c r="NR16">
        <v>48.9</v>
      </c>
      <c r="NS16">
        <v>48.9</v>
      </c>
      <c r="NT16">
        <v>47.5</v>
      </c>
      <c r="NY16">
        <v>64.400000000000006</v>
      </c>
      <c r="NZ16">
        <v>64.8</v>
      </c>
      <c r="OA16">
        <v>67.7</v>
      </c>
      <c r="OB16">
        <v>74.2</v>
      </c>
      <c r="OC16">
        <v>54.2</v>
      </c>
      <c r="OD16">
        <v>64.599999999999994</v>
      </c>
      <c r="OE16">
        <v>65.7</v>
      </c>
      <c r="OF16">
        <v>63.9</v>
      </c>
      <c r="OH16">
        <v>73.2</v>
      </c>
      <c r="OJ16">
        <v>56.8</v>
      </c>
      <c r="OK16">
        <v>56.5</v>
      </c>
      <c r="OL16">
        <v>54.8</v>
      </c>
      <c r="OM16">
        <v>52.1</v>
      </c>
      <c r="ON16">
        <v>72.400000000000006</v>
      </c>
      <c r="OO16">
        <v>52.8</v>
      </c>
      <c r="OP16">
        <v>53.1</v>
      </c>
      <c r="OS16">
        <v>49.4</v>
      </c>
      <c r="OU16">
        <v>51.2</v>
      </c>
      <c r="OY16">
        <v>53.8</v>
      </c>
      <c r="OZ16">
        <v>45.3</v>
      </c>
      <c r="PB16">
        <v>48.9</v>
      </c>
      <c r="PD16">
        <v>142</v>
      </c>
      <c r="PG16">
        <v>68.8</v>
      </c>
      <c r="PH16">
        <v>64.099999999999994</v>
      </c>
      <c r="PI16">
        <v>65.3</v>
      </c>
      <c r="PJ16">
        <v>66.7</v>
      </c>
      <c r="PK16">
        <v>76.8</v>
      </c>
      <c r="PL16">
        <v>73</v>
      </c>
      <c r="PN16">
        <v>68</v>
      </c>
      <c r="PO16">
        <v>63.2</v>
      </c>
      <c r="PP16">
        <v>60.8</v>
      </c>
      <c r="PT16">
        <v>65.099999999999994</v>
      </c>
      <c r="PU16">
        <v>68.599999999999994</v>
      </c>
      <c r="PV16">
        <v>72.400000000000006</v>
      </c>
      <c r="PY16">
        <v>59.7</v>
      </c>
      <c r="PZ16">
        <v>72.7</v>
      </c>
      <c r="QA16">
        <v>75.599999999999994</v>
      </c>
      <c r="QB16">
        <v>64.5</v>
      </c>
      <c r="QD16">
        <v>47.1</v>
      </c>
      <c r="QF16">
        <v>57.9</v>
      </c>
      <c r="QG16">
        <v>46.4</v>
      </c>
      <c r="QH16">
        <v>69</v>
      </c>
      <c r="QI16">
        <v>69.400000000000006</v>
      </c>
      <c r="QJ16">
        <v>63.8</v>
      </c>
      <c r="QK16">
        <v>65.099999999999994</v>
      </c>
      <c r="QL16">
        <v>66.5</v>
      </c>
      <c r="QM16">
        <v>66.8</v>
      </c>
      <c r="QN16">
        <v>61.4</v>
      </c>
      <c r="QO16">
        <v>59</v>
      </c>
      <c r="QQ16">
        <v>73.900000000000006</v>
      </c>
      <c r="QR16">
        <v>61.9</v>
      </c>
      <c r="QS16">
        <v>106.6</v>
      </c>
      <c r="QU16">
        <v>66.599999999999994</v>
      </c>
      <c r="QV16">
        <v>99.9</v>
      </c>
      <c r="QW16">
        <v>79.5</v>
      </c>
      <c r="QY16">
        <v>57</v>
      </c>
      <c r="QZ16">
        <v>57.3</v>
      </c>
      <c r="RA16">
        <v>56.7</v>
      </c>
      <c r="RB16">
        <v>49.4</v>
      </c>
      <c r="RD16">
        <v>64.599999999999994</v>
      </c>
      <c r="RE16">
        <v>78.2</v>
      </c>
      <c r="RF16">
        <v>54.1</v>
      </c>
      <c r="RG16">
        <v>71.3</v>
      </c>
      <c r="RH16">
        <v>101.4</v>
      </c>
      <c r="RI16">
        <v>78.3</v>
      </c>
      <c r="RJ16">
        <v>132.5</v>
      </c>
      <c r="RL16">
        <v>70.599999999999994</v>
      </c>
      <c r="RM16">
        <v>67</v>
      </c>
      <c r="RS16">
        <v>110.1</v>
      </c>
      <c r="RV16">
        <v>123.1</v>
      </c>
      <c r="SA16">
        <v>83.9</v>
      </c>
      <c r="SF16">
        <v>46.8</v>
      </c>
      <c r="SG16">
        <v>51.9</v>
      </c>
      <c r="SK16">
        <v>86.7</v>
      </c>
      <c r="SL16">
        <v>52.6</v>
      </c>
      <c r="SM16">
        <v>61.8</v>
      </c>
      <c r="SN16">
        <v>59.1</v>
      </c>
      <c r="SO16">
        <v>71.5</v>
      </c>
      <c r="SP16">
        <v>72.400000000000006</v>
      </c>
      <c r="SQ16">
        <v>42.2</v>
      </c>
      <c r="SR16">
        <v>59.9</v>
      </c>
      <c r="SS16">
        <v>47.9</v>
      </c>
      <c r="ST16">
        <v>49.4</v>
      </c>
      <c r="SU16">
        <v>45.7</v>
      </c>
      <c r="SV16">
        <v>45.5</v>
      </c>
      <c r="SX16">
        <v>45.7</v>
      </c>
      <c r="SZ16">
        <v>44.7</v>
      </c>
      <c r="TA16">
        <v>67.900000000000006</v>
      </c>
      <c r="TB16">
        <v>46.9</v>
      </c>
      <c r="TE16">
        <v>88.3</v>
      </c>
      <c r="TF16">
        <v>89.6</v>
      </c>
      <c r="TK16">
        <v>85.4</v>
      </c>
      <c r="TL16">
        <v>82.5</v>
      </c>
      <c r="TN16">
        <v>87.3</v>
      </c>
      <c r="TO16">
        <v>98.6</v>
      </c>
      <c r="TP16">
        <v>87.3</v>
      </c>
      <c r="TT16">
        <v>91.4</v>
      </c>
      <c r="TU16">
        <v>39.299999999999997</v>
      </c>
      <c r="TV16">
        <v>63.8</v>
      </c>
      <c r="TY16">
        <v>59.2</v>
      </c>
      <c r="UC16">
        <v>125.1</v>
      </c>
      <c r="UE16">
        <v>170.5</v>
      </c>
      <c r="UH16">
        <v>158.30000000000001</v>
      </c>
      <c r="UL16">
        <v>48.4</v>
      </c>
      <c r="UM16">
        <v>51.7</v>
      </c>
      <c r="UN16">
        <v>45.6</v>
      </c>
      <c r="UO16">
        <v>50.3</v>
      </c>
      <c r="UP16">
        <v>46</v>
      </c>
      <c r="UQ16">
        <v>140.6</v>
      </c>
      <c r="UR16">
        <v>55.2</v>
      </c>
      <c r="US16">
        <v>24.3</v>
      </c>
      <c r="UT16">
        <v>32.5</v>
      </c>
      <c r="UW16">
        <v>53</v>
      </c>
      <c r="UY16">
        <v>50.3</v>
      </c>
      <c r="UZ16">
        <v>39.6</v>
      </c>
      <c r="VB16">
        <v>41.5</v>
      </c>
      <c r="VD16">
        <v>81.599999999999994</v>
      </c>
      <c r="VE16">
        <v>2464.3000000000002</v>
      </c>
      <c r="VL16">
        <v>4313.8</v>
      </c>
      <c r="VM16">
        <v>59.4</v>
      </c>
      <c r="VN16">
        <v>67.5</v>
      </c>
      <c r="VO16">
        <v>77</v>
      </c>
      <c r="VP16">
        <v>60</v>
      </c>
      <c r="VQ16">
        <v>73.7</v>
      </c>
      <c r="VR16">
        <v>49</v>
      </c>
      <c r="VT16">
        <v>81.8</v>
      </c>
      <c r="VV16">
        <v>45.3</v>
      </c>
      <c r="VW16">
        <v>74</v>
      </c>
      <c r="VY16">
        <v>100.6</v>
      </c>
      <c r="WB16">
        <v>128.80000000000001</v>
      </c>
      <c r="WE16">
        <v>88.1</v>
      </c>
      <c r="WF16">
        <v>62.7</v>
      </c>
      <c r="WH16">
        <v>53.2</v>
      </c>
      <c r="WI16">
        <v>54.7</v>
      </c>
      <c r="WJ16">
        <v>54.5</v>
      </c>
      <c r="WL16">
        <v>84.8</v>
      </c>
      <c r="WX16">
        <v>46.4</v>
      </c>
      <c r="WY16">
        <v>46.2</v>
      </c>
      <c r="XB16">
        <v>52.9</v>
      </c>
      <c r="XD16">
        <v>42.7</v>
      </c>
      <c r="XE16">
        <v>41.6</v>
      </c>
      <c r="XF16">
        <v>36.200000000000003</v>
      </c>
      <c r="XG16">
        <v>41</v>
      </c>
      <c r="XH16">
        <v>56.9</v>
      </c>
      <c r="XI16">
        <v>62.7</v>
      </c>
      <c r="XJ16">
        <v>62.7</v>
      </c>
      <c r="XM16">
        <v>45.3</v>
      </c>
      <c r="XT16">
        <v>45</v>
      </c>
      <c r="XU16">
        <v>64.2</v>
      </c>
      <c r="XV16">
        <v>52.5</v>
      </c>
      <c r="XW16">
        <v>54.3</v>
      </c>
      <c r="XZ16">
        <v>60.7</v>
      </c>
      <c r="YA16">
        <v>70.3</v>
      </c>
      <c r="YD16">
        <v>35.1</v>
      </c>
      <c r="YG16">
        <v>52.3</v>
      </c>
      <c r="YM16">
        <v>139.19999999999999</v>
      </c>
      <c r="YT16">
        <v>59.5</v>
      </c>
      <c r="YU16">
        <v>57.6</v>
      </c>
      <c r="YW16">
        <v>56</v>
      </c>
      <c r="YX16">
        <v>63.3</v>
      </c>
      <c r="ZB16">
        <v>93.3</v>
      </c>
      <c r="ZC16">
        <v>195.1</v>
      </c>
      <c r="ZE16">
        <v>111.4</v>
      </c>
      <c r="ZF16">
        <v>102.2</v>
      </c>
      <c r="ZG16">
        <v>94.9</v>
      </c>
      <c r="ZK16">
        <v>91</v>
      </c>
      <c r="ZM16">
        <v>130.5</v>
      </c>
      <c r="ZN16">
        <v>85.7</v>
      </c>
      <c r="ZO16">
        <v>85.7</v>
      </c>
      <c r="ZP16">
        <v>80.8</v>
      </c>
      <c r="ZQ16">
        <v>83.9</v>
      </c>
      <c r="ZT16">
        <v>89.5</v>
      </c>
      <c r="ZW16">
        <v>77.099999999999994</v>
      </c>
      <c r="ZY16">
        <v>69.5</v>
      </c>
      <c r="AAC16">
        <v>51.7</v>
      </c>
      <c r="AAD16">
        <v>45.7</v>
      </c>
      <c r="AAE16">
        <v>83.8</v>
      </c>
      <c r="AAG16">
        <v>34</v>
      </c>
      <c r="AAH16">
        <v>98.2</v>
      </c>
      <c r="AAI16">
        <v>59.7</v>
      </c>
      <c r="AAJ16">
        <v>35.4</v>
      </c>
      <c r="AAK16">
        <v>108.4</v>
      </c>
      <c r="AAL16">
        <v>69.3</v>
      </c>
      <c r="AAM16">
        <v>87.2</v>
      </c>
      <c r="AAN16">
        <v>48.7</v>
      </c>
      <c r="AAO16">
        <v>30.1</v>
      </c>
      <c r="AAP16">
        <v>29.3</v>
      </c>
      <c r="AAR16">
        <v>38.6</v>
      </c>
      <c r="AAX16">
        <v>32.299999999999997</v>
      </c>
      <c r="ABB16">
        <v>59.7</v>
      </c>
      <c r="ABC16">
        <v>68.5</v>
      </c>
      <c r="ABD16">
        <v>60.4</v>
      </c>
      <c r="ABE16">
        <v>48.9</v>
      </c>
      <c r="ABF16">
        <v>69.3</v>
      </c>
      <c r="ABG16">
        <v>65.400000000000006</v>
      </c>
      <c r="ABH16">
        <v>69.5</v>
      </c>
      <c r="ABI16">
        <v>59</v>
      </c>
      <c r="ABJ16">
        <v>64.3</v>
      </c>
      <c r="ABK16">
        <v>70</v>
      </c>
      <c r="ABL16">
        <v>76.900000000000006</v>
      </c>
      <c r="ABM16">
        <v>68.900000000000006</v>
      </c>
      <c r="ABN16">
        <v>69.5</v>
      </c>
      <c r="ABO16">
        <v>50.9</v>
      </c>
    </row>
    <row r="17" spans="1:744">
      <c r="A17">
        <v>1980</v>
      </c>
      <c r="B17">
        <v>74.400000000000006</v>
      </c>
      <c r="C17">
        <v>68.2</v>
      </c>
      <c r="D17">
        <v>80.400000000000006</v>
      </c>
      <c r="E17">
        <v>98.1</v>
      </c>
      <c r="F17">
        <v>97.1</v>
      </c>
      <c r="G17">
        <v>99.4</v>
      </c>
      <c r="H17">
        <v>66.8</v>
      </c>
      <c r="I17">
        <v>70.3</v>
      </c>
      <c r="J17">
        <v>62.8</v>
      </c>
      <c r="L17">
        <v>65.599999999999994</v>
      </c>
      <c r="M17">
        <v>69.5</v>
      </c>
      <c r="N17">
        <v>55.3</v>
      </c>
      <c r="P17">
        <v>64.400000000000006</v>
      </c>
      <c r="R17">
        <v>77.8</v>
      </c>
      <c r="S17">
        <v>68.3</v>
      </c>
      <c r="T17">
        <v>83</v>
      </c>
      <c r="V17">
        <v>63.6</v>
      </c>
      <c r="W17">
        <v>70.099999999999994</v>
      </c>
      <c r="X17">
        <v>80.400000000000006</v>
      </c>
      <c r="Y17">
        <v>131.80000000000001</v>
      </c>
      <c r="Z17">
        <v>35.200000000000003</v>
      </c>
      <c r="AA17">
        <v>67.900000000000006</v>
      </c>
      <c r="AB17">
        <v>72.599999999999994</v>
      </c>
      <c r="AC17">
        <v>39.4</v>
      </c>
      <c r="AD17">
        <v>46.8</v>
      </c>
      <c r="AE17">
        <v>106.7</v>
      </c>
      <c r="AF17">
        <v>82</v>
      </c>
      <c r="AG17">
        <v>52.5</v>
      </c>
      <c r="AH17">
        <v>67.599999999999994</v>
      </c>
      <c r="AI17">
        <v>111.7</v>
      </c>
      <c r="AJ17">
        <v>49.1</v>
      </c>
      <c r="AK17">
        <v>45.5</v>
      </c>
      <c r="AL17">
        <v>78.3</v>
      </c>
      <c r="AM17">
        <v>60.1</v>
      </c>
      <c r="AN17">
        <v>70.099999999999994</v>
      </c>
      <c r="AO17">
        <v>68.7</v>
      </c>
      <c r="AP17">
        <v>41.9</v>
      </c>
      <c r="AQ17">
        <v>74.400000000000006</v>
      </c>
      <c r="AR17">
        <v>52.5</v>
      </c>
      <c r="AU17">
        <v>55.2</v>
      </c>
      <c r="AV17">
        <v>52.9</v>
      </c>
      <c r="AW17">
        <v>57.8</v>
      </c>
      <c r="AX17">
        <v>54.1</v>
      </c>
      <c r="AY17">
        <v>50.2</v>
      </c>
      <c r="AZ17">
        <v>65.900000000000006</v>
      </c>
      <c r="BD17">
        <v>68.900000000000006</v>
      </c>
      <c r="BE17">
        <v>65.099999999999994</v>
      </c>
      <c r="BF17">
        <v>53.7</v>
      </c>
      <c r="BG17">
        <v>88.7</v>
      </c>
      <c r="BH17">
        <v>62.7</v>
      </c>
      <c r="BJ17">
        <v>79</v>
      </c>
      <c r="BK17">
        <v>86.4</v>
      </c>
      <c r="BL17">
        <v>97.3</v>
      </c>
      <c r="BM17">
        <v>84.2</v>
      </c>
      <c r="BN17">
        <v>71.7</v>
      </c>
      <c r="BP17">
        <v>91.4</v>
      </c>
      <c r="BQ17">
        <v>85</v>
      </c>
      <c r="BR17">
        <v>86.2</v>
      </c>
      <c r="BS17">
        <v>102.4</v>
      </c>
      <c r="BT17">
        <v>79.599999999999994</v>
      </c>
      <c r="BU17">
        <v>55.1</v>
      </c>
      <c r="BW17">
        <v>69.3</v>
      </c>
      <c r="BX17">
        <v>61.6</v>
      </c>
      <c r="BZ17">
        <v>106</v>
      </c>
      <c r="CA17">
        <v>106</v>
      </c>
      <c r="CB17">
        <v>60</v>
      </c>
      <c r="CC17">
        <v>62.5</v>
      </c>
      <c r="CD17">
        <v>82.1</v>
      </c>
      <c r="CE17">
        <v>44.6</v>
      </c>
      <c r="CF17">
        <v>52.1</v>
      </c>
      <c r="CG17">
        <v>59.1</v>
      </c>
      <c r="CH17">
        <v>95.7</v>
      </c>
      <c r="CJ17">
        <v>91.9</v>
      </c>
      <c r="CL17">
        <v>55.2</v>
      </c>
      <c r="CM17">
        <v>50.5</v>
      </c>
      <c r="CN17">
        <v>28.8</v>
      </c>
      <c r="CO17">
        <v>82</v>
      </c>
      <c r="CP17">
        <v>50.7</v>
      </c>
      <c r="CQ17">
        <v>62.9</v>
      </c>
      <c r="CR17">
        <v>70.3</v>
      </c>
      <c r="CS17">
        <v>60.4</v>
      </c>
      <c r="CT17">
        <v>69.599999999999994</v>
      </c>
      <c r="CW17">
        <v>39</v>
      </c>
      <c r="CX17">
        <v>62.3</v>
      </c>
      <c r="CY17">
        <v>57.6</v>
      </c>
      <c r="CZ17">
        <v>52.8</v>
      </c>
      <c r="DA17">
        <v>50.2</v>
      </c>
      <c r="DB17">
        <v>49.3</v>
      </c>
      <c r="DC17">
        <v>82.7</v>
      </c>
      <c r="DG17">
        <v>56.9</v>
      </c>
      <c r="DH17">
        <v>49.3</v>
      </c>
      <c r="DI17">
        <v>53.1</v>
      </c>
      <c r="DJ17">
        <v>75.099999999999994</v>
      </c>
      <c r="DK17">
        <v>36.9</v>
      </c>
      <c r="DL17">
        <v>36</v>
      </c>
      <c r="DN17">
        <v>69.599999999999994</v>
      </c>
      <c r="DO17">
        <v>67.599999999999994</v>
      </c>
      <c r="DP17">
        <v>69.5</v>
      </c>
      <c r="DQ17">
        <v>68.900000000000006</v>
      </c>
      <c r="DR17">
        <v>51.9</v>
      </c>
      <c r="DS17">
        <v>57</v>
      </c>
      <c r="DT17">
        <v>36.4</v>
      </c>
      <c r="DU17">
        <v>54</v>
      </c>
      <c r="DX17">
        <v>49.9</v>
      </c>
      <c r="DY17">
        <v>88.9</v>
      </c>
      <c r="DZ17">
        <v>53.5</v>
      </c>
      <c r="EA17">
        <v>52.6</v>
      </c>
      <c r="EB17">
        <v>81.400000000000006</v>
      </c>
      <c r="EC17">
        <v>37.5</v>
      </c>
      <c r="ED17">
        <v>117.8</v>
      </c>
      <c r="EF17">
        <v>41.4</v>
      </c>
      <c r="EG17">
        <v>58.3</v>
      </c>
      <c r="EH17">
        <v>59</v>
      </c>
      <c r="EI17">
        <v>68.400000000000006</v>
      </c>
      <c r="EJ17">
        <v>41.8</v>
      </c>
      <c r="EK17">
        <v>42.5</v>
      </c>
      <c r="EM17">
        <v>51.2</v>
      </c>
      <c r="EN17">
        <v>72.2</v>
      </c>
      <c r="ER17">
        <v>76</v>
      </c>
      <c r="ET17">
        <v>95.6</v>
      </c>
      <c r="EU17">
        <v>124.1</v>
      </c>
      <c r="EV17">
        <v>139.6</v>
      </c>
      <c r="EW17">
        <v>82.2</v>
      </c>
      <c r="EX17">
        <v>92.3</v>
      </c>
      <c r="EY17">
        <v>50.6</v>
      </c>
      <c r="EZ17">
        <v>95.7</v>
      </c>
      <c r="FA17">
        <v>88.1</v>
      </c>
      <c r="FB17">
        <v>131</v>
      </c>
      <c r="FC17">
        <v>92.6</v>
      </c>
      <c r="FD17">
        <v>107.4</v>
      </c>
      <c r="FE17">
        <v>147.9</v>
      </c>
      <c r="FF17">
        <v>100.9</v>
      </c>
      <c r="FI17">
        <v>82.3</v>
      </c>
      <c r="FJ17">
        <v>61.7</v>
      </c>
      <c r="FK17">
        <v>91.8</v>
      </c>
      <c r="FQ17">
        <v>64.2</v>
      </c>
      <c r="FR17">
        <v>47.7</v>
      </c>
      <c r="FS17">
        <v>58.3</v>
      </c>
      <c r="FU17">
        <v>64.900000000000006</v>
      </c>
      <c r="FV17">
        <v>50.3</v>
      </c>
      <c r="FY17">
        <v>72.8</v>
      </c>
      <c r="GA17">
        <v>78.599999999999994</v>
      </c>
      <c r="GB17">
        <v>59.1</v>
      </c>
      <c r="GC17">
        <v>70.099999999999994</v>
      </c>
      <c r="GD17">
        <v>68</v>
      </c>
      <c r="GE17">
        <v>108.8</v>
      </c>
      <c r="GF17">
        <v>76.2</v>
      </c>
      <c r="GG17">
        <v>92.9</v>
      </c>
      <c r="GH17">
        <v>66.900000000000006</v>
      </c>
      <c r="GI17">
        <v>63.5</v>
      </c>
      <c r="GU17">
        <v>62.3</v>
      </c>
      <c r="GV17">
        <v>42</v>
      </c>
      <c r="GW17">
        <v>47.5</v>
      </c>
      <c r="GX17">
        <v>59.6</v>
      </c>
      <c r="GY17">
        <v>66.5</v>
      </c>
      <c r="HD17">
        <v>75.7</v>
      </c>
      <c r="HO17">
        <v>96.7</v>
      </c>
      <c r="HP17">
        <v>90.9</v>
      </c>
      <c r="HQ17">
        <v>68.8</v>
      </c>
      <c r="HR17">
        <v>117.5</v>
      </c>
      <c r="HT17">
        <v>115.9</v>
      </c>
      <c r="HU17">
        <v>108.8</v>
      </c>
      <c r="HY17">
        <v>93.9</v>
      </c>
      <c r="IA17">
        <v>100.5</v>
      </c>
      <c r="IB17">
        <v>81.3</v>
      </c>
      <c r="IC17">
        <v>116.7</v>
      </c>
      <c r="IE17">
        <v>68.400000000000006</v>
      </c>
      <c r="IJ17">
        <v>79.599999999999994</v>
      </c>
      <c r="IK17">
        <v>88.9</v>
      </c>
      <c r="IL17">
        <v>56.9</v>
      </c>
      <c r="IM17">
        <v>75.3</v>
      </c>
      <c r="IO17">
        <v>96.2</v>
      </c>
      <c r="IP17">
        <v>108.3</v>
      </c>
      <c r="IT17">
        <v>61.3</v>
      </c>
      <c r="IU17">
        <v>61.1</v>
      </c>
      <c r="IV17">
        <v>49.7</v>
      </c>
      <c r="IX17">
        <v>53.1</v>
      </c>
      <c r="IY17">
        <v>57.2</v>
      </c>
      <c r="JA17">
        <v>56.9</v>
      </c>
      <c r="JB17">
        <v>60.2</v>
      </c>
      <c r="JC17">
        <v>57.6</v>
      </c>
      <c r="JE17">
        <v>67.5</v>
      </c>
      <c r="JI17">
        <v>66.2</v>
      </c>
      <c r="JL17">
        <v>62.8</v>
      </c>
      <c r="JO17">
        <v>61.9</v>
      </c>
      <c r="JQ17">
        <v>58</v>
      </c>
      <c r="JS17">
        <v>65.8</v>
      </c>
      <c r="JT17">
        <v>65</v>
      </c>
      <c r="JU17">
        <v>68</v>
      </c>
      <c r="JV17">
        <v>65.099999999999994</v>
      </c>
      <c r="JW17">
        <v>65.7</v>
      </c>
      <c r="JX17">
        <v>71.2</v>
      </c>
      <c r="JY17">
        <v>71.2</v>
      </c>
      <c r="JZ17">
        <v>54.2</v>
      </c>
      <c r="KA17">
        <v>57.1</v>
      </c>
      <c r="KB17">
        <v>50.8</v>
      </c>
      <c r="KC17">
        <v>65.400000000000006</v>
      </c>
      <c r="KD17">
        <v>65.400000000000006</v>
      </c>
      <c r="KE17">
        <v>60.4</v>
      </c>
      <c r="KF17">
        <v>94.6</v>
      </c>
      <c r="KG17">
        <v>84.7</v>
      </c>
      <c r="KL17">
        <v>54.7</v>
      </c>
      <c r="KM17">
        <v>54</v>
      </c>
      <c r="KN17">
        <v>53.8</v>
      </c>
      <c r="KO17">
        <v>33.5</v>
      </c>
      <c r="KP17">
        <v>51.4</v>
      </c>
      <c r="KS17">
        <v>45.2</v>
      </c>
      <c r="KT17">
        <v>52.2</v>
      </c>
      <c r="KU17">
        <v>53.9</v>
      </c>
      <c r="KX17">
        <v>73.7</v>
      </c>
      <c r="KY17">
        <v>84.6</v>
      </c>
      <c r="KZ17">
        <v>111.2</v>
      </c>
      <c r="LA17">
        <v>111.2</v>
      </c>
      <c r="LB17">
        <v>80.8</v>
      </c>
      <c r="LC17">
        <v>100.4</v>
      </c>
      <c r="LD17">
        <v>60.9</v>
      </c>
      <c r="LE17">
        <v>84.8</v>
      </c>
      <c r="LF17">
        <v>87.5</v>
      </c>
      <c r="LH17">
        <v>46.7</v>
      </c>
      <c r="LJ17">
        <v>143.5</v>
      </c>
      <c r="LK17">
        <v>373</v>
      </c>
      <c r="LL17">
        <v>920.2</v>
      </c>
      <c r="LM17">
        <v>1776.2</v>
      </c>
      <c r="LN17">
        <v>419.3</v>
      </c>
      <c r="LO17">
        <v>171.8</v>
      </c>
      <c r="LP17">
        <v>2842.8</v>
      </c>
      <c r="LQ17">
        <v>886</v>
      </c>
      <c r="LR17">
        <v>1309.5</v>
      </c>
      <c r="LT17">
        <v>329.5</v>
      </c>
      <c r="LV17">
        <v>162.69999999999999</v>
      </c>
      <c r="LX17">
        <v>83</v>
      </c>
      <c r="LY17">
        <v>72.2</v>
      </c>
      <c r="MB17">
        <v>136.5</v>
      </c>
      <c r="MD17">
        <v>135.30000000000001</v>
      </c>
      <c r="ME17">
        <v>94.2</v>
      </c>
      <c r="MG17">
        <v>112.9</v>
      </c>
      <c r="MH17">
        <v>88.3</v>
      </c>
      <c r="MI17">
        <v>132.9</v>
      </c>
      <c r="MJ17">
        <v>79.3</v>
      </c>
      <c r="MK17">
        <v>106.9</v>
      </c>
      <c r="MM17">
        <v>68.7</v>
      </c>
      <c r="MN17">
        <v>51.4</v>
      </c>
      <c r="MO17">
        <v>46.8</v>
      </c>
      <c r="MP17">
        <v>52.2</v>
      </c>
      <c r="MQ17">
        <v>71.599999999999994</v>
      </c>
      <c r="MS17">
        <v>71.2</v>
      </c>
      <c r="MU17">
        <v>62.3</v>
      </c>
      <c r="MV17">
        <v>83.4</v>
      </c>
      <c r="MW17">
        <v>84.4</v>
      </c>
      <c r="MX17">
        <v>70</v>
      </c>
      <c r="NB17">
        <v>131</v>
      </c>
      <c r="NC17">
        <v>120.9</v>
      </c>
      <c r="ND17">
        <v>140.6</v>
      </c>
      <c r="NE17">
        <v>112.8</v>
      </c>
      <c r="NF17">
        <v>174</v>
      </c>
      <c r="NG17">
        <v>165.7</v>
      </c>
      <c r="NH17">
        <v>188.4</v>
      </c>
      <c r="NI17">
        <v>104.7</v>
      </c>
      <c r="NJ17">
        <v>117.4</v>
      </c>
      <c r="NL17">
        <v>83.1</v>
      </c>
      <c r="NQ17">
        <v>54.1</v>
      </c>
      <c r="NR17">
        <v>52.6</v>
      </c>
      <c r="NS17">
        <v>52.6</v>
      </c>
      <c r="NT17">
        <v>51.4</v>
      </c>
      <c r="NY17">
        <v>67.900000000000006</v>
      </c>
      <c r="NZ17">
        <v>67.7</v>
      </c>
      <c r="OA17">
        <v>71.400000000000006</v>
      </c>
      <c r="OB17">
        <v>78.2</v>
      </c>
      <c r="OC17">
        <v>57.9</v>
      </c>
      <c r="OD17">
        <v>67.400000000000006</v>
      </c>
      <c r="OE17">
        <v>69.900000000000006</v>
      </c>
      <c r="OF17">
        <v>68.2</v>
      </c>
      <c r="OH17">
        <v>76.7</v>
      </c>
      <c r="OJ17">
        <v>59.4</v>
      </c>
      <c r="OK17">
        <v>62.1</v>
      </c>
      <c r="OL17">
        <v>58.4</v>
      </c>
      <c r="OM17">
        <v>56.3</v>
      </c>
      <c r="ON17">
        <v>77.8</v>
      </c>
      <c r="OO17">
        <v>56.3</v>
      </c>
      <c r="OP17">
        <v>55.1</v>
      </c>
      <c r="OS17">
        <v>50.1</v>
      </c>
      <c r="OU17">
        <v>55.2</v>
      </c>
      <c r="OW17">
        <v>56.3</v>
      </c>
      <c r="OY17">
        <v>55</v>
      </c>
      <c r="OZ17">
        <v>47.7</v>
      </c>
      <c r="PB17">
        <v>50.2</v>
      </c>
      <c r="PD17">
        <v>144.19999999999999</v>
      </c>
      <c r="PG17">
        <v>73.099999999999994</v>
      </c>
      <c r="PH17">
        <v>67.2</v>
      </c>
      <c r="PI17">
        <v>68.7</v>
      </c>
      <c r="PJ17">
        <v>70.900000000000006</v>
      </c>
      <c r="PK17">
        <v>82.1</v>
      </c>
      <c r="PL17">
        <v>74.599999999999994</v>
      </c>
      <c r="PN17">
        <v>71.8</v>
      </c>
      <c r="PO17">
        <v>66.400000000000006</v>
      </c>
      <c r="PP17">
        <v>64.3</v>
      </c>
      <c r="PT17">
        <v>68.599999999999994</v>
      </c>
      <c r="PU17">
        <v>71.599999999999994</v>
      </c>
      <c r="PV17">
        <v>74.3</v>
      </c>
      <c r="PY17">
        <v>62.3</v>
      </c>
      <c r="PZ17">
        <v>74.7</v>
      </c>
      <c r="QA17">
        <v>78</v>
      </c>
      <c r="QB17">
        <v>66.2</v>
      </c>
      <c r="QC17">
        <v>83.7</v>
      </c>
      <c r="QD17">
        <v>50.1</v>
      </c>
      <c r="QE17">
        <v>53.2</v>
      </c>
      <c r="QF17">
        <v>60.1</v>
      </c>
      <c r="QG17">
        <v>49.9</v>
      </c>
      <c r="QH17">
        <v>72</v>
      </c>
      <c r="QI17">
        <v>70.7</v>
      </c>
      <c r="QJ17">
        <v>69.099999999999994</v>
      </c>
      <c r="QK17">
        <v>69.8</v>
      </c>
      <c r="QL17">
        <v>72.2</v>
      </c>
      <c r="QM17">
        <v>69.3</v>
      </c>
      <c r="QN17">
        <v>69.3</v>
      </c>
      <c r="QO17">
        <v>62.9</v>
      </c>
      <c r="QQ17">
        <v>77.2</v>
      </c>
      <c r="QR17">
        <v>63.6</v>
      </c>
      <c r="QS17">
        <v>113.1</v>
      </c>
      <c r="QU17">
        <v>68.7</v>
      </c>
      <c r="QV17">
        <v>101</v>
      </c>
      <c r="QW17">
        <v>82.3</v>
      </c>
      <c r="QY17">
        <v>61.7</v>
      </c>
      <c r="QZ17">
        <v>63.6</v>
      </c>
      <c r="RA17">
        <v>61.4</v>
      </c>
      <c r="RB17">
        <v>54.2</v>
      </c>
      <c r="RD17">
        <v>65.7</v>
      </c>
      <c r="RE17">
        <v>80.8</v>
      </c>
      <c r="RF17">
        <v>58.7</v>
      </c>
      <c r="RG17">
        <v>72.2</v>
      </c>
      <c r="RH17">
        <v>112.5</v>
      </c>
      <c r="RI17">
        <v>78.400000000000006</v>
      </c>
      <c r="RJ17">
        <v>132.9</v>
      </c>
      <c r="RK17">
        <v>82.9</v>
      </c>
      <c r="RL17">
        <v>74.900000000000006</v>
      </c>
      <c r="RM17">
        <v>67.3</v>
      </c>
      <c r="RS17">
        <v>113.2</v>
      </c>
      <c r="RV17">
        <v>130.1</v>
      </c>
      <c r="SA17">
        <v>86.1</v>
      </c>
      <c r="SF17">
        <v>47.2</v>
      </c>
      <c r="SG17">
        <v>52</v>
      </c>
      <c r="SK17">
        <v>90.1</v>
      </c>
      <c r="SL17">
        <v>55.8</v>
      </c>
      <c r="SM17">
        <v>65.2</v>
      </c>
      <c r="SN17">
        <v>63.3</v>
      </c>
      <c r="SO17">
        <v>73</v>
      </c>
      <c r="SP17">
        <v>73.8</v>
      </c>
      <c r="SQ17">
        <v>48.3</v>
      </c>
      <c r="SR17">
        <v>64.400000000000006</v>
      </c>
      <c r="SS17">
        <v>48.5</v>
      </c>
      <c r="ST17">
        <v>50.1</v>
      </c>
      <c r="SU17">
        <v>46.7</v>
      </c>
      <c r="SV17">
        <v>46.1</v>
      </c>
      <c r="SX17">
        <v>48.8</v>
      </c>
      <c r="SZ17">
        <v>47.9</v>
      </c>
      <c r="TA17">
        <v>83.8</v>
      </c>
      <c r="TB17">
        <v>49.6</v>
      </c>
      <c r="TE17">
        <v>92.7</v>
      </c>
      <c r="TF17">
        <v>90.1</v>
      </c>
      <c r="TG17">
        <v>97.6</v>
      </c>
      <c r="TH17">
        <v>86.6</v>
      </c>
      <c r="TK17">
        <v>87.9</v>
      </c>
      <c r="TL17">
        <v>84.9</v>
      </c>
      <c r="TN17">
        <v>94.3</v>
      </c>
      <c r="TO17">
        <v>109.1</v>
      </c>
      <c r="TP17">
        <v>91.2</v>
      </c>
      <c r="TT17">
        <v>92.1</v>
      </c>
      <c r="TU17">
        <v>43.3</v>
      </c>
      <c r="TV17">
        <v>67</v>
      </c>
      <c r="TY17">
        <v>60.5</v>
      </c>
      <c r="UC17">
        <v>125.1</v>
      </c>
      <c r="UE17">
        <v>170</v>
      </c>
      <c r="UF17">
        <v>34.4</v>
      </c>
      <c r="UG17">
        <v>61.5</v>
      </c>
      <c r="UH17">
        <v>156.9</v>
      </c>
      <c r="UL17">
        <v>52.9</v>
      </c>
      <c r="UM17">
        <v>57</v>
      </c>
      <c r="UN17">
        <v>47.8</v>
      </c>
      <c r="UO17">
        <v>53.7</v>
      </c>
      <c r="UP17">
        <v>48.1</v>
      </c>
      <c r="UQ17">
        <v>174.5</v>
      </c>
      <c r="UR17">
        <v>57.6</v>
      </c>
      <c r="US17">
        <v>28</v>
      </c>
      <c r="UT17">
        <v>36.200000000000003</v>
      </c>
      <c r="UW17">
        <v>55</v>
      </c>
      <c r="UY17">
        <v>52.2</v>
      </c>
      <c r="UZ17">
        <v>43.9</v>
      </c>
      <c r="VB17">
        <v>45.9</v>
      </c>
      <c r="VD17">
        <v>88.1</v>
      </c>
      <c r="VE17">
        <v>2448.9</v>
      </c>
      <c r="VL17">
        <v>4222</v>
      </c>
      <c r="VM17">
        <v>59.4</v>
      </c>
      <c r="VN17">
        <v>71.599999999999994</v>
      </c>
      <c r="VO17">
        <v>82.7</v>
      </c>
      <c r="VP17">
        <v>66</v>
      </c>
      <c r="VQ17">
        <v>73.7</v>
      </c>
      <c r="VR17">
        <v>55.5</v>
      </c>
      <c r="VT17">
        <v>88.1</v>
      </c>
      <c r="VU17">
        <v>148.30000000000001</v>
      </c>
      <c r="VV17">
        <v>49.6</v>
      </c>
      <c r="VW17">
        <v>83.1</v>
      </c>
      <c r="VY17">
        <v>104.5</v>
      </c>
      <c r="WB17">
        <v>135.69999999999999</v>
      </c>
      <c r="WE17">
        <v>88</v>
      </c>
      <c r="WF17">
        <v>68.7</v>
      </c>
      <c r="WG17">
        <v>85.9</v>
      </c>
      <c r="WH17">
        <v>57.4</v>
      </c>
      <c r="WI17">
        <v>57</v>
      </c>
      <c r="WJ17">
        <v>60.7</v>
      </c>
      <c r="WL17">
        <v>92.6</v>
      </c>
      <c r="WX17">
        <v>53.3</v>
      </c>
      <c r="WY17">
        <v>56.9</v>
      </c>
      <c r="XB17">
        <v>55.4</v>
      </c>
      <c r="XD17">
        <v>45.9</v>
      </c>
      <c r="XE17">
        <v>44.1</v>
      </c>
      <c r="XF17">
        <v>41.3</v>
      </c>
      <c r="XG17">
        <v>43</v>
      </c>
      <c r="XH17">
        <v>61.2</v>
      </c>
      <c r="XI17">
        <v>66.900000000000006</v>
      </c>
      <c r="XJ17">
        <v>66.900000000000006</v>
      </c>
      <c r="XM17">
        <v>48.7</v>
      </c>
      <c r="XR17">
        <v>53.7</v>
      </c>
      <c r="XT17">
        <v>47.9</v>
      </c>
      <c r="XU17">
        <v>70</v>
      </c>
      <c r="XV17">
        <v>64.099999999999994</v>
      </c>
      <c r="XW17">
        <v>66.3</v>
      </c>
      <c r="XZ17">
        <v>65.2</v>
      </c>
      <c r="YA17">
        <v>76.2</v>
      </c>
      <c r="YD17">
        <v>36.5</v>
      </c>
      <c r="YG17">
        <v>56.9</v>
      </c>
      <c r="YM17">
        <v>141</v>
      </c>
      <c r="YT17">
        <v>67</v>
      </c>
      <c r="YU17">
        <v>62.6</v>
      </c>
      <c r="YW17">
        <v>61.1</v>
      </c>
      <c r="YX17">
        <v>67.099999999999994</v>
      </c>
      <c r="YY17">
        <v>59</v>
      </c>
      <c r="ZB17">
        <v>94.2</v>
      </c>
      <c r="ZC17">
        <v>206.4</v>
      </c>
      <c r="ZE17">
        <v>115.8</v>
      </c>
      <c r="ZF17">
        <v>105.6</v>
      </c>
      <c r="ZG17">
        <v>102.6</v>
      </c>
      <c r="ZK17">
        <v>93.6</v>
      </c>
      <c r="ZM17">
        <v>130.5</v>
      </c>
      <c r="ZN17">
        <v>85.9</v>
      </c>
      <c r="ZO17">
        <v>85.9</v>
      </c>
      <c r="ZP17">
        <v>80.8</v>
      </c>
      <c r="ZQ17">
        <v>83.9</v>
      </c>
      <c r="ZT17">
        <v>89.6</v>
      </c>
      <c r="ZU17">
        <v>79.8</v>
      </c>
      <c r="ZW17">
        <v>77.099999999999994</v>
      </c>
      <c r="ZY17">
        <v>70</v>
      </c>
      <c r="AAC17">
        <v>62.1</v>
      </c>
      <c r="AAD17">
        <v>50.8</v>
      </c>
      <c r="AAE17">
        <v>94</v>
      </c>
      <c r="AAG17">
        <v>37.299999999999997</v>
      </c>
      <c r="AAH17">
        <v>104.8</v>
      </c>
      <c r="AAI17">
        <v>83.3</v>
      </c>
      <c r="AAJ17">
        <v>64.3</v>
      </c>
      <c r="AAK17">
        <v>108.6</v>
      </c>
      <c r="AAL17">
        <v>72.400000000000006</v>
      </c>
      <c r="AAM17">
        <v>91</v>
      </c>
      <c r="AAN17">
        <v>50.9</v>
      </c>
      <c r="AAO17">
        <v>36</v>
      </c>
      <c r="AAP17">
        <v>35.1</v>
      </c>
      <c r="AAR17">
        <v>39.1</v>
      </c>
      <c r="AAX17">
        <v>33.799999999999997</v>
      </c>
      <c r="ABB17">
        <v>62.3</v>
      </c>
      <c r="ABC17">
        <v>70.099999999999994</v>
      </c>
      <c r="ABD17">
        <v>62.5</v>
      </c>
      <c r="ABE17">
        <v>52.6</v>
      </c>
      <c r="ABF17">
        <v>74.7</v>
      </c>
      <c r="ABG17">
        <v>69.400000000000006</v>
      </c>
      <c r="ABH17">
        <v>75</v>
      </c>
      <c r="ABI17">
        <v>63.6</v>
      </c>
      <c r="ABJ17">
        <v>67.400000000000006</v>
      </c>
      <c r="ABK17">
        <v>75.7</v>
      </c>
      <c r="ABL17">
        <v>100.3</v>
      </c>
      <c r="ABM17">
        <v>73.3</v>
      </c>
      <c r="ABN17">
        <v>74.2</v>
      </c>
      <c r="ABO17">
        <v>55.1</v>
      </c>
      <c r="ABP17">
        <v>84.3</v>
      </c>
    </row>
    <row r="18" spans="1:744">
      <c r="A18">
        <v>1981</v>
      </c>
      <c r="B18">
        <v>77.3</v>
      </c>
      <c r="C18">
        <v>71.3</v>
      </c>
      <c r="D18">
        <v>84.2</v>
      </c>
      <c r="E18">
        <v>102.2</v>
      </c>
      <c r="F18">
        <v>101.8</v>
      </c>
      <c r="G18">
        <v>103.5</v>
      </c>
      <c r="H18">
        <v>71.7</v>
      </c>
      <c r="I18">
        <v>75</v>
      </c>
      <c r="J18">
        <v>68.2</v>
      </c>
      <c r="L18">
        <v>67.900000000000006</v>
      </c>
      <c r="M18">
        <v>71.400000000000006</v>
      </c>
      <c r="N18">
        <v>58.9</v>
      </c>
      <c r="P18">
        <v>65.7</v>
      </c>
      <c r="R18">
        <v>84.5</v>
      </c>
      <c r="S18">
        <v>71.7</v>
      </c>
      <c r="T18">
        <v>91.8</v>
      </c>
      <c r="V18">
        <v>66.599999999999994</v>
      </c>
      <c r="W18">
        <v>73.599999999999994</v>
      </c>
      <c r="X18">
        <v>84.7</v>
      </c>
      <c r="Y18">
        <v>143.80000000000001</v>
      </c>
      <c r="Z18">
        <v>38.6</v>
      </c>
      <c r="AA18">
        <v>79.599999999999994</v>
      </c>
      <c r="AB18">
        <v>76</v>
      </c>
      <c r="AC18">
        <v>45.3</v>
      </c>
      <c r="AD18">
        <v>62.9</v>
      </c>
      <c r="AE18">
        <v>107</v>
      </c>
      <c r="AF18">
        <v>85.4</v>
      </c>
      <c r="AG18">
        <v>55.7</v>
      </c>
      <c r="AH18">
        <v>58.5</v>
      </c>
      <c r="AI18">
        <v>110.8</v>
      </c>
      <c r="AJ18">
        <v>49.3</v>
      </c>
      <c r="AK18">
        <v>48.1</v>
      </c>
      <c r="AL18">
        <v>80.400000000000006</v>
      </c>
      <c r="AM18">
        <v>63.1</v>
      </c>
      <c r="AN18">
        <v>73.5</v>
      </c>
      <c r="AO18">
        <v>71</v>
      </c>
      <c r="AP18">
        <v>45.8</v>
      </c>
      <c r="AQ18">
        <v>86.7</v>
      </c>
      <c r="AR18">
        <v>53</v>
      </c>
      <c r="AU18">
        <v>57.7</v>
      </c>
      <c r="AV18">
        <v>55.8</v>
      </c>
      <c r="AW18">
        <v>60.5</v>
      </c>
      <c r="AX18">
        <v>55.8</v>
      </c>
      <c r="AY18">
        <v>52.6</v>
      </c>
      <c r="AZ18">
        <v>69.3</v>
      </c>
      <c r="BD18">
        <v>71.099999999999994</v>
      </c>
      <c r="BE18">
        <v>67.099999999999994</v>
      </c>
      <c r="BF18">
        <v>54.6</v>
      </c>
      <c r="BG18">
        <v>87.8</v>
      </c>
      <c r="BH18">
        <v>65.3</v>
      </c>
      <c r="BJ18">
        <v>82.3</v>
      </c>
      <c r="BK18">
        <v>89.4</v>
      </c>
      <c r="BL18">
        <v>99.1</v>
      </c>
      <c r="BM18">
        <v>87.7</v>
      </c>
      <c r="BN18">
        <v>74.400000000000006</v>
      </c>
      <c r="BP18">
        <v>90.9</v>
      </c>
      <c r="BQ18">
        <v>85.3</v>
      </c>
      <c r="BR18">
        <v>86.2</v>
      </c>
      <c r="BS18">
        <v>102</v>
      </c>
      <c r="BT18">
        <v>81.400000000000006</v>
      </c>
      <c r="BU18">
        <v>57.9</v>
      </c>
      <c r="BW18">
        <v>69.599999999999994</v>
      </c>
      <c r="BX18">
        <v>62.3</v>
      </c>
      <c r="BZ18">
        <v>103.4</v>
      </c>
      <c r="CA18">
        <v>103.4</v>
      </c>
      <c r="CB18">
        <v>61.4</v>
      </c>
      <c r="CC18">
        <v>63.2</v>
      </c>
      <c r="CD18">
        <v>63.5</v>
      </c>
      <c r="CE18">
        <v>37.200000000000003</v>
      </c>
      <c r="CF18">
        <v>42.5</v>
      </c>
      <c r="CG18">
        <v>40.299999999999997</v>
      </c>
      <c r="CH18">
        <v>77.900000000000006</v>
      </c>
      <c r="CJ18">
        <v>90.7</v>
      </c>
      <c r="CL18">
        <v>54.1</v>
      </c>
      <c r="CM18">
        <v>61</v>
      </c>
      <c r="CN18">
        <v>56.3</v>
      </c>
      <c r="CO18">
        <v>72.400000000000006</v>
      </c>
      <c r="CP18">
        <v>59.5</v>
      </c>
      <c r="CQ18">
        <v>55.4</v>
      </c>
      <c r="CR18">
        <v>103.6</v>
      </c>
      <c r="CS18">
        <v>61.1</v>
      </c>
      <c r="CT18">
        <v>108.9</v>
      </c>
      <c r="CW18">
        <v>38.299999999999997</v>
      </c>
      <c r="CX18">
        <v>55.6</v>
      </c>
      <c r="CY18">
        <v>55.4</v>
      </c>
      <c r="CZ18">
        <v>50.6</v>
      </c>
      <c r="DA18">
        <v>56.3</v>
      </c>
      <c r="DB18">
        <v>45.8</v>
      </c>
      <c r="DC18">
        <v>88.2</v>
      </c>
      <c r="DG18">
        <v>59.1</v>
      </c>
      <c r="DH18">
        <v>50.7</v>
      </c>
      <c r="DI18">
        <v>51.7</v>
      </c>
      <c r="DJ18">
        <v>73.900000000000006</v>
      </c>
      <c r="DK18">
        <v>38.4</v>
      </c>
      <c r="DL18">
        <v>40.799999999999997</v>
      </c>
      <c r="DN18">
        <v>71.599999999999994</v>
      </c>
      <c r="DO18">
        <v>69.099999999999994</v>
      </c>
      <c r="DP18">
        <v>71.5</v>
      </c>
      <c r="DQ18">
        <v>72.599999999999994</v>
      </c>
      <c r="DR18">
        <v>54.8</v>
      </c>
      <c r="DS18">
        <v>57.4</v>
      </c>
      <c r="DT18">
        <v>40</v>
      </c>
      <c r="DU18">
        <v>55.4</v>
      </c>
      <c r="DX18">
        <v>56.9</v>
      </c>
      <c r="DY18">
        <v>97.6</v>
      </c>
      <c r="DZ18">
        <v>58.8</v>
      </c>
      <c r="EA18">
        <v>58</v>
      </c>
      <c r="EB18">
        <v>83.1</v>
      </c>
      <c r="EC18">
        <v>39.700000000000003</v>
      </c>
      <c r="ED18">
        <v>145.1</v>
      </c>
      <c r="EF18">
        <v>42.8</v>
      </c>
      <c r="EG18">
        <v>63.2</v>
      </c>
      <c r="EH18">
        <v>59.8</v>
      </c>
      <c r="EI18">
        <v>69.400000000000006</v>
      </c>
      <c r="EJ18">
        <v>47</v>
      </c>
      <c r="EK18">
        <v>56.1</v>
      </c>
      <c r="EM18">
        <v>55.5</v>
      </c>
      <c r="EN18">
        <v>82</v>
      </c>
      <c r="ER18">
        <v>76.400000000000006</v>
      </c>
      <c r="ET18">
        <v>98.4</v>
      </c>
      <c r="EU18">
        <v>124.1</v>
      </c>
      <c r="EV18">
        <v>138.80000000000001</v>
      </c>
      <c r="EW18">
        <v>82.8</v>
      </c>
      <c r="EX18">
        <v>95.5</v>
      </c>
      <c r="EY18">
        <v>62.1</v>
      </c>
      <c r="EZ18">
        <v>96.8</v>
      </c>
      <c r="FA18">
        <v>93.4</v>
      </c>
      <c r="FB18">
        <v>133.5</v>
      </c>
      <c r="FC18">
        <v>95</v>
      </c>
      <c r="FD18">
        <v>109.2</v>
      </c>
      <c r="FE18">
        <v>150.9</v>
      </c>
      <c r="FF18">
        <v>103.9</v>
      </c>
      <c r="FI18">
        <v>87.5</v>
      </c>
      <c r="FJ18">
        <v>64.5</v>
      </c>
      <c r="FK18">
        <v>91.4</v>
      </c>
      <c r="FQ18">
        <v>67.599999999999994</v>
      </c>
      <c r="FR18">
        <v>50.3</v>
      </c>
      <c r="FS18">
        <v>62.2</v>
      </c>
      <c r="FU18">
        <v>68.7</v>
      </c>
      <c r="FV18">
        <v>52</v>
      </c>
      <c r="FY18">
        <v>77.8</v>
      </c>
      <c r="GA18">
        <v>81.900000000000006</v>
      </c>
      <c r="GB18">
        <v>60.6</v>
      </c>
      <c r="GC18">
        <v>73.2</v>
      </c>
      <c r="GD18">
        <v>74.2</v>
      </c>
      <c r="GE18">
        <v>115.4</v>
      </c>
      <c r="GF18">
        <v>78.5</v>
      </c>
      <c r="GG18">
        <v>102.9</v>
      </c>
      <c r="GH18">
        <v>72.7</v>
      </c>
      <c r="GI18">
        <v>66.099999999999994</v>
      </c>
      <c r="GU18">
        <v>64.900000000000006</v>
      </c>
      <c r="GV18">
        <v>41.4</v>
      </c>
      <c r="GW18">
        <v>51</v>
      </c>
      <c r="GX18">
        <v>63.2</v>
      </c>
      <c r="GY18">
        <v>70.599999999999994</v>
      </c>
      <c r="HD18">
        <v>78.900000000000006</v>
      </c>
      <c r="HO18">
        <v>101.2</v>
      </c>
      <c r="HP18">
        <v>94.7</v>
      </c>
      <c r="HQ18">
        <v>72.099999999999994</v>
      </c>
      <c r="HR18">
        <v>119.3</v>
      </c>
      <c r="HT18">
        <v>111.8</v>
      </c>
      <c r="HU18">
        <v>104.9</v>
      </c>
      <c r="HY18">
        <v>100.9</v>
      </c>
      <c r="IA18">
        <v>112.5</v>
      </c>
      <c r="IB18">
        <v>82.6</v>
      </c>
      <c r="IC18">
        <v>121.5</v>
      </c>
      <c r="IE18">
        <v>68.400000000000006</v>
      </c>
      <c r="IJ18">
        <v>85.5</v>
      </c>
      <c r="IK18">
        <v>90.4</v>
      </c>
      <c r="IL18">
        <v>61.2</v>
      </c>
      <c r="IM18">
        <v>82.9</v>
      </c>
      <c r="IO18">
        <v>104.9</v>
      </c>
      <c r="IP18">
        <v>110.3</v>
      </c>
      <c r="IT18">
        <v>64.099999999999994</v>
      </c>
      <c r="IU18">
        <v>63.9</v>
      </c>
      <c r="IV18">
        <v>52.4</v>
      </c>
      <c r="IX18">
        <v>55.5</v>
      </c>
      <c r="IY18">
        <v>59.5</v>
      </c>
      <c r="JA18">
        <v>59</v>
      </c>
      <c r="JB18">
        <v>62.9</v>
      </c>
      <c r="JC18">
        <v>60</v>
      </c>
      <c r="JE18">
        <v>69.5</v>
      </c>
      <c r="JI18">
        <v>68.3</v>
      </c>
      <c r="JL18">
        <v>64.8</v>
      </c>
      <c r="JO18">
        <v>63.9</v>
      </c>
      <c r="JQ18">
        <v>62.9</v>
      </c>
      <c r="JS18">
        <v>69.099999999999994</v>
      </c>
      <c r="JT18">
        <v>68.5</v>
      </c>
      <c r="JU18">
        <v>70.599999999999994</v>
      </c>
      <c r="JV18">
        <v>67.8</v>
      </c>
      <c r="JW18">
        <v>68.8</v>
      </c>
      <c r="JX18">
        <v>74.2</v>
      </c>
      <c r="JY18">
        <v>74.2</v>
      </c>
      <c r="JZ18">
        <v>57.4</v>
      </c>
      <c r="KA18">
        <v>60.5</v>
      </c>
      <c r="KB18">
        <v>53.9</v>
      </c>
      <c r="KC18">
        <v>68.5</v>
      </c>
      <c r="KD18">
        <v>68.5</v>
      </c>
      <c r="KE18">
        <v>61.2</v>
      </c>
      <c r="KF18">
        <v>96.8</v>
      </c>
      <c r="KG18">
        <v>87.4</v>
      </c>
      <c r="KL18">
        <v>55.3</v>
      </c>
      <c r="KM18">
        <v>54.6</v>
      </c>
      <c r="KN18">
        <v>55</v>
      </c>
      <c r="KO18">
        <v>35.299999999999997</v>
      </c>
      <c r="KP18">
        <v>52.5</v>
      </c>
      <c r="KS18">
        <v>48.2</v>
      </c>
      <c r="KT18">
        <v>54.6</v>
      </c>
      <c r="KU18">
        <v>56.2</v>
      </c>
      <c r="KX18">
        <v>69.900000000000006</v>
      </c>
      <c r="KY18">
        <v>87.4</v>
      </c>
      <c r="KZ18">
        <v>111.9</v>
      </c>
      <c r="LA18">
        <v>111.9</v>
      </c>
      <c r="LB18">
        <v>81.900000000000006</v>
      </c>
      <c r="LC18">
        <v>101.9</v>
      </c>
      <c r="LD18">
        <v>61.6</v>
      </c>
      <c r="LE18">
        <v>91.8</v>
      </c>
      <c r="LF18">
        <v>94.8</v>
      </c>
      <c r="LH18">
        <v>52.7</v>
      </c>
      <c r="LJ18">
        <v>147.9</v>
      </c>
      <c r="LK18">
        <v>383.6</v>
      </c>
      <c r="LL18">
        <v>948.3</v>
      </c>
      <c r="LM18">
        <v>1847.4</v>
      </c>
      <c r="LN18">
        <v>436</v>
      </c>
      <c r="LO18">
        <v>174.1</v>
      </c>
      <c r="LP18">
        <v>3010</v>
      </c>
      <c r="LQ18">
        <v>904.5</v>
      </c>
      <c r="LR18">
        <v>1285.4000000000001</v>
      </c>
      <c r="LT18">
        <v>335.2</v>
      </c>
      <c r="LV18">
        <v>170.3</v>
      </c>
      <c r="LX18">
        <v>85.5</v>
      </c>
      <c r="LY18">
        <v>74.2</v>
      </c>
      <c r="MB18">
        <v>139.5</v>
      </c>
      <c r="MD18">
        <v>139.80000000000001</v>
      </c>
      <c r="ME18">
        <v>96.2</v>
      </c>
      <c r="MG18">
        <v>116.2</v>
      </c>
      <c r="MH18">
        <v>89.4</v>
      </c>
      <c r="MI18">
        <v>136.9</v>
      </c>
      <c r="MJ18">
        <v>83.1</v>
      </c>
      <c r="MK18">
        <v>112.3</v>
      </c>
      <c r="MM18">
        <v>71.7</v>
      </c>
      <c r="MN18">
        <v>54.8</v>
      </c>
      <c r="MO18">
        <v>49.2</v>
      </c>
      <c r="MP18">
        <v>56.1</v>
      </c>
      <c r="MQ18">
        <v>73.900000000000006</v>
      </c>
      <c r="MS18">
        <v>73.2</v>
      </c>
      <c r="MU18">
        <v>65.8</v>
      </c>
      <c r="MV18">
        <v>86.1</v>
      </c>
      <c r="MW18">
        <v>83.4</v>
      </c>
      <c r="MX18">
        <v>71.7</v>
      </c>
      <c r="NB18">
        <v>133</v>
      </c>
      <c r="NC18">
        <v>115.8</v>
      </c>
      <c r="ND18">
        <v>138.6</v>
      </c>
      <c r="NE18">
        <v>104.4</v>
      </c>
      <c r="NF18">
        <v>184.2</v>
      </c>
      <c r="NG18">
        <v>173.2</v>
      </c>
      <c r="NH18">
        <v>201.1</v>
      </c>
      <c r="NI18">
        <v>108.8</v>
      </c>
      <c r="NJ18">
        <v>121.6</v>
      </c>
      <c r="NL18">
        <v>86.3</v>
      </c>
      <c r="NQ18">
        <v>57.5</v>
      </c>
      <c r="NR18">
        <v>55.2</v>
      </c>
      <c r="NS18">
        <v>55.2</v>
      </c>
      <c r="NT18">
        <v>54.8</v>
      </c>
      <c r="NY18">
        <v>70.400000000000006</v>
      </c>
      <c r="NZ18">
        <v>70.5</v>
      </c>
      <c r="OA18">
        <v>74.7</v>
      </c>
      <c r="OB18">
        <v>81.8</v>
      </c>
      <c r="OC18">
        <v>61.4</v>
      </c>
      <c r="OD18">
        <v>70</v>
      </c>
      <c r="OE18">
        <v>72.400000000000006</v>
      </c>
      <c r="OF18">
        <v>69.599999999999994</v>
      </c>
      <c r="OH18">
        <v>77.599999999999994</v>
      </c>
      <c r="OJ18">
        <v>62.1</v>
      </c>
      <c r="OK18">
        <v>65.599999999999994</v>
      </c>
      <c r="OL18">
        <v>61.5</v>
      </c>
      <c r="OM18">
        <v>59.7</v>
      </c>
      <c r="ON18">
        <v>83.7</v>
      </c>
      <c r="OO18">
        <v>58.9</v>
      </c>
      <c r="OP18">
        <v>57.5</v>
      </c>
      <c r="OS18">
        <v>54</v>
      </c>
      <c r="OU18">
        <v>55.3</v>
      </c>
      <c r="OW18">
        <v>58.2</v>
      </c>
      <c r="OY18">
        <v>57.1</v>
      </c>
      <c r="OZ18">
        <v>50.5</v>
      </c>
      <c r="PB18">
        <v>58.7</v>
      </c>
      <c r="PD18">
        <v>148.5</v>
      </c>
      <c r="PG18">
        <v>75.2</v>
      </c>
      <c r="PH18">
        <v>69.3</v>
      </c>
      <c r="PI18">
        <v>70.900000000000006</v>
      </c>
      <c r="PJ18">
        <v>73.2</v>
      </c>
      <c r="PK18">
        <v>85.9</v>
      </c>
      <c r="PL18">
        <v>72.2</v>
      </c>
      <c r="PN18">
        <v>74.599999999999994</v>
      </c>
      <c r="PO18">
        <v>68.7</v>
      </c>
      <c r="PP18">
        <v>67.599999999999994</v>
      </c>
      <c r="PT18">
        <v>69.5</v>
      </c>
      <c r="PU18">
        <v>73.099999999999994</v>
      </c>
      <c r="PV18">
        <v>74.099999999999994</v>
      </c>
      <c r="PY18">
        <v>64.400000000000006</v>
      </c>
      <c r="PZ18">
        <v>76.400000000000006</v>
      </c>
      <c r="QA18">
        <v>80.599999999999994</v>
      </c>
      <c r="QB18">
        <v>67.599999999999994</v>
      </c>
      <c r="QC18">
        <v>83.5</v>
      </c>
      <c r="QD18">
        <v>52.5</v>
      </c>
      <c r="QE18">
        <v>55.8</v>
      </c>
      <c r="QF18">
        <v>62.1</v>
      </c>
      <c r="QG18">
        <v>52.6</v>
      </c>
      <c r="QH18">
        <v>73.900000000000006</v>
      </c>
      <c r="QI18">
        <v>74.2</v>
      </c>
      <c r="QJ18">
        <v>71.400000000000006</v>
      </c>
      <c r="QK18">
        <v>71.8</v>
      </c>
      <c r="QL18">
        <v>75.599999999999994</v>
      </c>
      <c r="QM18">
        <v>70.7</v>
      </c>
      <c r="QN18">
        <v>71.3</v>
      </c>
      <c r="QO18">
        <v>64.5</v>
      </c>
      <c r="QQ18">
        <v>79.7</v>
      </c>
      <c r="QR18">
        <v>66.5</v>
      </c>
      <c r="QS18">
        <v>118.8</v>
      </c>
      <c r="QU18">
        <v>71.2</v>
      </c>
      <c r="QV18">
        <v>101</v>
      </c>
      <c r="QW18">
        <v>84.5</v>
      </c>
      <c r="QY18">
        <v>63.5</v>
      </c>
      <c r="QZ18">
        <v>65.599999999999994</v>
      </c>
      <c r="RA18">
        <v>62.9</v>
      </c>
      <c r="RB18">
        <v>56.8</v>
      </c>
      <c r="RD18">
        <v>67.8</v>
      </c>
      <c r="RE18">
        <v>85.5</v>
      </c>
      <c r="RF18">
        <v>62.4</v>
      </c>
      <c r="RG18">
        <v>79.2</v>
      </c>
      <c r="RH18">
        <v>116.2</v>
      </c>
      <c r="RI18">
        <v>78.3</v>
      </c>
      <c r="RJ18">
        <v>133.19999999999999</v>
      </c>
      <c r="RK18">
        <v>88.1</v>
      </c>
      <c r="RL18">
        <v>81.900000000000006</v>
      </c>
      <c r="RM18">
        <v>71.7</v>
      </c>
      <c r="RS18">
        <v>118.6</v>
      </c>
      <c r="RV18">
        <v>133.30000000000001</v>
      </c>
      <c r="SA18">
        <v>88.5</v>
      </c>
      <c r="SF18">
        <v>48.2</v>
      </c>
      <c r="SG18">
        <v>52.1</v>
      </c>
      <c r="SK18">
        <v>94.7</v>
      </c>
      <c r="SL18">
        <v>61</v>
      </c>
      <c r="SM18">
        <v>71.400000000000006</v>
      </c>
      <c r="SN18">
        <v>69.2</v>
      </c>
      <c r="SO18">
        <v>79.599999999999994</v>
      </c>
      <c r="SP18">
        <v>80.5</v>
      </c>
      <c r="SQ18">
        <v>58.3</v>
      </c>
      <c r="SR18">
        <v>70.3</v>
      </c>
      <c r="SS18">
        <v>55.7</v>
      </c>
      <c r="ST18">
        <v>57.5</v>
      </c>
      <c r="SU18">
        <v>53.3</v>
      </c>
      <c r="SV18">
        <v>52.9</v>
      </c>
      <c r="SX18">
        <v>53.8</v>
      </c>
      <c r="SZ18">
        <v>51.3</v>
      </c>
      <c r="TA18">
        <v>85.7</v>
      </c>
      <c r="TB18">
        <v>49.6</v>
      </c>
      <c r="TE18">
        <v>96.9</v>
      </c>
      <c r="TF18">
        <v>93.2</v>
      </c>
      <c r="TG18">
        <v>98.2</v>
      </c>
      <c r="TH18">
        <v>89.9</v>
      </c>
      <c r="TK18">
        <v>88.9</v>
      </c>
      <c r="TL18">
        <v>85.8</v>
      </c>
      <c r="TN18">
        <v>99.1</v>
      </c>
      <c r="TO18">
        <v>117.1</v>
      </c>
      <c r="TP18">
        <v>92.3</v>
      </c>
      <c r="TT18">
        <v>93.7</v>
      </c>
      <c r="TU18">
        <v>44.9</v>
      </c>
      <c r="TV18">
        <v>68.8</v>
      </c>
      <c r="TY18">
        <v>64.099999999999994</v>
      </c>
      <c r="UC18">
        <v>125.1</v>
      </c>
      <c r="UE18">
        <v>169.4</v>
      </c>
      <c r="UF18">
        <v>63.5</v>
      </c>
      <c r="UG18">
        <v>71.5</v>
      </c>
      <c r="UH18">
        <v>150.6</v>
      </c>
      <c r="UL18">
        <v>56.7</v>
      </c>
      <c r="UM18">
        <v>60.9</v>
      </c>
      <c r="UN18">
        <v>49.9</v>
      </c>
      <c r="UO18">
        <v>56.3</v>
      </c>
      <c r="UP18">
        <v>49.7</v>
      </c>
      <c r="UQ18">
        <v>196.3</v>
      </c>
      <c r="UR18">
        <v>59.6</v>
      </c>
      <c r="US18">
        <v>32.5</v>
      </c>
      <c r="UT18">
        <v>39.5</v>
      </c>
      <c r="UW18">
        <v>60.9</v>
      </c>
      <c r="UY18">
        <v>57.8</v>
      </c>
      <c r="UZ18">
        <v>47.1</v>
      </c>
      <c r="VB18">
        <v>49.3</v>
      </c>
      <c r="VD18">
        <v>91.2</v>
      </c>
      <c r="VE18">
        <v>2391.9</v>
      </c>
      <c r="VL18">
        <v>4100.7</v>
      </c>
      <c r="VM18">
        <v>59.4</v>
      </c>
      <c r="VN18">
        <v>71.599999999999994</v>
      </c>
      <c r="VO18">
        <v>85.4</v>
      </c>
      <c r="VP18">
        <v>68.900000000000006</v>
      </c>
      <c r="VQ18">
        <v>73.599999999999994</v>
      </c>
      <c r="VR18">
        <v>58.9</v>
      </c>
      <c r="VT18">
        <v>91</v>
      </c>
      <c r="VU18">
        <v>151.6</v>
      </c>
      <c r="VV18">
        <v>51.4</v>
      </c>
      <c r="VW18">
        <v>85.7</v>
      </c>
      <c r="VY18">
        <v>108.2</v>
      </c>
      <c r="WB18">
        <v>139.9</v>
      </c>
      <c r="WE18">
        <v>89.7</v>
      </c>
      <c r="WF18">
        <v>72.900000000000006</v>
      </c>
      <c r="WG18">
        <v>86.8</v>
      </c>
      <c r="WH18">
        <v>57.9</v>
      </c>
      <c r="WI18">
        <v>57.4</v>
      </c>
      <c r="WJ18">
        <v>61.6</v>
      </c>
      <c r="WL18">
        <v>95.6</v>
      </c>
      <c r="WX18">
        <v>55.2</v>
      </c>
      <c r="WY18">
        <v>59.3</v>
      </c>
      <c r="XB18">
        <v>57.6</v>
      </c>
      <c r="XD18">
        <v>47.4</v>
      </c>
      <c r="XE18">
        <v>45.4</v>
      </c>
      <c r="XF18">
        <v>42.9</v>
      </c>
      <c r="XG18">
        <v>44</v>
      </c>
      <c r="XH18">
        <v>64.099999999999994</v>
      </c>
      <c r="XI18">
        <v>69.3</v>
      </c>
      <c r="XJ18">
        <v>69.3</v>
      </c>
      <c r="XM18">
        <v>51.7</v>
      </c>
      <c r="XR18">
        <v>55.5</v>
      </c>
      <c r="XT18">
        <v>50.6</v>
      </c>
      <c r="XU18">
        <v>73</v>
      </c>
      <c r="XV18">
        <v>65</v>
      </c>
      <c r="XW18">
        <v>67.3</v>
      </c>
      <c r="XZ18">
        <v>68.900000000000006</v>
      </c>
      <c r="YA18">
        <v>80.400000000000006</v>
      </c>
      <c r="YD18">
        <v>39.1</v>
      </c>
      <c r="YG18">
        <v>59.4</v>
      </c>
      <c r="YM18">
        <v>136.9</v>
      </c>
      <c r="YT18">
        <v>68.900000000000006</v>
      </c>
      <c r="YU18">
        <v>65.599999999999994</v>
      </c>
      <c r="YW18">
        <v>63.9</v>
      </c>
      <c r="YX18">
        <v>69.099999999999994</v>
      </c>
      <c r="YY18">
        <v>61.8</v>
      </c>
      <c r="ZB18">
        <v>97.3</v>
      </c>
      <c r="ZC18">
        <v>221.9</v>
      </c>
      <c r="ZE18">
        <v>125</v>
      </c>
      <c r="ZF18">
        <v>107.7</v>
      </c>
      <c r="ZG18">
        <v>104.9</v>
      </c>
      <c r="ZK18">
        <v>97.2</v>
      </c>
      <c r="ZM18">
        <v>130.1</v>
      </c>
      <c r="ZN18">
        <v>88.7</v>
      </c>
      <c r="ZO18">
        <v>87.6</v>
      </c>
      <c r="ZP18">
        <v>98.9</v>
      </c>
      <c r="ZQ18">
        <v>85.5</v>
      </c>
      <c r="ZT18">
        <v>96.9</v>
      </c>
      <c r="ZU18">
        <v>79.8</v>
      </c>
      <c r="ZW18">
        <v>77.099999999999994</v>
      </c>
      <c r="ZY18">
        <v>70.7</v>
      </c>
      <c r="AAC18">
        <v>63.1</v>
      </c>
      <c r="AAD18">
        <v>52.6</v>
      </c>
      <c r="AAE18">
        <v>97</v>
      </c>
      <c r="AAG18">
        <v>39.5</v>
      </c>
      <c r="AAH18">
        <v>107.4</v>
      </c>
      <c r="AAI18">
        <v>82.2</v>
      </c>
      <c r="AAJ18">
        <v>62.8</v>
      </c>
      <c r="AAK18">
        <v>107.1</v>
      </c>
      <c r="AAL18">
        <v>73.7</v>
      </c>
      <c r="AAM18">
        <v>92.2</v>
      </c>
      <c r="AAN18">
        <v>52.3</v>
      </c>
      <c r="AAO18">
        <v>36.6</v>
      </c>
      <c r="AAP18">
        <v>35.6</v>
      </c>
      <c r="AAR18">
        <v>40.200000000000003</v>
      </c>
      <c r="AAX18">
        <v>35.6</v>
      </c>
      <c r="ABB18">
        <v>65.5</v>
      </c>
      <c r="ABC18">
        <v>73.599999999999994</v>
      </c>
      <c r="ABD18">
        <v>63.2</v>
      </c>
      <c r="ABE18">
        <v>58</v>
      </c>
      <c r="ABF18">
        <v>77.7</v>
      </c>
      <c r="ABG18">
        <v>72.400000000000006</v>
      </c>
      <c r="ABH18">
        <v>78.099999999999994</v>
      </c>
      <c r="ABI18">
        <v>65.599999999999994</v>
      </c>
      <c r="ABJ18">
        <v>70.400000000000006</v>
      </c>
      <c r="ABK18">
        <v>78.7</v>
      </c>
      <c r="ABL18">
        <v>103.8</v>
      </c>
      <c r="ABM18">
        <v>76.3</v>
      </c>
      <c r="ABN18">
        <v>77.3</v>
      </c>
      <c r="ABO18">
        <v>58.7</v>
      </c>
      <c r="ABP18">
        <v>88.1</v>
      </c>
    </row>
    <row r="19" spans="1:744">
      <c r="A19">
        <v>1982</v>
      </c>
      <c r="B19">
        <v>79.3</v>
      </c>
      <c r="C19">
        <v>72.400000000000006</v>
      </c>
      <c r="D19">
        <v>87.1</v>
      </c>
      <c r="E19">
        <v>105.9</v>
      </c>
      <c r="F19">
        <v>106</v>
      </c>
      <c r="G19">
        <v>107.4</v>
      </c>
      <c r="H19">
        <v>73.900000000000006</v>
      </c>
      <c r="I19">
        <v>77.099999999999994</v>
      </c>
      <c r="J19">
        <v>70.7</v>
      </c>
      <c r="L19">
        <v>68.900000000000006</v>
      </c>
      <c r="M19">
        <v>72.599999999999994</v>
      </c>
      <c r="N19">
        <v>60.5</v>
      </c>
      <c r="P19">
        <v>65.8</v>
      </c>
      <c r="R19">
        <v>89.5</v>
      </c>
      <c r="S19">
        <v>72.599999999999994</v>
      </c>
      <c r="T19">
        <v>99.3</v>
      </c>
      <c r="V19">
        <v>70.599999999999994</v>
      </c>
      <c r="W19">
        <v>79.099999999999994</v>
      </c>
      <c r="X19">
        <v>88.9</v>
      </c>
      <c r="Y19">
        <v>137.19999999999999</v>
      </c>
      <c r="Z19">
        <v>40.5</v>
      </c>
      <c r="AA19">
        <v>79.8</v>
      </c>
      <c r="AB19">
        <v>78.400000000000006</v>
      </c>
      <c r="AC19">
        <v>57</v>
      </c>
      <c r="AD19">
        <v>85.9</v>
      </c>
      <c r="AE19">
        <v>107.1</v>
      </c>
      <c r="AF19">
        <v>88.2</v>
      </c>
      <c r="AG19">
        <v>62</v>
      </c>
      <c r="AH19">
        <v>54.7</v>
      </c>
      <c r="AI19">
        <v>129.19999999999999</v>
      </c>
      <c r="AJ19">
        <v>48.7</v>
      </c>
      <c r="AK19">
        <v>47.6</v>
      </c>
      <c r="AL19">
        <v>78.2</v>
      </c>
      <c r="AM19">
        <v>65.400000000000006</v>
      </c>
      <c r="AN19">
        <v>76.599999999999994</v>
      </c>
      <c r="AO19">
        <v>73</v>
      </c>
      <c r="AP19">
        <v>47.3</v>
      </c>
      <c r="AQ19">
        <v>86.2</v>
      </c>
      <c r="AR19">
        <v>55.9</v>
      </c>
      <c r="AU19">
        <v>58.4</v>
      </c>
      <c r="AV19">
        <v>57.1</v>
      </c>
      <c r="AW19">
        <v>61</v>
      </c>
      <c r="AX19">
        <v>56.1</v>
      </c>
      <c r="AY19">
        <v>56</v>
      </c>
      <c r="AZ19">
        <v>70.400000000000006</v>
      </c>
      <c r="BD19">
        <v>72.3</v>
      </c>
      <c r="BE19">
        <v>68.2</v>
      </c>
      <c r="BF19">
        <v>55.1</v>
      </c>
      <c r="BG19">
        <v>86.6</v>
      </c>
      <c r="BH19">
        <v>67.8</v>
      </c>
      <c r="BJ19">
        <v>81.900000000000006</v>
      </c>
      <c r="BK19">
        <v>91.8</v>
      </c>
      <c r="BL19">
        <v>102</v>
      </c>
      <c r="BM19">
        <v>89.4</v>
      </c>
      <c r="BN19">
        <v>77.599999999999994</v>
      </c>
      <c r="BP19">
        <v>87.1</v>
      </c>
      <c r="BQ19">
        <v>85.8</v>
      </c>
      <c r="BR19">
        <v>85.6</v>
      </c>
      <c r="BS19">
        <v>100.7</v>
      </c>
      <c r="BT19">
        <v>84.8</v>
      </c>
      <c r="BU19">
        <v>59.3</v>
      </c>
      <c r="BW19">
        <v>72.599999999999994</v>
      </c>
      <c r="BX19">
        <v>65.7</v>
      </c>
      <c r="BZ19">
        <v>89.1</v>
      </c>
      <c r="CA19">
        <v>89.1</v>
      </c>
      <c r="CB19">
        <v>60.5</v>
      </c>
      <c r="CC19">
        <v>60.7</v>
      </c>
      <c r="CD19">
        <v>71.099999999999994</v>
      </c>
      <c r="CE19">
        <v>36</v>
      </c>
      <c r="CF19">
        <v>46.6</v>
      </c>
      <c r="CG19">
        <v>60.1</v>
      </c>
      <c r="CH19">
        <v>83.2</v>
      </c>
      <c r="CJ19">
        <v>89.6</v>
      </c>
      <c r="CL19">
        <v>50.5</v>
      </c>
      <c r="CM19">
        <v>43.7</v>
      </c>
      <c r="CN19">
        <v>48.3</v>
      </c>
      <c r="CO19">
        <v>68.900000000000006</v>
      </c>
      <c r="CP19">
        <v>49.4</v>
      </c>
      <c r="CQ19">
        <v>52.4</v>
      </c>
      <c r="CR19">
        <v>50.5</v>
      </c>
      <c r="CS19">
        <v>67.099999999999994</v>
      </c>
      <c r="CT19">
        <v>116.4</v>
      </c>
      <c r="CW19">
        <v>40.299999999999997</v>
      </c>
      <c r="CX19">
        <v>52.7</v>
      </c>
      <c r="CY19">
        <v>59.9</v>
      </c>
      <c r="CZ19">
        <v>56.5</v>
      </c>
      <c r="DA19">
        <v>51.9</v>
      </c>
      <c r="DB19">
        <v>51.4</v>
      </c>
      <c r="DC19">
        <v>95.6</v>
      </c>
      <c r="DG19">
        <v>60.8</v>
      </c>
      <c r="DH19">
        <v>52</v>
      </c>
      <c r="DI19">
        <v>53.3</v>
      </c>
      <c r="DJ19">
        <v>74.400000000000006</v>
      </c>
      <c r="DK19">
        <v>39.1</v>
      </c>
      <c r="DL19">
        <v>41.9</v>
      </c>
      <c r="DN19">
        <v>73.3</v>
      </c>
      <c r="DO19">
        <v>71</v>
      </c>
      <c r="DP19">
        <v>73</v>
      </c>
      <c r="DQ19">
        <v>73.599999999999994</v>
      </c>
      <c r="DR19">
        <v>56.7</v>
      </c>
      <c r="DS19">
        <v>60.5</v>
      </c>
      <c r="DT19">
        <v>43.4</v>
      </c>
      <c r="DU19">
        <v>55.5</v>
      </c>
      <c r="DX19">
        <v>58.7</v>
      </c>
      <c r="DY19">
        <v>104.2</v>
      </c>
      <c r="DZ19">
        <v>53.7</v>
      </c>
      <c r="EA19">
        <v>52.8</v>
      </c>
      <c r="EB19">
        <v>76</v>
      </c>
      <c r="EC19">
        <v>36.799999999999997</v>
      </c>
      <c r="ED19">
        <v>129.5</v>
      </c>
      <c r="EF19">
        <v>39.6</v>
      </c>
      <c r="EG19">
        <v>54.2</v>
      </c>
      <c r="EH19">
        <v>57.2</v>
      </c>
      <c r="EI19">
        <v>58.5</v>
      </c>
      <c r="EJ19">
        <v>43.4</v>
      </c>
      <c r="EK19">
        <v>45.2</v>
      </c>
      <c r="EM19">
        <v>55.6</v>
      </c>
      <c r="EN19">
        <v>71.5</v>
      </c>
      <c r="ER19">
        <v>77.5</v>
      </c>
      <c r="ET19">
        <v>97.9</v>
      </c>
      <c r="EU19">
        <v>123</v>
      </c>
      <c r="EV19">
        <v>137.4</v>
      </c>
      <c r="EW19">
        <v>82.6</v>
      </c>
      <c r="EX19">
        <v>95.2</v>
      </c>
      <c r="EY19">
        <v>63.2</v>
      </c>
      <c r="EZ19">
        <v>96.6</v>
      </c>
      <c r="FA19">
        <v>93.4</v>
      </c>
      <c r="FB19">
        <v>120.5</v>
      </c>
      <c r="FC19">
        <v>94.6</v>
      </c>
      <c r="FD19">
        <v>108.8</v>
      </c>
      <c r="FE19">
        <v>150.30000000000001</v>
      </c>
      <c r="FF19">
        <v>113.5</v>
      </c>
      <c r="FI19">
        <v>87.8</v>
      </c>
      <c r="FJ19">
        <v>64.3</v>
      </c>
      <c r="FK19">
        <v>93.7</v>
      </c>
      <c r="FQ19">
        <v>69.400000000000006</v>
      </c>
      <c r="FR19">
        <v>52.6</v>
      </c>
      <c r="FS19">
        <v>64.900000000000006</v>
      </c>
      <c r="FU19">
        <v>71.400000000000006</v>
      </c>
      <c r="FV19">
        <v>53</v>
      </c>
      <c r="FY19">
        <v>78.599999999999994</v>
      </c>
      <c r="GA19">
        <v>82</v>
      </c>
      <c r="GB19">
        <v>60.5</v>
      </c>
      <c r="GC19">
        <v>73.5</v>
      </c>
      <c r="GD19">
        <v>72.3</v>
      </c>
      <c r="GE19">
        <v>115.8</v>
      </c>
      <c r="GF19">
        <v>85.9</v>
      </c>
      <c r="GG19">
        <v>102.6</v>
      </c>
      <c r="GH19">
        <v>73.099999999999994</v>
      </c>
      <c r="GI19">
        <v>68.599999999999994</v>
      </c>
      <c r="GU19">
        <v>67.400000000000006</v>
      </c>
      <c r="GV19">
        <v>43.6</v>
      </c>
      <c r="GW19">
        <v>52.8</v>
      </c>
      <c r="GX19">
        <v>65.099999999999994</v>
      </c>
      <c r="GY19">
        <v>73.2</v>
      </c>
      <c r="HD19">
        <v>81.099999999999994</v>
      </c>
      <c r="HO19">
        <v>103</v>
      </c>
      <c r="HP19">
        <v>97.7</v>
      </c>
      <c r="HQ19">
        <v>74.8</v>
      </c>
      <c r="HR19">
        <v>120.7</v>
      </c>
      <c r="HT19">
        <v>111.6</v>
      </c>
      <c r="HU19">
        <v>104.7</v>
      </c>
      <c r="HY19">
        <v>102.7</v>
      </c>
      <c r="IA19">
        <v>113.6</v>
      </c>
      <c r="IB19">
        <v>85</v>
      </c>
      <c r="IC19">
        <v>121.7</v>
      </c>
      <c r="IE19">
        <v>68.400000000000006</v>
      </c>
      <c r="IJ19">
        <v>86</v>
      </c>
      <c r="IK19">
        <v>90.5</v>
      </c>
      <c r="IL19">
        <v>61.3</v>
      </c>
      <c r="IM19">
        <v>83.6</v>
      </c>
      <c r="IO19">
        <v>105.7</v>
      </c>
      <c r="IP19">
        <v>110.5</v>
      </c>
      <c r="IT19">
        <v>66.099999999999994</v>
      </c>
      <c r="IU19">
        <v>65.8</v>
      </c>
      <c r="IV19">
        <v>54.8</v>
      </c>
      <c r="IX19">
        <v>57.6</v>
      </c>
      <c r="IY19">
        <v>61.2</v>
      </c>
      <c r="JA19">
        <v>60.9</v>
      </c>
      <c r="JB19">
        <v>65</v>
      </c>
      <c r="JC19">
        <v>61.8</v>
      </c>
      <c r="JE19">
        <v>71.3</v>
      </c>
      <c r="JI19">
        <v>70.2</v>
      </c>
      <c r="JL19">
        <v>66.8</v>
      </c>
      <c r="JO19">
        <v>65.5</v>
      </c>
      <c r="JQ19">
        <v>64.599999999999994</v>
      </c>
      <c r="JS19">
        <v>71.5</v>
      </c>
      <c r="JT19">
        <v>70.900000000000006</v>
      </c>
      <c r="JU19">
        <v>72.3</v>
      </c>
      <c r="JV19">
        <v>70.099999999999994</v>
      </c>
      <c r="JW19">
        <v>71.400000000000006</v>
      </c>
      <c r="JX19">
        <v>76.599999999999994</v>
      </c>
      <c r="JY19">
        <v>76.599999999999994</v>
      </c>
      <c r="JZ19">
        <v>60.8</v>
      </c>
      <c r="KA19">
        <v>64.099999999999994</v>
      </c>
      <c r="KB19">
        <v>57.1</v>
      </c>
      <c r="KC19">
        <v>71</v>
      </c>
      <c r="KD19">
        <v>71</v>
      </c>
      <c r="KE19">
        <v>62.5</v>
      </c>
      <c r="KF19">
        <v>98</v>
      </c>
      <c r="KG19">
        <v>88.8</v>
      </c>
      <c r="KL19">
        <v>55.7</v>
      </c>
      <c r="KM19">
        <v>55.8</v>
      </c>
      <c r="KN19">
        <v>57.7</v>
      </c>
      <c r="KO19">
        <v>36.6</v>
      </c>
      <c r="KP19">
        <v>53.6</v>
      </c>
      <c r="KS19">
        <v>50.3</v>
      </c>
      <c r="KT19">
        <v>55.8</v>
      </c>
      <c r="KU19">
        <v>57.8</v>
      </c>
      <c r="KX19">
        <v>70.099999999999994</v>
      </c>
      <c r="KY19">
        <v>89.8</v>
      </c>
      <c r="KZ19">
        <v>112.2</v>
      </c>
      <c r="LA19">
        <v>112.2</v>
      </c>
      <c r="LB19">
        <v>82.1</v>
      </c>
      <c r="LC19">
        <v>102.4</v>
      </c>
      <c r="LD19">
        <v>61.7</v>
      </c>
      <c r="LE19">
        <v>99.1</v>
      </c>
      <c r="LF19">
        <v>102.6</v>
      </c>
      <c r="LH19">
        <v>58.7</v>
      </c>
      <c r="LJ19">
        <v>148.69999999999999</v>
      </c>
      <c r="LK19">
        <v>380.6</v>
      </c>
      <c r="LL19">
        <v>935.6</v>
      </c>
      <c r="LM19">
        <v>1645.7</v>
      </c>
      <c r="LN19">
        <v>443.7</v>
      </c>
      <c r="LO19">
        <v>173.9</v>
      </c>
      <c r="LP19">
        <v>3010</v>
      </c>
      <c r="LQ19">
        <v>921</v>
      </c>
      <c r="LR19">
        <v>1236</v>
      </c>
      <c r="LT19">
        <v>331.9</v>
      </c>
      <c r="LV19">
        <v>170.2</v>
      </c>
      <c r="LX19">
        <v>85.7</v>
      </c>
      <c r="LY19">
        <v>74.3</v>
      </c>
      <c r="MB19">
        <v>138.1</v>
      </c>
      <c r="MD19">
        <v>136.1</v>
      </c>
      <c r="ME19">
        <v>94.8</v>
      </c>
      <c r="MG19">
        <v>118.1</v>
      </c>
      <c r="MH19">
        <v>89.4</v>
      </c>
      <c r="MI19">
        <v>139.9</v>
      </c>
      <c r="MJ19">
        <v>84.4</v>
      </c>
      <c r="MK19">
        <v>114.2</v>
      </c>
      <c r="MM19">
        <v>73</v>
      </c>
      <c r="MN19">
        <v>56.7</v>
      </c>
      <c r="MO19">
        <v>51.2</v>
      </c>
      <c r="MP19">
        <v>58</v>
      </c>
      <c r="MQ19">
        <v>74.3</v>
      </c>
      <c r="MS19">
        <v>73.5</v>
      </c>
      <c r="MU19">
        <v>66.5</v>
      </c>
      <c r="MV19">
        <v>87.5</v>
      </c>
      <c r="MW19">
        <v>83.2</v>
      </c>
      <c r="MX19">
        <v>73.599999999999994</v>
      </c>
      <c r="NB19">
        <v>133.1</v>
      </c>
      <c r="NC19">
        <v>115.7</v>
      </c>
      <c r="ND19">
        <v>143.1</v>
      </c>
      <c r="NE19">
        <v>100.7</v>
      </c>
      <c r="NF19">
        <v>184.7</v>
      </c>
      <c r="NG19">
        <v>173.8</v>
      </c>
      <c r="NH19">
        <v>201.5</v>
      </c>
      <c r="NI19">
        <v>109.7</v>
      </c>
      <c r="NJ19">
        <v>120.2</v>
      </c>
      <c r="NL19">
        <v>87.5</v>
      </c>
      <c r="NQ19">
        <v>60.1</v>
      </c>
      <c r="NR19">
        <v>58</v>
      </c>
      <c r="NS19">
        <v>58</v>
      </c>
      <c r="NT19">
        <v>57.2</v>
      </c>
      <c r="NY19">
        <v>72.5</v>
      </c>
      <c r="NZ19">
        <v>73</v>
      </c>
      <c r="OA19">
        <v>77.3</v>
      </c>
      <c r="OB19">
        <v>84.6</v>
      </c>
      <c r="OC19">
        <v>63.8</v>
      </c>
      <c r="OD19">
        <v>72.5</v>
      </c>
      <c r="OE19">
        <v>74.5</v>
      </c>
      <c r="OF19">
        <v>70.599999999999994</v>
      </c>
      <c r="OH19">
        <v>79.099999999999994</v>
      </c>
      <c r="OJ19">
        <v>64.5</v>
      </c>
      <c r="OK19">
        <v>67.900000000000006</v>
      </c>
      <c r="OL19">
        <v>64.400000000000006</v>
      </c>
      <c r="OM19">
        <v>60.9</v>
      </c>
      <c r="ON19">
        <v>84.3</v>
      </c>
      <c r="OO19">
        <v>60.9</v>
      </c>
      <c r="OP19">
        <v>60.2</v>
      </c>
      <c r="OS19">
        <v>54.5</v>
      </c>
      <c r="OU19">
        <v>59.1</v>
      </c>
      <c r="OW19">
        <v>60.2</v>
      </c>
      <c r="OY19">
        <v>59.2</v>
      </c>
      <c r="OZ19">
        <v>55.9</v>
      </c>
      <c r="PB19">
        <v>63.1</v>
      </c>
      <c r="PD19">
        <v>150.6</v>
      </c>
      <c r="PG19">
        <v>77.5</v>
      </c>
      <c r="PH19">
        <v>71.400000000000006</v>
      </c>
      <c r="PI19">
        <v>73.3</v>
      </c>
      <c r="PJ19">
        <v>75.400000000000006</v>
      </c>
      <c r="PK19">
        <v>89.4</v>
      </c>
      <c r="PL19">
        <v>72</v>
      </c>
      <c r="PN19">
        <v>77.2</v>
      </c>
      <c r="PO19">
        <v>71.8</v>
      </c>
      <c r="PP19">
        <v>71.2</v>
      </c>
      <c r="PT19">
        <v>72.7</v>
      </c>
      <c r="PU19">
        <v>74.5</v>
      </c>
      <c r="PV19">
        <v>75.3</v>
      </c>
      <c r="PY19">
        <v>65.599999999999994</v>
      </c>
      <c r="PZ19">
        <v>76.400000000000006</v>
      </c>
      <c r="QA19">
        <v>80.8</v>
      </c>
      <c r="QB19">
        <v>67.400000000000006</v>
      </c>
      <c r="QC19">
        <v>82.7</v>
      </c>
      <c r="QD19">
        <v>55</v>
      </c>
      <c r="QE19">
        <v>57.9</v>
      </c>
      <c r="QF19">
        <v>61.7</v>
      </c>
      <c r="QG19">
        <v>56.5</v>
      </c>
      <c r="QH19">
        <v>74.400000000000006</v>
      </c>
      <c r="QI19">
        <v>74.400000000000006</v>
      </c>
      <c r="QJ19">
        <v>72.3</v>
      </c>
      <c r="QK19">
        <v>73</v>
      </c>
      <c r="QL19">
        <v>76.8</v>
      </c>
      <c r="QM19">
        <v>71</v>
      </c>
      <c r="QN19">
        <v>71.5</v>
      </c>
      <c r="QO19">
        <v>65.3</v>
      </c>
      <c r="QQ19">
        <v>81.3</v>
      </c>
      <c r="QR19">
        <v>68.900000000000006</v>
      </c>
      <c r="QS19">
        <v>123.1</v>
      </c>
      <c r="QU19">
        <v>72.599999999999994</v>
      </c>
      <c r="QV19">
        <v>100.7</v>
      </c>
      <c r="QW19">
        <v>86.4</v>
      </c>
      <c r="QY19">
        <v>64.7</v>
      </c>
      <c r="QZ19">
        <v>66.900000000000006</v>
      </c>
      <c r="RA19">
        <v>64</v>
      </c>
      <c r="RB19">
        <v>58.4</v>
      </c>
      <c r="RD19">
        <v>69.400000000000006</v>
      </c>
      <c r="RE19">
        <v>88.2</v>
      </c>
      <c r="RF19">
        <v>65.099999999999994</v>
      </c>
      <c r="RG19">
        <v>81.8</v>
      </c>
      <c r="RH19">
        <v>122.6</v>
      </c>
      <c r="RI19">
        <v>78.2</v>
      </c>
      <c r="RJ19">
        <v>133.19999999999999</v>
      </c>
      <c r="RK19">
        <v>89.2</v>
      </c>
      <c r="RL19">
        <v>85.3</v>
      </c>
      <c r="RM19">
        <v>77.099999999999994</v>
      </c>
      <c r="RS19">
        <v>122.4</v>
      </c>
      <c r="RV19">
        <v>138.1</v>
      </c>
      <c r="SA19">
        <v>90.5</v>
      </c>
      <c r="SF19">
        <v>49.1</v>
      </c>
      <c r="SG19">
        <v>52.1</v>
      </c>
      <c r="SK19">
        <v>98.4</v>
      </c>
      <c r="SL19">
        <v>65.2</v>
      </c>
      <c r="SM19">
        <v>76.099999999999994</v>
      </c>
      <c r="SN19">
        <v>74</v>
      </c>
      <c r="SO19">
        <v>83.3</v>
      </c>
      <c r="SP19">
        <v>84.2</v>
      </c>
      <c r="SQ19">
        <v>68.400000000000006</v>
      </c>
      <c r="SR19">
        <v>75.400000000000006</v>
      </c>
      <c r="SS19">
        <v>57.5</v>
      </c>
      <c r="ST19">
        <v>59.5</v>
      </c>
      <c r="SU19">
        <v>54.8</v>
      </c>
      <c r="SV19">
        <v>54.4</v>
      </c>
      <c r="SX19">
        <v>58.7</v>
      </c>
      <c r="SZ19">
        <v>55.3</v>
      </c>
      <c r="TA19">
        <v>95</v>
      </c>
      <c r="TB19">
        <v>56.1</v>
      </c>
      <c r="TE19">
        <v>100.3</v>
      </c>
      <c r="TF19">
        <v>95</v>
      </c>
      <c r="TG19">
        <v>98.6</v>
      </c>
      <c r="TH19">
        <v>92</v>
      </c>
      <c r="TK19">
        <v>89.2</v>
      </c>
      <c r="TL19">
        <v>86.1</v>
      </c>
      <c r="TN19">
        <v>103.3</v>
      </c>
      <c r="TO19">
        <v>124.3</v>
      </c>
      <c r="TP19">
        <v>92.5</v>
      </c>
      <c r="TT19">
        <v>94.9</v>
      </c>
      <c r="TU19">
        <v>46.6</v>
      </c>
      <c r="TV19">
        <v>70.900000000000006</v>
      </c>
      <c r="TY19">
        <v>64.099999999999994</v>
      </c>
      <c r="UC19">
        <v>125.1</v>
      </c>
      <c r="UE19">
        <v>167.9</v>
      </c>
      <c r="UF19">
        <v>63.5</v>
      </c>
      <c r="UG19">
        <v>71.5</v>
      </c>
      <c r="UH19">
        <v>149</v>
      </c>
      <c r="UL19">
        <v>60</v>
      </c>
      <c r="UM19">
        <v>64.8</v>
      </c>
      <c r="UN19">
        <v>53.2</v>
      </c>
      <c r="UO19">
        <v>59.6</v>
      </c>
      <c r="UP19">
        <v>52.1</v>
      </c>
      <c r="UQ19">
        <v>210</v>
      </c>
      <c r="UR19">
        <v>62.3</v>
      </c>
      <c r="US19">
        <v>35.6</v>
      </c>
      <c r="UT19">
        <v>43.1</v>
      </c>
      <c r="UW19">
        <v>60.9</v>
      </c>
      <c r="UY19">
        <v>57.8</v>
      </c>
      <c r="UZ19">
        <v>49.4</v>
      </c>
      <c r="VB19">
        <v>51.7</v>
      </c>
      <c r="VD19">
        <v>93.2</v>
      </c>
      <c r="VE19">
        <v>2319.6</v>
      </c>
      <c r="VL19">
        <v>3983.1</v>
      </c>
      <c r="VM19">
        <v>59.4</v>
      </c>
      <c r="VN19">
        <v>70.900000000000006</v>
      </c>
      <c r="VO19">
        <v>87.6</v>
      </c>
      <c r="VP19">
        <v>69.8</v>
      </c>
      <c r="VQ19">
        <v>73.7</v>
      </c>
      <c r="VR19">
        <v>59.5</v>
      </c>
      <c r="VT19">
        <v>94.9</v>
      </c>
      <c r="VU19">
        <v>157.80000000000001</v>
      </c>
      <c r="VV19">
        <v>54.1</v>
      </c>
      <c r="VW19">
        <v>93</v>
      </c>
      <c r="VY19">
        <v>112.5</v>
      </c>
      <c r="WB19">
        <v>141.4</v>
      </c>
      <c r="WE19">
        <v>92.5</v>
      </c>
      <c r="WF19">
        <v>73</v>
      </c>
      <c r="WG19">
        <v>87</v>
      </c>
      <c r="WH19">
        <v>61.3</v>
      </c>
      <c r="WI19">
        <v>60.3</v>
      </c>
      <c r="WJ19">
        <v>65.599999999999994</v>
      </c>
      <c r="WL19">
        <v>94.7</v>
      </c>
      <c r="WX19">
        <v>56.3</v>
      </c>
      <c r="WY19">
        <v>59.4</v>
      </c>
      <c r="XB19">
        <v>58.9</v>
      </c>
      <c r="XD19">
        <v>48.6</v>
      </c>
      <c r="XE19">
        <v>47.2</v>
      </c>
      <c r="XF19">
        <v>46.3</v>
      </c>
      <c r="XG19">
        <v>44.6</v>
      </c>
      <c r="XH19">
        <v>66.3</v>
      </c>
      <c r="XI19">
        <v>71</v>
      </c>
      <c r="XJ19">
        <v>71</v>
      </c>
      <c r="XM19">
        <v>54.4</v>
      </c>
      <c r="XR19">
        <v>57.8</v>
      </c>
      <c r="XT19">
        <v>53</v>
      </c>
      <c r="XU19">
        <v>74.900000000000006</v>
      </c>
      <c r="XV19">
        <v>65</v>
      </c>
      <c r="XW19">
        <v>67.3</v>
      </c>
      <c r="XZ19">
        <v>71.400000000000006</v>
      </c>
      <c r="YA19">
        <v>81.400000000000006</v>
      </c>
      <c r="YD19">
        <v>42.1</v>
      </c>
      <c r="YG19">
        <v>60.4</v>
      </c>
      <c r="YM19">
        <v>130.69999999999999</v>
      </c>
      <c r="YT19">
        <v>70</v>
      </c>
      <c r="YU19">
        <v>67.7</v>
      </c>
      <c r="YW19">
        <v>66.2</v>
      </c>
      <c r="YX19">
        <v>70.400000000000006</v>
      </c>
      <c r="YY19">
        <v>64.3</v>
      </c>
      <c r="ZB19">
        <v>99.7</v>
      </c>
      <c r="ZC19">
        <v>224.4</v>
      </c>
      <c r="ZE19">
        <v>126.4</v>
      </c>
      <c r="ZF19">
        <v>108.2</v>
      </c>
      <c r="ZG19">
        <v>105.6</v>
      </c>
      <c r="ZK19">
        <v>97.6</v>
      </c>
      <c r="ZM19">
        <v>130.1</v>
      </c>
      <c r="ZN19">
        <v>91.5</v>
      </c>
      <c r="ZO19">
        <v>93.9</v>
      </c>
      <c r="ZP19">
        <v>107.4</v>
      </c>
      <c r="ZQ19">
        <v>86.7</v>
      </c>
      <c r="ZT19">
        <v>104</v>
      </c>
      <c r="ZU19">
        <v>82</v>
      </c>
      <c r="ZW19">
        <v>77.099999999999994</v>
      </c>
      <c r="ZY19">
        <v>72</v>
      </c>
      <c r="AAC19">
        <v>63.3</v>
      </c>
      <c r="AAD19">
        <v>53.9</v>
      </c>
      <c r="AAE19">
        <v>99.6</v>
      </c>
      <c r="AAG19">
        <v>40.299999999999997</v>
      </c>
      <c r="AAH19">
        <v>108.6</v>
      </c>
      <c r="AAI19">
        <v>79.400000000000006</v>
      </c>
      <c r="AAJ19">
        <v>58</v>
      </c>
      <c r="AAK19">
        <v>105.3</v>
      </c>
      <c r="AAL19">
        <v>74.5</v>
      </c>
      <c r="AAM19">
        <v>92.5</v>
      </c>
      <c r="AAN19">
        <v>53.6</v>
      </c>
      <c r="AAO19">
        <v>36.6</v>
      </c>
      <c r="AAP19">
        <v>35.6</v>
      </c>
      <c r="AAR19">
        <v>42.5</v>
      </c>
      <c r="AAX19">
        <v>39.5</v>
      </c>
      <c r="ABB19">
        <v>64.900000000000006</v>
      </c>
      <c r="ABC19">
        <v>79.099999999999994</v>
      </c>
      <c r="ABD19">
        <v>60.7</v>
      </c>
      <c r="ABE19">
        <v>52.8</v>
      </c>
      <c r="ABF19">
        <v>79.8</v>
      </c>
      <c r="ABG19">
        <v>74</v>
      </c>
      <c r="ABH19">
        <v>79.900000000000006</v>
      </c>
      <c r="ABI19">
        <v>67.7</v>
      </c>
      <c r="ABJ19">
        <v>73.2</v>
      </c>
      <c r="ABK19">
        <v>80.7</v>
      </c>
      <c r="ABL19">
        <v>106.8</v>
      </c>
      <c r="ABM19">
        <v>78.400000000000006</v>
      </c>
      <c r="ABN19">
        <v>79.5</v>
      </c>
      <c r="ABO19">
        <v>61.6</v>
      </c>
      <c r="ABP19">
        <v>90.9</v>
      </c>
    </row>
    <row r="20" spans="1:744">
      <c r="A20">
        <v>1983</v>
      </c>
      <c r="B20">
        <v>80.8</v>
      </c>
      <c r="C20">
        <v>74.3</v>
      </c>
      <c r="D20">
        <v>89.7</v>
      </c>
      <c r="E20">
        <v>107.9</v>
      </c>
      <c r="F20">
        <v>109.5</v>
      </c>
      <c r="G20">
        <v>110.8</v>
      </c>
      <c r="H20">
        <v>76</v>
      </c>
      <c r="I20">
        <v>80</v>
      </c>
      <c r="J20">
        <v>71.400000000000006</v>
      </c>
      <c r="L20">
        <v>74.400000000000006</v>
      </c>
      <c r="M20">
        <v>78.900000000000006</v>
      </c>
      <c r="N20">
        <v>64.8</v>
      </c>
      <c r="P20">
        <v>71.2</v>
      </c>
      <c r="R20">
        <v>92.2</v>
      </c>
      <c r="S20">
        <v>78</v>
      </c>
      <c r="T20">
        <v>100.3</v>
      </c>
      <c r="V20">
        <v>69.400000000000006</v>
      </c>
      <c r="W20">
        <v>77</v>
      </c>
      <c r="X20">
        <v>85.4</v>
      </c>
      <c r="Y20">
        <v>122.7</v>
      </c>
      <c r="Z20">
        <v>42.7</v>
      </c>
      <c r="AA20">
        <v>75.599999999999994</v>
      </c>
      <c r="AB20">
        <v>71.400000000000006</v>
      </c>
      <c r="AC20">
        <v>55</v>
      </c>
      <c r="AD20">
        <v>58.3</v>
      </c>
      <c r="AE20">
        <v>105.3</v>
      </c>
      <c r="AF20">
        <v>81.599999999999994</v>
      </c>
      <c r="AG20">
        <v>61.7</v>
      </c>
      <c r="AH20">
        <v>56.6</v>
      </c>
      <c r="AI20">
        <v>135.1</v>
      </c>
      <c r="AJ20">
        <v>53.6</v>
      </c>
      <c r="AK20">
        <v>46.3</v>
      </c>
      <c r="AL20">
        <v>79.2</v>
      </c>
      <c r="AM20">
        <v>63.6</v>
      </c>
      <c r="AN20">
        <v>71.900000000000006</v>
      </c>
      <c r="AO20">
        <v>71.400000000000006</v>
      </c>
      <c r="AP20">
        <v>43.9</v>
      </c>
      <c r="AQ20">
        <v>81.3</v>
      </c>
      <c r="AR20">
        <v>60.8</v>
      </c>
      <c r="AU20">
        <v>59</v>
      </c>
      <c r="AV20">
        <v>58.1</v>
      </c>
      <c r="AW20">
        <v>61.4</v>
      </c>
      <c r="AX20">
        <v>56.6</v>
      </c>
      <c r="AY20">
        <v>57.9</v>
      </c>
      <c r="AZ20">
        <v>71.3</v>
      </c>
      <c r="BD20">
        <v>73.2</v>
      </c>
      <c r="BE20">
        <v>69</v>
      </c>
      <c r="BF20">
        <v>55.6</v>
      </c>
      <c r="BG20">
        <v>86.6</v>
      </c>
      <c r="BH20">
        <v>69.099999999999994</v>
      </c>
      <c r="BJ20">
        <v>81.599999999999994</v>
      </c>
      <c r="BK20">
        <v>93.2</v>
      </c>
      <c r="BL20">
        <v>104</v>
      </c>
      <c r="BM20">
        <v>90.3</v>
      </c>
      <c r="BN20">
        <v>78.900000000000006</v>
      </c>
      <c r="BP20">
        <v>87.3</v>
      </c>
      <c r="BQ20">
        <v>86.6</v>
      </c>
      <c r="BR20">
        <v>85.6</v>
      </c>
      <c r="BS20">
        <v>100.4</v>
      </c>
      <c r="BT20">
        <v>87.8</v>
      </c>
      <c r="BU20">
        <v>60.5</v>
      </c>
      <c r="BW20">
        <v>76.099999999999994</v>
      </c>
      <c r="BX20">
        <v>68.400000000000006</v>
      </c>
      <c r="BZ20">
        <v>88.1</v>
      </c>
      <c r="CA20">
        <v>88.1</v>
      </c>
      <c r="CB20">
        <v>67.7</v>
      </c>
      <c r="CC20">
        <v>70.3</v>
      </c>
      <c r="CD20">
        <v>88.1</v>
      </c>
      <c r="CE20">
        <v>51.3</v>
      </c>
      <c r="CF20">
        <v>61.5</v>
      </c>
      <c r="CG20">
        <v>67.599999999999994</v>
      </c>
      <c r="CH20">
        <v>104.4</v>
      </c>
      <c r="CJ20">
        <v>90.8</v>
      </c>
      <c r="CL20">
        <v>57.7</v>
      </c>
      <c r="CM20">
        <v>52.1</v>
      </c>
      <c r="CN20">
        <v>44.5</v>
      </c>
      <c r="CO20">
        <v>96</v>
      </c>
      <c r="CP20">
        <v>60.8</v>
      </c>
      <c r="CQ20">
        <v>67.400000000000006</v>
      </c>
      <c r="CR20">
        <v>76.7</v>
      </c>
      <c r="CS20">
        <v>64.3</v>
      </c>
      <c r="CT20">
        <v>104.9</v>
      </c>
      <c r="CW20">
        <v>41.6</v>
      </c>
      <c r="CX20">
        <v>68.599999999999994</v>
      </c>
      <c r="CY20">
        <v>63</v>
      </c>
      <c r="CZ20">
        <v>55.2</v>
      </c>
      <c r="DA20">
        <v>57.5</v>
      </c>
      <c r="DB20">
        <v>53.3</v>
      </c>
      <c r="DC20">
        <v>105.7</v>
      </c>
      <c r="DG20">
        <v>64.400000000000006</v>
      </c>
      <c r="DH20">
        <v>54.4</v>
      </c>
      <c r="DI20">
        <v>65.2</v>
      </c>
      <c r="DJ20">
        <v>77.3</v>
      </c>
      <c r="DK20">
        <v>39.700000000000003</v>
      </c>
      <c r="DL20">
        <v>42.2</v>
      </c>
      <c r="DN20">
        <v>76</v>
      </c>
      <c r="DO20">
        <v>74</v>
      </c>
      <c r="DP20">
        <v>75.7</v>
      </c>
      <c r="DQ20">
        <v>74.8</v>
      </c>
      <c r="DR20">
        <v>61.6</v>
      </c>
      <c r="DS20">
        <v>84.8</v>
      </c>
      <c r="DT20">
        <v>45.4</v>
      </c>
      <c r="DU20">
        <v>56.1</v>
      </c>
      <c r="DX20">
        <v>59.5</v>
      </c>
      <c r="DY20">
        <v>105.9</v>
      </c>
      <c r="DZ20">
        <v>55.5</v>
      </c>
      <c r="EA20">
        <v>54.6</v>
      </c>
      <c r="EB20">
        <v>73.599999999999994</v>
      </c>
      <c r="EC20">
        <v>38.200000000000003</v>
      </c>
      <c r="ED20">
        <v>124.1</v>
      </c>
      <c r="EF20">
        <v>39.5</v>
      </c>
      <c r="EG20">
        <v>55</v>
      </c>
      <c r="EH20">
        <v>55.2</v>
      </c>
      <c r="EI20">
        <v>65.400000000000006</v>
      </c>
      <c r="EJ20">
        <v>41.9</v>
      </c>
      <c r="EK20">
        <v>53.8</v>
      </c>
      <c r="EM20">
        <v>53.8</v>
      </c>
      <c r="EN20">
        <v>93.4</v>
      </c>
      <c r="ER20">
        <v>77.900000000000006</v>
      </c>
      <c r="ET20">
        <v>99.3</v>
      </c>
      <c r="EU20">
        <v>123.3</v>
      </c>
      <c r="EV20">
        <v>137.6</v>
      </c>
      <c r="EW20">
        <v>82.7</v>
      </c>
      <c r="EX20">
        <v>96.7</v>
      </c>
      <c r="EY20">
        <v>63.2</v>
      </c>
      <c r="EZ20">
        <v>96.4</v>
      </c>
      <c r="FA20">
        <v>93.1</v>
      </c>
      <c r="FB20">
        <v>120</v>
      </c>
      <c r="FC20">
        <v>94</v>
      </c>
      <c r="FD20">
        <v>108.5</v>
      </c>
      <c r="FE20">
        <v>150.5</v>
      </c>
      <c r="FF20">
        <v>114.2</v>
      </c>
      <c r="FI20">
        <v>87.7</v>
      </c>
      <c r="FJ20">
        <v>74.8</v>
      </c>
      <c r="FK20">
        <v>104.3</v>
      </c>
      <c r="FQ20">
        <v>70.099999999999994</v>
      </c>
      <c r="FR20">
        <v>53.7</v>
      </c>
      <c r="FS20">
        <v>65.7</v>
      </c>
      <c r="FU20">
        <v>72.099999999999994</v>
      </c>
      <c r="FV20">
        <v>53.9</v>
      </c>
      <c r="FY20">
        <v>80.599999999999994</v>
      </c>
      <c r="GA20">
        <v>82.4</v>
      </c>
      <c r="GB20">
        <v>60.4</v>
      </c>
      <c r="GC20">
        <v>72.900000000000006</v>
      </c>
      <c r="GD20">
        <v>69.400000000000006</v>
      </c>
      <c r="GE20">
        <v>115.7</v>
      </c>
      <c r="GF20">
        <v>87.1</v>
      </c>
      <c r="GG20">
        <v>104.9</v>
      </c>
      <c r="GH20">
        <v>73.3</v>
      </c>
      <c r="GI20">
        <v>70</v>
      </c>
      <c r="GU20">
        <v>68.7</v>
      </c>
      <c r="GV20">
        <v>45.1</v>
      </c>
      <c r="GW20">
        <v>54.3</v>
      </c>
      <c r="GX20">
        <v>65.900000000000006</v>
      </c>
      <c r="GY20">
        <v>74.8</v>
      </c>
      <c r="HD20">
        <v>80.5</v>
      </c>
      <c r="HO20">
        <v>103.7</v>
      </c>
      <c r="HP20">
        <v>100.1</v>
      </c>
      <c r="HQ20">
        <v>76.5</v>
      </c>
      <c r="HR20">
        <v>121.3</v>
      </c>
      <c r="HT20">
        <v>111.6</v>
      </c>
      <c r="HU20">
        <v>104.7</v>
      </c>
      <c r="HY20">
        <v>102.9</v>
      </c>
      <c r="IA20">
        <v>113.7</v>
      </c>
      <c r="IB20">
        <v>86.9</v>
      </c>
      <c r="IC20">
        <v>121.7</v>
      </c>
      <c r="IE20">
        <v>68.400000000000006</v>
      </c>
      <c r="IJ20">
        <v>89.8</v>
      </c>
      <c r="IK20">
        <v>98.3</v>
      </c>
      <c r="IL20">
        <v>62.5</v>
      </c>
      <c r="IM20">
        <v>86.7</v>
      </c>
      <c r="IO20">
        <v>108.6</v>
      </c>
      <c r="IP20">
        <v>111.3</v>
      </c>
      <c r="IT20">
        <v>67.8</v>
      </c>
      <c r="IU20">
        <v>67.5</v>
      </c>
      <c r="IV20">
        <v>57.1</v>
      </c>
      <c r="IX20">
        <v>59.7</v>
      </c>
      <c r="IY20">
        <v>63.4</v>
      </c>
      <c r="JA20">
        <v>62.5</v>
      </c>
      <c r="JB20">
        <v>67.099999999999994</v>
      </c>
      <c r="JC20">
        <v>63.7</v>
      </c>
      <c r="JE20">
        <v>73.3</v>
      </c>
      <c r="JI20">
        <v>71.3</v>
      </c>
      <c r="JL20">
        <v>67.5</v>
      </c>
      <c r="JO20">
        <v>66.8</v>
      </c>
      <c r="JQ20">
        <v>66.3</v>
      </c>
      <c r="JS20">
        <v>72.2</v>
      </c>
      <c r="JT20">
        <v>71.599999999999994</v>
      </c>
      <c r="JU20">
        <v>73.2</v>
      </c>
      <c r="JV20">
        <v>72.3</v>
      </c>
      <c r="JW20">
        <v>73.8</v>
      </c>
      <c r="JX20">
        <v>78.900000000000006</v>
      </c>
      <c r="JY20">
        <v>78.900000000000006</v>
      </c>
      <c r="JZ20">
        <v>65.400000000000006</v>
      </c>
      <c r="KA20">
        <v>68.900000000000006</v>
      </c>
      <c r="KB20">
        <v>61.3</v>
      </c>
      <c r="KC20">
        <v>73.2</v>
      </c>
      <c r="KD20">
        <v>73.2</v>
      </c>
      <c r="KE20">
        <v>63.5</v>
      </c>
      <c r="KF20">
        <v>97.3</v>
      </c>
      <c r="KG20">
        <v>88.6</v>
      </c>
      <c r="KL20">
        <v>55.7</v>
      </c>
      <c r="KM20">
        <v>57</v>
      </c>
      <c r="KN20">
        <v>59.3</v>
      </c>
      <c r="KO20">
        <v>37.799999999999997</v>
      </c>
      <c r="KP20">
        <v>54.5</v>
      </c>
      <c r="KS20">
        <v>51.9</v>
      </c>
      <c r="KT20">
        <v>57</v>
      </c>
      <c r="KU20">
        <v>59.4</v>
      </c>
      <c r="KX20">
        <v>71.5</v>
      </c>
      <c r="KY20">
        <v>88.8</v>
      </c>
      <c r="KZ20">
        <v>112.2</v>
      </c>
      <c r="LA20">
        <v>112.2</v>
      </c>
      <c r="LB20">
        <v>82.5</v>
      </c>
      <c r="LC20">
        <v>102.4</v>
      </c>
      <c r="LD20">
        <v>62.2</v>
      </c>
      <c r="LE20">
        <v>89.3</v>
      </c>
      <c r="LF20">
        <v>91.8</v>
      </c>
      <c r="LH20">
        <v>59.7</v>
      </c>
      <c r="LJ20">
        <v>149.80000000000001</v>
      </c>
      <c r="LK20">
        <v>379.1</v>
      </c>
      <c r="LL20">
        <v>930.1</v>
      </c>
      <c r="LM20">
        <v>1543.4</v>
      </c>
      <c r="LN20">
        <v>450.2</v>
      </c>
      <c r="LO20">
        <v>177.1</v>
      </c>
      <c r="LP20">
        <v>2990.1</v>
      </c>
      <c r="LQ20">
        <v>1004.7</v>
      </c>
      <c r="LR20">
        <v>1169.4000000000001</v>
      </c>
      <c r="LT20">
        <v>329.9</v>
      </c>
      <c r="LV20">
        <v>171</v>
      </c>
      <c r="LX20">
        <v>85.9</v>
      </c>
      <c r="LY20">
        <v>75.8</v>
      </c>
      <c r="MB20">
        <v>138.6</v>
      </c>
      <c r="MD20">
        <v>135.69999999999999</v>
      </c>
      <c r="ME20">
        <v>95</v>
      </c>
      <c r="MG20">
        <v>119.5</v>
      </c>
      <c r="MH20">
        <v>89.1</v>
      </c>
      <c r="MI20">
        <v>141.9</v>
      </c>
      <c r="MJ20">
        <v>85.6</v>
      </c>
      <c r="MK20">
        <v>115.9</v>
      </c>
      <c r="MM20">
        <v>74</v>
      </c>
      <c r="MN20">
        <v>57.7</v>
      </c>
      <c r="MO20">
        <v>52.3</v>
      </c>
      <c r="MP20">
        <v>59.1</v>
      </c>
      <c r="MQ20">
        <v>74.8</v>
      </c>
      <c r="MS20">
        <v>73.7</v>
      </c>
      <c r="MU20">
        <v>66.7</v>
      </c>
      <c r="MV20">
        <v>89.1</v>
      </c>
      <c r="MW20">
        <v>83.6</v>
      </c>
      <c r="MX20">
        <v>75</v>
      </c>
      <c r="NB20">
        <v>133.9</v>
      </c>
      <c r="NC20">
        <v>117.3</v>
      </c>
      <c r="ND20">
        <v>145.4</v>
      </c>
      <c r="NE20">
        <v>102.3</v>
      </c>
      <c r="NF20">
        <v>184.5</v>
      </c>
      <c r="NG20">
        <v>174.5</v>
      </c>
      <c r="NH20">
        <v>200.9</v>
      </c>
      <c r="NI20">
        <v>110</v>
      </c>
      <c r="NJ20">
        <v>119.8</v>
      </c>
      <c r="NL20">
        <v>88</v>
      </c>
      <c r="NQ20">
        <v>62.1</v>
      </c>
      <c r="NR20">
        <v>59.3</v>
      </c>
      <c r="NS20">
        <v>59.3</v>
      </c>
      <c r="NT20">
        <v>59.3</v>
      </c>
      <c r="NY20">
        <v>74.099999999999994</v>
      </c>
      <c r="NZ20">
        <v>75</v>
      </c>
      <c r="OA20">
        <v>81.099999999999994</v>
      </c>
      <c r="OB20">
        <v>89</v>
      </c>
      <c r="OC20">
        <v>67.8</v>
      </c>
      <c r="OD20">
        <v>74.099999999999994</v>
      </c>
      <c r="OE20">
        <v>76.099999999999994</v>
      </c>
      <c r="OF20">
        <v>72.7</v>
      </c>
      <c r="OH20">
        <v>80.599999999999994</v>
      </c>
      <c r="OJ20">
        <v>67</v>
      </c>
      <c r="OK20">
        <v>70.8</v>
      </c>
      <c r="OL20">
        <v>66.2</v>
      </c>
      <c r="OM20">
        <v>61.8</v>
      </c>
      <c r="ON20">
        <v>83.5</v>
      </c>
      <c r="OO20">
        <v>62.4</v>
      </c>
      <c r="OP20">
        <v>62.1</v>
      </c>
      <c r="OS20">
        <v>56</v>
      </c>
      <c r="OU20">
        <v>59.8</v>
      </c>
      <c r="OW20">
        <v>61</v>
      </c>
      <c r="OY20">
        <v>59.8</v>
      </c>
      <c r="OZ20">
        <v>57.7</v>
      </c>
      <c r="PB20">
        <v>67.400000000000006</v>
      </c>
      <c r="PD20">
        <v>150.1</v>
      </c>
      <c r="PG20">
        <v>79.5</v>
      </c>
      <c r="PH20">
        <v>72.8</v>
      </c>
      <c r="PI20">
        <v>74.900000000000006</v>
      </c>
      <c r="PJ20">
        <v>76.8</v>
      </c>
      <c r="PK20">
        <v>91.8</v>
      </c>
      <c r="PL20">
        <v>71.599999999999994</v>
      </c>
      <c r="PN20">
        <v>78</v>
      </c>
      <c r="PO20">
        <v>73.2</v>
      </c>
      <c r="PP20">
        <v>72.7</v>
      </c>
      <c r="PT20">
        <v>76.3</v>
      </c>
      <c r="PU20">
        <v>75</v>
      </c>
      <c r="PV20">
        <v>78.099999999999994</v>
      </c>
      <c r="PY20">
        <v>66.900000000000006</v>
      </c>
      <c r="PZ20">
        <v>76.8</v>
      </c>
      <c r="QA20">
        <v>81.2</v>
      </c>
      <c r="QB20">
        <v>67.2</v>
      </c>
      <c r="QC20">
        <v>85.7</v>
      </c>
      <c r="QD20">
        <v>57.3</v>
      </c>
      <c r="QE20">
        <v>59.9</v>
      </c>
      <c r="QF20">
        <v>62.1</v>
      </c>
      <c r="QG20">
        <v>59.8</v>
      </c>
      <c r="QH20">
        <v>74.400000000000006</v>
      </c>
      <c r="QI20">
        <v>74.5</v>
      </c>
      <c r="QJ20">
        <v>73.5</v>
      </c>
      <c r="QK20">
        <v>74.400000000000006</v>
      </c>
      <c r="QL20">
        <v>77.8</v>
      </c>
      <c r="QM20">
        <v>71.099999999999994</v>
      </c>
      <c r="QN20">
        <v>72.400000000000006</v>
      </c>
      <c r="QO20">
        <v>65.400000000000006</v>
      </c>
      <c r="QQ20">
        <v>82.7</v>
      </c>
      <c r="QR20">
        <v>70.400000000000006</v>
      </c>
      <c r="QS20">
        <v>126.8</v>
      </c>
      <c r="QU20">
        <v>73</v>
      </c>
      <c r="QV20">
        <v>101.3</v>
      </c>
      <c r="QW20">
        <v>88.1</v>
      </c>
      <c r="QY20">
        <v>65.5</v>
      </c>
      <c r="QZ20">
        <v>67.7</v>
      </c>
      <c r="RA20">
        <v>64.599999999999994</v>
      </c>
      <c r="RB20">
        <v>59.6</v>
      </c>
      <c r="RD20">
        <v>70.5</v>
      </c>
      <c r="RE20">
        <v>92.1</v>
      </c>
      <c r="RF20">
        <v>78.099999999999994</v>
      </c>
      <c r="RG20">
        <v>87.7</v>
      </c>
      <c r="RH20">
        <v>124.3</v>
      </c>
      <c r="RI20">
        <v>78.7</v>
      </c>
      <c r="RJ20">
        <v>133.1</v>
      </c>
      <c r="RK20">
        <v>89.3</v>
      </c>
      <c r="RL20">
        <v>91.3</v>
      </c>
      <c r="RM20">
        <v>77.900000000000006</v>
      </c>
      <c r="RS20">
        <v>127.3</v>
      </c>
      <c r="RV20">
        <v>150</v>
      </c>
      <c r="SA20">
        <v>92</v>
      </c>
      <c r="SF20">
        <v>49</v>
      </c>
      <c r="SG20">
        <v>51.6</v>
      </c>
      <c r="SK20">
        <v>96.5</v>
      </c>
      <c r="SL20">
        <v>66.3</v>
      </c>
      <c r="SM20">
        <v>76.599999999999994</v>
      </c>
      <c r="SN20">
        <v>74.400000000000006</v>
      </c>
      <c r="SO20">
        <v>83.6</v>
      </c>
      <c r="SP20">
        <v>84.6</v>
      </c>
      <c r="SQ20">
        <v>71.7</v>
      </c>
      <c r="SR20">
        <v>75.8</v>
      </c>
      <c r="SS20">
        <v>59.1</v>
      </c>
      <c r="ST20">
        <v>61</v>
      </c>
      <c r="SU20">
        <v>56.9</v>
      </c>
      <c r="SV20">
        <v>56</v>
      </c>
      <c r="SX20">
        <v>61.2</v>
      </c>
      <c r="SZ20">
        <v>55.7</v>
      </c>
      <c r="TA20">
        <v>95</v>
      </c>
      <c r="TB20">
        <v>57.6</v>
      </c>
      <c r="TE20">
        <v>95.5</v>
      </c>
      <c r="TF20">
        <v>96</v>
      </c>
      <c r="TG20">
        <v>99.1</v>
      </c>
      <c r="TH20">
        <v>92.6</v>
      </c>
      <c r="TK20">
        <v>88.8</v>
      </c>
      <c r="TL20">
        <v>85.8</v>
      </c>
      <c r="TN20">
        <v>95.9</v>
      </c>
      <c r="TO20">
        <v>110.4</v>
      </c>
      <c r="TP20">
        <v>92</v>
      </c>
      <c r="TT20">
        <v>92.6</v>
      </c>
      <c r="TU20">
        <v>50.4</v>
      </c>
      <c r="TV20">
        <v>72.5</v>
      </c>
      <c r="TY20">
        <v>64.099999999999994</v>
      </c>
      <c r="UC20">
        <v>125.1</v>
      </c>
      <c r="UE20">
        <v>165.7</v>
      </c>
      <c r="UF20">
        <v>63.5</v>
      </c>
      <c r="UG20">
        <v>71.5</v>
      </c>
      <c r="UH20">
        <v>146.5</v>
      </c>
      <c r="UL20">
        <v>62.7</v>
      </c>
      <c r="UM20">
        <v>68.2</v>
      </c>
      <c r="UN20">
        <v>55.7</v>
      </c>
      <c r="UO20">
        <v>62.1</v>
      </c>
      <c r="UP20">
        <v>54.2</v>
      </c>
      <c r="UQ20">
        <v>216.8</v>
      </c>
      <c r="UR20">
        <v>65.2</v>
      </c>
      <c r="US20">
        <v>39.6</v>
      </c>
      <c r="UT20">
        <v>46.6</v>
      </c>
      <c r="UW20">
        <v>61.2</v>
      </c>
      <c r="UY20">
        <v>58</v>
      </c>
      <c r="UZ20">
        <v>51</v>
      </c>
      <c r="VB20">
        <v>53.3</v>
      </c>
      <c r="VD20">
        <v>95.3</v>
      </c>
      <c r="VE20">
        <v>2277.9</v>
      </c>
      <c r="VL20">
        <v>3906</v>
      </c>
      <c r="VM20">
        <v>65.2</v>
      </c>
      <c r="VN20">
        <v>70.599999999999994</v>
      </c>
      <c r="VO20">
        <v>89.7</v>
      </c>
      <c r="VP20">
        <v>70.7</v>
      </c>
      <c r="VQ20">
        <v>73.7</v>
      </c>
      <c r="VR20">
        <v>59.9</v>
      </c>
      <c r="VT20">
        <v>96.8</v>
      </c>
      <c r="VU20">
        <v>167</v>
      </c>
      <c r="VV20">
        <v>55.3</v>
      </c>
      <c r="VW20">
        <v>94</v>
      </c>
      <c r="VY20">
        <v>113.2</v>
      </c>
      <c r="WB20">
        <v>143.80000000000001</v>
      </c>
      <c r="WE20">
        <v>96.6</v>
      </c>
      <c r="WF20">
        <v>73.2</v>
      </c>
      <c r="WG20">
        <v>87.2</v>
      </c>
      <c r="WH20">
        <v>65.7</v>
      </c>
      <c r="WI20">
        <v>65.900000000000006</v>
      </c>
      <c r="WJ20">
        <v>69</v>
      </c>
      <c r="WL20">
        <v>95.1</v>
      </c>
      <c r="WX20">
        <v>56.9</v>
      </c>
      <c r="WY20">
        <v>59.4</v>
      </c>
      <c r="XB20">
        <v>59.8</v>
      </c>
      <c r="XD20">
        <v>48</v>
      </c>
      <c r="XE20">
        <v>48.5</v>
      </c>
      <c r="XF20">
        <v>48.6</v>
      </c>
      <c r="XG20">
        <v>45</v>
      </c>
      <c r="XH20">
        <v>68.7</v>
      </c>
      <c r="XI20">
        <v>73.900000000000006</v>
      </c>
      <c r="XJ20">
        <v>73.900000000000006</v>
      </c>
      <c r="XM20">
        <v>57</v>
      </c>
      <c r="XR20">
        <v>59.3</v>
      </c>
      <c r="XT20">
        <v>55.2</v>
      </c>
      <c r="XU20">
        <v>76.8</v>
      </c>
      <c r="XV20">
        <v>65</v>
      </c>
      <c r="XW20">
        <v>67.3</v>
      </c>
      <c r="XZ20">
        <v>74.2</v>
      </c>
      <c r="YA20">
        <v>82.2</v>
      </c>
      <c r="YD20">
        <v>44.8</v>
      </c>
      <c r="YG20">
        <v>62.3</v>
      </c>
      <c r="YM20">
        <v>125.4</v>
      </c>
      <c r="YT20">
        <v>73.3</v>
      </c>
      <c r="YU20">
        <v>69</v>
      </c>
      <c r="YW20">
        <v>67.7</v>
      </c>
      <c r="YX20">
        <v>71.099999999999994</v>
      </c>
      <c r="YY20">
        <v>65.400000000000006</v>
      </c>
      <c r="ZB20">
        <v>101.9</v>
      </c>
      <c r="ZC20">
        <v>225.5</v>
      </c>
      <c r="ZE20">
        <v>126.7</v>
      </c>
      <c r="ZF20">
        <v>108.8</v>
      </c>
      <c r="ZG20">
        <v>105.7</v>
      </c>
      <c r="ZK20">
        <v>97.4</v>
      </c>
      <c r="ZM20">
        <v>132.5</v>
      </c>
      <c r="ZN20">
        <v>94.2</v>
      </c>
      <c r="ZO20">
        <v>101.8</v>
      </c>
      <c r="ZP20">
        <v>107.6</v>
      </c>
      <c r="ZQ20">
        <v>89.4</v>
      </c>
      <c r="ZT20">
        <v>104.8</v>
      </c>
      <c r="ZU20">
        <v>82</v>
      </c>
      <c r="ZW20">
        <v>82.4</v>
      </c>
      <c r="ZY20">
        <v>73.3</v>
      </c>
      <c r="AAC20">
        <v>64.099999999999994</v>
      </c>
      <c r="AAD20">
        <v>54.5</v>
      </c>
      <c r="AAE20">
        <v>101.2</v>
      </c>
      <c r="AAG20">
        <v>40.4</v>
      </c>
      <c r="AAH20">
        <v>109.3</v>
      </c>
      <c r="AAI20">
        <v>80.400000000000006</v>
      </c>
      <c r="AAJ20">
        <v>59.8</v>
      </c>
      <c r="AAK20">
        <v>105.3</v>
      </c>
      <c r="AAL20">
        <v>75.7</v>
      </c>
      <c r="AAM20">
        <v>93.2</v>
      </c>
      <c r="AAN20">
        <v>55.8</v>
      </c>
      <c r="AAO20">
        <v>40.6</v>
      </c>
      <c r="AAP20">
        <v>39.5</v>
      </c>
      <c r="AAR20">
        <v>53.2</v>
      </c>
      <c r="AAX20">
        <v>41.2</v>
      </c>
      <c r="ABB20">
        <v>68.099999999999994</v>
      </c>
      <c r="ABC20">
        <v>77</v>
      </c>
      <c r="ABD20">
        <v>70.3</v>
      </c>
      <c r="ABE20">
        <v>54.6</v>
      </c>
      <c r="ABF20">
        <v>81.2</v>
      </c>
      <c r="ABG20">
        <v>75.599999999999994</v>
      </c>
      <c r="ABH20">
        <v>81.400000000000006</v>
      </c>
      <c r="ABI20">
        <v>69.7</v>
      </c>
      <c r="ABJ20">
        <v>76.099999999999994</v>
      </c>
      <c r="ABK20">
        <v>82.1</v>
      </c>
      <c r="ABL20">
        <v>102.1</v>
      </c>
      <c r="ABM20">
        <v>80.2</v>
      </c>
      <c r="ABN20">
        <v>81.3</v>
      </c>
      <c r="ABO20">
        <v>64</v>
      </c>
      <c r="ABP20">
        <v>92.8</v>
      </c>
    </row>
    <row r="21" spans="1:744">
      <c r="A21">
        <v>1984</v>
      </c>
      <c r="B21">
        <v>82.6</v>
      </c>
      <c r="C21">
        <v>75.900000000000006</v>
      </c>
      <c r="D21">
        <v>92.5</v>
      </c>
      <c r="E21">
        <v>111.9</v>
      </c>
      <c r="F21">
        <v>113.3</v>
      </c>
      <c r="G21">
        <v>114.7</v>
      </c>
      <c r="H21">
        <v>77.400000000000006</v>
      </c>
      <c r="I21">
        <v>81.900000000000006</v>
      </c>
      <c r="J21">
        <v>71.8</v>
      </c>
      <c r="L21">
        <v>77.099999999999994</v>
      </c>
      <c r="M21">
        <v>79.900000000000006</v>
      </c>
      <c r="N21">
        <v>68</v>
      </c>
      <c r="P21">
        <v>74</v>
      </c>
      <c r="R21">
        <v>92.9</v>
      </c>
      <c r="S21">
        <v>79.2</v>
      </c>
      <c r="T21">
        <v>100.6</v>
      </c>
      <c r="V21">
        <v>70.599999999999994</v>
      </c>
      <c r="W21">
        <v>78.8</v>
      </c>
      <c r="X21">
        <v>89.7</v>
      </c>
      <c r="Y21">
        <v>139.80000000000001</v>
      </c>
      <c r="Z21">
        <v>42.6</v>
      </c>
      <c r="AA21">
        <v>67.7</v>
      </c>
      <c r="AB21">
        <v>71.400000000000006</v>
      </c>
      <c r="AC21">
        <v>57.8</v>
      </c>
      <c r="AD21">
        <v>52.3</v>
      </c>
      <c r="AE21">
        <v>105.8</v>
      </c>
      <c r="AF21">
        <v>87.7</v>
      </c>
      <c r="AG21">
        <v>64</v>
      </c>
      <c r="AH21">
        <v>56</v>
      </c>
      <c r="AI21">
        <v>130.5</v>
      </c>
      <c r="AJ21">
        <v>56.8</v>
      </c>
      <c r="AK21">
        <v>47.6</v>
      </c>
      <c r="AL21">
        <v>83.1</v>
      </c>
      <c r="AM21">
        <v>64.3</v>
      </c>
      <c r="AN21">
        <v>72.599999999999994</v>
      </c>
      <c r="AO21">
        <v>68.7</v>
      </c>
      <c r="AP21">
        <v>43</v>
      </c>
      <c r="AQ21">
        <v>86.3</v>
      </c>
      <c r="AR21">
        <v>63.5</v>
      </c>
      <c r="AU21">
        <v>59.5</v>
      </c>
      <c r="AV21">
        <v>58.5</v>
      </c>
      <c r="AW21">
        <v>61.8</v>
      </c>
      <c r="AX21">
        <v>57.4</v>
      </c>
      <c r="AY21">
        <v>58</v>
      </c>
      <c r="AZ21">
        <v>71.7</v>
      </c>
      <c r="BD21">
        <v>73.3</v>
      </c>
      <c r="BE21">
        <v>69.099999999999994</v>
      </c>
      <c r="BF21">
        <v>56.2</v>
      </c>
      <c r="BG21">
        <v>86.1</v>
      </c>
      <c r="BH21">
        <v>69</v>
      </c>
      <c r="BJ21">
        <v>81.3</v>
      </c>
      <c r="BK21">
        <v>92.9</v>
      </c>
      <c r="BL21">
        <v>103.8</v>
      </c>
      <c r="BM21">
        <v>89.5</v>
      </c>
      <c r="BN21">
        <v>79.099999999999994</v>
      </c>
      <c r="BP21">
        <v>86.8</v>
      </c>
      <c r="BQ21">
        <v>86.4</v>
      </c>
      <c r="BR21">
        <v>85.4</v>
      </c>
      <c r="BS21">
        <v>99.7</v>
      </c>
      <c r="BT21">
        <v>87.6</v>
      </c>
      <c r="BU21">
        <v>60.5</v>
      </c>
      <c r="BW21">
        <v>76</v>
      </c>
      <c r="BX21">
        <v>68.2</v>
      </c>
      <c r="BZ21">
        <v>86.6</v>
      </c>
      <c r="CA21">
        <v>86.6</v>
      </c>
      <c r="CB21">
        <v>65.099999999999994</v>
      </c>
      <c r="CC21">
        <v>63.9</v>
      </c>
      <c r="CD21">
        <v>62.7</v>
      </c>
      <c r="CE21">
        <v>38.799999999999997</v>
      </c>
      <c r="CF21">
        <v>42.4</v>
      </c>
      <c r="CG21">
        <v>49.9</v>
      </c>
      <c r="CH21">
        <v>68.3</v>
      </c>
      <c r="CJ21">
        <v>92</v>
      </c>
      <c r="CL21">
        <v>63.7</v>
      </c>
      <c r="CM21">
        <v>55.8</v>
      </c>
      <c r="CN21">
        <v>51.7</v>
      </c>
      <c r="CO21">
        <v>74.400000000000006</v>
      </c>
      <c r="CP21">
        <v>59.8</v>
      </c>
      <c r="CQ21">
        <v>61.7</v>
      </c>
      <c r="CR21">
        <v>88.4</v>
      </c>
      <c r="CS21">
        <v>50.5</v>
      </c>
      <c r="CT21">
        <v>97</v>
      </c>
      <c r="CW21">
        <v>42.1</v>
      </c>
      <c r="CX21">
        <v>55.9</v>
      </c>
      <c r="CY21">
        <v>61</v>
      </c>
      <c r="CZ21">
        <v>51.9</v>
      </c>
      <c r="DA21">
        <v>56.1</v>
      </c>
      <c r="DB21">
        <v>49.9</v>
      </c>
      <c r="DC21">
        <v>104.9</v>
      </c>
      <c r="DG21">
        <v>67.8</v>
      </c>
      <c r="DH21">
        <v>55.1</v>
      </c>
      <c r="DI21">
        <v>68.5</v>
      </c>
      <c r="DJ21">
        <v>77.400000000000006</v>
      </c>
      <c r="DK21">
        <v>40.6</v>
      </c>
      <c r="DL21">
        <v>42.2</v>
      </c>
      <c r="DN21">
        <v>81.2</v>
      </c>
      <c r="DO21">
        <v>78.900000000000006</v>
      </c>
      <c r="DP21">
        <v>82.1</v>
      </c>
      <c r="DQ21">
        <v>76.099999999999994</v>
      </c>
      <c r="DR21">
        <v>66</v>
      </c>
      <c r="DS21">
        <v>100.8</v>
      </c>
      <c r="DT21">
        <v>48.6</v>
      </c>
      <c r="DU21">
        <v>58</v>
      </c>
      <c r="DX21">
        <v>60.1</v>
      </c>
      <c r="DY21">
        <v>110</v>
      </c>
      <c r="DZ21">
        <v>63.8</v>
      </c>
      <c r="EA21">
        <v>63.1</v>
      </c>
      <c r="EB21">
        <v>78.5</v>
      </c>
      <c r="EC21">
        <v>53.5</v>
      </c>
      <c r="ED21">
        <v>115.9</v>
      </c>
      <c r="EF21">
        <v>44.8</v>
      </c>
      <c r="EG21">
        <v>60.3</v>
      </c>
      <c r="EH21">
        <v>58.3</v>
      </c>
      <c r="EI21">
        <v>67.900000000000006</v>
      </c>
      <c r="EJ21">
        <v>45.9</v>
      </c>
      <c r="EK21">
        <v>60.2</v>
      </c>
      <c r="EM21">
        <v>59.5</v>
      </c>
      <c r="EN21">
        <v>84.6</v>
      </c>
      <c r="ER21">
        <v>78</v>
      </c>
      <c r="ET21">
        <v>101.7</v>
      </c>
      <c r="EU21">
        <v>133</v>
      </c>
      <c r="EV21">
        <v>153.6</v>
      </c>
      <c r="EW21">
        <v>82.8</v>
      </c>
      <c r="EX21">
        <v>98.2</v>
      </c>
      <c r="EY21">
        <v>63.2</v>
      </c>
      <c r="EZ21">
        <v>96.2</v>
      </c>
      <c r="FA21">
        <v>94.3</v>
      </c>
      <c r="FB21">
        <v>124</v>
      </c>
      <c r="FC21">
        <v>94</v>
      </c>
      <c r="FD21">
        <v>108.7</v>
      </c>
      <c r="FE21">
        <v>151.19999999999999</v>
      </c>
      <c r="FF21">
        <v>114.5</v>
      </c>
      <c r="FI21">
        <v>88.1</v>
      </c>
      <c r="FJ21">
        <v>85.4</v>
      </c>
      <c r="FK21">
        <v>105.4</v>
      </c>
      <c r="FQ21">
        <v>70.8</v>
      </c>
      <c r="FR21">
        <v>54.6</v>
      </c>
      <c r="FS21">
        <v>66.2</v>
      </c>
      <c r="FU21">
        <v>72.599999999999994</v>
      </c>
      <c r="FV21">
        <v>54.9</v>
      </c>
      <c r="FY21">
        <v>83.2</v>
      </c>
      <c r="GA21">
        <v>82.3</v>
      </c>
      <c r="GB21">
        <v>60.6</v>
      </c>
      <c r="GC21">
        <v>74.2</v>
      </c>
      <c r="GD21">
        <v>69.900000000000006</v>
      </c>
      <c r="GE21">
        <v>115.7</v>
      </c>
      <c r="GF21">
        <v>87</v>
      </c>
      <c r="GG21">
        <v>106.4</v>
      </c>
      <c r="GH21">
        <v>73.2</v>
      </c>
      <c r="GI21">
        <v>71.099999999999994</v>
      </c>
      <c r="GU21">
        <v>69.8</v>
      </c>
      <c r="GV21">
        <v>45.6</v>
      </c>
      <c r="GW21">
        <v>56.3</v>
      </c>
      <c r="GX21">
        <v>66.8</v>
      </c>
      <c r="GY21">
        <v>75.3</v>
      </c>
      <c r="HD21">
        <v>80.3</v>
      </c>
      <c r="HO21">
        <v>104.3</v>
      </c>
      <c r="HP21">
        <v>102.9</v>
      </c>
      <c r="HQ21">
        <v>77.599999999999994</v>
      </c>
      <c r="HR21">
        <v>134.9</v>
      </c>
      <c r="HT21">
        <v>111.6</v>
      </c>
      <c r="HU21">
        <v>104.7</v>
      </c>
      <c r="HY21">
        <v>103</v>
      </c>
      <c r="IA21">
        <v>113.7</v>
      </c>
      <c r="IB21">
        <v>87.7</v>
      </c>
      <c r="IC21">
        <v>121.7</v>
      </c>
      <c r="IE21">
        <v>68.400000000000006</v>
      </c>
      <c r="IJ21">
        <v>98.2</v>
      </c>
      <c r="IK21">
        <v>102.2</v>
      </c>
      <c r="IL21">
        <v>67.5</v>
      </c>
      <c r="IM21">
        <v>97.1</v>
      </c>
      <c r="IO21">
        <v>122.2</v>
      </c>
      <c r="IP21">
        <v>123.8</v>
      </c>
      <c r="IT21">
        <v>69.8</v>
      </c>
      <c r="IU21">
        <v>69.599999999999994</v>
      </c>
      <c r="IV21">
        <v>58.8</v>
      </c>
      <c r="IX21">
        <v>61.8</v>
      </c>
      <c r="IY21">
        <v>66.099999999999994</v>
      </c>
      <c r="JA21">
        <v>63.9</v>
      </c>
      <c r="JB21">
        <v>68.2</v>
      </c>
      <c r="JC21">
        <v>65.3</v>
      </c>
      <c r="JE21">
        <v>75</v>
      </c>
      <c r="JI21">
        <v>72.7</v>
      </c>
      <c r="JL21">
        <v>68.400000000000006</v>
      </c>
      <c r="JO21">
        <v>67.599999999999994</v>
      </c>
      <c r="JQ21">
        <v>71.599999999999994</v>
      </c>
      <c r="JS21">
        <v>73.7</v>
      </c>
      <c r="JT21">
        <v>73</v>
      </c>
      <c r="JU21">
        <v>74.7</v>
      </c>
      <c r="JV21">
        <v>73.8</v>
      </c>
      <c r="JW21">
        <v>75.400000000000006</v>
      </c>
      <c r="JX21">
        <v>80.5</v>
      </c>
      <c r="JY21">
        <v>80.5</v>
      </c>
      <c r="JZ21">
        <v>69.599999999999994</v>
      </c>
      <c r="KA21">
        <v>73.400000000000006</v>
      </c>
      <c r="KB21">
        <v>65.3</v>
      </c>
      <c r="KC21">
        <v>74.599999999999994</v>
      </c>
      <c r="KD21">
        <v>74.599999999999994</v>
      </c>
      <c r="KE21">
        <v>64.599999999999994</v>
      </c>
      <c r="KF21">
        <v>98.1</v>
      </c>
      <c r="KG21">
        <v>89.5</v>
      </c>
      <c r="KL21">
        <v>55.8</v>
      </c>
      <c r="KM21">
        <v>58.2</v>
      </c>
      <c r="KN21">
        <v>59.9</v>
      </c>
      <c r="KO21">
        <v>38.700000000000003</v>
      </c>
      <c r="KP21">
        <v>55.1</v>
      </c>
      <c r="KS21">
        <v>53</v>
      </c>
      <c r="KT21">
        <v>57.8</v>
      </c>
      <c r="KU21">
        <v>60.7</v>
      </c>
      <c r="KX21">
        <v>73</v>
      </c>
      <c r="KY21">
        <v>89.2</v>
      </c>
      <c r="KZ21">
        <v>112.2</v>
      </c>
      <c r="LA21">
        <v>112.2</v>
      </c>
      <c r="LB21">
        <v>82.6</v>
      </c>
      <c r="LC21">
        <v>102.5</v>
      </c>
      <c r="LD21">
        <v>62.4</v>
      </c>
      <c r="LE21">
        <v>84.6</v>
      </c>
      <c r="LF21">
        <v>86.6</v>
      </c>
      <c r="LH21">
        <v>64.099999999999994</v>
      </c>
      <c r="LJ21">
        <v>151</v>
      </c>
      <c r="LK21">
        <v>377.9</v>
      </c>
      <c r="LL21">
        <v>916.5</v>
      </c>
      <c r="LM21">
        <v>1510.8</v>
      </c>
      <c r="LN21">
        <v>436.4</v>
      </c>
      <c r="LO21">
        <v>179.6</v>
      </c>
      <c r="LP21">
        <v>2871.1</v>
      </c>
      <c r="LQ21">
        <v>1010.5</v>
      </c>
      <c r="LR21">
        <v>1138.4000000000001</v>
      </c>
      <c r="LT21">
        <v>334.2</v>
      </c>
      <c r="LV21">
        <v>173.4</v>
      </c>
      <c r="LX21">
        <v>86.2</v>
      </c>
      <c r="LY21">
        <v>77</v>
      </c>
      <c r="MB21">
        <v>139.19999999999999</v>
      </c>
      <c r="MD21">
        <v>136</v>
      </c>
      <c r="ME21">
        <v>96.1</v>
      </c>
      <c r="MG21">
        <v>120.4</v>
      </c>
      <c r="MH21">
        <v>87.2</v>
      </c>
      <c r="MI21">
        <v>143</v>
      </c>
      <c r="MJ21">
        <v>87.8</v>
      </c>
      <c r="MK21">
        <v>118.4</v>
      </c>
      <c r="MM21">
        <v>76.099999999999994</v>
      </c>
      <c r="MN21">
        <v>59.2</v>
      </c>
      <c r="MO21">
        <v>54</v>
      </c>
      <c r="MP21">
        <v>61</v>
      </c>
      <c r="MQ21">
        <v>77.5</v>
      </c>
      <c r="MS21">
        <v>77.599999999999994</v>
      </c>
      <c r="MU21">
        <v>67.2</v>
      </c>
      <c r="MV21">
        <v>90.9</v>
      </c>
      <c r="MW21">
        <v>84.1</v>
      </c>
      <c r="MX21">
        <v>77</v>
      </c>
      <c r="NB21">
        <v>134.19999999999999</v>
      </c>
      <c r="NC21">
        <v>117.3</v>
      </c>
      <c r="ND21">
        <v>145.30000000000001</v>
      </c>
      <c r="NE21">
        <v>102.2</v>
      </c>
      <c r="NF21">
        <v>184.7</v>
      </c>
      <c r="NG21">
        <v>174.5</v>
      </c>
      <c r="NH21">
        <v>200.9</v>
      </c>
      <c r="NI21">
        <v>110.7</v>
      </c>
      <c r="NJ21">
        <v>119.3</v>
      </c>
      <c r="NL21">
        <v>89.3</v>
      </c>
      <c r="NQ21">
        <v>64.599999999999994</v>
      </c>
      <c r="NR21">
        <v>60.8</v>
      </c>
      <c r="NS21">
        <v>60.8</v>
      </c>
      <c r="NT21">
        <v>62</v>
      </c>
      <c r="NY21">
        <v>76.2</v>
      </c>
      <c r="NZ21">
        <v>78.099999999999994</v>
      </c>
      <c r="OA21">
        <v>84.4</v>
      </c>
      <c r="OB21">
        <v>92.3</v>
      </c>
      <c r="OC21">
        <v>71.5</v>
      </c>
      <c r="OD21">
        <v>77.2</v>
      </c>
      <c r="OE21">
        <v>77.400000000000006</v>
      </c>
      <c r="OF21">
        <v>72.900000000000006</v>
      </c>
      <c r="OH21">
        <v>81.5</v>
      </c>
      <c r="OJ21">
        <v>67.900000000000006</v>
      </c>
      <c r="OK21">
        <v>71.5</v>
      </c>
      <c r="OL21">
        <v>67.900000000000006</v>
      </c>
      <c r="OM21">
        <v>62.9</v>
      </c>
      <c r="ON21">
        <v>88.6</v>
      </c>
      <c r="OO21">
        <v>63.3</v>
      </c>
      <c r="OP21">
        <v>66.400000000000006</v>
      </c>
      <c r="OS21">
        <v>61.1</v>
      </c>
      <c r="OU21">
        <v>63.3</v>
      </c>
      <c r="OW21">
        <v>64.3</v>
      </c>
      <c r="OY21">
        <v>63.9</v>
      </c>
      <c r="OZ21">
        <v>61.2</v>
      </c>
      <c r="PB21">
        <v>74.8</v>
      </c>
      <c r="PD21">
        <v>150.6</v>
      </c>
      <c r="PG21">
        <v>80.900000000000006</v>
      </c>
      <c r="PH21">
        <v>74.400000000000006</v>
      </c>
      <c r="PI21">
        <v>76.8</v>
      </c>
      <c r="PJ21">
        <v>78.599999999999994</v>
      </c>
      <c r="PK21">
        <v>93.4</v>
      </c>
      <c r="PL21">
        <v>71.400000000000006</v>
      </c>
      <c r="PN21">
        <v>80.5</v>
      </c>
      <c r="PO21">
        <v>74.900000000000006</v>
      </c>
      <c r="PP21">
        <v>75.3</v>
      </c>
      <c r="PT21">
        <v>78.2</v>
      </c>
      <c r="PU21">
        <v>74.7</v>
      </c>
      <c r="PV21">
        <v>81.599999999999994</v>
      </c>
      <c r="PY21">
        <v>67.900000000000006</v>
      </c>
      <c r="PZ21">
        <v>77.5</v>
      </c>
      <c r="QA21">
        <v>81.400000000000006</v>
      </c>
      <c r="QB21">
        <v>67.099999999999994</v>
      </c>
      <c r="QC21">
        <v>89.6</v>
      </c>
      <c r="QD21">
        <v>58.7</v>
      </c>
      <c r="QE21">
        <v>61.6</v>
      </c>
      <c r="QF21">
        <v>62.3</v>
      </c>
      <c r="QG21">
        <v>61.8</v>
      </c>
      <c r="QH21">
        <v>74.7</v>
      </c>
      <c r="QI21">
        <v>74.7</v>
      </c>
      <c r="QJ21">
        <v>74.7</v>
      </c>
      <c r="QK21">
        <v>75.8</v>
      </c>
      <c r="QL21">
        <v>79.400000000000006</v>
      </c>
      <c r="QM21">
        <v>72</v>
      </c>
      <c r="QN21">
        <v>72.5</v>
      </c>
      <c r="QO21">
        <v>66.2</v>
      </c>
      <c r="QQ21">
        <v>83.9</v>
      </c>
      <c r="QR21">
        <v>70.7</v>
      </c>
      <c r="QS21">
        <v>129.6</v>
      </c>
      <c r="QU21">
        <v>74.5</v>
      </c>
      <c r="QV21">
        <v>101.4</v>
      </c>
      <c r="QW21">
        <v>88.8</v>
      </c>
      <c r="QY21">
        <v>66.2</v>
      </c>
      <c r="QZ21">
        <v>68.599999999999994</v>
      </c>
      <c r="RA21">
        <v>65.099999999999994</v>
      </c>
      <c r="RB21">
        <v>60.6</v>
      </c>
      <c r="RD21">
        <v>73.599999999999994</v>
      </c>
      <c r="RE21">
        <v>98.1</v>
      </c>
      <c r="RF21">
        <v>103</v>
      </c>
      <c r="RG21">
        <v>95.5</v>
      </c>
      <c r="RH21">
        <v>123.8</v>
      </c>
      <c r="RI21">
        <v>79.5</v>
      </c>
      <c r="RJ21">
        <v>132.69999999999999</v>
      </c>
      <c r="RK21">
        <v>89.4</v>
      </c>
      <c r="RL21">
        <v>92.8</v>
      </c>
      <c r="RM21">
        <v>77.8</v>
      </c>
      <c r="RS21">
        <v>131.1</v>
      </c>
      <c r="RV21">
        <v>152</v>
      </c>
      <c r="SA21">
        <v>93.1</v>
      </c>
      <c r="SF21">
        <v>51</v>
      </c>
      <c r="SG21">
        <v>53.3</v>
      </c>
      <c r="SK21">
        <v>98.3</v>
      </c>
      <c r="SL21">
        <v>70.8</v>
      </c>
      <c r="SM21">
        <v>82.2</v>
      </c>
      <c r="SN21">
        <v>80.3</v>
      </c>
      <c r="SO21">
        <v>88.5</v>
      </c>
      <c r="SP21">
        <v>89.5</v>
      </c>
      <c r="SQ21">
        <v>77.2</v>
      </c>
      <c r="SR21">
        <v>81.599999999999994</v>
      </c>
      <c r="SS21">
        <v>64.599999999999994</v>
      </c>
      <c r="ST21">
        <v>66.599999999999994</v>
      </c>
      <c r="SU21">
        <v>62.3</v>
      </c>
      <c r="SV21">
        <v>61.3</v>
      </c>
      <c r="SX21">
        <v>64.599999999999994</v>
      </c>
      <c r="SZ21">
        <v>60.3</v>
      </c>
      <c r="TA21">
        <v>95</v>
      </c>
      <c r="TB21">
        <v>57.6</v>
      </c>
      <c r="TE21">
        <v>95.3</v>
      </c>
      <c r="TF21">
        <v>98.1</v>
      </c>
      <c r="TG21">
        <v>100.6</v>
      </c>
      <c r="TH21">
        <v>94.2</v>
      </c>
      <c r="TK21">
        <v>88.5</v>
      </c>
      <c r="TL21">
        <v>85.5</v>
      </c>
      <c r="TN21">
        <v>94.7</v>
      </c>
      <c r="TO21">
        <v>107.7</v>
      </c>
      <c r="TP21">
        <v>91.4</v>
      </c>
      <c r="TT21">
        <v>91.5</v>
      </c>
      <c r="TU21">
        <v>53.2</v>
      </c>
      <c r="TV21">
        <v>72.5</v>
      </c>
      <c r="TY21">
        <v>64.099999999999994</v>
      </c>
      <c r="UC21">
        <v>125.1</v>
      </c>
      <c r="UE21">
        <v>162</v>
      </c>
      <c r="UF21">
        <v>63.5</v>
      </c>
      <c r="UG21">
        <v>71.5</v>
      </c>
      <c r="UH21">
        <v>143.1</v>
      </c>
      <c r="UL21">
        <v>65.400000000000006</v>
      </c>
      <c r="UM21">
        <v>71.2</v>
      </c>
      <c r="UN21">
        <v>58</v>
      </c>
      <c r="UO21">
        <v>63.6</v>
      </c>
      <c r="UP21">
        <v>55.8</v>
      </c>
      <c r="UQ21">
        <v>227.1</v>
      </c>
      <c r="UR21">
        <v>67.900000000000006</v>
      </c>
      <c r="US21">
        <v>41.9</v>
      </c>
      <c r="UT21">
        <v>49.4</v>
      </c>
      <c r="UW21">
        <v>61.8</v>
      </c>
      <c r="UY21">
        <v>58.6</v>
      </c>
      <c r="UZ21">
        <v>53.4</v>
      </c>
      <c r="VB21">
        <v>55.8</v>
      </c>
      <c r="VD21">
        <v>97.2</v>
      </c>
      <c r="VE21">
        <v>2220.9</v>
      </c>
      <c r="VL21">
        <v>3814.1</v>
      </c>
      <c r="VM21">
        <v>65.2</v>
      </c>
      <c r="VN21">
        <v>68.2</v>
      </c>
      <c r="VO21">
        <v>90.4</v>
      </c>
      <c r="VP21">
        <v>71</v>
      </c>
      <c r="VQ21">
        <v>74.099999999999994</v>
      </c>
      <c r="VR21">
        <v>60.2</v>
      </c>
      <c r="VT21">
        <v>98.3</v>
      </c>
      <c r="VU21">
        <v>167</v>
      </c>
      <c r="VV21">
        <v>56.4</v>
      </c>
      <c r="VW21">
        <v>94</v>
      </c>
      <c r="VY21">
        <v>114</v>
      </c>
      <c r="WB21">
        <v>145.6</v>
      </c>
      <c r="WE21">
        <v>100</v>
      </c>
      <c r="WF21">
        <v>73.400000000000006</v>
      </c>
      <c r="WG21">
        <v>87.3</v>
      </c>
      <c r="WH21">
        <v>64.599999999999994</v>
      </c>
      <c r="WI21">
        <v>67.400000000000006</v>
      </c>
      <c r="WJ21">
        <v>65.099999999999994</v>
      </c>
      <c r="WL21">
        <v>95.9</v>
      </c>
      <c r="WX21">
        <v>57.3</v>
      </c>
      <c r="WY21">
        <v>59.6</v>
      </c>
      <c r="XB21">
        <v>61.5</v>
      </c>
      <c r="XD21">
        <v>48.6</v>
      </c>
      <c r="XE21">
        <v>48.6</v>
      </c>
      <c r="XF21">
        <v>48.6</v>
      </c>
      <c r="XG21">
        <v>45.3</v>
      </c>
      <c r="XH21">
        <v>71.3</v>
      </c>
      <c r="XI21">
        <v>76.2</v>
      </c>
      <c r="XJ21">
        <v>76.2</v>
      </c>
      <c r="XM21">
        <v>58.8</v>
      </c>
      <c r="XR21">
        <v>61.6</v>
      </c>
      <c r="XT21">
        <v>56.7</v>
      </c>
      <c r="XU21">
        <v>80.400000000000006</v>
      </c>
      <c r="XV21">
        <v>75.099999999999994</v>
      </c>
      <c r="XW21">
        <v>77.7</v>
      </c>
      <c r="XZ21">
        <v>76.8</v>
      </c>
      <c r="YA21">
        <v>82.8</v>
      </c>
      <c r="YD21">
        <v>47.5</v>
      </c>
      <c r="YG21">
        <v>64.2</v>
      </c>
      <c r="YM21">
        <v>121.2</v>
      </c>
      <c r="YT21">
        <v>74.5</v>
      </c>
      <c r="YU21">
        <v>70.5</v>
      </c>
      <c r="YW21">
        <v>69.900000000000006</v>
      </c>
      <c r="YX21">
        <v>71.5</v>
      </c>
      <c r="YY21">
        <v>66.5</v>
      </c>
      <c r="ZB21">
        <v>103.6</v>
      </c>
      <c r="ZC21">
        <v>225.3</v>
      </c>
      <c r="ZE21">
        <v>126.2</v>
      </c>
      <c r="ZF21">
        <v>109.1</v>
      </c>
      <c r="ZG21">
        <v>107</v>
      </c>
      <c r="ZK21">
        <v>97.5</v>
      </c>
      <c r="ZM21">
        <v>132.6</v>
      </c>
      <c r="ZN21">
        <v>96.3</v>
      </c>
      <c r="ZO21">
        <v>102.5</v>
      </c>
      <c r="ZP21">
        <v>107.6</v>
      </c>
      <c r="ZQ21">
        <v>91.5</v>
      </c>
      <c r="ZT21">
        <v>104.7</v>
      </c>
      <c r="ZU21">
        <v>84</v>
      </c>
      <c r="ZW21">
        <v>85.2</v>
      </c>
      <c r="ZY21">
        <v>79</v>
      </c>
      <c r="AAC21">
        <v>64.5</v>
      </c>
      <c r="AAD21">
        <v>55.1</v>
      </c>
      <c r="AAE21">
        <v>101.2</v>
      </c>
      <c r="AAG21">
        <v>41.6</v>
      </c>
      <c r="AAH21">
        <v>111.3</v>
      </c>
      <c r="AAI21">
        <v>80.099999999999994</v>
      </c>
      <c r="AAJ21">
        <v>59.8</v>
      </c>
      <c r="AAK21">
        <v>104.2</v>
      </c>
      <c r="AAL21">
        <v>77.099999999999994</v>
      </c>
      <c r="AAM21">
        <v>93.8</v>
      </c>
      <c r="AAN21">
        <v>58.3</v>
      </c>
      <c r="AAO21">
        <v>40.9</v>
      </c>
      <c r="AAP21">
        <v>39.9</v>
      </c>
      <c r="AAR21">
        <v>58.9</v>
      </c>
      <c r="AAX21">
        <v>51.1</v>
      </c>
      <c r="ABB21">
        <v>69</v>
      </c>
      <c r="ABC21">
        <v>78.8</v>
      </c>
      <c r="ABD21">
        <v>63.9</v>
      </c>
      <c r="ABE21">
        <v>63.1</v>
      </c>
      <c r="ABF21">
        <v>83.1</v>
      </c>
      <c r="ABG21">
        <v>77.400000000000006</v>
      </c>
      <c r="ABH21">
        <v>83.2</v>
      </c>
      <c r="ABI21">
        <v>71.400000000000006</v>
      </c>
      <c r="ABJ21">
        <v>78.5</v>
      </c>
      <c r="ABK21">
        <v>84</v>
      </c>
      <c r="ABL21">
        <v>100.7</v>
      </c>
      <c r="ABM21">
        <v>82.1</v>
      </c>
      <c r="ABN21">
        <v>83.7</v>
      </c>
      <c r="ABO21">
        <v>66.2</v>
      </c>
      <c r="ABP21">
        <v>95.7</v>
      </c>
    </row>
    <row r="22" spans="1:744">
      <c r="A22">
        <v>1985</v>
      </c>
      <c r="B22">
        <v>84.2</v>
      </c>
      <c r="C22">
        <v>77.3</v>
      </c>
      <c r="D22">
        <v>94.4</v>
      </c>
      <c r="E22">
        <v>114.8</v>
      </c>
      <c r="F22">
        <v>115.3</v>
      </c>
      <c r="G22">
        <v>116.8</v>
      </c>
      <c r="H22">
        <v>78.8</v>
      </c>
      <c r="I22">
        <v>82.5</v>
      </c>
      <c r="J22">
        <v>74.8</v>
      </c>
      <c r="L22">
        <v>77.5</v>
      </c>
      <c r="M22">
        <v>79.8</v>
      </c>
      <c r="N22">
        <v>68.8</v>
      </c>
      <c r="O22">
        <v>82.6</v>
      </c>
      <c r="P22">
        <v>74.099999999999994</v>
      </c>
      <c r="Q22">
        <v>87.3</v>
      </c>
      <c r="R22">
        <v>92.7</v>
      </c>
      <c r="S22">
        <v>79.3</v>
      </c>
      <c r="T22">
        <v>100.2</v>
      </c>
      <c r="V22">
        <v>71.900000000000006</v>
      </c>
      <c r="W22">
        <v>80</v>
      </c>
      <c r="X22">
        <v>90.3</v>
      </c>
      <c r="Y22">
        <v>127.4</v>
      </c>
      <c r="Z22">
        <v>43.5</v>
      </c>
      <c r="AA22">
        <v>79.7</v>
      </c>
      <c r="AB22">
        <v>73.7</v>
      </c>
      <c r="AC22">
        <v>59.7</v>
      </c>
      <c r="AD22">
        <v>48</v>
      </c>
      <c r="AE22">
        <v>106.5</v>
      </c>
      <c r="AF22">
        <v>86.8</v>
      </c>
      <c r="AG22">
        <v>70.3</v>
      </c>
      <c r="AH22">
        <v>57.8</v>
      </c>
      <c r="AI22">
        <v>127.3</v>
      </c>
      <c r="AJ22">
        <v>56.5</v>
      </c>
      <c r="AK22">
        <v>48.9</v>
      </c>
      <c r="AL22">
        <v>81.3</v>
      </c>
      <c r="AM22">
        <v>66.3</v>
      </c>
      <c r="AN22">
        <v>77.3</v>
      </c>
      <c r="AO22">
        <v>69.2</v>
      </c>
      <c r="AP22">
        <v>43.3</v>
      </c>
      <c r="AQ22">
        <v>84</v>
      </c>
      <c r="AR22">
        <v>63.5</v>
      </c>
      <c r="AU22">
        <v>60.8</v>
      </c>
      <c r="AV22">
        <v>59.6</v>
      </c>
      <c r="AW22">
        <v>63.5</v>
      </c>
      <c r="AX22">
        <v>59.2</v>
      </c>
      <c r="AY22">
        <v>58.3</v>
      </c>
      <c r="AZ22">
        <v>72.099999999999994</v>
      </c>
      <c r="BC22">
        <v>58.5</v>
      </c>
      <c r="BD22">
        <v>72.599999999999994</v>
      </c>
      <c r="BE22">
        <v>68.400000000000006</v>
      </c>
      <c r="BF22">
        <v>57.2</v>
      </c>
      <c r="BG22">
        <v>86.2</v>
      </c>
      <c r="BH22">
        <v>67.900000000000006</v>
      </c>
      <c r="BJ22">
        <v>79.5</v>
      </c>
      <c r="BK22">
        <v>92.5</v>
      </c>
      <c r="BL22">
        <v>103.1</v>
      </c>
      <c r="BM22">
        <v>89.6</v>
      </c>
      <c r="BN22">
        <v>78.400000000000006</v>
      </c>
      <c r="BP22">
        <v>89.6</v>
      </c>
      <c r="BQ22">
        <v>86.7</v>
      </c>
      <c r="BR22">
        <v>85.1</v>
      </c>
      <c r="BS22">
        <v>98.8</v>
      </c>
      <c r="BT22">
        <v>89.6</v>
      </c>
      <c r="BU22">
        <v>65.099999999999994</v>
      </c>
      <c r="BV22">
        <v>116.5</v>
      </c>
      <c r="BW22">
        <v>76.099999999999994</v>
      </c>
      <c r="BX22">
        <v>68.2</v>
      </c>
      <c r="BZ22">
        <v>95.6</v>
      </c>
      <c r="CA22">
        <v>95.6</v>
      </c>
      <c r="CB22">
        <v>68.3</v>
      </c>
      <c r="CC22">
        <v>68.8</v>
      </c>
      <c r="CD22">
        <v>91.7</v>
      </c>
      <c r="CE22">
        <v>46.6</v>
      </c>
      <c r="CF22">
        <v>59.8</v>
      </c>
      <c r="CG22">
        <v>65.5</v>
      </c>
      <c r="CH22">
        <v>109.2</v>
      </c>
      <c r="CJ22">
        <v>91.9</v>
      </c>
      <c r="CL22">
        <v>55.9</v>
      </c>
      <c r="CM22">
        <v>47.2</v>
      </c>
      <c r="CN22">
        <v>47.5</v>
      </c>
      <c r="CO22">
        <v>87.3</v>
      </c>
      <c r="CP22">
        <v>54.2</v>
      </c>
      <c r="CQ22">
        <v>55.8</v>
      </c>
      <c r="CR22">
        <v>49.8</v>
      </c>
      <c r="CS22">
        <v>54.8</v>
      </c>
      <c r="CT22">
        <v>78.599999999999994</v>
      </c>
      <c r="CW22">
        <v>50.5</v>
      </c>
      <c r="CX22">
        <v>63.1</v>
      </c>
      <c r="CY22">
        <v>65.099999999999994</v>
      </c>
      <c r="CZ22">
        <v>64.599999999999994</v>
      </c>
      <c r="DA22">
        <v>64.8</v>
      </c>
      <c r="DB22">
        <v>54.9</v>
      </c>
      <c r="DC22">
        <v>101.5</v>
      </c>
      <c r="DG22">
        <v>68.2</v>
      </c>
      <c r="DH22">
        <v>54.8</v>
      </c>
      <c r="DI22">
        <v>67.2</v>
      </c>
      <c r="DJ22">
        <v>77.5</v>
      </c>
      <c r="DK22">
        <v>40.799999999999997</v>
      </c>
      <c r="DL22">
        <v>42.4</v>
      </c>
      <c r="DN22">
        <v>81.7</v>
      </c>
      <c r="DO22">
        <v>79</v>
      </c>
      <c r="DP22">
        <v>82.9</v>
      </c>
      <c r="DQ22">
        <v>78.3</v>
      </c>
      <c r="DR22">
        <v>66.8</v>
      </c>
      <c r="DS22">
        <v>102.2</v>
      </c>
      <c r="DT22">
        <v>49.9</v>
      </c>
      <c r="DU22">
        <v>59.1</v>
      </c>
      <c r="DX22">
        <v>60</v>
      </c>
      <c r="DY22">
        <v>107.7</v>
      </c>
      <c r="DZ22">
        <v>64</v>
      </c>
      <c r="EA22">
        <v>63</v>
      </c>
      <c r="EB22">
        <v>88.2</v>
      </c>
      <c r="EC22">
        <v>47.6</v>
      </c>
      <c r="ED22">
        <v>117.1</v>
      </c>
      <c r="EF22">
        <v>46.8</v>
      </c>
      <c r="EG22">
        <v>56.4</v>
      </c>
      <c r="EH22">
        <v>60.9</v>
      </c>
      <c r="EI22">
        <v>74.900000000000006</v>
      </c>
      <c r="EJ22">
        <v>47.4</v>
      </c>
      <c r="EK22">
        <v>59.2</v>
      </c>
      <c r="EL22">
        <v>84.8</v>
      </c>
      <c r="EM22">
        <v>57.4</v>
      </c>
      <c r="EN22">
        <v>90.1</v>
      </c>
      <c r="ER22">
        <v>87.4</v>
      </c>
      <c r="ET22">
        <v>103.3</v>
      </c>
      <c r="EU22">
        <v>138.80000000000001</v>
      </c>
      <c r="EV22">
        <v>159.30000000000001</v>
      </c>
      <c r="EW22">
        <v>87.9</v>
      </c>
      <c r="EX22">
        <v>99.2</v>
      </c>
      <c r="EY22">
        <v>63.2</v>
      </c>
      <c r="EZ22">
        <v>95.8</v>
      </c>
      <c r="FA22">
        <v>98.6</v>
      </c>
      <c r="FB22">
        <v>123.3</v>
      </c>
      <c r="FC22">
        <v>93.4</v>
      </c>
      <c r="FD22">
        <v>108.5</v>
      </c>
      <c r="FE22">
        <v>151.6</v>
      </c>
      <c r="FF22">
        <v>119.5</v>
      </c>
      <c r="FI22">
        <v>87.8</v>
      </c>
      <c r="FJ22">
        <v>85.4</v>
      </c>
      <c r="FK22">
        <v>104.9</v>
      </c>
      <c r="FL22">
        <v>84</v>
      </c>
      <c r="FM22">
        <v>88.8</v>
      </c>
      <c r="FQ22">
        <v>71.099999999999994</v>
      </c>
      <c r="FR22">
        <v>55.3</v>
      </c>
      <c r="FS22">
        <v>66.400000000000006</v>
      </c>
      <c r="FU22">
        <v>73</v>
      </c>
      <c r="FV22">
        <v>55.7</v>
      </c>
      <c r="FX22">
        <v>74</v>
      </c>
      <c r="FY22">
        <v>85.2</v>
      </c>
      <c r="GA22">
        <v>84.5</v>
      </c>
      <c r="GB22">
        <v>59.8</v>
      </c>
      <c r="GC22">
        <v>74.099999999999994</v>
      </c>
      <c r="GD22">
        <v>70.099999999999994</v>
      </c>
      <c r="GE22">
        <v>116.3</v>
      </c>
      <c r="GF22">
        <v>86.7</v>
      </c>
      <c r="GG22">
        <v>104.9</v>
      </c>
      <c r="GH22">
        <v>73.3</v>
      </c>
      <c r="GI22">
        <v>71.5</v>
      </c>
      <c r="GJ22">
        <v>73.2</v>
      </c>
      <c r="GM22">
        <v>68.900000000000006</v>
      </c>
      <c r="GU22">
        <v>70.2</v>
      </c>
      <c r="GV22">
        <v>45.1</v>
      </c>
      <c r="GW22">
        <v>57.5</v>
      </c>
      <c r="GX22">
        <v>67.7</v>
      </c>
      <c r="GY22">
        <v>75.599999999999994</v>
      </c>
      <c r="HA22">
        <v>85.4</v>
      </c>
      <c r="HD22">
        <v>80</v>
      </c>
      <c r="HG22">
        <v>97.9</v>
      </c>
      <c r="HO22">
        <v>106.3</v>
      </c>
      <c r="HP22">
        <v>104.6</v>
      </c>
      <c r="HQ22">
        <v>79.5</v>
      </c>
      <c r="HR22">
        <v>136.5</v>
      </c>
      <c r="HT22">
        <v>119.9</v>
      </c>
      <c r="HU22">
        <v>112.4</v>
      </c>
      <c r="HV22">
        <v>106.8</v>
      </c>
      <c r="HY22">
        <v>103</v>
      </c>
      <c r="IA22">
        <v>113.7</v>
      </c>
      <c r="IB22">
        <v>88.6</v>
      </c>
      <c r="IC22">
        <v>121.7</v>
      </c>
      <c r="IE22">
        <v>68.599999999999994</v>
      </c>
      <c r="IJ22">
        <v>98.8</v>
      </c>
      <c r="IK22">
        <v>102.4</v>
      </c>
      <c r="IL22">
        <v>67.7</v>
      </c>
      <c r="IM22">
        <v>97.8</v>
      </c>
      <c r="IO22">
        <v>123.1</v>
      </c>
      <c r="IP22">
        <v>125</v>
      </c>
      <c r="IT22">
        <v>71.2</v>
      </c>
      <c r="IU22">
        <v>71</v>
      </c>
      <c r="IV22">
        <v>60.1</v>
      </c>
      <c r="IX22">
        <v>62.8</v>
      </c>
      <c r="IY22">
        <v>67.099999999999994</v>
      </c>
      <c r="JA22">
        <v>65.3</v>
      </c>
      <c r="JB22">
        <v>69.5</v>
      </c>
      <c r="JC22">
        <v>66.5</v>
      </c>
      <c r="JE22">
        <v>75.900000000000006</v>
      </c>
      <c r="JI22">
        <v>73.900000000000006</v>
      </c>
      <c r="JL22">
        <v>69.2</v>
      </c>
      <c r="JO22">
        <v>69.3</v>
      </c>
      <c r="JQ22">
        <v>73.3</v>
      </c>
      <c r="JS22">
        <v>74.599999999999994</v>
      </c>
      <c r="JT22">
        <v>73.900000000000006</v>
      </c>
      <c r="JU22">
        <v>75.7</v>
      </c>
      <c r="JV22">
        <v>75.7</v>
      </c>
      <c r="JW22">
        <v>77.5</v>
      </c>
      <c r="JX22">
        <v>82.7</v>
      </c>
      <c r="JY22">
        <v>82.7</v>
      </c>
      <c r="JZ22">
        <v>72.8</v>
      </c>
      <c r="KA22">
        <v>76.7</v>
      </c>
      <c r="KB22">
        <v>68.3</v>
      </c>
      <c r="KC22">
        <v>76.5</v>
      </c>
      <c r="KD22">
        <v>76.5</v>
      </c>
      <c r="KE22">
        <v>65.900000000000006</v>
      </c>
      <c r="KF22">
        <v>98.8</v>
      </c>
      <c r="KG22">
        <v>90.6</v>
      </c>
      <c r="KL22">
        <v>55.9</v>
      </c>
      <c r="KM22">
        <v>59.5</v>
      </c>
      <c r="KN22">
        <v>60.6</v>
      </c>
      <c r="KO22">
        <v>39.9</v>
      </c>
      <c r="KP22">
        <v>55.8</v>
      </c>
      <c r="KS22">
        <v>54.8</v>
      </c>
      <c r="KT22">
        <v>58.5</v>
      </c>
      <c r="KU22">
        <v>61.9</v>
      </c>
      <c r="KX22">
        <v>74.5</v>
      </c>
      <c r="KY22">
        <v>88.7</v>
      </c>
      <c r="KZ22">
        <v>112.2</v>
      </c>
      <c r="LA22">
        <v>112.2</v>
      </c>
      <c r="LB22">
        <v>82.7</v>
      </c>
      <c r="LC22">
        <v>102.5</v>
      </c>
      <c r="LD22">
        <v>62.5</v>
      </c>
      <c r="LE22">
        <v>77.400000000000006</v>
      </c>
      <c r="LF22">
        <v>78.7</v>
      </c>
      <c r="LG22">
        <v>60.6</v>
      </c>
      <c r="LH22">
        <v>65.7</v>
      </c>
      <c r="LI22">
        <v>50.6</v>
      </c>
      <c r="LJ22">
        <v>151.69999999999999</v>
      </c>
      <c r="LK22">
        <v>374.5</v>
      </c>
      <c r="LL22">
        <v>902</v>
      </c>
      <c r="LM22">
        <v>1484.1</v>
      </c>
      <c r="LN22">
        <v>429.1</v>
      </c>
      <c r="LO22">
        <v>178.4</v>
      </c>
      <c r="LP22">
        <v>2808.8</v>
      </c>
      <c r="LQ22">
        <v>956.1</v>
      </c>
      <c r="LR22">
        <v>1146.4000000000001</v>
      </c>
      <c r="LT22">
        <v>331.5</v>
      </c>
      <c r="LU22">
        <v>525</v>
      </c>
      <c r="LV22">
        <v>173.8</v>
      </c>
      <c r="LX22">
        <v>86.4</v>
      </c>
      <c r="LY22">
        <v>77.2</v>
      </c>
      <c r="MB22">
        <v>139.9</v>
      </c>
      <c r="MD22">
        <v>136</v>
      </c>
      <c r="ME22">
        <v>98.9</v>
      </c>
      <c r="MG22">
        <v>120.9</v>
      </c>
      <c r="MH22">
        <v>88.5</v>
      </c>
      <c r="MI22">
        <v>143.5</v>
      </c>
      <c r="MJ22">
        <v>89.4</v>
      </c>
      <c r="MK22">
        <v>122.3</v>
      </c>
      <c r="MM22">
        <v>77.5</v>
      </c>
      <c r="MN22">
        <v>61.1</v>
      </c>
      <c r="MO22">
        <v>56.3</v>
      </c>
      <c r="MP22">
        <v>62.8</v>
      </c>
      <c r="MQ22">
        <v>78.400000000000006</v>
      </c>
      <c r="MS22">
        <v>79.5</v>
      </c>
      <c r="MU22">
        <v>67.8</v>
      </c>
      <c r="MV22">
        <v>92.1</v>
      </c>
      <c r="MW22">
        <v>83.2</v>
      </c>
      <c r="MX22">
        <v>78.099999999999994</v>
      </c>
      <c r="NB22">
        <v>134.30000000000001</v>
      </c>
      <c r="NC22">
        <v>117.2</v>
      </c>
      <c r="ND22">
        <v>145</v>
      </c>
      <c r="NE22">
        <v>101.9</v>
      </c>
      <c r="NF22">
        <v>184.7</v>
      </c>
      <c r="NG22">
        <v>174.5</v>
      </c>
      <c r="NH22">
        <v>201.1</v>
      </c>
      <c r="NI22">
        <v>111.3</v>
      </c>
      <c r="NJ22">
        <v>120.2</v>
      </c>
      <c r="NL22">
        <v>89.8</v>
      </c>
      <c r="NM22">
        <v>174.3</v>
      </c>
      <c r="NQ22">
        <v>66.7</v>
      </c>
      <c r="NR22">
        <v>62.7</v>
      </c>
      <c r="NS22">
        <v>62.7</v>
      </c>
      <c r="NT22">
        <v>64</v>
      </c>
      <c r="NY22">
        <v>78.5</v>
      </c>
      <c r="NZ22">
        <v>81.5</v>
      </c>
      <c r="OA22">
        <v>85.7</v>
      </c>
      <c r="OB22">
        <v>93.6</v>
      </c>
      <c r="OC22">
        <v>72.8</v>
      </c>
      <c r="OD22">
        <v>81</v>
      </c>
      <c r="OE22">
        <v>79.400000000000006</v>
      </c>
      <c r="OF22">
        <v>75.5</v>
      </c>
      <c r="OH22">
        <v>83.4</v>
      </c>
      <c r="OJ22">
        <v>69.400000000000006</v>
      </c>
      <c r="OK22">
        <v>73.900000000000006</v>
      </c>
      <c r="OL22">
        <v>69.900000000000006</v>
      </c>
      <c r="OM22">
        <v>64.099999999999994</v>
      </c>
      <c r="ON22">
        <v>92.6</v>
      </c>
      <c r="OO22">
        <v>64.5</v>
      </c>
      <c r="OP22">
        <v>71.099999999999994</v>
      </c>
      <c r="OQ22">
        <v>70</v>
      </c>
      <c r="OS22">
        <v>66.2</v>
      </c>
      <c r="OU22">
        <v>68.7</v>
      </c>
      <c r="OV22">
        <v>76.900000000000006</v>
      </c>
      <c r="OW22">
        <v>69.099999999999994</v>
      </c>
      <c r="OX22">
        <v>67</v>
      </c>
      <c r="OY22">
        <v>66.900000000000006</v>
      </c>
      <c r="OZ22">
        <v>62.3</v>
      </c>
      <c r="PA22">
        <v>99.3</v>
      </c>
      <c r="PB22">
        <v>82</v>
      </c>
      <c r="PC22">
        <v>63.4</v>
      </c>
      <c r="PD22">
        <v>156.5</v>
      </c>
      <c r="PG22">
        <v>82.3</v>
      </c>
      <c r="PH22">
        <v>76</v>
      </c>
      <c r="PI22">
        <v>78.599999999999994</v>
      </c>
      <c r="PJ22">
        <v>80.400000000000006</v>
      </c>
      <c r="PK22">
        <v>95</v>
      </c>
      <c r="PL22">
        <v>73.099999999999994</v>
      </c>
      <c r="PM22">
        <v>76.099999999999994</v>
      </c>
      <c r="PN22">
        <v>82.5</v>
      </c>
      <c r="PO22">
        <v>76.7</v>
      </c>
      <c r="PP22">
        <v>77.900000000000006</v>
      </c>
      <c r="PQ22">
        <v>81</v>
      </c>
      <c r="PR22">
        <v>83.1</v>
      </c>
      <c r="PS22">
        <v>58.5</v>
      </c>
      <c r="PT22">
        <v>79.2</v>
      </c>
      <c r="PU22">
        <v>76.8</v>
      </c>
      <c r="PV22">
        <v>83.5</v>
      </c>
      <c r="PW22">
        <v>98.8</v>
      </c>
      <c r="PX22">
        <v>74.8</v>
      </c>
      <c r="PY22">
        <v>69</v>
      </c>
      <c r="PZ22">
        <v>78.2</v>
      </c>
      <c r="QA22">
        <v>81.5</v>
      </c>
      <c r="QB22">
        <v>67.2</v>
      </c>
      <c r="QC22">
        <v>93.1</v>
      </c>
      <c r="QD22">
        <v>60.3</v>
      </c>
      <c r="QE22">
        <v>62.9</v>
      </c>
      <c r="QF22">
        <v>62.7</v>
      </c>
      <c r="QG22">
        <v>64.099999999999994</v>
      </c>
      <c r="QH22">
        <v>75.099999999999994</v>
      </c>
      <c r="QI22">
        <v>75.099999999999994</v>
      </c>
      <c r="QJ22">
        <v>75.900000000000006</v>
      </c>
      <c r="QK22">
        <v>77.099999999999994</v>
      </c>
      <c r="QL22">
        <v>81.400000000000006</v>
      </c>
      <c r="QM22">
        <v>72.900000000000006</v>
      </c>
      <c r="QN22">
        <v>72.900000000000006</v>
      </c>
      <c r="QO22">
        <v>66.8</v>
      </c>
      <c r="QQ22">
        <v>85.6</v>
      </c>
      <c r="QR22">
        <v>71</v>
      </c>
      <c r="QS22">
        <v>132.4</v>
      </c>
      <c r="QU22">
        <v>78.2</v>
      </c>
      <c r="QV22">
        <v>101</v>
      </c>
      <c r="QW22">
        <v>89</v>
      </c>
      <c r="QX22">
        <v>84.4</v>
      </c>
      <c r="QY22">
        <v>66.900000000000006</v>
      </c>
      <c r="QZ22">
        <v>69.2</v>
      </c>
      <c r="RA22">
        <v>65.599999999999994</v>
      </c>
      <c r="RB22">
        <v>61.8</v>
      </c>
      <c r="RD22">
        <v>77.099999999999994</v>
      </c>
      <c r="RE22">
        <v>99.2</v>
      </c>
      <c r="RF22">
        <v>102.8</v>
      </c>
      <c r="RG22">
        <v>95.9</v>
      </c>
      <c r="RH22">
        <v>123.1</v>
      </c>
      <c r="RI22">
        <v>79.400000000000006</v>
      </c>
      <c r="RJ22">
        <v>131.80000000000001</v>
      </c>
      <c r="RK22">
        <v>89.4</v>
      </c>
      <c r="RL22">
        <v>93.3</v>
      </c>
      <c r="RM22">
        <v>85.7</v>
      </c>
      <c r="RO22">
        <v>109.7</v>
      </c>
      <c r="RS22">
        <v>133.19999999999999</v>
      </c>
      <c r="RV22">
        <v>152.1</v>
      </c>
      <c r="SA22">
        <v>94.6</v>
      </c>
      <c r="SF22">
        <v>54.6</v>
      </c>
      <c r="SG22">
        <v>57.3</v>
      </c>
      <c r="SH22">
        <v>72.3</v>
      </c>
      <c r="SK22">
        <v>100.3</v>
      </c>
      <c r="SL22">
        <v>73.3</v>
      </c>
      <c r="SM22">
        <v>86</v>
      </c>
      <c r="SN22">
        <v>84.5</v>
      </c>
      <c r="SO22">
        <v>91</v>
      </c>
      <c r="SP22">
        <v>92</v>
      </c>
      <c r="SQ22">
        <v>83</v>
      </c>
      <c r="SR22">
        <v>85.8</v>
      </c>
      <c r="SS22">
        <v>66</v>
      </c>
      <c r="ST22">
        <v>68</v>
      </c>
      <c r="SU22">
        <v>63.8</v>
      </c>
      <c r="SV22">
        <v>62.9</v>
      </c>
      <c r="SX22">
        <v>68.099999999999994</v>
      </c>
      <c r="SZ22">
        <v>61</v>
      </c>
      <c r="TA22">
        <v>95</v>
      </c>
      <c r="TB22">
        <v>60.2</v>
      </c>
      <c r="TE22">
        <v>96.8</v>
      </c>
      <c r="TF22">
        <v>99.7</v>
      </c>
      <c r="TG22">
        <v>101.2</v>
      </c>
      <c r="TH22">
        <v>96</v>
      </c>
      <c r="TK22">
        <v>88.4</v>
      </c>
      <c r="TL22">
        <v>85.3</v>
      </c>
      <c r="TN22">
        <v>96.2</v>
      </c>
      <c r="TO22">
        <v>103.6</v>
      </c>
      <c r="TP22">
        <v>89.6</v>
      </c>
      <c r="TT22">
        <v>91</v>
      </c>
      <c r="TU22">
        <v>54.8</v>
      </c>
      <c r="TV22">
        <v>73</v>
      </c>
      <c r="TW22">
        <v>71.900000000000006</v>
      </c>
      <c r="TX22">
        <v>78.400000000000006</v>
      </c>
      <c r="TY22">
        <v>64.099999999999994</v>
      </c>
      <c r="UC22">
        <v>163.69999999999999</v>
      </c>
      <c r="UD22">
        <v>67.8</v>
      </c>
      <c r="UE22">
        <v>161</v>
      </c>
      <c r="UF22">
        <v>63.5</v>
      </c>
      <c r="UG22">
        <v>71.5</v>
      </c>
      <c r="UH22">
        <v>141.9</v>
      </c>
      <c r="UJ22">
        <v>72.099999999999994</v>
      </c>
      <c r="UL22">
        <v>68.400000000000006</v>
      </c>
      <c r="UM22">
        <v>74.099999999999994</v>
      </c>
      <c r="UN22">
        <v>59.5</v>
      </c>
      <c r="UO22">
        <v>65.8</v>
      </c>
      <c r="UP22">
        <v>57.3</v>
      </c>
      <c r="UQ22">
        <v>235.7</v>
      </c>
      <c r="UR22">
        <v>70.3</v>
      </c>
      <c r="US22">
        <v>45.8</v>
      </c>
      <c r="UT22">
        <v>52.3</v>
      </c>
      <c r="UW22">
        <v>62.1</v>
      </c>
      <c r="UY22">
        <v>58.9</v>
      </c>
      <c r="UZ22">
        <v>57</v>
      </c>
      <c r="VB22">
        <v>59.6</v>
      </c>
      <c r="VD22">
        <v>99</v>
      </c>
      <c r="VE22">
        <v>2174.9</v>
      </c>
      <c r="VL22">
        <v>3641.4</v>
      </c>
      <c r="VM22">
        <v>65.2</v>
      </c>
      <c r="VN22">
        <v>68.099999999999994</v>
      </c>
      <c r="VO22">
        <v>92.6</v>
      </c>
      <c r="VP22">
        <v>71.5</v>
      </c>
      <c r="VQ22">
        <v>80.5</v>
      </c>
      <c r="VR22">
        <v>60.2</v>
      </c>
      <c r="VT22">
        <v>99.9</v>
      </c>
      <c r="VU22">
        <v>167.2</v>
      </c>
      <c r="VV22">
        <v>57.9</v>
      </c>
      <c r="VW22">
        <v>97.4</v>
      </c>
      <c r="VX22">
        <v>61.5</v>
      </c>
      <c r="VY22">
        <v>116</v>
      </c>
      <c r="WB22">
        <v>151.80000000000001</v>
      </c>
      <c r="WE22">
        <v>108.9</v>
      </c>
      <c r="WF22">
        <v>73.5</v>
      </c>
      <c r="WG22">
        <v>90.4</v>
      </c>
      <c r="WH22">
        <v>69.099999999999994</v>
      </c>
      <c r="WI22">
        <v>70.5</v>
      </c>
      <c r="WJ22">
        <v>71.099999999999994</v>
      </c>
      <c r="WL22">
        <v>96.6</v>
      </c>
      <c r="WP22">
        <v>97.9</v>
      </c>
      <c r="WX22">
        <v>58.3</v>
      </c>
      <c r="WY22">
        <v>59.8</v>
      </c>
      <c r="XB22">
        <v>62.1</v>
      </c>
      <c r="XD22">
        <v>49.2</v>
      </c>
      <c r="XE22">
        <v>50.7</v>
      </c>
      <c r="XF22">
        <v>52.4</v>
      </c>
      <c r="XG22">
        <v>45.4</v>
      </c>
      <c r="XH22">
        <v>73.099999999999994</v>
      </c>
      <c r="XI22">
        <v>77</v>
      </c>
      <c r="XJ22">
        <v>77</v>
      </c>
      <c r="XM22">
        <v>60.8</v>
      </c>
      <c r="XP22">
        <v>67.400000000000006</v>
      </c>
      <c r="XR22">
        <v>62.8</v>
      </c>
      <c r="XT22">
        <v>58.1</v>
      </c>
      <c r="XU22">
        <v>82.2</v>
      </c>
      <c r="XV22">
        <v>75.099999999999994</v>
      </c>
      <c r="XW22">
        <v>77.7</v>
      </c>
      <c r="XZ22">
        <v>79.2</v>
      </c>
      <c r="YA22">
        <v>83.1</v>
      </c>
      <c r="YD22">
        <v>50.5</v>
      </c>
      <c r="YE22">
        <v>87.7</v>
      </c>
      <c r="YG22">
        <v>65.7</v>
      </c>
      <c r="YK22">
        <v>47.1</v>
      </c>
      <c r="YM22">
        <v>117.2</v>
      </c>
      <c r="YT22">
        <v>75.2</v>
      </c>
      <c r="YU22">
        <v>71.5</v>
      </c>
      <c r="YW22">
        <v>71.599999999999994</v>
      </c>
      <c r="YX22">
        <v>72</v>
      </c>
      <c r="YY22">
        <v>67.5</v>
      </c>
      <c r="ZB22">
        <v>105.6</v>
      </c>
      <c r="ZC22">
        <v>223.5</v>
      </c>
      <c r="ZD22">
        <v>397.3</v>
      </c>
      <c r="ZE22">
        <v>125.5</v>
      </c>
      <c r="ZF22">
        <v>110</v>
      </c>
      <c r="ZG22">
        <v>110.1</v>
      </c>
      <c r="ZK22">
        <v>97.4</v>
      </c>
      <c r="ZM22">
        <v>132.4</v>
      </c>
      <c r="ZN22">
        <v>98.5</v>
      </c>
      <c r="ZO22">
        <v>102.9</v>
      </c>
      <c r="ZP22">
        <v>107.6</v>
      </c>
      <c r="ZQ22">
        <v>94.3</v>
      </c>
      <c r="ZT22">
        <v>104.7</v>
      </c>
      <c r="ZU22">
        <v>86.7</v>
      </c>
      <c r="ZW22">
        <v>89.2</v>
      </c>
      <c r="ZY22">
        <v>80.8</v>
      </c>
      <c r="AAC22">
        <v>64.8</v>
      </c>
      <c r="AAD22">
        <v>55.8</v>
      </c>
      <c r="AAE22">
        <v>101.3</v>
      </c>
      <c r="AAG22">
        <v>43.6</v>
      </c>
      <c r="AAH22">
        <v>113.7</v>
      </c>
      <c r="AAI22">
        <v>78.7</v>
      </c>
      <c r="AAJ22">
        <v>58.7</v>
      </c>
      <c r="AAK22">
        <v>101.7</v>
      </c>
      <c r="AAL22">
        <v>78</v>
      </c>
      <c r="AAM22">
        <v>93.6</v>
      </c>
      <c r="AAN22">
        <v>60.4</v>
      </c>
      <c r="AAO22">
        <v>40.9</v>
      </c>
      <c r="AAP22">
        <v>39.9</v>
      </c>
      <c r="AAR22">
        <v>61</v>
      </c>
      <c r="AAX22">
        <v>54.6</v>
      </c>
      <c r="ABB22">
        <v>71.3</v>
      </c>
      <c r="ABC22">
        <v>80</v>
      </c>
      <c r="ABD22">
        <v>68.8</v>
      </c>
      <c r="ABE22">
        <v>63</v>
      </c>
      <c r="ABF22">
        <v>84.6</v>
      </c>
      <c r="ABG22">
        <v>78.400000000000006</v>
      </c>
      <c r="ABH22">
        <v>84.8</v>
      </c>
      <c r="ABI22">
        <v>73.3</v>
      </c>
      <c r="ABJ22">
        <v>81</v>
      </c>
      <c r="ABK22">
        <v>85.4</v>
      </c>
      <c r="ABL22">
        <v>98.8</v>
      </c>
      <c r="ABM22">
        <v>83.9</v>
      </c>
      <c r="ABN22">
        <v>85.8</v>
      </c>
      <c r="ABO22">
        <v>68.7</v>
      </c>
      <c r="ABP22">
        <v>97.8</v>
      </c>
    </row>
    <row r="23" spans="1:744">
      <c r="A23">
        <v>1986</v>
      </c>
      <c r="B23">
        <v>84.2</v>
      </c>
      <c r="C23">
        <v>76.599999999999994</v>
      </c>
      <c r="D23">
        <v>95</v>
      </c>
      <c r="E23">
        <v>115.4</v>
      </c>
      <c r="F23">
        <v>115.3</v>
      </c>
      <c r="G23">
        <v>117.1</v>
      </c>
      <c r="H23">
        <v>80.5</v>
      </c>
      <c r="I23">
        <v>82.8</v>
      </c>
      <c r="J23">
        <v>78.7</v>
      </c>
      <c r="L23">
        <v>77.400000000000006</v>
      </c>
      <c r="M23">
        <v>79.7</v>
      </c>
      <c r="N23">
        <v>69</v>
      </c>
      <c r="O23">
        <v>82.5</v>
      </c>
      <c r="P23">
        <v>73.8</v>
      </c>
      <c r="Q23">
        <v>87.3</v>
      </c>
      <c r="R23">
        <v>92.3</v>
      </c>
      <c r="S23">
        <v>79.2</v>
      </c>
      <c r="T23">
        <v>99.7</v>
      </c>
      <c r="V23">
        <v>72.5</v>
      </c>
      <c r="W23">
        <v>80.3</v>
      </c>
      <c r="X23">
        <v>87.6</v>
      </c>
      <c r="Y23">
        <v>128.4</v>
      </c>
      <c r="Z23">
        <v>43.4</v>
      </c>
      <c r="AA23">
        <v>70.599999999999994</v>
      </c>
      <c r="AB23">
        <v>69.5</v>
      </c>
      <c r="AC23">
        <v>60.6</v>
      </c>
      <c r="AD23">
        <v>64.3</v>
      </c>
      <c r="AE23">
        <v>104</v>
      </c>
      <c r="AF23">
        <v>86.6</v>
      </c>
      <c r="AG23">
        <v>77.599999999999994</v>
      </c>
      <c r="AH23">
        <v>60.5</v>
      </c>
      <c r="AI23">
        <v>116.9</v>
      </c>
      <c r="AJ23">
        <v>57.4</v>
      </c>
      <c r="AK23">
        <v>44.8</v>
      </c>
      <c r="AL23">
        <v>78.8</v>
      </c>
      <c r="AM23">
        <v>65.400000000000006</v>
      </c>
      <c r="AN23">
        <v>74.3</v>
      </c>
      <c r="AO23">
        <v>70.7</v>
      </c>
      <c r="AP23">
        <v>41.5</v>
      </c>
      <c r="AQ23">
        <v>83.5</v>
      </c>
      <c r="AR23">
        <v>63.7</v>
      </c>
      <c r="AU23">
        <v>65.900000000000006</v>
      </c>
      <c r="AV23">
        <v>64.7</v>
      </c>
      <c r="AW23">
        <v>69.5</v>
      </c>
      <c r="AX23">
        <v>64.8</v>
      </c>
      <c r="AY23">
        <v>58.8</v>
      </c>
      <c r="AZ23">
        <v>71.8</v>
      </c>
      <c r="BC23">
        <v>58.4</v>
      </c>
      <c r="BD23">
        <v>71.7</v>
      </c>
      <c r="BE23">
        <v>67.400000000000006</v>
      </c>
      <c r="BF23">
        <v>57.8</v>
      </c>
      <c r="BG23">
        <v>76.7</v>
      </c>
      <c r="BH23">
        <v>66.8</v>
      </c>
      <c r="BJ23">
        <v>78.2</v>
      </c>
      <c r="BK23">
        <v>92.1</v>
      </c>
      <c r="BL23">
        <v>102.8</v>
      </c>
      <c r="BM23">
        <v>89.3</v>
      </c>
      <c r="BN23">
        <v>77.8</v>
      </c>
      <c r="BP23">
        <v>87.2</v>
      </c>
      <c r="BQ23">
        <v>86.2</v>
      </c>
      <c r="BR23">
        <v>84.6</v>
      </c>
      <c r="BS23">
        <v>97.9</v>
      </c>
      <c r="BT23">
        <v>88.8</v>
      </c>
      <c r="BU23">
        <v>65.099999999999994</v>
      </c>
      <c r="BV23">
        <v>115.2</v>
      </c>
      <c r="BW23">
        <v>75.8</v>
      </c>
      <c r="BX23">
        <v>67.2</v>
      </c>
      <c r="BZ23">
        <v>88.7</v>
      </c>
      <c r="CA23">
        <v>88.7</v>
      </c>
      <c r="CB23">
        <v>62.7</v>
      </c>
      <c r="CC23">
        <v>59.9</v>
      </c>
      <c r="CD23">
        <v>59.3</v>
      </c>
      <c r="CE23">
        <v>33.9</v>
      </c>
      <c r="CF23">
        <v>41.6</v>
      </c>
      <c r="CG23">
        <v>49.2</v>
      </c>
      <c r="CH23">
        <v>63.4</v>
      </c>
      <c r="CJ23">
        <v>91.4</v>
      </c>
      <c r="CL23">
        <v>57.5</v>
      </c>
      <c r="CM23">
        <v>51.4</v>
      </c>
      <c r="CN23">
        <v>43.9</v>
      </c>
      <c r="CO23">
        <v>64.7</v>
      </c>
      <c r="CP23">
        <v>59.6</v>
      </c>
      <c r="CQ23">
        <v>58.2</v>
      </c>
      <c r="CR23">
        <v>61.9</v>
      </c>
      <c r="CS23">
        <v>56.1</v>
      </c>
      <c r="CT23">
        <v>70.599999999999994</v>
      </c>
      <c r="CW23">
        <v>43.6</v>
      </c>
      <c r="CX23">
        <v>59.2</v>
      </c>
      <c r="CY23">
        <v>59.3</v>
      </c>
      <c r="CZ23">
        <v>59.7</v>
      </c>
      <c r="DA23">
        <v>60.3</v>
      </c>
      <c r="DB23">
        <v>48.2</v>
      </c>
      <c r="DC23">
        <v>97</v>
      </c>
      <c r="DG23">
        <v>68</v>
      </c>
      <c r="DH23">
        <v>54.3</v>
      </c>
      <c r="DI23">
        <v>63.5</v>
      </c>
      <c r="DJ23">
        <v>77.3</v>
      </c>
      <c r="DK23">
        <v>41.4</v>
      </c>
      <c r="DL23">
        <v>42.5</v>
      </c>
      <c r="DN23">
        <v>82.1</v>
      </c>
      <c r="DO23">
        <v>79</v>
      </c>
      <c r="DP23">
        <v>81.900000000000006</v>
      </c>
      <c r="DQ23">
        <v>83.4</v>
      </c>
      <c r="DR23">
        <v>66.7</v>
      </c>
      <c r="DS23">
        <v>97.9</v>
      </c>
      <c r="DT23">
        <v>51.6</v>
      </c>
      <c r="DU23">
        <v>60.1</v>
      </c>
      <c r="DX23">
        <v>59.7</v>
      </c>
      <c r="DY23">
        <v>102.9</v>
      </c>
      <c r="DZ23">
        <v>59.9</v>
      </c>
      <c r="EA23">
        <v>58.8</v>
      </c>
      <c r="EB23">
        <v>75.3</v>
      </c>
      <c r="EC23">
        <v>46.9</v>
      </c>
      <c r="ED23">
        <v>103.4</v>
      </c>
      <c r="EF23">
        <v>43.5</v>
      </c>
      <c r="EG23">
        <v>57.1</v>
      </c>
      <c r="EH23">
        <v>61.5</v>
      </c>
      <c r="EI23">
        <v>70.099999999999994</v>
      </c>
      <c r="EJ23">
        <v>45.9</v>
      </c>
      <c r="EK23">
        <v>57.4</v>
      </c>
      <c r="EL23">
        <v>84</v>
      </c>
      <c r="EM23">
        <v>56.1</v>
      </c>
      <c r="EN23">
        <v>78.2</v>
      </c>
      <c r="ER23">
        <v>88.5</v>
      </c>
      <c r="ET23">
        <v>101.9</v>
      </c>
      <c r="EU23">
        <v>130.4</v>
      </c>
      <c r="EV23">
        <v>146.69999999999999</v>
      </c>
      <c r="EW23">
        <v>86.5</v>
      </c>
      <c r="EX23">
        <v>98.7</v>
      </c>
      <c r="EY23">
        <v>63.2</v>
      </c>
      <c r="EZ23">
        <v>95.6</v>
      </c>
      <c r="FA23">
        <v>98.4</v>
      </c>
      <c r="FB23">
        <v>121.2</v>
      </c>
      <c r="FC23">
        <v>93.4</v>
      </c>
      <c r="FD23">
        <v>108</v>
      </c>
      <c r="FE23">
        <v>150.6</v>
      </c>
      <c r="FF23">
        <v>117.8</v>
      </c>
      <c r="FI23">
        <v>88.1</v>
      </c>
      <c r="FJ23">
        <v>85.2</v>
      </c>
      <c r="FK23">
        <v>104.2</v>
      </c>
      <c r="FL23">
        <v>84.2</v>
      </c>
      <c r="FM23">
        <v>88.7</v>
      </c>
      <c r="FQ23">
        <v>71.8</v>
      </c>
      <c r="FR23">
        <v>55.7</v>
      </c>
      <c r="FS23">
        <v>67.599999999999994</v>
      </c>
      <c r="FU23">
        <v>73.5</v>
      </c>
      <c r="FV23">
        <v>56.9</v>
      </c>
      <c r="FX23">
        <v>74.3</v>
      </c>
      <c r="FY23">
        <v>86.7</v>
      </c>
      <c r="GA23">
        <v>85.4</v>
      </c>
      <c r="GB23">
        <v>61.9</v>
      </c>
      <c r="GC23">
        <v>72</v>
      </c>
      <c r="GD23">
        <v>70</v>
      </c>
      <c r="GE23">
        <v>114.5</v>
      </c>
      <c r="GF23">
        <v>86.3</v>
      </c>
      <c r="GG23">
        <v>103.5</v>
      </c>
      <c r="GH23">
        <v>73.2</v>
      </c>
      <c r="GI23">
        <v>72.2</v>
      </c>
      <c r="GJ23">
        <v>74</v>
      </c>
      <c r="GM23">
        <v>69.599999999999994</v>
      </c>
      <c r="GU23">
        <v>70.8</v>
      </c>
      <c r="GV23">
        <v>45.3</v>
      </c>
      <c r="GW23">
        <v>58.6</v>
      </c>
      <c r="GX23">
        <v>68.8</v>
      </c>
      <c r="GY23">
        <v>75.400000000000006</v>
      </c>
      <c r="HA23">
        <v>87.2</v>
      </c>
      <c r="HD23">
        <v>80.099999999999994</v>
      </c>
      <c r="HG23">
        <v>100.2</v>
      </c>
      <c r="HO23">
        <v>106.5</v>
      </c>
      <c r="HP23">
        <v>104.2</v>
      </c>
      <c r="HQ23">
        <v>80.2</v>
      </c>
      <c r="HR23">
        <v>126.9</v>
      </c>
      <c r="HT23">
        <v>122.1</v>
      </c>
      <c r="HU23">
        <v>112.7</v>
      </c>
      <c r="HV23">
        <v>115</v>
      </c>
      <c r="HY23">
        <v>103</v>
      </c>
      <c r="IA23">
        <v>113.7</v>
      </c>
      <c r="IB23">
        <v>88.5</v>
      </c>
      <c r="IC23">
        <v>121.8</v>
      </c>
      <c r="IE23">
        <v>68.599999999999994</v>
      </c>
      <c r="IJ23">
        <v>98.8</v>
      </c>
      <c r="IK23">
        <v>102.4</v>
      </c>
      <c r="IL23">
        <v>67.7</v>
      </c>
      <c r="IM23">
        <v>97.8</v>
      </c>
      <c r="IO23">
        <v>123.1</v>
      </c>
      <c r="IP23">
        <v>125.1</v>
      </c>
      <c r="IT23">
        <v>72.2</v>
      </c>
      <c r="IU23">
        <v>72.099999999999994</v>
      </c>
      <c r="IV23">
        <v>61.1</v>
      </c>
      <c r="IX23">
        <v>63.8</v>
      </c>
      <c r="IY23">
        <v>68.2</v>
      </c>
      <c r="JA23">
        <v>66.3</v>
      </c>
      <c r="JB23">
        <v>70.599999999999994</v>
      </c>
      <c r="JC23">
        <v>67.5</v>
      </c>
      <c r="JE23">
        <v>76.5</v>
      </c>
      <c r="JI23">
        <v>75</v>
      </c>
      <c r="JL23">
        <v>69.900000000000006</v>
      </c>
      <c r="JO23">
        <v>71.8</v>
      </c>
      <c r="JQ23">
        <v>74</v>
      </c>
      <c r="JS23">
        <v>75.2</v>
      </c>
      <c r="JT23">
        <v>74.5</v>
      </c>
      <c r="JU23">
        <v>76.3</v>
      </c>
      <c r="JV23">
        <v>77.599999999999994</v>
      </c>
      <c r="JW23">
        <v>79.5</v>
      </c>
      <c r="JX23">
        <v>84.7</v>
      </c>
      <c r="JY23">
        <v>84.7</v>
      </c>
      <c r="JZ23">
        <v>74.7</v>
      </c>
      <c r="KA23">
        <v>78.8</v>
      </c>
      <c r="KB23">
        <v>70.099999999999994</v>
      </c>
      <c r="KC23">
        <v>78.5</v>
      </c>
      <c r="KD23">
        <v>78.5</v>
      </c>
      <c r="KE23">
        <v>66.8</v>
      </c>
      <c r="KF23">
        <v>98.7</v>
      </c>
      <c r="KG23">
        <v>90.5</v>
      </c>
      <c r="KL23">
        <v>55.6</v>
      </c>
      <c r="KM23">
        <v>60.5</v>
      </c>
      <c r="KN23">
        <v>62</v>
      </c>
      <c r="KO23">
        <v>40.9</v>
      </c>
      <c r="KP23">
        <v>56.1</v>
      </c>
      <c r="KS23">
        <v>56.5</v>
      </c>
      <c r="KT23">
        <v>59.3</v>
      </c>
      <c r="KU23">
        <v>62.9</v>
      </c>
      <c r="KX23">
        <v>75.5</v>
      </c>
      <c r="KY23">
        <v>81.8</v>
      </c>
      <c r="KZ23">
        <v>103.4</v>
      </c>
      <c r="LA23">
        <v>103.4</v>
      </c>
      <c r="LB23">
        <v>76.900000000000006</v>
      </c>
      <c r="LC23">
        <v>93.8</v>
      </c>
      <c r="LD23">
        <v>59.5</v>
      </c>
      <c r="LE23">
        <v>59.6</v>
      </c>
      <c r="LF23">
        <v>59.9</v>
      </c>
      <c r="LG23">
        <v>62</v>
      </c>
      <c r="LH23">
        <v>66.8</v>
      </c>
      <c r="LI23">
        <v>53.1</v>
      </c>
      <c r="LJ23">
        <v>151.69999999999999</v>
      </c>
      <c r="LK23">
        <v>369.3</v>
      </c>
      <c r="LL23">
        <v>885.7</v>
      </c>
      <c r="LM23">
        <v>1485.6</v>
      </c>
      <c r="LN23">
        <v>430.9</v>
      </c>
      <c r="LO23">
        <v>178.9</v>
      </c>
      <c r="LP23">
        <v>2701</v>
      </c>
      <c r="LQ23">
        <v>918.1</v>
      </c>
      <c r="LR23">
        <v>1139.5</v>
      </c>
      <c r="LT23">
        <v>323.89999999999998</v>
      </c>
      <c r="LU23">
        <v>507</v>
      </c>
      <c r="LV23">
        <v>177.6</v>
      </c>
      <c r="LX23">
        <v>86.8</v>
      </c>
      <c r="LY23">
        <v>78.2</v>
      </c>
      <c r="MB23">
        <v>141.1</v>
      </c>
      <c r="MD23">
        <v>136.30000000000001</v>
      </c>
      <c r="ME23">
        <v>101.1</v>
      </c>
      <c r="MG23">
        <v>121.9</v>
      </c>
      <c r="MH23">
        <v>91</v>
      </c>
      <c r="MI23">
        <v>145.6</v>
      </c>
      <c r="MJ23">
        <v>90.5</v>
      </c>
      <c r="MK23">
        <v>123.2</v>
      </c>
      <c r="MM23">
        <v>77.8</v>
      </c>
      <c r="MN23">
        <v>62.5</v>
      </c>
      <c r="MO23">
        <v>57.6</v>
      </c>
      <c r="MP23">
        <v>64.2</v>
      </c>
      <c r="MQ23">
        <v>77.599999999999994</v>
      </c>
      <c r="MS23">
        <v>79.2</v>
      </c>
      <c r="MU23">
        <v>68.099999999999994</v>
      </c>
      <c r="MV23">
        <v>92.5</v>
      </c>
      <c r="MW23">
        <v>83.1</v>
      </c>
      <c r="MX23">
        <v>78.3</v>
      </c>
      <c r="NB23">
        <v>133.9</v>
      </c>
      <c r="NC23">
        <v>116.7</v>
      </c>
      <c r="ND23">
        <v>144.19999999999999</v>
      </c>
      <c r="NE23">
        <v>101.5</v>
      </c>
      <c r="NF23">
        <v>184.5</v>
      </c>
      <c r="NG23">
        <v>174.5</v>
      </c>
      <c r="NH23">
        <v>200.7</v>
      </c>
      <c r="NI23">
        <v>110.9</v>
      </c>
      <c r="NJ23">
        <v>120.8</v>
      </c>
      <c r="NL23">
        <v>88.7</v>
      </c>
      <c r="NM23">
        <v>173.7</v>
      </c>
      <c r="NQ23">
        <v>68.5</v>
      </c>
      <c r="NR23">
        <v>64.5</v>
      </c>
      <c r="NS23">
        <v>64.5</v>
      </c>
      <c r="NT23">
        <v>65.7</v>
      </c>
      <c r="NY23">
        <v>80.099999999999994</v>
      </c>
      <c r="NZ23">
        <v>83.3</v>
      </c>
      <c r="OA23">
        <v>86.9</v>
      </c>
      <c r="OB23">
        <v>94.5</v>
      </c>
      <c r="OC23">
        <v>74</v>
      </c>
      <c r="OD23">
        <v>83</v>
      </c>
      <c r="OE23">
        <v>80.3</v>
      </c>
      <c r="OF23">
        <v>75.7</v>
      </c>
      <c r="OH23">
        <v>84</v>
      </c>
      <c r="OJ23">
        <v>70.5</v>
      </c>
      <c r="OK23">
        <v>75.5</v>
      </c>
      <c r="OL23">
        <v>71.2</v>
      </c>
      <c r="OM23">
        <v>65.8</v>
      </c>
      <c r="ON23">
        <v>95.3</v>
      </c>
      <c r="OO23">
        <v>65.599999999999994</v>
      </c>
      <c r="OP23">
        <v>73.5</v>
      </c>
      <c r="OQ23">
        <v>72</v>
      </c>
      <c r="OS23">
        <v>67.5</v>
      </c>
      <c r="OU23">
        <v>70</v>
      </c>
      <c r="OV23">
        <v>79.3</v>
      </c>
      <c r="OW23">
        <v>71.8</v>
      </c>
      <c r="OX23">
        <v>68.099999999999994</v>
      </c>
      <c r="OY23">
        <v>68.5</v>
      </c>
      <c r="OZ23">
        <v>63.6</v>
      </c>
      <c r="PA23">
        <v>99.8</v>
      </c>
      <c r="PB23">
        <v>88.3</v>
      </c>
      <c r="PC23">
        <v>64.900000000000006</v>
      </c>
      <c r="PD23">
        <v>159.6</v>
      </c>
      <c r="PG23">
        <v>83.5</v>
      </c>
      <c r="PH23">
        <v>77.599999999999994</v>
      </c>
      <c r="PI23">
        <v>81</v>
      </c>
      <c r="PJ23">
        <v>81.7</v>
      </c>
      <c r="PK23">
        <v>96.3</v>
      </c>
      <c r="PL23">
        <v>73.400000000000006</v>
      </c>
      <c r="PM23">
        <v>77.099999999999994</v>
      </c>
      <c r="PN23">
        <v>84.4</v>
      </c>
      <c r="PO23">
        <v>80</v>
      </c>
      <c r="PP23">
        <v>81.2</v>
      </c>
      <c r="PQ23">
        <v>85.6</v>
      </c>
      <c r="PR23">
        <v>83.8</v>
      </c>
      <c r="PS23">
        <v>59.1</v>
      </c>
      <c r="PT23">
        <v>82.6</v>
      </c>
      <c r="PU23">
        <v>80.8</v>
      </c>
      <c r="PV23">
        <v>84.8</v>
      </c>
      <c r="PW23">
        <v>98.3</v>
      </c>
      <c r="PX23">
        <v>76.900000000000006</v>
      </c>
      <c r="PY23">
        <v>69.400000000000006</v>
      </c>
      <c r="PZ23">
        <v>78.5</v>
      </c>
      <c r="QA23">
        <v>81.3</v>
      </c>
      <c r="QB23">
        <v>67</v>
      </c>
      <c r="QC23">
        <v>94.5</v>
      </c>
      <c r="QD23">
        <v>61</v>
      </c>
      <c r="QE23">
        <v>63.8</v>
      </c>
      <c r="QF23">
        <v>62.6</v>
      </c>
      <c r="QG23">
        <v>65.400000000000006</v>
      </c>
      <c r="QH23">
        <v>75.099999999999994</v>
      </c>
      <c r="QI23">
        <v>75.099999999999994</v>
      </c>
      <c r="QJ23">
        <v>76.599999999999994</v>
      </c>
      <c r="QK23">
        <v>78.099999999999994</v>
      </c>
      <c r="QL23">
        <v>82.6</v>
      </c>
      <c r="QM23">
        <v>74.400000000000006</v>
      </c>
      <c r="QN23">
        <v>72.5</v>
      </c>
      <c r="QO23">
        <v>66.599999999999994</v>
      </c>
      <c r="QQ23">
        <v>86.8</v>
      </c>
      <c r="QR23">
        <v>71.099999999999994</v>
      </c>
      <c r="QS23">
        <v>133.6</v>
      </c>
      <c r="QU23">
        <v>80.900000000000006</v>
      </c>
      <c r="QV23">
        <v>100.7</v>
      </c>
      <c r="QW23">
        <v>89.5</v>
      </c>
      <c r="QX23">
        <v>85.3</v>
      </c>
      <c r="QY23">
        <v>67.7</v>
      </c>
      <c r="QZ23">
        <v>69.8</v>
      </c>
      <c r="RA23">
        <v>66.400000000000006</v>
      </c>
      <c r="RB23">
        <v>62.4</v>
      </c>
      <c r="RD23">
        <v>78.8</v>
      </c>
      <c r="RE23">
        <v>100.9</v>
      </c>
      <c r="RF23">
        <v>106.9</v>
      </c>
      <c r="RG23">
        <v>103.5</v>
      </c>
      <c r="RH23">
        <v>122.7</v>
      </c>
      <c r="RI23">
        <v>79.2</v>
      </c>
      <c r="RJ23">
        <v>131</v>
      </c>
      <c r="RK23">
        <v>89.3</v>
      </c>
      <c r="RL23">
        <v>94.7</v>
      </c>
      <c r="RM23">
        <v>91.5</v>
      </c>
      <c r="RO23">
        <v>109.5</v>
      </c>
      <c r="RS23">
        <v>134.1</v>
      </c>
      <c r="RV23">
        <v>151.4</v>
      </c>
      <c r="SA23">
        <v>95.7</v>
      </c>
      <c r="SF23">
        <v>56.2</v>
      </c>
      <c r="SG23">
        <v>58.5</v>
      </c>
      <c r="SH23">
        <v>73.3</v>
      </c>
      <c r="SK23">
        <v>98.8</v>
      </c>
      <c r="SL23">
        <v>75.099999999999994</v>
      </c>
      <c r="SM23">
        <v>88.6</v>
      </c>
      <c r="SN23">
        <v>87.4</v>
      </c>
      <c r="SO23">
        <v>92.8</v>
      </c>
      <c r="SP23">
        <v>93.8</v>
      </c>
      <c r="SQ23">
        <v>86.9</v>
      </c>
      <c r="SR23">
        <v>88.2</v>
      </c>
      <c r="SS23">
        <v>66.8</v>
      </c>
      <c r="ST23">
        <v>68.8</v>
      </c>
      <c r="SU23">
        <v>64.8</v>
      </c>
      <c r="SV23">
        <v>63.5</v>
      </c>
      <c r="SX23">
        <v>70.7</v>
      </c>
      <c r="SZ23">
        <v>61.5</v>
      </c>
      <c r="TA23">
        <v>95</v>
      </c>
      <c r="TB23">
        <v>63</v>
      </c>
      <c r="TE23">
        <v>92.7</v>
      </c>
      <c r="TF23">
        <v>100.7</v>
      </c>
      <c r="TG23">
        <v>101.4</v>
      </c>
      <c r="TH23">
        <v>96.5</v>
      </c>
      <c r="TK23">
        <v>88.1</v>
      </c>
      <c r="TL23">
        <v>85.1</v>
      </c>
      <c r="TN23">
        <v>89.9</v>
      </c>
      <c r="TO23">
        <v>87.9</v>
      </c>
      <c r="TP23">
        <v>88.8</v>
      </c>
      <c r="TT23">
        <v>90.6</v>
      </c>
      <c r="TU23">
        <v>56.7</v>
      </c>
      <c r="TV23">
        <v>73</v>
      </c>
      <c r="TW23">
        <v>73.099999999999994</v>
      </c>
      <c r="TX23">
        <v>79.400000000000006</v>
      </c>
      <c r="TY23">
        <v>66.599999999999994</v>
      </c>
      <c r="UC23">
        <v>167.2</v>
      </c>
      <c r="UD23">
        <v>73.2</v>
      </c>
      <c r="UE23">
        <v>160</v>
      </c>
      <c r="UF23">
        <v>63.5</v>
      </c>
      <c r="UG23">
        <v>71.5</v>
      </c>
      <c r="UH23">
        <v>141</v>
      </c>
      <c r="UJ23">
        <v>72.2</v>
      </c>
      <c r="UL23">
        <v>70.7</v>
      </c>
      <c r="UM23">
        <v>77.099999999999994</v>
      </c>
      <c r="UN23">
        <v>62.1</v>
      </c>
      <c r="UO23">
        <v>67.400000000000006</v>
      </c>
      <c r="UP23">
        <v>59</v>
      </c>
      <c r="UQ23">
        <v>246.3</v>
      </c>
      <c r="UR23">
        <v>72.7</v>
      </c>
      <c r="US23">
        <v>48.7</v>
      </c>
      <c r="UT23">
        <v>55</v>
      </c>
      <c r="UW23">
        <v>62.2</v>
      </c>
      <c r="UY23">
        <v>59</v>
      </c>
      <c r="UZ23">
        <v>57.9</v>
      </c>
      <c r="VB23">
        <v>60.5</v>
      </c>
      <c r="VD23">
        <v>100.4</v>
      </c>
      <c r="VE23">
        <v>2067.5</v>
      </c>
      <c r="VL23">
        <v>3637.7</v>
      </c>
      <c r="VM23">
        <v>65.2</v>
      </c>
      <c r="VN23">
        <v>68.5</v>
      </c>
      <c r="VO23">
        <v>92.9</v>
      </c>
      <c r="VP23">
        <v>72</v>
      </c>
      <c r="VQ23">
        <v>85.1</v>
      </c>
      <c r="VR23">
        <v>60.2</v>
      </c>
      <c r="VT23">
        <v>100.9</v>
      </c>
      <c r="VU23">
        <v>167.2</v>
      </c>
      <c r="VV23">
        <v>58.7</v>
      </c>
      <c r="VW23">
        <v>97.6</v>
      </c>
      <c r="VX23">
        <v>60.8</v>
      </c>
      <c r="VY23">
        <v>116.7</v>
      </c>
      <c r="WB23">
        <v>156.1</v>
      </c>
      <c r="WE23">
        <v>110.9</v>
      </c>
      <c r="WF23">
        <v>73.3</v>
      </c>
      <c r="WG23">
        <v>96.5</v>
      </c>
      <c r="WH23">
        <v>67</v>
      </c>
      <c r="WI23">
        <v>69.599999999999994</v>
      </c>
      <c r="WJ23">
        <v>67.900000000000006</v>
      </c>
      <c r="WL23">
        <v>96.2</v>
      </c>
      <c r="WP23">
        <v>98</v>
      </c>
      <c r="WX23">
        <v>61</v>
      </c>
      <c r="WY23">
        <v>64.2</v>
      </c>
      <c r="XB23">
        <v>62.4</v>
      </c>
      <c r="XD23">
        <v>50.3</v>
      </c>
      <c r="XE23">
        <v>51.6</v>
      </c>
      <c r="XF23">
        <v>54.3</v>
      </c>
      <c r="XG23">
        <v>45.6</v>
      </c>
      <c r="XH23">
        <v>74.8</v>
      </c>
      <c r="XI23">
        <v>80.099999999999994</v>
      </c>
      <c r="XJ23">
        <v>80.099999999999994</v>
      </c>
      <c r="XM23">
        <v>62.3</v>
      </c>
      <c r="XP23">
        <v>69.2</v>
      </c>
      <c r="XR23">
        <v>63.6</v>
      </c>
      <c r="XT23">
        <v>59.4</v>
      </c>
      <c r="XU23">
        <v>83.6</v>
      </c>
      <c r="XV23">
        <v>75.099999999999994</v>
      </c>
      <c r="XW23">
        <v>77.7</v>
      </c>
      <c r="XZ23">
        <v>81.099999999999994</v>
      </c>
      <c r="YA23">
        <v>83.1</v>
      </c>
      <c r="YD23">
        <v>53.5</v>
      </c>
      <c r="YE23">
        <v>88.4</v>
      </c>
      <c r="YG23">
        <v>67.2</v>
      </c>
      <c r="YK23">
        <v>50.2</v>
      </c>
      <c r="YM23">
        <v>113.2</v>
      </c>
      <c r="YT23">
        <v>77.2</v>
      </c>
      <c r="YU23">
        <v>72.3</v>
      </c>
      <c r="YW23">
        <v>72.599999999999994</v>
      </c>
      <c r="YX23">
        <v>72.400000000000006</v>
      </c>
      <c r="YY23">
        <v>68.099999999999994</v>
      </c>
      <c r="ZB23">
        <v>106.3</v>
      </c>
      <c r="ZC23">
        <v>223</v>
      </c>
      <c r="ZD23">
        <v>397.7</v>
      </c>
      <c r="ZE23">
        <v>124.7</v>
      </c>
      <c r="ZF23">
        <v>110.1</v>
      </c>
      <c r="ZG23">
        <v>110.6</v>
      </c>
      <c r="ZK23">
        <v>97.7</v>
      </c>
      <c r="ZM23">
        <v>131.69999999999999</v>
      </c>
      <c r="ZN23">
        <v>99.3</v>
      </c>
      <c r="ZO23">
        <v>102.8</v>
      </c>
      <c r="ZP23">
        <v>107.6</v>
      </c>
      <c r="ZQ23">
        <v>94.3</v>
      </c>
      <c r="ZT23">
        <v>104.7</v>
      </c>
      <c r="ZU23">
        <v>86.7</v>
      </c>
      <c r="ZW23">
        <v>92.1</v>
      </c>
      <c r="ZY23">
        <v>81.8</v>
      </c>
      <c r="AAC23">
        <v>63.6</v>
      </c>
      <c r="AAD23">
        <v>56.4</v>
      </c>
      <c r="AAE23">
        <v>101.3</v>
      </c>
      <c r="AAG23">
        <v>45.1</v>
      </c>
      <c r="AAH23">
        <v>115.5</v>
      </c>
      <c r="AAI23">
        <v>74.400000000000006</v>
      </c>
      <c r="AAJ23">
        <v>53.8</v>
      </c>
      <c r="AAK23">
        <v>101.2</v>
      </c>
      <c r="AAL23">
        <v>78.900000000000006</v>
      </c>
      <c r="AAM23">
        <v>93.9</v>
      </c>
      <c r="AAN23">
        <v>62</v>
      </c>
      <c r="AAO23">
        <v>45.1</v>
      </c>
      <c r="AAP23">
        <v>43.9</v>
      </c>
      <c r="AAR23">
        <v>62.8</v>
      </c>
      <c r="AAX23">
        <v>57.9</v>
      </c>
      <c r="ABB23">
        <v>66.8</v>
      </c>
      <c r="ABC23">
        <v>80.3</v>
      </c>
      <c r="ABD23">
        <v>59.9</v>
      </c>
      <c r="ABE23">
        <v>58.8</v>
      </c>
      <c r="ABF23">
        <v>84.9</v>
      </c>
      <c r="ABG23">
        <v>78.8</v>
      </c>
      <c r="ABH23">
        <v>84.6</v>
      </c>
      <c r="ABI23">
        <v>74.8</v>
      </c>
      <c r="ABJ23">
        <v>82.9</v>
      </c>
      <c r="ABK23">
        <v>85.6</v>
      </c>
      <c r="ABL23">
        <v>87.9</v>
      </c>
      <c r="ABM23">
        <v>85.1</v>
      </c>
      <c r="ABN23">
        <v>87.3</v>
      </c>
      <c r="ABO23">
        <v>70.599999999999994</v>
      </c>
      <c r="ABP23">
        <v>99.4</v>
      </c>
    </row>
    <row r="24" spans="1:744">
      <c r="A24">
        <v>1987</v>
      </c>
      <c r="B24">
        <v>84.6</v>
      </c>
      <c r="C24">
        <v>76.5</v>
      </c>
      <c r="D24">
        <v>94.6</v>
      </c>
      <c r="E24">
        <v>114.7</v>
      </c>
      <c r="F24">
        <v>114.9</v>
      </c>
      <c r="G24">
        <v>116.4</v>
      </c>
      <c r="H24">
        <v>79.900000000000006</v>
      </c>
      <c r="I24">
        <v>82</v>
      </c>
      <c r="J24">
        <v>78.599999999999994</v>
      </c>
      <c r="L24">
        <v>77.3</v>
      </c>
      <c r="M24">
        <v>79.5</v>
      </c>
      <c r="N24">
        <v>69.3</v>
      </c>
      <c r="O24">
        <v>81.900000000000006</v>
      </c>
      <c r="P24">
        <v>73.7</v>
      </c>
      <c r="Q24">
        <v>87.5</v>
      </c>
      <c r="R24">
        <v>92.7</v>
      </c>
      <c r="S24">
        <v>78.3</v>
      </c>
      <c r="T24">
        <v>101</v>
      </c>
      <c r="V24">
        <v>71.099999999999994</v>
      </c>
      <c r="W24">
        <v>77.599999999999994</v>
      </c>
      <c r="X24">
        <v>86.7</v>
      </c>
      <c r="Y24">
        <v>124.8</v>
      </c>
      <c r="Z24">
        <v>44.9</v>
      </c>
      <c r="AA24">
        <v>78.900000000000006</v>
      </c>
      <c r="AB24">
        <v>69.900000000000006</v>
      </c>
      <c r="AC24">
        <v>62.9</v>
      </c>
      <c r="AD24">
        <v>67.900000000000006</v>
      </c>
      <c r="AE24">
        <v>102.4</v>
      </c>
      <c r="AF24">
        <v>78.7</v>
      </c>
      <c r="AG24">
        <v>67.400000000000006</v>
      </c>
      <c r="AH24">
        <v>58.9</v>
      </c>
      <c r="AI24">
        <v>106.7</v>
      </c>
      <c r="AJ24">
        <v>58.1</v>
      </c>
      <c r="AK24">
        <v>44.3</v>
      </c>
      <c r="AL24">
        <v>79.400000000000006</v>
      </c>
      <c r="AM24">
        <v>64.7</v>
      </c>
      <c r="AN24">
        <v>73.400000000000006</v>
      </c>
      <c r="AO24">
        <v>67</v>
      </c>
      <c r="AP24">
        <v>47.2</v>
      </c>
      <c r="AQ24">
        <v>81</v>
      </c>
      <c r="AR24">
        <v>65.900000000000006</v>
      </c>
      <c r="AU24">
        <v>66.5</v>
      </c>
      <c r="AV24">
        <v>64.7</v>
      </c>
      <c r="AW24">
        <v>70.2</v>
      </c>
      <c r="AX24">
        <v>65.7</v>
      </c>
      <c r="AY24">
        <v>59.6</v>
      </c>
      <c r="AZ24">
        <v>71.599999999999994</v>
      </c>
      <c r="BC24">
        <v>61</v>
      </c>
      <c r="BD24">
        <v>70.3</v>
      </c>
      <c r="BE24">
        <v>65.900000000000006</v>
      </c>
      <c r="BF24">
        <v>58.5</v>
      </c>
      <c r="BG24">
        <v>66.2</v>
      </c>
      <c r="BH24">
        <v>65.7</v>
      </c>
      <c r="BJ24">
        <v>75</v>
      </c>
      <c r="BK24">
        <v>91.4</v>
      </c>
      <c r="BL24">
        <v>102.3</v>
      </c>
      <c r="BM24">
        <v>88.8</v>
      </c>
      <c r="BN24">
        <v>76.5</v>
      </c>
      <c r="BP24">
        <v>79.900000000000006</v>
      </c>
      <c r="BQ24">
        <v>85.4</v>
      </c>
      <c r="BR24">
        <v>83.8</v>
      </c>
      <c r="BS24">
        <v>96.3</v>
      </c>
      <c r="BT24">
        <v>88.4</v>
      </c>
      <c r="BU24">
        <v>67.2</v>
      </c>
      <c r="BV24">
        <v>114.4</v>
      </c>
      <c r="BW24">
        <v>73.5</v>
      </c>
      <c r="BX24">
        <v>66.099999999999994</v>
      </c>
      <c r="BZ24">
        <v>64.7</v>
      </c>
      <c r="CA24">
        <v>64.7</v>
      </c>
      <c r="CB24">
        <v>67.400000000000006</v>
      </c>
      <c r="CC24">
        <v>67.599999999999994</v>
      </c>
      <c r="CD24">
        <v>78.900000000000006</v>
      </c>
      <c r="CE24">
        <v>44.9</v>
      </c>
      <c r="CF24">
        <v>57.6</v>
      </c>
      <c r="CG24">
        <v>57.9</v>
      </c>
      <c r="CH24">
        <v>91.3</v>
      </c>
      <c r="CJ24">
        <v>89.5</v>
      </c>
      <c r="CL24">
        <v>55.7</v>
      </c>
      <c r="CM24">
        <v>55</v>
      </c>
      <c r="CN24">
        <v>45.2</v>
      </c>
      <c r="CO24">
        <v>80.5</v>
      </c>
      <c r="CP24">
        <v>61.6</v>
      </c>
      <c r="CQ24">
        <v>58.6</v>
      </c>
      <c r="CR24">
        <v>59.1</v>
      </c>
      <c r="CS24">
        <v>61.8</v>
      </c>
      <c r="CT24">
        <v>88.4</v>
      </c>
      <c r="CW24">
        <v>49.7</v>
      </c>
      <c r="CX24">
        <v>59.1</v>
      </c>
      <c r="CY24">
        <v>64.7</v>
      </c>
      <c r="CZ24">
        <v>57.9</v>
      </c>
      <c r="DA24">
        <v>62.7</v>
      </c>
      <c r="DB24">
        <v>55.3</v>
      </c>
      <c r="DC24">
        <v>104.1</v>
      </c>
      <c r="DG24">
        <v>67.599999999999994</v>
      </c>
      <c r="DH24">
        <v>54</v>
      </c>
      <c r="DI24">
        <v>62.3</v>
      </c>
      <c r="DJ24">
        <v>76.900000000000006</v>
      </c>
      <c r="DK24">
        <v>41.3</v>
      </c>
      <c r="DL24">
        <v>42.6</v>
      </c>
      <c r="DN24">
        <v>81.599999999999994</v>
      </c>
      <c r="DO24">
        <v>78.5</v>
      </c>
      <c r="DP24">
        <v>80.900000000000006</v>
      </c>
      <c r="DQ24">
        <v>84.2</v>
      </c>
      <c r="DR24">
        <v>66.400000000000006</v>
      </c>
      <c r="DS24">
        <v>95.1</v>
      </c>
      <c r="DT24">
        <v>52.4</v>
      </c>
      <c r="DU24">
        <v>60.2</v>
      </c>
      <c r="DX24">
        <v>60</v>
      </c>
      <c r="DY24">
        <v>98.6</v>
      </c>
      <c r="DZ24">
        <v>57</v>
      </c>
      <c r="EA24">
        <v>55.9</v>
      </c>
      <c r="EB24">
        <v>71.099999999999994</v>
      </c>
      <c r="EC24">
        <v>40.299999999999997</v>
      </c>
      <c r="ED24">
        <v>102.9</v>
      </c>
      <c r="EF24">
        <v>43.7</v>
      </c>
      <c r="EG24">
        <v>52.8</v>
      </c>
      <c r="EH24">
        <v>62.6</v>
      </c>
      <c r="EI24">
        <v>71.099999999999994</v>
      </c>
      <c r="EJ24">
        <v>46.7</v>
      </c>
      <c r="EK24">
        <v>53.5</v>
      </c>
      <c r="EL24">
        <v>81.7</v>
      </c>
      <c r="EM24">
        <v>56.1</v>
      </c>
      <c r="EN24">
        <v>71.900000000000006</v>
      </c>
      <c r="ER24">
        <v>86.9</v>
      </c>
      <c r="ET24">
        <v>99.8</v>
      </c>
      <c r="EU24">
        <v>120.1</v>
      </c>
      <c r="EV24">
        <v>134</v>
      </c>
      <c r="EW24">
        <v>81.400000000000006</v>
      </c>
      <c r="EX24">
        <v>97.6</v>
      </c>
      <c r="EY24">
        <v>63.2</v>
      </c>
      <c r="EZ24">
        <v>95.3</v>
      </c>
      <c r="FA24">
        <v>97.7</v>
      </c>
      <c r="FB24">
        <v>118.7</v>
      </c>
      <c r="FC24">
        <v>93.2</v>
      </c>
      <c r="FD24">
        <v>107.6</v>
      </c>
      <c r="FE24">
        <v>148.80000000000001</v>
      </c>
      <c r="FF24">
        <v>110.5</v>
      </c>
      <c r="FI24">
        <v>88.2</v>
      </c>
      <c r="FJ24">
        <v>85.4</v>
      </c>
      <c r="FK24">
        <v>103.6</v>
      </c>
      <c r="FL24">
        <v>84.4</v>
      </c>
      <c r="FM24">
        <v>88.7</v>
      </c>
      <c r="FQ24">
        <v>71.8</v>
      </c>
      <c r="FR24">
        <v>55.9</v>
      </c>
      <c r="FS24">
        <v>68.400000000000006</v>
      </c>
      <c r="FU24">
        <v>74.099999999999994</v>
      </c>
      <c r="FV24">
        <v>57.6</v>
      </c>
      <c r="FX24">
        <v>74</v>
      </c>
      <c r="FY24">
        <v>87.2</v>
      </c>
      <c r="GA24">
        <v>84.9</v>
      </c>
      <c r="GB24">
        <v>61.9</v>
      </c>
      <c r="GC24">
        <v>71.599999999999994</v>
      </c>
      <c r="GD24">
        <v>69.7</v>
      </c>
      <c r="GE24">
        <v>105.8</v>
      </c>
      <c r="GF24">
        <v>86.7</v>
      </c>
      <c r="GG24">
        <v>101.3</v>
      </c>
      <c r="GH24">
        <v>73.2</v>
      </c>
      <c r="GI24">
        <v>72.8</v>
      </c>
      <c r="GJ24">
        <v>74.599999999999994</v>
      </c>
      <c r="GM24">
        <v>70.2</v>
      </c>
      <c r="GU24">
        <v>71.400000000000006</v>
      </c>
      <c r="GV24">
        <v>45.5</v>
      </c>
      <c r="GW24">
        <v>59.5</v>
      </c>
      <c r="GX24">
        <v>69.900000000000006</v>
      </c>
      <c r="GY24">
        <v>75.5</v>
      </c>
      <c r="HA24">
        <v>89.1</v>
      </c>
      <c r="HD24">
        <v>80.2</v>
      </c>
      <c r="HG24">
        <v>100.1</v>
      </c>
      <c r="HO24">
        <v>104</v>
      </c>
      <c r="HP24">
        <v>103.6</v>
      </c>
      <c r="HQ24">
        <v>80.7</v>
      </c>
      <c r="HR24">
        <v>118.6</v>
      </c>
      <c r="HT24">
        <v>109</v>
      </c>
      <c r="HU24">
        <v>100.7</v>
      </c>
      <c r="HV24">
        <v>102.5</v>
      </c>
      <c r="HY24">
        <v>103</v>
      </c>
      <c r="IA24">
        <v>113.7</v>
      </c>
      <c r="IB24">
        <v>88.6</v>
      </c>
      <c r="IC24">
        <v>121.8</v>
      </c>
      <c r="IE24">
        <v>68.599999999999994</v>
      </c>
      <c r="IJ24">
        <v>98.7</v>
      </c>
      <c r="IK24">
        <v>102.4</v>
      </c>
      <c r="IL24">
        <v>67.7</v>
      </c>
      <c r="IM24">
        <v>97.8</v>
      </c>
      <c r="IO24">
        <v>123.1</v>
      </c>
      <c r="IP24">
        <v>125.1</v>
      </c>
      <c r="IT24">
        <v>72.8</v>
      </c>
      <c r="IU24">
        <v>72.7</v>
      </c>
      <c r="IV24">
        <v>61.8</v>
      </c>
      <c r="IX24">
        <v>64.599999999999994</v>
      </c>
      <c r="IY24">
        <v>68.8</v>
      </c>
      <c r="JA24">
        <v>67</v>
      </c>
      <c r="JB24">
        <v>71.2</v>
      </c>
      <c r="JC24">
        <v>68.2</v>
      </c>
      <c r="JE24">
        <v>76.8</v>
      </c>
      <c r="JI24">
        <v>75.599999999999994</v>
      </c>
      <c r="JL24">
        <v>70.900000000000006</v>
      </c>
      <c r="JO24">
        <v>72.400000000000006</v>
      </c>
      <c r="JQ24">
        <v>74.2</v>
      </c>
      <c r="JS24">
        <v>75.7</v>
      </c>
      <c r="JT24">
        <v>75</v>
      </c>
      <c r="JU24">
        <v>76.7</v>
      </c>
      <c r="JV24">
        <v>79.8</v>
      </c>
      <c r="JW24">
        <v>82</v>
      </c>
      <c r="JX24">
        <v>87.5</v>
      </c>
      <c r="JY24">
        <v>87.5</v>
      </c>
      <c r="JZ24">
        <v>77.7</v>
      </c>
      <c r="KA24">
        <v>81.900000000000006</v>
      </c>
      <c r="KB24">
        <v>72.900000000000006</v>
      </c>
      <c r="KC24">
        <v>81</v>
      </c>
      <c r="KD24">
        <v>81</v>
      </c>
      <c r="KE24">
        <v>67.7</v>
      </c>
      <c r="KF24">
        <v>99.4</v>
      </c>
      <c r="KG24">
        <v>91.1</v>
      </c>
      <c r="KL24">
        <v>56</v>
      </c>
      <c r="KM24">
        <v>61.4</v>
      </c>
      <c r="KN24">
        <v>64.5</v>
      </c>
      <c r="KO24">
        <v>41.6</v>
      </c>
      <c r="KP24">
        <v>56.6</v>
      </c>
      <c r="KS24">
        <v>57.9</v>
      </c>
      <c r="KT24">
        <v>59.9</v>
      </c>
      <c r="KU24">
        <v>64.900000000000006</v>
      </c>
      <c r="KX24">
        <v>75.7</v>
      </c>
      <c r="KY24">
        <v>77.8</v>
      </c>
      <c r="KZ24">
        <v>98.5</v>
      </c>
      <c r="LA24">
        <v>98.5</v>
      </c>
      <c r="LB24">
        <v>73.2</v>
      </c>
      <c r="LC24">
        <v>88.7</v>
      </c>
      <c r="LD24">
        <v>57</v>
      </c>
      <c r="LE24">
        <v>48.8</v>
      </c>
      <c r="LF24">
        <v>48.6</v>
      </c>
      <c r="LG24">
        <v>62.8</v>
      </c>
      <c r="LH24">
        <v>67.3</v>
      </c>
      <c r="LI24">
        <v>54.4</v>
      </c>
      <c r="LJ24">
        <v>150.5</v>
      </c>
      <c r="LK24">
        <v>361.4</v>
      </c>
      <c r="LL24">
        <v>861.2</v>
      </c>
      <c r="LM24">
        <v>1453</v>
      </c>
      <c r="LN24">
        <v>420.1</v>
      </c>
      <c r="LO24">
        <v>181.6</v>
      </c>
      <c r="LP24">
        <v>2587.6999999999998</v>
      </c>
      <c r="LQ24">
        <v>875.3</v>
      </c>
      <c r="LR24">
        <v>1153.3</v>
      </c>
      <c r="LT24">
        <v>311.60000000000002</v>
      </c>
      <c r="LU24">
        <v>493.2</v>
      </c>
      <c r="LV24">
        <v>182.6</v>
      </c>
      <c r="LX24">
        <v>87.3</v>
      </c>
      <c r="LY24">
        <v>79</v>
      </c>
      <c r="MB24">
        <v>142.5</v>
      </c>
      <c r="MD24">
        <v>136.9</v>
      </c>
      <c r="ME24">
        <v>102.1</v>
      </c>
      <c r="MG24">
        <v>119.7</v>
      </c>
      <c r="MH24">
        <v>90.5</v>
      </c>
      <c r="MI24">
        <v>142</v>
      </c>
      <c r="MJ24">
        <v>91.1</v>
      </c>
      <c r="MK24">
        <v>122.9</v>
      </c>
      <c r="MM24">
        <v>78</v>
      </c>
      <c r="MN24">
        <v>63.5</v>
      </c>
      <c r="MO24">
        <v>58.8</v>
      </c>
      <c r="MP24">
        <v>65.099999999999994</v>
      </c>
      <c r="MQ24">
        <v>76.900000000000006</v>
      </c>
      <c r="MS24">
        <v>78.900000000000006</v>
      </c>
      <c r="MU24">
        <v>68.099999999999994</v>
      </c>
      <c r="MV24">
        <v>93</v>
      </c>
      <c r="MW24">
        <v>83.5</v>
      </c>
      <c r="MX24">
        <v>79.099999999999994</v>
      </c>
      <c r="NB24">
        <v>133</v>
      </c>
      <c r="NC24">
        <v>115.1</v>
      </c>
      <c r="ND24">
        <v>140.6</v>
      </c>
      <c r="NE24">
        <v>100.8</v>
      </c>
      <c r="NF24">
        <v>183.6</v>
      </c>
      <c r="NG24">
        <v>172.9</v>
      </c>
      <c r="NH24">
        <v>200.1</v>
      </c>
      <c r="NI24">
        <v>110.8</v>
      </c>
      <c r="NJ24">
        <v>120.2</v>
      </c>
      <c r="NL24">
        <v>89.2</v>
      </c>
      <c r="NM24">
        <v>172.9</v>
      </c>
      <c r="NQ24">
        <v>69.8</v>
      </c>
      <c r="NR24">
        <v>66.5</v>
      </c>
      <c r="NS24">
        <v>66.5</v>
      </c>
      <c r="NT24">
        <v>66.8</v>
      </c>
      <c r="NY24">
        <v>80.8</v>
      </c>
      <c r="NZ24">
        <v>84.1</v>
      </c>
      <c r="OA24">
        <v>87.7</v>
      </c>
      <c r="OB24">
        <v>95.1</v>
      </c>
      <c r="OC24">
        <v>74.8</v>
      </c>
      <c r="OD24">
        <v>83.6</v>
      </c>
      <c r="OE24">
        <v>80.8</v>
      </c>
      <c r="OF24">
        <v>76.900000000000006</v>
      </c>
      <c r="OH24">
        <v>83.6</v>
      </c>
      <c r="OJ24">
        <v>71.2</v>
      </c>
      <c r="OK24">
        <v>76.099999999999994</v>
      </c>
      <c r="OL24">
        <v>71.3</v>
      </c>
      <c r="OM24">
        <v>67.7</v>
      </c>
      <c r="ON24">
        <v>94.3</v>
      </c>
      <c r="OO24">
        <v>66.099999999999994</v>
      </c>
      <c r="OP24">
        <v>74.400000000000006</v>
      </c>
      <c r="OQ24">
        <v>70.599999999999994</v>
      </c>
      <c r="OS24">
        <v>69.3</v>
      </c>
      <c r="OU24">
        <v>70</v>
      </c>
      <c r="OV24">
        <v>79.7</v>
      </c>
      <c r="OW24">
        <v>73.599999999999994</v>
      </c>
      <c r="OX24">
        <v>68.400000000000006</v>
      </c>
      <c r="OY24">
        <v>69.099999999999994</v>
      </c>
      <c r="OZ24">
        <v>62.4</v>
      </c>
      <c r="PA24">
        <v>101.4</v>
      </c>
      <c r="PB24">
        <v>89.5</v>
      </c>
      <c r="PC24">
        <v>65.5</v>
      </c>
      <c r="PD24">
        <v>158.5</v>
      </c>
      <c r="PG24">
        <v>84.1</v>
      </c>
      <c r="PH24">
        <v>78.7</v>
      </c>
      <c r="PI24">
        <v>82.5</v>
      </c>
      <c r="PJ24">
        <v>83.4</v>
      </c>
      <c r="PK24">
        <v>98.1</v>
      </c>
      <c r="PL24">
        <v>74.900000000000006</v>
      </c>
      <c r="PM24">
        <v>80.900000000000006</v>
      </c>
      <c r="PN24">
        <v>85.7</v>
      </c>
      <c r="PO24">
        <v>81.5</v>
      </c>
      <c r="PP24">
        <v>83.8</v>
      </c>
      <c r="PQ24">
        <v>86</v>
      </c>
      <c r="PR24">
        <v>85.1</v>
      </c>
      <c r="PS24">
        <v>60.8</v>
      </c>
      <c r="PT24">
        <v>85.1</v>
      </c>
      <c r="PU24">
        <v>80</v>
      </c>
      <c r="PV24">
        <v>85.3</v>
      </c>
      <c r="PW24">
        <v>98.3</v>
      </c>
      <c r="PX24">
        <v>75.900000000000006</v>
      </c>
      <c r="PY24">
        <v>69.7</v>
      </c>
      <c r="PZ24">
        <v>78.2</v>
      </c>
      <c r="QA24">
        <v>81.099999999999994</v>
      </c>
      <c r="QB24">
        <v>67.099999999999994</v>
      </c>
      <c r="QC24">
        <v>93.7</v>
      </c>
      <c r="QD24">
        <v>61.9</v>
      </c>
      <c r="QE24">
        <v>64.099999999999994</v>
      </c>
      <c r="QF24">
        <v>62.6</v>
      </c>
      <c r="QG24">
        <v>67.2</v>
      </c>
      <c r="QH24">
        <v>75.2</v>
      </c>
      <c r="QI24">
        <v>75.2</v>
      </c>
      <c r="QJ24">
        <v>77.3</v>
      </c>
      <c r="QK24">
        <v>79.099999999999994</v>
      </c>
      <c r="QL24">
        <v>83.9</v>
      </c>
      <c r="QM24">
        <v>76.3</v>
      </c>
      <c r="QN24">
        <v>72.2</v>
      </c>
      <c r="QO24">
        <v>66.599999999999994</v>
      </c>
      <c r="QQ24">
        <v>87.5</v>
      </c>
      <c r="QR24">
        <v>71.5</v>
      </c>
      <c r="QS24">
        <v>135.80000000000001</v>
      </c>
      <c r="QU24">
        <v>83.1</v>
      </c>
      <c r="QV24">
        <v>100.1</v>
      </c>
      <c r="QW24">
        <v>88.8</v>
      </c>
      <c r="QX24">
        <v>85.5</v>
      </c>
      <c r="QY24">
        <v>68.2</v>
      </c>
      <c r="QZ24">
        <v>70.3</v>
      </c>
      <c r="RA24">
        <v>66.8</v>
      </c>
      <c r="RB24">
        <v>62.9</v>
      </c>
      <c r="RD24">
        <v>79.8</v>
      </c>
      <c r="RE24">
        <v>102.7</v>
      </c>
      <c r="RF24">
        <v>112.5</v>
      </c>
      <c r="RG24">
        <v>109.8</v>
      </c>
      <c r="RH24">
        <v>122.5</v>
      </c>
      <c r="RI24">
        <v>79.099999999999994</v>
      </c>
      <c r="RJ24">
        <v>130.69999999999999</v>
      </c>
      <c r="RK24">
        <v>89.2</v>
      </c>
      <c r="RL24">
        <v>99.2</v>
      </c>
      <c r="RM24">
        <v>92.1</v>
      </c>
      <c r="RO24">
        <v>109.8</v>
      </c>
      <c r="RS24">
        <v>134.6</v>
      </c>
      <c r="RV24">
        <v>151.4</v>
      </c>
      <c r="SA24">
        <v>96.5</v>
      </c>
      <c r="SF24">
        <v>56.9</v>
      </c>
      <c r="SG24">
        <v>59.3</v>
      </c>
      <c r="SH24">
        <v>74.400000000000006</v>
      </c>
      <c r="SK24">
        <v>100.1</v>
      </c>
      <c r="SL24">
        <v>76.3</v>
      </c>
      <c r="SM24">
        <v>90.3</v>
      </c>
      <c r="SN24">
        <v>89.3</v>
      </c>
      <c r="SO24">
        <v>93.9</v>
      </c>
      <c r="SP24">
        <v>95</v>
      </c>
      <c r="SQ24">
        <v>88.6</v>
      </c>
      <c r="SR24">
        <v>89.7</v>
      </c>
      <c r="SS24">
        <v>68.400000000000006</v>
      </c>
      <c r="ST24">
        <v>70.5</v>
      </c>
      <c r="SU24">
        <v>66.599999999999994</v>
      </c>
      <c r="SV24">
        <v>65.099999999999994</v>
      </c>
      <c r="SX24">
        <v>72.400000000000006</v>
      </c>
      <c r="SZ24">
        <v>61.6</v>
      </c>
      <c r="TA24">
        <v>95</v>
      </c>
      <c r="TB24">
        <v>63</v>
      </c>
      <c r="TE24">
        <v>94.3</v>
      </c>
      <c r="TF24">
        <v>101.8</v>
      </c>
      <c r="TG24">
        <v>103.1</v>
      </c>
      <c r="TH24">
        <v>97.9</v>
      </c>
      <c r="TK24">
        <v>88.4</v>
      </c>
      <c r="TL24">
        <v>85.3</v>
      </c>
      <c r="TN24">
        <v>91.8</v>
      </c>
      <c r="TO24">
        <v>89.7</v>
      </c>
      <c r="TP24">
        <v>88.1</v>
      </c>
      <c r="TT24">
        <v>90.8</v>
      </c>
      <c r="TU24">
        <v>59.4</v>
      </c>
      <c r="TV24">
        <v>72.5</v>
      </c>
      <c r="TW24">
        <v>75.8</v>
      </c>
      <c r="TX24">
        <v>80.2</v>
      </c>
      <c r="TY24">
        <v>74</v>
      </c>
      <c r="UC24">
        <v>167.2</v>
      </c>
      <c r="UD24">
        <v>77</v>
      </c>
      <c r="UE24">
        <v>159.4</v>
      </c>
      <c r="UF24">
        <v>63.5</v>
      </c>
      <c r="UG24">
        <v>71.5</v>
      </c>
      <c r="UH24">
        <v>140.4</v>
      </c>
      <c r="UJ24">
        <v>72.2</v>
      </c>
      <c r="UL24">
        <v>73.099999999999994</v>
      </c>
      <c r="UM24">
        <v>79.900000000000006</v>
      </c>
      <c r="UN24">
        <v>65.2</v>
      </c>
      <c r="UO24">
        <v>68.900000000000006</v>
      </c>
      <c r="UP24">
        <v>60.4</v>
      </c>
      <c r="UQ24">
        <v>255.6</v>
      </c>
      <c r="UR24">
        <v>74.7</v>
      </c>
      <c r="US24">
        <v>52.3</v>
      </c>
      <c r="UT24">
        <v>57.8</v>
      </c>
      <c r="UW24">
        <v>63.4</v>
      </c>
      <c r="UY24">
        <v>60.2</v>
      </c>
      <c r="UZ24">
        <v>59.6</v>
      </c>
      <c r="VB24">
        <v>62.4</v>
      </c>
      <c r="VD24">
        <v>100.9</v>
      </c>
      <c r="VE24">
        <v>1898.6</v>
      </c>
      <c r="VL24">
        <v>3498.1</v>
      </c>
      <c r="VM24">
        <v>66.599999999999994</v>
      </c>
      <c r="VN24">
        <v>67</v>
      </c>
      <c r="VO24">
        <v>93.6</v>
      </c>
      <c r="VP24">
        <v>72.3</v>
      </c>
      <c r="VQ24">
        <v>86.1</v>
      </c>
      <c r="VR24">
        <v>60.4</v>
      </c>
      <c r="VT24">
        <v>101.4</v>
      </c>
      <c r="VU24">
        <v>167.2</v>
      </c>
      <c r="VV24">
        <v>59.2</v>
      </c>
      <c r="VW24">
        <v>98.3</v>
      </c>
      <c r="VX24">
        <v>61.8</v>
      </c>
      <c r="VY24">
        <v>117.3</v>
      </c>
      <c r="WB24">
        <v>156.1</v>
      </c>
      <c r="WE24">
        <v>110.9</v>
      </c>
      <c r="WF24">
        <v>73.2</v>
      </c>
      <c r="WG24">
        <v>96.7</v>
      </c>
      <c r="WH24">
        <v>70.099999999999994</v>
      </c>
      <c r="WI24">
        <v>71.900000000000006</v>
      </c>
      <c r="WJ24">
        <v>71.8</v>
      </c>
      <c r="WL24">
        <v>95.9</v>
      </c>
      <c r="WP24">
        <v>98.2</v>
      </c>
      <c r="WX24">
        <v>61.6</v>
      </c>
      <c r="WY24">
        <v>64.599999999999994</v>
      </c>
      <c r="XB24">
        <v>64.099999999999994</v>
      </c>
      <c r="XD24">
        <v>51.4</v>
      </c>
      <c r="XE24">
        <v>52.2</v>
      </c>
      <c r="XF24">
        <v>54.3</v>
      </c>
      <c r="XG24">
        <v>46.1</v>
      </c>
      <c r="XH24">
        <v>76.099999999999994</v>
      </c>
      <c r="XI24">
        <v>81.8</v>
      </c>
      <c r="XJ24">
        <v>81.8</v>
      </c>
      <c r="XM24">
        <v>63.7</v>
      </c>
      <c r="XP24">
        <v>70.400000000000006</v>
      </c>
      <c r="XR24">
        <v>65.3</v>
      </c>
      <c r="XT24">
        <v>60.3</v>
      </c>
      <c r="XU24">
        <v>84.9</v>
      </c>
      <c r="XV24">
        <v>75.099999999999994</v>
      </c>
      <c r="XW24">
        <v>77.7</v>
      </c>
      <c r="XZ24">
        <v>82.9</v>
      </c>
      <c r="YA24">
        <v>83.1</v>
      </c>
      <c r="YD24">
        <v>56.6</v>
      </c>
      <c r="YE24">
        <v>89.4</v>
      </c>
      <c r="YG24">
        <v>68.900000000000006</v>
      </c>
      <c r="YK24">
        <v>51.9</v>
      </c>
      <c r="YM24">
        <v>109.8</v>
      </c>
      <c r="YT24">
        <v>77.599999999999994</v>
      </c>
      <c r="YU24">
        <v>72.900000000000006</v>
      </c>
      <c r="YW24">
        <v>73.2</v>
      </c>
      <c r="YX24">
        <v>72.8</v>
      </c>
      <c r="YY24">
        <v>68.8</v>
      </c>
      <c r="ZB24">
        <v>106.4</v>
      </c>
      <c r="ZC24">
        <v>223.2</v>
      </c>
      <c r="ZD24">
        <v>399.7</v>
      </c>
      <c r="ZE24">
        <v>124.4</v>
      </c>
      <c r="ZF24">
        <v>109.9</v>
      </c>
      <c r="ZG24">
        <v>110.6</v>
      </c>
      <c r="ZK24">
        <v>97.5</v>
      </c>
      <c r="ZM24">
        <v>130.80000000000001</v>
      </c>
      <c r="ZN24">
        <v>99.5</v>
      </c>
      <c r="ZO24">
        <v>102.8</v>
      </c>
      <c r="ZP24">
        <v>107.6</v>
      </c>
      <c r="ZQ24">
        <v>94.3</v>
      </c>
      <c r="ZT24">
        <v>104.6</v>
      </c>
      <c r="ZU24">
        <v>87.4</v>
      </c>
      <c r="ZW24">
        <v>92.7</v>
      </c>
      <c r="ZY24">
        <v>82.5</v>
      </c>
      <c r="AAC24">
        <v>63.7</v>
      </c>
      <c r="AAD24">
        <v>57</v>
      </c>
      <c r="AAE24">
        <v>101.9</v>
      </c>
      <c r="AAG24">
        <v>45.6</v>
      </c>
      <c r="AAH24">
        <v>118.1</v>
      </c>
      <c r="AAI24">
        <v>73.7</v>
      </c>
      <c r="AAJ24">
        <v>53.2</v>
      </c>
      <c r="AAK24">
        <v>100.1</v>
      </c>
      <c r="AAL24">
        <v>79.2</v>
      </c>
      <c r="AAM24">
        <v>93.3</v>
      </c>
      <c r="AAN24">
        <v>63.5</v>
      </c>
      <c r="AAO24">
        <v>45.5</v>
      </c>
      <c r="AAP24">
        <v>44.3</v>
      </c>
      <c r="AAR24">
        <v>64.099999999999994</v>
      </c>
      <c r="AAX24">
        <v>60.4</v>
      </c>
      <c r="ABB24">
        <v>68.099999999999994</v>
      </c>
      <c r="ABC24">
        <v>77.599999999999994</v>
      </c>
      <c r="ABD24">
        <v>67.599999999999994</v>
      </c>
      <c r="ABE24">
        <v>55.9</v>
      </c>
      <c r="ABF24">
        <v>85.2</v>
      </c>
      <c r="ABG24">
        <v>78.3</v>
      </c>
      <c r="ABH24">
        <v>84.8</v>
      </c>
      <c r="ABI24">
        <v>76.599999999999994</v>
      </c>
      <c r="ABJ24">
        <v>85.7</v>
      </c>
      <c r="ABK24">
        <v>85.8</v>
      </c>
      <c r="ABL24">
        <v>84.3</v>
      </c>
      <c r="ABM24">
        <v>85.8</v>
      </c>
      <c r="ABN24">
        <v>88.5</v>
      </c>
      <c r="ABO24">
        <v>72.599999999999994</v>
      </c>
      <c r="ABP24">
        <v>100.1</v>
      </c>
    </row>
    <row r="25" spans="1:744">
      <c r="A25">
        <v>1988</v>
      </c>
      <c r="B25">
        <v>85.3</v>
      </c>
      <c r="C25">
        <v>77.099999999999994</v>
      </c>
      <c r="D25">
        <v>93.7</v>
      </c>
      <c r="E25">
        <v>113.3</v>
      </c>
      <c r="F25">
        <v>114.1</v>
      </c>
      <c r="G25">
        <v>115.1</v>
      </c>
      <c r="H25">
        <v>79.599999999999994</v>
      </c>
      <c r="I25">
        <v>81.400000000000006</v>
      </c>
      <c r="J25">
        <v>78.599999999999994</v>
      </c>
      <c r="L25">
        <v>77.400000000000006</v>
      </c>
      <c r="M25">
        <v>79.400000000000006</v>
      </c>
      <c r="N25">
        <v>69.3</v>
      </c>
      <c r="O25">
        <v>81.8</v>
      </c>
      <c r="P25">
        <v>73.400000000000006</v>
      </c>
      <c r="Q25">
        <v>88</v>
      </c>
      <c r="R25">
        <v>92.5</v>
      </c>
      <c r="S25">
        <v>77.099999999999994</v>
      </c>
      <c r="T25">
        <v>101.5</v>
      </c>
      <c r="V25">
        <v>71</v>
      </c>
      <c r="W25">
        <v>75.599999999999994</v>
      </c>
      <c r="X25">
        <v>87</v>
      </c>
      <c r="Y25">
        <v>111.2</v>
      </c>
      <c r="Z25">
        <v>46.4</v>
      </c>
      <c r="AA25">
        <v>76.2</v>
      </c>
      <c r="AB25">
        <v>76.2</v>
      </c>
      <c r="AC25">
        <v>62.2</v>
      </c>
      <c r="AD25">
        <v>56.7</v>
      </c>
      <c r="AE25">
        <v>101.2</v>
      </c>
      <c r="AF25">
        <v>80.8</v>
      </c>
      <c r="AG25">
        <v>60.2</v>
      </c>
      <c r="AH25">
        <v>59.8</v>
      </c>
      <c r="AI25">
        <v>100.3</v>
      </c>
      <c r="AJ25">
        <v>59.3</v>
      </c>
      <c r="AK25">
        <v>48.7</v>
      </c>
      <c r="AL25">
        <v>76.8</v>
      </c>
      <c r="AM25">
        <v>68.2</v>
      </c>
      <c r="AN25">
        <v>78.7</v>
      </c>
      <c r="AO25">
        <v>70.099999999999994</v>
      </c>
      <c r="AP25">
        <v>53.1</v>
      </c>
      <c r="AQ25">
        <v>77.5</v>
      </c>
      <c r="AR25">
        <v>72.900000000000006</v>
      </c>
      <c r="AU25">
        <v>66.7</v>
      </c>
      <c r="AV25">
        <v>64.400000000000006</v>
      </c>
      <c r="AW25">
        <v>70.2</v>
      </c>
      <c r="AX25">
        <v>66.3</v>
      </c>
      <c r="AY25">
        <v>60.3</v>
      </c>
      <c r="AZ25">
        <v>72.099999999999994</v>
      </c>
      <c r="BC25">
        <v>61.7</v>
      </c>
      <c r="BD25">
        <v>69.900000000000006</v>
      </c>
      <c r="BE25">
        <v>65.5</v>
      </c>
      <c r="BF25">
        <v>58.9</v>
      </c>
      <c r="BG25">
        <v>63.1</v>
      </c>
      <c r="BH25">
        <v>65.3</v>
      </c>
      <c r="BJ25">
        <v>73.2</v>
      </c>
      <c r="BK25">
        <v>90.9</v>
      </c>
      <c r="BL25">
        <v>101.9</v>
      </c>
      <c r="BM25">
        <v>88.7</v>
      </c>
      <c r="BN25">
        <v>75.099999999999994</v>
      </c>
      <c r="BP25">
        <v>79.900000000000006</v>
      </c>
      <c r="BQ25">
        <v>85.1</v>
      </c>
      <c r="BR25">
        <v>83.4</v>
      </c>
      <c r="BS25">
        <v>95.6</v>
      </c>
      <c r="BT25">
        <v>88</v>
      </c>
      <c r="BU25">
        <v>69.599999999999994</v>
      </c>
      <c r="BV25">
        <v>112.2</v>
      </c>
      <c r="BW25">
        <v>72.900000000000006</v>
      </c>
      <c r="BX25">
        <v>65.5</v>
      </c>
      <c r="BZ25">
        <v>65.7</v>
      </c>
      <c r="CA25">
        <v>65.7</v>
      </c>
      <c r="CB25">
        <v>71.7</v>
      </c>
      <c r="CC25">
        <v>74</v>
      </c>
      <c r="CD25">
        <v>93.6</v>
      </c>
      <c r="CE25">
        <v>51.6</v>
      </c>
      <c r="CF25">
        <v>74.8</v>
      </c>
      <c r="CG25">
        <v>73.2</v>
      </c>
      <c r="CH25">
        <v>101.9</v>
      </c>
      <c r="CJ25">
        <v>89.3</v>
      </c>
      <c r="CL25">
        <v>68.5</v>
      </c>
      <c r="CM25">
        <v>52.9</v>
      </c>
      <c r="CN25">
        <v>43.5</v>
      </c>
      <c r="CO25">
        <v>84.5</v>
      </c>
      <c r="CP25">
        <v>61</v>
      </c>
      <c r="CQ25">
        <v>67</v>
      </c>
      <c r="CR25">
        <v>73.400000000000006</v>
      </c>
      <c r="CS25">
        <v>66.8</v>
      </c>
      <c r="CT25">
        <v>99.1</v>
      </c>
      <c r="CW25">
        <v>52.8</v>
      </c>
      <c r="CX25">
        <v>61.2</v>
      </c>
      <c r="CY25">
        <v>68.400000000000006</v>
      </c>
      <c r="CZ25">
        <v>66.8</v>
      </c>
      <c r="DA25">
        <v>67.8</v>
      </c>
      <c r="DB25">
        <v>54.9</v>
      </c>
      <c r="DC25">
        <v>98.6</v>
      </c>
      <c r="DG25">
        <v>68.5</v>
      </c>
      <c r="DH25">
        <v>55</v>
      </c>
      <c r="DI25">
        <v>62.5</v>
      </c>
      <c r="DJ25">
        <v>77.7</v>
      </c>
      <c r="DK25">
        <v>42.3</v>
      </c>
      <c r="DL25">
        <v>45.8</v>
      </c>
      <c r="DN25">
        <v>81.5</v>
      </c>
      <c r="DO25">
        <v>78.400000000000006</v>
      </c>
      <c r="DP25">
        <v>80.5</v>
      </c>
      <c r="DQ25">
        <v>84.9</v>
      </c>
      <c r="DR25">
        <v>67.5</v>
      </c>
      <c r="DS25">
        <v>93.6</v>
      </c>
      <c r="DT25">
        <v>56.7</v>
      </c>
      <c r="DU25">
        <v>60.6</v>
      </c>
      <c r="DX25">
        <v>63.1</v>
      </c>
      <c r="DY25">
        <v>96.4</v>
      </c>
      <c r="DZ25">
        <v>59.9</v>
      </c>
      <c r="EA25">
        <v>58.9</v>
      </c>
      <c r="EB25">
        <v>69.7</v>
      </c>
      <c r="EC25">
        <v>47.8</v>
      </c>
      <c r="ED25">
        <v>92.4</v>
      </c>
      <c r="EF25">
        <v>46.7</v>
      </c>
      <c r="EG25">
        <v>58.4</v>
      </c>
      <c r="EH25">
        <v>61.9</v>
      </c>
      <c r="EI25">
        <v>72.3</v>
      </c>
      <c r="EJ25">
        <v>50.6</v>
      </c>
      <c r="EK25">
        <v>56.7</v>
      </c>
      <c r="EL25">
        <v>87.8</v>
      </c>
      <c r="EM25">
        <v>59</v>
      </c>
      <c r="EN25">
        <v>76.599999999999994</v>
      </c>
      <c r="ER25">
        <v>83</v>
      </c>
      <c r="ET25">
        <v>99</v>
      </c>
      <c r="EU25">
        <v>119.4</v>
      </c>
      <c r="EV25">
        <v>133.1</v>
      </c>
      <c r="EW25">
        <v>81.099999999999994</v>
      </c>
      <c r="EX25">
        <v>96.9</v>
      </c>
      <c r="EY25">
        <v>63.2</v>
      </c>
      <c r="EZ25">
        <v>95.1</v>
      </c>
      <c r="FA25">
        <v>97.3</v>
      </c>
      <c r="FB25">
        <v>117.3</v>
      </c>
      <c r="FC25">
        <v>92.2</v>
      </c>
      <c r="FD25">
        <v>107.5</v>
      </c>
      <c r="FE25">
        <v>146.1</v>
      </c>
      <c r="FF25">
        <v>107.8</v>
      </c>
      <c r="FI25">
        <v>88.1</v>
      </c>
      <c r="FJ25">
        <v>85.2</v>
      </c>
      <c r="FK25">
        <v>101.7</v>
      </c>
      <c r="FL25">
        <v>84.6</v>
      </c>
      <c r="FM25">
        <v>89.1</v>
      </c>
      <c r="FQ25">
        <v>71.599999999999994</v>
      </c>
      <c r="FR25">
        <v>56.3</v>
      </c>
      <c r="FS25">
        <v>69.3</v>
      </c>
      <c r="FU25">
        <v>74.900000000000006</v>
      </c>
      <c r="FV25">
        <v>58</v>
      </c>
      <c r="FX25">
        <v>73.3</v>
      </c>
      <c r="FY25">
        <v>85</v>
      </c>
      <c r="GA25">
        <v>85.2</v>
      </c>
      <c r="GB25">
        <v>61.9</v>
      </c>
      <c r="GC25">
        <v>70.3</v>
      </c>
      <c r="GD25">
        <v>69.5</v>
      </c>
      <c r="GE25">
        <v>95.6</v>
      </c>
      <c r="GF25">
        <v>86.5</v>
      </c>
      <c r="GG25">
        <v>98.2</v>
      </c>
      <c r="GH25">
        <v>73.2</v>
      </c>
      <c r="GI25">
        <v>72.8</v>
      </c>
      <c r="GJ25">
        <v>74.900000000000006</v>
      </c>
      <c r="GM25">
        <v>70.5</v>
      </c>
      <c r="GU25">
        <v>71.400000000000006</v>
      </c>
      <c r="GV25">
        <v>44.9</v>
      </c>
      <c r="GW25">
        <v>60.6</v>
      </c>
      <c r="GX25">
        <v>70.5</v>
      </c>
      <c r="GY25">
        <v>74.8</v>
      </c>
      <c r="HA25">
        <v>90</v>
      </c>
      <c r="HD25">
        <v>80.599999999999994</v>
      </c>
      <c r="HG25">
        <v>99.1</v>
      </c>
      <c r="HO25">
        <v>102.4</v>
      </c>
      <c r="HP25">
        <v>103.6</v>
      </c>
      <c r="HQ25">
        <v>81.400000000000006</v>
      </c>
      <c r="HR25">
        <v>114</v>
      </c>
      <c r="HT25">
        <v>101.1</v>
      </c>
      <c r="HU25">
        <v>92.2</v>
      </c>
      <c r="HV25">
        <v>99.3</v>
      </c>
      <c r="HY25">
        <v>102.9</v>
      </c>
      <c r="IA25">
        <v>113.7</v>
      </c>
      <c r="IB25">
        <v>88</v>
      </c>
      <c r="IC25">
        <v>121.8</v>
      </c>
      <c r="IE25">
        <v>69.099999999999994</v>
      </c>
      <c r="IJ25">
        <v>98.7</v>
      </c>
      <c r="IK25">
        <v>102.4</v>
      </c>
      <c r="IL25">
        <v>67.7</v>
      </c>
      <c r="IM25">
        <v>97.8</v>
      </c>
      <c r="IO25">
        <v>123.1</v>
      </c>
      <c r="IP25">
        <v>125.1</v>
      </c>
      <c r="IT25">
        <v>73.400000000000006</v>
      </c>
      <c r="IU25">
        <v>73.3</v>
      </c>
      <c r="IV25">
        <v>62.6</v>
      </c>
      <c r="IX25">
        <v>65.3</v>
      </c>
      <c r="IY25">
        <v>69.599999999999994</v>
      </c>
      <c r="JA25">
        <v>67.7</v>
      </c>
      <c r="JB25">
        <v>71.900000000000006</v>
      </c>
      <c r="JC25">
        <v>68.7</v>
      </c>
      <c r="JE25">
        <v>77.2</v>
      </c>
      <c r="JI25">
        <v>76.400000000000006</v>
      </c>
      <c r="JL25">
        <v>72.099999999999994</v>
      </c>
      <c r="JO25">
        <v>72.900000000000006</v>
      </c>
      <c r="JQ25">
        <v>74.599999999999994</v>
      </c>
      <c r="JS25">
        <v>75.7</v>
      </c>
      <c r="JT25">
        <v>75</v>
      </c>
      <c r="JU25">
        <v>76.7</v>
      </c>
      <c r="JV25">
        <v>81.400000000000006</v>
      </c>
      <c r="JW25">
        <v>83.7</v>
      </c>
      <c r="JX25">
        <v>89.5</v>
      </c>
      <c r="JY25">
        <v>89.5</v>
      </c>
      <c r="JZ25">
        <v>80.400000000000006</v>
      </c>
      <c r="KA25">
        <v>84.8</v>
      </c>
      <c r="KB25">
        <v>75.5</v>
      </c>
      <c r="KC25">
        <v>82.6</v>
      </c>
      <c r="KD25">
        <v>82.6</v>
      </c>
      <c r="KE25">
        <v>68.900000000000006</v>
      </c>
      <c r="KF25">
        <v>100</v>
      </c>
      <c r="KG25">
        <v>92.2</v>
      </c>
      <c r="KL25">
        <v>57.7</v>
      </c>
      <c r="KM25">
        <v>62.5</v>
      </c>
      <c r="KN25">
        <v>66.099999999999994</v>
      </c>
      <c r="KO25">
        <v>42.8</v>
      </c>
      <c r="KP25">
        <v>57.6</v>
      </c>
      <c r="KS25">
        <v>59.5</v>
      </c>
      <c r="KT25">
        <v>60.8</v>
      </c>
      <c r="KU25">
        <v>67.3</v>
      </c>
      <c r="KX25">
        <v>76.099999999999994</v>
      </c>
      <c r="KY25">
        <v>76.099999999999994</v>
      </c>
      <c r="KZ25">
        <v>96.7</v>
      </c>
      <c r="LA25">
        <v>96.7</v>
      </c>
      <c r="LB25">
        <v>71.5</v>
      </c>
      <c r="LC25">
        <v>87.4</v>
      </c>
      <c r="LD25">
        <v>55.2</v>
      </c>
      <c r="LE25">
        <v>42.4</v>
      </c>
      <c r="LF25">
        <v>41.9</v>
      </c>
      <c r="LG25">
        <v>64</v>
      </c>
      <c r="LH25">
        <v>68.7</v>
      </c>
      <c r="LI25">
        <v>55.4</v>
      </c>
      <c r="LJ25">
        <v>149.9</v>
      </c>
      <c r="LK25">
        <v>355.4</v>
      </c>
      <c r="LL25">
        <v>829.4</v>
      </c>
      <c r="LM25">
        <v>1346.2</v>
      </c>
      <c r="LN25">
        <v>407.3</v>
      </c>
      <c r="LO25">
        <v>185</v>
      </c>
      <c r="LP25">
        <v>2431.8000000000002</v>
      </c>
      <c r="LQ25">
        <v>840.3</v>
      </c>
      <c r="LR25">
        <v>1051.0999999999999</v>
      </c>
      <c r="LT25">
        <v>306.89999999999998</v>
      </c>
      <c r="LU25">
        <v>473.6</v>
      </c>
      <c r="LV25">
        <v>185.4</v>
      </c>
      <c r="LX25">
        <v>88.5</v>
      </c>
      <c r="LY25">
        <v>80.2</v>
      </c>
      <c r="MB25">
        <v>144.1</v>
      </c>
      <c r="MD25">
        <v>138</v>
      </c>
      <c r="ME25">
        <v>103.1</v>
      </c>
      <c r="MG25">
        <v>119.2</v>
      </c>
      <c r="MH25">
        <v>88</v>
      </c>
      <c r="MI25">
        <v>141.80000000000001</v>
      </c>
      <c r="MJ25">
        <v>91.7</v>
      </c>
      <c r="MK25">
        <v>124</v>
      </c>
      <c r="MM25">
        <v>78.599999999999994</v>
      </c>
      <c r="MN25">
        <v>64.400000000000006</v>
      </c>
      <c r="MO25">
        <v>60.2</v>
      </c>
      <c r="MP25">
        <v>65.599999999999994</v>
      </c>
      <c r="MQ25">
        <v>77.099999999999994</v>
      </c>
      <c r="MS25">
        <v>79.7</v>
      </c>
      <c r="MU25">
        <v>68</v>
      </c>
      <c r="MV25">
        <v>93.6</v>
      </c>
      <c r="MW25">
        <v>83.7</v>
      </c>
      <c r="MX25">
        <v>79.7</v>
      </c>
      <c r="NB25">
        <v>131.4</v>
      </c>
      <c r="NC25">
        <v>114.1</v>
      </c>
      <c r="ND25">
        <v>138.4</v>
      </c>
      <c r="NE25">
        <v>100.5</v>
      </c>
      <c r="NF25">
        <v>179.7</v>
      </c>
      <c r="NG25">
        <v>165.4</v>
      </c>
      <c r="NH25">
        <v>197.6</v>
      </c>
      <c r="NI25">
        <v>110.5</v>
      </c>
      <c r="NJ25">
        <v>118.1</v>
      </c>
      <c r="NL25">
        <v>89.5</v>
      </c>
      <c r="NM25">
        <v>172.7</v>
      </c>
      <c r="NQ25">
        <v>71.3</v>
      </c>
      <c r="NR25">
        <v>67.900000000000006</v>
      </c>
      <c r="NS25">
        <v>67.900000000000006</v>
      </c>
      <c r="NT25">
        <v>68.099999999999994</v>
      </c>
      <c r="NY25">
        <v>82.2</v>
      </c>
      <c r="NZ25">
        <v>85.9</v>
      </c>
      <c r="OA25">
        <v>88.8</v>
      </c>
      <c r="OB25">
        <v>95.8</v>
      </c>
      <c r="OC25">
        <v>76.400000000000006</v>
      </c>
      <c r="OD25">
        <v>85.7</v>
      </c>
      <c r="OE25">
        <v>81.900000000000006</v>
      </c>
      <c r="OF25">
        <v>77.3</v>
      </c>
      <c r="OH25">
        <v>84.9</v>
      </c>
      <c r="OJ25">
        <v>73.5</v>
      </c>
      <c r="OK25">
        <v>77.8</v>
      </c>
      <c r="OL25">
        <v>72.400000000000006</v>
      </c>
      <c r="OM25">
        <v>70.2</v>
      </c>
      <c r="ON25">
        <v>94.5</v>
      </c>
      <c r="OO25">
        <v>66</v>
      </c>
      <c r="OP25">
        <v>77</v>
      </c>
      <c r="OQ25">
        <v>71.2</v>
      </c>
      <c r="OS25">
        <v>72.400000000000006</v>
      </c>
      <c r="OU25">
        <v>72.900000000000006</v>
      </c>
      <c r="OV25">
        <v>81.900000000000006</v>
      </c>
      <c r="OW25">
        <v>76.3</v>
      </c>
      <c r="OX25">
        <v>70.5</v>
      </c>
      <c r="OY25">
        <v>71.099999999999994</v>
      </c>
      <c r="OZ25">
        <v>61.9</v>
      </c>
      <c r="PA25">
        <v>103.1</v>
      </c>
      <c r="PB25">
        <v>93.1</v>
      </c>
      <c r="PC25">
        <v>65.8</v>
      </c>
      <c r="PD25">
        <v>161</v>
      </c>
      <c r="PG25">
        <v>86.2</v>
      </c>
      <c r="PH25">
        <v>79.8</v>
      </c>
      <c r="PI25">
        <v>83.8</v>
      </c>
      <c r="PJ25">
        <v>84.5</v>
      </c>
      <c r="PK25">
        <v>99.7</v>
      </c>
      <c r="PL25">
        <v>79.099999999999994</v>
      </c>
      <c r="PM25">
        <v>80.400000000000006</v>
      </c>
      <c r="PN25">
        <v>86.3</v>
      </c>
      <c r="PO25">
        <v>83</v>
      </c>
      <c r="PP25">
        <v>85.5</v>
      </c>
      <c r="PQ25">
        <v>86.1</v>
      </c>
      <c r="PR25">
        <v>85.4</v>
      </c>
      <c r="PS25">
        <v>65.7</v>
      </c>
      <c r="PT25">
        <v>86.9</v>
      </c>
      <c r="PU25">
        <v>81.3</v>
      </c>
      <c r="PV25">
        <v>86.1</v>
      </c>
      <c r="PW25">
        <v>96.2</v>
      </c>
      <c r="PX25">
        <v>78.099999999999994</v>
      </c>
      <c r="PY25">
        <v>70.599999999999994</v>
      </c>
      <c r="PZ25">
        <v>78.599999999999994</v>
      </c>
      <c r="QA25">
        <v>81.3</v>
      </c>
      <c r="QB25">
        <v>67.400000000000006</v>
      </c>
      <c r="QC25">
        <v>95.3</v>
      </c>
      <c r="QD25">
        <v>63.2</v>
      </c>
      <c r="QE25">
        <v>64.8</v>
      </c>
      <c r="QF25">
        <v>62.7</v>
      </c>
      <c r="QG25">
        <v>69.900000000000006</v>
      </c>
      <c r="QH25">
        <v>75.2</v>
      </c>
      <c r="QI25">
        <v>75.2</v>
      </c>
      <c r="QJ25">
        <v>78</v>
      </c>
      <c r="QK25">
        <v>80.099999999999994</v>
      </c>
      <c r="QL25">
        <v>85.2</v>
      </c>
      <c r="QM25">
        <v>77.599999999999994</v>
      </c>
      <c r="QN25">
        <v>71.7</v>
      </c>
      <c r="QO25">
        <v>66.900000000000006</v>
      </c>
      <c r="QQ25">
        <v>88.1</v>
      </c>
      <c r="QR25">
        <v>71.599999999999994</v>
      </c>
      <c r="QS25">
        <v>137.5</v>
      </c>
      <c r="QU25">
        <v>85</v>
      </c>
      <c r="QV25">
        <v>100</v>
      </c>
      <c r="QW25">
        <v>89</v>
      </c>
      <c r="QX25">
        <v>86.6</v>
      </c>
      <c r="QY25">
        <v>68.900000000000006</v>
      </c>
      <c r="QZ25">
        <v>71</v>
      </c>
      <c r="RA25">
        <v>67.3</v>
      </c>
      <c r="RB25">
        <v>63.4</v>
      </c>
      <c r="RD25">
        <v>80.099999999999994</v>
      </c>
      <c r="RE25">
        <v>103.2</v>
      </c>
      <c r="RF25">
        <v>112.2</v>
      </c>
      <c r="RG25">
        <v>111.1</v>
      </c>
      <c r="RH25">
        <v>122</v>
      </c>
      <c r="RI25">
        <v>78.7</v>
      </c>
      <c r="RJ25">
        <v>131.69999999999999</v>
      </c>
      <c r="RK25">
        <v>89.3</v>
      </c>
      <c r="RL25">
        <v>100.8</v>
      </c>
      <c r="RM25">
        <v>92.2</v>
      </c>
      <c r="RO25">
        <v>110.2</v>
      </c>
      <c r="RS25">
        <v>135.6</v>
      </c>
      <c r="RV25">
        <v>150.80000000000001</v>
      </c>
      <c r="SA25">
        <v>97.9</v>
      </c>
      <c r="SF25">
        <v>57</v>
      </c>
      <c r="SG25">
        <v>58.9</v>
      </c>
      <c r="SH25">
        <v>76.099999999999994</v>
      </c>
      <c r="SK25">
        <v>99.3</v>
      </c>
      <c r="SL25">
        <v>76.900000000000006</v>
      </c>
      <c r="SM25">
        <v>90.3</v>
      </c>
      <c r="SN25">
        <v>89.3</v>
      </c>
      <c r="SO25">
        <v>93.9</v>
      </c>
      <c r="SP25">
        <v>95</v>
      </c>
      <c r="SQ25">
        <v>88.6</v>
      </c>
      <c r="SR25">
        <v>89.7</v>
      </c>
      <c r="SS25">
        <v>70.3</v>
      </c>
      <c r="ST25">
        <v>72.2</v>
      </c>
      <c r="SU25">
        <v>68.7</v>
      </c>
      <c r="SV25">
        <v>67.099999999999994</v>
      </c>
      <c r="SX25">
        <v>73.5</v>
      </c>
      <c r="SZ25">
        <v>61.6</v>
      </c>
      <c r="TA25">
        <v>95</v>
      </c>
      <c r="TB25">
        <v>63</v>
      </c>
      <c r="TE25">
        <v>93.1</v>
      </c>
      <c r="TF25">
        <v>102.2</v>
      </c>
      <c r="TG25">
        <v>104.3</v>
      </c>
      <c r="TH25">
        <v>98.5</v>
      </c>
      <c r="TK25">
        <v>86.1</v>
      </c>
      <c r="TL25">
        <v>83.1</v>
      </c>
      <c r="TN25">
        <v>89.9</v>
      </c>
      <c r="TO25">
        <v>84.9</v>
      </c>
      <c r="TP25">
        <v>87.6</v>
      </c>
      <c r="TT25">
        <v>90.9</v>
      </c>
      <c r="TU25">
        <v>63.1</v>
      </c>
      <c r="TV25">
        <v>73.599999999999994</v>
      </c>
      <c r="TW25">
        <v>77.900000000000006</v>
      </c>
      <c r="TX25">
        <v>81.3</v>
      </c>
      <c r="TY25">
        <v>74</v>
      </c>
      <c r="UC25">
        <v>167.2</v>
      </c>
      <c r="UD25">
        <v>77.400000000000006</v>
      </c>
      <c r="UE25">
        <v>156.69999999999999</v>
      </c>
      <c r="UF25">
        <v>63.5</v>
      </c>
      <c r="UG25">
        <v>71.5</v>
      </c>
      <c r="UH25">
        <v>137.4</v>
      </c>
      <c r="UJ25">
        <v>73.2</v>
      </c>
      <c r="UL25">
        <v>75.5</v>
      </c>
      <c r="UM25">
        <v>82.9</v>
      </c>
      <c r="UN25">
        <v>68</v>
      </c>
      <c r="UO25">
        <v>71.7</v>
      </c>
      <c r="UP25">
        <v>61.8</v>
      </c>
      <c r="UQ25">
        <v>265.39999999999998</v>
      </c>
      <c r="UR25">
        <v>76.900000000000006</v>
      </c>
      <c r="US25">
        <v>55.7</v>
      </c>
      <c r="UT25">
        <v>60.7</v>
      </c>
      <c r="UW25">
        <v>63.4</v>
      </c>
      <c r="UY25">
        <v>60.2</v>
      </c>
      <c r="UZ25">
        <v>61.3</v>
      </c>
      <c r="VB25">
        <v>64.099999999999994</v>
      </c>
      <c r="VD25">
        <v>101.6</v>
      </c>
      <c r="VE25">
        <v>1747.4</v>
      </c>
      <c r="VL25">
        <v>3075.5</v>
      </c>
      <c r="VM25">
        <v>67.3</v>
      </c>
      <c r="VN25">
        <v>68.900000000000006</v>
      </c>
      <c r="VO25">
        <v>94.9</v>
      </c>
      <c r="VP25">
        <v>72.599999999999994</v>
      </c>
      <c r="VQ25">
        <v>86.3</v>
      </c>
      <c r="VR25">
        <v>60.8</v>
      </c>
      <c r="VT25">
        <v>101.9</v>
      </c>
      <c r="VU25">
        <v>167</v>
      </c>
      <c r="VV25">
        <v>59.6</v>
      </c>
      <c r="VW25">
        <v>99</v>
      </c>
      <c r="VX25">
        <v>61</v>
      </c>
      <c r="VY25">
        <v>118.6</v>
      </c>
      <c r="WB25">
        <v>157.6</v>
      </c>
      <c r="WE25">
        <v>113.8</v>
      </c>
      <c r="WF25">
        <v>73.2</v>
      </c>
      <c r="WG25">
        <v>96.9</v>
      </c>
      <c r="WH25">
        <v>75.5</v>
      </c>
      <c r="WI25">
        <v>76.7</v>
      </c>
      <c r="WJ25">
        <v>78.099999999999994</v>
      </c>
      <c r="WL25">
        <v>95.4</v>
      </c>
      <c r="WP25">
        <v>98.7</v>
      </c>
      <c r="WX25">
        <v>62.6</v>
      </c>
      <c r="WY25">
        <v>65.8</v>
      </c>
      <c r="XB25">
        <v>64.599999999999994</v>
      </c>
      <c r="XD25">
        <v>52.2</v>
      </c>
      <c r="XE25">
        <v>52.8</v>
      </c>
      <c r="XF25">
        <v>54.3</v>
      </c>
      <c r="XG25">
        <v>47</v>
      </c>
      <c r="XH25">
        <v>77.5</v>
      </c>
      <c r="XI25">
        <v>84.3</v>
      </c>
      <c r="XJ25">
        <v>84.3</v>
      </c>
      <c r="XM25">
        <v>65.099999999999994</v>
      </c>
      <c r="XP25">
        <v>71.8</v>
      </c>
      <c r="XR25">
        <v>66</v>
      </c>
      <c r="XT25">
        <v>61.3</v>
      </c>
      <c r="XU25">
        <v>86</v>
      </c>
      <c r="XV25">
        <v>75.099999999999994</v>
      </c>
      <c r="XW25">
        <v>77.7</v>
      </c>
      <c r="XZ25">
        <v>84.4</v>
      </c>
      <c r="YA25">
        <v>83.2</v>
      </c>
      <c r="YD25">
        <v>59.2</v>
      </c>
      <c r="YE25">
        <v>90</v>
      </c>
      <c r="YG25">
        <v>70.2</v>
      </c>
      <c r="YK25">
        <v>53.4</v>
      </c>
      <c r="YM25">
        <v>107.4</v>
      </c>
      <c r="YT25">
        <v>77.900000000000006</v>
      </c>
      <c r="YU25">
        <v>73.7</v>
      </c>
      <c r="YW25">
        <v>74.099999999999994</v>
      </c>
      <c r="YX25">
        <v>73.099999999999994</v>
      </c>
      <c r="YY25">
        <v>69.5</v>
      </c>
      <c r="ZB25">
        <v>106.3</v>
      </c>
      <c r="ZC25">
        <v>222.8</v>
      </c>
      <c r="ZD25">
        <v>400.5</v>
      </c>
      <c r="ZE25">
        <v>123.6</v>
      </c>
      <c r="ZF25">
        <v>109.1</v>
      </c>
      <c r="ZG25">
        <v>110.4</v>
      </c>
      <c r="ZK25">
        <v>96.9</v>
      </c>
      <c r="ZM25">
        <v>129.4</v>
      </c>
      <c r="ZN25">
        <v>99.5</v>
      </c>
      <c r="ZO25">
        <v>102.9</v>
      </c>
      <c r="ZP25">
        <v>107.6</v>
      </c>
      <c r="ZQ25">
        <v>94.3</v>
      </c>
      <c r="ZT25">
        <v>104.6</v>
      </c>
      <c r="ZU25">
        <v>87.6</v>
      </c>
      <c r="ZW25">
        <v>92.7</v>
      </c>
      <c r="ZY25">
        <v>82.6</v>
      </c>
      <c r="AAC25">
        <v>63.8</v>
      </c>
      <c r="AAD25">
        <v>57.5</v>
      </c>
      <c r="AAE25">
        <v>102.1</v>
      </c>
      <c r="AAG25">
        <v>46.6</v>
      </c>
      <c r="AAH25">
        <v>120.5</v>
      </c>
      <c r="AAI25">
        <v>73.099999999999994</v>
      </c>
      <c r="AAJ25">
        <v>52.7</v>
      </c>
      <c r="AAK25">
        <v>99.4</v>
      </c>
      <c r="AAL25">
        <v>80.3</v>
      </c>
      <c r="AAM25">
        <v>93.9</v>
      </c>
      <c r="AAN25">
        <v>65.400000000000006</v>
      </c>
      <c r="AAO25">
        <v>45.5</v>
      </c>
      <c r="AAP25">
        <v>44.3</v>
      </c>
      <c r="AAR25">
        <v>65.5</v>
      </c>
      <c r="AAX25">
        <v>62.8</v>
      </c>
      <c r="ABB25">
        <v>70.7</v>
      </c>
      <c r="ABC25">
        <v>75.599999999999994</v>
      </c>
      <c r="ABD25">
        <v>74</v>
      </c>
      <c r="ABE25">
        <v>58.9</v>
      </c>
      <c r="ABF25">
        <v>85.7</v>
      </c>
      <c r="ABG25">
        <v>78.400000000000006</v>
      </c>
      <c r="ABH25">
        <v>85.3</v>
      </c>
      <c r="ABI25">
        <v>78.3</v>
      </c>
      <c r="ABJ25">
        <v>87.8</v>
      </c>
      <c r="ABK25">
        <v>86</v>
      </c>
      <c r="ABL25">
        <v>81.099999999999994</v>
      </c>
      <c r="ABM25">
        <v>86.5</v>
      </c>
      <c r="ABN25">
        <v>89.5</v>
      </c>
      <c r="ABO25">
        <v>74.5</v>
      </c>
      <c r="ABP25">
        <v>100.9</v>
      </c>
    </row>
    <row r="26" spans="1:744">
      <c r="A26">
        <v>1989</v>
      </c>
      <c r="B26">
        <v>87.7</v>
      </c>
      <c r="C26">
        <v>79.5</v>
      </c>
      <c r="D26">
        <v>96</v>
      </c>
      <c r="E26">
        <v>115.8</v>
      </c>
      <c r="F26">
        <v>117.6</v>
      </c>
      <c r="G26">
        <v>117.8</v>
      </c>
      <c r="H26">
        <v>81.900000000000006</v>
      </c>
      <c r="I26">
        <v>84.2</v>
      </c>
      <c r="J26">
        <v>80</v>
      </c>
      <c r="L26">
        <v>79.400000000000006</v>
      </c>
      <c r="M26">
        <v>81.5</v>
      </c>
      <c r="N26">
        <v>71.099999999999994</v>
      </c>
      <c r="O26">
        <v>83.9</v>
      </c>
      <c r="P26">
        <v>75.2</v>
      </c>
      <c r="Q26">
        <v>90.6</v>
      </c>
      <c r="R26">
        <v>94.5</v>
      </c>
      <c r="S26">
        <v>77.8</v>
      </c>
      <c r="T26">
        <v>104.4</v>
      </c>
      <c r="V26">
        <v>72.599999999999994</v>
      </c>
      <c r="W26">
        <v>77</v>
      </c>
      <c r="X26">
        <v>93</v>
      </c>
      <c r="Y26">
        <v>116.3</v>
      </c>
      <c r="Z26">
        <v>47.1</v>
      </c>
      <c r="AA26">
        <v>84.9</v>
      </c>
      <c r="AB26">
        <v>74</v>
      </c>
      <c r="AC26">
        <v>59.5</v>
      </c>
      <c r="AD26">
        <v>47.8</v>
      </c>
      <c r="AE26">
        <v>105</v>
      </c>
      <c r="AF26">
        <v>86.7</v>
      </c>
      <c r="AG26">
        <v>56.3</v>
      </c>
      <c r="AH26">
        <v>61.9</v>
      </c>
      <c r="AI26">
        <v>97.3</v>
      </c>
      <c r="AJ26">
        <v>61.9</v>
      </c>
      <c r="AK26">
        <v>53.9</v>
      </c>
      <c r="AL26">
        <v>76.2</v>
      </c>
      <c r="AM26">
        <v>70.3</v>
      </c>
      <c r="AN26">
        <v>80</v>
      </c>
      <c r="AO26">
        <v>76.8</v>
      </c>
      <c r="AP26">
        <v>52.6</v>
      </c>
      <c r="AQ26">
        <v>75.400000000000006</v>
      </c>
      <c r="AR26">
        <v>76.599999999999994</v>
      </c>
      <c r="AU26">
        <v>68.2</v>
      </c>
      <c r="AV26">
        <v>66</v>
      </c>
      <c r="AW26">
        <v>71.7</v>
      </c>
      <c r="AX26">
        <v>67.900000000000006</v>
      </c>
      <c r="AY26">
        <v>62.3</v>
      </c>
      <c r="AZ26">
        <v>74.5</v>
      </c>
      <c r="BC26">
        <v>63.5</v>
      </c>
      <c r="BD26">
        <v>71.3</v>
      </c>
      <c r="BE26">
        <v>66.8</v>
      </c>
      <c r="BF26">
        <v>61.3</v>
      </c>
      <c r="BG26">
        <v>64.400000000000006</v>
      </c>
      <c r="BH26">
        <v>66.599999999999994</v>
      </c>
      <c r="BJ26">
        <v>73.5</v>
      </c>
      <c r="BK26">
        <v>92.7</v>
      </c>
      <c r="BL26">
        <v>103.3</v>
      </c>
      <c r="BM26">
        <v>90.3</v>
      </c>
      <c r="BN26">
        <v>75.8</v>
      </c>
      <c r="BP26">
        <v>85.3</v>
      </c>
      <c r="BQ26">
        <v>88.4</v>
      </c>
      <c r="BR26">
        <v>86.1</v>
      </c>
      <c r="BS26">
        <v>97.5</v>
      </c>
      <c r="BT26">
        <v>92.9</v>
      </c>
      <c r="BU26">
        <v>80.3</v>
      </c>
      <c r="BV26">
        <v>114.3</v>
      </c>
      <c r="BW26">
        <v>75.099999999999994</v>
      </c>
      <c r="BX26">
        <v>68.5</v>
      </c>
      <c r="BZ26">
        <v>75.8</v>
      </c>
      <c r="CA26">
        <v>75.8</v>
      </c>
      <c r="CB26">
        <v>73.099999999999994</v>
      </c>
      <c r="CC26">
        <v>74.400000000000006</v>
      </c>
      <c r="CD26">
        <v>74.3</v>
      </c>
      <c r="CE26">
        <v>52.6</v>
      </c>
      <c r="CF26">
        <v>64.3</v>
      </c>
      <c r="CG26">
        <v>75.5</v>
      </c>
      <c r="CH26">
        <v>97.4</v>
      </c>
      <c r="CJ26">
        <v>90.6</v>
      </c>
      <c r="CL26">
        <v>66.8</v>
      </c>
      <c r="CM26">
        <v>51.3</v>
      </c>
      <c r="CN26">
        <v>54.7</v>
      </c>
      <c r="CO26">
        <v>86.1</v>
      </c>
      <c r="CP26">
        <v>66.8</v>
      </c>
      <c r="CQ26">
        <v>66.3</v>
      </c>
      <c r="CR26">
        <v>73</v>
      </c>
      <c r="CS26">
        <v>69.8</v>
      </c>
      <c r="CT26">
        <v>106.1</v>
      </c>
      <c r="CW26">
        <v>53.6</v>
      </c>
      <c r="CX26">
        <v>59.3</v>
      </c>
      <c r="CY26">
        <v>71.3</v>
      </c>
      <c r="CZ26">
        <v>69.900000000000006</v>
      </c>
      <c r="DA26">
        <v>71.400000000000006</v>
      </c>
      <c r="DB26">
        <v>54.8</v>
      </c>
      <c r="DC26">
        <v>104.5</v>
      </c>
      <c r="DG26">
        <v>71.599999999999994</v>
      </c>
      <c r="DH26">
        <v>57.4</v>
      </c>
      <c r="DI26">
        <v>63.5</v>
      </c>
      <c r="DJ26">
        <v>79.8</v>
      </c>
      <c r="DK26">
        <v>45.4</v>
      </c>
      <c r="DL26">
        <v>48.9</v>
      </c>
      <c r="DN26">
        <v>85.1</v>
      </c>
      <c r="DO26">
        <v>82.5</v>
      </c>
      <c r="DP26">
        <v>83.3</v>
      </c>
      <c r="DQ26">
        <v>87.9</v>
      </c>
      <c r="DR26">
        <v>70.599999999999994</v>
      </c>
      <c r="DS26">
        <v>95.5</v>
      </c>
      <c r="DT26">
        <v>61.6</v>
      </c>
      <c r="DU26">
        <v>63.1</v>
      </c>
      <c r="DX26">
        <v>67</v>
      </c>
      <c r="DY26">
        <v>100.5</v>
      </c>
      <c r="DZ26">
        <v>65.3</v>
      </c>
      <c r="EA26">
        <v>64.400000000000006</v>
      </c>
      <c r="EB26">
        <v>76.2</v>
      </c>
      <c r="EC26">
        <v>53.9</v>
      </c>
      <c r="ED26">
        <v>97.3</v>
      </c>
      <c r="EF26">
        <v>49</v>
      </c>
      <c r="EG26">
        <v>60.8</v>
      </c>
      <c r="EH26">
        <v>64.5</v>
      </c>
      <c r="EI26">
        <v>84.2</v>
      </c>
      <c r="EJ26">
        <v>54.3</v>
      </c>
      <c r="EK26">
        <v>63.2</v>
      </c>
      <c r="EL26">
        <v>89.3</v>
      </c>
      <c r="EM26">
        <v>65.5</v>
      </c>
      <c r="EN26">
        <v>78.2</v>
      </c>
      <c r="ER26">
        <v>84.8</v>
      </c>
      <c r="ET26">
        <v>100.8</v>
      </c>
      <c r="EU26">
        <v>122.6</v>
      </c>
      <c r="EV26">
        <v>136.6</v>
      </c>
      <c r="EW26">
        <v>83.4</v>
      </c>
      <c r="EX26">
        <v>98.4</v>
      </c>
      <c r="EY26">
        <v>64.900000000000006</v>
      </c>
      <c r="EZ26">
        <v>96.6</v>
      </c>
      <c r="FA26">
        <v>99.5</v>
      </c>
      <c r="FB26">
        <v>112.9</v>
      </c>
      <c r="FC26">
        <v>94.2</v>
      </c>
      <c r="FD26">
        <v>110.1</v>
      </c>
      <c r="FE26">
        <v>147.6</v>
      </c>
      <c r="FF26">
        <v>110.3</v>
      </c>
      <c r="FI26">
        <v>90.3</v>
      </c>
      <c r="FJ26">
        <v>88.2</v>
      </c>
      <c r="FK26">
        <v>103</v>
      </c>
      <c r="FL26">
        <v>86.3</v>
      </c>
      <c r="FM26">
        <v>92.5</v>
      </c>
      <c r="FQ26">
        <v>73.5</v>
      </c>
      <c r="FR26">
        <v>58.3</v>
      </c>
      <c r="FS26">
        <v>71.900000000000006</v>
      </c>
      <c r="FU26">
        <v>78</v>
      </c>
      <c r="FV26">
        <v>60.4</v>
      </c>
      <c r="FX26">
        <v>75.099999999999994</v>
      </c>
      <c r="FY26">
        <v>87.2</v>
      </c>
      <c r="GA26">
        <v>88.5</v>
      </c>
      <c r="GB26">
        <v>63.3</v>
      </c>
      <c r="GC26">
        <v>72.5</v>
      </c>
      <c r="GD26">
        <v>71</v>
      </c>
      <c r="GE26">
        <v>91.3</v>
      </c>
      <c r="GF26">
        <v>88</v>
      </c>
      <c r="GG26">
        <v>98.9</v>
      </c>
      <c r="GH26">
        <v>74.599999999999994</v>
      </c>
      <c r="GI26">
        <v>75.599999999999994</v>
      </c>
      <c r="GJ26">
        <v>77.400000000000006</v>
      </c>
      <c r="GM26">
        <v>72.8</v>
      </c>
      <c r="GU26">
        <v>74.099999999999994</v>
      </c>
      <c r="GV26">
        <v>47.2</v>
      </c>
      <c r="GW26">
        <v>63.3</v>
      </c>
      <c r="GX26">
        <v>73.2</v>
      </c>
      <c r="GY26">
        <v>78.099999999999994</v>
      </c>
      <c r="HA26">
        <v>91.9</v>
      </c>
      <c r="HD26">
        <v>82.2</v>
      </c>
      <c r="HG26">
        <v>101.4</v>
      </c>
      <c r="HO26">
        <v>104.8</v>
      </c>
      <c r="HP26">
        <v>106.6</v>
      </c>
      <c r="HQ26">
        <v>84.6</v>
      </c>
      <c r="HR26">
        <v>115.1</v>
      </c>
      <c r="HT26">
        <v>102.3</v>
      </c>
      <c r="HU26">
        <v>92.8</v>
      </c>
      <c r="HV26">
        <v>102.4</v>
      </c>
      <c r="HY26">
        <v>105.5</v>
      </c>
      <c r="IA26">
        <v>115.3</v>
      </c>
      <c r="IB26">
        <v>90.1</v>
      </c>
      <c r="IC26">
        <v>122.8</v>
      </c>
      <c r="IE26">
        <v>73.5</v>
      </c>
      <c r="IJ26">
        <v>97.4</v>
      </c>
      <c r="IK26">
        <v>107.5</v>
      </c>
      <c r="IL26">
        <v>74.7</v>
      </c>
      <c r="IM26">
        <v>95.1</v>
      </c>
      <c r="IO26">
        <v>123.7</v>
      </c>
      <c r="IP26">
        <v>126.5</v>
      </c>
      <c r="IT26">
        <v>76.7</v>
      </c>
      <c r="IU26">
        <v>76.8</v>
      </c>
      <c r="IV26">
        <v>66.7</v>
      </c>
      <c r="IX26">
        <v>69</v>
      </c>
      <c r="IY26">
        <v>74</v>
      </c>
      <c r="JA26">
        <v>71.599999999999994</v>
      </c>
      <c r="JB26">
        <v>75.599999999999994</v>
      </c>
      <c r="JC26">
        <v>72.5</v>
      </c>
      <c r="JE26">
        <v>81.5</v>
      </c>
      <c r="JI26">
        <v>80.7</v>
      </c>
      <c r="JL26">
        <v>76.400000000000006</v>
      </c>
      <c r="JO26">
        <v>75.400000000000006</v>
      </c>
      <c r="JQ26">
        <v>76.400000000000006</v>
      </c>
      <c r="JS26">
        <v>76.900000000000006</v>
      </c>
      <c r="JT26">
        <v>76.2</v>
      </c>
      <c r="JU26">
        <v>78.099999999999994</v>
      </c>
      <c r="JV26">
        <v>84</v>
      </c>
      <c r="JW26">
        <v>86.2</v>
      </c>
      <c r="JX26">
        <v>91.8</v>
      </c>
      <c r="JY26">
        <v>91.8</v>
      </c>
      <c r="JZ26">
        <v>84.7</v>
      </c>
      <c r="KA26">
        <v>89.3</v>
      </c>
      <c r="KB26">
        <v>79.5</v>
      </c>
      <c r="KC26">
        <v>85</v>
      </c>
      <c r="KD26">
        <v>85</v>
      </c>
      <c r="KE26">
        <v>72</v>
      </c>
      <c r="KF26">
        <v>104</v>
      </c>
      <c r="KG26">
        <v>95.9</v>
      </c>
      <c r="KL26">
        <v>61.6</v>
      </c>
      <c r="KM26">
        <v>65.5</v>
      </c>
      <c r="KN26">
        <v>68.599999999999994</v>
      </c>
      <c r="KO26">
        <v>45.3</v>
      </c>
      <c r="KP26">
        <v>62.2</v>
      </c>
      <c r="KS26">
        <v>62.8</v>
      </c>
      <c r="KT26">
        <v>64</v>
      </c>
      <c r="KU26">
        <v>72.2</v>
      </c>
      <c r="KX26">
        <v>77.2</v>
      </c>
      <c r="KY26">
        <v>76.2</v>
      </c>
      <c r="KZ26">
        <v>93.7</v>
      </c>
      <c r="LA26">
        <v>93.7</v>
      </c>
      <c r="LB26">
        <v>72.599999999999994</v>
      </c>
      <c r="LC26">
        <v>88.3</v>
      </c>
      <c r="LD26">
        <v>56.3</v>
      </c>
      <c r="LE26">
        <v>44.7</v>
      </c>
      <c r="LF26">
        <v>44.2</v>
      </c>
      <c r="LG26">
        <v>65.599999999999994</v>
      </c>
      <c r="LH26">
        <v>70.599999999999994</v>
      </c>
      <c r="LI26">
        <v>56.5</v>
      </c>
      <c r="LJ26">
        <v>151.1</v>
      </c>
      <c r="LK26">
        <v>348.3</v>
      </c>
      <c r="LL26">
        <v>784.9</v>
      </c>
      <c r="LM26">
        <v>1178.7</v>
      </c>
      <c r="LN26">
        <v>410.3</v>
      </c>
      <c r="LO26">
        <v>192.9</v>
      </c>
      <c r="LP26">
        <v>2111.5</v>
      </c>
      <c r="LQ26">
        <v>797.5</v>
      </c>
      <c r="LR26">
        <v>929.3</v>
      </c>
      <c r="LT26">
        <v>299.89999999999998</v>
      </c>
      <c r="LU26">
        <v>449.8</v>
      </c>
      <c r="LV26">
        <v>186.6</v>
      </c>
      <c r="LX26">
        <v>91.3</v>
      </c>
      <c r="LY26">
        <v>82.9</v>
      </c>
      <c r="MB26">
        <v>146.9</v>
      </c>
      <c r="MD26">
        <v>139.30000000000001</v>
      </c>
      <c r="ME26">
        <v>107.5</v>
      </c>
      <c r="MG26">
        <v>121.4</v>
      </c>
      <c r="MH26">
        <v>90.5</v>
      </c>
      <c r="MI26">
        <v>144.5</v>
      </c>
      <c r="MJ26">
        <v>94.3</v>
      </c>
      <c r="MK26">
        <v>128.69999999999999</v>
      </c>
      <c r="MM26">
        <v>81.400000000000006</v>
      </c>
      <c r="MN26">
        <v>67.099999999999994</v>
      </c>
      <c r="MO26">
        <v>63.3</v>
      </c>
      <c r="MP26">
        <v>68.5</v>
      </c>
      <c r="MQ26">
        <v>80.400000000000006</v>
      </c>
      <c r="MS26">
        <v>84.5</v>
      </c>
      <c r="MU26">
        <v>69.599999999999994</v>
      </c>
      <c r="MV26">
        <v>96.2</v>
      </c>
      <c r="MW26">
        <v>85.4</v>
      </c>
      <c r="MX26">
        <v>81.3</v>
      </c>
      <c r="NB26">
        <v>131.4</v>
      </c>
      <c r="NC26">
        <v>116.1</v>
      </c>
      <c r="ND26">
        <v>140.30000000000001</v>
      </c>
      <c r="NE26">
        <v>102.7</v>
      </c>
      <c r="NF26">
        <v>176.1</v>
      </c>
      <c r="NG26">
        <v>157.69999999999999</v>
      </c>
      <c r="NH26">
        <v>194.8</v>
      </c>
      <c r="NI26">
        <v>111.2</v>
      </c>
      <c r="NJ26">
        <v>120.3</v>
      </c>
      <c r="NL26">
        <v>91.7</v>
      </c>
      <c r="NM26">
        <v>168.2</v>
      </c>
      <c r="NQ26">
        <v>74.3</v>
      </c>
      <c r="NR26">
        <v>70</v>
      </c>
      <c r="NS26">
        <v>70</v>
      </c>
      <c r="NT26">
        <v>71.3</v>
      </c>
      <c r="NY26">
        <v>86.3</v>
      </c>
      <c r="NZ26">
        <v>90.9</v>
      </c>
      <c r="OA26">
        <v>93.8</v>
      </c>
      <c r="OB26">
        <v>100.6</v>
      </c>
      <c r="OC26">
        <v>81.599999999999994</v>
      </c>
      <c r="OD26">
        <v>90.7</v>
      </c>
      <c r="OE26">
        <v>86.1</v>
      </c>
      <c r="OF26">
        <v>81</v>
      </c>
      <c r="OH26">
        <v>88.8</v>
      </c>
      <c r="OJ26">
        <v>79</v>
      </c>
      <c r="OK26">
        <v>81.599999999999994</v>
      </c>
      <c r="OL26">
        <v>76.900000000000006</v>
      </c>
      <c r="OM26">
        <v>77.400000000000006</v>
      </c>
      <c r="ON26">
        <v>98</v>
      </c>
      <c r="OO26">
        <v>67.5</v>
      </c>
      <c r="OP26">
        <v>81.7</v>
      </c>
      <c r="OQ26">
        <v>78.3</v>
      </c>
      <c r="OS26">
        <v>77.599999999999994</v>
      </c>
      <c r="OU26">
        <v>76.5</v>
      </c>
      <c r="OV26">
        <v>86.5</v>
      </c>
      <c r="OW26">
        <v>84.4</v>
      </c>
      <c r="OX26">
        <v>74.599999999999994</v>
      </c>
      <c r="OY26">
        <v>74.099999999999994</v>
      </c>
      <c r="OZ26">
        <v>65</v>
      </c>
      <c r="PA26">
        <v>106.8</v>
      </c>
      <c r="PB26">
        <v>100</v>
      </c>
      <c r="PC26">
        <v>67.8</v>
      </c>
      <c r="PD26">
        <v>170.1</v>
      </c>
      <c r="PG26">
        <v>91.7</v>
      </c>
      <c r="PH26">
        <v>84</v>
      </c>
      <c r="PI26">
        <v>88.5</v>
      </c>
      <c r="PJ26">
        <v>89.3</v>
      </c>
      <c r="PK26">
        <v>104.6</v>
      </c>
      <c r="PL26">
        <v>84</v>
      </c>
      <c r="PM26">
        <v>85.9</v>
      </c>
      <c r="PN26">
        <v>90.5</v>
      </c>
      <c r="PO26">
        <v>87.6</v>
      </c>
      <c r="PP26">
        <v>91.8</v>
      </c>
      <c r="PQ26">
        <v>92.7</v>
      </c>
      <c r="PR26">
        <v>87.8</v>
      </c>
      <c r="PS26">
        <v>74.7</v>
      </c>
      <c r="PT26">
        <v>90.9</v>
      </c>
      <c r="PU26">
        <v>82.4</v>
      </c>
      <c r="PV26">
        <v>91.3</v>
      </c>
      <c r="PW26">
        <v>98.9</v>
      </c>
      <c r="PX26">
        <v>86.7</v>
      </c>
      <c r="PY26">
        <v>73.5</v>
      </c>
      <c r="PZ26">
        <v>81</v>
      </c>
      <c r="QA26">
        <v>83.4</v>
      </c>
      <c r="QB26">
        <v>69.099999999999994</v>
      </c>
      <c r="QC26">
        <v>100.2</v>
      </c>
      <c r="QD26">
        <v>66.8</v>
      </c>
      <c r="QE26">
        <v>69.599999999999994</v>
      </c>
      <c r="QF26">
        <v>64.599999999999994</v>
      </c>
      <c r="QG26">
        <v>74.3</v>
      </c>
      <c r="QH26">
        <v>77.3</v>
      </c>
      <c r="QI26">
        <v>77.3</v>
      </c>
      <c r="QJ26">
        <v>80.599999999999994</v>
      </c>
      <c r="QK26">
        <v>83.4</v>
      </c>
      <c r="QL26">
        <v>88.3</v>
      </c>
      <c r="QM26">
        <v>81.5</v>
      </c>
      <c r="QN26">
        <v>72.7</v>
      </c>
      <c r="QO26">
        <v>68.599999999999994</v>
      </c>
      <c r="QQ26">
        <v>91.7</v>
      </c>
      <c r="QR26">
        <v>76.5</v>
      </c>
      <c r="QS26">
        <v>145.6</v>
      </c>
      <c r="QU26">
        <v>90.1</v>
      </c>
      <c r="QV26">
        <v>102.1</v>
      </c>
      <c r="QW26">
        <v>92</v>
      </c>
      <c r="QX26">
        <v>90.8</v>
      </c>
      <c r="QY26">
        <v>71</v>
      </c>
      <c r="QZ26">
        <v>73.2</v>
      </c>
      <c r="RA26">
        <v>69.2</v>
      </c>
      <c r="RB26">
        <v>64.7</v>
      </c>
      <c r="RD26">
        <v>81.5</v>
      </c>
      <c r="RE26">
        <v>105.8</v>
      </c>
      <c r="RF26">
        <v>114.7</v>
      </c>
      <c r="RG26">
        <v>113.8</v>
      </c>
      <c r="RH26">
        <v>124.7</v>
      </c>
      <c r="RI26">
        <v>80.599999999999994</v>
      </c>
      <c r="RJ26">
        <v>135.80000000000001</v>
      </c>
      <c r="RK26">
        <v>91.2</v>
      </c>
      <c r="RL26">
        <v>104.4</v>
      </c>
      <c r="RM26">
        <v>94.2</v>
      </c>
      <c r="RO26">
        <v>112.9</v>
      </c>
      <c r="RS26">
        <v>139.30000000000001</v>
      </c>
      <c r="RV26">
        <v>147.9</v>
      </c>
      <c r="SA26">
        <v>103.2</v>
      </c>
      <c r="SF26">
        <v>57.7</v>
      </c>
      <c r="SG26">
        <v>59.2</v>
      </c>
      <c r="SH26">
        <v>78.099999999999994</v>
      </c>
      <c r="SK26">
        <v>100.9</v>
      </c>
      <c r="SL26">
        <v>79.099999999999994</v>
      </c>
      <c r="SM26">
        <v>92.7</v>
      </c>
      <c r="SN26">
        <v>91.8</v>
      </c>
      <c r="SO26">
        <v>96</v>
      </c>
      <c r="SP26">
        <v>97.1</v>
      </c>
      <c r="SQ26">
        <v>91.2</v>
      </c>
      <c r="SR26">
        <v>92.3</v>
      </c>
      <c r="SS26">
        <v>73.099999999999994</v>
      </c>
      <c r="ST26">
        <v>75</v>
      </c>
      <c r="SU26">
        <v>71.599999999999994</v>
      </c>
      <c r="SV26">
        <v>69.8</v>
      </c>
      <c r="SX26">
        <v>77.099999999999994</v>
      </c>
      <c r="SZ26">
        <v>63.6</v>
      </c>
      <c r="TA26">
        <v>88.8</v>
      </c>
      <c r="TB26">
        <v>66.599999999999994</v>
      </c>
      <c r="TE26">
        <v>93.6</v>
      </c>
      <c r="TF26">
        <v>96</v>
      </c>
      <c r="TG26">
        <v>99.5</v>
      </c>
      <c r="TH26">
        <v>92.5</v>
      </c>
      <c r="TK26">
        <v>86.5</v>
      </c>
      <c r="TL26">
        <v>83.5</v>
      </c>
      <c r="TN26">
        <v>93.1</v>
      </c>
      <c r="TO26">
        <v>89.1</v>
      </c>
      <c r="TP26">
        <v>89.7</v>
      </c>
      <c r="TT26">
        <v>93.9</v>
      </c>
      <c r="TU26">
        <v>66.900000000000006</v>
      </c>
      <c r="TV26">
        <v>75.400000000000006</v>
      </c>
      <c r="TW26">
        <v>82.5</v>
      </c>
      <c r="TX26">
        <v>87.4</v>
      </c>
      <c r="TY26">
        <v>74</v>
      </c>
      <c r="UC26">
        <v>167.2</v>
      </c>
      <c r="UD26">
        <v>78.5</v>
      </c>
      <c r="UE26">
        <v>159.6</v>
      </c>
      <c r="UF26">
        <v>65.099999999999994</v>
      </c>
      <c r="UG26">
        <v>73.8</v>
      </c>
      <c r="UH26">
        <v>139.19999999999999</v>
      </c>
      <c r="UJ26">
        <v>79.8</v>
      </c>
      <c r="UL26">
        <v>78.7</v>
      </c>
      <c r="UM26">
        <v>86.3</v>
      </c>
      <c r="UN26">
        <v>69.900000000000006</v>
      </c>
      <c r="UO26">
        <v>73.400000000000006</v>
      </c>
      <c r="UP26">
        <v>64.2</v>
      </c>
      <c r="UQ26">
        <v>270.8</v>
      </c>
      <c r="UR26">
        <v>81.2</v>
      </c>
      <c r="US26">
        <v>59.4</v>
      </c>
      <c r="UT26">
        <v>63.9</v>
      </c>
      <c r="UW26">
        <v>65.400000000000006</v>
      </c>
      <c r="UY26">
        <v>62</v>
      </c>
      <c r="UZ26">
        <v>64.099999999999994</v>
      </c>
      <c r="VB26">
        <v>67.099999999999994</v>
      </c>
      <c r="VD26">
        <v>105.6</v>
      </c>
      <c r="VE26">
        <v>1633.4</v>
      </c>
      <c r="VL26">
        <v>2634.6</v>
      </c>
      <c r="VM26">
        <v>64.599999999999994</v>
      </c>
      <c r="VN26">
        <v>70.5</v>
      </c>
      <c r="VO26">
        <v>97.6</v>
      </c>
      <c r="VP26">
        <v>76.099999999999994</v>
      </c>
      <c r="VQ26">
        <v>88.5</v>
      </c>
      <c r="VR26">
        <v>66.3</v>
      </c>
      <c r="VT26">
        <v>104.2</v>
      </c>
      <c r="VU26">
        <v>146.1</v>
      </c>
      <c r="VV26">
        <v>61.9</v>
      </c>
      <c r="VW26">
        <v>101.5</v>
      </c>
      <c r="VX26">
        <v>63.7</v>
      </c>
      <c r="VY26">
        <v>124.7</v>
      </c>
      <c r="WB26">
        <v>161.6</v>
      </c>
      <c r="WE26">
        <v>115.7</v>
      </c>
      <c r="WF26">
        <v>75.2</v>
      </c>
      <c r="WG26">
        <v>99.8</v>
      </c>
      <c r="WH26">
        <v>79.7</v>
      </c>
      <c r="WI26">
        <v>83.3</v>
      </c>
      <c r="WJ26">
        <v>80.2</v>
      </c>
      <c r="WL26">
        <v>95.8</v>
      </c>
      <c r="WP26">
        <v>100.9</v>
      </c>
      <c r="WX26">
        <v>67.8</v>
      </c>
      <c r="WY26">
        <v>73.599999999999994</v>
      </c>
      <c r="XB26">
        <v>67.2</v>
      </c>
      <c r="XD26">
        <v>55.7</v>
      </c>
      <c r="XE26">
        <v>55</v>
      </c>
      <c r="XF26">
        <v>55.9</v>
      </c>
      <c r="XG26">
        <v>49.5</v>
      </c>
      <c r="XH26">
        <v>81.2</v>
      </c>
      <c r="XI26">
        <v>90</v>
      </c>
      <c r="XJ26">
        <v>90</v>
      </c>
      <c r="XM26">
        <v>67.8</v>
      </c>
      <c r="XP26">
        <v>74.900000000000006</v>
      </c>
      <c r="XR26">
        <v>69.3</v>
      </c>
      <c r="XT26">
        <v>63.9</v>
      </c>
      <c r="XU26">
        <v>89.6</v>
      </c>
      <c r="XV26">
        <v>77.3</v>
      </c>
      <c r="XW26">
        <v>80.099999999999994</v>
      </c>
      <c r="XZ26">
        <v>88.4</v>
      </c>
      <c r="YA26">
        <v>88.3</v>
      </c>
      <c r="YD26">
        <v>64.2</v>
      </c>
      <c r="YE26">
        <v>92.4</v>
      </c>
      <c r="YG26">
        <v>72.400000000000006</v>
      </c>
      <c r="YK26">
        <v>57.3</v>
      </c>
      <c r="YM26">
        <v>107.6</v>
      </c>
      <c r="YT26">
        <v>79.3</v>
      </c>
      <c r="YU26">
        <v>76.7</v>
      </c>
      <c r="YW26">
        <v>78.2</v>
      </c>
      <c r="YX26">
        <v>75.599999999999994</v>
      </c>
      <c r="YY26">
        <v>72.2</v>
      </c>
      <c r="ZB26">
        <v>107.5</v>
      </c>
      <c r="ZC26">
        <v>228.6</v>
      </c>
      <c r="ZD26">
        <v>414.9</v>
      </c>
      <c r="ZE26">
        <v>125.5</v>
      </c>
      <c r="ZF26">
        <v>111.2</v>
      </c>
      <c r="ZG26">
        <v>112.9</v>
      </c>
      <c r="ZK26">
        <v>98.9</v>
      </c>
      <c r="ZM26">
        <v>131.19999999999999</v>
      </c>
      <c r="ZN26">
        <v>100.5</v>
      </c>
      <c r="ZO26">
        <v>105.6</v>
      </c>
      <c r="ZP26">
        <v>110.7</v>
      </c>
      <c r="ZQ26">
        <v>94.8</v>
      </c>
      <c r="ZT26">
        <v>105.6</v>
      </c>
      <c r="ZU26">
        <v>87.5</v>
      </c>
      <c r="ZW26">
        <v>93.6</v>
      </c>
      <c r="ZY26">
        <v>83.1</v>
      </c>
      <c r="AAC26">
        <v>65</v>
      </c>
      <c r="AAD26">
        <v>59.2</v>
      </c>
      <c r="AAE26">
        <v>106.1</v>
      </c>
      <c r="AAG26">
        <v>46.8</v>
      </c>
      <c r="AAH26">
        <v>125.7</v>
      </c>
      <c r="AAI26">
        <v>72.7</v>
      </c>
      <c r="AAJ26">
        <v>52.5</v>
      </c>
      <c r="AAK26">
        <v>97.3</v>
      </c>
      <c r="AAL26">
        <v>84.2</v>
      </c>
      <c r="AAM26">
        <v>97.2</v>
      </c>
      <c r="AAN26">
        <v>70.099999999999994</v>
      </c>
      <c r="AAO26">
        <v>45.5</v>
      </c>
      <c r="AAP26">
        <v>44.3</v>
      </c>
      <c r="AAR26">
        <v>65.599999999999994</v>
      </c>
      <c r="AAX26">
        <v>62.9</v>
      </c>
      <c r="ABB26">
        <v>72.900000000000006</v>
      </c>
      <c r="ABC26">
        <v>77</v>
      </c>
      <c r="ABD26">
        <v>74.400000000000006</v>
      </c>
      <c r="ABE26">
        <v>64.400000000000006</v>
      </c>
      <c r="ABF26">
        <v>88.2</v>
      </c>
      <c r="ABG26">
        <v>80.900000000000006</v>
      </c>
      <c r="ABH26">
        <v>87.8</v>
      </c>
      <c r="ABI26">
        <v>81.2</v>
      </c>
      <c r="ABJ26">
        <v>90.5</v>
      </c>
      <c r="ABK26">
        <v>88.6</v>
      </c>
      <c r="ABL26">
        <v>81.900000000000006</v>
      </c>
      <c r="ABM26">
        <v>89.2</v>
      </c>
      <c r="ABN26">
        <v>92</v>
      </c>
      <c r="ABO26">
        <v>77.3</v>
      </c>
      <c r="ABP26">
        <v>104.5</v>
      </c>
    </row>
    <row r="27" spans="1:744">
      <c r="A27">
        <v>1990</v>
      </c>
      <c r="B27">
        <v>90.4</v>
      </c>
      <c r="C27">
        <v>82.9</v>
      </c>
      <c r="D27">
        <v>97.6</v>
      </c>
      <c r="E27">
        <v>116.4</v>
      </c>
      <c r="F27">
        <v>118.3</v>
      </c>
      <c r="G27">
        <v>118.2</v>
      </c>
      <c r="H27">
        <v>83.3</v>
      </c>
      <c r="I27">
        <v>85.1</v>
      </c>
      <c r="J27">
        <v>82.7</v>
      </c>
      <c r="L27">
        <v>84.6</v>
      </c>
      <c r="M27">
        <v>87.5</v>
      </c>
      <c r="N27">
        <v>74.400000000000006</v>
      </c>
      <c r="O27">
        <v>87.6</v>
      </c>
      <c r="P27">
        <v>81.599999999999994</v>
      </c>
      <c r="Q27">
        <v>95.1</v>
      </c>
      <c r="R27">
        <v>95.9</v>
      </c>
      <c r="S27">
        <v>77.2</v>
      </c>
      <c r="T27">
        <v>106.8</v>
      </c>
      <c r="V27">
        <v>75.599999999999994</v>
      </c>
      <c r="W27">
        <v>81.2</v>
      </c>
      <c r="X27">
        <v>96.3</v>
      </c>
      <c r="Y27">
        <v>120.5</v>
      </c>
      <c r="Z27">
        <v>54</v>
      </c>
      <c r="AA27">
        <v>102.6</v>
      </c>
      <c r="AB27">
        <v>73.3</v>
      </c>
      <c r="AC27">
        <v>76.099999999999994</v>
      </c>
      <c r="AD27">
        <v>55.9</v>
      </c>
      <c r="AE27">
        <v>106.1</v>
      </c>
      <c r="AF27">
        <v>82.9</v>
      </c>
      <c r="AG27">
        <v>61.9</v>
      </c>
      <c r="AH27">
        <v>64.099999999999994</v>
      </c>
      <c r="AI27">
        <v>97.1</v>
      </c>
      <c r="AJ27">
        <v>65.2</v>
      </c>
      <c r="AK27">
        <v>62.8</v>
      </c>
      <c r="AL27">
        <v>80.099999999999994</v>
      </c>
      <c r="AM27">
        <v>71.3</v>
      </c>
      <c r="AN27">
        <v>79.3</v>
      </c>
      <c r="AO27">
        <v>77.599999999999994</v>
      </c>
      <c r="AP27">
        <v>57.8</v>
      </c>
      <c r="AQ27">
        <v>79.3</v>
      </c>
      <c r="AR27">
        <v>79.3</v>
      </c>
      <c r="AS27">
        <v>61.8</v>
      </c>
      <c r="AU27">
        <v>70.7</v>
      </c>
      <c r="AV27">
        <v>68.3</v>
      </c>
      <c r="AW27">
        <v>73.599999999999994</v>
      </c>
      <c r="AX27">
        <v>70.599999999999994</v>
      </c>
      <c r="AY27">
        <v>64</v>
      </c>
      <c r="AZ27">
        <v>75.099999999999994</v>
      </c>
      <c r="BA27">
        <v>58.5</v>
      </c>
      <c r="BB27">
        <v>62.1</v>
      </c>
      <c r="BC27">
        <v>67.3</v>
      </c>
      <c r="BD27">
        <v>73.5</v>
      </c>
      <c r="BE27">
        <v>68.599999999999994</v>
      </c>
      <c r="BF27">
        <v>62.8</v>
      </c>
      <c r="BG27">
        <v>70.8</v>
      </c>
      <c r="BH27">
        <v>68.400000000000006</v>
      </c>
      <c r="BJ27">
        <v>74.900000000000006</v>
      </c>
      <c r="BK27">
        <v>97.2</v>
      </c>
      <c r="BL27">
        <v>107.2</v>
      </c>
      <c r="BM27">
        <v>96.8</v>
      </c>
      <c r="BN27">
        <v>78.8</v>
      </c>
      <c r="BP27">
        <v>90.1</v>
      </c>
      <c r="BQ27">
        <v>89.9</v>
      </c>
      <c r="BR27">
        <v>86.3</v>
      </c>
      <c r="BS27">
        <v>97.5</v>
      </c>
      <c r="BT27">
        <v>97.7</v>
      </c>
      <c r="BU27">
        <v>83</v>
      </c>
      <c r="BV27">
        <v>116.1</v>
      </c>
      <c r="BW27">
        <v>74.8</v>
      </c>
      <c r="BX27">
        <v>77.8</v>
      </c>
      <c r="BZ27">
        <v>90.1</v>
      </c>
      <c r="CA27">
        <v>90.1</v>
      </c>
      <c r="CB27">
        <v>82.4</v>
      </c>
      <c r="CC27">
        <v>87.4</v>
      </c>
      <c r="CD27">
        <v>114.8</v>
      </c>
      <c r="CE27">
        <v>66.099999999999994</v>
      </c>
      <c r="CF27">
        <v>92.9</v>
      </c>
      <c r="CG27">
        <v>80.2</v>
      </c>
      <c r="CH27">
        <v>119.8</v>
      </c>
      <c r="CI27">
        <v>134.30000000000001</v>
      </c>
      <c r="CJ27">
        <v>93.4</v>
      </c>
      <c r="CL27">
        <v>64.8</v>
      </c>
      <c r="CM27">
        <v>58.8</v>
      </c>
      <c r="CN27">
        <v>73</v>
      </c>
      <c r="CO27">
        <v>105.2</v>
      </c>
      <c r="CP27">
        <v>88.4</v>
      </c>
      <c r="CQ27">
        <v>62</v>
      </c>
      <c r="CR27">
        <v>77.3</v>
      </c>
      <c r="CS27">
        <v>67.5</v>
      </c>
      <c r="CT27">
        <v>97.4</v>
      </c>
      <c r="CW27">
        <v>63.8</v>
      </c>
      <c r="CX27">
        <v>67.5</v>
      </c>
      <c r="CY27">
        <v>80</v>
      </c>
      <c r="CZ27">
        <v>73.400000000000006</v>
      </c>
      <c r="DA27">
        <v>81</v>
      </c>
      <c r="DB27">
        <v>68.400000000000006</v>
      </c>
      <c r="DC27">
        <v>119.7</v>
      </c>
      <c r="DD27">
        <v>179.3</v>
      </c>
      <c r="DG27">
        <v>75.099999999999994</v>
      </c>
      <c r="DH27">
        <v>59.1</v>
      </c>
      <c r="DI27">
        <v>65</v>
      </c>
      <c r="DJ27">
        <v>80.5</v>
      </c>
      <c r="DK27">
        <v>48.2</v>
      </c>
      <c r="DL27">
        <v>51.4</v>
      </c>
      <c r="DN27">
        <v>90.3</v>
      </c>
      <c r="DO27">
        <v>87.1</v>
      </c>
      <c r="DP27">
        <v>88.5</v>
      </c>
      <c r="DQ27">
        <v>94</v>
      </c>
      <c r="DR27">
        <v>74.7</v>
      </c>
      <c r="DS27">
        <v>104.6</v>
      </c>
      <c r="DT27">
        <v>63.6</v>
      </c>
      <c r="DU27">
        <v>65.900000000000006</v>
      </c>
      <c r="DV27">
        <v>61.2</v>
      </c>
      <c r="DX27">
        <v>69.599999999999994</v>
      </c>
      <c r="DY27">
        <v>100.4</v>
      </c>
      <c r="DZ27">
        <v>72.900000000000006</v>
      </c>
      <c r="EA27">
        <v>72.099999999999994</v>
      </c>
      <c r="EB27">
        <v>79.5</v>
      </c>
      <c r="EC27">
        <v>65.8</v>
      </c>
      <c r="ED27">
        <v>103.3</v>
      </c>
      <c r="EF27">
        <v>61</v>
      </c>
      <c r="EG27">
        <v>66.5</v>
      </c>
      <c r="EH27">
        <v>69.599999999999994</v>
      </c>
      <c r="EI27">
        <v>89.8</v>
      </c>
      <c r="EJ27">
        <v>61.1</v>
      </c>
      <c r="EK27">
        <v>74.599999999999994</v>
      </c>
      <c r="EL27">
        <v>91.7</v>
      </c>
      <c r="EM27">
        <v>67.2</v>
      </c>
      <c r="EN27">
        <v>83.2</v>
      </c>
      <c r="EO27">
        <v>64.900000000000006</v>
      </c>
      <c r="ER27">
        <v>88.6</v>
      </c>
      <c r="ET27">
        <v>105.4</v>
      </c>
      <c r="EU27">
        <v>130.30000000000001</v>
      </c>
      <c r="EV27">
        <v>144.9</v>
      </c>
      <c r="EW27">
        <v>89.1</v>
      </c>
      <c r="EX27">
        <v>102.7</v>
      </c>
      <c r="EY27">
        <v>64.900000000000006</v>
      </c>
      <c r="EZ27">
        <v>101.6</v>
      </c>
      <c r="FA27">
        <v>104</v>
      </c>
      <c r="FB27">
        <v>112.7</v>
      </c>
      <c r="FC27">
        <v>98</v>
      </c>
      <c r="FD27">
        <v>117.6</v>
      </c>
      <c r="FE27">
        <v>160.6</v>
      </c>
      <c r="FF27">
        <v>118.1</v>
      </c>
      <c r="FI27">
        <v>96.6</v>
      </c>
      <c r="FJ27">
        <v>88.2</v>
      </c>
      <c r="FK27">
        <v>109.5</v>
      </c>
      <c r="FL27">
        <v>90</v>
      </c>
      <c r="FM27">
        <v>96.3</v>
      </c>
      <c r="FQ27">
        <v>75.8</v>
      </c>
      <c r="FR27">
        <v>60</v>
      </c>
      <c r="FS27">
        <v>73.400000000000006</v>
      </c>
      <c r="FU27">
        <v>79.099999999999994</v>
      </c>
      <c r="FV27">
        <v>62.6</v>
      </c>
      <c r="FW27">
        <v>116.4</v>
      </c>
      <c r="FX27">
        <v>81.8</v>
      </c>
      <c r="FY27">
        <v>89.7</v>
      </c>
      <c r="GA27">
        <v>90.7</v>
      </c>
      <c r="GB27">
        <v>63.3</v>
      </c>
      <c r="GC27">
        <v>84.7</v>
      </c>
      <c r="GD27">
        <v>72.5</v>
      </c>
      <c r="GE27">
        <v>91.1</v>
      </c>
      <c r="GF27">
        <v>88.1</v>
      </c>
      <c r="GG27">
        <v>97.3</v>
      </c>
      <c r="GH27">
        <v>81.3</v>
      </c>
      <c r="GI27">
        <v>77.599999999999994</v>
      </c>
      <c r="GJ27">
        <v>79.099999999999994</v>
      </c>
      <c r="GM27">
        <v>74.3</v>
      </c>
      <c r="GP27">
        <v>74.900000000000006</v>
      </c>
      <c r="GU27">
        <v>76.3</v>
      </c>
      <c r="GV27">
        <v>47.4</v>
      </c>
      <c r="GW27">
        <v>65.7</v>
      </c>
      <c r="GX27">
        <v>76</v>
      </c>
      <c r="GY27">
        <v>78.599999999999994</v>
      </c>
      <c r="HA27">
        <v>95.9</v>
      </c>
      <c r="HD27">
        <v>85.5</v>
      </c>
      <c r="HG27">
        <v>107.4</v>
      </c>
      <c r="HO27">
        <v>105.4</v>
      </c>
      <c r="HP27">
        <v>107.8</v>
      </c>
      <c r="HQ27">
        <v>85.8</v>
      </c>
      <c r="HR27">
        <v>115.9</v>
      </c>
      <c r="HT27">
        <v>102.9</v>
      </c>
      <c r="HU27">
        <v>92.6</v>
      </c>
      <c r="HV27">
        <v>105.1</v>
      </c>
      <c r="HY27">
        <v>105.7</v>
      </c>
      <c r="IA27">
        <v>115.4</v>
      </c>
      <c r="IB27">
        <v>90.4</v>
      </c>
      <c r="IC27">
        <v>122.9</v>
      </c>
      <c r="IE27">
        <v>73.900000000000006</v>
      </c>
      <c r="IJ27">
        <v>100.5</v>
      </c>
      <c r="IK27">
        <v>108.2</v>
      </c>
      <c r="IL27">
        <v>74.900000000000006</v>
      </c>
      <c r="IM27">
        <v>100.9</v>
      </c>
      <c r="IO27">
        <v>123.7</v>
      </c>
      <c r="IP27">
        <v>126.5</v>
      </c>
      <c r="IQ27">
        <v>106</v>
      </c>
      <c r="IT27">
        <v>78.3</v>
      </c>
      <c r="IU27">
        <v>78.400000000000006</v>
      </c>
      <c r="IV27">
        <v>68.5</v>
      </c>
      <c r="IX27">
        <v>70.7</v>
      </c>
      <c r="IY27">
        <v>76</v>
      </c>
      <c r="JA27">
        <v>73.2</v>
      </c>
      <c r="JB27">
        <v>76.900000000000006</v>
      </c>
      <c r="JC27">
        <v>74.2</v>
      </c>
      <c r="JE27">
        <v>83</v>
      </c>
      <c r="JH27">
        <v>80.7</v>
      </c>
      <c r="JI27">
        <v>82.1</v>
      </c>
      <c r="JK27">
        <v>128.69999999999999</v>
      </c>
      <c r="JL27">
        <v>77.5</v>
      </c>
      <c r="JO27">
        <v>76.8</v>
      </c>
      <c r="JQ27">
        <v>78.3</v>
      </c>
      <c r="JS27">
        <v>77.8</v>
      </c>
      <c r="JT27">
        <v>77.099999999999994</v>
      </c>
      <c r="JU27">
        <v>78.900000000000006</v>
      </c>
      <c r="JV27">
        <v>86.6</v>
      </c>
      <c r="JW27">
        <v>88.6</v>
      </c>
      <c r="JX27">
        <v>93.9</v>
      </c>
      <c r="JY27">
        <v>93.9</v>
      </c>
      <c r="JZ27">
        <v>87.3</v>
      </c>
      <c r="KA27">
        <v>92</v>
      </c>
      <c r="KB27">
        <v>81.900000000000006</v>
      </c>
      <c r="KC27">
        <v>87.5</v>
      </c>
      <c r="KD27">
        <v>87.5</v>
      </c>
      <c r="KE27">
        <v>75</v>
      </c>
      <c r="KF27">
        <v>105.2</v>
      </c>
      <c r="KG27">
        <v>96.6</v>
      </c>
      <c r="KL27">
        <v>65.3</v>
      </c>
      <c r="KM27">
        <v>68.599999999999994</v>
      </c>
      <c r="KN27">
        <v>69.599999999999994</v>
      </c>
      <c r="KO27">
        <v>47.9</v>
      </c>
      <c r="KP27">
        <v>66.8</v>
      </c>
      <c r="KS27">
        <v>66.7</v>
      </c>
      <c r="KT27">
        <v>66.599999999999994</v>
      </c>
      <c r="KU27">
        <v>76.7</v>
      </c>
      <c r="KX27">
        <v>79.3</v>
      </c>
      <c r="KY27">
        <v>78.599999999999994</v>
      </c>
      <c r="KZ27">
        <v>93.6</v>
      </c>
      <c r="LA27">
        <v>93.6</v>
      </c>
      <c r="LB27">
        <v>75.099999999999994</v>
      </c>
      <c r="LC27">
        <v>88.3</v>
      </c>
      <c r="LD27">
        <v>60.9</v>
      </c>
      <c r="LE27">
        <v>57.3</v>
      </c>
      <c r="LF27">
        <v>57.3</v>
      </c>
      <c r="LG27">
        <v>66.400000000000006</v>
      </c>
      <c r="LH27">
        <v>71.3</v>
      </c>
      <c r="LI27">
        <v>57.6</v>
      </c>
      <c r="LJ27">
        <v>151</v>
      </c>
      <c r="LK27">
        <v>341</v>
      </c>
      <c r="LL27">
        <v>764.1</v>
      </c>
      <c r="LM27">
        <v>1192.3</v>
      </c>
      <c r="LN27">
        <v>396</v>
      </c>
      <c r="LO27">
        <v>192.5</v>
      </c>
      <c r="LP27">
        <v>2013.1</v>
      </c>
      <c r="LQ27">
        <v>772</v>
      </c>
      <c r="LR27">
        <v>894.6</v>
      </c>
      <c r="LT27">
        <v>280</v>
      </c>
      <c r="LU27">
        <v>389</v>
      </c>
      <c r="LV27">
        <v>186.4</v>
      </c>
      <c r="LX27">
        <v>94.9</v>
      </c>
      <c r="LY27">
        <v>86.4</v>
      </c>
      <c r="MA27">
        <v>102.5</v>
      </c>
      <c r="MB27">
        <v>148</v>
      </c>
      <c r="MC27">
        <v>404.1</v>
      </c>
      <c r="MD27">
        <v>140.19999999999999</v>
      </c>
      <c r="ME27">
        <v>108.4</v>
      </c>
      <c r="MG27">
        <v>120.9</v>
      </c>
      <c r="MH27">
        <v>93.3</v>
      </c>
      <c r="MI27">
        <v>142.30000000000001</v>
      </c>
      <c r="MJ27">
        <v>95.8</v>
      </c>
      <c r="MK27">
        <v>128</v>
      </c>
      <c r="MM27">
        <v>83.2</v>
      </c>
      <c r="MN27">
        <v>70.099999999999994</v>
      </c>
      <c r="MO27">
        <v>66.2</v>
      </c>
      <c r="MP27">
        <v>71.900000000000006</v>
      </c>
      <c r="MQ27">
        <v>81.3</v>
      </c>
      <c r="MS27">
        <v>85.7</v>
      </c>
      <c r="MU27">
        <v>72.5</v>
      </c>
      <c r="MV27">
        <v>97.2</v>
      </c>
      <c r="MW27">
        <v>85.7</v>
      </c>
      <c r="MX27">
        <v>81.599999999999994</v>
      </c>
      <c r="NB27">
        <v>131.4</v>
      </c>
      <c r="NC27">
        <v>117.8</v>
      </c>
      <c r="ND27">
        <v>141.19999999999999</v>
      </c>
      <c r="NE27">
        <v>104.6</v>
      </c>
      <c r="NF27">
        <v>174.7</v>
      </c>
      <c r="NG27">
        <v>155.6</v>
      </c>
      <c r="NH27">
        <v>194</v>
      </c>
      <c r="NI27">
        <v>110.2</v>
      </c>
      <c r="NJ27">
        <v>121.4</v>
      </c>
      <c r="NL27">
        <v>92</v>
      </c>
      <c r="NM27">
        <v>160.9</v>
      </c>
      <c r="NQ27">
        <v>76.900000000000006</v>
      </c>
      <c r="NR27">
        <v>72.8</v>
      </c>
      <c r="NS27">
        <v>72.8</v>
      </c>
      <c r="NT27">
        <v>72.599999999999994</v>
      </c>
      <c r="NW27">
        <v>93.6</v>
      </c>
      <c r="NX27">
        <v>93.6</v>
      </c>
      <c r="NY27">
        <v>90.2</v>
      </c>
      <c r="NZ27">
        <v>95.6</v>
      </c>
      <c r="OA27">
        <v>96.7</v>
      </c>
      <c r="OB27">
        <v>102.9</v>
      </c>
      <c r="OC27">
        <v>85.2</v>
      </c>
      <c r="OD27">
        <v>95.7</v>
      </c>
      <c r="OE27">
        <v>89.6</v>
      </c>
      <c r="OF27">
        <v>83.7</v>
      </c>
      <c r="OH27">
        <v>91.5</v>
      </c>
      <c r="OJ27">
        <v>83.9</v>
      </c>
      <c r="OK27">
        <v>85.4</v>
      </c>
      <c r="OL27">
        <v>80.900000000000006</v>
      </c>
      <c r="OM27">
        <v>82.2</v>
      </c>
      <c r="ON27">
        <v>101.9</v>
      </c>
      <c r="OO27">
        <v>69.900000000000006</v>
      </c>
      <c r="OP27">
        <v>87.2</v>
      </c>
      <c r="OQ27">
        <v>81.400000000000006</v>
      </c>
      <c r="OS27">
        <v>82.5</v>
      </c>
      <c r="OU27">
        <v>85.2</v>
      </c>
      <c r="OV27">
        <v>90.9</v>
      </c>
      <c r="OW27">
        <v>91.5</v>
      </c>
      <c r="OX27">
        <v>78</v>
      </c>
      <c r="OY27">
        <v>76.400000000000006</v>
      </c>
      <c r="OZ27">
        <v>70</v>
      </c>
      <c r="PA27">
        <v>109.9</v>
      </c>
      <c r="PB27">
        <v>108.8</v>
      </c>
      <c r="PC27">
        <v>70.099999999999994</v>
      </c>
      <c r="PD27">
        <v>176.8</v>
      </c>
      <c r="PG27">
        <v>95.8</v>
      </c>
      <c r="PH27">
        <v>87.7</v>
      </c>
      <c r="PI27">
        <v>93.6</v>
      </c>
      <c r="PJ27">
        <v>93.1</v>
      </c>
      <c r="PK27">
        <v>107</v>
      </c>
      <c r="PL27">
        <v>87.4</v>
      </c>
      <c r="PM27">
        <v>88.3</v>
      </c>
      <c r="PN27">
        <v>95.7</v>
      </c>
      <c r="PO27">
        <v>93.7</v>
      </c>
      <c r="PP27">
        <v>98.2</v>
      </c>
      <c r="PQ27">
        <v>101.5</v>
      </c>
      <c r="PR27">
        <v>92</v>
      </c>
      <c r="PS27">
        <v>83.1</v>
      </c>
      <c r="PT27">
        <v>94.8</v>
      </c>
      <c r="PU27">
        <v>90</v>
      </c>
      <c r="PV27">
        <v>95.5</v>
      </c>
      <c r="PW27">
        <v>103.6</v>
      </c>
      <c r="PX27">
        <v>89.5</v>
      </c>
      <c r="PY27">
        <v>75</v>
      </c>
      <c r="PZ27">
        <v>82.1</v>
      </c>
      <c r="QA27">
        <v>83.4</v>
      </c>
      <c r="QB27">
        <v>69.2</v>
      </c>
      <c r="QC27">
        <v>104.3</v>
      </c>
      <c r="QD27">
        <v>68.8</v>
      </c>
      <c r="QE27">
        <v>72.2</v>
      </c>
      <c r="QF27">
        <v>65.099999999999994</v>
      </c>
      <c r="QG27">
        <v>77.400000000000006</v>
      </c>
      <c r="QH27">
        <v>77.400000000000006</v>
      </c>
      <c r="QI27">
        <v>77.400000000000006</v>
      </c>
      <c r="QJ27">
        <v>83.9</v>
      </c>
      <c r="QK27">
        <v>88</v>
      </c>
      <c r="QL27">
        <v>91.4</v>
      </c>
      <c r="QM27">
        <v>84.2</v>
      </c>
      <c r="QN27">
        <v>76</v>
      </c>
      <c r="QO27">
        <v>71.2</v>
      </c>
      <c r="QQ27">
        <v>94</v>
      </c>
      <c r="QR27">
        <v>79.099999999999994</v>
      </c>
      <c r="QS27">
        <v>151.6</v>
      </c>
      <c r="QU27">
        <v>93.4</v>
      </c>
      <c r="QV27">
        <v>102.1</v>
      </c>
      <c r="QW27">
        <v>93.5</v>
      </c>
      <c r="QX27">
        <v>93.3</v>
      </c>
      <c r="QY27">
        <v>72.8</v>
      </c>
      <c r="QZ27">
        <v>75.2</v>
      </c>
      <c r="RA27">
        <v>70.900000000000006</v>
      </c>
      <c r="RB27">
        <v>66.099999999999994</v>
      </c>
      <c r="RD27">
        <v>81.900000000000006</v>
      </c>
      <c r="RE27">
        <v>106.5</v>
      </c>
      <c r="RF27">
        <v>114.6</v>
      </c>
      <c r="RG27">
        <v>116.4</v>
      </c>
      <c r="RH27">
        <v>124.3</v>
      </c>
      <c r="RI27">
        <v>80.2</v>
      </c>
      <c r="RJ27">
        <v>135.80000000000001</v>
      </c>
      <c r="RK27">
        <v>94.8</v>
      </c>
      <c r="RL27">
        <v>105.5</v>
      </c>
      <c r="RM27">
        <v>95.3</v>
      </c>
      <c r="RO27">
        <v>113.4</v>
      </c>
      <c r="RS27">
        <v>134.6</v>
      </c>
      <c r="RT27">
        <v>210.4</v>
      </c>
      <c r="RV27">
        <v>129.69999999999999</v>
      </c>
      <c r="RW27">
        <v>202.5</v>
      </c>
      <c r="SA27">
        <v>103.3</v>
      </c>
      <c r="SB27">
        <v>124</v>
      </c>
      <c r="SC27">
        <v>173.1</v>
      </c>
      <c r="SF27">
        <v>58.7</v>
      </c>
      <c r="SG27">
        <v>59.7</v>
      </c>
      <c r="SH27">
        <v>81.400000000000006</v>
      </c>
      <c r="SK27">
        <v>102.4</v>
      </c>
      <c r="SL27">
        <v>79.8</v>
      </c>
      <c r="SM27">
        <v>92.7</v>
      </c>
      <c r="SN27">
        <v>91.8</v>
      </c>
      <c r="SO27">
        <v>96</v>
      </c>
      <c r="SP27">
        <v>97.1</v>
      </c>
      <c r="SQ27">
        <v>91.2</v>
      </c>
      <c r="SR27">
        <v>92.3</v>
      </c>
      <c r="SS27">
        <v>74</v>
      </c>
      <c r="ST27">
        <v>75.900000000000006</v>
      </c>
      <c r="SU27">
        <v>72.599999999999994</v>
      </c>
      <c r="SV27">
        <v>70.8</v>
      </c>
      <c r="SX27">
        <v>78.900000000000006</v>
      </c>
      <c r="SZ27">
        <v>65.400000000000006</v>
      </c>
      <c r="TA27">
        <v>88.5</v>
      </c>
      <c r="TB27">
        <v>67.3</v>
      </c>
      <c r="TE27">
        <v>96.3</v>
      </c>
      <c r="TF27">
        <v>96.9</v>
      </c>
      <c r="TG27">
        <v>99.5</v>
      </c>
      <c r="TH27">
        <v>93.2</v>
      </c>
      <c r="TK27">
        <v>88.1</v>
      </c>
      <c r="TL27">
        <v>85.1</v>
      </c>
      <c r="TN27">
        <v>96.5</v>
      </c>
      <c r="TO27">
        <v>94.7</v>
      </c>
      <c r="TP27">
        <v>89.7</v>
      </c>
      <c r="TT27">
        <v>94.8</v>
      </c>
      <c r="TU27">
        <v>69.7</v>
      </c>
      <c r="TV27">
        <v>76.8</v>
      </c>
      <c r="TW27">
        <v>84</v>
      </c>
      <c r="TX27">
        <v>91.6</v>
      </c>
      <c r="TY27">
        <v>79</v>
      </c>
      <c r="UC27">
        <v>167.2</v>
      </c>
      <c r="UD27">
        <v>80.099999999999994</v>
      </c>
      <c r="UE27">
        <v>157</v>
      </c>
      <c r="UF27">
        <v>65.099999999999994</v>
      </c>
      <c r="UG27">
        <v>73.8</v>
      </c>
      <c r="UH27">
        <v>136.4</v>
      </c>
      <c r="UJ27">
        <v>81.900000000000006</v>
      </c>
      <c r="UL27">
        <v>82.8</v>
      </c>
      <c r="UM27">
        <v>90.9</v>
      </c>
      <c r="UN27">
        <v>72.599999999999994</v>
      </c>
      <c r="UO27">
        <v>76.5</v>
      </c>
      <c r="UP27">
        <v>69.400000000000006</v>
      </c>
      <c r="UQ27">
        <v>277.8</v>
      </c>
      <c r="UR27">
        <v>85.7</v>
      </c>
      <c r="US27">
        <v>64.400000000000006</v>
      </c>
      <c r="UT27">
        <v>68.8</v>
      </c>
      <c r="UW27">
        <v>67</v>
      </c>
      <c r="UY27">
        <v>63.5</v>
      </c>
      <c r="UZ27">
        <v>67.7</v>
      </c>
      <c r="VB27">
        <v>70.8</v>
      </c>
      <c r="VD27">
        <v>108.9</v>
      </c>
      <c r="VE27">
        <v>1625.7</v>
      </c>
      <c r="VL27">
        <v>2478.1</v>
      </c>
      <c r="VM27">
        <v>71.599999999999994</v>
      </c>
      <c r="VN27">
        <v>74.5</v>
      </c>
      <c r="VO27">
        <v>99.3</v>
      </c>
      <c r="VP27">
        <v>77.7</v>
      </c>
      <c r="VQ27">
        <v>91.8</v>
      </c>
      <c r="VR27">
        <v>67.900000000000006</v>
      </c>
      <c r="VT27">
        <v>105.4</v>
      </c>
      <c r="VU27">
        <v>144.9</v>
      </c>
      <c r="VV27">
        <v>63.2</v>
      </c>
      <c r="VW27">
        <v>101.3</v>
      </c>
      <c r="VX27">
        <v>64.2</v>
      </c>
      <c r="VY27">
        <v>126.9</v>
      </c>
      <c r="WB27">
        <v>163.5</v>
      </c>
      <c r="WE27">
        <v>119.8</v>
      </c>
      <c r="WF27">
        <v>75.2</v>
      </c>
      <c r="WG27">
        <v>99.9</v>
      </c>
      <c r="WH27">
        <v>85.3</v>
      </c>
      <c r="WI27">
        <v>89.5</v>
      </c>
      <c r="WJ27">
        <v>85.4</v>
      </c>
      <c r="WL27">
        <v>95.3</v>
      </c>
      <c r="WN27">
        <v>96.5</v>
      </c>
      <c r="WP27">
        <v>100.9</v>
      </c>
      <c r="WV27">
        <v>94.2</v>
      </c>
      <c r="WX27">
        <v>69.099999999999994</v>
      </c>
      <c r="WY27">
        <v>73.7</v>
      </c>
      <c r="XB27">
        <v>69.599999999999994</v>
      </c>
      <c r="XD27">
        <v>57.1</v>
      </c>
      <c r="XE27">
        <v>57.5</v>
      </c>
      <c r="XF27">
        <v>58.8</v>
      </c>
      <c r="XG27">
        <v>52.1</v>
      </c>
      <c r="XH27">
        <v>85.2</v>
      </c>
      <c r="XI27">
        <v>95.6</v>
      </c>
      <c r="XJ27">
        <v>95.6</v>
      </c>
      <c r="XM27">
        <v>69.599999999999994</v>
      </c>
      <c r="XP27">
        <v>76.8</v>
      </c>
      <c r="XR27">
        <v>70.599999999999994</v>
      </c>
      <c r="XT27">
        <v>65.599999999999994</v>
      </c>
      <c r="XU27">
        <v>94.3</v>
      </c>
      <c r="XV27">
        <v>99.6</v>
      </c>
      <c r="XW27">
        <v>103.1</v>
      </c>
      <c r="XZ27">
        <v>90.6</v>
      </c>
      <c r="YA27">
        <v>88.6</v>
      </c>
      <c r="YD27">
        <v>66.400000000000006</v>
      </c>
      <c r="YE27">
        <v>95.2</v>
      </c>
      <c r="YG27">
        <v>74</v>
      </c>
      <c r="YK27">
        <v>59.1</v>
      </c>
      <c r="YM27">
        <v>106.3</v>
      </c>
      <c r="YO27">
        <v>189.2</v>
      </c>
      <c r="YT27">
        <v>80.2</v>
      </c>
      <c r="YU27">
        <v>78</v>
      </c>
      <c r="YW27">
        <v>79.2</v>
      </c>
      <c r="YX27">
        <v>76.7</v>
      </c>
      <c r="YY27">
        <v>73.3</v>
      </c>
      <c r="ZB27">
        <v>107</v>
      </c>
      <c r="ZC27">
        <v>227.3</v>
      </c>
      <c r="ZD27">
        <v>409.7</v>
      </c>
      <c r="ZE27">
        <v>125.5</v>
      </c>
      <c r="ZF27">
        <v>111.2</v>
      </c>
      <c r="ZG27">
        <v>112.8</v>
      </c>
      <c r="ZK27">
        <v>99.3</v>
      </c>
      <c r="ZM27">
        <v>130.5</v>
      </c>
      <c r="ZN27">
        <v>99.9</v>
      </c>
      <c r="ZO27">
        <v>105.4</v>
      </c>
      <c r="ZP27">
        <v>110.7</v>
      </c>
      <c r="ZQ27">
        <v>94.9</v>
      </c>
      <c r="ZT27">
        <v>102.3</v>
      </c>
      <c r="ZU27">
        <v>87.5</v>
      </c>
      <c r="ZW27">
        <v>93.8</v>
      </c>
      <c r="ZY27">
        <v>83.5</v>
      </c>
      <c r="AAC27">
        <v>67</v>
      </c>
      <c r="AAD27">
        <v>62.8</v>
      </c>
      <c r="AAE27">
        <v>113.1</v>
      </c>
      <c r="AAG27">
        <v>50</v>
      </c>
      <c r="AAH27">
        <v>127.7</v>
      </c>
      <c r="AAI27">
        <v>72.7</v>
      </c>
      <c r="AAJ27">
        <v>52.2</v>
      </c>
      <c r="AAK27">
        <v>97.3</v>
      </c>
      <c r="AAL27">
        <v>87</v>
      </c>
      <c r="AAM27">
        <v>99.4</v>
      </c>
      <c r="AAN27">
        <v>73.8</v>
      </c>
      <c r="AAO27">
        <v>45.5</v>
      </c>
      <c r="AAP27">
        <v>44.3</v>
      </c>
      <c r="AAQ27">
        <v>48.7</v>
      </c>
      <c r="AAR27">
        <v>65.599999999999994</v>
      </c>
      <c r="AAX27">
        <v>62.9</v>
      </c>
      <c r="ABB27">
        <v>81.2</v>
      </c>
      <c r="ABC27">
        <v>81.2</v>
      </c>
      <c r="ABD27">
        <v>87.4</v>
      </c>
      <c r="ABE27">
        <v>72.099999999999994</v>
      </c>
      <c r="ABF27">
        <v>90.6</v>
      </c>
      <c r="ABG27">
        <v>83.1</v>
      </c>
      <c r="ABH27">
        <v>90.5</v>
      </c>
      <c r="ABI27">
        <v>83.9</v>
      </c>
      <c r="ABJ27">
        <v>92.9</v>
      </c>
      <c r="ABK27">
        <v>90.9</v>
      </c>
      <c r="ABL27">
        <v>85.6</v>
      </c>
      <c r="ABM27">
        <v>91.4</v>
      </c>
      <c r="ABN27">
        <v>94.3</v>
      </c>
      <c r="ABO27">
        <v>80.900000000000006</v>
      </c>
      <c r="ABP27">
        <v>107.4</v>
      </c>
    </row>
    <row r="28" spans="1:744">
      <c r="A28">
        <v>1991</v>
      </c>
      <c r="B28">
        <v>92.9</v>
      </c>
      <c r="C28">
        <v>86</v>
      </c>
      <c r="D28">
        <v>100</v>
      </c>
      <c r="E28">
        <v>117.2</v>
      </c>
      <c r="F28">
        <v>119.2</v>
      </c>
      <c r="G28">
        <v>119.3</v>
      </c>
      <c r="H28">
        <v>86.1</v>
      </c>
      <c r="I28">
        <v>86.7</v>
      </c>
      <c r="J28">
        <v>87.2</v>
      </c>
      <c r="L28">
        <v>90</v>
      </c>
      <c r="M28">
        <v>94.1</v>
      </c>
      <c r="N28">
        <v>81.099999999999994</v>
      </c>
      <c r="O28">
        <v>92.6</v>
      </c>
      <c r="P28">
        <v>85.6</v>
      </c>
      <c r="Q28">
        <v>100.6</v>
      </c>
      <c r="R28">
        <v>99.3</v>
      </c>
      <c r="S28">
        <v>77.2</v>
      </c>
      <c r="T28">
        <v>111.5</v>
      </c>
      <c r="V28">
        <v>78.2</v>
      </c>
      <c r="W28">
        <v>82</v>
      </c>
      <c r="X28">
        <v>97.5</v>
      </c>
      <c r="Y28">
        <v>121.2</v>
      </c>
      <c r="Z28">
        <v>59.3</v>
      </c>
      <c r="AA28">
        <v>92.9</v>
      </c>
      <c r="AB28">
        <v>70.599999999999994</v>
      </c>
      <c r="AC28">
        <v>89.6</v>
      </c>
      <c r="AD28">
        <v>51.9</v>
      </c>
      <c r="AE28">
        <v>103.9</v>
      </c>
      <c r="AF28">
        <v>89</v>
      </c>
      <c r="AG28">
        <v>59.6</v>
      </c>
      <c r="AH28">
        <v>67.599999999999994</v>
      </c>
      <c r="AI28">
        <v>97</v>
      </c>
      <c r="AJ28">
        <v>67</v>
      </c>
      <c r="AK28">
        <v>71.3</v>
      </c>
      <c r="AL28">
        <v>83.5</v>
      </c>
      <c r="AM28">
        <v>73.099999999999994</v>
      </c>
      <c r="AN28">
        <v>76.7</v>
      </c>
      <c r="AO28">
        <v>82.7</v>
      </c>
      <c r="AP28">
        <v>59.1</v>
      </c>
      <c r="AQ28">
        <v>84.2</v>
      </c>
      <c r="AR28">
        <v>85.5</v>
      </c>
      <c r="AS28">
        <v>63.6</v>
      </c>
      <c r="AU28">
        <v>82.8</v>
      </c>
      <c r="AV28">
        <v>80.7</v>
      </c>
      <c r="AW28">
        <v>87.1</v>
      </c>
      <c r="AX28">
        <v>82.4</v>
      </c>
      <c r="AY28">
        <v>67.599999999999994</v>
      </c>
      <c r="AZ28">
        <v>76.2</v>
      </c>
      <c r="BA28">
        <v>62.7</v>
      </c>
      <c r="BB28">
        <v>66.2</v>
      </c>
      <c r="BC28">
        <v>71.900000000000006</v>
      </c>
      <c r="BD28">
        <v>75.2</v>
      </c>
      <c r="BE28">
        <v>70.3</v>
      </c>
      <c r="BF28">
        <v>64.5</v>
      </c>
      <c r="BG28">
        <v>75.900000000000006</v>
      </c>
      <c r="BH28">
        <v>70.099999999999994</v>
      </c>
      <c r="BJ28">
        <v>75.8</v>
      </c>
      <c r="BK28">
        <v>99.1</v>
      </c>
      <c r="BL28">
        <v>108.5</v>
      </c>
      <c r="BM28">
        <v>99.4</v>
      </c>
      <c r="BN28">
        <v>80.2</v>
      </c>
      <c r="BP28">
        <v>91.1</v>
      </c>
      <c r="BQ28">
        <v>92.3</v>
      </c>
      <c r="BR28">
        <v>89.3</v>
      </c>
      <c r="BS28">
        <v>99</v>
      </c>
      <c r="BT28">
        <v>98.4</v>
      </c>
      <c r="BU28">
        <v>85.7</v>
      </c>
      <c r="BV28">
        <v>116.2</v>
      </c>
      <c r="BW28">
        <v>74.900000000000006</v>
      </c>
      <c r="BX28">
        <v>78.3</v>
      </c>
      <c r="BZ28">
        <v>86.7</v>
      </c>
      <c r="CA28">
        <v>86.7</v>
      </c>
      <c r="CB28">
        <v>88.4</v>
      </c>
      <c r="CC28">
        <v>93.3</v>
      </c>
      <c r="CD28">
        <v>109</v>
      </c>
      <c r="CE28">
        <v>67.7</v>
      </c>
      <c r="CF28">
        <v>90.8</v>
      </c>
      <c r="CG28">
        <v>91.9</v>
      </c>
      <c r="CH28">
        <v>115.3</v>
      </c>
      <c r="CI28">
        <v>128.19999999999999</v>
      </c>
      <c r="CJ28">
        <v>102.5</v>
      </c>
      <c r="CL28">
        <v>81.5</v>
      </c>
      <c r="CM28">
        <v>75.599999999999994</v>
      </c>
      <c r="CN28">
        <v>63.4</v>
      </c>
      <c r="CO28">
        <v>103.9</v>
      </c>
      <c r="CP28">
        <v>83.8</v>
      </c>
      <c r="CQ28">
        <v>104.1</v>
      </c>
      <c r="CR28">
        <v>80.3</v>
      </c>
      <c r="CS28">
        <v>73.900000000000006</v>
      </c>
      <c r="CT28">
        <v>75</v>
      </c>
      <c r="CW28">
        <v>73.5</v>
      </c>
      <c r="CX28">
        <v>77.099999999999994</v>
      </c>
      <c r="CY28">
        <v>88.9</v>
      </c>
      <c r="CZ28">
        <v>87.8</v>
      </c>
      <c r="DA28">
        <v>87.8</v>
      </c>
      <c r="DB28">
        <v>82.8</v>
      </c>
      <c r="DC28">
        <v>119.2</v>
      </c>
      <c r="DD28">
        <v>178.6</v>
      </c>
      <c r="DG28">
        <v>81.2</v>
      </c>
      <c r="DH28">
        <v>61.6</v>
      </c>
      <c r="DI28">
        <v>68.7</v>
      </c>
      <c r="DJ28">
        <v>82.1</v>
      </c>
      <c r="DK28">
        <v>51.3</v>
      </c>
      <c r="DL28">
        <v>56.3</v>
      </c>
      <c r="DN28">
        <v>99.2</v>
      </c>
      <c r="DO28">
        <v>95.2</v>
      </c>
      <c r="DP28">
        <v>94.9</v>
      </c>
      <c r="DQ28">
        <v>108.9</v>
      </c>
      <c r="DR28">
        <v>81.7</v>
      </c>
      <c r="DS28">
        <v>110.8</v>
      </c>
      <c r="DT28">
        <v>65.900000000000006</v>
      </c>
      <c r="DU28">
        <v>76.2</v>
      </c>
      <c r="DV28">
        <v>72.3</v>
      </c>
      <c r="DX28">
        <v>74.099999999999994</v>
      </c>
      <c r="DY28">
        <v>100.1</v>
      </c>
      <c r="DZ28">
        <v>81.900000000000006</v>
      </c>
      <c r="EA28">
        <v>80.7</v>
      </c>
      <c r="EB28">
        <v>98.8</v>
      </c>
      <c r="EC28">
        <v>74.2</v>
      </c>
      <c r="ED28">
        <v>123.6</v>
      </c>
      <c r="EF28">
        <v>64.8</v>
      </c>
      <c r="EG28">
        <v>75.3</v>
      </c>
      <c r="EH28">
        <v>70.2</v>
      </c>
      <c r="EI28">
        <v>102.1</v>
      </c>
      <c r="EJ28">
        <v>67</v>
      </c>
      <c r="EK28">
        <v>81.8</v>
      </c>
      <c r="EL28">
        <v>98.2</v>
      </c>
      <c r="EM28">
        <v>73.5</v>
      </c>
      <c r="EN28">
        <v>86.7</v>
      </c>
      <c r="EO28">
        <v>63.4</v>
      </c>
      <c r="ER28">
        <v>108.3</v>
      </c>
      <c r="ET28">
        <v>110.1</v>
      </c>
      <c r="EU28">
        <v>136.4</v>
      </c>
      <c r="EV28">
        <v>152.19999999999999</v>
      </c>
      <c r="EW28">
        <v>92.4</v>
      </c>
      <c r="EX28">
        <v>107.2</v>
      </c>
      <c r="EY28">
        <v>64.900000000000006</v>
      </c>
      <c r="EZ28">
        <v>108.7</v>
      </c>
      <c r="FA28">
        <v>112.2</v>
      </c>
      <c r="FB28">
        <v>113.1</v>
      </c>
      <c r="FC28">
        <v>102.3</v>
      </c>
      <c r="FD28">
        <v>124</v>
      </c>
      <c r="FE28">
        <v>168.2</v>
      </c>
      <c r="FF28">
        <v>121.7</v>
      </c>
      <c r="FI28">
        <v>100.7</v>
      </c>
      <c r="FJ28">
        <v>88.3</v>
      </c>
      <c r="FK28">
        <v>114.8</v>
      </c>
      <c r="FL28">
        <v>94.6</v>
      </c>
      <c r="FM28">
        <v>101.6</v>
      </c>
      <c r="FQ28">
        <v>78</v>
      </c>
      <c r="FR28">
        <v>62.6</v>
      </c>
      <c r="FS28">
        <v>75.599999999999994</v>
      </c>
      <c r="FU28">
        <v>83.3</v>
      </c>
      <c r="FV28">
        <v>65.3</v>
      </c>
      <c r="FW28">
        <v>116.5</v>
      </c>
      <c r="FX28">
        <v>86.5</v>
      </c>
      <c r="FY28">
        <v>92.4</v>
      </c>
      <c r="GA28">
        <v>94.1</v>
      </c>
      <c r="GB28">
        <v>65.599999999999994</v>
      </c>
      <c r="GC28">
        <v>86.1</v>
      </c>
      <c r="GD28">
        <v>75.7</v>
      </c>
      <c r="GE28">
        <v>91.2</v>
      </c>
      <c r="GF28">
        <v>88.4</v>
      </c>
      <c r="GG28">
        <v>97.4</v>
      </c>
      <c r="GH28">
        <v>87.7</v>
      </c>
      <c r="GI28">
        <v>81.099999999999994</v>
      </c>
      <c r="GJ28">
        <v>82.3</v>
      </c>
      <c r="GM28">
        <v>77.099999999999994</v>
      </c>
      <c r="GP28">
        <v>79.3</v>
      </c>
      <c r="GU28">
        <v>79.8</v>
      </c>
      <c r="GV28">
        <v>47.5</v>
      </c>
      <c r="GW28">
        <v>70.099999999999994</v>
      </c>
      <c r="GX28">
        <v>80</v>
      </c>
      <c r="GY28">
        <v>81.099999999999994</v>
      </c>
      <c r="HA28">
        <v>101.9</v>
      </c>
      <c r="HD28">
        <v>93.8</v>
      </c>
      <c r="HG28">
        <v>112.1</v>
      </c>
      <c r="HO28">
        <v>107.6</v>
      </c>
      <c r="HP28">
        <v>110.1</v>
      </c>
      <c r="HQ28">
        <v>87.8</v>
      </c>
      <c r="HR28">
        <v>115.8</v>
      </c>
      <c r="HT28">
        <v>105.7</v>
      </c>
      <c r="HU28">
        <v>93.7</v>
      </c>
      <c r="HV28">
        <v>110.3</v>
      </c>
      <c r="HY28">
        <v>107.8</v>
      </c>
      <c r="IA28">
        <v>115.6</v>
      </c>
      <c r="IB28">
        <v>90.3</v>
      </c>
      <c r="IC28">
        <v>123.3</v>
      </c>
      <c r="IE28">
        <v>80.900000000000006</v>
      </c>
      <c r="IJ28">
        <v>102.1</v>
      </c>
      <c r="IK28">
        <v>113.1</v>
      </c>
      <c r="IL28">
        <v>78.8</v>
      </c>
      <c r="IM28">
        <v>100.9</v>
      </c>
      <c r="IO28">
        <v>123.7</v>
      </c>
      <c r="IP28">
        <v>126.5</v>
      </c>
      <c r="IQ28">
        <v>114.5</v>
      </c>
      <c r="IT28">
        <v>80.400000000000006</v>
      </c>
      <c r="IU28">
        <v>80.599999999999994</v>
      </c>
      <c r="IV28">
        <v>72.2</v>
      </c>
      <c r="IX28">
        <v>73.5</v>
      </c>
      <c r="IY28">
        <v>78.900000000000006</v>
      </c>
      <c r="JA28">
        <v>75.400000000000006</v>
      </c>
      <c r="JB28">
        <v>79.099999999999994</v>
      </c>
      <c r="JC28">
        <v>76.599999999999994</v>
      </c>
      <c r="JE28">
        <v>85</v>
      </c>
      <c r="JH28">
        <v>83.3</v>
      </c>
      <c r="JI28">
        <v>84.1</v>
      </c>
      <c r="JK28">
        <v>129.80000000000001</v>
      </c>
      <c r="JL28">
        <v>79.5</v>
      </c>
      <c r="JO28">
        <v>79.5</v>
      </c>
      <c r="JQ28">
        <v>80</v>
      </c>
      <c r="JS28">
        <v>79.599999999999994</v>
      </c>
      <c r="JT28">
        <v>79.3</v>
      </c>
      <c r="JU28">
        <v>80.3</v>
      </c>
      <c r="JV28">
        <v>89.3</v>
      </c>
      <c r="JW28">
        <v>91.1</v>
      </c>
      <c r="JX28">
        <v>96.5</v>
      </c>
      <c r="JY28">
        <v>96.5</v>
      </c>
      <c r="JZ28">
        <v>88.2</v>
      </c>
      <c r="KA28">
        <v>93</v>
      </c>
      <c r="KB28">
        <v>82.8</v>
      </c>
      <c r="KC28">
        <v>90</v>
      </c>
      <c r="KD28">
        <v>90</v>
      </c>
      <c r="KE28">
        <v>78.900000000000006</v>
      </c>
      <c r="KF28">
        <v>107.9</v>
      </c>
      <c r="KG28">
        <v>98.8</v>
      </c>
      <c r="KL28">
        <v>66.400000000000006</v>
      </c>
      <c r="KM28">
        <v>72.599999999999994</v>
      </c>
      <c r="KN28">
        <v>72.7</v>
      </c>
      <c r="KO28">
        <v>51.8</v>
      </c>
      <c r="KP28">
        <v>72.599999999999994</v>
      </c>
      <c r="KS28">
        <v>70.900000000000006</v>
      </c>
      <c r="KT28">
        <v>69.7</v>
      </c>
      <c r="KU28">
        <v>81.5</v>
      </c>
      <c r="KX28">
        <v>81.599999999999994</v>
      </c>
      <c r="KY28">
        <v>79.400000000000006</v>
      </c>
      <c r="KZ28">
        <v>93.6</v>
      </c>
      <c r="LA28">
        <v>93.6</v>
      </c>
      <c r="LB28">
        <v>77</v>
      </c>
      <c r="LC28">
        <v>88.3</v>
      </c>
      <c r="LD28">
        <v>64.3</v>
      </c>
      <c r="LE28">
        <v>58.1</v>
      </c>
      <c r="LF28">
        <v>58.1</v>
      </c>
      <c r="LG28">
        <v>67</v>
      </c>
      <c r="LH28">
        <v>71.7</v>
      </c>
      <c r="LI28">
        <v>58.2</v>
      </c>
      <c r="LJ28">
        <v>152.6</v>
      </c>
      <c r="LK28">
        <v>336.9</v>
      </c>
      <c r="LL28">
        <v>749.5</v>
      </c>
      <c r="LM28">
        <v>1181.5999999999999</v>
      </c>
      <c r="LN28">
        <v>374.4</v>
      </c>
      <c r="LO28">
        <v>202.5</v>
      </c>
      <c r="LP28">
        <v>1954.2</v>
      </c>
      <c r="LQ28">
        <v>754.9</v>
      </c>
      <c r="LR28">
        <v>885.5</v>
      </c>
      <c r="LT28">
        <v>265.8</v>
      </c>
      <c r="LU28">
        <v>358.3</v>
      </c>
      <c r="LV28">
        <v>184.2</v>
      </c>
      <c r="LX28">
        <v>98.8</v>
      </c>
      <c r="LY28">
        <v>90.1</v>
      </c>
      <c r="MA28">
        <v>107.7</v>
      </c>
      <c r="MB28">
        <v>150.1</v>
      </c>
      <c r="MC28">
        <v>404.1</v>
      </c>
      <c r="MD28">
        <v>140.4</v>
      </c>
      <c r="ME28">
        <v>111.3</v>
      </c>
      <c r="MG28">
        <v>121.3</v>
      </c>
      <c r="MH28">
        <v>95.5</v>
      </c>
      <c r="MI28">
        <v>140.6</v>
      </c>
      <c r="MJ28">
        <v>97.3</v>
      </c>
      <c r="MK28">
        <v>128.6</v>
      </c>
      <c r="MM28">
        <v>87</v>
      </c>
      <c r="MN28">
        <v>75.599999999999994</v>
      </c>
      <c r="MO28">
        <v>71.599999999999994</v>
      </c>
      <c r="MP28">
        <v>77.400000000000006</v>
      </c>
      <c r="MQ28">
        <v>84.3</v>
      </c>
      <c r="MS28">
        <v>90.6</v>
      </c>
      <c r="MU28">
        <v>79.2</v>
      </c>
      <c r="MV28">
        <v>99.7</v>
      </c>
      <c r="MW28">
        <v>86</v>
      </c>
      <c r="MX28">
        <v>83.5</v>
      </c>
      <c r="NB28">
        <v>133.6</v>
      </c>
      <c r="NC28">
        <v>121.5</v>
      </c>
      <c r="ND28">
        <v>142.69999999999999</v>
      </c>
      <c r="NE28">
        <v>109.6</v>
      </c>
      <c r="NF28">
        <v>176.6</v>
      </c>
      <c r="NG28">
        <v>156.80000000000001</v>
      </c>
      <c r="NH28">
        <v>196.7</v>
      </c>
      <c r="NI28">
        <v>111.2</v>
      </c>
      <c r="NJ28">
        <v>121.6</v>
      </c>
      <c r="NL28">
        <v>94.4</v>
      </c>
      <c r="NM28">
        <v>160.1</v>
      </c>
      <c r="NQ28">
        <v>78.099999999999994</v>
      </c>
      <c r="NR28">
        <v>76.2</v>
      </c>
      <c r="NS28">
        <v>76.2</v>
      </c>
      <c r="NT28">
        <v>73.7</v>
      </c>
      <c r="NW28">
        <v>93.7</v>
      </c>
      <c r="NX28">
        <v>93.7</v>
      </c>
      <c r="NY28">
        <v>94.4</v>
      </c>
      <c r="NZ28">
        <v>100.5</v>
      </c>
      <c r="OA28">
        <v>99.9</v>
      </c>
      <c r="OB28">
        <v>105.3</v>
      </c>
      <c r="OC28">
        <v>89.5</v>
      </c>
      <c r="OD28">
        <v>100.9</v>
      </c>
      <c r="OE28">
        <v>92</v>
      </c>
      <c r="OF28">
        <v>84.8</v>
      </c>
      <c r="OH28">
        <v>93.4</v>
      </c>
      <c r="OJ28">
        <v>87</v>
      </c>
      <c r="OK28">
        <v>87.7</v>
      </c>
      <c r="OL28">
        <v>83.6</v>
      </c>
      <c r="OM28">
        <v>85.9</v>
      </c>
      <c r="ON28">
        <v>104.5</v>
      </c>
      <c r="OO28">
        <v>74</v>
      </c>
      <c r="OP28">
        <v>93.8</v>
      </c>
      <c r="OQ28">
        <v>95.3</v>
      </c>
      <c r="OS28">
        <v>86.5</v>
      </c>
      <c r="OU28">
        <v>92.7</v>
      </c>
      <c r="OV28">
        <v>97.1</v>
      </c>
      <c r="OW28">
        <v>97</v>
      </c>
      <c r="OX28">
        <v>82.9</v>
      </c>
      <c r="OY28">
        <v>78.099999999999994</v>
      </c>
      <c r="OZ28">
        <v>76</v>
      </c>
      <c r="PA28">
        <v>113.5</v>
      </c>
      <c r="PB28">
        <v>120.1</v>
      </c>
      <c r="PC28">
        <v>74.5</v>
      </c>
      <c r="PD28">
        <v>183.3</v>
      </c>
      <c r="PG28">
        <v>99.9</v>
      </c>
      <c r="PH28">
        <v>91.7</v>
      </c>
      <c r="PI28">
        <v>97.9</v>
      </c>
      <c r="PJ28">
        <v>95.7</v>
      </c>
      <c r="PK28">
        <v>109.8</v>
      </c>
      <c r="PL28">
        <v>87.8</v>
      </c>
      <c r="PM28">
        <v>90.7</v>
      </c>
      <c r="PN28">
        <v>99.4</v>
      </c>
      <c r="PO28">
        <v>98.9</v>
      </c>
      <c r="PP28">
        <v>102.7</v>
      </c>
      <c r="PQ28">
        <v>111.4</v>
      </c>
      <c r="PR28">
        <v>98.3</v>
      </c>
      <c r="PS28">
        <v>85.5</v>
      </c>
      <c r="PT28">
        <v>98.7</v>
      </c>
      <c r="PU28">
        <v>94.4</v>
      </c>
      <c r="PV28">
        <v>101.3</v>
      </c>
      <c r="PW28">
        <v>108.4</v>
      </c>
      <c r="PX28">
        <v>95.4</v>
      </c>
      <c r="PY28">
        <v>78.2</v>
      </c>
      <c r="PZ28">
        <v>85.1</v>
      </c>
      <c r="QA28">
        <v>85.9</v>
      </c>
      <c r="QB28">
        <v>72.599999999999994</v>
      </c>
      <c r="QC28">
        <v>108</v>
      </c>
      <c r="QD28">
        <v>73.099999999999994</v>
      </c>
      <c r="QE28">
        <v>75.099999999999994</v>
      </c>
      <c r="QF28">
        <v>68.400000000000006</v>
      </c>
      <c r="QG28">
        <v>83.4</v>
      </c>
      <c r="QH28">
        <v>77.900000000000006</v>
      </c>
      <c r="QI28">
        <v>77.900000000000006</v>
      </c>
      <c r="QJ28">
        <v>87.7</v>
      </c>
      <c r="QK28">
        <v>92.1</v>
      </c>
      <c r="QL28">
        <v>94.8</v>
      </c>
      <c r="QM28">
        <v>88.4</v>
      </c>
      <c r="QN28">
        <v>79.400000000000006</v>
      </c>
      <c r="QO28">
        <v>77.7</v>
      </c>
      <c r="QQ28">
        <v>97.5</v>
      </c>
      <c r="QR28">
        <v>89.5</v>
      </c>
      <c r="QS28">
        <v>157.30000000000001</v>
      </c>
      <c r="QU28">
        <v>97.2</v>
      </c>
      <c r="QV28">
        <v>100.4</v>
      </c>
      <c r="QW28">
        <v>95.6</v>
      </c>
      <c r="QX28">
        <v>95.9</v>
      </c>
      <c r="QY28">
        <v>75.599999999999994</v>
      </c>
      <c r="QZ28">
        <v>78.7</v>
      </c>
      <c r="RA28">
        <v>73.400000000000006</v>
      </c>
      <c r="RB28">
        <v>68.400000000000006</v>
      </c>
      <c r="RD28">
        <v>82.3</v>
      </c>
      <c r="RE28">
        <v>108.4</v>
      </c>
      <c r="RF28">
        <v>114.2</v>
      </c>
      <c r="RG28">
        <v>124.1</v>
      </c>
      <c r="RH28">
        <v>124.1</v>
      </c>
      <c r="RI28">
        <v>79.900000000000006</v>
      </c>
      <c r="RJ28">
        <v>135.80000000000001</v>
      </c>
      <c r="RK28">
        <v>102.4</v>
      </c>
      <c r="RL28">
        <v>106</v>
      </c>
      <c r="RM28">
        <v>99.3</v>
      </c>
      <c r="RO28">
        <v>113.5</v>
      </c>
      <c r="RS28">
        <v>134.4</v>
      </c>
      <c r="RT28">
        <v>204.1</v>
      </c>
      <c r="RV28">
        <v>124.7</v>
      </c>
      <c r="RW28">
        <v>198</v>
      </c>
      <c r="SA28">
        <v>105.6</v>
      </c>
      <c r="SB28">
        <v>123.9</v>
      </c>
      <c r="SC28">
        <v>175.4</v>
      </c>
      <c r="SF28">
        <v>58.9</v>
      </c>
      <c r="SG28">
        <v>60</v>
      </c>
      <c r="SH28">
        <v>84.8</v>
      </c>
      <c r="SK28">
        <v>102.6</v>
      </c>
      <c r="SL28">
        <v>80.8</v>
      </c>
      <c r="SM28">
        <v>92.7</v>
      </c>
      <c r="SN28">
        <v>91.8</v>
      </c>
      <c r="SO28">
        <v>96</v>
      </c>
      <c r="SP28">
        <v>97.1</v>
      </c>
      <c r="SQ28">
        <v>91.2</v>
      </c>
      <c r="SR28">
        <v>92.3</v>
      </c>
      <c r="SS28">
        <v>76.5</v>
      </c>
      <c r="ST28">
        <v>78.099999999999994</v>
      </c>
      <c r="SU28">
        <v>75.099999999999994</v>
      </c>
      <c r="SV28">
        <v>73.900000000000006</v>
      </c>
      <c r="SX28">
        <v>80.3</v>
      </c>
      <c r="SZ28">
        <v>68.5</v>
      </c>
      <c r="TA28">
        <v>88.4</v>
      </c>
      <c r="TB28">
        <v>67.3</v>
      </c>
      <c r="TE28">
        <v>96.8</v>
      </c>
      <c r="TF28">
        <v>97.5</v>
      </c>
      <c r="TG28">
        <v>100.2</v>
      </c>
      <c r="TH28">
        <v>94</v>
      </c>
      <c r="TK28">
        <v>92</v>
      </c>
      <c r="TL28">
        <v>88.9</v>
      </c>
      <c r="TN28">
        <v>96.8</v>
      </c>
      <c r="TO28">
        <v>92.9</v>
      </c>
      <c r="TP28">
        <v>93.2</v>
      </c>
      <c r="TT28">
        <v>98</v>
      </c>
      <c r="TU28">
        <v>72.099999999999994</v>
      </c>
      <c r="TV28">
        <v>79.599999999999994</v>
      </c>
      <c r="TW28">
        <v>88.6</v>
      </c>
      <c r="TX28">
        <v>94.5</v>
      </c>
      <c r="TY28">
        <v>79</v>
      </c>
      <c r="UC28">
        <v>155.19999999999999</v>
      </c>
      <c r="UD28">
        <v>83.7</v>
      </c>
      <c r="UE28">
        <v>153.80000000000001</v>
      </c>
      <c r="UF28">
        <v>65.099999999999994</v>
      </c>
      <c r="UG28">
        <v>73.8</v>
      </c>
      <c r="UH28">
        <v>132.19999999999999</v>
      </c>
      <c r="UJ28">
        <v>89.4</v>
      </c>
      <c r="UL28">
        <v>86.6</v>
      </c>
      <c r="UM28">
        <v>94.8</v>
      </c>
      <c r="UN28">
        <v>75.7</v>
      </c>
      <c r="UO28">
        <v>80</v>
      </c>
      <c r="UP28">
        <v>71.3</v>
      </c>
      <c r="UQ28">
        <v>284.39999999999998</v>
      </c>
      <c r="UR28">
        <v>89.4</v>
      </c>
      <c r="US28">
        <v>67.7</v>
      </c>
      <c r="UT28">
        <v>72.5</v>
      </c>
      <c r="UW28">
        <v>71.400000000000006</v>
      </c>
      <c r="UY28">
        <v>67.7</v>
      </c>
      <c r="UZ28">
        <v>71.099999999999994</v>
      </c>
      <c r="VB28">
        <v>74.3</v>
      </c>
      <c r="VD28">
        <v>112.1</v>
      </c>
      <c r="VE28">
        <v>1620.8</v>
      </c>
      <c r="VL28">
        <v>2405.3000000000002</v>
      </c>
      <c r="VM28">
        <v>71.599999999999994</v>
      </c>
      <c r="VN28">
        <v>80.3</v>
      </c>
      <c r="VO28">
        <v>102.8</v>
      </c>
      <c r="VP28">
        <v>82.4</v>
      </c>
      <c r="VQ28">
        <v>98.9</v>
      </c>
      <c r="VR28">
        <v>72.599999999999994</v>
      </c>
      <c r="VT28">
        <v>108.4</v>
      </c>
      <c r="VU28">
        <v>144.9</v>
      </c>
      <c r="VV28">
        <v>66.400000000000006</v>
      </c>
      <c r="VW28">
        <v>100.5</v>
      </c>
      <c r="VX28">
        <v>64.900000000000006</v>
      </c>
      <c r="VY28">
        <v>131.5</v>
      </c>
      <c r="WB28">
        <v>163.19999999999999</v>
      </c>
      <c r="WE28">
        <v>119.1</v>
      </c>
      <c r="WF28">
        <v>75.3</v>
      </c>
      <c r="WG28">
        <v>100</v>
      </c>
      <c r="WH28">
        <v>93</v>
      </c>
      <c r="WI28">
        <v>93.2</v>
      </c>
      <c r="WJ28">
        <v>94.9</v>
      </c>
      <c r="WL28">
        <v>97.4</v>
      </c>
      <c r="WN28">
        <v>96</v>
      </c>
      <c r="WP28">
        <v>101.6</v>
      </c>
      <c r="WV28">
        <v>94.8</v>
      </c>
      <c r="WX28">
        <v>72</v>
      </c>
      <c r="WY28">
        <v>76.2</v>
      </c>
      <c r="XB28">
        <v>70.8</v>
      </c>
      <c r="XD28">
        <v>58.1</v>
      </c>
      <c r="XE28">
        <v>61.5</v>
      </c>
      <c r="XF28">
        <v>62.2</v>
      </c>
      <c r="XG28">
        <v>56.2</v>
      </c>
      <c r="XH28">
        <v>87.4</v>
      </c>
      <c r="XI28">
        <v>98.9</v>
      </c>
      <c r="XJ28">
        <v>98.9</v>
      </c>
      <c r="XM28">
        <v>71.8</v>
      </c>
      <c r="XP28">
        <v>78.8</v>
      </c>
      <c r="XR28">
        <v>72.900000000000006</v>
      </c>
      <c r="XT28">
        <v>67.8</v>
      </c>
      <c r="XU28">
        <v>96.6</v>
      </c>
      <c r="XV28">
        <v>99.6</v>
      </c>
      <c r="XW28">
        <v>103.1</v>
      </c>
      <c r="XZ28">
        <v>93.3</v>
      </c>
      <c r="YA28">
        <v>90.1</v>
      </c>
      <c r="YD28">
        <v>70.2</v>
      </c>
      <c r="YE28">
        <v>97.7</v>
      </c>
      <c r="YG28">
        <v>77.3</v>
      </c>
      <c r="YK28">
        <v>61</v>
      </c>
      <c r="YM28">
        <v>106.1</v>
      </c>
      <c r="YO28">
        <v>189.6</v>
      </c>
      <c r="YT28">
        <v>81.7</v>
      </c>
      <c r="YU28">
        <v>80.7</v>
      </c>
      <c r="YW28">
        <v>81.8</v>
      </c>
      <c r="YX28">
        <v>78.8</v>
      </c>
      <c r="YY28">
        <v>77.099999999999994</v>
      </c>
      <c r="ZB28">
        <v>108</v>
      </c>
      <c r="ZC28">
        <v>225.5</v>
      </c>
      <c r="ZD28">
        <v>400.6</v>
      </c>
      <c r="ZE28">
        <v>125.6</v>
      </c>
      <c r="ZF28">
        <v>111.6</v>
      </c>
      <c r="ZG28">
        <v>112.9</v>
      </c>
      <c r="ZK28">
        <v>99.7</v>
      </c>
      <c r="ZM28">
        <v>130.9</v>
      </c>
      <c r="ZN28">
        <v>101</v>
      </c>
      <c r="ZO28">
        <v>105.4</v>
      </c>
      <c r="ZP28">
        <v>110.7</v>
      </c>
      <c r="ZQ28">
        <v>96.3</v>
      </c>
      <c r="ZT28">
        <v>101.6</v>
      </c>
      <c r="ZU28">
        <v>88.4</v>
      </c>
      <c r="ZW28">
        <v>96.5</v>
      </c>
      <c r="ZY28">
        <v>87.1</v>
      </c>
      <c r="AAC28">
        <v>69.2</v>
      </c>
      <c r="AAD28">
        <v>66.8</v>
      </c>
      <c r="AAE28">
        <v>119.8</v>
      </c>
      <c r="AAG28">
        <v>55</v>
      </c>
      <c r="AAH28">
        <v>131.9</v>
      </c>
      <c r="AAI28">
        <v>72.099999999999994</v>
      </c>
      <c r="AAJ28">
        <v>51.4</v>
      </c>
      <c r="AAK28">
        <v>96.8</v>
      </c>
      <c r="AAL28">
        <v>90.1</v>
      </c>
      <c r="AAM28">
        <v>102.1</v>
      </c>
      <c r="AAN28">
        <v>77.400000000000006</v>
      </c>
      <c r="AAO28">
        <v>45.6</v>
      </c>
      <c r="AAP28">
        <v>44.4</v>
      </c>
      <c r="AAQ28">
        <v>48.7</v>
      </c>
      <c r="AAR28">
        <v>65.599999999999994</v>
      </c>
      <c r="AAX28">
        <v>62.9</v>
      </c>
      <c r="ABB28">
        <v>86.1</v>
      </c>
      <c r="ABC28">
        <v>82</v>
      </c>
      <c r="ABD28">
        <v>93.3</v>
      </c>
      <c r="ABE28">
        <v>80.7</v>
      </c>
      <c r="ABF28">
        <v>92.9</v>
      </c>
      <c r="ABG28">
        <v>85.8</v>
      </c>
      <c r="ABH28">
        <v>93.1</v>
      </c>
      <c r="ABI28">
        <v>86.8</v>
      </c>
      <c r="ABJ28">
        <v>95.1</v>
      </c>
      <c r="ABK28">
        <v>93.3</v>
      </c>
      <c r="ABL28">
        <v>85.7</v>
      </c>
      <c r="ABM28">
        <v>94</v>
      </c>
      <c r="ABN28">
        <v>96.8</v>
      </c>
      <c r="ABO28">
        <v>84.5</v>
      </c>
      <c r="ABP28">
        <v>109.9</v>
      </c>
    </row>
    <row r="29" spans="1:744">
      <c r="A29">
        <v>1992</v>
      </c>
      <c r="B29">
        <v>94.5</v>
      </c>
      <c r="C29">
        <v>86.3</v>
      </c>
      <c r="D29">
        <v>102.7</v>
      </c>
      <c r="E29">
        <v>121.5</v>
      </c>
      <c r="F29">
        <v>123.6</v>
      </c>
      <c r="G29">
        <v>123.9</v>
      </c>
      <c r="H29">
        <v>87.2</v>
      </c>
      <c r="I29">
        <v>88.1</v>
      </c>
      <c r="J29">
        <v>88</v>
      </c>
      <c r="L29">
        <v>90.6</v>
      </c>
      <c r="M29">
        <v>94.4</v>
      </c>
      <c r="N29">
        <v>83</v>
      </c>
      <c r="O29">
        <v>92.7</v>
      </c>
      <c r="P29">
        <v>85.7</v>
      </c>
      <c r="Q29">
        <v>101</v>
      </c>
      <c r="R29">
        <v>103.8</v>
      </c>
      <c r="S29">
        <v>77.8</v>
      </c>
      <c r="T29">
        <v>117.4</v>
      </c>
      <c r="V29">
        <v>79.099999999999994</v>
      </c>
      <c r="W29">
        <v>80.8</v>
      </c>
      <c r="X29">
        <v>98.4</v>
      </c>
      <c r="Y29">
        <v>114.3</v>
      </c>
      <c r="Z29">
        <v>58.8</v>
      </c>
      <c r="AA29">
        <v>101.2</v>
      </c>
      <c r="AB29">
        <v>73.7</v>
      </c>
      <c r="AC29">
        <v>92.7</v>
      </c>
      <c r="AD29">
        <v>48.5</v>
      </c>
      <c r="AE29">
        <v>101.9</v>
      </c>
      <c r="AF29">
        <v>90.1</v>
      </c>
      <c r="AG29">
        <v>54.2</v>
      </c>
      <c r="AH29">
        <v>66.8</v>
      </c>
      <c r="AI29">
        <v>94.3</v>
      </c>
      <c r="AJ29">
        <v>69.3</v>
      </c>
      <c r="AK29">
        <v>70.8</v>
      </c>
      <c r="AL29">
        <v>78.5</v>
      </c>
      <c r="AM29">
        <v>75</v>
      </c>
      <c r="AN29">
        <v>76.3</v>
      </c>
      <c r="AO29">
        <v>89.6</v>
      </c>
      <c r="AP29">
        <v>58.5</v>
      </c>
      <c r="AQ29">
        <v>81.2</v>
      </c>
      <c r="AR29">
        <v>88.6</v>
      </c>
      <c r="AS29">
        <v>68.900000000000006</v>
      </c>
      <c r="AU29">
        <v>91.9</v>
      </c>
      <c r="AV29">
        <v>89.1</v>
      </c>
      <c r="AW29">
        <v>97.7</v>
      </c>
      <c r="AX29">
        <v>91.8</v>
      </c>
      <c r="AY29">
        <v>69.099999999999994</v>
      </c>
      <c r="AZ29">
        <v>76.8</v>
      </c>
      <c r="BA29">
        <v>64.599999999999994</v>
      </c>
      <c r="BB29">
        <v>68</v>
      </c>
      <c r="BC29">
        <v>72.400000000000006</v>
      </c>
      <c r="BD29">
        <v>75.8</v>
      </c>
      <c r="BE29">
        <v>70.900000000000006</v>
      </c>
      <c r="BF29">
        <v>65.3</v>
      </c>
      <c r="BG29">
        <v>76.5</v>
      </c>
      <c r="BH29">
        <v>70.599999999999994</v>
      </c>
      <c r="BJ29">
        <v>76.7</v>
      </c>
      <c r="BK29">
        <v>98.8</v>
      </c>
      <c r="BL29">
        <v>107.9</v>
      </c>
      <c r="BM29">
        <v>98.9</v>
      </c>
      <c r="BN29">
        <v>80.099999999999994</v>
      </c>
      <c r="BP29">
        <v>87.9</v>
      </c>
      <c r="BQ29">
        <v>93.2</v>
      </c>
      <c r="BR29">
        <v>90.4</v>
      </c>
      <c r="BS29">
        <v>99.3</v>
      </c>
      <c r="BT29">
        <v>99.1</v>
      </c>
      <c r="BU29">
        <v>91.8</v>
      </c>
      <c r="BV29">
        <v>115.7</v>
      </c>
      <c r="BW29">
        <v>74.8</v>
      </c>
      <c r="BX29">
        <v>78.8</v>
      </c>
      <c r="BZ29">
        <v>70.8</v>
      </c>
      <c r="CA29">
        <v>70.8</v>
      </c>
      <c r="CB29">
        <v>82.1</v>
      </c>
      <c r="CC29">
        <v>80.900000000000006</v>
      </c>
      <c r="CD29">
        <v>74.8</v>
      </c>
      <c r="CE29">
        <v>61.4</v>
      </c>
      <c r="CF29">
        <v>71.5</v>
      </c>
      <c r="CG29">
        <v>74.099999999999994</v>
      </c>
      <c r="CH29">
        <v>93.7</v>
      </c>
      <c r="CI29">
        <v>109.8</v>
      </c>
      <c r="CJ29">
        <v>105.1</v>
      </c>
      <c r="CL29">
        <v>83.8</v>
      </c>
      <c r="CM29">
        <v>59.6</v>
      </c>
      <c r="CN29">
        <v>65.400000000000006</v>
      </c>
      <c r="CO29">
        <v>89.9</v>
      </c>
      <c r="CP29">
        <v>72.2</v>
      </c>
      <c r="CQ29">
        <v>86.7</v>
      </c>
      <c r="CR29">
        <v>61.9</v>
      </c>
      <c r="CS29">
        <v>80.5</v>
      </c>
      <c r="CT29">
        <v>83.3</v>
      </c>
      <c r="CW29">
        <v>64.5</v>
      </c>
      <c r="CX29">
        <v>67.3</v>
      </c>
      <c r="CY29">
        <v>76.900000000000006</v>
      </c>
      <c r="CZ29">
        <v>79.5</v>
      </c>
      <c r="DA29">
        <v>78.5</v>
      </c>
      <c r="DB29">
        <v>63.8</v>
      </c>
      <c r="DC29">
        <v>118.5</v>
      </c>
      <c r="DD29">
        <v>167.2</v>
      </c>
      <c r="DG29">
        <v>84.1</v>
      </c>
      <c r="DH29">
        <v>64.599999999999994</v>
      </c>
      <c r="DI29">
        <v>73.099999999999994</v>
      </c>
      <c r="DJ29">
        <v>82.4</v>
      </c>
      <c r="DK29">
        <v>54</v>
      </c>
      <c r="DL29">
        <v>63</v>
      </c>
      <c r="DN29">
        <v>102.2</v>
      </c>
      <c r="DO29">
        <v>97.4</v>
      </c>
      <c r="DP29">
        <v>97.8</v>
      </c>
      <c r="DQ29">
        <v>114.2</v>
      </c>
      <c r="DR29">
        <v>84.4</v>
      </c>
      <c r="DS29">
        <v>111.2</v>
      </c>
      <c r="DT29">
        <v>70.2</v>
      </c>
      <c r="DU29">
        <v>83.4</v>
      </c>
      <c r="DV29">
        <v>68.5</v>
      </c>
      <c r="DX29">
        <v>78</v>
      </c>
      <c r="DY29">
        <v>100.4</v>
      </c>
      <c r="DZ29">
        <v>77.5</v>
      </c>
      <c r="EA29">
        <v>76</v>
      </c>
      <c r="EB29">
        <v>93.7</v>
      </c>
      <c r="EC29">
        <v>63</v>
      </c>
      <c r="ED29">
        <v>89.6</v>
      </c>
      <c r="EF29">
        <v>65.599999999999994</v>
      </c>
      <c r="EG29">
        <v>72.5</v>
      </c>
      <c r="EH29">
        <v>69</v>
      </c>
      <c r="EI29">
        <v>86.4</v>
      </c>
      <c r="EJ29">
        <v>67.400000000000006</v>
      </c>
      <c r="EK29">
        <v>75.099999999999994</v>
      </c>
      <c r="EL29">
        <v>99.9</v>
      </c>
      <c r="EM29">
        <v>74.099999999999994</v>
      </c>
      <c r="EN29">
        <v>86.4</v>
      </c>
      <c r="EO29">
        <v>68</v>
      </c>
      <c r="ER29">
        <v>112.8</v>
      </c>
      <c r="ET29">
        <v>110.7</v>
      </c>
      <c r="EU29">
        <v>135.80000000000001</v>
      </c>
      <c r="EV29">
        <v>151.4</v>
      </c>
      <c r="EW29">
        <v>92.2</v>
      </c>
      <c r="EX29">
        <v>107.9</v>
      </c>
      <c r="EY29">
        <v>87.9</v>
      </c>
      <c r="EZ29">
        <v>108.4</v>
      </c>
      <c r="FA29">
        <v>112.2</v>
      </c>
      <c r="FB29">
        <v>113.1</v>
      </c>
      <c r="FC29">
        <v>102.2</v>
      </c>
      <c r="FD29">
        <v>124.5</v>
      </c>
      <c r="FE29">
        <v>166.5</v>
      </c>
      <c r="FF29">
        <v>122.2</v>
      </c>
      <c r="FI29">
        <v>101.1</v>
      </c>
      <c r="FJ29">
        <v>88.3</v>
      </c>
      <c r="FK29">
        <v>115.2</v>
      </c>
      <c r="FL29">
        <v>95.3</v>
      </c>
      <c r="FM29">
        <v>100.4</v>
      </c>
      <c r="FQ29">
        <v>79.400000000000006</v>
      </c>
      <c r="FR29">
        <v>64.2</v>
      </c>
      <c r="FS29">
        <v>77.2</v>
      </c>
      <c r="FU29">
        <v>85.9</v>
      </c>
      <c r="FV29">
        <v>66.7</v>
      </c>
      <c r="FW29">
        <v>116.4</v>
      </c>
      <c r="FX29">
        <v>87.8</v>
      </c>
      <c r="FY29">
        <v>95</v>
      </c>
      <c r="GA29">
        <v>97.8</v>
      </c>
      <c r="GB29">
        <v>68.5</v>
      </c>
      <c r="GC29">
        <v>85.6</v>
      </c>
      <c r="GD29">
        <v>75.900000000000006</v>
      </c>
      <c r="GE29">
        <v>91.3</v>
      </c>
      <c r="GF29">
        <v>88.7</v>
      </c>
      <c r="GG29">
        <v>96.7</v>
      </c>
      <c r="GH29">
        <v>88.2</v>
      </c>
      <c r="GI29">
        <v>83.1</v>
      </c>
      <c r="GJ29">
        <v>84.3</v>
      </c>
      <c r="GM29">
        <v>79.099999999999994</v>
      </c>
      <c r="GP29">
        <v>80.5</v>
      </c>
      <c r="GU29">
        <v>81.8</v>
      </c>
      <c r="GV29">
        <v>47.7</v>
      </c>
      <c r="GW29">
        <v>73.3</v>
      </c>
      <c r="GX29">
        <v>83</v>
      </c>
      <c r="GY29">
        <v>82.5</v>
      </c>
      <c r="HA29">
        <v>106.8</v>
      </c>
      <c r="HD29">
        <v>95.2</v>
      </c>
      <c r="HG29">
        <v>111.3</v>
      </c>
      <c r="HO29">
        <v>112.9</v>
      </c>
      <c r="HP29">
        <v>112.4</v>
      </c>
      <c r="HQ29">
        <v>90</v>
      </c>
      <c r="HR29">
        <v>115.4</v>
      </c>
      <c r="HT29">
        <v>105.8</v>
      </c>
      <c r="HU29">
        <v>93.3</v>
      </c>
      <c r="HV29">
        <v>110.9</v>
      </c>
      <c r="HY29">
        <v>115.7</v>
      </c>
      <c r="IA29">
        <v>125.2</v>
      </c>
      <c r="IB29">
        <v>100.4</v>
      </c>
      <c r="IC29">
        <v>134.1</v>
      </c>
      <c r="IE29">
        <v>83</v>
      </c>
      <c r="IJ29">
        <v>102</v>
      </c>
      <c r="IK29">
        <v>115.5</v>
      </c>
      <c r="IL29">
        <v>79.900000000000006</v>
      </c>
      <c r="IM29">
        <v>100.9</v>
      </c>
      <c r="IO29">
        <v>123.7</v>
      </c>
      <c r="IP29">
        <v>126.8</v>
      </c>
      <c r="IQ29">
        <v>115.2</v>
      </c>
      <c r="IT29">
        <v>82.3</v>
      </c>
      <c r="IU29">
        <v>82.4</v>
      </c>
      <c r="IV29">
        <v>74.8</v>
      </c>
      <c r="IX29">
        <v>75.8</v>
      </c>
      <c r="IY29">
        <v>82</v>
      </c>
      <c r="JA29">
        <v>77.3</v>
      </c>
      <c r="JB29">
        <v>81.5</v>
      </c>
      <c r="JC29">
        <v>78.8</v>
      </c>
      <c r="JE29">
        <v>86.6</v>
      </c>
      <c r="JH29">
        <v>86.3</v>
      </c>
      <c r="JI29">
        <v>86.2</v>
      </c>
      <c r="JK29">
        <v>127.8</v>
      </c>
      <c r="JL29">
        <v>81.900000000000006</v>
      </c>
      <c r="JO29">
        <v>81.7</v>
      </c>
      <c r="JQ29">
        <v>81.3</v>
      </c>
      <c r="JS29">
        <v>82.7</v>
      </c>
      <c r="JT29">
        <v>82.6</v>
      </c>
      <c r="JU29">
        <v>82.8</v>
      </c>
      <c r="JV29">
        <v>92</v>
      </c>
      <c r="JW29">
        <v>93.6</v>
      </c>
      <c r="JX29">
        <v>99.3</v>
      </c>
      <c r="JY29">
        <v>99.3</v>
      </c>
      <c r="JZ29">
        <v>91.2</v>
      </c>
      <c r="KA29">
        <v>96.1</v>
      </c>
      <c r="KB29">
        <v>85.5</v>
      </c>
      <c r="KC29">
        <v>92.5</v>
      </c>
      <c r="KD29">
        <v>92.5</v>
      </c>
      <c r="KE29">
        <v>82.9</v>
      </c>
      <c r="KF29">
        <v>110.4</v>
      </c>
      <c r="KG29">
        <v>101.3</v>
      </c>
      <c r="KL29">
        <v>66.900000000000006</v>
      </c>
      <c r="KM29">
        <v>76.7</v>
      </c>
      <c r="KN29">
        <v>80.2</v>
      </c>
      <c r="KO29">
        <v>56.7</v>
      </c>
      <c r="KP29">
        <v>75.5</v>
      </c>
      <c r="KS29">
        <v>76.2</v>
      </c>
      <c r="KT29">
        <v>72</v>
      </c>
      <c r="KU29">
        <v>86.6</v>
      </c>
      <c r="KX29">
        <v>83.5</v>
      </c>
      <c r="KY29">
        <v>79.7</v>
      </c>
      <c r="KZ29">
        <v>93.6</v>
      </c>
      <c r="LA29">
        <v>93.6</v>
      </c>
      <c r="LB29">
        <v>77.3</v>
      </c>
      <c r="LC29">
        <v>88.5</v>
      </c>
      <c r="LD29">
        <v>64.8</v>
      </c>
      <c r="LE29">
        <v>57.5</v>
      </c>
      <c r="LF29">
        <v>57.5</v>
      </c>
      <c r="LG29">
        <v>68.400000000000006</v>
      </c>
      <c r="LH29">
        <v>73.099999999999994</v>
      </c>
      <c r="LI29">
        <v>60</v>
      </c>
      <c r="LJ29">
        <v>154.30000000000001</v>
      </c>
      <c r="LK29">
        <v>336.9</v>
      </c>
      <c r="LL29">
        <v>736.4</v>
      </c>
      <c r="LM29">
        <v>1125.8</v>
      </c>
      <c r="LN29">
        <v>348.3</v>
      </c>
      <c r="LO29">
        <v>211</v>
      </c>
      <c r="LP29">
        <v>1944.1</v>
      </c>
      <c r="LQ29">
        <v>737</v>
      </c>
      <c r="LR29">
        <v>867.4</v>
      </c>
      <c r="LT29">
        <v>270.2</v>
      </c>
      <c r="LU29">
        <v>362.8</v>
      </c>
      <c r="LV29">
        <v>187.2</v>
      </c>
      <c r="LX29">
        <v>99.9</v>
      </c>
      <c r="LY29">
        <v>91</v>
      </c>
      <c r="MA29">
        <v>108.5</v>
      </c>
      <c r="MB29">
        <v>154.9</v>
      </c>
      <c r="MC29">
        <v>419.9</v>
      </c>
      <c r="MD29">
        <v>143.69999999999999</v>
      </c>
      <c r="ME29">
        <v>114.4</v>
      </c>
      <c r="MG29">
        <v>121.6</v>
      </c>
      <c r="MH29">
        <v>99.4</v>
      </c>
      <c r="MI29">
        <v>138.30000000000001</v>
      </c>
      <c r="MJ29">
        <v>99.3</v>
      </c>
      <c r="MK29">
        <v>131.80000000000001</v>
      </c>
      <c r="MM29">
        <v>89.1</v>
      </c>
      <c r="MN29">
        <v>79.400000000000006</v>
      </c>
      <c r="MO29">
        <v>75.5</v>
      </c>
      <c r="MP29">
        <v>80.8</v>
      </c>
      <c r="MQ29">
        <v>84.6</v>
      </c>
      <c r="MS29">
        <v>91.1</v>
      </c>
      <c r="MU29">
        <v>82.8</v>
      </c>
      <c r="MV29">
        <v>101.5</v>
      </c>
      <c r="MW29">
        <v>86.5</v>
      </c>
      <c r="MX29">
        <v>84.2</v>
      </c>
      <c r="NB29">
        <v>132.69999999999999</v>
      </c>
      <c r="NC29">
        <v>120</v>
      </c>
      <c r="ND29">
        <v>139.4</v>
      </c>
      <c r="NE29">
        <v>109</v>
      </c>
      <c r="NF29">
        <v>174.4</v>
      </c>
      <c r="NG29">
        <v>154.19999999999999</v>
      </c>
      <c r="NH29">
        <v>194</v>
      </c>
      <c r="NI29">
        <v>112</v>
      </c>
      <c r="NJ29">
        <v>121.3</v>
      </c>
      <c r="NL29">
        <v>96.3</v>
      </c>
      <c r="NM29">
        <v>160.30000000000001</v>
      </c>
      <c r="NQ29">
        <v>80.7</v>
      </c>
      <c r="NR29">
        <v>79.7</v>
      </c>
      <c r="NS29">
        <v>79.7</v>
      </c>
      <c r="NT29">
        <v>77.099999999999994</v>
      </c>
      <c r="NW29">
        <v>93.7</v>
      </c>
      <c r="NX29">
        <v>93.7</v>
      </c>
      <c r="NY29">
        <v>96.4</v>
      </c>
      <c r="NZ29">
        <v>102.2</v>
      </c>
      <c r="OA29">
        <v>102.2</v>
      </c>
      <c r="OB29">
        <v>106.8</v>
      </c>
      <c r="OC29">
        <v>91.8</v>
      </c>
      <c r="OD29">
        <v>102.6</v>
      </c>
      <c r="OE29">
        <v>92.6</v>
      </c>
      <c r="OF29">
        <v>85</v>
      </c>
      <c r="OH29">
        <v>92.8</v>
      </c>
      <c r="OJ29">
        <v>87</v>
      </c>
      <c r="OK29">
        <v>89.8</v>
      </c>
      <c r="OL29">
        <v>84.4</v>
      </c>
      <c r="OM29">
        <v>88.8</v>
      </c>
      <c r="ON29">
        <v>104.7</v>
      </c>
      <c r="OO29">
        <v>79.5</v>
      </c>
      <c r="OP29">
        <v>95.7</v>
      </c>
      <c r="OQ29">
        <v>98.9</v>
      </c>
      <c r="OS29">
        <v>86.9</v>
      </c>
      <c r="OU29">
        <v>92.3</v>
      </c>
      <c r="OV29">
        <v>97.4</v>
      </c>
      <c r="OW29">
        <v>98.6</v>
      </c>
      <c r="OX29">
        <v>82.6</v>
      </c>
      <c r="OY29">
        <v>80.099999999999994</v>
      </c>
      <c r="OZ29">
        <v>78.5</v>
      </c>
      <c r="PA29">
        <v>115.1</v>
      </c>
      <c r="PB29">
        <v>122.3</v>
      </c>
      <c r="PC29">
        <v>78.900000000000006</v>
      </c>
      <c r="PD29">
        <v>186.4</v>
      </c>
      <c r="PG29">
        <v>102.9</v>
      </c>
      <c r="PH29">
        <v>94.1</v>
      </c>
      <c r="PI29">
        <v>100</v>
      </c>
      <c r="PJ29">
        <v>97.1</v>
      </c>
      <c r="PK29">
        <v>112.2</v>
      </c>
      <c r="PL29">
        <v>88.1</v>
      </c>
      <c r="PM29">
        <v>92.9</v>
      </c>
      <c r="PN29">
        <v>100.3</v>
      </c>
      <c r="PO29">
        <v>101</v>
      </c>
      <c r="PP29">
        <v>103.8</v>
      </c>
      <c r="PQ29">
        <v>112.2</v>
      </c>
      <c r="PR29">
        <v>102</v>
      </c>
      <c r="PS29">
        <v>89.4</v>
      </c>
      <c r="PT29">
        <v>100.9</v>
      </c>
      <c r="PU29">
        <v>96.5</v>
      </c>
      <c r="PV29">
        <v>105.8</v>
      </c>
      <c r="PW29">
        <v>111.8</v>
      </c>
      <c r="PX29">
        <v>100.5</v>
      </c>
      <c r="PY29">
        <v>81.2</v>
      </c>
      <c r="PZ29">
        <v>88</v>
      </c>
      <c r="QA29">
        <v>88.5</v>
      </c>
      <c r="QB29">
        <v>76.099999999999994</v>
      </c>
      <c r="QC29">
        <v>110.6</v>
      </c>
      <c r="QD29">
        <v>76.8</v>
      </c>
      <c r="QE29">
        <v>79</v>
      </c>
      <c r="QF29">
        <v>71.400000000000006</v>
      </c>
      <c r="QG29">
        <v>88</v>
      </c>
      <c r="QH29">
        <v>78.400000000000006</v>
      </c>
      <c r="QI29">
        <v>78.400000000000006</v>
      </c>
      <c r="QJ29">
        <v>89.1</v>
      </c>
      <c r="QK29">
        <v>93.5</v>
      </c>
      <c r="QL29">
        <v>95.7</v>
      </c>
      <c r="QM29">
        <v>89.2</v>
      </c>
      <c r="QN29">
        <v>80.2</v>
      </c>
      <c r="QO29">
        <v>81.3</v>
      </c>
      <c r="QQ29">
        <v>100.3</v>
      </c>
      <c r="QR29">
        <v>93.4</v>
      </c>
      <c r="QS29">
        <v>160.9</v>
      </c>
      <c r="QU29">
        <v>99.6</v>
      </c>
      <c r="QV29">
        <v>98.7</v>
      </c>
      <c r="QW29">
        <v>98.2</v>
      </c>
      <c r="QX29">
        <v>99.2</v>
      </c>
      <c r="QY29">
        <v>78.099999999999994</v>
      </c>
      <c r="QZ29">
        <v>81.400000000000006</v>
      </c>
      <c r="RA29">
        <v>75.8</v>
      </c>
      <c r="RB29">
        <v>70.2</v>
      </c>
      <c r="RD29">
        <v>84.6</v>
      </c>
      <c r="RE29">
        <v>108.6</v>
      </c>
      <c r="RF29">
        <v>113.3</v>
      </c>
      <c r="RG29">
        <v>125.5</v>
      </c>
      <c r="RH29">
        <v>123.3</v>
      </c>
      <c r="RI29">
        <v>79.2</v>
      </c>
      <c r="RJ29">
        <v>134.69999999999999</v>
      </c>
      <c r="RK29">
        <v>102.6</v>
      </c>
      <c r="RL29">
        <v>106.7</v>
      </c>
      <c r="RM29">
        <v>101.1</v>
      </c>
      <c r="RO29">
        <v>113.8</v>
      </c>
      <c r="RS29">
        <v>135.19999999999999</v>
      </c>
      <c r="RT29">
        <v>201.3</v>
      </c>
      <c r="RV29">
        <v>123.8</v>
      </c>
      <c r="RW29">
        <v>195.8</v>
      </c>
      <c r="SA29">
        <v>107.5</v>
      </c>
      <c r="SB29">
        <v>123.9</v>
      </c>
      <c r="SC29">
        <v>174.2</v>
      </c>
      <c r="SF29">
        <v>62</v>
      </c>
      <c r="SG29">
        <v>62.5</v>
      </c>
      <c r="SH29">
        <v>86.9</v>
      </c>
      <c r="SK29">
        <v>103.2</v>
      </c>
      <c r="SL29">
        <v>82.5</v>
      </c>
      <c r="SM29">
        <v>92.7</v>
      </c>
      <c r="SN29">
        <v>91.8</v>
      </c>
      <c r="SO29">
        <v>96</v>
      </c>
      <c r="SP29">
        <v>97.1</v>
      </c>
      <c r="SQ29">
        <v>91.2</v>
      </c>
      <c r="SR29">
        <v>92.3</v>
      </c>
      <c r="SS29">
        <v>81</v>
      </c>
      <c r="ST29">
        <v>82</v>
      </c>
      <c r="SU29">
        <v>79.599999999999994</v>
      </c>
      <c r="SV29">
        <v>79.5</v>
      </c>
      <c r="SX29">
        <v>83.3</v>
      </c>
      <c r="SZ29">
        <v>71.099999999999994</v>
      </c>
      <c r="TA29">
        <v>88.4</v>
      </c>
      <c r="TB29">
        <v>67.3</v>
      </c>
      <c r="TE29">
        <v>97.3</v>
      </c>
      <c r="TF29">
        <v>96.8</v>
      </c>
      <c r="TG29">
        <v>101.7</v>
      </c>
      <c r="TH29">
        <v>93.5</v>
      </c>
      <c r="TK29">
        <v>93</v>
      </c>
      <c r="TL29">
        <v>89.9</v>
      </c>
      <c r="TN29">
        <v>98</v>
      </c>
      <c r="TO29">
        <v>91.6</v>
      </c>
      <c r="TP29">
        <v>94.9</v>
      </c>
      <c r="TT29">
        <v>102.7</v>
      </c>
      <c r="TU29">
        <v>74.400000000000006</v>
      </c>
      <c r="TV29">
        <v>82.1</v>
      </c>
      <c r="TW29">
        <v>97.2</v>
      </c>
      <c r="TX29">
        <v>98.6</v>
      </c>
      <c r="TY29">
        <v>79</v>
      </c>
      <c r="UC29">
        <v>155.19999999999999</v>
      </c>
      <c r="UD29">
        <v>85</v>
      </c>
      <c r="UE29">
        <v>150.4</v>
      </c>
      <c r="UF29">
        <v>65.099999999999994</v>
      </c>
      <c r="UG29">
        <v>73.8</v>
      </c>
      <c r="UH29">
        <v>128.6</v>
      </c>
      <c r="UJ29">
        <v>89.5</v>
      </c>
      <c r="UL29">
        <v>90.4</v>
      </c>
      <c r="UM29">
        <v>99.1</v>
      </c>
      <c r="UN29">
        <v>79.5</v>
      </c>
      <c r="UO29">
        <v>83.1</v>
      </c>
      <c r="UP29">
        <v>73.7</v>
      </c>
      <c r="UQ29">
        <v>294.10000000000002</v>
      </c>
      <c r="UR29">
        <v>93</v>
      </c>
      <c r="US29">
        <v>72</v>
      </c>
      <c r="UT29">
        <v>75.900000000000006</v>
      </c>
      <c r="UW29">
        <v>71.400000000000006</v>
      </c>
      <c r="UY29">
        <v>67.7</v>
      </c>
      <c r="UZ29">
        <v>74.2</v>
      </c>
      <c r="VB29">
        <v>77.599999999999994</v>
      </c>
      <c r="VD29">
        <v>115.4</v>
      </c>
      <c r="VE29">
        <v>1602.8</v>
      </c>
      <c r="VL29">
        <v>2355</v>
      </c>
      <c r="VM29">
        <v>73.900000000000006</v>
      </c>
      <c r="VN29">
        <v>88.5</v>
      </c>
      <c r="VO29">
        <v>104.5</v>
      </c>
      <c r="VP29">
        <v>83.9</v>
      </c>
      <c r="VQ29">
        <v>100.1</v>
      </c>
      <c r="VR29">
        <v>73.3</v>
      </c>
      <c r="VT29">
        <v>111.9</v>
      </c>
      <c r="VU29">
        <v>145.5</v>
      </c>
      <c r="VV29">
        <v>69.5</v>
      </c>
      <c r="VW29">
        <v>104.1</v>
      </c>
      <c r="VX29">
        <v>72.900000000000006</v>
      </c>
      <c r="VY29">
        <v>136.30000000000001</v>
      </c>
      <c r="WB29">
        <v>167.3</v>
      </c>
      <c r="WE29">
        <v>120.3</v>
      </c>
      <c r="WF29">
        <v>80.2</v>
      </c>
      <c r="WG29">
        <v>100.4</v>
      </c>
      <c r="WH29">
        <v>90.2</v>
      </c>
      <c r="WI29">
        <v>88.9</v>
      </c>
      <c r="WJ29">
        <v>92.7</v>
      </c>
      <c r="WL29">
        <v>99.2</v>
      </c>
      <c r="WN29">
        <v>95.7</v>
      </c>
      <c r="WP29">
        <v>100.6</v>
      </c>
      <c r="WV29">
        <v>95.6</v>
      </c>
      <c r="WX29">
        <v>77.7</v>
      </c>
      <c r="WY29">
        <v>84.9</v>
      </c>
      <c r="XB29">
        <v>69.599999999999994</v>
      </c>
      <c r="XD29">
        <v>59</v>
      </c>
      <c r="XE29">
        <v>64.8</v>
      </c>
      <c r="XF29">
        <v>62.8</v>
      </c>
      <c r="XG29">
        <v>61.9</v>
      </c>
      <c r="XH29">
        <v>90.2</v>
      </c>
      <c r="XI29">
        <v>103.2</v>
      </c>
      <c r="XJ29">
        <v>103.2</v>
      </c>
      <c r="XM29">
        <v>74.3</v>
      </c>
      <c r="XP29">
        <v>80.2</v>
      </c>
      <c r="XR29">
        <v>76.8</v>
      </c>
      <c r="XT29">
        <v>70.3</v>
      </c>
      <c r="XU29">
        <v>98.8</v>
      </c>
      <c r="XV29">
        <v>99.6</v>
      </c>
      <c r="XW29">
        <v>103.1</v>
      </c>
      <c r="XZ29">
        <v>96.2</v>
      </c>
      <c r="YA29">
        <v>93</v>
      </c>
      <c r="YD29">
        <v>72.400000000000006</v>
      </c>
      <c r="YE29">
        <v>99.8</v>
      </c>
      <c r="YG29">
        <v>79.5</v>
      </c>
      <c r="YK29">
        <v>63.9</v>
      </c>
      <c r="YM29">
        <v>105.9</v>
      </c>
      <c r="YO29">
        <v>190.7</v>
      </c>
      <c r="YT29">
        <v>83</v>
      </c>
      <c r="YU29">
        <v>84</v>
      </c>
      <c r="YW29">
        <v>85.6</v>
      </c>
      <c r="YX29">
        <v>81.5</v>
      </c>
      <c r="YY29">
        <v>81.099999999999994</v>
      </c>
      <c r="ZB29">
        <v>108.1</v>
      </c>
      <c r="ZC29">
        <v>220.7</v>
      </c>
      <c r="ZD29">
        <v>387.4</v>
      </c>
      <c r="ZE29">
        <v>123.7</v>
      </c>
      <c r="ZF29">
        <v>111.4</v>
      </c>
      <c r="ZG29">
        <v>113.1</v>
      </c>
      <c r="ZK29">
        <v>99.7</v>
      </c>
      <c r="ZM29">
        <v>130.4</v>
      </c>
      <c r="ZN29">
        <v>101.3</v>
      </c>
      <c r="ZO29">
        <v>105.1</v>
      </c>
      <c r="ZP29">
        <v>110.6</v>
      </c>
      <c r="ZQ29">
        <v>97.2</v>
      </c>
      <c r="ZT29">
        <v>101.2</v>
      </c>
      <c r="ZU29">
        <v>90.1</v>
      </c>
      <c r="ZW29">
        <v>96.5</v>
      </c>
      <c r="ZY29">
        <v>87.1</v>
      </c>
      <c r="AAC29">
        <v>70.099999999999994</v>
      </c>
      <c r="AAD29">
        <v>68.400000000000006</v>
      </c>
      <c r="AAE29">
        <v>122.6</v>
      </c>
      <c r="AAG29">
        <v>55.9</v>
      </c>
      <c r="AAH29">
        <v>135.5</v>
      </c>
      <c r="AAI29">
        <v>71.3</v>
      </c>
      <c r="AAJ29">
        <v>50.9</v>
      </c>
      <c r="AAK29">
        <v>99.9</v>
      </c>
      <c r="AAL29">
        <v>93.1</v>
      </c>
      <c r="AAM29">
        <v>105</v>
      </c>
      <c r="AAN29">
        <v>80.8</v>
      </c>
      <c r="AAO29">
        <v>45.7</v>
      </c>
      <c r="AAP29">
        <v>44.6</v>
      </c>
      <c r="AAQ29">
        <v>48.7</v>
      </c>
      <c r="AAR29">
        <v>69</v>
      </c>
      <c r="AAX29">
        <v>64.2</v>
      </c>
      <c r="ABB29">
        <v>79.8</v>
      </c>
      <c r="ABC29">
        <v>80.8</v>
      </c>
      <c r="ABD29">
        <v>80.900000000000006</v>
      </c>
      <c r="ABE29">
        <v>76</v>
      </c>
      <c r="ABF29">
        <v>94.9</v>
      </c>
      <c r="ABG29">
        <v>87.5</v>
      </c>
      <c r="ABH29">
        <v>94.5</v>
      </c>
      <c r="ABI29">
        <v>90.2</v>
      </c>
      <c r="ABJ29">
        <v>97.9</v>
      </c>
      <c r="ABK29">
        <v>95.3</v>
      </c>
      <c r="ABL29">
        <v>85.5</v>
      </c>
      <c r="ABM29">
        <v>96.1</v>
      </c>
      <c r="ABN29">
        <v>99.2</v>
      </c>
      <c r="ABO29">
        <v>88</v>
      </c>
      <c r="ABP29">
        <v>112.8</v>
      </c>
    </row>
    <row r="30" spans="1:744">
      <c r="A30">
        <v>1993</v>
      </c>
      <c r="B30">
        <v>95.6</v>
      </c>
      <c r="C30">
        <v>87.6</v>
      </c>
      <c r="D30">
        <v>106.2</v>
      </c>
      <c r="E30">
        <v>128.19999999999999</v>
      </c>
      <c r="F30">
        <v>130.30000000000001</v>
      </c>
      <c r="G30">
        <v>129.9</v>
      </c>
      <c r="H30">
        <v>87.6</v>
      </c>
      <c r="I30">
        <v>88.4</v>
      </c>
      <c r="J30">
        <v>88.7</v>
      </c>
      <c r="L30">
        <v>90.7</v>
      </c>
      <c r="M30">
        <v>95.5</v>
      </c>
      <c r="N30">
        <v>83.7</v>
      </c>
      <c r="O30">
        <v>92.4</v>
      </c>
      <c r="P30">
        <v>85.5</v>
      </c>
      <c r="Q30">
        <v>100.5</v>
      </c>
      <c r="R30">
        <v>112.9</v>
      </c>
      <c r="S30">
        <v>77.8</v>
      </c>
      <c r="T30">
        <v>130</v>
      </c>
      <c r="V30">
        <v>78.3</v>
      </c>
      <c r="W30">
        <v>79.7</v>
      </c>
      <c r="X30">
        <v>99.7</v>
      </c>
      <c r="Y30">
        <v>112.6</v>
      </c>
      <c r="Z30">
        <v>57.8</v>
      </c>
      <c r="AA30">
        <v>88.3</v>
      </c>
      <c r="AB30">
        <v>68.2</v>
      </c>
      <c r="AC30">
        <v>85.3</v>
      </c>
      <c r="AD30">
        <v>49</v>
      </c>
      <c r="AE30">
        <v>97.4</v>
      </c>
      <c r="AF30">
        <v>94.6</v>
      </c>
      <c r="AG30">
        <v>55.9</v>
      </c>
      <c r="AH30">
        <v>63.7</v>
      </c>
      <c r="AI30">
        <v>91.7</v>
      </c>
      <c r="AJ30">
        <v>69.5</v>
      </c>
      <c r="AK30">
        <v>69.2</v>
      </c>
      <c r="AL30">
        <v>72.2</v>
      </c>
      <c r="AM30">
        <v>74.400000000000006</v>
      </c>
      <c r="AN30">
        <v>72.599999999999994</v>
      </c>
      <c r="AO30">
        <v>91.2</v>
      </c>
      <c r="AP30">
        <v>61.9</v>
      </c>
      <c r="AQ30">
        <v>78.3</v>
      </c>
      <c r="AR30">
        <v>88.8</v>
      </c>
      <c r="AS30">
        <v>75.2</v>
      </c>
      <c r="AU30">
        <v>91.9</v>
      </c>
      <c r="AV30">
        <v>88.4</v>
      </c>
      <c r="AW30">
        <v>97.5</v>
      </c>
      <c r="AX30">
        <v>92.1</v>
      </c>
      <c r="AY30">
        <v>68.900000000000006</v>
      </c>
      <c r="AZ30">
        <v>77.7</v>
      </c>
      <c r="BA30">
        <v>64.099999999999994</v>
      </c>
      <c r="BB30">
        <v>68.7</v>
      </c>
      <c r="BC30">
        <v>72</v>
      </c>
      <c r="BD30">
        <v>74.900000000000006</v>
      </c>
      <c r="BE30">
        <v>70.099999999999994</v>
      </c>
      <c r="BF30">
        <v>65.5</v>
      </c>
      <c r="BG30">
        <v>69.7</v>
      </c>
      <c r="BH30">
        <v>69.900000000000006</v>
      </c>
      <c r="BJ30">
        <v>76.099999999999994</v>
      </c>
      <c r="BK30">
        <v>97.2</v>
      </c>
      <c r="BL30">
        <v>107.1</v>
      </c>
      <c r="BM30">
        <v>95.2</v>
      </c>
      <c r="BN30">
        <v>80.599999999999994</v>
      </c>
      <c r="BP30">
        <v>87.2</v>
      </c>
      <c r="BQ30">
        <v>92.9</v>
      </c>
      <c r="BR30">
        <v>90.2</v>
      </c>
      <c r="BS30">
        <v>98.9</v>
      </c>
      <c r="BT30">
        <v>98.2</v>
      </c>
      <c r="BU30">
        <v>93</v>
      </c>
      <c r="BV30">
        <v>113.5</v>
      </c>
      <c r="BW30">
        <v>74.400000000000006</v>
      </c>
      <c r="BX30">
        <v>78.2</v>
      </c>
      <c r="BZ30">
        <v>69.3</v>
      </c>
      <c r="CA30">
        <v>69.3</v>
      </c>
      <c r="CB30">
        <v>91.4</v>
      </c>
      <c r="CC30">
        <v>94.8</v>
      </c>
      <c r="CD30">
        <v>126.4</v>
      </c>
      <c r="CE30">
        <v>64.7</v>
      </c>
      <c r="CF30">
        <v>78.099999999999994</v>
      </c>
      <c r="CG30">
        <v>117.7</v>
      </c>
      <c r="CH30">
        <v>125.6</v>
      </c>
      <c r="CI30">
        <v>118.1</v>
      </c>
      <c r="CJ30">
        <v>106.4</v>
      </c>
      <c r="CL30">
        <v>90.2</v>
      </c>
      <c r="CM30">
        <v>64.7</v>
      </c>
      <c r="CN30">
        <v>72.400000000000006</v>
      </c>
      <c r="CO30">
        <v>98.1</v>
      </c>
      <c r="CP30">
        <v>70.8</v>
      </c>
      <c r="CQ30">
        <v>83.8</v>
      </c>
      <c r="CR30">
        <v>81.7</v>
      </c>
      <c r="CS30">
        <v>105</v>
      </c>
      <c r="CT30">
        <v>113.1</v>
      </c>
      <c r="CW30">
        <v>73.400000000000006</v>
      </c>
      <c r="CX30">
        <v>71</v>
      </c>
      <c r="CY30">
        <v>85.6</v>
      </c>
      <c r="CZ30">
        <v>96.6</v>
      </c>
      <c r="DA30">
        <v>86</v>
      </c>
      <c r="DB30">
        <v>83</v>
      </c>
      <c r="DC30">
        <v>114.6</v>
      </c>
      <c r="DD30">
        <v>177.3</v>
      </c>
      <c r="DG30">
        <v>86.5</v>
      </c>
      <c r="DH30">
        <v>67.900000000000006</v>
      </c>
      <c r="DI30">
        <v>74.900000000000006</v>
      </c>
      <c r="DJ30">
        <v>83</v>
      </c>
      <c r="DK30">
        <v>55.4</v>
      </c>
      <c r="DL30">
        <v>64.8</v>
      </c>
      <c r="DN30">
        <v>103.4</v>
      </c>
      <c r="DO30">
        <v>97.8</v>
      </c>
      <c r="DP30">
        <v>98.7</v>
      </c>
      <c r="DQ30">
        <v>118</v>
      </c>
      <c r="DR30">
        <v>86.5</v>
      </c>
      <c r="DS30">
        <v>111</v>
      </c>
      <c r="DT30">
        <v>73.2</v>
      </c>
      <c r="DU30">
        <v>85</v>
      </c>
      <c r="DV30">
        <v>73.8</v>
      </c>
      <c r="DX30">
        <v>78.599999999999994</v>
      </c>
      <c r="DY30">
        <v>103</v>
      </c>
      <c r="DZ30">
        <v>71.2</v>
      </c>
      <c r="EA30">
        <v>69.599999999999994</v>
      </c>
      <c r="EB30">
        <v>81</v>
      </c>
      <c r="EC30">
        <v>57.1</v>
      </c>
      <c r="ED30">
        <v>77.400000000000006</v>
      </c>
      <c r="EF30">
        <v>58.1</v>
      </c>
      <c r="EG30">
        <v>71</v>
      </c>
      <c r="EH30">
        <v>62.7</v>
      </c>
      <c r="EI30">
        <v>94.3</v>
      </c>
      <c r="EJ30">
        <v>64.900000000000006</v>
      </c>
      <c r="EK30">
        <v>71.099999999999994</v>
      </c>
      <c r="EL30">
        <v>92.8</v>
      </c>
      <c r="EM30">
        <v>75.3</v>
      </c>
      <c r="EN30">
        <v>70.900000000000006</v>
      </c>
      <c r="EO30">
        <v>61.7</v>
      </c>
      <c r="ER30">
        <v>108.9</v>
      </c>
      <c r="ET30">
        <v>110.1</v>
      </c>
      <c r="EU30">
        <v>133.30000000000001</v>
      </c>
      <c r="EV30">
        <v>148.6</v>
      </c>
      <c r="EW30">
        <v>90.7</v>
      </c>
      <c r="EX30">
        <v>107.6</v>
      </c>
      <c r="EY30">
        <v>92.6</v>
      </c>
      <c r="EZ30">
        <v>108.5</v>
      </c>
      <c r="FA30">
        <v>111.3</v>
      </c>
      <c r="FB30">
        <v>111.9</v>
      </c>
      <c r="FC30">
        <v>101.8</v>
      </c>
      <c r="FD30">
        <v>124.6</v>
      </c>
      <c r="FE30">
        <v>165.7</v>
      </c>
      <c r="FF30">
        <v>121.2</v>
      </c>
      <c r="FI30">
        <v>100.3</v>
      </c>
      <c r="FJ30">
        <v>88.1</v>
      </c>
      <c r="FK30">
        <v>115</v>
      </c>
      <c r="FL30">
        <v>95.5</v>
      </c>
      <c r="FM30">
        <v>99.9</v>
      </c>
      <c r="FQ30">
        <v>80.099999999999994</v>
      </c>
      <c r="FR30">
        <v>66.8</v>
      </c>
      <c r="FS30">
        <v>79.099999999999994</v>
      </c>
      <c r="FU30">
        <v>87.5</v>
      </c>
      <c r="FV30">
        <v>67.8</v>
      </c>
      <c r="FW30">
        <v>116.1</v>
      </c>
      <c r="FX30">
        <v>87.5</v>
      </c>
      <c r="FY30">
        <v>92.7</v>
      </c>
      <c r="GA30">
        <v>99.1</v>
      </c>
      <c r="GB30">
        <v>68.5</v>
      </c>
      <c r="GC30">
        <v>85</v>
      </c>
      <c r="GD30">
        <v>76.400000000000006</v>
      </c>
      <c r="GE30">
        <v>91.3</v>
      </c>
      <c r="GF30">
        <v>88.3</v>
      </c>
      <c r="GG30">
        <v>95</v>
      </c>
      <c r="GH30">
        <v>94.6</v>
      </c>
      <c r="GI30">
        <v>84.1</v>
      </c>
      <c r="GJ30">
        <v>85.3</v>
      </c>
      <c r="GM30">
        <v>80.3</v>
      </c>
      <c r="GP30">
        <v>80.599999999999994</v>
      </c>
      <c r="GU30">
        <v>82.7</v>
      </c>
      <c r="GV30">
        <v>48.4</v>
      </c>
      <c r="GW30">
        <v>74.3</v>
      </c>
      <c r="GX30">
        <v>85.4</v>
      </c>
      <c r="GY30">
        <v>82</v>
      </c>
      <c r="HA30">
        <v>106.2</v>
      </c>
      <c r="HD30">
        <v>97.5</v>
      </c>
      <c r="HG30">
        <v>110.2</v>
      </c>
      <c r="HO30">
        <v>113.6</v>
      </c>
      <c r="HP30">
        <v>114</v>
      </c>
      <c r="HQ30">
        <v>91.5</v>
      </c>
      <c r="HR30">
        <v>113.8</v>
      </c>
      <c r="HT30">
        <v>104.8</v>
      </c>
      <c r="HU30">
        <v>93.2</v>
      </c>
      <c r="HV30">
        <v>109</v>
      </c>
      <c r="HY30">
        <v>116.4</v>
      </c>
      <c r="IA30">
        <v>126</v>
      </c>
      <c r="IB30">
        <v>102.1</v>
      </c>
      <c r="IC30">
        <v>134.5</v>
      </c>
      <c r="IE30">
        <v>83.1</v>
      </c>
      <c r="IJ30">
        <v>101.9</v>
      </c>
      <c r="IK30">
        <v>115.4</v>
      </c>
      <c r="IL30">
        <v>80</v>
      </c>
      <c r="IM30">
        <v>100.9</v>
      </c>
      <c r="IO30">
        <v>123.7</v>
      </c>
      <c r="IP30">
        <v>126.8</v>
      </c>
      <c r="IQ30">
        <v>111</v>
      </c>
      <c r="IT30">
        <v>83.7</v>
      </c>
      <c r="IU30">
        <v>83.8</v>
      </c>
      <c r="IV30">
        <v>76.5</v>
      </c>
      <c r="IX30">
        <v>77.400000000000006</v>
      </c>
      <c r="IY30">
        <v>83.6</v>
      </c>
      <c r="JA30">
        <v>79</v>
      </c>
      <c r="JB30">
        <v>83.3</v>
      </c>
      <c r="JC30">
        <v>80.2</v>
      </c>
      <c r="JE30">
        <v>87.6</v>
      </c>
      <c r="JH30">
        <v>88</v>
      </c>
      <c r="JI30">
        <v>87.9</v>
      </c>
      <c r="JK30">
        <v>129.1</v>
      </c>
      <c r="JL30">
        <v>83.3</v>
      </c>
      <c r="JO30">
        <v>83</v>
      </c>
      <c r="JQ30">
        <v>82.2</v>
      </c>
      <c r="JS30">
        <v>83.7</v>
      </c>
      <c r="JT30">
        <v>83.6</v>
      </c>
      <c r="JU30">
        <v>83.7</v>
      </c>
      <c r="JV30">
        <v>94.3</v>
      </c>
      <c r="JW30">
        <v>95.8</v>
      </c>
      <c r="JX30">
        <v>101.4</v>
      </c>
      <c r="JY30">
        <v>101.4</v>
      </c>
      <c r="JZ30">
        <v>94.1</v>
      </c>
      <c r="KA30">
        <v>99.2</v>
      </c>
      <c r="KB30">
        <v>88.3</v>
      </c>
      <c r="KC30">
        <v>94.6</v>
      </c>
      <c r="KD30">
        <v>94.6</v>
      </c>
      <c r="KE30">
        <v>85.8</v>
      </c>
      <c r="KF30">
        <v>112.5</v>
      </c>
      <c r="KG30">
        <v>101.9</v>
      </c>
      <c r="KL30">
        <v>71.3</v>
      </c>
      <c r="KM30">
        <v>79.7</v>
      </c>
      <c r="KN30">
        <v>82.6</v>
      </c>
      <c r="KO30">
        <v>61</v>
      </c>
      <c r="KP30">
        <v>76.5</v>
      </c>
      <c r="KS30">
        <v>79.3</v>
      </c>
      <c r="KT30">
        <v>74.599999999999994</v>
      </c>
      <c r="KU30">
        <v>90.6</v>
      </c>
      <c r="KX30">
        <v>84.9</v>
      </c>
      <c r="KY30">
        <v>80.099999999999994</v>
      </c>
      <c r="KZ30">
        <v>92.9</v>
      </c>
      <c r="LA30">
        <v>92.9</v>
      </c>
      <c r="LB30">
        <v>77.3</v>
      </c>
      <c r="LC30">
        <v>88</v>
      </c>
      <c r="LD30">
        <v>65</v>
      </c>
      <c r="LE30">
        <v>57.2</v>
      </c>
      <c r="LF30">
        <v>57.2</v>
      </c>
      <c r="LG30">
        <v>71.099999999999994</v>
      </c>
      <c r="LH30">
        <v>75.8</v>
      </c>
      <c r="LI30">
        <v>63</v>
      </c>
      <c r="LJ30">
        <v>152.80000000000001</v>
      </c>
      <c r="LK30">
        <v>329.3</v>
      </c>
      <c r="LL30">
        <v>711.8</v>
      </c>
      <c r="LM30">
        <v>1073.5999999999999</v>
      </c>
      <c r="LN30">
        <v>336.7</v>
      </c>
      <c r="LO30">
        <v>204.3</v>
      </c>
      <c r="LP30">
        <v>1850.7</v>
      </c>
      <c r="LQ30">
        <v>734.6</v>
      </c>
      <c r="LR30">
        <v>817.5</v>
      </c>
      <c r="LT30">
        <v>262.7</v>
      </c>
      <c r="LU30">
        <v>344.8</v>
      </c>
      <c r="LV30">
        <v>189.6</v>
      </c>
      <c r="LX30">
        <v>99.9</v>
      </c>
      <c r="LY30">
        <v>92.4</v>
      </c>
      <c r="MA30">
        <v>106.1</v>
      </c>
      <c r="MB30">
        <v>154.30000000000001</v>
      </c>
      <c r="MC30">
        <v>419.5</v>
      </c>
      <c r="MD30">
        <v>139.69999999999999</v>
      </c>
      <c r="ME30">
        <v>114.8</v>
      </c>
      <c r="MG30">
        <v>119.6</v>
      </c>
      <c r="MH30">
        <v>99</v>
      </c>
      <c r="MI30">
        <v>133.9</v>
      </c>
      <c r="MJ30">
        <v>99.7</v>
      </c>
      <c r="MK30">
        <v>133.6</v>
      </c>
      <c r="MM30">
        <v>89.9</v>
      </c>
      <c r="MN30">
        <v>81.3</v>
      </c>
      <c r="MO30">
        <v>77.7</v>
      </c>
      <c r="MP30">
        <v>83</v>
      </c>
      <c r="MQ30">
        <v>84.1</v>
      </c>
      <c r="MS30">
        <v>91.4</v>
      </c>
      <c r="MU30">
        <v>82.8</v>
      </c>
      <c r="MV30">
        <v>102.2</v>
      </c>
      <c r="MW30">
        <v>86.5</v>
      </c>
      <c r="MX30">
        <v>85.3</v>
      </c>
      <c r="NB30">
        <v>129.9</v>
      </c>
      <c r="NC30">
        <v>116.4</v>
      </c>
      <c r="ND30">
        <v>133.30000000000001</v>
      </c>
      <c r="NE30">
        <v>106.5</v>
      </c>
      <c r="NF30">
        <v>169.8</v>
      </c>
      <c r="NG30">
        <v>150.5</v>
      </c>
      <c r="NH30">
        <v>188.4</v>
      </c>
      <c r="NI30">
        <v>111.7</v>
      </c>
      <c r="NJ30">
        <v>119.3</v>
      </c>
      <c r="NL30">
        <v>97.8</v>
      </c>
      <c r="NM30">
        <v>158.69999999999999</v>
      </c>
      <c r="NQ30">
        <v>82.4</v>
      </c>
      <c r="NR30">
        <v>82.3</v>
      </c>
      <c r="NS30">
        <v>82.3</v>
      </c>
      <c r="NT30">
        <v>78.900000000000006</v>
      </c>
      <c r="NW30">
        <v>93.7</v>
      </c>
      <c r="NX30">
        <v>93.7</v>
      </c>
      <c r="NY30">
        <v>96.1</v>
      </c>
      <c r="NZ30">
        <v>101.2</v>
      </c>
      <c r="OA30">
        <v>103.7</v>
      </c>
      <c r="OB30">
        <v>107.9</v>
      </c>
      <c r="OC30">
        <v>94.1</v>
      </c>
      <c r="OD30">
        <v>101</v>
      </c>
      <c r="OE30">
        <v>90.5</v>
      </c>
      <c r="OF30">
        <v>82.4</v>
      </c>
      <c r="OH30">
        <v>88.9</v>
      </c>
      <c r="OJ30">
        <v>83.8</v>
      </c>
      <c r="OK30">
        <v>91</v>
      </c>
      <c r="OL30">
        <v>83.4</v>
      </c>
      <c r="OM30">
        <v>90.5</v>
      </c>
      <c r="ON30">
        <v>103</v>
      </c>
      <c r="OO30">
        <v>80.7</v>
      </c>
      <c r="OP30">
        <v>94.7</v>
      </c>
      <c r="OQ30">
        <v>97</v>
      </c>
      <c r="OS30">
        <v>84.7</v>
      </c>
      <c r="OU30">
        <v>91.8</v>
      </c>
      <c r="OV30">
        <v>97.7</v>
      </c>
      <c r="OW30">
        <v>97.2</v>
      </c>
      <c r="OX30">
        <v>84.1</v>
      </c>
      <c r="OY30">
        <v>79.5</v>
      </c>
      <c r="OZ30">
        <v>76</v>
      </c>
      <c r="PA30">
        <v>117.6</v>
      </c>
      <c r="PB30">
        <v>117.7</v>
      </c>
      <c r="PC30">
        <v>79.7</v>
      </c>
      <c r="PD30">
        <v>185</v>
      </c>
      <c r="PG30">
        <v>104.3</v>
      </c>
      <c r="PH30">
        <v>94</v>
      </c>
      <c r="PI30">
        <v>99.2</v>
      </c>
      <c r="PJ30">
        <v>95.6</v>
      </c>
      <c r="PK30">
        <v>112.3</v>
      </c>
      <c r="PL30">
        <v>87.2</v>
      </c>
      <c r="PM30">
        <v>92.2</v>
      </c>
      <c r="PN30">
        <v>96.7</v>
      </c>
      <c r="PO30">
        <v>100.7</v>
      </c>
      <c r="PP30">
        <v>102.4</v>
      </c>
      <c r="PQ30">
        <v>115.4</v>
      </c>
      <c r="PR30">
        <v>103.9</v>
      </c>
      <c r="PS30">
        <v>88.6</v>
      </c>
      <c r="PT30">
        <v>99.9</v>
      </c>
      <c r="PU30">
        <v>93.9</v>
      </c>
      <c r="PV30">
        <v>104.3</v>
      </c>
      <c r="PW30">
        <v>109.5</v>
      </c>
      <c r="PX30">
        <v>99.3</v>
      </c>
      <c r="PY30">
        <v>82.6</v>
      </c>
      <c r="PZ30">
        <v>87.7</v>
      </c>
      <c r="QA30">
        <v>88.5</v>
      </c>
      <c r="QB30">
        <v>76.3</v>
      </c>
      <c r="QC30">
        <v>109.1</v>
      </c>
      <c r="QD30">
        <v>79.8</v>
      </c>
      <c r="QE30">
        <v>83.9</v>
      </c>
      <c r="QF30">
        <v>71.8</v>
      </c>
      <c r="QG30">
        <v>92.5</v>
      </c>
      <c r="QH30">
        <v>78.7</v>
      </c>
      <c r="QI30">
        <v>78.7</v>
      </c>
      <c r="QJ30">
        <v>89.5</v>
      </c>
      <c r="QK30">
        <v>94.3</v>
      </c>
      <c r="QL30">
        <v>95.2</v>
      </c>
      <c r="QM30">
        <v>89.8</v>
      </c>
      <c r="QN30">
        <v>80.599999999999994</v>
      </c>
      <c r="QO30">
        <v>82.5</v>
      </c>
      <c r="QQ30">
        <v>101</v>
      </c>
      <c r="QR30">
        <v>95.9</v>
      </c>
      <c r="QS30">
        <v>160.1</v>
      </c>
      <c r="QU30">
        <v>100.5</v>
      </c>
      <c r="QV30">
        <v>95.4</v>
      </c>
      <c r="QW30">
        <v>100.4</v>
      </c>
      <c r="QX30">
        <v>100.3</v>
      </c>
      <c r="QY30">
        <v>79.8</v>
      </c>
      <c r="QZ30">
        <v>83.3</v>
      </c>
      <c r="RA30">
        <v>77.599999999999994</v>
      </c>
      <c r="RB30">
        <v>71.599999999999994</v>
      </c>
      <c r="RD30">
        <v>84.8</v>
      </c>
      <c r="RE30">
        <v>108.7</v>
      </c>
      <c r="RF30">
        <v>114.8</v>
      </c>
      <c r="RG30">
        <v>125.5</v>
      </c>
      <c r="RH30">
        <v>123.2</v>
      </c>
      <c r="RI30">
        <v>79.099999999999994</v>
      </c>
      <c r="RJ30">
        <v>133.4</v>
      </c>
      <c r="RK30">
        <v>102.4</v>
      </c>
      <c r="RL30">
        <v>107.4</v>
      </c>
      <c r="RM30">
        <v>101.1</v>
      </c>
      <c r="RO30">
        <v>113.8</v>
      </c>
      <c r="RS30">
        <v>134.4</v>
      </c>
      <c r="RT30">
        <v>197.7</v>
      </c>
      <c r="RV30">
        <v>122.6</v>
      </c>
      <c r="RW30">
        <v>180.9</v>
      </c>
      <c r="SA30">
        <v>108.5</v>
      </c>
      <c r="SB30">
        <v>123.1</v>
      </c>
      <c r="SC30">
        <v>169.7</v>
      </c>
      <c r="SF30">
        <v>62.8</v>
      </c>
      <c r="SG30">
        <v>63.1</v>
      </c>
      <c r="SH30">
        <v>88.5</v>
      </c>
      <c r="SK30">
        <v>103.2</v>
      </c>
      <c r="SL30">
        <v>83.2</v>
      </c>
      <c r="SM30">
        <v>92.7</v>
      </c>
      <c r="SN30">
        <v>91.8</v>
      </c>
      <c r="SO30">
        <v>96</v>
      </c>
      <c r="SP30">
        <v>97.1</v>
      </c>
      <c r="SQ30">
        <v>91.2</v>
      </c>
      <c r="SR30">
        <v>92.3</v>
      </c>
      <c r="SS30">
        <v>81.5</v>
      </c>
      <c r="ST30">
        <v>82.5</v>
      </c>
      <c r="SU30">
        <v>80</v>
      </c>
      <c r="SV30">
        <v>80</v>
      </c>
      <c r="SX30">
        <v>84.8</v>
      </c>
      <c r="SZ30">
        <v>75.3</v>
      </c>
      <c r="TA30">
        <v>88.4</v>
      </c>
      <c r="TB30">
        <v>67.3</v>
      </c>
      <c r="TE30">
        <v>97.9</v>
      </c>
      <c r="TF30">
        <v>97.4</v>
      </c>
      <c r="TG30">
        <v>102.4</v>
      </c>
      <c r="TH30">
        <v>95.1</v>
      </c>
      <c r="TK30">
        <v>88.6</v>
      </c>
      <c r="TL30">
        <v>85.6</v>
      </c>
      <c r="TN30">
        <v>98.6</v>
      </c>
      <c r="TO30">
        <v>91.2</v>
      </c>
      <c r="TP30">
        <v>95.3</v>
      </c>
      <c r="TT30">
        <v>106.2</v>
      </c>
      <c r="TU30">
        <v>78.5</v>
      </c>
      <c r="TV30">
        <v>83.4</v>
      </c>
      <c r="TW30">
        <v>100.3</v>
      </c>
      <c r="TX30">
        <v>101.9</v>
      </c>
      <c r="TY30">
        <v>90.1</v>
      </c>
      <c r="UC30">
        <v>128.9</v>
      </c>
      <c r="UD30">
        <v>91.9</v>
      </c>
      <c r="UE30">
        <v>146.1</v>
      </c>
      <c r="UF30">
        <v>67.5</v>
      </c>
      <c r="UG30">
        <v>77.400000000000006</v>
      </c>
      <c r="UH30">
        <v>123.8</v>
      </c>
      <c r="UJ30">
        <v>89.5</v>
      </c>
      <c r="UL30">
        <v>94.1</v>
      </c>
      <c r="UM30">
        <v>103.4</v>
      </c>
      <c r="UN30">
        <v>82</v>
      </c>
      <c r="UO30">
        <v>86</v>
      </c>
      <c r="UP30">
        <v>76</v>
      </c>
      <c r="UQ30">
        <v>304.89999999999998</v>
      </c>
      <c r="UR30">
        <v>96.7</v>
      </c>
      <c r="US30">
        <v>75.2</v>
      </c>
      <c r="UT30">
        <v>79.2</v>
      </c>
      <c r="UW30">
        <v>75.099999999999994</v>
      </c>
      <c r="UY30">
        <v>71.3</v>
      </c>
      <c r="UZ30">
        <v>76.8</v>
      </c>
      <c r="VB30">
        <v>80.400000000000006</v>
      </c>
      <c r="VD30">
        <v>116.9</v>
      </c>
      <c r="VE30">
        <v>1539.1</v>
      </c>
      <c r="VL30">
        <v>2214.1999999999998</v>
      </c>
      <c r="VM30">
        <v>74.599999999999994</v>
      </c>
      <c r="VN30">
        <v>87.1</v>
      </c>
      <c r="VO30">
        <v>106</v>
      </c>
      <c r="VP30">
        <v>85.4</v>
      </c>
      <c r="VQ30">
        <v>100.6</v>
      </c>
      <c r="VR30">
        <v>73.3</v>
      </c>
      <c r="VT30">
        <v>113.8</v>
      </c>
      <c r="VU30">
        <v>144.5</v>
      </c>
      <c r="VV30">
        <v>71.7</v>
      </c>
      <c r="VW30">
        <v>104.1</v>
      </c>
      <c r="VX30">
        <v>74.099999999999994</v>
      </c>
      <c r="VY30">
        <v>140</v>
      </c>
      <c r="WB30">
        <v>172.5</v>
      </c>
      <c r="WE30">
        <v>121.9</v>
      </c>
      <c r="WF30">
        <v>86.8</v>
      </c>
      <c r="WG30">
        <v>100.3</v>
      </c>
      <c r="WH30">
        <v>92.4</v>
      </c>
      <c r="WI30">
        <v>90.9</v>
      </c>
      <c r="WJ30">
        <v>95</v>
      </c>
      <c r="WL30">
        <v>99.2</v>
      </c>
      <c r="WN30">
        <v>95.4</v>
      </c>
      <c r="WP30">
        <v>98.9</v>
      </c>
      <c r="WV30">
        <v>98.4</v>
      </c>
      <c r="WX30">
        <v>79.3</v>
      </c>
      <c r="WY30">
        <v>86.1</v>
      </c>
      <c r="XB30">
        <v>64</v>
      </c>
      <c r="XD30">
        <v>60.7</v>
      </c>
      <c r="XE30">
        <v>69.599999999999994</v>
      </c>
      <c r="XF30">
        <v>65.599999999999994</v>
      </c>
      <c r="XG30">
        <v>68.7</v>
      </c>
      <c r="XH30">
        <v>92.1</v>
      </c>
      <c r="XI30">
        <v>104.9</v>
      </c>
      <c r="XJ30">
        <v>104.9</v>
      </c>
      <c r="XM30">
        <v>76.599999999999994</v>
      </c>
      <c r="XP30">
        <v>84.3</v>
      </c>
      <c r="XR30">
        <v>77.3</v>
      </c>
      <c r="XT30">
        <v>72.8</v>
      </c>
      <c r="XU30">
        <v>100.7</v>
      </c>
      <c r="XV30">
        <v>99.6</v>
      </c>
      <c r="XW30">
        <v>103.1</v>
      </c>
      <c r="XZ30">
        <v>98.6</v>
      </c>
      <c r="YA30">
        <v>96.2</v>
      </c>
      <c r="YD30">
        <v>75.8</v>
      </c>
      <c r="YE30">
        <v>100.9</v>
      </c>
      <c r="YG30">
        <v>82.6</v>
      </c>
      <c r="YK30">
        <v>65.900000000000006</v>
      </c>
      <c r="YM30">
        <v>105.1</v>
      </c>
      <c r="YO30">
        <v>193.2</v>
      </c>
      <c r="YT30">
        <v>84.1</v>
      </c>
      <c r="YU30">
        <v>86.1</v>
      </c>
      <c r="YW30">
        <v>87.8</v>
      </c>
      <c r="YX30">
        <v>83.3</v>
      </c>
      <c r="YY30">
        <v>83.5</v>
      </c>
      <c r="ZB30">
        <v>109.5</v>
      </c>
      <c r="ZC30">
        <v>217.7</v>
      </c>
      <c r="ZD30">
        <v>380</v>
      </c>
      <c r="ZE30">
        <v>122.2</v>
      </c>
      <c r="ZF30">
        <v>111.4</v>
      </c>
      <c r="ZG30">
        <v>114.8</v>
      </c>
      <c r="ZK30">
        <v>99.2</v>
      </c>
      <c r="ZM30">
        <v>129.6</v>
      </c>
      <c r="ZN30">
        <v>103</v>
      </c>
      <c r="ZO30">
        <v>104.8</v>
      </c>
      <c r="ZP30">
        <v>110.7</v>
      </c>
      <c r="ZQ30">
        <v>101</v>
      </c>
      <c r="ZT30">
        <v>101.9</v>
      </c>
      <c r="ZU30">
        <v>92.9</v>
      </c>
      <c r="ZW30">
        <v>97</v>
      </c>
      <c r="ZY30">
        <v>90.2</v>
      </c>
      <c r="AAC30">
        <v>70</v>
      </c>
      <c r="AAD30">
        <v>68.400000000000006</v>
      </c>
      <c r="AAE30">
        <v>123</v>
      </c>
      <c r="AAG30">
        <v>55.6</v>
      </c>
      <c r="AAH30">
        <v>134.69999999999999</v>
      </c>
      <c r="AAI30">
        <v>71</v>
      </c>
      <c r="AAJ30">
        <v>50.6</v>
      </c>
      <c r="AAK30">
        <v>99.1</v>
      </c>
      <c r="AAL30">
        <v>94</v>
      </c>
      <c r="AAM30">
        <v>105.7</v>
      </c>
      <c r="AAN30">
        <v>82.1</v>
      </c>
      <c r="AAO30">
        <v>45.8</v>
      </c>
      <c r="AAP30">
        <v>44.7</v>
      </c>
      <c r="AAQ30">
        <v>48.7</v>
      </c>
      <c r="AAR30">
        <v>79</v>
      </c>
      <c r="AAX30">
        <v>67.599999999999994</v>
      </c>
      <c r="ABB30">
        <v>82.7</v>
      </c>
      <c r="ABC30">
        <v>79.7</v>
      </c>
      <c r="ABD30">
        <v>94.8</v>
      </c>
      <c r="ABE30">
        <v>69.599999999999994</v>
      </c>
      <c r="ABF30">
        <v>96</v>
      </c>
      <c r="ABG30">
        <v>88.4</v>
      </c>
      <c r="ABH30">
        <v>95.5</v>
      </c>
      <c r="ABI30">
        <v>92.8</v>
      </c>
      <c r="ABJ30">
        <v>100.2</v>
      </c>
      <c r="ABK30">
        <v>96.2</v>
      </c>
      <c r="ABL30">
        <v>85.1</v>
      </c>
      <c r="ABM30">
        <v>97.3</v>
      </c>
      <c r="ABN30">
        <v>100.4</v>
      </c>
      <c r="ABO30">
        <v>91</v>
      </c>
      <c r="ABP30">
        <v>114.2</v>
      </c>
    </row>
    <row r="31" spans="1:744">
      <c r="A31">
        <v>1994</v>
      </c>
      <c r="B31">
        <v>96</v>
      </c>
      <c r="C31">
        <v>87.7</v>
      </c>
      <c r="D31">
        <v>108.1</v>
      </c>
      <c r="E31">
        <v>132.1</v>
      </c>
      <c r="F31">
        <v>143.6</v>
      </c>
      <c r="G31">
        <v>129.5</v>
      </c>
      <c r="H31">
        <v>87.6</v>
      </c>
      <c r="I31">
        <v>88.1</v>
      </c>
      <c r="J31">
        <v>89</v>
      </c>
      <c r="L31">
        <v>90.3</v>
      </c>
      <c r="M31">
        <v>94.6</v>
      </c>
      <c r="N31">
        <v>84</v>
      </c>
      <c r="O31">
        <v>91.6</v>
      </c>
      <c r="P31">
        <v>85.2</v>
      </c>
      <c r="Q31">
        <v>99.9</v>
      </c>
      <c r="R31">
        <v>116.3</v>
      </c>
      <c r="S31">
        <v>76.400000000000006</v>
      </c>
      <c r="T31">
        <v>135</v>
      </c>
      <c r="V31">
        <v>76.7</v>
      </c>
      <c r="W31">
        <v>78.2</v>
      </c>
      <c r="X31">
        <v>98.9</v>
      </c>
      <c r="Y31">
        <v>103.3</v>
      </c>
      <c r="Z31">
        <v>59.8</v>
      </c>
      <c r="AA31">
        <v>93.8</v>
      </c>
      <c r="AB31">
        <v>64.7</v>
      </c>
      <c r="AC31">
        <v>77.099999999999994</v>
      </c>
      <c r="AD31">
        <v>48.5</v>
      </c>
      <c r="AE31">
        <v>97.3</v>
      </c>
      <c r="AF31">
        <v>89.8</v>
      </c>
      <c r="AG31">
        <v>54.5</v>
      </c>
      <c r="AH31">
        <v>61.6</v>
      </c>
      <c r="AI31">
        <v>91.3</v>
      </c>
      <c r="AJ31">
        <v>69.2</v>
      </c>
      <c r="AK31">
        <v>71.5</v>
      </c>
      <c r="AL31">
        <v>71.099999999999994</v>
      </c>
      <c r="AM31">
        <v>71.900000000000006</v>
      </c>
      <c r="AN31">
        <v>67.599999999999994</v>
      </c>
      <c r="AO31">
        <v>87.7</v>
      </c>
      <c r="AP31">
        <v>63.3</v>
      </c>
      <c r="AQ31">
        <v>76.2</v>
      </c>
      <c r="AR31">
        <v>88.8</v>
      </c>
      <c r="AS31">
        <v>77.900000000000006</v>
      </c>
      <c r="AU31">
        <v>90.8</v>
      </c>
      <c r="AV31">
        <v>86.2</v>
      </c>
      <c r="AW31">
        <v>95.8</v>
      </c>
      <c r="AX31">
        <v>92</v>
      </c>
      <c r="AY31">
        <v>68.8</v>
      </c>
      <c r="AZ31">
        <v>78.599999999999994</v>
      </c>
      <c r="BA31">
        <v>64.7</v>
      </c>
      <c r="BB31">
        <v>68.400000000000006</v>
      </c>
      <c r="BC31">
        <v>70.7</v>
      </c>
      <c r="BD31">
        <v>74.099999999999994</v>
      </c>
      <c r="BE31">
        <v>69.400000000000006</v>
      </c>
      <c r="BF31">
        <v>65.099999999999994</v>
      </c>
      <c r="BG31">
        <v>64.3</v>
      </c>
      <c r="BH31">
        <v>69.099999999999994</v>
      </c>
      <c r="BJ31">
        <v>75.2</v>
      </c>
      <c r="BK31">
        <v>96.4</v>
      </c>
      <c r="BL31">
        <v>105.8</v>
      </c>
      <c r="BM31">
        <v>94.7</v>
      </c>
      <c r="BN31">
        <v>80.3</v>
      </c>
      <c r="BP31">
        <v>87.2</v>
      </c>
      <c r="BQ31">
        <v>92.2</v>
      </c>
      <c r="BR31">
        <v>89.6</v>
      </c>
      <c r="BS31">
        <v>97.9</v>
      </c>
      <c r="BT31">
        <v>97.2</v>
      </c>
      <c r="BU31">
        <v>93.1</v>
      </c>
      <c r="BV31">
        <v>111.6</v>
      </c>
      <c r="BW31">
        <v>73.599999999999994</v>
      </c>
      <c r="BX31">
        <v>78.099999999999994</v>
      </c>
      <c r="BZ31">
        <v>71.3</v>
      </c>
      <c r="CA31">
        <v>71.3</v>
      </c>
      <c r="CB31">
        <v>87.2</v>
      </c>
      <c r="CC31">
        <v>86.9</v>
      </c>
      <c r="CD31">
        <v>102</v>
      </c>
      <c r="CE31">
        <v>60.6</v>
      </c>
      <c r="CF31">
        <v>100.6</v>
      </c>
      <c r="CG31">
        <v>94.4</v>
      </c>
      <c r="CH31">
        <v>98.6</v>
      </c>
      <c r="CI31">
        <v>105.1</v>
      </c>
      <c r="CJ31">
        <v>106.5</v>
      </c>
      <c r="CL31">
        <v>74.5</v>
      </c>
      <c r="CM31">
        <v>62.6</v>
      </c>
      <c r="CN31">
        <v>72.099999999999994</v>
      </c>
      <c r="CO31">
        <v>104.8</v>
      </c>
      <c r="CP31">
        <v>90.8</v>
      </c>
      <c r="CQ31">
        <v>71.099999999999994</v>
      </c>
      <c r="CR31">
        <v>93.6</v>
      </c>
      <c r="CS31">
        <v>68.400000000000006</v>
      </c>
      <c r="CT31">
        <v>120.6</v>
      </c>
      <c r="CW31">
        <v>69.099999999999994</v>
      </c>
      <c r="CX31">
        <v>58.2</v>
      </c>
      <c r="CY31">
        <v>71.3</v>
      </c>
      <c r="CZ31">
        <v>67.599999999999994</v>
      </c>
      <c r="DA31">
        <v>82.3</v>
      </c>
      <c r="DB31">
        <v>60</v>
      </c>
      <c r="DC31">
        <v>110.7</v>
      </c>
      <c r="DD31">
        <v>165.6</v>
      </c>
      <c r="DG31">
        <v>87.8</v>
      </c>
      <c r="DH31">
        <v>70.099999999999994</v>
      </c>
      <c r="DI31">
        <v>74</v>
      </c>
      <c r="DJ31">
        <v>83.2</v>
      </c>
      <c r="DK31">
        <v>55.6</v>
      </c>
      <c r="DL31">
        <v>64.7</v>
      </c>
      <c r="DN31">
        <v>104.1</v>
      </c>
      <c r="DO31">
        <v>98</v>
      </c>
      <c r="DP31">
        <v>98.3</v>
      </c>
      <c r="DQ31">
        <v>121.5</v>
      </c>
      <c r="DR31">
        <v>87.4</v>
      </c>
      <c r="DS31">
        <v>109.8</v>
      </c>
      <c r="DT31">
        <v>75.2</v>
      </c>
      <c r="DU31">
        <v>85.8</v>
      </c>
      <c r="DV31">
        <v>76.7</v>
      </c>
      <c r="DX31">
        <v>79</v>
      </c>
      <c r="DY31">
        <v>104.2</v>
      </c>
      <c r="DZ31">
        <v>77</v>
      </c>
      <c r="EA31">
        <v>76</v>
      </c>
      <c r="EB31">
        <v>82.9</v>
      </c>
      <c r="EC31">
        <v>79.599999999999994</v>
      </c>
      <c r="ED31">
        <v>75.7</v>
      </c>
      <c r="EF31">
        <v>61.7</v>
      </c>
      <c r="EG31">
        <v>75.7</v>
      </c>
      <c r="EH31">
        <v>76</v>
      </c>
      <c r="EI31">
        <v>92.3</v>
      </c>
      <c r="EJ31">
        <v>69.900000000000006</v>
      </c>
      <c r="EK31">
        <v>78.8</v>
      </c>
      <c r="EL31">
        <v>85.3</v>
      </c>
      <c r="EM31">
        <v>76.7</v>
      </c>
      <c r="EN31">
        <v>65.2</v>
      </c>
      <c r="EO31">
        <v>61.9</v>
      </c>
      <c r="ER31">
        <v>98.6</v>
      </c>
      <c r="ET31">
        <v>108.8</v>
      </c>
      <c r="EU31">
        <v>129.30000000000001</v>
      </c>
      <c r="EV31">
        <v>143.80000000000001</v>
      </c>
      <c r="EW31">
        <v>88.4</v>
      </c>
      <c r="EX31">
        <v>106.6</v>
      </c>
      <c r="EY31">
        <v>92.6</v>
      </c>
      <c r="EZ31">
        <v>108.7</v>
      </c>
      <c r="FA31">
        <v>110.1</v>
      </c>
      <c r="FB31">
        <v>107.6</v>
      </c>
      <c r="FC31">
        <v>102.1</v>
      </c>
      <c r="FD31">
        <v>123.1</v>
      </c>
      <c r="FE31">
        <v>157.69999999999999</v>
      </c>
      <c r="FF31">
        <v>119.2</v>
      </c>
      <c r="FI31">
        <v>99.5</v>
      </c>
      <c r="FJ31">
        <v>87.4</v>
      </c>
      <c r="FK31">
        <v>114</v>
      </c>
      <c r="FL31">
        <v>96.7</v>
      </c>
      <c r="FM31">
        <v>99.8</v>
      </c>
      <c r="FQ31">
        <v>80.099999999999994</v>
      </c>
      <c r="FR31">
        <v>69.400000000000006</v>
      </c>
      <c r="FS31">
        <v>80.2</v>
      </c>
      <c r="FU31">
        <v>88.1</v>
      </c>
      <c r="FV31">
        <v>67.2</v>
      </c>
      <c r="FW31">
        <v>115.7</v>
      </c>
      <c r="FX31">
        <v>86.5</v>
      </c>
      <c r="FY31">
        <v>89.7</v>
      </c>
      <c r="GA31">
        <v>99.2</v>
      </c>
      <c r="GB31">
        <v>68.400000000000006</v>
      </c>
      <c r="GC31">
        <v>84.2</v>
      </c>
      <c r="GD31">
        <v>76.3</v>
      </c>
      <c r="GE31">
        <v>90.9</v>
      </c>
      <c r="GF31">
        <v>87.4</v>
      </c>
      <c r="GG31">
        <v>91.5</v>
      </c>
      <c r="GH31">
        <v>96.7</v>
      </c>
      <c r="GI31">
        <v>84.5</v>
      </c>
      <c r="GJ31">
        <v>87.1</v>
      </c>
      <c r="GM31">
        <v>82.3</v>
      </c>
      <c r="GP31">
        <v>79.900000000000006</v>
      </c>
      <c r="GU31">
        <v>82.7</v>
      </c>
      <c r="GV31">
        <v>49.4</v>
      </c>
      <c r="GW31">
        <v>74.7</v>
      </c>
      <c r="GX31">
        <v>85.9</v>
      </c>
      <c r="GY31">
        <v>81.2</v>
      </c>
      <c r="HA31">
        <v>106.5</v>
      </c>
      <c r="HD31">
        <v>95.5</v>
      </c>
      <c r="HG31">
        <v>109.4</v>
      </c>
      <c r="HO31">
        <v>114.2</v>
      </c>
      <c r="HP31">
        <v>115.3</v>
      </c>
      <c r="HQ31">
        <v>92.9</v>
      </c>
      <c r="HR31">
        <v>112.8</v>
      </c>
      <c r="HT31">
        <v>105.8</v>
      </c>
      <c r="HU31">
        <v>94</v>
      </c>
      <c r="HV31">
        <v>109.9</v>
      </c>
      <c r="HY31">
        <v>116.7</v>
      </c>
      <c r="IA31">
        <v>126.4</v>
      </c>
      <c r="IB31">
        <v>103.3</v>
      </c>
      <c r="IC31">
        <v>134.19999999999999</v>
      </c>
      <c r="IE31">
        <v>83.1</v>
      </c>
      <c r="IJ31">
        <v>104.8</v>
      </c>
      <c r="IK31">
        <v>120.5</v>
      </c>
      <c r="IL31">
        <v>84.1</v>
      </c>
      <c r="IM31">
        <v>103.7</v>
      </c>
      <c r="IO31">
        <v>123.7</v>
      </c>
      <c r="IP31">
        <v>126.6</v>
      </c>
      <c r="IQ31">
        <v>103.7</v>
      </c>
      <c r="IT31">
        <v>84.6</v>
      </c>
      <c r="IU31">
        <v>84.6</v>
      </c>
      <c r="IV31">
        <v>77.7</v>
      </c>
      <c r="IX31">
        <v>78.400000000000006</v>
      </c>
      <c r="IY31">
        <v>85.2</v>
      </c>
      <c r="JA31">
        <v>81</v>
      </c>
      <c r="JB31">
        <v>84.4</v>
      </c>
      <c r="JC31">
        <v>81.5</v>
      </c>
      <c r="JE31">
        <v>87.6</v>
      </c>
      <c r="JH31">
        <v>88.6</v>
      </c>
      <c r="JI31">
        <v>86.9</v>
      </c>
      <c r="JK31">
        <v>126.2</v>
      </c>
      <c r="JL31">
        <v>84.1</v>
      </c>
      <c r="JO31">
        <v>84</v>
      </c>
      <c r="JQ31">
        <v>83.6</v>
      </c>
      <c r="JS31">
        <v>84.6</v>
      </c>
      <c r="JT31">
        <v>84.6</v>
      </c>
      <c r="JU31">
        <v>84.6</v>
      </c>
      <c r="JV31">
        <v>96.4</v>
      </c>
      <c r="JW31">
        <v>97.8</v>
      </c>
      <c r="JX31">
        <v>103.3</v>
      </c>
      <c r="JY31">
        <v>103.3</v>
      </c>
      <c r="JZ31">
        <v>97.1</v>
      </c>
      <c r="KA31">
        <v>102.3</v>
      </c>
      <c r="KB31">
        <v>91.1</v>
      </c>
      <c r="KC31">
        <v>96.6</v>
      </c>
      <c r="KD31">
        <v>96.6</v>
      </c>
      <c r="KE31">
        <v>87.9</v>
      </c>
      <c r="KF31">
        <v>112.7</v>
      </c>
      <c r="KG31">
        <v>102.3</v>
      </c>
      <c r="KL31">
        <v>73.3</v>
      </c>
      <c r="KM31">
        <v>82.1</v>
      </c>
      <c r="KN31">
        <v>84.5</v>
      </c>
      <c r="KO31">
        <v>63.4</v>
      </c>
      <c r="KP31">
        <v>79</v>
      </c>
      <c r="KS31">
        <v>82</v>
      </c>
      <c r="KT31">
        <v>76.7</v>
      </c>
      <c r="KU31">
        <v>93.9</v>
      </c>
      <c r="KX31">
        <v>86.6</v>
      </c>
      <c r="KY31">
        <v>80.099999999999994</v>
      </c>
      <c r="KZ31">
        <v>92.1</v>
      </c>
      <c r="LA31">
        <v>92.1</v>
      </c>
      <c r="LB31">
        <v>76.8</v>
      </c>
      <c r="LC31">
        <v>87.3</v>
      </c>
      <c r="LD31">
        <v>64.8</v>
      </c>
      <c r="LE31">
        <v>55.1</v>
      </c>
      <c r="LF31">
        <v>55.1</v>
      </c>
      <c r="LG31">
        <v>74.099999999999994</v>
      </c>
      <c r="LH31">
        <v>79</v>
      </c>
      <c r="LI31">
        <v>65.599999999999994</v>
      </c>
      <c r="LJ31">
        <v>149.6</v>
      </c>
      <c r="LK31">
        <v>316.60000000000002</v>
      </c>
      <c r="LL31">
        <v>677.2</v>
      </c>
      <c r="LM31">
        <v>1046.3</v>
      </c>
      <c r="LN31">
        <v>320.7</v>
      </c>
      <c r="LO31">
        <v>197.7</v>
      </c>
      <c r="LP31">
        <v>1704.6</v>
      </c>
      <c r="LQ31">
        <v>712.8</v>
      </c>
      <c r="LR31">
        <v>773.1</v>
      </c>
      <c r="LT31">
        <v>248.8</v>
      </c>
      <c r="LU31">
        <v>319.8</v>
      </c>
      <c r="LV31">
        <v>185.9</v>
      </c>
      <c r="LX31">
        <v>98.8</v>
      </c>
      <c r="LY31">
        <v>90.4</v>
      </c>
      <c r="MA31">
        <v>105</v>
      </c>
      <c r="MB31">
        <v>153.5</v>
      </c>
      <c r="MC31">
        <v>414.6</v>
      </c>
      <c r="MD31">
        <v>140.80000000000001</v>
      </c>
      <c r="ME31">
        <v>112.6</v>
      </c>
      <c r="MG31">
        <v>115.8</v>
      </c>
      <c r="MH31">
        <v>98.1</v>
      </c>
      <c r="MI31">
        <v>127.9</v>
      </c>
      <c r="MJ31">
        <v>99.1</v>
      </c>
      <c r="MK31">
        <v>128.4</v>
      </c>
      <c r="MM31">
        <v>90.2</v>
      </c>
      <c r="MN31">
        <v>82.5</v>
      </c>
      <c r="MO31">
        <v>78.900000000000006</v>
      </c>
      <c r="MP31">
        <v>84.6</v>
      </c>
      <c r="MQ31">
        <v>83.4</v>
      </c>
      <c r="MS31">
        <v>90.9</v>
      </c>
      <c r="MU31">
        <v>82.1</v>
      </c>
      <c r="MV31">
        <v>102.4</v>
      </c>
      <c r="MW31">
        <v>86.5</v>
      </c>
      <c r="MX31">
        <v>85.4</v>
      </c>
      <c r="NB31">
        <v>125.2</v>
      </c>
      <c r="NC31">
        <v>109.6</v>
      </c>
      <c r="ND31">
        <v>123.6</v>
      </c>
      <c r="NE31">
        <v>101</v>
      </c>
      <c r="NF31">
        <v>163.80000000000001</v>
      </c>
      <c r="NG31">
        <v>146</v>
      </c>
      <c r="NH31">
        <v>180.3</v>
      </c>
      <c r="NI31">
        <v>110.1</v>
      </c>
      <c r="NJ31">
        <v>117.5</v>
      </c>
      <c r="NL31">
        <v>97</v>
      </c>
      <c r="NM31">
        <v>155.4</v>
      </c>
      <c r="NQ31">
        <v>83.6</v>
      </c>
      <c r="NR31">
        <v>83.3</v>
      </c>
      <c r="NS31">
        <v>83.3</v>
      </c>
      <c r="NT31">
        <v>80.7</v>
      </c>
      <c r="NW31">
        <v>93.7</v>
      </c>
      <c r="NX31">
        <v>93.7</v>
      </c>
      <c r="NY31">
        <v>94.9</v>
      </c>
      <c r="NZ31">
        <v>98.8</v>
      </c>
      <c r="OA31">
        <v>103.5</v>
      </c>
      <c r="OB31">
        <v>107.6</v>
      </c>
      <c r="OC31">
        <v>93.8</v>
      </c>
      <c r="OD31">
        <v>98.4</v>
      </c>
      <c r="OE31">
        <v>87.5</v>
      </c>
      <c r="OF31">
        <v>78.099999999999994</v>
      </c>
      <c r="OH31">
        <v>85</v>
      </c>
      <c r="OJ31">
        <v>80</v>
      </c>
      <c r="OK31">
        <v>87.8</v>
      </c>
      <c r="OL31">
        <v>81.900000000000006</v>
      </c>
      <c r="OM31">
        <v>91.4</v>
      </c>
      <c r="ON31">
        <v>102.3</v>
      </c>
      <c r="OO31">
        <v>81.599999999999994</v>
      </c>
      <c r="OP31">
        <v>92.5</v>
      </c>
      <c r="OQ31">
        <v>95.6</v>
      </c>
      <c r="OS31">
        <v>83.4</v>
      </c>
      <c r="OU31">
        <v>89.6</v>
      </c>
      <c r="OV31">
        <v>95.4</v>
      </c>
      <c r="OW31">
        <v>94.8</v>
      </c>
      <c r="OX31">
        <v>82.4</v>
      </c>
      <c r="OY31">
        <v>77.599999999999994</v>
      </c>
      <c r="OZ31">
        <v>74.7</v>
      </c>
      <c r="PA31">
        <v>117.8</v>
      </c>
      <c r="PB31">
        <v>113.8</v>
      </c>
      <c r="PC31">
        <v>81.599999999999994</v>
      </c>
      <c r="PD31">
        <v>182.2</v>
      </c>
      <c r="PG31">
        <v>105.4</v>
      </c>
      <c r="PH31">
        <v>93.5</v>
      </c>
      <c r="PI31">
        <v>98</v>
      </c>
      <c r="PJ31">
        <v>92.7</v>
      </c>
      <c r="PK31">
        <v>111.8</v>
      </c>
      <c r="PL31">
        <v>85.6</v>
      </c>
      <c r="PM31">
        <v>89.8</v>
      </c>
      <c r="PN31">
        <v>92</v>
      </c>
      <c r="PO31">
        <v>100.7</v>
      </c>
      <c r="PP31">
        <v>104</v>
      </c>
      <c r="PQ31">
        <v>115.7</v>
      </c>
      <c r="PR31">
        <v>105.7</v>
      </c>
      <c r="PS31">
        <v>91.5</v>
      </c>
      <c r="PT31">
        <v>97.4</v>
      </c>
      <c r="PU31">
        <v>93.3</v>
      </c>
      <c r="PV31">
        <v>102.6</v>
      </c>
      <c r="PW31">
        <v>105.4</v>
      </c>
      <c r="PX31">
        <v>98.8</v>
      </c>
      <c r="PY31">
        <v>83.5</v>
      </c>
      <c r="PZ31">
        <v>87.1</v>
      </c>
      <c r="QA31">
        <v>88.1</v>
      </c>
      <c r="QB31">
        <v>76</v>
      </c>
      <c r="QC31">
        <v>107.2</v>
      </c>
      <c r="QD31">
        <v>82</v>
      </c>
      <c r="QE31">
        <v>86.8</v>
      </c>
      <c r="QF31">
        <v>72.400000000000006</v>
      </c>
      <c r="QG31">
        <v>95.9</v>
      </c>
      <c r="QH31">
        <v>78.7</v>
      </c>
      <c r="QI31">
        <v>78.7</v>
      </c>
      <c r="QJ31">
        <v>88.5</v>
      </c>
      <c r="QK31">
        <v>93.8</v>
      </c>
      <c r="QL31">
        <v>93.6</v>
      </c>
      <c r="QM31">
        <v>89.1</v>
      </c>
      <c r="QN31">
        <v>80.3</v>
      </c>
      <c r="QO31">
        <v>81.900000000000006</v>
      </c>
      <c r="QQ31">
        <v>101.3</v>
      </c>
      <c r="QR31">
        <v>97.2</v>
      </c>
      <c r="QS31">
        <v>157.4</v>
      </c>
      <c r="QU31">
        <v>101.2</v>
      </c>
      <c r="QV31">
        <v>96.1</v>
      </c>
      <c r="QW31">
        <v>101.1</v>
      </c>
      <c r="QX31">
        <v>102.2</v>
      </c>
      <c r="QY31">
        <v>80.7</v>
      </c>
      <c r="QZ31">
        <v>84.2</v>
      </c>
      <c r="RA31">
        <v>78.5</v>
      </c>
      <c r="RB31">
        <v>72.5</v>
      </c>
      <c r="RD31">
        <v>85.1</v>
      </c>
      <c r="RE31">
        <v>108.6</v>
      </c>
      <c r="RF31">
        <v>118.4</v>
      </c>
      <c r="RG31">
        <v>125</v>
      </c>
      <c r="RH31">
        <v>122.9</v>
      </c>
      <c r="RI31">
        <v>78.599999999999994</v>
      </c>
      <c r="RJ31">
        <v>131.5</v>
      </c>
      <c r="RK31">
        <v>102.1</v>
      </c>
      <c r="RL31">
        <v>107.4</v>
      </c>
      <c r="RM31">
        <v>100.3</v>
      </c>
      <c r="RO31">
        <v>113.9</v>
      </c>
      <c r="RS31">
        <v>131.9</v>
      </c>
      <c r="RT31">
        <v>194.6</v>
      </c>
      <c r="RV31">
        <v>120.9</v>
      </c>
      <c r="RW31">
        <v>158.9</v>
      </c>
      <c r="SA31">
        <v>108.1</v>
      </c>
      <c r="SB31">
        <v>121</v>
      </c>
      <c r="SC31">
        <v>165.9</v>
      </c>
      <c r="SF31">
        <v>64</v>
      </c>
      <c r="SG31">
        <v>63.9</v>
      </c>
      <c r="SH31">
        <v>89.6</v>
      </c>
      <c r="SK31">
        <v>102.8</v>
      </c>
      <c r="SL31">
        <v>83.7</v>
      </c>
      <c r="SM31">
        <v>92.7</v>
      </c>
      <c r="SN31">
        <v>91.8</v>
      </c>
      <c r="SO31">
        <v>96</v>
      </c>
      <c r="SP31">
        <v>97.1</v>
      </c>
      <c r="SQ31">
        <v>91.2</v>
      </c>
      <c r="SR31">
        <v>92.3</v>
      </c>
      <c r="SS31">
        <v>81.7</v>
      </c>
      <c r="ST31">
        <v>82.7</v>
      </c>
      <c r="SU31">
        <v>80.099999999999994</v>
      </c>
      <c r="SV31">
        <v>80.2</v>
      </c>
      <c r="SX31">
        <v>87.4</v>
      </c>
      <c r="SZ31">
        <v>76.099999999999994</v>
      </c>
      <c r="TA31">
        <v>88.4</v>
      </c>
      <c r="TB31">
        <v>67.3</v>
      </c>
      <c r="TE31">
        <v>97.1</v>
      </c>
      <c r="TF31">
        <v>96.7</v>
      </c>
      <c r="TG31">
        <v>101.4</v>
      </c>
      <c r="TH31">
        <v>95.7</v>
      </c>
      <c r="TK31">
        <v>90</v>
      </c>
      <c r="TL31">
        <v>86.9</v>
      </c>
      <c r="TN31">
        <v>97.7</v>
      </c>
      <c r="TO31">
        <v>88.2</v>
      </c>
      <c r="TP31">
        <v>94.4</v>
      </c>
      <c r="TT31">
        <v>107.9</v>
      </c>
      <c r="TU31">
        <v>81.099999999999994</v>
      </c>
      <c r="TV31">
        <v>84.9</v>
      </c>
      <c r="TW31">
        <v>101.2</v>
      </c>
      <c r="TX31">
        <v>102.7</v>
      </c>
      <c r="TY31">
        <v>93.7</v>
      </c>
      <c r="UC31">
        <v>128.9</v>
      </c>
      <c r="UD31">
        <v>91.9</v>
      </c>
      <c r="UE31">
        <v>144.5</v>
      </c>
      <c r="UF31">
        <v>79.400000000000006</v>
      </c>
      <c r="UG31">
        <v>95.2</v>
      </c>
      <c r="UH31">
        <v>120.2</v>
      </c>
      <c r="UJ31">
        <v>89.4</v>
      </c>
      <c r="UL31">
        <v>97</v>
      </c>
      <c r="UM31">
        <v>107.2</v>
      </c>
      <c r="UN31">
        <v>84.1</v>
      </c>
      <c r="UO31">
        <v>88.8</v>
      </c>
      <c r="UP31">
        <v>77.900000000000006</v>
      </c>
      <c r="UQ31">
        <v>315.39999999999998</v>
      </c>
      <c r="UR31">
        <v>99.8</v>
      </c>
      <c r="US31">
        <v>79.599999999999994</v>
      </c>
      <c r="UT31">
        <v>82.4</v>
      </c>
      <c r="UW31">
        <v>75.5</v>
      </c>
      <c r="UY31">
        <v>71.599999999999994</v>
      </c>
      <c r="UZ31">
        <v>77.8</v>
      </c>
      <c r="VB31">
        <v>81.400000000000006</v>
      </c>
      <c r="VD31">
        <v>118.1</v>
      </c>
      <c r="VE31">
        <v>1436</v>
      </c>
      <c r="VL31">
        <v>1993.1</v>
      </c>
      <c r="VM31">
        <v>80.5</v>
      </c>
      <c r="VN31">
        <v>85.7</v>
      </c>
      <c r="VO31">
        <v>105.9</v>
      </c>
      <c r="VP31">
        <v>86.1</v>
      </c>
      <c r="VQ31">
        <v>100.9</v>
      </c>
      <c r="VR31">
        <v>73.3</v>
      </c>
      <c r="VT31">
        <v>114.5</v>
      </c>
      <c r="VU31">
        <v>143.6</v>
      </c>
      <c r="VV31">
        <v>72.900000000000006</v>
      </c>
      <c r="VW31">
        <v>108.9</v>
      </c>
      <c r="VX31">
        <v>74.900000000000006</v>
      </c>
      <c r="VY31">
        <v>140.6</v>
      </c>
      <c r="WB31">
        <v>170.7</v>
      </c>
      <c r="WE31">
        <v>119.1</v>
      </c>
      <c r="WF31">
        <v>87.1</v>
      </c>
      <c r="WG31">
        <v>99.2</v>
      </c>
      <c r="WH31">
        <v>91.2</v>
      </c>
      <c r="WI31">
        <v>87.7</v>
      </c>
      <c r="WJ31">
        <v>94.6</v>
      </c>
      <c r="WL31">
        <v>98.9</v>
      </c>
      <c r="WN31">
        <v>95.5</v>
      </c>
      <c r="WP31">
        <v>97</v>
      </c>
      <c r="WV31">
        <v>98.5</v>
      </c>
      <c r="WX31">
        <v>83.1</v>
      </c>
      <c r="WY31">
        <v>89.7</v>
      </c>
      <c r="XB31">
        <v>64.900000000000006</v>
      </c>
      <c r="XD31">
        <v>62.6</v>
      </c>
      <c r="XE31">
        <v>74.599999999999994</v>
      </c>
      <c r="XF31">
        <v>65.599999999999994</v>
      </c>
      <c r="XG31">
        <v>79</v>
      </c>
      <c r="XH31">
        <v>93.7</v>
      </c>
      <c r="XI31">
        <v>104.9</v>
      </c>
      <c r="XJ31">
        <v>104.9</v>
      </c>
      <c r="XM31">
        <v>80.7</v>
      </c>
      <c r="XP31">
        <v>86.2</v>
      </c>
      <c r="XR31">
        <v>78.3</v>
      </c>
      <c r="XT31">
        <v>90.1</v>
      </c>
      <c r="XU31">
        <v>101.3</v>
      </c>
      <c r="XV31">
        <v>99.6</v>
      </c>
      <c r="XW31">
        <v>103.1</v>
      </c>
      <c r="XZ31">
        <v>99.6</v>
      </c>
      <c r="YA31">
        <v>96.8</v>
      </c>
      <c r="YD31">
        <v>78.2</v>
      </c>
      <c r="YE31">
        <v>101.2</v>
      </c>
      <c r="YG31">
        <v>83.4</v>
      </c>
      <c r="YK31">
        <v>66.8</v>
      </c>
      <c r="YM31">
        <v>104.1</v>
      </c>
      <c r="YO31">
        <v>194.3</v>
      </c>
      <c r="YT31">
        <v>84.6</v>
      </c>
      <c r="YU31">
        <v>87.8</v>
      </c>
      <c r="YW31">
        <v>89.7</v>
      </c>
      <c r="YX31">
        <v>84.7</v>
      </c>
      <c r="YY31">
        <v>85.1</v>
      </c>
      <c r="ZB31">
        <v>110</v>
      </c>
      <c r="ZC31">
        <v>216.1</v>
      </c>
      <c r="ZD31">
        <v>376.7</v>
      </c>
      <c r="ZE31">
        <v>121.4</v>
      </c>
      <c r="ZF31">
        <v>111.2</v>
      </c>
      <c r="ZG31">
        <v>116</v>
      </c>
      <c r="ZK31">
        <v>99.2</v>
      </c>
      <c r="ZM31">
        <v>127.5</v>
      </c>
      <c r="ZN31">
        <v>103.9</v>
      </c>
      <c r="ZO31">
        <v>104.1</v>
      </c>
      <c r="ZP31">
        <v>110.7</v>
      </c>
      <c r="ZQ31">
        <v>103.7</v>
      </c>
      <c r="ZT31">
        <v>102.2</v>
      </c>
      <c r="ZU31">
        <v>93.1</v>
      </c>
      <c r="ZW31">
        <v>97.5</v>
      </c>
      <c r="ZY31">
        <v>91.4</v>
      </c>
      <c r="AAC31">
        <v>69.5</v>
      </c>
      <c r="AAD31">
        <v>68</v>
      </c>
      <c r="AAE31">
        <v>122.2</v>
      </c>
      <c r="AAG31">
        <v>55.9</v>
      </c>
      <c r="AAH31">
        <v>133.30000000000001</v>
      </c>
      <c r="AAI31">
        <v>69.8</v>
      </c>
      <c r="AAJ31">
        <v>49.5</v>
      </c>
      <c r="AAK31">
        <v>98.3</v>
      </c>
      <c r="AAL31">
        <v>94.5</v>
      </c>
      <c r="AAM31">
        <v>105.4</v>
      </c>
      <c r="AAN31">
        <v>83.8</v>
      </c>
      <c r="AAO31">
        <v>45.9</v>
      </c>
      <c r="AAP31">
        <v>44.8</v>
      </c>
      <c r="AAQ31">
        <v>48.7</v>
      </c>
      <c r="AAR31">
        <v>81.099999999999994</v>
      </c>
      <c r="AAX31">
        <v>71.8</v>
      </c>
      <c r="ABB31">
        <v>81.099999999999994</v>
      </c>
      <c r="ABC31">
        <v>78.2</v>
      </c>
      <c r="ABD31">
        <v>86.9</v>
      </c>
      <c r="ABE31">
        <v>76</v>
      </c>
      <c r="ABF31">
        <v>96.5</v>
      </c>
      <c r="ABG31">
        <v>88.9</v>
      </c>
      <c r="ABH31">
        <v>95.7</v>
      </c>
      <c r="ABI31">
        <v>94.9</v>
      </c>
      <c r="ABJ31">
        <v>102.3</v>
      </c>
      <c r="ABK31">
        <v>96.5</v>
      </c>
      <c r="ABL31">
        <v>83.7</v>
      </c>
      <c r="ABM31">
        <v>98</v>
      </c>
      <c r="ABN31">
        <v>101.1</v>
      </c>
      <c r="ABO31">
        <v>93.3</v>
      </c>
      <c r="ABP31">
        <v>114.8</v>
      </c>
    </row>
    <row r="32" spans="1:744">
      <c r="A32">
        <v>1995</v>
      </c>
      <c r="B32">
        <v>95.8</v>
      </c>
      <c r="C32">
        <v>86.4</v>
      </c>
      <c r="D32">
        <v>101.5</v>
      </c>
      <c r="E32">
        <v>118.5</v>
      </c>
      <c r="F32">
        <v>121.5</v>
      </c>
      <c r="G32">
        <v>120.2</v>
      </c>
      <c r="H32">
        <v>87.5</v>
      </c>
      <c r="I32">
        <v>87.8</v>
      </c>
      <c r="J32">
        <v>89.4</v>
      </c>
      <c r="L32">
        <v>89.7</v>
      </c>
      <c r="M32">
        <v>93.1</v>
      </c>
      <c r="N32">
        <v>84.1</v>
      </c>
      <c r="O32">
        <v>90.3</v>
      </c>
      <c r="P32">
        <v>84.9</v>
      </c>
      <c r="Q32">
        <v>98.7</v>
      </c>
      <c r="R32">
        <v>111.2</v>
      </c>
      <c r="S32">
        <v>74.8</v>
      </c>
      <c r="T32">
        <v>128.4</v>
      </c>
      <c r="V32">
        <v>76.2</v>
      </c>
      <c r="W32">
        <v>77.8</v>
      </c>
      <c r="X32">
        <v>98.2</v>
      </c>
      <c r="Y32">
        <v>106.9</v>
      </c>
      <c r="Z32">
        <v>72.400000000000006</v>
      </c>
      <c r="AA32">
        <v>89.8</v>
      </c>
      <c r="AB32">
        <v>61.2</v>
      </c>
      <c r="AC32">
        <v>82.2</v>
      </c>
      <c r="AD32">
        <v>52.1</v>
      </c>
      <c r="AE32">
        <v>95.1</v>
      </c>
      <c r="AF32">
        <v>81.099999999999994</v>
      </c>
      <c r="AG32">
        <v>56.9</v>
      </c>
      <c r="AH32">
        <v>63</v>
      </c>
      <c r="AI32">
        <v>89.7</v>
      </c>
      <c r="AJ32">
        <v>70</v>
      </c>
      <c r="AK32">
        <v>70.599999999999994</v>
      </c>
      <c r="AL32">
        <v>68.599999999999994</v>
      </c>
      <c r="AM32">
        <v>70.7</v>
      </c>
      <c r="AN32">
        <v>65.400000000000006</v>
      </c>
      <c r="AO32">
        <v>85.3</v>
      </c>
      <c r="AP32">
        <v>63.4</v>
      </c>
      <c r="AQ32">
        <v>76.8</v>
      </c>
      <c r="AR32">
        <v>91.2</v>
      </c>
      <c r="AS32">
        <v>76.099999999999994</v>
      </c>
      <c r="AU32">
        <v>90</v>
      </c>
      <c r="AV32">
        <v>84.1</v>
      </c>
      <c r="AW32">
        <v>95.4</v>
      </c>
      <c r="AX32">
        <v>91.6</v>
      </c>
      <c r="AY32">
        <v>68.3</v>
      </c>
      <c r="AZ32">
        <v>78.7</v>
      </c>
      <c r="BA32">
        <v>63.6</v>
      </c>
      <c r="BB32">
        <v>69.2</v>
      </c>
      <c r="BC32">
        <v>70.3</v>
      </c>
      <c r="BD32">
        <v>74.2</v>
      </c>
      <c r="BE32">
        <v>69.5</v>
      </c>
      <c r="BF32">
        <v>64.400000000000006</v>
      </c>
      <c r="BG32">
        <v>64.400000000000006</v>
      </c>
      <c r="BH32">
        <v>69.3</v>
      </c>
      <c r="BJ32">
        <v>74.3</v>
      </c>
      <c r="BK32">
        <v>96.2</v>
      </c>
      <c r="BL32">
        <v>105.8</v>
      </c>
      <c r="BM32">
        <v>94.9</v>
      </c>
      <c r="BN32">
        <v>78.7</v>
      </c>
      <c r="BP32">
        <v>87.7</v>
      </c>
      <c r="BQ32">
        <v>91.3</v>
      </c>
      <c r="BR32">
        <v>89</v>
      </c>
      <c r="BS32">
        <v>96.9</v>
      </c>
      <c r="BT32">
        <v>95.9</v>
      </c>
      <c r="BU32">
        <v>95</v>
      </c>
      <c r="BV32">
        <v>108.5</v>
      </c>
      <c r="BW32">
        <v>73.3</v>
      </c>
      <c r="BX32">
        <v>77.3</v>
      </c>
      <c r="BY32">
        <v>80.7</v>
      </c>
      <c r="BZ32">
        <v>76.099999999999994</v>
      </c>
      <c r="CA32">
        <v>76.099999999999994</v>
      </c>
      <c r="CB32">
        <v>84.5</v>
      </c>
      <c r="CC32">
        <v>83</v>
      </c>
      <c r="CD32">
        <v>87.9</v>
      </c>
      <c r="CE32">
        <v>62.6</v>
      </c>
      <c r="CF32">
        <v>75</v>
      </c>
      <c r="CG32">
        <v>76.099999999999994</v>
      </c>
      <c r="CH32">
        <v>102.2</v>
      </c>
      <c r="CI32">
        <v>98.3</v>
      </c>
      <c r="CJ32">
        <v>107.3</v>
      </c>
      <c r="CL32">
        <v>70.2</v>
      </c>
      <c r="CM32">
        <v>67.8</v>
      </c>
      <c r="CN32">
        <v>69.8</v>
      </c>
      <c r="CO32">
        <v>89.2</v>
      </c>
      <c r="CP32">
        <v>79.400000000000006</v>
      </c>
      <c r="CQ32">
        <v>70.599999999999994</v>
      </c>
      <c r="CR32">
        <v>85.3</v>
      </c>
      <c r="CS32">
        <v>62.7</v>
      </c>
      <c r="CT32">
        <v>85.2</v>
      </c>
      <c r="CW32">
        <v>68.099999999999994</v>
      </c>
      <c r="CX32">
        <v>67.599999999999994</v>
      </c>
      <c r="CY32">
        <v>75.7</v>
      </c>
      <c r="CZ32">
        <v>77</v>
      </c>
      <c r="DA32">
        <v>80.7</v>
      </c>
      <c r="DB32">
        <v>57.8</v>
      </c>
      <c r="DC32">
        <v>112.5</v>
      </c>
      <c r="DD32">
        <v>155.5</v>
      </c>
      <c r="DE32">
        <v>153.80000000000001</v>
      </c>
      <c r="DG32">
        <v>87.3</v>
      </c>
      <c r="DH32">
        <v>68.900000000000006</v>
      </c>
      <c r="DI32">
        <v>71.900000000000006</v>
      </c>
      <c r="DJ32">
        <v>83.1</v>
      </c>
      <c r="DK32">
        <v>55.9</v>
      </c>
      <c r="DL32">
        <v>64</v>
      </c>
      <c r="DN32">
        <v>103.7</v>
      </c>
      <c r="DO32">
        <v>97.7</v>
      </c>
      <c r="DP32">
        <v>97.5</v>
      </c>
      <c r="DQ32">
        <v>121.9</v>
      </c>
      <c r="DR32">
        <v>87.4</v>
      </c>
      <c r="DS32">
        <v>107.8</v>
      </c>
      <c r="DT32">
        <v>74.2</v>
      </c>
      <c r="DU32">
        <v>86.2</v>
      </c>
      <c r="DV32">
        <v>80.900000000000006</v>
      </c>
      <c r="DW32">
        <v>96.8</v>
      </c>
      <c r="DX32">
        <v>79</v>
      </c>
      <c r="DY32">
        <v>97.9</v>
      </c>
      <c r="DZ32">
        <v>74.599999999999994</v>
      </c>
      <c r="EA32">
        <v>73.599999999999994</v>
      </c>
      <c r="EB32">
        <v>77.099999999999994</v>
      </c>
      <c r="EC32">
        <v>67.900000000000006</v>
      </c>
      <c r="ED32">
        <v>74</v>
      </c>
      <c r="EF32">
        <v>70.2</v>
      </c>
      <c r="EG32">
        <v>78.7</v>
      </c>
      <c r="EH32">
        <v>67.7</v>
      </c>
      <c r="EI32">
        <v>94.6</v>
      </c>
      <c r="EJ32">
        <v>70.2</v>
      </c>
      <c r="EK32">
        <v>80.099999999999994</v>
      </c>
      <c r="EL32">
        <v>96.1</v>
      </c>
      <c r="EM32">
        <v>73.3</v>
      </c>
      <c r="EN32">
        <v>66.5</v>
      </c>
      <c r="EO32">
        <v>57.6</v>
      </c>
      <c r="ER32">
        <v>96.6</v>
      </c>
      <c r="ET32">
        <v>106.7</v>
      </c>
      <c r="EU32">
        <v>125.6</v>
      </c>
      <c r="EV32">
        <v>138.30000000000001</v>
      </c>
      <c r="EW32">
        <v>88.2</v>
      </c>
      <c r="EX32">
        <v>104.6</v>
      </c>
      <c r="EY32">
        <v>92.6</v>
      </c>
      <c r="EZ32">
        <v>107.2</v>
      </c>
      <c r="FA32">
        <v>108.8</v>
      </c>
      <c r="FB32">
        <v>104.8</v>
      </c>
      <c r="FC32">
        <v>101.4</v>
      </c>
      <c r="FD32">
        <v>122.5</v>
      </c>
      <c r="FE32">
        <v>142.6</v>
      </c>
      <c r="FF32">
        <v>112.6</v>
      </c>
      <c r="FI32">
        <v>98</v>
      </c>
      <c r="FJ32">
        <v>86.8</v>
      </c>
      <c r="FK32">
        <v>110.1</v>
      </c>
      <c r="FL32">
        <v>96.5</v>
      </c>
      <c r="FM32">
        <v>100.2</v>
      </c>
      <c r="FQ32">
        <v>80.099999999999994</v>
      </c>
      <c r="FR32">
        <v>73</v>
      </c>
      <c r="FS32">
        <v>80.8</v>
      </c>
      <c r="FU32">
        <v>88.8</v>
      </c>
      <c r="FV32">
        <v>67.599999999999994</v>
      </c>
      <c r="FW32">
        <v>115.3</v>
      </c>
      <c r="FX32">
        <v>85.7</v>
      </c>
      <c r="FY32">
        <v>87.2</v>
      </c>
      <c r="GA32">
        <v>97.8</v>
      </c>
      <c r="GB32">
        <v>68.3</v>
      </c>
      <c r="GC32">
        <v>83.9</v>
      </c>
      <c r="GD32">
        <v>76.3</v>
      </c>
      <c r="GE32">
        <v>91</v>
      </c>
      <c r="GF32">
        <v>85.7</v>
      </c>
      <c r="GG32">
        <v>85.4</v>
      </c>
      <c r="GH32">
        <v>96.4</v>
      </c>
      <c r="GI32">
        <v>84.2</v>
      </c>
      <c r="GJ32">
        <v>86.8</v>
      </c>
      <c r="GM32">
        <v>82</v>
      </c>
      <c r="GP32">
        <v>79.8</v>
      </c>
      <c r="GU32">
        <v>82.4</v>
      </c>
      <c r="GV32">
        <v>50.6</v>
      </c>
      <c r="GW32">
        <v>74.3</v>
      </c>
      <c r="GX32">
        <v>85.8</v>
      </c>
      <c r="GY32">
        <v>80.900000000000006</v>
      </c>
      <c r="HA32">
        <v>104</v>
      </c>
      <c r="HD32">
        <v>94.1</v>
      </c>
      <c r="HG32">
        <v>109.2</v>
      </c>
      <c r="HH32">
        <v>119.3</v>
      </c>
      <c r="HO32">
        <v>115.6</v>
      </c>
      <c r="HP32">
        <v>116.2</v>
      </c>
      <c r="HQ32">
        <v>94.5</v>
      </c>
      <c r="HR32">
        <v>107.4</v>
      </c>
      <c r="HS32">
        <v>159.80000000000001</v>
      </c>
      <c r="HT32">
        <v>114.7</v>
      </c>
      <c r="HU32">
        <v>103</v>
      </c>
      <c r="HV32">
        <v>117.4</v>
      </c>
      <c r="HY32">
        <v>116.2</v>
      </c>
      <c r="HZ32">
        <v>99.3</v>
      </c>
      <c r="IA32">
        <v>125.7</v>
      </c>
      <c r="IB32">
        <v>102.9</v>
      </c>
      <c r="IC32">
        <v>133.1</v>
      </c>
      <c r="IE32">
        <v>83.3</v>
      </c>
      <c r="IH32">
        <v>126.4</v>
      </c>
      <c r="IJ32">
        <v>104.7</v>
      </c>
      <c r="IK32">
        <v>121.1</v>
      </c>
      <c r="IL32">
        <v>84.7</v>
      </c>
      <c r="IM32">
        <v>103.8</v>
      </c>
      <c r="IO32">
        <v>123.6</v>
      </c>
      <c r="IP32">
        <v>120.5</v>
      </c>
      <c r="IQ32">
        <v>98.5</v>
      </c>
      <c r="IT32">
        <v>84</v>
      </c>
      <c r="IU32">
        <v>84</v>
      </c>
      <c r="IV32">
        <v>78.099999999999994</v>
      </c>
      <c r="IX32">
        <v>79</v>
      </c>
      <c r="IY32">
        <v>85.8</v>
      </c>
      <c r="JA32">
        <v>81.599999999999994</v>
      </c>
      <c r="JB32">
        <v>84.5</v>
      </c>
      <c r="JC32">
        <v>81.900000000000006</v>
      </c>
      <c r="JE32">
        <v>87.6</v>
      </c>
      <c r="JH32">
        <v>88.5</v>
      </c>
      <c r="JI32">
        <v>86.6</v>
      </c>
      <c r="JK32">
        <v>105.5</v>
      </c>
      <c r="JL32">
        <v>84.3</v>
      </c>
      <c r="JM32">
        <v>103</v>
      </c>
      <c r="JO32">
        <v>84.7</v>
      </c>
      <c r="JQ32">
        <v>84.1</v>
      </c>
      <c r="JS32">
        <v>85.1</v>
      </c>
      <c r="JT32">
        <v>85.2</v>
      </c>
      <c r="JU32">
        <v>85</v>
      </c>
      <c r="JV32">
        <v>98.2</v>
      </c>
      <c r="JW32">
        <v>99.5</v>
      </c>
      <c r="JX32">
        <v>104.8</v>
      </c>
      <c r="JY32">
        <v>104.8</v>
      </c>
      <c r="JZ32">
        <v>100.1</v>
      </c>
      <c r="KA32">
        <v>105.5</v>
      </c>
      <c r="KB32">
        <v>93.9</v>
      </c>
      <c r="KC32">
        <v>98.2</v>
      </c>
      <c r="KD32">
        <v>98.2</v>
      </c>
      <c r="KE32">
        <v>90.4</v>
      </c>
      <c r="KF32">
        <v>111.9</v>
      </c>
      <c r="KG32">
        <v>101.7</v>
      </c>
      <c r="KL32">
        <v>73.599999999999994</v>
      </c>
      <c r="KM32">
        <v>84.9</v>
      </c>
      <c r="KN32">
        <v>85.1</v>
      </c>
      <c r="KO32">
        <v>65.099999999999994</v>
      </c>
      <c r="KP32">
        <v>80.900000000000006</v>
      </c>
      <c r="KS32">
        <v>84.1</v>
      </c>
      <c r="KT32">
        <v>77.599999999999994</v>
      </c>
      <c r="KU32">
        <v>97.7</v>
      </c>
      <c r="KX32">
        <v>91.1</v>
      </c>
      <c r="KY32">
        <v>79.8</v>
      </c>
      <c r="KZ32">
        <v>91.1</v>
      </c>
      <c r="LA32">
        <v>91.1</v>
      </c>
      <c r="LB32">
        <v>77</v>
      </c>
      <c r="LC32">
        <v>87.4</v>
      </c>
      <c r="LD32">
        <v>65.099999999999994</v>
      </c>
      <c r="LE32">
        <v>53</v>
      </c>
      <c r="LF32">
        <v>53</v>
      </c>
      <c r="LG32">
        <v>75.5</v>
      </c>
      <c r="LH32">
        <v>80.5</v>
      </c>
      <c r="LI32">
        <v>66.8</v>
      </c>
      <c r="LJ32">
        <v>146.9</v>
      </c>
      <c r="LK32">
        <v>305.60000000000002</v>
      </c>
      <c r="LL32">
        <v>647.29999999999995</v>
      </c>
      <c r="LM32">
        <v>993.6</v>
      </c>
      <c r="LN32">
        <v>306.7</v>
      </c>
      <c r="LO32">
        <v>187.9</v>
      </c>
      <c r="LP32">
        <v>1602.3</v>
      </c>
      <c r="LQ32">
        <v>671.6</v>
      </c>
      <c r="LR32">
        <v>772.6</v>
      </c>
      <c r="LT32">
        <v>240</v>
      </c>
      <c r="LU32">
        <v>308</v>
      </c>
      <c r="LV32">
        <v>179.9</v>
      </c>
      <c r="LX32">
        <v>97.2</v>
      </c>
      <c r="LY32">
        <v>87.5</v>
      </c>
      <c r="MA32">
        <v>103.2</v>
      </c>
      <c r="MB32">
        <v>152</v>
      </c>
      <c r="MC32">
        <v>410.9</v>
      </c>
      <c r="MD32">
        <v>138.80000000000001</v>
      </c>
      <c r="ME32">
        <v>111.7</v>
      </c>
      <c r="MG32">
        <v>112.6</v>
      </c>
      <c r="MH32">
        <v>96.3</v>
      </c>
      <c r="MI32">
        <v>123</v>
      </c>
      <c r="MJ32">
        <v>97.9</v>
      </c>
      <c r="MK32">
        <v>120.9</v>
      </c>
      <c r="MM32">
        <v>90.4</v>
      </c>
      <c r="MN32">
        <v>83.4</v>
      </c>
      <c r="MO32">
        <v>80.400000000000006</v>
      </c>
      <c r="MP32">
        <v>85.6</v>
      </c>
      <c r="MQ32">
        <v>82.9</v>
      </c>
      <c r="MS32">
        <v>90.7</v>
      </c>
      <c r="MU32">
        <v>81.900000000000006</v>
      </c>
      <c r="MV32">
        <v>102.4</v>
      </c>
      <c r="MW32">
        <v>86.3</v>
      </c>
      <c r="MX32">
        <v>86.2</v>
      </c>
      <c r="NB32">
        <v>121</v>
      </c>
      <c r="NC32">
        <v>106.1</v>
      </c>
      <c r="ND32">
        <v>118.9</v>
      </c>
      <c r="NE32">
        <v>97.8</v>
      </c>
      <c r="NF32">
        <v>154.30000000000001</v>
      </c>
      <c r="NG32">
        <v>140.19999999999999</v>
      </c>
      <c r="NH32">
        <v>167</v>
      </c>
      <c r="NI32">
        <v>109.1</v>
      </c>
      <c r="NJ32">
        <v>115.2</v>
      </c>
      <c r="NL32">
        <v>97.3</v>
      </c>
      <c r="NM32">
        <v>152.69999999999999</v>
      </c>
      <c r="NN32">
        <v>107</v>
      </c>
      <c r="NQ32">
        <v>84.8</v>
      </c>
      <c r="NR32">
        <v>84</v>
      </c>
      <c r="NS32">
        <v>84</v>
      </c>
      <c r="NT32">
        <v>82.4</v>
      </c>
      <c r="NW32">
        <v>93.7</v>
      </c>
      <c r="NX32">
        <v>93.7</v>
      </c>
      <c r="NY32">
        <v>94.8</v>
      </c>
      <c r="NZ32">
        <v>98.5</v>
      </c>
      <c r="OA32">
        <v>104</v>
      </c>
      <c r="OB32">
        <v>107.2</v>
      </c>
      <c r="OC32">
        <v>95.8</v>
      </c>
      <c r="OD32">
        <v>97.8</v>
      </c>
      <c r="OE32">
        <v>86.6</v>
      </c>
      <c r="OF32">
        <v>74.5</v>
      </c>
      <c r="OH32">
        <v>84.2</v>
      </c>
      <c r="OJ32">
        <v>80</v>
      </c>
      <c r="OK32">
        <v>88.2</v>
      </c>
      <c r="OL32">
        <v>81.7</v>
      </c>
      <c r="OM32">
        <v>92.1</v>
      </c>
      <c r="ON32">
        <v>105</v>
      </c>
      <c r="OO32">
        <v>81.599999999999994</v>
      </c>
      <c r="OP32">
        <v>92.1</v>
      </c>
      <c r="OQ32">
        <v>95.3</v>
      </c>
      <c r="OS32">
        <v>84.3</v>
      </c>
      <c r="OU32">
        <v>87.1</v>
      </c>
      <c r="OV32">
        <v>92.3</v>
      </c>
      <c r="OW32">
        <v>96.1</v>
      </c>
      <c r="OX32">
        <v>86.1</v>
      </c>
      <c r="OY32">
        <v>76.3</v>
      </c>
      <c r="OZ32">
        <v>74.599999999999994</v>
      </c>
      <c r="PA32">
        <v>119.6</v>
      </c>
      <c r="PB32">
        <v>113.8</v>
      </c>
      <c r="PC32">
        <v>82.2</v>
      </c>
      <c r="PD32">
        <v>181</v>
      </c>
      <c r="PG32">
        <v>105.9</v>
      </c>
      <c r="PH32">
        <v>94</v>
      </c>
      <c r="PI32">
        <v>98.1</v>
      </c>
      <c r="PJ32">
        <v>93</v>
      </c>
      <c r="PK32">
        <v>111.4</v>
      </c>
      <c r="PL32">
        <v>86.5</v>
      </c>
      <c r="PM32">
        <v>89.2</v>
      </c>
      <c r="PN32">
        <v>91.8</v>
      </c>
      <c r="PO32">
        <v>100.6</v>
      </c>
      <c r="PP32">
        <v>103.5</v>
      </c>
      <c r="PQ32">
        <v>114.2</v>
      </c>
      <c r="PR32">
        <v>105.8</v>
      </c>
      <c r="PS32">
        <v>90.8</v>
      </c>
      <c r="PT32">
        <v>96.6</v>
      </c>
      <c r="PU32">
        <v>97.3</v>
      </c>
      <c r="PV32">
        <v>103.4</v>
      </c>
      <c r="PW32">
        <v>106.5</v>
      </c>
      <c r="PX32">
        <v>97.6</v>
      </c>
      <c r="PY32">
        <v>84.6</v>
      </c>
      <c r="PZ32">
        <v>87</v>
      </c>
      <c r="QA32">
        <v>87.9</v>
      </c>
      <c r="QB32">
        <v>76.099999999999994</v>
      </c>
      <c r="QC32">
        <v>106.3</v>
      </c>
      <c r="QD32">
        <v>84.3</v>
      </c>
      <c r="QE32">
        <v>90.2</v>
      </c>
      <c r="QF32">
        <v>73.099999999999994</v>
      </c>
      <c r="QG32">
        <v>99.4</v>
      </c>
      <c r="QH32">
        <v>78.900000000000006</v>
      </c>
      <c r="QI32">
        <v>78.900000000000006</v>
      </c>
      <c r="QJ32">
        <v>88.5</v>
      </c>
      <c r="QK32">
        <v>94.3</v>
      </c>
      <c r="QL32">
        <v>93.8</v>
      </c>
      <c r="QM32">
        <v>89.5</v>
      </c>
      <c r="QN32">
        <v>80.2</v>
      </c>
      <c r="QO32">
        <v>82.2</v>
      </c>
      <c r="QQ32">
        <v>101.3</v>
      </c>
      <c r="QR32">
        <v>98.1</v>
      </c>
      <c r="QS32">
        <v>157.69999999999999</v>
      </c>
      <c r="QU32">
        <v>100.1</v>
      </c>
      <c r="QV32">
        <v>96.9</v>
      </c>
      <c r="QW32">
        <v>101</v>
      </c>
      <c r="QX32">
        <v>102.6</v>
      </c>
      <c r="QY32">
        <v>81</v>
      </c>
      <c r="QZ32">
        <v>84.5</v>
      </c>
      <c r="RA32">
        <v>79</v>
      </c>
      <c r="RB32">
        <v>73</v>
      </c>
      <c r="RD32">
        <v>85.4</v>
      </c>
      <c r="RE32">
        <v>110.1</v>
      </c>
      <c r="RF32">
        <v>117.7</v>
      </c>
      <c r="RG32">
        <v>124.6</v>
      </c>
      <c r="RH32">
        <v>122.7</v>
      </c>
      <c r="RI32">
        <v>92.6</v>
      </c>
      <c r="RJ32">
        <v>127.9</v>
      </c>
      <c r="RK32">
        <v>100.3</v>
      </c>
      <c r="RL32">
        <v>107.2</v>
      </c>
      <c r="RM32">
        <v>100</v>
      </c>
      <c r="RO32">
        <v>113.7</v>
      </c>
      <c r="RS32">
        <v>128.69999999999999</v>
      </c>
      <c r="RT32">
        <v>189.2</v>
      </c>
      <c r="RV32">
        <v>118.6</v>
      </c>
      <c r="RW32">
        <v>152.5</v>
      </c>
      <c r="RX32">
        <v>151.80000000000001</v>
      </c>
      <c r="SA32">
        <v>108.4</v>
      </c>
      <c r="SB32">
        <v>117.1</v>
      </c>
      <c r="SC32">
        <v>145</v>
      </c>
      <c r="SF32">
        <v>64.3</v>
      </c>
      <c r="SG32">
        <v>64</v>
      </c>
      <c r="SH32">
        <v>90.8</v>
      </c>
      <c r="SK32">
        <v>102.9</v>
      </c>
      <c r="SL32">
        <v>86.1</v>
      </c>
      <c r="SM32">
        <v>93</v>
      </c>
      <c r="SN32">
        <v>92.1</v>
      </c>
      <c r="SO32">
        <v>96</v>
      </c>
      <c r="SP32">
        <v>97.1</v>
      </c>
      <c r="SQ32">
        <v>91.7</v>
      </c>
      <c r="SR32">
        <v>92.6</v>
      </c>
      <c r="SS32">
        <v>87.3</v>
      </c>
      <c r="ST32">
        <v>87.8</v>
      </c>
      <c r="SU32">
        <v>86.1</v>
      </c>
      <c r="SV32">
        <v>86.6</v>
      </c>
      <c r="SX32">
        <v>89</v>
      </c>
      <c r="SZ32">
        <v>79.8</v>
      </c>
      <c r="TA32">
        <v>88.3</v>
      </c>
      <c r="TB32">
        <v>71.7</v>
      </c>
      <c r="TE32">
        <v>94.7</v>
      </c>
      <c r="TF32">
        <v>96</v>
      </c>
      <c r="TG32">
        <v>100.3</v>
      </c>
      <c r="TH32">
        <v>94.8</v>
      </c>
      <c r="TI32">
        <v>93.4</v>
      </c>
      <c r="TJ32">
        <v>97.3</v>
      </c>
      <c r="TK32">
        <v>87.6</v>
      </c>
      <c r="TL32">
        <v>84.6</v>
      </c>
      <c r="TN32">
        <v>94.6</v>
      </c>
      <c r="TO32">
        <v>82.3</v>
      </c>
      <c r="TP32">
        <v>92</v>
      </c>
      <c r="TT32">
        <v>101.3</v>
      </c>
      <c r="TU32">
        <v>83.7</v>
      </c>
      <c r="TV32">
        <v>84.8</v>
      </c>
      <c r="TW32">
        <v>102.2</v>
      </c>
      <c r="TX32">
        <v>103.8</v>
      </c>
      <c r="TY32">
        <v>93.7</v>
      </c>
      <c r="UC32">
        <v>128.9</v>
      </c>
      <c r="UD32">
        <v>91.9</v>
      </c>
      <c r="UE32">
        <v>149.4</v>
      </c>
      <c r="UF32">
        <v>79.400000000000006</v>
      </c>
      <c r="UG32">
        <v>95.2</v>
      </c>
      <c r="UH32">
        <v>125.4</v>
      </c>
      <c r="UJ32">
        <v>89.4</v>
      </c>
      <c r="UL32">
        <v>99.8</v>
      </c>
      <c r="UM32">
        <v>110.4</v>
      </c>
      <c r="UN32">
        <v>86.2</v>
      </c>
      <c r="UO32">
        <v>91</v>
      </c>
      <c r="UP32">
        <v>79.7</v>
      </c>
      <c r="UQ32">
        <v>319.10000000000002</v>
      </c>
      <c r="UR32">
        <v>103.3</v>
      </c>
      <c r="US32">
        <v>82.8</v>
      </c>
      <c r="UT32">
        <v>85.3</v>
      </c>
      <c r="UU32">
        <v>91.5</v>
      </c>
      <c r="UW32">
        <v>75.599999999999994</v>
      </c>
      <c r="UX32">
        <v>83.7</v>
      </c>
      <c r="UY32">
        <v>71.599999999999994</v>
      </c>
      <c r="UZ32">
        <v>80.3</v>
      </c>
      <c r="VB32">
        <v>84</v>
      </c>
      <c r="VD32">
        <v>116.7</v>
      </c>
      <c r="VE32">
        <v>1284.8</v>
      </c>
      <c r="VL32">
        <v>1851.8</v>
      </c>
      <c r="VM32">
        <v>80.5</v>
      </c>
      <c r="VN32">
        <v>85.2</v>
      </c>
      <c r="VO32">
        <v>104.2</v>
      </c>
      <c r="VP32">
        <v>86.5</v>
      </c>
      <c r="VQ32">
        <v>101.2</v>
      </c>
      <c r="VR32">
        <v>73.599999999999994</v>
      </c>
      <c r="VT32">
        <v>112.5</v>
      </c>
      <c r="VU32">
        <v>143.1</v>
      </c>
      <c r="VV32">
        <v>73.400000000000006</v>
      </c>
      <c r="VW32">
        <v>111.1</v>
      </c>
      <c r="VX32">
        <v>73.400000000000006</v>
      </c>
      <c r="VY32">
        <v>136.30000000000001</v>
      </c>
      <c r="WB32">
        <v>166.9</v>
      </c>
      <c r="WC32">
        <v>1005</v>
      </c>
      <c r="WE32">
        <v>112.1</v>
      </c>
      <c r="WF32">
        <v>87.1</v>
      </c>
      <c r="WG32">
        <v>98.9</v>
      </c>
      <c r="WH32">
        <v>86.6</v>
      </c>
      <c r="WI32">
        <v>85.7</v>
      </c>
      <c r="WJ32">
        <v>88</v>
      </c>
      <c r="WK32">
        <v>84.6</v>
      </c>
      <c r="WL32">
        <v>98.5</v>
      </c>
      <c r="WN32">
        <v>95.3</v>
      </c>
      <c r="WP32">
        <v>95.4</v>
      </c>
      <c r="WQ32">
        <v>90.8</v>
      </c>
      <c r="WV32">
        <v>97.8</v>
      </c>
      <c r="WX32">
        <v>83.8</v>
      </c>
      <c r="WY32">
        <v>89.8</v>
      </c>
      <c r="WZ32">
        <v>89</v>
      </c>
      <c r="XA32">
        <v>90.3</v>
      </c>
      <c r="XB32">
        <v>66</v>
      </c>
      <c r="XD32">
        <v>63.2</v>
      </c>
      <c r="XE32">
        <v>76.599999999999994</v>
      </c>
      <c r="XF32">
        <v>66.7</v>
      </c>
      <c r="XG32">
        <v>82</v>
      </c>
      <c r="XH32">
        <v>93.6</v>
      </c>
      <c r="XI32">
        <v>103.4</v>
      </c>
      <c r="XJ32">
        <v>103.4</v>
      </c>
      <c r="XM32">
        <v>81.8</v>
      </c>
      <c r="XP32">
        <v>87</v>
      </c>
      <c r="XR32">
        <v>78.7</v>
      </c>
      <c r="XT32">
        <v>93</v>
      </c>
      <c r="XU32">
        <v>101.3</v>
      </c>
      <c r="XV32">
        <v>99.6</v>
      </c>
      <c r="XW32">
        <v>103.1</v>
      </c>
      <c r="XZ32">
        <v>99.7</v>
      </c>
      <c r="YA32">
        <v>96.9</v>
      </c>
      <c r="YC32">
        <v>78.5</v>
      </c>
      <c r="YD32">
        <v>83.6</v>
      </c>
      <c r="YE32">
        <v>100.9</v>
      </c>
      <c r="YF32">
        <v>148.6</v>
      </c>
      <c r="YG32">
        <v>84</v>
      </c>
      <c r="YJ32">
        <v>82.9</v>
      </c>
      <c r="YK32">
        <v>66.2</v>
      </c>
      <c r="YL32">
        <v>92.8</v>
      </c>
      <c r="YM32">
        <v>101.7</v>
      </c>
      <c r="YO32">
        <v>192.8</v>
      </c>
      <c r="YT32">
        <v>84.8</v>
      </c>
      <c r="YU32">
        <v>89.4</v>
      </c>
      <c r="YW32">
        <v>91.9</v>
      </c>
      <c r="YX32">
        <v>85.9</v>
      </c>
      <c r="YY32">
        <v>86.1</v>
      </c>
      <c r="ZB32">
        <v>109.7</v>
      </c>
      <c r="ZC32">
        <v>213.5</v>
      </c>
      <c r="ZD32">
        <v>375.9</v>
      </c>
      <c r="ZE32">
        <v>118.6</v>
      </c>
      <c r="ZF32">
        <v>110.8</v>
      </c>
      <c r="ZG32">
        <v>116.1</v>
      </c>
      <c r="ZK32">
        <v>99</v>
      </c>
      <c r="ZL32">
        <v>102.6</v>
      </c>
      <c r="ZM32">
        <v>125.2</v>
      </c>
      <c r="ZN32">
        <v>103.6</v>
      </c>
      <c r="ZO32">
        <v>103.7</v>
      </c>
      <c r="ZP32">
        <v>110.6</v>
      </c>
      <c r="ZQ32">
        <v>101.6</v>
      </c>
      <c r="ZT32">
        <v>102.2</v>
      </c>
      <c r="ZU32">
        <v>93.6</v>
      </c>
      <c r="ZW32">
        <v>97.4</v>
      </c>
      <c r="ZY32">
        <v>93.5</v>
      </c>
      <c r="AAC32">
        <v>69</v>
      </c>
      <c r="AAD32">
        <v>67.2</v>
      </c>
      <c r="AAE32">
        <v>120.5</v>
      </c>
      <c r="AAG32">
        <v>55.7</v>
      </c>
      <c r="AAH32">
        <v>132.6</v>
      </c>
      <c r="AAI32">
        <v>69.2</v>
      </c>
      <c r="AAJ32">
        <v>48.9</v>
      </c>
      <c r="AAK32">
        <v>97.9</v>
      </c>
      <c r="AAL32">
        <v>95.2</v>
      </c>
      <c r="AAM32">
        <v>104.6</v>
      </c>
      <c r="AAN32">
        <v>86.6</v>
      </c>
      <c r="AAO32">
        <v>45.9</v>
      </c>
      <c r="AAP32">
        <v>44.8</v>
      </c>
      <c r="AAQ32">
        <v>48.7</v>
      </c>
      <c r="AAR32">
        <v>83</v>
      </c>
      <c r="AAX32">
        <v>73.099999999999994</v>
      </c>
      <c r="ABB32">
        <v>78.900000000000006</v>
      </c>
      <c r="ABC32">
        <v>77.8</v>
      </c>
      <c r="ABD32">
        <v>83</v>
      </c>
      <c r="ABE32">
        <v>73.599999999999994</v>
      </c>
      <c r="ABF32">
        <v>96.5</v>
      </c>
      <c r="ABG32">
        <v>87.9</v>
      </c>
      <c r="ABH32">
        <v>95.4</v>
      </c>
      <c r="ABI32">
        <v>96.9</v>
      </c>
      <c r="ABJ32">
        <v>104</v>
      </c>
      <c r="ABK32">
        <v>96.1</v>
      </c>
      <c r="ABL32">
        <v>81.599999999999994</v>
      </c>
      <c r="ABM32">
        <v>98.2</v>
      </c>
      <c r="ABN32">
        <v>101.7</v>
      </c>
      <c r="ABO32">
        <v>95.6</v>
      </c>
      <c r="ABP32">
        <v>113.9</v>
      </c>
    </row>
    <row r="33" spans="1:745">
      <c r="A33">
        <v>1996</v>
      </c>
      <c r="B33">
        <v>96.2</v>
      </c>
      <c r="C33">
        <v>86.8</v>
      </c>
      <c r="D33">
        <v>100.8</v>
      </c>
      <c r="E33">
        <v>116.6</v>
      </c>
      <c r="F33">
        <v>120.4</v>
      </c>
      <c r="G33">
        <v>117.5</v>
      </c>
      <c r="H33">
        <v>87.6</v>
      </c>
      <c r="I33">
        <v>87.8</v>
      </c>
      <c r="J33">
        <v>90</v>
      </c>
      <c r="L33">
        <v>89.9</v>
      </c>
      <c r="M33">
        <v>94.5</v>
      </c>
      <c r="N33">
        <v>84.8</v>
      </c>
      <c r="O33">
        <v>89.7</v>
      </c>
      <c r="P33">
        <v>84.9</v>
      </c>
      <c r="Q33">
        <v>98.6</v>
      </c>
      <c r="R33">
        <v>109.4</v>
      </c>
      <c r="S33">
        <v>74.400000000000006</v>
      </c>
      <c r="T33">
        <v>126.1</v>
      </c>
      <c r="V33">
        <v>78</v>
      </c>
      <c r="W33">
        <v>80.900000000000006</v>
      </c>
      <c r="X33">
        <v>99.4</v>
      </c>
      <c r="Y33">
        <v>107.6</v>
      </c>
      <c r="Z33">
        <v>89.2</v>
      </c>
      <c r="AA33">
        <v>103.7</v>
      </c>
      <c r="AB33">
        <v>62.6</v>
      </c>
      <c r="AC33">
        <v>85.7</v>
      </c>
      <c r="AD33">
        <v>73.599999999999994</v>
      </c>
      <c r="AE33">
        <v>93.9</v>
      </c>
      <c r="AF33">
        <v>92.7</v>
      </c>
      <c r="AG33">
        <v>55.6</v>
      </c>
      <c r="AH33">
        <v>69</v>
      </c>
      <c r="AI33">
        <v>89.9</v>
      </c>
      <c r="AJ33">
        <v>70.7</v>
      </c>
      <c r="AK33">
        <v>74.3</v>
      </c>
      <c r="AL33">
        <v>65.400000000000006</v>
      </c>
      <c r="AM33">
        <v>70</v>
      </c>
      <c r="AN33">
        <v>62.6</v>
      </c>
      <c r="AO33">
        <v>83.2</v>
      </c>
      <c r="AP33">
        <v>63.3</v>
      </c>
      <c r="AQ33">
        <v>80.599999999999994</v>
      </c>
      <c r="AR33">
        <v>94.1</v>
      </c>
      <c r="AS33">
        <v>74.8</v>
      </c>
      <c r="AU33">
        <v>89.1</v>
      </c>
      <c r="AV33">
        <v>83.8</v>
      </c>
      <c r="AW33">
        <v>93.5</v>
      </c>
      <c r="AX33">
        <v>91</v>
      </c>
      <c r="AY33">
        <v>69.2</v>
      </c>
      <c r="AZ33">
        <v>79</v>
      </c>
      <c r="BA33">
        <v>65.099999999999994</v>
      </c>
      <c r="BB33">
        <v>71.400000000000006</v>
      </c>
      <c r="BC33">
        <v>70.099999999999994</v>
      </c>
      <c r="BD33">
        <v>75.400000000000006</v>
      </c>
      <c r="BE33">
        <v>71</v>
      </c>
      <c r="BF33">
        <v>64.900000000000006</v>
      </c>
      <c r="BG33">
        <v>66.5</v>
      </c>
      <c r="BH33">
        <v>70.8</v>
      </c>
      <c r="BJ33">
        <v>75.8</v>
      </c>
      <c r="BK33">
        <v>96.5</v>
      </c>
      <c r="BL33">
        <v>105.5</v>
      </c>
      <c r="BM33">
        <v>95.7</v>
      </c>
      <c r="BN33">
        <v>79.599999999999994</v>
      </c>
      <c r="BP33">
        <v>87.6</v>
      </c>
      <c r="BQ33">
        <v>90.2</v>
      </c>
      <c r="BR33">
        <v>88.4</v>
      </c>
      <c r="BS33">
        <v>96</v>
      </c>
      <c r="BT33">
        <v>93.7</v>
      </c>
      <c r="BU33">
        <v>94.9</v>
      </c>
      <c r="BV33">
        <v>105.7</v>
      </c>
      <c r="BW33">
        <v>73.3</v>
      </c>
      <c r="BX33">
        <v>73.2</v>
      </c>
      <c r="BY33">
        <v>80.099999999999994</v>
      </c>
      <c r="BZ33">
        <v>79.3</v>
      </c>
      <c r="CA33">
        <v>79.3</v>
      </c>
      <c r="CB33">
        <v>83.2</v>
      </c>
      <c r="CC33">
        <v>81.099999999999994</v>
      </c>
      <c r="CD33">
        <v>76.3</v>
      </c>
      <c r="CE33">
        <v>58.2</v>
      </c>
      <c r="CF33">
        <v>70.2</v>
      </c>
      <c r="CG33">
        <v>74.5</v>
      </c>
      <c r="CH33">
        <v>88.9</v>
      </c>
      <c r="CI33">
        <v>98.4</v>
      </c>
      <c r="CJ33">
        <v>107.7</v>
      </c>
      <c r="CL33">
        <v>79.400000000000006</v>
      </c>
      <c r="CM33">
        <v>70</v>
      </c>
      <c r="CN33">
        <v>70.099999999999994</v>
      </c>
      <c r="CO33">
        <v>85.1</v>
      </c>
      <c r="CP33">
        <v>72.3</v>
      </c>
      <c r="CQ33">
        <v>69.5</v>
      </c>
      <c r="CR33">
        <v>76.900000000000006</v>
      </c>
      <c r="CS33">
        <v>73.099999999999994</v>
      </c>
      <c r="CT33">
        <v>86.2</v>
      </c>
      <c r="CW33">
        <v>68.400000000000006</v>
      </c>
      <c r="CX33">
        <v>71.599999999999994</v>
      </c>
      <c r="CY33">
        <v>74.2</v>
      </c>
      <c r="CZ33">
        <v>78.900000000000006</v>
      </c>
      <c r="DA33">
        <v>78.3</v>
      </c>
      <c r="DB33">
        <v>64.8</v>
      </c>
      <c r="DC33">
        <v>115.2</v>
      </c>
      <c r="DD33">
        <v>153.4</v>
      </c>
      <c r="DE33">
        <v>157.9</v>
      </c>
      <c r="DG33">
        <v>87.1</v>
      </c>
      <c r="DH33">
        <v>68.400000000000006</v>
      </c>
      <c r="DI33">
        <v>69.8</v>
      </c>
      <c r="DJ33">
        <v>82.9</v>
      </c>
      <c r="DK33">
        <v>55.4</v>
      </c>
      <c r="DL33">
        <v>65.099999999999994</v>
      </c>
      <c r="DN33">
        <v>103.6</v>
      </c>
      <c r="DO33">
        <v>97.3</v>
      </c>
      <c r="DP33">
        <v>97.2</v>
      </c>
      <c r="DQ33">
        <v>123.4</v>
      </c>
      <c r="DR33">
        <v>87.5</v>
      </c>
      <c r="DS33">
        <v>107.6</v>
      </c>
      <c r="DT33">
        <v>74.099999999999994</v>
      </c>
      <c r="DU33">
        <v>87.4</v>
      </c>
      <c r="DV33">
        <v>80.7</v>
      </c>
      <c r="DW33">
        <v>97.4</v>
      </c>
      <c r="DX33">
        <v>79</v>
      </c>
      <c r="DY33">
        <v>97</v>
      </c>
      <c r="DZ33">
        <v>78.7</v>
      </c>
      <c r="EA33">
        <v>77.900000000000006</v>
      </c>
      <c r="EB33">
        <v>82.3</v>
      </c>
      <c r="EC33">
        <v>81</v>
      </c>
      <c r="ED33">
        <v>78.900000000000006</v>
      </c>
      <c r="EF33">
        <v>66</v>
      </c>
      <c r="EG33">
        <v>74.900000000000006</v>
      </c>
      <c r="EH33">
        <v>66</v>
      </c>
      <c r="EI33">
        <v>109</v>
      </c>
      <c r="EJ33">
        <v>73.599999999999994</v>
      </c>
      <c r="EK33">
        <v>78</v>
      </c>
      <c r="EL33">
        <v>91.1</v>
      </c>
      <c r="EM33">
        <v>77</v>
      </c>
      <c r="EN33">
        <v>73.599999999999994</v>
      </c>
      <c r="EO33">
        <v>60.3</v>
      </c>
      <c r="ER33">
        <v>94.1</v>
      </c>
      <c r="ET33">
        <v>105.5</v>
      </c>
      <c r="EU33">
        <v>118.7</v>
      </c>
      <c r="EV33">
        <v>133.19999999999999</v>
      </c>
      <c r="EW33">
        <v>78.8</v>
      </c>
      <c r="EX33">
        <v>104</v>
      </c>
      <c r="EY33">
        <v>92.6</v>
      </c>
      <c r="EZ33">
        <v>107</v>
      </c>
      <c r="FA33">
        <v>108.3</v>
      </c>
      <c r="FB33">
        <v>103.2</v>
      </c>
      <c r="FC33">
        <v>101.9</v>
      </c>
      <c r="FD33">
        <v>121.3</v>
      </c>
      <c r="FE33">
        <v>141</v>
      </c>
      <c r="FF33">
        <v>109.4</v>
      </c>
      <c r="FI33">
        <v>98</v>
      </c>
      <c r="FJ33">
        <v>86.3</v>
      </c>
      <c r="FK33">
        <v>109.6</v>
      </c>
      <c r="FL33">
        <v>96.9</v>
      </c>
      <c r="FM33">
        <v>100.2</v>
      </c>
      <c r="FQ33">
        <v>80.099999999999994</v>
      </c>
      <c r="FR33">
        <v>73.099999999999994</v>
      </c>
      <c r="FS33">
        <v>81.900000000000006</v>
      </c>
      <c r="FU33">
        <v>88.9</v>
      </c>
      <c r="FV33">
        <v>67.5</v>
      </c>
      <c r="FW33">
        <v>114.2</v>
      </c>
      <c r="FX33">
        <v>85.4</v>
      </c>
      <c r="FY33">
        <v>85.9</v>
      </c>
      <c r="GA33">
        <v>97.2</v>
      </c>
      <c r="GB33">
        <v>68.400000000000006</v>
      </c>
      <c r="GC33">
        <v>83.7</v>
      </c>
      <c r="GD33">
        <v>76.2</v>
      </c>
      <c r="GE33">
        <v>91.3</v>
      </c>
      <c r="GF33">
        <v>85.4</v>
      </c>
      <c r="GG33">
        <v>84</v>
      </c>
      <c r="GH33">
        <v>96.3</v>
      </c>
      <c r="GI33">
        <v>84.8</v>
      </c>
      <c r="GJ33">
        <v>87.3</v>
      </c>
      <c r="GM33">
        <v>82.6</v>
      </c>
      <c r="GP33">
        <v>79.3</v>
      </c>
      <c r="GU33">
        <v>83</v>
      </c>
      <c r="GV33">
        <v>52.9</v>
      </c>
      <c r="GW33">
        <v>74.7</v>
      </c>
      <c r="GX33">
        <v>86.2</v>
      </c>
      <c r="GY33">
        <v>81.7</v>
      </c>
      <c r="HA33">
        <v>102.8</v>
      </c>
      <c r="HD33">
        <v>94.4</v>
      </c>
      <c r="HG33">
        <v>108.3</v>
      </c>
      <c r="HH33">
        <v>119.4</v>
      </c>
      <c r="HO33">
        <v>115</v>
      </c>
      <c r="HP33">
        <v>117.3</v>
      </c>
      <c r="HQ33">
        <v>97.6</v>
      </c>
      <c r="HR33">
        <v>97.6</v>
      </c>
      <c r="HS33">
        <v>159</v>
      </c>
      <c r="HT33">
        <v>109.4</v>
      </c>
      <c r="HU33">
        <v>95.2</v>
      </c>
      <c r="HV33">
        <v>117</v>
      </c>
      <c r="HY33">
        <v>116.2</v>
      </c>
      <c r="HZ33">
        <v>99.1</v>
      </c>
      <c r="IA33">
        <v>125.8</v>
      </c>
      <c r="IB33">
        <v>102.6</v>
      </c>
      <c r="IC33">
        <v>133.30000000000001</v>
      </c>
      <c r="IE33">
        <v>83.3</v>
      </c>
      <c r="IH33">
        <v>126.9</v>
      </c>
      <c r="IJ33">
        <v>104.3</v>
      </c>
      <c r="IK33">
        <v>120.8</v>
      </c>
      <c r="IL33">
        <v>84.7</v>
      </c>
      <c r="IM33">
        <v>103.5</v>
      </c>
      <c r="IO33">
        <v>123.4</v>
      </c>
      <c r="IP33">
        <v>110.5</v>
      </c>
      <c r="IQ33">
        <v>96.1</v>
      </c>
      <c r="IT33">
        <v>84.1</v>
      </c>
      <c r="IU33">
        <v>84.2</v>
      </c>
      <c r="IV33">
        <v>78.5</v>
      </c>
      <c r="IX33">
        <v>79.599999999999994</v>
      </c>
      <c r="IY33">
        <v>86</v>
      </c>
      <c r="JA33">
        <v>81.900000000000006</v>
      </c>
      <c r="JB33">
        <v>84.7</v>
      </c>
      <c r="JC33">
        <v>82.3</v>
      </c>
      <c r="JE33">
        <v>88.1</v>
      </c>
      <c r="JH33">
        <v>88.7</v>
      </c>
      <c r="JI33">
        <v>87</v>
      </c>
      <c r="JK33">
        <v>103.6</v>
      </c>
      <c r="JL33">
        <v>84.3</v>
      </c>
      <c r="JM33">
        <v>102.7</v>
      </c>
      <c r="JO33">
        <v>85.1</v>
      </c>
      <c r="JQ33">
        <v>84.3</v>
      </c>
      <c r="JS33">
        <v>85.6</v>
      </c>
      <c r="JT33">
        <v>85.5</v>
      </c>
      <c r="JU33">
        <v>85.5</v>
      </c>
      <c r="JV33">
        <v>99.5</v>
      </c>
      <c r="JW33">
        <v>100.9</v>
      </c>
      <c r="JX33">
        <v>105.8</v>
      </c>
      <c r="JY33">
        <v>105.8</v>
      </c>
      <c r="JZ33">
        <v>102</v>
      </c>
      <c r="KA33">
        <v>107.5</v>
      </c>
      <c r="KB33">
        <v>95.7</v>
      </c>
      <c r="KC33">
        <v>99.8</v>
      </c>
      <c r="KD33">
        <v>99.8</v>
      </c>
      <c r="KE33">
        <v>91.4</v>
      </c>
      <c r="KF33">
        <v>111.3</v>
      </c>
      <c r="KG33">
        <v>101.1</v>
      </c>
      <c r="KL33">
        <v>73.400000000000006</v>
      </c>
      <c r="KM33">
        <v>86.3</v>
      </c>
      <c r="KN33">
        <v>85.8</v>
      </c>
      <c r="KO33">
        <v>67.400000000000006</v>
      </c>
      <c r="KP33">
        <v>81.5</v>
      </c>
      <c r="KS33">
        <v>85.7</v>
      </c>
      <c r="KT33">
        <v>78.400000000000006</v>
      </c>
      <c r="KU33">
        <v>99.9</v>
      </c>
      <c r="KX33">
        <v>91.2</v>
      </c>
      <c r="KY33">
        <v>80.599999999999994</v>
      </c>
      <c r="KZ33">
        <v>89.6</v>
      </c>
      <c r="LA33">
        <v>89.6</v>
      </c>
      <c r="LB33">
        <v>78.3</v>
      </c>
      <c r="LC33">
        <v>89.1</v>
      </c>
      <c r="LD33">
        <v>66</v>
      </c>
      <c r="LE33">
        <v>56.7</v>
      </c>
      <c r="LF33">
        <v>56.7</v>
      </c>
      <c r="LG33">
        <v>78.3</v>
      </c>
      <c r="LH33">
        <v>82.9</v>
      </c>
      <c r="LI33">
        <v>70.5</v>
      </c>
      <c r="LJ33">
        <v>143.80000000000001</v>
      </c>
      <c r="LK33">
        <v>292.60000000000002</v>
      </c>
      <c r="LL33">
        <v>608.5</v>
      </c>
      <c r="LM33">
        <v>913.7</v>
      </c>
      <c r="LN33">
        <v>273.7</v>
      </c>
      <c r="LO33">
        <v>185.8</v>
      </c>
      <c r="LP33">
        <v>1503.8</v>
      </c>
      <c r="LQ33">
        <v>624.5</v>
      </c>
      <c r="LR33">
        <v>740.8</v>
      </c>
      <c r="LT33">
        <v>227.9</v>
      </c>
      <c r="LU33">
        <v>292.2</v>
      </c>
      <c r="LV33">
        <v>172.3</v>
      </c>
      <c r="LX33">
        <v>96.8</v>
      </c>
      <c r="LY33">
        <v>89</v>
      </c>
      <c r="MA33">
        <v>102.5</v>
      </c>
      <c r="MB33">
        <v>150.30000000000001</v>
      </c>
      <c r="MC33">
        <v>406.4</v>
      </c>
      <c r="MD33">
        <v>135.5</v>
      </c>
      <c r="ME33">
        <v>110.9</v>
      </c>
      <c r="MG33">
        <v>110.5</v>
      </c>
      <c r="MH33">
        <v>95.1</v>
      </c>
      <c r="MI33">
        <v>118.6</v>
      </c>
      <c r="MJ33">
        <v>98.5</v>
      </c>
      <c r="MK33">
        <v>118.9</v>
      </c>
      <c r="MM33">
        <v>90.3</v>
      </c>
      <c r="MN33">
        <v>85</v>
      </c>
      <c r="MO33">
        <v>83.3</v>
      </c>
      <c r="MP33">
        <v>88</v>
      </c>
      <c r="MQ33">
        <v>82.3</v>
      </c>
      <c r="MS33">
        <v>90.3</v>
      </c>
      <c r="MU33">
        <v>82</v>
      </c>
      <c r="MV33">
        <v>101.4</v>
      </c>
      <c r="MW33">
        <v>85.7</v>
      </c>
      <c r="MX33">
        <v>87</v>
      </c>
      <c r="NB33">
        <v>117.6</v>
      </c>
      <c r="NC33">
        <v>104.5</v>
      </c>
      <c r="ND33">
        <v>116</v>
      </c>
      <c r="NE33">
        <v>97.2</v>
      </c>
      <c r="NF33">
        <v>143.9</v>
      </c>
      <c r="NG33">
        <v>134.80000000000001</v>
      </c>
      <c r="NH33">
        <v>152.6</v>
      </c>
      <c r="NI33">
        <v>108.4</v>
      </c>
      <c r="NJ33">
        <v>114.5</v>
      </c>
      <c r="NL33">
        <v>97.4</v>
      </c>
      <c r="NM33">
        <v>150.6</v>
      </c>
      <c r="NN33">
        <v>106.6</v>
      </c>
      <c r="NQ33">
        <v>86.6</v>
      </c>
      <c r="NR33">
        <v>84.3</v>
      </c>
      <c r="NS33">
        <v>84.3</v>
      </c>
      <c r="NT33">
        <v>85.2</v>
      </c>
      <c r="NW33">
        <v>93.7</v>
      </c>
      <c r="NX33">
        <v>93.7</v>
      </c>
      <c r="NY33">
        <v>95.9</v>
      </c>
      <c r="NZ33">
        <v>99.9</v>
      </c>
      <c r="OA33">
        <v>105.2</v>
      </c>
      <c r="OB33">
        <v>108.2</v>
      </c>
      <c r="OC33">
        <v>97.5</v>
      </c>
      <c r="OD33">
        <v>99.4</v>
      </c>
      <c r="OE33">
        <v>88.6</v>
      </c>
      <c r="OF33">
        <v>75.3</v>
      </c>
      <c r="OH33">
        <v>86.2</v>
      </c>
      <c r="OJ33">
        <v>82.4</v>
      </c>
      <c r="OK33">
        <v>90.4</v>
      </c>
      <c r="OL33">
        <v>84.8</v>
      </c>
      <c r="OM33">
        <v>92.9</v>
      </c>
      <c r="ON33">
        <v>108.5</v>
      </c>
      <c r="OO33">
        <v>82.2</v>
      </c>
      <c r="OP33">
        <v>93.2</v>
      </c>
      <c r="OQ33">
        <v>97.1</v>
      </c>
      <c r="OS33">
        <v>85.9</v>
      </c>
      <c r="OU33">
        <v>89.4</v>
      </c>
      <c r="OV33">
        <v>90.4</v>
      </c>
      <c r="OW33">
        <v>98.1</v>
      </c>
      <c r="OX33">
        <v>90.2</v>
      </c>
      <c r="OY33">
        <v>75.7</v>
      </c>
      <c r="OZ33">
        <v>74.900000000000006</v>
      </c>
      <c r="PA33">
        <v>122.2</v>
      </c>
      <c r="PB33">
        <v>114.6</v>
      </c>
      <c r="PC33">
        <v>82.4</v>
      </c>
      <c r="PD33">
        <v>184.1</v>
      </c>
      <c r="PG33">
        <v>106.2</v>
      </c>
      <c r="PH33">
        <v>95.3</v>
      </c>
      <c r="PI33">
        <v>99.5</v>
      </c>
      <c r="PJ33">
        <v>93.6</v>
      </c>
      <c r="PK33">
        <v>111.9</v>
      </c>
      <c r="PL33">
        <v>86.3</v>
      </c>
      <c r="PM33">
        <v>89.6</v>
      </c>
      <c r="PN33">
        <v>92.1</v>
      </c>
      <c r="PO33">
        <v>102.4</v>
      </c>
      <c r="PP33">
        <v>104.5</v>
      </c>
      <c r="PQ33">
        <v>114.2</v>
      </c>
      <c r="PR33">
        <v>109.1</v>
      </c>
      <c r="PS33">
        <v>94.3</v>
      </c>
      <c r="PT33">
        <v>98.3</v>
      </c>
      <c r="PU33">
        <v>99.1</v>
      </c>
      <c r="PV33">
        <v>105.2</v>
      </c>
      <c r="PW33">
        <v>108</v>
      </c>
      <c r="PX33">
        <v>99.3</v>
      </c>
      <c r="PY33">
        <v>86</v>
      </c>
      <c r="PZ33">
        <v>87</v>
      </c>
      <c r="QA33">
        <v>87.9</v>
      </c>
      <c r="QB33">
        <v>76.400000000000006</v>
      </c>
      <c r="QC33">
        <v>105.1</v>
      </c>
      <c r="QD33">
        <v>86.9</v>
      </c>
      <c r="QE33">
        <v>93.3</v>
      </c>
      <c r="QF33">
        <v>74.3</v>
      </c>
      <c r="QG33">
        <v>103.1</v>
      </c>
      <c r="QH33">
        <v>79</v>
      </c>
      <c r="QI33">
        <v>79</v>
      </c>
      <c r="QJ33">
        <v>88.8</v>
      </c>
      <c r="QK33">
        <v>94.7</v>
      </c>
      <c r="QL33">
        <v>94.5</v>
      </c>
      <c r="QM33">
        <v>89.4</v>
      </c>
      <c r="QN33">
        <v>80.2</v>
      </c>
      <c r="QO33">
        <v>82.8</v>
      </c>
      <c r="QQ33">
        <v>101.6</v>
      </c>
      <c r="QR33">
        <v>98.3</v>
      </c>
      <c r="QS33">
        <v>159</v>
      </c>
      <c r="QU33">
        <v>102.1</v>
      </c>
      <c r="QV33">
        <v>96</v>
      </c>
      <c r="QW33">
        <v>102.2</v>
      </c>
      <c r="QX33">
        <v>103.4</v>
      </c>
      <c r="QY33">
        <v>81.5</v>
      </c>
      <c r="QZ33">
        <v>84.7</v>
      </c>
      <c r="RA33">
        <v>79.400000000000006</v>
      </c>
      <c r="RB33">
        <v>73.599999999999994</v>
      </c>
      <c r="RD33">
        <v>86</v>
      </c>
      <c r="RE33">
        <v>110.4</v>
      </c>
      <c r="RF33">
        <v>117.3</v>
      </c>
      <c r="RG33">
        <v>124.5</v>
      </c>
      <c r="RH33">
        <v>122.6</v>
      </c>
      <c r="RI33">
        <v>96.9</v>
      </c>
      <c r="RJ33">
        <v>126.6</v>
      </c>
      <c r="RK33">
        <v>99</v>
      </c>
      <c r="RL33">
        <v>106.9</v>
      </c>
      <c r="RM33">
        <v>99.7</v>
      </c>
      <c r="RO33">
        <v>113.7</v>
      </c>
      <c r="RS33">
        <v>127.4</v>
      </c>
      <c r="RT33">
        <v>185</v>
      </c>
      <c r="RV33">
        <v>116.2</v>
      </c>
      <c r="RW33">
        <v>149</v>
      </c>
      <c r="RX33">
        <v>150.4</v>
      </c>
      <c r="SA33">
        <v>109.2</v>
      </c>
      <c r="SB33">
        <v>113.3</v>
      </c>
      <c r="SC33">
        <v>141.69999999999999</v>
      </c>
      <c r="SF33">
        <v>65.5</v>
      </c>
      <c r="SG33">
        <v>64.900000000000006</v>
      </c>
      <c r="SH33">
        <v>91.6</v>
      </c>
      <c r="SK33">
        <v>101.9</v>
      </c>
      <c r="SL33">
        <v>87.6</v>
      </c>
      <c r="SM33">
        <v>93.9</v>
      </c>
      <c r="SN33">
        <v>93.3</v>
      </c>
      <c r="SO33">
        <v>96</v>
      </c>
      <c r="SP33">
        <v>97.1</v>
      </c>
      <c r="SQ33">
        <v>92.9</v>
      </c>
      <c r="SR33">
        <v>93.4</v>
      </c>
      <c r="SS33">
        <v>91.4</v>
      </c>
      <c r="ST33">
        <v>91.6</v>
      </c>
      <c r="SU33">
        <v>90.8</v>
      </c>
      <c r="SV33">
        <v>91.4</v>
      </c>
      <c r="SX33">
        <v>89.5</v>
      </c>
      <c r="SZ33">
        <v>81.400000000000006</v>
      </c>
      <c r="TA33">
        <v>87.8</v>
      </c>
      <c r="TB33">
        <v>71.8</v>
      </c>
      <c r="TE33">
        <v>92.6</v>
      </c>
      <c r="TF33">
        <v>95.5</v>
      </c>
      <c r="TG33">
        <v>100.5</v>
      </c>
      <c r="TH33">
        <v>93.9</v>
      </c>
      <c r="TI33">
        <v>93.1</v>
      </c>
      <c r="TJ33">
        <v>96.1</v>
      </c>
      <c r="TK33">
        <v>87.3</v>
      </c>
      <c r="TL33">
        <v>84.3</v>
      </c>
      <c r="TN33">
        <v>91.8</v>
      </c>
      <c r="TO33">
        <v>78.099999999999994</v>
      </c>
      <c r="TP33">
        <v>82.8</v>
      </c>
      <c r="TT33">
        <v>95.3</v>
      </c>
      <c r="TU33">
        <v>84.4</v>
      </c>
      <c r="TV33">
        <v>83.5</v>
      </c>
      <c r="TW33">
        <v>103</v>
      </c>
      <c r="TX33">
        <v>104</v>
      </c>
      <c r="TY33">
        <v>96.2</v>
      </c>
      <c r="UC33">
        <v>128.9</v>
      </c>
      <c r="UD33">
        <v>91.9</v>
      </c>
      <c r="UE33">
        <v>146.69999999999999</v>
      </c>
      <c r="UF33">
        <v>79.400000000000006</v>
      </c>
      <c r="UG33">
        <v>95.2</v>
      </c>
      <c r="UH33">
        <v>123.5</v>
      </c>
      <c r="UJ33">
        <v>89.4</v>
      </c>
      <c r="UL33">
        <v>101.9</v>
      </c>
      <c r="UM33">
        <v>113</v>
      </c>
      <c r="UN33">
        <v>88.5</v>
      </c>
      <c r="UO33">
        <v>92.6</v>
      </c>
      <c r="UP33">
        <v>81.400000000000006</v>
      </c>
      <c r="UQ33">
        <v>326.7</v>
      </c>
      <c r="UR33">
        <v>105.7</v>
      </c>
      <c r="US33">
        <v>86.4</v>
      </c>
      <c r="UT33">
        <v>87.1</v>
      </c>
      <c r="UU33">
        <v>93.3</v>
      </c>
      <c r="UW33">
        <v>76.099999999999994</v>
      </c>
      <c r="UX33">
        <v>85.8</v>
      </c>
      <c r="UY33">
        <v>71.599999999999994</v>
      </c>
      <c r="UZ33">
        <v>81.599999999999994</v>
      </c>
      <c r="VB33">
        <v>85.4</v>
      </c>
      <c r="VD33">
        <v>115.6</v>
      </c>
      <c r="VE33">
        <v>1145.9000000000001</v>
      </c>
      <c r="VL33">
        <v>1723.9</v>
      </c>
      <c r="VM33">
        <v>80.5</v>
      </c>
      <c r="VN33">
        <v>84.3</v>
      </c>
      <c r="VO33">
        <v>103.4</v>
      </c>
      <c r="VP33">
        <v>86.9</v>
      </c>
      <c r="VQ33">
        <v>101.3</v>
      </c>
      <c r="VR33">
        <v>73.900000000000006</v>
      </c>
      <c r="VT33">
        <v>111.1</v>
      </c>
      <c r="VU33">
        <v>142.1</v>
      </c>
      <c r="VV33">
        <v>73.599999999999994</v>
      </c>
      <c r="VW33">
        <v>110.4</v>
      </c>
      <c r="VX33">
        <v>74.8</v>
      </c>
      <c r="VY33">
        <v>133.30000000000001</v>
      </c>
      <c r="WB33">
        <v>154.19999999999999</v>
      </c>
      <c r="WC33">
        <v>767.6</v>
      </c>
      <c r="WE33">
        <v>108.1</v>
      </c>
      <c r="WF33">
        <v>87.3</v>
      </c>
      <c r="WG33">
        <v>99</v>
      </c>
      <c r="WH33">
        <v>87.3</v>
      </c>
      <c r="WI33">
        <v>85</v>
      </c>
      <c r="WJ33">
        <v>89.1</v>
      </c>
      <c r="WK33">
        <v>86.1</v>
      </c>
      <c r="WL33">
        <v>99.6</v>
      </c>
      <c r="WN33">
        <v>95.4</v>
      </c>
      <c r="WP33">
        <v>95.8</v>
      </c>
      <c r="WQ33">
        <v>91.2</v>
      </c>
      <c r="WV33">
        <v>97</v>
      </c>
      <c r="WX33">
        <v>84.3</v>
      </c>
      <c r="WY33">
        <v>89.9</v>
      </c>
      <c r="WZ33">
        <v>89.1</v>
      </c>
      <c r="XA33">
        <v>90.4</v>
      </c>
      <c r="XB33">
        <v>66.900000000000006</v>
      </c>
      <c r="XD33">
        <v>62.9</v>
      </c>
      <c r="XE33">
        <v>78</v>
      </c>
      <c r="XF33">
        <v>70.099999999999994</v>
      </c>
      <c r="XG33">
        <v>82.3</v>
      </c>
      <c r="XH33">
        <v>94</v>
      </c>
      <c r="XI33">
        <v>105.3</v>
      </c>
      <c r="XJ33">
        <v>105.3</v>
      </c>
      <c r="XM33">
        <v>82.7</v>
      </c>
      <c r="XP33">
        <v>87.8</v>
      </c>
      <c r="XR33">
        <v>79.8</v>
      </c>
      <c r="XT33">
        <v>93.3</v>
      </c>
      <c r="XU33">
        <v>100.7</v>
      </c>
      <c r="XV33">
        <v>99.6</v>
      </c>
      <c r="XW33">
        <v>103.1</v>
      </c>
      <c r="XZ33">
        <v>99.1</v>
      </c>
      <c r="YA33">
        <v>97.2</v>
      </c>
      <c r="YC33">
        <v>76.400000000000006</v>
      </c>
      <c r="YD33">
        <v>85.1</v>
      </c>
      <c r="YE33">
        <v>100.7</v>
      </c>
      <c r="YF33">
        <v>144.4</v>
      </c>
      <c r="YG33">
        <v>85.1</v>
      </c>
      <c r="YJ33">
        <v>83.2</v>
      </c>
      <c r="YK33">
        <v>66.3</v>
      </c>
      <c r="YL33">
        <v>91.8</v>
      </c>
      <c r="YM33">
        <v>100.5</v>
      </c>
      <c r="YO33">
        <v>191.8</v>
      </c>
      <c r="YT33">
        <v>85.1</v>
      </c>
      <c r="YU33">
        <v>90.6</v>
      </c>
      <c r="YW33">
        <v>93.3</v>
      </c>
      <c r="YX33">
        <v>87</v>
      </c>
      <c r="YY33">
        <v>87.3</v>
      </c>
      <c r="ZB33">
        <v>109.1</v>
      </c>
      <c r="ZC33">
        <v>211.3</v>
      </c>
      <c r="ZD33">
        <v>369.1</v>
      </c>
      <c r="ZE33">
        <v>118</v>
      </c>
      <c r="ZF33">
        <v>110.9</v>
      </c>
      <c r="ZG33">
        <v>115.1</v>
      </c>
      <c r="ZK33">
        <v>98.7</v>
      </c>
      <c r="ZL33">
        <v>105.1</v>
      </c>
      <c r="ZM33">
        <v>123.4</v>
      </c>
      <c r="ZN33">
        <v>103</v>
      </c>
      <c r="ZO33">
        <v>103.4</v>
      </c>
      <c r="ZP33">
        <v>110.1</v>
      </c>
      <c r="ZQ33">
        <v>100.5</v>
      </c>
      <c r="ZT33">
        <v>101.6</v>
      </c>
      <c r="ZU33">
        <v>93.8</v>
      </c>
      <c r="ZW33">
        <v>96.1</v>
      </c>
      <c r="ZY33">
        <v>94.3</v>
      </c>
      <c r="AAC33">
        <v>69</v>
      </c>
      <c r="AAD33">
        <v>66.8</v>
      </c>
      <c r="AAE33">
        <v>119.9</v>
      </c>
      <c r="AAG33">
        <v>56.7</v>
      </c>
      <c r="AAH33">
        <v>127.7</v>
      </c>
      <c r="AAI33">
        <v>69.7</v>
      </c>
      <c r="AAJ33">
        <v>48.8</v>
      </c>
      <c r="AAK33">
        <v>98.3</v>
      </c>
      <c r="AAL33">
        <v>96.8</v>
      </c>
      <c r="AAM33">
        <v>106.4</v>
      </c>
      <c r="AAN33">
        <v>87.7</v>
      </c>
      <c r="AAO33">
        <v>45.9</v>
      </c>
      <c r="AAP33">
        <v>44.8</v>
      </c>
      <c r="AAQ33">
        <v>48.7</v>
      </c>
      <c r="AAR33">
        <v>87.8</v>
      </c>
      <c r="AAX33">
        <v>74.7</v>
      </c>
      <c r="ABB33">
        <v>80.5</v>
      </c>
      <c r="ABC33">
        <v>80.900000000000006</v>
      </c>
      <c r="ABD33">
        <v>81.099999999999994</v>
      </c>
      <c r="ABE33">
        <v>77.900000000000006</v>
      </c>
      <c r="ABF33">
        <v>96.8</v>
      </c>
      <c r="ABG33">
        <v>88</v>
      </c>
      <c r="ABH33">
        <v>95.5</v>
      </c>
      <c r="ABI33">
        <v>98</v>
      </c>
      <c r="ABJ33">
        <v>105.2</v>
      </c>
      <c r="ABK33">
        <v>96.2</v>
      </c>
      <c r="ABL33">
        <v>80.599999999999994</v>
      </c>
      <c r="ABM33">
        <v>98.5</v>
      </c>
      <c r="ABN33">
        <v>102.2</v>
      </c>
      <c r="ABO33">
        <v>97.4</v>
      </c>
      <c r="ABP33">
        <v>113.3</v>
      </c>
    </row>
    <row r="34" spans="1:745">
      <c r="A34">
        <v>1997</v>
      </c>
      <c r="B34">
        <v>98.1</v>
      </c>
      <c r="C34">
        <v>88.7</v>
      </c>
      <c r="D34">
        <v>100.5</v>
      </c>
      <c r="E34">
        <v>113.7</v>
      </c>
      <c r="F34">
        <v>117.5</v>
      </c>
      <c r="G34">
        <v>113.3</v>
      </c>
      <c r="H34">
        <v>89.4</v>
      </c>
      <c r="I34">
        <v>89.7</v>
      </c>
      <c r="J34">
        <v>91.5</v>
      </c>
      <c r="L34">
        <v>91.9</v>
      </c>
      <c r="M34">
        <v>96.5</v>
      </c>
      <c r="N34">
        <v>87.7</v>
      </c>
      <c r="O34">
        <v>91.2</v>
      </c>
      <c r="P34">
        <v>86.2</v>
      </c>
      <c r="Q34">
        <v>100.9</v>
      </c>
      <c r="R34">
        <v>110.2</v>
      </c>
      <c r="S34">
        <v>75.3</v>
      </c>
      <c r="T34">
        <v>126.8</v>
      </c>
      <c r="V34">
        <v>79.8</v>
      </c>
      <c r="W34">
        <v>82.7</v>
      </c>
      <c r="X34">
        <v>101.2</v>
      </c>
      <c r="Y34">
        <v>107.8</v>
      </c>
      <c r="Z34">
        <v>90.2</v>
      </c>
      <c r="AA34">
        <v>96.6</v>
      </c>
      <c r="AB34">
        <v>64.2</v>
      </c>
      <c r="AC34">
        <v>92.6</v>
      </c>
      <c r="AD34">
        <v>66.099999999999994</v>
      </c>
      <c r="AE34">
        <v>94.4</v>
      </c>
      <c r="AF34">
        <v>99.8</v>
      </c>
      <c r="AG34">
        <v>55.3</v>
      </c>
      <c r="AH34">
        <v>73.099999999999994</v>
      </c>
      <c r="AI34">
        <v>96.7</v>
      </c>
      <c r="AJ34">
        <v>73.599999999999994</v>
      </c>
      <c r="AK34">
        <v>74.2</v>
      </c>
      <c r="AL34">
        <v>70</v>
      </c>
      <c r="AM34">
        <v>71.7</v>
      </c>
      <c r="AN34">
        <v>63.9</v>
      </c>
      <c r="AO34">
        <v>83.8</v>
      </c>
      <c r="AP34">
        <v>65.3</v>
      </c>
      <c r="AQ34">
        <v>83</v>
      </c>
      <c r="AR34">
        <v>97.2</v>
      </c>
      <c r="AS34">
        <v>76.400000000000006</v>
      </c>
      <c r="AU34">
        <v>90.6</v>
      </c>
      <c r="AV34">
        <v>86.1</v>
      </c>
      <c r="AW34">
        <v>93.8</v>
      </c>
      <c r="AX34">
        <v>92.6</v>
      </c>
      <c r="AY34">
        <v>71.8</v>
      </c>
      <c r="AZ34">
        <v>81.8</v>
      </c>
      <c r="BA34">
        <v>68.5</v>
      </c>
      <c r="BB34">
        <v>74.8</v>
      </c>
      <c r="BC34">
        <v>72.3</v>
      </c>
      <c r="BD34">
        <v>78.7</v>
      </c>
      <c r="BE34">
        <v>74.2</v>
      </c>
      <c r="BF34">
        <v>68</v>
      </c>
      <c r="BG34">
        <v>68.900000000000006</v>
      </c>
      <c r="BH34">
        <v>75.099999999999994</v>
      </c>
      <c r="BJ34">
        <v>78.400000000000006</v>
      </c>
      <c r="BK34">
        <v>100.3</v>
      </c>
      <c r="BL34">
        <v>108.3</v>
      </c>
      <c r="BM34">
        <v>100.1</v>
      </c>
      <c r="BN34">
        <v>83.9</v>
      </c>
      <c r="BP34">
        <v>89</v>
      </c>
      <c r="BQ34">
        <v>91.7</v>
      </c>
      <c r="BR34">
        <v>89.9</v>
      </c>
      <c r="BS34">
        <v>97.5</v>
      </c>
      <c r="BT34">
        <v>94.9</v>
      </c>
      <c r="BU34">
        <v>96.4</v>
      </c>
      <c r="BV34">
        <v>106.2</v>
      </c>
      <c r="BW34">
        <v>74.599999999999994</v>
      </c>
      <c r="BX34">
        <v>75.8</v>
      </c>
      <c r="BY34">
        <v>81</v>
      </c>
      <c r="BZ34">
        <v>80.7</v>
      </c>
      <c r="CA34">
        <v>80.7</v>
      </c>
      <c r="CB34">
        <v>87.5</v>
      </c>
      <c r="CC34">
        <v>86.3</v>
      </c>
      <c r="CD34">
        <v>91.6</v>
      </c>
      <c r="CE34">
        <v>74.099999999999994</v>
      </c>
      <c r="CF34">
        <v>78.099999999999994</v>
      </c>
      <c r="CG34">
        <v>87.9</v>
      </c>
      <c r="CH34">
        <v>104</v>
      </c>
      <c r="CI34">
        <v>104.5</v>
      </c>
      <c r="CJ34">
        <v>110</v>
      </c>
      <c r="CL34">
        <v>74.7</v>
      </c>
      <c r="CM34">
        <v>60.9</v>
      </c>
      <c r="CN34">
        <v>58.6</v>
      </c>
      <c r="CO34">
        <v>95.6</v>
      </c>
      <c r="CP34">
        <v>65.599999999999994</v>
      </c>
      <c r="CQ34">
        <v>64.400000000000006</v>
      </c>
      <c r="CR34">
        <v>78.3</v>
      </c>
      <c r="CS34">
        <v>80.900000000000006</v>
      </c>
      <c r="CT34">
        <v>89</v>
      </c>
      <c r="CW34">
        <v>70.400000000000006</v>
      </c>
      <c r="CX34">
        <v>66.5</v>
      </c>
      <c r="CY34">
        <v>83.6</v>
      </c>
      <c r="CZ34">
        <v>81.099999999999994</v>
      </c>
      <c r="DA34">
        <v>85.6</v>
      </c>
      <c r="DB34">
        <v>73.599999999999994</v>
      </c>
      <c r="DC34">
        <v>113.8</v>
      </c>
      <c r="DD34">
        <v>157.6</v>
      </c>
      <c r="DE34">
        <v>159.6</v>
      </c>
      <c r="DG34">
        <v>89.6</v>
      </c>
      <c r="DH34">
        <v>70</v>
      </c>
      <c r="DI34">
        <v>71.8</v>
      </c>
      <c r="DJ34">
        <v>85.1</v>
      </c>
      <c r="DK34">
        <v>56.8</v>
      </c>
      <c r="DL34">
        <v>65.7</v>
      </c>
      <c r="DN34">
        <v>106.5</v>
      </c>
      <c r="DO34">
        <v>100.1</v>
      </c>
      <c r="DP34">
        <v>99.3</v>
      </c>
      <c r="DQ34">
        <v>127.3</v>
      </c>
      <c r="DR34">
        <v>90.2</v>
      </c>
      <c r="DS34">
        <v>110.3</v>
      </c>
      <c r="DT34">
        <v>77</v>
      </c>
      <c r="DU34">
        <v>88.2</v>
      </c>
      <c r="DV34">
        <v>83.9</v>
      </c>
      <c r="DW34">
        <v>102.3</v>
      </c>
      <c r="DX34">
        <v>80.5</v>
      </c>
      <c r="DY34">
        <v>101.8</v>
      </c>
      <c r="DZ34">
        <v>72.2</v>
      </c>
      <c r="EA34">
        <v>71.2</v>
      </c>
      <c r="EB34">
        <v>74.900000000000006</v>
      </c>
      <c r="EC34">
        <v>55.6</v>
      </c>
      <c r="ED34">
        <v>78.5</v>
      </c>
      <c r="EF34">
        <v>63.2</v>
      </c>
      <c r="EG34">
        <v>70.599999999999994</v>
      </c>
      <c r="EH34">
        <v>61.7</v>
      </c>
      <c r="EI34">
        <v>85.1</v>
      </c>
      <c r="EJ34">
        <v>70.5</v>
      </c>
      <c r="EK34">
        <v>73.8</v>
      </c>
      <c r="EL34">
        <v>85.5</v>
      </c>
      <c r="EM34">
        <v>80.7</v>
      </c>
      <c r="EN34">
        <v>75.2</v>
      </c>
      <c r="EO34">
        <v>69</v>
      </c>
      <c r="ER34">
        <v>95.3</v>
      </c>
      <c r="ET34">
        <v>106.9</v>
      </c>
      <c r="EU34">
        <v>117.4</v>
      </c>
      <c r="EV34">
        <v>132.69999999999999</v>
      </c>
      <c r="EW34">
        <v>76.400000000000006</v>
      </c>
      <c r="EX34">
        <v>105.7</v>
      </c>
      <c r="EY34">
        <v>94.2</v>
      </c>
      <c r="EZ34">
        <v>108.4</v>
      </c>
      <c r="FA34">
        <v>109.7</v>
      </c>
      <c r="FB34">
        <v>104.2</v>
      </c>
      <c r="FC34">
        <v>104.3</v>
      </c>
      <c r="FD34">
        <v>121.5</v>
      </c>
      <c r="FE34">
        <v>143.69999999999999</v>
      </c>
      <c r="FF34">
        <v>110.1</v>
      </c>
      <c r="FI34">
        <v>100.3</v>
      </c>
      <c r="FJ34">
        <v>88.1</v>
      </c>
      <c r="FK34">
        <v>112.1</v>
      </c>
      <c r="FL34">
        <v>98.4</v>
      </c>
      <c r="FM34">
        <v>102.5</v>
      </c>
      <c r="FQ34">
        <v>81.7</v>
      </c>
      <c r="FR34">
        <v>76.3</v>
      </c>
      <c r="FS34">
        <v>83.6</v>
      </c>
      <c r="FU34">
        <v>90.8</v>
      </c>
      <c r="FV34">
        <v>69.400000000000006</v>
      </c>
      <c r="FW34">
        <v>115.5</v>
      </c>
      <c r="FX34">
        <v>86.8</v>
      </c>
      <c r="FY34">
        <v>87</v>
      </c>
      <c r="GA34">
        <v>99.5</v>
      </c>
      <c r="GB34">
        <v>69.7</v>
      </c>
      <c r="GC34">
        <v>83</v>
      </c>
      <c r="GD34">
        <v>77.8</v>
      </c>
      <c r="GE34">
        <v>93.4</v>
      </c>
      <c r="GF34">
        <v>86.7</v>
      </c>
      <c r="GG34">
        <v>84.2</v>
      </c>
      <c r="GH34">
        <v>98.1</v>
      </c>
      <c r="GI34">
        <v>87.3</v>
      </c>
      <c r="GJ34">
        <v>89.6</v>
      </c>
      <c r="GM34">
        <v>84.8</v>
      </c>
      <c r="GP34">
        <v>81.5</v>
      </c>
      <c r="GU34">
        <v>85.6</v>
      </c>
      <c r="GV34">
        <v>55.7</v>
      </c>
      <c r="GW34">
        <v>77.900000000000006</v>
      </c>
      <c r="GX34">
        <v>89.1</v>
      </c>
      <c r="GY34">
        <v>84.3</v>
      </c>
      <c r="HA34">
        <v>105.3</v>
      </c>
      <c r="HD34">
        <v>96.7</v>
      </c>
      <c r="HG34">
        <v>109.2</v>
      </c>
      <c r="HH34">
        <v>121.7</v>
      </c>
      <c r="HO34">
        <v>117.9</v>
      </c>
      <c r="HP34">
        <v>120.4</v>
      </c>
      <c r="HQ34">
        <v>100.9</v>
      </c>
      <c r="HR34">
        <v>97</v>
      </c>
      <c r="HS34">
        <v>161.19999999999999</v>
      </c>
      <c r="HT34">
        <v>115.9</v>
      </c>
      <c r="HU34">
        <v>101.5</v>
      </c>
      <c r="HV34">
        <v>123.2</v>
      </c>
      <c r="HY34">
        <v>117.8</v>
      </c>
      <c r="HZ34">
        <v>101.6</v>
      </c>
      <c r="IA34">
        <v>126</v>
      </c>
      <c r="IB34">
        <v>102.8</v>
      </c>
      <c r="IC34">
        <v>132.69999999999999</v>
      </c>
      <c r="IE34">
        <v>86</v>
      </c>
      <c r="IH34">
        <v>128.4</v>
      </c>
      <c r="IJ34">
        <v>105.4</v>
      </c>
      <c r="IK34">
        <v>122.9</v>
      </c>
      <c r="IL34">
        <v>88.7</v>
      </c>
      <c r="IM34">
        <v>105</v>
      </c>
      <c r="IO34">
        <v>114.3</v>
      </c>
      <c r="IP34">
        <v>107.3</v>
      </c>
      <c r="IQ34">
        <v>97.7</v>
      </c>
      <c r="IT34">
        <v>86.7</v>
      </c>
      <c r="IU34">
        <v>86.8</v>
      </c>
      <c r="IV34">
        <v>82.8</v>
      </c>
      <c r="IX34">
        <v>83.4</v>
      </c>
      <c r="IY34">
        <v>88.4</v>
      </c>
      <c r="JA34">
        <v>84.9</v>
      </c>
      <c r="JB34">
        <v>87.9</v>
      </c>
      <c r="JC34">
        <v>85.6</v>
      </c>
      <c r="JE34">
        <v>91</v>
      </c>
      <c r="JH34">
        <v>92</v>
      </c>
      <c r="JI34">
        <v>90.2</v>
      </c>
      <c r="JK34">
        <v>101.2</v>
      </c>
      <c r="JL34">
        <v>86.5</v>
      </c>
      <c r="JM34">
        <v>105.5</v>
      </c>
      <c r="JO34">
        <v>88.2</v>
      </c>
      <c r="JQ34">
        <v>86.7</v>
      </c>
      <c r="JS34">
        <v>87.8</v>
      </c>
      <c r="JT34">
        <v>87.7</v>
      </c>
      <c r="JU34">
        <v>87.9</v>
      </c>
      <c r="JV34">
        <v>101</v>
      </c>
      <c r="JW34">
        <v>102.2</v>
      </c>
      <c r="JX34">
        <v>106.6</v>
      </c>
      <c r="JY34">
        <v>106.6</v>
      </c>
      <c r="JZ34">
        <v>102.5</v>
      </c>
      <c r="KA34">
        <v>108</v>
      </c>
      <c r="KB34">
        <v>96.2</v>
      </c>
      <c r="KC34">
        <v>101.3</v>
      </c>
      <c r="KD34">
        <v>101.3</v>
      </c>
      <c r="KE34">
        <v>93.9</v>
      </c>
      <c r="KF34">
        <v>112.9</v>
      </c>
      <c r="KG34">
        <v>102.4</v>
      </c>
      <c r="KL34">
        <v>74.599999999999994</v>
      </c>
      <c r="KM34">
        <v>88.7</v>
      </c>
      <c r="KN34">
        <v>88.3</v>
      </c>
      <c r="KO34">
        <v>70.599999999999994</v>
      </c>
      <c r="KP34">
        <v>84</v>
      </c>
      <c r="KS34">
        <v>88.7</v>
      </c>
      <c r="KT34">
        <v>81.400000000000006</v>
      </c>
      <c r="KU34">
        <v>102.5</v>
      </c>
      <c r="KX34">
        <v>92.1</v>
      </c>
      <c r="KY34">
        <v>84</v>
      </c>
      <c r="KZ34">
        <v>92.3</v>
      </c>
      <c r="LA34">
        <v>92.3</v>
      </c>
      <c r="LB34">
        <v>82.7</v>
      </c>
      <c r="LC34">
        <v>93.5</v>
      </c>
      <c r="LD34">
        <v>70.2</v>
      </c>
      <c r="LE34">
        <v>58.2</v>
      </c>
      <c r="LF34">
        <v>58.2</v>
      </c>
      <c r="LG34">
        <v>82.5</v>
      </c>
      <c r="LH34">
        <v>87.5</v>
      </c>
      <c r="LI34">
        <v>73.900000000000006</v>
      </c>
      <c r="LJ34">
        <v>143.19999999999999</v>
      </c>
      <c r="LK34">
        <v>286.5</v>
      </c>
      <c r="LL34">
        <v>584.20000000000005</v>
      </c>
      <c r="LM34">
        <v>807.4</v>
      </c>
      <c r="LN34">
        <v>254.5</v>
      </c>
      <c r="LO34">
        <v>188.4</v>
      </c>
      <c r="LP34">
        <v>1443.1</v>
      </c>
      <c r="LQ34">
        <v>600.6</v>
      </c>
      <c r="LR34">
        <v>698.2</v>
      </c>
      <c r="LT34">
        <v>221.6</v>
      </c>
      <c r="LU34">
        <v>287.2</v>
      </c>
      <c r="LV34">
        <v>163.80000000000001</v>
      </c>
      <c r="LX34">
        <v>98.7</v>
      </c>
      <c r="LY34">
        <v>92.7</v>
      </c>
      <c r="MA34">
        <v>104.9</v>
      </c>
      <c r="MB34">
        <v>150.1</v>
      </c>
      <c r="MC34">
        <v>406.4</v>
      </c>
      <c r="MD34">
        <v>136.19999999999999</v>
      </c>
      <c r="ME34">
        <v>109.7</v>
      </c>
      <c r="MG34">
        <v>110.7</v>
      </c>
      <c r="MH34">
        <v>95.6</v>
      </c>
      <c r="MI34">
        <v>117.5</v>
      </c>
      <c r="MJ34">
        <v>100.7</v>
      </c>
      <c r="MK34">
        <v>121.2</v>
      </c>
      <c r="MM34">
        <v>91.3</v>
      </c>
      <c r="MN34">
        <v>89</v>
      </c>
      <c r="MO34">
        <v>87.3</v>
      </c>
      <c r="MP34">
        <v>91.4</v>
      </c>
      <c r="MQ34">
        <v>84</v>
      </c>
      <c r="MS34">
        <v>92.1</v>
      </c>
      <c r="MU34">
        <v>83.8</v>
      </c>
      <c r="MV34">
        <v>99.7</v>
      </c>
      <c r="MW34">
        <v>86.6</v>
      </c>
      <c r="MX34">
        <v>90</v>
      </c>
      <c r="NB34">
        <v>115.7</v>
      </c>
      <c r="NC34">
        <v>101.6</v>
      </c>
      <c r="ND34">
        <v>111.5</v>
      </c>
      <c r="NE34">
        <v>95.4</v>
      </c>
      <c r="NF34">
        <v>138.9</v>
      </c>
      <c r="NG34">
        <v>133.5</v>
      </c>
      <c r="NH34">
        <v>144.19999999999999</v>
      </c>
      <c r="NI34">
        <v>109.1</v>
      </c>
      <c r="NJ34">
        <v>115.2</v>
      </c>
      <c r="NL34">
        <v>99.5</v>
      </c>
      <c r="NM34">
        <v>149.6</v>
      </c>
      <c r="NN34">
        <v>108.1</v>
      </c>
      <c r="NQ34">
        <v>89.5</v>
      </c>
      <c r="NR34">
        <v>85</v>
      </c>
      <c r="NS34">
        <v>85</v>
      </c>
      <c r="NT34">
        <v>89.2</v>
      </c>
      <c r="NW34">
        <v>95.4</v>
      </c>
      <c r="NX34">
        <v>95.4</v>
      </c>
      <c r="NY34">
        <v>98.6</v>
      </c>
      <c r="NZ34">
        <v>102.6</v>
      </c>
      <c r="OA34">
        <v>106.7</v>
      </c>
      <c r="OB34">
        <v>109.2</v>
      </c>
      <c r="OC34">
        <v>100</v>
      </c>
      <c r="OD34">
        <v>102.2</v>
      </c>
      <c r="OE34">
        <v>91.2</v>
      </c>
      <c r="OF34">
        <v>80.099999999999994</v>
      </c>
      <c r="OH34">
        <v>87.4</v>
      </c>
      <c r="OJ34">
        <v>84.3</v>
      </c>
      <c r="OK34">
        <v>91.8</v>
      </c>
      <c r="OL34">
        <v>86.6</v>
      </c>
      <c r="OM34">
        <v>95.4</v>
      </c>
      <c r="ON34">
        <v>113.7</v>
      </c>
      <c r="OO34">
        <v>84.1</v>
      </c>
      <c r="OP34">
        <v>95.6</v>
      </c>
      <c r="OQ34">
        <v>104.4</v>
      </c>
      <c r="OS34">
        <v>89.1</v>
      </c>
      <c r="OU34">
        <v>91.6</v>
      </c>
      <c r="OV34">
        <v>89.6</v>
      </c>
      <c r="OW34">
        <v>101.8</v>
      </c>
      <c r="OX34">
        <v>91.8</v>
      </c>
      <c r="OY34">
        <v>77.900000000000006</v>
      </c>
      <c r="OZ34">
        <v>76.599999999999994</v>
      </c>
      <c r="PA34">
        <v>125.9</v>
      </c>
      <c r="PB34">
        <v>112.9</v>
      </c>
      <c r="PC34">
        <v>83.2</v>
      </c>
      <c r="PD34">
        <v>190.2</v>
      </c>
      <c r="PG34">
        <v>107.8</v>
      </c>
      <c r="PH34">
        <v>98.3</v>
      </c>
      <c r="PI34">
        <v>102.4</v>
      </c>
      <c r="PJ34">
        <v>95.7</v>
      </c>
      <c r="PK34">
        <v>115.8</v>
      </c>
      <c r="PL34">
        <v>88.3</v>
      </c>
      <c r="PM34">
        <v>90.3</v>
      </c>
      <c r="PN34">
        <v>94.1</v>
      </c>
      <c r="PO34">
        <v>105.8</v>
      </c>
      <c r="PP34">
        <v>108.2</v>
      </c>
      <c r="PQ34">
        <v>120.5</v>
      </c>
      <c r="PR34">
        <v>110.7</v>
      </c>
      <c r="PS34">
        <v>101.3</v>
      </c>
      <c r="PT34">
        <v>100.5</v>
      </c>
      <c r="PU34">
        <v>100.6</v>
      </c>
      <c r="PV34">
        <v>107.8</v>
      </c>
      <c r="PW34">
        <v>110.5</v>
      </c>
      <c r="PX34">
        <v>102.6</v>
      </c>
      <c r="PY34">
        <v>89</v>
      </c>
      <c r="PZ34">
        <v>89.5</v>
      </c>
      <c r="QA34">
        <v>89.7</v>
      </c>
      <c r="QB34">
        <v>78.5</v>
      </c>
      <c r="QC34">
        <v>110.7</v>
      </c>
      <c r="QD34">
        <v>90.4</v>
      </c>
      <c r="QE34">
        <v>95.5</v>
      </c>
      <c r="QF34">
        <v>76.900000000000006</v>
      </c>
      <c r="QG34">
        <v>108.4</v>
      </c>
      <c r="QH34">
        <v>81.599999999999994</v>
      </c>
      <c r="QI34">
        <v>81.599999999999994</v>
      </c>
      <c r="QJ34">
        <v>91.2</v>
      </c>
      <c r="QK34">
        <v>96.9</v>
      </c>
      <c r="QL34">
        <v>96.9</v>
      </c>
      <c r="QM34">
        <v>92.2</v>
      </c>
      <c r="QN34">
        <v>82.6</v>
      </c>
      <c r="QO34">
        <v>86</v>
      </c>
      <c r="QQ34">
        <v>104.5</v>
      </c>
      <c r="QR34">
        <v>101.5</v>
      </c>
      <c r="QS34">
        <v>163.4</v>
      </c>
      <c r="QU34">
        <v>104.7</v>
      </c>
      <c r="QV34">
        <v>97.5</v>
      </c>
      <c r="QW34">
        <v>106.1</v>
      </c>
      <c r="QX34">
        <v>106.2</v>
      </c>
      <c r="QY34">
        <v>83.2</v>
      </c>
      <c r="QZ34">
        <v>86.2</v>
      </c>
      <c r="RA34">
        <v>81.099999999999994</v>
      </c>
      <c r="RB34">
        <v>76.5</v>
      </c>
      <c r="RD34">
        <v>92.5</v>
      </c>
      <c r="RE34">
        <v>112.1</v>
      </c>
      <c r="RF34">
        <v>117.4</v>
      </c>
      <c r="RG34">
        <v>126.7</v>
      </c>
      <c r="RH34">
        <v>124.2</v>
      </c>
      <c r="RI34">
        <v>98.5</v>
      </c>
      <c r="RJ34">
        <v>128.5</v>
      </c>
      <c r="RK34">
        <v>99.4</v>
      </c>
      <c r="RL34">
        <v>108.3</v>
      </c>
      <c r="RM34">
        <v>102.5</v>
      </c>
      <c r="RO34">
        <v>115.6</v>
      </c>
      <c r="RS34">
        <v>127.4</v>
      </c>
      <c r="RT34">
        <v>181.4</v>
      </c>
      <c r="RV34">
        <v>115</v>
      </c>
      <c r="RW34">
        <v>143.4</v>
      </c>
      <c r="RX34">
        <v>152.30000000000001</v>
      </c>
      <c r="SA34">
        <v>111.3</v>
      </c>
      <c r="SB34">
        <v>112.2</v>
      </c>
      <c r="SC34">
        <v>142.4</v>
      </c>
      <c r="SF34">
        <v>75</v>
      </c>
      <c r="SG34">
        <v>76.599999999999994</v>
      </c>
      <c r="SH34">
        <v>93.2</v>
      </c>
      <c r="SK34">
        <v>102</v>
      </c>
      <c r="SL34">
        <v>89.4</v>
      </c>
      <c r="SM34">
        <v>95.7</v>
      </c>
      <c r="SN34">
        <v>95.1</v>
      </c>
      <c r="SO34">
        <v>97.7</v>
      </c>
      <c r="SP34">
        <v>98.9</v>
      </c>
      <c r="SQ34">
        <v>94.7</v>
      </c>
      <c r="SR34">
        <v>95.2</v>
      </c>
      <c r="SS34">
        <v>93.5</v>
      </c>
      <c r="ST34">
        <v>93.5</v>
      </c>
      <c r="SU34">
        <v>93.2</v>
      </c>
      <c r="SV34">
        <v>93.5</v>
      </c>
      <c r="SX34">
        <v>92.1</v>
      </c>
      <c r="SZ34">
        <v>83.7</v>
      </c>
      <c r="TA34">
        <v>89</v>
      </c>
      <c r="TB34">
        <v>72.7</v>
      </c>
      <c r="TE34">
        <v>91.9</v>
      </c>
      <c r="TF34">
        <v>97.4</v>
      </c>
      <c r="TG34">
        <v>102</v>
      </c>
      <c r="TH34">
        <v>95.7</v>
      </c>
      <c r="TI34">
        <v>94.9</v>
      </c>
      <c r="TJ34">
        <v>98.6</v>
      </c>
      <c r="TK34">
        <v>87.5</v>
      </c>
      <c r="TL34">
        <v>84.5</v>
      </c>
      <c r="TN34">
        <v>90.1</v>
      </c>
      <c r="TO34">
        <v>75.599999999999994</v>
      </c>
      <c r="TP34">
        <v>79.8</v>
      </c>
      <c r="TT34">
        <v>96.3</v>
      </c>
      <c r="TU34">
        <v>86.9</v>
      </c>
      <c r="TV34">
        <v>84.8</v>
      </c>
      <c r="TW34">
        <v>105.1</v>
      </c>
      <c r="TX34">
        <v>104.7</v>
      </c>
      <c r="TY34">
        <v>96.2</v>
      </c>
      <c r="UC34">
        <v>116.2</v>
      </c>
      <c r="UD34">
        <v>91.9</v>
      </c>
      <c r="UE34">
        <v>146.6</v>
      </c>
      <c r="UF34">
        <v>79.400000000000006</v>
      </c>
      <c r="UG34">
        <v>95.2</v>
      </c>
      <c r="UH34">
        <v>124</v>
      </c>
      <c r="UJ34">
        <v>91.1</v>
      </c>
      <c r="UL34">
        <v>104.2</v>
      </c>
      <c r="UM34">
        <v>115.2</v>
      </c>
      <c r="UN34">
        <v>89.9</v>
      </c>
      <c r="UO34">
        <v>93.5</v>
      </c>
      <c r="UP34">
        <v>83</v>
      </c>
      <c r="UQ34">
        <v>331.5</v>
      </c>
      <c r="UR34">
        <v>107.9</v>
      </c>
      <c r="US34">
        <v>89.4</v>
      </c>
      <c r="UT34">
        <v>88.9</v>
      </c>
      <c r="UU34">
        <v>95.1</v>
      </c>
      <c r="UW34">
        <v>78.2</v>
      </c>
      <c r="UX34">
        <v>85.8</v>
      </c>
      <c r="UY34">
        <v>74.2</v>
      </c>
      <c r="UZ34">
        <v>83.8</v>
      </c>
      <c r="VB34">
        <v>87.7</v>
      </c>
      <c r="VD34">
        <v>118.2</v>
      </c>
      <c r="VE34">
        <v>1100.9000000000001</v>
      </c>
      <c r="VL34">
        <v>1660</v>
      </c>
      <c r="VM34">
        <v>83.6</v>
      </c>
      <c r="VN34">
        <v>89.6</v>
      </c>
      <c r="VO34">
        <v>105.6</v>
      </c>
      <c r="VP34">
        <v>88.9</v>
      </c>
      <c r="VQ34">
        <v>103.3</v>
      </c>
      <c r="VR34">
        <v>75.5</v>
      </c>
      <c r="VT34">
        <v>113.2</v>
      </c>
      <c r="VU34">
        <v>146.30000000000001</v>
      </c>
      <c r="VV34">
        <v>75.5</v>
      </c>
      <c r="VW34">
        <v>115.2</v>
      </c>
      <c r="VX34">
        <v>77.5</v>
      </c>
      <c r="VY34">
        <v>134.80000000000001</v>
      </c>
      <c r="WB34">
        <v>152</v>
      </c>
      <c r="WC34">
        <v>702.2</v>
      </c>
      <c r="WE34">
        <v>106.4</v>
      </c>
      <c r="WF34">
        <v>89</v>
      </c>
      <c r="WG34">
        <v>101.4</v>
      </c>
      <c r="WH34">
        <v>89</v>
      </c>
      <c r="WI34">
        <v>86.8</v>
      </c>
      <c r="WJ34">
        <v>91</v>
      </c>
      <c r="WK34">
        <v>87</v>
      </c>
      <c r="WL34">
        <v>103.1</v>
      </c>
      <c r="WN34">
        <v>97.2</v>
      </c>
      <c r="WP34">
        <v>98.9</v>
      </c>
      <c r="WQ34">
        <v>90.3</v>
      </c>
      <c r="WV34">
        <v>99.3</v>
      </c>
      <c r="WX34">
        <v>86.7</v>
      </c>
      <c r="WY34">
        <v>92</v>
      </c>
      <c r="WZ34">
        <v>91.5</v>
      </c>
      <c r="XA34">
        <v>92.4</v>
      </c>
      <c r="XB34">
        <v>69.2</v>
      </c>
      <c r="XD34">
        <v>65.3</v>
      </c>
      <c r="XE34">
        <v>80.900000000000006</v>
      </c>
      <c r="XF34">
        <v>74.599999999999994</v>
      </c>
      <c r="XG34">
        <v>84</v>
      </c>
      <c r="XH34">
        <v>96.9</v>
      </c>
      <c r="XI34">
        <v>110.4</v>
      </c>
      <c r="XJ34">
        <v>110.4</v>
      </c>
      <c r="XM34">
        <v>85.1</v>
      </c>
      <c r="XP34">
        <v>90.2</v>
      </c>
      <c r="XR34">
        <v>82.9</v>
      </c>
      <c r="XT34">
        <v>96.2</v>
      </c>
      <c r="XU34">
        <v>102.9</v>
      </c>
      <c r="XV34">
        <v>101.5</v>
      </c>
      <c r="XW34">
        <v>105.1</v>
      </c>
      <c r="XZ34">
        <v>101.5</v>
      </c>
      <c r="YA34">
        <v>98.4</v>
      </c>
      <c r="YC34">
        <v>74.900000000000006</v>
      </c>
      <c r="YD34">
        <v>88.4</v>
      </c>
      <c r="YE34">
        <v>101.9</v>
      </c>
      <c r="YF34">
        <v>149.1</v>
      </c>
      <c r="YG34">
        <v>88.4</v>
      </c>
      <c r="YJ34">
        <v>85.5</v>
      </c>
      <c r="YK34">
        <v>68.5</v>
      </c>
      <c r="YL34">
        <v>91.7</v>
      </c>
      <c r="YM34">
        <v>101.5</v>
      </c>
      <c r="YO34">
        <v>192.4</v>
      </c>
      <c r="YT34">
        <v>86.9</v>
      </c>
      <c r="YU34">
        <v>93.1</v>
      </c>
      <c r="YW34">
        <v>95.7</v>
      </c>
      <c r="YX34">
        <v>89.4</v>
      </c>
      <c r="YY34">
        <v>89.7</v>
      </c>
      <c r="ZB34">
        <v>109.7</v>
      </c>
      <c r="ZC34">
        <v>215</v>
      </c>
      <c r="ZD34">
        <v>380.8</v>
      </c>
      <c r="ZE34">
        <v>119.7</v>
      </c>
      <c r="ZF34">
        <v>110.7</v>
      </c>
      <c r="ZG34">
        <v>115.9</v>
      </c>
      <c r="ZK34">
        <v>98.4</v>
      </c>
      <c r="ZL34">
        <v>103.8</v>
      </c>
      <c r="ZM34">
        <v>124.4</v>
      </c>
      <c r="ZN34">
        <v>103.6</v>
      </c>
      <c r="ZO34">
        <v>104.8</v>
      </c>
      <c r="ZP34">
        <v>109.5</v>
      </c>
      <c r="ZQ34">
        <v>101</v>
      </c>
      <c r="ZT34">
        <v>102.4</v>
      </c>
      <c r="ZU34">
        <v>96.7</v>
      </c>
      <c r="ZW34">
        <v>94.9</v>
      </c>
      <c r="ZY34">
        <v>95.5</v>
      </c>
      <c r="AAC34">
        <v>71.099999999999994</v>
      </c>
      <c r="AAD34">
        <v>68.599999999999994</v>
      </c>
      <c r="AAE34">
        <v>123.5</v>
      </c>
      <c r="AAG34">
        <v>58.4</v>
      </c>
      <c r="AAH34">
        <v>128.1</v>
      </c>
      <c r="AAI34">
        <v>72.599999999999994</v>
      </c>
      <c r="AAJ34">
        <v>51.4</v>
      </c>
      <c r="AAK34">
        <v>100.1</v>
      </c>
      <c r="AAL34">
        <v>99.8</v>
      </c>
      <c r="AAM34">
        <v>108.3</v>
      </c>
      <c r="AAN34">
        <v>91.9</v>
      </c>
      <c r="AAO34">
        <v>46.9</v>
      </c>
      <c r="AAP34">
        <v>45.6</v>
      </c>
      <c r="AAQ34">
        <v>50.6</v>
      </c>
      <c r="AAR34">
        <v>90.7</v>
      </c>
      <c r="AAX34">
        <v>79.8</v>
      </c>
      <c r="ABB34">
        <v>81.5</v>
      </c>
      <c r="ABC34">
        <v>82.7</v>
      </c>
      <c r="ABD34">
        <v>86.3</v>
      </c>
      <c r="ABE34">
        <v>71.2</v>
      </c>
      <c r="ABF34">
        <v>98.8</v>
      </c>
      <c r="ABG34">
        <v>90.1</v>
      </c>
      <c r="ABH34">
        <v>97.6</v>
      </c>
      <c r="ABI34">
        <v>99.5</v>
      </c>
      <c r="ABJ34">
        <v>106</v>
      </c>
      <c r="ABK34">
        <v>98.4</v>
      </c>
      <c r="ABL34">
        <v>82.4</v>
      </c>
      <c r="ABM34">
        <v>100.6</v>
      </c>
      <c r="ABN34">
        <v>104.2</v>
      </c>
      <c r="ABO34">
        <v>99.6</v>
      </c>
      <c r="ABP34">
        <v>115.7</v>
      </c>
    </row>
    <row r="35" spans="1:745">
      <c r="A35">
        <v>1998</v>
      </c>
      <c r="B35">
        <v>98.3</v>
      </c>
      <c r="C35">
        <v>89.6</v>
      </c>
      <c r="D35">
        <v>99.6</v>
      </c>
      <c r="E35">
        <v>112.1</v>
      </c>
      <c r="F35">
        <v>116.3</v>
      </c>
      <c r="G35">
        <v>110.6</v>
      </c>
      <c r="H35">
        <v>89</v>
      </c>
      <c r="I35">
        <v>89.9</v>
      </c>
      <c r="J35">
        <v>89.6</v>
      </c>
      <c r="L35">
        <v>91.8</v>
      </c>
      <c r="M35">
        <v>96.1</v>
      </c>
      <c r="N35">
        <v>88.4</v>
      </c>
      <c r="O35">
        <v>90.8</v>
      </c>
      <c r="P35">
        <v>85.6</v>
      </c>
      <c r="Q35">
        <v>101</v>
      </c>
      <c r="R35">
        <v>108.8</v>
      </c>
      <c r="S35">
        <v>74.599999999999994</v>
      </c>
      <c r="T35">
        <v>125.1</v>
      </c>
      <c r="V35">
        <v>80.3</v>
      </c>
      <c r="W35">
        <v>83.3</v>
      </c>
      <c r="X35">
        <v>99.9</v>
      </c>
      <c r="Y35">
        <v>103.5</v>
      </c>
      <c r="Z35">
        <v>93.1</v>
      </c>
      <c r="AA35">
        <v>97.9</v>
      </c>
      <c r="AB35">
        <v>65.7</v>
      </c>
      <c r="AC35">
        <v>87.1</v>
      </c>
      <c r="AD35">
        <v>70.2</v>
      </c>
      <c r="AE35">
        <v>88.5</v>
      </c>
      <c r="AF35">
        <v>93.6</v>
      </c>
      <c r="AG35">
        <v>60.9</v>
      </c>
      <c r="AH35">
        <v>70.900000000000006</v>
      </c>
      <c r="AI35">
        <v>102.2</v>
      </c>
      <c r="AJ35">
        <v>74.099999999999994</v>
      </c>
      <c r="AK35">
        <v>74.599999999999994</v>
      </c>
      <c r="AL35">
        <v>69.5</v>
      </c>
      <c r="AM35">
        <v>71.599999999999994</v>
      </c>
      <c r="AN35">
        <v>65.5</v>
      </c>
      <c r="AO35">
        <v>82.4</v>
      </c>
      <c r="AP35">
        <v>65.5</v>
      </c>
      <c r="AQ35">
        <v>80.8</v>
      </c>
      <c r="AR35">
        <v>97.3</v>
      </c>
      <c r="AS35">
        <v>76.099999999999994</v>
      </c>
      <c r="AU35">
        <v>90.4</v>
      </c>
      <c r="AV35">
        <v>86.4</v>
      </c>
      <c r="AW35">
        <v>93</v>
      </c>
      <c r="AX35">
        <v>92.5</v>
      </c>
      <c r="AY35">
        <v>74</v>
      </c>
      <c r="AZ35">
        <v>82.2</v>
      </c>
      <c r="BA35">
        <v>71.8</v>
      </c>
      <c r="BB35">
        <v>74.400000000000006</v>
      </c>
      <c r="BC35">
        <v>75.8</v>
      </c>
      <c r="BD35">
        <v>78.7</v>
      </c>
      <c r="BE35">
        <v>74.3</v>
      </c>
      <c r="BF35">
        <v>68.3</v>
      </c>
      <c r="BG35">
        <v>68.7</v>
      </c>
      <c r="BH35">
        <v>75.099999999999994</v>
      </c>
      <c r="BJ35">
        <v>79</v>
      </c>
      <c r="BK35">
        <v>99.6</v>
      </c>
      <c r="BL35">
        <v>108.2</v>
      </c>
      <c r="BM35">
        <v>97.9</v>
      </c>
      <c r="BN35">
        <v>85.4</v>
      </c>
      <c r="BP35">
        <v>87.6</v>
      </c>
      <c r="BQ35">
        <v>91.4</v>
      </c>
      <c r="BR35">
        <v>89.4</v>
      </c>
      <c r="BS35">
        <v>96.7</v>
      </c>
      <c r="BT35">
        <v>95.3</v>
      </c>
      <c r="BU35">
        <v>98.1</v>
      </c>
      <c r="BV35">
        <v>105.4</v>
      </c>
      <c r="BW35">
        <v>74.2</v>
      </c>
      <c r="BX35">
        <v>78.400000000000006</v>
      </c>
      <c r="BY35">
        <v>82.1</v>
      </c>
      <c r="BZ35">
        <v>75.599999999999994</v>
      </c>
      <c r="CA35">
        <v>75.599999999999994</v>
      </c>
      <c r="CB35">
        <v>93.2</v>
      </c>
      <c r="CC35">
        <v>95.1</v>
      </c>
      <c r="CD35">
        <v>125.9</v>
      </c>
      <c r="CE35">
        <v>75.3</v>
      </c>
      <c r="CF35">
        <v>116.2</v>
      </c>
      <c r="CG35">
        <v>113.4</v>
      </c>
      <c r="CH35">
        <v>129.69999999999999</v>
      </c>
      <c r="CI35">
        <v>111.6</v>
      </c>
      <c r="CJ35">
        <v>108.2</v>
      </c>
      <c r="CL35">
        <v>77.2</v>
      </c>
      <c r="CM35">
        <v>71.599999999999994</v>
      </c>
      <c r="CN35">
        <v>55.1</v>
      </c>
      <c r="CO35">
        <v>110.1</v>
      </c>
      <c r="CP35">
        <v>94.7</v>
      </c>
      <c r="CQ35">
        <v>85.3</v>
      </c>
      <c r="CR35">
        <v>89.3</v>
      </c>
      <c r="CS35">
        <v>72.2</v>
      </c>
      <c r="CT35">
        <v>81.400000000000006</v>
      </c>
      <c r="CW35">
        <v>71.8</v>
      </c>
      <c r="CX35">
        <v>66.099999999999994</v>
      </c>
      <c r="CY35">
        <v>80.400000000000006</v>
      </c>
      <c r="CZ35">
        <v>77.7</v>
      </c>
      <c r="DA35">
        <v>87.2</v>
      </c>
      <c r="DB35">
        <v>68.400000000000006</v>
      </c>
      <c r="DC35">
        <v>112.3</v>
      </c>
      <c r="DD35">
        <v>142.69999999999999</v>
      </c>
      <c r="DE35">
        <v>148.1</v>
      </c>
      <c r="DG35">
        <v>90</v>
      </c>
      <c r="DH35">
        <v>70</v>
      </c>
      <c r="DI35">
        <v>72.2</v>
      </c>
      <c r="DJ35">
        <v>85</v>
      </c>
      <c r="DK35">
        <v>57.1</v>
      </c>
      <c r="DL35">
        <v>65.599999999999994</v>
      </c>
      <c r="DN35">
        <v>106.5</v>
      </c>
      <c r="DO35">
        <v>100.4</v>
      </c>
      <c r="DP35">
        <v>98.5</v>
      </c>
      <c r="DQ35">
        <v>127.5</v>
      </c>
      <c r="DR35">
        <v>91.3</v>
      </c>
      <c r="DS35">
        <v>109.7</v>
      </c>
      <c r="DT35">
        <v>77.2</v>
      </c>
      <c r="DU35">
        <v>88.8</v>
      </c>
      <c r="DV35">
        <v>90.3</v>
      </c>
      <c r="DW35">
        <v>104.2</v>
      </c>
      <c r="DX35">
        <v>80.400000000000006</v>
      </c>
      <c r="DY35">
        <v>101.8</v>
      </c>
      <c r="DZ35">
        <v>78</v>
      </c>
      <c r="EA35">
        <v>77.3</v>
      </c>
      <c r="EB35">
        <v>79.599999999999994</v>
      </c>
      <c r="EC35">
        <v>78.5</v>
      </c>
      <c r="ED35">
        <v>86.7</v>
      </c>
      <c r="EF35">
        <v>61.6</v>
      </c>
      <c r="EG35">
        <v>68.3</v>
      </c>
      <c r="EH35">
        <v>63</v>
      </c>
      <c r="EI35">
        <v>97</v>
      </c>
      <c r="EJ35">
        <v>67.2</v>
      </c>
      <c r="EK35">
        <v>74.900000000000006</v>
      </c>
      <c r="EL35">
        <v>85.4</v>
      </c>
      <c r="EM35">
        <v>77.3</v>
      </c>
      <c r="EN35">
        <v>86.2</v>
      </c>
      <c r="EO35">
        <v>70.2</v>
      </c>
      <c r="ER35">
        <v>93.7</v>
      </c>
      <c r="ET35">
        <v>106.1</v>
      </c>
      <c r="EU35">
        <v>115.5</v>
      </c>
      <c r="EV35">
        <v>130.5</v>
      </c>
      <c r="EW35">
        <v>75.3</v>
      </c>
      <c r="EX35">
        <v>105</v>
      </c>
      <c r="EY35">
        <v>94.2</v>
      </c>
      <c r="EZ35">
        <v>108</v>
      </c>
      <c r="FA35">
        <v>108.7</v>
      </c>
      <c r="FB35">
        <v>103.3</v>
      </c>
      <c r="FC35">
        <v>103.7</v>
      </c>
      <c r="FD35">
        <v>120.6</v>
      </c>
      <c r="FE35">
        <v>141.4</v>
      </c>
      <c r="FF35">
        <v>108.4</v>
      </c>
      <c r="FI35">
        <v>99.6</v>
      </c>
      <c r="FJ35">
        <v>88.8</v>
      </c>
      <c r="FK35">
        <v>110.9</v>
      </c>
      <c r="FL35">
        <v>97.8</v>
      </c>
      <c r="FM35">
        <v>101.9</v>
      </c>
      <c r="FQ35">
        <v>82.1</v>
      </c>
      <c r="FR35">
        <v>78.5</v>
      </c>
      <c r="FS35">
        <v>84</v>
      </c>
      <c r="FU35">
        <v>91.3</v>
      </c>
      <c r="FV35">
        <v>68.8</v>
      </c>
      <c r="FW35">
        <v>115</v>
      </c>
      <c r="FX35">
        <v>86.6</v>
      </c>
      <c r="FY35">
        <v>85.9</v>
      </c>
      <c r="GA35">
        <v>99.2</v>
      </c>
      <c r="GB35">
        <v>74.8</v>
      </c>
      <c r="GC35">
        <v>84</v>
      </c>
      <c r="GD35">
        <v>77.599999999999994</v>
      </c>
      <c r="GE35">
        <v>93.2</v>
      </c>
      <c r="GF35">
        <v>86.7</v>
      </c>
      <c r="GG35">
        <v>85</v>
      </c>
      <c r="GH35">
        <v>98.2</v>
      </c>
      <c r="GI35">
        <v>87.3</v>
      </c>
      <c r="GJ35">
        <v>90.2</v>
      </c>
      <c r="GM35">
        <v>85.3</v>
      </c>
      <c r="GP35">
        <v>82.2</v>
      </c>
      <c r="GU35">
        <v>85.4</v>
      </c>
      <c r="GV35">
        <v>52.5</v>
      </c>
      <c r="GW35">
        <v>79.599999999999994</v>
      </c>
      <c r="GX35">
        <v>89.7</v>
      </c>
      <c r="GY35">
        <v>85.5</v>
      </c>
      <c r="HA35">
        <v>107.3</v>
      </c>
      <c r="HD35">
        <v>97.4</v>
      </c>
      <c r="HG35">
        <v>108.7</v>
      </c>
      <c r="HH35">
        <v>122.1</v>
      </c>
      <c r="HO35">
        <v>120.3</v>
      </c>
      <c r="HP35">
        <v>122.8</v>
      </c>
      <c r="HQ35">
        <v>101.8</v>
      </c>
      <c r="HR35">
        <v>98.7</v>
      </c>
      <c r="HS35">
        <v>168.1</v>
      </c>
      <c r="HT35">
        <v>118.9</v>
      </c>
      <c r="HU35">
        <v>105.3</v>
      </c>
      <c r="HV35">
        <v>124.5</v>
      </c>
      <c r="HY35">
        <v>120</v>
      </c>
      <c r="HZ35">
        <v>99.7</v>
      </c>
      <c r="IA35">
        <v>130.9</v>
      </c>
      <c r="IB35">
        <v>106.8</v>
      </c>
      <c r="IC35">
        <v>140.1</v>
      </c>
      <c r="IE35">
        <v>86.1</v>
      </c>
      <c r="IH35">
        <v>129.69999999999999</v>
      </c>
      <c r="IJ35">
        <v>104.9</v>
      </c>
      <c r="IK35">
        <v>122.6</v>
      </c>
      <c r="IL35">
        <v>95.9</v>
      </c>
      <c r="IM35">
        <v>104.8</v>
      </c>
      <c r="IO35">
        <v>96.3</v>
      </c>
      <c r="IP35">
        <v>105.7</v>
      </c>
      <c r="IQ35">
        <v>97.6</v>
      </c>
      <c r="IT35">
        <v>86.9</v>
      </c>
      <c r="IU35">
        <v>86.8</v>
      </c>
      <c r="IV35">
        <v>83.5</v>
      </c>
      <c r="IX35">
        <v>84.1</v>
      </c>
      <c r="IY35">
        <v>89</v>
      </c>
      <c r="JA35">
        <v>85.6</v>
      </c>
      <c r="JB35">
        <v>88.3</v>
      </c>
      <c r="JC35">
        <v>86.5</v>
      </c>
      <c r="JE35">
        <v>91.1</v>
      </c>
      <c r="JH35">
        <v>92.1</v>
      </c>
      <c r="JI35">
        <v>90.7</v>
      </c>
      <c r="JK35">
        <v>94.2</v>
      </c>
      <c r="JL35">
        <v>86.6</v>
      </c>
      <c r="JM35">
        <v>105.5</v>
      </c>
      <c r="JO35">
        <v>88.8</v>
      </c>
      <c r="JQ35">
        <v>87</v>
      </c>
      <c r="JS35">
        <v>89.5</v>
      </c>
      <c r="JT35">
        <v>89.5</v>
      </c>
      <c r="JU35">
        <v>89.5</v>
      </c>
      <c r="JV35">
        <v>101.2</v>
      </c>
      <c r="JW35">
        <v>102.5</v>
      </c>
      <c r="JX35">
        <v>106.9</v>
      </c>
      <c r="JY35">
        <v>106.9</v>
      </c>
      <c r="JZ35">
        <v>97.2</v>
      </c>
      <c r="KA35">
        <v>102.5</v>
      </c>
      <c r="KB35">
        <v>91.2</v>
      </c>
      <c r="KC35">
        <v>101.8</v>
      </c>
      <c r="KD35">
        <v>101.8</v>
      </c>
      <c r="KE35">
        <v>93.5</v>
      </c>
      <c r="KF35">
        <v>110.4</v>
      </c>
      <c r="KG35">
        <v>99.5</v>
      </c>
      <c r="KL35">
        <v>73.599999999999994</v>
      </c>
      <c r="KM35">
        <v>88.6</v>
      </c>
      <c r="KN35">
        <v>88.6</v>
      </c>
      <c r="KO35">
        <v>71.400000000000006</v>
      </c>
      <c r="KP35">
        <v>83.9</v>
      </c>
      <c r="KS35">
        <v>89.8</v>
      </c>
      <c r="KT35">
        <v>82</v>
      </c>
      <c r="KU35">
        <v>102.2</v>
      </c>
      <c r="KX35">
        <v>91</v>
      </c>
      <c r="KY35">
        <v>82</v>
      </c>
      <c r="KZ35">
        <v>88.2</v>
      </c>
      <c r="LA35">
        <v>88.2</v>
      </c>
      <c r="LB35">
        <v>81.900000000000006</v>
      </c>
      <c r="LC35">
        <v>92</v>
      </c>
      <c r="LD35">
        <v>70.099999999999994</v>
      </c>
      <c r="LE35">
        <v>52.6</v>
      </c>
      <c r="LF35">
        <v>52.6</v>
      </c>
      <c r="LG35">
        <v>84.4</v>
      </c>
      <c r="LH35">
        <v>89.1</v>
      </c>
      <c r="LI35">
        <v>76.7</v>
      </c>
      <c r="LJ35">
        <v>140.9</v>
      </c>
      <c r="LK35">
        <v>275.3</v>
      </c>
      <c r="LL35">
        <v>552.70000000000005</v>
      </c>
      <c r="LM35">
        <v>725.5</v>
      </c>
      <c r="LN35">
        <v>251.1</v>
      </c>
      <c r="LO35">
        <v>191.9</v>
      </c>
      <c r="LP35">
        <v>1333.1</v>
      </c>
      <c r="LQ35">
        <v>586.9</v>
      </c>
      <c r="LR35">
        <v>606</v>
      </c>
      <c r="LT35">
        <v>211.6</v>
      </c>
      <c r="LU35">
        <v>272.89999999999998</v>
      </c>
      <c r="LV35">
        <v>158.1</v>
      </c>
      <c r="LX35">
        <v>97.7</v>
      </c>
      <c r="LY35">
        <v>92.9</v>
      </c>
      <c r="MA35">
        <v>104.3</v>
      </c>
      <c r="MB35">
        <v>147.9</v>
      </c>
      <c r="MC35">
        <v>390.8</v>
      </c>
      <c r="MD35">
        <v>133.80000000000001</v>
      </c>
      <c r="ME35">
        <v>109</v>
      </c>
      <c r="MG35">
        <v>109.2</v>
      </c>
      <c r="MH35">
        <v>93.4</v>
      </c>
      <c r="MI35">
        <v>115.2</v>
      </c>
      <c r="MJ35">
        <v>100.1</v>
      </c>
      <c r="MK35">
        <v>122.7</v>
      </c>
      <c r="MM35">
        <v>91.2</v>
      </c>
      <c r="MN35">
        <v>90.8</v>
      </c>
      <c r="MO35">
        <v>88.7</v>
      </c>
      <c r="MP35">
        <v>92</v>
      </c>
      <c r="MQ35">
        <v>83.4</v>
      </c>
      <c r="MS35">
        <v>91.7</v>
      </c>
      <c r="MU35">
        <v>83.5</v>
      </c>
      <c r="MV35">
        <v>98.4</v>
      </c>
      <c r="MW35">
        <v>85.5</v>
      </c>
      <c r="MX35">
        <v>90.5</v>
      </c>
      <c r="NB35">
        <v>113.7</v>
      </c>
      <c r="NC35">
        <v>100</v>
      </c>
      <c r="ND35">
        <v>109</v>
      </c>
      <c r="NE35">
        <v>94.4</v>
      </c>
      <c r="NF35">
        <v>133.69999999999999</v>
      </c>
      <c r="NG35">
        <v>131.30000000000001</v>
      </c>
      <c r="NH35">
        <v>136.6</v>
      </c>
      <c r="NI35">
        <v>108.4</v>
      </c>
      <c r="NJ35">
        <v>113.9</v>
      </c>
      <c r="NL35">
        <v>99.6</v>
      </c>
      <c r="NM35">
        <v>147</v>
      </c>
      <c r="NN35">
        <v>107.9</v>
      </c>
      <c r="NQ35">
        <v>91.2</v>
      </c>
      <c r="NR35">
        <v>85.8</v>
      </c>
      <c r="NS35">
        <v>85.8</v>
      </c>
      <c r="NT35">
        <v>91.8</v>
      </c>
      <c r="NW35">
        <v>95.4</v>
      </c>
      <c r="NX35">
        <v>95.4</v>
      </c>
      <c r="NY35">
        <v>99.3</v>
      </c>
      <c r="NZ35">
        <v>103.9</v>
      </c>
      <c r="OA35">
        <v>106.5</v>
      </c>
      <c r="OB35">
        <v>108.6</v>
      </c>
      <c r="OC35">
        <v>100.9</v>
      </c>
      <c r="OD35">
        <v>103.7</v>
      </c>
      <c r="OE35">
        <v>92.1</v>
      </c>
      <c r="OF35">
        <v>81.099999999999994</v>
      </c>
      <c r="OH35">
        <v>88.3</v>
      </c>
      <c r="OJ35">
        <v>84.5</v>
      </c>
      <c r="OK35">
        <v>91.4</v>
      </c>
      <c r="OL35">
        <v>86.5</v>
      </c>
      <c r="OM35">
        <v>96.5</v>
      </c>
      <c r="ON35">
        <v>116.5</v>
      </c>
      <c r="OO35">
        <v>84.8</v>
      </c>
      <c r="OP35">
        <v>97.2</v>
      </c>
      <c r="OQ35">
        <v>106.2</v>
      </c>
      <c r="OS35">
        <v>90.8</v>
      </c>
      <c r="OU35">
        <v>91.2</v>
      </c>
      <c r="OV35">
        <v>96</v>
      </c>
      <c r="OW35">
        <v>104.4</v>
      </c>
      <c r="OX35">
        <v>92.5</v>
      </c>
      <c r="OY35">
        <v>79.900000000000006</v>
      </c>
      <c r="OZ35">
        <v>78.5</v>
      </c>
      <c r="PA35">
        <v>127.7</v>
      </c>
      <c r="PB35">
        <v>111.3</v>
      </c>
      <c r="PC35">
        <v>84.3</v>
      </c>
      <c r="PD35">
        <v>192.9</v>
      </c>
      <c r="PG35">
        <v>109.5</v>
      </c>
      <c r="PH35">
        <v>98.4</v>
      </c>
      <c r="PI35">
        <v>102.5</v>
      </c>
      <c r="PJ35">
        <v>96.7</v>
      </c>
      <c r="PK35">
        <v>117.3</v>
      </c>
      <c r="PL35">
        <v>90</v>
      </c>
      <c r="PM35">
        <v>90</v>
      </c>
      <c r="PN35">
        <v>95.4</v>
      </c>
      <c r="PO35">
        <v>105.1</v>
      </c>
      <c r="PP35">
        <v>109</v>
      </c>
      <c r="PQ35">
        <v>116.6</v>
      </c>
      <c r="PR35">
        <v>110.3</v>
      </c>
      <c r="PS35">
        <v>98</v>
      </c>
      <c r="PT35">
        <v>100.7</v>
      </c>
      <c r="PU35">
        <v>101.5</v>
      </c>
      <c r="PV35">
        <v>109.9</v>
      </c>
      <c r="PW35">
        <v>111.8</v>
      </c>
      <c r="PX35">
        <v>105.3</v>
      </c>
      <c r="PY35">
        <v>89.2</v>
      </c>
      <c r="PZ35">
        <v>89.6</v>
      </c>
      <c r="QA35">
        <v>89.8</v>
      </c>
      <c r="QB35">
        <v>78.5</v>
      </c>
      <c r="QC35">
        <v>112.1</v>
      </c>
      <c r="QD35">
        <v>90.6</v>
      </c>
      <c r="QE35">
        <v>95.4</v>
      </c>
      <c r="QF35">
        <v>77.400000000000006</v>
      </c>
      <c r="QG35">
        <v>108.3</v>
      </c>
      <c r="QH35">
        <v>81.900000000000006</v>
      </c>
      <c r="QI35">
        <v>81.900000000000006</v>
      </c>
      <c r="QJ35">
        <v>91.6</v>
      </c>
      <c r="QK35">
        <v>97.3</v>
      </c>
      <c r="QL35">
        <v>96.5</v>
      </c>
      <c r="QM35">
        <v>94.2</v>
      </c>
      <c r="QN35">
        <v>83.3</v>
      </c>
      <c r="QO35">
        <v>87.7</v>
      </c>
      <c r="QQ35">
        <v>104.8</v>
      </c>
      <c r="QR35">
        <v>102.7</v>
      </c>
      <c r="QS35">
        <v>161.69999999999999</v>
      </c>
      <c r="QU35">
        <v>103.1</v>
      </c>
      <c r="QV35">
        <v>97.5</v>
      </c>
      <c r="QW35">
        <v>106.6</v>
      </c>
      <c r="QX35">
        <v>107</v>
      </c>
      <c r="QY35">
        <v>83.4</v>
      </c>
      <c r="QZ35">
        <v>86.2</v>
      </c>
      <c r="RA35">
        <v>81.3</v>
      </c>
      <c r="RB35">
        <v>77.400000000000006</v>
      </c>
      <c r="RD35">
        <v>96.1</v>
      </c>
      <c r="RE35">
        <v>111.6</v>
      </c>
      <c r="RF35">
        <v>115.5</v>
      </c>
      <c r="RG35">
        <v>126.4</v>
      </c>
      <c r="RH35">
        <v>123.3</v>
      </c>
      <c r="RI35">
        <v>97.9</v>
      </c>
      <c r="RJ35">
        <v>127.8</v>
      </c>
      <c r="RK35">
        <v>99.6</v>
      </c>
      <c r="RL35">
        <v>108.2</v>
      </c>
      <c r="RM35">
        <v>103.7</v>
      </c>
      <c r="RO35">
        <v>115.3</v>
      </c>
      <c r="RS35">
        <v>125.5</v>
      </c>
      <c r="RT35">
        <v>170.7</v>
      </c>
      <c r="RV35">
        <v>112.3</v>
      </c>
      <c r="RW35">
        <v>142.19999999999999</v>
      </c>
      <c r="RX35">
        <v>147.9</v>
      </c>
      <c r="SA35">
        <v>112.6</v>
      </c>
      <c r="SB35">
        <v>106.4</v>
      </c>
      <c r="SC35">
        <v>139.9</v>
      </c>
      <c r="SF35">
        <v>81.3</v>
      </c>
      <c r="SG35">
        <v>84.2</v>
      </c>
      <c r="SH35">
        <v>94.1</v>
      </c>
      <c r="SK35">
        <v>100.2</v>
      </c>
      <c r="SL35">
        <v>89.7</v>
      </c>
      <c r="SM35">
        <v>95.7</v>
      </c>
      <c r="SN35">
        <v>95.1</v>
      </c>
      <c r="SO35">
        <v>97.7</v>
      </c>
      <c r="SP35">
        <v>98.9</v>
      </c>
      <c r="SQ35">
        <v>94.7</v>
      </c>
      <c r="SR35">
        <v>95.2</v>
      </c>
      <c r="SS35">
        <v>93.8</v>
      </c>
      <c r="ST35">
        <v>93.5</v>
      </c>
      <c r="SU35">
        <v>94.7</v>
      </c>
      <c r="SV35">
        <v>94.1</v>
      </c>
      <c r="SX35">
        <v>93.2</v>
      </c>
      <c r="SZ35">
        <v>83.7</v>
      </c>
      <c r="TA35">
        <v>90.5</v>
      </c>
      <c r="TB35">
        <v>72.8</v>
      </c>
      <c r="TE35">
        <v>89.2</v>
      </c>
      <c r="TF35">
        <v>97.2</v>
      </c>
      <c r="TG35">
        <v>101.2</v>
      </c>
      <c r="TH35">
        <v>95.7</v>
      </c>
      <c r="TI35">
        <v>94.9</v>
      </c>
      <c r="TJ35">
        <v>98.7</v>
      </c>
      <c r="TK35">
        <v>85.8</v>
      </c>
      <c r="TL35">
        <v>82.9</v>
      </c>
      <c r="TN35">
        <v>86.6</v>
      </c>
      <c r="TO35">
        <v>69.2</v>
      </c>
      <c r="TP35">
        <v>77.099999999999994</v>
      </c>
      <c r="TT35">
        <v>94</v>
      </c>
      <c r="TU35">
        <v>88.1</v>
      </c>
      <c r="TV35">
        <v>84.9</v>
      </c>
      <c r="TW35">
        <v>105.2</v>
      </c>
      <c r="TX35">
        <v>104.7</v>
      </c>
      <c r="TY35">
        <v>96.2</v>
      </c>
      <c r="UC35">
        <v>115</v>
      </c>
      <c r="UD35">
        <v>89.9</v>
      </c>
      <c r="UE35">
        <v>143.30000000000001</v>
      </c>
      <c r="UF35">
        <v>79.400000000000006</v>
      </c>
      <c r="UG35">
        <v>95.2</v>
      </c>
      <c r="UH35">
        <v>120.9</v>
      </c>
      <c r="UJ35">
        <v>91.1</v>
      </c>
      <c r="UL35">
        <v>105.9</v>
      </c>
      <c r="UM35">
        <v>117.6</v>
      </c>
      <c r="UN35">
        <v>91.5</v>
      </c>
      <c r="UO35">
        <v>94.5</v>
      </c>
      <c r="UP35">
        <v>85.2</v>
      </c>
      <c r="UQ35">
        <v>336.3</v>
      </c>
      <c r="UR35">
        <v>110.2</v>
      </c>
      <c r="US35">
        <v>92.1</v>
      </c>
      <c r="UT35">
        <v>90.6</v>
      </c>
      <c r="UU35">
        <v>97</v>
      </c>
      <c r="UW35">
        <v>79.2</v>
      </c>
      <c r="UX35">
        <v>89.1</v>
      </c>
      <c r="UY35">
        <v>74.5</v>
      </c>
      <c r="UZ35">
        <v>84.8</v>
      </c>
      <c r="VB35">
        <v>88.7</v>
      </c>
      <c r="VD35">
        <v>117.5</v>
      </c>
      <c r="VE35">
        <v>1070.4000000000001</v>
      </c>
      <c r="VL35">
        <v>1562.3</v>
      </c>
      <c r="VM35">
        <v>85.1</v>
      </c>
      <c r="VN35">
        <v>98.9</v>
      </c>
      <c r="VO35">
        <v>105.6</v>
      </c>
      <c r="VP35">
        <v>88.6</v>
      </c>
      <c r="VQ35">
        <v>103.5</v>
      </c>
      <c r="VR35">
        <v>74.900000000000006</v>
      </c>
      <c r="VT35">
        <v>112.7</v>
      </c>
      <c r="VU35">
        <v>147.9</v>
      </c>
      <c r="VV35">
        <v>76.400000000000006</v>
      </c>
      <c r="VW35">
        <v>114</v>
      </c>
      <c r="VX35">
        <v>77.099999999999994</v>
      </c>
      <c r="VY35">
        <v>133.9</v>
      </c>
      <c r="WB35">
        <v>148.69999999999999</v>
      </c>
      <c r="WC35">
        <v>651.9</v>
      </c>
      <c r="WE35">
        <v>103.5</v>
      </c>
      <c r="WF35">
        <v>89.4</v>
      </c>
      <c r="WG35">
        <v>101.3</v>
      </c>
      <c r="WH35">
        <v>90.7</v>
      </c>
      <c r="WI35">
        <v>88.3</v>
      </c>
      <c r="WJ35">
        <v>94.9</v>
      </c>
      <c r="WK35">
        <v>85.1</v>
      </c>
      <c r="WL35">
        <v>103.4</v>
      </c>
      <c r="WN35">
        <v>97.5</v>
      </c>
      <c r="WP35">
        <v>96.7</v>
      </c>
      <c r="WQ35">
        <v>90.5</v>
      </c>
      <c r="WV35">
        <v>98.6</v>
      </c>
      <c r="WX35">
        <v>87</v>
      </c>
      <c r="WY35">
        <v>92</v>
      </c>
      <c r="WZ35">
        <v>91.5</v>
      </c>
      <c r="XA35">
        <v>92.4</v>
      </c>
      <c r="XB35">
        <v>70.5</v>
      </c>
      <c r="XD35">
        <v>67</v>
      </c>
      <c r="XE35">
        <v>81.8</v>
      </c>
      <c r="XF35">
        <v>76.099999999999994</v>
      </c>
      <c r="XG35">
        <v>84.4</v>
      </c>
      <c r="XH35">
        <v>96.2</v>
      </c>
      <c r="XI35">
        <v>108.4</v>
      </c>
      <c r="XJ35">
        <v>108.4</v>
      </c>
      <c r="XM35">
        <v>85.8</v>
      </c>
      <c r="XP35">
        <v>90.9</v>
      </c>
      <c r="XR35">
        <v>83.4</v>
      </c>
      <c r="XT35">
        <v>96.4</v>
      </c>
      <c r="XU35">
        <v>102.1</v>
      </c>
      <c r="XV35">
        <v>101.5</v>
      </c>
      <c r="XW35">
        <v>105.1</v>
      </c>
      <c r="XZ35">
        <v>100.5</v>
      </c>
      <c r="YA35">
        <v>98.6</v>
      </c>
      <c r="YC35">
        <v>75.900000000000006</v>
      </c>
      <c r="YD35">
        <v>89.3</v>
      </c>
      <c r="YE35">
        <v>101.2</v>
      </c>
      <c r="YF35">
        <v>144.4</v>
      </c>
      <c r="YG35">
        <v>88.4</v>
      </c>
      <c r="YJ35">
        <v>84.8</v>
      </c>
      <c r="YK35">
        <v>69.099999999999994</v>
      </c>
      <c r="YL35">
        <v>90.1</v>
      </c>
      <c r="YM35">
        <v>101.2</v>
      </c>
      <c r="YO35">
        <v>192.8</v>
      </c>
      <c r="YT35">
        <v>87.3</v>
      </c>
      <c r="YU35">
        <v>93.9</v>
      </c>
      <c r="YW35">
        <v>96.3</v>
      </c>
      <c r="YX35">
        <v>90.2</v>
      </c>
      <c r="YY35">
        <v>90.5</v>
      </c>
      <c r="ZB35">
        <v>109</v>
      </c>
      <c r="ZC35">
        <v>206.8</v>
      </c>
      <c r="ZD35">
        <v>335.3</v>
      </c>
      <c r="ZE35">
        <v>120.4</v>
      </c>
      <c r="ZF35">
        <v>109.6</v>
      </c>
      <c r="ZG35">
        <v>115.6</v>
      </c>
      <c r="ZK35">
        <v>96.1</v>
      </c>
      <c r="ZL35">
        <v>104.5</v>
      </c>
      <c r="ZM35">
        <v>122.9</v>
      </c>
      <c r="ZN35">
        <v>103.6</v>
      </c>
      <c r="ZO35">
        <v>104</v>
      </c>
      <c r="ZP35">
        <v>108.1</v>
      </c>
      <c r="ZQ35">
        <v>100.6</v>
      </c>
      <c r="ZT35">
        <v>101.8</v>
      </c>
      <c r="ZU35">
        <v>98.7</v>
      </c>
      <c r="ZW35">
        <v>95.7</v>
      </c>
      <c r="ZY35">
        <v>95.6</v>
      </c>
      <c r="AAC35">
        <v>70.8</v>
      </c>
      <c r="AAD35">
        <v>68.099999999999994</v>
      </c>
      <c r="AAE35">
        <v>122.2</v>
      </c>
      <c r="AAG35">
        <v>60.7</v>
      </c>
      <c r="AAH35">
        <v>125.1</v>
      </c>
      <c r="AAI35">
        <v>72.2</v>
      </c>
      <c r="AAJ35">
        <v>50.8</v>
      </c>
      <c r="AAK35">
        <v>99.9</v>
      </c>
      <c r="AAL35">
        <v>100.7</v>
      </c>
      <c r="AAM35">
        <v>108</v>
      </c>
      <c r="AAN35">
        <v>94</v>
      </c>
      <c r="AAO35">
        <v>48</v>
      </c>
      <c r="AAP35">
        <v>46.9</v>
      </c>
      <c r="AAQ35">
        <v>50.6</v>
      </c>
      <c r="AAR35">
        <v>93.1</v>
      </c>
      <c r="AAX35">
        <v>84.1</v>
      </c>
      <c r="ABB35">
        <v>86.5</v>
      </c>
      <c r="ABC35">
        <v>83.3</v>
      </c>
      <c r="ABD35">
        <v>95.1</v>
      </c>
      <c r="ABE35">
        <v>77.3</v>
      </c>
      <c r="ABF35">
        <v>98.6</v>
      </c>
      <c r="ABG35">
        <v>90.1</v>
      </c>
      <c r="ABH35">
        <v>97.6</v>
      </c>
      <c r="ABI35">
        <v>99.1</v>
      </c>
      <c r="ABJ35">
        <v>105.4</v>
      </c>
      <c r="ABK35">
        <v>98.1</v>
      </c>
      <c r="ABL35">
        <v>78.400000000000006</v>
      </c>
      <c r="ABM35">
        <v>100.7</v>
      </c>
      <c r="ABN35">
        <v>104.4</v>
      </c>
      <c r="ABO35">
        <v>101.4</v>
      </c>
      <c r="ABP35">
        <v>115.1</v>
      </c>
    </row>
    <row r="36" spans="1:745">
      <c r="A36">
        <v>1999</v>
      </c>
      <c r="B36">
        <v>97.8</v>
      </c>
      <c r="C36">
        <v>88.6</v>
      </c>
      <c r="D36">
        <v>99.2</v>
      </c>
      <c r="E36">
        <v>111.5</v>
      </c>
      <c r="F36">
        <v>115.3</v>
      </c>
      <c r="G36">
        <v>110.1</v>
      </c>
      <c r="H36">
        <v>88.9</v>
      </c>
      <c r="I36">
        <v>90.4</v>
      </c>
      <c r="J36">
        <v>88.5</v>
      </c>
      <c r="L36">
        <v>91.3</v>
      </c>
      <c r="M36">
        <v>95.4</v>
      </c>
      <c r="N36">
        <v>89</v>
      </c>
      <c r="O36">
        <v>90.6</v>
      </c>
      <c r="P36">
        <v>85.5</v>
      </c>
      <c r="Q36">
        <v>99.5</v>
      </c>
      <c r="R36">
        <v>108.1</v>
      </c>
      <c r="S36">
        <v>74.2</v>
      </c>
      <c r="T36">
        <v>124.4</v>
      </c>
      <c r="V36">
        <v>80</v>
      </c>
      <c r="W36">
        <v>82.3</v>
      </c>
      <c r="X36">
        <v>100.6</v>
      </c>
      <c r="Y36">
        <v>101.7</v>
      </c>
      <c r="Z36">
        <v>88.3</v>
      </c>
      <c r="AA36">
        <v>99.1</v>
      </c>
      <c r="AB36">
        <v>67.5</v>
      </c>
      <c r="AC36">
        <v>87.4</v>
      </c>
      <c r="AD36">
        <v>76.3</v>
      </c>
      <c r="AE36">
        <v>82.2</v>
      </c>
      <c r="AF36">
        <v>96.1</v>
      </c>
      <c r="AG36">
        <v>57.2</v>
      </c>
      <c r="AH36">
        <v>67.400000000000006</v>
      </c>
      <c r="AI36">
        <v>97.3</v>
      </c>
      <c r="AJ36">
        <v>73.8</v>
      </c>
      <c r="AK36">
        <v>73.3</v>
      </c>
      <c r="AL36">
        <v>69.7</v>
      </c>
      <c r="AM36">
        <v>72.3</v>
      </c>
      <c r="AN36">
        <v>68.5</v>
      </c>
      <c r="AO36">
        <v>84.5</v>
      </c>
      <c r="AP36">
        <v>63.9</v>
      </c>
      <c r="AQ36">
        <v>79.5</v>
      </c>
      <c r="AR36">
        <v>95.7</v>
      </c>
      <c r="AS36">
        <v>73.400000000000006</v>
      </c>
      <c r="AU36">
        <v>89.7</v>
      </c>
      <c r="AV36">
        <v>85.3</v>
      </c>
      <c r="AW36">
        <v>92.2</v>
      </c>
      <c r="AX36">
        <v>92</v>
      </c>
      <c r="AY36">
        <v>75</v>
      </c>
      <c r="AZ36">
        <v>82.3</v>
      </c>
      <c r="BA36">
        <v>73</v>
      </c>
      <c r="BB36">
        <v>74.599999999999994</v>
      </c>
      <c r="BC36">
        <v>77.7</v>
      </c>
      <c r="BD36">
        <v>77.8</v>
      </c>
      <c r="BE36">
        <v>73.3</v>
      </c>
      <c r="BF36">
        <v>68</v>
      </c>
      <c r="BG36">
        <v>65.8</v>
      </c>
      <c r="BH36">
        <v>74.5</v>
      </c>
      <c r="BJ36">
        <v>79</v>
      </c>
      <c r="BK36">
        <v>98.9</v>
      </c>
      <c r="BL36">
        <v>107.6</v>
      </c>
      <c r="BM36">
        <v>96.8</v>
      </c>
      <c r="BN36">
        <v>85.5</v>
      </c>
      <c r="BP36">
        <v>89</v>
      </c>
      <c r="BQ36">
        <v>91.2</v>
      </c>
      <c r="BR36">
        <v>89.3</v>
      </c>
      <c r="BS36">
        <v>96.3</v>
      </c>
      <c r="BT36">
        <v>94.5</v>
      </c>
      <c r="BU36">
        <v>98.2</v>
      </c>
      <c r="BV36">
        <v>103.9</v>
      </c>
      <c r="BW36">
        <v>74</v>
      </c>
      <c r="BX36">
        <v>78.400000000000006</v>
      </c>
      <c r="BY36">
        <v>81.400000000000006</v>
      </c>
      <c r="BZ36">
        <v>82.1</v>
      </c>
      <c r="CA36">
        <v>82.1</v>
      </c>
      <c r="CB36">
        <v>85</v>
      </c>
      <c r="CC36">
        <v>82.1</v>
      </c>
      <c r="CD36">
        <v>86.5</v>
      </c>
      <c r="CE36">
        <v>62.8</v>
      </c>
      <c r="CF36">
        <v>73.7</v>
      </c>
      <c r="CG36">
        <v>83.7</v>
      </c>
      <c r="CH36">
        <v>100</v>
      </c>
      <c r="CI36">
        <v>93.4</v>
      </c>
      <c r="CJ36">
        <v>108.3</v>
      </c>
      <c r="CL36">
        <v>75</v>
      </c>
      <c r="CM36">
        <v>73.099999999999994</v>
      </c>
      <c r="CN36">
        <v>56.5</v>
      </c>
      <c r="CO36">
        <v>87.7</v>
      </c>
      <c r="CP36">
        <v>77.099999999999994</v>
      </c>
      <c r="CQ36">
        <v>70.8</v>
      </c>
      <c r="CR36">
        <v>80</v>
      </c>
      <c r="CS36">
        <v>65.3</v>
      </c>
      <c r="CT36">
        <v>80.599999999999994</v>
      </c>
      <c r="CW36">
        <v>71.7</v>
      </c>
      <c r="CX36">
        <v>60.8</v>
      </c>
      <c r="CY36">
        <v>75.8</v>
      </c>
      <c r="CZ36">
        <v>71.400000000000006</v>
      </c>
      <c r="DA36">
        <v>83.5</v>
      </c>
      <c r="DB36">
        <v>61</v>
      </c>
      <c r="DC36">
        <v>106</v>
      </c>
      <c r="DD36">
        <v>129.19999999999999</v>
      </c>
      <c r="DE36">
        <v>134.4</v>
      </c>
      <c r="DG36">
        <v>90.2</v>
      </c>
      <c r="DH36">
        <v>69.8</v>
      </c>
      <c r="DI36">
        <v>71.599999999999994</v>
      </c>
      <c r="DJ36">
        <v>84.6</v>
      </c>
      <c r="DK36">
        <v>57.3</v>
      </c>
      <c r="DL36">
        <v>66</v>
      </c>
      <c r="DN36">
        <v>106.3</v>
      </c>
      <c r="DO36">
        <v>100.2</v>
      </c>
      <c r="DP36">
        <v>97.9</v>
      </c>
      <c r="DQ36">
        <v>127.9</v>
      </c>
      <c r="DR36">
        <v>91.8</v>
      </c>
      <c r="DS36">
        <v>109.7</v>
      </c>
      <c r="DT36">
        <v>77.900000000000006</v>
      </c>
      <c r="DU36">
        <v>88.6</v>
      </c>
      <c r="DV36">
        <v>90.6</v>
      </c>
      <c r="DW36">
        <v>106.9</v>
      </c>
      <c r="DX36">
        <v>80.5</v>
      </c>
      <c r="DY36">
        <v>102</v>
      </c>
      <c r="DZ36">
        <v>74.400000000000006</v>
      </c>
      <c r="EA36">
        <v>73.5</v>
      </c>
      <c r="EB36">
        <v>80.400000000000006</v>
      </c>
      <c r="EC36">
        <v>57.4</v>
      </c>
      <c r="ED36">
        <v>101.3</v>
      </c>
      <c r="EF36">
        <v>64.099999999999994</v>
      </c>
      <c r="EG36">
        <v>73.3</v>
      </c>
      <c r="EH36">
        <v>62.8</v>
      </c>
      <c r="EI36">
        <v>87.5</v>
      </c>
      <c r="EJ36">
        <v>69.8</v>
      </c>
      <c r="EK36">
        <v>71.599999999999994</v>
      </c>
      <c r="EL36">
        <v>86.2</v>
      </c>
      <c r="EM36">
        <v>77.3</v>
      </c>
      <c r="EN36">
        <v>81.099999999999994</v>
      </c>
      <c r="EO36">
        <v>70.5</v>
      </c>
      <c r="ER36">
        <v>94.5</v>
      </c>
      <c r="ET36">
        <v>105.6</v>
      </c>
      <c r="EU36">
        <v>114.6</v>
      </c>
      <c r="EV36">
        <v>129.5</v>
      </c>
      <c r="EW36">
        <v>74.8</v>
      </c>
      <c r="EX36">
        <v>104.5</v>
      </c>
      <c r="EY36">
        <v>94.3</v>
      </c>
      <c r="EZ36">
        <v>107.6</v>
      </c>
      <c r="FA36">
        <v>107.1</v>
      </c>
      <c r="FB36">
        <v>101.6</v>
      </c>
      <c r="FC36">
        <v>103.6</v>
      </c>
      <c r="FD36">
        <v>121.2</v>
      </c>
      <c r="FE36">
        <v>141.1</v>
      </c>
      <c r="FF36">
        <v>107.2</v>
      </c>
      <c r="FI36">
        <v>99.2</v>
      </c>
      <c r="FJ36">
        <v>88.4</v>
      </c>
      <c r="FK36">
        <v>112.6</v>
      </c>
      <c r="FL36">
        <v>98.1</v>
      </c>
      <c r="FM36">
        <v>101.6</v>
      </c>
      <c r="FQ36">
        <v>83</v>
      </c>
      <c r="FR36">
        <v>78.900000000000006</v>
      </c>
      <c r="FS36">
        <v>83.3</v>
      </c>
      <c r="FU36">
        <v>92.1</v>
      </c>
      <c r="FV36">
        <v>68.900000000000006</v>
      </c>
      <c r="FW36">
        <v>111.1</v>
      </c>
      <c r="FX36">
        <v>87.1</v>
      </c>
      <c r="FY36">
        <v>87.7</v>
      </c>
      <c r="GA36">
        <v>99</v>
      </c>
      <c r="GB36">
        <v>86.7</v>
      </c>
      <c r="GC36">
        <v>87.9</v>
      </c>
      <c r="GD36">
        <v>77.400000000000006</v>
      </c>
      <c r="GE36">
        <v>92.6</v>
      </c>
      <c r="GF36">
        <v>86.7</v>
      </c>
      <c r="GG36">
        <v>83.1</v>
      </c>
      <c r="GH36">
        <v>98.1</v>
      </c>
      <c r="GI36">
        <v>87.1</v>
      </c>
      <c r="GJ36">
        <v>90.3</v>
      </c>
      <c r="GM36">
        <v>85.4</v>
      </c>
      <c r="GP36">
        <v>82.4</v>
      </c>
      <c r="GU36">
        <v>85</v>
      </c>
      <c r="GV36">
        <v>49.9</v>
      </c>
      <c r="GW36">
        <v>80</v>
      </c>
      <c r="GX36">
        <v>89.2</v>
      </c>
      <c r="GY36">
        <v>86.7</v>
      </c>
      <c r="HA36">
        <v>107.1</v>
      </c>
      <c r="HD36">
        <v>96.9</v>
      </c>
      <c r="HG36">
        <v>108.1</v>
      </c>
      <c r="HH36">
        <v>122.3</v>
      </c>
      <c r="HO36">
        <v>121.4</v>
      </c>
      <c r="HP36">
        <v>124.1</v>
      </c>
      <c r="HQ36">
        <v>102.3</v>
      </c>
      <c r="HR36">
        <v>102.4</v>
      </c>
      <c r="HS36">
        <v>170.8</v>
      </c>
      <c r="HT36">
        <v>119.8</v>
      </c>
      <c r="HU36">
        <v>106</v>
      </c>
      <c r="HV36">
        <v>125.3</v>
      </c>
      <c r="HY36">
        <v>121.1</v>
      </c>
      <c r="HZ36">
        <v>99.5</v>
      </c>
      <c r="IA36">
        <v>132.80000000000001</v>
      </c>
      <c r="IB36">
        <v>109.7</v>
      </c>
      <c r="IC36">
        <v>142.6</v>
      </c>
      <c r="IE36">
        <v>86.1</v>
      </c>
      <c r="IH36">
        <v>130.6</v>
      </c>
      <c r="IJ36">
        <v>104.7</v>
      </c>
      <c r="IK36">
        <v>122.5</v>
      </c>
      <c r="IL36">
        <v>96.9</v>
      </c>
      <c r="IM36">
        <v>104.4</v>
      </c>
      <c r="IO36">
        <v>95.3</v>
      </c>
      <c r="IP36">
        <v>104.7</v>
      </c>
      <c r="IQ36">
        <v>99.3</v>
      </c>
      <c r="IT36">
        <v>87.1</v>
      </c>
      <c r="IU36">
        <v>86.9</v>
      </c>
      <c r="IV36">
        <v>83.8</v>
      </c>
      <c r="IX36">
        <v>84.5</v>
      </c>
      <c r="IY36">
        <v>89.4</v>
      </c>
      <c r="JA36">
        <v>85.6</v>
      </c>
      <c r="JB36">
        <v>88.6</v>
      </c>
      <c r="JC36">
        <v>87.1</v>
      </c>
      <c r="JE36">
        <v>91.2</v>
      </c>
      <c r="JH36">
        <v>91.9</v>
      </c>
      <c r="JI36">
        <v>90.7</v>
      </c>
      <c r="JK36">
        <v>93</v>
      </c>
      <c r="JL36">
        <v>86.9</v>
      </c>
      <c r="JM36">
        <v>104.6</v>
      </c>
      <c r="JO36">
        <v>88.9</v>
      </c>
      <c r="JQ36">
        <v>86.9</v>
      </c>
      <c r="JS36">
        <v>91.2</v>
      </c>
      <c r="JT36">
        <v>91.3</v>
      </c>
      <c r="JU36">
        <v>90.9</v>
      </c>
      <c r="JV36">
        <v>101.3</v>
      </c>
      <c r="JW36">
        <v>102.7</v>
      </c>
      <c r="JX36">
        <v>106.8</v>
      </c>
      <c r="JY36">
        <v>106.8</v>
      </c>
      <c r="JZ36">
        <v>97.7</v>
      </c>
      <c r="KA36">
        <v>103</v>
      </c>
      <c r="KB36">
        <v>91.7</v>
      </c>
      <c r="KC36">
        <v>102</v>
      </c>
      <c r="KD36">
        <v>102</v>
      </c>
      <c r="KE36">
        <v>92.7</v>
      </c>
      <c r="KF36">
        <v>109.6</v>
      </c>
      <c r="KG36">
        <v>98.6</v>
      </c>
      <c r="KL36">
        <v>72.7</v>
      </c>
      <c r="KM36">
        <v>87.9</v>
      </c>
      <c r="KN36">
        <v>88.6</v>
      </c>
      <c r="KO36">
        <v>71.7</v>
      </c>
      <c r="KP36">
        <v>82.9</v>
      </c>
      <c r="KS36">
        <v>90.6</v>
      </c>
      <c r="KT36">
        <v>81.7</v>
      </c>
      <c r="KU36">
        <v>100.7</v>
      </c>
      <c r="KX36">
        <v>90.3</v>
      </c>
      <c r="KY36">
        <v>81.2</v>
      </c>
      <c r="KZ36">
        <v>87</v>
      </c>
      <c r="LA36">
        <v>87</v>
      </c>
      <c r="LB36">
        <v>80.7</v>
      </c>
      <c r="LC36">
        <v>89.4</v>
      </c>
      <c r="LD36">
        <v>70.2</v>
      </c>
      <c r="LE36">
        <v>51.2</v>
      </c>
      <c r="LF36">
        <v>51.2</v>
      </c>
      <c r="LG36">
        <v>85.2</v>
      </c>
      <c r="LH36">
        <v>89.8</v>
      </c>
      <c r="LI36">
        <v>77.7</v>
      </c>
      <c r="LJ36">
        <v>138.6</v>
      </c>
      <c r="LK36">
        <v>267.3</v>
      </c>
      <c r="LL36">
        <v>516.5</v>
      </c>
      <c r="LM36">
        <v>655.7</v>
      </c>
      <c r="LN36">
        <v>227.7</v>
      </c>
      <c r="LO36">
        <v>186.7</v>
      </c>
      <c r="LP36">
        <v>1214.9000000000001</v>
      </c>
      <c r="LQ36">
        <v>553.4</v>
      </c>
      <c r="LR36">
        <v>572.70000000000005</v>
      </c>
      <c r="LT36">
        <v>210.7</v>
      </c>
      <c r="LU36">
        <v>274.8</v>
      </c>
      <c r="LV36">
        <v>154.69999999999999</v>
      </c>
      <c r="LX36">
        <v>97.2</v>
      </c>
      <c r="LY36">
        <v>92.7</v>
      </c>
      <c r="MA36">
        <v>105.1</v>
      </c>
      <c r="MB36">
        <v>146.5</v>
      </c>
      <c r="MC36">
        <v>382.1</v>
      </c>
      <c r="MD36">
        <v>134.4</v>
      </c>
      <c r="ME36">
        <v>107.6</v>
      </c>
      <c r="MG36">
        <v>108.8</v>
      </c>
      <c r="MH36">
        <v>92.4</v>
      </c>
      <c r="MI36">
        <v>113.8</v>
      </c>
      <c r="MJ36">
        <v>100.4</v>
      </c>
      <c r="MK36">
        <v>124.8</v>
      </c>
      <c r="MM36">
        <v>90</v>
      </c>
      <c r="MN36">
        <v>89.7</v>
      </c>
      <c r="MO36">
        <v>89.6</v>
      </c>
      <c r="MP36">
        <v>93.9</v>
      </c>
      <c r="MQ36">
        <v>82.6</v>
      </c>
      <c r="MS36">
        <v>90.7</v>
      </c>
      <c r="MU36">
        <v>84.7</v>
      </c>
      <c r="MV36">
        <v>96.9</v>
      </c>
      <c r="MW36">
        <v>83.8</v>
      </c>
      <c r="MX36">
        <v>91.2</v>
      </c>
      <c r="NB36">
        <v>112.4</v>
      </c>
      <c r="NC36">
        <v>98.9</v>
      </c>
      <c r="ND36">
        <v>107.2</v>
      </c>
      <c r="NE36">
        <v>93.8</v>
      </c>
      <c r="NF36">
        <v>130.6</v>
      </c>
      <c r="NG36">
        <v>129.1</v>
      </c>
      <c r="NH36">
        <v>132.69999999999999</v>
      </c>
      <c r="NI36">
        <v>108.2</v>
      </c>
      <c r="NJ36">
        <v>113.2</v>
      </c>
      <c r="NL36">
        <v>98.9</v>
      </c>
      <c r="NM36">
        <v>147.19999999999999</v>
      </c>
      <c r="NN36">
        <v>108</v>
      </c>
      <c r="NQ36">
        <v>91.8</v>
      </c>
      <c r="NR36">
        <v>86.5</v>
      </c>
      <c r="NS36">
        <v>86.5</v>
      </c>
      <c r="NT36">
        <v>92.6</v>
      </c>
      <c r="NW36">
        <v>95.4</v>
      </c>
      <c r="NX36">
        <v>95.4</v>
      </c>
      <c r="NY36">
        <v>99</v>
      </c>
      <c r="NZ36">
        <v>103.4</v>
      </c>
      <c r="OA36">
        <v>106.6</v>
      </c>
      <c r="OB36">
        <v>108.2</v>
      </c>
      <c r="OC36">
        <v>102.7</v>
      </c>
      <c r="OD36">
        <v>103</v>
      </c>
      <c r="OE36">
        <v>91.2</v>
      </c>
      <c r="OF36">
        <v>77.400000000000006</v>
      </c>
      <c r="OH36">
        <v>89.1</v>
      </c>
      <c r="OJ36">
        <v>85</v>
      </c>
      <c r="OK36">
        <v>91.2</v>
      </c>
      <c r="OL36">
        <v>85.9</v>
      </c>
      <c r="OM36">
        <v>97.3</v>
      </c>
      <c r="ON36">
        <v>113.3</v>
      </c>
      <c r="OO36">
        <v>83.7</v>
      </c>
      <c r="OP36">
        <v>96.6</v>
      </c>
      <c r="OQ36">
        <v>101.3</v>
      </c>
      <c r="OS36">
        <v>91</v>
      </c>
      <c r="OU36">
        <v>84.9</v>
      </c>
      <c r="OV36">
        <v>96.8</v>
      </c>
      <c r="OW36">
        <v>104.9</v>
      </c>
      <c r="OX36">
        <v>93</v>
      </c>
      <c r="OY36">
        <v>80.7</v>
      </c>
      <c r="OZ36">
        <v>80.599999999999994</v>
      </c>
      <c r="PA36">
        <v>128</v>
      </c>
      <c r="PB36">
        <v>106.3</v>
      </c>
      <c r="PC36">
        <v>84.3</v>
      </c>
      <c r="PD36">
        <v>194.7</v>
      </c>
      <c r="PG36">
        <v>111.5</v>
      </c>
      <c r="PH36">
        <v>98.4</v>
      </c>
      <c r="PI36">
        <v>101.8</v>
      </c>
      <c r="PJ36">
        <v>97.3</v>
      </c>
      <c r="PK36">
        <v>118.6</v>
      </c>
      <c r="PL36">
        <v>90.8</v>
      </c>
      <c r="PM36">
        <v>92.6</v>
      </c>
      <c r="PN36">
        <v>93.9</v>
      </c>
      <c r="PO36">
        <v>103.6</v>
      </c>
      <c r="PP36">
        <v>107.1</v>
      </c>
      <c r="PQ36">
        <v>114</v>
      </c>
      <c r="PR36">
        <v>108.9</v>
      </c>
      <c r="PS36">
        <v>97.5</v>
      </c>
      <c r="PT36">
        <v>100.5</v>
      </c>
      <c r="PU36">
        <v>96.9</v>
      </c>
      <c r="PV36">
        <v>109.8</v>
      </c>
      <c r="PW36">
        <v>109.5</v>
      </c>
      <c r="PX36">
        <v>106.9</v>
      </c>
      <c r="PY36">
        <v>90.4</v>
      </c>
      <c r="PZ36">
        <v>90.4</v>
      </c>
      <c r="QA36">
        <v>90.7</v>
      </c>
      <c r="QB36">
        <v>80</v>
      </c>
      <c r="QC36">
        <v>109.9</v>
      </c>
      <c r="QD36">
        <v>92.5</v>
      </c>
      <c r="QE36">
        <v>95.2</v>
      </c>
      <c r="QF36">
        <v>78.8</v>
      </c>
      <c r="QG36">
        <v>111.9</v>
      </c>
      <c r="QH36">
        <v>82.2</v>
      </c>
      <c r="QI36">
        <v>82.2</v>
      </c>
      <c r="QJ36">
        <v>91.7</v>
      </c>
      <c r="QK36">
        <v>96.9</v>
      </c>
      <c r="QL36">
        <v>95.9</v>
      </c>
      <c r="QM36">
        <v>95.3</v>
      </c>
      <c r="QN36">
        <v>85.6</v>
      </c>
      <c r="QO36">
        <v>88.9</v>
      </c>
      <c r="QQ36">
        <v>104.2</v>
      </c>
      <c r="QR36">
        <v>103.6</v>
      </c>
      <c r="QS36">
        <v>160.69999999999999</v>
      </c>
      <c r="QU36">
        <v>102.8</v>
      </c>
      <c r="QV36">
        <v>97</v>
      </c>
      <c r="QW36">
        <v>108.1</v>
      </c>
      <c r="QX36">
        <v>106.6</v>
      </c>
      <c r="QY36">
        <v>83.1</v>
      </c>
      <c r="QZ36">
        <v>85.7</v>
      </c>
      <c r="RA36">
        <v>81.2</v>
      </c>
      <c r="RB36">
        <v>78.2</v>
      </c>
      <c r="RD36">
        <v>95.1</v>
      </c>
      <c r="RE36">
        <v>111.5</v>
      </c>
      <c r="RF36">
        <v>115</v>
      </c>
      <c r="RG36">
        <v>126.1</v>
      </c>
      <c r="RH36">
        <v>121.6</v>
      </c>
      <c r="RI36">
        <v>97.6</v>
      </c>
      <c r="RJ36">
        <v>127.8</v>
      </c>
      <c r="RK36">
        <v>99.1</v>
      </c>
      <c r="RL36">
        <v>107.6</v>
      </c>
      <c r="RM36">
        <v>103.7</v>
      </c>
      <c r="RO36">
        <v>115.1</v>
      </c>
      <c r="RS36">
        <v>123.6</v>
      </c>
      <c r="RT36">
        <v>163.9</v>
      </c>
      <c r="RV36">
        <v>109.6</v>
      </c>
      <c r="RW36">
        <v>140.4</v>
      </c>
      <c r="RX36">
        <v>143.1</v>
      </c>
      <c r="SA36">
        <v>113.4</v>
      </c>
      <c r="SB36">
        <v>102.1</v>
      </c>
      <c r="SC36">
        <v>137.6</v>
      </c>
      <c r="SF36">
        <v>80.3</v>
      </c>
      <c r="SG36">
        <v>82.8</v>
      </c>
      <c r="SH36">
        <v>94</v>
      </c>
      <c r="SK36">
        <v>100.4</v>
      </c>
      <c r="SL36">
        <v>89.8</v>
      </c>
      <c r="SM36">
        <v>95.7</v>
      </c>
      <c r="SN36">
        <v>95.1</v>
      </c>
      <c r="SO36">
        <v>97.7</v>
      </c>
      <c r="SP36">
        <v>98.9</v>
      </c>
      <c r="SQ36">
        <v>94.7</v>
      </c>
      <c r="SR36">
        <v>95.2</v>
      </c>
      <c r="SS36">
        <v>94.1</v>
      </c>
      <c r="ST36">
        <v>93.8</v>
      </c>
      <c r="SU36">
        <v>94.9</v>
      </c>
      <c r="SV36">
        <v>94.4</v>
      </c>
      <c r="SX36">
        <v>93.4</v>
      </c>
      <c r="SZ36">
        <v>83.6</v>
      </c>
      <c r="TA36">
        <v>90.2</v>
      </c>
      <c r="TB36">
        <v>73.2</v>
      </c>
      <c r="TE36">
        <v>89.7</v>
      </c>
      <c r="TF36">
        <v>97.2</v>
      </c>
      <c r="TG36">
        <v>100.6</v>
      </c>
      <c r="TH36">
        <v>95.7</v>
      </c>
      <c r="TI36">
        <v>94.9</v>
      </c>
      <c r="TJ36">
        <v>98.9</v>
      </c>
      <c r="TK36">
        <v>82.6</v>
      </c>
      <c r="TL36">
        <v>79.8</v>
      </c>
      <c r="TN36">
        <v>87.2</v>
      </c>
      <c r="TO36">
        <v>71.8</v>
      </c>
      <c r="TP36">
        <v>75.7</v>
      </c>
      <c r="TT36">
        <v>92.9</v>
      </c>
      <c r="TU36">
        <v>88.5</v>
      </c>
      <c r="TV36">
        <v>84.2</v>
      </c>
      <c r="TW36">
        <v>104.7</v>
      </c>
      <c r="TX36">
        <v>103.2</v>
      </c>
      <c r="TY36">
        <v>96.2</v>
      </c>
      <c r="UC36">
        <v>115</v>
      </c>
      <c r="UD36">
        <v>89.7</v>
      </c>
      <c r="UE36">
        <v>143.1</v>
      </c>
      <c r="UF36">
        <v>79.400000000000006</v>
      </c>
      <c r="UG36">
        <v>95.2</v>
      </c>
      <c r="UH36">
        <v>120.9</v>
      </c>
      <c r="UJ36">
        <v>91.1</v>
      </c>
      <c r="UL36">
        <v>107.3</v>
      </c>
      <c r="UM36">
        <v>119.6</v>
      </c>
      <c r="UN36">
        <v>93.2</v>
      </c>
      <c r="UO36">
        <v>95.3</v>
      </c>
      <c r="UP36">
        <v>86.8</v>
      </c>
      <c r="UQ36">
        <v>341</v>
      </c>
      <c r="UR36">
        <v>112.2</v>
      </c>
      <c r="US36">
        <v>93.6</v>
      </c>
      <c r="UT36">
        <v>92.3</v>
      </c>
      <c r="UU36">
        <v>98.5</v>
      </c>
      <c r="UW36">
        <v>79.400000000000006</v>
      </c>
      <c r="UX36">
        <v>90.2</v>
      </c>
      <c r="UY36">
        <v>74.5</v>
      </c>
      <c r="UZ36">
        <v>85.2</v>
      </c>
      <c r="VB36">
        <v>89.1</v>
      </c>
      <c r="VD36">
        <v>116.5</v>
      </c>
      <c r="VE36">
        <v>1022.8</v>
      </c>
      <c r="VL36">
        <v>1440.1</v>
      </c>
      <c r="VM36">
        <v>85.1</v>
      </c>
      <c r="VN36">
        <v>98.9</v>
      </c>
      <c r="VO36">
        <v>104.3</v>
      </c>
      <c r="VP36">
        <v>88.7</v>
      </c>
      <c r="VQ36">
        <v>103.2</v>
      </c>
      <c r="VR36">
        <v>74.7</v>
      </c>
      <c r="VT36">
        <v>113</v>
      </c>
      <c r="VU36">
        <v>147.6</v>
      </c>
      <c r="VV36">
        <v>77.400000000000006</v>
      </c>
      <c r="VW36">
        <v>109.8</v>
      </c>
      <c r="VX36">
        <v>76.7</v>
      </c>
      <c r="VY36">
        <v>133.9</v>
      </c>
      <c r="WB36">
        <v>144</v>
      </c>
      <c r="WC36">
        <v>548.29999999999995</v>
      </c>
      <c r="WE36">
        <v>103.7</v>
      </c>
      <c r="WF36">
        <v>89.5</v>
      </c>
      <c r="WG36">
        <v>101.6</v>
      </c>
      <c r="WH36">
        <v>86.4</v>
      </c>
      <c r="WI36">
        <v>84.1</v>
      </c>
      <c r="WJ36">
        <v>89.3</v>
      </c>
      <c r="WK36">
        <v>83.4</v>
      </c>
      <c r="WL36">
        <v>102.4</v>
      </c>
      <c r="WN36">
        <v>97.6</v>
      </c>
      <c r="WP36">
        <v>96.3</v>
      </c>
      <c r="WQ36">
        <v>90.3</v>
      </c>
      <c r="WV36">
        <v>97.8</v>
      </c>
      <c r="WX36">
        <v>87.3</v>
      </c>
      <c r="WY36">
        <v>92</v>
      </c>
      <c r="WZ36">
        <v>91.5</v>
      </c>
      <c r="XA36">
        <v>92.4</v>
      </c>
      <c r="XB36">
        <v>70.599999999999994</v>
      </c>
      <c r="XD36">
        <v>67.400000000000006</v>
      </c>
      <c r="XE36">
        <v>83</v>
      </c>
      <c r="XF36">
        <v>78.400000000000006</v>
      </c>
      <c r="XG36">
        <v>85</v>
      </c>
      <c r="XH36">
        <v>95.7</v>
      </c>
      <c r="XI36">
        <v>108.3</v>
      </c>
      <c r="XJ36">
        <v>108.3</v>
      </c>
      <c r="XM36">
        <v>85.9</v>
      </c>
      <c r="XP36">
        <v>91.2</v>
      </c>
      <c r="XR36">
        <v>84.1</v>
      </c>
      <c r="XT36">
        <v>94.9</v>
      </c>
      <c r="XU36">
        <v>101.1</v>
      </c>
      <c r="XV36">
        <v>101.5</v>
      </c>
      <c r="XW36">
        <v>105.1</v>
      </c>
      <c r="XZ36">
        <v>99.2</v>
      </c>
      <c r="YA36">
        <v>98.5</v>
      </c>
      <c r="YC36">
        <v>75.8</v>
      </c>
      <c r="YD36">
        <v>90</v>
      </c>
      <c r="YE36">
        <v>100.2</v>
      </c>
      <c r="YF36">
        <v>139.5</v>
      </c>
      <c r="YG36">
        <v>88</v>
      </c>
      <c r="YJ36">
        <v>84.9</v>
      </c>
      <c r="YK36">
        <v>69.8</v>
      </c>
      <c r="YL36">
        <v>87.5</v>
      </c>
      <c r="YM36">
        <v>100.8</v>
      </c>
      <c r="YO36">
        <v>191.2</v>
      </c>
      <c r="YT36">
        <v>87.8</v>
      </c>
      <c r="YU36">
        <v>94.3</v>
      </c>
      <c r="YW36">
        <v>96.5</v>
      </c>
      <c r="YX36">
        <v>90.5</v>
      </c>
      <c r="YY36">
        <v>90.9</v>
      </c>
      <c r="ZB36">
        <v>108.2</v>
      </c>
      <c r="ZC36">
        <v>198</v>
      </c>
      <c r="ZD36">
        <v>312.7</v>
      </c>
      <c r="ZE36">
        <v>119.7</v>
      </c>
      <c r="ZF36">
        <v>108</v>
      </c>
      <c r="ZG36">
        <v>114.8</v>
      </c>
      <c r="ZK36">
        <v>95.7</v>
      </c>
      <c r="ZL36">
        <v>101</v>
      </c>
      <c r="ZM36">
        <v>121.3</v>
      </c>
      <c r="ZN36">
        <v>103.5</v>
      </c>
      <c r="ZO36">
        <v>103.5</v>
      </c>
      <c r="ZP36">
        <v>107</v>
      </c>
      <c r="ZQ36">
        <v>100.2</v>
      </c>
      <c r="ZT36">
        <v>101.2</v>
      </c>
      <c r="ZU36">
        <v>99.3</v>
      </c>
      <c r="ZW36">
        <v>97.4</v>
      </c>
      <c r="ZY36">
        <v>95</v>
      </c>
      <c r="AAC36">
        <v>69.900000000000006</v>
      </c>
      <c r="AAD36">
        <v>66.599999999999994</v>
      </c>
      <c r="AAE36">
        <v>118.9</v>
      </c>
      <c r="AAG36">
        <v>61.2</v>
      </c>
      <c r="AAH36">
        <v>123.4</v>
      </c>
      <c r="AAI36">
        <v>71.7</v>
      </c>
      <c r="AAJ36">
        <v>50.2</v>
      </c>
      <c r="AAK36">
        <v>99.7</v>
      </c>
      <c r="AAL36">
        <v>102.2</v>
      </c>
      <c r="AAM36">
        <v>109</v>
      </c>
      <c r="AAN36">
        <v>95.9</v>
      </c>
      <c r="AAO36">
        <v>50.5</v>
      </c>
      <c r="AAP36">
        <v>49.6</v>
      </c>
      <c r="AAQ36">
        <v>52.2</v>
      </c>
      <c r="AAR36">
        <v>93.8</v>
      </c>
      <c r="AAX36">
        <v>85.4</v>
      </c>
      <c r="ABB36">
        <v>80.3</v>
      </c>
      <c r="ABC36">
        <v>82.3</v>
      </c>
      <c r="ABD36">
        <v>82.1</v>
      </c>
      <c r="ABE36">
        <v>73.5</v>
      </c>
      <c r="ABF36">
        <v>98.6</v>
      </c>
      <c r="ABG36">
        <v>90.2</v>
      </c>
      <c r="ABH36">
        <v>97.1</v>
      </c>
      <c r="ABI36">
        <v>98.7</v>
      </c>
      <c r="ABJ36">
        <v>105.4</v>
      </c>
      <c r="ABK36">
        <v>97.9</v>
      </c>
      <c r="ABL36">
        <v>78.2</v>
      </c>
      <c r="ABM36">
        <v>100.6</v>
      </c>
      <c r="ABN36">
        <v>104.2</v>
      </c>
      <c r="ABO36">
        <v>102.6</v>
      </c>
      <c r="ABP36">
        <v>114.3</v>
      </c>
    </row>
    <row r="37" spans="1:745">
      <c r="A37">
        <v>2000</v>
      </c>
      <c r="B37">
        <v>97.2</v>
      </c>
      <c r="C37">
        <v>87.4</v>
      </c>
      <c r="D37">
        <v>97</v>
      </c>
      <c r="E37">
        <v>106.9</v>
      </c>
      <c r="F37">
        <v>109.8</v>
      </c>
      <c r="G37">
        <v>105.7</v>
      </c>
      <c r="H37">
        <v>88.6</v>
      </c>
      <c r="I37">
        <v>90.5</v>
      </c>
      <c r="J37">
        <v>87.4</v>
      </c>
      <c r="L37">
        <v>91.3</v>
      </c>
      <c r="M37">
        <v>95.1</v>
      </c>
      <c r="N37">
        <v>89.2</v>
      </c>
      <c r="O37">
        <v>89.5</v>
      </c>
      <c r="P37">
        <v>85.3</v>
      </c>
      <c r="Q37">
        <v>99.9</v>
      </c>
      <c r="R37">
        <v>106.4</v>
      </c>
      <c r="S37">
        <v>73.2</v>
      </c>
      <c r="T37">
        <v>122.1</v>
      </c>
      <c r="V37">
        <v>78.400000000000006</v>
      </c>
      <c r="W37">
        <v>80.2</v>
      </c>
      <c r="X37">
        <v>98.2</v>
      </c>
      <c r="Y37">
        <v>98.7</v>
      </c>
      <c r="Z37">
        <v>95.8</v>
      </c>
      <c r="AA37">
        <v>85.8</v>
      </c>
      <c r="AB37">
        <v>65.3</v>
      </c>
      <c r="AC37">
        <v>91.3</v>
      </c>
      <c r="AD37">
        <v>75.7</v>
      </c>
      <c r="AE37">
        <v>79.900000000000006</v>
      </c>
      <c r="AF37">
        <v>94.8</v>
      </c>
      <c r="AG37">
        <v>53.3</v>
      </c>
      <c r="AH37">
        <v>61.7</v>
      </c>
      <c r="AI37">
        <v>96.6</v>
      </c>
      <c r="AJ37">
        <v>74.099999999999994</v>
      </c>
      <c r="AK37">
        <v>71.900000000000006</v>
      </c>
      <c r="AL37">
        <v>69.900000000000006</v>
      </c>
      <c r="AM37">
        <v>72</v>
      </c>
      <c r="AN37">
        <v>65.3</v>
      </c>
      <c r="AO37">
        <v>93.4</v>
      </c>
      <c r="AP37">
        <v>59.3</v>
      </c>
      <c r="AQ37">
        <v>77.5</v>
      </c>
      <c r="AR37">
        <v>94.7</v>
      </c>
      <c r="AS37">
        <v>67</v>
      </c>
      <c r="AU37">
        <v>87.9</v>
      </c>
      <c r="AV37">
        <v>83.7</v>
      </c>
      <c r="AW37">
        <v>90.1</v>
      </c>
      <c r="AX37">
        <v>90.2</v>
      </c>
      <c r="AY37">
        <v>74.5</v>
      </c>
      <c r="AZ37">
        <v>81</v>
      </c>
      <c r="BA37">
        <v>71.8</v>
      </c>
      <c r="BB37">
        <v>75.099999999999994</v>
      </c>
      <c r="BC37">
        <v>78.2</v>
      </c>
      <c r="BD37">
        <v>76.900000000000006</v>
      </c>
      <c r="BE37">
        <v>72.3</v>
      </c>
      <c r="BF37">
        <v>68.099999999999994</v>
      </c>
      <c r="BG37">
        <v>61.8</v>
      </c>
      <c r="BH37">
        <v>74</v>
      </c>
      <c r="BJ37">
        <v>78.400000000000006</v>
      </c>
      <c r="BK37">
        <v>98.1</v>
      </c>
      <c r="BL37">
        <v>105.7</v>
      </c>
      <c r="BM37">
        <v>96.2</v>
      </c>
      <c r="BN37">
        <v>86.3</v>
      </c>
      <c r="BP37">
        <v>87.9</v>
      </c>
      <c r="BQ37">
        <v>89.9</v>
      </c>
      <c r="BR37">
        <v>88.3</v>
      </c>
      <c r="BS37">
        <v>94.8</v>
      </c>
      <c r="BT37">
        <v>92.9</v>
      </c>
      <c r="BU37">
        <v>97.5</v>
      </c>
      <c r="BV37">
        <v>101.7</v>
      </c>
      <c r="BW37">
        <v>73</v>
      </c>
      <c r="BX37">
        <v>77.599999999999994</v>
      </c>
      <c r="BY37">
        <v>80.099999999999994</v>
      </c>
      <c r="BZ37">
        <v>81.3</v>
      </c>
      <c r="CA37">
        <v>81.3</v>
      </c>
      <c r="CB37">
        <v>83.2</v>
      </c>
      <c r="CC37">
        <v>79.2</v>
      </c>
      <c r="CD37">
        <v>83.9</v>
      </c>
      <c r="CE37">
        <v>68.2</v>
      </c>
      <c r="CF37">
        <v>75.900000000000006</v>
      </c>
      <c r="CG37">
        <v>77</v>
      </c>
      <c r="CH37">
        <v>105.9</v>
      </c>
      <c r="CI37">
        <v>90.9</v>
      </c>
      <c r="CJ37">
        <v>108</v>
      </c>
      <c r="CK37">
        <v>84.5</v>
      </c>
      <c r="CL37">
        <v>71.900000000000006</v>
      </c>
      <c r="CM37">
        <v>67.8</v>
      </c>
      <c r="CN37">
        <v>58.6</v>
      </c>
      <c r="CO37">
        <v>87.9</v>
      </c>
      <c r="CP37">
        <v>69.5</v>
      </c>
      <c r="CQ37">
        <v>65.099999999999994</v>
      </c>
      <c r="CR37">
        <v>73.8</v>
      </c>
      <c r="CS37">
        <v>61.7</v>
      </c>
      <c r="CT37">
        <v>79.8</v>
      </c>
      <c r="CV37">
        <v>70.3</v>
      </c>
      <c r="CW37">
        <v>64.099999999999994</v>
      </c>
      <c r="CX37">
        <v>62.7</v>
      </c>
      <c r="CY37">
        <v>75.599999999999994</v>
      </c>
      <c r="CZ37">
        <v>66.2</v>
      </c>
      <c r="DA37">
        <v>74.5</v>
      </c>
      <c r="DB37">
        <v>64.599999999999994</v>
      </c>
      <c r="DC37">
        <v>102.8</v>
      </c>
      <c r="DD37">
        <v>133.5</v>
      </c>
      <c r="DE37">
        <v>131.69999999999999</v>
      </c>
      <c r="DG37">
        <v>89.8</v>
      </c>
      <c r="DH37">
        <v>70.2</v>
      </c>
      <c r="DI37">
        <v>70.900000000000006</v>
      </c>
      <c r="DJ37">
        <v>84.1</v>
      </c>
      <c r="DK37">
        <v>57.3</v>
      </c>
      <c r="DL37">
        <v>69.900000000000006</v>
      </c>
      <c r="DN37">
        <v>105.6</v>
      </c>
      <c r="DO37">
        <v>99.7</v>
      </c>
      <c r="DP37">
        <v>96.5</v>
      </c>
      <c r="DQ37">
        <v>127.7</v>
      </c>
      <c r="DR37">
        <v>91.3</v>
      </c>
      <c r="DS37">
        <v>108.5</v>
      </c>
      <c r="DT37">
        <v>77.099999999999994</v>
      </c>
      <c r="DU37">
        <v>89</v>
      </c>
      <c r="DV37">
        <v>86.4</v>
      </c>
      <c r="DW37">
        <v>105.5</v>
      </c>
      <c r="DX37">
        <v>83.6</v>
      </c>
      <c r="DY37">
        <v>101.9</v>
      </c>
      <c r="DZ37">
        <v>73.2</v>
      </c>
      <c r="EA37">
        <v>72.2</v>
      </c>
      <c r="EB37">
        <v>82.7</v>
      </c>
      <c r="EC37">
        <v>71.8</v>
      </c>
      <c r="ED37">
        <v>72.400000000000006</v>
      </c>
      <c r="EF37">
        <v>53.8</v>
      </c>
      <c r="EG37">
        <v>68.7</v>
      </c>
      <c r="EH37">
        <v>60.1</v>
      </c>
      <c r="EI37">
        <v>83.7</v>
      </c>
      <c r="EJ37">
        <v>65.900000000000006</v>
      </c>
      <c r="EK37">
        <v>65.8</v>
      </c>
      <c r="EL37">
        <v>76.2</v>
      </c>
      <c r="EM37">
        <v>79</v>
      </c>
      <c r="EN37">
        <v>72.900000000000006</v>
      </c>
      <c r="EO37">
        <v>68.8</v>
      </c>
      <c r="EP37">
        <v>98.9</v>
      </c>
      <c r="ER37">
        <v>93.2</v>
      </c>
      <c r="ET37">
        <v>103.8</v>
      </c>
      <c r="EU37">
        <v>111.8</v>
      </c>
      <c r="EV37">
        <v>125.7</v>
      </c>
      <c r="EW37">
        <v>74</v>
      </c>
      <c r="EX37">
        <v>102.9</v>
      </c>
      <c r="EY37">
        <v>94.4</v>
      </c>
      <c r="EZ37">
        <v>105.7</v>
      </c>
      <c r="FA37">
        <v>104.8</v>
      </c>
      <c r="FB37">
        <v>97.5</v>
      </c>
      <c r="FC37">
        <v>103.2</v>
      </c>
      <c r="FD37">
        <v>119.5</v>
      </c>
      <c r="FE37">
        <v>137.6</v>
      </c>
      <c r="FF37">
        <v>105.7</v>
      </c>
      <c r="FH37">
        <v>89.8</v>
      </c>
      <c r="FI37">
        <v>97.6</v>
      </c>
      <c r="FJ37">
        <v>86.2</v>
      </c>
      <c r="FK37">
        <v>111.5</v>
      </c>
      <c r="FL37">
        <v>97.9</v>
      </c>
      <c r="FM37">
        <v>101</v>
      </c>
      <c r="FQ37">
        <v>83</v>
      </c>
      <c r="FR37">
        <v>81.599999999999994</v>
      </c>
      <c r="FS37">
        <v>82.6</v>
      </c>
      <c r="FT37">
        <v>75.8</v>
      </c>
      <c r="FU37">
        <v>91.5</v>
      </c>
      <c r="FV37">
        <v>69.400000000000006</v>
      </c>
      <c r="FW37">
        <v>108.6</v>
      </c>
      <c r="FX37">
        <v>87.6</v>
      </c>
      <c r="FY37">
        <v>87.4</v>
      </c>
      <c r="GA37">
        <v>99</v>
      </c>
      <c r="GB37">
        <v>86.4</v>
      </c>
      <c r="GC37">
        <v>87.5</v>
      </c>
      <c r="GD37">
        <v>76.5</v>
      </c>
      <c r="GE37">
        <v>92.6</v>
      </c>
      <c r="GF37">
        <v>86.5</v>
      </c>
      <c r="GG37">
        <v>80.3</v>
      </c>
      <c r="GH37">
        <v>97.9</v>
      </c>
      <c r="GI37">
        <v>86.3</v>
      </c>
      <c r="GJ37">
        <v>90.3</v>
      </c>
      <c r="GM37">
        <v>85.4</v>
      </c>
      <c r="GO37">
        <v>94.1</v>
      </c>
      <c r="GP37">
        <v>83</v>
      </c>
      <c r="GQ37">
        <v>122.9</v>
      </c>
      <c r="GU37">
        <v>83.9</v>
      </c>
      <c r="GV37">
        <v>47.5</v>
      </c>
      <c r="GW37">
        <v>80.3</v>
      </c>
      <c r="GX37">
        <v>88.9</v>
      </c>
      <c r="GY37">
        <v>87.4</v>
      </c>
      <c r="GZ37">
        <v>85.5</v>
      </c>
      <c r="HA37">
        <v>105</v>
      </c>
      <c r="HD37">
        <v>96.8</v>
      </c>
      <c r="HG37">
        <v>108.5</v>
      </c>
      <c r="HH37">
        <v>116.1</v>
      </c>
      <c r="HI37">
        <v>84.2</v>
      </c>
      <c r="HO37">
        <v>120.5</v>
      </c>
      <c r="HP37">
        <v>123.6</v>
      </c>
      <c r="HQ37">
        <v>102.5</v>
      </c>
      <c r="HR37">
        <v>101.5</v>
      </c>
      <c r="HS37">
        <v>168.4</v>
      </c>
      <c r="HT37">
        <v>118.2</v>
      </c>
      <c r="HU37">
        <v>104.4</v>
      </c>
      <c r="HV37">
        <v>123.5</v>
      </c>
      <c r="HW37">
        <v>124.6</v>
      </c>
      <c r="HY37">
        <v>120.3</v>
      </c>
      <c r="HZ37">
        <v>98.5</v>
      </c>
      <c r="IA37">
        <v>131.80000000000001</v>
      </c>
      <c r="IB37">
        <v>110.2</v>
      </c>
      <c r="IC37">
        <v>142.19999999999999</v>
      </c>
      <c r="IE37">
        <v>86.1</v>
      </c>
      <c r="IF37">
        <v>176.4</v>
      </c>
      <c r="IH37">
        <v>130</v>
      </c>
      <c r="IJ37">
        <v>104.1</v>
      </c>
      <c r="IK37">
        <v>122.1</v>
      </c>
      <c r="IL37">
        <v>97.2</v>
      </c>
      <c r="IM37">
        <v>103.7</v>
      </c>
      <c r="IN37">
        <v>99.7</v>
      </c>
      <c r="IO37">
        <v>94.9</v>
      </c>
      <c r="IP37">
        <v>103.8</v>
      </c>
      <c r="IQ37">
        <v>94.2</v>
      </c>
      <c r="IT37">
        <v>86.1</v>
      </c>
      <c r="IU37">
        <v>85.6</v>
      </c>
      <c r="IV37">
        <v>84.1</v>
      </c>
      <c r="IX37">
        <v>84.9</v>
      </c>
      <c r="IY37">
        <v>89.2</v>
      </c>
      <c r="JA37">
        <v>85.7</v>
      </c>
      <c r="JB37">
        <v>88.7</v>
      </c>
      <c r="JC37">
        <v>87.3</v>
      </c>
      <c r="JD37">
        <v>90.4</v>
      </c>
      <c r="JE37">
        <v>91.1</v>
      </c>
      <c r="JH37">
        <v>91.6</v>
      </c>
      <c r="JI37">
        <v>90.5</v>
      </c>
      <c r="JK37">
        <v>71</v>
      </c>
      <c r="JL37">
        <v>87.5</v>
      </c>
      <c r="JM37">
        <v>104.3</v>
      </c>
      <c r="JO37">
        <v>88.7</v>
      </c>
      <c r="JQ37">
        <v>86.9</v>
      </c>
      <c r="JS37">
        <v>92.2</v>
      </c>
      <c r="JT37">
        <v>92.4</v>
      </c>
      <c r="JU37">
        <v>91.8</v>
      </c>
      <c r="JV37">
        <v>101.4</v>
      </c>
      <c r="JW37">
        <v>103.1</v>
      </c>
      <c r="JX37">
        <v>106.6</v>
      </c>
      <c r="JY37">
        <v>106.6</v>
      </c>
      <c r="JZ37">
        <v>98.2</v>
      </c>
      <c r="KA37">
        <v>103</v>
      </c>
      <c r="KB37">
        <v>92.7</v>
      </c>
      <c r="KC37">
        <v>102.4</v>
      </c>
      <c r="KD37">
        <v>102.4</v>
      </c>
      <c r="KE37">
        <v>91.9</v>
      </c>
      <c r="KF37">
        <v>108.3</v>
      </c>
      <c r="KG37">
        <v>97.4</v>
      </c>
      <c r="KH37">
        <v>250</v>
      </c>
      <c r="KI37">
        <v>103.2</v>
      </c>
      <c r="KL37">
        <v>72.099999999999994</v>
      </c>
      <c r="KM37">
        <v>87.4</v>
      </c>
      <c r="KN37">
        <v>88.2</v>
      </c>
      <c r="KO37">
        <v>72.2</v>
      </c>
      <c r="KP37">
        <v>83</v>
      </c>
      <c r="KS37">
        <v>91</v>
      </c>
      <c r="KT37">
        <v>81.2</v>
      </c>
      <c r="KU37">
        <v>98.9</v>
      </c>
      <c r="KX37">
        <v>90.1</v>
      </c>
      <c r="KY37">
        <v>82.6</v>
      </c>
      <c r="KZ37">
        <v>87.2</v>
      </c>
      <c r="LA37">
        <v>87.2</v>
      </c>
      <c r="LB37">
        <v>82.5</v>
      </c>
      <c r="LC37">
        <v>92.3</v>
      </c>
      <c r="LD37">
        <v>71</v>
      </c>
      <c r="LE37">
        <v>55.9</v>
      </c>
      <c r="LF37">
        <v>55.9</v>
      </c>
      <c r="LG37">
        <v>86.7</v>
      </c>
      <c r="LH37">
        <v>90.6</v>
      </c>
      <c r="LI37">
        <v>80.400000000000006</v>
      </c>
      <c r="LJ37">
        <v>134.19999999999999</v>
      </c>
      <c r="LK37">
        <v>247.4</v>
      </c>
      <c r="LL37">
        <v>475.3</v>
      </c>
      <c r="LM37">
        <v>594.5</v>
      </c>
      <c r="LN37">
        <v>205.3</v>
      </c>
      <c r="LO37">
        <v>179.2</v>
      </c>
      <c r="LP37">
        <v>1092</v>
      </c>
      <c r="LQ37">
        <v>515.6</v>
      </c>
      <c r="LR37">
        <v>513.5</v>
      </c>
      <c r="LT37">
        <v>186.5</v>
      </c>
      <c r="LU37">
        <v>234.5</v>
      </c>
      <c r="LV37">
        <v>149.1</v>
      </c>
      <c r="LX37">
        <v>95.7</v>
      </c>
      <c r="LY37">
        <v>91.7</v>
      </c>
      <c r="MA37">
        <v>103.1</v>
      </c>
      <c r="MB37">
        <v>144.19999999999999</v>
      </c>
      <c r="MC37">
        <v>372.1</v>
      </c>
      <c r="MD37">
        <v>133.9</v>
      </c>
      <c r="ME37">
        <v>105.3</v>
      </c>
      <c r="MG37">
        <v>106.3</v>
      </c>
      <c r="MH37">
        <v>92.6</v>
      </c>
      <c r="MI37">
        <v>109</v>
      </c>
      <c r="MJ37">
        <v>100</v>
      </c>
      <c r="MK37">
        <v>123.8</v>
      </c>
      <c r="MM37">
        <v>88.7</v>
      </c>
      <c r="MN37">
        <v>89.3</v>
      </c>
      <c r="MO37">
        <v>90.5</v>
      </c>
      <c r="MP37">
        <v>92.8</v>
      </c>
      <c r="MQ37">
        <v>81.400000000000006</v>
      </c>
      <c r="MS37">
        <v>88.9</v>
      </c>
      <c r="MU37">
        <v>86.3</v>
      </c>
      <c r="MV37">
        <v>94.6</v>
      </c>
      <c r="MW37">
        <v>82.6</v>
      </c>
      <c r="MX37">
        <v>90.6</v>
      </c>
      <c r="NB37">
        <v>110.4</v>
      </c>
      <c r="NC37">
        <v>96.3</v>
      </c>
      <c r="ND37">
        <v>103.3</v>
      </c>
      <c r="NE37">
        <v>92.1</v>
      </c>
      <c r="NF37">
        <v>126.9</v>
      </c>
      <c r="NG37">
        <v>127.2</v>
      </c>
      <c r="NH37">
        <v>127.8</v>
      </c>
      <c r="NI37">
        <v>107.4</v>
      </c>
      <c r="NJ37">
        <v>111.8</v>
      </c>
      <c r="NL37">
        <v>99</v>
      </c>
      <c r="NM37">
        <v>145.80000000000001</v>
      </c>
      <c r="NN37">
        <v>107.9</v>
      </c>
      <c r="NQ37">
        <v>92.6</v>
      </c>
      <c r="NR37">
        <v>87.5</v>
      </c>
      <c r="NS37">
        <v>87.5</v>
      </c>
      <c r="NT37">
        <v>93.5</v>
      </c>
      <c r="NU37">
        <v>118.8</v>
      </c>
      <c r="NW37">
        <v>95.4</v>
      </c>
      <c r="NX37">
        <v>95.4</v>
      </c>
      <c r="NY37">
        <v>97.5</v>
      </c>
      <c r="NZ37">
        <v>101</v>
      </c>
      <c r="OA37">
        <v>105.3</v>
      </c>
      <c r="OB37">
        <v>106.9</v>
      </c>
      <c r="OC37">
        <v>101.3</v>
      </c>
      <c r="OD37">
        <v>100.6</v>
      </c>
      <c r="OE37">
        <v>89.2</v>
      </c>
      <c r="OF37">
        <v>75.099999999999994</v>
      </c>
      <c r="OH37">
        <v>87</v>
      </c>
      <c r="OJ37">
        <v>86.2</v>
      </c>
      <c r="OK37">
        <v>88.5</v>
      </c>
      <c r="OL37">
        <v>83.9</v>
      </c>
      <c r="OM37">
        <v>96.5</v>
      </c>
      <c r="ON37">
        <v>108.2</v>
      </c>
      <c r="OO37">
        <v>83.7</v>
      </c>
      <c r="OP37">
        <v>94.2</v>
      </c>
      <c r="OQ37">
        <v>98.6</v>
      </c>
      <c r="OS37">
        <v>88</v>
      </c>
      <c r="OU37">
        <v>90.6</v>
      </c>
      <c r="OV37">
        <v>92.1</v>
      </c>
      <c r="OW37">
        <v>102.6</v>
      </c>
      <c r="OX37">
        <v>90.5</v>
      </c>
      <c r="OY37">
        <v>79.099999999999994</v>
      </c>
      <c r="OZ37">
        <v>79.400000000000006</v>
      </c>
      <c r="PA37">
        <v>124.4</v>
      </c>
      <c r="PB37">
        <v>101.8</v>
      </c>
      <c r="PC37">
        <v>85</v>
      </c>
      <c r="PD37">
        <v>188.8</v>
      </c>
      <c r="PG37">
        <v>112.1</v>
      </c>
      <c r="PH37">
        <v>97.3</v>
      </c>
      <c r="PI37">
        <v>100</v>
      </c>
      <c r="PJ37">
        <v>96</v>
      </c>
      <c r="PK37">
        <v>117.9</v>
      </c>
      <c r="PL37">
        <v>90.8</v>
      </c>
      <c r="PM37">
        <v>92.2</v>
      </c>
      <c r="PN37">
        <v>90.8</v>
      </c>
      <c r="PO37">
        <v>101.3</v>
      </c>
      <c r="PP37">
        <v>103.6</v>
      </c>
      <c r="PQ37">
        <v>113.1</v>
      </c>
      <c r="PR37">
        <v>105.7</v>
      </c>
      <c r="PS37">
        <v>98.2</v>
      </c>
      <c r="PT37">
        <v>97.9</v>
      </c>
      <c r="PU37">
        <v>93.8</v>
      </c>
      <c r="PV37">
        <v>106.5</v>
      </c>
      <c r="PW37">
        <v>104.2</v>
      </c>
      <c r="PX37">
        <v>105.3</v>
      </c>
      <c r="PY37">
        <v>91.2</v>
      </c>
      <c r="PZ37">
        <v>91.6</v>
      </c>
      <c r="QA37">
        <v>92.8</v>
      </c>
      <c r="QB37">
        <v>83.1</v>
      </c>
      <c r="QC37">
        <v>104.8</v>
      </c>
      <c r="QD37">
        <v>92.9</v>
      </c>
      <c r="QE37">
        <v>94.8</v>
      </c>
      <c r="QF37">
        <v>79</v>
      </c>
      <c r="QG37">
        <v>112.9</v>
      </c>
      <c r="QH37">
        <v>82.7</v>
      </c>
      <c r="QI37">
        <v>82.7</v>
      </c>
      <c r="QJ37">
        <v>90.9</v>
      </c>
      <c r="QK37">
        <v>96.3</v>
      </c>
      <c r="QL37">
        <v>94.1</v>
      </c>
      <c r="QM37">
        <v>94.4</v>
      </c>
      <c r="QN37">
        <v>86.7</v>
      </c>
      <c r="QO37">
        <v>89.5</v>
      </c>
      <c r="QQ37">
        <v>103.5</v>
      </c>
      <c r="QR37">
        <v>104.4</v>
      </c>
      <c r="QS37">
        <v>156.80000000000001</v>
      </c>
      <c r="QT37">
        <v>75.3</v>
      </c>
      <c r="QU37">
        <v>101.7</v>
      </c>
      <c r="QV37">
        <v>96.7</v>
      </c>
      <c r="QW37">
        <v>107.4</v>
      </c>
      <c r="QX37">
        <v>104.3</v>
      </c>
      <c r="QY37">
        <v>83.1</v>
      </c>
      <c r="QZ37">
        <v>85.7</v>
      </c>
      <c r="RA37">
        <v>81.2</v>
      </c>
      <c r="RB37">
        <v>79</v>
      </c>
      <c r="RC37">
        <v>81.3</v>
      </c>
      <c r="RD37">
        <v>95</v>
      </c>
      <c r="RE37">
        <v>111.1</v>
      </c>
      <c r="RF37">
        <v>114</v>
      </c>
      <c r="RG37">
        <v>125.6</v>
      </c>
      <c r="RH37">
        <v>119</v>
      </c>
      <c r="RI37">
        <v>97.5</v>
      </c>
      <c r="RJ37">
        <v>127.4</v>
      </c>
      <c r="RK37">
        <v>98.6</v>
      </c>
      <c r="RL37">
        <v>107.4</v>
      </c>
      <c r="RM37">
        <v>103.7</v>
      </c>
      <c r="RN37">
        <v>140.69999999999999</v>
      </c>
      <c r="RO37">
        <v>114.1</v>
      </c>
      <c r="RS37">
        <v>120.4</v>
      </c>
      <c r="RT37">
        <v>155.69999999999999</v>
      </c>
      <c r="RV37">
        <v>108.4</v>
      </c>
      <c r="RW37">
        <v>134.9</v>
      </c>
      <c r="RX37">
        <v>138.5</v>
      </c>
      <c r="SA37">
        <v>112.1</v>
      </c>
      <c r="SB37">
        <v>96</v>
      </c>
      <c r="SC37">
        <v>132.80000000000001</v>
      </c>
      <c r="SF37">
        <v>81</v>
      </c>
      <c r="SG37">
        <v>82.9</v>
      </c>
      <c r="SH37">
        <v>94.1</v>
      </c>
      <c r="SI37">
        <v>92.6</v>
      </c>
      <c r="SK37">
        <v>100.5</v>
      </c>
      <c r="SL37">
        <v>90.2</v>
      </c>
      <c r="SM37">
        <v>95.7</v>
      </c>
      <c r="SN37">
        <v>95.1</v>
      </c>
      <c r="SO37">
        <v>97.7</v>
      </c>
      <c r="SP37">
        <v>98.9</v>
      </c>
      <c r="SQ37">
        <v>94.7</v>
      </c>
      <c r="SR37">
        <v>95.2</v>
      </c>
      <c r="SS37">
        <v>94.1</v>
      </c>
      <c r="ST37">
        <v>93.8</v>
      </c>
      <c r="SU37">
        <v>95</v>
      </c>
      <c r="SV37">
        <v>94.4</v>
      </c>
      <c r="SX37">
        <v>93.4</v>
      </c>
      <c r="SZ37">
        <v>83.6</v>
      </c>
      <c r="TA37">
        <v>93</v>
      </c>
      <c r="TB37">
        <v>73.2</v>
      </c>
      <c r="TC37">
        <v>71.599999999999994</v>
      </c>
      <c r="TD37">
        <v>78.900000000000006</v>
      </c>
      <c r="TE37">
        <v>91</v>
      </c>
      <c r="TF37">
        <v>97.1</v>
      </c>
      <c r="TG37">
        <v>100.2</v>
      </c>
      <c r="TH37">
        <v>95.6</v>
      </c>
      <c r="TI37">
        <v>94.9</v>
      </c>
      <c r="TJ37">
        <v>98.2</v>
      </c>
      <c r="TK37">
        <v>77.900000000000006</v>
      </c>
      <c r="TL37">
        <v>75.2</v>
      </c>
      <c r="TN37">
        <v>89.3</v>
      </c>
      <c r="TO37">
        <v>77.5</v>
      </c>
      <c r="TP37">
        <v>75.2</v>
      </c>
      <c r="TT37">
        <v>92</v>
      </c>
      <c r="TU37">
        <v>89.2</v>
      </c>
      <c r="TV37">
        <v>83.5</v>
      </c>
      <c r="TW37">
        <v>103.5</v>
      </c>
      <c r="TX37">
        <v>102.5</v>
      </c>
      <c r="TY37">
        <v>98.4</v>
      </c>
      <c r="TZ37">
        <v>116.7</v>
      </c>
      <c r="UC37">
        <v>115</v>
      </c>
      <c r="UD37">
        <v>89.9</v>
      </c>
      <c r="UE37">
        <v>137</v>
      </c>
      <c r="UF37">
        <v>79.400000000000006</v>
      </c>
      <c r="UG37">
        <v>95.2</v>
      </c>
      <c r="UH37">
        <v>114.7</v>
      </c>
      <c r="UI37">
        <v>138.9</v>
      </c>
      <c r="UJ37">
        <v>91</v>
      </c>
      <c r="UL37">
        <v>108.5</v>
      </c>
      <c r="UM37">
        <v>121.1</v>
      </c>
      <c r="UN37">
        <v>93.9</v>
      </c>
      <c r="UO37">
        <v>96.4</v>
      </c>
      <c r="UP37">
        <v>87.9</v>
      </c>
      <c r="UQ37">
        <v>346.9</v>
      </c>
      <c r="UR37">
        <v>113.7</v>
      </c>
      <c r="US37">
        <v>95.2</v>
      </c>
      <c r="UT37">
        <v>93.8</v>
      </c>
      <c r="UU37">
        <v>99.3</v>
      </c>
      <c r="UW37">
        <v>79.900000000000006</v>
      </c>
      <c r="UX37">
        <v>91.3</v>
      </c>
      <c r="UY37">
        <v>74.8</v>
      </c>
      <c r="UZ37">
        <v>85.4</v>
      </c>
      <c r="VB37">
        <v>89.4</v>
      </c>
      <c r="VD37">
        <v>114.8</v>
      </c>
      <c r="VE37">
        <v>915.4</v>
      </c>
      <c r="VH37">
        <v>3578.7</v>
      </c>
      <c r="VI37">
        <v>6782.3</v>
      </c>
      <c r="VL37">
        <v>1397.3</v>
      </c>
      <c r="VM37">
        <v>85.1</v>
      </c>
      <c r="VN37">
        <v>97.5</v>
      </c>
      <c r="VO37">
        <v>103.3</v>
      </c>
      <c r="VP37">
        <v>88.4</v>
      </c>
      <c r="VQ37">
        <v>103.2</v>
      </c>
      <c r="VR37">
        <v>74.2</v>
      </c>
      <c r="VT37">
        <v>112.6</v>
      </c>
      <c r="VU37">
        <v>145.69999999999999</v>
      </c>
      <c r="VV37">
        <v>77.7</v>
      </c>
      <c r="VW37">
        <v>109.8</v>
      </c>
      <c r="VX37">
        <v>77.099999999999994</v>
      </c>
      <c r="VY37">
        <v>133.9</v>
      </c>
      <c r="VZ37">
        <v>127.9</v>
      </c>
      <c r="WB37">
        <v>143.30000000000001</v>
      </c>
      <c r="WC37">
        <v>536.20000000000005</v>
      </c>
      <c r="WE37">
        <v>103.7</v>
      </c>
      <c r="WF37">
        <v>89.4</v>
      </c>
      <c r="WG37">
        <v>101.1</v>
      </c>
      <c r="WH37">
        <v>83.5</v>
      </c>
      <c r="WI37">
        <v>81.8</v>
      </c>
      <c r="WJ37">
        <v>85</v>
      </c>
      <c r="WK37">
        <v>82.5</v>
      </c>
      <c r="WL37">
        <v>101.8</v>
      </c>
      <c r="WN37">
        <v>98.4</v>
      </c>
      <c r="WP37">
        <v>95.7</v>
      </c>
      <c r="WQ37">
        <v>93</v>
      </c>
      <c r="WT37">
        <v>119.7</v>
      </c>
      <c r="WV37">
        <v>96.9</v>
      </c>
      <c r="WX37">
        <v>87.4</v>
      </c>
      <c r="WY37">
        <v>92</v>
      </c>
      <c r="WZ37">
        <v>91.5</v>
      </c>
      <c r="XA37">
        <v>92.4</v>
      </c>
      <c r="XB37">
        <v>70.599999999999994</v>
      </c>
      <c r="XD37">
        <v>67.7</v>
      </c>
      <c r="XE37">
        <v>83.6</v>
      </c>
      <c r="XF37">
        <v>80.3</v>
      </c>
      <c r="XG37">
        <v>85</v>
      </c>
      <c r="XH37">
        <v>95.1</v>
      </c>
      <c r="XI37">
        <v>107.9</v>
      </c>
      <c r="XJ37">
        <v>107.9</v>
      </c>
      <c r="XK37">
        <v>67.5</v>
      </c>
      <c r="XL37">
        <v>67.5</v>
      </c>
      <c r="XM37">
        <v>86.3</v>
      </c>
      <c r="XN37">
        <v>76.8</v>
      </c>
      <c r="XO37">
        <v>89.8</v>
      </c>
      <c r="XP37">
        <v>92</v>
      </c>
      <c r="XR37">
        <v>84.3</v>
      </c>
      <c r="XT37">
        <v>94.8</v>
      </c>
      <c r="XU37">
        <v>99.8</v>
      </c>
      <c r="XV37">
        <v>101.2</v>
      </c>
      <c r="XW37">
        <v>105.1</v>
      </c>
      <c r="XY37">
        <v>100.2</v>
      </c>
      <c r="XZ37">
        <v>97.5</v>
      </c>
      <c r="YA37">
        <v>98.2</v>
      </c>
      <c r="YC37">
        <v>75.400000000000006</v>
      </c>
      <c r="YD37">
        <v>90.8</v>
      </c>
      <c r="YE37">
        <v>99.4</v>
      </c>
      <c r="YF37">
        <v>133.19999999999999</v>
      </c>
      <c r="YG37">
        <v>87.7</v>
      </c>
      <c r="YH37">
        <v>97.3</v>
      </c>
      <c r="YJ37">
        <v>85.5</v>
      </c>
      <c r="YK37">
        <v>68.400000000000006</v>
      </c>
      <c r="YL37">
        <v>84.7</v>
      </c>
      <c r="YM37">
        <v>100.6</v>
      </c>
      <c r="YO37">
        <v>188.5</v>
      </c>
      <c r="YR37">
        <v>96.4</v>
      </c>
      <c r="YT37">
        <v>87.5</v>
      </c>
      <c r="YU37">
        <v>94.6</v>
      </c>
      <c r="YW37">
        <v>96.8</v>
      </c>
      <c r="YX37">
        <v>90.9</v>
      </c>
      <c r="YY37">
        <v>91.3</v>
      </c>
      <c r="YZ37">
        <v>93.3</v>
      </c>
      <c r="ZB37">
        <v>107.5</v>
      </c>
      <c r="ZC37">
        <v>190.8</v>
      </c>
      <c r="ZD37">
        <v>293.89999999999998</v>
      </c>
      <c r="ZE37">
        <v>120.1</v>
      </c>
      <c r="ZF37">
        <v>106.3</v>
      </c>
      <c r="ZG37">
        <v>113.4</v>
      </c>
      <c r="ZK37">
        <v>97.3</v>
      </c>
      <c r="ZL37">
        <v>95.1</v>
      </c>
      <c r="ZM37">
        <v>118.5</v>
      </c>
      <c r="ZN37">
        <v>103.4</v>
      </c>
      <c r="ZO37">
        <v>102.6</v>
      </c>
      <c r="ZP37">
        <v>106.4</v>
      </c>
      <c r="ZQ37">
        <v>100.2</v>
      </c>
      <c r="ZR37">
        <v>104.6</v>
      </c>
      <c r="ZT37">
        <v>100.3</v>
      </c>
      <c r="ZU37">
        <v>100.7</v>
      </c>
      <c r="ZV37">
        <v>97.7</v>
      </c>
      <c r="ZW37">
        <v>98.5</v>
      </c>
      <c r="ZX37">
        <v>124.2</v>
      </c>
      <c r="ZY37">
        <v>94.8</v>
      </c>
      <c r="ZZ37">
        <v>101.3</v>
      </c>
      <c r="AAA37">
        <v>128.1</v>
      </c>
      <c r="AAC37">
        <v>68.900000000000006</v>
      </c>
      <c r="AAD37">
        <v>65.5</v>
      </c>
      <c r="AAE37">
        <v>116.3</v>
      </c>
      <c r="AAF37">
        <v>37</v>
      </c>
      <c r="AAG37">
        <v>61.4</v>
      </c>
      <c r="AAH37">
        <v>118.9</v>
      </c>
      <c r="AAI37">
        <v>71.2</v>
      </c>
      <c r="AAJ37">
        <v>49.9</v>
      </c>
      <c r="AAK37">
        <v>98.3</v>
      </c>
      <c r="AAL37">
        <v>100.8</v>
      </c>
      <c r="AAM37">
        <v>106.1</v>
      </c>
      <c r="AAN37">
        <v>96.2</v>
      </c>
      <c r="AAO37">
        <v>50.5</v>
      </c>
      <c r="AAP37">
        <v>49.6</v>
      </c>
      <c r="AAQ37">
        <v>52.2</v>
      </c>
      <c r="AAR37">
        <v>94.8</v>
      </c>
      <c r="AAU37">
        <v>247.8</v>
      </c>
      <c r="AAW37">
        <v>77.099999999999994</v>
      </c>
      <c r="AAX37">
        <v>87.6</v>
      </c>
      <c r="AAY37">
        <v>93.7</v>
      </c>
      <c r="AAZ37">
        <v>93.7</v>
      </c>
      <c r="ABB37">
        <v>78.2</v>
      </c>
      <c r="ABC37">
        <v>80.2</v>
      </c>
      <c r="ABD37">
        <v>79.2</v>
      </c>
      <c r="ABE37">
        <v>72.2</v>
      </c>
      <c r="ABF37">
        <v>98.1</v>
      </c>
      <c r="ABG37">
        <v>89.2</v>
      </c>
      <c r="ABH37">
        <v>96.3</v>
      </c>
      <c r="ABI37">
        <v>98.3</v>
      </c>
      <c r="ABJ37">
        <v>105.3</v>
      </c>
      <c r="ABK37">
        <v>97.3</v>
      </c>
      <c r="ABL37">
        <v>80.5</v>
      </c>
      <c r="ABM37">
        <v>99.9</v>
      </c>
      <c r="ABN37">
        <v>103.6</v>
      </c>
      <c r="ABO37">
        <v>103.6</v>
      </c>
      <c r="ABP37">
        <v>112.9</v>
      </c>
    </row>
    <row r="38" spans="1:745">
      <c r="A38">
        <v>2001</v>
      </c>
      <c r="B38">
        <v>96.3</v>
      </c>
      <c r="C38">
        <v>86.2</v>
      </c>
      <c r="D38">
        <v>95.5</v>
      </c>
      <c r="E38">
        <v>104.6</v>
      </c>
      <c r="F38">
        <v>106.8</v>
      </c>
      <c r="G38">
        <v>103.8</v>
      </c>
      <c r="H38">
        <v>88</v>
      </c>
      <c r="I38">
        <v>90.4</v>
      </c>
      <c r="J38">
        <v>86</v>
      </c>
      <c r="L38">
        <v>89.9</v>
      </c>
      <c r="M38">
        <v>93.5</v>
      </c>
      <c r="N38">
        <v>89.7</v>
      </c>
      <c r="O38">
        <v>87.8</v>
      </c>
      <c r="P38">
        <v>82.1</v>
      </c>
      <c r="Q38">
        <v>99.4</v>
      </c>
      <c r="R38">
        <v>104.6</v>
      </c>
      <c r="S38">
        <v>72.5</v>
      </c>
      <c r="T38">
        <v>119.7</v>
      </c>
      <c r="V38">
        <v>77.599999999999994</v>
      </c>
      <c r="W38">
        <v>79</v>
      </c>
      <c r="X38">
        <v>96.4</v>
      </c>
      <c r="Y38">
        <v>101.1</v>
      </c>
      <c r="Z38">
        <v>104.1</v>
      </c>
      <c r="AA38">
        <v>97.5</v>
      </c>
      <c r="AB38">
        <v>62.5</v>
      </c>
      <c r="AC38">
        <v>91.7</v>
      </c>
      <c r="AD38">
        <v>64.8</v>
      </c>
      <c r="AE38">
        <v>82.3</v>
      </c>
      <c r="AF38">
        <v>85.8</v>
      </c>
      <c r="AG38">
        <v>52.6</v>
      </c>
      <c r="AH38">
        <v>61.3</v>
      </c>
      <c r="AI38">
        <v>94</v>
      </c>
      <c r="AJ38">
        <v>73.2</v>
      </c>
      <c r="AK38">
        <v>69.8</v>
      </c>
      <c r="AL38">
        <v>68.2</v>
      </c>
      <c r="AM38">
        <v>72.400000000000006</v>
      </c>
      <c r="AN38">
        <v>62.3</v>
      </c>
      <c r="AO38">
        <v>99.3</v>
      </c>
      <c r="AP38">
        <v>59</v>
      </c>
      <c r="AQ38">
        <v>76.8</v>
      </c>
      <c r="AR38">
        <v>95.2</v>
      </c>
      <c r="AS38">
        <v>64.7</v>
      </c>
      <c r="AU38">
        <v>86.1</v>
      </c>
      <c r="AV38">
        <v>82.8</v>
      </c>
      <c r="AW38">
        <v>87.1</v>
      </c>
      <c r="AX38">
        <v>88.5</v>
      </c>
      <c r="AY38">
        <v>73.8</v>
      </c>
      <c r="AZ38">
        <v>80.3</v>
      </c>
      <c r="BA38">
        <v>69.599999999999994</v>
      </c>
      <c r="BB38">
        <v>76.2</v>
      </c>
      <c r="BC38">
        <v>79</v>
      </c>
      <c r="BD38">
        <v>77</v>
      </c>
      <c r="BE38">
        <v>72.599999999999994</v>
      </c>
      <c r="BF38">
        <v>67.7</v>
      </c>
      <c r="BG38">
        <v>60.3</v>
      </c>
      <c r="BH38">
        <v>74.7</v>
      </c>
      <c r="BJ38">
        <v>80.2</v>
      </c>
      <c r="BK38">
        <v>98.1</v>
      </c>
      <c r="BL38">
        <v>105</v>
      </c>
      <c r="BM38">
        <v>95.9</v>
      </c>
      <c r="BN38">
        <v>88.5</v>
      </c>
      <c r="BP38">
        <v>86.2</v>
      </c>
      <c r="BQ38">
        <v>89</v>
      </c>
      <c r="BR38">
        <v>87.7</v>
      </c>
      <c r="BS38">
        <v>93.6</v>
      </c>
      <c r="BT38">
        <v>91.6</v>
      </c>
      <c r="BU38">
        <v>96.9</v>
      </c>
      <c r="BV38">
        <v>100.2</v>
      </c>
      <c r="BW38">
        <v>71.900000000000006</v>
      </c>
      <c r="BX38">
        <v>74.599999999999994</v>
      </c>
      <c r="BY38">
        <v>79.900000000000006</v>
      </c>
      <c r="BZ38">
        <v>77</v>
      </c>
      <c r="CA38">
        <v>77</v>
      </c>
      <c r="CB38">
        <v>80.2</v>
      </c>
      <c r="CC38">
        <v>74.7</v>
      </c>
      <c r="CD38">
        <v>72.5</v>
      </c>
      <c r="CE38">
        <v>59.2</v>
      </c>
      <c r="CF38">
        <v>65.599999999999994</v>
      </c>
      <c r="CG38">
        <v>77.900000000000006</v>
      </c>
      <c r="CH38">
        <v>84.2</v>
      </c>
      <c r="CI38">
        <v>88</v>
      </c>
      <c r="CJ38">
        <v>106.7</v>
      </c>
      <c r="CK38">
        <v>81.099999999999994</v>
      </c>
      <c r="CL38">
        <v>66.3</v>
      </c>
      <c r="CM38">
        <v>65.599999999999994</v>
      </c>
      <c r="CN38">
        <v>56.4</v>
      </c>
      <c r="CO38">
        <v>75.900000000000006</v>
      </c>
      <c r="CP38">
        <v>65.5</v>
      </c>
      <c r="CQ38">
        <v>64.599999999999994</v>
      </c>
      <c r="CR38">
        <v>74.599999999999994</v>
      </c>
      <c r="CS38">
        <v>58.1</v>
      </c>
      <c r="CT38">
        <v>85.2</v>
      </c>
      <c r="CV38">
        <v>78.099999999999994</v>
      </c>
      <c r="CW38">
        <v>65.099999999999994</v>
      </c>
      <c r="CX38">
        <v>62.5</v>
      </c>
      <c r="CY38">
        <v>67.7</v>
      </c>
      <c r="CZ38">
        <v>65.5</v>
      </c>
      <c r="DA38">
        <v>73.8</v>
      </c>
      <c r="DB38">
        <v>58.8</v>
      </c>
      <c r="DC38">
        <v>100.6</v>
      </c>
      <c r="DD38">
        <v>118.7</v>
      </c>
      <c r="DE38">
        <v>121</v>
      </c>
      <c r="DG38">
        <v>89.6</v>
      </c>
      <c r="DH38">
        <v>70.5</v>
      </c>
      <c r="DI38">
        <v>70.099999999999994</v>
      </c>
      <c r="DJ38">
        <v>84.8</v>
      </c>
      <c r="DK38">
        <v>56.9</v>
      </c>
      <c r="DL38">
        <v>71.900000000000006</v>
      </c>
      <c r="DN38">
        <v>105</v>
      </c>
      <c r="DO38">
        <v>98.4</v>
      </c>
      <c r="DP38">
        <v>96.4</v>
      </c>
      <c r="DQ38">
        <v>128.19999999999999</v>
      </c>
      <c r="DR38">
        <v>91.1</v>
      </c>
      <c r="DS38">
        <v>107.4</v>
      </c>
      <c r="DT38">
        <v>76.5</v>
      </c>
      <c r="DU38">
        <v>88.8</v>
      </c>
      <c r="DV38">
        <v>86.7</v>
      </c>
      <c r="DW38">
        <v>106.5</v>
      </c>
      <c r="DX38">
        <v>83.8</v>
      </c>
      <c r="DY38">
        <v>100.7</v>
      </c>
      <c r="DZ38">
        <v>68.599999999999994</v>
      </c>
      <c r="EA38">
        <v>67.599999999999994</v>
      </c>
      <c r="EB38">
        <v>76.5</v>
      </c>
      <c r="EC38">
        <v>59.1</v>
      </c>
      <c r="ED38">
        <v>77.400000000000006</v>
      </c>
      <c r="EF38">
        <v>50.3</v>
      </c>
      <c r="EG38">
        <v>67.099999999999994</v>
      </c>
      <c r="EH38">
        <v>57</v>
      </c>
      <c r="EI38">
        <v>75.8</v>
      </c>
      <c r="EJ38">
        <v>66</v>
      </c>
      <c r="EK38">
        <v>66.8</v>
      </c>
      <c r="EL38">
        <v>75.400000000000006</v>
      </c>
      <c r="EM38">
        <v>72.900000000000006</v>
      </c>
      <c r="EN38">
        <v>73.7</v>
      </c>
      <c r="EO38">
        <v>67.7</v>
      </c>
      <c r="EP38">
        <v>87.3</v>
      </c>
      <c r="ER38">
        <v>89</v>
      </c>
      <c r="ET38">
        <v>102.5</v>
      </c>
      <c r="EU38">
        <v>109.8</v>
      </c>
      <c r="EV38">
        <v>123.6</v>
      </c>
      <c r="EW38">
        <v>72.099999999999994</v>
      </c>
      <c r="EX38">
        <v>101.6</v>
      </c>
      <c r="EY38">
        <v>94.3</v>
      </c>
      <c r="EZ38">
        <v>104.4</v>
      </c>
      <c r="FA38">
        <v>102.6</v>
      </c>
      <c r="FB38">
        <v>94</v>
      </c>
      <c r="FC38">
        <v>102.4</v>
      </c>
      <c r="FD38">
        <v>118.8</v>
      </c>
      <c r="FE38">
        <v>135.1</v>
      </c>
      <c r="FF38">
        <v>102.6</v>
      </c>
      <c r="FH38">
        <v>88.7</v>
      </c>
      <c r="FI38">
        <v>95.6</v>
      </c>
      <c r="FJ38">
        <v>85.7</v>
      </c>
      <c r="FK38">
        <v>110.1</v>
      </c>
      <c r="FL38">
        <v>98.1</v>
      </c>
      <c r="FM38">
        <v>102</v>
      </c>
      <c r="FQ38">
        <v>81.400000000000006</v>
      </c>
      <c r="FR38">
        <v>81.5</v>
      </c>
      <c r="FS38">
        <v>79.5</v>
      </c>
      <c r="FT38">
        <v>76.099999999999994</v>
      </c>
      <c r="FU38">
        <v>90.6</v>
      </c>
      <c r="FV38">
        <v>69.3</v>
      </c>
      <c r="FW38">
        <v>101.6</v>
      </c>
      <c r="FX38">
        <v>87.9</v>
      </c>
      <c r="FY38">
        <v>85.5</v>
      </c>
      <c r="GA38">
        <v>98.9</v>
      </c>
      <c r="GB38">
        <v>85.8</v>
      </c>
      <c r="GC38">
        <v>87.8</v>
      </c>
      <c r="GD38">
        <v>74.7</v>
      </c>
      <c r="GE38">
        <v>78</v>
      </c>
      <c r="GF38">
        <v>86</v>
      </c>
      <c r="GG38">
        <v>77.7</v>
      </c>
      <c r="GH38">
        <v>97.7</v>
      </c>
      <c r="GI38">
        <v>85.5</v>
      </c>
      <c r="GJ38">
        <v>90</v>
      </c>
      <c r="GM38">
        <v>85.3</v>
      </c>
      <c r="GO38">
        <v>91.7</v>
      </c>
      <c r="GP38">
        <v>82.7</v>
      </c>
      <c r="GQ38">
        <v>121.7</v>
      </c>
      <c r="GU38">
        <v>82.7</v>
      </c>
      <c r="GV38">
        <v>44.8</v>
      </c>
      <c r="GW38">
        <v>80.8</v>
      </c>
      <c r="GX38">
        <v>89.6</v>
      </c>
      <c r="GY38">
        <v>87.5</v>
      </c>
      <c r="GZ38">
        <v>85.2</v>
      </c>
      <c r="HA38">
        <v>103.7</v>
      </c>
      <c r="HD38">
        <v>97.1</v>
      </c>
      <c r="HG38">
        <v>108.8</v>
      </c>
      <c r="HH38">
        <v>107.8</v>
      </c>
      <c r="HI38">
        <v>83.3</v>
      </c>
      <c r="HO38">
        <v>118.6</v>
      </c>
      <c r="HP38">
        <v>121.3</v>
      </c>
      <c r="HQ38">
        <v>102.7</v>
      </c>
      <c r="HR38">
        <v>103.3</v>
      </c>
      <c r="HS38">
        <v>157.69999999999999</v>
      </c>
      <c r="HT38">
        <v>116.2</v>
      </c>
      <c r="HU38">
        <v>102.2</v>
      </c>
      <c r="HV38">
        <v>118.7</v>
      </c>
      <c r="HW38">
        <v>124.8</v>
      </c>
      <c r="HY38">
        <v>118.3</v>
      </c>
      <c r="HZ38">
        <v>96.9</v>
      </c>
      <c r="IA38">
        <v>129.4</v>
      </c>
      <c r="IB38">
        <v>108.6</v>
      </c>
      <c r="IC38">
        <v>138.69999999999999</v>
      </c>
      <c r="IE38">
        <v>86.2</v>
      </c>
      <c r="IF38">
        <v>172.8</v>
      </c>
      <c r="IH38">
        <v>127.7</v>
      </c>
      <c r="IJ38">
        <v>103.3</v>
      </c>
      <c r="IK38">
        <v>121.2</v>
      </c>
      <c r="IL38">
        <v>97.3</v>
      </c>
      <c r="IM38">
        <v>102.8</v>
      </c>
      <c r="IN38">
        <v>99.2</v>
      </c>
      <c r="IO38">
        <v>94.3</v>
      </c>
      <c r="IP38">
        <v>102.8</v>
      </c>
      <c r="IQ38">
        <v>92.8</v>
      </c>
      <c r="IT38">
        <v>85.7</v>
      </c>
      <c r="IU38">
        <v>85.4</v>
      </c>
      <c r="IV38">
        <v>84.3</v>
      </c>
      <c r="IX38">
        <v>84.9</v>
      </c>
      <c r="IY38">
        <v>89.5</v>
      </c>
      <c r="JA38">
        <v>85.5</v>
      </c>
      <c r="JB38">
        <v>88.7</v>
      </c>
      <c r="JC38">
        <v>87.5</v>
      </c>
      <c r="JD38">
        <v>81.3</v>
      </c>
      <c r="JE38">
        <v>90.5</v>
      </c>
      <c r="JH38">
        <v>91.4</v>
      </c>
      <c r="JI38">
        <v>90.1</v>
      </c>
      <c r="JK38">
        <v>69.7</v>
      </c>
      <c r="JL38">
        <v>88.1</v>
      </c>
      <c r="JM38">
        <v>103.1</v>
      </c>
      <c r="JO38">
        <v>88.4</v>
      </c>
      <c r="JQ38">
        <v>87.1</v>
      </c>
      <c r="JS38">
        <v>92.4</v>
      </c>
      <c r="JT38">
        <v>92.5</v>
      </c>
      <c r="JU38">
        <v>92.2</v>
      </c>
      <c r="JV38">
        <v>101.7</v>
      </c>
      <c r="JW38">
        <v>103.5</v>
      </c>
      <c r="JX38">
        <v>106.3</v>
      </c>
      <c r="JY38">
        <v>106.3</v>
      </c>
      <c r="JZ38">
        <v>98.1</v>
      </c>
      <c r="KA38">
        <v>102.2</v>
      </c>
      <c r="KB38">
        <v>93.4</v>
      </c>
      <c r="KC38">
        <v>103.1</v>
      </c>
      <c r="KD38">
        <v>103.1</v>
      </c>
      <c r="KE38">
        <v>91.1</v>
      </c>
      <c r="KF38">
        <v>104.8</v>
      </c>
      <c r="KG38">
        <v>94</v>
      </c>
      <c r="KH38">
        <v>230.4</v>
      </c>
      <c r="KI38">
        <v>103.1</v>
      </c>
      <c r="KL38">
        <v>71.2</v>
      </c>
      <c r="KM38">
        <v>87</v>
      </c>
      <c r="KN38">
        <v>87.9</v>
      </c>
      <c r="KO38">
        <v>72.7</v>
      </c>
      <c r="KP38">
        <v>82.8</v>
      </c>
      <c r="KS38">
        <v>91.1</v>
      </c>
      <c r="KT38">
        <v>81.2</v>
      </c>
      <c r="KU38">
        <v>98.5</v>
      </c>
      <c r="KX38">
        <v>89.5</v>
      </c>
      <c r="KY38">
        <v>83.1</v>
      </c>
      <c r="KZ38">
        <v>86.6</v>
      </c>
      <c r="LA38">
        <v>86.6</v>
      </c>
      <c r="LB38">
        <v>83.7</v>
      </c>
      <c r="LC38">
        <v>93.8</v>
      </c>
      <c r="LD38">
        <v>71.8</v>
      </c>
      <c r="LE38">
        <v>56.9</v>
      </c>
      <c r="LF38">
        <v>56.9</v>
      </c>
      <c r="LG38">
        <v>88.4</v>
      </c>
      <c r="LH38">
        <v>92.1</v>
      </c>
      <c r="LI38">
        <v>82.8</v>
      </c>
      <c r="LJ38">
        <v>129.30000000000001</v>
      </c>
      <c r="LK38">
        <v>228.7</v>
      </c>
      <c r="LL38">
        <v>428</v>
      </c>
      <c r="LM38">
        <v>542.70000000000005</v>
      </c>
      <c r="LN38">
        <v>191.3</v>
      </c>
      <c r="LO38">
        <v>175</v>
      </c>
      <c r="LP38">
        <v>934.6</v>
      </c>
      <c r="LQ38">
        <v>452.4</v>
      </c>
      <c r="LR38">
        <v>445.5</v>
      </c>
      <c r="LT38">
        <v>172.4</v>
      </c>
      <c r="LU38">
        <v>215.1</v>
      </c>
      <c r="LV38">
        <v>140.19999999999999</v>
      </c>
      <c r="LX38">
        <v>93.8</v>
      </c>
      <c r="LY38">
        <v>87.8</v>
      </c>
      <c r="MA38">
        <v>102.9</v>
      </c>
      <c r="MB38">
        <v>142.19999999999999</v>
      </c>
      <c r="MC38">
        <v>356.3</v>
      </c>
      <c r="MD38">
        <v>137.80000000000001</v>
      </c>
      <c r="ME38">
        <v>100.6</v>
      </c>
      <c r="MG38">
        <v>102.1</v>
      </c>
      <c r="MH38">
        <v>89.5</v>
      </c>
      <c r="MI38">
        <v>103</v>
      </c>
      <c r="MJ38">
        <v>97.7</v>
      </c>
      <c r="MK38">
        <v>121.9</v>
      </c>
      <c r="MM38">
        <v>87.7</v>
      </c>
      <c r="MN38">
        <v>88.4</v>
      </c>
      <c r="MO38">
        <v>89.7</v>
      </c>
      <c r="MP38">
        <v>91.9</v>
      </c>
      <c r="MQ38">
        <v>80.7</v>
      </c>
      <c r="MS38">
        <v>86.7</v>
      </c>
      <c r="MU38">
        <v>87.1</v>
      </c>
      <c r="MV38">
        <v>93.5</v>
      </c>
      <c r="MW38">
        <v>81.2</v>
      </c>
      <c r="MX38">
        <v>89.2</v>
      </c>
      <c r="NB38">
        <v>106.5</v>
      </c>
      <c r="NC38">
        <v>91.8</v>
      </c>
      <c r="ND38">
        <v>96.3</v>
      </c>
      <c r="NE38">
        <v>89.2</v>
      </c>
      <c r="NF38">
        <v>121.6</v>
      </c>
      <c r="NG38">
        <v>123.1</v>
      </c>
      <c r="NH38">
        <v>121.4</v>
      </c>
      <c r="NI38">
        <v>105.5</v>
      </c>
      <c r="NJ38">
        <v>110</v>
      </c>
      <c r="NL38">
        <v>96.8</v>
      </c>
      <c r="NM38">
        <v>142</v>
      </c>
      <c r="NN38">
        <v>108.3</v>
      </c>
      <c r="NQ38">
        <v>93</v>
      </c>
      <c r="NR38">
        <v>87.6</v>
      </c>
      <c r="NS38">
        <v>87.6</v>
      </c>
      <c r="NT38">
        <v>94.2</v>
      </c>
      <c r="NU38">
        <v>119.6</v>
      </c>
      <c r="NW38">
        <v>95.4</v>
      </c>
      <c r="NX38">
        <v>95.4</v>
      </c>
      <c r="NY38">
        <v>95.3</v>
      </c>
      <c r="NZ38">
        <v>97.8</v>
      </c>
      <c r="OA38">
        <v>101.3</v>
      </c>
      <c r="OB38">
        <v>102.8</v>
      </c>
      <c r="OC38">
        <v>97.4</v>
      </c>
      <c r="OD38">
        <v>97.5</v>
      </c>
      <c r="OE38">
        <v>87.1</v>
      </c>
      <c r="OF38">
        <v>73.900000000000006</v>
      </c>
      <c r="OH38">
        <v>83.4</v>
      </c>
      <c r="OJ38">
        <v>85.8</v>
      </c>
      <c r="OK38">
        <v>85.9</v>
      </c>
      <c r="OL38">
        <v>80.3</v>
      </c>
      <c r="OM38">
        <v>95.4</v>
      </c>
      <c r="ON38">
        <v>103.3</v>
      </c>
      <c r="OO38">
        <v>84.6</v>
      </c>
      <c r="OP38">
        <v>91.5</v>
      </c>
      <c r="OQ38">
        <v>95.4</v>
      </c>
      <c r="OS38">
        <v>83.6</v>
      </c>
      <c r="OU38">
        <v>92.5</v>
      </c>
      <c r="OV38">
        <v>89.5</v>
      </c>
      <c r="OW38">
        <v>94.8</v>
      </c>
      <c r="OX38">
        <v>87.3</v>
      </c>
      <c r="OY38">
        <v>77.5</v>
      </c>
      <c r="OZ38">
        <v>77.2</v>
      </c>
      <c r="PA38">
        <v>123.4</v>
      </c>
      <c r="PB38">
        <v>99</v>
      </c>
      <c r="PC38">
        <v>84.7</v>
      </c>
      <c r="PD38">
        <v>178.9</v>
      </c>
      <c r="PG38">
        <v>109.7</v>
      </c>
      <c r="PH38">
        <v>94.8</v>
      </c>
      <c r="PI38">
        <v>96.6</v>
      </c>
      <c r="PJ38">
        <v>94</v>
      </c>
      <c r="PK38">
        <v>114.8</v>
      </c>
      <c r="PL38">
        <v>89.7</v>
      </c>
      <c r="PM38">
        <v>92.1</v>
      </c>
      <c r="PN38">
        <v>87.2</v>
      </c>
      <c r="PO38">
        <v>97.8</v>
      </c>
      <c r="PP38">
        <v>98.4</v>
      </c>
      <c r="PQ38">
        <v>111.3</v>
      </c>
      <c r="PR38">
        <v>104.9</v>
      </c>
      <c r="PS38">
        <v>93.6</v>
      </c>
      <c r="PT38">
        <v>93.6</v>
      </c>
      <c r="PU38">
        <v>93</v>
      </c>
      <c r="PV38">
        <v>100.1</v>
      </c>
      <c r="PW38">
        <v>97</v>
      </c>
      <c r="PX38">
        <v>99.5</v>
      </c>
      <c r="PY38">
        <v>90.5</v>
      </c>
      <c r="PZ38">
        <v>90.8</v>
      </c>
      <c r="QA38">
        <v>92.5</v>
      </c>
      <c r="QB38">
        <v>83.4</v>
      </c>
      <c r="QC38">
        <v>100.1</v>
      </c>
      <c r="QD38">
        <v>92.2</v>
      </c>
      <c r="QE38">
        <v>92.7</v>
      </c>
      <c r="QF38">
        <v>79.2</v>
      </c>
      <c r="QG38">
        <v>111.6</v>
      </c>
      <c r="QH38">
        <v>82.4</v>
      </c>
      <c r="QI38">
        <v>82.4</v>
      </c>
      <c r="QJ38">
        <v>89.8</v>
      </c>
      <c r="QK38">
        <v>95.4</v>
      </c>
      <c r="QL38">
        <v>91.9</v>
      </c>
      <c r="QM38">
        <v>95.2</v>
      </c>
      <c r="QN38">
        <v>86.9</v>
      </c>
      <c r="QO38">
        <v>89.3</v>
      </c>
      <c r="QQ38">
        <v>103.6</v>
      </c>
      <c r="QR38">
        <v>105</v>
      </c>
      <c r="QS38">
        <v>152.1</v>
      </c>
      <c r="QT38">
        <v>82.2</v>
      </c>
      <c r="QU38">
        <v>100.8</v>
      </c>
      <c r="QV38">
        <v>96.4</v>
      </c>
      <c r="QW38">
        <v>107.4</v>
      </c>
      <c r="QX38">
        <v>100.8</v>
      </c>
      <c r="QY38">
        <v>83.1</v>
      </c>
      <c r="QZ38">
        <v>85.7</v>
      </c>
      <c r="RA38">
        <v>81</v>
      </c>
      <c r="RB38">
        <v>79.2</v>
      </c>
      <c r="RC38">
        <v>80.8</v>
      </c>
      <c r="RD38">
        <v>95.2</v>
      </c>
      <c r="RE38">
        <v>110.2</v>
      </c>
      <c r="RF38">
        <v>112.9</v>
      </c>
      <c r="RG38">
        <v>124.7</v>
      </c>
      <c r="RH38">
        <v>116.4</v>
      </c>
      <c r="RI38">
        <v>97.3</v>
      </c>
      <c r="RJ38">
        <v>126.8</v>
      </c>
      <c r="RK38">
        <v>97.8</v>
      </c>
      <c r="RL38">
        <v>107.3</v>
      </c>
      <c r="RM38">
        <v>103.3</v>
      </c>
      <c r="RN38">
        <v>134.6</v>
      </c>
      <c r="RO38">
        <v>113.3</v>
      </c>
      <c r="RS38">
        <v>117.3</v>
      </c>
      <c r="RT38">
        <v>145</v>
      </c>
      <c r="RV38">
        <v>106.1</v>
      </c>
      <c r="RW38">
        <v>132.1</v>
      </c>
      <c r="RX38">
        <v>136.4</v>
      </c>
      <c r="SA38">
        <v>110.8</v>
      </c>
      <c r="SB38">
        <v>93.2</v>
      </c>
      <c r="SC38">
        <v>132.9</v>
      </c>
      <c r="SF38">
        <v>82.5</v>
      </c>
      <c r="SG38">
        <v>84.8</v>
      </c>
      <c r="SH38">
        <v>94.1</v>
      </c>
      <c r="SI38">
        <v>92.8</v>
      </c>
      <c r="SK38">
        <v>99.4</v>
      </c>
      <c r="SL38">
        <v>90.1</v>
      </c>
      <c r="SM38">
        <v>95.7</v>
      </c>
      <c r="SN38">
        <v>95.1</v>
      </c>
      <c r="SO38">
        <v>97.7</v>
      </c>
      <c r="SP38">
        <v>98.9</v>
      </c>
      <c r="SQ38">
        <v>94.7</v>
      </c>
      <c r="SR38">
        <v>95.2</v>
      </c>
      <c r="SS38">
        <v>94.2</v>
      </c>
      <c r="ST38">
        <v>93.9</v>
      </c>
      <c r="SU38">
        <v>95.1</v>
      </c>
      <c r="SV38">
        <v>94.5</v>
      </c>
      <c r="SX38">
        <v>93.4</v>
      </c>
      <c r="SZ38">
        <v>83.6</v>
      </c>
      <c r="TA38">
        <v>92.6</v>
      </c>
      <c r="TB38">
        <v>73.2</v>
      </c>
      <c r="TC38">
        <v>71.599999999999994</v>
      </c>
      <c r="TD38">
        <v>78.900000000000006</v>
      </c>
      <c r="TE38">
        <v>91.4</v>
      </c>
      <c r="TF38">
        <v>96.4</v>
      </c>
      <c r="TG38">
        <v>99.6</v>
      </c>
      <c r="TH38">
        <v>94.6</v>
      </c>
      <c r="TI38">
        <v>94.7</v>
      </c>
      <c r="TJ38">
        <v>96</v>
      </c>
      <c r="TK38">
        <v>76.8</v>
      </c>
      <c r="TL38">
        <v>74.2</v>
      </c>
      <c r="TN38">
        <v>90</v>
      </c>
      <c r="TO38">
        <v>75.900000000000006</v>
      </c>
      <c r="TP38">
        <v>75.5</v>
      </c>
      <c r="TT38">
        <v>91.7</v>
      </c>
      <c r="TU38">
        <v>88.3</v>
      </c>
      <c r="TV38">
        <v>81.8</v>
      </c>
      <c r="TW38">
        <v>103.3</v>
      </c>
      <c r="TX38">
        <v>102.2</v>
      </c>
      <c r="TY38">
        <v>98.4</v>
      </c>
      <c r="TZ38">
        <v>116.7</v>
      </c>
      <c r="UC38">
        <v>115</v>
      </c>
      <c r="UD38">
        <v>94.9</v>
      </c>
      <c r="UE38">
        <v>129.4</v>
      </c>
      <c r="UF38">
        <v>79.400000000000006</v>
      </c>
      <c r="UG38">
        <v>95.2</v>
      </c>
      <c r="UH38">
        <v>106.5</v>
      </c>
      <c r="UI38">
        <v>134.5</v>
      </c>
      <c r="UJ38">
        <v>91</v>
      </c>
      <c r="UL38">
        <v>109.6</v>
      </c>
      <c r="UM38">
        <v>122.6</v>
      </c>
      <c r="UN38">
        <v>94.7</v>
      </c>
      <c r="UO38">
        <v>97.6</v>
      </c>
      <c r="UP38">
        <v>88.8</v>
      </c>
      <c r="UQ38">
        <v>352.1</v>
      </c>
      <c r="UR38">
        <v>115.2</v>
      </c>
      <c r="US38">
        <v>96.4</v>
      </c>
      <c r="UT38">
        <v>94.8</v>
      </c>
      <c r="UU38">
        <v>99.8</v>
      </c>
      <c r="UW38">
        <v>80.900000000000006</v>
      </c>
      <c r="UX38">
        <v>92.9</v>
      </c>
      <c r="UY38">
        <v>75.599999999999994</v>
      </c>
      <c r="UZ38">
        <v>86</v>
      </c>
      <c r="VB38">
        <v>90</v>
      </c>
      <c r="VD38">
        <v>111.4</v>
      </c>
      <c r="VE38">
        <v>727.5</v>
      </c>
      <c r="VH38">
        <v>2299.6999999999998</v>
      </c>
      <c r="VI38">
        <v>4238</v>
      </c>
      <c r="VL38">
        <v>1335.3</v>
      </c>
      <c r="VM38">
        <v>85.1</v>
      </c>
      <c r="VN38">
        <v>94.6</v>
      </c>
      <c r="VO38">
        <v>101.7</v>
      </c>
      <c r="VP38">
        <v>87.7</v>
      </c>
      <c r="VQ38">
        <v>103.3</v>
      </c>
      <c r="VR38">
        <v>73.900000000000006</v>
      </c>
      <c r="VT38">
        <v>111.2</v>
      </c>
      <c r="VU38">
        <v>137.6</v>
      </c>
      <c r="VV38">
        <v>78.400000000000006</v>
      </c>
      <c r="VW38">
        <v>109.6</v>
      </c>
      <c r="VX38">
        <v>80.900000000000006</v>
      </c>
      <c r="VY38">
        <v>131.6</v>
      </c>
      <c r="VZ38">
        <v>126.9</v>
      </c>
      <c r="WB38">
        <v>138</v>
      </c>
      <c r="WC38">
        <v>486.3</v>
      </c>
      <c r="WE38">
        <v>103.1</v>
      </c>
      <c r="WF38">
        <v>88.9</v>
      </c>
      <c r="WG38">
        <v>100.5</v>
      </c>
      <c r="WH38">
        <v>83.1</v>
      </c>
      <c r="WI38">
        <v>81.8</v>
      </c>
      <c r="WJ38">
        <v>84.4</v>
      </c>
      <c r="WK38">
        <v>82</v>
      </c>
      <c r="WL38">
        <v>100</v>
      </c>
      <c r="WN38">
        <v>99.2</v>
      </c>
      <c r="WP38">
        <v>93.4</v>
      </c>
      <c r="WQ38">
        <v>92.3</v>
      </c>
      <c r="WT38">
        <v>115.5</v>
      </c>
      <c r="WV38">
        <v>95.9</v>
      </c>
      <c r="WX38">
        <v>87.7</v>
      </c>
      <c r="WY38">
        <v>92</v>
      </c>
      <c r="WZ38">
        <v>91.5</v>
      </c>
      <c r="XA38">
        <v>92.4</v>
      </c>
      <c r="XB38">
        <v>70.8</v>
      </c>
      <c r="XD38">
        <v>68.599999999999994</v>
      </c>
      <c r="XE38">
        <v>84.2</v>
      </c>
      <c r="XF38">
        <v>83.1</v>
      </c>
      <c r="XG38">
        <v>85</v>
      </c>
      <c r="XH38">
        <v>94.1</v>
      </c>
      <c r="XI38">
        <v>106.3</v>
      </c>
      <c r="XJ38">
        <v>106.3</v>
      </c>
      <c r="XK38">
        <v>67</v>
      </c>
      <c r="XL38">
        <v>67</v>
      </c>
      <c r="XM38">
        <v>86.7</v>
      </c>
      <c r="XN38">
        <v>78</v>
      </c>
      <c r="XO38">
        <v>90.2</v>
      </c>
      <c r="XP38">
        <v>92.3</v>
      </c>
      <c r="XR38">
        <v>84.5</v>
      </c>
      <c r="XT38">
        <v>94.7</v>
      </c>
      <c r="XU38">
        <v>98.3</v>
      </c>
      <c r="XV38">
        <v>99.8</v>
      </c>
      <c r="XW38">
        <v>105.1</v>
      </c>
      <c r="XY38">
        <v>96.3</v>
      </c>
      <c r="XZ38">
        <v>95.6</v>
      </c>
      <c r="YA38">
        <v>98.2</v>
      </c>
      <c r="YC38">
        <v>76</v>
      </c>
      <c r="YD38">
        <v>92</v>
      </c>
      <c r="YE38">
        <v>98.3</v>
      </c>
      <c r="YF38">
        <v>123.4</v>
      </c>
      <c r="YG38">
        <v>87.7</v>
      </c>
      <c r="YH38">
        <v>97.2</v>
      </c>
      <c r="YJ38">
        <v>87.5</v>
      </c>
      <c r="YK38">
        <v>68.5</v>
      </c>
      <c r="YL38">
        <v>83.4</v>
      </c>
      <c r="YM38">
        <v>100.2</v>
      </c>
      <c r="YO38">
        <v>185.9</v>
      </c>
      <c r="YR38">
        <v>96.8</v>
      </c>
      <c r="YT38">
        <v>87.5</v>
      </c>
      <c r="YU38">
        <v>94.8</v>
      </c>
      <c r="YW38">
        <v>96.8</v>
      </c>
      <c r="YX38">
        <v>91.2</v>
      </c>
      <c r="YY38">
        <v>91.6</v>
      </c>
      <c r="YZ38">
        <v>93.6</v>
      </c>
      <c r="ZB38">
        <v>106.5</v>
      </c>
      <c r="ZC38">
        <v>184.4</v>
      </c>
      <c r="ZD38">
        <v>280.8</v>
      </c>
      <c r="ZE38">
        <v>120.8</v>
      </c>
      <c r="ZF38">
        <v>105.5</v>
      </c>
      <c r="ZG38">
        <v>112.9</v>
      </c>
      <c r="ZK38">
        <v>97.2</v>
      </c>
      <c r="ZL38">
        <v>94.2</v>
      </c>
      <c r="ZM38">
        <v>115.8</v>
      </c>
      <c r="ZN38">
        <v>102.7</v>
      </c>
      <c r="ZO38">
        <v>101.8</v>
      </c>
      <c r="ZP38">
        <v>105.4</v>
      </c>
      <c r="ZQ38">
        <v>100.2</v>
      </c>
      <c r="ZR38">
        <v>103.6</v>
      </c>
      <c r="ZT38">
        <v>99</v>
      </c>
      <c r="ZU38">
        <v>100.7</v>
      </c>
      <c r="ZV38">
        <v>96.4</v>
      </c>
      <c r="ZW38">
        <v>98.5</v>
      </c>
      <c r="ZX38">
        <v>123.1</v>
      </c>
      <c r="ZY38">
        <v>94.7</v>
      </c>
      <c r="ZZ38">
        <v>99.9</v>
      </c>
      <c r="AAA38">
        <v>125.7</v>
      </c>
      <c r="AAC38">
        <v>69.5</v>
      </c>
      <c r="AAD38">
        <v>66.599999999999994</v>
      </c>
      <c r="AAE38">
        <v>111</v>
      </c>
      <c r="AAF38">
        <v>40.6</v>
      </c>
      <c r="AAG38">
        <v>61.3</v>
      </c>
      <c r="AAH38">
        <v>115.1</v>
      </c>
      <c r="AAI38">
        <v>71.7</v>
      </c>
      <c r="AAJ38">
        <v>51.1</v>
      </c>
      <c r="AAK38">
        <v>97.6</v>
      </c>
      <c r="AAL38">
        <v>97.2</v>
      </c>
      <c r="AAM38">
        <v>99.4</v>
      </c>
      <c r="AAN38">
        <v>96.1</v>
      </c>
      <c r="AAO38">
        <v>50.5</v>
      </c>
      <c r="AAP38">
        <v>49.6</v>
      </c>
      <c r="AAQ38">
        <v>52.2</v>
      </c>
      <c r="AAR38">
        <v>94.9</v>
      </c>
      <c r="AAU38">
        <v>248</v>
      </c>
      <c r="AAW38">
        <v>77.099999999999994</v>
      </c>
      <c r="AAX38">
        <v>88</v>
      </c>
      <c r="AAY38">
        <v>93.7</v>
      </c>
      <c r="AAZ38">
        <v>93.8</v>
      </c>
      <c r="ABB38">
        <v>74.900000000000006</v>
      </c>
      <c r="ABC38">
        <v>79</v>
      </c>
      <c r="ABD38">
        <v>74.7</v>
      </c>
      <c r="ABE38">
        <v>67.599999999999994</v>
      </c>
      <c r="ABF38">
        <v>97.3</v>
      </c>
      <c r="ABG38">
        <v>88.5</v>
      </c>
      <c r="ABH38">
        <v>95.1</v>
      </c>
      <c r="ABI38">
        <v>97.8</v>
      </c>
      <c r="ABJ38">
        <v>105.1</v>
      </c>
      <c r="ABK38">
        <v>96.2</v>
      </c>
      <c r="ABL38">
        <v>80.2</v>
      </c>
      <c r="ABM38">
        <v>99.1</v>
      </c>
      <c r="ABN38">
        <v>102.8</v>
      </c>
      <c r="ABO38">
        <v>104.5</v>
      </c>
      <c r="ABP38">
        <v>110</v>
      </c>
    </row>
    <row r="39" spans="1:745">
      <c r="A39">
        <v>2002</v>
      </c>
      <c r="B39">
        <v>95.7</v>
      </c>
      <c r="C39">
        <v>86.3</v>
      </c>
      <c r="D39">
        <v>94.9</v>
      </c>
      <c r="E39">
        <v>104.1</v>
      </c>
      <c r="F39">
        <v>105.8</v>
      </c>
      <c r="G39">
        <v>103.6</v>
      </c>
      <c r="H39">
        <v>87.5</v>
      </c>
      <c r="I39">
        <v>90.6</v>
      </c>
      <c r="J39">
        <v>84.6</v>
      </c>
      <c r="L39">
        <v>88.9</v>
      </c>
      <c r="M39">
        <v>92.6</v>
      </c>
      <c r="N39">
        <v>90.3</v>
      </c>
      <c r="O39">
        <v>86.9</v>
      </c>
      <c r="P39">
        <v>79.400000000000006</v>
      </c>
      <c r="Q39">
        <v>99.4</v>
      </c>
      <c r="R39">
        <v>102.1</v>
      </c>
      <c r="S39">
        <v>71.7</v>
      </c>
      <c r="T39">
        <v>116.5</v>
      </c>
      <c r="V39">
        <v>77.7</v>
      </c>
      <c r="W39">
        <v>79.7</v>
      </c>
      <c r="X39">
        <v>94.6</v>
      </c>
      <c r="Y39">
        <v>102</v>
      </c>
      <c r="Z39">
        <v>118.8</v>
      </c>
      <c r="AA39">
        <v>101.4</v>
      </c>
      <c r="AB39">
        <v>62.7</v>
      </c>
      <c r="AC39">
        <v>92.8</v>
      </c>
      <c r="AD39">
        <v>66.900000000000006</v>
      </c>
      <c r="AE39">
        <v>78.599999999999994</v>
      </c>
      <c r="AF39">
        <v>86</v>
      </c>
      <c r="AG39">
        <v>53.5</v>
      </c>
      <c r="AH39">
        <v>65.099999999999994</v>
      </c>
      <c r="AI39">
        <v>92</v>
      </c>
      <c r="AJ39">
        <v>76.7</v>
      </c>
      <c r="AK39">
        <v>78.099999999999994</v>
      </c>
      <c r="AL39">
        <v>64.900000000000006</v>
      </c>
      <c r="AM39">
        <v>72.7</v>
      </c>
      <c r="AN39">
        <v>59.5</v>
      </c>
      <c r="AO39">
        <v>100.6</v>
      </c>
      <c r="AP39">
        <v>65.2</v>
      </c>
      <c r="AQ39">
        <v>76</v>
      </c>
      <c r="AR39">
        <v>94.8</v>
      </c>
      <c r="AS39">
        <v>61.6</v>
      </c>
      <c r="AU39">
        <v>83.6</v>
      </c>
      <c r="AV39">
        <v>80.8</v>
      </c>
      <c r="AW39">
        <v>85.1</v>
      </c>
      <c r="AX39">
        <v>85.1</v>
      </c>
      <c r="AY39">
        <v>73</v>
      </c>
      <c r="AZ39">
        <v>77.7</v>
      </c>
      <c r="BA39">
        <v>69.2</v>
      </c>
      <c r="BB39">
        <v>75</v>
      </c>
      <c r="BC39">
        <v>78.400000000000006</v>
      </c>
      <c r="BD39">
        <v>77.3</v>
      </c>
      <c r="BE39">
        <v>73</v>
      </c>
      <c r="BF39">
        <v>68</v>
      </c>
      <c r="BG39">
        <v>56</v>
      </c>
      <c r="BH39">
        <v>76.2</v>
      </c>
      <c r="BJ39">
        <v>83.8</v>
      </c>
      <c r="BK39">
        <v>97.8</v>
      </c>
      <c r="BL39">
        <v>104.9</v>
      </c>
      <c r="BM39">
        <v>94.7</v>
      </c>
      <c r="BN39">
        <v>90.5</v>
      </c>
      <c r="BP39">
        <v>86.3</v>
      </c>
      <c r="BQ39">
        <v>88.5</v>
      </c>
      <c r="BR39">
        <v>87.5</v>
      </c>
      <c r="BS39">
        <v>93</v>
      </c>
      <c r="BT39">
        <v>90.6</v>
      </c>
      <c r="BU39">
        <v>96.1</v>
      </c>
      <c r="BV39">
        <v>99.3</v>
      </c>
      <c r="BW39">
        <v>71.3</v>
      </c>
      <c r="BX39">
        <v>70.5</v>
      </c>
      <c r="BY39">
        <v>80.099999999999994</v>
      </c>
      <c r="BZ39">
        <v>79</v>
      </c>
      <c r="CA39">
        <v>79</v>
      </c>
      <c r="CB39">
        <v>83.7</v>
      </c>
      <c r="CC39">
        <v>80.599999999999994</v>
      </c>
      <c r="CD39">
        <v>84.2</v>
      </c>
      <c r="CE39">
        <v>65.8</v>
      </c>
      <c r="CF39">
        <v>77</v>
      </c>
      <c r="CG39">
        <v>83.9</v>
      </c>
      <c r="CH39">
        <v>98.2</v>
      </c>
      <c r="CI39">
        <v>94.1</v>
      </c>
      <c r="CJ39">
        <v>106.1</v>
      </c>
      <c r="CK39">
        <v>82.1</v>
      </c>
      <c r="CL39">
        <v>74.099999999999994</v>
      </c>
      <c r="CM39">
        <v>59.6</v>
      </c>
      <c r="CN39">
        <v>61.1</v>
      </c>
      <c r="CO39">
        <v>93.4</v>
      </c>
      <c r="CP39">
        <v>71.099999999999994</v>
      </c>
      <c r="CQ39">
        <v>74.400000000000006</v>
      </c>
      <c r="CR39">
        <v>71.099999999999994</v>
      </c>
      <c r="CS39">
        <v>62.4</v>
      </c>
      <c r="CT39">
        <v>103.5</v>
      </c>
      <c r="CV39">
        <v>82</v>
      </c>
      <c r="CW39">
        <v>68.8</v>
      </c>
      <c r="CX39">
        <v>67.5</v>
      </c>
      <c r="CY39">
        <v>73.400000000000006</v>
      </c>
      <c r="CZ39">
        <v>69.7</v>
      </c>
      <c r="DA39">
        <v>78.8</v>
      </c>
      <c r="DB39">
        <v>66.099999999999994</v>
      </c>
      <c r="DC39">
        <v>107.3</v>
      </c>
      <c r="DD39">
        <v>126.3</v>
      </c>
      <c r="DE39">
        <v>129.1</v>
      </c>
      <c r="DG39">
        <v>88.6</v>
      </c>
      <c r="DH39">
        <v>70.599999999999994</v>
      </c>
      <c r="DI39">
        <v>69.400000000000006</v>
      </c>
      <c r="DJ39">
        <v>84.3</v>
      </c>
      <c r="DK39">
        <v>57.8</v>
      </c>
      <c r="DL39">
        <v>71.7</v>
      </c>
      <c r="DN39">
        <v>103.2</v>
      </c>
      <c r="DO39">
        <v>96.5</v>
      </c>
      <c r="DP39">
        <v>96</v>
      </c>
      <c r="DQ39">
        <v>125.1</v>
      </c>
      <c r="DR39">
        <v>89.8</v>
      </c>
      <c r="DS39">
        <v>105.7</v>
      </c>
      <c r="DT39">
        <v>75.2</v>
      </c>
      <c r="DU39">
        <v>88.5</v>
      </c>
      <c r="DV39">
        <v>84.7</v>
      </c>
      <c r="DW39">
        <v>103.8</v>
      </c>
      <c r="DX39">
        <v>83.6</v>
      </c>
      <c r="DY39">
        <v>97.6</v>
      </c>
      <c r="DZ39">
        <v>68.7</v>
      </c>
      <c r="EA39">
        <v>67.900000000000006</v>
      </c>
      <c r="EB39">
        <v>68.8</v>
      </c>
      <c r="EC39">
        <v>63.7</v>
      </c>
      <c r="ED39">
        <v>77.3</v>
      </c>
      <c r="EF39">
        <v>49.1</v>
      </c>
      <c r="EG39">
        <v>64.599999999999994</v>
      </c>
      <c r="EH39">
        <v>56.9</v>
      </c>
      <c r="EI39">
        <v>80.099999999999994</v>
      </c>
      <c r="EJ39">
        <v>62.9</v>
      </c>
      <c r="EK39">
        <v>63.5</v>
      </c>
      <c r="EL39">
        <v>75.5</v>
      </c>
      <c r="EM39">
        <v>72.3</v>
      </c>
      <c r="EN39">
        <v>82.6</v>
      </c>
      <c r="EO39">
        <v>69.8</v>
      </c>
      <c r="EP39">
        <v>79.900000000000006</v>
      </c>
      <c r="ER39">
        <v>86.7</v>
      </c>
      <c r="ET39">
        <v>100.6</v>
      </c>
      <c r="EU39">
        <v>107.1</v>
      </c>
      <c r="EV39">
        <v>120.5</v>
      </c>
      <c r="EW39">
        <v>70.5</v>
      </c>
      <c r="EX39">
        <v>99.9</v>
      </c>
      <c r="EY39">
        <v>94.3</v>
      </c>
      <c r="EZ39">
        <v>103.7</v>
      </c>
      <c r="FA39">
        <v>100.5</v>
      </c>
      <c r="FB39">
        <v>90.6</v>
      </c>
      <c r="FC39">
        <v>101.8</v>
      </c>
      <c r="FD39">
        <v>117.3</v>
      </c>
      <c r="FE39">
        <v>133.30000000000001</v>
      </c>
      <c r="FF39">
        <v>100.9</v>
      </c>
      <c r="FH39">
        <v>88.5</v>
      </c>
      <c r="FI39">
        <v>93.4</v>
      </c>
      <c r="FJ39">
        <v>80.599999999999994</v>
      </c>
      <c r="FK39">
        <v>110.1</v>
      </c>
      <c r="FL39">
        <v>96.7</v>
      </c>
      <c r="FM39">
        <v>100.6</v>
      </c>
      <c r="FQ39">
        <v>80.099999999999994</v>
      </c>
      <c r="FR39">
        <v>82</v>
      </c>
      <c r="FS39">
        <v>76.900000000000006</v>
      </c>
      <c r="FT39">
        <v>74.900000000000006</v>
      </c>
      <c r="FU39">
        <v>90.5</v>
      </c>
      <c r="FV39">
        <v>70.3</v>
      </c>
      <c r="FW39">
        <v>97.7</v>
      </c>
      <c r="FX39">
        <v>88.3</v>
      </c>
      <c r="FY39">
        <v>85.2</v>
      </c>
      <c r="GA39">
        <v>99.9</v>
      </c>
      <c r="GB39">
        <v>84.5</v>
      </c>
      <c r="GC39">
        <v>88.2</v>
      </c>
      <c r="GD39">
        <v>74.5</v>
      </c>
      <c r="GE39">
        <v>63.3</v>
      </c>
      <c r="GF39">
        <v>85.1</v>
      </c>
      <c r="GG39">
        <v>74.8</v>
      </c>
      <c r="GH39">
        <v>97.6</v>
      </c>
      <c r="GI39">
        <v>85.2</v>
      </c>
      <c r="GJ39">
        <v>89.6</v>
      </c>
      <c r="GM39">
        <v>85.2</v>
      </c>
      <c r="GO39">
        <v>90</v>
      </c>
      <c r="GP39">
        <v>82.1</v>
      </c>
      <c r="GQ39">
        <v>119.3</v>
      </c>
      <c r="GU39">
        <v>82.4</v>
      </c>
      <c r="GV39">
        <v>44.7</v>
      </c>
      <c r="GW39">
        <v>82.1</v>
      </c>
      <c r="GX39">
        <v>89.5</v>
      </c>
      <c r="GY39">
        <v>88.1</v>
      </c>
      <c r="GZ39">
        <v>85</v>
      </c>
      <c r="HA39">
        <v>99.1</v>
      </c>
      <c r="HD39">
        <v>97.3</v>
      </c>
      <c r="HG39">
        <v>106.4</v>
      </c>
      <c r="HH39">
        <v>109.6</v>
      </c>
      <c r="HI39">
        <v>82.5</v>
      </c>
      <c r="HO39">
        <v>116.3</v>
      </c>
      <c r="HP39">
        <v>119.4</v>
      </c>
      <c r="HQ39">
        <v>101.7</v>
      </c>
      <c r="HR39">
        <v>102.4</v>
      </c>
      <c r="HS39">
        <v>153.1</v>
      </c>
      <c r="HT39">
        <v>113.2</v>
      </c>
      <c r="HU39">
        <v>101.1</v>
      </c>
      <c r="HV39">
        <v>110.4</v>
      </c>
      <c r="HW39">
        <v>123.1</v>
      </c>
      <c r="HY39">
        <v>116.3</v>
      </c>
      <c r="HZ39">
        <v>96.4</v>
      </c>
      <c r="IA39">
        <v>126.6</v>
      </c>
      <c r="IB39">
        <v>104.7</v>
      </c>
      <c r="IC39">
        <v>135</v>
      </c>
      <c r="IE39">
        <v>86.1</v>
      </c>
      <c r="IF39">
        <v>169.1</v>
      </c>
      <c r="IH39">
        <v>125.6</v>
      </c>
      <c r="IJ39">
        <v>102.4</v>
      </c>
      <c r="IK39">
        <v>121</v>
      </c>
      <c r="IL39">
        <v>97</v>
      </c>
      <c r="IM39">
        <v>101.9</v>
      </c>
      <c r="IN39">
        <v>94.3</v>
      </c>
      <c r="IO39">
        <v>93.8</v>
      </c>
      <c r="IP39">
        <v>101</v>
      </c>
      <c r="IQ39">
        <v>93.9</v>
      </c>
      <c r="IT39">
        <v>85.9</v>
      </c>
      <c r="IU39">
        <v>85.6</v>
      </c>
      <c r="IV39">
        <v>84.1</v>
      </c>
      <c r="IX39">
        <v>84.9</v>
      </c>
      <c r="IY39">
        <v>89.5</v>
      </c>
      <c r="JA39">
        <v>85.4</v>
      </c>
      <c r="JB39">
        <v>88.7</v>
      </c>
      <c r="JC39">
        <v>87.4</v>
      </c>
      <c r="JD39">
        <v>78.5</v>
      </c>
      <c r="JE39">
        <v>90.1</v>
      </c>
      <c r="JH39">
        <v>90.9</v>
      </c>
      <c r="JI39">
        <v>89.4</v>
      </c>
      <c r="JK39">
        <v>76</v>
      </c>
      <c r="JL39">
        <v>88.1</v>
      </c>
      <c r="JM39">
        <v>102.2</v>
      </c>
      <c r="JO39">
        <v>88.4</v>
      </c>
      <c r="JQ39">
        <v>87.3</v>
      </c>
      <c r="JS39">
        <v>92.5</v>
      </c>
      <c r="JT39">
        <v>92.5</v>
      </c>
      <c r="JU39">
        <v>92.4</v>
      </c>
      <c r="JV39">
        <v>101.4</v>
      </c>
      <c r="JW39">
        <v>103.4</v>
      </c>
      <c r="JX39">
        <v>106</v>
      </c>
      <c r="JY39">
        <v>106</v>
      </c>
      <c r="JZ39">
        <v>97.5</v>
      </c>
      <c r="KA39">
        <v>100.7</v>
      </c>
      <c r="KB39">
        <v>94</v>
      </c>
      <c r="KC39">
        <v>103</v>
      </c>
      <c r="KD39">
        <v>103</v>
      </c>
      <c r="KE39">
        <v>90.3</v>
      </c>
      <c r="KF39">
        <v>102.5</v>
      </c>
      <c r="KG39">
        <v>91.8</v>
      </c>
      <c r="KH39">
        <v>222</v>
      </c>
      <c r="KI39">
        <v>101.4</v>
      </c>
      <c r="KL39">
        <v>69.900000000000006</v>
      </c>
      <c r="KM39">
        <v>86.4</v>
      </c>
      <c r="KN39">
        <v>87.4</v>
      </c>
      <c r="KO39">
        <v>72.5</v>
      </c>
      <c r="KP39">
        <v>82.3</v>
      </c>
      <c r="KS39">
        <v>91.2</v>
      </c>
      <c r="KT39">
        <v>81.099999999999994</v>
      </c>
      <c r="KU39">
        <v>97.4</v>
      </c>
      <c r="KX39">
        <v>88.8</v>
      </c>
      <c r="KY39">
        <v>81.5</v>
      </c>
      <c r="KZ39">
        <v>83.4</v>
      </c>
      <c r="LA39">
        <v>83.4</v>
      </c>
      <c r="LB39">
        <v>82.7</v>
      </c>
      <c r="LC39">
        <v>91.9</v>
      </c>
      <c r="LD39">
        <v>71.7</v>
      </c>
      <c r="LE39">
        <v>54.9</v>
      </c>
      <c r="LF39">
        <v>54.9</v>
      </c>
      <c r="LG39">
        <v>89.5</v>
      </c>
      <c r="LH39">
        <v>92.9</v>
      </c>
      <c r="LI39">
        <v>84.2</v>
      </c>
      <c r="LJ39">
        <v>124.7</v>
      </c>
      <c r="LK39">
        <v>210.8</v>
      </c>
      <c r="LL39">
        <v>379.8</v>
      </c>
      <c r="LM39">
        <v>467.2</v>
      </c>
      <c r="LN39">
        <v>177.1</v>
      </c>
      <c r="LO39">
        <v>169.2</v>
      </c>
      <c r="LP39">
        <v>780.5</v>
      </c>
      <c r="LQ39">
        <v>388.8</v>
      </c>
      <c r="LR39">
        <v>385.9</v>
      </c>
      <c r="LT39">
        <v>160.69999999999999</v>
      </c>
      <c r="LU39">
        <v>197.1</v>
      </c>
      <c r="LV39">
        <v>132.69999999999999</v>
      </c>
      <c r="LX39">
        <v>92.3</v>
      </c>
      <c r="LY39">
        <v>87.3</v>
      </c>
      <c r="MA39">
        <v>101.5</v>
      </c>
      <c r="MB39">
        <v>138.4</v>
      </c>
      <c r="MC39">
        <v>339.5</v>
      </c>
      <c r="MD39">
        <v>135.9</v>
      </c>
      <c r="ME39">
        <v>96.7</v>
      </c>
      <c r="MG39">
        <v>99.2</v>
      </c>
      <c r="MH39">
        <v>89.7</v>
      </c>
      <c r="MI39">
        <v>99.1</v>
      </c>
      <c r="MJ39">
        <v>96.7</v>
      </c>
      <c r="MK39">
        <v>116.2</v>
      </c>
      <c r="MM39">
        <v>86.4</v>
      </c>
      <c r="MN39">
        <v>87.9</v>
      </c>
      <c r="MO39">
        <v>88.7</v>
      </c>
      <c r="MP39">
        <v>92.2</v>
      </c>
      <c r="MQ39">
        <v>80.400000000000006</v>
      </c>
      <c r="MS39">
        <v>85.1</v>
      </c>
      <c r="MU39">
        <v>87.4</v>
      </c>
      <c r="MV39">
        <v>91</v>
      </c>
      <c r="MW39">
        <v>79.5</v>
      </c>
      <c r="MX39">
        <v>88.2</v>
      </c>
      <c r="NB39">
        <v>104.4</v>
      </c>
      <c r="NC39">
        <v>90.9</v>
      </c>
      <c r="ND39">
        <v>96.2</v>
      </c>
      <c r="NE39">
        <v>87.7</v>
      </c>
      <c r="NF39">
        <v>117.9</v>
      </c>
      <c r="NG39">
        <v>120.3</v>
      </c>
      <c r="NH39">
        <v>117.1</v>
      </c>
      <c r="NI39">
        <v>103.5</v>
      </c>
      <c r="NJ39">
        <v>107.2</v>
      </c>
      <c r="NL39">
        <v>96</v>
      </c>
      <c r="NM39">
        <v>137</v>
      </c>
      <c r="NN39">
        <v>109</v>
      </c>
      <c r="NQ39">
        <v>93.5</v>
      </c>
      <c r="NR39">
        <v>87.6</v>
      </c>
      <c r="NS39">
        <v>87.6</v>
      </c>
      <c r="NT39">
        <v>95.1</v>
      </c>
      <c r="NU39">
        <v>120.8</v>
      </c>
      <c r="NW39">
        <v>95.4</v>
      </c>
      <c r="NX39">
        <v>95.4</v>
      </c>
      <c r="NY39">
        <v>93.2</v>
      </c>
      <c r="NZ39">
        <v>94.9</v>
      </c>
      <c r="OA39">
        <v>97.2</v>
      </c>
      <c r="OB39">
        <v>97.7</v>
      </c>
      <c r="OC39">
        <v>95.9</v>
      </c>
      <c r="OD39">
        <v>94.6</v>
      </c>
      <c r="OE39">
        <v>84.6</v>
      </c>
      <c r="OF39">
        <v>70.599999999999994</v>
      </c>
      <c r="OH39">
        <v>80.3</v>
      </c>
      <c r="OJ39">
        <v>84.2</v>
      </c>
      <c r="OK39">
        <v>84.8</v>
      </c>
      <c r="OL39">
        <v>78.3</v>
      </c>
      <c r="OM39">
        <v>95.5</v>
      </c>
      <c r="ON39">
        <v>99</v>
      </c>
      <c r="OO39">
        <v>83.8</v>
      </c>
      <c r="OP39">
        <v>89.2</v>
      </c>
      <c r="OQ39">
        <v>95.5</v>
      </c>
      <c r="OS39">
        <v>82.6</v>
      </c>
      <c r="OU39">
        <v>86.9</v>
      </c>
      <c r="OV39">
        <v>88.2</v>
      </c>
      <c r="OW39">
        <v>89.7</v>
      </c>
      <c r="OX39">
        <v>86.3</v>
      </c>
      <c r="OY39">
        <v>78</v>
      </c>
      <c r="OZ39">
        <v>75.7</v>
      </c>
      <c r="PA39">
        <v>122.4</v>
      </c>
      <c r="PB39">
        <v>91.8</v>
      </c>
      <c r="PC39">
        <v>84.7</v>
      </c>
      <c r="PD39">
        <v>169</v>
      </c>
      <c r="PG39">
        <v>106.4</v>
      </c>
      <c r="PH39">
        <v>92.4</v>
      </c>
      <c r="PI39">
        <v>93.3</v>
      </c>
      <c r="PJ39">
        <v>93.1</v>
      </c>
      <c r="PK39">
        <v>111.1</v>
      </c>
      <c r="PL39">
        <v>89.7</v>
      </c>
      <c r="PM39">
        <v>92</v>
      </c>
      <c r="PN39">
        <v>86.5</v>
      </c>
      <c r="PO39">
        <v>93.1</v>
      </c>
      <c r="PP39">
        <v>94.3</v>
      </c>
      <c r="PQ39">
        <v>99.3</v>
      </c>
      <c r="PR39">
        <v>100.9</v>
      </c>
      <c r="PS39">
        <v>91.7</v>
      </c>
      <c r="PT39">
        <v>89</v>
      </c>
      <c r="PU39">
        <v>89.7</v>
      </c>
      <c r="PV39">
        <v>96</v>
      </c>
      <c r="PW39">
        <v>93.7</v>
      </c>
      <c r="PX39">
        <v>95</v>
      </c>
      <c r="PY39">
        <v>90</v>
      </c>
      <c r="PZ39">
        <v>89.6</v>
      </c>
      <c r="QA39">
        <v>91.6</v>
      </c>
      <c r="QB39">
        <v>83.3</v>
      </c>
      <c r="QC39">
        <v>96.2</v>
      </c>
      <c r="QD39">
        <v>92.3</v>
      </c>
      <c r="QE39">
        <v>91.9</v>
      </c>
      <c r="QF39">
        <v>79.599999999999994</v>
      </c>
      <c r="QG39">
        <v>111.6</v>
      </c>
      <c r="QH39">
        <v>81.900000000000006</v>
      </c>
      <c r="QI39">
        <v>81.900000000000006</v>
      </c>
      <c r="QJ39">
        <v>89.2</v>
      </c>
      <c r="QK39">
        <v>95</v>
      </c>
      <c r="QL39">
        <v>90.9</v>
      </c>
      <c r="QM39">
        <v>94.9</v>
      </c>
      <c r="QN39">
        <v>86.5</v>
      </c>
      <c r="QO39">
        <v>88.9</v>
      </c>
      <c r="QQ39">
        <v>104.2</v>
      </c>
      <c r="QR39">
        <v>104.6</v>
      </c>
      <c r="QS39">
        <v>147.69999999999999</v>
      </c>
      <c r="QT39">
        <v>90.5</v>
      </c>
      <c r="QU39">
        <v>101.1</v>
      </c>
      <c r="QV39">
        <v>95.7</v>
      </c>
      <c r="QW39">
        <v>107.3</v>
      </c>
      <c r="QX39">
        <v>100.8</v>
      </c>
      <c r="QY39">
        <v>82.9</v>
      </c>
      <c r="QZ39">
        <v>85.3</v>
      </c>
      <c r="RA39">
        <v>80.8</v>
      </c>
      <c r="RB39">
        <v>79.599999999999994</v>
      </c>
      <c r="RC39">
        <v>82.4</v>
      </c>
      <c r="RD39">
        <v>94.2</v>
      </c>
      <c r="RE39">
        <v>109.2</v>
      </c>
      <c r="RF39">
        <v>111</v>
      </c>
      <c r="RG39">
        <v>124</v>
      </c>
      <c r="RH39">
        <v>113.5</v>
      </c>
      <c r="RI39">
        <v>97.1</v>
      </c>
      <c r="RJ39">
        <v>125.6</v>
      </c>
      <c r="RK39">
        <v>97.4</v>
      </c>
      <c r="RL39">
        <v>106.8</v>
      </c>
      <c r="RM39">
        <v>103.2</v>
      </c>
      <c r="RN39">
        <v>130.30000000000001</v>
      </c>
      <c r="RO39">
        <v>112.9</v>
      </c>
      <c r="RS39">
        <v>113.1</v>
      </c>
      <c r="RT39">
        <v>132.5</v>
      </c>
      <c r="RV39">
        <v>97.1</v>
      </c>
      <c r="RW39">
        <v>127.6</v>
      </c>
      <c r="RX39">
        <v>133.19999999999999</v>
      </c>
      <c r="SA39">
        <v>109.7</v>
      </c>
      <c r="SB39">
        <v>92</v>
      </c>
      <c r="SC39">
        <v>128</v>
      </c>
      <c r="SF39">
        <v>82.3</v>
      </c>
      <c r="SG39">
        <v>84.4</v>
      </c>
      <c r="SH39">
        <v>94.4</v>
      </c>
      <c r="SI39">
        <v>92.4</v>
      </c>
      <c r="SK39">
        <v>99.2</v>
      </c>
      <c r="SL39">
        <v>90</v>
      </c>
      <c r="SM39">
        <v>95.6</v>
      </c>
      <c r="SN39">
        <v>95.1</v>
      </c>
      <c r="SO39">
        <v>97.3</v>
      </c>
      <c r="SP39">
        <v>98.9</v>
      </c>
      <c r="SQ39">
        <v>94.7</v>
      </c>
      <c r="SR39">
        <v>95.2</v>
      </c>
      <c r="SS39">
        <v>94.2</v>
      </c>
      <c r="ST39">
        <v>93.9</v>
      </c>
      <c r="SU39">
        <v>95.2</v>
      </c>
      <c r="SV39">
        <v>94.6</v>
      </c>
      <c r="SX39">
        <v>93.3</v>
      </c>
      <c r="SZ39">
        <v>83.5</v>
      </c>
      <c r="TA39">
        <v>91</v>
      </c>
      <c r="TB39">
        <v>73.5</v>
      </c>
      <c r="TC39">
        <v>71.599999999999994</v>
      </c>
      <c r="TD39">
        <v>80.2</v>
      </c>
      <c r="TE39">
        <v>91.2</v>
      </c>
      <c r="TF39">
        <v>95.9</v>
      </c>
      <c r="TG39">
        <v>98.5</v>
      </c>
      <c r="TH39">
        <v>93.4</v>
      </c>
      <c r="TI39">
        <v>94.6</v>
      </c>
      <c r="TJ39">
        <v>95.6</v>
      </c>
      <c r="TK39">
        <v>75</v>
      </c>
      <c r="TL39">
        <v>72.400000000000006</v>
      </c>
      <c r="TN39">
        <v>89.9</v>
      </c>
      <c r="TO39">
        <v>75</v>
      </c>
      <c r="TP39">
        <v>75.099999999999994</v>
      </c>
      <c r="TT39">
        <v>91.6</v>
      </c>
      <c r="TU39">
        <v>87.2</v>
      </c>
      <c r="TV39">
        <v>82.2</v>
      </c>
      <c r="TW39">
        <v>102.8</v>
      </c>
      <c r="TX39">
        <v>101.6</v>
      </c>
      <c r="TY39">
        <v>98.4</v>
      </c>
      <c r="TZ39">
        <v>116.7</v>
      </c>
      <c r="UC39">
        <v>116.7</v>
      </c>
      <c r="UD39">
        <v>96.2</v>
      </c>
      <c r="UE39">
        <v>128.6</v>
      </c>
      <c r="UF39">
        <v>79.400000000000006</v>
      </c>
      <c r="UG39">
        <v>95.2</v>
      </c>
      <c r="UH39">
        <v>106.3</v>
      </c>
      <c r="UI39">
        <v>133.69999999999999</v>
      </c>
      <c r="UJ39">
        <v>91</v>
      </c>
      <c r="UL39">
        <v>110.8</v>
      </c>
      <c r="UM39">
        <v>123.8</v>
      </c>
      <c r="UN39">
        <v>94.9</v>
      </c>
      <c r="UO39">
        <v>98.3</v>
      </c>
      <c r="UP39">
        <v>89.8</v>
      </c>
      <c r="UQ39">
        <v>357.6</v>
      </c>
      <c r="UR39">
        <v>116.7</v>
      </c>
      <c r="US39">
        <v>97.7</v>
      </c>
      <c r="UT39">
        <v>95.5</v>
      </c>
      <c r="UU39">
        <v>100.2</v>
      </c>
      <c r="UW39">
        <v>82</v>
      </c>
      <c r="UX39">
        <v>92.9</v>
      </c>
      <c r="UY39">
        <v>77.3</v>
      </c>
      <c r="UZ39">
        <v>87.2</v>
      </c>
      <c r="VB39">
        <v>91.2</v>
      </c>
      <c r="VD39">
        <v>109.4</v>
      </c>
      <c r="VE39">
        <v>628.1</v>
      </c>
      <c r="VH39">
        <v>1791.4</v>
      </c>
      <c r="VI39">
        <v>3212.7</v>
      </c>
      <c r="VK39">
        <v>392.1</v>
      </c>
      <c r="VL39">
        <v>1211.2</v>
      </c>
      <c r="VM39">
        <v>85.1</v>
      </c>
      <c r="VN39">
        <v>89.6</v>
      </c>
      <c r="VO39">
        <v>99.9</v>
      </c>
      <c r="VP39">
        <v>87.2</v>
      </c>
      <c r="VQ39">
        <v>103.2</v>
      </c>
      <c r="VR39">
        <v>73.5</v>
      </c>
      <c r="VT39">
        <v>109.7</v>
      </c>
      <c r="VU39">
        <v>134.1</v>
      </c>
      <c r="VV39">
        <v>79.2</v>
      </c>
      <c r="VW39">
        <v>108.7</v>
      </c>
      <c r="VX39">
        <v>82.9</v>
      </c>
      <c r="VY39">
        <v>129.5</v>
      </c>
      <c r="VZ39">
        <v>120.5</v>
      </c>
      <c r="WB39">
        <v>128</v>
      </c>
      <c r="WC39">
        <v>386.6</v>
      </c>
      <c r="WE39">
        <v>103.2</v>
      </c>
      <c r="WF39">
        <v>88.5</v>
      </c>
      <c r="WG39">
        <v>100.1</v>
      </c>
      <c r="WH39">
        <v>84.6</v>
      </c>
      <c r="WI39">
        <v>82.7</v>
      </c>
      <c r="WJ39">
        <v>86.3</v>
      </c>
      <c r="WK39">
        <v>83.3</v>
      </c>
      <c r="WL39">
        <v>98</v>
      </c>
      <c r="WN39">
        <v>99.3</v>
      </c>
      <c r="WP39">
        <v>91.6</v>
      </c>
      <c r="WQ39">
        <v>90.2</v>
      </c>
      <c r="WT39">
        <v>112.7</v>
      </c>
      <c r="WV39">
        <v>94</v>
      </c>
      <c r="WX39">
        <v>87.7</v>
      </c>
      <c r="WY39">
        <v>92</v>
      </c>
      <c r="WZ39">
        <v>91.5</v>
      </c>
      <c r="XA39">
        <v>92.4</v>
      </c>
      <c r="XB39">
        <v>70.599999999999994</v>
      </c>
      <c r="XD39">
        <v>69.099999999999994</v>
      </c>
      <c r="XE39">
        <v>84.5</v>
      </c>
      <c r="XF39">
        <v>84.7</v>
      </c>
      <c r="XG39">
        <v>85</v>
      </c>
      <c r="XH39">
        <v>93.5</v>
      </c>
      <c r="XI39">
        <v>104.1</v>
      </c>
      <c r="XJ39">
        <v>104.1</v>
      </c>
      <c r="XK39">
        <v>68.599999999999994</v>
      </c>
      <c r="XL39">
        <v>68.599999999999994</v>
      </c>
      <c r="XM39">
        <v>86.9</v>
      </c>
      <c r="XN39">
        <v>77.900000000000006</v>
      </c>
      <c r="XO39">
        <v>90.4</v>
      </c>
      <c r="XP39">
        <v>92.5</v>
      </c>
      <c r="XR39">
        <v>84.6</v>
      </c>
      <c r="XT39">
        <v>94.8</v>
      </c>
      <c r="XU39">
        <v>97.2</v>
      </c>
      <c r="XV39">
        <v>97.9</v>
      </c>
      <c r="XW39">
        <v>105.1</v>
      </c>
      <c r="XY39">
        <v>90.7</v>
      </c>
      <c r="XZ39">
        <v>94.9</v>
      </c>
      <c r="YA39">
        <v>98</v>
      </c>
      <c r="YC39">
        <v>77.900000000000006</v>
      </c>
      <c r="YD39">
        <v>91.5</v>
      </c>
      <c r="YE39">
        <v>97.9</v>
      </c>
      <c r="YF39">
        <v>121</v>
      </c>
      <c r="YG39">
        <v>87.4</v>
      </c>
      <c r="YH39">
        <v>96.6</v>
      </c>
      <c r="YJ39">
        <v>89.6</v>
      </c>
      <c r="YK39">
        <v>67.7</v>
      </c>
      <c r="YL39">
        <v>82.1</v>
      </c>
      <c r="YM39">
        <v>99.4</v>
      </c>
      <c r="YO39">
        <v>180.8</v>
      </c>
      <c r="YP39">
        <v>101.5</v>
      </c>
      <c r="YR39">
        <v>96.5</v>
      </c>
      <c r="YT39">
        <v>87.6</v>
      </c>
      <c r="YU39">
        <v>94.8</v>
      </c>
      <c r="YW39">
        <v>96.6</v>
      </c>
      <c r="YX39">
        <v>91.4</v>
      </c>
      <c r="YY39">
        <v>91.7</v>
      </c>
      <c r="YZ39">
        <v>93.6</v>
      </c>
      <c r="ZB39">
        <v>105.1</v>
      </c>
      <c r="ZC39">
        <v>181.7</v>
      </c>
      <c r="ZD39">
        <v>254.1</v>
      </c>
      <c r="ZE39">
        <v>126.2</v>
      </c>
      <c r="ZF39">
        <v>103.7</v>
      </c>
      <c r="ZG39">
        <v>112.7</v>
      </c>
      <c r="ZK39">
        <v>94.9</v>
      </c>
      <c r="ZL39">
        <v>92.2</v>
      </c>
      <c r="ZM39">
        <v>114.4</v>
      </c>
      <c r="ZN39">
        <v>101.5</v>
      </c>
      <c r="ZO39">
        <v>100.7</v>
      </c>
      <c r="ZP39">
        <v>104.4</v>
      </c>
      <c r="ZQ39">
        <v>99.6</v>
      </c>
      <c r="ZR39">
        <v>102</v>
      </c>
      <c r="ZT39">
        <v>98.1</v>
      </c>
      <c r="ZU39">
        <v>100.1</v>
      </c>
      <c r="ZV39">
        <v>94.9</v>
      </c>
      <c r="ZW39">
        <v>97.9</v>
      </c>
      <c r="ZX39">
        <v>122.1</v>
      </c>
      <c r="ZY39">
        <v>94.1</v>
      </c>
      <c r="ZZ39">
        <v>97.8</v>
      </c>
      <c r="AAA39">
        <v>120.6</v>
      </c>
      <c r="AAC39">
        <v>71.2</v>
      </c>
      <c r="AAD39">
        <v>69.3</v>
      </c>
      <c r="AAE39">
        <v>107</v>
      </c>
      <c r="AAF39">
        <v>46</v>
      </c>
      <c r="AAG39">
        <v>61.2</v>
      </c>
      <c r="AAH39">
        <v>112.7</v>
      </c>
      <c r="AAI39">
        <v>72</v>
      </c>
      <c r="AAJ39">
        <v>51.7</v>
      </c>
      <c r="AAK39">
        <v>97.2</v>
      </c>
      <c r="AAL39">
        <v>95.8</v>
      </c>
      <c r="AAM39">
        <v>96</v>
      </c>
      <c r="AAN39">
        <v>97</v>
      </c>
      <c r="AAO39">
        <v>50.5</v>
      </c>
      <c r="AAP39">
        <v>49.6</v>
      </c>
      <c r="AAQ39">
        <v>52.2</v>
      </c>
      <c r="AAR39">
        <v>95.1</v>
      </c>
      <c r="AAU39">
        <v>248.7</v>
      </c>
      <c r="AAW39">
        <v>77.099999999999994</v>
      </c>
      <c r="AAX39">
        <v>88.4</v>
      </c>
      <c r="AAY39">
        <v>93.7</v>
      </c>
      <c r="AAZ39">
        <v>94.5</v>
      </c>
      <c r="ABB39">
        <v>77.5</v>
      </c>
      <c r="ABC39">
        <v>79.7</v>
      </c>
      <c r="ABD39">
        <v>80.599999999999994</v>
      </c>
      <c r="ABE39">
        <v>67.900000000000006</v>
      </c>
      <c r="ABF39">
        <v>96.5</v>
      </c>
      <c r="ABG39">
        <v>88.1</v>
      </c>
      <c r="ABH39">
        <v>94.4</v>
      </c>
      <c r="ABI39">
        <v>97.2</v>
      </c>
      <c r="ABJ39">
        <v>104.8</v>
      </c>
      <c r="ABK39">
        <v>95.4</v>
      </c>
      <c r="ABL39">
        <v>78.3</v>
      </c>
      <c r="ABM39">
        <v>98.4</v>
      </c>
      <c r="ABN39">
        <v>102</v>
      </c>
      <c r="ABO39">
        <v>105.4</v>
      </c>
      <c r="ABP39">
        <v>108.2</v>
      </c>
    </row>
    <row r="40" spans="1:745">
      <c r="A40">
        <v>2003</v>
      </c>
      <c r="B40">
        <v>95.5</v>
      </c>
      <c r="C40">
        <v>86</v>
      </c>
      <c r="D40">
        <v>98.7</v>
      </c>
      <c r="E40">
        <v>114.6</v>
      </c>
      <c r="F40">
        <v>118.7</v>
      </c>
      <c r="G40">
        <v>113.5</v>
      </c>
      <c r="H40">
        <v>87.5</v>
      </c>
      <c r="I40">
        <v>90.5</v>
      </c>
      <c r="J40">
        <v>84.2</v>
      </c>
      <c r="L40">
        <v>87.9</v>
      </c>
      <c r="M40">
        <v>91.8</v>
      </c>
      <c r="N40">
        <v>89.4</v>
      </c>
      <c r="O40">
        <v>86</v>
      </c>
      <c r="P40">
        <v>77.8</v>
      </c>
      <c r="Q40">
        <v>98.9</v>
      </c>
      <c r="R40">
        <v>102</v>
      </c>
      <c r="S40">
        <v>70.8</v>
      </c>
      <c r="T40">
        <v>116.8</v>
      </c>
      <c r="V40">
        <v>75.8</v>
      </c>
      <c r="W40">
        <v>77</v>
      </c>
      <c r="X40">
        <v>93</v>
      </c>
      <c r="Y40">
        <v>96</v>
      </c>
      <c r="Z40">
        <v>114.9</v>
      </c>
      <c r="AA40">
        <v>87.9</v>
      </c>
      <c r="AB40">
        <v>62.1</v>
      </c>
      <c r="AC40">
        <v>95.3</v>
      </c>
      <c r="AD40">
        <v>56.2</v>
      </c>
      <c r="AE40">
        <v>72.8</v>
      </c>
      <c r="AF40">
        <v>83.8</v>
      </c>
      <c r="AG40">
        <v>52.8</v>
      </c>
      <c r="AH40">
        <v>67.099999999999994</v>
      </c>
      <c r="AI40">
        <v>87.7</v>
      </c>
      <c r="AJ40">
        <v>80.3</v>
      </c>
      <c r="AK40">
        <v>73.599999999999994</v>
      </c>
      <c r="AL40">
        <v>61.6</v>
      </c>
      <c r="AM40">
        <v>72.2</v>
      </c>
      <c r="AN40">
        <v>58.5</v>
      </c>
      <c r="AO40">
        <v>100.1</v>
      </c>
      <c r="AP40">
        <v>64</v>
      </c>
      <c r="AQ40">
        <v>79.099999999999994</v>
      </c>
      <c r="AR40">
        <v>93.6</v>
      </c>
      <c r="AS40">
        <v>59.1</v>
      </c>
      <c r="AU40">
        <v>82.2</v>
      </c>
      <c r="AV40">
        <v>78.7</v>
      </c>
      <c r="AW40">
        <v>83.1</v>
      </c>
      <c r="AX40">
        <v>84.6</v>
      </c>
      <c r="AY40">
        <v>72.2</v>
      </c>
      <c r="AZ40">
        <v>76.5</v>
      </c>
      <c r="BA40">
        <v>69.099999999999994</v>
      </c>
      <c r="BB40">
        <v>72.8</v>
      </c>
      <c r="BC40">
        <v>77.7</v>
      </c>
      <c r="BD40">
        <v>78.3</v>
      </c>
      <c r="BE40">
        <v>74.3</v>
      </c>
      <c r="BF40">
        <v>70.7</v>
      </c>
      <c r="BG40">
        <v>57.7</v>
      </c>
      <c r="BH40">
        <v>76.7</v>
      </c>
      <c r="BJ40">
        <v>83.3</v>
      </c>
      <c r="BK40">
        <v>96.8</v>
      </c>
      <c r="BL40">
        <v>103.9</v>
      </c>
      <c r="BM40">
        <v>93.4</v>
      </c>
      <c r="BN40">
        <v>90.3</v>
      </c>
      <c r="BP40">
        <v>85.1</v>
      </c>
      <c r="BQ40">
        <v>88.4</v>
      </c>
      <c r="BR40">
        <v>87.6</v>
      </c>
      <c r="BS40">
        <v>92.7</v>
      </c>
      <c r="BT40">
        <v>90.3</v>
      </c>
      <c r="BU40">
        <v>95.6</v>
      </c>
      <c r="BV40">
        <v>98.3</v>
      </c>
      <c r="BW40">
        <v>71.099999999999994</v>
      </c>
      <c r="BX40">
        <v>69.400000000000006</v>
      </c>
      <c r="BY40">
        <v>81.7</v>
      </c>
      <c r="BZ40">
        <v>73.7</v>
      </c>
      <c r="CA40">
        <v>73.7</v>
      </c>
      <c r="CB40">
        <v>82.8</v>
      </c>
      <c r="CC40">
        <v>79.900000000000006</v>
      </c>
      <c r="CD40">
        <v>82.1</v>
      </c>
      <c r="CE40">
        <v>67.8</v>
      </c>
      <c r="CF40">
        <v>72.5</v>
      </c>
      <c r="CG40">
        <v>83</v>
      </c>
      <c r="CH40">
        <v>92.9</v>
      </c>
      <c r="CI40">
        <v>88.1</v>
      </c>
      <c r="CJ40">
        <v>106</v>
      </c>
      <c r="CK40">
        <v>83.7</v>
      </c>
      <c r="CL40">
        <v>79.5</v>
      </c>
      <c r="CM40">
        <v>69.400000000000006</v>
      </c>
      <c r="CN40">
        <v>57.1</v>
      </c>
      <c r="CO40">
        <v>82.8</v>
      </c>
      <c r="CP40">
        <v>68.3</v>
      </c>
      <c r="CQ40">
        <v>79.400000000000006</v>
      </c>
      <c r="CR40">
        <v>83.7</v>
      </c>
      <c r="CS40">
        <v>75.599999999999994</v>
      </c>
      <c r="CT40">
        <v>91.7</v>
      </c>
      <c r="CV40">
        <v>80</v>
      </c>
      <c r="CW40">
        <v>66.8</v>
      </c>
      <c r="CX40">
        <v>61.2</v>
      </c>
      <c r="CY40">
        <v>70.900000000000006</v>
      </c>
      <c r="CZ40">
        <v>71.5</v>
      </c>
      <c r="DA40">
        <v>75.599999999999994</v>
      </c>
      <c r="DB40">
        <v>62.2</v>
      </c>
      <c r="DC40">
        <v>102.2</v>
      </c>
      <c r="DD40">
        <v>115.7</v>
      </c>
      <c r="DE40">
        <v>127.7</v>
      </c>
      <c r="DG40">
        <v>88</v>
      </c>
      <c r="DH40">
        <v>71.2</v>
      </c>
      <c r="DI40">
        <v>71.3</v>
      </c>
      <c r="DJ40">
        <v>83.7</v>
      </c>
      <c r="DK40">
        <v>59.7</v>
      </c>
      <c r="DL40">
        <v>71.5</v>
      </c>
      <c r="DN40">
        <v>102</v>
      </c>
      <c r="DO40">
        <v>96</v>
      </c>
      <c r="DP40">
        <v>94.3</v>
      </c>
      <c r="DQ40">
        <v>122.9</v>
      </c>
      <c r="DR40">
        <v>88.7</v>
      </c>
      <c r="DS40">
        <v>103.1</v>
      </c>
      <c r="DT40">
        <v>74</v>
      </c>
      <c r="DU40">
        <v>86.8</v>
      </c>
      <c r="DV40">
        <v>84.7</v>
      </c>
      <c r="DW40">
        <v>103.9</v>
      </c>
      <c r="DX40">
        <v>83.6</v>
      </c>
      <c r="DY40">
        <v>94.8</v>
      </c>
      <c r="DZ40">
        <v>69.2</v>
      </c>
      <c r="EA40">
        <v>68.5</v>
      </c>
      <c r="EB40">
        <v>69.8</v>
      </c>
      <c r="EC40">
        <v>62.3</v>
      </c>
      <c r="ED40">
        <v>76.599999999999994</v>
      </c>
      <c r="EF40">
        <v>50.4</v>
      </c>
      <c r="EG40">
        <v>63.8</v>
      </c>
      <c r="EH40">
        <v>55.4</v>
      </c>
      <c r="EI40">
        <v>77.400000000000006</v>
      </c>
      <c r="EJ40">
        <v>61.9</v>
      </c>
      <c r="EK40">
        <v>65.8</v>
      </c>
      <c r="EL40">
        <v>81</v>
      </c>
      <c r="EM40">
        <v>72.5</v>
      </c>
      <c r="EN40">
        <v>80.2</v>
      </c>
      <c r="EO40">
        <v>73.2</v>
      </c>
      <c r="EP40">
        <v>86.8</v>
      </c>
      <c r="ER40">
        <v>84.4</v>
      </c>
      <c r="ET40">
        <v>98.6</v>
      </c>
      <c r="EU40">
        <v>105</v>
      </c>
      <c r="EV40">
        <v>117.8</v>
      </c>
      <c r="EW40">
        <v>69.900000000000006</v>
      </c>
      <c r="EX40">
        <v>97.8</v>
      </c>
      <c r="EY40">
        <v>94.2</v>
      </c>
      <c r="EZ40">
        <v>102.4</v>
      </c>
      <c r="FA40">
        <v>99.9</v>
      </c>
      <c r="FB40">
        <v>87.8</v>
      </c>
      <c r="FC40">
        <v>100.7</v>
      </c>
      <c r="FD40">
        <v>114.8</v>
      </c>
      <c r="FE40">
        <v>128.9</v>
      </c>
      <c r="FF40">
        <v>98.3</v>
      </c>
      <c r="FH40">
        <v>87.7</v>
      </c>
      <c r="FI40">
        <v>91.3</v>
      </c>
      <c r="FJ40">
        <v>74.3</v>
      </c>
      <c r="FK40">
        <v>107.2</v>
      </c>
      <c r="FL40">
        <v>97.2</v>
      </c>
      <c r="FM40">
        <v>99.3</v>
      </c>
      <c r="FQ40">
        <v>80</v>
      </c>
      <c r="FR40">
        <v>82.5</v>
      </c>
      <c r="FS40">
        <v>76.2</v>
      </c>
      <c r="FT40">
        <v>75.099999999999994</v>
      </c>
      <c r="FU40">
        <v>89.8</v>
      </c>
      <c r="FV40">
        <v>70.8</v>
      </c>
      <c r="FW40">
        <v>94.4</v>
      </c>
      <c r="FX40">
        <v>88.5</v>
      </c>
      <c r="FY40">
        <v>83.3</v>
      </c>
      <c r="GA40">
        <v>98.6</v>
      </c>
      <c r="GB40">
        <v>83.2</v>
      </c>
      <c r="GC40">
        <v>91.2</v>
      </c>
      <c r="GD40">
        <v>74.900000000000006</v>
      </c>
      <c r="GE40">
        <v>62.9</v>
      </c>
      <c r="GF40">
        <v>84.1</v>
      </c>
      <c r="GG40">
        <v>72.900000000000006</v>
      </c>
      <c r="GH40">
        <v>97.6</v>
      </c>
      <c r="GI40">
        <v>84.6</v>
      </c>
      <c r="GJ40">
        <v>89.2</v>
      </c>
      <c r="GM40">
        <v>84.8</v>
      </c>
      <c r="GO40">
        <v>89.8</v>
      </c>
      <c r="GP40">
        <v>81.3</v>
      </c>
      <c r="GQ40">
        <v>118</v>
      </c>
      <c r="GU40">
        <v>81.8</v>
      </c>
      <c r="GV40">
        <v>44.1</v>
      </c>
      <c r="GW40">
        <v>82.6</v>
      </c>
      <c r="GX40">
        <v>89.4</v>
      </c>
      <c r="GY40">
        <v>88.9</v>
      </c>
      <c r="GZ40">
        <v>84.2</v>
      </c>
      <c r="HA40">
        <v>96.9</v>
      </c>
      <c r="HD40">
        <v>94.6</v>
      </c>
      <c r="HG40">
        <v>105.8</v>
      </c>
      <c r="HH40">
        <v>109.3</v>
      </c>
      <c r="HI40">
        <v>82</v>
      </c>
      <c r="HO40">
        <v>113.4</v>
      </c>
      <c r="HP40">
        <v>116.8</v>
      </c>
      <c r="HQ40">
        <v>101.7</v>
      </c>
      <c r="HR40">
        <v>97.3</v>
      </c>
      <c r="HS40">
        <v>145.30000000000001</v>
      </c>
      <c r="HT40">
        <v>110.2</v>
      </c>
      <c r="HU40">
        <v>97.8</v>
      </c>
      <c r="HV40">
        <v>105.2</v>
      </c>
      <c r="HW40">
        <v>121.8</v>
      </c>
      <c r="HY40">
        <v>113.1</v>
      </c>
      <c r="HZ40">
        <v>96.4</v>
      </c>
      <c r="IA40">
        <v>121.2</v>
      </c>
      <c r="IB40">
        <v>102.6</v>
      </c>
      <c r="IC40">
        <v>129.5</v>
      </c>
      <c r="IE40">
        <v>86.2</v>
      </c>
      <c r="IF40">
        <v>160.5</v>
      </c>
      <c r="IH40">
        <v>120.3</v>
      </c>
      <c r="IJ40">
        <v>101.5</v>
      </c>
      <c r="IK40">
        <v>118.6</v>
      </c>
      <c r="IL40">
        <v>96.7</v>
      </c>
      <c r="IM40">
        <v>100.7</v>
      </c>
      <c r="IN40">
        <v>97.7</v>
      </c>
      <c r="IO40">
        <v>92.6</v>
      </c>
      <c r="IP40">
        <v>99.9</v>
      </c>
      <c r="IQ40">
        <v>93.2</v>
      </c>
      <c r="IT40">
        <v>86</v>
      </c>
      <c r="IU40">
        <v>85.6</v>
      </c>
      <c r="IV40">
        <v>84.2</v>
      </c>
      <c r="IX40">
        <v>85.1</v>
      </c>
      <c r="IY40">
        <v>89</v>
      </c>
      <c r="JA40">
        <v>85.7</v>
      </c>
      <c r="JB40">
        <v>88.7</v>
      </c>
      <c r="JC40">
        <v>87.5</v>
      </c>
      <c r="JD40">
        <v>81.7</v>
      </c>
      <c r="JE40">
        <v>89.9</v>
      </c>
      <c r="JH40">
        <v>90.9</v>
      </c>
      <c r="JI40">
        <v>89.6</v>
      </c>
      <c r="JK40">
        <v>73.7</v>
      </c>
      <c r="JL40">
        <v>88</v>
      </c>
      <c r="JM40">
        <v>101.9</v>
      </c>
      <c r="JO40">
        <v>88.6</v>
      </c>
      <c r="JQ40">
        <v>87.5</v>
      </c>
      <c r="JS40">
        <v>92.7</v>
      </c>
      <c r="JT40">
        <v>92.7</v>
      </c>
      <c r="JU40">
        <v>92.6</v>
      </c>
      <c r="JV40">
        <v>101.4</v>
      </c>
      <c r="JW40">
        <v>103.5</v>
      </c>
      <c r="JX40">
        <v>105.8</v>
      </c>
      <c r="JY40">
        <v>105.8</v>
      </c>
      <c r="JZ40">
        <v>97.2</v>
      </c>
      <c r="KA40">
        <v>98.9</v>
      </c>
      <c r="KB40">
        <v>95.4</v>
      </c>
      <c r="KC40">
        <v>103.2</v>
      </c>
      <c r="KD40">
        <v>103.2</v>
      </c>
      <c r="KE40">
        <v>89.5</v>
      </c>
      <c r="KF40">
        <v>100.3</v>
      </c>
      <c r="KG40">
        <v>90.6</v>
      </c>
      <c r="KH40">
        <v>208</v>
      </c>
      <c r="KI40">
        <v>100.7</v>
      </c>
      <c r="KL40">
        <v>68.900000000000006</v>
      </c>
      <c r="KM40">
        <v>86</v>
      </c>
      <c r="KN40">
        <v>86.9</v>
      </c>
      <c r="KO40">
        <v>73.099999999999994</v>
      </c>
      <c r="KP40">
        <v>81.599999999999994</v>
      </c>
      <c r="KS40">
        <v>91.1</v>
      </c>
      <c r="KT40">
        <v>81.3</v>
      </c>
      <c r="KU40">
        <v>96.2</v>
      </c>
      <c r="KX40">
        <v>88.3</v>
      </c>
      <c r="KY40">
        <v>81.599999999999994</v>
      </c>
      <c r="KZ40">
        <v>82.7</v>
      </c>
      <c r="LA40">
        <v>82.7</v>
      </c>
      <c r="LB40">
        <v>83.2</v>
      </c>
      <c r="LC40">
        <v>92.5</v>
      </c>
      <c r="LD40">
        <v>71.900000000000006</v>
      </c>
      <c r="LE40">
        <v>56.9</v>
      </c>
      <c r="LF40">
        <v>56.9</v>
      </c>
      <c r="LG40">
        <v>89.9</v>
      </c>
      <c r="LH40">
        <v>93.1</v>
      </c>
      <c r="LI40">
        <v>84.8</v>
      </c>
      <c r="LJ40">
        <v>121</v>
      </c>
      <c r="LK40">
        <v>194.6</v>
      </c>
      <c r="LL40">
        <v>338</v>
      </c>
      <c r="LM40">
        <v>406.9</v>
      </c>
      <c r="LN40">
        <v>165.8</v>
      </c>
      <c r="LO40">
        <v>158.5</v>
      </c>
      <c r="LP40">
        <v>646.79999999999995</v>
      </c>
      <c r="LQ40">
        <v>358.8</v>
      </c>
      <c r="LR40">
        <v>325.89999999999998</v>
      </c>
      <c r="LT40">
        <v>149.19999999999999</v>
      </c>
      <c r="LU40">
        <v>183.8</v>
      </c>
      <c r="LV40">
        <v>120.1</v>
      </c>
      <c r="LX40">
        <v>90.7</v>
      </c>
      <c r="LY40">
        <v>85.2</v>
      </c>
      <c r="MA40">
        <v>99.3</v>
      </c>
      <c r="MB40">
        <v>133.1</v>
      </c>
      <c r="MC40">
        <v>323.8</v>
      </c>
      <c r="MD40">
        <v>130.1</v>
      </c>
      <c r="ME40">
        <v>92.9</v>
      </c>
      <c r="MG40">
        <v>97.2</v>
      </c>
      <c r="MH40">
        <v>89.1</v>
      </c>
      <c r="MI40">
        <v>97.3</v>
      </c>
      <c r="MJ40">
        <v>94.7</v>
      </c>
      <c r="MK40">
        <v>112.2</v>
      </c>
      <c r="MM40">
        <v>85</v>
      </c>
      <c r="MN40">
        <v>88</v>
      </c>
      <c r="MO40">
        <v>88.7</v>
      </c>
      <c r="MP40">
        <v>93.1</v>
      </c>
      <c r="MQ40">
        <v>79.8</v>
      </c>
      <c r="MS40">
        <v>84</v>
      </c>
      <c r="MU40">
        <v>87.1</v>
      </c>
      <c r="MV40">
        <v>88.6</v>
      </c>
      <c r="MW40">
        <v>77.599999999999994</v>
      </c>
      <c r="MX40">
        <v>87.5</v>
      </c>
      <c r="NB40">
        <v>105.4</v>
      </c>
      <c r="NC40">
        <v>98.8</v>
      </c>
      <c r="ND40">
        <v>111</v>
      </c>
      <c r="NE40">
        <v>91.2</v>
      </c>
      <c r="NF40">
        <v>114.1</v>
      </c>
      <c r="NG40">
        <v>117.1</v>
      </c>
      <c r="NH40">
        <v>113</v>
      </c>
      <c r="NI40">
        <v>102.6</v>
      </c>
      <c r="NJ40">
        <v>105.2</v>
      </c>
      <c r="NL40">
        <v>95.5</v>
      </c>
      <c r="NM40">
        <v>134</v>
      </c>
      <c r="NN40">
        <v>107.3</v>
      </c>
      <c r="NQ40">
        <v>93.8</v>
      </c>
      <c r="NR40">
        <v>88.1</v>
      </c>
      <c r="NS40">
        <v>88.1</v>
      </c>
      <c r="NT40">
        <v>95.5</v>
      </c>
      <c r="NU40">
        <v>120.8</v>
      </c>
      <c r="NW40">
        <v>95.4</v>
      </c>
      <c r="NX40">
        <v>95.4</v>
      </c>
      <c r="NY40">
        <v>91.8</v>
      </c>
      <c r="NZ40">
        <v>92.6</v>
      </c>
      <c r="OA40">
        <v>95.5</v>
      </c>
      <c r="OB40">
        <v>95.9</v>
      </c>
      <c r="OC40">
        <v>94.6</v>
      </c>
      <c r="OD40">
        <v>92.4</v>
      </c>
      <c r="OE40">
        <v>83.3</v>
      </c>
      <c r="OF40">
        <v>69.3</v>
      </c>
      <c r="OH40">
        <v>78.5</v>
      </c>
      <c r="OJ40">
        <v>82.3</v>
      </c>
      <c r="OK40">
        <v>83.9</v>
      </c>
      <c r="OL40">
        <v>77.5</v>
      </c>
      <c r="OM40">
        <v>94</v>
      </c>
      <c r="ON40">
        <v>98.6</v>
      </c>
      <c r="OO40">
        <v>84.7</v>
      </c>
      <c r="OP40">
        <v>87</v>
      </c>
      <c r="OQ40">
        <v>97.7</v>
      </c>
      <c r="OS40">
        <v>82.7</v>
      </c>
      <c r="OU40">
        <v>79.099999999999994</v>
      </c>
      <c r="OV40">
        <v>86.5</v>
      </c>
      <c r="OW40">
        <v>85.1</v>
      </c>
      <c r="OX40">
        <v>84.8</v>
      </c>
      <c r="OY40">
        <v>77.599999999999994</v>
      </c>
      <c r="OZ40">
        <v>74.599999999999994</v>
      </c>
      <c r="PA40">
        <v>121.4</v>
      </c>
      <c r="PB40">
        <v>85.8</v>
      </c>
      <c r="PC40">
        <v>84.7</v>
      </c>
      <c r="PD40">
        <v>161.30000000000001</v>
      </c>
      <c r="PG40">
        <v>103.9</v>
      </c>
      <c r="PH40">
        <v>90.9</v>
      </c>
      <c r="PI40">
        <v>91.1</v>
      </c>
      <c r="PJ40">
        <v>93.4</v>
      </c>
      <c r="PK40">
        <v>110.7</v>
      </c>
      <c r="PL40">
        <v>91.2</v>
      </c>
      <c r="PM40">
        <v>94</v>
      </c>
      <c r="PN40">
        <v>85.7</v>
      </c>
      <c r="PO40">
        <v>89.2</v>
      </c>
      <c r="PP40">
        <v>91.6</v>
      </c>
      <c r="PQ40">
        <v>88.5</v>
      </c>
      <c r="PR40">
        <v>97.1</v>
      </c>
      <c r="PS40">
        <v>87.6</v>
      </c>
      <c r="PT40">
        <v>86.3</v>
      </c>
      <c r="PU40">
        <v>87.1</v>
      </c>
      <c r="PV40">
        <v>97.3</v>
      </c>
      <c r="PW40">
        <v>95.1</v>
      </c>
      <c r="PX40">
        <v>98.2</v>
      </c>
      <c r="PY40">
        <v>89.9</v>
      </c>
      <c r="PZ40">
        <v>88.8</v>
      </c>
      <c r="QA40">
        <v>91.3</v>
      </c>
      <c r="QB40">
        <v>83</v>
      </c>
      <c r="QC40">
        <v>94.2</v>
      </c>
      <c r="QD40">
        <v>92.8</v>
      </c>
      <c r="QE40">
        <v>92.7</v>
      </c>
      <c r="QF40">
        <v>79.7</v>
      </c>
      <c r="QG40">
        <v>112.9</v>
      </c>
      <c r="QH40">
        <v>80.5</v>
      </c>
      <c r="QI40">
        <v>80.5</v>
      </c>
      <c r="QJ40">
        <v>88.3</v>
      </c>
      <c r="QK40">
        <v>94.9</v>
      </c>
      <c r="QL40">
        <v>89.1</v>
      </c>
      <c r="QM40">
        <v>93.4</v>
      </c>
      <c r="QN40">
        <v>86.3</v>
      </c>
      <c r="QO40">
        <v>88.4</v>
      </c>
      <c r="QQ40">
        <v>104</v>
      </c>
      <c r="QR40">
        <v>104.8</v>
      </c>
      <c r="QS40">
        <v>142.5</v>
      </c>
      <c r="QT40">
        <v>96.6</v>
      </c>
      <c r="QU40">
        <v>101.2</v>
      </c>
      <c r="QV40">
        <v>95.2</v>
      </c>
      <c r="QW40">
        <v>105.8</v>
      </c>
      <c r="QX40">
        <v>99.1</v>
      </c>
      <c r="QY40">
        <v>82.6</v>
      </c>
      <c r="QZ40">
        <v>84.6</v>
      </c>
      <c r="RA40">
        <v>80.400000000000006</v>
      </c>
      <c r="RB40">
        <v>80</v>
      </c>
      <c r="RC40">
        <v>84.5</v>
      </c>
      <c r="RD40">
        <v>98.4</v>
      </c>
      <c r="RE40">
        <v>108.6</v>
      </c>
      <c r="RF40">
        <v>110.6</v>
      </c>
      <c r="RG40">
        <v>123</v>
      </c>
      <c r="RH40">
        <v>112.8</v>
      </c>
      <c r="RI40">
        <v>96.8</v>
      </c>
      <c r="RJ40">
        <v>125</v>
      </c>
      <c r="RK40">
        <v>96.9</v>
      </c>
      <c r="RL40">
        <v>106.2</v>
      </c>
      <c r="RM40">
        <v>103</v>
      </c>
      <c r="RN40">
        <v>127.8</v>
      </c>
      <c r="RO40">
        <v>112.3</v>
      </c>
      <c r="RS40">
        <v>110.4</v>
      </c>
      <c r="RT40">
        <v>126.2</v>
      </c>
      <c r="RV40">
        <v>93.1</v>
      </c>
      <c r="RW40">
        <v>121.8</v>
      </c>
      <c r="RX40">
        <v>130.19999999999999</v>
      </c>
      <c r="SA40">
        <v>109.7</v>
      </c>
      <c r="SB40">
        <v>91.3</v>
      </c>
      <c r="SC40">
        <v>122.9</v>
      </c>
      <c r="SF40">
        <v>90</v>
      </c>
      <c r="SG40">
        <v>93.7</v>
      </c>
      <c r="SH40">
        <v>95.5</v>
      </c>
      <c r="SI40">
        <v>92.4</v>
      </c>
      <c r="SK40">
        <v>99</v>
      </c>
      <c r="SL40">
        <v>90.2</v>
      </c>
      <c r="SM40">
        <v>95.4</v>
      </c>
      <c r="SN40">
        <v>95.1</v>
      </c>
      <c r="SO40">
        <v>96.6</v>
      </c>
      <c r="SP40">
        <v>97.1</v>
      </c>
      <c r="SQ40">
        <v>94.7</v>
      </c>
      <c r="SR40">
        <v>95.2</v>
      </c>
      <c r="SS40">
        <v>94.3</v>
      </c>
      <c r="ST40">
        <v>93.9</v>
      </c>
      <c r="SU40">
        <v>95.4</v>
      </c>
      <c r="SV40">
        <v>94.7</v>
      </c>
      <c r="SX40">
        <v>93.3</v>
      </c>
      <c r="SZ40">
        <v>83.5</v>
      </c>
      <c r="TA40">
        <v>94.6</v>
      </c>
      <c r="TB40">
        <v>73.599999999999994</v>
      </c>
      <c r="TC40">
        <v>71.599999999999994</v>
      </c>
      <c r="TD40">
        <v>80.8</v>
      </c>
      <c r="TE40">
        <v>90.8</v>
      </c>
      <c r="TF40">
        <v>95.7</v>
      </c>
      <c r="TG40">
        <v>97.8</v>
      </c>
      <c r="TH40">
        <v>93.4</v>
      </c>
      <c r="TI40">
        <v>94.2</v>
      </c>
      <c r="TJ40">
        <v>96.2</v>
      </c>
      <c r="TK40">
        <v>72.599999999999994</v>
      </c>
      <c r="TL40">
        <v>70.099999999999994</v>
      </c>
      <c r="TN40">
        <v>89.5</v>
      </c>
      <c r="TO40">
        <v>76.3</v>
      </c>
      <c r="TP40">
        <v>73.2</v>
      </c>
      <c r="TT40">
        <v>90.9</v>
      </c>
      <c r="TU40">
        <v>87.1</v>
      </c>
      <c r="TV40">
        <v>82.2</v>
      </c>
      <c r="TW40">
        <v>102.7</v>
      </c>
      <c r="TX40">
        <v>100.3</v>
      </c>
      <c r="TY40">
        <v>98.4</v>
      </c>
      <c r="TZ40">
        <v>98.7</v>
      </c>
      <c r="UC40">
        <v>116.7</v>
      </c>
      <c r="UD40">
        <v>94.7</v>
      </c>
      <c r="UE40">
        <v>128.4</v>
      </c>
      <c r="UF40">
        <v>79.400000000000006</v>
      </c>
      <c r="UG40">
        <v>95.2</v>
      </c>
      <c r="UH40">
        <v>106.3</v>
      </c>
      <c r="UI40">
        <v>133.4</v>
      </c>
      <c r="UJ40">
        <v>91</v>
      </c>
      <c r="UL40">
        <v>111.2</v>
      </c>
      <c r="UM40">
        <v>124.9</v>
      </c>
      <c r="UN40">
        <v>94.9</v>
      </c>
      <c r="UO40">
        <v>98.7</v>
      </c>
      <c r="UP40">
        <v>90.4</v>
      </c>
      <c r="UQ40">
        <v>361</v>
      </c>
      <c r="UR40">
        <v>118</v>
      </c>
      <c r="US40">
        <v>102</v>
      </c>
      <c r="UT40">
        <v>96.1</v>
      </c>
      <c r="UU40">
        <v>100.6</v>
      </c>
      <c r="UW40">
        <v>81.099999999999994</v>
      </c>
      <c r="UX40">
        <v>85.2</v>
      </c>
      <c r="UY40">
        <v>79.2</v>
      </c>
      <c r="UZ40">
        <v>86.5</v>
      </c>
      <c r="VB40">
        <v>90.5</v>
      </c>
      <c r="VD40">
        <v>107.7</v>
      </c>
      <c r="VE40">
        <v>541.5</v>
      </c>
      <c r="VH40">
        <v>1291.0999999999999</v>
      </c>
      <c r="VI40">
        <v>2225.3000000000002</v>
      </c>
      <c r="VK40">
        <v>334.1</v>
      </c>
      <c r="VL40">
        <v>1025.0999999999999</v>
      </c>
      <c r="VM40">
        <v>85.1</v>
      </c>
      <c r="VN40">
        <v>90.8</v>
      </c>
      <c r="VO40">
        <v>97.7</v>
      </c>
      <c r="VP40">
        <v>86.9</v>
      </c>
      <c r="VQ40">
        <v>102.7</v>
      </c>
      <c r="VR40">
        <v>72.3</v>
      </c>
      <c r="VT40">
        <v>107.3</v>
      </c>
      <c r="VU40">
        <v>132.5</v>
      </c>
      <c r="VV40">
        <v>79.099999999999994</v>
      </c>
      <c r="VW40">
        <v>108.9</v>
      </c>
      <c r="VX40">
        <v>83.3</v>
      </c>
      <c r="VY40">
        <v>125.6</v>
      </c>
      <c r="VZ40">
        <v>117.7</v>
      </c>
      <c r="WB40">
        <v>121.1</v>
      </c>
      <c r="WC40">
        <v>322.3</v>
      </c>
      <c r="WE40">
        <v>103</v>
      </c>
      <c r="WF40">
        <v>87.8</v>
      </c>
      <c r="WG40">
        <v>98.7</v>
      </c>
      <c r="WH40">
        <v>83.8</v>
      </c>
      <c r="WI40">
        <v>82.1</v>
      </c>
      <c r="WJ40">
        <v>85.1</v>
      </c>
      <c r="WK40">
        <v>82.8</v>
      </c>
      <c r="WL40">
        <v>95.9</v>
      </c>
      <c r="WN40">
        <v>99.3</v>
      </c>
      <c r="WP40">
        <v>90</v>
      </c>
      <c r="WQ40">
        <v>89.6</v>
      </c>
      <c r="WT40">
        <v>106.6</v>
      </c>
      <c r="WV40">
        <v>93.4</v>
      </c>
      <c r="WX40">
        <v>88</v>
      </c>
      <c r="WY40">
        <v>92</v>
      </c>
      <c r="WZ40">
        <v>91.5</v>
      </c>
      <c r="XA40">
        <v>92.4</v>
      </c>
      <c r="XB40">
        <v>71.3</v>
      </c>
      <c r="XD40">
        <v>70.7</v>
      </c>
      <c r="XE40">
        <v>85.1</v>
      </c>
      <c r="XF40">
        <v>85</v>
      </c>
      <c r="XG40">
        <v>85.7</v>
      </c>
      <c r="XH40">
        <v>93.4</v>
      </c>
      <c r="XI40">
        <v>105.9</v>
      </c>
      <c r="XJ40">
        <v>105.9</v>
      </c>
      <c r="XK40">
        <v>67</v>
      </c>
      <c r="XL40">
        <v>67</v>
      </c>
      <c r="XM40">
        <v>87</v>
      </c>
      <c r="XN40">
        <v>78.099999999999994</v>
      </c>
      <c r="XO40">
        <v>91</v>
      </c>
      <c r="XP40">
        <v>92.5</v>
      </c>
      <c r="XR40">
        <v>84.8</v>
      </c>
      <c r="XT40">
        <v>94.8</v>
      </c>
      <c r="XU40">
        <v>96.7</v>
      </c>
      <c r="XV40">
        <v>97.9</v>
      </c>
      <c r="XW40">
        <v>105.1</v>
      </c>
      <c r="XY40">
        <v>90.7</v>
      </c>
      <c r="XZ40">
        <v>94.2</v>
      </c>
      <c r="YA40">
        <v>98</v>
      </c>
      <c r="YC40">
        <v>78.5</v>
      </c>
      <c r="YD40">
        <v>89.2</v>
      </c>
      <c r="YE40">
        <v>97.4</v>
      </c>
      <c r="YF40">
        <v>118.5</v>
      </c>
      <c r="YG40">
        <v>87.4</v>
      </c>
      <c r="YH40">
        <v>96.6</v>
      </c>
      <c r="YJ40">
        <v>90.3</v>
      </c>
      <c r="YK40">
        <v>68.2</v>
      </c>
      <c r="YL40">
        <v>81.400000000000006</v>
      </c>
      <c r="YM40">
        <v>98.7</v>
      </c>
      <c r="YO40">
        <v>176.4</v>
      </c>
      <c r="YP40">
        <v>101.3</v>
      </c>
      <c r="YR40">
        <v>95.7</v>
      </c>
      <c r="YT40">
        <v>88.7</v>
      </c>
      <c r="YU40">
        <v>94.9</v>
      </c>
      <c r="YW40">
        <v>96.6</v>
      </c>
      <c r="YX40">
        <v>91.4</v>
      </c>
      <c r="YY40">
        <v>91.7</v>
      </c>
      <c r="YZ40">
        <v>93.7</v>
      </c>
      <c r="ZB40">
        <v>103.5</v>
      </c>
      <c r="ZC40">
        <v>172</v>
      </c>
      <c r="ZD40">
        <v>231</v>
      </c>
      <c r="ZE40">
        <v>121.6</v>
      </c>
      <c r="ZF40">
        <v>102.2</v>
      </c>
      <c r="ZG40">
        <v>112.3</v>
      </c>
      <c r="ZK40">
        <v>92.9</v>
      </c>
      <c r="ZL40">
        <v>90</v>
      </c>
      <c r="ZM40">
        <v>114.8</v>
      </c>
      <c r="ZN40">
        <v>100.2</v>
      </c>
      <c r="ZO40">
        <v>99.7</v>
      </c>
      <c r="ZP40">
        <v>103.3</v>
      </c>
      <c r="ZQ40">
        <v>98</v>
      </c>
      <c r="ZR40">
        <v>101.4</v>
      </c>
      <c r="ZT40">
        <v>97.5</v>
      </c>
      <c r="ZU40">
        <v>99</v>
      </c>
      <c r="ZV40">
        <v>93.9</v>
      </c>
      <c r="ZW40">
        <v>96.8</v>
      </c>
      <c r="ZX40">
        <v>122.5</v>
      </c>
      <c r="ZY40">
        <v>93</v>
      </c>
      <c r="ZZ40">
        <v>96.4</v>
      </c>
      <c r="AAA40">
        <v>116.1</v>
      </c>
      <c r="AAC40">
        <v>74.2</v>
      </c>
      <c r="AAD40">
        <v>73</v>
      </c>
      <c r="AAE40">
        <v>104</v>
      </c>
      <c r="AAF40">
        <v>52.4</v>
      </c>
      <c r="AAG40">
        <v>61.9</v>
      </c>
      <c r="AAH40">
        <v>110.7</v>
      </c>
      <c r="AAI40">
        <v>74.2</v>
      </c>
      <c r="AAJ40">
        <v>53.8</v>
      </c>
      <c r="AAK40">
        <v>97.2</v>
      </c>
      <c r="AAL40">
        <v>94.7</v>
      </c>
      <c r="AAM40">
        <v>93.7</v>
      </c>
      <c r="AAN40">
        <v>97.1</v>
      </c>
      <c r="AAO40">
        <v>53.6</v>
      </c>
      <c r="AAP40">
        <v>52.7</v>
      </c>
      <c r="AAQ40">
        <v>55.3</v>
      </c>
      <c r="AAR40">
        <v>94.7</v>
      </c>
      <c r="AAU40">
        <v>248.5</v>
      </c>
      <c r="AAW40">
        <v>73.400000000000006</v>
      </c>
      <c r="AAX40">
        <v>88.4</v>
      </c>
      <c r="AAY40">
        <v>93.7</v>
      </c>
      <c r="AAZ40">
        <v>94.5</v>
      </c>
      <c r="ABB40">
        <v>76.3</v>
      </c>
      <c r="ABC40">
        <v>77</v>
      </c>
      <c r="ABD40">
        <v>79.900000000000006</v>
      </c>
      <c r="ABE40">
        <v>68.5</v>
      </c>
      <c r="ABF40">
        <v>96.3</v>
      </c>
      <c r="ABG40">
        <v>88</v>
      </c>
      <c r="ABH40">
        <v>94.2</v>
      </c>
      <c r="ABI40">
        <v>96.7</v>
      </c>
      <c r="ABJ40">
        <v>104.5</v>
      </c>
      <c r="ABK40">
        <v>95.2</v>
      </c>
      <c r="ABL40">
        <v>78.7</v>
      </c>
      <c r="ABM40">
        <v>98.2</v>
      </c>
      <c r="ABN40">
        <v>101.7</v>
      </c>
      <c r="ABO40">
        <v>105.8</v>
      </c>
      <c r="ABP40">
        <v>106.7</v>
      </c>
    </row>
    <row r="41" spans="1:745">
      <c r="A41">
        <v>2004</v>
      </c>
      <c r="B41">
        <v>95.4</v>
      </c>
      <c r="C41">
        <v>86.8</v>
      </c>
      <c r="D41">
        <v>97.5</v>
      </c>
      <c r="E41">
        <v>112.7</v>
      </c>
      <c r="F41">
        <v>114.1</v>
      </c>
      <c r="G41">
        <v>111.3</v>
      </c>
      <c r="H41">
        <v>86.4</v>
      </c>
      <c r="I41">
        <v>89.1</v>
      </c>
      <c r="J41">
        <v>83.8</v>
      </c>
      <c r="L41">
        <v>87</v>
      </c>
      <c r="M41">
        <v>91</v>
      </c>
      <c r="N41">
        <v>88.4</v>
      </c>
      <c r="O41">
        <v>86.5</v>
      </c>
      <c r="P41">
        <v>77.599999999999994</v>
      </c>
      <c r="Q41">
        <v>96.5</v>
      </c>
      <c r="R41">
        <v>104.9</v>
      </c>
      <c r="S41">
        <v>70.3</v>
      </c>
      <c r="T41">
        <v>121.3</v>
      </c>
      <c r="V41">
        <v>75.400000000000006</v>
      </c>
      <c r="W41">
        <v>76.3</v>
      </c>
      <c r="X41">
        <v>88.1</v>
      </c>
      <c r="Y41">
        <v>97.5</v>
      </c>
      <c r="Z41">
        <v>112.5</v>
      </c>
      <c r="AA41">
        <v>97</v>
      </c>
      <c r="AB41">
        <v>61.5</v>
      </c>
      <c r="AC41">
        <v>92.7</v>
      </c>
      <c r="AD41">
        <v>58.2</v>
      </c>
      <c r="AE41">
        <v>71.2</v>
      </c>
      <c r="AF41">
        <v>81.599999999999994</v>
      </c>
      <c r="AG41">
        <v>55.7</v>
      </c>
      <c r="AH41">
        <v>67.8</v>
      </c>
      <c r="AI41">
        <v>82.6</v>
      </c>
      <c r="AJ41">
        <v>80.400000000000006</v>
      </c>
      <c r="AK41">
        <v>74.099999999999994</v>
      </c>
      <c r="AL41">
        <v>66.8</v>
      </c>
      <c r="AM41">
        <v>72.2</v>
      </c>
      <c r="AN41">
        <v>58.2</v>
      </c>
      <c r="AO41">
        <v>99.5</v>
      </c>
      <c r="AP41">
        <v>65.2</v>
      </c>
      <c r="AQ41">
        <v>77.5</v>
      </c>
      <c r="AR41">
        <v>92.4</v>
      </c>
      <c r="AS41">
        <v>62.6</v>
      </c>
      <c r="AU41">
        <v>81.2</v>
      </c>
      <c r="AV41">
        <v>77.8</v>
      </c>
      <c r="AW41">
        <v>81.2</v>
      </c>
      <c r="AX41">
        <v>84.2</v>
      </c>
      <c r="AY41">
        <v>71.8</v>
      </c>
      <c r="AZ41">
        <v>75.599999999999994</v>
      </c>
      <c r="BA41">
        <v>67.900000000000006</v>
      </c>
      <c r="BB41">
        <v>73.900000000000006</v>
      </c>
      <c r="BC41">
        <v>77.8</v>
      </c>
      <c r="BD41">
        <v>80.7</v>
      </c>
      <c r="BE41">
        <v>77.099999999999994</v>
      </c>
      <c r="BF41">
        <v>73.400000000000006</v>
      </c>
      <c r="BG41">
        <v>65.5</v>
      </c>
      <c r="BH41">
        <v>78.099999999999994</v>
      </c>
      <c r="BJ41">
        <v>83.4</v>
      </c>
      <c r="BK41">
        <v>97.2</v>
      </c>
      <c r="BL41">
        <v>103.4</v>
      </c>
      <c r="BM41">
        <v>94.5</v>
      </c>
      <c r="BN41">
        <v>90.8</v>
      </c>
      <c r="BP41">
        <v>87.1</v>
      </c>
      <c r="BQ41">
        <v>87.9</v>
      </c>
      <c r="BR41">
        <v>87.2</v>
      </c>
      <c r="BS41">
        <v>91.9</v>
      </c>
      <c r="BT41">
        <v>89.3</v>
      </c>
      <c r="BU41">
        <v>95.1</v>
      </c>
      <c r="BV41">
        <v>96.9</v>
      </c>
      <c r="BW41">
        <v>71.599999999999994</v>
      </c>
      <c r="BX41">
        <v>68.8</v>
      </c>
      <c r="BY41">
        <v>81.3</v>
      </c>
      <c r="BZ41">
        <v>85</v>
      </c>
      <c r="CA41">
        <v>85</v>
      </c>
      <c r="CB41">
        <v>86.3</v>
      </c>
      <c r="CC41">
        <v>85.3</v>
      </c>
      <c r="CD41">
        <v>101.1</v>
      </c>
      <c r="CE41">
        <v>78.2</v>
      </c>
      <c r="CF41">
        <v>94.2</v>
      </c>
      <c r="CG41">
        <v>89.8</v>
      </c>
      <c r="CH41">
        <v>111</v>
      </c>
      <c r="CI41">
        <v>99.6</v>
      </c>
      <c r="CJ41">
        <v>104.8</v>
      </c>
      <c r="CK41">
        <v>82.5</v>
      </c>
      <c r="CL41">
        <v>71</v>
      </c>
      <c r="CM41">
        <v>69</v>
      </c>
      <c r="CN41">
        <v>56.1</v>
      </c>
      <c r="CO41">
        <v>97.2</v>
      </c>
      <c r="CP41">
        <v>75.900000000000006</v>
      </c>
      <c r="CQ41">
        <v>74</v>
      </c>
      <c r="CR41">
        <v>84.4</v>
      </c>
      <c r="CS41">
        <v>75.400000000000006</v>
      </c>
      <c r="CT41">
        <v>89.7</v>
      </c>
      <c r="CV41">
        <v>80.400000000000006</v>
      </c>
      <c r="CW41">
        <v>73.7</v>
      </c>
      <c r="CX41">
        <v>68.3</v>
      </c>
      <c r="CY41">
        <v>77.099999999999994</v>
      </c>
      <c r="CZ41">
        <v>71</v>
      </c>
      <c r="DA41">
        <v>80.3</v>
      </c>
      <c r="DB41">
        <v>67.099999999999994</v>
      </c>
      <c r="DC41">
        <v>99.7</v>
      </c>
      <c r="DD41">
        <v>118.7</v>
      </c>
      <c r="DE41">
        <v>122.5</v>
      </c>
      <c r="DG41">
        <v>87.7</v>
      </c>
      <c r="DH41">
        <v>72.099999999999994</v>
      </c>
      <c r="DI41">
        <v>75</v>
      </c>
      <c r="DJ41">
        <v>83.6</v>
      </c>
      <c r="DK41">
        <v>60.1</v>
      </c>
      <c r="DL41">
        <v>72.099999999999994</v>
      </c>
      <c r="DN41">
        <v>101.2</v>
      </c>
      <c r="DO41">
        <v>95.2</v>
      </c>
      <c r="DP41">
        <v>93.3</v>
      </c>
      <c r="DQ41">
        <v>121.7</v>
      </c>
      <c r="DR41">
        <v>88</v>
      </c>
      <c r="DS41">
        <v>100.7</v>
      </c>
      <c r="DT41">
        <v>72.400000000000006</v>
      </c>
      <c r="DU41">
        <v>85.8</v>
      </c>
      <c r="DV41">
        <v>87.6</v>
      </c>
      <c r="DW41">
        <v>103.3</v>
      </c>
      <c r="DX41">
        <v>83.6</v>
      </c>
      <c r="DY41">
        <v>93.9</v>
      </c>
      <c r="DZ41">
        <v>72.7</v>
      </c>
      <c r="EA41">
        <v>72.2</v>
      </c>
      <c r="EB41">
        <v>81.5</v>
      </c>
      <c r="EC41">
        <v>69.7</v>
      </c>
      <c r="ED41">
        <v>75.5</v>
      </c>
      <c r="EF41">
        <v>51</v>
      </c>
      <c r="EG41">
        <v>63.1</v>
      </c>
      <c r="EH41">
        <v>58</v>
      </c>
      <c r="EI41">
        <v>93.2</v>
      </c>
      <c r="EJ41">
        <v>66.599999999999994</v>
      </c>
      <c r="EK41">
        <v>68.900000000000006</v>
      </c>
      <c r="EL41">
        <v>81.400000000000006</v>
      </c>
      <c r="EM41">
        <v>72.7</v>
      </c>
      <c r="EN41">
        <v>80.3</v>
      </c>
      <c r="EO41">
        <v>76.099999999999994</v>
      </c>
      <c r="EP41">
        <v>91.5</v>
      </c>
      <c r="ER41">
        <v>82.5</v>
      </c>
      <c r="ET41">
        <v>97.6</v>
      </c>
      <c r="EU41">
        <v>106.2</v>
      </c>
      <c r="EV41">
        <v>119.5</v>
      </c>
      <c r="EW41">
        <v>69.900000000000006</v>
      </c>
      <c r="EX41">
        <v>96.6</v>
      </c>
      <c r="EY41">
        <v>94.2</v>
      </c>
      <c r="EZ41">
        <v>101.2</v>
      </c>
      <c r="FA41">
        <v>99</v>
      </c>
      <c r="FB41">
        <v>86.4</v>
      </c>
      <c r="FC41">
        <v>99.6</v>
      </c>
      <c r="FD41">
        <v>113.6</v>
      </c>
      <c r="FE41">
        <v>125.8</v>
      </c>
      <c r="FF41">
        <v>97.6</v>
      </c>
      <c r="FH41">
        <v>87</v>
      </c>
      <c r="FI41">
        <v>90</v>
      </c>
      <c r="FJ41">
        <v>73.3</v>
      </c>
      <c r="FK41">
        <v>104.2</v>
      </c>
      <c r="FL41">
        <v>97.3</v>
      </c>
      <c r="FM41">
        <v>96.9</v>
      </c>
      <c r="FQ41">
        <v>80.3</v>
      </c>
      <c r="FR41">
        <v>83.2</v>
      </c>
      <c r="FS41">
        <v>76.099999999999994</v>
      </c>
      <c r="FT41">
        <v>76.2</v>
      </c>
      <c r="FU41">
        <v>88.8</v>
      </c>
      <c r="FV41">
        <v>71.400000000000006</v>
      </c>
      <c r="FW41">
        <v>92.6</v>
      </c>
      <c r="FX41">
        <v>87.1</v>
      </c>
      <c r="FY41">
        <v>82.9</v>
      </c>
      <c r="GA41">
        <v>99</v>
      </c>
      <c r="GB41">
        <v>83.2</v>
      </c>
      <c r="GC41">
        <v>94.2</v>
      </c>
      <c r="GD41">
        <v>74.8</v>
      </c>
      <c r="GE41">
        <v>62.8</v>
      </c>
      <c r="GF41">
        <v>83.8</v>
      </c>
      <c r="GG41">
        <v>73.099999999999994</v>
      </c>
      <c r="GH41">
        <v>98.3</v>
      </c>
      <c r="GI41">
        <v>84.7</v>
      </c>
      <c r="GJ41">
        <v>89.8</v>
      </c>
      <c r="GM41">
        <v>85.5</v>
      </c>
      <c r="GO41">
        <v>92.7</v>
      </c>
      <c r="GP41">
        <v>80.900000000000006</v>
      </c>
      <c r="GQ41">
        <v>117.5</v>
      </c>
      <c r="GU41">
        <v>81.5</v>
      </c>
      <c r="GV41">
        <v>45.2</v>
      </c>
      <c r="GW41">
        <v>83.4</v>
      </c>
      <c r="GX41">
        <v>89.7</v>
      </c>
      <c r="GY41">
        <v>90.4</v>
      </c>
      <c r="GZ41">
        <v>84.7</v>
      </c>
      <c r="HA41">
        <v>94.2</v>
      </c>
      <c r="HD41">
        <v>91.4</v>
      </c>
      <c r="HG41">
        <v>104.5</v>
      </c>
      <c r="HH41">
        <v>106</v>
      </c>
      <c r="HI41">
        <v>81.5</v>
      </c>
      <c r="HO41">
        <v>110.7</v>
      </c>
      <c r="HP41">
        <v>115</v>
      </c>
      <c r="HQ41">
        <v>101.4</v>
      </c>
      <c r="HR41">
        <v>97.4</v>
      </c>
      <c r="HS41">
        <v>138.6</v>
      </c>
      <c r="HT41">
        <v>105.6</v>
      </c>
      <c r="HU41">
        <v>90.2</v>
      </c>
      <c r="HV41">
        <v>101.9</v>
      </c>
      <c r="HW41">
        <v>120</v>
      </c>
      <c r="HY41">
        <v>110.7</v>
      </c>
      <c r="HZ41">
        <v>96.9</v>
      </c>
      <c r="IA41">
        <v>116.3</v>
      </c>
      <c r="IB41">
        <v>101.7</v>
      </c>
      <c r="IC41">
        <v>125.5</v>
      </c>
      <c r="IE41">
        <v>85.9</v>
      </c>
      <c r="IF41">
        <v>155.9</v>
      </c>
      <c r="IH41">
        <v>115.7</v>
      </c>
      <c r="IJ41">
        <v>100.8</v>
      </c>
      <c r="IK41">
        <v>116.6</v>
      </c>
      <c r="IL41">
        <v>96.3</v>
      </c>
      <c r="IM41">
        <v>100</v>
      </c>
      <c r="IN41">
        <v>96.8</v>
      </c>
      <c r="IO41">
        <v>91.4</v>
      </c>
      <c r="IP41">
        <v>100.2</v>
      </c>
      <c r="IQ41">
        <v>93.5</v>
      </c>
      <c r="IT41">
        <v>86.7</v>
      </c>
      <c r="IU41">
        <v>86.4</v>
      </c>
      <c r="IV41">
        <v>85</v>
      </c>
      <c r="IX41">
        <v>86</v>
      </c>
      <c r="IY41">
        <v>89.4</v>
      </c>
      <c r="JA41">
        <v>86.1</v>
      </c>
      <c r="JB41">
        <v>89.4</v>
      </c>
      <c r="JC41">
        <v>88.2</v>
      </c>
      <c r="JD41">
        <v>98.9</v>
      </c>
      <c r="JE41">
        <v>89.9</v>
      </c>
      <c r="JH41">
        <v>90.9</v>
      </c>
      <c r="JI41">
        <v>90.9</v>
      </c>
      <c r="JK41">
        <v>74.599999999999994</v>
      </c>
      <c r="JL41">
        <v>88.2</v>
      </c>
      <c r="JM41">
        <v>102</v>
      </c>
      <c r="JO41">
        <v>88.5</v>
      </c>
      <c r="JQ41">
        <v>87.8</v>
      </c>
      <c r="JS41">
        <v>93</v>
      </c>
      <c r="JT41">
        <v>93</v>
      </c>
      <c r="JU41">
        <v>92.9</v>
      </c>
      <c r="JV41">
        <v>101.1</v>
      </c>
      <c r="JW41">
        <v>103.2</v>
      </c>
      <c r="JX41">
        <v>105.3</v>
      </c>
      <c r="JY41">
        <v>105.3</v>
      </c>
      <c r="JZ41">
        <v>96.6</v>
      </c>
      <c r="KA41">
        <v>97</v>
      </c>
      <c r="KB41">
        <v>96.3</v>
      </c>
      <c r="KC41">
        <v>103</v>
      </c>
      <c r="KD41">
        <v>103</v>
      </c>
      <c r="KE41">
        <v>89</v>
      </c>
      <c r="KF41">
        <v>98.4</v>
      </c>
      <c r="KG41">
        <v>90.1</v>
      </c>
      <c r="KH41">
        <v>188.1</v>
      </c>
      <c r="KI41">
        <v>99.2</v>
      </c>
      <c r="KL41">
        <v>69.5</v>
      </c>
      <c r="KM41">
        <v>85.7</v>
      </c>
      <c r="KN41">
        <v>86.7</v>
      </c>
      <c r="KO41">
        <v>73.3</v>
      </c>
      <c r="KP41">
        <v>81.400000000000006</v>
      </c>
      <c r="KS41">
        <v>91.1</v>
      </c>
      <c r="KT41">
        <v>81.8</v>
      </c>
      <c r="KU41">
        <v>95.4</v>
      </c>
      <c r="KX41">
        <v>88.2</v>
      </c>
      <c r="KY41">
        <v>81.7</v>
      </c>
      <c r="KZ41">
        <v>81.8</v>
      </c>
      <c r="LA41">
        <v>81.8</v>
      </c>
      <c r="LB41">
        <v>82.9</v>
      </c>
      <c r="LC41">
        <v>91.5</v>
      </c>
      <c r="LD41">
        <v>72.3</v>
      </c>
      <c r="LE41">
        <v>61.6</v>
      </c>
      <c r="LF41">
        <v>61.6</v>
      </c>
      <c r="LG41">
        <v>90.4</v>
      </c>
      <c r="LH41">
        <v>93.4</v>
      </c>
      <c r="LI41">
        <v>86</v>
      </c>
      <c r="LJ41">
        <v>117.1</v>
      </c>
      <c r="LK41">
        <v>180</v>
      </c>
      <c r="LL41">
        <v>305.3</v>
      </c>
      <c r="LM41">
        <v>373.4</v>
      </c>
      <c r="LN41">
        <v>154.69999999999999</v>
      </c>
      <c r="LO41">
        <v>153.4</v>
      </c>
      <c r="LP41">
        <v>544.9</v>
      </c>
      <c r="LQ41">
        <v>338.3</v>
      </c>
      <c r="LR41">
        <v>272.7</v>
      </c>
      <c r="LT41">
        <v>134.80000000000001</v>
      </c>
      <c r="LU41">
        <v>162.69999999999999</v>
      </c>
      <c r="LV41">
        <v>107.3</v>
      </c>
      <c r="LX41">
        <v>89.2</v>
      </c>
      <c r="LY41">
        <v>81.8</v>
      </c>
      <c r="MA41">
        <v>99.6</v>
      </c>
      <c r="MB41">
        <v>128.19999999999999</v>
      </c>
      <c r="MC41">
        <v>311.8</v>
      </c>
      <c r="MD41">
        <v>121.9</v>
      </c>
      <c r="ME41">
        <v>91.1</v>
      </c>
      <c r="MG41">
        <v>95.3</v>
      </c>
      <c r="MH41">
        <v>88.2</v>
      </c>
      <c r="MI41">
        <v>94.9</v>
      </c>
      <c r="MJ41">
        <v>93.3</v>
      </c>
      <c r="MK41">
        <v>111.3</v>
      </c>
      <c r="MM41">
        <v>84.2</v>
      </c>
      <c r="MN41">
        <v>90.6</v>
      </c>
      <c r="MO41">
        <v>89.4</v>
      </c>
      <c r="MP41">
        <v>93.4</v>
      </c>
      <c r="MQ41">
        <v>79.2</v>
      </c>
      <c r="MS41">
        <v>83.3</v>
      </c>
      <c r="MU41">
        <v>86.4</v>
      </c>
      <c r="MV41">
        <v>85.7</v>
      </c>
      <c r="MW41">
        <v>73.8</v>
      </c>
      <c r="MX41">
        <v>86.1</v>
      </c>
      <c r="NB41">
        <v>103</v>
      </c>
      <c r="NC41">
        <v>96.7</v>
      </c>
      <c r="ND41">
        <v>109.5</v>
      </c>
      <c r="NE41">
        <v>88.6</v>
      </c>
      <c r="NF41">
        <v>109.9</v>
      </c>
      <c r="NG41">
        <v>115.6</v>
      </c>
      <c r="NH41">
        <v>106.8</v>
      </c>
      <c r="NI41">
        <v>101.2</v>
      </c>
      <c r="NJ41">
        <v>103.3</v>
      </c>
      <c r="NL41">
        <v>94.5</v>
      </c>
      <c r="NM41">
        <v>127.9</v>
      </c>
      <c r="NN41">
        <v>109.2</v>
      </c>
      <c r="NQ41">
        <v>94.4</v>
      </c>
      <c r="NR41">
        <v>88.4</v>
      </c>
      <c r="NS41">
        <v>88.4</v>
      </c>
      <c r="NT41">
        <v>96.4</v>
      </c>
      <c r="NU41">
        <v>120.8</v>
      </c>
      <c r="NW41">
        <v>95.4</v>
      </c>
      <c r="NX41">
        <v>95.4</v>
      </c>
      <c r="NY41">
        <v>92</v>
      </c>
      <c r="NZ41">
        <v>93</v>
      </c>
      <c r="OA41">
        <v>95.9</v>
      </c>
      <c r="OB41">
        <v>96.6</v>
      </c>
      <c r="OC41">
        <v>94.1</v>
      </c>
      <c r="OD41">
        <v>92.9</v>
      </c>
      <c r="OE41">
        <v>83.7</v>
      </c>
      <c r="OF41">
        <v>69.900000000000006</v>
      </c>
      <c r="OH41">
        <v>78.7</v>
      </c>
      <c r="OJ41">
        <v>85.3</v>
      </c>
      <c r="OK41">
        <v>83.9</v>
      </c>
      <c r="OL41">
        <v>77.3</v>
      </c>
      <c r="OM41">
        <v>93.6</v>
      </c>
      <c r="ON41">
        <v>98.7</v>
      </c>
      <c r="OO41">
        <v>84.2</v>
      </c>
      <c r="OP41">
        <v>87.8</v>
      </c>
      <c r="OQ41">
        <v>95.9</v>
      </c>
      <c r="OS41">
        <v>83.1</v>
      </c>
      <c r="OU41">
        <v>82.4</v>
      </c>
      <c r="OV41">
        <v>86.8</v>
      </c>
      <c r="OW41">
        <v>84.9</v>
      </c>
      <c r="OX41">
        <v>86.9</v>
      </c>
      <c r="OY41">
        <v>80.099999999999994</v>
      </c>
      <c r="OZ41">
        <v>78.3</v>
      </c>
      <c r="PA41">
        <v>123.8</v>
      </c>
      <c r="PB41">
        <v>84.5</v>
      </c>
      <c r="PC41">
        <v>84.5</v>
      </c>
      <c r="PD41">
        <v>159.1</v>
      </c>
      <c r="PG41">
        <v>104.3</v>
      </c>
      <c r="PH41">
        <v>91.7</v>
      </c>
      <c r="PI41">
        <v>92.3</v>
      </c>
      <c r="PJ41">
        <v>94.2</v>
      </c>
      <c r="PK41">
        <v>109.5</v>
      </c>
      <c r="PL41">
        <v>92.5</v>
      </c>
      <c r="PM41">
        <v>93.9</v>
      </c>
      <c r="PN41">
        <v>87.8</v>
      </c>
      <c r="PO41">
        <v>90.8</v>
      </c>
      <c r="PP41">
        <v>92.5</v>
      </c>
      <c r="PQ41">
        <v>87.7</v>
      </c>
      <c r="PR41">
        <v>96.4</v>
      </c>
      <c r="PS41">
        <v>90.8</v>
      </c>
      <c r="PT41">
        <v>88.3</v>
      </c>
      <c r="PU41">
        <v>89.8</v>
      </c>
      <c r="PV41">
        <v>97.5</v>
      </c>
      <c r="PW41">
        <v>96.8</v>
      </c>
      <c r="PX41">
        <v>98.3</v>
      </c>
      <c r="PY41">
        <v>90.1</v>
      </c>
      <c r="PZ41">
        <v>88.7</v>
      </c>
      <c r="QA41">
        <v>91.5</v>
      </c>
      <c r="QB41">
        <v>83</v>
      </c>
      <c r="QC41">
        <v>93.4</v>
      </c>
      <c r="QD41">
        <v>93.5</v>
      </c>
      <c r="QE41">
        <v>92.6</v>
      </c>
      <c r="QF41">
        <v>80.3</v>
      </c>
      <c r="QG41">
        <v>114</v>
      </c>
      <c r="QH41">
        <v>79.3</v>
      </c>
      <c r="QI41">
        <v>79.3</v>
      </c>
      <c r="QJ41">
        <v>87.4</v>
      </c>
      <c r="QK41">
        <v>94.4</v>
      </c>
      <c r="QL41">
        <v>88.1</v>
      </c>
      <c r="QM41">
        <v>93.1</v>
      </c>
      <c r="QN41">
        <v>85.2</v>
      </c>
      <c r="QO41">
        <v>87</v>
      </c>
      <c r="QQ41">
        <v>103</v>
      </c>
      <c r="QR41">
        <v>105.5</v>
      </c>
      <c r="QS41">
        <v>136.4</v>
      </c>
      <c r="QT41">
        <v>92</v>
      </c>
      <c r="QU41">
        <v>100.7</v>
      </c>
      <c r="QV41">
        <v>95.2</v>
      </c>
      <c r="QW41">
        <v>105</v>
      </c>
      <c r="QX41">
        <v>97.5</v>
      </c>
      <c r="QY41">
        <v>83</v>
      </c>
      <c r="QZ41">
        <v>84.8</v>
      </c>
      <c r="RA41">
        <v>80.599999999999994</v>
      </c>
      <c r="RB41">
        <v>81</v>
      </c>
      <c r="RC41">
        <v>85</v>
      </c>
      <c r="RD41">
        <v>97.3</v>
      </c>
      <c r="RE41">
        <v>108.1</v>
      </c>
      <c r="RF41">
        <v>109.8</v>
      </c>
      <c r="RG41">
        <v>122</v>
      </c>
      <c r="RH41">
        <v>112.2</v>
      </c>
      <c r="RI41">
        <v>96.4</v>
      </c>
      <c r="RJ41">
        <v>124.4</v>
      </c>
      <c r="RK41">
        <v>96.2</v>
      </c>
      <c r="RL41">
        <v>105.7</v>
      </c>
      <c r="RM41">
        <v>103.6</v>
      </c>
      <c r="RN41">
        <v>126.6</v>
      </c>
      <c r="RO41">
        <v>112.1</v>
      </c>
      <c r="RS41">
        <v>108.6</v>
      </c>
      <c r="RT41">
        <v>116.3</v>
      </c>
      <c r="RV41">
        <v>92.4</v>
      </c>
      <c r="RW41">
        <v>118.8</v>
      </c>
      <c r="RX41">
        <v>127.2</v>
      </c>
      <c r="SA41">
        <v>110.7</v>
      </c>
      <c r="SB41">
        <v>91.1</v>
      </c>
      <c r="SC41">
        <v>114.4</v>
      </c>
      <c r="SF41">
        <v>88.9</v>
      </c>
      <c r="SG41">
        <v>92.3</v>
      </c>
      <c r="SH41">
        <v>95.6</v>
      </c>
      <c r="SI41">
        <v>92.2</v>
      </c>
      <c r="SK41">
        <v>99</v>
      </c>
      <c r="SL41">
        <v>90.4</v>
      </c>
      <c r="SM41">
        <v>95.3</v>
      </c>
      <c r="SN41">
        <v>95.1</v>
      </c>
      <c r="SO41">
        <v>96.6</v>
      </c>
      <c r="SP41">
        <v>95.4</v>
      </c>
      <c r="SQ41">
        <v>94.7</v>
      </c>
      <c r="SR41">
        <v>95.2</v>
      </c>
      <c r="SS41">
        <v>94.3</v>
      </c>
      <c r="ST41">
        <v>93.9</v>
      </c>
      <c r="SU41">
        <v>95.4</v>
      </c>
      <c r="SV41">
        <v>94.7</v>
      </c>
      <c r="SX41">
        <v>93.3</v>
      </c>
      <c r="SZ41">
        <v>83.5</v>
      </c>
      <c r="TA41">
        <v>96.3</v>
      </c>
      <c r="TB41">
        <v>73.7</v>
      </c>
      <c r="TC41">
        <v>71.599999999999994</v>
      </c>
      <c r="TD41">
        <v>81.2</v>
      </c>
      <c r="TE41">
        <v>91.8</v>
      </c>
      <c r="TF41">
        <v>95.5</v>
      </c>
      <c r="TG41">
        <v>97.2</v>
      </c>
      <c r="TH41">
        <v>94</v>
      </c>
      <c r="TI41">
        <v>93.9</v>
      </c>
      <c r="TJ41">
        <v>95.6</v>
      </c>
      <c r="TK41">
        <v>71.3</v>
      </c>
      <c r="TL41">
        <v>68.900000000000006</v>
      </c>
      <c r="TN41">
        <v>90.9</v>
      </c>
      <c r="TO41">
        <v>83.5</v>
      </c>
      <c r="TP41">
        <v>73.8</v>
      </c>
      <c r="TT41">
        <v>90.5</v>
      </c>
      <c r="TU41">
        <v>88</v>
      </c>
      <c r="TV41">
        <v>82.4</v>
      </c>
      <c r="TW41">
        <v>102.5</v>
      </c>
      <c r="TX41">
        <v>99.9</v>
      </c>
      <c r="TY41">
        <v>98.4</v>
      </c>
      <c r="TZ41">
        <v>98.7</v>
      </c>
      <c r="UC41">
        <v>116.7</v>
      </c>
      <c r="UD41">
        <v>90.5</v>
      </c>
      <c r="UE41">
        <v>124.7</v>
      </c>
      <c r="UF41">
        <v>79.400000000000006</v>
      </c>
      <c r="UG41">
        <v>95.2</v>
      </c>
      <c r="UH41">
        <v>101.8</v>
      </c>
      <c r="UI41">
        <v>132.9</v>
      </c>
      <c r="UJ41">
        <v>91</v>
      </c>
      <c r="UL41">
        <v>112.1</v>
      </c>
      <c r="UM41">
        <v>125.7</v>
      </c>
      <c r="UN41">
        <v>95.3</v>
      </c>
      <c r="UO41">
        <v>100.2</v>
      </c>
      <c r="UP41">
        <v>90.8</v>
      </c>
      <c r="UQ41">
        <v>365.5</v>
      </c>
      <c r="UR41">
        <v>118.8</v>
      </c>
      <c r="US41">
        <v>102.1</v>
      </c>
      <c r="UT41">
        <v>96.4</v>
      </c>
      <c r="UU41">
        <v>101</v>
      </c>
      <c r="UW41">
        <v>81.099999999999994</v>
      </c>
      <c r="UX41">
        <v>85.2</v>
      </c>
      <c r="UY41">
        <v>79.2</v>
      </c>
      <c r="UZ41">
        <v>87.4</v>
      </c>
      <c r="VB41">
        <v>91.4</v>
      </c>
      <c r="VD41">
        <v>106.5</v>
      </c>
      <c r="VE41">
        <v>475.2</v>
      </c>
      <c r="VH41">
        <v>928</v>
      </c>
      <c r="VI41">
        <v>1587.4</v>
      </c>
      <c r="VK41">
        <v>274.10000000000002</v>
      </c>
      <c r="VL41">
        <v>864.3</v>
      </c>
      <c r="VM41">
        <v>85.1</v>
      </c>
      <c r="VN41">
        <v>89.6</v>
      </c>
      <c r="VO41">
        <v>96.3</v>
      </c>
      <c r="VP41">
        <v>86.6</v>
      </c>
      <c r="VQ41">
        <v>102.6</v>
      </c>
      <c r="VR41">
        <v>72.400000000000006</v>
      </c>
      <c r="VT41">
        <v>106.2</v>
      </c>
      <c r="VU41">
        <v>126.3</v>
      </c>
      <c r="VV41">
        <v>78.8</v>
      </c>
      <c r="VW41">
        <v>108.5</v>
      </c>
      <c r="VX41">
        <v>81.7</v>
      </c>
      <c r="VY41">
        <v>125</v>
      </c>
      <c r="VZ41">
        <v>114.1</v>
      </c>
      <c r="WB41">
        <v>114.9</v>
      </c>
      <c r="WC41">
        <v>267</v>
      </c>
      <c r="WE41">
        <v>102.7</v>
      </c>
      <c r="WF41">
        <v>87</v>
      </c>
      <c r="WG41">
        <v>97</v>
      </c>
      <c r="WH41">
        <v>84.9</v>
      </c>
      <c r="WI41">
        <v>84.1</v>
      </c>
      <c r="WJ41">
        <v>87.2</v>
      </c>
      <c r="WK41">
        <v>81.3</v>
      </c>
      <c r="WL41">
        <v>93.9</v>
      </c>
      <c r="WN41">
        <v>99.3</v>
      </c>
      <c r="WP41">
        <v>88.7</v>
      </c>
      <c r="WQ41">
        <v>89.8</v>
      </c>
      <c r="WT41">
        <v>100.1</v>
      </c>
      <c r="WV41">
        <v>91.7</v>
      </c>
      <c r="WX41">
        <v>88.4</v>
      </c>
      <c r="WY41">
        <v>92</v>
      </c>
      <c r="WZ41">
        <v>91.5</v>
      </c>
      <c r="XA41">
        <v>92.4</v>
      </c>
      <c r="XB41">
        <v>72.3</v>
      </c>
      <c r="XD41">
        <v>72.400000000000006</v>
      </c>
      <c r="XE41">
        <v>86.1</v>
      </c>
      <c r="XF41">
        <v>85.9</v>
      </c>
      <c r="XG41">
        <v>86.8</v>
      </c>
      <c r="XH41">
        <v>93.1</v>
      </c>
      <c r="XI41">
        <v>106.2</v>
      </c>
      <c r="XJ41">
        <v>106.2</v>
      </c>
      <c r="XK41">
        <v>64.900000000000006</v>
      </c>
      <c r="XL41">
        <v>64.900000000000006</v>
      </c>
      <c r="XM41">
        <v>87.5</v>
      </c>
      <c r="XN41">
        <v>79.599999999999994</v>
      </c>
      <c r="XO41">
        <v>91.3</v>
      </c>
      <c r="XP41">
        <v>92.6</v>
      </c>
      <c r="XR41">
        <v>85.5</v>
      </c>
      <c r="XT41">
        <v>94.8</v>
      </c>
      <c r="XU41">
        <v>96.6</v>
      </c>
      <c r="XV41">
        <v>97.9</v>
      </c>
      <c r="XW41">
        <v>105.1</v>
      </c>
      <c r="XY41">
        <v>90.7</v>
      </c>
      <c r="XZ41">
        <v>93.9</v>
      </c>
      <c r="YA41">
        <v>98</v>
      </c>
      <c r="YC41">
        <v>78.900000000000006</v>
      </c>
      <c r="YD41">
        <v>89.7</v>
      </c>
      <c r="YE41">
        <v>97.2</v>
      </c>
      <c r="YF41">
        <v>115.8</v>
      </c>
      <c r="YG41">
        <v>87.8</v>
      </c>
      <c r="YH41">
        <v>95.5</v>
      </c>
      <c r="YJ41">
        <v>90.6</v>
      </c>
      <c r="YK41">
        <v>69.099999999999994</v>
      </c>
      <c r="YL41">
        <v>82.2</v>
      </c>
      <c r="YM41">
        <v>98.6</v>
      </c>
      <c r="YO41">
        <v>172.3</v>
      </c>
      <c r="YP41">
        <v>100.9</v>
      </c>
      <c r="YR41">
        <v>96</v>
      </c>
      <c r="YT41">
        <v>88.9</v>
      </c>
      <c r="YU41">
        <v>95.1</v>
      </c>
      <c r="YW41">
        <v>96.9</v>
      </c>
      <c r="YX41">
        <v>91.7</v>
      </c>
      <c r="YY41">
        <v>91.7</v>
      </c>
      <c r="YZ41">
        <v>93.8</v>
      </c>
      <c r="ZB41">
        <v>102.6</v>
      </c>
      <c r="ZC41">
        <v>163.5</v>
      </c>
      <c r="ZD41">
        <v>220.6</v>
      </c>
      <c r="ZE41">
        <v>117.6</v>
      </c>
      <c r="ZF41">
        <v>100.2</v>
      </c>
      <c r="ZG41">
        <v>112.1</v>
      </c>
      <c r="ZK41">
        <v>90</v>
      </c>
      <c r="ZL41">
        <v>86.9</v>
      </c>
      <c r="ZM41">
        <v>115.6</v>
      </c>
      <c r="ZN41">
        <v>100</v>
      </c>
      <c r="ZO41">
        <v>99.2</v>
      </c>
      <c r="ZP41">
        <v>102.8</v>
      </c>
      <c r="ZQ41">
        <v>96.6</v>
      </c>
      <c r="ZR41">
        <v>100.4</v>
      </c>
      <c r="ZT41">
        <v>96.5</v>
      </c>
      <c r="ZU41">
        <v>97.3</v>
      </c>
      <c r="ZV41">
        <v>93.2</v>
      </c>
      <c r="ZW41">
        <v>102.2</v>
      </c>
      <c r="ZX41">
        <v>121.9</v>
      </c>
      <c r="ZY41">
        <v>91.7</v>
      </c>
      <c r="ZZ41">
        <v>95.8</v>
      </c>
      <c r="AAA41">
        <v>114.7</v>
      </c>
      <c r="AAC41">
        <v>74.2</v>
      </c>
      <c r="AAD41">
        <v>72.599999999999994</v>
      </c>
      <c r="AAE41">
        <v>101.6</v>
      </c>
      <c r="AAF41">
        <v>52.5</v>
      </c>
      <c r="AAG41">
        <v>62.7</v>
      </c>
      <c r="AAH41">
        <v>109.5</v>
      </c>
      <c r="AAI41">
        <v>75.599999999999994</v>
      </c>
      <c r="AAJ41">
        <v>55.3</v>
      </c>
      <c r="AAK41">
        <v>97.6</v>
      </c>
      <c r="AAL41">
        <v>94.1</v>
      </c>
      <c r="AAM41">
        <v>92.7</v>
      </c>
      <c r="AAN41">
        <v>96.9</v>
      </c>
      <c r="AAO41">
        <v>54.6</v>
      </c>
      <c r="AAP41">
        <v>53.7</v>
      </c>
      <c r="AAQ41">
        <v>56.4</v>
      </c>
      <c r="AAR41">
        <v>94.9</v>
      </c>
      <c r="AAU41">
        <v>249</v>
      </c>
      <c r="AAW41">
        <v>73.400000000000006</v>
      </c>
      <c r="AAX41">
        <v>89.1</v>
      </c>
      <c r="AAY41">
        <v>93.7</v>
      </c>
      <c r="AAZ41">
        <v>95.3</v>
      </c>
      <c r="ABB41">
        <v>79.2</v>
      </c>
      <c r="ABC41">
        <v>76.3</v>
      </c>
      <c r="ABD41">
        <v>85.3</v>
      </c>
      <c r="ABE41">
        <v>72.2</v>
      </c>
      <c r="ABF41">
        <v>96.1</v>
      </c>
      <c r="ABG41">
        <v>88.2</v>
      </c>
      <c r="ABH41">
        <v>94.2</v>
      </c>
      <c r="ABI41">
        <v>96.2</v>
      </c>
      <c r="ABJ41">
        <v>104</v>
      </c>
      <c r="ABK41">
        <v>94.9</v>
      </c>
      <c r="ABL41">
        <v>80.5</v>
      </c>
      <c r="ABM41">
        <v>97.8</v>
      </c>
      <c r="ABN41">
        <v>101.1</v>
      </c>
      <c r="ABO41">
        <v>106.5</v>
      </c>
      <c r="ABP41">
        <v>105.6</v>
      </c>
    </row>
    <row r="42" spans="1:745">
      <c r="A42">
        <v>2005</v>
      </c>
      <c r="B42">
        <v>95.2</v>
      </c>
      <c r="C42">
        <v>85.7</v>
      </c>
      <c r="D42">
        <v>92.8</v>
      </c>
      <c r="E42">
        <v>102</v>
      </c>
      <c r="F42">
        <v>105.4</v>
      </c>
      <c r="G42">
        <v>100.2</v>
      </c>
      <c r="H42">
        <v>85.6</v>
      </c>
      <c r="I42">
        <v>88</v>
      </c>
      <c r="J42">
        <v>83.3</v>
      </c>
      <c r="K42">
        <v>85.5</v>
      </c>
      <c r="L42">
        <v>86.2</v>
      </c>
      <c r="M42">
        <v>90</v>
      </c>
      <c r="N42">
        <v>87.4</v>
      </c>
      <c r="O42">
        <v>85.6</v>
      </c>
      <c r="P42">
        <v>77</v>
      </c>
      <c r="Q42">
        <v>95.5</v>
      </c>
      <c r="R42">
        <v>103.4</v>
      </c>
      <c r="S42">
        <v>69.900000000000006</v>
      </c>
      <c r="T42">
        <v>119.3</v>
      </c>
      <c r="V42">
        <v>74.7</v>
      </c>
      <c r="W42">
        <v>74.7</v>
      </c>
      <c r="X42">
        <v>86.1</v>
      </c>
      <c r="Y42">
        <v>93.3</v>
      </c>
      <c r="Z42">
        <v>114.7</v>
      </c>
      <c r="AA42">
        <v>85</v>
      </c>
      <c r="AB42">
        <v>62.1</v>
      </c>
      <c r="AC42">
        <v>90.5</v>
      </c>
      <c r="AD42">
        <v>50.4</v>
      </c>
      <c r="AE42">
        <v>69.5</v>
      </c>
      <c r="AF42">
        <v>79.8</v>
      </c>
      <c r="AG42">
        <v>57</v>
      </c>
      <c r="AH42">
        <v>67.8</v>
      </c>
      <c r="AI42">
        <v>79.400000000000006</v>
      </c>
      <c r="AJ42">
        <v>81</v>
      </c>
      <c r="AK42">
        <v>73.400000000000006</v>
      </c>
      <c r="AL42">
        <v>71.5</v>
      </c>
      <c r="AM42">
        <v>72.7</v>
      </c>
      <c r="AN42">
        <v>58</v>
      </c>
      <c r="AO42">
        <v>99.6</v>
      </c>
      <c r="AP42">
        <v>67.3</v>
      </c>
      <c r="AQ42">
        <v>75.5</v>
      </c>
      <c r="AR42">
        <v>92.3</v>
      </c>
      <c r="AS42">
        <v>66</v>
      </c>
      <c r="AU42">
        <v>82.2</v>
      </c>
      <c r="AV42">
        <v>77.900000000000006</v>
      </c>
      <c r="AW42">
        <v>82.4</v>
      </c>
      <c r="AX42">
        <v>85.8</v>
      </c>
      <c r="AY42">
        <v>72.599999999999994</v>
      </c>
      <c r="AZ42">
        <v>75</v>
      </c>
      <c r="BA42">
        <v>70.7</v>
      </c>
      <c r="BB42">
        <v>74.2</v>
      </c>
      <c r="BC42">
        <v>76.900000000000006</v>
      </c>
      <c r="BD42">
        <v>81.7</v>
      </c>
      <c r="BE42">
        <v>77.900000000000006</v>
      </c>
      <c r="BF42">
        <v>75</v>
      </c>
      <c r="BG42">
        <v>64.8</v>
      </c>
      <c r="BH42">
        <v>78.3</v>
      </c>
      <c r="BJ42">
        <v>83.8</v>
      </c>
      <c r="BK42">
        <v>99.3</v>
      </c>
      <c r="BL42">
        <v>105.2</v>
      </c>
      <c r="BM42">
        <v>96.7</v>
      </c>
      <c r="BN42">
        <v>93.6</v>
      </c>
      <c r="BP42">
        <v>86.8</v>
      </c>
      <c r="BQ42">
        <v>87.2</v>
      </c>
      <c r="BR42">
        <v>86.8</v>
      </c>
      <c r="BS42">
        <v>91.2</v>
      </c>
      <c r="BT42">
        <v>88.1</v>
      </c>
      <c r="BU42">
        <v>94.5</v>
      </c>
      <c r="BV42">
        <v>95.1</v>
      </c>
      <c r="BW42">
        <v>71.599999999999994</v>
      </c>
      <c r="BX42">
        <v>68.7</v>
      </c>
      <c r="BY42">
        <v>80.2</v>
      </c>
      <c r="BZ42">
        <v>86.2</v>
      </c>
      <c r="CA42">
        <v>86.2</v>
      </c>
      <c r="CB42">
        <v>82.3</v>
      </c>
      <c r="CC42">
        <v>79.3</v>
      </c>
      <c r="CD42">
        <v>84</v>
      </c>
      <c r="CE42">
        <v>69.2</v>
      </c>
      <c r="CF42">
        <v>71.400000000000006</v>
      </c>
      <c r="CG42">
        <v>83.2</v>
      </c>
      <c r="CH42">
        <v>88.2</v>
      </c>
      <c r="CI42">
        <v>97.6</v>
      </c>
      <c r="CJ42">
        <v>103.9</v>
      </c>
      <c r="CK42">
        <v>82</v>
      </c>
      <c r="CL42">
        <v>71.2</v>
      </c>
      <c r="CM42">
        <v>72.3</v>
      </c>
      <c r="CN42">
        <v>57.1</v>
      </c>
      <c r="CO42">
        <v>86.5</v>
      </c>
      <c r="CP42">
        <v>73.900000000000006</v>
      </c>
      <c r="CQ42">
        <v>70.5</v>
      </c>
      <c r="CR42">
        <v>85.9</v>
      </c>
      <c r="CS42">
        <v>69.099999999999994</v>
      </c>
      <c r="CT42">
        <v>68.900000000000006</v>
      </c>
      <c r="CV42">
        <v>73.5</v>
      </c>
      <c r="CW42">
        <v>71.3</v>
      </c>
      <c r="CX42">
        <v>62.7</v>
      </c>
      <c r="CY42">
        <v>71.400000000000006</v>
      </c>
      <c r="CZ42">
        <v>65</v>
      </c>
      <c r="DA42">
        <v>75.900000000000006</v>
      </c>
      <c r="DB42">
        <v>65.8</v>
      </c>
      <c r="DC42">
        <v>100.3</v>
      </c>
      <c r="DD42">
        <v>113.9</v>
      </c>
      <c r="DE42">
        <v>114.6</v>
      </c>
      <c r="DG42">
        <v>87.4</v>
      </c>
      <c r="DH42">
        <v>71.8</v>
      </c>
      <c r="DI42">
        <v>75.900000000000006</v>
      </c>
      <c r="DJ42">
        <v>83.4</v>
      </c>
      <c r="DK42">
        <v>60.7</v>
      </c>
      <c r="DL42">
        <v>72.2</v>
      </c>
      <c r="DM42">
        <v>48.6</v>
      </c>
      <c r="DN42">
        <v>100.7</v>
      </c>
      <c r="DO42">
        <v>95.7</v>
      </c>
      <c r="DP42">
        <v>92.9</v>
      </c>
      <c r="DQ42">
        <v>119.4</v>
      </c>
      <c r="DR42">
        <v>87.6</v>
      </c>
      <c r="DS42">
        <v>99.7</v>
      </c>
      <c r="DT42">
        <v>71.099999999999994</v>
      </c>
      <c r="DU42">
        <v>85.5</v>
      </c>
      <c r="DV42">
        <v>86.5</v>
      </c>
      <c r="DW42">
        <v>104.9</v>
      </c>
      <c r="DX42">
        <v>83.5</v>
      </c>
      <c r="DY42">
        <v>92.7</v>
      </c>
      <c r="DZ42">
        <v>69.400000000000006</v>
      </c>
      <c r="EA42">
        <v>68.7</v>
      </c>
      <c r="EB42">
        <v>75.400000000000006</v>
      </c>
      <c r="EC42">
        <v>61</v>
      </c>
      <c r="ED42">
        <v>76.7</v>
      </c>
      <c r="EF42">
        <v>48.1</v>
      </c>
      <c r="EG42">
        <v>62.1</v>
      </c>
      <c r="EH42">
        <v>54.6</v>
      </c>
      <c r="EI42">
        <v>72.099999999999994</v>
      </c>
      <c r="EJ42">
        <v>60</v>
      </c>
      <c r="EK42">
        <v>66.5</v>
      </c>
      <c r="EL42">
        <v>81.2</v>
      </c>
      <c r="EM42">
        <v>74.599999999999994</v>
      </c>
      <c r="EN42">
        <v>77.599999999999994</v>
      </c>
      <c r="EO42">
        <v>78.099999999999994</v>
      </c>
      <c r="EP42">
        <v>87.2</v>
      </c>
      <c r="ER42">
        <v>81.3</v>
      </c>
      <c r="ET42">
        <v>96.7</v>
      </c>
      <c r="EU42">
        <v>105.5</v>
      </c>
      <c r="EV42">
        <v>119</v>
      </c>
      <c r="EW42">
        <v>68.900000000000006</v>
      </c>
      <c r="EX42">
        <v>95.7</v>
      </c>
      <c r="EY42">
        <v>94</v>
      </c>
      <c r="EZ42">
        <v>100.1</v>
      </c>
      <c r="FA42">
        <v>96.7</v>
      </c>
      <c r="FB42">
        <v>85.7</v>
      </c>
      <c r="FC42">
        <v>98.7</v>
      </c>
      <c r="FD42">
        <v>111.1</v>
      </c>
      <c r="FE42">
        <v>124.9</v>
      </c>
      <c r="FF42">
        <v>96.7</v>
      </c>
      <c r="FH42">
        <v>87.4</v>
      </c>
      <c r="FI42">
        <v>89.7</v>
      </c>
      <c r="FJ42">
        <v>72.7</v>
      </c>
      <c r="FK42">
        <v>103</v>
      </c>
      <c r="FL42">
        <v>96.2</v>
      </c>
      <c r="FM42">
        <v>96.6</v>
      </c>
      <c r="FO42">
        <v>106.5</v>
      </c>
      <c r="FQ42">
        <v>80.400000000000006</v>
      </c>
      <c r="FR42">
        <v>83.4</v>
      </c>
      <c r="FS42">
        <v>75.900000000000006</v>
      </c>
      <c r="FT42">
        <v>76.900000000000006</v>
      </c>
      <c r="FU42">
        <v>88.7</v>
      </c>
      <c r="FV42">
        <v>71.599999999999994</v>
      </c>
      <c r="FW42">
        <v>92.6</v>
      </c>
      <c r="FX42">
        <v>85.8</v>
      </c>
      <c r="FY42">
        <v>82.5</v>
      </c>
      <c r="GA42">
        <v>97.6</v>
      </c>
      <c r="GB42">
        <v>85.9</v>
      </c>
      <c r="GC42">
        <v>94.4</v>
      </c>
      <c r="GD42">
        <v>74.900000000000006</v>
      </c>
      <c r="GE42">
        <v>62.5</v>
      </c>
      <c r="GF42">
        <v>83.4</v>
      </c>
      <c r="GG42">
        <v>72.400000000000006</v>
      </c>
      <c r="GH42">
        <v>98.3</v>
      </c>
      <c r="GI42">
        <v>85.2</v>
      </c>
      <c r="GJ42">
        <v>90.3</v>
      </c>
      <c r="GK42">
        <v>86</v>
      </c>
      <c r="GM42">
        <v>86.1</v>
      </c>
      <c r="GO42">
        <v>93.2</v>
      </c>
      <c r="GP42">
        <v>80.8</v>
      </c>
      <c r="GQ42">
        <v>116.8</v>
      </c>
      <c r="GR42">
        <v>111.6</v>
      </c>
      <c r="GU42">
        <v>82.1</v>
      </c>
      <c r="GV42">
        <v>49.1</v>
      </c>
      <c r="GW42">
        <v>84.3</v>
      </c>
      <c r="GX42">
        <v>89.2</v>
      </c>
      <c r="GY42">
        <v>90.6</v>
      </c>
      <c r="GZ42">
        <v>84.5</v>
      </c>
      <c r="HA42">
        <v>92.4</v>
      </c>
      <c r="HD42">
        <v>95.1</v>
      </c>
      <c r="HE42">
        <v>88.7</v>
      </c>
      <c r="HG42">
        <v>104.6</v>
      </c>
      <c r="HH42">
        <v>99.6</v>
      </c>
      <c r="HI42">
        <v>80.5</v>
      </c>
      <c r="HO42">
        <v>108.6</v>
      </c>
      <c r="HP42">
        <v>113.3</v>
      </c>
      <c r="HQ42">
        <v>101.3</v>
      </c>
      <c r="HR42">
        <v>98</v>
      </c>
      <c r="HS42">
        <v>131.5</v>
      </c>
      <c r="HT42">
        <v>103.1</v>
      </c>
      <c r="HU42">
        <v>86.7</v>
      </c>
      <c r="HV42">
        <v>101.4</v>
      </c>
      <c r="HW42">
        <v>117.4</v>
      </c>
      <c r="HY42">
        <v>108.8</v>
      </c>
      <c r="HZ42">
        <v>96.4</v>
      </c>
      <c r="IA42">
        <v>113.6</v>
      </c>
      <c r="IB42">
        <v>100.4</v>
      </c>
      <c r="IC42">
        <v>123.6</v>
      </c>
      <c r="IE42">
        <v>85.9</v>
      </c>
      <c r="IF42">
        <v>148.1</v>
      </c>
      <c r="IH42">
        <v>112.5</v>
      </c>
      <c r="IJ42">
        <v>100.5</v>
      </c>
      <c r="IK42">
        <v>115.4</v>
      </c>
      <c r="IL42">
        <v>95.8</v>
      </c>
      <c r="IM42">
        <v>100</v>
      </c>
      <c r="IN42">
        <v>96.7</v>
      </c>
      <c r="IO42">
        <v>90.6</v>
      </c>
      <c r="IP42">
        <v>99.5</v>
      </c>
      <c r="IQ42">
        <v>95.4</v>
      </c>
      <c r="IR42">
        <v>106.5</v>
      </c>
      <c r="IT42">
        <v>86.7</v>
      </c>
      <c r="IU42">
        <v>86.3</v>
      </c>
      <c r="IV42">
        <v>85.3</v>
      </c>
      <c r="IX42">
        <v>86.3</v>
      </c>
      <c r="IY42">
        <v>89.8</v>
      </c>
      <c r="IZ42">
        <v>75.3</v>
      </c>
      <c r="JA42">
        <v>86.5</v>
      </c>
      <c r="JB42">
        <v>89.4</v>
      </c>
      <c r="JC42">
        <v>88.2</v>
      </c>
      <c r="JD42">
        <v>92.8</v>
      </c>
      <c r="JE42">
        <v>90</v>
      </c>
      <c r="JH42">
        <v>90.7</v>
      </c>
      <c r="JI42">
        <v>90.8</v>
      </c>
      <c r="JJ42">
        <v>85.1</v>
      </c>
      <c r="JK42">
        <v>72.400000000000006</v>
      </c>
      <c r="JL42">
        <v>88.6</v>
      </c>
      <c r="JM42">
        <v>102.1</v>
      </c>
      <c r="JN42">
        <v>88.4</v>
      </c>
      <c r="JO42">
        <v>88.6</v>
      </c>
      <c r="JQ42">
        <v>88.3</v>
      </c>
      <c r="JS42">
        <v>93.3</v>
      </c>
      <c r="JT42">
        <v>93.3</v>
      </c>
      <c r="JU42">
        <v>93.5</v>
      </c>
      <c r="JV42">
        <v>101.1</v>
      </c>
      <c r="JW42">
        <v>103.3</v>
      </c>
      <c r="JX42">
        <v>104.9</v>
      </c>
      <c r="JY42">
        <v>104.9</v>
      </c>
      <c r="JZ42">
        <v>96.8</v>
      </c>
      <c r="KA42">
        <v>97.1</v>
      </c>
      <c r="KB42">
        <v>96.6</v>
      </c>
      <c r="KC42">
        <v>103.3</v>
      </c>
      <c r="KD42">
        <v>103.3</v>
      </c>
      <c r="KE42">
        <v>88.7</v>
      </c>
      <c r="KF42">
        <v>97.6</v>
      </c>
      <c r="KG42">
        <v>90.7</v>
      </c>
      <c r="KH42">
        <v>179.2</v>
      </c>
      <c r="KI42">
        <v>99.1</v>
      </c>
      <c r="KJ42">
        <v>87.9</v>
      </c>
      <c r="KL42">
        <v>68.5</v>
      </c>
      <c r="KM42">
        <v>85.6</v>
      </c>
      <c r="KN42">
        <v>86.8</v>
      </c>
      <c r="KO42">
        <v>73.099999999999994</v>
      </c>
      <c r="KP42">
        <v>81.3</v>
      </c>
      <c r="KS42">
        <v>91.1</v>
      </c>
      <c r="KT42">
        <v>81.900000000000006</v>
      </c>
      <c r="KU42">
        <v>95</v>
      </c>
      <c r="KX42">
        <v>88</v>
      </c>
      <c r="KY42">
        <v>83.1</v>
      </c>
      <c r="KZ42">
        <v>80.599999999999994</v>
      </c>
      <c r="LA42">
        <v>80.599999999999994</v>
      </c>
      <c r="LB42">
        <v>84.3</v>
      </c>
      <c r="LC42">
        <v>92.3</v>
      </c>
      <c r="LD42">
        <v>74</v>
      </c>
      <c r="LE42">
        <v>78.8</v>
      </c>
      <c r="LF42">
        <v>78.8</v>
      </c>
      <c r="LG42">
        <v>91</v>
      </c>
      <c r="LH42">
        <v>93.7</v>
      </c>
      <c r="LI42">
        <v>86.9</v>
      </c>
      <c r="LJ42">
        <v>114.4</v>
      </c>
      <c r="LK42">
        <v>172.3</v>
      </c>
      <c r="LL42">
        <v>287.3</v>
      </c>
      <c r="LM42">
        <v>347.3</v>
      </c>
      <c r="LN42">
        <v>149.1</v>
      </c>
      <c r="LO42">
        <v>148.1</v>
      </c>
      <c r="LP42">
        <v>494.4</v>
      </c>
      <c r="LQ42">
        <v>321.89999999999998</v>
      </c>
      <c r="LR42">
        <v>248.3</v>
      </c>
      <c r="LT42">
        <v>128.69999999999999</v>
      </c>
      <c r="LU42">
        <v>148.69999999999999</v>
      </c>
      <c r="LV42">
        <v>105.1</v>
      </c>
      <c r="LX42">
        <v>88.8</v>
      </c>
      <c r="LY42">
        <v>83.1</v>
      </c>
      <c r="MA42">
        <v>97.6</v>
      </c>
      <c r="MB42">
        <v>124.9</v>
      </c>
      <c r="MC42">
        <v>304</v>
      </c>
      <c r="MD42">
        <v>116.3</v>
      </c>
      <c r="ME42">
        <v>90</v>
      </c>
      <c r="MG42">
        <v>93.7</v>
      </c>
      <c r="MH42">
        <v>88.2</v>
      </c>
      <c r="MI42">
        <v>92.9</v>
      </c>
      <c r="MJ42">
        <v>91.6</v>
      </c>
      <c r="MK42">
        <v>108.6</v>
      </c>
      <c r="MM42">
        <v>83.5</v>
      </c>
      <c r="MN42">
        <v>90.5</v>
      </c>
      <c r="MO42">
        <v>89.4</v>
      </c>
      <c r="MP42">
        <v>92.6</v>
      </c>
      <c r="MQ42">
        <v>79.599999999999994</v>
      </c>
      <c r="MS42">
        <v>84.9</v>
      </c>
      <c r="MU42">
        <v>86</v>
      </c>
      <c r="MV42">
        <v>84.1</v>
      </c>
      <c r="MW42">
        <v>71.400000000000006</v>
      </c>
      <c r="MX42">
        <v>85.6</v>
      </c>
      <c r="NB42">
        <v>100.2</v>
      </c>
      <c r="NC42">
        <v>91.5</v>
      </c>
      <c r="ND42">
        <v>102.5</v>
      </c>
      <c r="NE42">
        <v>84.5</v>
      </c>
      <c r="NF42">
        <v>107.4</v>
      </c>
      <c r="NG42">
        <v>114.2</v>
      </c>
      <c r="NH42">
        <v>103.6</v>
      </c>
      <c r="NI42">
        <v>100.3</v>
      </c>
      <c r="NJ42">
        <v>101.6</v>
      </c>
      <c r="NK42">
        <v>82</v>
      </c>
      <c r="NL42">
        <v>94.2</v>
      </c>
      <c r="NM42">
        <v>126.6</v>
      </c>
      <c r="NN42">
        <v>108.7</v>
      </c>
      <c r="NO42">
        <v>99.5</v>
      </c>
      <c r="NQ42">
        <v>94.7</v>
      </c>
      <c r="NR42">
        <v>88.9</v>
      </c>
      <c r="NS42">
        <v>88.9</v>
      </c>
      <c r="NT42">
        <v>96.8</v>
      </c>
      <c r="NU42">
        <v>120.8</v>
      </c>
      <c r="NW42">
        <v>95.4</v>
      </c>
      <c r="NX42">
        <v>95.4</v>
      </c>
      <c r="NY42">
        <v>92.6</v>
      </c>
      <c r="NZ42">
        <v>94.2</v>
      </c>
      <c r="OA42">
        <v>95.8</v>
      </c>
      <c r="OB42">
        <v>96.7</v>
      </c>
      <c r="OC42">
        <v>93.3</v>
      </c>
      <c r="OD42">
        <v>94.2</v>
      </c>
      <c r="OE42">
        <v>84.9</v>
      </c>
      <c r="OF42">
        <v>70.599999999999994</v>
      </c>
      <c r="OH42">
        <v>80</v>
      </c>
      <c r="OJ42">
        <v>87.8</v>
      </c>
      <c r="OK42">
        <v>86.2</v>
      </c>
      <c r="OL42">
        <v>78.5</v>
      </c>
      <c r="OM42">
        <v>94.9</v>
      </c>
      <c r="ON42">
        <v>98.9</v>
      </c>
      <c r="OO42">
        <v>82.8</v>
      </c>
      <c r="OP42">
        <v>89.7</v>
      </c>
      <c r="OQ42">
        <v>95.9</v>
      </c>
      <c r="OS42">
        <v>82.5</v>
      </c>
      <c r="OU42">
        <v>85.3</v>
      </c>
      <c r="OV42">
        <v>87.3</v>
      </c>
      <c r="OW42">
        <v>85.8</v>
      </c>
      <c r="OX42">
        <v>87.8</v>
      </c>
      <c r="OY42">
        <v>82.5</v>
      </c>
      <c r="OZ42">
        <v>82.9</v>
      </c>
      <c r="PA42">
        <v>126.2</v>
      </c>
      <c r="PB42">
        <v>87.8</v>
      </c>
      <c r="PC42">
        <v>83.9</v>
      </c>
      <c r="PD42">
        <v>156.5</v>
      </c>
      <c r="PG42">
        <v>103.2</v>
      </c>
      <c r="PH42">
        <v>92.7</v>
      </c>
      <c r="PI42">
        <v>93.3</v>
      </c>
      <c r="PJ42">
        <v>94.4</v>
      </c>
      <c r="PK42">
        <v>107.6</v>
      </c>
      <c r="PL42">
        <v>94.5</v>
      </c>
      <c r="PM42">
        <v>91.1</v>
      </c>
      <c r="PN42">
        <v>90.7</v>
      </c>
      <c r="PO42">
        <v>92.2</v>
      </c>
      <c r="PP42">
        <v>93.9</v>
      </c>
      <c r="PQ42">
        <v>92</v>
      </c>
      <c r="PR42">
        <v>99.4</v>
      </c>
      <c r="PS42">
        <v>91.5</v>
      </c>
      <c r="PT42">
        <v>88.9</v>
      </c>
      <c r="PU42">
        <v>89.6</v>
      </c>
      <c r="PV42">
        <v>98.4</v>
      </c>
      <c r="PW42">
        <v>99.8</v>
      </c>
      <c r="PX42">
        <v>97.1</v>
      </c>
      <c r="PY42">
        <v>91.1</v>
      </c>
      <c r="PZ42">
        <v>89.7</v>
      </c>
      <c r="QA42">
        <v>92.5</v>
      </c>
      <c r="QB42">
        <v>84.3</v>
      </c>
      <c r="QC42">
        <v>94.1</v>
      </c>
      <c r="QD42">
        <v>94.8</v>
      </c>
      <c r="QE42">
        <v>93.4</v>
      </c>
      <c r="QF42">
        <v>81.400000000000006</v>
      </c>
      <c r="QG42">
        <v>116</v>
      </c>
      <c r="QH42">
        <v>79.3</v>
      </c>
      <c r="QI42">
        <v>79.3</v>
      </c>
      <c r="QJ42">
        <v>86.4</v>
      </c>
      <c r="QK42">
        <v>92.9</v>
      </c>
      <c r="QL42">
        <v>86.9</v>
      </c>
      <c r="QM42">
        <v>91.1</v>
      </c>
      <c r="QN42">
        <v>84.8</v>
      </c>
      <c r="QO42">
        <v>86.8</v>
      </c>
      <c r="QQ42">
        <v>102.2</v>
      </c>
      <c r="QR42">
        <v>105.6</v>
      </c>
      <c r="QS42">
        <v>133.80000000000001</v>
      </c>
      <c r="QT42">
        <v>86.4</v>
      </c>
      <c r="QU42">
        <v>102.3</v>
      </c>
      <c r="QV42">
        <v>94.9</v>
      </c>
      <c r="QW42">
        <v>104.3</v>
      </c>
      <c r="QX42">
        <v>97</v>
      </c>
      <c r="QY42">
        <v>83.4</v>
      </c>
      <c r="QZ42">
        <v>85.1</v>
      </c>
      <c r="RA42">
        <v>81</v>
      </c>
      <c r="RB42">
        <v>81.8</v>
      </c>
      <c r="RC42">
        <v>85.8</v>
      </c>
      <c r="RD42">
        <v>97</v>
      </c>
      <c r="RE42">
        <v>107.5</v>
      </c>
      <c r="RF42">
        <v>109.6</v>
      </c>
      <c r="RG42">
        <v>121.1</v>
      </c>
      <c r="RH42">
        <v>110.8</v>
      </c>
      <c r="RI42">
        <v>96.3</v>
      </c>
      <c r="RJ42">
        <v>124</v>
      </c>
      <c r="RK42">
        <v>95.8</v>
      </c>
      <c r="RL42">
        <v>105.5</v>
      </c>
      <c r="RM42">
        <v>103.9</v>
      </c>
      <c r="RN42">
        <v>124.7</v>
      </c>
      <c r="RO42">
        <v>111.2</v>
      </c>
      <c r="RP42">
        <v>103.9</v>
      </c>
      <c r="RQ42">
        <v>103.8</v>
      </c>
      <c r="RS42">
        <v>107</v>
      </c>
      <c r="RT42">
        <v>114.2</v>
      </c>
      <c r="RV42">
        <v>92.2</v>
      </c>
      <c r="RW42">
        <v>113.6</v>
      </c>
      <c r="RX42">
        <v>125.6</v>
      </c>
      <c r="SA42">
        <v>110.4</v>
      </c>
      <c r="SB42">
        <v>89.8</v>
      </c>
      <c r="SC42">
        <v>107.2</v>
      </c>
      <c r="SF42">
        <v>89.1</v>
      </c>
      <c r="SG42">
        <v>92.3</v>
      </c>
      <c r="SH42">
        <v>96.1</v>
      </c>
      <c r="SI42">
        <v>92</v>
      </c>
      <c r="SK42">
        <v>99.4</v>
      </c>
      <c r="SL42">
        <v>90.3</v>
      </c>
      <c r="SM42">
        <v>95.3</v>
      </c>
      <c r="SN42">
        <v>95.1</v>
      </c>
      <c r="SO42">
        <v>96.6</v>
      </c>
      <c r="SP42">
        <v>95.4</v>
      </c>
      <c r="SQ42">
        <v>94.7</v>
      </c>
      <c r="SR42">
        <v>95.2</v>
      </c>
      <c r="SS42">
        <v>94.6</v>
      </c>
      <c r="ST42">
        <v>93.9</v>
      </c>
      <c r="SU42">
        <v>95.7</v>
      </c>
      <c r="SV42">
        <v>95.1</v>
      </c>
      <c r="SX42">
        <v>93.1</v>
      </c>
      <c r="SZ42">
        <v>83.5</v>
      </c>
      <c r="TA42">
        <v>95.5</v>
      </c>
      <c r="TB42">
        <v>73.599999999999994</v>
      </c>
      <c r="TC42">
        <v>71.599999999999994</v>
      </c>
      <c r="TD42">
        <v>80.7</v>
      </c>
      <c r="TE42">
        <v>94.6</v>
      </c>
      <c r="TF42">
        <v>95.9</v>
      </c>
      <c r="TG42">
        <v>98.9</v>
      </c>
      <c r="TH42">
        <v>95.2</v>
      </c>
      <c r="TI42">
        <v>94.4</v>
      </c>
      <c r="TJ42">
        <v>94.6</v>
      </c>
      <c r="TK42">
        <v>70.7</v>
      </c>
      <c r="TL42">
        <v>68.3</v>
      </c>
      <c r="TN42">
        <v>94.6</v>
      </c>
      <c r="TO42">
        <v>92.3</v>
      </c>
      <c r="TP42">
        <v>74.099999999999994</v>
      </c>
      <c r="TQ42">
        <v>66</v>
      </c>
      <c r="TR42">
        <v>235.5</v>
      </c>
      <c r="TT42">
        <v>90.4</v>
      </c>
      <c r="TU42">
        <v>88.5</v>
      </c>
      <c r="TV42">
        <v>82.4</v>
      </c>
      <c r="TW42">
        <v>102.2</v>
      </c>
      <c r="TX42">
        <v>98.6</v>
      </c>
      <c r="TY42">
        <v>93.4</v>
      </c>
      <c r="TZ42">
        <v>98.7</v>
      </c>
      <c r="UC42">
        <v>125.7</v>
      </c>
      <c r="UD42">
        <v>90.9</v>
      </c>
      <c r="UE42">
        <v>117.1</v>
      </c>
      <c r="UF42">
        <v>79.400000000000006</v>
      </c>
      <c r="UG42">
        <v>95.2</v>
      </c>
      <c r="UH42">
        <v>93.5</v>
      </c>
      <c r="UI42">
        <v>130.30000000000001</v>
      </c>
      <c r="UJ42">
        <v>91</v>
      </c>
      <c r="UK42">
        <v>115.2</v>
      </c>
      <c r="UL42">
        <v>112.9</v>
      </c>
      <c r="UM42">
        <v>126.6</v>
      </c>
      <c r="UN42">
        <v>95.8</v>
      </c>
      <c r="UO42">
        <v>100</v>
      </c>
      <c r="UP42">
        <v>91.4</v>
      </c>
      <c r="UQ42">
        <v>370.4</v>
      </c>
      <c r="UR42">
        <v>119.5</v>
      </c>
      <c r="US42">
        <v>104.6</v>
      </c>
      <c r="UT42">
        <v>96.7</v>
      </c>
      <c r="UU42">
        <v>101.2</v>
      </c>
      <c r="UV42">
        <v>86</v>
      </c>
      <c r="UW42">
        <v>81.099999999999994</v>
      </c>
      <c r="UX42">
        <v>85</v>
      </c>
      <c r="UY42">
        <v>79.3</v>
      </c>
      <c r="UZ42">
        <v>87.7</v>
      </c>
      <c r="VA42">
        <v>88</v>
      </c>
      <c r="VB42">
        <v>91.9</v>
      </c>
      <c r="VC42">
        <v>82.2</v>
      </c>
      <c r="VD42">
        <v>105.2</v>
      </c>
      <c r="VE42">
        <v>406.8</v>
      </c>
      <c r="VF42">
        <v>712.3</v>
      </c>
      <c r="VG42">
        <v>880.6</v>
      </c>
      <c r="VH42">
        <v>676.3</v>
      </c>
      <c r="VI42">
        <v>1161.2</v>
      </c>
      <c r="VK42">
        <v>180.8</v>
      </c>
      <c r="VL42">
        <v>755.2</v>
      </c>
      <c r="VM42">
        <v>85.1</v>
      </c>
      <c r="VN42">
        <v>87.5</v>
      </c>
      <c r="VO42">
        <v>95.8</v>
      </c>
      <c r="VP42">
        <v>86.6</v>
      </c>
      <c r="VQ42">
        <v>102.6</v>
      </c>
      <c r="VR42">
        <v>73.400000000000006</v>
      </c>
      <c r="VT42">
        <v>104.6</v>
      </c>
      <c r="VU42">
        <v>119.5</v>
      </c>
      <c r="VV42">
        <v>79.3</v>
      </c>
      <c r="VW42">
        <v>108.1</v>
      </c>
      <c r="VX42">
        <v>80.599999999999994</v>
      </c>
      <c r="VY42">
        <v>123.2</v>
      </c>
      <c r="VZ42">
        <v>112.8</v>
      </c>
      <c r="WB42">
        <v>114</v>
      </c>
      <c r="WC42">
        <v>255.8</v>
      </c>
      <c r="WE42">
        <v>103.1</v>
      </c>
      <c r="WF42">
        <v>87.1</v>
      </c>
      <c r="WG42">
        <v>97.4</v>
      </c>
      <c r="WH42">
        <v>84.3</v>
      </c>
      <c r="WI42">
        <v>83.5</v>
      </c>
      <c r="WJ42">
        <v>85.9</v>
      </c>
      <c r="WK42">
        <v>82</v>
      </c>
      <c r="WL42">
        <v>93.9</v>
      </c>
      <c r="WN42">
        <v>99.3</v>
      </c>
      <c r="WO42">
        <v>92.1</v>
      </c>
      <c r="WP42">
        <v>88</v>
      </c>
      <c r="WQ42">
        <v>91.5</v>
      </c>
      <c r="WT42">
        <v>100.1</v>
      </c>
      <c r="WV42">
        <v>90.3</v>
      </c>
      <c r="WW42">
        <v>81.7</v>
      </c>
      <c r="WX42">
        <v>88.8</v>
      </c>
      <c r="WY42">
        <v>92</v>
      </c>
      <c r="WZ42">
        <v>91.5</v>
      </c>
      <c r="XA42">
        <v>92.4</v>
      </c>
      <c r="XB42">
        <v>73.2</v>
      </c>
      <c r="XD42">
        <v>73</v>
      </c>
      <c r="XE42">
        <v>87.1</v>
      </c>
      <c r="XF42">
        <v>87</v>
      </c>
      <c r="XG42">
        <v>88</v>
      </c>
      <c r="XH42">
        <v>93.1</v>
      </c>
      <c r="XI42">
        <v>105.9</v>
      </c>
      <c r="XJ42">
        <v>105.9</v>
      </c>
      <c r="XK42">
        <v>66.7</v>
      </c>
      <c r="XL42">
        <v>66.7</v>
      </c>
      <c r="XM42">
        <v>87.7</v>
      </c>
      <c r="XN42">
        <v>79.8</v>
      </c>
      <c r="XO42">
        <v>91.8</v>
      </c>
      <c r="XP42">
        <v>92.8</v>
      </c>
      <c r="XQ42">
        <v>83.9</v>
      </c>
      <c r="XR42">
        <v>86.2</v>
      </c>
      <c r="XT42">
        <v>94.4</v>
      </c>
      <c r="XU42">
        <v>96</v>
      </c>
      <c r="XV42">
        <v>97.9</v>
      </c>
      <c r="XW42">
        <v>105.1</v>
      </c>
      <c r="XX42">
        <v>90.2</v>
      </c>
      <c r="XY42">
        <v>90.7</v>
      </c>
      <c r="XZ42">
        <v>92.9</v>
      </c>
      <c r="YA42">
        <v>97.9</v>
      </c>
      <c r="YC42">
        <v>79.599999999999994</v>
      </c>
      <c r="YD42">
        <v>88.2</v>
      </c>
      <c r="YE42">
        <v>97.3</v>
      </c>
      <c r="YF42">
        <v>112.1</v>
      </c>
      <c r="YG42">
        <v>87.9</v>
      </c>
      <c r="YH42">
        <v>96.1</v>
      </c>
      <c r="YI42">
        <v>91.7</v>
      </c>
      <c r="YJ42">
        <v>90.6</v>
      </c>
      <c r="YK42">
        <v>69.5</v>
      </c>
      <c r="YL42">
        <v>80.3</v>
      </c>
      <c r="YM42">
        <v>98.4</v>
      </c>
      <c r="YO42">
        <v>170.4</v>
      </c>
      <c r="YP42">
        <v>100.6</v>
      </c>
      <c r="YR42">
        <v>95.8</v>
      </c>
      <c r="YT42">
        <v>89.2</v>
      </c>
      <c r="YU42">
        <v>95.3</v>
      </c>
      <c r="YV42">
        <v>107.3</v>
      </c>
      <c r="YW42">
        <v>96.9</v>
      </c>
      <c r="YX42">
        <v>92.1</v>
      </c>
      <c r="YY42">
        <v>92.1</v>
      </c>
      <c r="YZ42">
        <v>93.8</v>
      </c>
      <c r="ZA42">
        <v>96.6</v>
      </c>
      <c r="ZB42">
        <v>101.6</v>
      </c>
      <c r="ZC42">
        <v>157</v>
      </c>
      <c r="ZD42">
        <v>208.8</v>
      </c>
      <c r="ZE42">
        <v>116.1</v>
      </c>
      <c r="ZF42">
        <v>97.8</v>
      </c>
      <c r="ZG42">
        <v>110.7</v>
      </c>
      <c r="ZH42">
        <v>101.6</v>
      </c>
      <c r="ZK42">
        <v>86.6</v>
      </c>
      <c r="ZL42">
        <v>84.4</v>
      </c>
      <c r="ZM42">
        <v>114.3</v>
      </c>
      <c r="ZN42">
        <v>99.6</v>
      </c>
      <c r="ZO42">
        <v>98.8</v>
      </c>
      <c r="ZP42">
        <v>102.2</v>
      </c>
      <c r="ZQ42">
        <v>96.2</v>
      </c>
      <c r="ZR42">
        <v>100.5</v>
      </c>
      <c r="ZT42">
        <v>96.5</v>
      </c>
      <c r="ZU42">
        <v>96.3</v>
      </c>
      <c r="ZV42">
        <v>93.3</v>
      </c>
      <c r="ZW42">
        <v>103.6</v>
      </c>
      <c r="ZX42">
        <v>120.9</v>
      </c>
      <c r="ZY42">
        <v>91.3</v>
      </c>
      <c r="ZZ42">
        <v>95.4</v>
      </c>
      <c r="AAA42">
        <v>111.7</v>
      </c>
      <c r="AAC42">
        <v>75.599999999999994</v>
      </c>
      <c r="AAD42">
        <v>74.099999999999994</v>
      </c>
      <c r="AAE42">
        <v>100.1</v>
      </c>
      <c r="AAF42">
        <v>55.4</v>
      </c>
      <c r="AAG42">
        <v>63.3</v>
      </c>
      <c r="AAH42">
        <v>107.1</v>
      </c>
      <c r="AAI42">
        <v>77.2</v>
      </c>
      <c r="AAJ42">
        <v>57.6</v>
      </c>
      <c r="AAK42">
        <v>97.5</v>
      </c>
      <c r="AAL42">
        <v>94</v>
      </c>
      <c r="AAM42">
        <v>92.8</v>
      </c>
      <c r="AAN42">
        <v>96.8</v>
      </c>
      <c r="AAO42">
        <v>54.6</v>
      </c>
      <c r="AAP42">
        <v>53.7</v>
      </c>
      <c r="AAQ42">
        <v>56.4</v>
      </c>
      <c r="AAR42">
        <v>96.5</v>
      </c>
      <c r="AAT42">
        <v>74.599999999999994</v>
      </c>
      <c r="AAU42">
        <v>249.7</v>
      </c>
      <c r="AAW42">
        <v>87.8</v>
      </c>
      <c r="AAX42">
        <v>90.2</v>
      </c>
      <c r="AAY42">
        <v>93.7</v>
      </c>
      <c r="AAZ42">
        <v>95.5</v>
      </c>
      <c r="ABB42">
        <v>75.400000000000006</v>
      </c>
      <c r="ABC42">
        <v>74.7</v>
      </c>
      <c r="ABD42">
        <v>79.3</v>
      </c>
      <c r="ABE42">
        <v>68.7</v>
      </c>
      <c r="ABF42">
        <v>96.1</v>
      </c>
      <c r="ABG42">
        <v>87.9</v>
      </c>
      <c r="ABH42">
        <v>93.8</v>
      </c>
      <c r="ABI42">
        <v>96</v>
      </c>
      <c r="ABJ42">
        <v>103.8</v>
      </c>
      <c r="ABK42">
        <v>94.9</v>
      </c>
      <c r="ABL42">
        <v>84.2</v>
      </c>
      <c r="ABM42">
        <v>97.3</v>
      </c>
      <c r="ABN42">
        <v>100.7</v>
      </c>
      <c r="ABO42">
        <v>106.9</v>
      </c>
      <c r="ABP42">
        <v>104.5</v>
      </c>
      <c r="ABQ42">
        <v>110.9</v>
      </c>
    </row>
    <row r="43" spans="1:745">
      <c r="A43">
        <v>2006</v>
      </c>
      <c r="B43">
        <v>95.4</v>
      </c>
      <c r="C43">
        <v>86.3</v>
      </c>
      <c r="D43">
        <v>91.5</v>
      </c>
      <c r="E43">
        <v>99.4</v>
      </c>
      <c r="F43">
        <v>103.3</v>
      </c>
      <c r="G43">
        <v>97.3</v>
      </c>
      <c r="H43">
        <v>85.6</v>
      </c>
      <c r="I43">
        <v>87.6</v>
      </c>
      <c r="J43">
        <v>83.2</v>
      </c>
      <c r="K43">
        <v>86.2</v>
      </c>
      <c r="L43">
        <v>85.2</v>
      </c>
      <c r="M43">
        <v>87.9</v>
      </c>
      <c r="N43">
        <v>86.8</v>
      </c>
      <c r="O43">
        <v>83.1</v>
      </c>
      <c r="P43">
        <v>75.900000000000006</v>
      </c>
      <c r="Q43">
        <v>95.9</v>
      </c>
      <c r="R43">
        <v>100.4</v>
      </c>
      <c r="S43">
        <v>70.400000000000006</v>
      </c>
      <c r="T43">
        <v>114.7</v>
      </c>
      <c r="V43">
        <v>76.900000000000006</v>
      </c>
      <c r="W43">
        <v>77.8</v>
      </c>
      <c r="X43">
        <v>90.8</v>
      </c>
      <c r="Y43">
        <v>96.5</v>
      </c>
      <c r="Z43">
        <v>108.3</v>
      </c>
      <c r="AA43">
        <v>92.2</v>
      </c>
      <c r="AB43">
        <v>68.900000000000006</v>
      </c>
      <c r="AC43">
        <v>88.9</v>
      </c>
      <c r="AD43">
        <v>53.7</v>
      </c>
      <c r="AE43">
        <v>74.8</v>
      </c>
      <c r="AF43">
        <v>84.9</v>
      </c>
      <c r="AG43">
        <v>57.4</v>
      </c>
      <c r="AH43">
        <v>69.2</v>
      </c>
      <c r="AI43">
        <v>79.900000000000006</v>
      </c>
      <c r="AJ43">
        <v>83.3</v>
      </c>
      <c r="AK43">
        <v>74.099999999999994</v>
      </c>
      <c r="AL43">
        <v>70.900000000000006</v>
      </c>
      <c r="AM43">
        <v>72.900000000000006</v>
      </c>
      <c r="AN43">
        <v>58.7</v>
      </c>
      <c r="AO43">
        <v>99.2</v>
      </c>
      <c r="AP43">
        <v>66.5</v>
      </c>
      <c r="AQ43">
        <v>77.400000000000006</v>
      </c>
      <c r="AR43">
        <v>92.3</v>
      </c>
      <c r="AS43">
        <v>66</v>
      </c>
      <c r="AU43">
        <v>84.7</v>
      </c>
      <c r="AV43">
        <v>79.5</v>
      </c>
      <c r="AW43">
        <v>85.4</v>
      </c>
      <c r="AX43">
        <v>88.8</v>
      </c>
      <c r="AY43">
        <v>73.599999999999994</v>
      </c>
      <c r="AZ43">
        <v>75.5</v>
      </c>
      <c r="BA43">
        <v>73.099999999999994</v>
      </c>
      <c r="BB43">
        <v>73.900000000000006</v>
      </c>
      <c r="BC43">
        <v>76.900000000000006</v>
      </c>
      <c r="BD43">
        <v>82.7</v>
      </c>
      <c r="BE43">
        <v>78.599999999999994</v>
      </c>
      <c r="BF43">
        <v>76.2</v>
      </c>
      <c r="BG43">
        <v>64.400000000000006</v>
      </c>
      <c r="BH43">
        <v>78.599999999999994</v>
      </c>
      <c r="BJ43">
        <v>84.1</v>
      </c>
      <c r="BK43">
        <v>102.1</v>
      </c>
      <c r="BL43">
        <v>107.5</v>
      </c>
      <c r="BM43">
        <v>100.1</v>
      </c>
      <c r="BN43">
        <v>96.6</v>
      </c>
      <c r="BP43">
        <v>85.9</v>
      </c>
      <c r="BQ43">
        <v>86.6</v>
      </c>
      <c r="BR43">
        <v>86.3</v>
      </c>
      <c r="BS43">
        <v>90.4</v>
      </c>
      <c r="BT43">
        <v>87.4</v>
      </c>
      <c r="BU43">
        <v>92.8</v>
      </c>
      <c r="BV43">
        <v>93.4</v>
      </c>
      <c r="BW43">
        <v>71.400000000000006</v>
      </c>
      <c r="BX43">
        <v>74.3</v>
      </c>
      <c r="BY43">
        <v>80.7</v>
      </c>
      <c r="BZ43">
        <v>83.9</v>
      </c>
      <c r="CA43">
        <v>83.9</v>
      </c>
      <c r="CB43">
        <v>83.6</v>
      </c>
      <c r="CC43">
        <v>81.5</v>
      </c>
      <c r="CD43">
        <v>82</v>
      </c>
      <c r="CE43">
        <v>66.5</v>
      </c>
      <c r="CF43">
        <v>68.2</v>
      </c>
      <c r="CG43">
        <v>79.900000000000006</v>
      </c>
      <c r="CH43">
        <v>85.7</v>
      </c>
      <c r="CI43">
        <v>92.5</v>
      </c>
      <c r="CJ43">
        <v>102.6</v>
      </c>
      <c r="CK43">
        <v>87.9</v>
      </c>
      <c r="CL43">
        <v>81.2</v>
      </c>
      <c r="CM43">
        <v>70.400000000000006</v>
      </c>
      <c r="CN43">
        <v>69.900000000000006</v>
      </c>
      <c r="CO43">
        <v>77.2</v>
      </c>
      <c r="CP43">
        <v>77.900000000000006</v>
      </c>
      <c r="CQ43">
        <v>81.900000000000006</v>
      </c>
      <c r="CR43">
        <v>85.3</v>
      </c>
      <c r="CS43">
        <v>75.3</v>
      </c>
      <c r="CT43">
        <v>66.2</v>
      </c>
      <c r="CV43">
        <v>85.7</v>
      </c>
      <c r="CW43">
        <v>74.5</v>
      </c>
      <c r="CX43">
        <v>75.5</v>
      </c>
      <c r="CY43">
        <v>76.5</v>
      </c>
      <c r="CZ43">
        <v>73.599999999999994</v>
      </c>
      <c r="DA43">
        <v>81.2</v>
      </c>
      <c r="DB43">
        <v>74.099999999999994</v>
      </c>
      <c r="DC43">
        <v>103.4</v>
      </c>
      <c r="DD43">
        <v>117.2</v>
      </c>
      <c r="DE43">
        <v>116</v>
      </c>
      <c r="DG43">
        <v>87.2</v>
      </c>
      <c r="DH43">
        <v>72</v>
      </c>
      <c r="DI43">
        <v>77.400000000000006</v>
      </c>
      <c r="DJ43">
        <v>83.3</v>
      </c>
      <c r="DK43">
        <v>61.9</v>
      </c>
      <c r="DL43">
        <v>72.7</v>
      </c>
      <c r="DM43">
        <v>50.1</v>
      </c>
      <c r="DN43">
        <v>100.6</v>
      </c>
      <c r="DO43">
        <v>95.9</v>
      </c>
      <c r="DP43">
        <v>93.7</v>
      </c>
      <c r="DQ43">
        <v>117.6</v>
      </c>
      <c r="DR43">
        <v>87</v>
      </c>
      <c r="DS43">
        <v>99.4</v>
      </c>
      <c r="DT43">
        <v>69.3</v>
      </c>
      <c r="DU43">
        <v>83.8</v>
      </c>
      <c r="DV43">
        <v>86.2</v>
      </c>
      <c r="DW43">
        <v>105.5</v>
      </c>
      <c r="DX43">
        <v>83</v>
      </c>
      <c r="DY43">
        <v>93.8</v>
      </c>
      <c r="DZ43">
        <v>75.599999999999994</v>
      </c>
      <c r="EA43">
        <v>75.3</v>
      </c>
      <c r="EB43">
        <v>75.8</v>
      </c>
      <c r="EC43">
        <v>82.4</v>
      </c>
      <c r="ED43">
        <v>83.8</v>
      </c>
      <c r="EF43">
        <v>58</v>
      </c>
      <c r="EG43">
        <v>67</v>
      </c>
      <c r="EH43">
        <v>58.4</v>
      </c>
      <c r="EI43">
        <v>87.6</v>
      </c>
      <c r="EJ43">
        <v>66.099999999999994</v>
      </c>
      <c r="EK43">
        <v>74.5</v>
      </c>
      <c r="EL43">
        <v>85.9</v>
      </c>
      <c r="EM43">
        <v>73.3</v>
      </c>
      <c r="EN43">
        <v>78.599999999999994</v>
      </c>
      <c r="EO43">
        <v>75.7</v>
      </c>
      <c r="EP43">
        <v>91.5</v>
      </c>
      <c r="ER43">
        <v>79.8</v>
      </c>
      <c r="ET43">
        <v>95.5</v>
      </c>
      <c r="EU43">
        <v>104.4</v>
      </c>
      <c r="EV43">
        <v>117.2</v>
      </c>
      <c r="EW43">
        <v>69.3</v>
      </c>
      <c r="EX43">
        <v>94.5</v>
      </c>
      <c r="EY43">
        <v>93.7</v>
      </c>
      <c r="EZ43">
        <v>98.4</v>
      </c>
      <c r="FA43">
        <v>95.5</v>
      </c>
      <c r="FB43">
        <v>91</v>
      </c>
      <c r="FC43">
        <v>98.5</v>
      </c>
      <c r="FD43">
        <v>108.2</v>
      </c>
      <c r="FE43">
        <v>120</v>
      </c>
      <c r="FF43">
        <v>92.5</v>
      </c>
      <c r="FH43">
        <v>86.5</v>
      </c>
      <c r="FI43">
        <v>87.4</v>
      </c>
      <c r="FJ43">
        <v>71.7</v>
      </c>
      <c r="FK43">
        <v>102.1</v>
      </c>
      <c r="FL43">
        <v>96.3</v>
      </c>
      <c r="FM43">
        <v>95.2</v>
      </c>
      <c r="FO43">
        <v>106.5</v>
      </c>
      <c r="FQ43">
        <v>80.400000000000006</v>
      </c>
      <c r="FR43">
        <v>85.4</v>
      </c>
      <c r="FS43">
        <v>76.3</v>
      </c>
      <c r="FT43">
        <v>76.7</v>
      </c>
      <c r="FU43">
        <v>91</v>
      </c>
      <c r="FV43">
        <v>72</v>
      </c>
      <c r="FW43">
        <v>91.7</v>
      </c>
      <c r="FX43">
        <v>85.8</v>
      </c>
      <c r="FY43">
        <v>83.2</v>
      </c>
      <c r="GA43">
        <v>97.5</v>
      </c>
      <c r="GB43">
        <v>85.4</v>
      </c>
      <c r="GC43">
        <v>94.7</v>
      </c>
      <c r="GD43">
        <v>75.099999999999994</v>
      </c>
      <c r="GE43">
        <v>62.3</v>
      </c>
      <c r="GF43">
        <v>82.6</v>
      </c>
      <c r="GG43">
        <v>71.599999999999994</v>
      </c>
      <c r="GH43">
        <v>98.2</v>
      </c>
      <c r="GI43">
        <v>85.7</v>
      </c>
      <c r="GJ43">
        <v>89.8</v>
      </c>
      <c r="GK43">
        <v>84.5</v>
      </c>
      <c r="GM43">
        <v>86.7</v>
      </c>
      <c r="GO43">
        <v>92.7</v>
      </c>
      <c r="GP43">
        <v>80.599999999999994</v>
      </c>
      <c r="GQ43">
        <v>115.4</v>
      </c>
      <c r="GR43">
        <v>110</v>
      </c>
      <c r="GU43">
        <v>83.2</v>
      </c>
      <c r="GV43">
        <v>51.1</v>
      </c>
      <c r="GW43">
        <v>85.1</v>
      </c>
      <c r="GX43">
        <v>89.2</v>
      </c>
      <c r="GY43">
        <v>90.7</v>
      </c>
      <c r="GZ43">
        <v>84.8</v>
      </c>
      <c r="HA43">
        <v>91.8</v>
      </c>
      <c r="HD43">
        <v>100.8</v>
      </c>
      <c r="HE43">
        <v>91.9</v>
      </c>
      <c r="HG43">
        <v>104.5</v>
      </c>
      <c r="HH43">
        <v>99.8</v>
      </c>
      <c r="HI43">
        <v>81.3</v>
      </c>
      <c r="HO43">
        <v>106.5</v>
      </c>
      <c r="HP43">
        <v>112.2</v>
      </c>
      <c r="HQ43">
        <v>101.9</v>
      </c>
      <c r="HR43">
        <v>97.2</v>
      </c>
      <c r="HS43">
        <v>127.6</v>
      </c>
      <c r="HT43">
        <v>101.6</v>
      </c>
      <c r="HU43">
        <v>84.3</v>
      </c>
      <c r="HV43">
        <v>106.3</v>
      </c>
      <c r="HW43">
        <v>114.2</v>
      </c>
      <c r="HY43">
        <v>105.9</v>
      </c>
      <c r="HZ43">
        <v>96.1</v>
      </c>
      <c r="IA43">
        <v>109.8</v>
      </c>
      <c r="IB43">
        <v>98.1</v>
      </c>
      <c r="IC43">
        <v>119</v>
      </c>
      <c r="IE43">
        <v>85.9</v>
      </c>
      <c r="IF43">
        <v>140</v>
      </c>
      <c r="IH43">
        <v>108.7</v>
      </c>
      <c r="IJ43">
        <v>99.5</v>
      </c>
      <c r="IK43">
        <v>113</v>
      </c>
      <c r="IL43">
        <v>95.5</v>
      </c>
      <c r="IM43">
        <v>98.9</v>
      </c>
      <c r="IN43">
        <v>95.6</v>
      </c>
      <c r="IO43">
        <v>89</v>
      </c>
      <c r="IP43">
        <v>100.1</v>
      </c>
      <c r="IQ43">
        <v>96.8</v>
      </c>
      <c r="IR43">
        <v>106.3</v>
      </c>
      <c r="IT43">
        <v>87.4</v>
      </c>
      <c r="IU43">
        <v>86.9</v>
      </c>
      <c r="IV43">
        <v>85.6</v>
      </c>
      <c r="IX43">
        <v>86.5</v>
      </c>
      <c r="IY43">
        <v>90.2</v>
      </c>
      <c r="IZ43">
        <v>79.5</v>
      </c>
      <c r="JA43">
        <v>86.9</v>
      </c>
      <c r="JB43">
        <v>89.4</v>
      </c>
      <c r="JC43">
        <v>88.4</v>
      </c>
      <c r="JD43">
        <v>92.4</v>
      </c>
      <c r="JE43">
        <v>90.1</v>
      </c>
      <c r="JH43">
        <v>90.8</v>
      </c>
      <c r="JI43">
        <v>90.8</v>
      </c>
      <c r="JJ43">
        <v>85.8</v>
      </c>
      <c r="JK43">
        <v>76.3</v>
      </c>
      <c r="JL43">
        <v>88.8</v>
      </c>
      <c r="JM43">
        <v>102</v>
      </c>
      <c r="JN43">
        <v>88.5</v>
      </c>
      <c r="JO43">
        <v>88.9</v>
      </c>
      <c r="JQ43">
        <v>88.6</v>
      </c>
      <c r="JS43">
        <v>93.5</v>
      </c>
      <c r="JT43">
        <v>93.4</v>
      </c>
      <c r="JU43">
        <v>93.7</v>
      </c>
      <c r="JV43">
        <v>101</v>
      </c>
      <c r="JW43">
        <v>103.2</v>
      </c>
      <c r="JX43">
        <v>104.8</v>
      </c>
      <c r="JY43">
        <v>104.8</v>
      </c>
      <c r="JZ43">
        <v>97.4</v>
      </c>
      <c r="KA43">
        <v>97.9</v>
      </c>
      <c r="KB43">
        <v>96.9</v>
      </c>
      <c r="KC43">
        <v>103.1</v>
      </c>
      <c r="KD43">
        <v>103.1</v>
      </c>
      <c r="KE43">
        <v>88.8</v>
      </c>
      <c r="KF43">
        <v>97.4</v>
      </c>
      <c r="KG43">
        <v>90.5</v>
      </c>
      <c r="KH43">
        <v>171.4</v>
      </c>
      <c r="KI43">
        <v>99.5</v>
      </c>
      <c r="KJ43">
        <v>88.2</v>
      </c>
      <c r="KL43">
        <v>68.900000000000006</v>
      </c>
      <c r="KM43">
        <v>85.8</v>
      </c>
      <c r="KN43">
        <v>86.9</v>
      </c>
      <c r="KO43">
        <v>73.400000000000006</v>
      </c>
      <c r="KP43">
        <v>81.5</v>
      </c>
      <c r="KS43">
        <v>91.6</v>
      </c>
      <c r="KT43">
        <v>82.1</v>
      </c>
      <c r="KU43">
        <v>95.3</v>
      </c>
      <c r="KX43">
        <v>88.2</v>
      </c>
      <c r="KY43">
        <v>85.3</v>
      </c>
      <c r="KZ43">
        <v>80.599999999999994</v>
      </c>
      <c r="LA43">
        <v>80.599999999999994</v>
      </c>
      <c r="LB43">
        <v>88.2</v>
      </c>
      <c r="LC43">
        <v>96.1</v>
      </c>
      <c r="LD43">
        <v>78</v>
      </c>
      <c r="LE43">
        <v>90.5</v>
      </c>
      <c r="LF43">
        <v>90.5</v>
      </c>
      <c r="LG43">
        <v>91.6</v>
      </c>
      <c r="LH43">
        <v>94.3</v>
      </c>
      <c r="LI43">
        <v>87.5</v>
      </c>
      <c r="LJ43">
        <v>112.3</v>
      </c>
      <c r="LK43">
        <v>163.30000000000001</v>
      </c>
      <c r="LL43">
        <v>264.7</v>
      </c>
      <c r="LM43">
        <v>313</v>
      </c>
      <c r="LN43">
        <v>144.30000000000001</v>
      </c>
      <c r="LO43">
        <v>144.4</v>
      </c>
      <c r="LP43">
        <v>432.8</v>
      </c>
      <c r="LQ43">
        <v>300.7</v>
      </c>
      <c r="LR43">
        <v>224.6</v>
      </c>
      <c r="LT43">
        <v>123</v>
      </c>
      <c r="LU43">
        <v>140.19999999999999</v>
      </c>
      <c r="LV43">
        <v>101.1</v>
      </c>
      <c r="LX43">
        <v>89.4</v>
      </c>
      <c r="LY43">
        <v>84.7</v>
      </c>
      <c r="MA43">
        <v>96.6</v>
      </c>
      <c r="MB43">
        <v>121.9</v>
      </c>
      <c r="MC43">
        <v>296.3</v>
      </c>
      <c r="MD43">
        <v>113</v>
      </c>
      <c r="ME43">
        <v>88.2</v>
      </c>
      <c r="MG43">
        <v>93.4</v>
      </c>
      <c r="MH43">
        <v>86.3</v>
      </c>
      <c r="MI43">
        <v>93</v>
      </c>
      <c r="MJ43">
        <v>91.9</v>
      </c>
      <c r="MK43">
        <v>108</v>
      </c>
      <c r="MM43">
        <v>84</v>
      </c>
      <c r="MN43">
        <v>91.2</v>
      </c>
      <c r="MO43">
        <v>90.3</v>
      </c>
      <c r="MP43">
        <v>93.8</v>
      </c>
      <c r="MQ43">
        <v>80.3</v>
      </c>
      <c r="MS43">
        <v>85.6</v>
      </c>
      <c r="MU43">
        <v>86.6</v>
      </c>
      <c r="MV43">
        <v>84.5</v>
      </c>
      <c r="MW43">
        <v>71.900000000000006</v>
      </c>
      <c r="MX43">
        <v>85.7</v>
      </c>
      <c r="NB43">
        <v>99.9</v>
      </c>
      <c r="NC43">
        <v>90.9</v>
      </c>
      <c r="ND43">
        <v>99.7</v>
      </c>
      <c r="NE43">
        <v>85.5</v>
      </c>
      <c r="NF43">
        <v>108</v>
      </c>
      <c r="NG43">
        <v>117.5</v>
      </c>
      <c r="NH43">
        <v>102.3</v>
      </c>
      <c r="NI43">
        <v>99.4</v>
      </c>
      <c r="NJ43">
        <v>100.1</v>
      </c>
      <c r="NK43">
        <v>81.099999999999994</v>
      </c>
      <c r="NL43">
        <v>93.2</v>
      </c>
      <c r="NM43">
        <v>126.9</v>
      </c>
      <c r="NN43">
        <v>108.1</v>
      </c>
      <c r="NO43">
        <v>99</v>
      </c>
      <c r="NQ43">
        <v>95.1</v>
      </c>
      <c r="NR43">
        <v>89.4</v>
      </c>
      <c r="NS43">
        <v>89.4</v>
      </c>
      <c r="NT43">
        <v>97.3</v>
      </c>
      <c r="NU43">
        <v>120.8</v>
      </c>
      <c r="NW43">
        <v>95.4</v>
      </c>
      <c r="NX43">
        <v>95.4</v>
      </c>
      <c r="NY43">
        <v>93.3</v>
      </c>
      <c r="NZ43">
        <v>95.1</v>
      </c>
      <c r="OA43">
        <v>95.2</v>
      </c>
      <c r="OB43">
        <v>96.1</v>
      </c>
      <c r="OC43">
        <v>93</v>
      </c>
      <c r="OD43">
        <v>95.1</v>
      </c>
      <c r="OE43">
        <v>85.5</v>
      </c>
      <c r="OF43">
        <v>70.7</v>
      </c>
      <c r="OH43">
        <v>81.099999999999994</v>
      </c>
      <c r="OJ43">
        <v>88.9</v>
      </c>
      <c r="OK43">
        <v>89.2</v>
      </c>
      <c r="OL43">
        <v>79.099999999999994</v>
      </c>
      <c r="OM43">
        <v>94.4</v>
      </c>
      <c r="ON43">
        <v>98.6</v>
      </c>
      <c r="OO43">
        <v>81.5</v>
      </c>
      <c r="OP43">
        <v>91</v>
      </c>
      <c r="OQ43">
        <v>95.1</v>
      </c>
      <c r="OS43">
        <v>83.5</v>
      </c>
      <c r="OU43">
        <v>85.1</v>
      </c>
      <c r="OV43">
        <v>89.4</v>
      </c>
      <c r="OW43">
        <v>88.3</v>
      </c>
      <c r="OX43">
        <v>90.4</v>
      </c>
      <c r="OY43">
        <v>84.2</v>
      </c>
      <c r="OZ43">
        <v>84.3</v>
      </c>
      <c r="PA43">
        <v>127.6</v>
      </c>
      <c r="PB43">
        <v>88.7</v>
      </c>
      <c r="PC43">
        <v>83.4</v>
      </c>
      <c r="PD43">
        <v>156.1</v>
      </c>
      <c r="PG43">
        <v>102.8</v>
      </c>
      <c r="PH43">
        <v>93.2</v>
      </c>
      <c r="PI43">
        <v>94.1</v>
      </c>
      <c r="PJ43">
        <v>96.1</v>
      </c>
      <c r="PK43">
        <v>107.1</v>
      </c>
      <c r="PL43">
        <v>96.8</v>
      </c>
      <c r="PM43">
        <v>94.4</v>
      </c>
      <c r="PN43">
        <v>91.3</v>
      </c>
      <c r="PO43">
        <v>92.6</v>
      </c>
      <c r="PP43">
        <v>97</v>
      </c>
      <c r="PQ43">
        <v>93.4</v>
      </c>
      <c r="PR43">
        <v>98.9</v>
      </c>
      <c r="PS43">
        <v>90.2</v>
      </c>
      <c r="PT43">
        <v>89.2</v>
      </c>
      <c r="PU43">
        <v>91.1</v>
      </c>
      <c r="PV43">
        <v>98.9</v>
      </c>
      <c r="PW43">
        <v>100.8</v>
      </c>
      <c r="PX43">
        <v>97.2</v>
      </c>
      <c r="PY43">
        <v>91.1</v>
      </c>
      <c r="PZ43">
        <v>90.1</v>
      </c>
      <c r="QA43">
        <v>93.3</v>
      </c>
      <c r="QB43">
        <v>85.1</v>
      </c>
      <c r="QC43">
        <v>93.4</v>
      </c>
      <c r="QD43">
        <v>94.5</v>
      </c>
      <c r="QE43">
        <v>92.7</v>
      </c>
      <c r="QF43">
        <v>81.5</v>
      </c>
      <c r="QG43">
        <v>115</v>
      </c>
      <c r="QH43">
        <v>79.900000000000006</v>
      </c>
      <c r="QI43">
        <v>79.900000000000006</v>
      </c>
      <c r="QJ43">
        <v>87.3</v>
      </c>
      <c r="QK43">
        <v>93.7</v>
      </c>
      <c r="QL43">
        <v>89.3</v>
      </c>
      <c r="QM43">
        <v>89.6</v>
      </c>
      <c r="QN43">
        <v>83.4</v>
      </c>
      <c r="QO43">
        <v>86</v>
      </c>
      <c r="QQ43">
        <v>101.6</v>
      </c>
      <c r="QR43">
        <v>103.2</v>
      </c>
      <c r="QS43">
        <v>133.5</v>
      </c>
      <c r="QT43">
        <v>86.1</v>
      </c>
      <c r="QU43">
        <v>101.5</v>
      </c>
      <c r="QV43">
        <v>94.6</v>
      </c>
      <c r="QW43">
        <v>103.5</v>
      </c>
      <c r="QX43">
        <v>98.9</v>
      </c>
      <c r="QY43">
        <v>84.4</v>
      </c>
      <c r="QZ43">
        <v>85.9</v>
      </c>
      <c r="RA43">
        <v>82.2</v>
      </c>
      <c r="RB43">
        <v>82.4</v>
      </c>
      <c r="RC43">
        <v>86.5</v>
      </c>
      <c r="RD43">
        <v>96.6</v>
      </c>
      <c r="RE43">
        <v>106.8</v>
      </c>
      <c r="RF43">
        <v>109</v>
      </c>
      <c r="RG43">
        <v>120.5</v>
      </c>
      <c r="RH43">
        <v>109.6</v>
      </c>
      <c r="RI43">
        <v>95.8</v>
      </c>
      <c r="RJ43">
        <v>122</v>
      </c>
      <c r="RK43">
        <v>95.6</v>
      </c>
      <c r="RL43">
        <v>105.5</v>
      </c>
      <c r="RM43">
        <v>103.9</v>
      </c>
      <c r="RN43">
        <v>123.8</v>
      </c>
      <c r="RO43">
        <v>110.3</v>
      </c>
      <c r="RP43">
        <v>103</v>
      </c>
      <c r="RQ43">
        <v>103.2</v>
      </c>
      <c r="RS43">
        <v>106.9</v>
      </c>
      <c r="RT43">
        <v>113.8</v>
      </c>
      <c r="RV43">
        <v>91.1</v>
      </c>
      <c r="RW43">
        <v>110</v>
      </c>
      <c r="RX43">
        <v>129.19999999999999</v>
      </c>
      <c r="SA43">
        <v>108.8</v>
      </c>
      <c r="SB43">
        <v>90.3</v>
      </c>
      <c r="SC43">
        <v>106.8</v>
      </c>
      <c r="SF43">
        <v>88.7</v>
      </c>
      <c r="SG43">
        <v>91.6</v>
      </c>
      <c r="SH43">
        <v>96.3</v>
      </c>
      <c r="SI43">
        <v>91.9</v>
      </c>
      <c r="SK43">
        <v>99.6</v>
      </c>
      <c r="SL43">
        <v>89.9</v>
      </c>
      <c r="SM43">
        <v>95.3</v>
      </c>
      <c r="SN43">
        <v>95.1</v>
      </c>
      <c r="SO43">
        <v>96.6</v>
      </c>
      <c r="SP43">
        <v>95.4</v>
      </c>
      <c r="SQ43">
        <v>94.7</v>
      </c>
      <c r="SR43">
        <v>95.2</v>
      </c>
      <c r="SS43">
        <v>94.7</v>
      </c>
      <c r="ST43">
        <v>94.1</v>
      </c>
      <c r="SU43">
        <v>95.8</v>
      </c>
      <c r="SV43">
        <v>95.3</v>
      </c>
      <c r="SX43">
        <v>92.8</v>
      </c>
      <c r="SZ43">
        <v>83.5</v>
      </c>
      <c r="TA43">
        <v>91.4</v>
      </c>
      <c r="TB43">
        <v>73.5</v>
      </c>
      <c r="TC43">
        <v>71.599999999999994</v>
      </c>
      <c r="TD43">
        <v>80</v>
      </c>
      <c r="TE43">
        <v>96.1</v>
      </c>
      <c r="TF43">
        <v>95.9</v>
      </c>
      <c r="TG43">
        <v>98.9</v>
      </c>
      <c r="TH43">
        <v>95.5</v>
      </c>
      <c r="TI43">
        <v>94.5</v>
      </c>
      <c r="TJ43">
        <v>94</v>
      </c>
      <c r="TK43">
        <v>71.3</v>
      </c>
      <c r="TL43">
        <v>68.900000000000006</v>
      </c>
      <c r="TN43">
        <v>96.6</v>
      </c>
      <c r="TO43">
        <v>98.2</v>
      </c>
      <c r="TP43">
        <v>75.3</v>
      </c>
      <c r="TQ43">
        <v>66.7</v>
      </c>
      <c r="TR43">
        <v>214.9</v>
      </c>
      <c r="TT43">
        <v>89.8</v>
      </c>
      <c r="TU43">
        <v>88.6</v>
      </c>
      <c r="TV43">
        <v>82.3</v>
      </c>
      <c r="TW43">
        <v>102</v>
      </c>
      <c r="TX43">
        <v>97.3</v>
      </c>
      <c r="TY43">
        <v>94.1</v>
      </c>
      <c r="TZ43">
        <v>98.7</v>
      </c>
      <c r="UC43">
        <v>129.6</v>
      </c>
      <c r="UD43">
        <v>90.3</v>
      </c>
      <c r="UE43">
        <v>113.8</v>
      </c>
      <c r="UF43">
        <v>79.400000000000006</v>
      </c>
      <c r="UG43">
        <v>95.2</v>
      </c>
      <c r="UH43">
        <v>93.5</v>
      </c>
      <c r="UI43">
        <v>124.2</v>
      </c>
      <c r="UJ43">
        <v>90.7</v>
      </c>
      <c r="UK43">
        <v>99.6</v>
      </c>
      <c r="UL43">
        <v>113.7</v>
      </c>
      <c r="UM43">
        <v>127.5</v>
      </c>
      <c r="UN43">
        <v>96</v>
      </c>
      <c r="UO43">
        <v>101</v>
      </c>
      <c r="UP43">
        <v>91.9</v>
      </c>
      <c r="UQ43">
        <v>373.8</v>
      </c>
      <c r="UR43">
        <v>120.2</v>
      </c>
      <c r="US43">
        <v>104.6</v>
      </c>
      <c r="UT43">
        <v>97.2</v>
      </c>
      <c r="UU43">
        <v>101.5</v>
      </c>
      <c r="UV43">
        <v>87.1</v>
      </c>
      <c r="UW43">
        <v>81.5</v>
      </c>
      <c r="UX43">
        <v>84.2</v>
      </c>
      <c r="UY43">
        <v>80.599999999999994</v>
      </c>
      <c r="UZ43">
        <v>88.6</v>
      </c>
      <c r="VA43">
        <v>88.7</v>
      </c>
      <c r="VB43">
        <v>92.9</v>
      </c>
      <c r="VC43">
        <v>83.1</v>
      </c>
      <c r="VD43">
        <v>103.9</v>
      </c>
      <c r="VE43">
        <v>334</v>
      </c>
      <c r="VF43">
        <v>534.1</v>
      </c>
      <c r="VG43">
        <v>720.8</v>
      </c>
      <c r="VH43">
        <v>573.4</v>
      </c>
      <c r="VI43">
        <v>911.2</v>
      </c>
      <c r="VK43">
        <v>119.9</v>
      </c>
      <c r="VL43">
        <v>572.79999999999995</v>
      </c>
      <c r="VM43">
        <v>83.6</v>
      </c>
      <c r="VN43">
        <v>87.9</v>
      </c>
      <c r="VO43">
        <v>95.7</v>
      </c>
      <c r="VP43">
        <v>86.6</v>
      </c>
      <c r="VQ43">
        <v>102.4</v>
      </c>
      <c r="VR43">
        <v>73.2</v>
      </c>
      <c r="VT43">
        <v>103.9</v>
      </c>
      <c r="VU43">
        <v>112.4</v>
      </c>
      <c r="VV43">
        <v>78.5</v>
      </c>
      <c r="VW43">
        <v>108.4</v>
      </c>
      <c r="VX43">
        <v>80</v>
      </c>
      <c r="VY43">
        <v>123.5</v>
      </c>
      <c r="VZ43">
        <v>110.3</v>
      </c>
      <c r="WB43">
        <v>111.1</v>
      </c>
      <c r="WC43">
        <v>230.9</v>
      </c>
      <c r="WE43">
        <v>103</v>
      </c>
      <c r="WF43">
        <v>86.9</v>
      </c>
      <c r="WG43">
        <v>99.7</v>
      </c>
      <c r="WH43">
        <v>85.5</v>
      </c>
      <c r="WI43">
        <v>85.7</v>
      </c>
      <c r="WJ43">
        <v>86.8</v>
      </c>
      <c r="WK43">
        <v>83.1</v>
      </c>
      <c r="WL43">
        <v>94.3</v>
      </c>
      <c r="WN43">
        <v>99.3</v>
      </c>
      <c r="WO43">
        <v>89.3</v>
      </c>
      <c r="WP43">
        <v>89.1</v>
      </c>
      <c r="WQ43">
        <v>94.3</v>
      </c>
      <c r="WT43">
        <v>100.4</v>
      </c>
      <c r="WV43">
        <v>90.9</v>
      </c>
      <c r="WW43">
        <v>82.1</v>
      </c>
      <c r="WX43">
        <v>89.1</v>
      </c>
      <c r="WY43">
        <v>92</v>
      </c>
      <c r="WZ43">
        <v>91.6</v>
      </c>
      <c r="XA43">
        <v>92.4</v>
      </c>
      <c r="XB43">
        <v>74.099999999999994</v>
      </c>
      <c r="XD43">
        <v>73.7</v>
      </c>
      <c r="XE43">
        <v>88</v>
      </c>
      <c r="XF43">
        <v>87.3</v>
      </c>
      <c r="XG43">
        <v>89.3</v>
      </c>
      <c r="XH43">
        <v>93.8</v>
      </c>
      <c r="XI43">
        <v>106.9</v>
      </c>
      <c r="XJ43">
        <v>106.9</v>
      </c>
      <c r="XK43">
        <v>72</v>
      </c>
      <c r="XL43">
        <v>72</v>
      </c>
      <c r="XM43">
        <v>88.1</v>
      </c>
      <c r="XN43">
        <v>80.2</v>
      </c>
      <c r="XO43">
        <v>91.9</v>
      </c>
      <c r="XP43">
        <v>93</v>
      </c>
      <c r="XQ43">
        <v>84.6</v>
      </c>
      <c r="XR43">
        <v>86.3</v>
      </c>
      <c r="XT43">
        <v>94.4</v>
      </c>
      <c r="XU43">
        <v>96</v>
      </c>
      <c r="XV43">
        <v>97.8</v>
      </c>
      <c r="XW43">
        <v>105.1</v>
      </c>
      <c r="XX43">
        <v>89.9</v>
      </c>
      <c r="XY43">
        <v>90.7</v>
      </c>
      <c r="XZ43">
        <v>92.9</v>
      </c>
      <c r="YA43">
        <v>97.7</v>
      </c>
      <c r="YC43">
        <v>80.5</v>
      </c>
      <c r="YD43">
        <v>87.9</v>
      </c>
      <c r="YE43">
        <v>97.1</v>
      </c>
      <c r="YF43">
        <v>110.4</v>
      </c>
      <c r="YG43">
        <v>88</v>
      </c>
      <c r="YH43">
        <v>96.5</v>
      </c>
      <c r="YI43">
        <v>91.2</v>
      </c>
      <c r="YJ43">
        <v>90.6</v>
      </c>
      <c r="YK43">
        <v>71.400000000000006</v>
      </c>
      <c r="YL43">
        <v>80.7</v>
      </c>
      <c r="YM43">
        <v>98.3</v>
      </c>
      <c r="YO43">
        <v>167.5</v>
      </c>
      <c r="YP43">
        <v>100.6</v>
      </c>
      <c r="YR43">
        <v>95.2</v>
      </c>
      <c r="YT43">
        <v>90.2</v>
      </c>
      <c r="YU43">
        <v>95.1</v>
      </c>
      <c r="YV43">
        <v>103.7</v>
      </c>
      <c r="YW43">
        <v>96.9</v>
      </c>
      <c r="YX43">
        <v>92.3</v>
      </c>
      <c r="YY43">
        <v>92.3</v>
      </c>
      <c r="YZ43">
        <v>94.2</v>
      </c>
      <c r="ZA43">
        <v>96.6</v>
      </c>
      <c r="ZB43">
        <v>100.8</v>
      </c>
      <c r="ZC43">
        <v>153.69999999999999</v>
      </c>
      <c r="ZD43">
        <v>196.6</v>
      </c>
      <c r="ZE43">
        <v>118.8</v>
      </c>
      <c r="ZF43">
        <v>96.4</v>
      </c>
      <c r="ZG43">
        <v>109.6</v>
      </c>
      <c r="ZH43">
        <v>99.3</v>
      </c>
      <c r="ZK43">
        <v>85.3</v>
      </c>
      <c r="ZL43">
        <v>83.4</v>
      </c>
      <c r="ZM43">
        <v>113.4</v>
      </c>
      <c r="ZN43">
        <v>99.1</v>
      </c>
      <c r="ZO43">
        <v>98.6</v>
      </c>
      <c r="ZP43">
        <v>102.1</v>
      </c>
      <c r="ZQ43">
        <v>95.4</v>
      </c>
      <c r="ZR43">
        <v>99.7</v>
      </c>
      <c r="ZT43">
        <v>96.3</v>
      </c>
      <c r="ZU43">
        <v>95.8</v>
      </c>
      <c r="ZV43">
        <v>93</v>
      </c>
      <c r="ZW43">
        <v>103.3</v>
      </c>
      <c r="ZX43">
        <v>120.3</v>
      </c>
      <c r="ZY43">
        <v>92.3</v>
      </c>
      <c r="ZZ43">
        <v>95.2</v>
      </c>
      <c r="AAA43">
        <v>109.5</v>
      </c>
      <c r="AAC43">
        <v>78.8</v>
      </c>
      <c r="AAD43">
        <v>76.7</v>
      </c>
      <c r="AAE43">
        <v>99.6</v>
      </c>
      <c r="AAF43">
        <v>60.5</v>
      </c>
      <c r="AAG43">
        <v>65.400000000000006</v>
      </c>
      <c r="AAH43">
        <v>103.9</v>
      </c>
      <c r="AAI43">
        <v>83</v>
      </c>
      <c r="AAJ43">
        <v>67.2</v>
      </c>
      <c r="AAK43">
        <v>98.2</v>
      </c>
      <c r="AAL43">
        <v>94</v>
      </c>
      <c r="AAM43">
        <v>92.7</v>
      </c>
      <c r="AAN43">
        <v>96.7</v>
      </c>
      <c r="AAO43">
        <v>58.3</v>
      </c>
      <c r="AAP43">
        <v>57.5</v>
      </c>
      <c r="AAQ43">
        <v>59.9</v>
      </c>
      <c r="AAR43">
        <v>96.5</v>
      </c>
      <c r="AAT43">
        <v>74.599999999999994</v>
      </c>
      <c r="AAU43">
        <v>247.7</v>
      </c>
      <c r="AAW43">
        <v>90.6</v>
      </c>
      <c r="AAX43">
        <v>93.1</v>
      </c>
      <c r="AAY43">
        <v>100</v>
      </c>
      <c r="AAZ43">
        <v>94.2</v>
      </c>
      <c r="ABB43">
        <v>79</v>
      </c>
      <c r="ABC43">
        <v>77.8</v>
      </c>
      <c r="ABD43">
        <v>81.5</v>
      </c>
      <c r="ABE43">
        <v>75.3</v>
      </c>
      <c r="ABF43">
        <v>96.2</v>
      </c>
      <c r="ABG43">
        <v>87.8</v>
      </c>
      <c r="ABH43">
        <v>94.1</v>
      </c>
      <c r="ABI43">
        <v>96</v>
      </c>
      <c r="ABJ43">
        <v>103.7</v>
      </c>
      <c r="ABK43">
        <v>95</v>
      </c>
      <c r="ABL43">
        <v>87.7</v>
      </c>
      <c r="ABM43">
        <v>97.1</v>
      </c>
      <c r="ABN43">
        <v>100.3</v>
      </c>
      <c r="ABO43">
        <v>107.7</v>
      </c>
      <c r="ABP43">
        <v>103.1</v>
      </c>
      <c r="ABQ43">
        <v>108.6</v>
      </c>
    </row>
    <row r="44" spans="1:745">
      <c r="A44">
        <v>2007</v>
      </c>
      <c r="B44">
        <v>95.8</v>
      </c>
      <c r="C44">
        <v>86.9</v>
      </c>
      <c r="D44">
        <v>92</v>
      </c>
      <c r="E44">
        <v>97.4</v>
      </c>
      <c r="F44">
        <v>100.9</v>
      </c>
      <c r="G44">
        <v>95.6</v>
      </c>
      <c r="H44">
        <v>87.8</v>
      </c>
      <c r="I44">
        <v>90.2</v>
      </c>
      <c r="J44">
        <v>84.9</v>
      </c>
      <c r="K44">
        <v>88.2</v>
      </c>
      <c r="L44">
        <v>86.5</v>
      </c>
      <c r="M44">
        <v>89</v>
      </c>
      <c r="N44">
        <v>86.9</v>
      </c>
      <c r="O44">
        <v>86.2</v>
      </c>
      <c r="P44">
        <v>78.099999999999994</v>
      </c>
      <c r="Q44">
        <v>96.4</v>
      </c>
      <c r="R44">
        <v>100.2</v>
      </c>
      <c r="S44">
        <v>71.5</v>
      </c>
      <c r="T44">
        <v>113.7</v>
      </c>
      <c r="V44">
        <v>77.2</v>
      </c>
      <c r="W44">
        <v>78.2</v>
      </c>
      <c r="X44">
        <v>91.3</v>
      </c>
      <c r="Y44">
        <v>94.9</v>
      </c>
      <c r="Z44">
        <v>107</v>
      </c>
      <c r="AA44">
        <v>92.3</v>
      </c>
      <c r="AB44">
        <v>69.900000000000006</v>
      </c>
      <c r="AC44">
        <v>88</v>
      </c>
      <c r="AD44">
        <v>50.4</v>
      </c>
      <c r="AE44">
        <v>84.2</v>
      </c>
      <c r="AF44">
        <v>83.8</v>
      </c>
      <c r="AG44">
        <v>55.2</v>
      </c>
      <c r="AH44">
        <v>72.599999999999994</v>
      </c>
      <c r="AI44">
        <v>81.8</v>
      </c>
      <c r="AJ44">
        <v>84</v>
      </c>
      <c r="AK44">
        <v>78.900000000000006</v>
      </c>
      <c r="AL44">
        <v>69.3</v>
      </c>
      <c r="AM44">
        <v>72.900000000000006</v>
      </c>
      <c r="AN44">
        <v>59.2</v>
      </c>
      <c r="AO44">
        <v>98.6</v>
      </c>
      <c r="AP44">
        <v>67</v>
      </c>
      <c r="AQ44">
        <v>77.599999999999994</v>
      </c>
      <c r="AR44">
        <v>91.3</v>
      </c>
      <c r="AS44">
        <v>67</v>
      </c>
      <c r="AU44">
        <v>85</v>
      </c>
      <c r="AV44">
        <v>80.7</v>
      </c>
      <c r="AW44">
        <v>86.5</v>
      </c>
      <c r="AX44">
        <v>88.1</v>
      </c>
      <c r="AY44">
        <v>74.099999999999994</v>
      </c>
      <c r="AZ44">
        <v>77.7</v>
      </c>
      <c r="BA44">
        <v>71.3</v>
      </c>
      <c r="BB44">
        <v>75.3</v>
      </c>
      <c r="BC44">
        <v>79.400000000000006</v>
      </c>
      <c r="BD44">
        <v>84.6</v>
      </c>
      <c r="BE44">
        <v>80</v>
      </c>
      <c r="BF44">
        <v>77.5</v>
      </c>
      <c r="BG44">
        <v>67.099999999999994</v>
      </c>
      <c r="BH44">
        <v>79.099999999999994</v>
      </c>
      <c r="BJ44">
        <v>86</v>
      </c>
      <c r="BK44">
        <v>105.6</v>
      </c>
      <c r="BL44">
        <v>110.8</v>
      </c>
      <c r="BM44">
        <v>103.8</v>
      </c>
      <c r="BN44">
        <v>99.9</v>
      </c>
      <c r="BP44">
        <v>85.5</v>
      </c>
      <c r="BQ44">
        <v>86.3</v>
      </c>
      <c r="BR44">
        <v>86.1</v>
      </c>
      <c r="BS44">
        <v>89.9</v>
      </c>
      <c r="BT44">
        <v>87.1</v>
      </c>
      <c r="BU44">
        <v>91.8</v>
      </c>
      <c r="BV44">
        <v>91.4</v>
      </c>
      <c r="BW44">
        <v>72.5</v>
      </c>
      <c r="BX44">
        <v>75.8</v>
      </c>
      <c r="BY44">
        <v>84.1</v>
      </c>
      <c r="BZ44">
        <v>83.1</v>
      </c>
      <c r="CA44">
        <v>83.1</v>
      </c>
      <c r="CB44">
        <v>84.4</v>
      </c>
      <c r="CC44">
        <v>82.7</v>
      </c>
      <c r="CD44">
        <v>85</v>
      </c>
      <c r="CE44">
        <v>69.3</v>
      </c>
      <c r="CF44">
        <v>74</v>
      </c>
      <c r="CG44">
        <v>88.6</v>
      </c>
      <c r="CH44">
        <v>96.6</v>
      </c>
      <c r="CI44">
        <v>96.8</v>
      </c>
      <c r="CJ44">
        <v>101.7</v>
      </c>
      <c r="CK44">
        <v>88.5</v>
      </c>
      <c r="CL44">
        <v>78.900000000000006</v>
      </c>
      <c r="CM44">
        <v>65.8</v>
      </c>
      <c r="CN44">
        <v>73</v>
      </c>
      <c r="CO44">
        <v>82.1</v>
      </c>
      <c r="CP44">
        <v>71.3</v>
      </c>
      <c r="CQ44">
        <v>77.400000000000006</v>
      </c>
      <c r="CR44">
        <v>78.8</v>
      </c>
      <c r="CS44">
        <v>81.400000000000006</v>
      </c>
      <c r="CT44">
        <v>75</v>
      </c>
      <c r="CV44">
        <v>82.7</v>
      </c>
      <c r="CW44">
        <v>78.599999999999994</v>
      </c>
      <c r="CX44">
        <v>72.2</v>
      </c>
      <c r="CY44">
        <v>77.3</v>
      </c>
      <c r="CZ44">
        <v>71.900000000000006</v>
      </c>
      <c r="DA44">
        <v>81.8</v>
      </c>
      <c r="DB44">
        <v>72.8</v>
      </c>
      <c r="DC44">
        <v>110.1</v>
      </c>
      <c r="DD44">
        <v>115.7</v>
      </c>
      <c r="DE44">
        <v>115.1</v>
      </c>
      <c r="DG44">
        <v>87.1</v>
      </c>
      <c r="DH44">
        <v>72.400000000000006</v>
      </c>
      <c r="DI44">
        <v>80.400000000000006</v>
      </c>
      <c r="DJ44">
        <v>82.7</v>
      </c>
      <c r="DK44">
        <v>62.8</v>
      </c>
      <c r="DL44">
        <v>72.7</v>
      </c>
      <c r="DM44">
        <v>51.5</v>
      </c>
      <c r="DN44">
        <v>99.9</v>
      </c>
      <c r="DO44">
        <v>95.4</v>
      </c>
      <c r="DP44">
        <v>94.8</v>
      </c>
      <c r="DQ44">
        <v>114.8</v>
      </c>
      <c r="DR44">
        <v>87.1</v>
      </c>
      <c r="DS44">
        <v>99</v>
      </c>
      <c r="DT44">
        <v>70.2</v>
      </c>
      <c r="DU44">
        <v>83.1</v>
      </c>
      <c r="DV44">
        <v>86.2</v>
      </c>
      <c r="DW44">
        <v>104.4</v>
      </c>
      <c r="DX44">
        <v>83.3</v>
      </c>
      <c r="DY44">
        <v>97.6</v>
      </c>
      <c r="DZ44">
        <v>75.099999999999994</v>
      </c>
      <c r="EA44">
        <v>74.7</v>
      </c>
      <c r="EB44">
        <v>77.2</v>
      </c>
      <c r="EC44">
        <v>71.400000000000006</v>
      </c>
      <c r="ED44">
        <v>98.5</v>
      </c>
      <c r="EF44">
        <v>58.6</v>
      </c>
      <c r="EG44">
        <v>66.599999999999994</v>
      </c>
      <c r="EH44">
        <v>60.9</v>
      </c>
      <c r="EI44">
        <v>86.9</v>
      </c>
      <c r="EJ44">
        <v>66.900000000000006</v>
      </c>
      <c r="EK44">
        <v>71.900000000000006</v>
      </c>
      <c r="EL44">
        <v>82.5</v>
      </c>
      <c r="EM44">
        <v>72</v>
      </c>
      <c r="EN44">
        <v>85.7</v>
      </c>
      <c r="EO44">
        <v>80.900000000000006</v>
      </c>
      <c r="EP44">
        <v>99.7</v>
      </c>
      <c r="ER44">
        <v>80</v>
      </c>
      <c r="ET44">
        <v>96.7</v>
      </c>
      <c r="EU44">
        <v>106</v>
      </c>
      <c r="EV44">
        <v>119.4</v>
      </c>
      <c r="EW44">
        <v>69.3</v>
      </c>
      <c r="EX44">
        <v>95.6</v>
      </c>
      <c r="EY44">
        <v>93.7</v>
      </c>
      <c r="EZ44">
        <v>97.4</v>
      </c>
      <c r="FA44">
        <v>95.7</v>
      </c>
      <c r="FB44">
        <v>91.7</v>
      </c>
      <c r="FC44">
        <v>98.5</v>
      </c>
      <c r="FD44">
        <v>107.8</v>
      </c>
      <c r="FE44">
        <v>121.8</v>
      </c>
      <c r="FF44">
        <v>102</v>
      </c>
      <c r="FH44">
        <v>87.7</v>
      </c>
      <c r="FI44">
        <v>89.7</v>
      </c>
      <c r="FJ44">
        <v>72</v>
      </c>
      <c r="FK44">
        <v>100.9</v>
      </c>
      <c r="FL44">
        <v>95.1</v>
      </c>
      <c r="FM44">
        <v>94.9</v>
      </c>
      <c r="FO44">
        <v>105.3</v>
      </c>
      <c r="FQ44">
        <v>81</v>
      </c>
      <c r="FR44">
        <v>87.4</v>
      </c>
      <c r="FS44">
        <v>76.900000000000006</v>
      </c>
      <c r="FT44">
        <v>77.099999999999994</v>
      </c>
      <c r="FU44">
        <v>93.3</v>
      </c>
      <c r="FV44">
        <v>73.3</v>
      </c>
      <c r="FW44">
        <v>91.4</v>
      </c>
      <c r="FX44">
        <v>84.7</v>
      </c>
      <c r="FY44">
        <v>83</v>
      </c>
      <c r="GA44">
        <v>97.4</v>
      </c>
      <c r="GB44">
        <v>83.2</v>
      </c>
      <c r="GC44">
        <v>99.9</v>
      </c>
      <c r="GD44">
        <v>77.8</v>
      </c>
      <c r="GE44">
        <v>62</v>
      </c>
      <c r="GF44">
        <v>82.3</v>
      </c>
      <c r="GG44">
        <v>72.900000000000006</v>
      </c>
      <c r="GH44">
        <v>98.6</v>
      </c>
      <c r="GI44">
        <v>86.4</v>
      </c>
      <c r="GJ44">
        <v>89.7</v>
      </c>
      <c r="GK44">
        <v>84.4</v>
      </c>
      <c r="GM44">
        <v>86.4</v>
      </c>
      <c r="GO44">
        <v>92.5</v>
      </c>
      <c r="GP44">
        <v>81.099999999999994</v>
      </c>
      <c r="GQ44">
        <v>114.7</v>
      </c>
      <c r="GR44">
        <v>109.6</v>
      </c>
      <c r="GU44">
        <v>84.3</v>
      </c>
      <c r="GV44">
        <v>52.3</v>
      </c>
      <c r="GW44">
        <v>85.8</v>
      </c>
      <c r="GX44">
        <v>89.6</v>
      </c>
      <c r="GY44">
        <v>91.3</v>
      </c>
      <c r="GZ44">
        <v>84.7</v>
      </c>
      <c r="HA44">
        <v>90.7</v>
      </c>
      <c r="HD44">
        <v>108</v>
      </c>
      <c r="HE44">
        <v>95.1</v>
      </c>
      <c r="HG44">
        <v>104.1</v>
      </c>
      <c r="HH44">
        <v>96.7</v>
      </c>
      <c r="HI44">
        <v>84.2</v>
      </c>
      <c r="HO44">
        <v>105.6</v>
      </c>
      <c r="HP44">
        <v>111.5</v>
      </c>
      <c r="HQ44">
        <v>101.7</v>
      </c>
      <c r="HR44">
        <v>96.5</v>
      </c>
      <c r="HS44">
        <v>125.8</v>
      </c>
      <c r="HT44">
        <v>100.1</v>
      </c>
      <c r="HU44">
        <v>83.5</v>
      </c>
      <c r="HV44">
        <v>107.8</v>
      </c>
      <c r="HW44">
        <v>110.6</v>
      </c>
      <c r="HY44">
        <v>105.3</v>
      </c>
      <c r="HZ44">
        <v>99.8</v>
      </c>
      <c r="IA44">
        <v>107.6</v>
      </c>
      <c r="IB44">
        <v>97.1</v>
      </c>
      <c r="IC44">
        <v>116.8</v>
      </c>
      <c r="IE44">
        <v>85.9</v>
      </c>
      <c r="IF44">
        <v>136.19999999999999</v>
      </c>
      <c r="IH44">
        <v>107.6</v>
      </c>
      <c r="IJ44">
        <v>98.7</v>
      </c>
      <c r="IK44">
        <v>110</v>
      </c>
      <c r="IL44">
        <v>95</v>
      </c>
      <c r="IM44">
        <v>98</v>
      </c>
      <c r="IN44">
        <v>94.9</v>
      </c>
      <c r="IO44">
        <v>87.6</v>
      </c>
      <c r="IP44">
        <v>98.4</v>
      </c>
      <c r="IQ44">
        <v>97.6</v>
      </c>
      <c r="IR44">
        <v>111.4</v>
      </c>
      <c r="IS44">
        <v>98.1</v>
      </c>
      <c r="IT44">
        <v>88</v>
      </c>
      <c r="IU44">
        <v>87.6</v>
      </c>
      <c r="IV44">
        <v>86.1</v>
      </c>
      <c r="IX44">
        <v>86.9</v>
      </c>
      <c r="IY44">
        <v>90.5</v>
      </c>
      <c r="IZ44">
        <v>82.5</v>
      </c>
      <c r="JA44">
        <v>87.2</v>
      </c>
      <c r="JB44">
        <v>90</v>
      </c>
      <c r="JC44">
        <v>88.8</v>
      </c>
      <c r="JD44">
        <v>93.3</v>
      </c>
      <c r="JE44">
        <v>90.3</v>
      </c>
      <c r="JH44">
        <v>90.8</v>
      </c>
      <c r="JI44">
        <v>91</v>
      </c>
      <c r="JJ44">
        <v>87.7</v>
      </c>
      <c r="JK44">
        <v>77.2</v>
      </c>
      <c r="JL44">
        <v>89.1</v>
      </c>
      <c r="JM44">
        <v>102.3</v>
      </c>
      <c r="JN44">
        <v>90.9</v>
      </c>
      <c r="JO44">
        <v>89.7</v>
      </c>
      <c r="JQ44">
        <v>88.7</v>
      </c>
      <c r="JS44">
        <v>93.5</v>
      </c>
      <c r="JT44">
        <v>93.5</v>
      </c>
      <c r="JU44">
        <v>93.7</v>
      </c>
      <c r="JV44">
        <v>100.9</v>
      </c>
      <c r="JW44">
        <v>103.1</v>
      </c>
      <c r="JX44">
        <v>104.5</v>
      </c>
      <c r="JY44">
        <v>104.5</v>
      </c>
      <c r="JZ44">
        <v>97.7</v>
      </c>
      <c r="KA44">
        <v>98.1</v>
      </c>
      <c r="KB44">
        <v>97.2</v>
      </c>
      <c r="KC44">
        <v>103</v>
      </c>
      <c r="KD44">
        <v>103</v>
      </c>
      <c r="KE44">
        <v>88.9</v>
      </c>
      <c r="KF44">
        <v>98.4</v>
      </c>
      <c r="KG44">
        <v>95.4</v>
      </c>
      <c r="KH44">
        <v>163.6</v>
      </c>
      <c r="KI44">
        <v>101.7</v>
      </c>
      <c r="KJ44">
        <v>87.9</v>
      </c>
      <c r="KL44">
        <v>72.400000000000006</v>
      </c>
      <c r="KM44">
        <v>85.6</v>
      </c>
      <c r="KN44">
        <v>87.1</v>
      </c>
      <c r="KO44">
        <v>74.599999999999994</v>
      </c>
      <c r="KP44">
        <v>81.900000000000006</v>
      </c>
      <c r="KS44">
        <v>91.3</v>
      </c>
      <c r="KT44">
        <v>82.3</v>
      </c>
      <c r="KU44">
        <v>95.1</v>
      </c>
      <c r="KX44">
        <v>85.7</v>
      </c>
      <c r="KY44">
        <v>86.8</v>
      </c>
      <c r="KZ44">
        <v>81.400000000000006</v>
      </c>
      <c r="LA44">
        <v>81.400000000000006</v>
      </c>
      <c r="LB44">
        <v>89.9</v>
      </c>
      <c r="LC44">
        <v>97.3</v>
      </c>
      <c r="LD44">
        <v>80.2</v>
      </c>
      <c r="LE44">
        <v>98.3</v>
      </c>
      <c r="LF44">
        <v>98.3</v>
      </c>
      <c r="LG44">
        <v>91.5</v>
      </c>
      <c r="LH44">
        <v>94.1</v>
      </c>
      <c r="LI44">
        <v>87.8</v>
      </c>
      <c r="LJ44">
        <v>110.6</v>
      </c>
      <c r="LK44">
        <v>153.69999999999999</v>
      </c>
      <c r="LL44">
        <v>244.5</v>
      </c>
      <c r="LM44">
        <v>287.60000000000002</v>
      </c>
      <c r="LN44">
        <v>138.30000000000001</v>
      </c>
      <c r="LO44">
        <v>142.4</v>
      </c>
      <c r="LP44">
        <v>382.5</v>
      </c>
      <c r="LQ44">
        <v>281.2</v>
      </c>
      <c r="LR44">
        <v>202.5</v>
      </c>
      <c r="LS44">
        <v>578.1</v>
      </c>
      <c r="LT44">
        <v>114</v>
      </c>
      <c r="LU44">
        <v>123.8</v>
      </c>
      <c r="LV44">
        <v>100.2</v>
      </c>
      <c r="LX44">
        <v>90.4</v>
      </c>
      <c r="LY44">
        <v>86.2</v>
      </c>
      <c r="MA44">
        <v>96.6</v>
      </c>
      <c r="MB44">
        <v>119.4</v>
      </c>
      <c r="MC44">
        <v>288.39999999999998</v>
      </c>
      <c r="MD44">
        <v>109</v>
      </c>
      <c r="ME44">
        <v>87.2</v>
      </c>
      <c r="MG44">
        <v>92.9</v>
      </c>
      <c r="MH44">
        <v>86.5</v>
      </c>
      <c r="MI44">
        <v>92.2</v>
      </c>
      <c r="MJ44">
        <v>92.1</v>
      </c>
      <c r="MK44">
        <v>106.9</v>
      </c>
      <c r="MM44">
        <v>85.1</v>
      </c>
      <c r="MN44">
        <v>92</v>
      </c>
      <c r="MO44">
        <v>90.5</v>
      </c>
      <c r="MP44">
        <v>95.8</v>
      </c>
      <c r="MQ44">
        <v>81.400000000000006</v>
      </c>
      <c r="MS44">
        <v>87.1</v>
      </c>
      <c r="MU44">
        <v>88.5</v>
      </c>
      <c r="MV44">
        <v>85.6</v>
      </c>
      <c r="MW44">
        <v>73.599999999999994</v>
      </c>
      <c r="MX44">
        <v>85.5</v>
      </c>
      <c r="NB44">
        <v>100.8</v>
      </c>
      <c r="NC44">
        <v>93.3</v>
      </c>
      <c r="ND44">
        <v>100.9</v>
      </c>
      <c r="NE44">
        <v>88.4</v>
      </c>
      <c r="NF44">
        <v>109.4</v>
      </c>
      <c r="NG44">
        <v>121.8</v>
      </c>
      <c r="NH44">
        <v>101.9</v>
      </c>
      <c r="NI44">
        <v>99.1</v>
      </c>
      <c r="NJ44">
        <v>99.3</v>
      </c>
      <c r="NK44">
        <v>80.599999999999994</v>
      </c>
      <c r="NL44">
        <v>93.2</v>
      </c>
      <c r="NM44">
        <v>123.9</v>
      </c>
      <c r="NN44">
        <v>108.1</v>
      </c>
      <c r="NO44">
        <v>99.4</v>
      </c>
      <c r="NQ44">
        <v>95.2</v>
      </c>
      <c r="NR44">
        <v>90.7</v>
      </c>
      <c r="NS44">
        <v>90.7</v>
      </c>
      <c r="NT44">
        <v>97.3</v>
      </c>
      <c r="NU44">
        <v>116.7</v>
      </c>
      <c r="NW44">
        <v>95.4</v>
      </c>
      <c r="NX44">
        <v>95.4</v>
      </c>
      <c r="NY44">
        <v>93.8</v>
      </c>
      <c r="NZ44">
        <v>95.5</v>
      </c>
      <c r="OA44">
        <v>95</v>
      </c>
      <c r="OB44">
        <v>95.9</v>
      </c>
      <c r="OC44">
        <v>93.2</v>
      </c>
      <c r="OD44">
        <v>95.5</v>
      </c>
      <c r="OE44">
        <v>86.4</v>
      </c>
      <c r="OF44">
        <v>71.400000000000006</v>
      </c>
      <c r="OH44">
        <v>82</v>
      </c>
      <c r="OJ44">
        <v>91.3</v>
      </c>
      <c r="OK44">
        <v>88.6</v>
      </c>
      <c r="OL44">
        <v>79</v>
      </c>
      <c r="OM44">
        <v>94.6</v>
      </c>
      <c r="ON44">
        <v>98.6</v>
      </c>
      <c r="OO44">
        <v>83</v>
      </c>
      <c r="OP44">
        <v>91.3</v>
      </c>
      <c r="OQ44">
        <v>96.1</v>
      </c>
      <c r="OS44">
        <v>85.6</v>
      </c>
      <c r="OU44">
        <v>85.7</v>
      </c>
      <c r="OV44">
        <v>90</v>
      </c>
      <c r="OW44">
        <v>88.3</v>
      </c>
      <c r="OX44">
        <v>91.3</v>
      </c>
      <c r="OY44">
        <v>86.5</v>
      </c>
      <c r="OZ44">
        <v>84.7</v>
      </c>
      <c r="PA44">
        <v>127.8</v>
      </c>
      <c r="PB44">
        <v>86.4</v>
      </c>
      <c r="PC44">
        <v>82.4</v>
      </c>
      <c r="PD44">
        <v>155.1</v>
      </c>
      <c r="PG44">
        <v>105.9</v>
      </c>
      <c r="PH44">
        <v>93.9</v>
      </c>
      <c r="PI44">
        <v>95.2</v>
      </c>
      <c r="PJ44">
        <v>96</v>
      </c>
      <c r="PK44">
        <v>106.6</v>
      </c>
      <c r="PL44">
        <v>96.4</v>
      </c>
      <c r="PM44">
        <v>94</v>
      </c>
      <c r="PN44">
        <v>91.2</v>
      </c>
      <c r="PO44">
        <v>94.2</v>
      </c>
      <c r="PP44">
        <v>101.7</v>
      </c>
      <c r="PQ44">
        <v>97.3</v>
      </c>
      <c r="PR44">
        <v>98.2</v>
      </c>
      <c r="PS44">
        <v>92.7</v>
      </c>
      <c r="PT44">
        <v>89.7</v>
      </c>
      <c r="PU44">
        <v>93.3</v>
      </c>
      <c r="PV44">
        <v>99.5</v>
      </c>
      <c r="PW44">
        <v>101.3</v>
      </c>
      <c r="PX44">
        <v>97.9</v>
      </c>
      <c r="PY44">
        <v>90.7</v>
      </c>
      <c r="PZ44">
        <v>90</v>
      </c>
      <c r="QA44">
        <v>93.3</v>
      </c>
      <c r="QB44">
        <v>85.4</v>
      </c>
      <c r="QC44">
        <v>92.4</v>
      </c>
      <c r="QD44">
        <v>94.2</v>
      </c>
      <c r="QE44">
        <v>92.5</v>
      </c>
      <c r="QF44">
        <v>82.2</v>
      </c>
      <c r="QG44">
        <v>110</v>
      </c>
      <c r="QH44">
        <v>79</v>
      </c>
      <c r="QI44">
        <v>79</v>
      </c>
      <c r="QJ44">
        <v>88.7</v>
      </c>
      <c r="QK44">
        <v>94.6</v>
      </c>
      <c r="QL44">
        <v>91.1</v>
      </c>
      <c r="QM44">
        <v>88.5</v>
      </c>
      <c r="QN44">
        <v>83.9</v>
      </c>
      <c r="QO44">
        <v>86.2</v>
      </c>
      <c r="QQ44">
        <v>101.1</v>
      </c>
      <c r="QR44">
        <v>102.4</v>
      </c>
      <c r="QS44">
        <v>130.6</v>
      </c>
      <c r="QT44">
        <v>87.2</v>
      </c>
      <c r="QU44">
        <v>100.5</v>
      </c>
      <c r="QV44">
        <v>94.6</v>
      </c>
      <c r="QW44">
        <v>103.3</v>
      </c>
      <c r="QX44">
        <v>99.2</v>
      </c>
      <c r="QY44">
        <v>85.3</v>
      </c>
      <c r="QZ44">
        <v>86.8</v>
      </c>
      <c r="RA44">
        <v>83.1</v>
      </c>
      <c r="RB44">
        <v>83.4</v>
      </c>
      <c r="RC44">
        <v>87.2</v>
      </c>
      <c r="RD44">
        <v>96.8</v>
      </c>
      <c r="RE44">
        <v>106.2</v>
      </c>
      <c r="RF44">
        <v>108.6</v>
      </c>
      <c r="RG44">
        <v>119.9</v>
      </c>
      <c r="RH44">
        <v>108.7</v>
      </c>
      <c r="RI44">
        <v>95.9</v>
      </c>
      <c r="RJ44">
        <v>119.1</v>
      </c>
      <c r="RK44">
        <v>95.9</v>
      </c>
      <c r="RL44">
        <v>105.4</v>
      </c>
      <c r="RM44">
        <v>103.9</v>
      </c>
      <c r="RN44">
        <v>124</v>
      </c>
      <c r="RO44">
        <v>109.7</v>
      </c>
      <c r="RP44">
        <v>102</v>
      </c>
      <c r="RQ44">
        <v>103</v>
      </c>
      <c r="RS44">
        <v>105.9</v>
      </c>
      <c r="RT44">
        <v>112.5</v>
      </c>
      <c r="RV44">
        <v>90.4</v>
      </c>
      <c r="RW44">
        <v>107.8</v>
      </c>
      <c r="RX44">
        <v>121.1</v>
      </c>
      <c r="SA44">
        <v>108.3</v>
      </c>
      <c r="SB44">
        <v>90.2</v>
      </c>
      <c r="SC44">
        <v>104.9</v>
      </c>
      <c r="SF44">
        <v>89.7</v>
      </c>
      <c r="SG44">
        <v>92.4</v>
      </c>
      <c r="SH44">
        <v>96.4</v>
      </c>
      <c r="SI44">
        <v>92.6</v>
      </c>
      <c r="SK44">
        <v>100.5</v>
      </c>
      <c r="SL44">
        <v>90.4</v>
      </c>
      <c r="SM44">
        <v>95.3</v>
      </c>
      <c r="SN44">
        <v>95.1</v>
      </c>
      <c r="SO44">
        <v>96.6</v>
      </c>
      <c r="SP44">
        <v>95.4</v>
      </c>
      <c r="SQ44">
        <v>94.7</v>
      </c>
      <c r="SR44">
        <v>95.2</v>
      </c>
      <c r="SS44">
        <v>94.9</v>
      </c>
      <c r="ST44">
        <v>94.2</v>
      </c>
      <c r="SU44">
        <v>96</v>
      </c>
      <c r="SV44">
        <v>95.5</v>
      </c>
      <c r="SX44">
        <v>92.8</v>
      </c>
      <c r="SZ44">
        <v>85.2</v>
      </c>
      <c r="TA44">
        <v>95.1</v>
      </c>
      <c r="TB44">
        <v>73.5</v>
      </c>
      <c r="TC44">
        <v>71.599999999999994</v>
      </c>
      <c r="TD44">
        <v>80.3</v>
      </c>
      <c r="TE44">
        <v>98.3</v>
      </c>
      <c r="TF44">
        <v>96.1</v>
      </c>
      <c r="TG44">
        <v>98.8</v>
      </c>
      <c r="TH44">
        <v>95.6</v>
      </c>
      <c r="TI44">
        <v>94.4</v>
      </c>
      <c r="TJ44">
        <v>94.8</v>
      </c>
      <c r="TK44">
        <v>75.3</v>
      </c>
      <c r="TL44">
        <v>72.8</v>
      </c>
      <c r="TN44">
        <v>99.5</v>
      </c>
      <c r="TO44">
        <v>105.3</v>
      </c>
      <c r="TP44">
        <v>78.2</v>
      </c>
      <c r="TQ44">
        <v>77.900000000000006</v>
      </c>
      <c r="TR44">
        <v>194.5</v>
      </c>
      <c r="TT44">
        <v>89.5</v>
      </c>
      <c r="TU44">
        <v>89.2</v>
      </c>
      <c r="TV44">
        <v>82.8</v>
      </c>
      <c r="TW44">
        <v>102</v>
      </c>
      <c r="TX44">
        <v>96.8</v>
      </c>
      <c r="TY44">
        <v>96.7</v>
      </c>
      <c r="TZ44">
        <v>98.7</v>
      </c>
      <c r="UC44">
        <v>130.19999999999999</v>
      </c>
      <c r="UD44">
        <v>90.2</v>
      </c>
      <c r="UE44">
        <v>111.5</v>
      </c>
      <c r="UF44">
        <v>79.400000000000006</v>
      </c>
      <c r="UG44">
        <v>95.2</v>
      </c>
      <c r="UH44">
        <v>93.7</v>
      </c>
      <c r="UI44">
        <v>119.8</v>
      </c>
      <c r="UJ44">
        <v>91</v>
      </c>
      <c r="UK44">
        <v>96.6</v>
      </c>
      <c r="UL44">
        <v>114.5</v>
      </c>
      <c r="UM44">
        <v>128.19999999999999</v>
      </c>
      <c r="UN44">
        <v>96.5</v>
      </c>
      <c r="UO44">
        <v>101.4</v>
      </c>
      <c r="UP44">
        <v>92.3</v>
      </c>
      <c r="UQ44">
        <v>377.5</v>
      </c>
      <c r="UR44">
        <v>120.8</v>
      </c>
      <c r="US44">
        <v>104.6</v>
      </c>
      <c r="UT44">
        <v>97.7</v>
      </c>
      <c r="UU44">
        <v>101.6</v>
      </c>
      <c r="UV44">
        <v>88.3</v>
      </c>
      <c r="UW44">
        <v>82.4</v>
      </c>
      <c r="UX44">
        <v>84.2</v>
      </c>
      <c r="UY44">
        <v>82.3</v>
      </c>
      <c r="UZ44">
        <v>89.4</v>
      </c>
      <c r="VA44">
        <v>90.3</v>
      </c>
      <c r="VB44">
        <v>93</v>
      </c>
      <c r="VC44">
        <v>84</v>
      </c>
      <c r="VD44">
        <v>102.7</v>
      </c>
      <c r="VE44">
        <v>278.89999999999998</v>
      </c>
      <c r="VF44">
        <v>428.3</v>
      </c>
      <c r="VG44">
        <v>631.6</v>
      </c>
      <c r="VH44">
        <v>461.3</v>
      </c>
      <c r="VI44">
        <v>638.79999999999995</v>
      </c>
      <c r="VK44">
        <v>102.3</v>
      </c>
      <c r="VL44">
        <v>395.1</v>
      </c>
      <c r="VM44">
        <v>82</v>
      </c>
      <c r="VN44">
        <v>89.5</v>
      </c>
      <c r="VO44">
        <v>94.4</v>
      </c>
      <c r="VP44">
        <v>87.3</v>
      </c>
      <c r="VQ44">
        <v>102.4</v>
      </c>
      <c r="VR44">
        <v>73.400000000000006</v>
      </c>
      <c r="VT44">
        <v>101.9</v>
      </c>
      <c r="VU44">
        <v>107</v>
      </c>
      <c r="VV44">
        <v>79.099999999999994</v>
      </c>
      <c r="VW44">
        <v>109.6</v>
      </c>
      <c r="VX44">
        <v>82.9</v>
      </c>
      <c r="VY44">
        <v>119.7</v>
      </c>
      <c r="VZ44">
        <v>106.8</v>
      </c>
      <c r="WB44">
        <v>107.2</v>
      </c>
      <c r="WC44">
        <v>208.6</v>
      </c>
      <c r="WE44">
        <v>102.4</v>
      </c>
      <c r="WF44">
        <v>85.9</v>
      </c>
      <c r="WG44">
        <v>99.6</v>
      </c>
      <c r="WH44">
        <v>85.9</v>
      </c>
      <c r="WI44">
        <v>86.3</v>
      </c>
      <c r="WJ44">
        <v>86.7</v>
      </c>
      <c r="WK44">
        <v>84</v>
      </c>
      <c r="WL44">
        <v>92.8</v>
      </c>
      <c r="WN44">
        <v>99.3</v>
      </c>
      <c r="WO44">
        <v>89.5</v>
      </c>
      <c r="WP44">
        <v>85.7</v>
      </c>
      <c r="WQ44">
        <v>90.8</v>
      </c>
      <c r="WT44">
        <v>96.8</v>
      </c>
      <c r="WV44">
        <v>91.5</v>
      </c>
      <c r="WW44">
        <v>82.5</v>
      </c>
      <c r="WX44">
        <v>89.3</v>
      </c>
      <c r="WY44">
        <v>92</v>
      </c>
      <c r="WZ44">
        <v>91.6</v>
      </c>
      <c r="XA44">
        <v>92.4</v>
      </c>
      <c r="XB44">
        <v>74.599999999999994</v>
      </c>
      <c r="XD44">
        <v>75.400000000000006</v>
      </c>
      <c r="XE44">
        <v>88.3</v>
      </c>
      <c r="XF44">
        <v>87.2</v>
      </c>
      <c r="XG44">
        <v>89.5</v>
      </c>
      <c r="XH44">
        <v>94.7</v>
      </c>
      <c r="XI44">
        <v>107.9</v>
      </c>
      <c r="XJ44">
        <v>107.9</v>
      </c>
      <c r="XK44">
        <v>75</v>
      </c>
      <c r="XL44">
        <v>75</v>
      </c>
      <c r="XM44">
        <v>88.5</v>
      </c>
      <c r="XN44">
        <v>80.900000000000006</v>
      </c>
      <c r="XO44">
        <v>92.3</v>
      </c>
      <c r="XP44">
        <v>93.1</v>
      </c>
      <c r="XQ44">
        <v>85.1</v>
      </c>
      <c r="XR44">
        <v>87</v>
      </c>
      <c r="XT44">
        <v>94.7</v>
      </c>
      <c r="XU44">
        <v>96.6</v>
      </c>
      <c r="XV44">
        <v>98.1</v>
      </c>
      <c r="XW44">
        <v>105.1</v>
      </c>
      <c r="XX44">
        <v>90.7</v>
      </c>
      <c r="XY44">
        <v>90.7</v>
      </c>
      <c r="XZ44">
        <v>93.8</v>
      </c>
      <c r="YA44">
        <v>97.7</v>
      </c>
      <c r="YC44">
        <v>80.5</v>
      </c>
      <c r="YD44">
        <v>88.8</v>
      </c>
      <c r="YE44">
        <v>96.9</v>
      </c>
      <c r="YF44">
        <v>112.1</v>
      </c>
      <c r="YG44">
        <v>88.8</v>
      </c>
      <c r="YH44">
        <v>96.4</v>
      </c>
      <c r="YI44">
        <v>91.5</v>
      </c>
      <c r="YJ44">
        <v>90.3</v>
      </c>
      <c r="YK44">
        <v>73.099999999999994</v>
      </c>
      <c r="YL44">
        <v>82.1</v>
      </c>
      <c r="YM44">
        <v>98.7</v>
      </c>
      <c r="YO44">
        <v>165.5</v>
      </c>
      <c r="YP44">
        <v>100.8</v>
      </c>
      <c r="YR44">
        <v>94.7</v>
      </c>
      <c r="YT44">
        <v>90.7</v>
      </c>
      <c r="YU44">
        <v>94.9</v>
      </c>
      <c r="YV44">
        <v>100.2</v>
      </c>
      <c r="YW44">
        <v>96.8</v>
      </c>
      <c r="YX44">
        <v>92.4</v>
      </c>
      <c r="YY44">
        <v>92.5</v>
      </c>
      <c r="YZ44">
        <v>94.5</v>
      </c>
      <c r="ZA44">
        <v>96.6</v>
      </c>
      <c r="ZB44">
        <v>100.9</v>
      </c>
      <c r="ZC44">
        <v>149.4</v>
      </c>
      <c r="ZD44">
        <v>189.1</v>
      </c>
      <c r="ZE44">
        <v>116.7</v>
      </c>
      <c r="ZF44">
        <v>97.9</v>
      </c>
      <c r="ZG44">
        <v>108.9</v>
      </c>
      <c r="ZH44">
        <v>97.5</v>
      </c>
      <c r="ZK44">
        <v>88.2</v>
      </c>
      <c r="ZL44">
        <v>86.7</v>
      </c>
      <c r="ZM44">
        <v>115.2</v>
      </c>
      <c r="ZN44">
        <v>99</v>
      </c>
      <c r="ZO44">
        <v>98.4</v>
      </c>
      <c r="ZP44">
        <v>101.9</v>
      </c>
      <c r="ZQ44">
        <v>95.4</v>
      </c>
      <c r="ZR44">
        <v>99.5</v>
      </c>
      <c r="ZT44">
        <v>96.3</v>
      </c>
      <c r="ZU44">
        <v>94.9</v>
      </c>
      <c r="ZV44">
        <v>92.7</v>
      </c>
      <c r="ZW44">
        <v>102.6</v>
      </c>
      <c r="ZX44">
        <v>120.3</v>
      </c>
      <c r="ZY44">
        <v>93.4</v>
      </c>
      <c r="ZZ44">
        <v>95.6</v>
      </c>
      <c r="AAA44">
        <v>109.5</v>
      </c>
      <c r="AAC44">
        <v>79.8</v>
      </c>
      <c r="AAD44">
        <v>77.099999999999994</v>
      </c>
      <c r="AAE44">
        <v>98.3</v>
      </c>
      <c r="AAF44">
        <v>61.4</v>
      </c>
      <c r="AAG44">
        <v>67.5</v>
      </c>
      <c r="AAH44">
        <v>104.1</v>
      </c>
      <c r="AAI44">
        <v>86.2</v>
      </c>
      <c r="AAJ44">
        <v>73</v>
      </c>
      <c r="AAK44">
        <v>98</v>
      </c>
      <c r="AAL44">
        <v>93.4</v>
      </c>
      <c r="AAM44">
        <v>91.7</v>
      </c>
      <c r="AAN44">
        <v>96.8</v>
      </c>
      <c r="AAO44">
        <v>59.6</v>
      </c>
      <c r="AAP44">
        <v>58.7</v>
      </c>
      <c r="AAQ44">
        <v>61.2</v>
      </c>
      <c r="AAR44">
        <v>97.2</v>
      </c>
      <c r="AAT44">
        <v>75.3</v>
      </c>
      <c r="AAU44">
        <v>249</v>
      </c>
      <c r="AAW44">
        <v>90.6</v>
      </c>
      <c r="AAX44">
        <v>93.3</v>
      </c>
      <c r="AAY44">
        <v>100</v>
      </c>
      <c r="AAZ44">
        <v>94.2</v>
      </c>
      <c r="ABB44">
        <v>79.599999999999994</v>
      </c>
      <c r="ABC44">
        <v>78.2</v>
      </c>
      <c r="ABD44">
        <v>82.7</v>
      </c>
      <c r="ABE44">
        <v>74.7</v>
      </c>
      <c r="ABF44">
        <v>96.5</v>
      </c>
      <c r="ABG44">
        <v>88.3</v>
      </c>
      <c r="ABH44">
        <v>94.5</v>
      </c>
      <c r="ABI44">
        <v>96</v>
      </c>
      <c r="ABJ44">
        <v>103.6</v>
      </c>
      <c r="ABK44">
        <v>95.3</v>
      </c>
      <c r="ABL44">
        <v>91</v>
      </c>
      <c r="ABM44">
        <v>97.1</v>
      </c>
      <c r="ABN44">
        <v>100.1</v>
      </c>
      <c r="ABO44">
        <v>108.4</v>
      </c>
      <c r="ABP44">
        <v>102.2</v>
      </c>
      <c r="ABQ44">
        <v>106.9</v>
      </c>
    </row>
    <row r="45" spans="1:745">
      <c r="A45">
        <v>2008</v>
      </c>
      <c r="B45">
        <v>96.8</v>
      </c>
      <c r="C45">
        <v>89.4</v>
      </c>
      <c r="D45">
        <v>98.4</v>
      </c>
      <c r="E45">
        <v>97.3</v>
      </c>
      <c r="F45">
        <v>100.6</v>
      </c>
      <c r="G45">
        <v>95.7</v>
      </c>
      <c r="H45">
        <v>99</v>
      </c>
      <c r="I45">
        <v>103.4</v>
      </c>
      <c r="J45">
        <v>94.3</v>
      </c>
      <c r="K45">
        <v>97.7</v>
      </c>
      <c r="L45">
        <v>96.5</v>
      </c>
      <c r="M45">
        <v>95.5</v>
      </c>
      <c r="N45">
        <v>95.3</v>
      </c>
      <c r="O45">
        <v>109.1</v>
      </c>
      <c r="P45">
        <v>91.2</v>
      </c>
      <c r="Q45">
        <v>102.6</v>
      </c>
      <c r="R45">
        <v>103.7</v>
      </c>
      <c r="S45">
        <v>84.4</v>
      </c>
      <c r="T45">
        <v>112.9</v>
      </c>
      <c r="V45">
        <v>79.2</v>
      </c>
      <c r="W45">
        <v>79.2</v>
      </c>
      <c r="X45">
        <v>93.8</v>
      </c>
      <c r="Y45">
        <v>96</v>
      </c>
      <c r="Z45">
        <v>106.6</v>
      </c>
      <c r="AA45">
        <v>95.1</v>
      </c>
      <c r="AB45">
        <v>69.3</v>
      </c>
      <c r="AC45">
        <v>95.1</v>
      </c>
      <c r="AD45">
        <v>52</v>
      </c>
      <c r="AE45">
        <v>83.2</v>
      </c>
      <c r="AF45">
        <v>86.6</v>
      </c>
      <c r="AG45">
        <v>56.6</v>
      </c>
      <c r="AH45">
        <v>75.400000000000006</v>
      </c>
      <c r="AI45">
        <v>79</v>
      </c>
      <c r="AJ45">
        <v>88.5</v>
      </c>
      <c r="AK45">
        <v>79</v>
      </c>
      <c r="AL45">
        <v>69.8</v>
      </c>
      <c r="AM45">
        <v>73.5</v>
      </c>
      <c r="AN45">
        <v>59.5</v>
      </c>
      <c r="AO45">
        <v>98.1</v>
      </c>
      <c r="AP45">
        <v>67.400000000000006</v>
      </c>
      <c r="AQ45">
        <v>80.7</v>
      </c>
      <c r="AR45">
        <v>90.8</v>
      </c>
      <c r="AS45">
        <v>69</v>
      </c>
      <c r="AU45">
        <v>95.9</v>
      </c>
      <c r="AV45">
        <v>92.4</v>
      </c>
      <c r="AW45">
        <v>100.1</v>
      </c>
      <c r="AX45">
        <v>96.4</v>
      </c>
      <c r="AY45">
        <v>76.7</v>
      </c>
      <c r="AZ45">
        <v>82.5</v>
      </c>
      <c r="BA45">
        <v>71.7</v>
      </c>
      <c r="BB45">
        <v>77.900000000000006</v>
      </c>
      <c r="BC45">
        <v>84.9</v>
      </c>
      <c r="BD45">
        <v>87.5</v>
      </c>
      <c r="BE45">
        <v>82.8</v>
      </c>
      <c r="BF45">
        <v>78.3</v>
      </c>
      <c r="BG45">
        <v>68</v>
      </c>
      <c r="BH45">
        <v>81.099999999999994</v>
      </c>
      <c r="BJ45">
        <v>93.8</v>
      </c>
      <c r="BK45">
        <v>109.4</v>
      </c>
      <c r="BL45">
        <v>114.1</v>
      </c>
      <c r="BM45">
        <v>107.7</v>
      </c>
      <c r="BN45">
        <v>103.7</v>
      </c>
      <c r="BP45">
        <v>90.4</v>
      </c>
      <c r="BQ45">
        <v>90.9</v>
      </c>
      <c r="BR45">
        <v>90</v>
      </c>
      <c r="BS45">
        <v>92.8</v>
      </c>
      <c r="BT45">
        <v>92.7</v>
      </c>
      <c r="BU45">
        <v>99.7</v>
      </c>
      <c r="BV45">
        <v>93.6</v>
      </c>
      <c r="BW45">
        <v>82.7</v>
      </c>
      <c r="BX45">
        <v>97.6</v>
      </c>
      <c r="BY45">
        <v>91.1</v>
      </c>
      <c r="BZ45">
        <v>89.3</v>
      </c>
      <c r="CA45">
        <v>89.3</v>
      </c>
      <c r="CB45">
        <v>85.4</v>
      </c>
      <c r="CC45">
        <v>82.5</v>
      </c>
      <c r="CD45">
        <v>81</v>
      </c>
      <c r="CE45">
        <v>70.900000000000006</v>
      </c>
      <c r="CF45">
        <v>77.7</v>
      </c>
      <c r="CG45">
        <v>84.3</v>
      </c>
      <c r="CH45">
        <v>92.6</v>
      </c>
      <c r="CI45">
        <v>94</v>
      </c>
      <c r="CJ45">
        <v>103.5</v>
      </c>
      <c r="CK45">
        <v>87.8</v>
      </c>
      <c r="CL45">
        <v>76.400000000000006</v>
      </c>
      <c r="CM45">
        <v>68.3</v>
      </c>
      <c r="CN45">
        <v>72.599999999999994</v>
      </c>
      <c r="CO45">
        <v>81.5</v>
      </c>
      <c r="CP45">
        <v>80.099999999999994</v>
      </c>
      <c r="CQ45">
        <v>83.9</v>
      </c>
      <c r="CR45">
        <v>77.599999999999994</v>
      </c>
      <c r="CS45">
        <v>75.900000000000006</v>
      </c>
      <c r="CT45">
        <v>76</v>
      </c>
      <c r="CV45">
        <v>87.2</v>
      </c>
      <c r="CW45">
        <v>76.2</v>
      </c>
      <c r="CX45">
        <v>71.3</v>
      </c>
      <c r="CY45">
        <v>77.099999999999994</v>
      </c>
      <c r="CZ45">
        <v>69.599999999999994</v>
      </c>
      <c r="DA45">
        <v>79.599999999999994</v>
      </c>
      <c r="DB45">
        <v>73.599999999999994</v>
      </c>
      <c r="DC45">
        <v>108.2</v>
      </c>
      <c r="DD45">
        <v>114</v>
      </c>
      <c r="DE45">
        <v>120.5</v>
      </c>
      <c r="DG45">
        <v>90.3</v>
      </c>
      <c r="DH45">
        <v>76.2</v>
      </c>
      <c r="DI45">
        <v>86.9</v>
      </c>
      <c r="DJ45">
        <v>83</v>
      </c>
      <c r="DK45">
        <v>70.2</v>
      </c>
      <c r="DL45">
        <v>76.599999999999994</v>
      </c>
      <c r="DM45">
        <v>58.8</v>
      </c>
      <c r="DN45">
        <v>103.4</v>
      </c>
      <c r="DO45">
        <v>100.1</v>
      </c>
      <c r="DP45">
        <v>100.7</v>
      </c>
      <c r="DQ45">
        <v>112.6</v>
      </c>
      <c r="DR45">
        <v>89.3</v>
      </c>
      <c r="DS45">
        <v>103.8</v>
      </c>
      <c r="DT45">
        <v>71.8</v>
      </c>
      <c r="DU45">
        <v>86.4</v>
      </c>
      <c r="DV45">
        <v>86.8</v>
      </c>
      <c r="DW45">
        <v>104</v>
      </c>
      <c r="DX45">
        <v>88.1</v>
      </c>
      <c r="DY45">
        <v>99.5</v>
      </c>
      <c r="DZ45">
        <v>72.5</v>
      </c>
      <c r="EA45">
        <v>72</v>
      </c>
      <c r="EB45">
        <v>69.400000000000006</v>
      </c>
      <c r="EC45">
        <v>73.2</v>
      </c>
      <c r="ED45">
        <v>78.3</v>
      </c>
      <c r="EF45">
        <v>50.5</v>
      </c>
      <c r="EG45">
        <v>65.5</v>
      </c>
      <c r="EH45">
        <v>58.1</v>
      </c>
      <c r="EI45">
        <v>74.599999999999994</v>
      </c>
      <c r="EJ45">
        <v>63.5</v>
      </c>
      <c r="EK45">
        <v>73.7</v>
      </c>
      <c r="EL45">
        <v>83</v>
      </c>
      <c r="EM45">
        <v>69.8</v>
      </c>
      <c r="EN45">
        <v>90.3</v>
      </c>
      <c r="EO45">
        <v>78.8</v>
      </c>
      <c r="EP45">
        <v>90.9</v>
      </c>
      <c r="ER45">
        <v>80.599999999999994</v>
      </c>
      <c r="ET45">
        <v>101.2</v>
      </c>
      <c r="EU45">
        <v>125.3</v>
      </c>
      <c r="EV45">
        <v>140.4</v>
      </c>
      <c r="EW45">
        <v>84.3</v>
      </c>
      <c r="EX45">
        <v>98.4</v>
      </c>
      <c r="EY45">
        <v>93.3</v>
      </c>
      <c r="EZ45">
        <v>107</v>
      </c>
      <c r="FA45">
        <v>103.1</v>
      </c>
      <c r="FB45">
        <v>93.9</v>
      </c>
      <c r="FC45">
        <v>105</v>
      </c>
      <c r="FD45">
        <v>105.9</v>
      </c>
      <c r="FE45">
        <v>118</v>
      </c>
      <c r="FF45">
        <v>110.3</v>
      </c>
      <c r="FH45">
        <v>86.1</v>
      </c>
      <c r="FI45">
        <v>95.8</v>
      </c>
      <c r="FJ45">
        <v>71.3</v>
      </c>
      <c r="FK45">
        <v>96.7</v>
      </c>
      <c r="FL45">
        <v>95.4</v>
      </c>
      <c r="FM45">
        <v>95.2</v>
      </c>
      <c r="FO45">
        <v>105.9</v>
      </c>
      <c r="FQ45">
        <v>86.3</v>
      </c>
      <c r="FR45">
        <v>90.3</v>
      </c>
      <c r="FS45">
        <v>79.900000000000006</v>
      </c>
      <c r="FT45">
        <v>80.2</v>
      </c>
      <c r="FU45">
        <v>96</v>
      </c>
      <c r="FV45">
        <v>78.099999999999994</v>
      </c>
      <c r="FW45">
        <v>91.1</v>
      </c>
      <c r="FX45">
        <v>87</v>
      </c>
      <c r="FY45">
        <v>87.2</v>
      </c>
      <c r="GA45">
        <v>101.6</v>
      </c>
      <c r="GB45">
        <v>96.9</v>
      </c>
      <c r="GC45">
        <v>104.2</v>
      </c>
      <c r="GD45">
        <v>80.8</v>
      </c>
      <c r="GE45">
        <v>75.599999999999994</v>
      </c>
      <c r="GF45">
        <v>85.8</v>
      </c>
      <c r="GG45">
        <v>83.5</v>
      </c>
      <c r="GH45">
        <v>98.9</v>
      </c>
      <c r="GI45">
        <v>89.9</v>
      </c>
      <c r="GJ45">
        <v>91.7</v>
      </c>
      <c r="GK45">
        <v>86</v>
      </c>
      <c r="GM45">
        <v>88.4</v>
      </c>
      <c r="GO45">
        <v>92.3</v>
      </c>
      <c r="GP45">
        <v>86.1</v>
      </c>
      <c r="GQ45">
        <v>117.2</v>
      </c>
      <c r="GR45">
        <v>112.1</v>
      </c>
      <c r="GU45">
        <v>88.7</v>
      </c>
      <c r="GV45">
        <v>62.3</v>
      </c>
      <c r="GW45">
        <v>89</v>
      </c>
      <c r="GX45">
        <v>92.6</v>
      </c>
      <c r="GY45">
        <v>93.8</v>
      </c>
      <c r="GZ45">
        <v>89.2</v>
      </c>
      <c r="HA45">
        <v>95.9</v>
      </c>
      <c r="HD45">
        <v>115</v>
      </c>
      <c r="HE45">
        <v>98</v>
      </c>
      <c r="HG45">
        <v>101.6</v>
      </c>
      <c r="HH45">
        <v>93.9</v>
      </c>
      <c r="HI45">
        <v>89.4</v>
      </c>
      <c r="HO45">
        <v>105.2</v>
      </c>
      <c r="HP45">
        <v>111.4</v>
      </c>
      <c r="HQ45">
        <v>101.9</v>
      </c>
      <c r="HR45">
        <v>97.4</v>
      </c>
      <c r="HS45">
        <v>125.1</v>
      </c>
      <c r="HT45">
        <v>100.4</v>
      </c>
      <c r="HU45">
        <v>86.3</v>
      </c>
      <c r="HV45">
        <v>104.8</v>
      </c>
      <c r="HW45">
        <v>109.2</v>
      </c>
      <c r="HY45">
        <v>104.4</v>
      </c>
      <c r="HZ45">
        <v>100.5</v>
      </c>
      <c r="IA45">
        <v>105.9</v>
      </c>
      <c r="IB45">
        <v>99.8</v>
      </c>
      <c r="IC45">
        <v>115</v>
      </c>
      <c r="IE45">
        <v>86</v>
      </c>
      <c r="IF45">
        <v>128</v>
      </c>
      <c r="IH45">
        <v>106.1</v>
      </c>
      <c r="IJ45">
        <v>100.7</v>
      </c>
      <c r="IK45">
        <v>109</v>
      </c>
      <c r="IL45">
        <v>100.2</v>
      </c>
      <c r="IM45">
        <v>100</v>
      </c>
      <c r="IN45">
        <v>97.5</v>
      </c>
      <c r="IO45">
        <v>86.9</v>
      </c>
      <c r="IP45">
        <v>98.4</v>
      </c>
      <c r="IQ45">
        <v>99.2</v>
      </c>
      <c r="IR45">
        <v>110.7</v>
      </c>
      <c r="IS45">
        <v>99.7</v>
      </c>
      <c r="IT45">
        <v>89.6</v>
      </c>
      <c r="IU45">
        <v>89.3</v>
      </c>
      <c r="IV45">
        <v>88.8</v>
      </c>
      <c r="IX45">
        <v>89.1</v>
      </c>
      <c r="IY45">
        <v>92.2</v>
      </c>
      <c r="IZ45">
        <v>85</v>
      </c>
      <c r="JA45">
        <v>89.1</v>
      </c>
      <c r="JB45">
        <v>91.2</v>
      </c>
      <c r="JC45">
        <v>90.4</v>
      </c>
      <c r="JD45">
        <v>94.4</v>
      </c>
      <c r="JE45">
        <v>90.2</v>
      </c>
      <c r="JH45">
        <v>92.9</v>
      </c>
      <c r="JI45">
        <v>91.4</v>
      </c>
      <c r="JJ45">
        <v>88.6</v>
      </c>
      <c r="JK45">
        <v>79.3</v>
      </c>
      <c r="JL45">
        <v>90.4</v>
      </c>
      <c r="JM45">
        <v>103.5</v>
      </c>
      <c r="JN45">
        <v>99.3</v>
      </c>
      <c r="JO45">
        <v>91.3</v>
      </c>
      <c r="JQ45">
        <v>89.9</v>
      </c>
      <c r="JS45">
        <v>94.7</v>
      </c>
      <c r="JT45">
        <v>94.7</v>
      </c>
      <c r="JU45">
        <v>95</v>
      </c>
      <c r="JV45">
        <v>101</v>
      </c>
      <c r="JW45">
        <v>103</v>
      </c>
      <c r="JX45">
        <v>104.3</v>
      </c>
      <c r="JY45">
        <v>104.3</v>
      </c>
      <c r="JZ45">
        <v>98.4</v>
      </c>
      <c r="KA45">
        <v>99</v>
      </c>
      <c r="KB45">
        <v>97.5</v>
      </c>
      <c r="KC45">
        <v>102.9</v>
      </c>
      <c r="KD45">
        <v>102.9</v>
      </c>
      <c r="KE45">
        <v>90</v>
      </c>
      <c r="KF45">
        <v>99.2</v>
      </c>
      <c r="KG45">
        <v>97.1</v>
      </c>
      <c r="KH45">
        <v>160</v>
      </c>
      <c r="KI45">
        <v>104.3</v>
      </c>
      <c r="KJ45">
        <v>86.6</v>
      </c>
      <c r="KL45">
        <v>74.900000000000006</v>
      </c>
      <c r="KM45">
        <v>86.8</v>
      </c>
      <c r="KN45">
        <v>88</v>
      </c>
      <c r="KO45">
        <v>77.400000000000006</v>
      </c>
      <c r="KP45">
        <v>84</v>
      </c>
      <c r="KS45">
        <v>91.3</v>
      </c>
      <c r="KT45">
        <v>85.2</v>
      </c>
      <c r="KU45">
        <v>94.9</v>
      </c>
      <c r="KX45">
        <v>86.5</v>
      </c>
      <c r="KY45">
        <v>91.5</v>
      </c>
      <c r="KZ45">
        <v>85.8</v>
      </c>
      <c r="LA45">
        <v>85.8</v>
      </c>
      <c r="LB45">
        <v>96.3</v>
      </c>
      <c r="LC45">
        <v>103.7</v>
      </c>
      <c r="LD45">
        <v>86.4</v>
      </c>
      <c r="LE45">
        <v>111.9</v>
      </c>
      <c r="LF45">
        <v>111.9</v>
      </c>
      <c r="LG45">
        <v>91.9</v>
      </c>
      <c r="LH45">
        <v>94.3</v>
      </c>
      <c r="LI45">
        <v>88.5</v>
      </c>
      <c r="LJ45">
        <v>110.6</v>
      </c>
      <c r="LK45">
        <v>149.19999999999999</v>
      </c>
      <c r="LL45">
        <v>225.1</v>
      </c>
      <c r="LM45">
        <v>253.3</v>
      </c>
      <c r="LN45">
        <v>137.1</v>
      </c>
      <c r="LO45">
        <v>135.19999999999999</v>
      </c>
      <c r="LP45">
        <v>346.9</v>
      </c>
      <c r="LQ45">
        <v>262.60000000000002</v>
      </c>
      <c r="LR45">
        <v>180.7</v>
      </c>
      <c r="LS45">
        <v>484.8</v>
      </c>
      <c r="LT45">
        <v>115</v>
      </c>
      <c r="LU45">
        <v>125.1</v>
      </c>
      <c r="LV45">
        <v>100.7</v>
      </c>
      <c r="LX45">
        <v>92.7</v>
      </c>
      <c r="LY45">
        <v>89.4</v>
      </c>
      <c r="MA45">
        <v>98</v>
      </c>
      <c r="MB45">
        <v>117.9</v>
      </c>
      <c r="MC45">
        <v>283.2</v>
      </c>
      <c r="MD45">
        <v>106.1</v>
      </c>
      <c r="ME45">
        <v>87.5</v>
      </c>
      <c r="MG45">
        <v>92.3</v>
      </c>
      <c r="MH45">
        <v>86.5</v>
      </c>
      <c r="MI45">
        <v>91.6</v>
      </c>
      <c r="MJ45">
        <v>91.6</v>
      </c>
      <c r="MK45">
        <v>106.3</v>
      </c>
      <c r="MM45">
        <v>86.5</v>
      </c>
      <c r="MN45">
        <v>93.9</v>
      </c>
      <c r="MO45">
        <v>92.4</v>
      </c>
      <c r="MP45">
        <v>97.6</v>
      </c>
      <c r="MQ45">
        <v>82.9</v>
      </c>
      <c r="MS45">
        <v>88.8</v>
      </c>
      <c r="MU45">
        <v>89</v>
      </c>
      <c r="MV45">
        <v>86.7</v>
      </c>
      <c r="MW45">
        <v>75.599999999999994</v>
      </c>
      <c r="MX45">
        <v>84.9</v>
      </c>
      <c r="NB45">
        <v>104.1</v>
      </c>
      <c r="NC45">
        <v>98.5</v>
      </c>
      <c r="ND45">
        <v>105.6</v>
      </c>
      <c r="NE45">
        <v>94.2</v>
      </c>
      <c r="NF45">
        <v>110.4</v>
      </c>
      <c r="NG45">
        <v>117.3</v>
      </c>
      <c r="NH45">
        <v>106.5</v>
      </c>
      <c r="NI45">
        <v>102.7</v>
      </c>
      <c r="NJ45">
        <v>101.3</v>
      </c>
      <c r="NK45">
        <v>88.7</v>
      </c>
      <c r="NL45">
        <v>100.7</v>
      </c>
      <c r="NM45">
        <v>122.2</v>
      </c>
      <c r="NN45">
        <v>107</v>
      </c>
      <c r="NO45">
        <v>103.2</v>
      </c>
      <c r="NQ45">
        <v>95.2</v>
      </c>
      <c r="NR45">
        <v>91.5</v>
      </c>
      <c r="NS45">
        <v>91.5</v>
      </c>
      <c r="NT45">
        <v>97.2</v>
      </c>
      <c r="NU45">
        <v>112.3</v>
      </c>
      <c r="NW45">
        <v>95.4</v>
      </c>
      <c r="NX45">
        <v>95.4</v>
      </c>
      <c r="NY45">
        <v>94</v>
      </c>
      <c r="NZ45">
        <v>95.6</v>
      </c>
      <c r="OA45">
        <v>94.8</v>
      </c>
      <c r="OB45">
        <v>95.3</v>
      </c>
      <c r="OC45">
        <v>93.9</v>
      </c>
      <c r="OD45">
        <v>95.7</v>
      </c>
      <c r="OE45">
        <v>86.7</v>
      </c>
      <c r="OF45">
        <v>71.2</v>
      </c>
      <c r="OH45">
        <v>82.5</v>
      </c>
      <c r="OJ45">
        <v>90.9</v>
      </c>
      <c r="OK45">
        <v>88.2</v>
      </c>
      <c r="OL45">
        <v>78.900000000000006</v>
      </c>
      <c r="OM45">
        <v>96.4</v>
      </c>
      <c r="ON45">
        <v>98.6</v>
      </c>
      <c r="OO45">
        <v>86.8</v>
      </c>
      <c r="OP45">
        <v>91.2</v>
      </c>
      <c r="OQ45">
        <v>92.5</v>
      </c>
      <c r="OS45">
        <v>85.9</v>
      </c>
      <c r="OU45">
        <v>85.5</v>
      </c>
      <c r="OV45">
        <v>89.5</v>
      </c>
      <c r="OW45">
        <v>86.9</v>
      </c>
      <c r="OX45">
        <v>92.5</v>
      </c>
      <c r="OY45">
        <v>87.5</v>
      </c>
      <c r="OZ45">
        <v>86.4</v>
      </c>
      <c r="PA45">
        <v>127.6</v>
      </c>
      <c r="PB45">
        <v>86.2</v>
      </c>
      <c r="PC45">
        <v>86.1</v>
      </c>
      <c r="PD45">
        <v>155.4</v>
      </c>
      <c r="PG45">
        <v>109.3</v>
      </c>
      <c r="PH45">
        <v>93.6</v>
      </c>
      <c r="PI45">
        <v>94.9</v>
      </c>
      <c r="PJ45">
        <v>96.9</v>
      </c>
      <c r="PK45">
        <v>105.8</v>
      </c>
      <c r="PL45">
        <v>96.3</v>
      </c>
      <c r="PM45">
        <v>96</v>
      </c>
      <c r="PN45">
        <v>93.5</v>
      </c>
      <c r="PO45">
        <v>93.6</v>
      </c>
      <c r="PP45">
        <v>102</v>
      </c>
      <c r="PQ45">
        <v>95.5</v>
      </c>
      <c r="PR45">
        <v>97.5</v>
      </c>
      <c r="PS45">
        <v>91.9</v>
      </c>
      <c r="PT45">
        <v>88.6</v>
      </c>
      <c r="PU45">
        <v>94.2</v>
      </c>
      <c r="PV45">
        <v>98.4</v>
      </c>
      <c r="PW45">
        <v>99.6</v>
      </c>
      <c r="PX45">
        <v>97.4</v>
      </c>
      <c r="PY45">
        <v>90.6</v>
      </c>
      <c r="PZ45">
        <v>89.6</v>
      </c>
      <c r="QA45">
        <v>93</v>
      </c>
      <c r="QB45">
        <v>84.9</v>
      </c>
      <c r="QC45">
        <v>91.8</v>
      </c>
      <c r="QD45">
        <v>94.1</v>
      </c>
      <c r="QE45">
        <v>92.3</v>
      </c>
      <c r="QF45">
        <v>82.3</v>
      </c>
      <c r="QG45">
        <v>109.8</v>
      </c>
      <c r="QH45">
        <v>78.599999999999994</v>
      </c>
      <c r="QI45">
        <v>78.599999999999994</v>
      </c>
      <c r="QJ45">
        <v>89.8</v>
      </c>
      <c r="QK45">
        <v>94.6</v>
      </c>
      <c r="QL45">
        <v>92.2</v>
      </c>
      <c r="QM45">
        <v>89.5</v>
      </c>
      <c r="QN45">
        <v>81.900000000000006</v>
      </c>
      <c r="QO45">
        <v>87.3</v>
      </c>
      <c r="QQ45">
        <v>100.4</v>
      </c>
      <c r="QR45">
        <v>101.2</v>
      </c>
      <c r="QS45">
        <v>127.5</v>
      </c>
      <c r="QT45">
        <v>90.4</v>
      </c>
      <c r="QU45">
        <v>99</v>
      </c>
      <c r="QV45">
        <v>93.6</v>
      </c>
      <c r="QW45">
        <v>103.1</v>
      </c>
      <c r="QX45">
        <v>99.4</v>
      </c>
      <c r="QY45">
        <v>87</v>
      </c>
      <c r="QZ45">
        <v>88.5</v>
      </c>
      <c r="RA45">
        <v>84.8</v>
      </c>
      <c r="RB45">
        <v>84.9</v>
      </c>
      <c r="RC45">
        <v>89.5</v>
      </c>
      <c r="RD45">
        <v>96.6</v>
      </c>
      <c r="RE45">
        <v>105.5</v>
      </c>
      <c r="RF45">
        <v>107.7</v>
      </c>
      <c r="RG45">
        <v>118.1</v>
      </c>
      <c r="RH45">
        <v>110.7</v>
      </c>
      <c r="RI45">
        <v>95.6</v>
      </c>
      <c r="RJ45">
        <v>114.2</v>
      </c>
      <c r="RK45">
        <v>96</v>
      </c>
      <c r="RL45">
        <v>105</v>
      </c>
      <c r="RM45">
        <v>104.2</v>
      </c>
      <c r="RN45">
        <v>122</v>
      </c>
      <c r="RO45">
        <v>107.7</v>
      </c>
      <c r="RP45">
        <v>101.2</v>
      </c>
      <c r="RQ45">
        <v>105.5</v>
      </c>
      <c r="RS45">
        <v>103.8</v>
      </c>
      <c r="RT45">
        <v>106.5</v>
      </c>
      <c r="RV45">
        <v>90.6</v>
      </c>
      <c r="RW45">
        <v>105.9</v>
      </c>
      <c r="RX45">
        <v>116.2</v>
      </c>
      <c r="SA45">
        <v>106.3</v>
      </c>
      <c r="SB45">
        <v>91.2</v>
      </c>
      <c r="SC45">
        <v>102.5</v>
      </c>
      <c r="SF45">
        <v>90.2</v>
      </c>
      <c r="SG45">
        <v>91.9</v>
      </c>
      <c r="SH45">
        <v>96.6</v>
      </c>
      <c r="SI45">
        <v>94.6</v>
      </c>
      <c r="SK45">
        <v>100.3</v>
      </c>
      <c r="SL45">
        <v>91.2</v>
      </c>
      <c r="SM45">
        <v>95.3</v>
      </c>
      <c r="SN45">
        <v>95.1</v>
      </c>
      <c r="SO45">
        <v>96.6</v>
      </c>
      <c r="SP45">
        <v>95.4</v>
      </c>
      <c r="SQ45">
        <v>94.7</v>
      </c>
      <c r="SR45">
        <v>95.2</v>
      </c>
      <c r="SS45">
        <v>95</v>
      </c>
      <c r="ST45">
        <v>94.3</v>
      </c>
      <c r="SU45">
        <v>96.1</v>
      </c>
      <c r="SV45">
        <v>95.6</v>
      </c>
      <c r="SX45">
        <v>93.2</v>
      </c>
      <c r="SZ45">
        <v>88.6</v>
      </c>
      <c r="TA45">
        <v>101.6</v>
      </c>
      <c r="TB45">
        <v>72.400000000000006</v>
      </c>
      <c r="TC45">
        <v>70.3</v>
      </c>
      <c r="TD45">
        <v>80.3</v>
      </c>
      <c r="TE45">
        <v>97.7</v>
      </c>
      <c r="TF45">
        <v>96.1</v>
      </c>
      <c r="TG45">
        <v>98.9</v>
      </c>
      <c r="TH45">
        <v>95.6</v>
      </c>
      <c r="TI45">
        <v>94.5</v>
      </c>
      <c r="TJ45">
        <v>94.6</v>
      </c>
      <c r="TK45">
        <v>78.599999999999994</v>
      </c>
      <c r="TL45">
        <v>75.900000000000006</v>
      </c>
      <c r="TN45">
        <v>98.5</v>
      </c>
      <c r="TO45">
        <v>105.1</v>
      </c>
      <c r="TP45">
        <v>84</v>
      </c>
      <c r="TQ45">
        <v>92.8</v>
      </c>
      <c r="TR45">
        <v>180.6</v>
      </c>
      <c r="TT45">
        <v>89.6</v>
      </c>
      <c r="TU45">
        <v>89.9</v>
      </c>
      <c r="TV45">
        <v>87.1</v>
      </c>
      <c r="TW45">
        <v>101.2</v>
      </c>
      <c r="TX45">
        <v>96.2</v>
      </c>
      <c r="TY45">
        <v>99.5</v>
      </c>
      <c r="TZ45">
        <v>98.7</v>
      </c>
      <c r="UC45">
        <v>95.6</v>
      </c>
      <c r="UD45">
        <v>90.1</v>
      </c>
      <c r="UE45">
        <v>111.9</v>
      </c>
      <c r="UF45">
        <v>79.400000000000006</v>
      </c>
      <c r="UG45">
        <v>95.2</v>
      </c>
      <c r="UH45">
        <v>93.6</v>
      </c>
      <c r="UI45">
        <v>120.5</v>
      </c>
      <c r="UJ45">
        <v>91</v>
      </c>
      <c r="UK45">
        <v>110.7</v>
      </c>
      <c r="UL45">
        <v>115.2</v>
      </c>
      <c r="UM45">
        <v>129.19999999999999</v>
      </c>
      <c r="UN45">
        <v>97</v>
      </c>
      <c r="UO45">
        <v>101.3</v>
      </c>
      <c r="UP45">
        <v>93</v>
      </c>
      <c r="UQ45">
        <v>381.9</v>
      </c>
      <c r="UR45">
        <v>121.6</v>
      </c>
      <c r="US45">
        <v>104.7</v>
      </c>
      <c r="UT45">
        <v>98.1</v>
      </c>
      <c r="UU45">
        <v>102.3</v>
      </c>
      <c r="UV45">
        <v>90.3</v>
      </c>
      <c r="UW45">
        <v>83.5</v>
      </c>
      <c r="UX45">
        <v>84.2</v>
      </c>
      <c r="UY45">
        <v>84</v>
      </c>
      <c r="UZ45">
        <v>89.8</v>
      </c>
      <c r="VA45">
        <v>90.7</v>
      </c>
      <c r="VB45">
        <v>93.1</v>
      </c>
      <c r="VC45">
        <v>85</v>
      </c>
      <c r="VD45">
        <v>102</v>
      </c>
      <c r="VE45">
        <v>224.3</v>
      </c>
      <c r="VF45">
        <v>331.9</v>
      </c>
      <c r="VG45">
        <v>507.5</v>
      </c>
      <c r="VH45">
        <v>342.8</v>
      </c>
      <c r="VI45">
        <v>376.3</v>
      </c>
      <c r="VK45">
        <v>98</v>
      </c>
      <c r="VL45">
        <v>275.60000000000002</v>
      </c>
      <c r="VM45">
        <v>82</v>
      </c>
      <c r="VN45">
        <v>91.1</v>
      </c>
      <c r="VO45">
        <v>95</v>
      </c>
      <c r="VP45">
        <v>90.4</v>
      </c>
      <c r="VQ45">
        <v>102.1</v>
      </c>
      <c r="VR45">
        <v>80.400000000000006</v>
      </c>
      <c r="VT45">
        <v>101.2</v>
      </c>
      <c r="VU45">
        <v>103.9</v>
      </c>
      <c r="VV45">
        <v>79.2</v>
      </c>
      <c r="VW45">
        <v>105.4</v>
      </c>
      <c r="VX45">
        <v>84.3</v>
      </c>
      <c r="VY45">
        <v>118.5</v>
      </c>
      <c r="VZ45">
        <v>107.5</v>
      </c>
      <c r="WB45">
        <v>106.7</v>
      </c>
      <c r="WC45">
        <v>208.1</v>
      </c>
      <c r="WE45">
        <v>102.1</v>
      </c>
      <c r="WF45">
        <v>85.5</v>
      </c>
      <c r="WG45">
        <v>98.9</v>
      </c>
      <c r="WH45">
        <v>84.9</v>
      </c>
      <c r="WI45">
        <v>84.9</v>
      </c>
      <c r="WJ45">
        <v>85.8</v>
      </c>
      <c r="WK45">
        <v>83.4</v>
      </c>
      <c r="WL45">
        <v>94.1</v>
      </c>
      <c r="WN45">
        <v>99.3</v>
      </c>
      <c r="WO45">
        <v>90.5</v>
      </c>
      <c r="WP45">
        <v>91.2</v>
      </c>
      <c r="WQ45">
        <v>89.8</v>
      </c>
      <c r="WT45">
        <v>96.6</v>
      </c>
      <c r="WV45">
        <v>92.9</v>
      </c>
      <c r="WW45">
        <v>82</v>
      </c>
      <c r="WX45">
        <v>89.6</v>
      </c>
      <c r="WY45">
        <v>92.2</v>
      </c>
      <c r="WZ45">
        <v>91.8</v>
      </c>
      <c r="XA45">
        <v>92.4</v>
      </c>
      <c r="XB45">
        <v>76.3</v>
      </c>
      <c r="XD45">
        <v>79.2</v>
      </c>
      <c r="XE45">
        <v>88.4</v>
      </c>
      <c r="XF45">
        <v>87.3</v>
      </c>
      <c r="XG45">
        <v>89.5</v>
      </c>
      <c r="XH45">
        <v>95.7</v>
      </c>
      <c r="XI45">
        <v>106</v>
      </c>
      <c r="XJ45">
        <v>106</v>
      </c>
      <c r="XK45">
        <v>81.599999999999994</v>
      </c>
      <c r="XL45">
        <v>81.599999999999994</v>
      </c>
      <c r="XM45">
        <v>89.5</v>
      </c>
      <c r="XN45">
        <v>83.1</v>
      </c>
      <c r="XO45">
        <v>93.4</v>
      </c>
      <c r="XP45">
        <v>93.5</v>
      </c>
      <c r="XQ45">
        <v>86.1</v>
      </c>
      <c r="XR45">
        <v>88.2</v>
      </c>
      <c r="XT45">
        <v>94.7</v>
      </c>
      <c r="XU45">
        <v>96.9</v>
      </c>
      <c r="XV45">
        <v>98.2</v>
      </c>
      <c r="XW45">
        <v>105.1</v>
      </c>
      <c r="XX45">
        <v>90.9</v>
      </c>
      <c r="XY45">
        <v>90.7</v>
      </c>
      <c r="XZ45">
        <v>94.3</v>
      </c>
      <c r="YA45">
        <v>97.7</v>
      </c>
      <c r="YC45">
        <v>80.2</v>
      </c>
      <c r="YD45">
        <v>90.6</v>
      </c>
      <c r="YE45">
        <v>97.4</v>
      </c>
      <c r="YF45">
        <v>113.5</v>
      </c>
      <c r="YG45">
        <v>90.5</v>
      </c>
      <c r="YH45">
        <v>96.4</v>
      </c>
      <c r="YI45">
        <v>92.2</v>
      </c>
      <c r="YJ45">
        <v>90.7</v>
      </c>
      <c r="YK45">
        <v>73.099999999999994</v>
      </c>
      <c r="YL45">
        <v>82.4</v>
      </c>
      <c r="YM45">
        <v>98.7</v>
      </c>
      <c r="YO45">
        <v>165.1</v>
      </c>
      <c r="YP45">
        <v>100.9</v>
      </c>
      <c r="YR45">
        <v>94.7</v>
      </c>
      <c r="YT45">
        <v>90.9</v>
      </c>
      <c r="YU45">
        <v>95</v>
      </c>
      <c r="YV45">
        <v>99.9</v>
      </c>
      <c r="YW45">
        <v>96.8</v>
      </c>
      <c r="YX45">
        <v>92.5</v>
      </c>
      <c r="YY45">
        <v>92.9</v>
      </c>
      <c r="YZ45">
        <v>94.8</v>
      </c>
      <c r="ZA45">
        <v>96.7</v>
      </c>
      <c r="ZB45">
        <v>100.3</v>
      </c>
      <c r="ZC45">
        <v>143.69999999999999</v>
      </c>
      <c r="ZD45">
        <v>180.4</v>
      </c>
      <c r="ZE45">
        <v>113.2</v>
      </c>
      <c r="ZF45">
        <v>98</v>
      </c>
      <c r="ZG45">
        <v>108.2</v>
      </c>
      <c r="ZH45">
        <v>95.1</v>
      </c>
      <c r="ZK45">
        <v>90.1</v>
      </c>
      <c r="ZL45">
        <v>89.6</v>
      </c>
      <c r="ZM45">
        <v>111.5</v>
      </c>
      <c r="ZN45">
        <v>98.6</v>
      </c>
      <c r="ZO45">
        <v>97.8</v>
      </c>
      <c r="ZP45">
        <v>101.4</v>
      </c>
      <c r="ZQ45">
        <v>95.2</v>
      </c>
      <c r="ZR45">
        <v>98.7</v>
      </c>
      <c r="ZT45">
        <v>95.9</v>
      </c>
      <c r="ZU45">
        <v>94.8</v>
      </c>
      <c r="ZV45">
        <v>92</v>
      </c>
      <c r="ZW45">
        <v>102.7</v>
      </c>
      <c r="ZX45">
        <v>120.6</v>
      </c>
      <c r="ZY45">
        <v>96</v>
      </c>
      <c r="ZZ45">
        <v>95.8</v>
      </c>
      <c r="AAA45">
        <v>105.9</v>
      </c>
      <c r="AAC45">
        <v>81.7</v>
      </c>
      <c r="AAD45">
        <v>77.8</v>
      </c>
      <c r="AAE45">
        <v>98.6</v>
      </c>
      <c r="AAF45">
        <v>62</v>
      </c>
      <c r="AAG45">
        <v>69.099999999999994</v>
      </c>
      <c r="AAH45">
        <v>105.1</v>
      </c>
      <c r="AAI45">
        <v>91.6</v>
      </c>
      <c r="AAJ45">
        <v>82</v>
      </c>
      <c r="AAK45">
        <v>98.9</v>
      </c>
      <c r="AAL45">
        <v>93.4</v>
      </c>
      <c r="AAM45">
        <v>91.3</v>
      </c>
      <c r="AAN45">
        <v>97.2</v>
      </c>
      <c r="AAO45">
        <v>59.6</v>
      </c>
      <c r="AAP45">
        <v>58.7</v>
      </c>
      <c r="AAQ45">
        <v>61.3</v>
      </c>
      <c r="AAR45">
        <v>97.2</v>
      </c>
      <c r="AAT45">
        <v>75.599999999999994</v>
      </c>
      <c r="AAU45">
        <v>246.2</v>
      </c>
      <c r="AAW45">
        <v>90.6</v>
      </c>
      <c r="AAX45">
        <v>94.6</v>
      </c>
      <c r="AAY45">
        <v>100</v>
      </c>
      <c r="AAZ45">
        <v>94.2</v>
      </c>
      <c r="ABB45">
        <v>79.099999999999994</v>
      </c>
      <c r="ABC45">
        <v>79.2</v>
      </c>
      <c r="ABD45">
        <v>82.5</v>
      </c>
      <c r="ABE45">
        <v>72</v>
      </c>
      <c r="ABF45">
        <v>97.6</v>
      </c>
      <c r="ABG45">
        <v>91.6</v>
      </c>
      <c r="ABH45">
        <v>95.7</v>
      </c>
      <c r="ABI45">
        <v>96.5</v>
      </c>
      <c r="ABJ45">
        <v>103.5</v>
      </c>
      <c r="ABK45">
        <v>96.7</v>
      </c>
      <c r="ABL45">
        <v>95.3</v>
      </c>
      <c r="ABM45">
        <v>97.8</v>
      </c>
      <c r="ABN45">
        <v>100.1</v>
      </c>
      <c r="ABO45">
        <v>109.4</v>
      </c>
      <c r="ABP45">
        <v>101.7</v>
      </c>
      <c r="ABQ45">
        <v>107.3</v>
      </c>
    </row>
    <row r="46" spans="1:745">
      <c r="A46">
        <v>2009</v>
      </c>
      <c r="B46">
        <v>95.2</v>
      </c>
      <c r="C46">
        <v>88.7</v>
      </c>
      <c r="D46">
        <v>96.9</v>
      </c>
      <c r="E46">
        <v>96.5</v>
      </c>
      <c r="F46">
        <v>98.6</v>
      </c>
      <c r="G46">
        <v>95.2</v>
      </c>
      <c r="H46">
        <v>95.8</v>
      </c>
      <c r="I46">
        <v>97.7</v>
      </c>
      <c r="J46">
        <v>93.3</v>
      </c>
      <c r="K46">
        <v>96.8</v>
      </c>
      <c r="L46">
        <v>95.9</v>
      </c>
      <c r="M46">
        <v>95</v>
      </c>
      <c r="N46">
        <v>97.8</v>
      </c>
      <c r="O46">
        <v>100.2</v>
      </c>
      <c r="P46">
        <v>90.3</v>
      </c>
      <c r="Q46">
        <v>102.3</v>
      </c>
      <c r="R46">
        <v>104.4</v>
      </c>
      <c r="S46">
        <v>86</v>
      </c>
      <c r="T46">
        <v>113.3</v>
      </c>
      <c r="V46">
        <v>77.400000000000006</v>
      </c>
      <c r="W46">
        <v>76.3</v>
      </c>
      <c r="X46">
        <v>89.8</v>
      </c>
      <c r="Y46">
        <v>94.1</v>
      </c>
      <c r="Z46">
        <v>101.5</v>
      </c>
      <c r="AA46">
        <v>95.7</v>
      </c>
      <c r="AB46">
        <v>68.5</v>
      </c>
      <c r="AC46">
        <v>87.8</v>
      </c>
      <c r="AD46">
        <v>48.9</v>
      </c>
      <c r="AE46">
        <v>79.900000000000006</v>
      </c>
      <c r="AF46">
        <v>86.7</v>
      </c>
      <c r="AG46">
        <v>52.2</v>
      </c>
      <c r="AH46">
        <v>66.5</v>
      </c>
      <c r="AI46">
        <v>74.400000000000006</v>
      </c>
      <c r="AJ46">
        <v>88.4</v>
      </c>
      <c r="AK46">
        <v>78.099999999999994</v>
      </c>
      <c r="AL46">
        <v>66.599999999999994</v>
      </c>
      <c r="AM46">
        <v>72.099999999999994</v>
      </c>
      <c r="AN46">
        <v>59.7</v>
      </c>
      <c r="AO46">
        <v>94.1</v>
      </c>
      <c r="AP46">
        <v>65.3</v>
      </c>
      <c r="AQ46">
        <v>79.7</v>
      </c>
      <c r="AR46">
        <v>87.7</v>
      </c>
      <c r="AS46">
        <v>68.400000000000006</v>
      </c>
      <c r="AU46">
        <v>98.7</v>
      </c>
      <c r="AV46">
        <v>95.5</v>
      </c>
      <c r="AW46">
        <v>103</v>
      </c>
      <c r="AX46">
        <v>98.9</v>
      </c>
      <c r="AY46">
        <v>76.8</v>
      </c>
      <c r="AZ46">
        <v>84.1</v>
      </c>
      <c r="BA46">
        <v>72</v>
      </c>
      <c r="BB46">
        <v>79.099999999999994</v>
      </c>
      <c r="BC46">
        <v>83.6</v>
      </c>
      <c r="BD46">
        <v>85.7</v>
      </c>
      <c r="BE46">
        <v>81</v>
      </c>
      <c r="BF46">
        <v>77</v>
      </c>
      <c r="BG46">
        <v>63.2</v>
      </c>
      <c r="BH46">
        <v>79.8</v>
      </c>
      <c r="BJ46">
        <v>90.9</v>
      </c>
      <c r="BK46">
        <v>107.6</v>
      </c>
      <c r="BL46">
        <v>112.1</v>
      </c>
      <c r="BM46">
        <v>105.9</v>
      </c>
      <c r="BN46">
        <v>103</v>
      </c>
      <c r="BP46">
        <v>90.6</v>
      </c>
      <c r="BQ46">
        <v>92.3</v>
      </c>
      <c r="BR46">
        <v>92.2</v>
      </c>
      <c r="BS46">
        <v>92.7</v>
      </c>
      <c r="BT46">
        <v>92.8</v>
      </c>
      <c r="BU46">
        <v>98.8</v>
      </c>
      <c r="BV46">
        <v>94.8</v>
      </c>
      <c r="BW46">
        <v>85.1</v>
      </c>
      <c r="BX46">
        <v>93.2</v>
      </c>
      <c r="BY46">
        <v>89.6</v>
      </c>
      <c r="BZ46">
        <v>85.2</v>
      </c>
      <c r="CA46">
        <v>85.2</v>
      </c>
      <c r="CB46">
        <v>85.1</v>
      </c>
      <c r="CC46">
        <v>82.2</v>
      </c>
      <c r="CD46">
        <v>82.1</v>
      </c>
      <c r="CE46">
        <v>74.599999999999994</v>
      </c>
      <c r="CF46">
        <v>69.599999999999994</v>
      </c>
      <c r="CG46">
        <v>89.4</v>
      </c>
      <c r="CH46">
        <v>90.8</v>
      </c>
      <c r="CI46">
        <v>90</v>
      </c>
      <c r="CJ46">
        <v>98.7</v>
      </c>
      <c r="CK46">
        <v>82.7</v>
      </c>
      <c r="CL46">
        <v>68</v>
      </c>
      <c r="CM46">
        <v>77.900000000000006</v>
      </c>
      <c r="CN46">
        <v>63.6</v>
      </c>
      <c r="CO46">
        <v>81.5</v>
      </c>
      <c r="CP46">
        <v>72.900000000000006</v>
      </c>
      <c r="CQ46">
        <v>80.400000000000006</v>
      </c>
      <c r="CR46">
        <v>92</v>
      </c>
      <c r="CS46">
        <v>74.8</v>
      </c>
      <c r="CT46">
        <v>76.5</v>
      </c>
      <c r="CV46">
        <v>85.7</v>
      </c>
      <c r="CW46">
        <v>75.5</v>
      </c>
      <c r="CX46">
        <v>73.599999999999994</v>
      </c>
      <c r="CY46">
        <v>72.900000000000006</v>
      </c>
      <c r="CZ46">
        <v>68.5</v>
      </c>
      <c r="DA46">
        <v>81</v>
      </c>
      <c r="DB46">
        <v>74</v>
      </c>
      <c r="DC46">
        <v>102.7</v>
      </c>
      <c r="DD46">
        <v>102.3</v>
      </c>
      <c r="DE46">
        <v>115.4</v>
      </c>
      <c r="DG46">
        <v>89.9</v>
      </c>
      <c r="DH46">
        <v>78</v>
      </c>
      <c r="DI46">
        <v>88.2</v>
      </c>
      <c r="DJ46">
        <v>82.6</v>
      </c>
      <c r="DK46">
        <v>72.7</v>
      </c>
      <c r="DL46">
        <v>77.5</v>
      </c>
      <c r="DM46">
        <v>65.5</v>
      </c>
      <c r="DN46">
        <v>100.6</v>
      </c>
      <c r="DO46">
        <v>99</v>
      </c>
      <c r="DP46">
        <v>99.6</v>
      </c>
      <c r="DQ46">
        <v>104.7</v>
      </c>
      <c r="DR46">
        <v>89.3</v>
      </c>
      <c r="DS46">
        <v>105.1</v>
      </c>
      <c r="DT46">
        <v>70.7</v>
      </c>
      <c r="DU46">
        <v>87.6</v>
      </c>
      <c r="DV46">
        <v>86.2</v>
      </c>
      <c r="DW46">
        <v>103.4</v>
      </c>
      <c r="DX46">
        <v>87.4</v>
      </c>
      <c r="DY46">
        <v>104.8</v>
      </c>
      <c r="DZ46">
        <v>68.599999999999994</v>
      </c>
      <c r="EA46">
        <v>68</v>
      </c>
      <c r="EB46">
        <v>64.8</v>
      </c>
      <c r="EC46">
        <v>66</v>
      </c>
      <c r="ED46">
        <v>74.8</v>
      </c>
      <c r="EF46">
        <v>47.7</v>
      </c>
      <c r="EG46">
        <v>64.5</v>
      </c>
      <c r="EH46">
        <v>57.1</v>
      </c>
      <c r="EI46">
        <v>70</v>
      </c>
      <c r="EJ46">
        <v>60.4</v>
      </c>
      <c r="EK46">
        <v>68.7</v>
      </c>
      <c r="EL46">
        <v>80.400000000000006</v>
      </c>
      <c r="EM46">
        <v>66.599999999999994</v>
      </c>
      <c r="EN46">
        <v>87.8</v>
      </c>
      <c r="EO46">
        <v>76.599999999999994</v>
      </c>
      <c r="EP46">
        <v>89.7</v>
      </c>
      <c r="ER46">
        <v>77.900000000000006</v>
      </c>
      <c r="ET46">
        <v>99.5</v>
      </c>
      <c r="EU46">
        <v>117.1</v>
      </c>
      <c r="EV46">
        <v>121.7</v>
      </c>
      <c r="EW46">
        <v>102.4</v>
      </c>
      <c r="EX46">
        <v>97.5</v>
      </c>
      <c r="EY46">
        <v>92.7</v>
      </c>
      <c r="EZ46">
        <v>105.4</v>
      </c>
      <c r="FA46">
        <v>102.7</v>
      </c>
      <c r="FB46">
        <v>94.3</v>
      </c>
      <c r="FC46">
        <v>107.9</v>
      </c>
      <c r="FD46">
        <v>101.7</v>
      </c>
      <c r="FE46">
        <v>108.1</v>
      </c>
      <c r="FF46">
        <v>103.7</v>
      </c>
      <c r="FH46">
        <v>85.3</v>
      </c>
      <c r="FI46">
        <v>92.3</v>
      </c>
      <c r="FJ46">
        <v>81.8</v>
      </c>
      <c r="FK46">
        <v>90.3</v>
      </c>
      <c r="FL46">
        <v>94.9</v>
      </c>
      <c r="FM46">
        <v>92.7</v>
      </c>
      <c r="FO46">
        <v>104.3</v>
      </c>
      <c r="FQ46">
        <v>87.8</v>
      </c>
      <c r="FR46">
        <v>90.4</v>
      </c>
      <c r="FS46">
        <v>81</v>
      </c>
      <c r="FT46">
        <v>80.599999999999994</v>
      </c>
      <c r="FU46">
        <v>97.3</v>
      </c>
      <c r="FV46">
        <v>78.599999999999994</v>
      </c>
      <c r="FW46">
        <v>89.5</v>
      </c>
      <c r="FX46">
        <v>89.2</v>
      </c>
      <c r="FY46">
        <v>87.1</v>
      </c>
      <c r="GA46">
        <v>101.8</v>
      </c>
      <c r="GB46">
        <v>94.9</v>
      </c>
      <c r="GC46">
        <v>110</v>
      </c>
      <c r="GD46">
        <v>97.8</v>
      </c>
      <c r="GE46">
        <v>76.3</v>
      </c>
      <c r="GF46">
        <v>86.5</v>
      </c>
      <c r="GG46">
        <v>84.9</v>
      </c>
      <c r="GH46">
        <v>98.5</v>
      </c>
      <c r="GI46">
        <v>89.4</v>
      </c>
      <c r="GJ46">
        <v>91.5</v>
      </c>
      <c r="GK46">
        <v>86</v>
      </c>
      <c r="GM46">
        <v>88.2</v>
      </c>
      <c r="GO46">
        <v>90.1</v>
      </c>
      <c r="GP46">
        <v>87.5</v>
      </c>
      <c r="GQ46">
        <v>118.6</v>
      </c>
      <c r="GR46">
        <v>106.2</v>
      </c>
      <c r="GU46">
        <v>88.2</v>
      </c>
      <c r="GV46">
        <v>63.2</v>
      </c>
      <c r="GW46">
        <v>88.1</v>
      </c>
      <c r="GX46">
        <v>91.2</v>
      </c>
      <c r="GY46">
        <v>92.2</v>
      </c>
      <c r="GZ46">
        <v>88.6</v>
      </c>
      <c r="HA46">
        <v>99.2</v>
      </c>
      <c r="HD46">
        <v>116</v>
      </c>
      <c r="HE46">
        <v>101.1</v>
      </c>
      <c r="HG46">
        <v>95.8</v>
      </c>
      <c r="HH46">
        <v>89</v>
      </c>
      <c r="HI46">
        <v>89.4</v>
      </c>
      <c r="HO46">
        <v>102.3</v>
      </c>
      <c r="HP46">
        <v>109.6</v>
      </c>
      <c r="HQ46">
        <v>101.1</v>
      </c>
      <c r="HR46">
        <v>98.1</v>
      </c>
      <c r="HS46">
        <v>120.9</v>
      </c>
      <c r="HT46">
        <v>97</v>
      </c>
      <c r="HU46">
        <v>84.2</v>
      </c>
      <c r="HV46">
        <v>98.3</v>
      </c>
      <c r="HW46">
        <v>106</v>
      </c>
      <c r="HY46">
        <v>101.1</v>
      </c>
      <c r="HZ46">
        <v>94.7</v>
      </c>
      <c r="IA46">
        <v>102.7</v>
      </c>
      <c r="IB46">
        <v>99.1</v>
      </c>
      <c r="IC46">
        <v>111.1</v>
      </c>
      <c r="IE46">
        <v>86</v>
      </c>
      <c r="IF46">
        <v>117.2</v>
      </c>
      <c r="IH46">
        <v>104.4</v>
      </c>
      <c r="IJ46">
        <v>99.3</v>
      </c>
      <c r="IK46">
        <v>107.3</v>
      </c>
      <c r="IL46">
        <v>100.4</v>
      </c>
      <c r="IM46">
        <v>98.2</v>
      </c>
      <c r="IN46">
        <v>96</v>
      </c>
      <c r="IO46">
        <v>84.9</v>
      </c>
      <c r="IP46">
        <v>97.7</v>
      </c>
      <c r="IQ46">
        <v>99</v>
      </c>
      <c r="IR46">
        <v>109.9</v>
      </c>
      <c r="IS46">
        <v>98.2</v>
      </c>
      <c r="IT46">
        <v>90</v>
      </c>
      <c r="IU46">
        <v>89.4</v>
      </c>
      <c r="IV46">
        <v>89.5</v>
      </c>
      <c r="IX46">
        <v>89.8</v>
      </c>
      <c r="IY46">
        <v>91.9</v>
      </c>
      <c r="IZ46">
        <v>85.8</v>
      </c>
      <c r="JA46">
        <v>90</v>
      </c>
      <c r="JB46">
        <v>92.1</v>
      </c>
      <c r="JC46">
        <v>90.8</v>
      </c>
      <c r="JD46">
        <v>92.4</v>
      </c>
      <c r="JE46">
        <v>90.9</v>
      </c>
      <c r="JH46">
        <v>92.9</v>
      </c>
      <c r="JI46">
        <v>91.6</v>
      </c>
      <c r="JJ46">
        <v>89.1</v>
      </c>
      <c r="JK46">
        <v>76.099999999999994</v>
      </c>
      <c r="JL46">
        <v>90.9</v>
      </c>
      <c r="JM46">
        <v>103.5</v>
      </c>
      <c r="JN46">
        <v>99.2</v>
      </c>
      <c r="JO46">
        <v>91.5</v>
      </c>
      <c r="JQ46">
        <v>90.1</v>
      </c>
      <c r="JS46">
        <v>97.7</v>
      </c>
      <c r="JT46">
        <v>97.6</v>
      </c>
      <c r="JU46">
        <v>97.9</v>
      </c>
      <c r="JV46">
        <v>100.8</v>
      </c>
      <c r="JW46">
        <v>102.7</v>
      </c>
      <c r="JX46">
        <v>103.7</v>
      </c>
      <c r="JY46">
        <v>103.7</v>
      </c>
      <c r="JZ46">
        <v>98.1</v>
      </c>
      <c r="KA46">
        <v>98.6</v>
      </c>
      <c r="KB46">
        <v>97.5</v>
      </c>
      <c r="KC46">
        <v>102.6</v>
      </c>
      <c r="KD46">
        <v>102.6</v>
      </c>
      <c r="KE46">
        <v>90.1</v>
      </c>
      <c r="KF46">
        <v>100.2</v>
      </c>
      <c r="KG46">
        <v>97.9</v>
      </c>
      <c r="KH46">
        <v>157.4</v>
      </c>
      <c r="KI46">
        <v>105.2</v>
      </c>
      <c r="KJ46">
        <v>89</v>
      </c>
      <c r="KL46">
        <v>76.099999999999994</v>
      </c>
      <c r="KM46">
        <v>86.7</v>
      </c>
      <c r="KN46">
        <v>87.8</v>
      </c>
      <c r="KO46">
        <v>78.099999999999994</v>
      </c>
      <c r="KP46">
        <v>84.1</v>
      </c>
      <c r="KS46">
        <v>91.2</v>
      </c>
      <c r="KT46">
        <v>85.7</v>
      </c>
      <c r="KU46">
        <v>93.4</v>
      </c>
      <c r="KX46">
        <v>86.5</v>
      </c>
      <c r="KY46">
        <v>86.1</v>
      </c>
      <c r="KZ46">
        <v>81.5</v>
      </c>
      <c r="LA46">
        <v>81.5</v>
      </c>
      <c r="LB46">
        <v>92.7</v>
      </c>
      <c r="LC46">
        <v>97.8</v>
      </c>
      <c r="LD46">
        <v>85.1</v>
      </c>
      <c r="LE46">
        <v>80.900000000000006</v>
      </c>
      <c r="LF46">
        <v>80.900000000000006</v>
      </c>
      <c r="LG46">
        <v>92.5</v>
      </c>
      <c r="LH46">
        <v>94.6</v>
      </c>
      <c r="LI46">
        <v>89.4</v>
      </c>
      <c r="LJ46">
        <v>106.7</v>
      </c>
      <c r="LK46">
        <v>138</v>
      </c>
      <c r="LL46">
        <v>200.5</v>
      </c>
      <c r="LM46">
        <v>220.7</v>
      </c>
      <c r="LN46">
        <v>127.9</v>
      </c>
      <c r="LO46">
        <v>127.3</v>
      </c>
      <c r="LP46">
        <v>301.10000000000002</v>
      </c>
      <c r="LQ46">
        <v>234.5</v>
      </c>
      <c r="LR46">
        <v>156.30000000000001</v>
      </c>
      <c r="LS46">
        <v>381.6</v>
      </c>
      <c r="LT46">
        <v>107</v>
      </c>
      <c r="LU46">
        <v>112</v>
      </c>
      <c r="LV46">
        <v>98.2</v>
      </c>
      <c r="LX46">
        <v>91.9</v>
      </c>
      <c r="LY46">
        <v>87.7</v>
      </c>
      <c r="MA46">
        <v>99.2</v>
      </c>
      <c r="MB46">
        <v>113.9</v>
      </c>
      <c r="MC46">
        <v>267.89999999999998</v>
      </c>
      <c r="MD46">
        <v>102.1</v>
      </c>
      <c r="ME46">
        <v>85.3</v>
      </c>
      <c r="MG46">
        <v>89.2</v>
      </c>
      <c r="MH46">
        <v>83.5</v>
      </c>
      <c r="MI46">
        <v>88</v>
      </c>
      <c r="MJ46">
        <v>89.8</v>
      </c>
      <c r="MK46">
        <v>103.3</v>
      </c>
      <c r="MM46">
        <v>85.8</v>
      </c>
      <c r="MN46">
        <v>93</v>
      </c>
      <c r="MO46">
        <v>92.3</v>
      </c>
      <c r="MP46">
        <v>95.8</v>
      </c>
      <c r="MQ46">
        <v>82.6</v>
      </c>
      <c r="MS46">
        <v>88.3</v>
      </c>
      <c r="MU46">
        <v>88.9</v>
      </c>
      <c r="MV46">
        <v>85.9</v>
      </c>
      <c r="MW46">
        <v>75.7</v>
      </c>
      <c r="MX46">
        <v>82.8</v>
      </c>
      <c r="NB46">
        <v>100.9</v>
      </c>
      <c r="NC46">
        <v>92.6</v>
      </c>
      <c r="ND46">
        <v>96.4</v>
      </c>
      <c r="NE46">
        <v>90.2</v>
      </c>
      <c r="NF46">
        <v>108.3</v>
      </c>
      <c r="NG46">
        <v>114.6</v>
      </c>
      <c r="NH46">
        <v>104.7</v>
      </c>
      <c r="NI46">
        <v>100.7</v>
      </c>
      <c r="NJ46">
        <v>97</v>
      </c>
      <c r="NK46">
        <v>89</v>
      </c>
      <c r="NL46">
        <v>100.7</v>
      </c>
      <c r="NM46">
        <v>115.9</v>
      </c>
      <c r="NN46">
        <v>106.1</v>
      </c>
      <c r="NO46">
        <v>100.4</v>
      </c>
      <c r="NQ46">
        <v>95.5</v>
      </c>
      <c r="NR46">
        <v>91.5</v>
      </c>
      <c r="NS46">
        <v>91.5</v>
      </c>
      <c r="NT46">
        <v>97.5</v>
      </c>
      <c r="NU46">
        <v>106.3</v>
      </c>
      <c r="NW46">
        <v>95.4</v>
      </c>
      <c r="NX46">
        <v>95.4</v>
      </c>
      <c r="NY46">
        <v>93.1</v>
      </c>
      <c r="NZ46">
        <v>94.1</v>
      </c>
      <c r="OA46">
        <v>94</v>
      </c>
      <c r="OB46">
        <v>94.3</v>
      </c>
      <c r="OC46">
        <v>93.9</v>
      </c>
      <c r="OD46">
        <v>94</v>
      </c>
      <c r="OE46">
        <v>85.8</v>
      </c>
      <c r="OF46">
        <v>70.8</v>
      </c>
      <c r="OH46">
        <v>80.900000000000006</v>
      </c>
      <c r="OJ46">
        <v>88.2</v>
      </c>
      <c r="OK46">
        <v>88.3</v>
      </c>
      <c r="OL46">
        <v>78.400000000000006</v>
      </c>
      <c r="OM46">
        <v>97.2</v>
      </c>
      <c r="ON46">
        <v>96.8</v>
      </c>
      <c r="OO46">
        <v>88.7</v>
      </c>
      <c r="OP46">
        <v>90.2</v>
      </c>
      <c r="OQ46">
        <v>91</v>
      </c>
      <c r="OS46">
        <v>86</v>
      </c>
      <c r="OU46">
        <v>85.9</v>
      </c>
      <c r="OV46">
        <v>86.9</v>
      </c>
      <c r="OW46">
        <v>85.5</v>
      </c>
      <c r="OX46">
        <v>90</v>
      </c>
      <c r="OY46">
        <v>86.9</v>
      </c>
      <c r="OZ46">
        <v>86.2</v>
      </c>
      <c r="PA46">
        <v>123.9</v>
      </c>
      <c r="PB46">
        <v>83.8</v>
      </c>
      <c r="PC46">
        <v>86.8</v>
      </c>
      <c r="PD46">
        <v>147.6</v>
      </c>
      <c r="PG46">
        <v>104.6</v>
      </c>
      <c r="PH46">
        <v>93.1</v>
      </c>
      <c r="PI46">
        <v>94.3</v>
      </c>
      <c r="PJ46">
        <v>97</v>
      </c>
      <c r="PK46">
        <v>103.7</v>
      </c>
      <c r="PL46">
        <v>98</v>
      </c>
      <c r="PM46">
        <v>96.3</v>
      </c>
      <c r="PN46">
        <v>94.4</v>
      </c>
      <c r="PO46">
        <v>92.9</v>
      </c>
      <c r="PP46">
        <v>101.5</v>
      </c>
      <c r="PQ46">
        <v>98.6</v>
      </c>
      <c r="PR46">
        <v>96.1</v>
      </c>
      <c r="PS46">
        <v>91</v>
      </c>
      <c r="PT46">
        <v>87.4</v>
      </c>
      <c r="PU46">
        <v>93.8</v>
      </c>
      <c r="PV46">
        <v>96.4</v>
      </c>
      <c r="PW46">
        <v>95.9</v>
      </c>
      <c r="PX46">
        <v>97</v>
      </c>
      <c r="PY46">
        <v>90</v>
      </c>
      <c r="PZ46">
        <v>89.1</v>
      </c>
      <c r="QA46">
        <v>93.1</v>
      </c>
      <c r="QB46">
        <v>84.9</v>
      </c>
      <c r="QC46">
        <v>90</v>
      </c>
      <c r="QD46">
        <v>93.9</v>
      </c>
      <c r="QE46">
        <v>91.8</v>
      </c>
      <c r="QF46">
        <v>82.1</v>
      </c>
      <c r="QG46">
        <v>109.7</v>
      </c>
      <c r="QH46">
        <v>76.900000000000006</v>
      </c>
      <c r="QI46">
        <v>76.900000000000006</v>
      </c>
      <c r="QJ46">
        <v>89.6</v>
      </c>
      <c r="QK46">
        <v>92.8</v>
      </c>
      <c r="QL46">
        <v>91.8</v>
      </c>
      <c r="QM46">
        <v>90.6</v>
      </c>
      <c r="QN46">
        <v>81.7</v>
      </c>
      <c r="QO46">
        <v>86.7</v>
      </c>
      <c r="QQ46">
        <v>98.9</v>
      </c>
      <c r="QR46">
        <v>100.3</v>
      </c>
      <c r="QS46">
        <v>121.9</v>
      </c>
      <c r="QT46">
        <v>90.3</v>
      </c>
      <c r="QU46">
        <v>98.1</v>
      </c>
      <c r="QV46">
        <v>91.3</v>
      </c>
      <c r="QW46">
        <v>102.5</v>
      </c>
      <c r="QX46">
        <v>96.8</v>
      </c>
      <c r="QY46">
        <v>87.5</v>
      </c>
      <c r="QZ46">
        <v>88.9</v>
      </c>
      <c r="RA46">
        <v>85.1</v>
      </c>
      <c r="RB46">
        <v>85.8</v>
      </c>
      <c r="RC46">
        <v>90.9</v>
      </c>
      <c r="RD46">
        <v>96.2</v>
      </c>
      <c r="RE46">
        <v>102.6</v>
      </c>
      <c r="RF46">
        <v>106.5</v>
      </c>
      <c r="RG46">
        <v>114.9</v>
      </c>
      <c r="RH46">
        <v>109.1</v>
      </c>
      <c r="RI46">
        <v>95.3</v>
      </c>
      <c r="RJ46">
        <v>108.6</v>
      </c>
      <c r="RK46">
        <v>95.5</v>
      </c>
      <c r="RL46">
        <v>101.4</v>
      </c>
      <c r="RM46">
        <v>103</v>
      </c>
      <c r="RN46">
        <v>115.6</v>
      </c>
      <c r="RO46">
        <v>102.9</v>
      </c>
      <c r="RP46">
        <v>100.3</v>
      </c>
      <c r="RQ46">
        <v>99.8</v>
      </c>
      <c r="RS46">
        <v>101.2</v>
      </c>
      <c r="RT46">
        <v>104.4</v>
      </c>
      <c r="RV46">
        <v>89.8</v>
      </c>
      <c r="RW46">
        <v>104.7</v>
      </c>
      <c r="RX46">
        <v>109.2</v>
      </c>
      <c r="SA46">
        <v>103.6</v>
      </c>
      <c r="SB46">
        <v>90.5</v>
      </c>
      <c r="SC46">
        <v>99</v>
      </c>
      <c r="SF46">
        <v>91.5</v>
      </c>
      <c r="SG46">
        <v>91.9</v>
      </c>
      <c r="SH46">
        <v>96.6</v>
      </c>
      <c r="SI46">
        <v>94.7</v>
      </c>
      <c r="SK46">
        <v>97.1</v>
      </c>
      <c r="SL46">
        <v>90.2</v>
      </c>
      <c r="SM46">
        <v>95.3</v>
      </c>
      <c r="SN46">
        <v>95.1</v>
      </c>
      <c r="SO46">
        <v>96.6</v>
      </c>
      <c r="SP46">
        <v>95.4</v>
      </c>
      <c r="SQ46">
        <v>94.7</v>
      </c>
      <c r="SR46">
        <v>95.2</v>
      </c>
      <c r="SS46">
        <v>95</v>
      </c>
      <c r="ST46">
        <v>94.3</v>
      </c>
      <c r="SU46">
        <v>96.1</v>
      </c>
      <c r="SV46">
        <v>95.6</v>
      </c>
      <c r="SX46">
        <v>93.7</v>
      </c>
      <c r="SZ46">
        <v>88.9</v>
      </c>
      <c r="TA46">
        <v>100.2</v>
      </c>
      <c r="TB46">
        <v>67.5</v>
      </c>
      <c r="TC46">
        <v>64.5</v>
      </c>
      <c r="TD46">
        <v>79.099999999999994</v>
      </c>
      <c r="TE46">
        <v>93</v>
      </c>
      <c r="TF46">
        <v>94.8</v>
      </c>
      <c r="TG46">
        <v>98.5</v>
      </c>
      <c r="TH46">
        <v>93.7</v>
      </c>
      <c r="TI46">
        <v>93.1</v>
      </c>
      <c r="TJ46">
        <v>94.8</v>
      </c>
      <c r="TK46">
        <v>80.8</v>
      </c>
      <c r="TL46">
        <v>78</v>
      </c>
      <c r="TN46">
        <v>92.8</v>
      </c>
      <c r="TO46">
        <v>90.9</v>
      </c>
      <c r="TP46">
        <v>84.9</v>
      </c>
      <c r="TQ46">
        <v>90.7</v>
      </c>
      <c r="TR46">
        <v>180.2</v>
      </c>
      <c r="TT46">
        <v>89.2</v>
      </c>
      <c r="TU46">
        <v>90.8</v>
      </c>
      <c r="TV46">
        <v>88.9</v>
      </c>
      <c r="TW46">
        <v>100.8</v>
      </c>
      <c r="TX46">
        <v>96</v>
      </c>
      <c r="TY46">
        <v>107.1</v>
      </c>
      <c r="TZ46">
        <v>98.7</v>
      </c>
      <c r="UC46">
        <v>95.6</v>
      </c>
      <c r="UD46">
        <v>89.5</v>
      </c>
      <c r="UE46">
        <v>110.9</v>
      </c>
      <c r="UF46">
        <v>79.400000000000006</v>
      </c>
      <c r="UG46">
        <v>95.2</v>
      </c>
      <c r="UH46">
        <v>93.7</v>
      </c>
      <c r="UI46">
        <v>118.9</v>
      </c>
      <c r="UJ46">
        <v>85.2</v>
      </c>
      <c r="UK46">
        <v>123.9</v>
      </c>
      <c r="UL46">
        <v>116.3</v>
      </c>
      <c r="UM46">
        <v>130.30000000000001</v>
      </c>
      <c r="UN46">
        <v>98.8</v>
      </c>
      <c r="UO46">
        <v>101.6</v>
      </c>
      <c r="UP46">
        <v>93.6</v>
      </c>
      <c r="UQ46">
        <v>384.8</v>
      </c>
      <c r="UR46">
        <v>122.5</v>
      </c>
      <c r="US46">
        <v>104.7</v>
      </c>
      <c r="UT46">
        <v>98.7</v>
      </c>
      <c r="UU46">
        <v>102.8</v>
      </c>
      <c r="UV46">
        <v>92.2</v>
      </c>
      <c r="UW46">
        <v>88.7</v>
      </c>
      <c r="UX46">
        <v>84.2</v>
      </c>
      <c r="UY46">
        <v>92.8</v>
      </c>
      <c r="UZ46">
        <v>89.9</v>
      </c>
      <c r="VA46">
        <v>90.9</v>
      </c>
      <c r="VB46">
        <v>92.8</v>
      </c>
      <c r="VC46">
        <v>85.4</v>
      </c>
      <c r="VD46">
        <v>99</v>
      </c>
      <c r="VE46">
        <v>173.5</v>
      </c>
      <c r="VF46">
        <v>227.7</v>
      </c>
      <c r="VG46">
        <v>393.8</v>
      </c>
      <c r="VH46">
        <v>210</v>
      </c>
      <c r="VI46">
        <v>195.6</v>
      </c>
      <c r="VK46">
        <v>89.8</v>
      </c>
      <c r="VL46">
        <v>186.4</v>
      </c>
      <c r="VM46">
        <v>89</v>
      </c>
      <c r="VN46">
        <v>92.6</v>
      </c>
      <c r="VO46">
        <v>93.8</v>
      </c>
      <c r="VP46">
        <v>90.2</v>
      </c>
      <c r="VQ46">
        <v>101.5</v>
      </c>
      <c r="VR46">
        <v>81.900000000000006</v>
      </c>
      <c r="VT46">
        <v>102</v>
      </c>
      <c r="VU46">
        <v>95.3</v>
      </c>
      <c r="VV46">
        <v>81.3</v>
      </c>
      <c r="VW46">
        <v>106.9</v>
      </c>
      <c r="VX46">
        <v>85.7</v>
      </c>
      <c r="VY46">
        <v>121.8</v>
      </c>
      <c r="VZ46">
        <v>103.8</v>
      </c>
      <c r="WB46">
        <v>105</v>
      </c>
      <c r="WC46">
        <v>186.8</v>
      </c>
      <c r="WE46">
        <v>100.3</v>
      </c>
      <c r="WF46">
        <v>82.5</v>
      </c>
      <c r="WG46">
        <v>101.9</v>
      </c>
      <c r="WH46">
        <v>84.1</v>
      </c>
      <c r="WI46">
        <v>84.7</v>
      </c>
      <c r="WJ46">
        <v>84.9</v>
      </c>
      <c r="WK46">
        <v>82.3</v>
      </c>
      <c r="WL46">
        <v>91.4</v>
      </c>
      <c r="WN46">
        <v>98.1</v>
      </c>
      <c r="WO46">
        <v>90.6</v>
      </c>
      <c r="WP46">
        <v>82.3</v>
      </c>
      <c r="WQ46">
        <v>88.9</v>
      </c>
      <c r="WT46">
        <v>93.6</v>
      </c>
      <c r="WV46">
        <v>93.8</v>
      </c>
      <c r="WW46">
        <v>81.400000000000006</v>
      </c>
      <c r="WX46">
        <v>89.8</v>
      </c>
      <c r="WY46">
        <v>92.2</v>
      </c>
      <c r="WZ46">
        <v>92</v>
      </c>
      <c r="XA46">
        <v>92.4</v>
      </c>
      <c r="XB46">
        <v>77.599999999999994</v>
      </c>
      <c r="XD46">
        <v>80.3</v>
      </c>
      <c r="XE46">
        <v>88.5</v>
      </c>
      <c r="XF46">
        <v>87.6</v>
      </c>
      <c r="XG46">
        <v>89.5</v>
      </c>
      <c r="XH46">
        <v>93.5</v>
      </c>
      <c r="XI46">
        <v>104.1</v>
      </c>
      <c r="XJ46">
        <v>104.1</v>
      </c>
      <c r="XK46">
        <v>67.7</v>
      </c>
      <c r="XL46">
        <v>67.7</v>
      </c>
      <c r="XM46">
        <v>89.9</v>
      </c>
      <c r="XN46">
        <v>82.5</v>
      </c>
      <c r="XO46">
        <v>93.4</v>
      </c>
      <c r="XP46">
        <v>93.7</v>
      </c>
      <c r="XQ46">
        <v>86.4</v>
      </c>
      <c r="XR46">
        <v>89.2</v>
      </c>
      <c r="XT46">
        <v>94.7</v>
      </c>
      <c r="XU46">
        <v>96.3</v>
      </c>
      <c r="XV46">
        <v>98.3</v>
      </c>
      <c r="XW46">
        <v>105.1</v>
      </c>
      <c r="XX46">
        <v>91.1</v>
      </c>
      <c r="XY46">
        <v>90.7</v>
      </c>
      <c r="XZ46">
        <v>93.4</v>
      </c>
      <c r="YA46">
        <v>97.7</v>
      </c>
      <c r="YC46">
        <v>81.099999999999994</v>
      </c>
      <c r="YD46">
        <v>92</v>
      </c>
      <c r="YE46">
        <v>97</v>
      </c>
      <c r="YF46">
        <v>109.2</v>
      </c>
      <c r="YG46">
        <v>90.7</v>
      </c>
      <c r="YH46">
        <v>96.5</v>
      </c>
      <c r="YI46">
        <v>92.5</v>
      </c>
      <c r="YJ46">
        <v>90.6</v>
      </c>
      <c r="YK46">
        <v>73.2</v>
      </c>
      <c r="YL46">
        <v>81</v>
      </c>
      <c r="YM46">
        <v>98.2</v>
      </c>
      <c r="YO46">
        <v>147.5</v>
      </c>
      <c r="YP46">
        <v>100.9</v>
      </c>
      <c r="YR46">
        <v>94.5</v>
      </c>
      <c r="YT46">
        <v>90.5</v>
      </c>
      <c r="YU46">
        <v>94.9</v>
      </c>
      <c r="YV46">
        <v>97.3</v>
      </c>
      <c r="YW46">
        <v>96.8</v>
      </c>
      <c r="YX46">
        <v>92.5</v>
      </c>
      <c r="YY46">
        <v>93.1</v>
      </c>
      <c r="YZ46">
        <v>94.9</v>
      </c>
      <c r="ZA46">
        <v>96.6</v>
      </c>
      <c r="ZB46">
        <v>98.8</v>
      </c>
      <c r="ZC46">
        <v>131.1</v>
      </c>
      <c r="ZD46">
        <v>159.19999999999999</v>
      </c>
      <c r="ZE46">
        <v>106.9</v>
      </c>
      <c r="ZF46">
        <v>95.6</v>
      </c>
      <c r="ZG46">
        <v>105.8</v>
      </c>
      <c r="ZH46">
        <v>89.4</v>
      </c>
      <c r="ZK46">
        <v>90.1</v>
      </c>
      <c r="ZL46">
        <v>89.2</v>
      </c>
      <c r="ZM46">
        <v>105.7</v>
      </c>
      <c r="ZN46">
        <v>97.8</v>
      </c>
      <c r="ZO46">
        <v>96.7</v>
      </c>
      <c r="ZP46">
        <v>100.4</v>
      </c>
      <c r="ZQ46">
        <v>95.1</v>
      </c>
      <c r="ZR46">
        <v>97.7</v>
      </c>
      <c r="ZT46">
        <v>95.4</v>
      </c>
      <c r="ZU46">
        <v>94.8</v>
      </c>
      <c r="ZV46">
        <v>91.3</v>
      </c>
      <c r="ZW46">
        <v>102.7</v>
      </c>
      <c r="ZX46">
        <v>120.3</v>
      </c>
      <c r="ZY46">
        <v>95.8</v>
      </c>
      <c r="ZZ46">
        <v>95.7</v>
      </c>
      <c r="AAA46">
        <v>101.4</v>
      </c>
      <c r="AAC46">
        <v>80.8</v>
      </c>
      <c r="AAD46">
        <v>76.400000000000006</v>
      </c>
      <c r="AAE46">
        <v>98.5</v>
      </c>
      <c r="AAF46">
        <v>60</v>
      </c>
      <c r="AAG46">
        <v>70.099999999999994</v>
      </c>
      <c r="AAH46">
        <v>98.3</v>
      </c>
      <c r="AAI46">
        <v>92.2</v>
      </c>
      <c r="AAJ46">
        <v>83.2</v>
      </c>
      <c r="AAK46">
        <v>98.5</v>
      </c>
      <c r="AAL46">
        <v>92.9</v>
      </c>
      <c r="AAM46">
        <v>90.5</v>
      </c>
      <c r="AAN46">
        <v>96.9</v>
      </c>
      <c r="AAO46">
        <v>59.6</v>
      </c>
      <c r="AAP46">
        <v>58.7</v>
      </c>
      <c r="AAQ46">
        <v>61.3</v>
      </c>
      <c r="AAR46">
        <v>97.4</v>
      </c>
      <c r="AAT46">
        <v>75.599999999999994</v>
      </c>
      <c r="AAU46">
        <v>246.2</v>
      </c>
      <c r="AAW46">
        <v>92.9</v>
      </c>
      <c r="AAX46">
        <v>95.9</v>
      </c>
      <c r="AAY46">
        <v>100</v>
      </c>
      <c r="AAZ46">
        <v>94.2</v>
      </c>
      <c r="ABB46">
        <v>76.900000000000006</v>
      </c>
      <c r="ABC46">
        <v>76.3</v>
      </c>
      <c r="ABD46">
        <v>82.2</v>
      </c>
      <c r="ABE46">
        <v>68</v>
      </c>
      <c r="ABF46">
        <v>96.1</v>
      </c>
      <c r="ABG46">
        <v>91</v>
      </c>
      <c r="ABH46">
        <v>93.9</v>
      </c>
      <c r="ABI46">
        <v>96.3</v>
      </c>
      <c r="ABJ46">
        <v>103</v>
      </c>
      <c r="ABK46">
        <v>95</v>
      </c>
      <c r="ABL46">
        <v>86.3</v>
      </c>
      <c r="ABM46">
        <v>97.1</v>
      </c>
      <c r="ABN46">
        <v>99.1</v>
      </c>
      <c r="ABO46">
        <v>110.4</v>
      </c>
      <c r="ABP46">
        <v>98.9</v>
      </c>
      <c r="ABQ46">
        <v>106.7</v>
      </c>
    </row>
    <row r="47" spans="1:745">
      <c r="A47">
        <v>2010</v>
      </c>
      <c r="B47">
        <v>94.7</v>
      </c>
      <c r="C47">
        <v>88.8</v>
      </c>
      <c r="D47">
        <v>93.8</v>
      </c>
      <c r="E47">
        <v>92</v>
      </c>
      <c r="F47">
        <v>94</v>
      </c>
      <c r="G47">
        <v>90.5</v>
      </c>
      <c r="H47">
        <v>93.2</v>
      </c>
      <c r="I47">
        <v>94.9</v>
      </c>
      <c r="J47">
        <v>90.2</v>
      </c>
      <c r="K47">
        <v>94.9</v>
      </c>
      <c r="L47">
        <v>94.4</v>
      </c>
      <c r="M47">
        <v>94.4</v>
      </c>
      <c r="N47">
        <v>96</v>
      </c>
      <c r="O47">
        <v>91.9</v>
      </c>
      <c r="P47">
        <v>89.6</v>
      </c>
      <c r="Q47">
        <v>100.7</v>
      </c>
      <c r="R47">
        <v>100.4</v>
      </c>
      <c r="S47">
        <v>81.5</v>
      </c>
      <c r="T47">
        <v>109.5</v>
      </c>
      <c r="V47">
        <v>76.7</v>
      </c>
      <c r="W47">
        <v>76.400000000000006</v>
      </c>
      <c r="X47">
        <v>88.5</v>
      </c>
      <c r="Y47">
        <v>92.4</v>
      </c>
      <c r="Z47">
        <v>102.2</v>
      </c>
      <c r="AA47">
        <v>88.2</v>
      </c>
      <c r="AB47">
        <v>69.599999999999994</v>
      </c>
      <c r="AC47">
        <v>91.7</v>
      </c>
      <c r="AD47">
        <v>55.9</v>
      </c>
      <c r="AE47">
        <v>82.4</v>
      </c>
      <c r="AF47">
        <v>87.6</v>
      </c>
      <c r="AG47">
        <v>52.9</v>
      </c>
      <c r="AH47">
        <v>65</v>
      </c>
      <c r="AI47">
        <v>73.099999999999994</v>
      </c>
      <c r="AJ47">
        <v>88.3</v>
      </c>
      <c r="AK47">
        <v>80.5</v>
      </c>
      <c r="AL47">
        <v>68.400000000000006</v>
      </c>
      <c r="AM47">
        <v>69.7</v>
      </c>
      <c r="AN47">
        <v>60</v>
      </c>
      <c r="AO47">
        <v>87.6</v>
      </c>
      <c r="AP47">
        <v>65.3</v>
      </c>
      <c r="AQ47">
        <v>77.5</v>
      </c>
      <c r="AR47">
        <v>85.6</v>
      </c>
      <c r="AS47">
        <v>64.7</v>
      </c>
      <c r="AT47">
        <v>54.2</v>
      </c>
      <c r="AU47">
        <v>95.5</v>
      </c>
      <c r="AV47">
        <v>92.8</v>
      </c>
      <c r="AW47">
        <v>99.7</v>
      </c>
      <c r="AX47">
        <v>95.5</v>
      </c>
      <c r="AY47">
        <v>75.599999999999994</v>
      </c>
      <c r="AZ47">
        <v>83.4</v>
      </c>
      <c r="BA47">
        <v>71.7</v>
      </c>
      <c r="BB47">
        <v>79</v>
      </c>
      <c r="BC47">
        <v>79.8</v>
      </c>
      <c r="BD47">
        <v>84.5</v>
      </c>
      <c r="BE47">
        <v>80.2</v>
      </c>
      <c r="BF47">
        <v>75.900000000000006</v>
      </c>
      <c r="BG47">
        <v>62.6</v>
      </c>
      <c r="BH47">
        <v>79.5</v>
      </c>
      <c r="BJ47">
        <v>90.5</v>
      </c>
      <c r="BK47">
        <v>104.5</v>
      </c>
      <c r="BL47">
        <v>107.9</v>
      </c>
      <c r="BM47">
        <v>102.9</v>
      </c>
      <c r="BN47">
        <v>101.6</v>
      </c>
      <c r="BP47">
        <v>89.9</v>
      </c>
      <c r="BQ47">
        <v>90.5</v>
      </c>
      <c r="BR47">
        <v>90.6</v>
      </c>
      <c r="BS47">
        <v>90.8</v>
      </c>
      <c r="BT47">
        <v>90.9</v>
      </c>
      <c r="BU47">
        <v>97.7</v>
      </c>
      <c r="BV47">
        <v>92.7</v>
      </c>
      <c r="BW47">
        <v>84.3</v>
      </c>
      <c r="BX47">
        <v>89.6</v>
      </c>
      <c r="BY47">
        <v>88.4</v>
      </c>
      <c r="BZ47">
        <v>88</v>
      </c>
      <c r="CA47">
        <v>88</v>
      </c>
      <c r="CB47">
        <v>90.7</v>
      </c>
      <c r="CC47">
        <v>91.9</v>
      </c>
      <c r="CD47">
        <v>102.2</v>
      </c>
      <c r="CE47">
        <v>84.7</v>
      </c>
      <c r="CF47">
        <v>91.1</v>
      </c>
      <c r="CG47">
        <v>105.5</v>
      </c>
      <c r="CH47">
        <v>106.6</v>
      </c>
      <c r="CI47">
        <v>101.3</v>
      </c>
      <c r="CJ47">
        <v>95.2</v>
      </c>
      <c r="CK47">
        <v>83.6</v>
      </c>
      <c r="CL47">
        <v>79.3</v>
      </c>
      <c r="CM47">
        <v>89.3</v>
      </c>
      <c r="CN47">
        <v>71.2</v>
      </c>
      <c r="CO47">
        <v>95.2</v>
      </c>
      <c r="CP47">
        <v>88.7</v>
      </c>
      <c r="CQ47">
        <v>81</v>
      </c>
      <c r="CR47">
        <v>108</v>
      </c>
      <c r="CS47">
        <v>79.8</v>
      </c>
      <c r="CT47">
        <v>87</v>
      </c>
      <c r="CU47">
        <v>82.4</v>
      </c>
      <c r="CV47">
        <v>88.3</v>
      </c>
      <c r="CW47">
        <v>86.9</v>
      </c>
      <c r="CX47">
        <v>78.099999999999994</v>
      </c>
      <c r="CY47">
        <v>80.099999999999994</v>
      </c>
      <c r="CZ47">
        <v>75.2</v>
      </c>
      <c r="DA47">
        <v>90.8</v>
      </c>
      <c r="DB47">
        <v>82.2</v>
      </c>
      <c r="DC47">
        <v>99.4</v>
      </c>
      <c r="DD47">
        <v>99.8</v>
      </c>
      <c r="DE47">
        <v>111.1</v>
      </c>
      <c r="DG47">
        <v>88.5</v>
      </c>
      <c r="DH47">
        <v>77.8</v>
      </c>
      <c r="DI47">
        <v>88.1</v>
      </c>
      <c r="DJ47">
        <v>82.1</v>
      </c>
      <c r="DK47">
        <v>73.8</v>
      </c>
      <c r="DL47">
        <v>76.7</v>
      </c>
      <c r="DM47">
        <v>65.400000000000006</v>
      </c>
      <c r="DN47">
        <v>98.2</v>
      </c>
      <c r="DO47">
        <v>96.9</v>
      </c>
      <c r="DP47">
        <v>97.6</v>
      </c>
      <c r="DQ47">
        <v>101.2</v>
      </c>
      <c r="DR47">
        <v>87.5</v>
      </c>
      <c r="DS47">
        <v>103.2</v>
      </c>
      <c r="DT47">
        <v>69</v>
      </c>
      <c r="DU47">
        <v>86.3</v>
      </c>
      <c r="DV47">
        <v>84.4</v>
      </c>
      <c r="DW47">
        <v>99.3</v>
      </c>
      <c r="DX47">
        <v>86.4</v>
      </c>
      <c r="DY47">
        <v>106.3</v>
      </c>
      <c r="DZ47">
        <v>77</v>
      </c>
      <c r="EA47">
        <v>77</v>
      </c>
      <c r="EB47">
        <v>74.8</v>
      </c>
      <c r="EC47">
        <v>85.3</v>
      </c>
      <c r="ED47">
        <v>73.7</v>
      </c>
      <c r="EF47">
        <v>63.5</v>
      </c>
      <c r="EG47">
        <v>71.8</v>
      </c>
      <c r="EH47">
        <v>65.400000000000006</v>
      </c>
      <c r="EI47">
        <v>101.6</v>
      </c>
      <c r="EJ47">
        <v>65.2</v>
      </c>
      <c r="EK47">
        <v>76.7</v>
      </c>
      <c r="EL47">
        <v>87.4</v>
      </c>
      <c r="EM47">
        <v>69.900000000000006</v>
      </c>
      <c r="EN47">
        <v>84.7</v>
      </c>
      <c r="EO47">
        <v>78.599999999999994</v>
      </c>
      <c r="EP47">
        <v>98.4</v>
      </c>
      <c r="ER47">
        <v>76.3</v>
      </c>
      <c r="ET47">
        <v>97.8</v>
      </c>
      <c r="EU47">
        <v>107.8</v>
      </c>
      <c r="EV47">
        <v>109.5</v>
      </c>
      <c r="EW47">
        <v>101</v>
      </c>
      <c r="EX47">
        <v>96.7</v>
      </c>
      <c r="EY47">
        <v>92.5</v>
      </c>
      <c r="EZ47">
        <v>103.2</v>
      </c>
      <c r="FA47">
        <v>100.8</v>
      </c>
      <c r="FB47">
        <v>96.5</v>
      </c>
      <c r="FC47">
        <v>106.2</v>
      </c>
      <c r="FD47">
        <v>99</v>
      </c>
      <c r="FE47">
        <v>103.8</v>
      </c>
      <c r="FF47">
        <v>99.6</v>
      </c>
      <c r="FG47">
        <v>98.2</v>
      </c>
      <c r="FH47">
        <v>86.8</v>
      </c>
      <c r="FI47">
        <v>94.7</v>
      </c>
      <c r="FJ47">
        <v>89.4</v>
      </c>
      <c r="FK47">
        <v>87.7</v>
      </c>
      <c r="FL47">
        <v>93.1</v>
      </c>
      <c r="FM47">
        <v>88.7</v>
      </c>
      <c r="FO47">
        <v>101.8</v>
      </c>
      <c r="FP47">
        <v>85.5</v>
      </c>
      <c r="FQ47">
        <v>86.7</v>
      </c>
      <c r="FR47">
        <v>89.7</v>
      </c>
      <c r="FS47">
        <v>81.400000000000006</v>
      </c>
      <c r="FT47">
        <v>81</v>
      </c>
      <c r="FU47">
        <v>94.1</v>
      </c>
      <c r="FV47">
        <v>78.5</v>
      </c>
      <c r="FW47">
        <v>88.5</v>
      </c>
      <c r="FX47">
        <v>88.2</v>
      </c>
      <c r="FY47">
        <v>85.4</v>
      </c>
      <c r="GA47">
        <v>99</v>
      </c>
      <c r="GB47">
        <v>87.1</v>
      </c>
      <c r="GC47">
        <v>106</v>
      </c>
      <c r="GD47">
        <v>99.2</v>
      </c>
      <c r="GE47">
        <v>75.2</v>
      </c>
      <c r="GF47">
        <v>85.9</v>
      </c>
      <c r="GG47">
        <v>83.4</v>
      </c>
      <c r="GH47">
        <v>97.8</v>
      </c>
      <c r="GI47">
        <v>88.3</v>
      </c>
      <c r="GJ47">
        <v>90.5</v>
      </c>
      <c r="GK47">
        <v>85.6</v>
      </c>
      <c r="GM47">
        <v>87.7</v>
      </c>
      <c r="GO47">
        <v>87.9</v>
      </c>
      <c r="GP47">
        <v>87</v>
      </c>
      <c r="GQ47">
        <v>112.9</v>
      </c>
      <c r="GR47">
        <v>105.1</v>
      </c>
      <c r="GU47">
        <v>87</v>
      </c>
      <c r="GV47">
        <v>61.7</v>
      </c>
      <c r="GW47">
        <v>88</v>
      </c>
      <c r="GX47">
        <v>89.7</v>
      </c>
      <c r="GY47">
        <v>90.8</v>
      </c>
      <c r="GZ47">
        <v>86.7</v>
      </c>
      <c r="HA47">
        <v>99</v>
      </c>
      <c r="HB47">
        <v>87.1</v>
      </c>
      <c r="HD47">
        <v>112.5</v>
      </c>
      <c r="HE47">
        <v>101.3</v>
      </c>
      <c r="HG47">
        <v>95.3</v>
      </c>
      <c r="HH47">
        <v>85.6</v>
      </c>
      <c r="HI47">
        <v>89.3</v>
      </c>
      <c r="HJ47">
        <v>66</v>
      </c>
      <c r="HK47">
        <v>88.8</v>
      </c>
      <c r="HO47">
        <v>100.4</v>
      </c>
      <c r="HP47">
        <v>107.7</v>
      </c>
      <c r="HQ47">
        <v>99.7</v>
      </c>
      <c r="HR47">
        <v>98.7</v>
      </c>
      <c r="HS47">
        <v>117.7</v>
      </c>
      <c r="HT47">
        <v>95.1</v>
      </c>
      <c r="HU47">
        <v>82.2</v>
      </c>
      <c r="HV47">
        <v>97.8</v>
      </c>
      <c r="HW47">
        <v>103.8</v>
      </c>
      <c r="HY47">
        <v>99.2</v>
      </c>
      <c r="HZ47">
        <v>91.5</v>
      </c>
      <c r="IA47">
        <v>101</v>
      </c>
      <c r="IB47">
        <v>99.8</v>
      </c>
      <c r="IC47">
        <v>108.9</v>
      </c>
      <c r="IE47">
        <v>86</v>
      </c>
      <c r="IF47">
        <v>109</v>
      </c>
      <c r="IH47">
        <v>103.3</v>
      </c>
      <c r="IJ47">
        <v>98</v>
      </c>
      <c r="IK47">
        <v>104.5</v>
      </c>
      <c r="IL47">
        <v>99.4</v>
      </c>
      <c r="IM47">
        <v>96.9</v>
      </c>
      <c r="IN47">
        <v>94.7</v>
      </c>
      <c r="IO47">
        <v>87.1</v>
      </c>
      <c r="IP47">
        <v>94.9</v>
      </c>
      <c r="IQ47">
        <v>99.1</v>
      </c>
      <c r="IR47">
        <v>107</v>
      </c>
      <c r="IS47">
        <v>96.2</v>
      </c>
      <c r="IT47">
        <v>89.9</v>
      </c>
      <c r="IU47">
        <v>89.5</v>
      </c>
      <c r="IV47">
        <v>89.8</v>
      </c>
      <c r="IX47">
        <v>89.7</v>
      </c>
      <c r="IY47">
        <v>91.6</v>
      </c>
      <c r="IZ47">
        <v>85.9</v>
      </c>
      <c r="JA47">
        <v>90.1</v>
      </c>
      <c r="JB47">
        <v>92.2</v>
      </c>
      <c r="JC47">
        <v>91</v>
      </c>
      <c r="JD47">
        <v>90.1</v>
      </c>
      <c r="JE47">
        <v>90.9</v>
      </c>
      <c r="JG47">
        <v>90.3</v>
      </c>
      <c r="JH47">
        <v>92.2</v>
      </c>
      <c r="JI47">
        <v>91.6</v>
      </c>
      <c r="JJ47">
        <v>88.4</v>
      </c>
      <c r="JK47">
        <v>76.8</v>
      </c>
      <c r="JL47">
        <v>91</v>
      </c>
      <c r="JM47">
        <v>103.4</v>
      </c>
      <c r="JN47">
        <v>99.1</v>
      </c>
      <c r="JO47">
        <v>91.4</v>
      </c>
      <c r="JQ47">
        <v>90.1</v>
      </c>
      <c r="JS47">
        <v>98.1</v>
      </c>
      <c r="JT47">
        <v>97.9</v>
      </c>
      <c r="JU47">
        <v>98.4</v>
      </c>
      <c r="JV47">
        <v>100.4</v>
      </c>
      <c r="JW47">
        <v>102.3</v>
      </c>
      <c r="JX47">
        <v>103.1</v>
      </c>
      <c r="JY47">
        <v>103.1</v>
      </c>
      <c r="JZ47">
        <v>98.2</v>
      </c>
      <c r="KA47">
        <v>98.7</v>
      </c>
      <c r="KB47">
        <v>97.6</v>
      </c>
      <c r="KC47">
        <v>102.3</v>
      </c>
      <c r="KD47">
        <v>102.3</v>
      </c>
      <c r="KE47">
        <v>89.5</v>
      </c>
      <c r="KF47">
        <v>99</v>
      </c>
      <c r="KG47">
        <v>97.5</v>
      </c>
      <c r="KH47">
        <v>148.1</v>
      </c>
      <c r="KI47">
        <v>105.1</v>
      </c>
      <c r="KJ47">
        <v>88.7</v>
      </c>
      <c r="KL47">
        <v>75.099999999999994</v>
      </c>
      <c r="KM47">
        <v>86.2</v>
      </c>
      <c r="KN47">
        <v>87.5</v>
      </c>
      <c r="KO47">
        <v>79</v>
      </c>
      <c r="KP47">
        <v>83.6</v>
      </c>
      <c r="KS47">
        <v>91.1</v>
      </c>
      <c r="KT47">
        <v>85.5</v>
      </c>
      <c r="KU47">
        <v>92.4</v>
      </c>
      <c r="KX47">
        <v>85.3</v>
      </c>
      <c r="KY47">
        <v>87.5</v>
      </c>
      <c r="KZ47">
        <v>81</v>
      </c>
      <c r="LA47">
        <v>81</v>
      </c>
      <c r="LB47">
        <v>93.9</v>
      </c>
      <c r="LC47">
        <v>98.3</v>
      </c>
      <c r="LD47">
        <v>86.9</v>
      </c>
      <c r="LE47">
        <v>95.4</v>
      </c>
      <c r="LF47">
        <v>95.4</v>
      </c>
      <c r="LG47">
        <v>92.8</v>
      </c>
      <c r="LH47">
        <v>94.7</v>
      </c>
      <c r="LI47">
        <v>90</v>
      </c>
      <c r="LJ47">
        <v>101.8</v>
      </c>
      <c r="LK47">
        <v>123.6</v>
      </c>
      <c r="LL47">
        <v>170.6</v>
      </c>
      <c r="LM47">
        <v>183.7</v>
      </c>
      <c r="LN47">
        <v>112.6</v>
      </c>
      <c r="LO47">
        <v>117.8</v>
      </c>
      <c r="LP47">
        <v>243.9</v>
      </c>
      <c r="LQ47">
        <v>198</v>
      </c>
      <c r="LR47">
        <v>132.1</v>
      </c>
      <c r="LS47">
        <v>295.2</v>
      </c>
      <c r="LT47">
        <v>97.2</v>
      </c>
      <c r="LU47">
        <v>97.8</v>
      </c>
      <c r="LV47">
        <v>94.3</v>
      </c>
      <c r="LX47">
        <v>89.5</v>
      </c>
      <c r="LY47">
        <v>84.6</v>
      </c>
      <c r="MA47">
        <v>98.4</v>
      </c>
      <c r="MB47">
        <v>109.3</v>
      </c>
      <c r="MC47">
        <v>252.6</v>
      </c>
      <c r="MD47">
        <v>96.2</v>
      </c>
      <c r="ME47">
        <v>83.5</v>
      </c>
      <c r="MG47">
        <v>87.6</v>
      </c>
      <c r="MH47">
        <v>83.6</v>
      </c>
      <c r="MI47">
        <v>86</v>
      </c>
      <c r="MJ47">
        <v>88.2</v>
      </c>
      <c r="MK47">
        <v>99.6</v>
      </c>
      <c r="MM47">
        <v>85.1</v>
      </c>
      <c r="MN47">
        <v>92.3</v>
      </c>
      <c r="MO47">
        <v>90.9</v>
      </c>
      <c r="MP47">
        <v>94.9</v>
      </c>
      <c r="MQ47">
        <v>82</v>
      </c>
      <c r="MS47">
        <v>87.5</v>
      </c>
      <c r="MT47">
        <v>84.4</v>
      </c>
      <c r="MU47">
        <v>89</v>
      </c>
      <c r="MV47">
        <v>84.9</v>
      </c>
      <c r="MW47">
        <v>75.8</v>
      </c>
      <c r="MX47">
        <v>81.7</v>
      </c>
      <c r="MY47">
        <v>91.9</v>
      </c>
      <c r="NB47">
        <v>97.2</v>
      </c>
      <c r="NC47">
        <v>85.3</v>
      </c>
      <c r="ND47">
        <v>87.1</v>
      </c>
      <c r="NE47">
        <v>84.2</v>
      </c>
      <c r="NF47">
        <v>105.5</v>
      </c>
      <c r="NG47">
        <v>111.1</v>
      </c>
      <c r="NH47">
        <v>102.5</v>
      </c>
      <c r="NI47">
        <v>98.6</v>
      </c>
      <c r="NJ47">
        <v>95.1</v>
      </c>
      <c r="NK47">
        <v>89.1</v>
      </c>
      <c r="NL47">
        <v>99.9</v>
      </c>
      <c r="NM47">
        <v>110.6</v>
      </c>
      <c r="NN47">
        <v>103.9</v>
      </c>
      <c r="NO47">
        <v>94.9</v>
      </c>
      <c r="NQ47">
        <v>95.7</v>
      </c>
      <c r="NR47">
        <v>91.9</v>
      </c>
      <c r="NS47">
        <v>91.9</v>
      </c>
      <c r="NT47">
        <v>97.9</v>
      </c>
      <c r="NU47">
        <v>106.3</v>
      </c>
      <c r="NW47">
        <v>95.4</v>
      </c>
      <c r="NX47">
        <v>95.4</v>
      </c>
      <c r="NY47">
        <v>92.1</v>
      </c>
      <c r="NZ47">
        <v>93.2</v>
      </c>
      <c r="OA47">
        <v>94.4</v>
      </c>
      <c r="OB47">
        <v>95</v>
      </c>
      <c r="OC47">
        <v>93.3</v>
      </c>
      <c r="OD47">
        <v>93.2</v>
      </c>
      <c r="OE47">
        <v>85.8</v>
      </c>
      <c r="OF47">
        <v>73.599999999999994</v>
      </c>
      <c r="OG47">
        <v>93.2</v>
      </c>
      <c r="OH47">
        <v>82.1</v>
      </c>
      <c r="OI47">
        <v>88.3</v>
      </c>
      <c r="OJ47">
        <v>84.9</v>
      </c>
      <c r="OK47">
        <v>89.6</v>
      </c>
      <c r="OL47">
        <v>78.3</v>
      </c>
      <c r="OM47">
        <v>94.5</v>
      </c>
      <c r="ON47">
        <v>97.8</v>
      </c>
      <c r="OO47">
        <v>88.6</v>
      </c>
      <c r="OP47">
        <v>89.6</v>
      </c>
      <c r="OQ47">
        <v>94.2</v>
      </c>
      <c r="OR47">
        <v>89.5</v>
      </c>
      <c r="OS47">
        <v>86.2</v>
      </c>
      <c r="OT47">
        <v>78.400000000000006</v>
      </c>
      <c r="OU47">
        <v>86.5</v>
      </c>
      <c r="OV47">
        <v>85.6</v>
      </c>
      <c r="OW47">
        <v>83.5</v>
      </c>
      <c r="OX47">
        <v>88.9</v>
      </c>
      <c r="OY47">
        <v>86</v>
      </c>
      <c r="OZ47">
        <v>85.4</v>
      </c>
      <c r="PA47">
        <v>118</v>
      </c>
      <c r="PB47">
        <v>83.2</v>
      </c>
      <c r="PC47">
        <v>87.4</v>
      </c>
      <c r="PD47">
        <v>141.4</v>
      </c>
      <c r="PG47">
        <v>101.7</v>
      </c>
      <c r="PH47">
        <v>91.8</v>
      </c>
      <c r="PI47">
        <v>93.2</v>
      </c>
      <c r="PJ47">
        <v>96.7</v>
      </c>
      <c r="PK47">
        <v>100.6</v>
      </c>
      <c r="PL47">
        <v>97.9</v>
      </c>
      <c r="PM47">
        <v>96.5</v>
      </c>
      <c r="PN47">
        <v>93.3</v>
      </c>
      <c r="PO47">
        <v>91.4</v>
      </c>
      <c r="PP47">
        <v>98.5</v>
      </c>
      <c r="PQ47">
        <v>95.6</v>
      </c>
      <c r="PR47">
        <v>94</v>
      </c>
      <c r="PS47">
        <v>90.2</v>
      </c>
      <c r="PT47">
        <v>86.9</v>
      </c>
      <c r="PU47">
        <v>92.4</v>
      </c>
      <c r="PV47">
        <v>93.9</v>
      </c>
      <c r="PW47">
        <v>94.3</v>
      </c>
      <c r="PX47">
        <v>93.4</v>
      </c>
      <c r="PY47">
        <v>88.7</v>
      </c>
      <c r="PZ47">
        <v>86.8</v>
      </c>
      <c r="QA47">
        <v>90.1</v>
      </c>
      <c r="QB47">
        <v>83.3</v>
      </c>
      <c r="QC47">
        <v>87.6</v>
      </c>
      <c r="QD47">
        <v>93.3</v>
      </c>
      <c r="QE47">
        <v>91.2</v>
      </c>
      <c r="QF47">
        <v>82.1</v>
      </c>
      <c r="QG47">
        <v>108.1</v>
      </c>
      <c r="QH47">
        <v>74.900000000000006</v>
      </c>
      <c r="QI47">
        <v>74.900000000000006</v>
      </c>
      <c r="QJ47">
        <v>88.5</v>
      </c>
      <c r="QK47">
        <v>90.4</v>
      </c>
      <c r="QL47">
        <v>91</v>
      </c>
      <c r="QM47">
        <v>89.9</v>
      </c>
      <c r="QN47">
        <v>82.8</v>
      </c>
      <c r="QO47">
        <v>85.9</v>
      </c>
      <c r="QP47">
        <v>91.6</v>
      </c>
      <c r="QQ47">
        <v>96.4</v>
      </c>
      <c r="QR47">
        <v>97.9</v>
      </c>
      <c r="QS47">
        <v>114.9</v>
      </c>
      <c r="QT47">
        <v>86.8</v>
      </c>
      <c r="QU47">
        <v>96.9</v>
      </c>
      <c r="QV47">
        <v>90.1</v>
      </c>
      <c r="QW47">
        <v>99.3</v>
      </c>
      <c r="QX47">
        <v>95</v>
      </c>
      <c r="QY47">
        <v>87.5</v>
      </c>
      <c r="QZ47">
        <v>88.7</v>
      </c>
      <c r="RA47">
        <v>85.1</v>
      </c>
      <c r="RB47">
        <v>86.7</v>
      </c>
      <c r="RC47">
        <v>91.7</v>
      </c>
      <c r="RD47">
        <v>95.9</v>
      </c>
      <c r="RE47">
        <v>101.9</v>
      </c>
      <c r="RF47">
        <v>104.3</v>
      </c>
      <c r="RG47">
        <v>111.1</v>
      </c>
      <c r="RH47">
        <v>105.8</v>
      </c>
      <c r="RI47">
        <v>95</v>
      </c>
      <c r="RJ47">
        <v>104.6</v>
      </c>
      <c r="RK47">
        <v>95</v>
      </c>
      <c r="RL47">
        <v>100.7</v>
      </c>
      <c r="RM47">
        <v>101.3</v>
      </c>
      <c r="RN47">
        <v>111.1</v>
      </c>
      <c r="RO47">
        <v>103.9</v>
      </c>
      <c r="RP47">
        <v>98.8</v>
      </c>
      <c r="RQ47">
        <v>104.4</v>
      </c>
      <c r="RS47">
        <v>99</v>
      </c>
      <c r="RT47">
        <v>102.5</v>
      </c>
      <c r="RU47">
        <v>104.7</v>
      </c>
      <c r="RV47">
        <v>92.6</v>
      </c>
      <c r="RW47">
        <v>104.9</v>
      </c>
      <c r="RX47">
        <v>105.7</v>
      </c>
      <c r="SA47">
        <v>100.1</v>
      </c>
      <c r="SB47">
        <v>89.5</v>
      </c>
      <c r="SC47">
        <v>102.9</v>
      </c>
      <c r="SF47">
        <v>91.9</v>
      </c>
      <c r="SG47">
        <v>92.1</v>
      </c>
      <c r="SH47">
        <v>96.3</v>
      </c>
      <c r="SI47">
        <v>94.8</v>
      </c>
      <c r="SJ47">
        <v>81.900000000000006</v>
      </c>
      <c r="SK47">
        <v>97.9</v>
      </c>
      <c r="SL47">
        <v>89.7</v>
      </c>
      <c r="SM47">
        <v>95.3</v>
      </c>
      <c r="SN47">
        <v>95.1</v>
      </c>
      <c r="SO47">
        <v>96.6</v>
      </c>
      <c r="SP47">
        <v>95.4</v>
      </c>
      <c r="SQ47">
        <v>94.7</v>
      </c>
      <c r="SR47">
        <v>95.2</v>
      </c>
      <c r="SS47">
        <v>95</v>
      </c>
      <c r="ST47">
        <v>94.3</v>
      </c>
      <c r="SU47">
        <v>96.1</v>
      </c>
      <c r="SV47">
        <v>95.6</v>
      </c>
      <c r="SX47">
        <v>93.9</v>
      </c>
      <c r="SY47">
        <v>94.1</v>
      </c>
      <c r="SZ47">
        <v>89</v>
      </c>
      <c r="TA47">
        <v>98</v>
      </c>
      <c r="TB47">
        <v>66.400000000000006</v>
      </c>
      <c r="TC47">
        <v>62.8</v>
      </c>
      <c r="TD47">
        <v>80.900000000000006</v>
      </c>
      <c r="TE47">
        <v>94.8</v>
      </c>
      <c r="TF47">
        <v>94.6</v>
      </c>
      <c r="TG47">
        <v>98.3</v>
      </c>
      <c r="TH47">
        <v>93.4</v>
      </c>
      <c r="TI47">
        <v>92.8</v>
      </c>
      <c r="TJ47">
        <v>94.8</v>
      </c>
      <c r="TK47">
        <v>81.099999999999994</v>
      </c>
      <c r="TL47">
        <v>78.3</v>
      </c>
      <c r="TN47">
        <v>95.1</v>
      </c>
      <c r="TO47">
        <v>98.9</v>
      </c>
      <c r="TP47">
        <v>84.3</v>
      </c>
      <c r="TQ47">
        <v>89.7</v>
      </c>
      <c r="TR47">
        <v>166</v>
      </c>
      <c r="TT47">
        <v>89.1</v>
      </c>
      <c r="TU47">
        <v>91</v>
      </c>
      <c r="TV47">
        <v>89.6</v>
      </c>
      <c r="TW47">
        <v>100.1</v>
      </c>
      <c r="TX47">
        <v>95.4</v>
      </c>
      <c r="TY47">
        <v>108.3</v>
      </c>
      <c r="TZ47">
        <v>95.4</v>
      </c>
      <c r="UA47">
        <v>86</v>
      </c>
      <c r="UC47">
        <v>95.6</v>
      </c>
      <c r="UD47">
        <v>87.9</v>
      </c>
      <c r="UE47">
        <v>110.1</v>
      </c>
      <c r="UF47">
        <v>79.400000000000006</v>
      </c>
      <c r="UG47">
        <v>95.2</v>
      </c>
      <c r="UH47">
        <v>93.7</v>
      </c>
      <c r="UI47">
        <v>118.4</v>
      </c>
      <c r="UJ47">
        <v>85.2</v>
      </c>
      <c r="UK47">
        <v>116.5</v>
      </c>
      <c r="UL47">
        <v>102.5</v>
      </c>
      <c r="UM47">
        <v>109.6</v>
      </c>
      <c r="UN47">
        <v>99.3</v>
      </c>
      <c r="UO47">
        <v>101.1</v>
      </c>
      <c r="UP47">
        <v>95</v>
      </c>
      <c r="UQ47">
        <v>5.9</v>
      </c>
      <c r="UR47">
        <v>91.2</v>
      </c>
      <c r="US47">
        <v>104.7</v>
      </c>
      <c r="UT47">
        <v>98.9</v>
      </c>
      <c r="UU47">
        <v>103</v>
      </c>
      <c r="UV47">
        <v>93.6</v>
      </c>
      <c r="UW47">
        <v>89</v>
      </c>
      <c r="UX47">
        <v>84.9</v>
      </c>
      <c r="UY47">
        <v>92.8</v>
      </c>
      <c r="UZ47">
        <v>90.1</v>
      </c>
      <c r="VA47">
        <v>91.7</v>
      </c>
      <c r="VB47">
        <v>92.1</v>
      </c>
      <c r="VC47">
        <v>86.4</v>
      </c>
      <c r="VD47">
        <v>97.1</v>
      </c>
      <c r="VE47">
        <v>137.4</v>
      </c>
      <c r="VF47">
        <v>158.69999999999999</v>
      </c>
      <c r="VG47">
        <v>243.2</v>
      </c>
      <c r="VH47">
        <v>142.1</v>
      </c>
      <c r="VI47">
        <v>145.4</v>
      </c>
      <c r="VK47">
        <v>81</v>
      </c>
      <c r="VL47">
        <v>123.6</v>
      </c>
      <c r="VM47">
        <v>92.5</v>
      </c>
      <c r="VN47">
        <v>91.1</v>
      </c>
      <c r="VO47">
        <v>91.4</v>
      </c>
      <c r="VP47">
        <v>89.4</v>
      </c>
      <c r="VQ47">
        <v>100.6</v>
      </c>
      <c r="VR47">
        <v>80.599999999999994</v>
      </c>
      <c r="VT47">
        <v>98.9</v>
      </c>
      <c r="VU47">
        <v>89.3</v>
      </c>
      <c r="VV47">
        <v>81.7</v>
      </c>
      <c r="VW47">
        <v>98.5</v>
      </c>
      <c r="VX47">
        <v>86.4</v>
      </c>
      <c r="VY47">
        <v>117.3</v>
      </c>
      <c r="VZ47">
        <v>100.6</v>
      </c>
      <c r="WB47">
        <v>100.1</v>
      </c>
      <c r="WC47">
        <v>165.4</v>
      </c>
      <c r="WD47">
        <v>99.1</v>
      </c>
      <c r="WE47">
        <v>100.2</v>
      </c>
      <c r="WF47">
        <v>81.2</v>
      </c>
      <c r="WG47">
        <v>100</v>
      </c>
      <c r="WH47">
        <v>85.5</v>
      </c>
      <c r="WI47">
        <v>85.4</v>
      </c>
      <c r="WJ47">
        <v>86.7</v>
      </c>
      <c r="WK47">
        <v>83.4</v>
      </c>
      <c r="WL47">
        <v>88.2</v>
      </c>
      <c r="WM47">
        <v>226.2</v>
      </c>
      <c r="WN47">
        <v>94.3</v>
      </c>
      <c r="WO47">
        <v>88.6</v>
      </c>
      <c r="WP47">
        <v>75.599999999999994</v>
      </c>
      <c r="WQ47">
        <v>86.5</v>
      </c>
      <c r="WT47">
        <v>90.1</v>
      </c>
      <c r="WU47">
        <v>101.6</v>
      </c>
      <c r="WV47">
        <v>95</v>
      </c>
      <c r="WW47">
        <v>81.7</v>
      </c>
      <c r="WX47">
        <v>90</v>
      </c>
      <c r="WY47">
        <v>92.2</v>
      </c>
      <c r="WZ47">
        <v>92</v>
      </c>
      <c r="XA47">
        <v>92.4</v>
      </c>
      <c r="XB47">
        <v>78.400000000000006</v>
      </c>
      <c r="XC47">
        <v>77.900000000000006</v>
      </c>
      <c r="XD47">
        <v>80.8</v>
      </c>
      <c r="XE47">
        <v>88.7</v>
      </c>
      <c r="XF47">
        <v>88.3</v>
      </c>
      <c r="XG47">
        <v>89.5</v>
      </c>
      <c r="XH47">
        <v>94</v>
      </c>
      <c r="XI47">
        <v>103</v>
      </c>
      <c r="XJ47">
        <v>103</v>
      </c>
      <c r="XK47">
        <v>74</v>
      </c>
      <c r="XL47">
        <v>74</v>
      </c>
      <c r="XM47">
        <v>90</v>
      </c>
      <c r="XN47">
        <v>82.1</v>
      </c>
      <c r="XO47">
        <v>93.8</v>
      </c>
      <c r="XP47">
        <v>93.7</v>
      </c>
      <c r="XQ47">
        <v>87</v>
      </c>
      <c r="XR47">
        <v>89.4</v>
      </c>
      <c r="XT47">
        <v>94.2</v>
      </c>
      <c r="XU47">
        <v>96.1</v>
      </c>
      <c r="XV47">
        <v>98.2</v>
      </c>
      <c r="XW47">
        <v>105.1</v>
      </c>
      <c r="XX47">
        <v>91</v>
      </c>
      <c r="XY47">
        <v>90.7</v>
      </c>
      <c r="XZ47">
        <v>93.4</v>
      </c>
      <c r="YA47">
        <v>97.7</v>
      </c>
      <c r="YB47">
        <v>92.1</v>
      </c>
      <c r="YC47">
        <v>81.099999999999994</v>
      </c>
      <c r="YD47">
        <v>92</v>
      </c>
      <c r="YE47">
        <v>97.6</v>
      </c>
      <c r="YF47">
        <v>108.3</v>
      </c>
      <c r="YG47">
        <v>90.7</v>
      </c>
      <c r="YH47">
        <v>96.9</v>
      </c>
      <c r="YI47">
        <v>92.5</v>
      </c>
      <c r="YJ47">
        <v>90.6</v>
      </c>
      <c r="YK47">
        <v>73.900000000000006</v>
      </c>
      <c r="YL47">
        <v>81.3</v>
      </c>
      <c r="YM47">
        <v>97.5</v>
      </c>
      <c r="YO47">
        <v>127.5</v>
      </c>
      <c r="YP47">
        <v>101</v>
      </c>
      <c r="YQ47">
        <v>89.5</v>
      </c>
      <c r="YR47">
        <v>94.4</v>
      </c>
      <c r="YS47">
        <v>88.7</v>
      </c>
      <c r="YT47">
        <v>93</v>
      </c>
      <c r="YU47">
        <v>94.8</v>
      </c>
      <c r="YV47">
        <v>96.1</v>
      </c>
      <c r="YW47">
        <v>96.7</v>
      </c>
      <c r="YX47">
        <v>92.8</v>
      </c>
      <c r="YY47">
        <v>93.2</v>
      </c>
      <c r="YZ47">
        <v>94.9</v>
      </c>
      <c r="ZA47">
        <v>96.3</v>
      </c>
      <c r="ZB47">
        <v>97.7</v>
      </c>
      <c r="ZC47">
        <v>124.7</v>
      </c>
      <c r="ZD47">
        <v>147.4</v>
      </c>
      <c r="ZE47">
        <v>104.7</v>
      </c>
      <c r="ZF47">
        <v>93.2</v>
      </c>
      <c r="ZG47">
        <v>103.5</v>
      </c>
      <c r="ZH47">
        <v>87.2</v>
      </c>
      <c r="ZI47">
        <v>106</v>
      </c>
      <c r="ZK47">
        <v>87.7</v>
      </c>
      <c r="ZL47">
        <v>88.2</v>
      </c>
      <c r="ZM47">
        <v>101.8</v>
      </c>
      <c r="ZN47">
        <v>97.6</v>
      </c>
      <c r="ZO47">
        <v>96.5</v>
      </c>
      <c r="ZP47">
        <v>100.3</v>
      </c>
      <c r="ZQ47">
        <v>95.4</v>
      </c>
      <c r="ZR47">
        <v>97</v>
      </c>
      <c r="ZT47">
        <v>95.2</v>
      </c>
      <c r="ZU47">
        <v>95.3</v>
      </c>
      <c r="ZV47">
        <v>90.9</v>
      </c>
      <c r="ZW47">
        <v>101.8</v>
      </c>
      <c r="ZX47">
        <v>119.3</v>
      </c>
      <c r="ZY47">
        <v>95.4</v>
      </c>
      <c r="ZZ47">
        <v>95.5</v>
      </c>
      <c r="AAA47">
        <v>99.9</v>
      </c>
      <c r="AAC47">
        <v>80.3</v>
      </c>
      <c r="AAD47">
        <v>76</v>
      </c>
      <c r="AAE47">
        <v>97.1</v>
      </c>
      <c r="AAF47">
        <v>60.3</v>
      </c>
      <c r="AAG47">
        <v>71.5</v>
      </c>
      <c r="AAH47">
        <v>95.8</v>
      </c>
      <c r="AAI47">
        <v>91.6</v>
      </c>
      <c r="AAJ47">
        <v>82.6</v>
      </c>
      <c r="AAK47">
        <v>97.8</v>
      </c>
      <c r="AAL47">
        <v>91.5</v>
      </c>
      <c r="AAM47">
        <v>89.3</v>
      </c>
      <c r="AAN47">
        <v>95.4</v>
      </c>
      <c r="AAO47">
        <v>71.099999999999994</v>
      </c>
      <c r="AAP47">
        <v>70.3</v>
      </c>
      <c r="AAQ47">
        <v>72.599999999999994</v>
      </c>
      <c r="AAR47">
        <v>101</v>
      </c>
      <c r="AAT47">
        <v>80.099999999999994</v>
      </c>
      <c r="AAU47">
        <v>246.5</v>
      </c>
      <c r="AAW47">
        <v>92.9</v>
      </c>
      <c r="AAX47">
        <v>96.4</v>
      </c>
      <c r="AAY47">
        <v>100</v>
      </c>
      <c r="AAZ47">
        <v>94.8</v>
      </c>
      <c r="ABB47">
        <v>83</v>
      </c>
      <c r="ABC47">
        <v>76.400000000000006</v>
      </c>
      <c r="ABD47">
        <v>91.9</v>
      </c>
      <c r="ABE47">
        <v>77</v>
      </c>
      <c r="ABF47">
        <v>95.3</v>
      </c>
      <c r="ABG47">
        <v>90</v>
      </c>
      <c r="ABH47">
        <v>93.4</v>
      </c>
      <c r="ABI47">
        <v>95.8</v>
      </c>
      <c r="ABJ47">
        <v>102.6</v>
      </c>
      <c r="ABK47">
        <v>94</v>
      </c>
      <c r="ABL47">
        <v>89.6</v>
      </c>
      <c r="ABM47">
        <v>95.8</v>
      </c>
      <c r="ABN47">
        <v>97.8</v>
      </c>
      <c r="ABO47">
        <v>99.7</v>
      </c>
      <c r="ABP47">
        <v>97.1</v>
      </c>
      <c r="ABQ47">
        <v>106.5</v>
      </c>
    </row>
    <row r="48" spans="1:745">
      <c r="A48">
        <v>2011</v>
      </c>
      <c r="B48">
        <v>94.6</v>
      </c>
      <c r="C48">
        <v>88.7</v>
      </c>
      <c r="D48">
        <v>94.2</v>
      </c>
      <c r="E48">
        <v>92</v>
      </c>
      <c r="F48">
        <v>94.8</v>
      </c>
      <c r="G48">
        <v>90.1</v>
      </c>
      <c r="H48">
        <v>94.2</v>
      </c>
      <c r="I48">
        <v>96.7</v>
      </c>
      <c r="J48">
        <v>91.2</v>
      </c>
      <c r="K48">
        <v>95.3</v>
      </c>
      <c r="L48">
        <v>94.1</v>
      </c>
      <c r="M48">
        <v>94.5</v>
      </c>
      <c r="N48">
        <v>97</v>
      </c>
      <c r="O48">
        <v>93.6</v>
      </c>
      <c r="P48">
        <v>89.1</v>
      </c>
      <c r="Q48">
        <v>98.8</v>
      </c>
      <c r="R48">
        <v>101.4</v>
      </c>
      <c r="S48">
        <v>82.8</v>
      </c>
      <c r="T48">
        <v>110.4</v>
      </c>
      <c r="V48">
        <v>77.599999999999994</v>
      </c>
      <c r="W48">
        <v>77.599999999999994</v>
      </c>
      <c r="X48">
        <v>87.9</v>
      </c>
      <c r="Y48">
        <v>89.6</v>
      </c>
      <c r="Z48">
        <v>92.1</v>
      </c>
      <c r="AA48">
        <v>88</v>
      </c>
      <c r="AB48">
        <v>71.7</v>
      </c>
      <c r="AC48">
        <v>88.4</v>
      </c>
      <c r="AD48">
        <v>58.8</v>
      </c>
      <c r="AE48">
        <v>84.2</v>
      </c>
      <c r="AF48">
        <v>83.7</v>
      </c>
      <c r="AG48">
        <v>54.5</v>
      </c>
      <c r="AH48">
        <v>74.900000000000006</v>
      </c>
      <c r="AI48">
        <v>75.099999999999994</v>
      </c>
      <c r="AJ48">
        <v>86.9</v>
      </c>
      <c r="AK48">
        <v>90.5</v>
      </c>
      <c r="AL48">
        <v>79.400000000000006</v>
      </c>
      <c r="AM48">
        <v>70.599999999999994</v>
      </c>
      <c r="AN48">
        <v>61.8</v>
      </c>
      <c r="AO48">
        <v>84.8</v>
      </c>
      <c r="AP48">
        <v>67.7</v>
      </c>
      <c r="AQ48">
        <v>77.2</v>
      </c>
      <c r="AR48">
        <v>86.4</v>
      </c>
      <c r="AS48">
        <v>63.4</v>
      </c>
      <c r="AT48">
        <v>58.8</v>
      </c>
      <c r="AU48">
        <v>92.9</v>
      </c>
      <c r="AV48">
        <v>91.6</v>
      </c>
      <c r="AW48">
        <v>95.6</v>
      </c>
      <c r="AX48">
        <v>92.4</v>
      </c>
      <c r="AY48">
        <v>77.5</v>
      </c>
      <c r="AZ48">
        <v>82.2</v>
      </c>
      <c r="BA48">
        <v>75</v>
      </c>
      <c r="BB48">
        <v>79</v>
      </c>
      <c r="BC48">
        <v>81.599999999999994</v>
      </c>
      <c r="BD48">
        <v>84.5</v>
      </c>
      <c r="BE48">
        <v>80.400000000000006</v>
      </c>
      <c r="BF48">
        <v>76.099999999999994</v>
      </c>
      <c r="BG48">
        <v>63.9</v>
      </c>
      <c r="BH48">
        <v>79.7</v>
      </c>
      <c r="BJ48">
        <v>90.9</v>
      </c>
      <c r="BK48">
        <v>103.3</v>
      </c>
      <c r="BL48">
        <v>106</v>
      </c>
      <c r="BM48">
        <v>102.1</v>
      </c>
      <c r="BN48">
        <v>100.8</v>
      </c>
      <c r="BP48">
        <v>89.7</v>
      </c>
      <c r="BQ48">
        <v>90.1</v>
      </c>
      <c r="BR48">
        <v>90.5</v>
      </c>
      <c r="BS48">
        <v>90.6</v>
      </c>
      <c r="BT48">
        <v>90.1</v>
      </c>
      <c r="BU48">
        <v>96.1</v>
      </c>
      <c r="BV48">
        <v>91.8</v>
      </c>
      <c r="BW48">
        <v>86.2</v>
      </c>
      <c r="BX48">
        <v>89</v>
      </c>
      <c r="BY48">
        <v>87.2</v>
      </c>
      <c r="BZ48">
        <v>88.9</v>
      </c>
      <c r="CA48">
        <v>88.9</v>
      </c>
      <c r="CB48">
        <v>89.1</v>
      </c>
      <c r="CC48">
        <v>89.4</v>
      </c>
      <c r="CD48">
        <v>88.6</v>
      </c>
      <c r="CE48">
        <v>85.7</v>
      </c>
      <c r="CF48">
        <v>89.5</v>
      </c>
      <c r="CG48">
        <v>92.9</v>
      </c>
      <c r="CH48">
        <v>106</v>
      </c>
      <c r="CI48">
        <v>101.1</v>
      </c>
      <c r="CJ48">
        <v>92.9</v>
      </c>
      <c r="CK48">
        <v>86.1</v>
      </c>
      <c r="CL48">
        <v>77.599999999999994</v>
      </c>
      <c r="CM48">
        <v>85.8</v>
      </c>
      <c r="CN48">
        <v>72.400000000000006</v>
      </c>
      <c r="CO48">
        <v>95.1</v>
      </c>
      <c r="CP48">
        <v>83.6</v>
      </c>
      <c r="CQ48">
        <v>89.1</v>
      </c>
      <c r="CR48">
        <v>93.4</v>
      </c>
      <c r="CS48">
        <v>82</v>
      </c>
      <c r="CT48">
        <v>81.3</v>
      </c>
      <c r="CU48">
        <v>82.6</v>
      </c>
      <c r="CV48">
        <v>88.1</v>
      </c>
      <c r="CW48">
        <v>84.6</v>
      </c>
      <c r="CX48">
        <v>76.400000000000006</v>
      </c>
      <c r="CY48">
        <v>83.9</v>
      </c>
      <c r="CZ48">
        <v>79</v>
      </c>
      <c r="DA48">
        <v>90.7</v>
      </c>
      <c r="DB48">
        <v>79.400000000000006</v>
      </c>
      <c r="DC48">
        <v>99</v>
      </c>
      <c r="DD48">
        <v>101</v>
      </c>
      <c r="DE48">
        <v>105.2</v>
      </c>
      <c r="DG48">
        <v>88.4</v>
      </c>
      <c r="DH48">
        <v>79.2</v>
      </c>
      <c r="DI48">
        <v>88.8</v>
      </c>
      <c r="DJ48">
        <v>81.7</v>
      </c>
      <c r="DK48">
        <v>80.5</v>
      </c>
      <c r="DL48">
        <v>76.5</v>
      </c>
      <c r="DM48">
        <v>68.400000000000006</v>
      </c>
      <c r="DN48">
        <v>97.4</v>
      </c>
      <c r="DO48">
        <v>95.3</v>
      </c>
      <c r="DP48">
        <v>97.3</v>
      </c>
      <c r="DQ48">
        <v>101.7</v>
      </c>
      <c r="DR48">
        <v>87</v>
      </c>
      <c r="DS48">
        <v>101.7</v>
      </c>
      <c r="DT48">
        <v>68.5</v>
      </c>
      <c r="DU48">
        <v>85.9</v>
      </c>
      <c r="DV48">
        <v>84.5</v>
      </c>
      <c r="DW48">
        <v>99.1</v>
      </c>
      <c r="DX48">
        <v>86.2</v>
      </c>
      <c r="DY48">
        <v>106.5</v>
      </c>
      <c r="DZ48">
        <v>76.099999999999994</v>
      </c>
      <c r="EA48">
        <v>75.900000000000006</v>
      </c>
      <c r="EB48">
        <v>83</v>
      </c>
      <c r="EC48">
        <v>76</v>
      </c>
      <c r="ED48">
        <v>74.7</v>
      </c>
      <c r="EF48">
        <v>55</v>
      </c>
      <c r="EG48">
        <v>73.400000000000006</v>
      </c>
      <c r="EH48">
        <v>64.5</v>
      </c>
      <c r="EI48">
        <v>87.5</v>
      </c>
      <c r="EJ48">
        <v>66.8</v>
      </c>
      <c r="EK48">
        <v>80.099999999999994</v>
      </c>
      <c r="EL48">
        <v>82.6</v>
      </c>
      <c r="EM48">
        <v>75.900000000000006</v>
      </c>
      <c r="EN48">
        <v>82.5</v>
      </c>
      <c r="EO48">
        <v>81.099999999999994</v>
      </c>
      <c r="EP48">
        <v>87.8</v>
      </c>
      <c r="ER48">
        <v>79</v>
      </c>
      <c r="ET48">
        <v>97.5</v>
      </c>
      <c r="EU48">
        <v>109.5</v>
      </c>
      <c r="EV48">
        <v>112.1</v>
      </c>
      <c r="EW48">
        <v>99.4</v>
      </c>
      <c r="EX48">
        <v>96.2</v>
      </c>
      <c r="EY48">
        <v>92.2</v>
      </c>
      <c r="EZ48">
        <v>101.1</v>
      </c>
      <c r="FA48">
        <v>100.5</v>
      </c>
      <c r="FB48">
        <v>98.9</v>
      </c>
      <c r="FC48">
        <v>105</v>
      </c>
      <c r="FD48">
        <v>97.2</v>
      </c>
      <c r="FE48">
        <v>103.2</v>
      </c>
      <c r="FF48">
        <v>98.3</v>
      </c>
      <c r="FG48">
        <v>97.3</v>
      </c>
      <c r="FH48">
        <v>86.9</v>
      </c>
      <c r="FI48">
        <v>93.2</v>
      </c>
      <c r="FJ48">
        <v>89.5</v>
      </c>
      <c r="FK48">
        <v>89.9</v>
      </c>
      <c r="FL48">
        <v>92.8</v>
      </c>
      <c r="FM48">
        <v>87.3</v>
      </c>
      <c r="FO48">
        <v>100.5</v>
      </c>
      <c r="FP48">
        <v>84.8</v>
      </c>
      <c r="FQ48">
        <v>86.2</v>
      </c>
      <c r="FR48">
        <v>90.6</v>
      </c>
      <c r="FS48">
        <v>81.599999999999994</v>
      </c>
      <c r="FT48">
        <v>80.7</v>
      </c>
      <c r="FU48">
        <v>93.6</v>
      </c>
      <c r="FV48">
        <v>78.599999999999994</v>
      </c>
      <c r="FW48">
        <v>89.1</v>
      </c>
      <c r="FX48">
        <v>89</v>
      </c>
      <c r="FY48">
        <v>85.6</v>
      </c>
      <c r="GA48">
        <v>98.4</v>
      </c>
      <c r="GB48">
        <v>85.4</v>
      </c>
      <c r="GC48">
        <v>102.8</v>
      </c>
      <c r="GD48">
        <v>98.2</v>
      </c>
      <c r="GE48">
        <v>74.400000000000006</v>
      </c>
      <c r="GF48">
        <v>84.8</v>
      </c>
      <c r="GG48">
        <v>82.4</v>
      </c>
      <c r="GH48">
        <v>97.7</v>
      </c>
      <c r="GI48">
        <v>89</v>
      </c>
      <c r="GJ48">
        <v>90.1</v>
      </c>
      <c r="GK48">
        <v>85</v>
      </c>
      <c r="GM48">
        <v>87.1</v>
      </c>
      <c r="GO48">
        <v>86.1</v>
      </c>
      <c r="GP48">
        <v>89.8</v>
      </c>
      <c r="GQ48">
        <v>109.1</v>
      </c>
      <c r="GR48">
        <v>106.3</v>
      </c>
      <c r="GU48">
        <v>88.4</v>
      </c>
      <c r="GV48">
        <v>70.8</v>
      </c>
      <c r="GW48">
        <v>89.2</v>
      </c>
      <c r="GX48">
        <v>90.3</v>
      </c>
      <c r="GY48">
        <v>91.1</v>
      </c>
      <c r="GZ48">
        <v>86.7</v>
      </c>
      <c r="HA48">
        <v>100.1</v>
      </c>
      <c r="HB48">
        <v>86.3</v>
      </c>
      <c r="HD48">
        <v>115.2</v>
      </c>
      <c r="HE48">
        <v>101</v>
      </c>
      <c r="HG48">
        <v>93.7</v>
      </c>
      <c r="HH48">
        <v>85.1</v>
      </c>
      <c r="HI48">
        <v>89</v>
      </c>
      <c r="HJ48">
        <v>66.400000000000006</v>
      </c>
      <c r="HK48">
        <v>89.4</v>
      </c>
      <c r="HO48">
        <v>100.3</v>
      </c>
      <c r="HP48">
        <v>106.9</v>
      </c>
      <c r="HQ48">
        <v>99.6</v>
      </c>
      <c r="HR48">
        <v>97.1</v>
      </c>
      <c r="HS48">
        <v>116.3</v>
      </c>
      <c r="HT48">
        <v>97.3</v>
      </c>
      <c r="HU48">
        <v>87.1</v>
      </c>
      <c r="HV48">
        <v>100.5</v>
      </c>
      <c r="HW48">
        <v>103.8</v>
      </c>
      <c r="HY48">
        <v>98.6</v>
      </c>
      <c r="HZ48">
        <v>90.9</v>
      </c>
      <c r="IA48">
        <v>99.9</v>
      </c>
      <c r="IB48">
        <v>99.6</v>
      </c>
      <c r="IC48">
        <v>108.2</v>
      </c>
      <c r="IE48">
        <v>86</v>
      </c>
      <c r="IF48">
        <v>107</v>
      </c>
      <c r="IH48">
        <v>102.8</v>
      </c>
      <c r="IJ48">
        <v>96.9</v>
      </c>
      <c r="IK48">
        <v>102.5</v>
      </c>
      <c r="IL48">
        <v>98.7</v>
      </c>
      <c r="IM48">
        <v>96.1</v>
      </c>
      <c r="IN48">
        <v>93.9</v>
      </c>
      <c r="IO48">
        <v>86.3</v>
      </c>
      <c r="IP48">
        <v>93.7</v>
      </c>
      <c r="IQ48">
        <v>96.1</v>
      </c>
      <c r="IR48">
        <v>105.5</v>
      </c>
      <c r="IS48">
        <v>95</v>
      </c>
      <c r="IT48">
        <v>90.1</v>
      </c>
      <c r="IU48">
        <v>89.7</v>
      </c>
      <c r="IV48">
        <v>90.1</v>
      </c>
      <c r="IX48">
        <v>89.8</v>
      </c>
      <c r="IY48">
        <v>91.7</v>
      </c>
      <c r="IZ48">
        <v>87</v>
      </c>
      <c r="JA48">
        <v>90.2</v>
      </c>
      <c r="JB48">
        <v>92.1</v>
      </c>
      <c r="JC48">
        <v>91.2</v>
      </c>
      <c r="JD48">
        <v>89.5</v>
      </c>
      <c r="JE48">
        <v>90.5</v>
      </c>
      <c r="JG48">
        <v>92.1</v>
      </c>
      <c r="JH48">
        <v>92.2</v>
      </c>
      <c r="JI48">
        <v>91.7</v>
      </c>
      <c r="JJ48">
        <v>87.8</v>
      </c>
      <c r="JK48">
        <v>76.8</v>
      </c>
      <c r="JL48">
        <v>91.2</v>
      </c>
      <c r="JM48">
        <v>103.5</v>
      </c>
      <c r="JN48">
        <v>99.5</v>
      </c>
      <c r="JO48">
        <v>92.1</v>
      </c>
      <c r="JQ48">
        <v>90.2</v>
      </c>
      <c r="JS48">
        <v>98.2</v>
      </c>
      <c r="JT48">
        <v>97.9</v>
      </c>
      <c r="JU48">
        <v>98.6</v>
      </c>
      <c r="JV48">
        <v>100.2</v>
      </c>
      <c r="JW48">
        <v>102.1</v>
      </c>
      <c r="JX48">
        <v>102.7</v>
      </c>
      <c r="JY48">
        <v>102.7</v>
      </c>
      <c r="JZ48">
        <v>97.9</v>
      </c>
      <c r="KA48">
        <v>97.9</v>
      </c>
      <c r="KB48">
        <v>97.9</v>
      </c>
      <c r="KC48">
        <v>102.1</v>
      </c>
      <c r="KD48">
        <v>102.1</v>
      </c>
      <c r="KE48">
        <v>89.5</v>
      </c>
      <c r="KF48">
        <v>98.6</v>
      </c>
      <c r="KG48">
        <v>96.5</v>
      </c>
      <c r="KH48">
        <v>141</v>
      </c>
      <c r="KI48">
        <v>105.8</v>
      </c>
      <c r="KJ48">
        <v>89.3</v>
      </c>
      <c r="KL48">
        <v>73.7</v>
      </c>
      <c r="KM48">
        <v>86.5</v>
      </c>
      <c r="KN48">
        <v>87.7</v>
      </c>
      <c r="KO48">
        <v>80.099999999999994</v>
      </c>
      <c r="KP48">
        <v>83.8</v>
      </c>
      <c r="KS48">
        <v>91</v>
      </c>
      <c r="KT48">
        <v>85.4</v>
      </c>
      <c r="KU48">
        <v>92.1</v>
      </c>
      <c r="KX48">
        <v>85.2</v>
      </c>
      <c r="KY48">
        <v>91</v>
      </c>
      <c r="KZ48">
        <v>84.7</v>
      </c>
      <c r="LA48">
        <v>84.7</v>
      </c>
      <c r="LB48">
        <v>97.2</v>
      </c>
      <c r="LC48">
        <v>102.6</v>
      </c>
      <c r="LD48">
        <v>89.1</v>
      </c>
      <c r="LE48">
        <v>109.3</v>
      </c>
      <c r="LF48">
        <v>109.3</v>
      </c>
      <c r="LG48">
        <v>92.8</v>
      </c>
      <c r="LH48">
        <v>94.6</v>
      </c>
      <c r="LI48">
        <v>90.2</v>
      </c>
      <c r="LJ48">
        <v>96.7</v>
      </c>
      <c r="LK48">
        <v>107.3</v>
      </c>
      <c r="LL48">
        <v>133.5</v>
      </c>
      <c r="LM48">
        <v>139.5</v>
      </c>
      <c r="LN48">
        <v>97.1</v>
      </c>
      <c r="LO48">
        <v>105.3</v>
      </c>
      <c r="LP48">
        <v>173.7</v>
      </c>
      <c r="LQ48">
        <v>156</v>
      </c>
      <c r="LR48">
        <v>107.8</v>
      </c>
      <c r="LS48">
        <v>204.1</v>
      </c>
      <c r="LT48">
        <v>91.5</v>
      </c>
      <c r="LU48">
        <v>91.2</v>
      </c>
      <c r="LV48">
        <v>92</v>
      </c>
      <c r="LX48">
        <v>88</v>
      </c>
      <c r="LY48">
        <v>84.3</v>
      </c>
      <c r="MA48">
        <v>96.1</v>
      </c>
      <c r="MB48">
        <v>106.4</v>
      </c>
      <c r="MC48">
        <v>237</v>
      </c>
      <c r="MD48">
        <v>93.3</v>
      </c>
      <c r="ME48">
        <v>83.2</v>
      </c>
      <c r="MG48">
        <v>88.2</v>
      </c>
      <c r="MH48">
        <v>83.6</v>
      </c>
      <c r="MI48">
        <v>86.9</v>
      </c>
      <c r="MJ48">
        <v>88</v>
      </c>
      <c r="MK48">
        <v>99.4</v>
      </c>
      <c r="MM48">
        <v>85.3</v>
      </c>
      <c r="MN48">
        <v>91.6</v>
      </c>
      <c r="MO48">
        <v>90.3</v>
      </c>
      <c r="MP48">
        <v>93.3</v>
      </c>
      <c r="MQ48">
        <v>82.3</v>
      </c>
      <c r="MS48">
        <v>86.8</v>
      </c>
      <c r="MT48">
        <v>86.1</v>
      </c>
      <c r="MU48">
        <v>88.5</v>
      </c>
      <c r="MV48">
        <v>85.5</v>
      </c>
      <c r="MW48">
        <v>76.2</v>
      </c>
      <c r="MX48">
        <v>83.1</v>
      </c>
      <c r="MY48">
        <v>92.7</v>
      </c>
      <c r="NB48">
        <v>95.6</v>
      </c>
      <c r="NC48">
        <v>83.8</v>
      </c>
      <c r="ND48">
        <v>85.8</v>
      </c>
      <c r="NE48">
        <v>82.5</v>
      </c>
      <c r="NF48">
        <v>104</v>
      </c>
      <c r="NG48">
        <v>108.9</v>
      </c>
      <c r="NH48">
        <v>101.4</v>
      </c>
      <c r="NI48">
        <v>96.9</v>
      </c>
      <c r="NJ48">
        <v>94.2</v>
      </c>
      <c r="NK48">
        <v>87</v>
      </c>
      <c r="NL48">
        <v>98.7</v>
      </c>
      <c r="NM48">
        <v>108.5</v>
      </c>
      <c r="NN48">
        <v>102</v>
      </c>
      <c r="NO48">
        <v>92.7</v>
      </c>
      <c r="NQ48">
        <v>95.2</v>
      </c>
      <c r="NR48">
        <v>91.8</v>
      </c>
      <c r="NS48">
        <v>91.8</v>
      </c>
      <c r="NT48">
        <v>96.6</v>
      </c>
      <c r="NU48">
        <v>104.2</v>
      </c>
      <c r="NW48">
        <v>95.4</v>
      </c>
      <c r="NX48">
        <v>95.4</v>
      </c>
      <c r="NY48">
        <v>92.1</v>
      </c>
      <c r="NZ48">
        <v>93.5</v>
      </c>
      <c r="OA48">
        <v>94.9</v>
      </c>
      <c r="OB48">
        <v>95.9</v>
      </c>
      <c r="OC48">
        <v>92.5</v>
      </c>
      <c r="OD48">
        <v>93.4</v>
      </c>
      <c r="OE48">
        <v>87.9</v>
      </c>
      <c r="OF48">
        <v>78.599999999999994</v>
      </c>
      <c r="OG48">
        <v>95.3</v>
      </c>
      <c r="OH48">
        <v>86.1</v>
      </c>
      <c r="OI48">
        <v>89.4</v>
      </c>
      <c r="OJ48">
        <v>86.2</v>
      </c>
      <c r="OK48">
        <v>90.8</v>
      </c>
      <c r="OL48">
        <v>80.599999999999994</v>
      </c>
      <c r="OM48">
        <v>94.1</v>
      </c>
      <c r="ON48">
        <v>99.7</v>
      </c>
      <c r="OO48">
        <v>88.6</v>
      </c>
      <c r="OP48">
        <v>90</v>
      </c>
      <c r="OQ48">
        <v>94.8</v>
      </c>
      <c r="OR48">
        <v>91</v>
      </c>
      <c r="OS48">
        <v>87.5</v>
      </c>
      <c r="OT48">
        <v>78.900000000000006</v>
      </c>
      <c r="OU48">
        <v>88.1</v>
      </c>
      <c r="OV48">
        <v>86.9</v>
      </c>
      <c r="OW48">
        <v>82.3</v>
      </c>
      <c r="OX48">
        <v>90.6</v>
      </c>
      <c r="OY48">
        <v>85.6</v>
      </c>
      <c r="OZ48">
        <v>84.4</v>
      </c>
      <c r="PA48">
        <v>113.8</v>
      </c>
      <c r="PB48">
        <v>88.3</v>
      </c>
      <c r="PC48">
        <v>87.2</v>
      </c>
      <c r="PD48">
        <v>133.1</v>
      </c>
      <c r="PG48">
        <v>99.7</v>
      </c>
      <c r="PH48">
        <v>92.2</v>
      </c>
      <c r="PI48">
        <v>94</v>
      </c>
      <c r="PJ48">
        <v>96</v>
      </c>
      <c r="PK48">
        <v>98.5</v>
      </c>
      <c r="PL48">
        <v>97.1</v>
      </c>
      <c r="PM48">
        <v>94.8</v>
      </c>
      <c r="PN48">
        <v>94.2</v>
      </c>
      <c r="PO48">
        <v>93</v>
      </c>
      <c r="PP48">
        <v>98.2</v>
      </c>
      <c r="PQ48">
        <v>98.7</v>
      </c>
      <c r="PR48">
        <v>94.3</v>
      </c>
      <c r="PS48">
        <v>93.3</v>
      </c>
      <c r="PT48">
        <v>87.5</v>
      </c>
      <c r="PU48">
        <v>95</v>
      </c>
      <c r="PV48">
        <v>94.2</v>
      </c>
      <c r="PW48">
        <v>93.3</v>
      </c>
      <c r="PX48">
        <v>95.1</v>
      </c>
      <c r="PY48">
        <v>88</v>
      </c>
      <c r="PZ48">
        <v>87</v>
      </c>
      <c r="QA48">
        <v>88.5</v>
      </c>
      <c r="QB48">
        <v>84.4</v>
      </c>
      <c r="QC48">
        <v>88.8</v>
      </c>
      <c r="QD48">
        <v>91.2</v>
      </c>
      <c r="QE48">
        <v>90.1</v>
      </c>
      <c r="QF48">
        <v>82.5</v>
      </c>
      <c r="QG48">
        <v>102.4</v>
      </c>
      <c r="QH48">
        <v>78</v>
      </c>
      <c r="QI48">
        <v>78</v>
      </c>
      <c r="QJ48">
        <v>87.5</v>
      </c>
      <c r="QK48">
        <v>90.7</v>
      </c>
      <c r="QL48">
        <v>89.4</v>
      </c>
      <c r="QM48">
        <v>88.3</v>
      </c>
      <c r="QN48">
        <v>82</v>
      </c>
      <c r="QO48">
        <v>85.4</v>
      </c>
      <c r="QP48">
        <v>88.5</v>
      </c>
      <c r="QQ48">
        <v>96.4</v>
      </c>
      <c r="QR48">
        <v>99.8</v>
      </c>
      <c r="QS48">
        <v>112.1</v>
      </c>
      <c r="QT48">
        <v>88.9</v>
      </c>
      <c r="QU48">
        <v>95.7</v>
      </c>
      <c r="QV48">
        <v>92.4</v>
      </c>
      <c r="QW48">
        <v>97.8</v>
      </c>
      <c r="QX48">
        <v>94.5</v>
      </c>
      <c r="QY48">
        <v>87.6</v>
      </c>
      <c r="QZ48">
        <v>88.5</v>
      </c>
      <c r="RA48">
        <v>85.3</v>
      </c>
      <c r="RB48">
        <v>86.9</v>
      </c>
      <c r="RC48">
        <v>92.1</v>
      </c>
      <c r="RD48">
        <v>95.1</v>
      </c>
      <c r="RE48">
        <v>99.3</v>
      </c>
      <c r="RF48">
        <v>102.5</v>
      </c>
      <c r="RG48">
        <v>109.5</v>
      </c>
      <c r="RH48">
        <v>104.9</v>
      </c>
      <c r="RI48">
        <v>94.6</v>
      </c>
      <c r="RJ48">
        <v>101.5</v>
      </c>
      <c r="RK48">
        <v>94.4</v>
      </c>
      <c r="RL48">
        <v>99.3</v>
      </c>
      <c r="RM48">
        <v>100.2</v>
      </c>
      <c r="RN48">
        <v>109.4</v>
      </c>
      <c r="RO48">
        <v>103.1</v>
      </c>
      <c r="RP48">
        <v>96.8</v>
      </c>
      <c r="RQ48">
        <v>98.1</v>
      </c>
      <c r="RS48">
        <v>98.6</v>
      </c>
      <c r="RT48">
        <v>101.3</v>
      </c>
      <c r="RU48">
        <v>103.5</v>
      </c>
      <c r="RV48">
        <v>96.7</v>
      </c>
      <c r="RW48">
        <v>104</v>
      </c>
      <c r="RX48">
        <v>102.4</v>
      </c>
      <c r="SA48">
        <v>98.8</v>
      </c>
      <c r="SB48">
        <v>89.1</v>
      </c>
      <c r="SC48">
        <v>99.2</v>
      </c>
      <c r="SF48">
        <v>91.9</v>
      </c>
      <c r="SG48">
        <v>92.1</v>
      </c>
      <c r="SH48">
        <v>96.3</v>
      </c>
      <c r="SI48">
        <v>94.8</v>
      </c>
      <c r="SJ48">
        <v>81.7</v>
      </c>
      <c r="SK48">
        <v>99.2</v>
      </c>
      <c r="SL48">
        <v>90.4</v>
      </c>
      <c r="SM48">
        <v>95.2</v>
      </c>
      <c r="SN48">
        <v>95.1</v>
      </c>
      <c r="SO48">
        <v>95.4</v>
      </c>
      <c r="SP48">
        <v>95.4</v>
      </c>
      <c r="SQ48">
        <v>94.7</v>
      </c>
      <c r="SR48">
        <v>95.2</v>
      </c>
      <c r="SS48">
        <v>94.9</v>
      </c>
      <c r="ST48">
        <v>94.2</v>
      </c>
      <c r="SU48">
        <v>95.9</v>
      </c>
      <c r="SV48">
        <v>95.6</v>
      </c>
      <c r="SX48">
        <v>93.8</v>
      </c>
      <c r="SY48">
        <v>94.1</v>
      </c>
      <c r="SZ48">
        <v>88.9</v>
      </c>
      <c r="TA48">
        <v>104.2</v>
      </c>
      <c r="TB48">
        <v>67.099999999999994</v>
      </c>
      <c r="TC48">
        <v>62.8</v>
      </c>
      <c r="TD48">
        <v>84.8</v>
      </c>
      <c r="TE48">
        <v>97</v>
      </c>
      <c r="TF48">
        <v>94.6</v>
      </c>
      <c r="TG48">
        <v>97.8</v>
      </c>
      <c r="TH48">
        <v>93.7</v>
      </c>
      <c r="TI48">
        <v>93.1</v>
      </c>
      <c r="TJ48">
        <v>94.3</v>
      </c>
      <c r="TK48">
        <v>81.8</v>
      </c>
      <c r="TL48">
        <v>79</v>
      </c>
      <c r="TN48">
        <v>97.9</v>
      </c>
      <c r="TO48">
        <v>107</v>
      </c>
      <c r="TP48">
        <v>88.7</v>
      </c>
      <c r="TQ48">
        <v>88.1</v>
      </c>
      <c r="TR48">
        <v>144.9</v>
      </c>
      <c r="TT48">
        <v>89.8</v>
      </c>
      <c r="TU48">
        <v>91</v>
      </c>
      <c r="TV48">
        <v>90</v>
      </c>
      <c r="TW48">
        <v>99</v>
      </c>
      <c r="TX48">
        <v>95.1</v>
      </c>
      <c r="TY48">
        <v>108.3</v>
      </c>
      <c r="TZ48">
        <v>94.6</v>
      </c>
      <c r="UA48">
        <v>87.1</v>
      </c>
      <c r="UC48">
        <v>107.2</v>
      </c>
      <c r="UD48">
        <v>86.6</v>
      </c>
      <c r="UE48">
        <v>109.5</v>
      </c>
      <c r="UF48">
        <v>79.400000000000006</v>
      </c>
      <c r="UG48">
        <v>95.2</v>
      </c>
      <c r="UH48">
        <v>93.7</v>
      </c>
      <c r="UI48">
        <v>118.4</v>
      </c>
      <c r="UJ48">
        <v>85.2</v>
      </c>
      <c r="UK48">
        <v>113.1</v>
      </c>
      <c r="UL48">
        <v>102.7</v>
      </c>
      <c r="UM48">
        <v>110</v>
      </c>
      <c r="UN48">
        <v>99.1</v>
      </c>
      <c r="UO48">
        <v>100.5</v>
      </c>
      <c r="UP48">
        <v>96.2</v>
      </c>
      <c r="UQ48">
        <v>5.9</v>
      </c>
      <c r="UR48">
        <v>92.6</v>
      </c>
      <c r="US48">
        <v>104.7</v>
      </c>
      <c r="UT48">
        <v>99.3</v>
      </c>
      <c r="UU48">
        <v>103.1</v>
      </c>
      <c r="UV48">
        <v>94.5</v>
      </c>
      <c r="UW48">
        <v>89</v>
      </c>
      <c r="UX48">
        <v>84.9</v>
      </c>
      <c r="UY48">
        <v>92.8</v>
      </c>
      <c r="UZ48">
        <v>89.9</v>
      </c>
      <c r="VA48">
        <v>91.6</v>
      </c>
      <c r="VB48">
        <v>91.3</v>
      </c>
      <c r="VC48">
        <v>86.6</v>
      </c>
      <c r="VD48">
        <v>93.6</v>
      </c>
      <c r="VE48">
        <v>103.3</v>
      </c>
      <c r="VF48">
        <v>115.4</v>
      </c>
      <c r="VG48">
        <v>156.19999999999999</v>
      </c>
      <c r="VH48">
        <v>86.7</v>
      </c>
      <c r="VI48">
        <v>111.4</v>
      </c>
      <c r="VK48">
        <v>80.7</v>
      </c>
      <c r="VL48">
        <v>90.7</v>
      </c>
      <c r="VM48">
        <v>92.5</v>
      </c>
      <c r="VN48">
        <v>89.7</v>
      </c>
      <c r="VO48">
        <v>90</v>
      </c>
      <c r="VP48">
        <v>88.9</v>
      </c>
      <c r="VQ48">
        <v>100.6</v>
      </c>
      <c r="VR48">
        <v>80.3</v>
      </c>
      <c r="VT48">
        <v>96</v>
      </c>
      <c r="VU48">
        <v>83.6</v>
      </c>
      <c r="VV48">
        <v>80.599999999999994</v>
      </c>
      <c r="VW48">
        <v>93.5</v>
      </c>
      <c r="VX48">
        <v>85.9</v>
      </c>
      <c r="VY48">
        <v>113.2</v>
      </c>
      <c r="VZ48">
        <v>99.4</v>
      </c>
      <c r="WB48">
        <v>95.7</v>
      </c>
      <c r="WC48">
        <v>149.1</v>
      </c>
      <c r="WD48">
        <v>97.5</v>
      </c>
      <c r="WE48">
        <v>99</v>
      </c>
      <c r="WF48">
        <v>80.7</v>
      </c>
      <c r="WG48">
        <v>98.1</v>
      </c>
      <c r="WH48">
        <v>85.8</v>
      </c>
      <c r="WI48">
        <v>85.2</v>
      </c>
      <c r="WJ48">
        <v>87</v>
      </c>
      <c r="WK48">
        <v>84.1</v>
      </c>
      <c r="WL48">
        <v>87.5</v>
      </c>
      <c r="WM48">
        <v>218</v>
      </c>
      <c r="WN48">
        <v>95.9</v>
      </c>
      <c r="WO48">
        <v>89.6</v>
      </c>
      <c r="WP48">
        <v>75.099999999999994</v>
      </c>
      <c r="WQ48">
        <v>84.4</v>
      </c>
      <c r="WT48">
        <v>89.8</v>
      </c>
      <c r="WU48">
        <v>99.9</v>
      </c>
      <c r="WV48">
        <v>95</v>
      </c>
      <c r="WW48">
        <v>81.7</v>
      </c>
      <c r="WX48">
        <v>90.3</v>
      </c>
      <c r="WY48">
        <v>92.2</v>
      </c>
      <c r="WZ48">
        <v>92</v>
      </c>
      <c r="XA48">
        <v>92.4</v>
      </c>
      <c r="XB48">
        <v>80</v>
      </c>
      <c r="XC48">
        <v>79.7</v>
      </c>
      <c r="XD48">
        <v>81.3</v>
      </c>
      <c r="XE48">
        <v>89.1</v>
      </c>
      <c r="XF48">
        <v>89.2</v>
      </c>
      <c r="XG48">
        <v>89.7</v>
      </c>
      <c r="XH48">
        <v>94.3</v>
      </c>
      <c r="XI48">
        <v>100</v>
      </c>
      <c r="XJ48">
        <v>100</v>
      </c>
      <c r="XK48">
        <v>82.4</v>
      </c>
      <c r="XL48">
        <v>82.4</v>
      </c>
      <c r="XM48">
        <v>90.2</v>
      </c>
      <c r="XN48">
        <v>82.3</v>
      </c>
      <c r="XO48">
        <v>93.7</v>
      </c>
      <c r="XP48">
        <v>93.9</v>
      </c>
      <c r="XQ48">
        <v>87.4</v>
      </c>
      <c r="XR48">
        <v>89.5</v>
      </c>
      <c r="XT48">
        <v>94.1</v>
      </c>
      <c r="XU48">
        <v>95.7</v>
      </c>
      <c r="XV48">
        <v>98.2</v>
      </c>
      <c r="XW48">
        <v>105.1</v>
      </c>
      <c r="XX48">
        <v>91</v>
      </c>
      <c r="XY48">
        <v>90.7</v>
      </c>
      <c r="XZ48">
        <v>93.2</v>
      </c>
      <c r="YA48">
        <v>97.4</v>
      </c>
      <c r="YB48">
        <v>92.1</v>
      </c>
      <c r="YC48">
        <v>81.099999999999994</v>
      </c>
      <c r="YD48">
        <v>92.3</v>
      </c>
      <c r="YE48">
        <v>97</v>
      </c>
      <c r="YF48">
        <v>104.5</v>
      </c>
      <c r="YG48">
        <v>90.5</v>
      </c>
      <c r="YH48">
        <v>97.7</v>
      </c>
      <c r="YI48">
        <v>92.6</v>
      </c>
      <c r="YJ48">
        <v>90.6</v>
      </c>
      <c r="YK48">
        <v>77.8</v>
      </c>
      <c r="YL48">
        <v>82.4</v>
      </c>
      <c r="YM48">
        <v>96.7</v>
      </c>
      <c r="YO48">
        <v>120.7</v>
      </c>
      <c r="YP48">
        <v>100</v>
      </c>
      <c r="YQ48">
        <v>90.2</v>
      </c>
      <c r="YR48">
        <v>94.2</v>
      </c>
      <c r="YS48">
        <v>88.9</v>
      </c>
      <c r="YT48">
        <v>95.2</v>
      </c>
      <c r="YU48">
        <v>94.4</v>
      </c>
      <c r="YV48">
        <v>94.2</v>
      </c>
      <c r="YW48">
        <v>96.6</v>
      </c>
      <c r="YX48">
        <v>92.8</v>
      </c>
      <c r="YY48">
        <v>93.2</v>
      </c>
      <c r="YZ48">
        <v>94.8</v>
      </c>
      <c r="ZA48">
        <v>95.7</v>
      </c>
      <c r="ZB48">
        <v>96.4</v>
      </c>
      <c r="ZC48">
        <v>118.5</v>
      </c>
      <c r="ZD48">
        <v>133.9</v>
      </c>
      <c r="ZE48">
        <v>104.8</v>
      </c>
      <c r="ZF48">
        <v>93.3</v>
      </c>
      <c r="ZG48">
        <v>102</v>
      </c>
      <c r="ZH48">
        <v>88.2</v>
      </c>
      <c r="ZI48">
        <v>104.7</v>
      </c>
      <c r="ZK48">
        <v>88.3</v>
      </c>
      <c r="ZL48">
        <v>88.7</v>
      </c>
      <c r="ZM48">
        <v>101.7</v>
      </c>
      <c r="ZN48">
        <v>96</v>
      </c>
      <c r="ZO48">
        <v>96.3</v>
      </c>
      <c r="ZP48">
        <v>99</v>
      </c>
      <c r="ZQ48">
        <v>95.4</v>
      </c>
      <c r="ZR48">
        <v>96.5</v>
      </c>
      <c r="ZT48">
        <v>94.4</v>
      </c>
      <c r="ZU48">
        <v>95.3</v>
      </c>
      <c r="ZV48">
        <v>90.4</v>
      </c>
      <c r="ZW48">
        <v>90.1</v>
      </c>
      <c r="ZX48">
        <v>119.4</v>
      </c>
      <c r="ZY48">
        <v>95.4</v>
      </c>
      <c r="ZZ48">
        <v>95.9</v>
      </c>
      <c r="AAA48">
        <v>98.8</v>
      </c>
      <c r="AAC48">
        <v>79.8</v>
      </c>
      <c r="AAD48">
        <v>75.3</v>
      </c>
      <c r="AAE48">
        <v>95.1</v>
      </c>
      <c r="AAF48">
        <v>59.8</v>
      </c>
      <c r="AAG48">
        <v>72.900000000000006</v>
      </c>
      <c r="AAH48">
        <v>94.4</v>
      </c>
      <c r="AAI48">
        <v>92.2</v>
      </c>
      <c r="AAJ48">
        <v>85.2</v>
      </c>
      <c r="AAK48">
        <v>96.7</v>
      </c>
      <c r="AAL48">
        <v>90.8</v>
      </c>
      <c r="AAM48">
        <v>88.3</v>
      </c>
      <c r="AAN48">
        <v>95</v>
      </c>
      <c r="AAO48">
        <v>82.5</v>
      </c>
      <c r="AAP48">
        <v>81.8</v>
      </c>
      <c r="AAQ48">
        <v>84</v>
      </c>
      <c r="AAR48">
        <v>104.6</v>
      </c>
      <c r="AAT48">
        <v>84.6</v>
      </c>
      <c r="AAU48">
        <v>246.5</v>
      </c>
      <c r="AAW48">
        <v>92.9</v>
      </c>
      <c r="AAX48">
        <v>96.4</v>
      </c>
      <c r="AAY48">
        <v>100</v>
      </c>
      <c r="AAZ48">
        <v>94.8</v>
      </c>
      <c r="ABB48">
        <v>82.1</v>
      </c>
      <c r="ABC48">
        <v>77.599999999999994</v>
      </c>
      <c r="ABD48">
        <v>89.4</v>
      </c>
      <c r="ABE48">
        <v>75.900000000000006</v>
      </c>
      <c r="ABF48">
        <v>95.2</v>
      </c>
      <c r="ABG48">
        <v>90</v>
      </c>
      <c r="ABH48">
        <v>93.3</v>
      </c>
      <c r="ABI48">
        <v>95.6</v>
      </c>
      <c r="ABJ48">
        <v>102.2</v>
      </c>
      <c r="ABK48">
        <v>94</v>
      </c>
      <c r="ABL48">
        <v>95.1</v>
      </c>
      <c r="ABM48">
        <v>95.2</v>
      </c>
      <c r="ABN48">
        <v>97.1</v>
      </c>
      <c r="ABO48">
        <v>99.9</v>
      </c>
      <c r="ABP48">
        <v>94</v>
      </c>
      <c r="ABQ48">
        <v>106.3</v>
      </c>
    </row>
    <row r="49" spans="1:748">
      <c r="A49">
        <v>2012</v>
      </c>
      <c r="B49">
        <v>94.4</v>
      </c>
      <c r="C49">
        <v>88.1</v>
      </c>
      <c r="D49">
        <v>96</v>
      </c>
      <c r="E49">
        <v>99.8</v>
      </c>
      <c r="F49">
        <v>102</v>
      </c>
      <c r="G49">
        <v>99</v>
      </c>
      <c r="H49">
        <v>92.8</v>
      </c>
      <c r="I49">
        <v>95.4</v>
      </c>
      <c r="J49">
        <v>89.7</v>
      </c>
      <c r="K49">
        <v>93.9</v>
      </c>
      <c r="L49">
        <v>93</v>
      </c>
      <c r="M49">
        <v>93.6</v>
      </c>
      <c r="N49">
        <v>96.6</v>
      </c>
      <c r="O49">
        <v>91.7</v>
      </c>
      <c r="P49">
        <v>88.8</v>
      </c>
      <c r="Q49">
        <v>96.4</v>
      </c>
      <c r="R49">
        <v>98.7</v>
      </c>
      <c r="S49">
        <v>82</v>
      </c>
      <c r="T49">
        <v>106.7</v>
      </c>
      <c r="V49">
        <v>77.400000000000006</v>
      </c>
      <c r="W49">
        <v>76.7</v>
      </c>
      <c r="X49">
        <v>87.7</v>
      </c>
      <c r="Y49">
        <v>92.4</v>
      </c>
      <c r="Z49">
        <v>91.3</v>
      </c>
      <c r="AA49">
        <v>93</v>
      </c>
      <c r="AB49">
        <v>67.599999999999994</v>
      </c>
      <c r="AC49">
        <v>85.5</v>
      </c>
      <c r="AD49">
        <v>53</v>
      </c>
      <c r="AE49">
        <v>87</v>
      </c>
      <c r="AF49">
        <v>80.3</v>
      </c>
      <c r="AG49">
        <v>53</v>
      </c>
      <c r="AH49">
        <v>78.400000000000006</v>
      </c>
      <c r="AI49">
        <v>80.2</v>
      </c>
      <c r="AJ49">
        <v>87.1</v>
      </c>
      <c r="AK49">
        <v>90.2</v>
      </c>
      <c r="AL49">
        <v>71.3</v>
      </c>
      <c r="AM49">
        <v>72.900000000000006</v>
      </c>
      <c r="AN49">
        <v>61</v>
      </c>
      <c r="AO49">
        <v>84.7</v>
      </c>
      <c r="AP49">
        <v>73.2</v>
      </c>
      <c r="AQ49">
        <v>78.400000000000006</v>
      </c>
      <c r="AR49">
        <v>86.5</v>
      </c>
      <c r="AS49">
        <v>63.5</v>
      </c>
      <c r="AT49">
        <v>67.8</v>
      </c>
      <c r="AU49">
        <v>90.8</v>
      </c>
      <c r="AV49">
        <v>89.6</v>
      </c>
      <c r="AW49">
        <v>92.9</v>
      </c>
      <c r="AX49">
        <v>90.7</v>
      </c>
      <c r="AY49">
        <v>77.7</v>
      </c>
      <c r="AZ49">
        <v>81.099999999999994</v>
      </c>
      <c r="BA49">
        <v>75.900000000000006</v>
      </c>
      <c r="BB49">
        <v>79.3</v>
      </c>
      <c r="BC49">
        <v>81.3</v>
      </c>
      <c r="BD49">
        <v>83.5</v>
      </c>
      <c r="BE49">
        <v>79.599999999999994</v>
      </c>
      <c r="BF49">
        <v>75.599999999999994</v>
      </c>
      <c r="BG49">
        <v>64.900000000000006</v>
      </c>
      <c r="BH49">
        <v>79.2</v>
      </c>
      <c r="BJ49">
        <v>88.3</v>
      </c>
      <c r="BK49">
        <v>101.4</v>
      </c>
      <c r="BL49">
        <v>104.5</v>
      </c>
      <c r="BM49">
        <v>100.1</v>
      </c>
      <c r="BN49">
        <v>98.8</v>
      </c>
      <c r="BP49">
        <v>88.1</v>
      </c>
      <c r="BQ49">
        <v>88.6</v>
      </c>
      <c r="BR49">
        <v>89.6</v>
      </c>
      <c r="BS49">
        <v>89.7</v>
      </c>
      <c r="BT49">
        <v>88</v>
      </c>
      <c r="BU49">
        <v>95.5</v>
      </c>
      <c r="BV49">
        <v>88.5</v>
      </c>
      <c r="BW49">
        <v>88.1</v>
      </c>
      <c r="BX49">
        <v>86.9</v>
      </c>
      <c r="BY49">
        <v>87.2</v>
      </c>
      <c r="BZ49">
        <v>86.6</v>
      </c>
      <c r="CA49">
        <v>86.6</v>
      </c>
      <c r="CB49">
        <v>86.2</v>
      </c>
      <c r="CC49">
        <v>84.9</v>
      </c>
      <c r="CD49">
        <v>78.8</v>
      </c>
      <c r="CE49">
        <v>83</v>
      </c>
      <c r="CF49">
        <v>75.5</v>
      </c>
      <c r="CG49">
        <v>82.5</v>
      </c>
      <c r="CH49">
        <v>99.3</v>
      </c>
      <c r="CI49">
        <v>94.9</v>
      </c>
      <c r="CJ49">
        <v>91.1</v>
      </c>
      <c r="CK49">
        <v>85.1</v>
      </c>
      <c r="CL49">
        <v>71.099999999999994</v>
      </c>
      <c r="CM49">
        <v>74.3</v>
      </c>
      <c r="CN49">
        <v>66.099999999999994</v>
      </c>
      <c r="CO49">
        <v>90.9</v>
      </c>
      <c r="CP49">
        <v>82.1</v>
      </c>
      <c r="CQ49">
        <v>87.3</v>
      </c>
      <c r="CR49">
        <v>94.1</v>
      </c>
      <c r="CS49">
        <v>79.3</v>
      </c>
      <c r="CT49">
        <v>89.5</v>
      </c>
      <c r="CU49">
        <v>80.2</v>
      </c>
      <c r="CV49">
        <v>82</v>
      </c>
      <c r="CW49">
        <v>80</v>
      </c>
      <c r="CX49">
        <v>71.8</v>
      </c>
      <c r="CY49">
        <v>75.900000000000006</v>
      </c>
      <c r="CZ49">
        <v>71.900000000000006</v>
      </c>
      <c r="DA49">
        <v>92.6</v>
      </c>
      <c r="DB49">
        <v>73.099999999999994</v>
      </c>
      <c r="DC49">
        <v>95.8</v>
      </c>
      <c r="DD49">
        <v>97.6</v>
      </c>
      <c r="DE49">
        <v>98.5</v>
      </c>
      <c r="DG49">
        <v>88.3</v>
      </c>
      <c r="DH49">
        <v>81.099999999999994</v>
      </c>
      <c r="DI49">
        <v>87.3</v>
      </c>
      <c r="DJ49">
        <v>81.7</v>
      </c>
      <c r="DK49">
        <v>83.9</v>
      </c>
      <c r="DL49">
        <v>82.5</v>
      </c>
      <c r="DM49">
        <v>70.900000000000006</v>
      </c>
      <c r="DN49">
        <v>95.4</v>
      </c>
      <c r="DO49">
        <v>93.8</v>
      </c>
      <c r="DP49">
        <v>96</v>
      </c>
      <c r="DQ49">
        <v>97.8</v>
      </c>
      <c r="DR49">
        <v>87</v>
      </c>
      <c r="DS49">
        <v>100.2</v>
      </c>
      <c r="DT49">
        <v>68.7</v>
      </c>
      <c r="DU49">
        <v>85.4</v>
      </c>
      <c r="DV49">
        <v>84.3</v>
      </c>
      <c r="DW49">
        <v>97</v>
      </c>
      <c r="DX49">
        <v>91.6</v>
      </c>
      <c r="DY49">
        <v>101</v>
      </c>
      <c r="DZ49">
        <v>75.400000000000006</v>
      </c>
      <c r="EA49">
        <v>75</v>
      </c>
      <c r="EB49">
        <v>80.599999999999994</v>
      </c>
      <c r="EC49">
        <v>77.2</v>
      </c>
      <c r="ED49">
        <v>73.599999999999994</v>
      </c>
      <c r="EF49">
        <v>59.4</v>
      </c>
      <c r="EG49">
        <v>71</v>
      </c>
      <c r="EH49">
        <v>61.1</v>
      </c>
      <c r="EI49">
        <v>77.2</v>
      </c>
      <c r="EJ49">
        <v>66</v>
      </c>
      <c r="EK49">
        <v>75.8</v>
      </c>
      <c r="EL49">
        <v>86.1</v>
      </c>
      <c r="EM49">
        <v>74.400000000000006</v>
      </c>
      <c r="EN49">
        <v>78.400000000000006</v>
      </c>
      <c r="EO49">
        <v>84.3</v>
      </c>
      <c r="EP49">
        <v>90.7</v>
      </c>
      <c r="ER49">
        <v>80.5</v>
      </c>
      <c r="ET49">
        <v>95.8</v>
      </c>
      <c r="EU49">
        <v>107.9</v>
      </c>
      <c r="EV49">
        <v>111</v>
      </c>
      <c r="EW49">
        <v>96.5</v>
      </c>
      <c r="EX49">
        <v>94.5</v>
      </c>
      <c r="EY49">
        <v>92.2</v>
      </c>
      <c r="EZ49">
        <v>99.9</v>
      </c>
      <c r="FA49">
        <v>98.7</v>
      </c>
      <c r="FB49">
        <v>98.5</v>
      </c>
      <c r="FC49">
        <v>103.9</v>
      </c>
      <c r="FD49">
        <v>94.8</v>
      </c>
      <c r="FE49">
        <v>100</v>
      </c>
      <c r="FF49">
        <v>96.6</v>
      </c>
      <c r="FG49">
        <v>93.6</v>
      </c>
      <c r="FH49">
        <v>86.2</v>
      </c>
      <c r="FI49">
        <v>89.2</v>
      </c>
      <c r="FJ49">
        <v>92.6</v>
      </c>
      <c r="FK49">
        <v>89</v>
      </c>
      <c r="FL49">
        <v>90.4</v>
      </c>
      <c r="FM49">
        <v>83.7</v>
      </c>
      <c r="FO49">
        <v>99.1</v>
      </c>
      <c r="FP49">
        <v>82.8</v>
      </c>
      <c r="FQ49">
        <v>85.9</v>
      </c>
      <c r="FR49">
        <v>91.3</v>
      </c>
      <c r="FS49">
        <v>81.3</v>
      </c>
      <c r="FT49">
        <v>80.5</v>
      </c>
      <c r="FU49">
        <v>94.5</v>
      </c>
      <c r="FV49">
        <v>79.099999999999994</v>
      </c>
      <c r="FW49">
        <v>89.2</v>
      </c>
      <c r="FX49">
        <v>87.1</v>
      </c>
      <c r="FY49">
        <v>86.1</v>
      </c>
      <c r="GA49">
        <v>96.7</v>
      </c>
      <c r="GB49">
        <v>83.3</v>
      </c>
      <c r="GC49">
        <v>99.1</v>
      </c>
      <c r="GD49">
        <v>97.5</v>
      </c>
      <c r="GE49">
        <v>76.099999999999994</v>
      </c>
      <c r="GF49">
        <v>84</v>
      </c>
      <c r="GG49">
        <v>82.3</v>
      </c>
      <c r="GH49">
        <v>97.3</v>
      </c>
      <c r="GI49">
        <v>89.3</v>
      </c>
      <c r="GJ49">
        <v>89.1</v>
      </c>
      <c r="GK49">
        <v>84.3</v>
      </c>
      <c r="GM49">
        <v>84.9</v>
      </c>
      <c r="GO49">
        <v>85.9</v>
      </c>
      <c r="GP49">
        <v>91.5</v>
      </c>
      <c r="GQ49">
        <v>107.9</v>
      </c>
      <c r="GR49">
        <v>103.8</v>
      </c>
      <c r="GU49">
        <v>89.7</v>
      </c>
      <c r="GV49">
        <v>84.5</v>
      </c>
      <c r="GW49">
        <v>88.8</v>
      </c>
      <c r="GX49">
        <v>89.7</v>
      </c>
      <c r="GY49">
        <v>90</v>
      </c>
      <c r="GZ49">
        <v>86.2</v>
      </c>
      <c r="HA49">
        <v>99.2</v>
      </c>
      <c r="HB49">
        <v>86.4</v>
      </c>
      <c r="HD49">
        <v>116.4</v>
      </c>
      <c r="HE49">
        <v>97.3</v>
      </c>
      <c r="HG49">
        <v>92.1</v>
      </c>
      <c r="HH49">
        <v>83.2</v>
      </c>
      <c r="HI49">
        <v>87.8</v>
      </c>
      <c r="HJ49">
        <v>67.7</v>
      </c>
      <c r="HK49">
        <v>90.1</v>
      </c>
      <c r="HO49">
        <v>98.8</v>
      </c>
      <c r="HP49">
        <v>105.5</v>
      </c>
      <c r="HQ49">
        <v>99</v>
      </c>
      <c r="HR49">
        <v>93.5</v>
      </c>
      <c r="HS49">
        <v>114.4</v>
      </c>
      <c r="HT49">
        <v>96.4</v>
      </c>
      <c r="HU49">
        <v>86.7</v>
      </c>
      <c r="HV49">
        <v>97.5</v>
      </c>
      <c r="HW49">
        <v>103.7</v>
      </c>
      <c r="HY49">
        <v>96.8</v>
      </c>
      <c r="HZ49">
        <v>88.9</v>
      </c>
      <c r="IA49">
        <v>96.7</v>
      </c>
      <c r="IB49">
        <v>98.8</v>
      </c>
      <c r="IC49">
        <v>106.6</v>
      </c>
      <c r="IE49">
        <v>86</v>
      </c>
      <c r="IF49">
        <v>100.5</v>
      </c>
      <c r="IH49">
        <v>101</v>
      </c>
      <c r="IJ49">
        <v>95.7</v>
      </c>
      <c r="IK49">
        <v>100.6</v>
      </c>
      <c r="IL49">
        <v>97.2</v>
      </c>
      <c r="IM49">
        <v>95.3</v>
      </c>
      <c r="IN49">
        <v>93.1</v>
      </c>
      <c r="IO49">
        <v>84.1</v>
      </c>
      <c r="IP49">
        <v>92.6</v>
      </c>
      <c r="IQ49">
        <v>95.7</v>
      </c>
      <c r="IR49">
        <v>104.6</v>
      </c>
      <c r="IS49">
        <v>93.1</v>
      </c>
      <c r="IT49">
        <v>90.1</v>
      </c>
      <c r="IU49">
        <v>89.6</v>
      </c>
      <c r="IV49">
        <v>90.2</v>
      </c>
      <c r="IX49">
        <v>90</v>
      </c>
      <c r="IY49">
        <v>91.6</v>
      </c>
      <c r="IZ49">
        <v>86.7</v>
      </c>
      <c r="JA49">
        <v>90.3</v>
      </c>
      <c r="JB49">
        <v>92.1</v>
      </c>
      <c r="JC49">
        <v>91.4</v>
      </c>
      <c r="JD49">
        <v>88.6</v>
      </c>
      <c r="JE49">
        <v>90.9</v>
      </c>
      <c r="JG49">
        <v>92.2</v>
      </c>
      <c r="JH49">
        <v>91.9</v>
      </c>
      <c r="JI49">
        <v>92.3</v>
      </c>
      <c r="JJ49">
        <v>87.1</v>
      </c>
      <c r="JK49">
        <v>76.8</v>
      </c>
      <c r="JL49">
        <v>91.2</v>
      </c>
      <c r="JM49">
        <v>103.2</v>
      </c>
      <c r="JN49">
        <v>99.6</v>
      </c>
      <c r="JO49">
        <v>92.2</v>
      </c>
      <c r="JQ49">
        <v>90.4</v>
      </c>
      <c r="JS49">
        <v>98.6</v>
      </c>
      <c r="JT49">
        <v>98.3</v>
      </c>
      <c r="JU49">
        <v>99</v>
      </c>
      <c r="JV49">
        <v>99.8</v>
      </c>
      <c r="JW49">
        <v>101.7</v>
      </c>
      <c r="JX49">
        <v>102.1</v>
      </c>
      <c r="JY49">
        <v>102.1</v>
      </c>
      <c r="JZ49">
        <v>98.3</v>
      </c>
      <c r="KA49">
        <v>98.5</v>
      </c>
      <c r="KB49">
        <v>98.1</v>
      </c>
      <c r="KC49">
        <v>101.6</v>
      </c>
      <c r="KD49">
        <v>101.6</v>
      </c>
      <c r="KE49">
        <v>89.5</v>
      </c>
      <c r="KF49">
        <v>97.4</v>
      </c>
      <c r="KG49">
        <v>94.3</v>
      </c>
      <c r="KH49">
        <v>131.19999999999999</v>
      </c>
      <c r="KI49">
        <v>105.5</v>
      </c>
      <c r="KJ49">
        <v>89.4</v>
      </c>
      <c r="KL49">
        <v>73.7</v>
      </c>
      <c r="KM49">
        <v>86.8</v>
      </c>
      <c r="KN49">
        <v>88</v>
      </c>
      <c r="KO49">
        <v>80.5</v>
      </c>
      <c r="KP49">
        <v>83.8</v>
      </c>
      <c r="KS49">
        <v>90.9</v>
      </c>
      <c r="KT49">
        <v>85.6</v>
      </c>
      <c r="KU49">
        <v>92</v>
      </c>
      <c r="KX49">
        <v>85.8</v>
      </c>
      <c r="KY49">
        <v>94.1</v>
      </c>
      <c r="KZ49">
        <v>89</v>
      </c>
      <c r="LA49">
        <v>89</v>
      </c>
      <c r="LB49">
        <v>100.4</v>
      </c>
      <c r="LC49">
        <v>106.1</v>
      </c>
      <c r="LD49">
        <v>91.8</v>
      </c>
      <c r="LE49">
        <v>112.1</v>
      </c>
      <c r="LF49">
        <v>112.1</v>
      </c>
      <c r="LG49">
        <v>93.1</v>
      </c>
      <c r="LH49">
        <v>94.8</v>
      </c>
      <c r="LI49">
        <v>90.8</v>
      </c>
      <c r="LJ49">
        <v>93.7</v>
      </c>
      <c r="LK49">
        <v>97</v>
      </c>
      <c r="LL49">
        <v>113.9</v>
      </c>
      <c r="LM49">
        <v>113.6</v>
      </c>
      <c r="LN49">
        <v>89.2</v>
      </c>
      <c r="LO49">
        <v>97.8</v>
      </c>
      <c r="LP49">
        <v>130</v>
      </c>
      <c r="LQ49">
        <v>148.4</v>
      </c>
      <c r="LR49">
        <v>99.4</v>
      </c>
      <c r="LS49">
        <v>153.19999999999999</v>
      </c>
      <c r="LT49">
        <v>84.1</v>
      </c>
      <c r="LU49">
        <v>82.9</v>
      </c>
      <c r="LV49">
        <v>88.5</v>
      </c>
      <c r="LX49">
        <v>88.6</v>
      </c>
      <c r="LY49">
        <v>86.9</v>
      </c>
      <c r="MA49">
        <v>95.3</v>
      </c>
      <c r="MB49">
        <v>104.7</v>
      </c>
      <c r="MC49">
        <v>201.7</v>
      </c>
      <c r="MD49">
        <v>94.7</v>
      </c>
      <c r="ME49">
        <v>84.8</v>
      </c>
      <c r="MG49">
        <v>89.2</v>
      </c>
      <c r="MH49">
        <v>83.6</v>
      </c>
      <c r="MI49">
        <v>88.2</v>
      </c>
      <c r="MJ49">
        <v>89.8</v>
      </c>
      <c r="MK49">
        <v>100.7</v>
      </c>
      <c r="MM49">
        <v>86.8</v>
      </c>
      <c r="MN49">
        <v>91.2</v>
      </c>
      <c r="MO49">
        <v>91.1</v>
      </c>
      <c r="MP49">
        <v>92.2</v>
      </c>
      <c r="MQ49">
        <v>82</v>
      </c>
      <c r="MS49">
        <v>86.4</v>
      </c>
      <c r="MT49">
        <v>86</v>
      </c>
      <c r="MU49">
        <v>87.7</v>
      </c>
      <c r="MV49">
        <v>88.4</v>
      </c>
      <c r="MW49">
        <v>82.9</v>
      </c>
      <c r="MX49">
        <v>85.7</v>
      </c>
      <c r="MY49">
        <v>95.3</v>
      </c>
      <c r="NB49">
        <v>93.8</v>
      </c>
      <c r="NC49">
        <v>81.099999999999994</v>
      </c>
      <c r="ND49">
        <v>82.7</v>
      </c>
      <c r="NE49">
        <v>80.099999999999994</v>
      </c>
      <c r="NF49">
        <v>103</v>
      </c>
      <c r="NG49">
        <v>108.8</v>
      </c>
      <c r="NH49">
        <v>99.9</v>
      </c>
      <c r="NI49">
        <v>95.3</v>
      </c>
      <c r="NJ49">
        <v>93.3</v>
      </c>
      <c r="NK49">
        <v>86.1</v>
      </c>
      <c r="NL49">
        <v>97.7</v>
      </c>
      <c r="NM49">
        <v>105.2</v>
      </c>
      <c r="NN49">
        <v>100.2</v>
      </c>
      <c r="NO49">
        <v>89.5</v>
      </c>
      <c r="NQ49">
        <v>95.3</v>
      </c>
      <c r="NR49">
        <v>92.1</v>
      </c>
      <c r="NS49">
        <v>92.1</v>
      </c>
      <c r="NT49">
        <v>96.7</v>
      </c>
      <c r="NU49">
        <v>104.2</v>
      </c>
      <c r="NW49">
        <v>95.4</v>
      </c>
      <c r="NX49">
        <v>95.4</v>
      </c>
      <c r="NY49">
        <v>92</v>
      </c>
      <c r="NZ49">
        <v>93.5</v>
      </c>
      <c r="OA49">
        <v>95.6</v>
      </c>
      <c r="OB49">
        <v>96.7</v>
      </c>
      <c r="OC49">
        <v>93</v>
      </c>
      <c r="OD49">
        <v>93.4</v>
      </c>
      <c r="OE49">
        <v>89.5</v>
      </c>
      <c r="OF49">
        <v>80.3</v>
      </c>
      <c r="OG49">
        <v>96.9</v>
      </c>
      <c r="OH49">
        <v>89.5</v>
      </c>
      <c r="OI49">
        <v>91.8</v>
      </c>
      <c r="OJ49">
        <v>88.2</v>
      </c>
      <c r="OK49">
        <v>91.9</v>
      </c>
      <c r="OL49">
        <v>82.5</v>
      </c>
      <c r="OM49">
        <v>93.4</v>
      </c>
      <c r="ON49">
        <v>100</v>
      </c>
      <c r="OO49">
        <v>89</v>
      </c>
      <c r="OP49">
        <v>89.7</v>
      </c>
      <c r="OQ49">
        <v>93.7</v>
      </c>
      <c r="OR49">
        <v>90.7</v>
      </c>
      <c r="OS49">
        <v>86.8</v>
      </c>
      <c r="OT49">
        <v>80.900000000000006</v>
      </c>
      <c r="OU49">
        <v>85.9</v>
      </c>
      <c r="OV49">
        <v>88.1</v>
      </c>
      <c r="OW49">
        <v>82.9</v>
      </c>
      <c r="OX49">
        <v>89.5</v>
      </c>
      <c r="OY49">
        <v>85.8</v>
      </c>
      <c r="OZ49">
        <v>84.5</v>
      </c>
      <c r="PA49">
        <v>108.7</v>
      </c>
      <c r="PB49">
        <v>89.6</v>
      </c>
      <c r="PC49">
        <v>87.5</v>
      </c>
      <c r="PD49">
        <v>128.4</v>
      </c>
      <c r="PG49">
        <v>99.4</v>
      </c>
      <c r="PH49">
        <v>92</v>
      </c>
      <c r="PI49">
        <v>93.9</v>
      </c>
      <c r="PJ49">
        <v>96.2</v>
      </c>
      <c r="PK49">
        <v>98</v>
      </c>
      <c r="PL49">
        <v>96.6</v>
      </c>
      <c r="PM49">
        <v>95.6</v>
      </c>
      <c r="PN49">
        <v>95.1</v>
      </c>
      <c r="PO49">
        <v>92.8</v>
      </c>
      <c r="PP49">
        <v>99</v>
      </c>
      <c r="PQ49">
        <v>98.1</v>
      </c>
      <c r="PR49">
        <v>94.8</v>
      </c>
      <c r="PS49">
        <v>91.5</v>
      </c>
      <c r="PT49">
        <v>88</v>
      </c>
      <c r="PU49">
        <v>95.4</v>
      </c>
      <c r="PV49">
        <v>94.3</v>
      </c>
      <c r="PW49">
        <v>93.7</v>
      </c>
      <c r="PX49">
        <v>94.8</v>
      </c>
      <c r="PY49">
        <v>87.7</v>
      </c>
      <c r="PZ49">
        <v>87.1</v>
      </c>
      <c r="QA49">
        <v>88.5</v>
      </c>
      <c r="QB49">
        <v>84.2</v>
      </c>
      <c r="QC49">
        <v>89.7</v>
      </c>
      <c r="QD49">
        <v>89</v>
      </c>
      <c r="QE49">
        <v>90.2</v>
      </c>
      <c r="QF49">
        <v>81.900000000000006</v>
      </c>
      <c r="QG49">
        <v>96.9</v>
      </c>
      <c r="QH49">
        <v>83.6</v>
      </c>
      <c r="QI49">
        <v>83.6</v>
      </c>
      <c r="QJ49">
        <v>87.1</v>
      </c>
      <c r="QK49">
        <v>89.6</v>
      </c>
      <c r="QL49">
        <v>89</v>
      </c>
      <c r="QM49">
        <v>87.8</v>
      </c>
      <c r="QN49">
        <v>81.599999999999994</v>
      </c>
      <c r="QO49">
        <v>85.5</v>
      </c>
      <c r="QP49">
        <v>89.1</v>
      </c>
      <c r="QQ49">
        <v>95.7</v>
      </c>
      <c r="QR49">
        <v>98.6</v>
      </c>
      <c r="QS49">
        <v>110.3</v>
      </c>
      <c r="QT49">
        <v>90.9</v>
      </c>
      <c r="QU49">
        <v>93.6</v>
      </c>
      <c r="QV49">
        <v>92.4</v>
      </c>
      <c r="QW49">
        <v>96.8</v>
      </c>
      <c r="QX49">
        <v>94.6</v>
      </c>
      <c r="QY49">
        <v>87.8</v>
      </c>
      <c r="QZ49">
        <v>88.5</v>
      </c>
      <c r="RA49">
        <v>85.6</v>
      </c>
      <c r="RB49">
        <v>87.2</v>
      </c>
      <c r="RC49">
        <v>92.3</v>
      </c>
      <c r="RD49">
        <v>94.4</v>
      </c>
      <c r="RE49">
        <v>97.4</v>
      </c>
      <c r="RF49">
        <v>100.1</v>
      </c>
      <c r="RG49">
        <v>106.6</v>
      </c>
      <c r="RH49">
        <v>101.9</v>
      </c>
      <c r="RI49">
        <v>94.4</v>
      </c>
      <c r="RJ49">
        <v>99</v>
      </c>
      <c r="RK49">
        <v>94.1</v>
      </c>
      <c r="RL49">
        <v>99.3</v>
      </c>
      <c r="RM49">
        <v>97.4</v>
      </c>
      <c r="RN49">
        <v>105.6</v>
      </c>
      <c r="RO49">
        <v>97.7</v>
      </c>
      <c r="RP49">
        <v>95.8</v>
      </c>
      <c r="RQ49">
        <v>95.9</v>
      </c>
      <c r="RS49">
        <v>97.3</v>
      </c>
      <c r="RT49">
        <v>99.1</v>
      </c>
      <c r="RU49">
        <v>100.7</v>
      </c>
      <c r="RV49">
        <v>99.3</v>
      </c>
      <c r="RW49">
        <v>102.6</v>
      </c>
      <c r="RX49">
        <v>100.4</v>
      </c>
      <c r="SA49">
        <v>97.2</v>
      </c>
      <c r="SB49">
        <v>88.1</v>
      </c>
      <c r="SC49">
        <v>98.7</v>
      </c>
      <c r="SF49">
        <v>92.1</v>
      </c>
      <c r="SG49">
        <v>92.3</v>
      </c>
      <c r="SH49">
        <v>96.4</v>
      </c>
      <c r="SI49">
        <v>94.8</v>
      </c>
      <c r="SJ49">
        <v>81.2</v>
      </c>
      <c r="SK49">
        <v>99.2</v>
      </c>
      <c r="SL49">
        <v>90.6</v>
      </c>
      <c r="SM49">
        <v>95.2</v>
      </c>
      <c r="SN49">
        <v>95.1</v>
      </c>
      <c r="SO49">
        <v>95.4</v>
      </c>
      <c r="SP49">
        <v>95.4</v>
      </c>
      <c r="SQ49">
        <v>94.7</v>
      </c>
      <c r="SR49">
        <v>95.2</v>
      </c>
      <c r="SS49">
        <v>94.9</v>
      </c>
      <c r="ST49">
        <v>94.2</v>
      </c>
      <c r="SU49">
        <v>95.8</v>
      </c>
      <c r="SV49">
        <v>95.6</v>
      </c>
      <c r="SX49">
        <v>93.8</v>
      </c>
      <c r="SY49">
        <v>94.1</v>
      </c>
      <c r="SZ49">
        <v>88.9</v>
      </c>
      <c r="TA49">
        <v>100.5</v>
      </c>
      <c r="TB49">
        <v>70.2</v>
      </c>
      <c r="TC49">
        <v>65.099999999999994</v>
      </c>
      <c r="TD49">
        <v>90.7</v>
      </c>
      <c r="TE49">
        <v>97.6</v>
      </c>
      <c r="TF49">
        <v>94.6</v>
      </c>
      <c r="TG49">
        <v>97.2</v>
      </c>
      <c r="TH49">
        <v>93.6</v>
      </c>
      <c r="TI49">
        <v>94</v>
      </c>
      <c r="TJ49">
        <v>91.9</v>
      </c>
      <c r="TK49">
        <v>82.2</v>
      </c>
      <c r="TL49">
        <v>79.3</v>
      </c>
      <c r="TN49">
        <v>98.7</v>
      </c>
      <c r="TO49">
        <v>108.3</v>
      </c>
      <c r="TP49">
        <v>89.8</v>
      </c>
      <c r="TQ49">
        <v>87.4</v>
      </c>
      <c r="TR49">
        <v>117.9</v>
      </c>
      <c r="TT49">
        <v>90</v>
      </c>
      <c r="TU49">
        <v>91.1</v>
      </c>
      <c r="TV49">
        <v>90.7</v>
      </c>
      <c r="TW49">
        <v>98.8</v>
      </c>
      <c r="TX49">
        <v>95.2</v>
      </c>
      <c r="TY49">
        <v>103.4</v>
      </c>
      <c r="TZ49">
        <v>95.4</v>
      </c>
      <c r="UA49">
        <v>86.6</v>
      </c>
      <c r="UC49">
        <v>107.2</v>
      </c>
      <c r="UD49">
        <v>89.3</v>
      </c>
      <c r="UE49">
        <v>108.2</v>
      </c>
      <c r="UF49">
        <v>79.400000000000006</v>
      </c>
      <c r="UG49">
        <v>95.2</v>
      </c>
      <c r="UH49">
        <v>93.6</v>
      </c>
      <c r="UI49">
        <v>118.2</v>
      </c>
      <c r="UJ49">
        <v>85.2</v>
      </c>
      <c r="UK49">
        <v>104.4</v>
      </c>
      <c r="UL49">
        <v>103.1</v>
      </c>
      <c r="UM49">
        <v>110.4</v>
      </c>
      <c r="UN49">
        <v>99.2</v>
      </c>
      <c r="UO49">
        <v>100.5</v>
      </c>
      <c r="UP49">
        <v>96.4</v>
      </c>
      <c r="UQ49">
        <v>5.9</v>
      </c>
      <c r="UR49">
        <v>93.4</v>
      </c>
      <c r="US49">
        <v>104.7</v>
      </c>
      <c r="UT49">
        <v>99.5</v>
      </c>
      <c r="UU49">
        <v>103.1</v>
      </c>
      <c r="UV49">
        <v>95.2</v>
      </c>
      <c r="UW49">
        <v>91.2</v>
      </c>
      <c r="UX49">
        <v>87.7</v>
      </c>
      <c r="UY49">
        <v>94.6</v>
      </c>
      <c r="UZ49">
        <v>90.2</v>
      </c>
      <c r="VA49">
        <v>92</v>
      </c>
      <c r="VB49">
        <v>91.6</v>
      </c>
      <c r="VC49">
        <v>86.9</v>
      </c>
      <c r="VD49">
        <v>92.2</v>
      </c>
      <c r="VE49">
        <v>94.8</v>
      </c>
      <c r="VF49">
        <v>109.3</v>
      </c>
      <c r="VG49">
        <v>129.4</v>
      </c>
      <c r="VH49">
        <v>75.5</v>
      </c>
      <c r="VI49">
        <v>95.7</v>
      </c>
      <c r="VK49">
        <v>71.400000000000006</v>
      </c>
      <c r="VL49">
        <v>75.900000000000006</v>
      </c>
      <c r="VM49">
        <v>92.5</v>
      </c>
      <c r="VN49">
        <v>89.9</v>
      </c>
      <c r="VO49">
        <v>89</v>
      </c>
      <c r="VP49">
        <v>87.9</v>
      </c>
      <c r="VQ49">
        <v>100</v>
      </c>
      <c r="VR49">
        <v>80.5</v>
      </c>
      <c r="VT49">
        <v>95.2</v>
      </c>
      <c r="VU49">
        <v>83.1</v>
      </c>
      <c r="VV49">
        <v>80.3</v>
      </c>
      <c r="VW49">
        <v>91.9</v>
      </c>
      <c r="VX49">
        <v>85.1</v>
      </c>
      <c r="VY49">
        <v>112.2</v>
      </c>
      <c r="VZ49">
        <v>98.6</v>
      </c>
      <c r="WB49">
        <v>93</v>
      </c>
      <c r="WC49">
        <v>133.19999999999999</v>
      </c>
      <c r="WD49">
        <v>98.1</v>
      </c>
      <c r="WE49">
        <v>97.6</v>
      </c>
      <c r="WF49">
        <v>78.8</v>
      </c>
      <c r="WG49">
        <v>97.1</v>
      </c>
      <c r="WH49">
        <v>85.4</v>
      </c>
      <c r="WI49">
        <v>85.1</v>
      </c>
      <c r="WJ49">
        <v>86.8</v>
      </c>
      <c r="WK49">
        <v>83</v>
      </c>
      <c r="WL49">
        <v>86.6</v>
      </c>
      <c r="WM49">
        <v>191.5</v>
      </c>
      <c r="WN49">
        <v>94.7</v>
      </c>
      <c r="WO49">
        <v>90.7</v>
      </c>
      <c r="WP49">
        <v>73.099999999999994</v>
      </c>
      <c r="WQ49">
        <v>83.8</v>
      </c>
      <c r="WT49">
        <v>89.4</v>
      </c>
      <c r="WU49">
        <v>98.4</v>
      </c>
      <c r="WV49">
        <v>94.9</v>
      </c>
      <c r="WW49">
        <v>81.900000000000006</v>
      </c>
      <c r="WX49">
        <v>90.8</v>
      </c>
      <c r="WY49">
        <v>92.2</v>
      </c>
      <c r="WZ49">
        <v>92</v>
      </c>
      <c r="XA49">
        <v>92.4</v>
      </c>
      <c r="XB49">
        <v>80.599999999999994</v>
      </c>
      <c r="XC49">
        <v>80</v>
      </c>
      <c r="XD49">
        <v>83</v>
      </c>
      <c r="XE49">
        <v>90.8</v>
      </c>
      <c r="XF49">
        <v>89.9</v>
      </c>
      <c r="XG49">
        <v>91.8</v>
      </c>
      <c r="XH49">
        <v>93.5</v>
      </c>
      <c r="XI49">
        <v>101.8</v>
      </c>
      <c r="XJ49">
        <v>101.8</v>
      </c>
      <c r="XK49">
        <v>79.5</v>
      </c>
      <c r="XL49">
        <v>79.5</v>
      </c>
      <c r="XM49">
        <v>90.4</v>
      </c>
      <c r="XN49">
        <v>82.7</v>
      </c>
      <c r="XO49">
        <v>93.8</v>
      </c>
      <c r="XP49">
        <v>94.1</v>
      </c>
      <c r="XQ49">
        <v>88</v>
      </c>
      <c r="XR49">
        <v>89.9</v>
      </c>
      <c r="XT49">
        <v>93.9</v>
      </c>
      <c r="XU49">
        <v>94.2</v>
      </c>
      <c r="XV49">
        <v>96.3</v>
      </c>
      <c r="XW49">
        <v>101.5</v>
      </c>
      <c r="XX49">
        <v>91</v>
      </c>
      <c r="XY49">
        <v>90.7</v>
      </c>
      <c r="XZ49">
        <v>92.7</v>
      </c>
      <c r="YA49">
        <v>97.8</v>
      </c>
      <c r="YB49">
        <v>92.1</v>
      </c>
      <c r="YC49">
        <v>81.099999999999994</v>
      </c>
      <c r="YD49">
        <v>92.5</v>
      </c>
      <c r="YE49">
        <v>96.7</v>
      </c>
      <c r="YF49">
        <v>101.9</v>
      </c>
      <c r="YG49">
        <v>90.5</v>
      </c>
      <c r="YH49">
        <v>96.9</v>
      </c>
      <c r="YI49">
        <v>92.4</v>
      </c>
      <c r="YJ49">
        <v>90.4</v>
      </c>
      <c r="YK49">
        <v>78.8</v>
      </c>
      <c r="YL49">
        <v>82.9</v>
      </c>
      <c r="YM49">
        <v>94.6</v>
      </c>
      <c r="YO49">
        <v>93</v>
      </c>
      <c r="YP49">
        <v>97.5</v>
      </c>
      <c r="YQ49">
        <v>88.4</v>
      </c>
      <c r="YR49">
        <v>94.2</v>
      </c>
      <c r="YS49">
        <v>89.1</v>
      </c>
      <c r="YT49">
        <v>95.1</v>
      </c>
      <c r="YU49">
        <v>94.4</v>
      </c>
      <c r="YV49">
        <v>93.9</v>
      </c>
      <c r="YW49">
        <v>96.5</v>
      </c>
      <c r="YX49">
        <v>92.9</v>
      </c>
      <c r="YY49">
        <v>93.3</v>
      </c>
      <c r="YZ49">
        <v>94.8</v>
      </c>
      <c r="ZA49">
        <v>95.9</v>
      </c>
      <c r="ZB49">
        <v>95.5</v>
      </c>
      <c r="ZC49">
        <v>110.1</v>
      </c>
      <c r="ZD49">
        <v>119.6</v>
      </c>
      <c r="ZE49">
        <v>101.7</v>
      </c>
      <c r="ZF49">
        <v>91.6</v>
      </c>
      <c r="ZG49">
        <v>99.6</v>
      </c>
      <c r="ZH49">
        <v>88.4</v>
      </c>
      <c r="ZI49">
        <v>104.1</v>
      </c>
      <c r="ZK49">
        <v>86.6</v>
      </c>
      <c r="ZL49">
        <v>86.9</v>
      </c>
      <c r="ZM49">
        <v>97.2</v>
      </c>
      <c r="ZN49">
        <v>95.9</v>
      </c>
      <c r="ZO49">
        <v>96</v>
      </c>
      <c r="ZP49">
        <v>98.7</v>
      </c>
      <c r="ZQ49">
        <v>95.5</v>
      </c>
      <c r="ZR49">
        <v>96.2</v>
      </c>
      <c r="ZT49">
        <v>94.5</v>
      </c>
      <c r="ZU49">
        <v>95.2</v>
      </c>
      <c r="ZV49">
        <v>90.3</v>
      </c>
      <c r="ZW49">
        <v>90.6</v>
      </c>
      <c r="ZX49">
        <v>119.4</v>
      </c>
      <c r="ZY49">
        <v>95.4</v>
      </c>
      <c r="ZZ49">
        <v>95.7</v>
      </c>
      <c r="AAA49">
        <v>97.7</v>
      </c>
      <c r="AAC49">
        <v>80.099999999999994</v>
      </c>
      <c r="AAD49">
        <v>75.5</v>
      </c>
      <c r="AAE49">
        <v>93.8</v>
      </c>
      <c r="AAF49">
        <v>60.4</v>
      </c>
      <c r="AAG49">
        <v>75.7</v>
      </c>
      <c r="AAH49">
        <v>93.9</v>
      </c>
      <c r="AAI49">
        <v>93.4</v>
      </c>
      <c r="AAJ49">
        <v>87.3</v>
      </c>
      <c r="AAK49">
        <v>97.3</v>
      </c>
      <c r="AAL49">
        <v>90.6</v>
      </c>
      <c r="AAM49">
        <v>88.1</v>
      </c>
      <c r="AAN49">
        <v>95</v>
      </c>
      <c r="AAO49">
        <v>82.5</v>
      </c>
      <c r="AAP49">
        <v>81.8</v>
      </c>
      <c r="AAQ49">
        <v>84</v>
      </c>
      <c r="AAR49">
        <v>104.7</v>
      </c>
      <c r="AAT49">
        <v>84.6</v>
      </c>
      <c r="AAU49">
        <v>248.9</v>
      </c>
      <c r="AAW49">
        <v>91.8</v>
      </c>
      <c r="AAX49">
        <v>96.4</v>
      </c>
      <c r="AAY49">
        <v>100</v>
      </c>
      <c r="AAZ49">
        <v>93.6</v>
      </c>
      <c r="ABB49">
        <v>79.8</v>
      </c>
      <c r="ABC49">
        <v>76.7</v>
      </c>
      <c r="ABD49">
        <v>84.9</v>
      </c>
      <c r="ABE49">
        <v>75</v>
      </c>
      <c r="ABF49">
        <v>95</v>
      </c>
      <c r="ABG49">
        <v>89.8</v>
      </c>
      <c r="ABH49">
        <v>93.1</v>
      </c>
      <c r="ABI49">
        <v>95.4</v>
      </c>
      <c r="ABJ49">
        <v>101.7</v>
      </c>
      <c r="ABK49">
        <v>93.9</v>
      </c>
      <c r="ABL49">
        <v>98.2</v>
      </c>
      <c r="ABM49">
        <v>94.8</v>
      </c>
      <c r="ABN49">
        <v>96.5</v>
      </c>
      <c r="ABO49">
        <v>100.3</v>
      </c>
      <c r="ABP49">
        <v>92.7</v>
      </c>
      <c r="ABQ49">
        <v>105.4</v>
      </c>
    </row>
    <row r="50" spans="1:748">
      <c r="A50">
        <v>2013</v>
      </c>
      <c r="B50">
        <v>95.2</v>
      </c>
      <c r="C50">
        <v>88.8</v>
      </c>
      <c r="D50">
        <v>95</v>
      </c>
      <c r="E50">
        <v>98.5</v>
      </c>
      <c r="F50">
        <v>99.7</v>
      </c>
      <c r="G50">
        <v>98.4</v>
      </c>
      <c r="H50">
        <v>92.2</v>
      </c>
      <c r="I50">
        <v>95.5</v>
      </c>
      <c r="J50">
        <v>88.8</v>
      </c>
      <c r="K50">
        <v>92.9</v>
      </c>
      <c r="L50">
        <v>92</v>
      </c>
      <c r="M50">
        <v>92.1</v>
      </c>
      <c r="N50">
        <v>96.1</v>
      </c>
      <c r="O50">
        <v>90.8</v>
      </c>
      <c r="P50">
        <v>88.6</v>
      </c>
      <c r="Q50">
        <v>94.4</v>
      </c>
      <c r="R50">
        <v>97.2</v>
      </c>
      <c r="S50">
        <v>83.9</v>
      </c>
      <c r="T50">
        <v>103.4</v>
      </c>
      <c r="V50">
        <v>80.2</v>
      </c>
      <c r="W50">
        <v>79.900000000000006</v>
      </c>
      <c r="X50">
        <v>87</v>
      </c>
      <c r="Y50">
        <v>91.8</v>
      </c>
      <c r="Z50">
        <v>97.4</v>
      </c>
      <c r="AA50">
        <v>87.9</v>
      </c>
      <c r="AB50">
        <v>75.900000000000006</v>
      </c>
      <c r="AC50">
        <v>88.1</v>
      </c>
      <c r="AD50">
        <v>64.400000000000006</v>
      </c>
      <c r="AE50">
        <v>87.5</v>
      </c>
      <c r="AF50">
        <v>84.7</v>
      </c>
      <c r="AG50">
        <v>55.5</v>
      </c>
      <c r="AH50">
        <v>70</v>
      </c>
      <c r="AI50">
        <v>89.2</v>
      </c>
      <c r="AJ50">
        <v>89.2</v>
      </c>
      <c r="AK50">
        <v>92.3</v>
      </c>
      <c r="AL50">
        <v>77.099999999999994</v>
      </c>
      <c r="AM50">
        <v>75.099999999999994</v>
      </c>
      <c r="AN50">
        <v>65</v>
      </c>
      <c r="AO50">
        <v>86.5</v>
      </c>
      <c r="AP50">
        <v>71.7</v>
      </c>
      <c r="AQ50">
        <v>80.5</v>
      </c>
      <c r="AR50">
        <v>88.3</v>
      </c>
      <c r="AS50">
        <v>64</v>
      </c>
      <c r="AT50">
        <v>71.900000000000006</v>
      </c>
      <c r="AU50">
        <v>89.4</v>
      </c>
      <c r="AV50">
        <v>88.3</v>
      </c>
      <c r="AW50">
        <v>89.5</v>
      </c>
      <c r="AX50">
        <v>90.1</v>
      </c>
      <c r="AY50">
        <v>82.4</v>
      </c>
      <c r="AZ50">
        <v>89.1</v>
      </c>
      <c r="BA50">
        <v>77.900000000000006</v>
      </c>
      <c r="BB50">
        <v>79.2</v>
      </c>
      <c r="BC50">
        <v>91.7</v>
      </c>
      <c r="BD50">
        <v>84.9</v>
      </c>
      <c r="BE50">
        <v>80.900000000000006</v>
      </c>
      <c r="BF50">
        <v>78</v>
      </c>
      <c r="BG50">
        <v>67.7</v>
      </c>
      <c r="BH50">
        <v>79.900000000000006</v>
      </c>
      <c r="BJ50">
        <v>88.6</v>
      </c>
      <c r="BK50">
        <v>103.2</v>
      </c>
      <c r="BL50">
        <v>103.8</v>
      </c>
      <c r="BM50">
        <v>104</v>
      </c>
      <c r="BN50">
        <v>99.5</v>
      </c>
      <c r="BP50">
        <v>89</v>
      </c>
      <c r="BQ50">
        <v>88.6</v>
      </c>
      <c r="BR50">
        <v>90.3</v>
      </c>
      <c r="BS50">
        <v>90.5</v>
      </c>
      <c r="BT50">
        <v>87.2</v>
      </c>
      <c r="BU50">
        <v>97.9</v>
      </c>
      <c r="BV50">
        <v>87.1</v>
      </c>
      <c r="BW50">
        <v>88.8</v>
      </c>
      <c r="BX50">
        <v>86.9</v>
      </c>
      <c r="BY50">
        <v>86.2</v>
      </c>
      <c r="BZ50">
        <v>90.9</v>
      </c>
      <c r="CA50">
        <v>90.9</v>
      </c>
      <c r="CB50">
        <v>88.2</v>
      </c>
      <c r="CC50">
        <v>88.4</v>
      </c>
      <c r="CD50">
        <v>94</v>
      </c>
      <c r="CE50">
        <v>91.5</v>
      </c>
      <c r="CF50">
        <v>90.5</v>
      </c>
      <c r="CG50">
        <v>85.1</v>
      </c>
      <c r="CH50">
        <v>101.9</v>
      </c>
      <c r="CI50">
        <v>100.2</v>
      </c>
      <c r="CJ50">
        <v>88.8</v>
      </c>
      <c r="CK50">
        <v>86.9</v>
      </c>
      <c r="CL50">
        <v>69.7</v>
      </c>
      <c r="CM50">
        <v>77.599999999999994</v>
      </c>
      <c r="CN50">
        <v>77.400000000000006</v>
      </c>
      <c r="CO50">
        <v>95.4</v>
      </c>
      <c r="CP50">
        <v>87.2</v>
      </c>
      <c r="CQ50">
        <v>84.8</v>
      </c>
      <c r="CR50">
        <v>98.7</v>
      </c>
      <c r="CS50">
        <v>77.400000000000006</v>
      </c>
      <c r="CT50">
        <v>90.1</v>
      </c>
      <c r="CU50">
        <v>77.8</v>
      </c>
      <c r="CV50">
        <v>88.1</v>
      </c>
      <c r="CW50">
        <v>83</v>
      </c>
      <c r="CX50">
        <v>76.3</v>
      </c>
      <c r="CY50">
        <v>82.9</v>
      </c>
      <c r="CZ50">
        <v>74.8</v>
      </c>
      <c r="DA50">
        <v>89.9</v>
      </c>
      <c r="DB50">
        <v>78.599999999999994</v>
      </c>
      <c r="DC50">
        <v>96.2</v>
      </c>
      <c r="DD50">
        <v>97.9</v>
      </c>
      <c r="DE50">
        <v>99.5</v>
      </c>
      <c r="DG50">
        <v>87.6</v>
      </c>
      <c r="DH50">
        <v>80.900000000000006</v>
      </c>
      <c r="DI50">
        <v>86</v>
      </c>
      <c r="DJ50">
        <v>81.3</v>
      </c>
      <c r="DK50">
        <v>82.2</v>
      </c>
      <c r="DL50">
        <v>85</v>
      </c>
      <c r="DM50">
        <v>70.7</v>
      </c>
      <c r="DN50">
        <v>94.1</v>
      </c>
      <c r="DO50">
        <v>92.8</v>
      </c>
      <c r="DP50">
        <v>94.5</v>
      </c>
      <c r="DQ50">
        <v>96.1</v>
      </c>
      <c r="DR50">
        <v>86.5</v>
      </c>
      <c r="DS50">
        <v>98.6</v>
      </c>
      <c r="DT50">
        <v>68.8</v>
      </c>
      <c r="DU50">
        <v>84.4</v>
      </c>
      <c r="DV50">
        <v>83.8</v>
      </c>
      <c r="DW50">
        <v>96.3</v>
      </c>
      <c r="DX50">
        <v>91.6</v>
      </c>
      <c r="DY50">
        <v>98.2</v>
      </c>
      <c r="DZ50">
        <v>76.7</v>
      </c>
      <c r="EA50">
        <v>76.400000000000006</v>
      </c>
      <c r="EB50">
        <v>79.900000000000006</v>
      </c>
      <c r="EC50">
        <v>78.2</v>
      </c>
      <c r="ED50">
        <v>77.8</v>
      </c>
      <c r="EF50">
        <v>58.4</v>
      </c>
      <c r="EG50">
        <v>73.3</v>
      </c>
      <c r="EH50">
        <v>63.2</v>
      </c>
      <c r="EI50">
        <v>86.5</v>
      </c>
      <c r="EJ50">
        <v>70.5</v>
      </c>
      <c r="EK50">
        <v>76.900000000000006</v>
      </c>
      <c r="EL50">
        <v>82.2</v>
      </c>
      <c r="EM50">
        <v>77.3</v>
      </c>
      <c r="EN50">
        <v>80.7</v>
      </c>
      <c r="EO50">
        <v>84.4</v>
      </c>
      <c r="EP50">
        <v>89</v>
      </c>
      <c r="ER50">
        <v>79.900000000000006</v>
      </c>
      <c r="ET50">
        <v>96.2</v>
      </c>
      <c r="EU50">
        <v>108.9</v>
      </c>
      <c r="EV50">
        <v>111.7</v>
      </c>
      <c r="EW50">
        <v>98.5</v>
      </c>
      <c r="EX50">
        <v>94.7</v>
      </c>
      <c r="EY50">
        <v>91.6</v>
      </c>
      <c r="EZ50">
        <v>99.5</v>
      </c>
      <c r="FA50">
        <v>97.3</v>
      </c>
      <c r="FB50">
        <v>98.3</v>
      </c>
      <c r="FC50">
        <v>101.9</v>
      </c>
      <c r="FD50">
        <v>93.8</v>
      </c>
      <c r="FE50">
        <v>98.2</v>
      </c>
      <c r="FF50">
        <v>104.3</v>
      </c>
      <c r="FG50">
        <v>94.1</v>
      </c>
      <c r="FH50">
        <v>88.4</v>
      </c>
      <c r="FI50">
        <v>87.5</v>
      </c>
      <c r="FJ50">
        <v>94.7</v>
      </c>
      <c r="FK50">
        <v>89.8</v>
      </c>
      <c r="FL50">
        <v>90.5</v>
      </c>
      <c r="FM50">
        <v>82.5</v>
      </c>
      <c r="FO50">
        <v>98.4</v>
      </c>
      <c r="FP50">
        <v>87</v>
      </c>
      <c r="FQ50">
        <v>86.1</v>
      </c>
      <c r="FR50">
        <v>92</v>
      </c>
      <c r="FS50">
        <v>82.2</v>
      </c>
      <c r="FT50">
        <v>81.599999999999994</v>
      </c>
      <c r="FU50">
        <v>94.6</v>
      </c>
      <c r="FV50">
        <v>78.8</v>
      </c>
      <c r="FW50">
        <v>89.3</v>
      </c>
      <c r="FX50">
        <v>86.3</v>
      </c>
      <c r="FY50">
        <v>86.1</v>
      </c>
      <c r="GA50">
        <v>97</v>
      </c>
      <c r="GB50">
        <v>82.2</v>
      </c>
      <c r="GC50">
        <v>98.9</v>
      </c>
      <c r="GD50">
        <v>97</v>
      </c>
      <c r="GE50">
        <v>78</v>
      </c>
      <c r="GF50">
        <v>83.7</v>
      </c>
      <c r="GG50">
        <v>83.4</v>
      </c>
      <c r="GH50">
        <v>97.1</v>
      </c>
      <c r="GI50">
        <v>89.5</v>
      </c>
      <c r="GJ50">
        <v>88.7</v>
      </c>
      <c r="GK50">
        <v>84.9</v>
      </c>
      <c r="GM50">
        <v>84.1</v>
      </c>
      <c r="GO50">
        <v>85.4</v>
      </c>
      <c r="GP50">
        <v>90</v>
      </c>
      <c r="GQ50">
        <v>109.3</v>
      </c>
      <c r="GR50">
        <v>100.3</v>
      </c>
      <c r="GU50">
        <v>90.1</v>
      </c>
      <c r="GV50">
        <v>88.3</v>
      </c>
      <c r="GW50">
        <v>88.3</v>
      </c>
      <c r="GX50">
        <v>89</v>
      </c>
      <c r="GY50">
        <v>90.3</v>
      </c>
      <c r="GZ50">
        <v>86.2</v>
      </c>
      <c r="HA50">
        <v>98.8</v>
      </c>
      <c r="HB50">
        <v>86.8</v>
      </c>
      <c r="HD50">
        <v>117.6</v>
      </c>
      <c r="HE50">
        <v>96.9</v>
      </c>
      <c r="HG50">
        <v>91.9</v>
      </c>
      <c r="HH50">
        <v>84</v>
      </c>
      <c r="HI50">
        <v>87.3</v>
      </c>
      <c r="HJ50">
        <v>68</v>
      </c>
      <c r="HK50">
        <v>89.4</v>
      </c>
      <c r="HO50">
        <v>97.7</v>
      </c>
      <c r="HP50">
        <v>104</v>
      </c>
      <c r="HQ50">
        <v>98.5</v>
      </c>
      <c r="HR50">
        <v>92.8</v>
      </c>
      <c r="HS50">
        <v>111.7</v>
      </c>
      <c r="HT50">
        <v>96.6</v>
      </c>
      <c r="HU50">
        <v>85.3</v>
      </c>
      <c r="HV50">
        <v>94.4</v>
      </c>
      <c r="HW50">
        <v>107.1</v>
      </c>
      <c r="HY50">
        <v>95.3</v>
      </c>
      <c r="HZ50">
        <v>87.1</v>
      </c>
      <c r="IA50">
        <v>95.2</v>
      </c>
      <c r="IB50">
        <v>98.8</v>
      </c>
      <c r="IC50">
        <v>104.6</v>
      </c>
      <c r="IE50">
        <v>86</v>
      </c>
      <c r="IF50">
        <v>94.8</v>
      </c>
      <c r="IH50">
        <v>100.1</v>
      </c>
      <c r="IJ50">
        <v>94.9</v>
      </c>
      <c r="IK50">
        <v>99.7</v>
      </c>
      <c r="IL50">
        <v>96.6</v>
      </c>
      <c r="IM50">
        <v>94.7</v>
      </c>
      <c r="IN50">
        <v>92.7</v>
      </c>
      <c r="IO50">
        <v>82.8</v>
      </c>
      <c r="IP50">
        <v>93.4</v>
      </c>
      <c r="IQ50">
        <v>95.5</v>
      </c>
      <c r="IR50">
        <v>102.6</v>
      </c>
      <c r="IS50">
        <v>91.5</v>
      </c>
      <c r="IT50">
        <v>90.5</v>
      </c>
      <c r="IU50">
        <v>90.1</v>
      </c>
      <c r="IV50">
        <v>90.3</v>
      </c>
      <c r="IX50">
        <v>90.1</v>
      </c>
      <c r="IY50">
        <v>91.6</v>
      </c>
      <c r="IZ50">
        <v>87.3</v>
      </c>
      <c r="JA50">
        <v>90.2</v>
      </c>
      <c r="JB50">
        <v>92.2</v>
      </c>
      <c r="JC50">
        <v>91.6</v>
      </c>
      <c r="JD50">
        <v>80.599999999999994</v>
      </c>
      <c r="JE50">
        <v>91.3</v>
      </c>
      <c r="JG50">
        <v>92.9</v>
      </c>
      <c r="JH50">
        <v>92.1</v>
      </c>
      <c r="JI50">
        <v>92.6</v>
      </c>
      <c r="JJ50">
        <v>86.9</v>
      </c>
      <c r="JK50">
        <v>87.7</v>
      </c>
      <c r="JL50">
        <v>91.2</v>
      </c>
      <c r="JM50">
        <v>103.1</v>
      </c>
      <c r="JN50">
        <v>100.6</v>
      </c>
      <c r="JO50">
        <v>92.2</v>
      </c>
      <c r="JQ50">
        <v>90.5</v>
      </c>
      <c r="JS50">
        <v>98.9</v>
      </c>
      <c r="JT50">
        <v>98.8</v>
      </c>
      <c r="JU50">
        <v>99.2</v>
      </c>
      <c r="JV50">
        <v>99.5</v>
      </c>
      <c r="JW50">
        <v>101.2</v>
      </c>
      <c r="JX50">
        <v>101.5</v>
      </c>
      <c r="JY50">
        <v>101.5</v>
      </c>
      <c r="JZ50">
        <v>98.9</v>
      </c>
      <c r="KA50">
        <v>99.4</v>
      </c>
      <c r="KB50">
        <v>98.3</v>
      </c>
      <c r="KC50">
        <v>101.2</v>
      </c>
      <c r="KD50">
        <v>101.2</v>
      </c>
      <c r="KE50">
        <v>89.3</v>
      </c>
      <c r="KF50">
        <v>96.5</v>
      </c>
      <c r="KG50">
        <v>93.4</v>
      </c>
      <c r="KH50">
        <v>124.4</v>
      </c>
      <c r="KI50">
        <v>104.8</v>
      </c>
      <c r="KJ50">
        <v>88.7</v>
      </c>
      <c r="KL50">
        <v>75.5</v>
      </c>
      <c r="KM50">
        <v>86.9</v>
      </c>
      <c r="KN50">
        <v>88.4</v>
      </c>
      <c r="KO50">
        <v>81.099999999999994</v>
      </c>
      <c r="KP50">
        <v>84.4</v>
      </c>
      <c r="KS50">
        <v>91</v>
      </c>
      <c r="KT50">
        <v>86</v>
      </c>
      <c r="KU50">
        <v>92.7</v>
      </c>
      <c r="KX50">
        <v>85.5</v>
      </c>
      <c r="KY50">
        <v>99.2</v>
      </c>
      <c r="KZ50">
        <v>96.5</v>
      </c>
      <c r="LA50">
        <v>96.5</v>
      </c>
      <c r="LB50">
        <v>103.9</v>
      </c>
      <c r="LC50">
        <v>110.9</v>
      </c>
      <c r="LD50">
        <v>93.8</v>
      </c>
      <c r="LE50">
        <v>120</v>
      </c>
      <c r="LF50">
        <v>120</v>
      </c>
      <c r="LG50">
        <v>93.7</v>
      </c>
      <c r="LH50">
        <v>95.1</v>
      </c>
      <c r="LI50">
        <v>91.7</v>
      </c>
      <c r="LJ50">
        <v>93.1</v>
      </c>
      <c r="LK50">
        <v>95</v>
      </c>
      <c r="LL50">
        <v>104.3</v>
      </c>
      <c r="LM50">
        <v>103.6</v>
      </c>
      <c r="LN50">
        <v>80.2</v>
      </c>
      <c r="LO50">
        <v>94</v>
      </c>
      <c r="LP50">
        <v>118.5</v>
      </c>
      <c r="LQ50">
        <v>121.9</v>
      </c>
      <c r="LR50">
        <v>94.7</v>
      </c>
      <c r="LS50">
        <v>137.80000000000001</v>
      </c>
      <c r="LT50">
        <v>86.9</v>
      </c>
      <c r="LU50">
        <v>86.8</v>
      </c>
      <c r="LV50">
        <v>87.2</v>
      </c>
      <c r="LX50">
        <v>89.3</v>
      </c>
      <c r="LY50">
        <v>89.5</v>
      </c>
      <c r="MA50">
        <v>93.3</v>
      </c>
      <c r="MB50">
        <v>102.6</v>
      </c>
      <c r="MC50">
        <v>164.3</v>
      </c>
      <c r="MD50">
        <v>96.7</v>
      </c>
      <c r="ME50">
        <v>84.7</v>
      </c>
      <c r="MG50">
        <v>89.1</v>
      </c>
      <c r="MH50">
        <v>83.9</v>
      </c>
      <c r="MI50">
        <v>87.5</v>
      </c>
      <c r="MJ50">
        <v>90.4</v>
      </c>
      <c r="MK50">
        <v>100.1</v>
      </c>
      <c r="MM50">
        <v>87.1</v>
      </c>
      <c r="MN50">
        <v>91.4</v>
      </c>
      <c r="MO50">
        <v>90.7</v>
      </c>
      <c r="MP50">
        <v>92.2</v>
      </c>
      <c r="MQ50">
        <v>81.900000000000006</v>
      </c>
      <c r="MS50">
        <v>86.5</v>
      </c>
      <c r="MT50">
        <v>86</v>
      </c>
      <c r="MU50">
        <v>87.6</v>
      </c>
      <c r="MV50">
        <v>89</v>
      </c>
      <c r="MW50">
        <v>84.8</v>
      </c>
      <c r="MX50">
        <v>86.6</v>
      </c>
      <c r="MY50">
        <v>94.8</v>
      </c>
      <c r="NB50">
        <v>94</v>
      </c>
      <c r="NC50">
        <v>82.2</v>
      </c>
      <c r="ND50">
        <v>85.8</v>
      </c>
      <c r="NE50">
        <v>79.900000000000006</v>
      </c>
      <c r="NF50">
        <v>102.9</v>
      </c>
      <c r="NG50">
        <v>110</v>
      </c>
      <c r="NH50">
        <v>98.9</v>
      </c>
      <c r="NI50">
        <v>94.9</v>
      </c>
      <c r="NJ50">
        <v>93</v>
      </c>
      <c r="NK50">
        <v>84</v>
      </c>
      <c r="NL50">
        <v>97.9</v>
      </c>
      <c r="NM50">
        <v>104.5</v>
      </c>
      <c r="NN50">
        <v>99.3</v>
      </c>
      <c r="NO50">
        <v>92.2</v>
      </c>
      <c r="NQ50">
        <v>94.8</v>
      </c>
      <c r="NR50">
        <v>92.3</v>
      </c>
      <c r="NS50">
        <v>92.3</v>
      </c>
      <c r="NT50">
        <v>95.5</v>
      </c>
      <c r="NU50">
        <v>102.1</v>
      </c>
      <c r="NW50">
        <v>95.4</v>
      </c>
      <c r="NX50">
        <v>95.4</v>
      </c>
      <c r="NY50">
        <v>92.5</v>
      </c>
      <c r="NZ50">
        <v>94</v>
      </c>
      <c r="OA50">
        <v>95.3</v>
      </c>
      <c r="OB50">
        <v>96.2</v>
      </c>
      <c r="OC50">
        <v>93.5</v>
      </c>
      <c r="OD50">
        <v>93.9</v>
      </c>
      <c r="OE50">
        <v>90.4</v>
      </c>
      <c r="OF50">
        <v>82.2</v>
      </c>
      <c r="OG50">
        <v>99.2</v>
      </c>
      <c r="OH50">
        <v>89.9</v>
      </c>
      <c r="OI50">
        <v>92.8</v>
      </c>
      <c r="OJ50">
        <v>88.1</v>
      </c>
      <c r="OK50">
        <v>93.4</v>
      </c>
      <c r="OL50">
        <v>83.6</v>
      </c>
      <c r="OM50">
        <v>93.4</v>
      </c>
      <c r="ON50">
        <v>100.3</v>
      </c>
      <c r="OO50">
        <v>89</v>
      </c>
      <c r="OP50">
        <v>90.7</v>
      </c>
      <c r="OQ50">
        <v>95.8</v>
      </c>
      <c r="OR50">
        <v>91.4</v>
      </c>
      <c r="OS50">
        <v>86.8</v>
      </c>
      <c r="OT50">
        <v>83.6</v>
      </c>
      <c r="OU50">
        <v>90.5</v>
      </c>
      <c r="OV50">
        <v>89.1</v>
      </c>
      <c r="OW50">
        <v>85</v>
      </c>
      <c r="OX50">
        <v>91.9</v>
      </c>
      <c r="OY50">
        <v>87.6</v>
      </c>
      <c r="OZ50">
        <v>85.1</v>
      </c>
      <c r="PA50">
        <v>106.8</v>
      </c>
      <c r="PB50">
        <v>90.2</v>
      </c>
      <c r="PC50">
        <v>87.2</v>
      </c>
      <c r="PD50">
        <v>124.2</v>
      </c>
      <c r="PG50">
        <v>98.6</v>
      </c>
      <c r="PH50">
        <v>93</v>
      </c>
      <c r="PI50">
        <v>95.1</v>
      </c>
      <c r="PJ50">
        <v>97.3</v>
      </c>
      <c r="PK50">
        <v>97.2</v>
      </c>
      <c r="PL50">
        <v>96.7</v>
      </c>
      <c r="PM50">
        <v>100.1</v>
      </c>
      <c r="PN50">
        <v>94.7</v>
      </c>
      <c r="PO50">
        <v>94.3</v>
      </c>
      <c r="PP50">
        <v>98.2</v>
      </c>
      <c r="PQ50">
        <v>100.1</v>
      </c>
      <c r="PR50">
        <v>96.3</v>
      </c>
      <c r="PS50">
        <v>93.5</v>
      </c>
      <c r="PT50">
        <v>89.6</v>
      </c>
      <c r="PU50">
        <v>96.6</v>
      </c>
      <c r="PV50">
        <v>93.5</v>
      </c>
      <c r="PW50">
        <v>94.4</v>
      </c>
      <c r="PX50">
        <v>92.5</v>
      </c>
      <c r="PY50">
        <v>88.4</v>
      </c>
      <c r="PZ50">
        <v>87.6</v>
      </c>
      <c r="QA50">
        <v>88.9</v>
      </c>
      <c r="QB50">
        <v>84.8</v>
      </c>
      <c r="QC50">
        <v>90.1</v>
      </c>
      <c r="QD50">
        <v>89.7</v>
      </c>
      <c r="QE50">
        <v>90.8</v>
      </c>
      <c r="QF50">
        <v>83.5</v>
      </c>
      <c r="QG50">
        <v>96.5</v>
      </c>
      <c r="QH50">
        <v>84.7</v>
      </c>
      <c r="QI50">
        <v>84.7</v>
      </c>
      <c r="QJ50">
        <v>86.9</v>
      </c>
      <c r="QK50">
        <v>89.8</v>
      </c>
      <c r="QL50">
        <v>88.7</v>
      </c>
      <c r="QM50">
        <v>88.8</v>
      </c>
      <c r="QN50">
        <v>81.400000000000006</v>
      </c>
      <c r="QO50">
        <v>84.4</v>
      </c>
      <c r="QP50">
        <v>89.3</v>
      </c>
      <c r="QQ50">
        <v>95</v>
      </c>
      <c r="QR50">
        <v>96.9</v>
      </c>
      <c r="QS50">
        <v>108.8</v>
      </c>
      <c r="QT50">
        <v>90.6</v>
      </c>
      <c r="QU50">
        <v>92.9</v>
      </c>
      <c r="QV50">
        <v>92.6</v>
      </c>
      <c r="QW50">
        <v>95.6</v>
      </c>
      <c r="QX50">
        <v>95.7</v>
      </c>
      <c r="QY50">
        <v>88.2</v>
      </c>
      <c r="QZ50">
        <v>88.8</v>
      </c>
      <c r="RA50">
        <v>86.4</v>
      </c>
      <c r="RB50">
        <v>87.5</v>
      </c>
      <c r="RC50">
        <v>92.3</v>
      </c>
      <c r="RD50">
        <v>93.9</v>
      </c>
      <c r="RE50">
        <v>96.7</v>
      </c>
      <c r="RF50">
        <v>98.5</v>
      </c>
      <c r="RG50">
        <v>104.8</v>
      </c>
      <c r="RH50">
        <v>101.3</v>
      </c>
      <c r="RI50">
        <v>94.9</v>
      </c>
      <c r="RJ50">
        <v>97.8</v>
      </c>
      <c r="RK50">
        <v>94.5</v>
      </c>
      <c r="RL50">
        <v>98.7</v>
      </c>
      <c r="RM50">
        <v>95.9</v>
      </c>
      <c r="RN50">
        <v>103.5</v>
      </c>
      <c r="RO50">
        <v>93.1</v>
      </c>
      <c r="RP50">
        <v>96</v>
      </c>
      <c r="RQ50">
        <v>95.6</v>
      </c>
      <c r="RS50">
        <v>95.4</v>
      </c>
      <c r="RT50">
        <v>99</v>
      </c>
      <c r="RU50">
        <v>97.9</v>
      </c>
      <c r="RV50">
        <v>97.6</v>
      </c>
      <c r="RW50">
        <v>101.8</v>
      </c>
      <c r="RX50">
        <v>99.2</v>
      </c>
      <c r="SA50">
        <v>95.2</v>
      </c>
      <c r="SB50">
        <v>87</v>
      </c>
      <c r="SC50">
        <v>90.9</v>
      </c>
      <c r="SF50">
        <v>92.2</v>
      </c>
      <c r="SG50">
        <v>92.3</v>
      </c>
      <c r="SH50">
        <v>96.4</v>
      </c>
      <c r="SI50">
        <v>94.8</v>
      </c>
      <c r="SJ50">
        <v>80.900000000000006</v>
      </c>
      <c r="SK50">
        <v>101</v>
      </c>
      <c r="SL50">
        <v>90.6</v>
      </c>
      <c r="SM50">
        <v>95.2</v>
      </c>
      <c r="SN50">
        <v>95.1</v>
      </c>
      <c r="SO50">
        <v>95.4</v>
      </c>
      <c r="SP50">
        <v>95.4</v>
      </c>
      <c r="SQ50">
        <v>94.7</v>
      </c>
      <c r="SR50">
        <v>95.2</v>
      </c>
      <c r="SS50">
        <v>94.9</v>
      </c>
      <c r="ST50">
        <v>94.2</v>
      </c>
      <c r="SU50">
        <v>95.8</v>
      </c>
      <c r="SV50">
        <v>95.6</v>
      </c>
      <c r="SX50">
        <v>93.8</v>
      </c>
      <c r="SY50">
        <v>94.1</v>
      </c>
      <c r="SZ50">
        <v>89.1</v>
      </c>
      <c r="TA50">
        <v>99.9</v>
      </c>
      <c r="TB50">
        <v>70.2</v>
      </c>
      <c r="TC50">
        <v>65.099999999999994</v>
      </c>
      <c r="TD50">
        <v>90.8</v>
      </c>
      <c r="TE50">
        <v>100.5</v>
      </c>
      <c r="TF50">
        <v>94.3</v>
      </c>
      <c r="TG50">
        <v>96.5</v>
      </c>
      <c r="TH50">
        <v>93.7</v>
      </c>
      <c r="TI50">
        <v>93.9</v>
      </c>
      <c r="TJ50">
        <v>90.3</v>
      </c>
      <c r="TK50">
        <v>82.7</v>
      </c>
      <c r="TL50">
        <v>79.900000000000006</v>
      </c>
      <c r="TN50">
        <v>102.5</v>
      </c>
      <c r="TO50">
        <v>114.5</v>
      </c>
      <c r="TP50">
        <v>89.7</v>
      </c>
      <c r="TQ50">
        <v>86.8</v>
      </c>
      <c r="TR50">
        <v>114.5</v>
      </c>
      <c r="TT50">
        <v>90</v>
      </c>
      <c r="TU50">
        <v>91.3</v>
      </c>
      <c r="TV50">
        <v>91.1</v>
      </c>
      <c r="TW50">
        <v>98.7</v>
      </c>
      <c r="TX50">
        <v>95.1</v>
      </c>
      <c r="TY50">
        <v>103.4</v>
      </c>
      <c r="TZ50">
        <v>95.4</v>
      </c>
      <c r="UA50">
        <v>87.3</v>
      </c>
      <c r="UC50">
        <v>121.8</v>
      </c>
      <c r="UD50">
        <v>92.5</v>
      </c>
      <c r="UE50">
        <v>108.2</v>
      </c>
      <c r="UF50">
        <v>79.400000000000006</v>
      </c>
      <c r="UG50">
        <v>95.2</v>
      </c>
      <c r="UH50">
        <v>93.5</v>
      </c>
      <c r="UI50">
        <v>118.2</v>
      </c>
      <c r="UJ50">
        <v>85.2</v>
      </c>
      <c r="UK50">
        <v>105</v>
      </c>
      <c r="UL50">
        <v>103.7</v>
      </c>
      <c r="UM50">
        <v>110.7</v>
      </c>
      <c r="UN50">
        <v>99.9</v>
      </c>
      <c r="UO50">
        <v>100.6</v>
      </c>
      <c r="UP50">
        <v>96.6</v>
      </c>
      <c r="UQ50">
        <v>5.9</v>
      </c>
      <c r="UR50">
        <v>93.7</v>
      </c>
      <c r="US50">
        <v>104.7</v>
      </c>
      <c r="UT50">
        <v>99.6</v>
      </c>
      <c r="UU50">
        <v>103.1</v>
      </c>
      <c r="UV50">
        <v>96.5</v>
      </c>
      <c r="UW50">
        <v>94.7</v>
      </c>
      <c r="UX50">
        <v>94.9</v>
      </c>
      <c r="UY50">
        <v>94.6</v>
      </c>
      <c r="UZ50">
        <v>91.1</v>
      </c>
      <c r="VA50">
        <v>93.3</v>
      </c>
      <c r="VB50">
        <v>92.1</v>
      </c>
      <c r="VC50">
        <v>87.8</v>
      </c>
      <c r="VD50">
        <v>92.1</v>
      </c>
      <c r="VE50">
        <v>93.7</v>
      </c>
      <c r="VF50">
        <v>105.2</v>
      </c>
      <c r="VG50">
        <v>119.1</v>
      </c>
      <c r="VH50">
        <v>90.3</v>
      </c>
      <c r="VI50">
        <v>104.1</v>
      </c>
      <c r="VK50">
        <v>71.7</v>
      </c>
      <c r="VL50">
        <v>73.8</v>
      </c>
      <c r="VM50">
        <v>92.5</v>
      </c>
      <c r="VN50">
        <v>89.8</v>
      </c>
      <c r="VO50">
        <v>89.3</v>
      </c>
      <c r="VP50">
        <v>86.9</v>
      </c>
      <c r="VQ50">
        <v>99.8</v>
      </c>
      <c r="VR50">
        <v>80.5</v>
      </c>
      <c r="VT50">
        <v>93.5</v>
      </c>
      <c r="VU50">
        <v>82.6</v>
      </c>
      <c r="VV50">
        <v>79.7</v>
      </c>
      <c r="VW50">
        <v>89.4</v>
      </c>
      <c r="VX50">
        <v>86.5</v>
      </c>
      <c r="VY50">
        <v>109.2</v>
      </c>
      <c r="VZ50">
        <v>97.4</v>
      </c>
      <c r="WB50">
        <v>94</v>
      </c>
      <c r="WC50">
        <v>127.8</v>
      </c>
      <c r="WD50">
        <v>97.3</v>
      </c>
      <c r="WE50">
        <v>96.3</v>
      </c>
      <c r="WF50">
        <v>82.4</v>
      </c>
      <c r="WG50">
        <v>99.5</v>
      </c>
      <c r="WH50">
        <v>86.9</v>
      </c>
      <c r="WI50">
        <v>87.5</v>
      </c>
      <c r="WJ50">
        <v>86.9</v>
      </c>
      <c r="WK50">
        <v>86.2</v>
      </c>
      <c r="WL50">
        <v>87.4</v>
      </c>
      <c r="WM50">
        <v>171.4</v>
      </c>
      <c r="WN50">
        <v>94.7</v>
      </c>
      <c r="WO50">
        <v>91.2</v>
      </c>
      <c r="WP50">
        <v>73.5</v>
      </c>
      <c r="WQ50">
        <v>93.1</v>
      </c>
      <c r="WT50">
        <v>88.3</v>
      </c>
      <c r="WU50">
        <v>96.6</v>
      </c>
      <c r="WV50">
        <v>95</v>
      </c>
      <c r="WW50">
        <v>81.900000000000006</v>
      </c>
      <c r="WX50">
        <v>90.9</v>
      </c>
      <c r="WY50">
        <v>92.2</v>
      </c>
      <c r="WZ50">
        <v>92</v>
      </c>
      <c r="XA50">
        <v>92.4</v>
      </c>
      <c r="XB50">
        <v>81</v>
      </c>
      <c r="XC50">
        <v>80.400000000000006</v>
      </c>
      <c r="XD50">
        <v>83.6</v>
      </c>
      <c r="XE50">
        <v>91.2</v>
      </c>
      <c r="XF50">
        <v>90.1</v>
      </c>
      <c r="XG50">
        <v>92.3</v>
      </c>
      <c r="XH50">
        <v>93.5</v>
      </c>
      <c r="XI50">
        <v>101.8</v>
      </c>
      <c r="XJ50">
        <v>101.8</v>
      </c>
      <c r="XK50">
        <v>83</v>
      </c>
      <c r="XL50">
        <v>83</v>
      </c>
      <c r="XM50">
        <v>90.7</v>
      </c>
      <c r="XN50">
        <v>84.3</v>
      </c>
      <c r="XO50">
        <v>94</v>
      </c>
      <c r="XP50">
        <v>94.3</v>
      </c>
      <c r="XQ50">
        <v>88.2</v>
      </c>
      <c r="XR50">
        <v>90</v>
      </c>
      <c r="XT50">
        <v>93.8</v>
      </c>
      <c r="XU50">
        <v>93.3</v>
      </c>
      <c r="XV50">
        <v>94.6</v>
      </c>
      <c r="XW50">
        <v>98</v>
      </c>
      <c r="XX50">
        <v>91.2</v>
      </c>
      <c r="XY50">
        <v>90.7</v>
      </c>
      <c r="XZ50">
        <v>92.3</v>
      </c>
      <c r="YA50">
        <v>98</v>
      </c>
      <c r="YB50">
        <v>92.1</v>
      </c>
      <c r="YC50">
        <v>81.3</v>
      </c>
      <c r="YD50">
        <v>92.5</v>
      </c>
      <c r="YE50">
        <v>96.2</v>
      </c>
      <c r="YF50">
        <v>99.9</v>
      </c>
      <c r="YG50">
        <v>90.3</v>
      </c>
      <c r="YH50">
        <v>97.3</v>
      </c>
      <c r="YI50">
        <v>92.9</v>
      </c>
      <c r="YJ50">
        <v>90.4</v>
      </c>
      <c r="YK50">
        <v>79.400000000000006</v>
      </c>
      <c r="YL50">
        <v>83.2</v>
      </c>
      <c r="YM50">
        <v>93.5</v>
      </c>
      <c r="YO50">
        <v>95.2</v>
      </c>
      <c r="YP50">
        <v>95.4</v>
      </c>
      <c r="YQ50">
        <v>89.6</v>
      </c>
      <c r="YR50">
        <v>94.1</v>
      </c>
      <c r="YS50">
        <v>89.2</v>
      </c>
      <c r="YT50">
        <v>97</v>
      </c>
      <c r="YU50">
        <v>94.4</v>
      </c>
      <c r="YV50">
        <v>93.7</v>
      </c>
      <c r="YW50">
        <v>96.4</v>
      </c>
      <c r="YX50">
        <v>93.1</v>
      </c>
      <c r="YY50">
        <v>93.2</v>
      </c>
      <c r="YZ50">
        <v>94.8</v>
      </c>
      <c r="ZA50">
        <v>95.9</v>
      </c>
      <c r="ZB50">
        <v>96</v>
      </c>
      <c r="ZC50">
        <v>105.6</v>
      </c>
      <c r="ZD50">
        <v>113</v>
      </c>
      <c r="ZE50">
        <v>99</v>
      </c>
      <c r="ZF50">
        <v>93.1</v>
      </c>
      <c r="ZG50">
        <v>98.1</v>
      </c>
      <c r="ZH50">
        <v>87.3</v>
      </c>
      <c r="ZI50">
        <v>102.5</v>
      </c>
      <c r="ZK50">
        <v>89.6</v>
      </c>
      <c r="ZL50">
        <v>90</v>
      </c>
      <c r="ZM50">
        <v>100.9</v>
      </c>
      <c r="ZN50">
        <v>96.5</v>
      </c>
      <c r="ZO50">
        <v>96.1</v>
      </c>
      <c r="ZP50">
        <v>98.2</v>
      </c>
      <c r="ZQ50">
        <v>95.5</v>
      </c>
      <c r="ZR50">
        <v>95.5</v>
      </c>
      <c r="ZT50">
        <v>94</v>
      </c>
      <c r="ZU50">
        <v>95.4</v>
      </c>
      <c r="ZV50">
        <v>88.8</v>
      </c>
      <c r="ZW50">
        <v>96.5</v>
      </c>
      <c r="ZX50">
        <v>119.4</v>
      </c>
      <c r="ZY50">
        <v>95.4</v>
      </c>
      <c r="ZZ50">
        <v>95.8</v>
      </c>
      <c r="AAA50">
        <v>98.6</v>
      </c>
      <c r="AAC50">
        <v>85.4</v>
      </c>
      <c r="AAD50">
        <v>82.6</v>
      </c>
      <c r="AAE50">
        <v>92.2</v>
      </c>
      <c r="AAF50">
        <v>76.2</v>
      </c>
      <c r="AAG50">
        <v>76.7</v>
      </c>
      <c r="AAH50">
        <v>93.7</v>
      </c>
      <c r="AAI50">
        <v>93.5</v>
      </c>
      <c r="AAJ50">
        <v>87.8</v>
      </c>
      <c r="AAK50">
        <v>96.9</v>
      </c>
      <c r="AAL50">
        <v>90.5</v>
      </c>
      <c r="AAM50">
        <v>88</v>
      </c>
      <c r="AAN50">
        <v>94.9</v>
      </c>
      <c r="AAO50">
        <v>82.5</v>
      </c>
      <c r="AAP50">
        <v>81.8</v>
      </c>
      <c r="AAQ50">
        <v>84</v>
      </c>
      <c r="AAR50">
        <v>108.2</v>
      </c>
      <c r="AAT50">
        <v>88.8</v>
      </c>
      <c r="AAU50">
        <v>249.5</v>
      </c>
      <c r="AAW50">
        <v>91.8</v>
      </c>
      <c r="AAX50">
        <v>96.6</v>
      </c>
      <c r="AAY50">
        <v>100</v>
      </c>
      <c r="AAZ50">
        <v>92.5</v>
      </c>
      <c r="ABB50">
        <v>82.7</v>
      </c>
      <c r="ABC50">
        <v>79.900000000000006</v>
      </c>
      <c r="ABD50">
        <v>88.4</v>
      </c>
      <c r="ABE50">
        <v>76.400000000000006</v>
      </c>
      <c r="ABF50">
        <v>95.8</v>
      </c>
      <c r="ABG50">
        <v>90</v>
      </c>
      <c r="ABH50">
        <v>94.2</v>
      </c>
      <c r="ABI50">
        <v>95.1</v>
      </c>
      <c r="ABJ50">
        <v>101.3</v>
      </c>
      <c r="ABK50">
        <v>94.8</v>
      </c>
      <c r="ABL50">
        <v>104.5</v>
      </c>
      <c r="ABM50">
        <v>95</v>
      </c>
      <c r="ABN50">
        <v>96.7</v>
      </c>
      <c r="ABO50">
        <v>100.8</v>
      </c>
      <c r="ABP50">
        <v>92.6</v>
      </c>
      <c r="ABQ50">
        <v>104.7</v>
      </c>
    </row>
    <row r="51" spans="1:748">
      <c r="A51">
        <v>2014</v>
      </c>
      <c r="B51">
        <v>98</v>
      </c>
      <c r="C51">
        <v>92.7</v>
      </c>
      <c r="D51">
        <v>95</v>
      </c>
      <c r="E51">
        <v>92.1</v>
      </c>
      <c r="F51">
        <v>93.5</v>
      </c>
      <c r="G51">
        <v>90.8</v>
      </c>
      <c r="H51">
        <v>95.9</v>
      </c>
      <c r="I51">
        <v>97.7</v>
      </c>
      <c r="J51">
        <v>93.4</v>
      </c>
      <c r="K51">
        <v>97.1</v>
      </c>
      <c r="L51">
        <v>95.5</v>
      </c>
      <c r="M51">
        <v>95.9</v>
      </c>
      <c r="N51">
        <v>97.7</v>
      </c>
      <c r="O51">
        <v>93.6</v>
      </c>
      <c r="P51">
        <v>92.4</v>
      </c>
      <c r="Q51">
        <v>98.8</v>
      </c>
      <c r="R51">
        <v>100</v>
      </c>
      <c r="S51">
        <v>89.1</v>
      </c>
      <c r="T51">
        <v>104.8</v>
      </c>
      <c r="V51">
        <v>87.9</v>
      </c>
      <c r="W51">
        <v>88.9</v>
      </c>
      <c r="X51">
        <v>93.9</v>
      </c>
      <c r="Y51">
        <v>102.2</v>
      </c>
      <c r="Z51">
        <v>106.5</v>
      </c>
      <c r="AA51">
        <v>98.1</v>
      </c>
      <c r="AB51">
        <v>89.5</v>
      </c>
      <c r="AC51">
        <v>97.8</v>
      </c>
      <c r="AD51">
        <v>63.1</v>
      </c>
      <c r="AE51">
        <v>89.8</v>
      </c>
      <c r="AF51">
        <v>96.3</v>
      </c>
      <c r="AG51">
        <v>60</v>
      </c>
      <c r="AH51">
        <v>81.099999999999994</v>
      </c>
      <c r="AI51">
        <v>103.2</v>
      </c>
      <c r="AJ51">
        <v>95.4</v>
      </c>
      <c r="AK51">
        <v>103.9</v>
      </c>
      <c r="AL51">
        <v>89.5</v>
      </c>
      <c r="AM51">
        <v>81.900000000000006</v>
      </c>
      <c r="AN51">
        <v>80</v>
      </c>
      <c r="AO51">
        <v>90.1</v>
      </c>
      <c r="AP51">
        <v>75.400000000000006</v>
      </c>
      <c r="AQ51">
        <v>87.7</v>
      </c>
      <c r="AR51">
        <v>91.5</v>
      </c>
      <c r="AS51">
        <v>69.2</v>
      </c>
      <c r="AT51">
        <v>74.2</v>
      </c>
      <c r="AU51">
        <v>93.1</v>
      </c>
      <c r="AV51">
        <v>92</v>
      </c>
      <c r="AW51">
        <v>93</v>
      </c>
      <c r="AX51">
        <v>93.9</v>
      </c>
      <c r="AY51">
        <v>88</v>
      </c>
      <c r="AZ51">
        <v>94.2</v>
      </c>
      <c r="BA51">
        <v>85.7</v>
      </c>
      <c r="BB51">
        <v>82.3</v>
      </c>
      <c r="BC51">
        <v>95.8</v>
      </c>
      <c r="BD51">
        <v>92.3</v>
      </c>
      <c r="BE51">
        <v>88.8</v>
      </c>
      <c r="BF51">
        <v>84.1</v>
      </c>
      <c r="BG51">
        <v>78.5</v>
      </c>
      <c r="BH51">
        <v>88</v>
      </c>
      <c r="BJ51">
        <v>96.2</v>
      </c>
      <c r="BK51">
        <v>107.9</v>
      </c>
      <c r="BL51">
        <v>107.4</v>
      </c>
      <c r="BM51">
        <v>109.7</v>
      </c>
      <c r="BN51">
        <v>104.4</v>
      </c>
      <c r="BP51">
        <v>93.5</v>
      </c>
      <c r="BQ51">
        <v>92.8</v>
      </c>
      <c r="BR51">
        <v>94.3</v>
      </c>
      <c r="BS51">
        <v>94.5</v>
      </c>
      <c r="BT51">
        <v>91.6</v>
      </c>
      <c r="BU51">
        <v>101</v>
      </c>
      <c r="BV51">
        <v>88.7</v>
      </c>
      <c r="BW51">
        <v>94.1</v>
      </c>
      <c r="BX51">
        <v>98.4</v>
      </c>
      <c r="BY51">
        <v>94.8</v>
      </c>
      <c r="BZ51">
        <v>96.4</v>
      </c>
      <c r="CA51">
        <v>96.4</v>
      </c>
      <c r="CB51">
        <v>90.7</v>
      </c>
      <c r="CC51">
        <v>90.7</v>
      </c>
      <c r="CD51">
        <v>89.5</v>
      </c>
      <c r="CE51">
        <v>91.3</v>
      </c>
      <c r="CF51">
        <v>80</v>
      </c>
      <c r="CG51">
        <v>80.3</v>
      </c>
      <c r="CH51">
        <v>104.5</v>
      </c>
      <c r="CI51">
        <v>103.6</v>
      </c>
      <c r="CJ51">
        <v>92.4</v>
      </c>
      <c r="CK51">
        <v>94.4</v>
      </c>
      <c r="CL51">
        <v>80.2</v>
      </c>
      <c r="CM51">
        <v>80.400000000000006</v>
      </c>
      <c r="CN51">
        <v>85.4</v>
      </c>
      <c r="CO51">
        <v>89.2</v>
      </c>
      <c r="CP51">
        <v>81.3</v>
      </c>
      <c r="CQ51">
        <v>95.9</v>
      </c>
      <c r="CR51">
        <v>105.4</v>
      </c>
      <c r="CS51">
        <v>91.3</v>
      </c>
      <c r="CT51">
        <v>98</v>
      </c>
      <c r="CU51">
        <v>89.6</v>
      </c>
      <c r="CV51">
        <v>88.1</v>
      </c>
      <c r="CW51">
        <v>87.9</v>
      </c>
      <c r="CX51">
        <v>89.2</v>
      </c>
      <c r="CY51">
        <v>89</v>
      </c>
      <c r="CZ51">
        <v>81</v>
      </c>
      <c r="DA51">
        <v>88.9</v>
      </c>
      <c r="DB51">
        <v>77.2</v>
      </c>
      <c r="DC51">
        <v>100.6</v>
      </c>
      <c r="DD51">
        <v>101.3</v>
      </c>
      <c r="DE51">
        <v>101.3</v>
      </c>
      <c r="DG51">
        <v>90.5</v>
      </c>
      <c r="DH51">
        <v>83.2</v>
      </c>
      <c r="DI51">
        <v>87.6</v>
      </c>
      <c r="DJ51">
        <v>83.8</v>
      </c>
      <c r="DK51">
        <v>83.1</v>
      </c>
      <c r="DL51">
        <v>88.7</v>
      </c>
      <c r="DM51">
        <v>74.599999999999994</v>
      </c>
      <c r="DN51">
        <v>97.6</v>
      </c>
      <c r="DO51">
        <v>97.3</v>
      </c>
      <c r="DP51">
        <v>98.1</v>
      </c>
      <c r="DQ51">
        <v>97.6</v>
      </c>
      <c r="DR51">
        <v>89.2</v>
      </c>
      <c r="DS51">
        <v>101.2</v>
      </c>
      <c r="DT51">
        <v>71.7</v>
      </c>
      <c r="DU51">
        <v>85.9</v>
      </c>
      <c r="DV51">
        <v>87.4</v>
      </c>
      <c r="DW51">
        <v>98.7</v>
      </c>
      <c r="DX51">
        <v>95.4</v>
      </c>
      <c r="DY51">
        <v>102</v>
      </c>
      <c r="DZ51">
        <v>80.400000000000006</v>
      </c>
      <c r="EA51">
        <v>80.099999999999994</v>
      </c>
      <c r="EB51">
        <v>81.3</v>
      </c>
      <c r="EC51">
        <v>80.400000000000006</v>
      </c>
      <c r="ED51">
        <v>92.7</v>
      </c>
      <c r="EF51">
        <v>59</v>
      </c>
      <c r="EG51">
        <v>76.900000000000006</v>
      </c>
      <c r="EH51">
        <v>65.7</v>
      </c>
      <c r="EI51">
        <v>80.8</v>
      </c>
      <c r="EJ51">
        <v>71.400000000000006</v>
      </c>
      <c r="EK51">
        <v>79.3</v>
      </c>
      <c r="EL51">
        <v>89.6</v>
      </c>
      <c r="EM51">
        <v>83.1</v>
      </c>
      <c r="EN51">
        <v>85</v>
      </c>
      <c r="EO51">
        <v>88.6</v>
      </c>
      <c r="EP51">
        <v>89.9</v>
      </c>
      <c r="ER51">
        <v>85.1</v>
      </c>
      <c r="ET51">
        <v>99.3</v>
      </c>
      <c r="EU51">
        <v>109.6</v>
      </c>
      <c r="EV51">
        <v>111</v>
      </c>
      <c r="EW51">
        <v>103.7</v>
      </c>
      <c r="EX51">
        <v>98.1</v>
      </c>
      <c r="EY51">
        <v>93.4</v>
      </c>
      <c r="EZ51">
        <v>101.2</v>
      </c>
      <c r="FA51">
        <v>98.7</v>
      </c>
      <c r="FB51">
        <v>100.6</v>
      </c>
      <c r="FC51">
        <v>104.5</v>
      </c>
      <c r="FD51">
        <v>96.3</v>
      </c>
      <c r="FE51">
        <v>98.3</v>
      </c>
      <c r="FF51">
        <v>109</v>
      </c>
      <c r="FG51">
        <v>103.1</v>
      </c>
      <c r="FH51">
        <v>92.3</v>
      </c>
      <c r="FI51">
        <v>94.3</v>
      </c>
      <c r="FJ51">
        <v>96.7</v>
      </c>
      <c r="FK51">
        <v>97.9</v>
      </c>
      <c r="FL51">
        <v>93.1</v>
      </c>
      <c r="FM51">
        <v>83.3</v>
      </c>
      <c r="FO51">
        <v>101.8</v>
      </c>
      <c r="FP51">
        <v>90.6</v>
      </c>
      <c r="FQ51">
        <v>90.4</v>
      </c>
      <c r="FR51">
        <v>94.3</v>
      </c>
      <c r="FS51">
        <v>87.4</v>
      </c>
      <c r="FT51">
        <v>87.5</v>
      </c>
      <c r="FU51">
        <v>97.3</v>
      </c>
      <c r="FV51">
        <v>82.4</v>
      </c>
      <c r="FW51">
        <v>91.3</v>
      </c>
      <c r="FX51">
        <v>88.7</v>
      </c>
      <c r="FY51">
        <v>90</v>
      </c>
      <c r="GA51">
        <v>100.1</v>
      </c>
      <c r="GB51">
        <v>86.1</v>
      </c>
      <c r="GC51">
        <v>99.8</v>
      </c>
      <c r="GD51">
        <v>99.5</v>
      </c>
      <c r="GE51">
        <v>85.8</v>
      </c>
      <c r="GF51">
        <v>90.5</v>
      </c>
      <c r="GG51">
        <v>89</v>
      </c>
      <c r="GH51">
        <v>100.3</v>
      </c>
      <c r="GI51">
        <v>94.4</v>
      </c>
      <c r="GJ51">
        <v>93.3</v>
      </c>
      <c r="GK51">
        <v>90.7</v>
      </c>
      <c r="GM51">
        <v>89.4</v>
      </c>
      <c r="GO51">
        <v>90</v>
      </c>
      <c r="GP51">
        <v>92</v>
      </c>
      <c r="GQ51">
        <v>104.8</v>
      </c>
      <c r="GR51">
        <v>96.1</v>
      </c>
      <c r="GU51">
        <v>95.3</v>
      </c>
      <c r="GV51">
        <v>96.4</v>
      </c>
      <c r="GW51">
        <v>92</v>
      </c>
      <c r="GX51">
        <v>92.2</v>
      </c>
      <c r="GY51">
        <v>97.1</v>
      </c>
      <c r="GZ51">
        <v>92.3</v>
      </c>
      <c r="HA51">
        <v>103</v>
      </c>
      <c r="HB51">
        <v>91.3</v>
      </c>
      <c r="HD51">
        <v>115.1</v>
      </c>
      <c r="HE51">
        <v>102.2</v>
      </c>
      <c r="HG51">
        <v>94.7</v>
      </c>
      <c r="HH51">
        <v>94.1</v>
      </c>
      <c r="HI51">
        <v>90.6</v>
      </c>
      <c r="HJ51">
        <v>76.2</v>
      </c>
      <c r="HK51">
        <v>93.1</v>
      </c>
      <c r="HO51">
        <v>99.1</v>
      </c>
      <c r="HP51">
        <v>104.7</v>
      </c>
      <c r="HQ51">
        <v>101.6</v>
      </c>
      <c r="HR51">
        <v>97.4</v>
      </c>
      <c r="HS51">
        <v>108.6</v>
      </c>
      <c r="HT51">
        <v>98.3</v>
      </c>
      <c r="HU51">
        <v>84.7</v>
      </c>
      <c r="HV51">
        <v>98.8</v>
      </c>
      <c r="HW51">
        <v>108.8</v>
      </c>
      <c r="HY51">
        <v>97.1</v>
      </c>
      <c r="HZ51">
        <v>90.3</v>
      </c>
      <c r="IA51">
        <v>97.3</v>
      </c>
      <c r="IB51">
        <v>101.3</v>
      </c>
      <c r="IC51">
        <v>104.5</v>
      </c>
      <c r="IE51">
        <v>88.4</v>
      </c>
      <c r="IF51">
        <v>94.6</v>
      </c>
      <c r="IH51">
        <v>102.2</v>
      </c>
      <c r="IJ51">
        <v>97.4</v>
      </c>
      <c r="IK51">
        <v>104.2</v>
      </c>
      <c r="IL51">
        <v>98.9</v>
      </c>
      <c r="IM51">
        <v>96.6</v>
      </c>
      <c r="IN51">
        <v>94.4</v>
      </c>
      <c r="IO51">
        <v>84.7</v>
      </c>
      <c r="IP51">
        <v>100.3</v>
      </c>
      <c r="IQ51">
        <v>101.7</v>
      </c>
      <c r="IR51">
        <v>104.4</v>
      </c>
      <c r="IS51">
        <v>92.8</v>
      </c>
      <c r="IT51">
        <v>93.5</v>
      </c>
      <c r="IU51">
        <v>93</v>
      </c>
      <c r="IV51">
        <v>94</v>
      </c>
      <c r="IX51">
        <v>93.8</v>
      </c>
      <c r="IY51">
        <v>94.6</v>
      </c>
      <c r="IZ51">
        <v>91.1</v>
      </c>
      <c r="JA51">
        <v>93.4</v>
      </c>
      <c r="JB51">
        <v>95.5</v>
      </c>
      <c r="JC51">
        <v>94.7</v>
      </c>
      <c r="JD51">
        <v>87.4</v>
      </c>
      <c r="JE51">
        <v>94.5</v>
      </c>
      <c r="JG51">
        <v>95.3</v>
      </c>
      <c r="JH51">
        <v>94.9</v>
      </c>
      <c r="JI51">
        <v>95.4</v>
      </c>
      <c r="JJ51">
        <v>89.8</v>
      </c>
      <c r="JK51">
        <v>86.5</v>
      </c>
      <c r="JL51">
        <v>93.9</v>
      </c>
      <c r="JM51">
        <v>106.8</v>
      </c>
      <c r="JN51">
        <v>106.6</v>
      </c>
      <c r="JO51">
        <v>94.5</v>
      </c>
      <c r="JQ51">
        <v>93.4</v>
      </c>
      <c r="JS51">
        <v>101.1</v>
      </c>
      <c r="JT51">
        <v>100.8</v>
      </c>
      <c r="JU51">
        <v>101.6</v>
      </c>
      <c r="JV51">
        <v>99.6</v>
      </c>
      <c r="JW51">
        <v>100.9</v>
      </c>
      <c r="JX51">
        <v>101.1</v>
      </c>
      <c r="JY51">
        <v>101.1</v>
      </c>
      <c r="JZ51">
        <v>98.5</v>
      </c>
      <c r="KA51">
        <v>98.6</v>
      </c>
      <c r="KB51">
        <v>98.6</v>
      </c>
      <c r="KC51">
        <v>100.9</v>
      </c>
      <c r="KD51">
        <v>100.9</v>
      </c>
      <c r="KE51">
        <v>92.4</v>
      </c>
      <c r="KF51">
        <v>98.5</v>
      </c>
      <c r="KG51">
        <v>95.4</v>
      </c>
      <c r="KH51">
        <v>117.7</v>
      </c>
      <c r="KI51">
        <v>106.8</v>
      </c>
      <c r="KJ51">
        <v>91.1</v>
      </c>
      <c r="KL51">
        <v>85.3</v>
      </c>
      <c r="KM51">
        <v>90.3</v>
      </c>
      <c r="KN51">
        <v>92.4</v>
      </c>
      <c r="KO51">
        <v>85.6</v>
      </c>
      <c r="KP51">
        <v>89.1</v>
      </c>
      <c r="KS51">
        <v>94</v>
      </c>
      <c r="KT51">
        <v>90.5</v>
      </c>
      <c r="KU51">
        <v>95.2</v>
      </c>
      <c r="KX51">
        <v>87.4</v>
      </c>
      <c r="KY51">
        <v>104.8</v>
      </c>
      <c r="KZ51">
        <v>103.9</v>
      </c>
      <c r="LA51">
        <v>103.9</v>
      </c>
      <c r="LB51">
        <v>110</v>
      </c>
      <c r="LC51">
        <v>117.4</v>
      </c>
      <c r="LD51">
        <v>99.5</v>
      </c>
      <c r="LE51">
        <v>119.8</v>
      </c>
      <c r="LF51">
        <v>119.8</v>
      </c>
      <c r="LG51">
        <v>96.6</v>
      </c>
      <c r="LH51">
        <v>97.8</v>
      </c>
      <c r="LI51">
        <v>95.2</v>
      </c>
      <c r="LJ51">
        <v>96.6</v>
      </c>
      <c r="LK51">
        <v>98.8</v>
      </c>
      <c r="LL51">
        <v>106.6</v>
      </c>
      <c r="LM51">
        <v>109.7</v>
      </c>
      <c r="LN51">
        <v>88.1</v>
      </c>
      <c r="LO51">
        <v>93.3</v>
      </c>
      <c r="LP51">
        <v>116</v>
      </c>
      <c r="LQ51">
        <v>120.2</v>
      </c>
      <c r="LR51">
        <v>99.4</v>
      </c>
      <c r="LS51">
        <v>133.6</v>
      </c>
      <c r="LT51">
        <v>91.9</v>
      </c>
      <c r="LU51">
        <v>92</v>
      </c>
      <c r="LV51">
        <v>92.1</v>
      </c>
      <c r="LX51">
        <v>93</v>
      </c>
      <c r="LY51">
        <v>92.4</v>
      </c>
      <c r="MA51">
        <v>96.9</v>
      </c>
      <c r="MB51">
        <v>105.5</v>
      </c>
      <c r="MC51">
        <v>150.5</v>
      </c>
      <c r="MD51">
        <v>102.6</v>
      </c>
      <c r="ME51">
        <v>87.2</v>
      </c>
      <c r="MG51">
        <v>92.7</v>
      </c>
      <c r="MH51">
        <v>88.7</v>
      </c>
      <c r="MI51">
        <v>91.3</v>
      </c>
      <c r="MJ51">
        <v>93.1</v>
      </c>
      <c r="MK51">
        <v>102.4</v>
      </c>
      <c r="MM51">
        <v>90.7</v>
      </c>
      <c r="MN51">
        <v>94</v>
      </c>
      <c r="MO51">
        <v>93.3</v>
      </c>
      <c r="MP51">
        <v>94.1</v>
      </c>
      <c r="MQ51">
        <v>86.7</v>
      </c>
      <c r="MS51">
        <v>90.9</v>
      </c>
      <c r="MT51">
        <v>91.8</v>
      </c>
      <c r="MU51">
        <v>93.7</v>
      </c>
      <c r="MV51">
        <v>92.5</v>
      </c>
      <c r="MW51">
        <v>88.3</v>
      </c>
      <c r="MX51">
        <v>89.5</v>
      </c>
      <c r="MY51">
        <v>98.6</v>
      </c>
      <c r="NB51">
        <v>97.8</v>
      </c>
      <c r="NC51">
        <v>88.1</v>
      </c>
      <c r="ND51">
        <v>89.8</v>
      </c>
      <c r="NE51">
        <v>87</v>
      </c>
      <c r="NF51">
        <v>105.9</v>
      </c>
      <c r="NG51">
        <v>114.7</v>
      </c>
      <c r="NH51">
        <v>100.8</v>
      </c>
      <c r="NI51">
        <v>98.1</v>
      </c>
      <c r="NJ51">
        <v>96.4</v>
      </c>
      <c r="NK51">
        <v>86.2</v>
      </c>
      <c r="NL51">
        <v>100.3</v>
      </c>
      <c r="NM51">
        <v>107.1</v>
      </c>
      <c r="NN51">
        <v>102.7</v>
      </c>
      <c r="NO51">
        <v>98.6</v>
      </c>
      <c r="NQ51">
        <v>97.1</v>
      </c>
      <c r="NR51">
        <v>92.4</v>
      </c>
      <c r="NS51">
        <v>92.4</v>
      </c>
      <c r="NT51">
        <v>98.2</v>
      </c>
      <c r="NU51">
        <v>105</v>
      </c>
      <c r="NW51">
        <v>98.2</v>
      </c>
      <c r="NX51">
        <v>98.2</v>
      </c>
      <c r="NY51">
        <v>95.1</v>
      </c>
      <c r="NZ51">
        <v>96.5</v>
      </c>
      <c r="OA51">
        <v>98</v>
      </c>
      <c r="OB51">
        <v>99.1</v>
      </c>
      <c r="OC51">
        <v>95.8</v>
      </c>
      <c r="OD51">
        <v>96.5</v>
      </c>
      <c r="OE51">
        <v>92.8</v>
      </c>
      <c r="OF51">
        <v>89.5</v>
      </c>
      <c r="OG51">
        <v>99.2</v>
      </c>
      <c r="OH51">
        <v>91.2</v>
      </c>
      <c r="OI51">
        <v>93.8</v>
      </c>
      <c r="OJ51">
        <v>89.1</v>
      </c>
      <c r="OK51">
        <v>97.4</v>
      </c>
      <c r="OL51">
        <v>87.2</v>
      </c>
      <c r="OM51">
        <v>95.1</v>
      </c>
      <c r="ON51">
        <v>100.1</v>
      </c>
      <c r="OO51">
        <v>89.7</v>
      </c>
      <c r="OP51">
        <v>93.7</v>
      </c>
      <c r="OQ51">
        <v>101.8</v>
      </c>
      <c r="OR51">
        <v>95.3</v>
      </c>
      <c r="OS51">
        <v>88.9</v>
      </c>
      <c r="OT51">
        <v>88.7</v>
      </c>
      <c r="OU51">
        <v>94.2</v>
      </c>
      <c r="OV51">
        <v>91.5</v>
      </c>
      <c r="OW51">
        <v>87.4</v>
      </c>
      <c r="OX51">
        <v>95.6</v>
      </c>
      <c r="OY51">
        <v>89</v>
      </c>
      <c r="OZ51">
        <v>87.5</v>
      </c>
      <c r="PA51">
        <v>111.3</v>
      </c>
      <c r="PB51">
        <v>92</v>
      </c>
      <c r="PC51">
        <v>87.8</v>
      </c>
      <c r="PD51">
        <v>125</v>
      </c>
      <c r="PG51">
        <v>103.1</v>
      </c>
      <c r="PH51">
        <v>95.9</v>
      </c>
      <c r="PI51">
        <v>97.2</v>
      </c>
      <c r="PJ51">
        <v>98.3</v>
      </c>
      <c r="PK51">
        <v>99.1</v>
      </c>
      <c r="PL51">
        <v>97.7</v>
      </c>
      <c r="PM51">
        <v>100.5</v>
      </c>
      <c r="PN51">
        <v>95.6</v>
      </c>
      <c r="PO51">
        <v>96.7</v>
      </c>
      <c r="PP51">
        <v>98.9</v>
      </c>
      <c r="PQ51">
        <v>100.2</v>
      </c>
      <c r="PR51">
        <v>99.3</v>
      </c>
      <c r="PS51">
        <v>95.3</v>
      </c>
      <c r="PT51">
        <v>93.8</v>
      </c>
      <c r="PU51">
        <v>100</v>
      </c>
      <c r="PV51">
        <v>96.1</v>
      </c>
      <c r="PW51">
        <v>93.6</v>
      </c>
      <c r="PX51">
        <v>98.6</v>
      </c>
      <c r="PY51">
        <v>93</v>
      </c>
      <c r="PZ51">
        <v>91.7</v>
      </c>
      <c r="QA51">
        <v>94</v>
      </c>
      <c r="QB51">
        <v>88.8</v>
      </c>
      <c r="QC51">
        <v>93.1</v>
      </c>
      <c r="QD51">
        <v>94.7</v>
      </c>
      <c r="QE51">
        <v>95.5</v>
      </c>
      <c r="QF51">
        <v>89.5</v>
      </c>
      <c r="QG51">
        <v>100.3</v>
      </c>
      <c r="QH51">
        <v>88.8</v>
      </c>
      <c r="QI51">
        <v>88.8</v>
      </c>
      <c r="QJ51">
        <v>89.5</v>
      </c>
      <c r="QK51">
        <v>92</v>
      </c>
      <c r="QL51">
        <v>91.3</v>
      </c>
      <c r="QM51">
        <v>94</v>
      </c>
      <c r="QN51">
        <v>82.5</v>
      </c>
      <c r="QO51">
        <v>87.6</v>
      </c>
      <c r="QP51">
        <v>95.3</v>
      </c>
      <c r="QQ51">
        <v>97.5</v>
      </c>
      <c r="QR51">
        <v>99.1</v>
      </c>
      <c r="QS51">
        <v>110.7</v>
      </c>
      <c r="QT51">
        <v>91.9</v>
      </c>
      <c r="QU51">
        <v>96.3</v>
      </c>
      <c r="QV51">
        <v>96.6</v>
      </c>
      <c r="QW51">
        <v>97.5</v>
      </c>
      <c r="QX51">
        <v>98.4</v>
      </c>
      <c r="QY51">
        <v>91.9</v>
      </c>
      <c r="QZ51">
        <v>92</v>
      </c>
      <c r="RA51">
        <v>90.6</v>
      </c>
      <c r="RB51">
        <v>91</v>
      </c>
      <c r="RC51">
        <v>95.3</v>
      </c>
      <c r="RD51">
        <v>95.4</v>
      </c>
      <c r="RE51">
        <v>99.1</v>
      </c>
      <c r="RF51">
        <v>99.5</v>
      </c>
      <c r="RG51">
        <v>104.6</v>
      </c>
      <c r="RH51">
        <v>102.4</v>
      </c>
      <c r="RI51">
        <v>97</v>
      </c>
      <c r="RJ51">
        <v>99.7</v>
      </c>
      <c r="RK51">
        <v>97.9</v>
      </c>
      <c r="RL51">
        <v>101.5</v>
      </c>
      <c r="RM51">
        <v>97.6</v>
      </c>
      <c r="RN51">
        <v>102.6</v>
      </c>
      <c r="RO51">
        <v>96.4</v>
      </c>
      <c r="RP51">
        <v>97.8</v>
      </c>
      <c r="RQ51">
        <v>98.6</v>
      </c>
      <c r="RS51">
        <v>97.1</v>
      </c>
      <c r="RT51">
        <v>102.2</v>
      </c>
      <c r="RU51">
        <v>97.3</v>
      </c>
      <c r="RV51">
        <v>100.2</v>
      </c>
      <c r="RW51">
        <v>104.7</v>
      </c>
      <c r="RX51">
        <v>99.5</v>
      </c>
      <c r="SA51">
        <v>97.4</v>
      </c>
      <c r="SB51">
        <v>89</v>
      </c>
      <c r="SC51">
        <v>89.9</v>
      </c>
      <c r="SF51">
        <v>93.1</v>
      </c>
      <c r="SG51">
        <v>93.1</v>
      </c>
      <c r="SH51">
        <v>97.4</v>
      </c>
      <c r="SI51">
        <v>97.9</v>
      </c>
      <c r="SJ51">
        <v>81.900000000000006</v>
      </c>
      <c r="SK51">
        <v>103.3</v>
      </c>
      <c r="SL51">
        <v>97</v>
      </c>
      <c r="SM51">
        <v>97.9</v>
      </c>
      <c r="SN51">
        <v>97.7</v>
      </c>
      <c r="SO51">
        <v>98</v>
      </c>
      <c r="SP51">
        <v>98.2</v>
      </c>
      <c r="SQ51">
        <v>97.3</v>
      </c>
      <c r="SR51">
        <v>97.9</v>
      </c>
      <c r="SS51">
        <v>97.2</v>
      </c>
      <c r="ST51">
        <v>96.5</v>
      </c>
      <c r="SU51">
        <v>98.2</v>
      </c>
      <c r="SV51">
        <v>98</v>
      </c>
      <c r="SX51">
        <v>97</v>
      </c>
      <c r="SY51">
        <v>96.7</v>
      </c>
      <c r="SZ51">
        <v>92</v>
      </c>
      <c r="TA51">
        <v>102</v>
      </c>
      <c r="TB51">
        <v>94.9</v>
      </c>
      <c r="TC51">
        <v>95.6</v>
      </c>
      <c r="TD51">
        <v>93.3</v>
      </c>
      <c r="TE51">
        <v>102.1</v>
      </c>
      <c r="TF51">
        <v>96.7</v>
      </c>
      <c r="TG51">
        <v>98.7</v>
      </c>
      <c r="TH51">
        <v>96.5</v>
      </c>
      <c r="TI51">
        <v>96.2</v>
      </c>
      <c r="TJ51">
        <v>92.8</v>
      </c>
      <c r="TK51">
        <v>87.6</v>
      </c>
      <c r="TL51">
        <v>84.6</v>
      </c>
      <c r="TN51">
        <v>103.9</v>
      </c>
      <c r="TO51">
        <v>115.3</v>
      </c>
      <c r="TP51">
        <v>91.6</v>
      </c>
      <c r="TQ51">
        <v>89.1</v>
      </c>
      <c r="TR51">
        <v>111.1</v>
      </c>
      <c r="TT51">
        <v>93.5</v>
      </c>
      <c r="TU51">
        <v>94.8</v>
      </c>
      <c r="TV51">
        <v>94.9</v>
      </c>
      <c r="TW51">
        <v>98.9</v>
      </c>
      <c r="TX51">
        <v>95.6</v>
      </c>
      <c r="TY51">
        <v>103.4</v>
      </c>
      <c r="TZ51">
        <v>98.1</v>
      </c>
      <c r="UA51">
        <v>92.1</v>
      </c>
      <c r="UC51">
        <v>121.8</v>
      </c>
      <c r="UD51">
        <v>94.4</v>
      </c>
      <c r="UE51">
        <v>109.5</v>
      </c>
      <c r="UF51">
        <v>82.5</v>
      </c>
      <c r="UG51">
        <v>97.6</v>
      </c>
      <c r="UH51">
        <v>96.1</v>
      </c>
      <c r="UI51">
        <v>118.2</v>
      </c>
      <c r="UJ51">
        <v>87.5</v>
      </c>
      <c r="UK51">
        <v>107.9</v>
      </c>
      <c r="UL51">
        <v>106.1</v>
      </c>
      <c r="UM51">
        <v>112.6</v>
      </c>
      <c r="UN51">
        <v>100.7</v>
      </c>
      <c r="UO51">
        <v>100.9</v>
      </c>
      <c r="UP51">
        <v>97.6</v>
      </c>
      <c r="UQ51">
        <v>37.299999999999997</v>
      </c>
      <c r="UR51">
        <v>97.6</v>
      </c>
      <c r="US51">
        <v>104.7</v>
      </c>
      <c r="UT51">
        <v>100</v>
      </c>
      <c r="UU51">
        <v>103</v>
      </c>
      <c r="UV51">
        <v>97.6</v>
      </c>
      <c r="UW51">
        <v>96.3</v>
      </c>
      <c r="UX51">
        <v>95.3</v>
      </c>
      <c r="UY51">
        <v>97.3</v>
      </c>
      <c r="UZ51">
        <v>94.3</v>
      </c>
      <c r="VA51">
        <v>96.4</v>
      </c>
      <c r="VB51">
        <v>96.2</v>
      </c>
      <c r="VC51">
        <v>89.8</v>
      </c>
      <c r="VD51">
        <v>95.9</v>
      </c>
      <c r="VE51">
        <v>97.3</v>
      </c>
      <c r="VF51">
        <v>110.3</v>
      </c>
      <c r="VG51">
        <v>113.3</v>
      </c>
      <c r="VH51">
        <v>93.1</v>
      </c>
      <c r="VI51">
        <v>109.1</v>
      </c>
      <c r="VK51">
        <v>72.3</v>
      </c>
      <c r="VL51">
        <v>79.2</v>
      </c>
      <c r="VM51">
        <v>95.2</v>
      </c>
      <c r="VN51">
        <v>91.9</v>
      </c>
      <c r="VO51">
        <v>94.9</v>
      </c>
      <c r="VP51">
        <v>89.1</v>
      </c>
      <c r="VQ51">
        <v>102.2</v>
      </c>
      <c r="VR51">
        <v>82.5</v>
      </c>
      <c r="VT51">
        <v>97</v>
      </c>
      <c r="VU51">
        <v>89.5</v>
      </c>
      <c r="VV51">
        <v>83.2</v>
      </c>
      <c r="VW51">
        <v>91.5</v>
      </c>
      <c r="VX51">
        <v>92.9</v>
      </c>
      <c r="VY51">
        <v>112.7</v>
      </c>
      <c r="VZ51">
        <v>97.9</v>
      </c>
      <c r="WB51">
        <v>102.3</v>
      </c>
      <c r="WC51">
        <v>131.19999999999999</v>
      </c>
      <c r="WD51">
        <v>99.6</v>
      </c>
      <c r="WE51">
        <v>100.1</v>
      </c>
      <c r="WF51">
        <v>103.3</v>
      </c>
      <c r="WG51">
        <v>101.9</v>
      </c>
      <c r="WH51">
        <v>91.4</v>
      </c>
      <c r="WI51">
        <v>92.3</v>
      </c>
      <c r="WJ51">
        <v>91.1</v>
      </c>
      <c r="WK51">
        <v>91</v>
      </c>
      <c r="WL51">
        <v>94.7</v>
      </c>
      <c r="WM51">
        <v>165.6</v>
      </c>
      <c r="WN51">
        <v>99.5</v>
      </c>
      <c r="WO51">
        <v>94.3</v>
      </c>
      <c r="WP51">
        <v>88</v>
      </c>
      <c r="WQ51">
        <v>108.1</v>
      </c>
      <c r="WT51">
        <v>92.1</v>
      </c>
      <c r="WU51">
        <v>100.2</v>
      </c>
      <c r="WV51">
        <v>97.3</v>
      </c>
      <c r="WW51">
        <v>84.1</v>
      </c>
      <c r="WX51">
        <v>93.7</v>
      </c>
      <c r="WY51">
        <v>94.9</v>
      </c>
      <c r="WZ51">
        <v>94.5</v>
      </c>
      <c r="XA51">
        <v>95.1</v>
      </c>
      <c r="XB51">
        <v>83.3</v>
      </c>
      <c r="XC51">
        <v>82.5</v>
      </c>
      <c r="XD51">
        <v>86.9</v>
      </c>
      <c r="XE51">
        <v>94.8</v>
      </c>
      <c r="XF51">
        <v>93.2</v>
      </c>
      <c r="XG51">
        <v>96.2</v>
      </c>
      <c r="XH51">
        <v>96.9</v>
      </c>
      <c r="XI51">
        <v>109.1</v>
      </c>
      <c r="XJ51">
        <v>109.1</v>
      </c>
      <c r="XK51">
        <v>86.9</v>
      </c>
      <c r="XL51">
        <v>86.9</v>
      </c>
      <c r="XM51">
        <v>93.9</v>
      </c>
      <c r="XN51">
        <v>89.4</v>
      </c>
      <c r="XO51">
        <v>95.5</v>
      </c>
      <c r="XP51">
        <v>97.1</v>
      </c>
      <c r="XQ51">
        <v>91.9</v>
      </c>
      <c r="XR51">
        <v>93.4</v>
      </c>
      <c r="XT51">
        <v>96.8</v>
      </c>
      <c r="XU51">
        <v>95.7</v>
      </c>
      <c r="XV51">
        <v>98.1</v>
      </c>
      <c r="XW51">
        <v>100.7</v>
      </c>
      <c r="XX51">
        <v>95.8</v>
      </c>
      <c r="XY51">
        <v>93.3</v>
      </c>
      <c r="XZ51">
        <v>93.7</v>
      </c>
      <c r="YA51">
        <v>98</v>
      </c>
      <c r="YB51">
        <v>92.1</v>
      </c>
      <c r="YC51">
        <v>85.3</v>
      </c>
      <c r="YD51">
        <v>96.4</v>
      </c>
      <c r="YE51">
        <v>97.5</v>
      </c>
      <c r="YF51">
        <v>99.2</v>
      </c>
      <c r="YG51">
        <v>94</v>
      </c>
      <c r="YH51">
        <v>98.2</v>
      </c>
      <c r="YI51">
        <v>96</v>
      </c>
      <c r="YJ51">
        <v>91.8</v>
      </c>
      <c r="YK51">
        <v>82.5</v>
      </c>
      <c r="YL51">
        <v>89.5</v>
      </c>
      <c r="YM51">
        <v>96.3</v>
      </c>
      <c r="YO51">
        <v>98.1</v>
      </c>
      <c r="YP51">
        <v>98.2</v>
      </c>
      <c r="YQ51">
        <v>87.4</v>
      </c>
      <c r="YR51">
        <v>97.1</v>
      </c>
      <c r="YS51">
        <v>93</v>
      </c>
      <c r="YT51">
        <v>100.2</v>
      </c>
      <c r="YU51">
        <v>96.6</v>
      </c>
      <c r="YV51">
        <v>96.4</v>
      </c>
      <c r="YW51">
        <v>97.8</v>
      </c>
      <c r="YX51">
        <v>96.2</v>
      </c>
      <c r="YY51">
        <v>96</v>
      </c>
      <c r="YZ51">
        <v>97.1</v>
      </c>
      <c r="ZA51">
        <v>96</v>
      </c>
      <c r="ZB51">
        <v>97.9</v>
      </c>
      <c r="ZC51">
        <v>106.6</v>
      </c>
      <c r="ZD51">
        <v>113.2</v>
      </c>
      <c r="ZE51">
        <v>100.7</v>
      </c>
      <c r="ZF51">
        <v>93</v>
      </c>
      <c r="ZG51">
        <v>100.5</v>
      </c>
      <c r="ZH51">
        <v>88.2</v>
      </c>
      <c r="ZI51">
        <v>103.7</v>
      </c>
      <c r="ZK51">
        <v>88</v>
      </c>
      <c r="ZL51">
        <v>88.3</v>
      </c>
      <c r="ZM51">
        <v>102.2</v>
      </c>
      <c r="ZN51">
        <v>99.3</v>
      </c>
      <c r="ZO51">
        <v>98.7</v>
      </c>
      <c r="ZP51">
        <v>101.1</v>
      </c>
      <c r="ZQ51">
        <v>98.2</v>
      </c>
      <c r="ZR51">
        <v>98.4</v>
      </c>
      <c r="ZT51">
        <v>96.9</v>
      </c>
      <c r="ZU51">
        <v>98.2</v>
      </c>
      <c r="ZV51">
        <v>91.9</v>
      </c>
      <c r="ZW51">
        <v>99.2</v>
      </c>
      <c r="ZX51">
        <v>122.9</v>
      </c>
      <c r="ZY51">
        <v>98.2</v>
      </c>
      <c r="ZZ51">
        <v>98.5</v>
      </c>
      <c r="AAA51">
        <v>101.6</v>
      </c>
      <c r="AAC51">
        <v>91.4</v>
      </c>
      <c r="AAD51">
        <v>89.8</v>
      </c>
      <c r="AAE51">
        <v>95.3</v>
      </c>
      <c r="AAF51">
        <v>87.5</v>
      </c>
      <c r="AAG51">
        <v>80.400000000000006</v>
      </c>
      <c r="AAH51">
        <v>97.4</v>
      </c>
      <c r="AAI51">
        <v>95.9</v>
      </c>
      <c r="AAJ51">
        <v>92.3</v>
      </c>
      <c r="AAK51">
        <v>97.5</v>
      </c>
      <c r="AAL51">
        <v>93.6</v>
      </c>
      <c r="AAM51">
        <v>91</v>
      </c>
      <c r="AAN51">
        <v>98</v>
      </c>
      <c r="AAO51">
        <v>86</v>
      </c>
      <c r="AAP51">
        <v>85.4</v>
      </c>
      <c r="AAQ51">
        <v>87.3</v>
      </c>
      <c r="AAR51">
        <v>111.8</v>
      </c>
      <c r="AAT51">
        <v>93.2</v>
      </c>
      <c r="AAU51">
        <v>249.7</v>
      </c>
      <c r="AAW51">
        <v>92.3</v>
      </c>
      <c r="AAX51">
        <v>96.6</v>
      </c>
      <c r="AAY51">
        <v>100</v>
      </c>
      <c r="AAZ51">
        <v>99.4</v>
      </c>
      <c r="ABB51">
        <v>87.7</v>
      </c>
      <c r="ABC51">
        <v>88.9</v>
      </c>
      <c r="ABD51">
        <v>90.7</v>
      </c>
      <c r="ABE51">
        <v>80.099999999999994</v>
      </c>
      <c r="ABF51">
        <v>98.5</v>
      </c>
      <c r="ABG51">
        <v>93.7</v>
      </c>
      <c r="ABH51">
        <v>97.5</v>
      </c>
      <c r="ABI51">
        <v>96.4</v>
      </c>
      <c r="ABJ51">
        <v>100.9</v>
      </c>
      <c r="ABK51">
        <v>98.1</v>
      </c>
      <c r="ABL51">
        <v>109.4</v>
      </c>
      <c r="ABM51">
        <v>97.5</v>
      </c>
      <c r="ABN51">
        <v>98.8</v>
      </c>
      <c r="ABO51">
        <v>103.1</v>
      </c>
      <c r="ABP51">
        <v>96.3</v>
      </c>
      <c r="ABQ51">
        <v>106.4</v>
      </c>
    </row>
    <row r="52" spans="1:748">
      <c r="A52">
        <v>2015</v>
      </c>
      <c r="B52">
        <v>98.2</v>
      </c>
      <c r="C52">
        <v>95.1</v>
      </c>
      <c r="D52">
        <v>94.8</v>
      </c>
      <c r="E52">
        <v>88.1</v>
      </c>
      <c r="F52">
        <v>90.5</v>
      </c>
      <c r="G52">
        <v>85.7</v>
      </c>
      <c r="H52">
        <v>97.7</v>
      </c>
      <c r="I52">
        <v>99.5</v>
      </c>
      <c r="J52">
        <v>95</v>
      </c>
      <c r="K52">
        <v>99.1</v>
      </c>
      <c r="L52">
        <v>98.1</v>
      </c>
      <c r="M52">
        <v>96.7</v>
      </c>
      <c r="N52">
        <v>98.1</v>
      </c>
      <c r="O52">
        <v>101.5</v>
      </c>
      <c r="P52">
        <v>96.5</v>
      </c>
      <c r="Q52">
        <v>100.6</v>
      </c>
      <c r="R52">
        <v>99.4</v>
      </c>
      <c r="S52">
        <v>91.3</v>
      </c>
      <c r="T52">
        <v>102.9</v>
      </c>
      <c r="V52">
        <v>89.7</v>
      </c>
      <c r="W52">
        <v>90.3</v>
      </c>
      <c r="X52">
        <v>96.1</v>
      </c>
      <c r="Y52">
        <v>97.9</v>
      </c>
      <c r="Z52">
        <v>101.8</v>
      </c>
      <c r="AA52">
        <v>95.3</v>
      </c>
      <c r="AB52">
        <v>89</v>
      </c>
      <c r="AC52">
        <v>99.6</v>
      </c>
      <c r="AD52">
        <v>67.2</v>
      </c>
      <c r="AE52">
        <v>92</v>
      </c>
      <c r="AF52">
        <v>96.5</v>
      </c>
      <c r="AG52">
        <v>64.900000000000006</v>
      </c>
      <c r="AH52">
        <v>82.3</v>
      </c>
      <c r="AI52">
        <v>103.2</v>
      </c>
      <c r="AJ52">
        <v>98</v>
      </c>
      <c r="AK52">
        <v>112.6</v>
      </c>
      <c r="AL52">
        <v>91.5</v>
      </c>
      <c r="AM52">
        <v>84.4</v>
      </c>
      <c r="AN52">
        <v>82.9</v>
      </c>
      <c r="AO52">
        <v>91.5</v>
      </c>
      <c r="AP52">
        <v>79.3</v>
      </c>
      <c r="AQ52">
        <v>92.8</v>
      </c>
      <c r="AR52">
        <v>93</v>
      </c>
      <c r="AS52">
        <v>73.900000000000006</v>
      </c>
      <c r="AT52">
        <v>74.5</v>
      </c>
      <c r="AU52">
        <v>97.2</v>
      </c>
      <c r="AV52">
        <v>95.6</v>
      </c>
      <c r="AW52">
        <v>97.9</v>
      </c>
      <c r="AX52">
        <v>98</v>
      </c>
      <c r="AY52">
        <v>89.1</v>
      </c>
      <c r="AZ52">
        <v>93.8</v>
      </c>
      <c r="BA52">
        <v>87.4</v>
      </c>
      <c r="BB52">
        <v>85.5</v>
      </c>
      <c r="BC52">
        <v>95.3</v>
      </c>
      <c r="BD52">
        <v>95.5</v>
      </c>
      <c r="BE52">
        <v>92.7</v>
      </c>
      <c r="BF52">
        <v>88.9</v>
      </c>
      <c r="BG52">
        <v>87</v>
      </c>
      <c r="BH52">
        <v>91.9</v>
      </c>
      <c r="BJ52">
        <v>98.3</v>
      </c>
      <c r="BK52">
        <v>108.4</v>
      </c>
      <c r="BL52">
        <v>107.5</v>
      </c>
      <c r="BM52">
        <v>109.4</v>
      </c>
      <c r="BN52">
        <v>107.9</v>
      </c>
      <c r="BP52">
        <v>96.5</v>
      </c>
      <c r="BQ52">
        <v>95.6</v>
      </c>
      <c r="BR52">
        <v>97.3</v>
      </c>
      <c r="BS52">
        <v>97.4</v>
      </c>
      <c r="BT52">
        <v>94.3</v>
      </c>
      <c r="BU52">
        <v>101.1</v>
      </c>
      <c r="BV52">
        <v>92.7</v>
      </c>
      <c r="BW52">
        <v>98.7</v>
      </c>
      <c r="BX52">
        <v>98.3</v>
      </c>
      <c r="BY52">
        <v>95</v>
      </c>
      <c r="BZ52">
        <v>100</v>
      </c>
      <c r="CA52">
        <v>100</v>
      </c>
      <c r="CB52">
        <v>96</v>
      </c>
      <c r="CC52">
        <v>98.4</v>
      </c>
      <c r="CD52">
        <v>102.2</v>
      </c>
      <c r="CE52">
        <v>98.2</v>
      </c>
      <c r="CF52">
        <v>94.5</v>
      </c>
      <c r="CG52">
        <v>91.4</v>
      </c>
      <c r="CH52">
        <v>122.2</v>
      </c>
      <c r="CI52">
        <v>113.4</v>
      </c>
      <c r="CJ52">
        <v>94.3</v>
      </c>
      <c r="CK52">
        <v>99.9</v>
      </c>
      <c r="CL52">
        <v>91.1</v>
      </c>
      <c r="CM52">
        <v>95.9</v>
      </c>
      <c r="CN52">
        <v>93.1</v>
      </c>
      <c r="CO52">
        <v>96.1</v>
      </c>
      <c r="CP52">
        <v>87.6</v>
      </c>
      <c r="CQ52">
        <v>95.9</v>
      </c>
      <c r="CR52">
        <v>105.2</v>
      </c>
      <c r="CS52">
        <v>101.9</v>
      </c>
      <c r="CT52">
        <v>98</v>
      </c>
      <c r="CU52">
        <v>99.4</v>
      </c>
      <c r="CV52">
        <v>97.8</v>
      </c>
      <c r="CW52">
        <v>94.9</v>
      </c>
      <c r="CX52">
        <v>91.3</v>
      </c>
      <c r="CY52">
        <v>93.8</v>
      </c>
      <c r="CZ52">
        <v>91.6</v>
      </c>
      <c r="DA52">
        <v>99.4</v>
      </c>
      <c r="DB52">
        <v>88</v>
      </c>
      <c r="DC52">
        <v>104.7</v>
      </c>
      <c r="DD52">
        <v>100.1</v>
      </c>
      <c r="DE52">
        <v>101.4</v>
      </c>
      <c r="DG52">
        <v>91.4</v>
      </c>
      <c r="DH52">
        <v>84.5</v>
      </c>
      <c r="DI52">
        <v>91.2</v>
      </c>
      <c r="DJ52">
        <v>84.7</v>
      </c>
      <c r="DK52">
        <v>85</v>
      </c>
      <c r="DL52">
        <v>89</v>
      </c>
      <c r="DM52">
        <v>75.099999999999994</v>
      </c>
      <c r="DN52">
        <v>98.1</v>
      </c>
      <c r="DO52">
        <v>98.2</v>
      </c>
      <c r="DP52">
        <v>98.6</v>
      </c>
      <c r="DQ52">
        <v>97.7</v>
      </c>
      <c r="DR52">
        <v>90.2</v>
      </c>
      <c r="DS52">
        <v>101</v>
      </c>
      <c r="DT52">
        <v>72.599999999999994</v>
      </c>
      <c r="DU52">
        <v>88.2</v>
      </c>
      <c r="DV52">
        <v>90</v>
      </c>
      <c r="DW52">
        <v>99.7</v>
      </c>
      <c r="DX52">
        <v>95.4</v>
      </c>
      <c r="DY52">
        <v>102.5</v>
      </c>
      <c r="DZ52">
        <v>88.1</v>
      </c>
      <c r="EA52">
        <v>87.9</v>
      </c>
      <c r="EB52">
        <v>88.7</v>
      </c>
      <c r="EC52">
        <v>92.5</v>
      </c>
      <c r="ED52">
        <v>99.7</v>
      </c>
      <c r="EE52">
        <v>90.2</v>
      </c>
      <c r="EF52">
        <v>64.7</v>
      </c>
      <c r="EG52">
        <v>80.900000000000006</v>
      </c>
      <c r="EH52">
        <v>71.8</v>
      </c>
      <c r="EI52">
        <v>82.5</v>
      </c>
      <c r="EJ52">
        <v>76.5</v>
      </c>
      <c r="EK52">
        <v>86.9</v>
      </c>
      <c r="EL52">
        <v>99.5</v>
      </c>
      <c r="EM52">
        <v>89.9</v>
      </c>
      <c r="EN52">
        <v>95.9</v>
      </c>
      <c r="EO52">
        <v>93.6</v>
      </c>
      <c r="EP52">
        <v>82.7</v>
      </c>
      <c r="ER52">
        <v>91.8</v>
      </c>
      <c r="ET52">
        <v>99.9</v>
      </c>
      <c r="EU52">
        <v>107.5</v>
      </c>
      <c r="EV52">
        <v>108.3</v>
      </c>
      <c r="EW52">
        <v>103.9</v>
      </c>
      <c r="EX52">
        <v>99</v>
      </c>
      <c r="EY52">
        <v>94.3</v>
      </c>
      <c r="EZ52">
        <v>99.8</v>
      </c>
      <c r="FA52">
        <v>97.5</v>
      </c>
      <c r="FB52">
        <v>100.4</v>
      </c>
      <c r="FC52">
        <v>102.8</v>
      </c>
      <c r="FD52">
        <v>99.5</v>
      </c>
      <c r="FE52">
        <v>102</v>
      </c>
      <c r="FF52">
        <v>104.7</v>
      </c>
      <c r="FG52">
        <v>100.8</v>
      </c>
      <c r="FH52">
        <v>90.8</v>
      </c>
      <c r="FI52">
        <v>105.4</v>
      </c>
      <c r="FJ52">
        <v>97.8</v>
      </c>
      <c r="FK52">
        <v>100.2</v>
      </c>
      <c r="FL52">
        <v>98.9</v>
      </c>
      <c r="FM52">
        <v>82.8</v>
      </c>
      <c r="FN52">
        <v>104.6</v>
      </c>
      <c r="FO52">
        <v>100.6</v>
      </c>
      <c r="FP52">
        <v>101</v>
      </c>
      <c r="FQ52">
        <v>94.1</v>
      </c>
      <c r="FR52">
        <v>94.9</v>
      </c>
      <c r="FS52">
        <v>89</v>
      </c>
      <c r="FT52">
        <v>90.3</v>
      </c>
      <c r="FU52">
        <v>99.4</v>
      </c>
      <c r="FV52">
        <v>86.7</v>
      </c>
      <c r="FW52">
        <v>93</v>
      </c>
      <c r="FX52">
        <v>89.1</v>
      </c>
      <c r="FY52">
        <v>91.9</v>
      </c>
      <c r="FZ52">
        <v>93.6</v>
      </c>
      <c r="GA52">
        <v>100.5</v>
      </c>
      <c r="GB52">
        <v>97.8</v>
      </c>
      <c r="GC52">
        <v>98.2</v>
      </c>
      <c r="GD52">
        <v>100.1</v>
      </c>
      <c r="GE52">
        <v>97.8</v>
      </c>
      <c r="GF52">
        <v>94.7</v>
      </c>
      <c r="GG52">
        <v>94.8</v>
      </c>
      <c r="GH52">
        <v>100.5</v>
      </c>
      <c r="GI52">
        <v>96.8</v>
      </c>
      <c r="GJ52">
        <v>94.8</v>
      </c>
      <c r="GK52">
        <v>92.1</v>
      </c>
      <c r="GL52">
        <v>95.6</v>
      </c>
      <c r="GM52">
        <v>91</v>
      </c>
      <c r="GN52">
        <v>99.5</v>
      </c>
      <c r="GO52">
        <v>93.6</v>
      </c>
      <c r="GP52">
        <v>94.9</v>
      </c>
      <c r="GQ52">
        <v>98.6</v>
      </c>
      <c r="GR52">
        <v>96.4</v>
      </c>
      <c r="GS52">
        <v>109.5</v>
      </c>
      <c r="GU52">
        <v>98.3</v>
      </c>
      <c r="GV52">
        <v>95.4</v>
      </c>
      <c r="GW52">
        <v>94</v>
      </c>
      <c r="GX52">
        <v>96.3</v>
      </c>
      <c r="GY52">
        <v>100.3</v>
      </c>
      <c r="GZ52">
        <v>95.6</v>
      </c>
      <c r="HA52">
        <v>106</v>
      </c>
      <c r="HB52">
        <v>96.2</v>
      </c>
      <c r="HD52">
        <v>116.3</v>
      </c>
      <c r="HE52">
        <v>108</v>
      </c>
      <c r="HG52">
        <v>103.1</v>
      </c>
      <c r="HH52">
        <v>101.2</v>
      </c>
      <c r="HI52">
        <v>91.1</v>
      </c>
      <c r="HJ52">
        <v>79.400000000000006</v>
      </c>
      <c r="HK52">
        <v>96.4</v>
      </c>
      <c r="HL52">
        <v>110.2</v>
      </c>
      <c r="HO52">
        <v>99.9</v>
      </c>
      <c r="HP52">
        <v>103.7</v>
      </c>
      <c r="HQ52">
        <v>101</v>
      </c>
      <c r="HR52">
        <v>102.8</v>
      </c>
      <c r="HS52">
        <v>106</v>
      </c>
      <c r="HT52">
        <v>104.4</v>
      </c>
      <c r="HU52">
        <v>95.2</v>
      </c>
      <c r="HV52">
        <v>109.5</v>
      </c>
      <c r="HW52">
        <v>109.2</v>
      </c>
      <c r="HX52">
        <v>100.3</v>
      </c>
      <c r="HY52">
        <v>96.6</v>
      </c>
      <c r="HZ52">
        <v>91.6</v>
      </c>
      <c r="IA52">
        <v>96.1</v>
      </c>
      <c r="IB52">
        <v>100.8</v>
      </c>
      <c r="IC52">
        <v>103.1</v>
      </c>
      <c r="IE52">
        <v>88.4</v>
      </c>
      <c r="IF52">
        <v>93.6</v>
      </c>
      <c r="IH52">
        <v>101.6</v>
      </c>
      <c r="II52">
        <v>102.2</v>
      </c>
      <c r="IJ52">
        <v>96.6</v>
      </c>
      <c r="IK52">
        <v>102.6</v>
      </c>
      <c r="IL52">
        <v>98.7</v>
      </c>
      <c r="IM52">
        <v>95.5</v>
      </c>
      <c r="IN52">
        <v>93.7</v>
      </c>
      <c r="IO52">
        <v>83.9</v>
      </c>
      <c r="IP52">
        <v>99.4</v>
      </c>
      <c r="IQ52">
        <v>103.6</v>
      </c>
      <c r="IR52">
        <v>102</v>
      </c>
      <c r="IS52">
        <v>91.8</v>
      </c>
      <c r="IT52">
        <v>94.9</v>
      </c>
      <c r="IU52">
        <v>94.5</v>
      </c>
      <c r="IV52">
        <v>94.7</v>
      </c>
      <c r="IW52">
        <v>95.4</v>
      </c>
      <c r="IX52">
        <v>94.3</v>
      </c>
      <c r="IY52">
        <v>95</v>
      </c>
      <c r="IZ52">
        <v>91.9</v>
      </c>
      <c r="JA52">
        <v>93.6</v>
      </c>
      <c r="JB52">
        <v>96</v>
      </c>
      <c r="JC52">
        <v>95.2</v>
      </c>
      <c r="JD52">
        <v>97.3</v>
      </c>
      <c r="JE52">
        <v>95.3</v>
      </c>
      <c r="JF52">
        <v>95.4</v>
      </c>
      <c r="JG52">
        <v>100</v>
      </c>
      <c r="JH52">
        <v>96</v>
      </c>
      <c r="JI52">
        <v>96.3</v>
      </c>
      <c r="JJ52">
        <v>91.8</v>
      </c>
      <c r="JK52">
        <v>91.9</v>
      </c>
      <c r="JL52">
        <v>94.6</v>
      </c>
      <c r="JM52">
        <v>107.8</v>
      </c>
      <c r="JN52">
        <v>110.7</v>
      </c>
      <c r="JO52">
        <v>95.1</v>
      </c>
      <c r="JP52">
        <v>95</v>
      </c>
      <c r="JQ52">
        <v>93.7</v>
      </c>
      <c r="JR52">
        <v>90.9</v>
      </c>
      <c r="JS52">
        <v>102.2</v>
      </c>
      <c r="JT52">
        <v>101.9</v>
      </c>
      <c r="JU52">
        <v>102.8</v>
      </c>
      <c r="JV52">
        <v>99.6</v>
      </c>
      <c r="JW52">
        <v>100.7</v>
      </c>
      <c r="JX52">
        <v>100.8</v>
      </c>
      <c r="JY52">
        <v>100.8</v>
      </c>
      <c r="JZ52">
        <v>98.9</v>
      </c>
      <c r="KA52">
        <v>99.1</v>
      </c>
      <c r="KB52">
        <v>98.8</v>
      </c>
      <c r="KC52">
        <v>100.7</v>
      </c>
      <c r="KD52">
        <v>100.7</v>
      </c>
      <c r="KE52">
        <v>93.6</v>
      </c>
      <c r="KF52">
        <v>98.5</v>
      </c>
      <c r="KG52">
        <v>94</v>
      </c>
      <c r="KH52">
        <v>111</v>
      </c>
      <c r="KI52">
        <v>106.3</v>
      </c>
      <c r="KJ52">
        <v>91.5</v>
      </c>
      <c r="KK52">
        <v>89.8</v>
      </c>
      <c r="KL52">
        <v>94.2</v>
      </c>
      <c r="KM52">
        <v>91.9</v>
      </c>
      <c r="KN52">
        <v>93.7</v>
      </c>
      <c r="KO52">
        <v>86.6</v>
      </c>
      <c r="KP52">
        <v>91.2</v>
      </c>
      <c r="KQ52">
        <v>95.2</v>
      </c>
      <c r="KS52">
        <v>94.7</v>
      </c>
      <c r="KT52">
        <v>91.7</v>
      </c>
      <c r="KU52">
        <v>95.7</v>
      </c>
      <c r="KV52">
        <v>92.6</v>
      </c>
      <c r="KW52">
        <v>91.1</v>
      </c>
      <c r="KX52">
        <v>89.5</v>
      </c>
      <c r="KY52">
        <v>99.3</v>
      </c>
      <c r="KZ52">
        <v>99.4</v>
      </c>
      <c r="LA52">
        <v>99.4</v>
      </c>
      <c r="LB52">
        <v>103.3</v>
      </c>
      <c r="LC52">
        <v>107.3</v>
      </c>
      <c r="LD52">
        <v>97.1</v>
      </c>
      <c r="LE52">
        <v>90.5</v>
      </c>
      <c r="LF52">
        <v>90.5</v>
      </c>
      <c r="LG52">
        <v>97.1</v>
      </c>
      <c r="LH52">
        <v>98.2</v>
      </c>
      <c r="LI52">
        <v>95.7</v>
      </c>
      <c r="LJ52">
        <v>97.7</v>
      </c>
      <c r="LK52">
        <v>99.7</v>
      </c>
      <c r="LL52">
        <v>105.8</v>
      </c>
      <c r="LM52">
        <v>110.7</v>
      </c>
      <c r="LN52">
        <v>88.7</v>
      </c>
      <c r="LO52">
        <v>94</v>
      </c>
      <c r="LP52">
        <v>112.3</v>
      </c>
      <c r="LQ52">
        <v>110.5</v>
      </c>
      <c r="LR52">
        <v>112</v>
      </c>
      <c r="LS52">
        <v>117</v>
      </c>
      <c r="LT52">
        <v>93</v>
      </c>
      <c r="LU52">
        <v>92.4</v>
      </c>
      <c r="LV52">
        <v>96</v>
      </c>
      <c r="LW52">
        <v>94</v>
      </c>
      <c r="LX52">
        <v>96.2</v>
      </c>
      <c r="LY52">
        <v>96.5</v>
      </c>
      <c r="MA52">
        <v>98.7</v>
      </c>
      <c r="MB52">
        <v>103.9</v>
      </c>
      <c r="MC52">
        <v>131.30000000000001</v>
      </c>
      <c r="MD52">
        <v>100.7</v>
      </c>
      <c r="ME52">
        <v>92.1</v>
      </c>
      <c r="MG52">
        <v>95</v>
      </c>
      <c r="MH52">
        <v>89.2</v>
      </c>
      <c r="MI52">
        <v>94.9</v>
      </c>
      <c r="MJ52">
        <v>95.8</v>
      </c>
      <c r="MK52">
        <v>102.8</v>
      </c>
      <c r="MM52">
        <v>93</v>
      </c>
      <c r="MN52">
        <v>95.1</v>
      </c>
      <c r="MO52">
        <v>94.2</v>
      </c>
      <c r="MP52">
        <v>95.7</v>
      </c>
      <c r="MQ52">
        <v>91.1</v>
      </c>
      <c r="MR52">
        <v>102.6</v>
      </c>
      <c r="MS52">
        <v>94.5</v>
      </c>
      <c r="MT52">
        <v>96.9</v>
      </c>
      <c r="MU52">
        <v>95.7</v>
      </c>
      <c r="MV52">
        <v>93.9</v>
      </c>
      <c r="MW52">
        <v>89.4</v>
      </c>
      <c r="MX52">
        <v>91.6</v>
      </c>
      <c r="MY52">
        <v>101.5</v>
      </c>
      <c r="MZ52">
        <v>99.1</v>
      </c>
      <c r="NB52">
        <v>98.7</v>
      </c>
      <c r="NC52">
        <v>90.3</v>
      </c>
      <c r="ND52">
        <v>89.8</v>
      </c>
      <c r="NE52">
        <v>90.6</v>
      </c>
      <c r="NF52">
        <v>104</v>
      </c>
      <c r="NG52">
        <v>112.3</v>
      </c>
      <c r="NH52">
        <v>99.2</v>
      </c>
      <c r="NI52">
        <v>100.2</v>
      </c>
      <c r="NJ52">
        <v>97.2</v>
      </c>
      <c r="NK52">
        <v>94.6</v>
      </c>
      <c r="NL52">
        <v>100.3</v>
      </c>
      <c r="NM52">
        <v>107.6</v>
      </c>
      <c r="NN52">
        <v>101.1</v>
      </c>
      <c r="NO52">
        <v>98.3</v>
      </c>
      <c r="NQ52">
        <v>96.5</v>
      </c>
      <c r="NR52">
        <v>93.2</v>
      </c>
      <c r="NS52">
        <v>93.2</v>
      </c>
      <c r="NT52">
        <v>96.6</v>
      </c>
      <c r="NU52">
        <v>101.2</v>
      </c>
      <c r="NV52">
        <v>95.2</v>
      </c>
      <c r="NW52">
        <v>98.2</v>
      </c>
      <c r="NX52">
        <v>98.2</v>
      </c>
      <c r="NY52">
        <v>96.9</v>
      </c>
      <c r="NZ52">
        <v>97.8</v>
      </c>
      <c r="OA52">
        <v>97.5</v>
      </c>
      <c r="OB52">
        <v>98.2</v>
      </c>
      <c r="OC52">
        <v>96.1</v>
      </c>
      <c r="OD52">
        <v>97.8</v>
      </c>
      <c r="OE52">
        <v>94.2</v>
      </c>
      <c r="OF52">
        <v>87.6</v>
      </c>
      <c r="OG52">
        <v>97.8</v>
      </c>
      <c r="OH52">
        <v>94.5</v>
      </c>
      <c r="OI52">
        <v>97.2</v>
      </c>
      <c r="OJ52">
        <v>91.2</v>
      </c>
      <c r="OK52">
        <v>97.3</v>
      </c>
      <c r="OL52">
        <v>92.4</v>
      </c>
      <c r="OM52">
        <v>97.9</v>
      </c>
      <c r="ON52">
        <v>99.7</v>
      </c>
      <c r="OO52">
        <v>92.4</v>
      </c>
      <c r="OP52">
        <v>95.7</v>
      </c>
      <c r="OQ52">
        <v>101.9</v>
      </c>
      <c r="OR52">
        <v>93.7</v>
      </c>
      <c r="OS52">
        <v>92</v>
      </c>
      <c r="OT52">
        <v>93.2</v>
      </c>
      <c r="OU52">
        <v>93.1</v>
      </c>
      <c r="OV52">
        <v>92.9</v>
      </c>
      <c r="OW52">
        <v>89.9</v>
      </c>
      <c r="OX52">
        <v>96.5</v>
      </c>
      <c r="OY52">
        <v>91.1</v>
      </c>
      <c r="OZ52">
        <v>90.1</v>
      </c>
      <c r="PA52">
        <v>112.2</v>
      </c>
      <c r="PB52">
        <v>95.5</v>
      </c>
      <c r="PC52">
        <v>91.3</v>
      </c>
      <c r="PD52">
        <v>121.2</v>
      </c>
      <c r="PG52">
        <v>105.6</v>
      </c>
      <c r="PH52">
        <v>97.8</v>
      </c>
      <c r="PI52">
        <v>98.8</v>
      </c>
      <c r="PJ52">
        <v>99.7</v>
      </c>
      <c r="PK52">
        <v>99.5</v>
      </c>
      <c r="PL52">
        <v>98.5</v>
      </c>
      <c r="PM52">
        <v>102.1</v>
      </c>
      <c r="PN52">
        <v>98.4</v>
      </c>
      <c r="PO52">
        <v>98.9</v>
      </c>
      <c r="PP52">
        <v>100.5</v>
      </c>
      <c r="PQ52">
        <v>100.9</v>
      </c>
      <c r="PR52">
        <v>101.6</v>
      </c>
      <c r="PS52">
        <v>97.5</v>
      </c>
      <c r="PT52">
        <v>97.4</v>
      </c>
      <c r="PU52">
        <v>99.1</v>
      </c>
      <c r="PV52">
        <v>94.7</v>
      </c>
      <c r="PW52">
        <v>94.8</v>
      </c>
      <c r="PX52">
        <v>94.6</v>
      </c>
      <c r="PY52">
        <v>95.3</v>
      </c>
      <c r="PZ52">
        <v>94.4</v>
      </c>
      <c r="QA52">
        <v>95.9</v>
      </c>
      <c r="QB52">
        <v>91.9</v>
      </c>
      <c r="QC52">
        <v>96.2</v>
      </c>
      <c r="QD52">
        <v>96.8</v>
      </c>
      <c r="QE52">
        <v>96.6</v>
      </c>
      <c r="QF52">
        <v>93</v>
      </c>
      <c r="QG52">
        <v>101.1</v>
      </c>
      <c r="QH52">
        <v>91.2</v>
      </c>
      <c r="QI52">
        <v>91.2</v>
      </c>
      <c r="QJ52">
        <v>93.3</v>
      </c>
      <c r="QK52">
        <v>94.7</v>
      </c>
      <c r="QL52">
        <v>95.2</v>
      </c>
      <c r="QM52">
        <v>96</v>
      </c>
      <c r="QN52">
        <v>88.3</v>
      </c>
      <c r="QO52">
        <v>91</v>
      </c>
      <c r="QP52">
        <v>97.2</v>
      </c>
      <c r="QQ52">
        <v>98.4</v>
      </c>
      <c r="QR52">
        <v>98</v>
      </c>
      <c r="QS52">
        <v>109.3</v>
      </c>
      <c r="QT52">
        <v>96</v>
      </c>
      <c r="QU52">
        <v>98.7</v>
      </c>
      <c r="QV52">
        <v>96.9</v>
      </c>
      <c r="QW52">
        <v>97.3</v>
      </c>
      <c r="QX52">
        <v>99.5</v>
      </c>
      <c r="QY52">
        <v>92.5</v>
      </c>
      <c r="QZ52">
        <v>92.5</v>
      </c>
      <c r="RA52">
        <v>91.1</v>
      </c>
      <c r="RB52">
        <v>93.1</v>
      </c>
      <c r="RC52">
        <v>95.7</v>
      </c>
      <c r="RD52">
        <v>96</v>
      </c>
      <c r="RE52">
        <v>99.7</v>
      </c>
      <c r="RF52">
        <v>99.9</v>
      </c>
      <c r="RG52">
        <v>104.4</v>
      </c>
      <c r="RH52">
        <v>105</v>
      </c>
      <c r="RI52">
        <v>97.1</v>
      </c>
      <c r="RJ52">
        <v>100.5</v>
      </c>
      <c r="RK52">
        <v>98</v>
      </c>
      <c r="RL52">
        <v>100.2</v>
      </c>
      <c r="RM52">
        <v>96.2</v>
      </c>
      <c r="RN52">
        <v>100.2</v>
      </c>
      <c r="RO52">
        <v>96.8</v>
      </c>
      <c r="RP52">
        <v>98.4</v>
      </c>
      <c r="RQ52">
        <v>100.4</v>
      </c>
      <c r="RR52">
        <v>100</v>
      </c>
      <c r="RS52">
        <v>97.3</v>
      </c>
      <c r="RT52">
        <v>103.2</v>
      </c>
      <c r="RU52">
        <v>95.4</v>
      </c>
      <c r="RV52">
        <v>100.1</v>
      </c>
      <c r="RW52">
        <v>104.4</v>
      </c>
      <c r="RX52">
        <v>98.5</v>
      </c>
      <c r="RY52">
        <v>100.1</v>
      </c>
      <c r="SA52">
        <v>97.8</v>
      </c>
      <c r="SB52">
        <v>89.4</v>
      </c>
      <c r="SC52">
        <v>90.4</v>
      </c>
      <c r="SD52">
        <v>98.9</v>
      </c>
      <c r="SE52">
        <v>98.2</v>
      </c>
      <c r="SF52">
        <v>93.9</v>
      </c>
      <c r="SG52">
        <v>93.8</v>
      </c>
      <c r="SH52">
        <v>97.7</v>
      </c>
      <c r="SI52">
        <v>97.9</v>
      </c>
      <c r="SJ52">
        <v>89.8</v>
      </c>
      <c r="SK52">
        <v>100.7</v>
      </c>
      <c r="SL52">
        <v>97.5</v>
      </c>
      <c r="SM52">
        <v>97.9</v>
      </c>
      <c r="SN52">
        <v>97.7</v>
      </c>
      <c r="SO52">
        <v>98</v>
      </c>
      <c r="SP52">
        <v>98.2</v>
      </c>
      <c r="SQ52">
        <v>97.3</v>
      </c>
      <c r="SR52">
        <v>97.9</v>
      </c>
      <c r="SS52">
        <v>97.3</v>
      </c>
      <c r="ST52">
        <v>96.6</v>
      </c>
      <c r="SU52">
        <v>98.3</v>
      </c>
      <c r="SV52">
        <v>98</v>
      </c>
      <c r="SX52">
        <v>97.1</v>
      </c>
      <c r="SY52">
        <v>95.9</v>
      </c>
      <c r="SZ52">
        <v>92.1</v>
      </c>
      <c r="TA52">
        <v>105.4</v>
      </c>
      <c r="TB52">
        <v>95.9</v>
      </c>
      <c r="TC52">
        <v>96.8</v>
      </c>
      <c r="TD52">
        <v>93.3</v>
      </c>
      <c r="TE52">
        <v>97.4</v>
      </c>
      <c r="TF52">
        <v>97.3</v>
      </c>
      <c r="TG52">
        <v>99</v>
      </c>
      <c r="TH52">
        <v>96.9</v>
      </c>
      <c r="TI52">
        <v>97</v>
      </c>
      <c r="TJ52">
        <v>94</v>
      </c>
      <c r="TK52">
        <v>91</v>
      </c>
      <c r="TL52">
        <v>88</v>
      </c>
      <c r="TM52">
        <v>97.5</v>
      </c>
      <c r="TN52">
        <v>97.5</v>
      </c>
      <c r="TO52">
        <v>95.6</v>
      </c>
      <c r="TP52">
        <v>90</v>
      </c>
      <c r="TQ52">
        <v>88.5</v>
      </c>
      <c r="TR52">
        <v>114.4</v>
      </c>
      <c r="TT52">
        <v>94.1</v>
      </c>
      <c r="TU52">
        <v>95.6</v>
      </c>
      <c r="TV52">
        <v>95.4</v>
      </c>
      <c r="TW52">
        <v>98.7</v>
      </c>
      <c r="TX52">
        <v>95.6</v>
      </c>
      <c r="TY52">
        <v>100</v>
      </c>
      <c r="TZ52">
        <v>98.1</v>
      </c>
      <c r="UA52">
        <v>92.4</v>
      </c>
      <c r="UB52">
        <v>98.1</v>
      </c>
      <c r="UC52">
        <v>121.8</v>
      </c>
      <c r="UD52">
        <v>96.1</v>
      </c>
      <c r="UE52">
        <v>110.2</v>
      </c>
      <c r="UF52">
        <v>82.5</v>
      </c>
      <c r="UG52">
        <v>97.6</v>
      </c>
      <c r="UH52">
        <v>97.2</v>
      </c>
      <c r="UI52">
        <v>116.9</v>
      </c>
      <c r="UJ52">
        <v>87.5</v>
      </c>
      <c r="UK52">
        <v>115.4</v>
      </c>
      <c r="UL52">
        <v>107.7</v>
      </c>
      <c r="UM52">
        <v>114.7</v>
      </c>
      <c r="UN52">
        <v>100.8</v>
      </c>
      <c r="UO52">
        <v>101.3</v>
      </c>
      <c r="UP52">
        <v>98.1</v>
      </c>
      <c r="UQ52">
        <v>68.7</v>
      </c>
      <c r="UR52">
        <v>101.1</v>
      </c>
      <c r="US52">
        <v>104.7</v>
      </c>
      <c r="UT52">
        <v>100.5</v>
      </c>
      <c r="UU52">
        <v>103.1</v>
      </c>
      <c r="UV52">
        <v>98.9</v>
      </c>
      <c r="UW52">
        <v>97.7</v>
      </c>
      <c r="UX52">
        <v>98.2</v>
      </c>
      <c r="UY52">
        <v>97.3</v>
      </c>
      <c r="UZ52">
        <v>95</v>
      </c>
      <c r="VA52">
        <v>97.7</v>
      </c>
      <c r="VB52">
        <v>96.5</v>
      </c>
      <c r="VC52">
        <v>90.7</v>
      </c>
      <c r="VD52">
        <v>97.3</v>
      </c>
      <c r="VE52">
        <v>103.9</v>
      </c>
      <c r="VF52">
        <v>123.4</v>
      </c>
      <c r="VG52">
        <v>116.3</v>
      </c>
      <c r="VH52">
        <v>92</v>
      </c>
      <c r="VI52">
        <v>109</v>
      </c>
      <c r="VK52">
        <v>73</v>
      </c>
      <c r="VL52">
        <v>88.2</v>
      </c>
      <c r="VM52">
        <v>97.2</v>
      </c>
      <c r="VN52">
        <v>93.8</v>
      </c>
      <c r="VO52">
        <v>95.8</v>
      </c>
      <c r="VP52">
        <v>90.7</v>
      </c>
      <c r="VQ52">
        <v>101.5</v>
      </c>
      <c r="VR52">
        <v>85.5</v>
      </c>
      <c r="VS52">
        <v>95.1</v>
      </c>
      <c r="VT52">
        <v>98.2</v>
      </c>
      <c r="VU52">
        <v>88.2</v>
      </c>
      <c r="VV52">
        <v>88.2</v>
      </c>
      <c r="VW52">
        <v>97.2</v>
      </c>
      <c r="VX52">
        <v>94.7</v>
      </c>
      <c r="VY52">
        <v>115.3</v>
      </c>
      <c r="VZ52">
        <v>94.6</v>
      </c>
      <c r="WA52">
        <v>92</v>
      </c>
      <c r="WB52">
        <v>102.3</v>
      </c>
      <c r="WC52">
        <v>123</v>
      </c>
      <c r="WD52">
        <v>99.1</v>
      </c>
      <c r="WE52">
        <v>99.2</v>
      </c>
      <c r="WF52">
        <v>103.5</v>
      </c>
      <c r="WG52">
        <v>103.2</v>
      </c>
      <c r="WH52">
        <v>93.6</v>
      </c>
      <c r="WI52">
        <v>95.1</v>
      </c>
      <c r="WJ52">
        <v>93.3</v>
      </c>
      <c r="WK52">
        <v>92.8</v>
      </c>
      <c r="WL52">
        <v>95</v>
      </c>
      <c r="WM52">
        <v>149.9</v>
      </c>
      <c r="WN52">
        <v>98.3</v>
      </c>
      <c r="WO52">
        <v>96.4</v>
      </c>
      <c r="WP52">
        <v>89.2</v>
      </c>
      <c r="WQ52">
        <v>103.5</v>
      </c>
      <c r="WR52">
        <v>90.9</v>
      </c>
      <c r="WS52">
        <v>96</v>
      </c>
      <c r="WT52">
        <v>94.9</v>
      </c>
      <c r="WU52">
        <v>100.8</v>
      </c>
      <c r="WV52">
        <v>97.1</v>
      </c>
      <c r="WW52">
        <v>85.7</v>
      </c>
      <c r="WX52">
        <v>94.2</v>
      </c>
      <c r="WY52">
        <v>94.9</v>
      </c>
      <c r="WZ52">
        <v>94.5</v>
      </c>
      <c r="XA52">
        <v>95.1</v>
      </c>
      <c r="XB52">
        <v>85.1</v>
      </c>
      <c r="XC52">
        <v>84.4</v>
      </c>
      <c r="XD52">
        <v>87.8</v>
      </c>
      <c r="XE52">
        <v>96.4</v>
      </c>
      <c r="XF52">
        <v>93.9</v>
      </c>
      <c r="XG52">
        <v>97.9</v>
      </c>
      <c r="XH52">
        <v>97.8</v>
      </c>
      <c r="XI52">
        <v>112.4</v>
      </c>
      <c r="XJ52">
        <v>112.4</v>
      </c>
      <c r="XK52">
        <v>87.4</v>
      </c>
      <c r="XL52">
        <v>87.4</v>
      </c>
      <c r="XM52">
        <v>94.6</v>
      </c>
      <c r="XN52">
        <v>89.9</v>
      </c>
      <c r="XO52">
        <v>96.1</v>
      </c>
      <c r="XP52">
        <v>97.3</v>
      </c>
      <c r="XQ52">
        <v>93.2</v>
      </c>
      <c r="XR52">
        <v>94</v>
      </c>
      <c r="XT52">
        <v>97.1</v>
      </c>
      <c r="XU52">
        <v>96.1</v>
      </c>
      <c r="XV52">
        <v>98.2</v>
      </c>
      <c r="XW52">
        <v>100.7</v>
      </c>
      <c r="XX52">
        <v>95.9</v>
      </c>
      <c r="XY52">
        <v>93.3</v>
      </c>
      <c r="XZ52">
        <v>94.4</v>
      </c>
      <c r="YA52">
        <v>97.7</v>
      </c>
      <c r="YB52">
        <v>92.1</v>
      </c>
      <c r="YC52">
        <v>93.9</v>
      </c>
      <c r="YD52">
        <v>96.4</v>
      </c>
      <c r="YE52">
        <v>97.4</v>
      </c>
      <c r="YF52">
        <v>98</v>
      </c>
      <c r="YG52">
        <v>94.9</v>
      </c>
      <c r="YH52">
        <v>98</v>
      </c>
      <c r="YI52">
        <v>96.2</v>
      </c>
      <c r="YJ52">
        <v>91.9</v>
      </c>
      <c r="YK52">
        <v>87.9</v>
      </c>
      <c r="YL52">
        <v>87.9</v>
      </c>
      <c r="YM52">
        <v>96.5</v>
      </c>
      <c r="YO52">
        <v>96.6</v>
      </c>
      <c r="YP52">
        <v>98.2</v>
      </c>
      <c r="YQ52">
        <v>88</v>
      </c>
      <c r="YR52">
        <v>97.7</v>
      </c>
      <c r="YS52">
        <v>93.6</v>
      </c>
      <c r="YT52">
        <v>100.9</v>
      </c>
      <c r="YU52">
        <v>96.9</v>
      </c>
      <c r="YV52">
        <v>96.9</v>
      </c>
      <c r="YW52">
        <v>97.9</v>
      </c>
      <c r="YX52">
        <v>96.6</v>
      </c>
      <c r="YY52">
        <v>96.2</v>
      </c>
      <c r="YZ52">
        <v>97.1</v>
      </c>
      <c r="ZA52">
        <v>96.6</v>
      </c>
      <c r="ZB52">
        <v>100.1</v>
      </c>
      <c r="ZC52">
        <v>103.1</v>
      </c>
      <c r="ZD52">
        <v>106.9</v>
      </c>
      <c r="ZE52">
        <v>99.6</v>
      </c>
      <c r="ZF52">
        <v>101.3</v>
      </c>
      <c r="ZG52">
        <v>100.6</v>
      </c>
      <c r="ZH52">
        <v>92.1</v>
      </c>
      <c r="ZI52">
        <v>102.6</v>
      </c>
      <c r="ZK52">
        <v>104.9</v>
      </c>
      <c r="ZL52">
        <v>105.2</v>
      </c>
      <c r="ZM52">
        <v>102.2</v>
      </c>
      <c r="ZN52">
        <v>99.3</v>
      </c>
      <c r="ZO52">
        <v>98.9</v>
      </c>
      <c r="ZP52">
        <v>101.1</v>
      </c>
      <c r="ZQ52">
        <v>98.2</v>
      </c>
      <c r="ZR52">
        <v>97.7</v>
      </c>
      <c r="ZS52">
        <v>98.2</v>
      </c>
      <c r="ZT52">
        <v>97.1</v>
      </c>
      <c r="ZU52">
        <v>98.2</v>
      </c>
      <c r="ZV52">
        <v>91</v>
      </c>
      <c r="ZW52">
        <v>99.2</v>
      </c>
      <c r="ZX52">
        <v>122.9</v>
      </c>
      <c r="ZY52">
        <v>98.2</v>
      </c>
      <c r="ZZ52">
        <v>98.5</v>
      </c>
      <c r="AAA52">
        <v>101.2</v>
      </c>
      <c r="AAC52">
        <v>93.7</v>
      </c>
      <c r="AAD52">
        <v>92.7</v>
      </c>
      <c r="AAE52">
        <v>96.5</v>
      </c>
      <c r="AAF52">
        <v>90.3</v>
      </c>
      <c r="AAG52">
        <v>86.3</v>
      </c>
      <c r="AAH52">
        <v>100.5</v>
      </c>
      <c r="AAI52">
        <v>96.6</v>
      </c>
      <c r="AAJ52">
        <v>94.1</v>
      </c>
      <c r="AAK52">
        <v>97.4</v>
      </c>
      <c r="AAL52">
        <v>94.6</v>
      </c>
      <c r="AAM52">
        <v>92.6</v>
      </c>
      <c r="AAN52">
        <v>97.9</v>
      </c>
      <c r="AAO52">
        <v>86</v>
      </c>
      <c r="AAP52">
        <v>85.4</v>
      </c>
      <c r="AAQ52">
        <v>87.4</v>
      </c>
      <c r="AAR52">
        <v>111.3</v>
      </c>
      <c r="AAT52">
        <v>93.3</v>
      </c>
      <c r="AAU52">
        <v>244.1</v>
      </c>
      <c r="AAW52">
        <v>92.4</v>
      </c>
      <c r="AAX52">
        <v>98.3</v>
      </c>
      <c r="AAY52">
        <v>100</v>
      </c>
      <c r="AAZ52">
        <v>99.4</v>
      </c>
      <c r="ABA52">
        <v>90.5</v>
      </c>
      <c r="ABB52">
        <v>93.2</v>
      </c>
      <c r="ABC52">
        <v>90.3</v>
      </c>
      <c r="ABD52">
        <v>98.4</v>
      </c>
      <c r="ABE52">
        <v>87.9</v>
      </c>
      <c r="ABF52">
        <v>98.5</v>
      </c>
      <c r="ABG52">
        <v>95.4</v>
      </c>
      <c r="ABH52">
        <v>97.8</v>
      </c>
      <c r="ABI52">
        <v>96.8</v>
      </c>
      <c r="ABJ52">
        <v>100.7</v>
      </c>
      <c r="ABK52">
        <v>98.1</v>
      </c>
      <c r="ABL52">
        <v>98.8</v>
      </c>
      <c r="ABM52">
        <v>98.4</v>
      </c>
      <c r="ABN52">
        <v>99.4</v>
      </c>
      <c r="ABO52">
        <v>104.8</v>
      </c>
      <c r="ABP52">
        <v>97.6</v>
      </c>
      <c r="ABQ52">
        <v>106.1</v>
      </c>
    </row>
    <row r="53" spans="1:748">
      <c r="A53">
        <v>2016</v>
      </c>
      <c r="B53">
        <v>98.2</v>
      </c>
      <c r="C53">
        <v>96.4</v>
      </c>
      <c r="D53">
        <v>96.3</v>
      </c>
      <c r="E53">
        <v>91.9</v>
      </c>
      <c r="F53">
        <v>93.8</v>
      </c>
      <c r="G53">
        <v>90.1</v>
      </c>
      <c r="H53">
        <v>98.5</v>
      </c>
      <c r="I53">
        <v>99.8</v>
      </c>
      <c r="J53">
        <v>95.8</v>
      </c>
      <c r="K53">
        <v>100.5</v>
      </c>
      <c r="L53">
        <v>97.7</v>
      </c>
      <c r="M53">
        <v>97.5</v>
      </c>
      <c r="N53">
        <v>98.1</v>
      </c>
      <c r="O53">
        <v>101.1</v>
      </c>
      <c r="P53">
        <v>95.9</v>
      </c>
      <c r="Q53">
        <v>99.3</v>
      </c>
      <c r="R53">
        <v>100</v>
      </c>
      <c r="S53">
        <v>92.3</v>
      </c>
      <c r="T53">
        <v>103.3</v>
      </c>
      <c r="V53">
        <v>92.2</v>
      </c>
      <c r="W53">
        <v>93.4</v>
      </c>
      <c r="X53">
        <v>96.5</v>
      </c>
      <c r="Y53">
        <v>96.1</v>
      </c>
      <c r="Z53">
        <v>99.2</v>
      </c>
      <c r="AA53">
        <v>96.7</v>
      </c>
      <c r="AB53">
        <v>93.2</v>
      </c>
      <c r="AC53">
        <v>104.3</v>
      </c>
      <c r="AD53">
        <v>71.900000000000006</v>
      </c>
      <c r="AE53">
        <v>94.3</v>
      </c>
      <c r="AF53">
        <v>96.3</v>
      </c>
      <c r="AG53">
        <v>82.5</v>
      </c>
      <c r="AH53">
        <v>82.9</v>
      </c>
      <c r="AI53">
        <v>102.9</v>
      </c>
      <c r="AJ53">
        <v>97.5</v>
      </c>
      <c r="AK53">
        <v>103.2</v>
      </c>
      <c r="AL53">
        <v>99.8</v>
      </c>
      <c r="AM53">
        <v>87.4</v>
      </c>
      <c r="AN53">
        <v>86.4</v>
      </c>
      <c r="AO53">
        <v>94.6</v>
      </c>
      <c r="AP53">
        <v>80.2</v>
      </c>
      <c r="AQ53">
        <v>94.1</v>
      </c>
      <c r="AR53">
        <v>92.9</v>
      </c>
      <c r="AS53">
        <v>84.2</v>
      </c>
      <c r="AT53">
        <v>78</v>
      </c>
      <c r="AU53">
        <v>97.6</v>
      </c>
      <c r="AV53">
        <v>96.2</v>
      </c>
      <c r="AW53">
        <v>98.5</v>
      </c>
      <c r="AX53">
        <v>98.3</v>
      </c>
      <c r="AY53">
        <v>89.9</v>
      </c>
      <c r="AZ53">
        <v>93.4</v>
      </c>
      <c r="BA53">
        <v>88.8</v>
      </c>
      <c r="BB53">
        <v>88</v>
      </c>
      <c r="BC53">
        <v>94.5</v>
      </c>
      <c r="BD53">
        <v>96.7</v>
      </c>
      <c r="BE53">
        <v>94.4</v>
      </c>
      <c r="BF53">
        <v>93.4</v>
      </c>
      <c r="BG53">
        <v>91.4</v>
      </c>
      <c r="BH53">
        <v>91.8</v>
      </c>
      <c r="BJ53">
        <v>98.2</v>
      </c>
      <c r="BK53">
        <v>106.8</v>
      </c>
      <c r="BL53">
        <v>105.8</v>
      </c>
      <c r="BM53">
        <v>108</v>
      </c>
      <c r="BN53">
        <v>105.6</v>
      </c>
      <c r="BP53">
        <v>95.9</v>
      </c>
      <c r="BQ53">
        <v>95.4</v>
      </c>
      <c r="BR53">
        <v>97.2</v>
      </c>
      <c r="BS53">
        <v>97.3</v>
      </c>
      <c r="BT53">
        <v>94</v>
      </c>
      <c r="BU53">
        <v>100.6</v>
      </c>
      <c r="BV53">
        <v>92.4</v>
      </c>
      <c r="BW53">
        <v>99</v>
      </c>
      <c r="BX53">
        <v>97.7</v>
      </c>
      <c r="BY53">
        <v>95</v>
      </c>
      <c r="BZ53">
        <v>97.9</v>
      </c>
      <c r="CA53">
        <v>97.9</v>
      </c>
      <c r="CB53">
        <v>99.8</v>
      </c>
      <c r="CC53">
        <v>103.7</v>
      </c>
      <c r="CD53">
        <v>110.7</v>
      </c>
      <c r="CE53">
        <v>105.1</v>
      </c>
      <c r="CF53">
        <v>115.8</v>
      </c>
      <c r="CG53">
        <v>102.8</v>
      </c>
      <c r="CH53">
        <v>123.1</v>
      </c>
      <c r="CI53">
        <v>123</v>
      </c>
      <c r="CJ53">
        <v>96.1</v>
      </c>
      <c r="CK53">
        <v>98.1</v>
      </c>
      <c r="CL53">
        <v>88</v>
      </c>
      <c r="CM53">
        <v>106.9</v>
      </c>
      <c r="CN53">
        <v>98.1</v>
      </c>
      <c r="CO53">
        <v>113.9</v>
      </c>
      <c r="CP53">
        <v>110.7</v>
      </c>
      <c r="CQ53">
        <v>105.9</v>
      </c>
      <c r="CR53">
        <v>110</v>
      </c>
      <c r="CS53">
        <v>103</v>
      </c>
      <c r="CT53">
        <v>108.7</v>
      </c>
      <c r="CU53">
        <v>101.2</v>
      </c>
      <c r="CV53">
        <v>92.5</v>
      </c>
      <c r="CW53">
        <v>96.6</v>
      </c>
      <c r="CX53">
        <v>93.5</v>
      </c>
      <c r="CY53">
        <v>93.3</v>
      </c>
      <c r="CZ53">
        <v>90.2</v>
      </c>
      <c r="DA53">
        <v>103.2</v>
      </c>
      <c r="DB53">
        <v>84.8</v>
      </c>
      <c r="DC53">
        <v>104.7</v>
      </c>
      <c r="DD53">
        <v>98.2</v>
      </c>
      <c r="DE53">
        <v>99.4</v>
      </c>
      <c r="DG53">
        <v>92.6</v>
      </c>
      <c r="DH53">
        <v>87.7</v>
      </c>
      <c r="DI53">
        <v>98.8</v>
      </c>
      <c r="DJ53">
        <v>87.8</v>
      </c>
      <c r="DK53">
        <v>88.9</v>
      </c>
      <c r="DL53">
        <v>89.1</v>
      </c>
      <c r="DM53">
        <v>78.7</v>
      </c>
      <c r="DN53">
        <v>97.9</v>
      </c>
      <c r="DO53">
        <v>98.1</v>
      </c>
      <c r="DP53">
        <v>98.4</v>
      </c>
      <c r="DQ53">
        <v>97.2</v>
      </c>
      <c r="DR53">
        <v>91.2</v>
      </c>
      <c r="DS53">
        <v>100.6</v>
      </c>
      <c r="DT53">
        <v>74</v>
      </c>
      <c r="DU53">
        <v>89.5</v>
      </c>
      <c r="DV53">
        <v>92.8</v>
      </c>
      <c r="DW53">
        <v>99.5</v>
      </c>
      <c r="DX53">
        <v>95.9</v>
      </c>
      <c r="DY53">
        <v>105.9</v>
      </c>
      <c r="DZ53">
        <v>90.8</v>
      </c>
      <c r="EA53">
        <v>90.6</v>
      </c>
      <c r="EB53">
        <v>94.8</v>
      </c>
      <c r="EC53">
        <v>96.7</v>
      </c>
      <c r="ED53">
        <v>98.5</v>
      </c>
      <c r="EE53">
        <v>98.1</v>
      </c>
      <c r="EF53">
        <v>64.2</v>
      </c>
      <c r="EG53">
        <v>80.400000000000006</v>
      </c>
      <c r="EH53">
        <v>74.2</v>
      </c>
      <c r="EI53">
        <v>89.7</v>
      </c>
      <c r="EJ53">
        <v>76.900000000000006</v>
      </c>
      <c r="EK53">
        <v>89.4</v>
      </c>
      <c r="EL53">
        <v>98.3</v>
      </c>
      <c r="EM53">
        <v>88.9</v>
      </c>
      <c r="EN53">
        <v>101.1</v>
      </c>
      <c r="EO53">
        <v>98.1</v>
      </c>
      <c r="EP53">
        <v>72.2</v>
      </c>
      <c r="ER53">
        <v>93.7</v>
      </c>
      <c r="ET53">
        <v>100.5</v>
      </c>
      <c r="EU53">
        <v>105.1</v>
      </c>
      <c r="EV53">
        <v>105.6</v>
      </c>
      <c r="EW53">
        <v>102.8</v>
      </c>
      <c r="EX53">
        <v>100</v>
      </c>
      <c r="EY53">
        <v>94.6</v>
      </c>
      <c r="EZ53">
        <v>99.4</v>
      </c>
      <c r="FA53">
        <v>97</v>
      </c>
      <c r="FB53">
        <v>100.6</v>
      </c>
      <c r="FC53">
        <v>101.1</v>
      </c>
      <c r="FD53">
        <v>102.6</v>
      </c>
      <c r="FE53">
        <v>102.2</v>
      </c>
      <c r="FF53">
        <v>103.8</v>
      </c>
      <c r="FG53">
        <v>100.1</v>
      </c>
      <c r="FH53">
        <v>101.1</v>
      </c>
      <c r="FI53">
        <v>103.8</v>
      </c>
      <c r="FJ53">
        <v>103.1</v>
      </c>
      <c r="FK53">
        <v>99.6</v>
      </c>
      <c r="FL53">
        <v>101.2</v>
      </c>
      <c r="FM53">
        <v>82.3</v>
      </c>
      <c r="FN53">
        <v>103.8</v>
      </c>
      <c r="FO53">
        <v>102.5</v>
      </c>
      <c r="FP53">
        <v>101.6</v>
      </c>
      <c r="FQ53">
        <v>95.6</v>
      </c>
      <c r="FR53">
        <v>95.5</v>
      </c>
      <c r="FS53">
        <v>90.4</v>
      </c>
      <c r="FT53">
        <v>92.4</v>
      </c>
      <c r="FU53">
        <v>98.2</v>
      </c>
      <c r="FV53">
        <v>88.5</v>
      </c>
      <c r="FW53">
        <v>92.9</v>
      </c>
      <c r="FX53">
        <v>95.6</v>
      </c>
      <c r="FY53">
        <v>92.4</v>
      </c>
      <c r="FZ53">
        <v>93.2</v>
      </c>
      <c r="GA53">
        <v>100.4</v>
      </c>
      <c r="GB53">
        <v>103.2</v>
      </c>
      <c r="GC53">
        <v>96.8</v>
      </c>
      <c r="GD53">
        <v>100.5</v>
      </c>
      <c r="GE53">
        <v>102.7</v>
      </c>
      <c r="GF53">
        <v>94.4</v>
      </c>
      <c r="GG53">
        <v>98.2</v>
      </c>
      <c r="GH53">
        <v>100.5</v>
      </c>
      <c r="GI53">
        <v>97.6</v>
      </c>
      <c r="GJ53">
        <v>95.8</v>
      </c>
      <c r="GK53">
        <v>94.2</v>
      </c>
      <c r="GL53">
        <v>96.5</v>
      </c>
      <c r="GM53">
        <v>90.3</v>
      </c>
      <c r="GN53">
        <v>101.2</v>
      </c>
      <c r="GO53">
        <v>94.7</v>
      </c>
      <c r="GP53">
        <v>95.1</v>
      </c>
      <c r="GQ53">
        <v>100.6</v>
      </c>
      <c r="GR53">
        <v>97</v>
      </c>
      <c r="GS53">
        <v>109.8</v>
      </c>
      <c r="GU53">
        <v>98.9</v>
      </c>
      <c r="GV53">
        <v>97.1</v>
      </c>
      <c r="GW53">
        <v>95.6</v>
      </c>
      <c r="GX53">
        <v>98.4</v>
      </c>
      <c r="GY53">
        <v>101.6</v>
      </c>
      <c r="GZ53">
        <v>96.8</v>
      </c>
      <c r="HA53">
        <v>107.1</v>
      </c>
      <c r="HB53">
        <v>99.4</v>
      </c>
      <c r="HD53">
        <v>112.6</v>
      </c>
      <c r="HE53">
        <v>108.2</v>
      </c>
      <c r="HG53">
        <v>102.1</v>
      </c>
      <c r="HH53">
        <v>100.5</v>
      </c>
      <c r="HI53">
        <v>91.2</v>
      </c>
      <c r="HJ53">
        <v>81.599999999999994</v>
      </c>
      <c r="HK53">
        <v>98.9</v>
      </c>
      <c r="HL53">
        <v>103.6</v>
      </c>
      <c r="HO53">
        <v>100.2</v>
      </c>
      <c r="HP53">
        <v>102.5</v>
      </c>
      <c r="HQ53">
        <v>100.3</v>
      </c>
      <c r="HR53">
        <v>102.6</v>
      </c>
      <c r="HS53">
        <v>104.2</v>
      </c>
      <c r="HT53">
        <v>102.8</v>
      </c>
      <c r="HU53">
        <v>96.5</v>
      </c>
      <c r="HV53">
        <v>106.8</v>
      </c>
      <c r="HW53">
        <v>105.7</v>
      </c>
      <c r="HX53">
        <v>100.3</v>
      </c>
      <c r="HY53">
        <v>98.3</v>
      </c>
      <c r="HZ53">
        <v>92</v>
      </c>
      <c r="IA53">
        <v>95.6</v>
      </c>
      <c r="IB53">
        <v>100.5</v>
      </c>
      <c r="IC53">
        <v>103.2</v>
      </c>
      <c r="IE53">
        <v>98.1</v>
      </c>
      <c r="IF53">
        <v>93.4</v>
      </c>
      <c r="IH53">
        <v>100.9</v>
      </c>
      <c r="II53">
        <v>101.7</v>
      </c>
      <c r="IJ53">
        <v>96.7</v>
      </c>
      <c r="IK53">
        <v>101.2</v>
      </c>
      <c r="IL53">
        <v>97.9</v>
      </c>
      <c r="IM53">
        <v>95</v>
      </c>
      <c r="IN53">
        <v>93.8</v>
      </c>
      <c r="IO53">
        <v>96.6</v>
      </c>
      <c r="IP53">
        <v>98.9</v>
      </c>
      <c r="IQ53">
        <v>103.8</v>
      </c>
      <c r="IR53">
        <v>101.7</v>
      </c>
      <c r="IS53">
        <v>91.7</v>
      </c>
      <c r="IT53">
        <v>95.5</v>
      </c>
      <c r="IU53">
        <v>95.1</v>
      </c>
      <c r="IV53">
        <v>95</v>
      </c>
      <c r="IW53">
        <v>95.4</v>
      </c>
      <c r="IX53">
        <v>94.7</v>
      </c>
      <c r="IY53">
        <v>95.4</v>
      </c>
      <c r="IZ53">
        <v>92.6</v>
      </c>
      <c r="JA53">
        <v>93.6</v>
      </c>
      <c r="JB53">
        <v>96.2</v>
      </c>
      <c r="JC53">
        <v>95.5</v>
      </c>
      <c r="JD53">
        <v>97.4</v>
      </c>
      <c r="JE53">
        <v>95.9</v>
      </c>
      <c r="JF53">
        <v>96.5</v>
      </c>
      <c r="JG53">
        <v>100</v>
      </c>
      <c r="JH53">
        <v>96.1</v>
      </c>
      <c r="JI53">
        <v>96.8</v>
      </c>
      <c r="JJ53">
        <v>93.5</v>
      </c>
      <c r="JK53">
        <v>94.8</v>
      </c>
      <c r="JL53">
        <v>94.9</v>
      </c>
      <c r="JM53">
        <v>108.1</v>
      </c>
      <c r="JN53">
        <v>103.6</v>
      </c>
      <c r="JO53">
        <v>95.3</v>
      </c>
      <c r="JP53">
        <v>95.4</v>
      </c>
      <c r="JQ53">
        <v>94.3</v>
      </c>
      <c r="JR53">
        <v>92.1</v>
      </c>
      <c r="JS53">
        <v>102.7</v>
      </c>
      <c r="JT53">
        <v>102.4</v>
      </c>
      <c r="JU53">
        <v>103.3</v>
      </c>
      <c r="JV53">
        <v>99.4</v>
      </c>
      <c r="JW53">
        <v>100.3</v>
      </c>
      <c r="JX53">
        <v>100.4</v>
      </c>
      <c r="JY53">
        <v>100.4</v>
      </c>
      <c r="JZ53">
        <v>99.1</v>
      </c>
      <c r="KA53">
        <v>99.3</v>
      </c>
      <c r="KB53">
        <v>98.9</v>
      </c>
      <c r="KC53">
        <v>100.3</v>
      </c>
      <c r="KD53">
        <v>100.3</v>
      </c>
      <c r="KE53">
        <v>94.5</v>
      </c>
      <c r="KF53">
        <v>99.6</v>
      </c>
      <c r="KG53">
        <v>98.7</v>
      </c>
      <c r="KH53">
        <v>101.1</v>
      </c>
      <c r="KI53">
        <v>107.6</v>
      </c>
      <c r="KJ53">
        <v>93.9</v>
      </c>
      <c r="KK53">
        <v>90.9</v>
      </c>
      <c r="KL53">
        <v>97.8</v>
      </c>
      <c r="KM53">
        <v>92.7</v>
      </c>
      <c r="KN53">
        <v>94.3</v>
      </c>
      <c r="KO53">
        <v>88.3</v>
      </c>
      <c r="KP53">
        <v>92.5</v>
      </c>
      <c r="KQ53">
        <v>95.7</v>
      </c>
      <c r="KS53">
        <v>95.2</v>
      </c>
      <c r="KT53">
        <v>91.9</v>
      </c>
      <c r="KU53">
        <v>95.8</v>
      </c>
      <c r="KV53">
        <v>93.1</v>
      </c>
      <c r="KW53">
        <v>92</v>
      </c>
      <c r="KX53">
        <v>90.4</v>
      </c>
      <c r="KY53">
        <v>93.4</v>
      </c>
      <c r="KZ53">
        <v>92.4</v>
      </c>
      <c r="LA53">
        <v>92.4</v>
      </c>
      <c r="LB53">
        <v>94.2</v>
      </c>
      <c r="LC53">
        <v>93.7</v>
      </c>
      <c r="LD53">
        <v>95</v>
      </c>
      <c r="LE53">
        <v>80.400000000000006</v>
      </c>
      <c r="LF53">
        <v>80.400000000000006</v>
      </c>
      <c r="LG53">
        <v>97.6</v>
      </c>
      <c r="LH53">
        <v>98.8</v>
      </c>
      <c r="LI53">
        <v>96</v>
      </c>
      <c r="LJ53">
        <v>97.1</v>
      </c>
      <c r="LK53">
        <v>96.4</v>
      </c>
      <c r="LL53">
        <v>98.7</v>
      </c>
      <c r="LM53">
        <v>94.2</v>
      </c>
      <c r="LN53">
        <v>87.3</v>
      </c>
      <c r="LO53">
        <v>94</v>
      </c>
      <c r="LP53">
        <v>108</v>
      </c>
      <c r="LQ53">
        <v>99.6</v>
      </c>
      <c r="LR53">
        <v>100.6</v>
      </c>
      <c r="LS53">
        <v>101.5</v>
      </c>
      <c r="LT53">
        <v>93</v>
      </c>
      <c r="LU53">
        <v>92</v>
      </c>
      <c r="LV53">
        <v>96.3</v>
      </c>
      <c r="LW53">
        <v>99.3</v>
      </c>
      <c r="LX53">
        <v>96.8</v>
      </c>
      <c r="LY53">
        <v>96.5</v>
      </c>
      <c r="MA53">
        <v>97.7</v>
      </c>
      <c r="MB53">
        <v>100</v>
      </c>
      <c r="MC53">
        <v>111.5</v>
      </c>
      <c r="MD53">
        <v>99.6</v>
      </c>
      <c r="ME53">
        <v>93.9</v>
      </c>
      <c r="MG53">
        <v>96.3</v>
      </c>
      <c r="MH53">
        <v>89.1</v>
      </c>
      <c r="MI53">
        <v>97.5</v>
      </c>
      <c r="MJ53">
        <v>97.4</v>
      </c>
      <c r="MK53">
        <v>102.6</v>
      </c>
      <c r="MM53">
        <v>97.2</v>
      </c>
      <c r="MN53">
        <v>97.8</v>
      </c>
      <c r="MO53">
        <v>96.4</v>
      </c>
      <c r="MP53">
        <v>98.8</v>
      </c>
      <c r="MQ53">
        <v>100.7</v>
      </c>
      <c r="MR53">
        <v>112</v>
      </c>
      <c r="MS53">
        <v>98.2</v>
      </c>
      <c r="MT53">
        <v>98.5</v>
      </c>
      <c r="MU53">
        <v>96.5</v>
      </c>
      <c r="MV53">
        <v>94.5</v>
      </c>
      <c r="MW53">
        <v>89.4</v>
      </c>
      <c r="MX53">
        <v>92.1</v>
      </c>
      <c r="MY53">
        <v>103</v>
      </c>
      <c r="MZ53">
        <v>99.3</v>
      </c>
      <c r="NB53">
        <v>97.8</v>
      </c>
      <c r="NC53">
        <v>90.3</v>
      </c>
      <c r="ND53">
        <v>87.7</v>
      </c>
      <c r="NE53">
        <v>91.9</v>
      </c>
      <c r="NF53">
        <v>101.2</v>
      </c>
      <c r="NG53">
        <v>108.5</v>
      </c>
      <c r="NH53">
        <v>97</v>
      </c>
      <c r="NI53">
        <v>99.9</v>
      </c>
      <c r="NJ53">
        <v>98.1</v>
      </c>
      <c r="NK53">
        <v>97</v>
      </c>
      <c r="NL53">
        <v>99.3</v>
      </c>
      <c r="NM53">
        <v>105.3</v>
      </c>
      <c r="NN53">
        <v>100.4</v>
      </c>
      <c r="NO53">
        <v>95.4</v>
      </c>
      <c r="NQ53">
        <v>96.6</v>
      </c>
      <c r="NR53">
        <v>93</v>
      </c>
      <c r="NS53">
        <v>93</v>
      </c>
      <c r="NT53">
        <v>96.8</v>
      </c>
      <c r="NU53">
        <v>98.2</v>
      </c>
      <c r="NV53">
        <v>96.3</v>
      </c>
      <c r="NW53">
        <v>98.2</v>
      </c>
      <c r="NX53">
        <v>98.2</v>
      </c>
      <c r="NY53">
        <v>98.4</v>
      </c>
      <c r="NZ53">
        <v>99.2</v>
      </c>
      <c r="OA53">
        <v>97.4</v>
      </c>
      <c r="OB53">
        <v>97.9</v>
      </c>
      <c r="OC53">
        <v>96.5</v>
      </c>
      <c r="OD53">
        <v>99.3</v>
      </c>
      <c r="OE53">
        <v>95.9</v>
      </c>
      <c r="OF53">
        <v>90.1</v>
      </c>
      <c r="OG53">
        <v>98.5</v>
      </c>
      <c r="OH53">
        <v>93.6</v>
      </c>
      <c r="OI53">
        <v>100.1</v>
      </c>
      <c r="OJ53">
        <v>92.7</v>
      </c>
      <c r="OK53">
        <v>99.4</v>
      </c>
      <c r="OL53">
        <v>95.2</v>
      </c>
      <c r="OM53">
        <v>97.9</v>
      </c>
      <c r="ON53">
        <v>99.7</v>
      </c>
      <c r="OO53">
        <v>96.6</v>
      </c>
      <c r="OP53">
        <v>98</v>
      </c>
      <c r="OQ53">
        <v>100.5</v>
      </c>
      <c r="OR53">
        <v>97.1</v>
      </c>
      <c r="OS53">
        <v>94.1</v>
      </c>
      <c r="OT53">
        <v>96.5</v>
      </c>
      <c r="OU53">
        <v>98.7</v>
      </c>
      <c r="OV53">
        <v>92.8</v>
      </c>
      <c r="OW53">
        <v>94.3</v>
      </c>
      <c r="OX53">
        <v>97.9</v>
      </c>
      <c r="OY53">
        <v>93.7</v>
      </c>
      <c r="OZ53">
        <v>94.1</v>
      </c>
      <c r="PA53">
        <v>111.2</v>
      </c>
      <c r="PB53">
        <v>97.2</v>
      </c>
      <c r="PC53">
        <v>96.1</v>
      </c>
      <c r="PD53">
        <v>117.3</v>
      </c>
      <c r="PG53">
        <v>109.5</v>
      </c>
      <c r="PH53">
        <v>98.8</v>
      </c>
      <c r="PI53">
        <v>99.5</v>
      </c>
      <c r="PJ53">
        <v>101</v>
      </c>
      <c r="PK53">
        <v>100.2</v>
      </c>
      <c r="PL53">
        <v>99.7</v>
      </c>
      <c r="PM53">
        <v>102.2</v>
      </c>
      <c r="PN53">
        <v>101.7</v>
      </c>
      <c r="PO53">
        <v>99.3</v>
      </c>
      <c r="PP53">
        <v>101.2</v>
      </c>
      <c r="PQ53">
        <v>101.6</v>
      </c>
      <c r="PR53">
        <v>101.1</v>
      </c>
      <c r="PS53">
        <v>98.1</v>
      </c>
      <c r="PT53">
        <v>97.1</v>
      </c>
      <c r="PU53">
        <v>101.8</v>
      </c>
      <c r="PV53">
        <v>96.3</v>
      </c>
      <c r="PW53">
        <v>95.2</v>
      </c>
      <c r="PX53">
        <v>97.4</v>
      </c>
      <c r="PY53">
        <v>97</v>
      </c>
      <c r="PZ53">
        <v>98.2</v>
      </c>
      <c r="QA53">
        <v>100.5</v>
      </c>
      <c r="QB53">
        <v>96.1</v>
      </c>
      <c r="QC53">
        <v>98</v>
      </c>
      <c r="QD53">
        <v>97.2</v>
      </c>
      <c r="QE53">
        <v>97.2</v>
      </c>
      <c r="QF53">
        <v>94.9</v>
      </c>
      <c r="QG53">
        <v>99.7</v>
      </c>
      <c r="QH53">
        <v>93.1</v>
      </c>
      <c r="QI53">
        <v>93.1</v>
      </c>
      <c r="QJ53">
        <v>96.7</v>
      </c>
      <c r="QK53">
        <v>96.2</v>
      </c>
      <c r="QL53">
        <v>97.7</v>
      </c>
      <c r="QM53">
        <v>100.1</v>
      </c>
      <c r="QN53">
        <v>94.9</v>
      </c>
      <c r="QO53">
        <v>93.7</v>
      </c>
      <c r="QP53">
        <v>98.5</v>
      </c>
      <c r="QQ53">
        <v>99.1</v>
      </c>
      <c r="QR53">
        <v>99.3</v>
      </c>
      <c r="QS53">
        <v>106</v>
      </c>
      <c r="QT53">
        <v>98.3</v>
      </c>
      <c r="QU53">
        <v>99.8</v>
      </c>
      <c r="QV53">
        <v>97.4</v>
      </c>
      <c r="QW53">
        <v>97.9</v>
      </c>
      <c r="QX53">
        <v>99.1</v>
      </c>
      <c r="QY53">
        <v>93.3</v>
      </c>
      <c r="QZ53">
        <v>93.6</v>
      </c>
      <c r="RA53">
        <v>91.9</v>
      </c>
      <c r="RB53">
        <v>93.8</v>
      </c>
      <c r="RC53">
        <v>96.1</v>
      </c>
      <c r="RD53">
        <v>96.8</v>
      </c>
      <c r="RE53">
        <v>99.4</v>
      </c>
      <c r="RF53">
        <v>99.1</v>
      </c>
      <c r="RG53">
        <v>102.7</v>
      </c>
      <c r="RH53">
        <v>104.3</v>
      </c>
      <c r="RI53">
        <v>97.7</v>
      </c>
      <c r="RJ53">
        <v>100.1</v>
      </c>
      <c r="RK53">
        <v>98.2</v>
      </c>
      <c r="RL53">
        <v>100.3</v>
      </c>
      <c r="RM53">
        <v>97.1</v>
      </c>
      <c r="RN53">
        <v>100.9</v>
      </c>
      <c r="RO53">
        <v>97</v>
      </c>
      <c r="RP53">
        <v>98.6</v>
      </c>
      <c r="RQ53">
        <v>100.2</v>
      </c>
      <c r="RR53">
        <v>98.6</v>
      </c>
      <c r="RS53">
        <v>98.3</v>
      </c>
      <c r="RT53">
        <v>101.5</v>
      </c>
      <c r="RU53">
        <v>96.8</v>
      </c>
      <c r="RV53">
        <v>101.5</v>
      </c>
      <c r="RW53">
        <v>103.3</v>
      </c>
      <c r="RX53">
        <v>97.7</v>
      </c>
      <c r="RY53">
        <v>105.2</v>
      </c>
      <c r="SA53">
        <v>98.4</v>
      </c>
      <c r="SB53">
        <v>89.4</v>
      </c>
      <c r="SC53">
        <v>99.1</v>
      </c>
      <c r="SD53">
        <v>98.9</v>
      </c>
      <c r="SE53">
        <v>98.2</v>
      </c>
      <c r="SF53">
        <v>95.2</v>
      </c>
      <c r="SG53">
        <v>94.9</v>
      </c>
      <c r="SH53">
        <v>97.8</v>
      </c>
      <c r="SI53">
        <v>98</v>
      </c>
      <c r="SJ53">
        <v>97.2</v>
      </c>
      <c r="SK53">
        <v>99.3</v>
      </c>
      <c r="SL53">
        <v>97.4</v>
      </c>
      <c r="SM53">
        <v>97.9</v>
      </c>
      <c r="SN53">
        <v>97.7</v>
      </c>
      <c r="SO53">
        <v>98</v>
      </c>
      <c r="SP53">
        <v>98.2</v>
      </c>
      <c r="SQ53">
        <v>97.3</v>
      </c>
      <c r="SR53">
        <v>97.9</v>
      </c>
      <c r="SS53">
        <v>97.6</v>
      </c>
      <c r="ST53">
        <v>97</v>
      </c>
      <c r="SU53">
        <v>98.4</v>
      </c>
      <c r="SV53">
        <v>98.1</v>
      </c>
      <c r="SX53">
        <v>97.3</v>
      </c>
      <c r="SY53">
        <v>95.9</v>
      </c>
      <c r="SZ53">
        <v>92.4</v>
      </c>
      <c r="TA53">
        <v>101.9</v>
      </c>
      <c r="TB53">
        <v>96.4</v>
      </c>
      <c r="TC53">
        <v>96.8</v>
      </c>
      <c r="TD53">
        <v>95.3</v>
      </c>
      <c r="TE53">
        <v>96.3</v>
      </c>
      <c r="TF53">
        <v>97.3</v>
      </c>
      <c r="TG53">
        <v>99.1</v>
      </c>
      <c r="TH53">
        <v>97.1</v>
      </c>
      <c r="TI53">
        <v>97.3</v>
      </c>
      <c r="TJ53">
        <v>93.7</v>
      </c>
      <c r="TK53">
        <v>95</v>
      </c>
      <c r="TL53">
        <v>92.7</v>
      </c>
      <c r="TM53">
        <v>99.9</v>
      </c>
      <c r="TN53">
        <v>96</v>
      </c>
      <c r="TO53">
        <v>91</v>
      </c>
      <c r="TP53">
        <v>90.6</v>
      </c>
      <c r="TQ53">
        <v>88.1</v>
      </c>
      <c r="TR53">
        <v>109.9</v>
      </c>
      <c r="TT53">
        <v>94.6</v>
      </c>
      <c r="TU53">
        <v>96.6</v>
      </c>
      <c r="TV53">
        <v>96</v>
      </c>
      <c r="TW53">
        <v>98.8</v>
      </c>
      <c r="TX53">
        <v>96.5</v>
      </c>
      <c r="TY53">
        <v>100</v>
      </c>
      <c r="TZ53">
        <v>98.8</v>
      </c>
      <c r="UA53">
        <v>92.6</v>
      </c>
      <c r="UB53">
        <v>98.1</v>
      </c>
      <c r="UC53">
        <v>121.8</v>
      </c>
      <c r="UD53">
        <v>96</v>
      </c>
      <c r="UE53">
        <v>107.3</v>
      </c>
      <c r="UF53">
        <v>82.5</v>
      </c>
      <c r="UG53">
        <v>97.6</v>
      </c>
      <c r="UH53">
        <v>98.2</v>
      </c>
      <c r="UI53">
        <v>113.5</v>
      </c>
      <c r="UJ53">
        <v>87.5</v>
      </c>
      <c r="UK53">
        <v>108.1</v>
      </c>
      <c r="UL53">
        <v>109.3</v>
      </c>
      <c r="UM53">
        <v>116.7</v>
      </c>
      <c r="UN53">
        <v>101.3</v>
      </c>
      <c r="UO53">
        <v>101.6</v>
      </c>
      <c r="UP53">
        <v>98.4</v>
      </c>
      <c r="UQ53">
        <v>100</v>
      </c>
      <c r="UR53">
        <v>104.6</v>
      </c>
      <c r="US53">
        <v>104.7</v>
      </c>
      <c r="UT53">
        <v>101.1</v>
      </c>
      <c r="UU53">
        <v>103.4</v>
      </c>
      <c r="UV53">
        <v>100.2</v>
      </c>
      <c r="UW53">
        <v>97.8</v>
      </c>
      <c r="UX53">
        <v>98.2</v>
      </c>
      <c r="UY53">
        <v>97.4</v>
      </c>
      <c r="UZ53">
        <v>95.8</v>
      </c>
      <c r="VA53">
        <v>97.2</v>
      </c>
      <c r="VB53">
        <v>97.1</v>
      </c>
      <c r="VC53">
        <v>92.9</v>
      </c>
      <c r="VD53">
        <v>98.1</v>
      </c>
      <c r="VE53">
        <v>101.8</v>
      </c>
      <c r="VF53">
        <v>112.8</v>
      </c>
      <c r="VG53">
        <v>118</v>
      </c>
      <c r="VH53">
        <v>91.6</v>
      </c>
      <c r="VI53">
        <v>106.9</v>
      </c>
      <c r="VK53">
        <v>73.400000000000006</v>
      </c>
      <c r="VL53">
        <v>92</v>
      </c>
      <c r="VM53">
        <v>98.2</v>
      </c>
      <c r="VN53">
        <v>96.4</v>
      </c>
      <c r="VO53">
        <v>96.6</v>
      </c>
      <c r="VP53">
        <v>92.3</v>
      </c>
      <c r="VQ53">
        <v>100.9</v>
      </c>
      <c r="VR53">
        <v>88.8</v>
      </c>
      <c r="VS53">
        <v>94</v>
      </c>
      <c r="VT53">
        <v>98.2</v>
      </c>
      <c r="VU53">
        <v>95</v>
      </c>
      <c r="VV53">
        <v>95</v>
      </c>
      <c r="VW53">
        <v>99.4</v>
      </c>
      <c r="VX53">
        <v>94.6</v>
      </c>
      <c r="VY53">
        <v>108.8</v>
      </c>
      <c r="VZ53">
        <v>93.8</v>
      </c>
      <c r="WA53">
        <v>94</v>
      </c>
      <c r="WB53">
        <v>100.7</v>
      </c>
      <c r="WC53">
        <v>105.7</v>
      </c>
      <c r="WD53">
        <v>98.7</v>
      </c>
      <c r="WE53">
        <v>98.9</v>
      </c>
      <c r="WF53">
        <v>101.4</v>
      </c>
      <c r="WG53">
        <v>102.3</v>
      </c>
      <c r="WH53">
        <v>96.1</v>
      </c>
      <c r="WI53">
        <v>96.7</v>
      </c>
      <c r="WJ53">
        <v>96.8</v>
      </c>
      <c r="WK53">
        <v>94</v>
      </c>
      <c r="WL53">
        <v>95.9</v>
      </c>
      <c r="WM53">
        <v>139.19999999999999</v>
      </c>
      <c r="WN53">
        <v>97.8</v>
      </c>
      <c r="WO53">
        <v>97.5</v>
      </c>
      <c r="WP53">
        <v>88.5</v>
      </c>
      <c r="WQ53">
        <v>100.2</v>
      </c>
      <c r="WR53">
        <v>99.8</v>
      </c>
      <c r="WS53">
        <v>96.1</v>
      </c>
      <c r="WT53">
        <v>95.8</v>
      </c>
      <c r="WU53">
        <v>99.4</v>
      </c>
      <c r="WV53">
        <v>97</v>
      </c>
      <c r="WW53">
        <v>86.9</v>
      </c>
      <c r="WX53">
        <v>94.5</v>
      </c>
      <c r="WY53">
        <v>94.9</v>
      </c>
      <c r="WZ53">
        <v>94.5</v>
      </c>
      <c r="XA53">
        <v>95.1</v>
      </c>
      <c r="XB53">
        <v>87.2</v>
      </c>
      <c r="XC53">
        <v>86.8</v>
      </c>
      <c r="XD53">
        <v>88.9</v>
      </c>
      <c r="XE53">
        <v>96.7</v>
      </c>
      <c r="XF53">
        <v>94.7</v>
      </c>
      <c r="XG53">
        <v>97.9</v>
      </c>
      <c r="XH53">
        <v>99</v>
      </c>
      <c r="XI53">
        <v>114.6</v>
      </c>
      <c r="XJ53">
        <v>114.6</v>
      </c>
      <c r="XK53">
        <v>92.1</v>
      </c>
      <c r="XL53">
        <v>92.1</v>
      </c>
      <c r="XM53">
        <v>95.1</v>
      </c>
      <c r="XN53">
        <v>89.9</v>
      </c>
      <c r="XO53">
        <v>96.8</v>
      </c>
      <c r="XP53">
        <v>97.9</v>
      </c>
      <c r="XQ53">
        <v>94.2</v>
      </c>
      <c r="XR53">
        <v>94.6</v>
      </c>
      <c r="XT53">
        <v>97.1</v>
      </c>
      <c r="XU53">
        <v>96.7</v>
      </c>
      <c r="XV53">
        <v>98.2</v>
      </c>
      <c r="XW53">
        <v>100.7</v>
      </c>
      <c r="XX53">
        <v>96</v>
      </c>
      <c r="XY53">
        <v>93.3</v>
      </c>
      <c r="XZ53">
        <v>96.1</v>
      </c>
      <c r="YA53">
        <v>97.9</v>
      </c>
      <c r="YB53">
        <v>95.1</v>
      </c>
      <c r="YC53">
        <v>93.9</v>
      </c>
      <c r="YD53">
        <v>98.2</v>
      </c>
      <c r="YE53">
        <v>97.3</v>
      </c>
      <c r="YF53">
        <v>99</v>
      </c>
      <c r="YG53">
        <v>95.2</v>
      </c>
      <c r="YH53">
        <v>98.7</v>
      </c>
      <c r="YI53">
        <v>96.7</v>
      </c>
      <c r="YJ53">
        <v>92.8</v>
      </c>
      <c r="YK53">
        <v>93.1</v>
      </c>
      <c r="YL53">
        <v>89.2</v>
      </c>
      <c r="YM53">
        <v>96.5</v>
      </c>
      <c r="YO53">
        <v>93.3</v>
      </c>
      <c r="YP53">
        <v>98.2</v>
      </c>
      <c r="YQ53">
        <v>88.1</v>
      </c>
      <c r="YR53">
        <v>97.6</v>
      </c>
      <c r="YS53">
        <v>94</v>
      </c>
      <c r="YT53">
        <v>101.5</v>
      </c>
      <c r="YU53">
        <v>97.1</v>
      </c>
      <c r="YV53">
        <v>97</v>
      </c>
      <c r="YW53">
        <v>97.9</v>
      </c>
      <c r="YX53">
        <v>96.7</v>
      </c>
      <c r="YY53">
        <v>96.5</v>
      </c>
      <c r="YZ53">
        <v>97.2</v>
      </c>
      <c r="ZA53">
        <v>97.6</v>
      </c>
      <c r="ZB53">
        <v>99.3</v>
      </c>
      <c r="ZC53">
        <v>103</v>
      </c>
      <c r="ZD53">
        <v>108.5</v>
      </c>
      <c r="ZE53">
        <v>97.9</v>
      </c>
      <c r="ZF53">
        <v>99.2</v>
      </c>
      <c r="ZG53">
        <v>100.4</v>
      </c>
      <c r="ZH53">
        <v>91.4</v>
      </c>
      <c r="ZI53">
        <v>101.7</v>
      </c>
      <c r="ZK53">
        <v>101.3</v>
      </c>
      <c r="ZL53">
        <v>101.8</v>
      </c>
      <c r="ZM53">
        <v>100.4</v>
      </c>
      <c r="ZN53">
        <v>99</v>
      </c>
      <c r="ZO53">
        <v>99</v>
      </c>
      <c r="ZP53">
        <v>101.7</v>
      </c>
      <c r="ZQ53">
        <v>98.2</v>
      </c>
      <c r="ZR53">
        <v>97.6</v>
      </c>
      <c r="ZS53">
        <v>98.2</v>
      </c>
      <c r="ZT53">
        <v>97.5</v>
      </c>
      <c r="ZU53">
        <v>98.2</v>
      </c>
      <c r="ZV53">
        <v>91.8</v>
      </c>
      <c r="ZW53">
        <v>99.2</v>
      </c>
      <c r="ZX53">
        <v>112.8</v>
      </c>
      <c r="ZY53">
        <v>98.2</v>
      </c>
      <c r="ZZ53">
        <v>98.5</v>
      </c>
      <c r="AAA53">
        <v>101.2</v>
      </c>
      <c r="AAC53">
        <v>94.8</v>
      </c>
      <c r="AAD53">
        <v>93.5</v>
      </c>
      <c r="AAE53">
        <v>95.3</v>
      </c>
      <c r="AAF53">
        <v>90.9</v>
      </c>
      <c r="AAG53">
        <v>90.5</v>
      </c>
      <c r="AAH53">
        <v>101.3</v>
      </c>
      <c r="AAI53">
        <v>97.6</v>
      </c>
      <c r="AAJ53">
        <v>95.8</v>
      </c>
      <c r="AAK53">
        <v>98.2</v>
      </c>
      <c r="AAL53">
        <v>97.2</v>
      </c>
      <c r="AAM53">
        <v>96.8</v>
      </c>
      <c r="AAN53">
        <v>97.9</v>
      </c>
      <c r="AAO53">
        <v>87.5</v>
      </c>
      <c r="AAP53">
        <v>87.4</v>
      </c>
      <c r="AAQ53">
        <v>87.5</v>
      </c>
      <c r="AAR53">
        <v>112.8</v>
      </c>
      <c r="AAT53">
        <v>95.4</v>
      </c>
      <c r="AAU53">
        <v>242</v>
      </c>
      <c r="AAW53">
        <v>94.1</v>
      </c>
      <c r="AAX53">
        <v>98.3</v>
      </c>
      <c r="AAY53">
        <v>100</v>
      </c>
      <c r="AAZ53">
        <v>99.4</v>
      </c>
      <c r="ABA53">
        <v>91.5</v>
      </c>
      <c r="ABB53">
        <v>97.2</v>
      </c>
      <c r="ABC53">
        <v>93.4</v>
      </c>
      <c r="ABD53">
        <v>103.7</v>
      </c>
      <c r="ABE53">
        <v>90.6</v>
      </c>
      <c r="ABF53">
        <v>98.2</v>
      </c>
      <c r="ABG53">
        <v>96.3</v>
      </c>
      <c r="ABH53">
        <v>97.8</v>
      </c>
      <c r="ABI53">
        <v>97.2</v>
      </c>
      <c r="ABJ53">
        <v>100.3</v>
      </c>
      <c r="ABK53">
        <v>97.8</v>
      </c>
      <c r="ABL53">
        <v>91.8</v>
      </c>
      <c r="ABM53">
        <v>98.8</v>
      </c>
      <c r="ABN53">
        <v>99.6</v>
      </c>
      <c r="ABO53">
        <v>106.4</v>
      </c>
      <c r="ABP53">
        <v>98.2</v>
      </c>
      <c r="ABQ53">
        <v>104.8</v>
      </c>
    </row>
    <row r="54" spans="1:748">
      <c r="A54">
        <v>2017</v>
      </c>
      <c r="B54">
        <v>98.9</v>
      </c>
      <c r="C54">
        <v>97.5</v>
      </c>
      <c r="D54">
        <v>97.8</v>
      </c>
      <c r="E54">
        <v>96.6</v>
      </c>
      <c r="F54">
        <v>97</v>
      </c>
      <c r="G54">
        <v>96.2</v>
      </c>
      <c r="H54">
        <v>98.8</v>
      </c>
      <c r="I54">
        <v>99.6</v>
      </c>
      <c r="J54">
        <v>96</v>
      </c>
      <c r="K54">
        <v>101.4</v>
      </c>
      <c r="L54">
        <v>97.4</v>
      </c>
      <c r="M54">
        <v>97.3</v>
      </c>
      <c r="N54">
        <v>98.1</v>
      </c>
      <c r="O54">
        <v>99.8</v>
      </c>
      <c r="P54">
        <v>95.8</v>
      </c>
      <c r="Q54">
        <v>98.6</v>
      </c>
      <c r="R54">
        <v>99.7</v>
      </c>
      <c r="S54">
        <v>91.9</v>
      </c>
      <c r="T54">
        <v>103</v>
      </c>
      <c r="V54">
        <v>97</v>
      </c>
      <c r="W54">
        <v>99.1</v>
      </c>
      <c r="X54">
        <v>104.7</v>
      </c>
      <c r="Y54">
        <v>96.6</v>
      </c>
      <c r="Z54">
        <v>96.6</v>
      </c>
      <c r="AA54">
        <v>106</v>
      </c>
      <c r="AB54">
        <v>101.8</v>
      </c>
      <c r="AC54">
        <v>104.7</v>
      </c>
      <c r="AD54">
        <v>81.099999999999994</v>
      </c>
      <c r="AE54">
        <v>97.4</v>
      </c>
      <c r="AF54">
        <v>97.7</v>
      </c>
      <c r="AG54">
        <v>91.8</v>
      </c>
      <c r="AH54">
        <v>88.4</v>
      </c>
      <c r="AI54">
        <v>103</v>
      </c>
      <c r="AJ54">
        <v>97.6</v>
      </c>
      <c r="AK54">
        <v>101.1</v>
      </c>
      <c r="AL54">
        <v>117.2</v>
      </c>
      <c r="AM54">
        <v>93.2</v>
      </c>
      <c r="AN54">
        <v>95.2</v>
      </c>
      <c r="AO54">
        <v>97.2</v>
      </c>
      <c r="AP54">
        <v>85.6</v>
      </c>
      <c r="AQ54">
        <v>95.8</v>
      </c>
      <c r="AR54">
        <v>93.6</v>
      </c>
      <c r="AS54">
        <v>87.7</v>
      </c>
      <c r="AT54">
        <v>92.3</v>
      </c>
      <c r="AU54">
        <v>97</v>
      </c>
      <c r="AV54">
        <v>96.1</v>
      </c>
      <c r="AW54">
        <v>98.2</v>
      </c>
      <c r="AX54">
        <v>96.9</v>
      </c>
      <c r="AY54">
        <v>93.4</v>
      </c>
      <c r="AZ54">
        <v>96.1</v>
      </c>
      <c r="BA54">
        <v>92.1</v>
      </c>
      <c r="BB54">
        <v>92.2</v>
      </c>
      <c r="BC54">
        <v>96.4</v>
      </c>
      <c r="BD54">
        <v>98</v>
      </c>
      <c r="BE54">
        <v>96.7</v>
      </c>
      <c r="BF54">
        <v>96.2</v>
      </c>
      <c r="BG54">
        <v>92.8</v>
      </c>
      <c r="BH54">
        <v>94.5</v>
      </c>
      <c r="BJ54">
        <v>100.2</v>
      </c>
      <c r="BK54">
        <v>104.2</v>
      </c>
      <c r="BL54">
        <v>103.2</v>
      </c>
      <c r="BM54">
        <v>105.5</v>
      </c>
      <c r="BN54">
        <v>102.6</v>
      </c>
      <c r="BP54">
        <v>95.5</v>
      </c>
      <c r="BQ54">
        <v>94.6</v>
      </c>
      <c r="BR54">
        <v>96.4</v>
      </c>
      <c r="BS54">
        <v>96.5</v>
      </c>
      <c r="BT54">
        <v>93.2</v>
      </c>
      <c r="BU54">
        <v>100.2</v>
      </c>
      <c r="BV54">
        <v>91.2</v>
      </c>
      <c r="BW54">
        <v>99.4</v>
      </c>
      <c r="BX54">
        <v>97.5</v>
      </c>
      <c r="BY54">
        <v>94.1</v>
      </c>
      <c r="BZ54">
        <v>98.9</v>
      </c>
      <c r="CA54">
        <v>98.9</v>
      </c>
      <c r="CB54">
        <v>100.4</v>
      </c>
      <c r="CC54">
        <v>103.2</v>
      </c>
      <c r="CD54">
        <v>120.5</v>
      </c>
      <c r="CE54">
        <v>119.3</v>
      </c>
      <c r="CF54">
        <v>124.5</v>
      </c>
      <c r="CG54">
        <v>103.7</v>
      </c>
      <c r="CH54">
        <v>130.19999999999999</v>
      </c>
      <c r="CI54">
        <v>126.4</v>
      </c>
      <c r="CJ54">
        <v>97.8</v>
      </c>
      <c r="CK54">
        <v>101.5</v>
      </c>
      <c r="CL54">
        <v>84</v>
      </c>
      <c r="CM54">
        <v>95</v>
      </c>
      <c r="CN54">
        <v>93.2</v>
      </c>
      <c r="CO54">
        <v>119.8</v>
      </c>
      <c r="CP54">
        <v>92.2</v>
      </c>
      <c r="CQ54">
        <v>104.8</v>
      </c>
      <c r="CR54">
        <v>101.5</v>
      </c>
      <c r="CS54">
        <v>95.3</v>
      </c>
      <c r="CT54">
        <v>124.6</v>
      </c>
      <c r="CU54">
        <v>99.5</v>
      </c>
      <c r="CV54">
        <v>91.9</v>
      </c>
      <c r="CW54">
        <v>99.8</v>
      </c>
      <c r="CX54">
        <v>93.2</v>
      </c>
      <c r="CY54">
        <v>91</v>
      </c>
      <c r="CZ54">
        <v>90.4</v>
      </c>
      <c r="DA54">
        <v>95.4</v>
      </c>
      <c r="DB54">
        <v>86.3</v>
      </c>
      <c r="DC54">
        <v>104.2</v>
      </c>
      <c r="DD54">
        <v>99</v>
      </c>
      <c r="DE54">
        <v>100.3</v>
      </c>
      <c r="DG54">
        <v>95.2</v>
      </c>
      <c r="DH54">
        <v>92.9</v>
      </c>
      <c r="DI54">
        <v>99.9</v>
      </c>
      <c r="DJ54">
        <v>94.6</v>
      </c>
      <c r="DK54">
        <v>92.6</v>
      </c>
      <c r="DL54">
        <v>89.7</v>
      </c>
      <c r="DM54">
        <v>88.4</v>
      </c>
      <c r="DN54">
        <v>97.9</v>
      </c>
      <c r="DO54">
        <v>98.7</v>
      </c>
      <c r="DP54">
        <v>98.6</v>
      </c>
      <c r="DQ54">
        <v>96.1</v>
      </c>
      <c r="DR54">
        <v>94.4</v>
      </c>
      <c r="DS54">
        <v>100.2</v>
      </c>
      <c r="DT54">
        <v>86.1</v>
      </c>
      <c r="DU54">
        <v>92.2</v>
      </c>
      <c r="DV54">
        <v>95</v>
      </c>
      <c r="DW54">
        <v>99.5</v>
      </c>
      <c r="DX54">
        <v>96.3</v>
      </c>
      <c r="DY54">
        <v>99.9</v>
      </c>
      <c r="DZ54">
        <v>91.3</v>
      </c>
      <c r="EA54">
        <v>91</v>
      </c>
      <c r="EB54">
        <v>86.9</v>
      </c>
      <c r="EC54">
        <v>102.8</v>
      </c>
      <c r="ED54">
        <v>102.3</v>
      </c>
      <c r="EE54">
        <v>95</v>
      </c>
      <c r="EF54">
        <v>65.8</v>
      </c>
      <c r="EG54">
        <v>85.7</v>
      </c>
      <c r="EH54">
        <v>77.7</v>
      </c>
      <c r="EI54">
        <v>86.8</v>
      </c>
      <c r="EJ54">
        <v>80.5</v>
      </c>
      <c r="EK54">
        <v>91.9</v>
      </c>
      <c r="EL54">
        <v>100.1</v>
      </c>
      <c r="EM54">
        <v>92.3</v>
      </c>
      <c r="EN54">
        <v>96.2</v>
      </c>
      <c r="EO54">
        <v>98.7</v>
      </c>
      <c r="EP54">
        <v>81.099999999999994</v>
      </c>
      <c r="ER54">
        <v>94.6</v>
      </c>
      <c r="ET54">
        <v>100.9</v>
      </c>
      <c r="EU54">
        <v>102.2</v>
      </c>
      <c r="EV54">
        <v>102.2</v>
      </c>
      <c r="EW54">
        <v>102.3</v>
      </c>
      <c r="EX54">
        <v>100.7</v>
      </c>
      <c r="EY54">
        <v>94.4</v>
      </c>
      <c r="EZ54">
        <v>100.1</v>
      </c>
      <c r="FA54">
        <v>96.9</v>
      </c>
      <c r="FB54">
        <v>101.6</v>
      </c>
      <c r="FC54">
        <v>101.4</v>
      </c>
      <c r="FD54">
        <v>103.1</v>
      </c>
      <c r="FE54">
        <v>101.9</v>
      </c>
      <c r="FF54">
        <v>101.9</v>
      </c>
      <c r="FG54">
        <v>99.3</v>
      </c>
      <c r="FH54">
        <v>100.3</v>
      </c>
      <c r="FI54">
        <v>103.3</v>
      </c>
      <c r="FJ54">
        <v>103.1</v>
      </c>
      <c r="FK54">
        <v>99.2</v>
      </c>
      <c r="FL54">
        <v>100.6</v>
      </c>
      <c r="FM54">
        <v>96.2</v>
      </c>
      <c r="FN54">
        <v>104.5</v>
      </c>
      <c r="FO54">
        <v>101.7</v>
      </c>
      <c r="FP54">
        <v>101.1</v>
      </c>
      <c r="FQ54">
        <v>96.2</v>
      </c>
      <c r="FR54">
        <v>96</v>
      </c>
      <c r="FS54">
        <v>92.3</v>
      </c>
      <c r="FT54">
        <v>95.2</v>
      </c>
      <c r="FU54">
        <v>97.5</v>
      </c>
      <c r="FV54">
        <v>90.3</v>
      </c>
      <c r="FW54">
        <v>93.5</v>
      </c>
      <c r="FX54">
        <v>96.5</v>
      </c>
      <c r="FY54">
        <v>93.6</v>
      </c>
      <c r="FZ54">
        <v>93.8</v>
      </c>
      <c r="GA54">
        <v>100.4</v>
      </c>
      <c r="GB54">
        <v>102.1</v>
      </c>
      <c r="GC54">
        <v>98.3</v>
      </c>
      <c r="GD54">
        <v>99.9</v>
      </c>
      <c r="GE54">
        <v>101.7</v>
      </c>
      <c r="GF54">
        <v>94.7</v>
      </c>
      <c r="GG54">
        <v>98.9</v>
      </c>
      <c r="GH54">
        <v>100.8</v>
      </c>
      <c r="GI54">
        <v>98.1</v>
      </c>
      <c r="GJ54">
        <v>96.9</v>
      </c>
      <c r="GK54">
        <v>96.4</v>
      </c>
      <c r="GL54">
        <v>97.1</v>
      </c>
      <c r="GM54">
        <v>92.5</v>
      </c>
      <c r="GN54">
        <v>101.4</v>
      </c>
      <c r="GO54">
        <v>96</v>
      </c>
      <c r="GP54">
        <v>95.8</v>
      </c>
      <c r="GQ54">
        <v>100.5</v>
      </c>
      <c r="GR54">
        <v>96.9</v>
      </c>
      <c r="GS54">
        <v>106</v>
      </c>
      <c r="GU54">
        <v>98.9</v>
      </c>
      <c r="GV54">
        <v>93.5</v>
      </c>
      <c r="GW54">
        <v>96.4</v>
      </c>
      <c r="GX54">
        <v>99.1</v>
      </c>
      <c r="GY54">
        <v>102.5</v>
      </c>
      <c r="GZ54">
        <v>99.4</v>
      </c>
      <c r="HA54">
        <v>107.3</v>
      </c>
      <c r="HB54">
        <v>99.3</v>
      </c>
      <c r="HD54">
        <v>105.9</v>
      </c>
      <c r="HE54">
        <v>106.8</v>
      </c>
      <c r="HG54">
        <v>102</v>
      </c>
      <c r="HH54">
        <v>100</v>
      </c>
      <c r="HI54">
        <v>96.5</v>
      </c>
      <c r="HJ54">
        <v>85.8</v>
      </c>
      <c r="HK54">
        <v>97.7</v>
      </c>
      <c r="HL54">
        <v>99.1</v>
      </c>
      <c r="HO54">
        <v>100.4</v>
      </c>
      <c r="HP54">
        <v>101.7</v>
      </c>
      <c r="HQ54">
        <v>100.2</v>
      </c>
      <c r="HR54">
        <v>102.3</v>
      </c>
      <c r="HS54">
        <v>102.8</v>
      </c>
      <c r="HT54">
        <v>101.8</v>
      </c>
      <c r="HU54">
        <v>97.5</v>
      </c>
      <c r="HV54">
        <v>103.8</v>
      </c>
      <c r="HW54">
        <v>104.1</v>
      </c>
      <c r="HX54">
        <v>100.3</v>
      </c>
      <c r="HY54">
        <v>99.3</v>
      </c>
      <c r="HZ54">
        <v>99.2</v>
      </c>
      <c r="IA54">
        <v>95.5</v>
      </c>
      <c r="IB54">
        <v>100.6</v>
      </c>
      <c r="IC54">
        <v>102.7</v>
      </c>
      <c r="IE54">
        <v>100</v>
      </c>
      <c r="IF54">
        <v>92.8</v>
      </c>
      <c r="IH54">
        <v>101</v>
      </c>
      <c r="II54">
        <v>102.3</v>
      </c>
      <c r="IJ54">
        <v>100.2</v>
      </c>
      <c r="IK54">
        <v>102.4</v>
      </c>
      <c r="IL54">
        <v>100.3</v>
      </c>
      <c r="IM54">
        <v>100.5</v>
      </c>
      <c r="IN54">
        <v>98.8</v>
      </c>
      <c r="IO54">
        <v>99.8</v>
      </c>
      <c r="IP54">
        <v>98.6</v>
      </c>
      <c r="IQ54">
        <v>101.3</v>
      </c>
      <c r="IR54">
        <v>103.7</v>
      </c>
      <c r="IS54">
        <v>97.5</v>
      </c>
      <c r="IT54">
        <v>95.8</v>
      </c>
      <c r="IU54">
        <v>95.4</v>
      </c>
      <c r="IV54">
        <v>95.3</v>
      </c>
      <c r="IW54">
        <v>95.6</v>
      </c>
      <c r="IX54">
        <v>94.9</v>
      </c>
      <c r="IY54">
        <v>96</v>
      </c>
      <c r="IZ54">
        <v>93.6</v>
      </c>
      <c r="JA54">
        <v>93.8</v>
      </c>
      <c r="JB54">
        <v>96.6</v>
      </c>
      <c r="JC54">
        <v>95.8</v>
      </c>
      <c r="JD54">
        <v>97.3</v>
      </c>
      <c r="JE54">
        <v>96.4</v>
      </c>
      <c r="JF54">
        <v>96.4</v>
      </c>
      <c r="JG54">
        <v>100</v>
      </c>
      <c r="JH54">
        <v>96.3</v>
      </c>
      <c r="JI54">
        <v>97.5</v>
      </c>
      <c r="JJ54">
        <v>94.6</v>
      </c>
      <c r="JK54">
        <v>94.8</v>
      </c>
      <c r="JL54">
        <v>95.2</v>
      </c>
      <c r="JM54">
        <v>106.1</v>
      </c>
      <c r="JN54">
        <v>93.7</v>
      </c>
      <c r="JO54">
        <v>95.5</v>
      </c>
      <c r="JP54">
        <v>95.4</v>
      </c>
      <c r="JQ54">
        <v>94.7</v>
      </c>
      <c r="JR54">
        <v>92.6</v>
      </c>
      <c r="JS54">
        <v>102.5</v>
      </c>
      <c r="JT54">
        <v>102.4</v>
      </c>
      <c r="JU54">
        <v>102.5</v>
      </c>
      <c r="JV54">
        <v>99.3</v>
      </c>
      <c r="JW54">
        <v>100.1</v>
      </c>
      <c r="JX54">
        <v>100.1</v>
      </c>
      <c r="JY54">
        <v>100.1</v>
      </c>
      <c r="JZ54">
        <v>99.5</v>
      </c>
      <c r="KA54">
        <v>99.8</v>
      </c>
      <c r="KB54">
        <v>99.2</v>
      </c>
      <c r="KC54">
        <v>100.1</v>
      </c>
      <c r="KD54">
        <v>100.1</v>
      </c>
      <c r="KE54">
        <v>94.8</v>
      </c>
      <c r="KF54">
        <v>99.3</v>
      </c>
      <c r="KG54">
        <v>95.9</v>
      </c>
      <c r="KH54">
        <v>100.7</v>
      </c>
      <c r="KI54">
        <v>104.5</v>
      </c>
      <c r="KJ54">
        <v>97.2</v>
      </c>
      <c r="KK54">
        <v>92.3</v>
      </c>
      <c r="KL54">
        <v>98.1</v>
      </c>
      <c r="KM54">
        <v>93.2</v>
      </c>
      <c r="KN54">
        <v>94.9</v>
      </c>
      <c r="KO54">
        <v>89.3</v>
      </c>
      <c r="KP54">
        <v>92.4</v>
      </c>
      <c r="KQ54">
        <v>96.2</v>
      </c>
      <c r="KS54">
        <v>95.9</v>
      </c>
      <c r="KT54">
        <v>92</v>
      </c>
      <c r="KU54">
        <v>96.3</v>
      </c>
      <c r="KV54">
        <v>93.4</v>
      </c>
      <c r="KW54">
        <v>93.5</v>
      </c>
      <c r="KX54">
        <v>91.2</v>
      </c>
      <c r="KY54">
        <v>97.4</v>
      </c>
      <c r="KZ54">
        <v>97.7</v>
      </c>
      <c r="LA54">
        <v>97.7</v>
      </c>
      <c r="LB54">
        <v>96.4</v>
      </c>
      <c r="LC54">
        <v>97</v>
      </c>
      <c r="LD54">
        <v>95.5</v>
      </c>
      <c r="LE54">
        <v>96.4</v>
      </c>
      <c r="LF54">
        <v>96.4</v>
      </c>
      <c r="LG54">
        <v>98.1</v>
      </c>
      <c r="LH54">
        <v>99.1</v>
      </c>
      <c r="LI54">
        <v>96.8</v>
      </c>
      <c r="LJ54">
        <v>96.4</v>
      </c>
      <c r="LK54">
        <v>95.4</v>
      </c>
      <c r="LL54">
        <v>95.3</v>
      </c>
      <c r="LM54">
        <v>85.1</v>
      </c>
      <c r="LN54">
        <v>90</v>
      </c>
      <c r="LO54">
        <v>98.3</v>
      </c>
      <c r="LP54">
        <v>99.3</v>
      </c>
      <c r="LQ54">
        <v>93.5</v>
      </c>
      <c r="LR54">
        <v>98.4</v>
      </c>
      <c r="LS54">
        <v>101.1</v>
      </c>
      <c r="LT54">
        <v>94.7</v>
      </c>
      <c r="LU54">
        <v>94</v>
      </c>
      <c r="LV54">
        <v>97.3</v>
      </c>
      <c r="LW54">
        <v>98.8</v>
      </c>
      <c r="LX54">
        <v>97.1</v>
      </c>
      <c r="LY54">
        <v>96.8</v>
      </c>
      <c r="MA54">
        <v>97</v>
      </c>
      <c r="MB54">
        <v>97.2</v>
      </c>
      <c r="MC54">
        <v>98.3</v>
      </c>
      <c r="MD54">
        <v>98.9</v>
      </c>
      <c r="ME54">
        <v>94.6</v>
      </c>
      <c r="MG54">
        <v>96.2</v>
      </c>
      <c r="MH54">
        <v>87.3</v>
      </c>
      <c r="MI54">
        <v>98.6</v>
      </c>
      <c r="MJ54">
        <v>98</v>
      </c>
      <c r="MK54">
        <v>101.1</v>
      </c>
      <c r="MM54">
        <v>97.8</v>
      </c>
      <c r="MN54">
        <v>98.4</v>
      </c>
      <c r="MO54">
        <v>97.9</v>
      </c>
      <c r="MP54">
        <v>98.7</v>
      </c>
      <c r="MQ54">
        <v>100.1</v>
      </c>
      <c r="MR54">
        <v>105.8</v>
      </c>
      <c r="MS54">
        <v>99.4</v>
      </c>
      <c r="MT54">
        <v>98.7</v>
      </c>
      <c r="MU54">
        <v>97.5</v>
      </c>
      <c r="MV54">
        <v>96</v>
      </c>
      <c r="MW54">
        <v>89.6</v>
      </c>
      <c r="MX54">
        <v>96.2</v>
      </c>
      <c r="MY54">
        <v>101.9</v>
      </c>
      <c r="MZ54">
        <v>99.4</v>
      </c>
      <c r="NB54">
        <v>96.1</v>
      </c>
      <c r="NC54">
        <v>90</v>
      </c>
      <c r="ND54">
        <v>87.3</v>
      </c>
      <c r="NE54">
        <v>91.7</v>
      </c>
      <c r="NF54">
        <v>96.7</v>
      </c>
      <c r="NG54">
        <v>97.4</v>
      </c>
      <c r="NH54">
        <v>96.2</v>
      </c>
      <c r="NI54">
        <v>99.2</v>
      </c>
      <c r="NJ54">
        <v>98.8</v>
      </c>
      <c r="NK54">
        <v>97</v>
      </c>
      <c r="NL54">
        <v>99</v>
      </c>
      <c r="NM54">
        <v>103.4</v>
      </c>
      <c r="NN54">
        <v>98.5</v>
      </c>
      <c r="NO54">
        <v>93.5</v>
      </c>
      <c r="NQ54">
        <v>96.7</v>
      </c>
      <c r="NR54">
        <v>93.3</v>
      </c>
      <c r="NS54">
        <v>93.3</v>
      </c>
      <c r="NT54">
        <v>96.9</v>
      </c>
      <c r="NU54">
        <v>98.2</v>
      </c>
      <c r="NV54">
        <v>96.5</v>
      </c>
      <c r="NW54">
        <v>98.2</v>
      </c>
      <c r="NX54">
        <v>98.2</v>
      </c>
      <c r="NY54">
        <v>98.4</v>
      </c>
      <c r="NZ54">
        <v>99.1</v>
      </c>
      <c r="OA54">
        <v>97.8</v>
      </c>
      <c r="OB54">
        <v>98.3</v>
      </c>
      <c r="OC54">
        <v>96.7</v>
      </c>
      <c r="OD54">
        <v>99.2</v>
      </c>
      <c r="OE54">
        <v>96.9</v>
      </c>
      <c r="OF54">
        <v>91.6</v>
      </c>
      <c r="OG54">
        <v>102.3</v>
      </c>
      <c r="OH54">
        <v>94.1</v>
      </c>
      <c r="OI54">
        <v>99</v>
      </c>
      <c r="OJ54">
        <v>94.2</v>
      </c>
      <c r="OK54">
        <v>100.1</v>
      </c>
      <c r="OL54">
        <v>96.9</v>
      </c>
      <c r="OM54">
        <v>98.9</v>
      </c>
      <c r="ON54">
        <v>99.4</v>
      </c>
      <c r="OO54">
        <v>97.5</v>
      </c>
      <c r="OP54">
        <v>98.3</v>
      </c>
      <c r="OQ54">
        <v>96.8</v>
      </c>
      <c r="OR54">
        <v>99.3</v>
      </c>
      <c r="OS54">
        <v>94.4</v>
      </c>
      <c r="OT54">
        <v>97.6</v>
      </c>
      <c r="OU54">
        <v>97.4</v>
      </c>
      <c r="OV54">
        <v>93.8</v>
      </c>
      <c r="OW54">
        <v>96.5</v>
      </c>
      <c r="OX54">
        <v>99.1</v>
      </c>
      <c r="OY54">
        <v>96.3</v>
      </c>
      <c r="OZ54">
        <v>96.1</v>
      </c>
      <c r="PA54">
        <v>107.1</v>
      </c>
      <c r="PB54">
        <v>98.3</v>
      </c>
      <c r="PC54">
        <v>97.6</v>
      </c>
      <c r="PD54">
        <v>111.4</v>
      </c>
      <c r="PG54">
        <v>107.6</v>
      </c>
      <c r="PH54">
        <v>98.8</v>
      </c>
      <c r="PI54">
        <v>99.1</v>
      </c>
      <c r="PJ54">
        <v>101.3</v>
      </c>
      <c r="PK54">
        <v>100.4</v>
      </c>
      <c r="PL54">
        <v>100.2</v>
      </c>
      <c r="PM54">
        <v>102</v>
      </c>
      <c r="PN54">
        <v>102</v>
      </c>
      <c r="PO54">
        <v>98.4</v>
      </c>
      <c r="PP54">
        <v>100.1</v>
      </c>
      <c r="PQ54">
        <v>99.7</v>
      </c>
      <c r="PR54">
        <v>100.2</v>
      </c>
      <c r="PS54">
        <v>97.9</v>
      </c>
      <c r="PT54">
        <v>97</v>
      </c>
      <c r="PU54">
        <v>97.9</v>
      </c>
      <c r="PV54">
        <v>96.4</v>
      </c>
      <c r="PW54">
        <v>95.9</v>
      </c>
      <c r="PX54">
        <v>96.9</v>
      </c>
      <c r="PY54">
        <v>98</v>
      </c>
      <c r="PZ54">
        <v>98.9</v>
      </c>
      <c r="QA54">
        <v>100.9</v>
      </c>
      <c r="QB54">
        <v>97.6</v>
      </c>
      <c r="QC54">
        <v>97.6</v>
      </c>
      <c r="QD54">
        <v>98.1</v>
      </c>
      <c r="QE54">
        <v>98.2</v>
      </c>
      <c r="QF54">
        <v>96.2</v>
      </c>
      <c r="QG54">
        <v>100.2</v>
      </c>
      <c r="QH54">
        <v>95.5</v>
      </c>
      <c r="QI54">
        <v>95.5</v>
      </c>
      <c r="QJ54">
        <v>97.1</v>
      </c>
      <c r="QK54">
        <v>96.3</v>
      </c>
      <c r="QL54">
        <v>97.4</v>
      </c>
      <c r="QM54">
        <v>101.2</v>
      </c>
      <c r="QN54">
        <v>96</v>
      </c>
      <c r="QO54">
        <v>95.4</v>
      </c>
      <c r="QP54">
        <v>100.6</v>
      </c>
      <c r="QQ54">
        <v>99</v>
      </c>
      <c r="QR54">
        <v>98.6</v>
      </c>
      <c r="QS54">
        <v>103.7</v>
      </c>
      <c r="QT54">
        <v>97.7</v>
      </c>
      <c r="QU54">
        <v>99.9</v>
      </c>
      <c r="QV54">
        <v>98</v>
      </c>
      <c r="QW54">
        <v>98.4</v>
      </c>
      <c r="QX54">
        <v>99.7</v>
      </c>
      <c r="QY54">
        <v>94</v>
      </c>
      <c r="QZ54">
        <v>94.2</v>
      </c>
      <c r="RA54">
        <v>92.6</v>
      </c>
      <c r="RB54">
        <v>94.5</v>
      </c>
      <c r="RC54">
        <v>96.5</v>
      </c>
      <c r="RD54">
        <v>98</v>
      </c>
      <c r="RE54">
        <v>99.5</v>
      </c>
      <c r="RF54">
        <v>98.5</v>
      </c>
      <c r="RG54">
        <v>100.8</v>
      </c>
      <c r="RH54">
        <v>103.4</v>
      </c>
      <c r="RI54">
        <v>97.7</v>
      </c>
      <c r="RJ54">
        <v>98.7</v>
      </c>
      <c r="RK54">
        <v>98.4</v>
      </c>
      <c r="RL54">
        <v>99.1</v>
      </c>
      <c r="RM54">
        <v>97.8</v>
      </c>
      <c r="RN54">
        <v>99.9</v>
      </c>
      <c r="RO54">
        <v>98.4</v>
      </c>
      <c r="RP54">
        <v>98.8</v>
      </c>
      <c r="RQ54">
        <v>100.4</v>
      </c>
      <c r="RR54">
        <v>100</v>
      </c>
      <c r="RS54">
        <v>98.2</v>
      </c>
      <c r="RT54">
        <v>100.2</v>
      </c>
      <c r="RU54">
        <v>98.4</v>
      </c>
      <c r="RV54">
        <v>99.3</v>
      </c>
      <c r="RW54">
        <v>101.8</v>
      </c>
      <c r="RX54">
        <v>94.6</v>
      </c>
      <c r="RY54">
        <v>103.2</v>
      </c>
      <c r="SA54">
        <v>99.3</v>
      </c>
      <c r="SB54">
        <v>89.6</v>
      </c>
      <c r="SC54">
        <v>103.7</v>
      </c>
      <c r="SD54">
        <v>99</v>
      </c>
      <c r="SE54">
        <v>98.1</v>
      </c>
      <c r="SF54">
        <v>97.1</v>
      </c>
      <c r="SG54">
        <v>97.1</v>
      </c>
      <c r="SH54">
        <v>97.7</v>
      </c>
      <c r="SI54">
        <v>98.3</v>
      </c>
      <c r="SJ54">
        <v>97.7</v>
      </c>
      <c r="SK54">
        <v>99.9</v>
      </c>
      <c r="SL54">
        <v>97.3</v>
      </c>
      <c r="SM54">
        <v>97.9</v>
      </c>
      <c r="SN54">
        <v>97.7</v>
      </c>
      <c r="SO54">
        <v>98.2</v>
      </c>
      <c r="SP54">
        <v>98.2</v>
      </c>
      <c r="SQ54">
        <v>97.3</v>
      </c>
      <c r="SR54">
        <v>97.9</v>
      </c>
      <c r="SS54">
        <v>97.8</v>
      </c>
      <c r="ST54">
        <v>97.5</v>
      </c>
      <c r="SU54">
        <v>98.4</v>
      </c>
      <c r="SV54">
        <v>98.1</v>
      </c>
      <c r="SX54">
        <v>97.4</v>
      </c>
      <c r="SY54">
        <v>95.9</v>
      </c>
      <c r="SZ54">
        <v>92.7</v>
      </c>
      <c r="TA54">
        <v>99.1</v>
      </c>
      <c r="TB54">
        <v>97.2</v>
      </c>
      <c r="TC54">
        <v>97</v>
      </c>
      <c r="TD54">
        <v>97.8</v>
      </c>
      <c r="TE54">
        <v>98.4</v>
      </c>
      <c r="TF54">
        <v>97.6</v>
      </c>
      <c r="TG54">
        <v>98.7</v>
      </c>
      <c r="TH54">
        <v>97.6</v>
      </c>
      <c r="TI54">
        <v>97.7</v>
      </c>
      <c r="TJ54">
        <v>94.3</v>
      </c>
      <c r="TK54">
        <v>97.1</v>
      </c>
      <c r="TL54">
        <v>96.1</v>
      </c>
      <c r="TM54">
        <v>99.2</v>
      </c>
      <c r="TN54">
        <v>98.6</v>
      </c>
      <c r="TO54">
        <v>99.5</v>
      </c>
      <c r="TP54">
        <v>94.2</v>
      </c>
      <c r="TQ54">
        <v>88.3</v>
      </c>
      <c r="TR54">
        <v>110.6</v>
      </c>
      <c r="TT54">
        <v>95</v>
      </c>
      <c r="TU54">
        <v>96.9</v>
      </c>
      <c r="TV54">
        <v>96</v>
      </c>
      <c r="TW54">
        <v>98.7</v>
      </c>
      <c r="TX54">
        <v>96.9</v>
      </c>
      <c r="TY54">
        <v>100</v>
      </c>
      <c r="TZ54">
        <v>98.7</v>
      </c>
      <c r="UA54">
        <v>93.3</v>
      </c>
      <c r="UB54">
        <v>98.1</v>
      </c>
      <c r="UC54">
        <v>113.9</v>
      </c>
      <c r="UD54">
        <v>96.2</v>
      </c>
      <c r="UE54">
        <v>104.7</v>
      </c>
      <c r="UF54">
        <v>95.8</v>
      </c>
      <c r="UG54">
        <v>97.6</v>
      </c>
      <c r="UH54">
        <v>98.2</v>
      </c>
      <c r="UI54">
        <v>109</v>
      </c>
      <c r="UJ54">
        <v>91.8</v>
      </c>
      <c r="UK54">
        <v>105.3</v>
      </c>
      <c r="UL54">
        <v>109.7</v>
      </c>
      <c r="UM54">
        <v>117</v>
      </c>
      <c r="UN54">
        <v>101.5</v>
      </c>
      <c r="UO54">
        <v>101.8</v>
      </c>
      <c r="UP54">
        <v>98.7</v>
      </c>
      <c r="UQ54">
        <v>100</v>
      </c>
      <c r="UR54">
        <v>103.6</v>
      </c>
      <c r="US54">
        <v>104.7</v>
      </c>
      <c r="UT54">
        <v>101.8</v>
      </c>
      <c r="UU54">
        <v>103.7</v>
      </c>
      <c r="UV54">
        <v>101.5</v>
      </c>
      <c r="UW54">
        <v>98.4</v>
      </c>
      <c r="UX54">
        <v>98.6</v>
      </c>
      <c r="UY54">
        <v>98.2</v>
      </c>
      <c r="UZ54">
        <v>96.6</v>
      </c>
      <c r="VA54">
        <v>97.2</v>
      </c>
      <c r="VB54">
        <v>97.6</v>
      </c>
      <c r="VC54">
        <v>94.9</v>
      </c>
      <c r="VD54">
        <v>98.4</v>
      </c>
      <c r="VE54">
        <v>99.4</v>
      </c>
      <c r="VF54">
        <v>108.8</v>
      </c>
      <c r="VG54">
        <v>107.9</v>
      </c>
      <c r="VH54">
        <v>89.6</v>
      </c>
      <c r="VI54">
        <v>102.2</v>
      </c>
      <c r="VK54">
        <v>79.900000000000006</v>
      </c>
      <c r="VL54">
        <v>96.2</v>
      </c>
      <c r="VM54">
        <v>98.2</v>
      </c>
      <c r="VN54">
        <v>97.6</v>
      </c>
      <c r="VO54">
        <v>96.3</v>
      </c>
      <c r="VP54">
        <v>93.1</v>
      </c>
      <c r="VQ54">
        <v>100.2</v>
      </c>
      <c r="VR54">
        <v>90.3</v>
      </c>
      <c r="VS54">
        <v>94.3</v>
      </c>
      <c r="VT54">
        <v>96.6</v>
      </c>
      <c r="VU54">
        <v>91.1</v>
      </c>
      <c r="VV54">
        <v>97.5</v>
      </c>
      <c r="VW54">
        <v>97.9</v>
      </c>
      <c r="VX54">
        <v>92.8</v>
      </c>
      <c r="VY54">
        <v>106.7</v>
      </c>
      <c r="VZ54">
        <v>94.1</v>
      </c>
      <c r="WA54">
        <v>93.8</v>
      </c>
      <c r="WB54">
        <v>98.1</v>
      </c>
      <c r="WC54">
        <v>98.2</v>
      </c>
      <c r="WD54">
        <v>98.6</v>
      </c>
      <c r="WE54">
        <v>98.7</v>
      </c>
      <c r="WF54">
        <v>100.3</v>
      </c>
      <c r="WG54">
        <v>96.9</v>
      </c>
      <c r="WH54">
        <v>96.2</v>
      </c>
      <c r="WI54">
        <v>95.5</v>
      </c>
      <c r="WJ54">
        <v>96.6</v>
      </c>
      <c r="WK54">
        <v>96.2</v>
      </c>
      <c r="WL54">
        <v>96.7</v>
      </c>
      <c r="WM54">
        <v>134</v>
      </c>
      <c r="WN54">
        <v>98.1</v>
      </c>
      <c r="WO54">
        <v>97.8</v>
      </c>
      <c r="WP54">
        <v>89.2</v>
      </c>
      <c r="WQ54">
        <v>100.5</v>
      </c>
      <c r="WR54">
        <v>99.8</v>
      </c>
      <c r="WS54">
        <v>95.2</v>
      </c>
      <c r="WT54">
        <v>99.5</v>
      </c>
      <c r="WU54">
        <v>98.5</v>
      </c>
      <c r="WV54">
        <v>97.2</v>
      </c>
      <c r="WW54">
        <v>92.8</v>
      </c>
      <c r="WX54">
        <v>95.1</v>
      </c>
      <c r="WY54">
        <v>95.3</v>
      </c>
      <c r="WZ54">
        <v>94.9</v>
      </c>
      <c r="XA54">
        <v>95.6</v>
      </c>
      <c r="XB54">
        <v>89.4</v>
      </c>
      <c r="XC54">
        <v>89</v>
      </c>
      <c r="XD54">
        <v>91.2</v>
      </c>
      <c r="XE54">
        <v>97.1</v>
      </c>
      <c r="XF54">
        <v>95.9</v>
      </c>
      <c r="XG54">
        <v>97.9</v>
      </c>
      <c r="XH54">
        <v>99.8</v>
      </c>
      <c r="XI54">
        <v>116.4</v>
      </c>
      <c r="XJ54">
        <v>116.4</v>
      </c>
      <c r="XK54">
        <v>94</v>
      </c>
      <c r="XL54">
        <v>94</v>
      </c>
      <c r="XM54">
        <v>95.8</v>
      </c>
      <c r="XN54">
        <v>91.7</v>
      </c>
      <c r="XO54">
        <v>97.4</v>
      </c>
      <c r="XP54">
        <v>98</v>
      </c>
      <c r="XQ54">
        <v>95.2</v>
      </c>
      <c r="XR54">
        <v>95.5</v>
      </c>
      <c r="XT54">
        <v>97.3</v>
      </c>
      <c r="XU54">
        <v>97.1</v>
      </c>
      <c r="XV54">
        <v>98.1</v>
      </c>
      <c r="XW54">
        <v>100.7</v>
      </c>
      <c r="XX54">
        <v>95.9</v>
      </c>
      <c r="XY54">
        <v>93.3</v>
      </c>
      <c r="XZ54">
        <v>96.7</v>
      </c>
      <c r="YA54">
        <v>98.2</v>
      </c>
      <c r="YB54">
        <v>97.2</v>
      </c>
      <c r="YC54">
        <v>93.9</v>
      </c>
      <c r="YD54">
        <v>98.2</v>
      </c>
      <c r="YE54">
        <v>97.3</v>
      </c>
      <c r="YF54">
        <v>98</v>
      </c>
      <c r="YG54">
        <v>96.4</v>
      </c>
      <c r="YH54">
        <v>99.2</v>
      </c>
      <c r="YI54">
        <v>96.8</v>
      </c>
      <c r="YJ54">
        <v>97</v>
      </c>
      <c r="YK54">
        <v>93.8</v>
      </c>
      <c r="YL54">
        <v>91.9</v>
      </c>
      <c r="YM54">
        <v>96.9</v>
      </c>
      <c r="YO54">
        <v>93.9</v>
      </c>
      <c r="YP54">
        <v>98.2</v>
      </c>
      <c r="YQ54">
        <v>91</v>
      </c>
      <c r="YR54">
        <v>97.7</v>
      </c>
      <c r="YS54">
        <v>94.6</v>
      </c>
      <c r="YT54">
        <v>101.8</v>
      </c>
      <c r="YU54">
        <v>97.4</v>
      </c>
      <c r="YV54">
        <v>97.6</v>
      </c>
      <c r="YW54">
        <v>98</v>
      </c>
      <c r="YX54">
        <v>96.9</v>
      </c>
      <c r="YY54">
        <v>96.8</v>
      </c>
      <c r="YZ54">
        <v>97.4</v>
      </c>
      <c r="ZA54">
        <v>97.8</v>
      </c>
      <c r="ZB54">
        <v>99</v>
      </c>
      <c r="ZC54">
        <v>103.7</v>
      </c>
      <c r="ZD54">
        <v>110.5</v>
      </c>
      <c r="ZE54">
        <v>97.4</v>
      </c>
      <c r="ZF54">
        <v>99.4</v>
      </c>
      <c r="ZG54">
        <v>96.8</v>
      </c>
      <c r="ZH54">
        <v>97.1</v>
      </c>
      <c r="ZI54">
        <v>100.1</v>
      </c>
      <c r="ZK54">
        <v>100.7</v>
      </c>
      <c r="ZL54">
        <v>101.1</v>
      </c>
      <c r="ZM54">
        <v>98.9</v>
      </c>
      <c r="ZN54">
        <v>98.3</v>
      </c>
      <c r="ZO54">
        <v>98.4</v>
      </c>
      <c r="ZP54">
        <v>100.5</v>
      </c>
      <c r="ZQ54">
        <v>98.2</v>
      </c>
      <c r="ZR54">
        <v>97</v>
      </c>
      <c r="ZS54">
        <v>98.2</v>
      </c>
      <c r="ZT54">
        <v>97.7</v>
      </c>
      <c r="ZU54">
        <v>98.2</v>
      </c>
      <c r="ZV54">
        <v>92.7</v>
      </c>
      <c r="ZW54">
        <v>99.2</v>
      </c>
      <c r="ZX54">
        <v>98.1</v>
      </c>
      <c r="ZY54">
        <v>98.2</v>
      </c>
      <c r="ZZ54">
        <v>98.2</v>
      </c>
      <c r="AAA54">
        <v>100.3</v>
      </c>
      <c r="AAC54">
        <v>95.2</v>
      </c>
      <c r="AAD54">
        <v>94</v>
      </c>
      <c r="AAE54">
        <v>96</v>
      </c>
      <c r="AAF54">
        <v>91</v>
      </c>
      <c r="AAG54">
        <v>92.5</v>
      </c>
      <c r="AAH54">
        <v>99.7</v>
      </c>
      <c r="AAI54">
        <v>97.3</v>
      </c>
      <c r="AAJ54">
        <v>98.1</v>
      </c>
      <c r="AAK54">
        <v>97</v>
      </c>
      <c r="AAL54">
        <v>98.6</v>
      </c>
      <c r="AAM54">
        <v>98.9</v>
      </c>
      <c r="AAN54">
        <v>98.2</v>
      </c>
      <c r="AAO54">
        <v>88.3</v>
      </c>
      <c r="AAP54">
        <v>88.3</v>
      </c>
      <c r="AAQ54">
        <v>88.1</v>
      </c>
      <c r="AAR54">
        <v>113.4</v>
      </c>
      <c r="AAT54">
        <v>96</v>
      </c>
      <c r="AAU54">
        <v>241.3</v>
      </c>
      <c r="AAW54">
        <v>96.2</v>
      </c>
      <c r="AAX54">
        <v>98.8</v>
      </c>
      <c r="AAY54">
        <v>100</v>
      </c>
      <c r="AAZ54">
        <v>99.4</v>
      </c>
      <c r="ABA54">
        <v>94.8</v>
      </c>
      <c r="ABB54">
        <v>98.8</v>
      </c>
      <c r="ABC54">
        <v>99.1</v>
      </c>
      <c r="ABD54">
        <v>103.2</v>
      </c>
      <c r="ABE54">
        <v>91</v>
      </c>
      <c r="ABF54">
        <v>98.9</v>
      </c>
      <c r="ABG54">
        <v>97.2</v>
      </c>
      <c r="ABH54">
        <v>98.7</v>
      </c>
      <c r="ABI54">
        <v>97.2</v>
      </c>
      <c r="ABJ54">
        <v>100.1</v>
      </c>
      <c r="ABK54">
        <v>98.7</v>
      </c>
      <c r="ABL54">
        <v>97.8</v>
      </c>
      <c r="ABM54">
        <v>99</v>
      </c>
      <c r="ABN54">
        <v>99.6</v>
      </c>
      <c r="ABO54">
        <v>106.9</v>
      </c>
      <c r="ABP54">
        <v>98.5</v>
      </c>
      <c r="ABQ54">
        <v>102.8</v>
      </c>
    </row>
    <row r="55" spans="1:748">
      <c r="A55">
        <v>2018</v>
      </c>
      <c r="B55">
        <v>99.6</v>
      </c>
      <c r="C55">
        <v>97.9</v>
      </c>
      <c r="D55">
        <v>99.2</v>
      </c>
      <c r="E55">
        <v>99.7</v>
      </c>
      <c r="F55">
        <v>99.3</v>
      </c>
      <c r="G55">
        <v>100.2</v>
      </c>
      <c r="H55">
        <v>99.9</v>
      </c>
      <c r="I55">
        <v>100.6</v>
      </c>
      <c r="J55">
        <v>97.5</v>
      </c>
      <c r="K55">
        <v>102</v>
      </c>
      <c r="L55">
        <v>96.8</v>
      </c>
      <c r="M55">
        <v>97.3</v>
      </c>
      <c r="N55">
        <v>98.5</v>
      </c>
      <c r="O55">
        <v>99.2</v>
      </c>
      <c r="P55">
        <v>95.1</v>
      </c>
      <c r="Q55">
        <v>96.9</v>
      </c>
      <c r="R55">
        <v>100.5</v>
      </c>
      <c r="S55">
        <v>96.1</v>
      </c>
      <c r="T55">
        <v>102.4</v>
      </c>
      <c r="V55">
        <v>99.3</v>
      </c>
      <c r="W55">
        <v>100.6</v>
      </c>
      <c r="X55">
        <v>108.5</v>
      </c>
      <c r="Y55">
        <v>96.8</v>
      </c>
      <c r="Z55">
        <v>97.7</v>
      </c>
      <c r="AA55">
        <v>100.9</v>
      </c>
      <c r="AB55">
        <v>100.4</v>
      </c>
      <c r="AC55">
        <v>101.2</v>
      </c>
      <c r="AD55">
        <v>78.2</v>
      </c>
      <c r="AE55">
        <v>103.4</v>
      </c>
      <c r="AF55">
        <v>100.2</v>
      </c>
      <c r="AG55">
        <v>94.4</v>
      </c>
      <c r="AH55">
        <v>107.9</v>
      </c>
      <c r="AI55">
        <v>102</v>
      </c>
      <c r="AJ55">
        <v>98.1</v>
      </c>
      <c r="AK55">
        <v>100.6</v>
      </c>
      <c r="AL55">
        <v>111</v>
      </c>
      <c r="AM55">
        <v>98.4</v>
      </c>
      <c r="AN55">
        <v>100.2</v>
      </c>
      <c r="AO55">
        <v>98.4</v>
      </c>
      <c r="AP55">
        <v>98</v>
      </c>
      <c r="AQ55">
        <v>96.3</v>
      </c>
      <c r="AR55">
        <v>94.5</v>
      </c>
      <c r="AS55">
        <v>85.9</v>
      </c>
      <c r="AT55">
        <v>103.8</v>
      </c>
      <c r="AU55">
        <v>96.7</v>
      </c>
      <c r="AV55">
        <v>96.8</v>
      </c>
      <c r="AW55">
        <v>97.6</v>
      </c>
      <c r="AX55">
        <v>96.1</v>
      </c>
      <c r="AY55">
        <v>97.1</v>
      </c>
      <c r="AZ55">
        <v>100.1</v>
      </c>
      <c r="BA55">
        <v>96</v>
      </c>
      <c r="BB55">
        <v>96.6</v>
      </c>
      <c r="BC55">
        <v>97.7</v>
      </c>
      <c r="BD55">
        <v>98.3</v>
      </c>
      <c r="BE55">
        <v>97.5</v>
      </c>
      <c r="BF55">
        <v>96.6</v>
      </c>
      <c r="BG55">
        <v>95.9</v>
      </c>
      <c r="BH55">
        <v>95.9</v>
      </c>
      <c r="BJ55">
        <v>99.9</v>
      </c>
      <c r="BK55">
        <v>101.8</v>
      </c>
      <c r="BL55">
        <v>101.1</v>
      </c>
      <c r="BM55">
        <v>102.8</v>
      </c>
      <c r="BN55">
        <v>100.8</v>
      </c>
      <c r="BP55">
        <v>98.2</v>
      </c>
      <c r="BQ55">
        <v>97.6</v>
      </c>
      <c r="BR55">
        <v>96.2</v>
      </c>
      <c r="BS55">
        <v>96.2</v>
      </c>
      <c r="BT55">
        <v>98.8</v>
      </c>
      <c r="BU55">
        <v>100.3</v>
      </c>
      <c r="BV55">
        <v>97.9</v>
      </c>
      <c r="BW55">
        <v>99.6</v>
      </c>
      <c r="BX55">
        <v>101.8</v>
      </c>
      <c r="BY55">
        <v>99.1</v>
      </c>
      <c r="BZ55">
        <v>100.2</v>
      </c>
      <c r="CA55">
        <v>100.2</v>
      </c>
      <c r="CB55">
        <v>98.1</v>
      </c>
      <c r="CC55">
        <v>97.9</v>
      </c>
      <c r="CD55">
        <v>89.7</v>
      </c>
      <c r="CE55">
        <v>98.3</v>
      </c>
      <c r="CF55">
        <v>91.2</v>
      </c>
      <c r="CG55">
        <v>102.6</v>
      </c>
      <c r="CH55">
        <v>92.4</v>
      </c>
      <c r="CI55">
        <v>109.1</v>
      </c>
      <c r="CJ55">
        <v>98.2</v>
      </c>
      <c r="CK55">
        <v>102.4</v>
      </c>
      <c r="CL55">
        <v>87.2</v>
      </c>
      <c r="CM55">
        <v>85.8</v>
      </c>
      <c r="CN55">
        <v>95.9</v>
      </c>
      <c r="CO55">
        <v>99.4</v>
      </c>
      <c r="CP55">
        <v>101.3</v>
      </c>
      <c r="CQ55">
        <v>109.1</v>
      </c>
      <c r="CR55">
        <v>108.6</v>
      </c>
      <c r="CS55">
        <v>89.2</v>
      </c>
      <c r="CT55">
        <v>107</v>
      </c>
      <c r="CU55">
        <v>99.6</v>
      </c>
      <c r="CV55">
        <v>98.9</v>
      </c>
      <c r="CW55">
        <v>97.9</v>
      </c>
      <c r="CX55">
        <v>103.8</v>
      </c>
      <c r="CY55">
        <v>96.8</v>
      </c>
      <c r="CZ55">
        <v>92.5</v>
      </c>
      <c r="DA55">
        <v>98.1</v>
      </c>
      <c r="DB55">
        <v>89.5</v>
      </c>
      <c r="DC55">
        <v>101.9</v>
      </c>
      <c r="DD55">
        <v>94.8</v>
      </c>
      <c r="DE55">
        <v>98.1</v>
      </c>
      <c r="DG55">
        <v>98.4</v>
      </c>
      <c r="DH55">
        <v>96.7</v>
      </c>
      <c r="DI55">
        <v>100.3</v>
      </c>
      <c r="DJ55">
        <v>97.8</v>
      </c>
      <c r="DK55">
        <v>94.6</v>
      </c>
      <c r="DL55">
        <v>92.7</v>
      </c>
      <c r="DM55">
        <v>99.1</v>
      </c>
      <c r="DN55">
        <v>99.3</v>
      </c>
      <c r="DO55">
        <v>98.9</v>
      </c>
      <c r="DP55">
        <v>98.9</v>
      </c>
      <c r="DQ55">
        <v>100.3</v>
      </c>
      <c r="DR55">
        <v>98.7</v>
      </c>
      <c r="DS55">
        <v>99.7</v>
      </c>
      <c r="DT55">
        <v>98.8</v>
      </c>
      <c r="DU55">
        <v>97.4</v>
      </c>
      <c r="DV55">
        <v>98.6</v>
      </c>
      <c r="DW55">
        <v>100.3</v>
      </c>
      <c r="DX55">
        <v>96.9</v>
      </c>
      <c r="DY55">
        <v>99.7</v>
      </c>
      <c r="DZ55">
        <v>92.9</v>
      </c>
      <c r="EA55">
        <v>92.5</v>
      </c>
      <c r="EB55">
        <v>90.7</v>
      </c>
      <c r="EC55">
        <v>101</v>
      </c>
      <c r="ED55">
        <v>105.3</v>
      </c>
      <c r="EE55">
        <v>93.1</v>
      </c>
      <c r="EF55">
        <v>66.900000000000006</v>
      </c>
      <c r="EG55">
        <v>88.1</v>
      </c>
      <c r="EH55">
        <v>82.1</v>
      </c>
      <c r="EI55">
        <v>93.9</v>
      </c>
      <c r="EJ55">
        <v>86.4</v>
      </c>
      <c r="EK55">
        <v>94.8</v>
      </c>
      <c r="EL55">
        <v>98.4</v>
      </c>
      <c r="EM55">
        <v>96.8</v>
      </c>
      <c r="EN55">
        <v>95.4</v>
      </c>
      <c r="EO55">
        <v>97.4</v>
      </c>
      <c r="EP55">
        <v>77.7</v>
      </c>
      <c r="ER55">
        <v>97.8</v>
      </c>
      <c r="ET55">
        <v>100.7</v>
      </c>
      <c r="EU55">
        <v>101.3</v>
      </c>
      <c r="EV55">
        <v>101.1</v>
      </c>
      <c r="EW55">
        <v>102</v>
      </c>
      <c r="EX55">
        <v>100.6</v>
      </c>
      <c r="EY55">
        <v>94</v>
      </c>
      <c r="EZ55">
        <v>100.1</v>
      </c>
      <c r="FA55">
        <v>97.8</v>
      </c>
      <c r="FB55">
        <v>101.2</v>
      </c>
      <c r="FC55">
        <v>100.5</v>
      </c>
      <c r="FD55">
        <v>100.3</v>
      </c>
      <c r="FE55">
        <v>101.5</v>
      </c>
      <c r="FF55">
        <v>100.7</v>
      </c>
      <c r="FG55">
        <v>103.6</v>
      </c>
      <c r="FH55">
        <v>100.3</v>
      </c>
      <c r="FI55">
        <v>101.5</v>
      </c>
      <c r="FJ55">
        <v>102.5</v>
      </c>
      <c r="FK55">
        <v>97.7</v>
      </c>
      <c r="FL55">
        <v>101.4</v>
      </c>
      <c r="FM55">
        <v>100.9</v>
      </c>
      <c r="FN55">
        <v>101.7</v>
      </c>
      <c r="FO55">
        <v>100.8</v>
      </c>
      <c r="FP55">
        <v>99.4</v>
      </c>
      <c r="FQ55">
        <v>96.1</v>
      </c>
      <c r="FR55">
        <v>97.1</v>
      </c>
      <c r="FS55">
        <v>93.3</v>
      </c>
      <c r="FT55">
        <v>95.4</v>
      </c>
      <c r="FU55">
        <v>97.6</v>
      </c>
      <c r="FV55">
        <v>93.3</v>
      </c>
      <c r="FW55">
        <v>94.8</v>
      </c>
      <c r="FX55">
        <v>95.5</v>
      </c>
      <c r="FY55">
        <v>94.2</v>
      </c>
      <c r="FZ55">
        <v>94.5</v>
      </c>
      <c r="GA55">
        <v>101.1</v>
      </c>
      <c r="GB55">
        <v>100.9</v>
      </c>
      <c r="GC55">
        <v>92.7</v>
      </c>
      <c r="GD55">
        <v>99.7</v>
      </c>
      <c r="GE55">
        <v>100.4</v>
      </c>
      <c r="GF55">
        <v>93.1</v>
      </c>
      <c r="GG55">
        <v>99</v>
      </c>
      <c r="GH55">
        <v>100.9</v>
      </c>
      <c r="GI55">
        <v>98.5</v>
      </c>
      <c r="GJ55">
        <v>97.2</v>
      </c>
      <c r="GK55">
        <v>97.2</v>
      </c>
      <c r="GL55">
        <v>98.4</v>
      </c>
      <c r="GM55">
        <v>95.9</v>
      </c>
      <c r="GN55">
        <v>98.1</v>
      </c>
      <c r="GO55">
        <v>97.8</v>
      </c>
      <c r="GP55">
        <v>96</v>
      </c>
      <c r="GQ55">
        <v>98.8</v>
      </c>
      <c r="GR55">
        <v>92.5</v>
      </c>
      <c r="GS55">
        <v>101</v>
      </c>
      <c r="GU55">
        <v>99.5</v>
      </c>
      <c r="GV55">
        <v>101.8</v>
      </c>
      <c r="GW55">
        <v>97.4</v>
      </c>
      <c r="GX55">
        <v>99.6</v>
      </c>
      <c r="GY55">
        <v>102.6</v>
      </c>
      <c r="GZ55">
        <v>100.4</v>
      </c>
      <c r="HA55">
        <v>101.6</v>
      </c>
      <c r="HB55">
        <v>100.2</v>
      </c>
      <c r="HD55">
        <v>103.6</v>
      </c>
      <c r="HE55">
        <v>104.3</v>
      </c>
      <c r="HG55">
        <v>101.6</v>
      </c>
      <c r="HH55">
        <v>100.1</v>
      </c>
      <c r="HI55">
        <v>96.1</v>
      </c>
      <c r="HJ55">
        <v>90</v>
      </c>
      <c r="HK55">
        <v>97.6</v>
      </c>
      <c r="HL55">
        <v>99.7</v>
      </c>
      <c r="HO55">
        <v>100.3</v>
      </c>
      <c r="HP55">
        <v>101.2</v>
      </c>
      <c r="HQ55">
        <v>100.4</v>
      </c>
      <c r="HR55">
        <v>101.2</v>
      </c>
      <c r="HS55">
        <v>101.8</v>
      </c>
      <c r="HT55">
        <v>101.8</v>
      </c>
      <c r="HU55">
        <v>102.9</v>
      </c>
      <c r="HV55">
        <v>100.3</v>
      </c>
      <c r="HW55">
        <v>102.4</v>
      </c>
      <c r="HX55">
        <v>100.3</v>
      </c>
      <c r="HY55">
        <v>99.3</v>
      </c>
      <c r="HZ55">
        <v>99.8</v>
      </c>
      <c r="IA55">
        <v>95.1</v>
      </c>
      <c r="IB55">
        <v>100.9</v>
      </c>
      <c r="IC55">
        <v>102.5</v>
      </c>
      <c r="IE55">
        <v>100</v>
      </c>
      <c r="IF55">
        <v>92.9</v>
      </c>
      <c r="IH55">
        <v>100.7</v>
      </c>
      <c r="II55">
        <v>100.9</v>
      </c>
      <c r="IJ55">
        <v>99.5</v>
      </c>
      <c r="IK55">
        <v>100.2</v>
      </c>
      <c r="IL55">
        <v>99.6</v>
      </c>
      <c r="IM55">
        <v>100.5</v>
      </c>
      <c r="IN55">
        <v>98.8</v>
      </c>
      <c r="IO55">
        <v>99.3</v>
      </c>
      <c r="IP55">
        <v>99.3</v>
      </c>
      <c r="IQ55">
        <v>99.1</v>
      </c>
      <c r="IR55">
        <v>101</v>
      </c>
      <c r="IS55">
        <v>97.2</v>
      </c>
      <c r="IT55">
        <v>96.7</v>
      </c>
      <c r="IU55">
        <v>96.4</v>
      </c>
      <c r="IV55">
        <v>96</v>
      </c>
      <c r="IW55">
        <v>96.1</v>
      </c>
      <c r="IX55">
        <v>95.6</v>
      </c>
      <c r="IY55">
        <v>97</v>
      </c>
      <c r="IZ55">
        <v>96.6</v>
      </c>
      <c r="JA55">
        <v>94.5</v>
      </c>
      <c r="JB55">
        <v>97</v>
      </c>
      <c r="JC55">
        <v>96.4</v>
      </c>
      <c r="JD55">
        <v>98.2</v>
      </c>
      <c r="JE55">
        <v>97.6</v>
      </c>
      <c r="JF55">
        <v>97.1</v>
      </c>
      <c r="JG55">
        <v>100</v>
      </c>
      <c r="JH55">
        <v>97.3</v>
      </c>
      <c r="JI55">
        <v>98</v>
      </c>
      <c r="JJ55">
        <v>96</v>
      </c>
      <c r="JK55">
        <v>94.8</v>
      </c>
      <c r="JL55">
        <v>96.1</v>
      </c>
      <c r="JM55">
        <v>105.8</v>
      </c>
      <c r="JN55">
        <v>93.7</v>
      </c>
      <c r="JO55">
        <v>96.1</v>
      </c>
      <c r="JP55">
        <v>95.8</v>
      </c>
      <c r="JQ55">
        <v>96.3</v>
      </c>
      <c r="JR55">
        <v>94.4</v>
      </c>
      <c r="JS55">
        <v>102.7</v>
      </c>
      <c r="JT55">
        <v>102.6</v>
      </c>
      <c r="JU55">
        <v>102.7</v>
      </c>
      <c r="JV55">
        <v>99.2</v>
      </c>
      <c r="JW55">
        <v>99.9</v>
      </c>
      <c r="JX55">
        <v>100</v>
      </c>
      <c r="JY55">
        <v>100</v>
      </c>
      <c r="JZ55">
        <v>99.6</v>
      </c>
      <c r="KA55">
        <v>99.8</v>
      </c>
      <c r="KB55">
        <v>99.5</v>
      </c>
      <c r="KC55">
        <v>99.9</v>
      </c>
      <c r="KD55">
        <v>99.9</v>
      </c>
      <c r="KE55">
        <v>95</v>
      </c>
      <c r="KF55">
        <v>98.1</v>
      </c>
      <c r="KG55">
        <v>94.9</v>
      </c>
      <c r="KH55">
        <v>99.7</v>
      </c>
      <c r="KI55">
        <v>100.1</v>
      </c>
      <c r="KJ55">
        <v>98.5</v>
      </c>
      <c r="KK55">
        <v>92.9</v>
      </c>
      <c r="KL55">
        <v>96.8</v>
      </c>
      <c r="KM55">
        <v>94</v>
      </c>
      <c r="KN55">
        <v>95.2</v>
      </c>
      <c r="KO55">
        <v>91.1</v>
      </c>
      <c r="KP55">
        <v>93.5</v>
      </c>
      <c r="KQ55">
        <v>96.3</v>
      </c>
      <c r="KS55">
        <v>97.3</v>
      </c>
      <c r="KT55">
        <v>92.6</v>
      </c>
      <c r="KU55">
        <v>97.4</v>
      </c>
      <c r="KV55">
        <v>93.7</v>
      </c>
      <c r="KW55">
        <v>93.7</v>
      </c>
      <c r="KX55">
        <v>91.9</v>
      </c>
      <c r="KY55">
        <v>101.5</v>
      </c>
      <c r="KZ55">
        <v>102.5</v>
      </c>
      <c r="LA55">
        <v>102.5</v>
      </c>
      <c r="LB55">
        <v>100.1</v>
      </c>
      <c r="LC55">
        <v>101.9</v>
      </c>
      <c r="LD55">
        <v>97.2</v>
      </c>
      <c r="LE55">
        <v>110.9</v>
      </c>
      <c r="LF55">
        <v>110.9</v>
      </c>
      <c r="LG55">
        <v>98.6</v>
      </c>
      <c r="LH55">
        <v>99.5</v>
      </c>
      <c r="LI55">
        <v>97.4</v>
      </c>
      <c r="LJ55">
        <v>95.8</v>
      </c>
      <c r="LK55">
        <v>94.6</v>
      </c>
      <c r="LL55">
        <v>93.8</v>
      </c>
      <c r="LM55">
        <v>80.5</v>
      </c>
      <c r="LN55">
        <v>93.9</v>
      </c>
      <c r="LO55">
        <v>101.4</v>
      </c>
      <c r="LP55">
        <v>98.5</v>
      </c>
      <c r="LQ55">
        <v>79.7</v>
      </c>
      <c r="LR55">
        <v>99</v>
      </c>
      <c r="LS55">
        <v>100.4</v>
      </c>
      <c r="LT55">
        <v>94.7</v>
      </c>
      <c r="LU55">
        <v>94.2</v>
      </c>
      <c r="LV55">
        <v>99.4</v>
      </c>
      <c r="LW55">
        <v>93.1</v>
      </c>
      <c r="LX55">
        <v>96.7</v>
      </c>
      <c r="LY55">
        <v>96.6</v>
      </c>
      <c r="MA55">
        <v>95.7</v>
      </c>
      <c r="MB55">
        <v>95.2</v>
      </c>
      <c r="MC55">
        <v>86.7</v>
      </c>
      <c r="MD55">
        <v>97.5</v>
      </c>
      <c r="ME55">
        <v>97.2</v>
      </c>
      <c r="MG55">
        <v>96.1</v>
      </c>
      <c r="MH55">
        <v>89.1</v>
      </c>
      <c r="MI55">
        <v>97.6</v>
      </c>
      <c r="MJ55">
        <v>98.2</v>
      </c>
      <c r="MK55">
        <v>99.8</v>
      </c>
      <c r="MM55">
        <v>97.3</v>
      </c>
      <c r="MN55">
        <v>98.2</v>
      </c>
      <c r="MO55">
        <v>98</v>
      </c>
      <c r="MP55">
        <v>98.3</v>
      </c>
      <c r="MQ55">
        <v>99.5</v>
      </c>
      <c r="MR55">
        <v>102.3</v>
      </c>
      <c r="MS55">
        <v>98.7</v>
      </c>
      <c r="MT55">
        <v>99.9</v>
      </c>
      <c r="MU55">
        <v>97.6</v>
      </c>
      <c r="MV55">
        <v>95.5</v>
      </c>
      <c r="MW55">
        <v>89.3</v>
      </c>
      <c r="MX55">
        <v>97.5</v>
      </c>
      <c r="MY55">
        <v>98.9</v>
      </c>
      <c r="MZ55">
        <v>97.7</v>
      </c>
      <c r="NB55">
        <v>95.9</v>
      </c>
      <c r="NC55">
        <v>90.5</v>
      </c>
      <c r="ND55">
        <v>88</v>
      </c>
      <c r="NE55">
        <v>92.1</v>
      </c>
      <c r="NF55">
        <v>96.6</v>
      </c>
      <c r="NG55">
        <v>97.4</v>
      </c>
      <c r="NH55">
        <v>96.2</v>
      </c>
      <c r="NI55">
        <v>98.5</v>
      </c>
      <c r="NJ55">
        <v>98.6</v>
      </c>
      <c r="NK55">
        <v>96.5</v>
      </c>
      <c r="NL55">
        <v>98.2</v>
      </c>
      <c r="NM55">
        <v>101.4</v>
      </c>
      <c r="NN55">
        <v>98.7</v>
      </c>
      <c r="NO55">
        <v>93.1</v>
      </c>
      <c r="NQ55">
        <v>96.8</v>
      </c>
      <c r="NR55">
        <v>93.3</v>
      </c>
      <c r="NS55">
        <v>93.3</v>
      </c>
      <c r="NT55">
        <v>97</v>
      </c>
      <c r="NU55">
        <v>98.2</v>
      </c>
      <c r="NV55">
        <v>96.6</v>
      </c>
      <c r="NW55">
        <v>98.2</v>
      </c>
      <c r="NX55">
        <v>98.2</v>
      </c>
      <c r="NY55">
        <v>98.5</v>
      </c>
      <c r="NZ55">
        <v>98.9</v>
      </c>
      <c r="OA55">
        <v>97.3</v>
      </c>
      <c r="OB55">
        <v>97.5</v>
      </c>
      <c r="OC55">
        <v>96.9</v>
      </c>
      <c r="OD55">
        <v>98.9</v>
      </c>
      <c r="OE55">
        <v>97.5</v>
      </c>
      <c r="OF55">
        <v>91.9</v>
      </c>
      <c r="OG55">
        <v>102.6</v>
      </c>
      <c r="OH55">
        <v>94.2</v>
      </c>
      <c r="OI55">
        <v>98.5</v>
      </c>
      <c r="OJ55">
        <v>96.2</v>
      </c>
      <c r="OK55">
        <v>99.9</v>
      </c>
      <c r="OL55">
        <v>99.2</v>
      </c>
      <c r="OM55">
        <v>99.7</v>
      </c>
      <c r="ON55">
        <v>98.5</v>
      </c>
      <c r="OO55">
        <v>97.8</v>
      </c>
      <c r="OP55">
        <v>98.5</v>
      </c>
      <c r="OQ55">
        <v>96.3</v>
      </c>
      <c r="OR55">
        <v>100.2</v>
      </c>
      <c r="OS55">
        <v>93.9</v>
      </c>
      <c r="OT55">
        <v>97.5</v>
      </c>
      <c r="OU55">
        <v>97.3</v>
      </c>
      <c r="OV55">
        <v>97.1</v>
      </c>
      <c r="OW55">
        <v>97.6</v>
      </c>
      <c r="OX55">
        <v>98.6</v>
      </c>
      <c r="OY55">
        <v>98.5</v>
      </c>
      <c r="OZ55">
        <v>95.9</v>
      </c>
      <c r="PA55">
        <v>103.7</v>
      </c>
      <c r="PB55">
        <v>100.3</v>
      </c>
      <c r="PC55">
        <v>97.7</v>
      </c>
      <c r="PD55">
        <v>106.1</v>
      </c>
      <c r="PG55">
        <v>104.6</v>
      </c>
      <c r="PH55">
        <v>99</v>
      </c>
      <c r="PI55">
        <v>99.4</v>
      </c>
      <c r="PJ55">
        <v>100.4</v>
      </c>
      <c r="PK55">
        <v>100.6</v>
      </c>
      <c r="PL55">
        <v>98.7</v>
      </c>
      <c r="PM55">
        <v>100.4</v>
      </c>
      <c r="PN55">
        <v>101.2</v>
      </c>
      <c r="PO55">
        <v>99.1</v>
      </c>
      <c r="PP55">
        <v>97.5</v>
      </c>
      <c r="PQ55">
        <v>101.3</v>
      </c>
      <c r="PR55">
        <v>101.7</v>
      </c>
      <c r="PS55">
        <v>97.9</v>
      </c>
      <c r="PT55">
        <v>98.2</v>
      </c>
      <c r="PU55">
        <v>98.7</v>
      </c>
      <c r="PV55">
        <v>98</v>
      </c>
      <c r="PW55">
        <v>97</v>
      </c>
      <c r="PX55">
        <v>99</v>
      </c>
      <c r="PY55">
        <v>98.2</v>
      </c>
      <c r="PZ55">
        <v>99.3</v>
      </c>
      <c r="QA55">
        <v>101.1</v>
      </c>
      <c r="QB55">
        <v>98.4</v>
      </c>
      <c r="QC55">
        <v>97.8</v>
      </c>
      <c r="QD55">
        <v>97.8</v>
      </c>
      <c r="QE55">
        <v>98.2</v>
      </c>
      <c r="QF55">
        <v>96.9</v>
      </c>
      <c r="QG55">
        <v>98.7</v>
      </c>
      <c r="QH55">
        <v>97</v>
      </c>
      <c r="QI55">
        <v>97</v>
      </c>
      <c r="QJ55">
        <v>97.3</v>
      </c>
      <c r="QK55">
        <v>96.3</v>
      </c>
      <c r="QL55">
        <v>98</v>
      </c>
      <c r="QM55">
        <v>100.9</v>
      </c>
      <c r="QN55">
        <v>95.8</v>
      </c>
      <c r="QO55">
        <v>96.4</v>
      </c>
      <c r="QP55">
        <v>99.9</v>
      </c>
      <c r="QQ55">
        <v>99.2</v>
      </c>
      <c r="QR55">
        <v>98.7</v>
      </c>
      <c r="QS55">
        <v>101.6</v>
      </c>
      <c r="QT55">
        <v>100</v>
      </c>
      <c r="QU55">
        <v>99.8</v>
      </c>
      <c r="QV55">
        <v>98.4</v>
      </c>
      <c r="QW55">
        <v>97.7</v>
      </c>
      <c r="QX55">
        <v>101.1</v>
      </c>
      <c r="QY55">
        <v>95.4</v>
      </c>
      <c r="QZ55">
        <v>95.7</v>
      </c>
      <c r="RA55">
        <v>94.6</v>
      </c>
      <c r="RB55">
        <v>95.6</v>
      </c>
      <c r="RC55">
        <v>96.9</v>
      </c>
      <c r="RD55">
        <v>99.3</v>
      </c>
      <c r="RE55">
        <v>99.1</v>
      </c>
      <c r="RF55">
        <v>99.4</v>
      </c>
      <c r="RG55">
        <v>99.6</v>
      </c>
      <c r="RH55">
        <v>99.6</v>
      </c>
      <c r="RI55">
        <v>97.8</v>
      </c>
      <c r="RJ55">
        <v>98</v>
      </c>
      <c r="RK55">
        <v>98.6</v>
      </c>
      <c r="RL55">
        <v>98.3</v>
      </c>
      <c r="RM55">
        <v>98.4</v>
      </c>
      <c r="RN55">
        <v>96.7</v>
      </c>
      <c r="RO55">
        <v>98.3</v>
      </c>
      <c r="RP55">
        <v>98.8</v>
      </c>
      <c r="RQ55">
        <v>100.4</v>
      </c>
      <c r="RR55">
        <v>100</v>
      </c>
      <c r="RS55">
        <v>98.8</v>
      </c>
      <c r="RT55">
        <v>102</v>
      </c>
      <c r="RU55">
        <v>98.4</v>
      </c>
      <c r="RV55">
        <v>99.6</v>
      </c>
      <c r="RW55">
        <v>99.4</v>
      </c>
      <c r="RX55">
        <v>94.7</v>
      </c>
      <c r="RY55">
        <v>101.4</v>
      </c>
      <c r="SA55">
        <v>99.1</v>
      </c>
      <c r="SB55">
        <v>95.2</v>
      </c>
      <c r="SC55">
        <v>103.1</v>
      </c>
      <c r="SD55">
        <v>99.1</v>
      </c>
      <c r="SE55">
        <v>98.1</v>
      </c>
      <c r="SF55">
        <v>99.6</v>
      </c>
      <c r="SG55">
        <v>99.9</v>
      </c>
      <c r="SH55">
        <v>97.6</v>
      </c>
      <c r="SI55">
        <v>98.4</v>
      </c>
      <c r="SJ55">
        <v>97.7</v>
      </c>
      <c r="SK55">
        <v>100.8</v>
      </c>
      <c r="SL55">
        <v>97.5</v>
      </c>
      <c r="SM55">
        <v>97.9</v>
      </c>
      <c r="SN55">
        <v>97.7</v>
      </c>
      <c r="SO55">
        <v>98.2</v>
      </c>
      <c r="SP55">
        <v>98.2</v>
      </c>
      <c r="SQ55">
        <v>97.3</v>
      </c>
      <c r="SR55">
        <v>97.9</v>
      </c>
      <c r="SS55">
        <v>97.8</v>
      </c>
      <c r="ST55">
        <v>97.5</v>
      </c>
      <c r="SU55">
        <v>98.2</v>
      </c>
      <c r="SV55">
        <v>98.1</v>
      </c>
      <c r="SX55">
        <v>97.9</v>
      </c>
      <c r="SY55">
        <v>96.1</v>
      </c>
      <c r="SZ55">
        <v>93.2</v>
      </c>
      <c r="TA55">
        <v>100.2</v>
      </c>
      <c r="TB55">
        <v>97.3</v>
      </c>
      <c r="TC55">
        <v>97</v>
      </c>
      <c r="TD55">
        <v>98.3</v>
      </c>
      <c r="TE55">
        <v>101</v>
      </c>
      <c r="TF55">
        <v>98</v>
      </c>
      <c r="TG55">
        <v>99.1</v>
      </c>
      <c r="TH55">
        <v>98</v>
      </c>
      <c r="TI55">
        <v>97.9</v>
      </c>
      <c r="TJ55">
        <v>96.7</v>
      </c>
      <c r="TK55">
        <v>99.1</v>
      </c>
      <c r="TL55">
        <v>99.6</v>
      </c>
      <c r="TM55">
        <v>98</v>
      </c>
      <c r="TN55">
        <v>102.1</v>
      </c>
      <c r="TO55">
        <v>109.3</v>
      </c>
      <c r="TP55">
        <v>95.9</v>
      </c>
      <c r="TQ55">
        <v>95.5</v>
      </c>
      <c r="TR55">
        <v>108</v>
      </c>
      <c r="TT55">
        <v>95.5</v>
      </c>
      <c r="TU55">
        <v>97.4</v>
      </c>
      <c r="TV55">
        <v>96.4</v>
      </c>
      <c r="TW55">
        <v>99.1</v>
      </c>
      <c r="TX55">
        <v>97.9</v>
      </c>
      <c r="TY55">
        <v>100</v>
      </c>
      <c r="TZ55">
        <v>98.4</v>
      </c>
      <c r="UA55">
        <v>93.8</v>
      </c>
      <c r="UB55">
        <v>98.1</v>
      </c>
      <c r="UC55">
        <v>113.9</v>
      </c>
      <c r="UD55">
        <v>96.4</v>
      </c>
      <c r="UE55">
        <v>102.2</v>
      </c>
      <c r="UF55">
        <v>98.4</v>
      </c>
      <c r="UG55">
        <v>97.6</v>
      </c>
      <c r="UH55">
        <v>98.2</v>
      </c>
      <c r="UI55">
        <v>104.1</v>
      </c>
      <c r="UJ55">
        <v>98.1</v>
      </c>
      <c r="UK55">
        <v>103.4</v>
      </c>
      <c r="UL55">
        <v>110.2</v>
      </c>
      <c r="UM55">
        <v>117.4</v>
      </c>
      <c r="UN55">
        <v>101.9</v>
      </c>
      <c r="UO55">
        <v>101.6</v>
      </c>
      <c r="UP55">
        <v>98.8</v>
      </c>
      <c r="UQ55">
        <v>100</v>
      </c>
      <c r="UR55">
        <v>104.2</v>
      </c>
      <c r="US55">
        <v>104.7</v>
      </c>
      <c r="UT55">
        <v>102.5</v>
      </c>
      <c r="UU55">
        <v>103.9</v>
      </c>
      <c r="UV55">
        <v>102.9</v>
      </c>
      <c r="UW55">
        <v>98.4</v>
      </c>
      <c r="UX55">
        <v>98.6</v>
      </c>
      <c r="UY55">
        <v>98.2</v>
      </c>
      <c r="UZ55">
        <v>97.3</v>
      </c>
      <c r="VA55">
        <v>98.7</v>
      </c>
      <c r="VB55">
        <v>97.5</v>
      </c>
      <c r="VC55">
        <v>96</v>
      </c>
      <c r="VD55">
        <v>99.4</v>
      </c>
      <c r="VE55">
        <v>97.8</v>
      </c>
      <c r="VF55">
        <v>103.5</v>
      </c>
      <c r="VG55">
        <v>95.8</v>
      </c>
      <c r="VH55">
        <v>90</v>
      </c>
      <c r="VI55">
        <v>105.3</v>
      </c>
      <c r="VK55">
        <v>85.4</v>
      </c>
      <c r="VL55">
        <v>89.8</v>
      </c>
      <c r="VM55">
        <v>98.2</v>
      </c>
      <c r="VN55">
        <v>98</v>
      </c>
      <c r="VO55">
        <v>96.2</v>
      </c>
      <c r="VP55">
        <v>93.5</v>
      </c>
      <c r="VQ55">
        <v>98.2</v>
      </c>
      <c r="VR55">
        <v>91.1</v>
      </c>
      <c r="VS55">
        <v>95.5</v>
      </c>
      <c r="VT55">
        <v>94.7</v>
      </c>
      <c r="VU55">
        <v>97.8</v>
      </c>
      <c r="VV55">
        <v>96.8</v>
      </c>
      <c r="VW55">
        <v>99.4</v>
      </c>
      <c r="VX55">
        <v>94.5</v>
      </c>
      <c r="VY55">
        <v>96.4</v>
      </c>
      <c r="VZ55">
        <v>94.4</v>
      </c>
      <c r="WA55">
        <v>89.1</v>
      </c>
      <c r="WB55">
        <v>98.6</v>
      </c>
      <c r="WC55">
        <v>98.1</v>
      </c>
      <c r="WD55">
        <v>98.4</v>
      </c>
      <c r="WE55">
        <v>98.4</v>
      </c>
      <c r="WF55">
        <v>99.1</v>
      </c>
      <c r="WG55">
        <v>99.1</v>
      </c>
      <c r="WH55">
        <v>97.2</v>
      </c>
      <c r="WI55">
        <v>96</v>
      </c>
      <c r="WJ55">
        <v>97.9</v>
      </c>
      <c r="WK55">
        <v>97</v>
      </c>
      <c r="WL55">
        <v>97</v>
      </c>
      <c r="WM55">
        <v>126.1</v>
      </c>
      <c r="WN55">
        <v>100.7</v>
      </c>
      <c r="WO55">
        <v>98.4</v>
      </c>
      <c r="WP55">
        <v>89.2</v>
      </c>
      <c r="WQ55">
        <v>98.6</v>
      </c>
      <c r="WR55">
        <v>98.4</v>
      </c>
      <c r="WS55">
        <v>96.1</v>
      </c>
      <c r="WT55">
        <v>101.4</v>
      </c>
      <c r="WU55">
        <v>97.4</v>
      </c>
      <c r="WV55">
        <v>97.1</v>
      </c>
      <c r="WW55">
        <v>98.4</v>
      </c>
      <c r="WX55">
        <v>96.2</v>
      </c>
      <c r="WY55">
        <v>96.4</v>
      </c>
      <c r="WZ55">
        <v>95.2</v>
      </c>
      <c r="XA55">
        <v>97.2</v>
      </c>
      <c r="XB55">
        <v>91.5</v>
      </c>
      <c r="XC55">
        <v>91.1</v>
      </c>
      <c r="XD55">
        <v>93</v>
      </c>
      <c r="XE55">
        <v>97.5</v>
      </c>
      <c r="XF55">
        <v>96.8</v>
      </c>
      <c r="XG55">
        <v>97.9</v>
      </c>
      <c r="XH55">
        <v>101.3</v>
      </c>
      <c r="XI55">
        <v>118.8</v>
      </c>
      <c r="XJ55">
        <v>118.8</v>
      </c>
      <c r="XK55">
        <v>103.3</v>
      </c>
      <c r="XL55">
        <v>103.3</v>
      </c>
      <c r="XM55">
        <v>96.4</v>
      </c>
      <c r="XN55">
        <v>92.1</v>
      </c>
      <c r="XO55">
        <v>98</v>
      </c>
      <c r="XP55">
        <v>98</v>
      </c>
      <c r="XQ55">
        <v>96.1</v>
      </c>
      <c r="XR55">
        <v>96.6</v>
      </c>
      <c r="XT55">
        <v>97.4</v>
      </c>
      <c r="XU55">
        <v>97.5</v>
      </c>
      <c r="XV55">
        <v>98.4</v>
      </c>
      <c r="XW55">
        <v>100.7</v>
      </c>
      <c r="XX55">
        <v>96</v>
      </c>
      <c r="XY55">
        <v>95.7</v>
      </c>
      <c r="XZ55">
        <v>97.4</v>
      </c>
      <c r="YA55">
        <v>98.2</v>
      </c>
      <c r="YB55">
        <v>97.2</v>
      </c>
      <c r="YC55">
        <v>93.9</v>
      </c>
      <c r="YD55">
        <v>98.2</v>
      </c>
      <c r="YE55">
        <v>97.5</v>
      </c>
      <c r="YF55">
        <v>99</v>
      </c>
      <c r="YG55">
        <v>97</v>
      </c>
      <c r="YH55">
        <v>99.3</v>
      </c>
      <c r="YI55">
        <v>97.4</v>
      </c>
      <c r="YJ55">
        <v>98.6</v>
      </c>
      <c r="YK55">
        <v>94.9</v>
      </c>
      <c r="YL55">
        <v>95.1</v>
      </c>
      <c r="YM55">
        <v>97.1</v>
      </c>
      <c r="YO55">
        <v>94.7</v>
      </c>
      <c r="YP55">
        <v>98.2</v>
      </c>
      <c r="YQ55">
        <v>93.3</v>
      </c>
      <c r="YR55">
        <v>97.8</v>
      </c>
      <c r="YS55">
        <v>95.3</v>
      </c>
      <c r="YT55">
        <v>102.4</v>
      </c>
      <c r="YU55">
        <v>97.5</v>
      </c>
      <c r="YV55">
        <v>97.7</v>
      </c>
      <c r="YW55">
        <v>98.1</v>
      </c>
      <c r="YX55">
        <v>97.1</v>
      </c>
      <c r="YY55">
        <v>97</v>
      </c>
      <c r="YZ55">
        <v>97.4</v>
      </c>
      <c r="ZA55">
        <v>98.6</v>
      </c>
      <c r="ZB55">
        <v>98.8</v>
      </c>
      <c r="ZC55">
        <v>101</v>
      </c>
      <c r="ZD55">
        <v>105.4</v>
      </c>
      <c r="ZE55">
        <v>97.1</v>
      </c>
      <c r="ZF55">
        <v>99.9</v>
      </c>
      <c r="ZG55">
        <v>95.8</v>
      </c>
      <c r="ZH55">
        <v>99</v>
      </c>
      <c r="ZI55">
        <v>99.8</v>
      </c>
      <c r="ZK55">
        <v>101.1</v>
      </c>
      <c r="ZL55">
        <v>101</v>
      </c>
      <c r="ZM55">
        <v>99.6</v>
      </c>
      <c r="ZN55">
        <v>98.1</v>
      </c>
      <c r="ZO55">
        <v>97.8</v>
      </c>
      <c r="ZP55">
        <v>99.3</v>
      </c>
      <c r="ZQ55">
        <v>98.2</v>
      </c>
      <c r="ZR55">
        <v>97</v>
      </c>
      <c r="ZS55">
        <v>98.2</v>
      </c>
      <c r="ZT55">
        <v>97.9</v>
      </c>
      <c r="ZU55">
        <v>98.2</v>
      </c>
      <c r="ZV55">
        <v>92.6</v>
      </c>
      <c r="ZW55">
        <v>98.2</v>
      </c>
      <c r="ZX55">
        <v>97.8</v>
      </c>
      <c r="ZY55">
        <v>98.2</v>
      </c>
      <c r="ZZ55">
        <v>98.2</v>
      </c>
      <c r="AAA55">
        <v>99.6</v>
      </c>
      <c r="AAC55">
        <v>95.7</v>
      </c>
      <c r="AAD55">
        <v>94.9</v>
      </c>
      <c r="AAE55">
        <v>96.7</v>
      </c>
      <c r="AAF55">
        <v>91.7</v>
      </c>
      <c r="AAG55">
        <v>95.3</v>
      </c>
      <c r="AAH55">
        <v>98.5</v>
      </c>
      <c r="AAI55">
        <v>96.7</v>
      </c>
      <c r="AAJ55">
        <v>97.9</v>
      </c>
      <c r="AAK55">
        <v>96.4</v>
      </c>
      <c r="AAL55">
        <v>98.3</v>
      </c>
      <c r="AAM55">
        <v>98.2</v>
      </c>
      <c r="AAN55">
        <v>98.5</v>
      </c>
      <c r="AAO55">
        <v>92.5</v>
      </c>
      <c r="AAP55">
        <v>92.7</v>
      </c>
      <c r="AAQ55">
        <v>92.3</v>
      </c>
      <c r="AAR55">
        <v>113.8</v>
      </c>
      <c r="AAT55">
        <v>96.6</v>
      </c>
      <c r="AAU55">
        <v>239.5</v>
      </c>
      <c r="AAW55">
        <v>97.7</v>
      </c>
      <c r="AAX55">
        <v>99.2</v>
      </c>
      <c r="AAY55">
        <v>100</v>
      </c>
      <c r="AAZ55">
        <v>98.3</v>
      </c>
      <c r="ABA55">
        <v>98.2</v>
      </c>
      <c r="ABB55">
        <v>97.4</v>
      </c>
      <c r="ABC55">
        <v>100.6</v>
      </c>
      <c r="ABD55">
        <v>97.9</v>
      </c>
      <c r="ABE55">
        <v>92.5</v>
      </c>
      <c r="ABF55">
        <v>99.7</v>
      </c>
      <c r="ABG55">
        <v>98.1</v>
      </c>
      <c r="ABH55">
        <v>99.6</v>
      </c>
      <c r="ABI55">
        <v>97.3</v>
      </c>
      <c r="ABJ55">
        <v>100</v>
      </c>
      <c r="ABK55">
        <v>99.7</v>
      </c>
      <c r="ABL55">
        <v>104.2</v>
      </c>
      <c r="ABM55">
        <v>99.3</v>
      </c>
      <c r="ABN55">
        <v>99.8</v>
      </c>
      <c r="ABO55">
        <v>107.4</v>
      </c>
      <c r="ABP55">
        <v>99.4</v>
      </c>
      <c r="ABQ55">
        <v>100.7</v>
      </c>
    </row>
    <row r="56" spans="1:748">
      <c r="A56">
        <v>2019</v>
      </c>
      <c r="B56">
        <v>100.1</v>
      </c>
      <c r="C56">
        <v>99</v>
      </c>
      <c r="D56">
        <v>100.2</v>
      </c>
      <c r="E56">
        <v>100.1</v>
      </c>
      <c r="F56">
        <v>100.4</v>
      </c>
      <c r="G56">
        <v>100</v>
      </c>
      <c r="H56">
        <v>100.3</v>
      </c>
      <c r="I56">
        <v>100.9</v>
      </c>
      <c r="J56">
        <v>99.5</v>
      </c>
      <c r="K56">
        <v>100.7</v>
      </c>
      <c r="L56">
        <v>99.9</v>
      </c>
      <c r="M56">
        <v>100.2</v>
      </c>
      <c r="N56">
        <v>99.3</v>
      </c>
      <c r="O56">
        <v>99.1</v>
      </c>
      <c r="P56">
        <v>99.8</v>
      </c>
      <c r="Q56">
        <v>100.5</v>
      </c>
      <c r="R56">
        <v>100.6</v>
      </c>
      <c r="S56">
        <v>99.1</v>
      </c>
      <c r="T56">
        <v>101.3</v>
      </c>
      <c r="V56">
        <v>100.3</v>
      </c>
      <c r="W56">
        <v>100.5</v>
      </c>
      <c r="X56">
        <v>105.7</v>
      </c>
      <c r="Y56">
        <v>97.7</v>
      </c>
      <c r="Z56">
        <v>98.8</v>
      </c>
      <c r="AA56">
        <v>97.2</v>
      </c>
      <c r="AB56">
        <v>98.6</v>
      </c>
      <c r="AC56">
        <v>102.3</v>
      </c>
      <c r="AD56">
        <v>82.4</v>
      </c>
      <c r="AE56">
        <v>106</v>
      </c>
      <c r="AF56">
        <v>101.1</v>
      </c>
      <c r="AG56">
        <v>102.1</v>
      </c>
      <c r="AH56">
        <v>104.1</v>
      </c>
      <c r="AI56">
        <v>99.9</v>
      </c>
      <c r="AJ56">
        <v>98.1</v>
      </c>
      <c r="AK56">
        <v>102.1</v>
      </c>
      <c r="AL56">
        <v>105.3</v>
      </c>
      <c r="AM56">
        <v>100.1</v>
      </c>
      <c r="AN56">
        <v>103.1</v>
      </c>
      <c r="AO56">
        <v>99.2</v>
      </c>
      <c r="AP56">
        <v>100.1</v>
      </c>
      <c r="AQ56">
        <v>97.6</v>
      </c>
      <c r="AR56">
        <v>98.1</v>
      </c>
      <c r="AS56">
        <v>93</v>
      </c>
      <c r="AT56">
        <v>100.7</v>
      </c>
      <c r="AU56">
        <v>99.5</v>
      </c>
      <c r="AV56">
        <v>99.3</v>
      </c>
      <c r="AW56">
        <v>99.4</v>
      </c>
      <c r="AX56">
        <v>99.8</v>
      </c>
      <c r="AY56">
        <v>100.1</v>
      </c>
      <c r="AZ56">
        <v>100.6</v>
      </c>
      <c r="BA56">
        <v>100.5</v>
      </c>
      <c r="BB56">
        <v>97.9</v>
      </c>
      <c r="BC56">
        <v>101</v>
      </c>
      <c r="BD56">
        <v>99.2</v>
      </c>
      <c r="BE56">
        <v>98.9</v>
      </c>
      <c r="BF56">
        <v>98.5</v>
      </c>
      <c r="BG56">
        <v>99.8</v>
      </c>
      <c r="BH56">
        <v>97.5</v>
      </c>
      <c r="BJ56">
        <v>99.3</v>
      </c>
      <c r="BK56">
        <v>100.8</v>
      </c>
      <c r="BL56">
        <v>100.4</v>
      </c>
      <c r="BM56">
        <v>101.3</v>
      </c>
      <c r="BN56">
        <v>100.2</v>
      </c>
      <c r="BP56">
        <v>100.3</v>
      </c>
      <c r="BQ56">
        <v>100.4</v>
      </c>
      <c r="BR56">
        <v>100</v>
      </c>
      <c r="BS56">
        <v>100</v>
      </c>
      <c r="BT56">
        <v>100.7</v>
      </c>
      <c r="BU56">
        <v>100.2</v>
      </c>
      <c r="BV56">
        <v>100.9</v>
      </c>
      <c r="BW56">
        <v>99.9</v>
      </c>
      <c r="BX56">
        <v>100.9</v>
      </c>
      <c r="BY56">
        <v>99.8</v>
      </c>
      <c r="BZ56">
        <v>100</v>
      </c>
      <c r="CA56">
        <v>100</v>
      </c>
      <c r="CB56">
        <v>96.4</v>
      </c>
      <c r="CC56">
        <v>95</v>
      </c>
      <c r="CD56">
        <v>84.4</v>
      </c>
      <c r="CE56">
        <v>100.5</v>
      </c>
      <c r="CF56">
        <v>88</v>
      </c>
      <c r="CG56">
        <v>93.1</v>
      </c>
      <c r="CH56">
        <v>96.5</v>
      </c>
      <c r="CI56">
        <v>101.7</v>
      </c>
      <c r="CJ56">
        <v>99.6</v>
      </c>
      <c r="CK56">
        <v>100.4</v>
      </c>
      <c r="CL56">
        <v>94.9</v>
      </c>
      <c r="CM56">
        <v>86.4</v>
      </c>
      <c r="CN56">
        <v>101.1</v>
      </c>
      <c r="CO56">
        <v>92.3</v>
      </c>
      <c r="CP56">
        <v>86.9</v>
      </c>
      <c r="CQ56">
        <v>101.8</v>
      </c>
      <c r="CR56">
        <v>101.1</v>
      </c>
      <c r="CS56">
        <v>94.1</v>
      </c>
      <c r="CT56">
        <v>101.4</v>
      </c>
      <c r="CU56">
        <v>100.3</v>
      </c>
      <c r="CV56">
        <v>96.6</v>
      </c>
      <c r="CW56">
        <v>98</v>
      </c>
      <c r="CX56">
        <v>94.2</v>
      </c>
      <c r="CY56">
        <v>94.4</v>
      </c>
      <c r="CZ56">
        <v>91.8</v>
      </c>
      <c r="DA56">
        <v>96.4</v>
      </c>
      <c r="DB56">
        <v>88.7</v>
      </c>
      <c r="DC56">
        <v>100</v>
      </c>
      <c r="DD56">
        <v>94.8</v>
      </c>
      <c r="DE56">
        <v>97</v>
      </c>
      <c r="DG56">
        <v>99.1</v>
      </c>
      <c r="DH56">
        <v>98.6</v>
      </c>
      <c r="DI56">
        <v>100.4</v>
      </c>
      <c r="DJ56">
        <v>99.2</v>
      </c>
      <c r="DK56">
        <v>98</v>
      </c>
      <c r="DL56">
        <v>96.1</v>
      </c>
      <c r="DM56">
        <v>99.4</v>
      </c>
      <c r="DN56">
        <v>99.5</v>
      </c>
      <c r="DO56">
        <v>99.3</v>
      </c>
      <c r="DP56">
        <v>99</v>
      </c>
      <c r="DQ56">
        <v>100.3</v>
      </c>
      <c r="DR56">
        <v>99.1</v>
      </c>
      <c r="DS56">
        <v>100</v>
      </c>
      <c r="DT56">
        <v>99.2</v>
      </c>
      <c r="DU56">
        <v>99.3</v>
      </c>
      <c r="DV56">
        <v>98.6</v>
      </c>
      <c r="DW56">
        <v>99.5</v>
      </c>
      <c r="DX56">
        <v>97.9</v>
      </c>
      <c r="DY56">
        <v>99</v>
      </c>
      <c r="DZ56">
        <v>94.5</v>
      </c>
      <c r="EA56">
        <v>94.2</v>
      </c>
      <c r="EB56">
        <v>92</v>
      </c>
      <c r="EC56">
        <v>99.3</v>
      </c>
      <c r="ED56">
        <v>105.9</v>
      </c>
      <c r="EE56">
        <v>93.7</v>
      </c>
      <c r="EF56">
        <v>72</v>
      </c>
      <c r="EG56">
        <v>92.7</v>
      </c>
      <c r="EH56">
        <v>87.1</v>
      </c>
      <c r="EI56">
        <v>92.3</v>
      </c>
      <c r="EJ56">
        <v>90.1</v>
      </c>
      <c r="EK56">
        <v>94.4</v>
      </c>
      <c r="EL56">
        <v>98.4</v>
      </c>
      <c r="EM56">
        <v>98.1</v>
      </c>
      <c r="EN56">
        <v>96.6</v>
      </c>
      <c r="EO56">
        <v>100.7</v>
      </c>
      <c r="EP56">
        <v>95.1</v>
      </c>
      <c r="ER56">
        <v>99.8</v>
      </c>
      <c r="ET56">
        <v>100.5</v>
      </c>
      <c r="EU56">
        <v>100.6</v>
      </c>
      <c r="EV56">
        <v>100.7</v>
      </c>
      <c r="EW56">
        <v>100.4</v>
      </c>
      <c r="EX56">
        <v>100.5</v>
      </c>
      <c r="EY56">
        <v>98</v>
      </c>
      <c r="EZ56">
        <v>100.3</v>
      </c>
      <c r="FA56">
        <v>99.4</v>
      </c>
      <c r="FB56">
        <v>100.6</v>
      </c>
      <c r="FC56">
        <v>100.1</v>
      </c>
      <c r="FD56">
        <v>100.3</v>
      </c>
      <c r="FE56">
        <v>100.4</v>
      </c>
      <c r="FF56">
        <v>100.5</v>
      </c>
      <c r="FG56">
        <v>102.7</v>
      </c>
      <c r="FH56">
        <v>100.2</v>
      </c>
      <c r="FI56">
        <v>101.1</v>
      </c>
      <c r="FJ56">
        <v>101.4</v>
      </c>
      <c r="FK56">
        <v>99.9</v>
      </c>
      <c r="FL56">
        <v>101.2</v>
      </c>
      <c r="FM56">
        <v>100.4</v>
      </c>
      <c r="FN56">
        <v>99.5</v>
      </c>
      <c r="FO56">
        <v>101.2</v>
      </c>
      <c r="FP56">
        <v>98.9</v>
      </c>
      <c r="FQ56">
        <v>98.7</v>
      </c>
      <c r="FR56">
        <v>98.2</v>
      </c>
      <c r="FS56">
        <v>95.4</v>
      </c>
      <c r="FT56">
        <v>96.6</v>
      </c>
      <c r="FU56">
        <v>99.3</v>
      </c>
      <c r="FV56">
        <v>98.6</v>
      </c>
      <c r="FW56">
        <v>98.5</v>
      </c>
      <c r="FX56">
        <v>100.2</v>
      </c>
      <c r="FY56">
        <v>97.8</v>
      </c>
      <c r="FZ56">
        <v>98.6</v>
      </c>
      <c r="GA56">
        <v>100.1</v>
      </c>
      <c r="GB56">
        <v>100.7</v>
      </c>
      <c r="GC56">
        <v>98.5</v>
      </c>
      <c r="GD56">
        <v>99.9</v>
      </c>
      <c r="GE56">
        <v>100.2</v>
      </c>
      <c r="GF56">
        <v>98.3</v>
      </c>
      <c r="GG56">
        <v>99.6</v>
      </c>
      <c r="GH56">
        <v>100.3</v>
      </c>
      <c r="GI56">
        <v>99.6</v>
      </c>
      <c r="GJ56">
        <v>98.6</v>
      </c>
      <c r="GK56">
        <v>98.5</v>
      </c>
      <c r="GL56">
        <v>99.7</v>
      </c>
      <c r="GM56">
        <v>95.2</v>
      </c>
      <c r="GN56">
        <v>100.1</v>
      </c>
      <c r="GO56">
        <v>99.3</v>
      </c>
      <c r="GP56">
        <v>99.5</v>
      </c>
      <c r="GQ56">
        <v>101.6</v>
      </c>
      <c r="GR56">
        <v>96</v>
      </c>
      <c r="GS56">
        <v>100.4</v>
      </c>
      <c r="GU56">
        <v>100.5</v>
      </c>
      <c r="GV56">
        <v>103.3</v>
      </c>
      <c r="GW56">
        <v>98.7</v>
      </c>
      <c r="GX56">
        <v>100.5</v>
      </c>
      <c r="GY56">
        <v>102.3</v>
      </c>
      <c r="GZ56">
        <v>100.3</v>
      </c>
      <c r="HA56">
        <v>100.8</v>
      </c>
      <c r="HB56">
        <v>100.5</v>
      </c>
      <c r="HD56">
        <v>102.7</v>
      </c>
      <c r="HE56">
        <v>103</v>
      </c>
      <c r="HG56">
        <v>101.5</v>
      </c>
      <c r="HH56">
        <v>100.3</v>
      </c>
      <c r="HI56">
        <v>98.5</v>
      </c>
      <c r="HJ56">
        <v>97.2</v>
      </c>
      <c r="HK56">
        <v>99.5</v>
      </c>
      <c r="HL56">
        <v>100.3</v>
      </c>
      <c r="HO56">
        <v>100.6</v>
      </c>
      <c r="HP56">
        <v>100.6</v>
      </c>
      <c r="HQ56">
        <v>100.1</v>
      </c>
      <c r="HR56">
        <v>99.9</v>
      </c>
      <c r="HS56">
        <v>101</v>
      </c>
      <c r="HT56">
        <v>101.1</v>
      </c>
      <c r="HU56">
        <v>102.1</v>
      </c>
      <c r="HV56">
        <v>100.2</v>
      </c>
      <c r="HW56">
        <v>101.1</v>
      </c>
      <c r="HX56">
        <v>100.2</v>
      </c>
      <c r="HY56">
        <v>100.4</v>
      </c>
      <c r="HZ56">
        <v>100.2</v>
      </c>
      <c r="IA56">
        <v>100</v>
      </c>
      <c r="IB56">
        <v>100</v>
      </c>
      <c r="IC56">
        <v>101.7</v>
      </c>
      <c r="IE56">
        <v>100</v>
      </c>
      <c r="IF56">
        <v>99.9</v>
      </c>
      <c r="IH56">
        <v>100.1</v>
      </c>
      <c r="II56">
        <v>100.5</v>
      </c>
      <c r="IJ56">
        <v>99.6</v>
      </c>
      <c r="IK56">
        <v>100.4</v>
      </c>
      <c r="IL56">
        <v>99.9</v>
      </c>
      <c r="IM56">
        <v>100.8</v>
      </c>
      <c r="IN56">
        <v>99.5</v>
      </c>
      <c r="IO56">
        <v>99.7</v>
      </c>
      <c r="IP56">
        <v>98.6</v>
      </c>
      <c r="IQ56">
        <v>98.3</v>
      </c>
      <c r="IR56">
        <v>100.6</v>
      </c>
      <c r="IS56">
        <v>97.2</v>
      </c>
      <c r="IT56">
        <v>98.7</v>
      </c>
      <c r="IU56">
        <v>98.5</v>
      </c>
      <c r="IV56">
        <v>98.5</v>
      </c>
      <c r="IW56">
        <v>98.2</v>
      </c>
      <c r="IX56">
        <v>98.1</v>
      </c>
      <c r="IY56">
        <v>98</v>
      </c>
      <c r="IZ56">
        <v>98.8</v>
      </c>
      <c r="JA56">
        <v>97.3</v>
      </c>
      <c r="JB56">
        <v>98.6</v>
      </c>
      <c r="JC56">
        <v>98.3</v>
      </c>
      <c r="JD56">
        <v>98.7</v>
      </c>
      <c r="JE56">
        <v>99.2</v>
      </c>
      <c r="JF56">
        <v>98.9</v>
      </c>
      <c r="JG56">
        <v>100</v>
      </c>
      <c r="JH56">
        <v>99</v>
      </c>
      <c r="JI56">
        <v>98.9</v>
      </c>
      <c r="JJ56">
        <v>98.6</v>
      </c>
      <c r="JK56">
        <v>97.2</v>
      </c>
      <c r="JL56">
        <v>98.3</v>
      </c>
      <c r="JM56">
        <v>103.6</v>
      </c>
      <c r="JN56">
        <v>96.5</v>
      </c>
      <c r="JO56">
        <v>98.2</v>
      </c>
      <c r="JP56">
        <v>98.9</v>
      </c>
      <c r="JQ56">
        <v>98.5</v>
      </c>
      <c r="JR56">
        <v>98</v>
      </c>
      <c r="JS56">
        <v>102.5</v>
      </c>
      <c r="JT56">
        <v>102.6</v>
      </c>
      <c r="JU56">
        <v>102.4</v>
      </c>
      <c r="JV56">
        <v>99.6</v>
      </c>
      <c r="JW56">
        <v>99.9</v>
      </c>
      <c r="JX56">
        <v>100</v>
      </c>
      <c r="JY56">
        <v>100</v>
      </c>
      <c r="JZ56">
        <v>99.9</v>
      </c>
      <c r="KA56">
        <v>100</v>
      </c>
      <c r="KB56">
        <v>99.8</v>
      </c>
      <c r="KC56">
        <v>99.9</v>
      </c>
      <c r="KD56">
        <v>99.9</v>
      </c>
      <c r="KE56">
        <v>97.9</v>
      </c>
      <c r="KF56">
        <v>99.2</v>
      </c>
      <c r="KG56">
        <v>96.6</v>
      </c>
      <c r="KH56">
        <v>99.2</v>
      </c>
      <c r="KI56">
        <v>100.5</v>
      </c>
      <c r="KJ56">
        <v>99.5</v>
      </c>
      <c r="KK56">
        <v>99.4</v>
      </c>
      <c r="KL56">
        <v>98.7</v>
      </c>
      <c r="KM56">
        <v>97.5</v>
      </c>
      <c r="KN56">
        <v>97.8</v>
      </c>
      <c r="KO56">
        <v>96</v>
      </c>
      <c r="KP56">
        <v>98.2</v>
      </c>
      <c r="KQ56">
        <v>98.2</v>
      </c>
      <c r="KS56">
        <v>98.6</v>
      </c>
      <c r="KT56">
        <v>97.3</v>
      </c>
      <c r="KU56">
        <v>99</v>
      </c>
      <c r="KV56">
        <v>98</v>
      </c>
      <c r="KW56">
        <v>97.5</v>
      </c>
      <c r="KX56">
        <v>96.1</v>
      </c>
      <c r="KY56">
        <v>102.3</v>
      </c>
      <c r="KZ56">
        <v>102.9</v>
      </c>
      <c r="LA56">
        <v>102.9</v>
      </c>
      <c r="LB56">
        <v>101.4</v>
      </c>
      <c r="LC56">
        <v>102.7</v>
      </c>
      <c r="LD56">
        <v>99.3</v>
      </c>
      <c r="LE56">
        <v>111.2</v>
      </c>
      <c r="LF56">
        <v>111.2</v>
      </c>
      <c r="LG56">
        <v>99.7</v>
      </c>
      <c r="LH56">
        <v>100.4</v>
      </c>
      <c r="LI56">
        <v>98.7</v>
      </c>
      <c r="LJ56">
        <v>98.3</v>
      </c>
      <c r="LK56">
        <v>98.7</v>
      </c>
      <c r="LL56">
        <v>99.1</v>
      </c>
      <c r="LM56">
        <v>85.9</v>
      </c>
      <c r="LN56">
        <v>96</v>
      </c>
      <c r="LO56">
        <v>100.7</v>
      </c>
      <c r="LP56">
        <v>103.5</v>
      </c>
      <c r="LQ56">
        <v>98.1</v>
      </c>
      <c r="LR56">
        <v>102</v>
      </c>
      <c r="LS56">
        <v>101.1</v>
      </c>
      <c r="LT56">
        <v>98.3</v>
      </c>
      <c r="LU56">
        <v>98.4</v>
      </c>
      <c r="LV56">
        <v>100.2</v>
      </c>
      <c r="LW56">
        <v>94.1</v>
      </c>
      <c r="LX56">
        <v>98.4</v>
      </c>
      <c r="LY56">
        <v>97.5</v>
      </c>
      <c r="MA56">
        <v>98.4</v>
      </c>
      <c r="MB56">
        <v>97.9</v>
      </c>
      <c r="MC56">
        <v>94.8</v>
      </c>
      <c r="MD56">
        <v>98.7</v>
      </c>
      <c r="ME56">
        <v>98.9</v>
      </c>
      <c r="MG56">
        <v>98.5</v>
      </c>
      <c r="MH56">
        <v>94.8</v>
      </c>
      <c r="MI56">
        <v>99.4</v>
      </c>
      <c r="MJ56">
        <v>99.6</v>
      </c>
      <c r="MK56">
        <v>100.5</v>
      </c>
      <c r="MM56">
        <v>97.6</v>
      </c>
      <c r="MN56">
        <v>99.3</v>
      </c>
      <c r="MO56">
        <v>99.5</v>
      </c>
      <c r="MP56">
        <v>99.2</v>
      </c>
      <c r="MQ56">
        <v>99.4</v>
      </c>
      <c r="MR56">
        <v>99.6</v>
      </c>
      <c r="MS56">
        <v>99</v>
      </c>
      <c r="MT56">
        <v>100</v>
      </c>
      <c r="MU56">
        <v>98.9</v>
      </c>
      <c r="MV56">
        <v>95.8</v>
      </c>
      <c r="MW56">
        <v>88.3</v>
      </c>
      <c r="MX56">
        <v>98.9</v>
      </c>
      <c r="MY56">
        <v>98.8</v>
      </c>
      <c r="MZ56">
        <v>97.7</v>
      </c>
      <c r="NB56">
        <v>98.2</v>
      </c>
      <c r="NC56">
        <v>97.4</v>
      </c>
      <c r="ND56">
        <v>96.7</v>
      </c>
      <c r="NE56">
        <v>97.9</v>
      </c>
      <c r="NF56">
        <v>98.5</v>
      </c>
      <c r="NG56">
        <v>98.3</v>
      </c>
      <c r="NH56">
        <v>98.6</v>
      </c>
      <c r="NI56">
        <v>98.6</v>
      </c>
      <c r="NJ56">
        <v>100</v>
      </c>
      <c r="NK56">
        <v>96.4</v>
      </c>
      <c r="NL56">
        <v>99.3</v>
      </c>
      <c r="NM56">
        <v>98.7</v>
      </c>
      <c r="NN56">
        <v>99.5</v>
      </c>
      <c r="NO56">
        <v>97.5</v>
      </c>
      <c r="NQ56">
        <v>98.7</v>
      </c>
      <c r="NR56">
        <v>98.7</v>
      </c>
      <c r="NS56">
        <v>98.7</v>
      </c>
      <c r="NT56">
        <v>98.5</v>
      </c>
      <c r="NU56">
        <v>99.1</v>
      </c>
      <c r="NV56">
        <v>98.4</v>
      </c>
      <c r="NW56">
        <v>99.1</v>
      </c>
      <c r="NX56">
        <v>99.1</v>
      </c>
      <c r="NY56">
        <v>99.2</v>
      </c>
      <c r="NZ56">
        <v>99.1</v>
      </c>
      <c r="OA56">
        <v>99.2</v>
      </c>
      <c r="OB56">
        <v>99</v>
      </c>
      <c r="OC56">
        <v>99.6</v>
      </c>
      <c r="OD56">
        <v>99.1</v>
      </c>
      <c r="OE56">
        <v>98.4</v>
      </c>
      <c r="OF56">
        <v>94.1</v>
      </c>
      <c r="OG56">
        <v>101.9</v>
      </c>
      <c r="OH56">
        <v>96.8</v>
      </c>
      <c r="OI56">
        <v>99.1</v>
      </c>
      <c r="OJ56">
        <v>98.1</v>
      </c>
      <c r="OK56">
        <v>100.2</v>
      </c>
      <c r="OL56">
        <v>100.4</v>
      </c>
      <c r="OM56">
        <v>98.8</v>
      </c>
      <c r="ON56">
        <v>97.9</v>
      </c>
      <c r="OO56">
        <v>98.2</v>
      </c>
      <c r="OP56">
        <v>99</v>
      </c>
      <c r="OQ56">
        <v>97.3</v>
      </c>
      <c r="OR56">
        <v>103.4</v>
      </c>
      <c r="OS56">
        <v>95.8</v>
      </c>
      <c r="OT56">
        <v>98.4</v>
      </c>
      <c r="OU56">
        <v>96.9</v>
      </c>
      <c r="OV56">
        <v>100</v>
      </c>
      <c r="OW56">
        <v>98.7</v>
      </c>
      <c r="OX56">
        <v>99.7</v>
      </c>
      <c r="OY56">
        <v>98.8</v>
      </c>
      <c r="OZ56">
        <v>97.7</v>
      </c>
      <c r="PA56">
        <v>100.4</v>
      </c>
      <c r="PB56">
        <v>100.5</v>
      </c>
      <c r="PC56">
        <v>98.6</v>
      </c>
      <c r="PD56">
        <v>102.5</v>
      </c>
      <c r="PG56">
        <v>102</v>
      </c>
      <c r="PH56">
        <v>99.4</v>
      </c>
      <c r="PI56">
        <v>99.5</v>
      </c>
      <c r="PJ56">
        <v>100.1</v>
      </c>
      <c r="PK56">
        <v>99.6</v>
      </c>
      <c r="PL56">
        <v>99.2</v>
      </c>
      <c r="PM56">
        <v>100.4</v>
      </c>
      <c r="PN56">
        <v>100.5</v>
      </c>
      <c r="PO56">
        <v>99.3</v>
      </c>
      <c r="PP56">
        <v>98.8</v>
      </c>
      <c r="PQ56">
        <v>100.2</v>
      </c>
      <c r="PR56">
        <v>100.7</v>
      </c>
      <c r="PS56">
        <v>98</v>
      </c>
      <c r="PT56">
        <v>99.7</v>
      </c>
      <c r="PU56">
        <v>99</v>
      </c>
      <c r="PV56">
        <v>99</v>
      </c>
      <c r="PW56">
        <v>98.5</v>
      </c>
      <c r="PX56">
        <v>99.6</v>
      </c>
      <c r="PY56">
        <v>99.1</v>
      </c>
      <c r="PZ56">
        <v>99.3</v>
      </c>
      <c r="QA56">
        <v>100.1</v>
      </c>
      <c r="QB56">
        <v>99.1</v>
      </c>
      <c r="QC56">
        <v>98.3</v>
      </c>
      <c r="QD56">
        <v>99</v>
      </c>
      <c r="QE56">
        <v>98.5</v>
      </c>
      <c r="QF56">
        <v>99.1</v>
      </c>
      <c r="QG56">
        <v>99.1</v>
      </c>
      <c r="QH56">
        <v>98.6</v>
      </c>
      <c r="QI56">
        <v>98.6</v>
      </c>
      <c r="QJ56">
        <v>99.2</v>
      </c>
      <c r="QK56">
        <v>98.8</v>
      </c>
      <c r="QL56">
        <v>100</v>
      </c>
      <c r="QM56">
        <v>100.1</v>
      </c>
      <c r="QN56">
        <v>98.2</v>
      </c>
      <c r="QO56">
        <v>97.9</v>
      </c>
      <c r="QP56">
        <v>99.4</v>
      </c>
      <c r="QQ56">
        <v>99.7</v>
      </c>
      <c r="QR56">
        <v>99.7</v>
      </c>
      <c r="QS56">
        <v>99.8</v>
      </c>
      <c r="QT56">
        <v>101.3</v>
      </c>
      <c r="QU56">
        <v>100.2</v>
      </c>
      <c r="QV56">
        <v>99.1</v>
      </c>
      <c r="QW56">
        <v>98.2</v>
      </c>
      <c r="QX56">
        <v>100.3</v>
      </c>
      <c r="QY56">
        <v>98.2</v>
      </c>
      <c r="QZ56">
        <v>98.2</v>
      </c>
      <c r="RA56">
        <v>98</v>
      </c>
      <c r="RB56">
        <v>98.2</v>
      </c>
      <c r="RC56">
        <v>98.7</v>
      </c>
      <c r="RD56">
        <v>99.9</v>
      </c>
      <c r="RE56">
        <v>99.3</v>
      </c>
      <c r="RF56">
        <v>99.5</v>
      </c>
      <c r="RG56">
        <v>100.7</v>
      </c>
      <c r="RH56">
        <v>99</v>
      </c>
      <c r="RI56">
        <v>99</v>
      </c>
      <c r="RJ56">
        <v>99.1</v>
      </c>
      <c r="RK56">
        <v>99.2</v>
      </c>
      <c r="RL56">
        <v>98.5</v>
      </c>
      <c r="RM56">
        <v>99.2</v>
      </c>
      <c r="RN56">
        <v>98.1</v>
      </c>
      <c r="RO56">
        <v>98.8</v>
      </c>
      <c r="RP56">
        <v>99.1</v>
      </c>
      <c r="RQ56">
        <v>99.6</v>
      </c>
      <c r="RR56">
        <v>100</v>
      </c>
      <c r="RS56">
        <v>99.5</v>
      </c>
      <c r="RT56">
        <v>101.4</v>
      </c>
      <c r="RU56">
        <v>99.1</v>
      </c>
      <c r="RV56">
        <v>99.7</v>
      </c>
      <c r="RW56">
        <v>99.3</v>
      </c>
      <c r="RX56">
        <v>97.6</v>
      </c>
      <c r="RY56">
        <v>100.3</v>
      </c>
      <c r="SA56">
        <v>99.2</v>
      </c>
      <c r="SB56">
        <v>98</v>
      </c>
      <c r="SC56">
        <v>103.4</v>
      </c>
      <c r="SD56">
        <v>99.6</v>
      </c>
      <c r="SE56">
        <v>99</v>
      </c>
      <c r="SF56">
        <v>100.2</v>
      </c>
      <c r="SG56">
        <v>100.5</v>
      </c>
      <c r="SH56">
        <v>98.8</v>
      </c>
      <c r="SI56">
        <v>99.1</v>
      </c>
      <c r="SJ56">
        <v>98.8</v>
      </c>
      <c r="SK56">
        <v>100.5</v>
      </c>
      <c r="SL56">
        <v>98.8</v>
      </c>
      <c r="SM56">
        <v>98.9</v>
      </c>
      <c r="SN56">
        <v>98.9</v>
      </c>
      <c r="SO56">
        <v>99.1</v>
      </c>
      <c r="SP56">
        <v>99.1</v>
      </c>
      <c r="SQ56">
        <v>98.6</v>
      </c>
      <c r="SR56">
        <v>99</v>
      </c>
      <c r="SS56">
        <v>98.9</v>
      </c>
      <c r="ST56">
        <v>98.8</v>
      </c>
      <c r="SU56">
        <v>99.1</v>
      </c>
      <c r="SV56">
        <v>99</v>
      </c>
      <c r="SX56">
        <v>99</v>
      </c>
      <c r="SY56">
        <v>98.6</v>
      </c>
      <c r="SZ56">
        <v>95.1</v>
      </c>
      <c r="TA56">
        <v>101.9</v>
      </c>
      <c r="TB56">
        <v>98.2</v>
      </c>
      <c r="TC56">
        <v>97.9</v>
      </c>
      <c r="TD56">
        <v>99.1</v>
      </c>
      <c r="TE56">
        <v>101.6</v>
      </c>
      <c r="TF56">
        <v>99.1</v>
      </c>
      <c r="TG56">
        <v>99.6</v>
      </c>
      <c r="TH56">
        <v>99.1</v>
      </c>
      <c r="TI56">
        <v>99</v>
      </c>
      <c r="TJ56">
        <v>98.2</v>
      </c>
      <c r="TK56">
        <v>100.5</v>
      </c>
      <c r="TL56">
        <v>101</v>
      </c>
      <c r="TM56">
        <v>99.5</v>
      </c>
      <c r="TN56">
        <v>102.4</v>
      </c>
      <c r="TO56">
        <v>107.7</v>
      </c>
      <c r="TP56">
        <v>97.7</v>
      </c>
      <c r="TQ56">
        <v>98.9</v>
      </c>
      <c r="TR56">
        <v>100.8</v>
      </c>
      <c r="TT56">
        <v>97.8</v>
      </c>
      <c r="TU56">
        <v>98.5</v>
      </c>
      <c r="TV56">
        <v>98.5</v>
      </c>
      <c r="TW56">
        <v>99.5</v>
      </c>
      <c r="TX56">
        <v>98.8</v>
      </c>
      <c r="TY56">
        <v>100</v>
      </c>
      <c r="TZ56">
        <v>99.1</v>
      </c>
      <c r="UA56">
        <v>97.2</v>
      </c>
      <c r="UB56">
        <v>99.1</v>
      </c>
      <c r="UC56">
        <v>113.9</v>
      </c>
      <c r="UD56">
        <v>98.6</v>
      </c>
      <c r="UE56">
        <v>99.2</v>
      </c>
      <c r="UF56">
        <v>99.2</v>
      </c>
      <c r="UG56">
        <v>98.8</v>
      </c>
      <c r="UH56">
        <v>99.1</v>
      </c>
      <c r="UI56">
        <v>99</v>
      </c>
      <c r="UJ56">
        <v>99.1</v>
      </c>
      <c r="UK56">
        <v>100.1</v>
      </c>
      <c r="UL56">
        <v>106.3</v>
      </c>
      <c r="UM56">
        <v>110.5</v>
      </c>
      <c r="UN56">
        <v>102.3</v>
      </c>
      <c r="UO56">
        <v>101.5</v>
      </c>
      <c r="UP56">
        <v>99.2</v>
      </c>
      <c r="UQ56">
        <v>100</v>
      </c>
      <c r="UR56">
        <v>105.7</v>
      </c>
      <c r="US56">
        <v>104.7</v>
      </c>
      <c r="UT56">
        <v>103.3</v>
      </c>
      <c r="UU56">
        <v>103.9</v>
      </c>
      <c r="UV56">
        <v>104.4</v>
      </c>
      <c r="UW56">
        <v>99</v>
      </c>
      <c r="UX56">
        <v>98.9</v>
      </c>
      <c r="UY56">
        <v>99.1</v>
      </c>
      <c r="UZ56">
        <v>98.8</v>
      </c>
      <c r="VA56">
        <v>99.9</v>
      </c>
      <c r="VB56">
        <v>99</v>
      </c>
      <c r="VC56">
        <v>97.5</v>
      </c>
      <c r="VD56">
        <v>101</v>
      </c>
      <c r="VE56">
        <v>98.5</v>
      </c>
      <c r="VF56">
        <v>103.9</v>
      </c>
      <c r="VG56">
        <v>99</v>
      </c>
      <c r="VH56">
        <v>90.6</v>
      </c>
      <c r="VI56">
        <v>103.3</v>
      </c>
      <c r="VK56">
        <v>85.1</v>
      </c>
      <c r="VL56">
        <v>94.7</v>
      </c>
      <c r="VM56">
        <v>99.1</v>
      </c>
      <c r="VN56">
        <v>98.3</v>
      </c>
      <c r="VO56">
        <v>98.5</v>
      </c>
      <c r="VP56">
        <v>97.3</v>
      </c>
      <c r="VQ56">
        <v>99.1</v>
      </c>
      <c r="VR56">
        <v>96.3</v>
      </c>
      <c r="VS56">
        <v>98.2</v>
      </c>
      <c r="VT56">
        <v>97.8</v>
      </c>
      <c r="VU56">
        <v>91.9</v>
      </c>
      <c r="VV56">
        <v>96.4</v>
      </c>
      <c r="VW56">
        <v>98.7</v>
      </c>
      <c r="VX56">
        <v>97.5</v>
      </c>
      <c r="VY56">
        <v>105.2</v>
      </c>
      <c r="VZ56">
        <v>97.6</v>
      </c>
      <c r="WA56">
        <v>94</v>
      </c>
      <c r="WB56">
        <v>99.4</v>
      </c>
      <c r="WC56">
        <v>99.1</v>
      </c>
      <c r="WD56">
        <v>99.3</v>
      </c>
      <c r="WE56">
        <v>99.6</v>
      </c>
      <c r="WF56">
        <v>99.8</v>
      </c>
      <c r="WG56">
        <v>99.4</v>
      </c>
      <c r="WH56">
        <v>99</v>
      </c>
      <c r="WI56">
        <v>98.1</v>
      </c>
      <c r="WJ56">
        <v>99.5</v>
      </c>
      <c r="WK56">
        <v>98.9</v>
      </c>
      <c r="WL56">
        <v>98.8</v>
      </c>
      <c r="WM56">
        <v>110.1</v>
      </c>
      <c r="WN56">
        <v>99.1</v>
      </c>
      <c r="WO56">
        <v>98.9</v>
      </c>
      <c r="WP56">
        <v>94.9</v>
      </c>
      <c r="WQ56">
        <v>99.2</v>
      </c>
      <c r="WR56">
        <v>99.9</v>
      </c>
      <c r="WS56">
        <v>98.9</v>
      </c>
      <c r="WT56">
        <v>101.3</v>
      </c>
      <c r="WU56">
        <v>99.6</v>
      </c>
      <c r="WV56">
        <v>98.4</v>
      </c>
      <c r="WW56">
        <v>99.3</v>
      </c>
      <c r="WX56">
        <v>98.9</v>
      </c>
      <c r="WY56">
        <v>99.2</v>
      </c>
      <c r="WZ56">
        <v>97.9</v>
      </c>
      <c r="XA56">
        <v>100</v>
      </c>
      <c r="XB56">
        <v>96.9</v>
      </c>
      <c r="XC56">
        <v>96.8</v>
      </c>
      <c r="XD56">
        <v>97.2</v>
      </c>
      <c r="XE56">
        <v>98.7</v>
      </c>
      <c r="XF56">
        <v>98.5</v>
      </c>
      <c r="XG56">
        <v>98.8</v>
      </c>
      <c r="XH56">
        <v>102.7</v>
      </c>
      <c r="XI56">
        <v>119.5</v>
      </c>
      <c r="XJ56">
        <v>119.5</v>
      </c>
      <c r="XK56">
        <v>104.2</v>
      </c>
      <c r="XL56">
        <v>104.2</v>
      </c>
      <c r="XM56">
        <v>98.4</v>
      </c>
      <c r="XN56">
        <v>97.1</v>
      </c>
      <c r="XO56">
        <v>98.8</v>
      </c>
      <c r="XP56">
        <v>98.9</v>
      </c>
      <c r="XQ56">
        <v>98.8</v>
      </c>
      <c r="XR56">
        <v>98.2</v>
      </c>
      <c r="XT56">
        <v>98.8</v>
      </c>
      <c r="XU56">
        <v>98.9</v>
      </c>
      <c r="XV56">
        <v>99.6</v>
      </c>
      <c r="XW56">
        <v>100.7</v>
      </c>
      <c r="XX56">
        <v>98.5</v>
      </c>
      <c r="XY56">
        <v>99.1</v>
      </c>
      <c r="XZ56">
        <v>98.8</v>
      </c>
      <c r="YA56">
        <v>99.6</v>
      </c>
      <c r="YB56">
        <v>99</v>
      </c>
      <c r="YC56">
        <v>93.9</v>
      </c>
      <c r="YD56">
        <v>98.2</v>
      </c>
      <c r="YE56">
        <v>98.8</v>
      </c>
      <c r="YF56">
        <v>99.6</v>
      </c>
      <c r="YG56">
        <v>98.7</v>
      </c>
      <c r="YH56">
        <v>99.3</v>
      </c>
      <c r="YI56">
        <v>99.3</v>
      </c>
      <c r="YJ56">
        <v>99.9</v>
      </c>
      <c r="YK56">
        <v>96.6</v>
      </c>
      <c r="YL56">
        <v>99.2</v>
      </c>
      <c r="YM56">
        <v>98.6</v>
      </c>
      <c r="YO56">
        <v>98.2</v>
      </c>
      <c r="YP56">
        <v>99.1</v>
      </c>
      <c r="YQ56">
        <v>97</v>
      </c>
      <c r="YR56">
        <v>98.6</v>
      </c>
      <c r="YS56">
        <v>97.3</v>
      </c>
      <c r="YT56">
        <v>101.3</v>
      </c>
      <c r="YU56">
        <v>98.9</v>
      </c>
      <c r="YV56">
        <v>99.4</v>
      </c>
      <c r="YW56">
        <v>99</v>
      </c>
      <c r="YX56">
        <v>98.8</v>
      </c>
      <c r="YY56">
        <v>98.7</v>
      </c>
      <c r="YZ56">
        <v>98.7</v>
      </c>
      <c r="ZA56">
        <v>99.1</v>
      </c>
      <c r="ZB56">
        <v>99.2</v>
      </c>
      <c r="ZC56">
        <v>98.6</v>
      </c>
      <c r="ZD56">
        <v>98.8</v>
      </c>
      <c r="ZE56">
        <v>98.4</v>
      </c>
      <c r="ZF56">
        <v>99.5</v>
      </c>
      <c r="ZG56">
        <v>97.3</v>
      </c>
      <c r="ZH56">
        <v>99.3</v>
      </c>
      <c r="ZI56">
        <v>99.2</v>
      </c>
      <c r="ZK56">
        <v>100</v>
      </c>
      <c r="ZL56">
        <v>99.9</v>
      </c>
      <c r="ZM56">
        <v>99.8</v>
      </c>
      <c r="ZN56">
        <v>99.1</v>
      </c>
      <c r="ZO56">
        <v>99.2</v>
      </c>
      <c r="ZP56">
        <v>99.7</v>
      </c>
      <c r="ZQ56">
        <v>99.1</v>
      </c>
      <c r="ZR56">
        <v>98.4</v>
      </c>
      <c r="ZS56">
        <v>99.1</v>
      </c>
      <c r="ZT56">
        <v>99</v>
      </c>
      <c r="ZU56">
        <v>99.1</v>
      </c>
      <c r="ZV56">
        <v>96.7</v>
      </c>
      <c r="ZW56">
        <v>99.1</v>
      </c>
      <c r="ZX56">
        <v>99.1</v>
      </c>
      <c r="ZY56">
        <v>99.1</v>
      </c>
      <c r="ZZ56">
        <v>99.1</v>
      </c>
      <c r="AAA56">
        <v>100.5</v>
      </c>
      <c r="AAC56">
        <v>98.3</v>
      </c>
      <c r="AAD56">
        <v>97.9</v>
      </c>
      <c r="AAE56">
        <v>98.8</v>
      </c>
      <c r="AAF56">
        <v>96.8</v>
      </c>
      <c r="AAG56">
        <v>97.7</v>
      </c>
      <c r="AAH56">
        <v>98.8</v>
      </c>
      <c r="AAI56">
        <v>99.1</v>
      </c>
      <c r="AAJ56">
        <v>98.5</v>
      </c>
      <c r="AAK56">
        <v>99.3</v>
      </c>
      <c r="AAL56">
        <v>99.1</v>
      </c>
      <c r="AAM56">
        <v>99.2</v>
      </c>
      <c r="AAN56">
        <v>99</v>
      </c>
      <c r="AAO56">
        <v>96.8</v>
      </c>
      <c r="AAP56">
        <v>96.8</v>
      </c>
      <c r="AAQ56">
        <v>97</v>
      </c>
      <c r="AAR56">
        <v>107.1</v>
      </c>
      <c r="AAT56">
        <v>98.6</v>
      </c>
      <c r="AAU56">
        <v>169.2</v>
      </c>
      <c r="AAW56">
        <v>99</v>
      </c>
      <c r="AAX56">
        <v>99.7</v>
      </c>
      <c r="AAY56">
        <v>100</v>
      </c>
      <c r="AAZ56">
        <v>99.1</v>
      </c>
      <c r="ABA56">
        <v>99.1</v>
      </c>
      <c r="ABB56">
        <v>96.5</v>
      </c>
      <c r="ABC56">
        <v>100.5</v>
      </c>
      <c r="ABD56">
        <v>95</v>
      </c>
      <c r="ABE56">
        <v>94.2</v>
      </c>
      <c r="ABF56">
        <v>100.3</v>
      </c>
      <c r="ABG56">
        <v>99.4</v>
      </c>
      <c r="ABH56">
        <v>100.2</v>
      </c>
      <c r="ABI56">
        <v>98.9</v>
      </c>
      <c r="ABJ56">
        <v>100</v>
      </c>
      <c r="ABK56">
        <v>100.4</v>
      </c>
      <c r="ABL56">
        <v>104.3</v>
      </c>
      <c r="ABM56">
        <v>100</v>
      </c>
      <c r="ABN56">
        <v>100.1</v>
      </c>
      <c r="ABO56">
        <v>104.7</v>
      </c>
      <c r="ABP56">
        <v>100.9</v>
      </c>
      <c r="ABQ56">
        <v>99.1</v>
      </c>
    </row>
    <row r="57" spans="1:748">
      <c r="A57">
        <v>2020</v>
      </c>
      <c r="B57">
        <v>99.9</v>
      </c>
      <c r="C57">
        <v>99.9</v>
      </c>
      <c r="D57">
        <v>99.7</v>
      </c>
      <c r="E57">
        <v>99.4</v>
      </c>
      <c r="F57">
        <v>99.4</v>
      </c>
      <c r="G57">
        <v>99.4</v>
      </c>
      <c r="H57">
        <v>99.7</v>
      </c>
      <c r="I57">
        <v>99.6</v>
      </c>
      <c r="J57">
        <v>100</v>
      </c>
      <c r="K57">
        <v>99.4</v>
      </c>
      <c r="L57">
        <v>100</v>
      </c>
      <c r="M57">
        <v>99.7</v>
      </c>
      <c r="N57">
        <v>100.8</v>
      </c>
      <c r="O57">
        <v>99.8</v>
      </c>
      <c r="P57">
        <v>100</v>
      </c>
      <c r="Q57">
        <v>99.9</v>
      </c>
      <c r="R57">
        <v>100</v>
      </c>
      <c r="S57">
        <v>100.1</v>
      </c>
      <c r="T57">
        <v>100.2</v>
      </c>
      <c r="U57">
        <v>99.8</v>
      </c>
      <c r="V57">
        <v>99.5</v>
      </c>
      <c r="W57">
        <v>99.3</v>
      </c>
      <c r="X57">
        <v>98.4</v>
      </c>
      <c r="Y57">
        <v>100.3</v>
      </c>
      <c r="Z57">
        <v>101.4</v>
      </c>
      <c r="AA57">
        <v>100.1</v>
      </c>
      <c r="AB57">
        <v>99.7</v>
      </c>
      <c r="AC57">
        <v>98.8</v>
      </c>
      <c r="AD57">
        <v>103.4</v>
      </c>
      <c r="AE57">
        <v>97.2</v>
      </c>
      <c r="AF57">
        <v>98.5</v>
      </c>
      <c r="AG57">
        <v>99.2</v>
      </c>
      <c r="AH57">
        <v>99.4</v>
      </c>
      <c r="AI57">
        <v>99.5</v>
      </c>
      <c r="AJ57">
        <v>100.8</v>
      </c>
      <c r="AK57">
        <v>97.6</v>
      </c>
      <c r="AL57">
        <v>99.1</v>
      </c>
      <c r="AM57">
        <v>100</v>
      </c>
      <c r="AN57">
        <v>98.4</v>
      </c>
      <c r="AO57">
        <v>99.8</v>
      </c>
      <c r="AP57">
        <v>100</v>
      </c>
      <c r="AQ57">
        <v>101.1</v>
      </c>
      <c r="AR57">
        <v>100.5</v>
      </c>
      <c r="AS57">
        <v>102.7</v>
      </c>
      <c r="AT57">
        <v>101.9</v>
      </c>
      <c r="AU57">
        <v>100</v>
      </c>
      <c r="AV57">
        <v>100</v>
      </c>
      <c r="AW57">
        <v>100</v>
      </c>
      <c r="AX57">
        <v>100</v>
      </c>
      <c r="AY57">
        <v>99.4</v>
      </c>
      <c r="AZ57">
        <v>99.5</v>
      </c>
      <c r="BA57">
        <v>99.1</v>
      </c>
      <c r="BB57">
        <v>100.6</v>
      </c>
      <c r="BC57">
        <v>99.4</v>
      </c>
      <c r="BD57">
        <v>100.2</v>
      </c>
      <c r="BE57">
        <v>100.4</v>
      </c>
      <c r="BF57">
        <v>100.2</v>
      </c>
      <c r="BG57">
        <v>99.5</v>
      </c>
      <c r="BH57">
        <v>100.6</v>
      </c>
      <c r="BI57">
        <v>100.2</v>
      </c>
      <c r="BJ57">
        <v>100.8</v>
      </c>
      <c r="BK57">
        <v>99.8</v>
      </c>
      <c r="BL57">
        <v>99.9</v>
      </c>
      <c r="BM57">
        <v>99.7</v>
      </c>
      <c r="BN57">
        <v>99.9</v>
      </c>
      <c r="BO57">
        <v>99.6</v>
      </c>
      <c r="BP57">
        <v>99.8</v>
      </c>
      <c r="BQ57">
        <v>99.8</v>
      </c>
      <c r="BR57">
        <v>100</v>
      </c>
      <c r="BS57">
        <v>100</v>
      </c>
      <c r="BT57">
        <v>99.7</v>
      </c>
      <c r="BU57">
        <v>99.7</v>
      </c>
      <c r="BV57">
        <v>99.6</v>
      </c>
      <c r="BW57">
        <v>100</v>
      </c>
      <c r="BX57">
        <v>99.9</v>
      </c>
      <c r="BY57">
        <v>100.1</v>
      </c>
      <c r="BZ57">
        <v>99.7</v>
      </c>
      <c r="CA57">
        <v>99.7</v>
      </c>
      <c r="CB57">
        <v>100.5</v>
      </c>
      <c r="CC57">
        <v>100.7</v>
      </c>
      <c r="CD57">
        <v>102.1</v>
      </c>
      <c r="CE57">
        <v>100.1</v>
      </c>
      <c r="CF57">
        <v>96.1</v>
      </c>
      <c r="CG57">
        <v>110.3</v>
      </c>
      <c r="CH57">
        <v>98.9</v>
      </c>
      <c r="CI57">
        <v>101.2</v>
      </c>
      <c r="CJ57">
        <v>99.9</v>
      </c>
      <c r="CK57">
        <v>99.3</v>
      </c>
      <c r="CL57">
        <v>102.7</v>
      </c>
      <c r="CM57">
        <v>107</v>
      </c>
      <c r="CN57">
        <v>101.8</v>
      </c>
      <c r="CO57">
        <v>103.6</v>
      </c>
      <c r="CP57">
        <v>102.8</v>
      </c>
      <c r="CQ57">
        <v>104.2</v>
      </c>
      <c r="CR57">
        <v>100.5</v>
      </c>
      <c r="CS57">
        <v>97.9</v>
      </c>
      <c r="CT57">
        <v>99.7</v>
      </c>
      <c r="CU57">
        <v>100.2</v>
      </c>
      <c r="CV57">
        <v>100</v>
      </c>
      <c r="CW57">
        <v>102.7</v>
      </c>
      <c r="CX57">
        <v>100.7</v>
      </c>
      <c r="CY57">
        <v>96.8</v>
      </c>
      <c r="CZ57">
        <v>99.2</v>
      </c>
      <c r="DA57">
        <v>97.5</v>
      </c>
      <c r="DB57">
        <v>98</v>
      </c>
      <c r="DC57">
        <v>100.4</v>
      </c>
      <c r="DD57">
        <v>101</v>
      </c>
      <c r="DE57">
        <v>99.8</v>
      </c>
      <c r="DF57">
        <v>99.7</v>
      </c>
      <c r="DG57">
        <v>100.1</v>
      </c>
      <c r="DH57">
        <v>100.2</v>
      </c>
      <c r="DI57">
        <v>100.1</v>
      </c>
      <c r="DJ57">
        <v>100.3</v>
      </c>
      <c r="DK57">
        <v>99.7</v>
      </c>
      <c r="DL57">
        <v>101.2</v>
      </c>
      <c r="DM57">
        <v>100</v>
      </c>
      <c r="DN57">
        <v>100</v>
      </c>
      <c r="DO57">
        <v>100.3</v>
      </c>
      <c r="DP57">
        <v>100.1</v>
      </c>
      <c r="DQ57">
        <v>99.6</v>
      </c>
      <c r="DR57">
        <v>100.2</v>
      </c>
      <c r="DS57">
        <v>99.9</v>
      </c>
      <c r="DT57">
        <v>100.1</v>
      </c>
      <c r="DU57">
        <v>100.1</v>
      </c>
      <c r="DV57">
        <v>100.4</v>
      </c>
      <c r="DW57">
        <v>99.8</v>
      </c>
      <c r="DX57">
        <v>101.3</v>
      </c>
      <c r="DY57">
        <v>100.2</v>
      </c>
      <c r="DZ57">
        <v>99.2</v>
      </c>
      <c r="EA57">
        <v>99.2</v>
      </c>
      <c r="EB57">
        <v>97.4</v>
      </c>
      <c r="EC57">
        <v>99.3</v>
      </c>
      <c r="ED57">
        <v>99.1</v>
      </c>
      <c r="EE57">
        <v>104.9</v>
      </c>
      <c r="EF57">
        <v>100</v>
      </c>
      <c r="EG57">
        <v>100</v>
      </c>
      <c r="EH57">
        <v>100</v>
      </c>
      <c r="EI57">
        <v>100</v>
      </c>
      <c r="EJ57">
        <v>100</v>
      </c>
      <c r="EK57">
        <v>100</v>
      </c>
      <c r="EL57">
        <v>100</v>
      </c>
      <c r="EM57">
        <v>97.3</v>
      </c>
      <c r="EN57">
        <v>100.3</v>
      </c>
      <c r="EO57">
        <v>100.1</v>
      </c>
      <c r="EP57">
        <v>100</v>
      </c>
      <c r="EQ57">
        <v>96.9</v>
      </c>
      <c r="ER57">
        <v>99.2</v>
      </c>
      <c r="ES57">
        <v>99.2</v>
      </c>
      <c r="ET57">
        <v>99.8</v>
      </c>
      <c r="EU57">
        <v>99.8</v>
      </c>
      <c r="EV57">
        <v>99.7</v>
      </c>
      <c r="EW57">
        <v>100.2</v>
      </c>
      <c r="EX57">
        <v>99.8</v>
      </c>
      <c r="EY57">
        <v>100</v>
      </c>
      <c r="EZ57">
        <v>99.7</v>
      </c>
      <c r="FA57">
        <v>99.9</v>
      </c>
      <c r="FB57">
        <v>99.8</v>
      </c>
      <c r="FC57">
        <v>99.9</v>
      </c>
      <c r="FD57">
        <v>99.6</v>
      </c>
      <c r="FE57">
        <v>99.7</v>
      </c>
      <c r="FF57">
        <v>100</v>
      </c>
      <c r="FG57">
        <v>99.5</v>
      </c>
      <c r="FH57">
        <v>100</v>
      </c>
      <c r="FI57">
        <v>99.8</v>
      </c>
      <c r="FJ57">
        <v>99.6</v>
      </c>
      <c r="FK57">
        <v>99.8</v>
      </c>
      <c r="FL57">
        <v>99.6</v>
      </c>
      <c r="FM57">
        <v>99.7</v>
      </c>
      <c r="FN57">
        <v>100.1</v>
      </c>
      <c r="FO57">
        <v>99.7</v>
      </c>
      <c r="FP57">
        <v>100.2</v>
      </c>
      <c r="FQ57">
        <v>100.2</v>
      </c>
      <c r="FR57">
        <v>100.5</v>
      </c>
      <c r="FS57">
        <v>101.4</v>
      </c>
      <c r="FT57">
        <v>101.2</v>
      </c>
      <c r="FU57">
        <v>100.1</v>
      </c>
      <c r="FV57">
        <v>100.5</v>
      </c>
      <c r="FW57">
        <v>100.2</v>
      </c>
      <c r="FX57">
        <v>99.9</v>
      </c>
      <c r="FY57">
        <v>100.4</v>
      </c>
      <c r="FZ57">
        <v>100.2</v>
      </c>
      <c r="GA57">
        <v>99.9</v>
      </c>
      <c r="GB57">
        <v>99.7</v>
      </c>
      <c r="GC57">
        <v>100.3</v>
      </c>
      <c r="GD57">
        <v>100</v>
      </c>
      <c r="GE57">
        <v>100.1</v>
      </c>
      <c r="GF57">
        <v>99.9</v>
      </c>
      <c r="GG57">
        <v>99.9</v>
      </c>
      <c r="GH57">
        <v>99.9</v>
      </c>
      <c r="GI57">
        <v>99.9</v>
      </c>
      <c r="GJ57">
        <v>100.2</v>
      </c>
      <c r="GK57">
        <v>100.7</v>
      </c>
      <c r="GL57">
        <v>100.2</v>
      </c>
      <c r="GM57">
        <v>101.1</v>
      </c>
      <c r="GN57">
        <v>99.5</v>
      </c>
      <c r="GO57">
        <v>100.1</v>
      </c>
      <c r="GP57">
        <v>99.8</v>
      </c>
      <c r="GQ57">
        <v>99</v>
      </c>
      <c r="GR57">
        <v>99.6</v>
      </c>
      <c r="GS57">
        <v>99.8</v>
      </c>
      <c r="GT57">
        <v>99.8</v>
      </c>
      <c r="GU57">
        <v>99.8</v>
      </c>
      <c r="GV57">
        <v>99.3</v>
      </c>
      <c r="GW57">
        <v>100.2</v>
      </c>
      <c r="GX57">
        <v>99.6</v>
      </c>
      <c r="GY57">
        <v>99.6</v>
      </c>
      <c r="GZ57">
        <v>99.8</v>
      </c>
      <c r="HA57">
        <v>100.1</v>
      </c>
      <c r="HB57">
        <v>99.8</v>
      </c>
      <c r="HC57">
        <v>100</v>
      </c>
      <c r="HD57">
        <v>99</v>
      </c>
      <c r="HE57">
        <v>98.7</v>
      </c>
      <c r="HF57">
        <v>99.8</v>
      </c>
      <c r="HG57">
        <v>99.4</v>
      </c>
      <c r="HH57">
        <v>100</v>
      </c>
      <c r="HI57">
        <v>100.1</v>
      </c>
      <c r="HJ57">
        <v>100.5</v>
      </c>
      <c r="HK57">
        <v>100.1</v>
      </c>
      <c r="HL57">
        <v>99.7</v>
      </c>
      <c r="HM57">
        <v>99.9</v>
      </c>
      <c r="HN57">
        <v>99.4</v>
      </c>
      <c r="HO57">
        <v>99.7</v>
      </c>
      <c r="HP57">
        <v>99.8</v>
      </c>
      <c r="HQ57">
        <v>100</v>
      </c>
      <c r="HR57">
        <v>100</v>
      </c>
      <c r="HS57">
        <v>99.6</v>
      </c>
      <c r="HT57">
        <v>99.4</v>
      </c>
      <c r="HU57">
        <v>99.4</v>
      </c>
      <c r="HV57">
        <v>99.4</v>
      </c>
      <c r="HW57">
        <v>99.1</v>
      </c>
      <c r="HX57">
        <v>100.1</v>
      </c>
      <c r="HY57">
        <v>99.7</v>
      </c>
      <c r="HZ57">
        <v>99.8</v>
      </c>
      <c r="IA57">
        <v>99.6</v>
      </c>
      <c r="IB57">
        <v>99.9</v>
      </c>
      <c r="IC57">
        <v>99.5</v>
      </c>
      <c r="ID57">
        <v>99.7</v>
      </c>
      <c r="IE57">
        <v>100</v>
      </c>
      <c r="IF57">
        <v>99.4</v>
      </c>
      <c r="IG57">
        <v>100</v>
      </c>
      <c r="IH57">
        <v>100</v>
      </c>
      <c r="II57">
        <v>99.5</v>
      </c>
      <c r="IJ57">
        <v>99.9</v>
      </c>
      <c r="IK57">
        <v>99.3</v>
      </c>
      <c r="IL57">
        <v>99.9</v>
      </c>
      <c r="IM57">
        <v>98.7</v>
      </c>
      <c r="IN57">
        <v>99.9</v>
      </c>
      <c r="IO57">
        <v>99.9</v>
      </c>
      <c r="IP57">
        <v>100.2</v>
      </c>
      <c r="IQ57">
        <v>100.5</v>
      </c>
      <c r="IR57">
        <v>99.9</v>
      </c>
      <c r="IS57">
        <v>102.4</v>
      </c>
      <c r="IT57">
        <v>99.9</v>
      </c>
      <c r="IU57">
        <v>100.1</v>
      </c>
      <c r="IV57">
        <v>100</v>
      </c>
      <c r="IW57">
        <v>100</v>
      </c>
      <c r="IX57">
        <v>100</v>
      </c>
      <c r="IY57">
        <v>100</v>
      </c>
      <c r="IZ57">
        <v>100.1</v>
      </c>
      <c r="JA57">
        <v>100</v>
      </c>
      <c r="JB57">
        <v>100.1</v>
      </c>
      <c r="JC57">
        <v>100.1</v>
      </c>
      <c r="JD57">
        <v>100.1</v>
      </c>
      <c r="JE57">
        <v>99.9</v>
      </c>
      <c r="JF57">
        <v>100.1</v>
      </c>
      <c r="JG57">
        <v>100</v>
      </c>
      <c r="JH57">
        <v>100</v>
      </c>
      <c r="JI57">
        <v>100</v>
      </c>
      <c r="JJ57">
        <v>100.1</v>
      </c>
      <c r="JK57">
        <v>100.2</v>
      </c>
      <c r="JL57">
        <v>100</v>
      </c>
      <c r="JM57">
        <v>99.8</v>
      </c>
      <c r="JN57">
        <v>100.4</v>
      </c>
      <c r="JO57">
        <v>100.1</v>
      </c>
      <c r="JP57">
        <v>100</v>
      </c>
      <c r="JQ57">
        <v>100</v>
      </c>
      <c r="JR57">
        <v>100.2</v>
      </c>
      <c r="JS57">
        <v>97.6</v>
      </c>
      <c r="JT57">
        <v>97.6</v>
      </c>
      <c r="JU57">
        <v>97.8</v>
      </c>
      <c r="JV57">
        <v>100.1</v>
      </c>
      <c r="JW57">
        <v>100</v>
      </c>
      <c r="JX57">
        <v>100</v>
      </c>
      <c r="JY57">
        <v>100</v>
      </c>
      <c r="JZ57">
        <v>100</v>
      </c>
      <c r="KA57">
        <v>100</v>
      </c>
      <c r="KB57">
        <v>100.1</v>
      </c>
      <c r="KC57">
        <v>100</v>
      </c>
      <c r="KD57">
        <v>100</v>
      </c>
      <c r="KE57">
        <v>100.8</v>
      </c>
      <c r="KF57">
        <v>99.9</v>
      </c>
      <c r="KG57">
        <v>100.3</v>
      </c>
      <c r="KH57">
        <v>100.2</v>
      </c>
      <c r="KI57">
        <v>99.7</v>
      </c>
      <c r="KJ57">
        <v>99.7</v>
      </c>
      <c r="KK57">
        <v>99.8</v>
      </c>
      <c r="KL57">
        <v>99.9</v>
      </c>
      <c r="KM57">
        <v>101.2</v>
      </c>
      <c r="KN57">
        <v>100.1</v>
      </c>
      <c r="KO57">
        <v>100.3</v>
      </c>
      <c r="KP57">
        <v>100.1</v>
      </c>
      <c r="KQ57">
        <v>100.1</v>
      </c>
      <c r="KR57">
        <v>100.1</v>
      </c>
      <c r="KS57">
        <v>100.2</v>
      </c>
      <c r="KT57">
        <v>100.5</v>
      </c>
      <c r="KU57">
        <v>100</v>
      </c>
      <c r="KV57">
        <v>100.2</v>
      </c>
      <c r="KW57">
        <v>100.2</v>
      </c>
      <c r="KX57">
        <v>103.6</v>
      </c>
      <c r="KY57">
        <v>98.5</v>
      </c>
      <c r="KZ57">
        <v>98</v>
      </c>
      <c r="LA57">
        <v>98</v>
      </c>
      <c r="LB57">
        <v>98.4</v>
      </c>
      <c r="LC57">
        <v>97.5</v>
      </c>
      <c r="LD57">
        <v>99.9</v>
      </c>
      <c r="LE57">
        <v>97.1</v>
      </c>
      <c r="LF57">
        <v>97.1</v>
      </c>
      <c r="LG57">
        <v>99.9</v>
      </c>
      <c r="LH57">
        <v>99.8</v>
      </c>
      <c r="LI57">
        <v>100.1</v>
      </c>
      <c r="LJ57">
        <v>100.5</v>
      </c>
      <c r="LK57">
        <v>100.8</v>
      </c>
      <c r="LL57">
        <v>99.9</v>
      </c>
      <c r="LM57">
        <v>100.8</v>
      </c>
      <c r="LN57">
        <v>100.3</v>
      </c>
      <c r="LO57">
        <v>99.1</v>
      </c>
      <c r="LP57">
        <v>99.3</v>
      </c>
      <c r="LQ57">
        <v>100.6</v>
      </c>
      <c r="LR57">
        <v>99</v>
      </c>
      <c r="LS57">
        <v>101</v>
      </c>
      <c r="LT57">
        <v>102.2</v>
      </c>
      <c r="LU57">
        <v>102.2</v>
      </c>
      <c r="LV57">
        <v>100.3</v>
      </c>
      <c r="LW57">
        <v>105.5</v>
      </c>
      <c r="LX57">
        <v>100.3</v>
      </c>
      <c r="LY57">
        <v>100.9</v>
      </c>
      <c r="LZ57">
        <v>100.1</v>
      </c>
      <c r="MA57">
        <v>100.2</v>
      </c>
      <c r="MB57">
        <v>99.9</v>
      </c>
      <c r="MC57">
        <v>100.4</v>
      </c>
      <c r="MD57">
        <v>99.9</v>
      </c>
      <c r="ME57">
        <v>100.3</v>
      </c>
      <c r="MF57">
        <v>98.4</v>
      </c>
      <c r="MG57">
        <v>99.9</v>
      </c>
      <c r="MH57">
        <v>100.6</v>
      </c>
      <c r="MI57">
        <v>99.9</v>
      </c>
      <c r="MJ57">
        <v>99.8</v>
      </c>
      <c r="MK57">
        <v>100.3</v>
      </c>
      <c r="ML57">
        <v>99</v>
      </c>
      <c r="MM57">
        <v>100.4</v>
      </c>
      <c r="MN57">
        <v>99.8</v>
      </c>
      <c r="MO57">
        <v>99.9</v>
      </c>
      <c r="MP57">
        <v>99.8</v>
      </c>
      <c r="MQ57">
        <v>99.7</v>
      </c>
      <c r="MR57">
        <v>99.1</v>
      </c>
      <c r="MS57">
        <v>100.1</v>
      </c>
      <c r="MT57">
        <v>99.6</v>
      </c>
      <c r="MU57">
        <v>100.1</v>
      </c>
      <c r="MV57">
        <v>100.9</v>
      </c>
      <c r="MW57">
        <v>105.1</v>
      </c>
      <c r="MX57">
        <v>100.1</v>
      </c>
      <c r="MY57">
        <v>100.1</v>
      </c>
      <c r="MZ57">
        <v>100.3</v>
      </c>
      <c r="NA57">
        <v>100</v>
      </c>
      <c r="NB57">
        <v>100.7</v>
      </c>
      <c r="NC57">
        <v>100.1</v>
      </c>
      <c r="ND57">
        <v>99.6</v>
      </c>
      <c r="NE57">
        <v>100.4</v>
      </c>
      <c r="NF57">
        <v>100.5</v>
      </c>
      <c r="NG57">
        <v>100.4</v>
      </c>
      <c r="NH57">
        <v>100.5</v>
      </c>
      <c r="NI57">
        <v>101.2</v>
      </c>
      <c r="NJ57">
        <v>99.8</v>
      </c>
      <c r="NK57">
        <v>104.3</v>
      </c>
      <c r="NL57">
        <v>100.1</v>
      </c>
      <c r="NM57">
        <v>102.4</v>
      </c>
      <c r="NN57">
        <v>99.9</v>
      </c>
      <c r="NO57">
        <v>100.3</v>
      </c>
      <c r="NP57">
        <v>99.7</v>
      </c>
      <c r="NQ57">
        <v>100.1</v>
      </c>
      <c r="NR57">
        <v>100</v>
      </c>
      <c r="NS57">
        <v>100</v>
      </c>
      <c r="NT57">
        <v>100.1</v>
      </c>
      <c r="NU57">
        <v>100</v>
      </c>
      <c r="NV57">
        <v>100.2</v>
      </c>
      <c r="NW57">
        <v>100</v>
      </c>
      <c r="NX57">
        <v>100</v>
      </c>
      <c r="NY57">
        <v>100.2</v>
      </c>
      <c r="NZ57">
        <v>100.4</v>
      </c>
      <c r="OA57">
        <v>100</v>
      </c>
      <c r="OB57">
        <v>100</v>
      </c>
      <c r="OC57">
        <v>99.8</v>
      </c>
      <c r="OD57">
        <v>100.5</v>
      </c>
      <c r="OE57">
        <v>100.5</v>
      </c>
      <c r="OF57">
        <v>101.1</v>
      </c>
      <c r="OG57">
        <v>99.5</v>
      </c>
      <c r="OH57">
        <v>102.2</v>
      </c>
      <c r="OI57">
        <v>100.7</v>
      </c>
      <c r="OJ57">
        <v>101.2</v>
      </c>
      <c r="OK57">
        <v>99.9</v>
      </c>
      <c r="OL57">
        <v>99.9</v>
      </c>
      <c r="OM57">
        <v>100.5</v>
      </c>
      <c r="ON57">
        <v>99.5</v>
      </c>
      <c r="OO57">
        <v>100.7</v>
      </c>
      <c r="OP57">
        <v>100.5</v>
      </c>
      <c r="OQ57">
        <v>101.3</v>
      </c>
      <c r="OR57">
        <v>99.1</v>
      </c>
      <c r="OS57">
        <v>103.5</v>
      </c>
      <c r="OT57">
        <v>101.1</v>
      </c>
      <c r="OU57">
        <v>100.6</v>
      </c>
      <c r="OV57">
        <v>99.8</v>
      </c>
      <c r="OW57">
        <v>101.2</v>
      </c>
      <c r="OX57">
        <v>100</v>
      </c>
      <c r="OY57">
        <v>101.3</v>
      </c>
      <c r="OZ57">
        <v>101</v>
      </c>
      <c r="PA57">
        <v>99.5</v>
      </c>
      <c r="PB57">
        <v>100.3</v>
      </c>
      <c r="PC57">
        <v>101</v>
      </c>
      <c r="PD57">
        <v>100</v>
      </c>
      <c r="PE57">
        <v>100.2</v>
      </c>
      <c r="PF57">
        <v>99.9</v>
      </c>
      <c r="PG57">
        <v>99.4</v>
      </c>
      <c r="PH57">
        <v>100.2</v>
      </c>
      <c r="PI57">
        <v>100.2</v>
      </c>
      <c r="PJ57">
        <v>100.2</v>
      </c>
      <c r="PK57">
        <v>99.7</v>
      </c>
      <c r="PL57">
        <v>100.4</v>
      </c>
      <c r="PM57">
        <v>99.7</v>
      </c>
      <c r="PN57">
        <v>101.1</v>
      </c>
      <c r="PO57">
        <v>100.2</v>
      </c>
      <c r="PP57">
        <v>99.3</v>
      </c>
      <c r="PQ57">
        <v>99.9</v>
      </c>
      <c r="PR57">
        <v>101.1</v>
      </c>
      <c r="PS57">
        <v>100.5</v>
      </c>
      <c r="PT57">
        <v>99.6</v>
      </c>
      <c r="PU57">
        <v>100.3</v>
      </c>
      <c r="PV57">
        <v>100.4</v>
      </c>
      <c r="PW57">
        <v>100.7</v>
      </c>
      <c r="PX57">
        <v>100.1</v>
      </c>
      <c r="PY57">
        <v>100.1</v>
      </c>
      <c r="PZ57">
        <v>100</v>
      </c>
      <c r="QA57">
        <v>99.8</v>
      </c>
      <c r="QB57">
        <v>99.9</v>
      </c>
      <c r="QC57">
        <v>100.7</v>
      </c>
      <c r="QD57">
        <v>100.1</v>
      </c>
      <c r="QE57">
        <v>100.3</v>
      </c>
      <c r="QF57">
        <v>99.8</v>
      </c>
      <c r="QG57">
        <v>100.2</v>
      </c>
      <c r="QH57">
        <v>100.1</v>
      </c>
      <c r="QI57">
        <v>100.1</v>
      </c>
      <c r="QJ57">
        <v>99.6</v>
      </c>
      <c r="QK57">
        <v>99.6</v>
      </c>
      <c r="QL57">
        <v>99.3</v>
      </c>
      <c r="QM57">
        <v>99.5</v>
      </c>
      <c r="QN57">
        <v>100.3</v>
      </c>
      <c r="QO57">
        <v>100.2</v>
      </c>
      <c r="QP57">
        <v>100</v>
      </c>
      <c r="QQ57">
        <v>100</v>
      </c>
      <c r="QR57">
        <v>99.9</v>
      </c>
      <c r="QS57">
        <v>99.8</v>
      </c>
      <c r="QT57">
        <v>101.3</v>
      </c>
      <c r="QU57">
        <v>99.8</v>
      </c>
      <c r="QV57">
        <v>100.3</v>
      </c>
      <c r="QW57">
        <v>99.9</v>
      </c>
      <c r="QX57">
        <v>99.8</v>
      </c>
      <c r="QY57">
        <v>100.2</v>
      </c>
      <c r="QZ57">
        <v>100.2</v>
      </c>
      <c r="RA57">
        <v>100.2</v>
      </c>
      <c r="RB57">
        <v>100.2</v>
      </c>
      <c r="RC57">
        <v>100</v>
      </c>
      <c r="RD57">
        <v>99.8</v>
      </c>
      <c r="RE57">
        <v>100.1</v>
      </c>
      <c r="RF57">
        <v>99.8</v>
      </c>
      <c r="RG57">
        <v>99.6</v>
      </c>
      <c r="RH57">
        <v>99.3</v>
      </c>
      <c r="RI57">
        <v>99.9</v>
      </c>
      <c r="RJ57">
        <v>99.9</v>
      </c>
      <c r="RK57">
        <v>100</v>
      </c>
      <c r="RL57">
        <v>100.2</v>
      </c>
      <c r="RM57">
        <v>100.1</v>
      </c>
      <c r="RN57">
        <v>100.1</v>
      </c>
      <c r="RO57">
        <v>100.3</v>
      </c>
      <c r="RP57">
        <v>100.6</v>
      </c>
      <c r="RQ57">
        <v>100.4</v>
      </c>
      <c r="RR57">
        <v>100</v>
      </c>
      <c r="RS57">
        <v>99.4</v>
      </c>
      <c r="RT57">
        <v>99.5</v>
      </c>
      <c r="RU57">
        <v>99.9</v>
      </c>
      <c r="RV57">
        <v>99.9</v>
      </c>
      <c r="RW57">
        <v>99.9</v>
      </c>
      <c r="RX57">
        <v>100</v>
      </c>
      <c r="RY57">
        <v>97.8</v>
      </c>
      <c r="RZ57">
        <v>100.8</v>
      </c>
      <c r="SA57">
        <v>99.5</v>
      </c>
      <c r="SB57">
        <v>100.2</v>
      </c>
      <c r="SC57">
        <v>99.6</v>
      </c>
      <c r="SD57">
        <v>100</v>
      </c>
      <c r="SE57">
        <v>99.8</v>
      </c>
      <c r="SF57">
        <v>99.8</v>
      </c>
      <c r="SG57">
        <v>99.8</v>
      </c>
      <c r="SH57">
        <v>100</v>
      </c>
      <c r="SI57">
        <v>100</v>
      </c>
      <c r="SJ57">
        <v>100.2</v>
      </c>
      <c r="SK57">
        <v>99.7</v>
      </c>
      <c r="SL57">
        <v>100</v>
      </c>
      <c r="SM57">
        <v>100</v>
      </c>
      <c r="SN57">
        <v>100</v>
      </c>
      <c r="SO57">
        <v>100</v>
      </c>
      <c r="SP57">
        <v>100</v>
      </c>
      <c r="SQ57">
        <v>100</v>
      </c>
      <c r="SR57">
        <v>100</v>
      </c>
      <c r="SS57">
        <v>100.1</v>
      </c>
      <c r="ST57">
        <v>100.1</v>
      </c>
      <c r="SU57">
        <v>100.1</v>
      </c>
      <c r="SV57">
        <v>100</v>
      </c>
      <c r="SW57">
        <v>99.9</v>
      </c>
      <c r="SX57">
        <v>100</v>
      </c>
      <c r="SY57">
        <v>100.1</v>
      </c>
      <c r="SZ57">
        <v>100.6</v>
      </c>
      <c r="TA57">
        <v>99.2</v>
      </c>
      <c r="TB57">
        <v>100</v>
      </c>
      <c r="TC57">
        <v>100</v>
      </c>
      <c r="TD57">
        <v>100</v>
      </c>
      <c r="TE57">
        <v>99.5</v>
      </c>
      <c r="TF57">
        <v>100.1</v>
      </c>
      <c r="TG57">
        <v>100.1</v>
      </c>
      <c r="TH57">
        <v>100</v>
      </c>
      <c r="TI57">
        <v>100.1</v>
      </c>
      <c r="TJ57">
        <v>100.6</v>
      </c>
      <c r="TK57">
        <v>99.8</v>
      </c>
      <c r="TL57">
        <v>99.6</v>
      </c>
      <c r="TM57">
        <v>100.1</v>
      </c>
      <c r="TN57">
        <v>99.2</v>
      </c>
      <c r="TO57">
        <v>98.6</v>
      </c>
      <c r="TP57">
        <v>100.1</v>
      </c>
      <c r="TQ57">
        <v>99.9</v>
      </c>
      <c r="TR57">
        <v>99.6</v>
      </c>
      <c r="TS57">
        <v>100.1</v>
      </c>
      <c r="TT57">
        <v>100.2</v>
      </c>
      <c r="TU57">
        <v>100.1</v>
      </c>
      <c r="TV57">
        <v>100</v>
      </c>
      <c r="TW57">
        <v>100</v>
      </c>
      <c r="TX57">
        <v>100</v>
      </c>
      <c r="TY57">
        <v>100</v>
      </c>
      <c r="TZ57">
        <v>100</v>
      </c>
      <c r="UA57">
        <v>100.3</v>
      </c>
      <c r="UB57">
        <v>100</v>
      </c>
      <c r="UC57">
        <v>95.4</v>
      </c>
      <c r="UD57">
        <v>99.8</v>
      </c>
      <c r="UE57">
        <v>100.1</v>
      </c>
      <c r="UF57">
        <v>100</v>
      </c>
      <c r="UG57">
        <v>100</v>
      </c>
      <c r="UH57">
        <v>100</v>
      </c>
      <c r="UI57">
        <v>100.7</v>
      </c>
      <c r="UJ57">
        <v>100</v>
      </c>
      <c r="UK57">
        <v>98.5</v>
      </c>
      <c r="UL57">
        <v>99.2</v>
      </c>
      <c r="UM57">
        <v>98.7</v>
      </c>
      <c r="UN57">
        <v>98.4</v>
      </c>
      <c r="UO57">
        <v>98.8</v>
      </c>
      <c r="UP57">
        <v>100.4</v>
      </c>
      <c r="UQ57">
        <v>100</v>
      </c>
      <c r="UR57">
        <v>97.9</v>
      </c>
      <c r="US57">
        <v>98.2</v>
      </c>
      <c r="UT57">
        <v>98.7</v>
      </c>
      <c r="UU57">
        <v>98.7</v>
      </c>
      <c r="UV57">
        <v>97.7</v>
      </c>
      <c r="UW57">
        <v>100.2</v>
      </c>
      <c r="UX57">
        <v>100.4</v>
      </c>
      <c r="UY57">
        <v>100</v>
      </c>
      <c r="UZ57">
        <v>100.4</v>
      </c>
      <c r="VA57">
        <v>100.1</v>
      </c>
      <c r="VB57">
        <v>100.1</v>
      </c>
      <c r="VC57">
        <v>101</v>
      </c>
      <c r="VD57">
        <v>99.9</v>
      </c>
      <c r="VE57">
        <v>99.6</v>
      </c>
      <c r="VF57">
        <v>99.6</v>
      </c>
      <c r="VG57">
        <v>99.9</v>
      </c>
      <c r="VH57">
        <v>99.7</v>
      </c>
      <c r="VI57">
        <v>97.8</v>
      </c>
      <c r="VJ57">
        <v>99</v>
      </c>
      <c r="VK57">
        <v>106.6</v>
      </c>
      <c r="VL57">
        <v>101.1</v>
      </c>
      <c r="VM57">
        <v>100</v>
      </c>
      <c r="VN57">
        <v>100.8</v>
      </c>
      <c r="VO57">
        <v>99.9</v>
      </c>
      <c r="VP57">
        <v>100</v>
      </c>
      <c r="VQ57">
        <v>100</v>
      </c>
      <c r="VR57">
        <v>100</v>
      </c>
      <c r="VS57">
        <v>99.9</v>
      </c>
      <c r="VT57">
        <v>100</v>
      </c>
      <c r="VU57">
        <v>100</v>
      </c>
      <c r="VV57">
        <v>100.8</v>
      </c>
      <c r="VW57">
        <v>100.8</v>
      </c>
      <c r="VX57">
        <v>100.8</v>
      </c>
      <c r="VY57">
        <v>97.5</v>
      </c>
      <c r="VZ57">
        <v>100.2</v>
      </c>
      <c r="WA57">
        <v>103.2</v>
      </c>
      <c r="WB57">
        <v>99.8</v>
      </c>
      <c r="WC57">
        <v>100</v>
      </c>
      <c r="WD57">
        <v>99.9</v>
      </c>
      <c r="WE57">
        <v>99.7</v>
      </c>
      <c r="WF57">
        <v>99.6</v>
      </c>
      <c r="WG57">
        <v>99.7</v>
      </c>
      <c r="WH57">
        <v>100.1</v>
      </c>
      <c r="WI57">
        <v>100.4</v>
      </c>
      <c r="WJ57">
        <v>99.7</v>
      </c>
      <c r="WK57">
        <v>100.7</v>
      </c>
      <c r="WL57">
        <v>99.9</v>
      </c>
      <c r="WM57">
        <v>97.2</v>
      </c>
      <c r="WN57">
        <v>99.5</v>
      </c>
      <c r="WO57">
        <v>100</v>
      </c>
      <c r="WP57">
        <v>100.3</v>
      </c>
      <c r="WQ57">
        <v>99.8</v>
      </c>
      <c r="WR57">
        <v>99.9</v>
      </c>
      <c r="WS57">
        <v>100.5</v>
      </c>
      <c r="WT57">
        <v>99.3</v>
      </c>
      <c r="WU57">
        <v>100.2</v>
      </c>
      <c r="WV57">
        <v>100.4</v>
      </c>
      <c r="WW57">
        <v>99.8</v>
      </c>
      <c r="WX57">
        <v>100.4</v>
      </c>
      <c r="WY57">
        <v>100.4</v>
      </c>
      <c r="WZ57">
        <v>100.9</v>
      </c>
      <c r="XA57">
        <v>100</v>
      </c>
      <c r="XB57">
        <v>100.4</v>
      </c>
      <c r="XC57">
        <v>100.5</v>
      </c>
      <c r="XD57">
        <v>100.4</v>
      </c>
      <c r="XE57">
        <v>100.3</v>
      </c>
      <c r="XF57">
        <v>100.2</v>
      </c>
      <c r="XG57">
        <v>100.3</v>
      </c>
      <c r="XH57">
        <v>99.9</v>
      </c>
      <c r="XI57">
        <v>98.7</v>
      </c>
      <c r="XJ57">
        <v>98.7</v>
      </c>
      <c r="XK57">
        <v>100</v>
      </c>
      <c r="XL57">
        <v>100</v>
      </c>
      <c r="XM57">
        <v>100.2</v>
      </c>
      <c r="XN57">
        <v>100</v>
      </c>
      <c r="XO57">
        <v>100.2</v>
      </c>
      <c r="XP57">
        <v>100.1</v>
      </c>
      <c r="XQ57">
        <v>100.1</v>
      </c>
      <c r="XR57">
        <v>100.3</v>
      </c>
      <c r="XS57">
        <v>100.5</v>
      </c>
      <c r="XT57">
        <v>100.1</v>
      </c>
      <c r="XU57">
        <v>100.1</v>
      </c>
      <c r="XV57">
        <v>99.7</v>
      </c>
      <c r="XW57">
        <v>99.3</v>
      </c>
      <c r="XX57">
        <v>100</v>
      </c>
      <c r="XY57">
        <v>100</v>
      </c>
      <c r="XZ57">
        <v>100.4</v>
      </c>
      <c r="YA57">
        <v>100</v>
      </c>
      <c r="YB57">
        <v>100</v>
      </c>
      <c r="YC57">
        <v>104.7</v>
      </c>
      <c r="YD57">
        <v>100.9</v>
      </c>
      <c r="YE57">
        <v>100</v>
      </c>
      <c r="YF57">
        <v>100.2</v>
      </c>
      <c r="YG57">
        <v>100.3</v>
      </c>
      <c r="YH57">
        <v>100.2</v>
      </c>
      <c r="YI57">
        <v>99.8</v>
      </c>
      <c r="YJ57">
        <v>100.6</v>
      </c>
      <c r="YK57">
        <v>101.4</v>
      </c>
      <c r="YL57">
        <v>100</v>
      </c>
      <c r="YM57">
        <v>100.1</v>
      </c>
      <c r="YN57">
        <v>100</v>
      </c>
      <c r="YO57">
        <v>100.6</v>
      </c>
      <c r="YP57">
        <v>100</v>
      </c>
      <c r="YQ57">
        <v>100.1</v>
      </c>
      <c r="YR57">
        <v>100.3</v>
      </c>
      <c r="YS57">
        <v>100.4</v>
      </c>
      <c r="YT57">
        <v>100.3</v>
      </c>
      <c r="YU57">
        <v>100</v>
      </c>
      <c r="YV57">
        <v>99.9</v>
      </c>
      <c r="YW57">
        <v>100</v>
      </c>
      <c r="YX57">
        <v>100</v>
      </c>
      <c r="YY57">
        <v>100</v>
      </c>
      <c r="YZ57">
        <v>100.1</v>
      </c>
      <c r="ZA57">
        <v>100.1</v>
      </c>
      <c r="ZB57">
        <v>99.9</v>
      </c>
      <c r="ZC57">
        <v>100.3</v>
      </c>
      <c r="ZD57">
        <v>100.4</v>
      </c>
      <c r="ZE57">
        <v>100.3</v>
      </c>
      <c r="ZF57">
        <v>99.9</v>
      </c>
      <c r="ZG57">
        <v>100.2</v>
      </c>
      <c r="ZH57">
        <v>99.5</v>
      </c>
      <c r="ZI57">
        <v>100.1</v>
      </c>
      <c r="ZJ57">
        <v>100.1</v>
      </c>
      <c r="ZK57">
        <v>99.8</v>
      </c>
      <c r="ZL57">
        <v>99.8</v>
      </c>
      <c r="ZM57">
        <v>99.8</v>
      </c>
      <c r="ZN57">
        <v>99.9</v>
      </c>
      <c r="ZO57">
        <v>100</v>
      </c>
      <c r="ZP57">
        <v>99.5</v>
      </c>
      <c r="ZQ57">
        <v>100</v>
      </c>
      <c r="ZR57">
        <v>100.1</v>
      </c>
      <c r="ZS57">
        <v>100</v>
      </c>
      <c r="ZT57">
        <v>100.1</v>
      </c>
      <c r="ZU57">
        <v>100</v>
      </c>
      <c r="ZV57">
        <v>100.1</v>
      </c>
      <c r="ZW57">
        <v>100</v>
      </c>
      <c r="ZX57">
        <v>100</v>
      </c>
      <c r="ZY57">
        <v>100</v>
      </c>
      <c r="ZZ57">
        <v>100</v>
      </c>
      <c r="AAA57">
        <v>99.1</v>
      </c>
      <c r="AAB57">
        <v>100</v>
      </c>
      <c r="AAC57">
        <v>100</v>
      </c>
      <c r="AAD57">
        <v>100</v>
      </c>
      <c r="AAE57">
        <v>99.7</v>
      </c>
      <c r="AAF57">
        <v>100.7</v>
      </c>
      <c r="AAG57">
        <v>99.8</v>
      </c>
      <c r="AAH57">
        <v>99.1</v>
      </c>
      <c r="AAI57">
        <v>100.1</v>
      </c>
      <c r="AAJ57">
        <v>100.1</v>
      </c>
      <c r="AAK57">
        <v>100</v>
      </c>
      <c r="AAL57">
        <v>99.9</v>
      </c>
      <c r="AAM57">
        <v>99.8</v>
      </c>
      <c r="AAN57">
        <v>100.2</v>
      </c>
      <c r="AAO57">
        <v>102.3</v>
      </c>
      <c r="AAP57">
        <v>102.5</v>
      </c>
      <c r="AAQ57">
        <v>102.1</v>
      </c>
      <c r="AAR57">
        <v>100.3</v>
      </c>
      <c r="AAS57">
        <v>100</v>
      </c>
      <c r="AAT57">
        <v>100.6</v>
      </c>
      <c r="AAU57">
        <v>100</v>
      </c>
      <c r="AAV57">
        <v>100.7</v>
      </c>
      <c r="AAW57">
        <v>100</v>
      </c>
      <c r="AAX57">
        <v>100</v>
      </c>
      <c r="AAY57">
        <v>100</v>
      </c>
      <c r="AAZ57">
        <v>100</v>
      </c>
      <c r="ABA57">
        <v>100.3</v>
      </c>
      <c r="ABB57">
        <v>100</v>
      </c>
      <c r="ABC57">
        <v>99.3</v>
      </c>
      <c r="ABD57">
        <v>100.7</v>
      </c>
      <c r="ABE57">
        <v>99.2</v>
      </c>
      <c r="ABF57">
        <v>99.9</v>
      </c>
      <c r="ABG57">
        <v>99.9</v>
      </c>
      <c r="ABH57">
        <v>99.8</v>
      </c>
      <c r="ABI57">
        <v>100.4</v>
      </c>
      <c r="ABJ57">
        <v>100</v>
      </c>
      <c r="ABK57">
        <v>99.8</v>
      </c>
      <c r="ABL57">
        <v>98.2</v>
      </c>
      <c r="ABM57">
        <v>100</v>
      </c>
      <c r="ABN57">
        <v>100</v>
      </c>
      <c r="ABO57">
        <v>99.2</v>
      </c>
      <c r="ABP57">
        <v>99.9</v>
      </c>
      <c r="ABQ57">
        <v>100.3</v>
      </c>
    </row>
    <row r="58" spans="1:748">
      <c r="A58">
        <v>2021</v>
      </c>
      <c r="B58" s="112">
        <v>100</v>
      </c>
      <c r="C58">
        <v>100.7</v>
      </c>
      <c r="D58">
        <v>99.1</v>
      </c>
      <c r="E58">
        <v>95.4</v>
      </c>
      <c r="F58">
        <v>95.6</v>
      </c>
      <c r="G58">
        <v>95.4</v>
      </c>
      <c r="H58">
        <v>101.1</v>
      </c>
      <c r="I58">
        <v>100.9</v>
      </c>
      <c r="J58">
        <v>101.2</v>
      </c>
      <c r="K58">
        <v>101</v>
      </c>
      <c r="L58">
        <v>99.9</v>
      </c>
      <c r="M58">
        <v>99.7</v>
      </c>
      <c r="N58">
        <v>100.4</v>
      </c>
      <c r="O58">
        <v>99.8</v>
      </c>
      <c r="P58">
        <v>100.2</v>
      </c>
      <c r="Q58">
        <v>99.3</v>
      </c>
      <c r="R58">
        <v>100.7</v>
      </c>
      <c r="S58">
        <v>103.5</v>
      </c>
      <c r="T58">
        <v>99.4</v>
      </c>
      <c r="U58">
        <v>101.1</v>
      </c>
      <c r="V58">
        <v>103.1</v>
      </c>
      <c r="W58">
        <v>104.6</v>
      </c>
      <c r="X58">
        <v>108</v>
      </c>
      <c r="Y58">
        <v>95.7</v>
      </c>
      <c r="Z58">
        <v>102.4</v>
      </c>
      <c r="AA58">
        <v>97</v>
      </c>
      <c r="AB58">
        <v>101.5</v>
      </c>
      <c r="AC58">
        <v>102.8</v>
      </c>
      <c r="AD58">
        <v>116.7</v>
      </c>
      <c r="AE58">
        <v>98.3</v>
      </c>
      <c r="AF58">
        <v>109.6</v>
      </c>
      <c r="AG58">
        <v>106.7</v>
      </c>
      <c r="AH58">
        <v>112.1</v>
      </c>
      <c r="AI58">
        <v>98.9</v>
      </c>
      <c r="AJ58">
        <v>108.5</v>
      </c>
      <c r="AK58">
        <v>100.2</v>
      </c>
      <c r="AL58">
        <v>110.3</v>
      </c>
      <c r="AM58">
        <v>102.8</v>
      </c>
      <c r="AN58">
        <v>102.2</v>
      </c>
      <c r="AO58">
        <v>99.8</v>
      </c>
      <c r="AP58">
        <v>99.2</v>
      </c>
      <c r="AQ58">
        <v>101.6</v>
      </c>
      <c r="AR58">
        <v>102.2</v>
      </c>
      <c r="AS58">
        <v>109.3</v>
      </c>
      <c r="AT58">
        <v>116.8</v>
      </c>
      <c r="AU58">
        <v>100.6</v>
      </c>
      <c r="AV58">
        <v>100.8</v>
      </c>
      <c r="AW58">
        <v>100.4</v>
      </c>
      <c r="AX58">
        <v>100.5</v>
      </c>
      <c r="AY58">
        <v>99.8</v>
      </c>
      <c r="AZ58">
        <v>100</v>
      </c>
      <c r="BA58">
        <v>100.1</v>
      </c>
      <c r="BB58">
        <v>102.8</v>
      </c>
      <c r="BC58">
        <v>98.5</v>
      </c>
      <c r="BD58">
        <v>101.5</v>
      </c>
      <c r="BE58">
        <v>101.9</v>
      </c>
      <c r="BF58">
        <v>101.2</v>
      </c>
      <c r="BG58">
        <v>105.2</v>
      </c>
      <c r="BH58">
        <v>101.6</v>
      </c>
      <c r="BI58">
        <v>101</v>
      </c>
      <c r="BJ58">
        <v>101.8</v>
      </c>
      <c r="BK58">
        <v>99.5</v>
      </c>
      <c r="BL58">
        <v>99.4</v>
      </c>
      <c r="BM58">
        <v>99.3</v>
      </c>
      <c r="BN58">
        <v>99</v>
      </c>
      <c r="BO58">
        <v>101.1</v>
      </c>
      <c r="BP58">
        <v>100</v>
      </c>
      <c r="BQ58">
        <v>99.2</v>
      </c>
      <c r="BR58">
        <v>99.7</v>
      </c>
      <c r="BS58">
        <v>99.7</v>
      </c>
      <c r="BT58">
        <v>98.8</v>
      </c>
      <c r="BU58">
        <v>99.9</v>
      </c>
      <c r="BV58">
        <v>98.6</v>
      </c>
      <c r="BW58">
        <v>99.8</v>
      </c>
      <c r="BX58">
        <v>98.5</v>
      </c>
      <c r="BY58">
        <v>99.8</v>
      </c>
      <c r="BZ58">
        <v>103.2</v>
      </c>
      <c r="CA58">
        <v>103.2</v>
      </c>
      <c r="CB58">
        <v>99.4</v>
      </c>
      <c r="CC58">
        <v>98.7</v>
      </c>
      <c r="CD58">
        <v>86.5</v>
      </c>
      <c r="CE58">
        <v>96.8</v>
      </c>
      <c r="CF58">
        <v>91.5</v>
      </c>
      <c r="CG58">
        <v>98.9</v>
      </c>
      <c r="CH58">
        <v>103.5</v>
      </c>
      <c r="CI58">
        <v>96.3</v>
      </c>
      <c r="CJ58">
        <v>100.6</v>
      </c>
      <c r="CK58">
        <v>101</v>
      </c>
      <c r="CL58">
        <v>109.4</v>
      </c>
      <c r="CM58">
        <v>120.8</v>
      </c>
      <c r="CN58">
        <v>102.9</v>
      </c>
      <c r="CO58">
        <v>98</v>
      </c>
      <c r="CP58">
        <v>90.7</v>
      </c>
      <c r="CQ58">
        <v>115.2</v>
      </c>
      <c r="CR58">
        <v>126.9</v>
      </c>
      <c r="CS58">
        <v>95.2</v>
      </c>
      <c r="CT58">
        <v>94.6</v>
      </c>
      <c r="CU58">
        <v>98</v>
      </c>
      <c r="CV58">
        <v>97.6</v>
      </c>
      <c r="CW58">
        <v>101.1</v>
      </c>
      <c r="CX58">
        <v>97.6</v>
      </c>
      <c r="CY58">
        <v>90.6</v>
      </c>
      <c r="CZ58">
        <v>91.2</v>
      </c>
      <c r="DA58">
        <v>96.1</v>
      </c>
      <c r="DB58">
        <v>86.6</v>
      </c>
      <c r="DC58">
        <v>99.4</v>
      </c>
      <c r="DD58">
        <v>96.9</v>
      </c>
      <c r="DE58">
        <v>95.1</v>
      </c>
      <c r="DF58">
        <v>98</v>
      </c>
      <c r="DG58">
        <v>100.8</v>
      </c>
      <c r="DH58">
        <v>100.6</v>
      </c>
      <c r="DI58">
        <v>99.9</v>
      </c>
      <c r="DJ58">
        <v>100.9</v>
      </c>
      <c r="DK58">
        <v>99.2</v>
      </c>
      <c r="DL58">
        <v>103</v>
      </c>
      <c r="DM58">
        <v>99.9</v>
      </c>
      <c r="DN58">
        <v>100.7</v>
      </c>
      <c r="DO58">
        <v>101.7</v>
      </c>
      <c r="DP58">
        <v>103.2</v>
      </c>
      <c r="DQ58">
        <v>97.9</v>
      </c>
      <c r="DR58">
        <v>100.9</v>
      </c>
      <c r="DS58">
        <v>99.9</v>
      </c>
      <c r="DT58">
        <v>100.3</v>
      </c>
      <c r="DU58">
        <v>101.8</v>
      </c>
      <c r="DV58">
        <v>100.5</v>
      </c>
      <c r="DW58">
        <v>99.3</v>
      </c>
      <c r="DX58">
        <v>104.8</v>
      </c>
      <c r="DY58">
        <v>101</v>
      </c>
      <c r="DZ58">
        <v>100.8</v>
      </c>
      <c r="EA58">
        <v>101.4</v>
      </c>
      <c r="EB58">
        <v>101.7</v>
      </c>
      <c r="EC58">
        <v>103.3</v>
      </c>
      <c r="ED58">
        <v>104.2</v>
      </c>
      <c r="EE58">
        <v>109.6</v>
      </c>
      <c r="EF58">
        <v>95.1</v>
      </c>
      <c r="EG58">
        <v>101.4</v>
      </c>
      <c r="EH58">
        <v>104.9</v>
      </c>
      <c r="EI58">
        <v>106.5</v>
      </c>
      <c r="EJ58">
        <v>102.1</v>
      </c>
      <c r="EK58">
        <v>101.3</v>
      </c>
      <c r="EL58">
        <v>103.2</v>
      </c>
      <c r="EM58">
        <v>103.1</v>
      </c>
      <c r="EN58">
        <v>96.4</v>
      </c>
      <c r="EO58">
        <v>99.8</v>
      </c>
      <c r="EP58">
        <v>108.6</v>
      </c>
      <c r="EQ58">
        <v>99.4</v>
      </c>
      <c r="ER58">
        <v>94.5</v>
      </c>
      <c r="ES58">
        <v>94.5</v>
      </c>
      <c r="ET58">
        <v>101.1</v>
      </c>
      <c r="EU58">
        <v>113.1</v>
      </c>
      <c r="EV58">
        <v>114.3</v>
      </c>
      <c r="EW58">
        <v>105.6</v>
      </c>
      <c r="EX58">
        <v>99.6</v>
      </c>
      <c r="EY58">
        <v>99</v>
      </c>
      <c r="EZ58">
        <v>99.8</v>
      </c>
      <c r="FA58">
        <v>99.2</v>
      </c>
      <c r="FB58">
        <v>101.8</v>
      </c>
      <c r="FC58">
        <v>99.5</v>
      </c>
      <c r="FD58">
        <v>99.2</v>
      </c>
      <c r="FE58">
        <v>99.3</v>
      </c>
      <c r="FF58">
        <v>109.4</v>
      </c>
      <c r="FG58">
        <v>98.7</v>
      </c>
      <c r="FH58">
        <v>101.1</v>
      </c>
      <c r="FI58">
        <v>99.2</v>
      </c>
      <c r="FJ58">
        <v>98.7</v>
      </c>
      <c r="FK58">
        <v>97.7</v>
      </c>
      <c r="FL58">
        <v>98.4</v>
      </c>
      <c r="FM58">
        <v>99.4</v>
      </c>
      <c r="FN58">
        <v>98.9</v>
      </c>
      <c r="FO58">
        <v>98.7</v>
      </c>
      <c r="FP58">
        <v>101.2</v>
      </c>
      <c r="FQ58">
        <v>101.4</v>
      </c>
      <c r="FR58">
        <v>101.4</v>
      </c>
      <c r="FS58">
        <v>107.2</v>
      </c>
      <c r="FT58">
        <v>106.1</v>
      </c>
      <c r="FU58">
        <v>100.9</v>
      </c>
      <c r="FV58">
        <v>103.5</v>
      </c>
      <c r="FW58">
        <v>99.3</v>
      </c>
      <c r="FX58">
        <v>98.8</v>
      </c>
      <c r="FY58">
        <v>101.5</v>
      </c>
      <c r="FZ58">
        <v>101.5</v>
      </c>
      <c r="GA58">
        <v>101.9</v>
      </c>
      <c r="GB58">
        <v>99.5</v>
      </c>
      <c r="GC58">
        <v>102.3</v>
      </c>
      <c r="GD58">
        <v>100.3</v>
      </c>
      <c r="GE58">
        <v>99.8</v>
      </c>
      <c r="GF58">
        <v>99.2</v>
      </c>
      <c r="GG58">
        <v>100.7</v>
      </c>
      <c r="GH58">
        <v>99.2</v>
      </c>
      <c r="GI58">
        <v>100.8</v>
      </c>
      <c r="GJ58">
        <v>100.7</v>
      </c>
      <c r="GK58">
        <v>102.3</v>
      </c>
      <c r="GL58">
        <v>100.8</v>
      </c>
      <c r="GM58">
        <v>102.7</v>
      </c>
      <c r="GN58">
        <v>99.1</v>
      </c>
      <c r="GO58">
        <v>99.8</v>
      </c>
      <c r="GP58">
        <v>100.5</v>
      </c>
      <c r="GQ58">
        <v>98</v>
      </c>
      <c r="GR58">
        <v>97.7</v>
      </c>
      <c r="GS58">
        <v>99</v>
      </c>
      <c r="GT58">
        <v>99.5</v>
      </c>
      <c r="GU58">
        <v>100.9</v>
      </c>
      <c r="GV58">
        <v>98.8</v>
      </c>
      <c r="GW58">
        <v>101.5</v>
      </c>
      <c r="GX58">
        <v>100.7</v>
      </c>
      <c r="GY58">
        <v>98.2</v>
      </c>
      <c r="GZ58">
        <v>101.5</v>
      </c>
      <c r="HA58">
        <v>101.1</v>
      </c>
      <c r="HB58">
        <v>101.6</v>
      </c>
      <c r="HC58">
        <v>99</v>
      </c>
      <c r="HD58">
        <v>99</v>
      </c>
      <c r="HE58">
        <v>98.8</v>
      </c>
      <c r="HF58">
        <v>97.8</v>
      </c>
      <c r="HG58">
        <v>105.9</v>
      </c>
      <c r="HH58">
        <v>105.7</v>
      </c>
      <c r="HI58">
        <v>99.8</v>
      </c>
      <c r="HJ58">
        <v>104.6</v>
      </c>
      <c r="HK58">
        <v>100.7</v>
      </c>
      <c r="HL58">
        <v>99.2</v>
      </c>
      <c r="HM58">
        <v>100</v>
      </c>
      <c r="HN58">
        <v>99.1</v>
      </c>
      <c r="HO58">
        <v>100.9</v>
      </c>
      <c r="HP58">
        <v>99.3</v>
      </c>
      <c r="HQ58">
        <v>100.5</v>
      </c>
      <c r="HR58">
        <v>107.7</v>
      </c>
      <c r="HS58">
        <v>97.5</v>
      </c>
      <c r="HT58">
        <v>101.3</v>
      </c>
      <c r="HU58">
        <v>99.7</v>
      </c>
      <c r="HV58">
        <v>109.5</v>
      </c>
      <c r="HW58">
        <v>97.1</v>
      </c>
      <c r="HX58">
        <v>100.3</v>
      </c>
      <c r="HY58">
        <v>101.4</v>
      </c>
      <c r="HZ58">
        <v>99.1</v>
      </c>
      <c r="IA58">
        <v>99.3</v>
      </c>
      <c r="IB58">
        <v>99.7</v>
      </c>
      <c r="IC58">
        <v>109.8</v>
      </c>
      <c r="ID58">
        <v>99.3</v>
      </c>
      <c r="IE58">
        <v>100</v>
      </c>
      <c r="IF58">
        <v>96.7</v>
      </c>
      <c r="IG58">
        <v>100</v>
      </c>
      <c r="IH58">
        <v>99.2</v>
      </c>
      <c r="II58">
        <v>98.3</v>
      </c>
      <c r="IJ58">
        <v>99.6</v>
      </c>
      <c r="IK58">
        <v>97.8</v>
      </c>
      <c r="IL58">
        <v>99.7</v>
      </c>
      <c r="IM58">
        <v>95.6</v>
      </c>
      <c r="IN58">
        <v>99.5</v>
      </c>
      <c r="IO58">
        <v>99.6</v>
      </c>
      <c r="IP58">
        <v>100.2</v>
      </c>
      <c r="IQ58">
        <v>100.2</v>
      </c>
      <c r="IR58">
        <v>99.8</v>
      </c>
      <c r="IS58">
        <v>107.4</v>
      </c>
      <c r="IT58">
        <v>100.6</v>
      </c>
      <c r="IU58">
        <v>100.6</v>
      </c>
      <c r="IV58">
        <v>100.5</v>
      </c>
      <c r="IW58">
        <v>100.5</v>
      </c>
      <c r="IX58">
        <v>100.5</v>
      </c>
      <c r="IY58">
        <v>99.9</v>
      </c>
      <c r="IZ58">
        <v>98.9</v>
      </c>
      <c r="JA58">
        <v>101.3</v>
      </c>
      <c r="JB58">
        <v>100.5</v>
      </c>
      <c r="JC58">
        <v>100.6</v>
      </c>
      <c r="JD58">
        <v>103.8</v>
      </c>
      <c r="JE58">
        <v>100.7</v>
      </c>
      <c r="JF58">
        <v>101.1</v>
      </c>
      <c r="JG58">
        <v>100</v>
      </c>
      <c r="JH58">
        <v>100.2</v>
      </c>
      <c r="JI58">
        <v>100.2</v>
      </c>
      <c r="JJ58">
        <v>101</v>
      </c>
      <c r="JK58">
        <v>99.7</v>
      </c>
      <c r="JL58">
        <v>100.7</v>
      </c>
      <c r="JM58">
        <v>99.6</v>
      </c>
      <c r="JN58">
        <v>102.6</v>
      </c>
      <c r="JO58">
        <v>101</v>
      </c>
      <c r="JP58">
        <v>100.2</v>
      </c>
      <c r="JQ58">
        <v>100.1</v>
      </c>
      <c r="JR58">
        <v>100.9</v>
      </c>
      <c r="JS58">
        <v>101.2</v>
      </c>
      <c r="JT58">
        <v>101.4</v>
      </c>
      <c r="JU58">
        <v>100.8</v>
      </c>
      <c r="JV58">
        <v>100.7</v>
      </c>
      <c r="JW58">
        <v>100.1</v>
      </c>
      <c r="JX58">
        <v>99.9</v>
      </c>
      <c r="JY58">
        <v>99.9</v>
      </c>
      <c r="JZ58">
        <v>100.1</v>
      </c>
      <c r="KA58">
        <v>99.8</v>
      </c>
      <c r="KB58">
        <v>100.3</v>
      </c>
      <c r="KC58">
        <v>100.1</v>
      </c>
      <c r="KD58">
        <v>100.1</v>
      </c>
      <c r="KE58">
        <v>104</v>
      </c>
      <c r="KF58">
        <v>100.5</v>
      </c>
      <c r="KG58">
        <v>100.5</v>
      </c>
      <c r="KH58">
        <v>98.5</v>
      </c>
      <c r="KI58">
        <v>99.7</v>
      </c>
      <c r="KJ58">
        <v>100</v>
      </c>
      <c r="KK58">
        <v>100</v>
      </c>
      <c r="KL58">
        <v>104.4</v>
      </c>
      <c r="KM58">
        <v>105.5</v>
      </c>
      <c r="KN58">
        <v>100.7</v>
      </c>
      <c r="KO58">
        <v>101.5</v>
      </c>
      <c r="KP58">
        <v>100.8</v>
      </c>
      <c r="KQ58">
        <v>100.9</v>
      </c>
      <c r="KR58">
        <v>101.4</v>
      </c>
      <c r="KS58">
        <v>100.7</v>
      </c>
      <c r="KT58">
        <v>101.8</v>
      </c>
      <c r="KU58">
        <v>100.3</v>
      </c>
      <c r="KV58">
        <v>101.4</v>
      </c>
      <c r="KW58">
        <v>101.1</v>
      </c>
      <c r="KX58">
        <v>115.8</v>
      </c>
      <c r="KY58">
        <v>104.8</v>
      </c>
      <c r="KZ58">
        <v>104.5</v>
      </c>
      <c r="LA58">
        <v>104.5</v>
      </c>
      <c r="LB58">
        <v>103.2</v>
      </c>
      <c r="LC58">
        <v>103</v>
      </c>
      <c r="LD58">
        <v>103.6</v>
      </c>
      <c r="LE58">
        <v>122.7</v>
      </c>
      <c r="LF58">
        <v>122.7</v>
      </c>
      <c r="LG58">
        <v>102.9</v>
      </c>
      <c r="LH58">
        <v>104.1</v>
      </c>
      <c r="LI58">
        <v>101</v>
      </c>
      <c r="LJ58">
        <v>101.6</v>
      </c>
      <c r="LK58">
        <v>101.5</v>
      </c>
      <c r="LL58">
        <v>98.4</v>
      </c>
      <c r="LM58">
        <v>101.4</v>
      </c>
      <c r="LN58">
        <v>99.5</v>
      </c>
      <c r="LO58">
        <v>96.6</v>
      </c>
      <c r="LP58">
        <v>95.2</v>
      </c>
      <c r="LQ58">
        <v>102.2</v>
      </c>
      <c r="LR58">
        <v>96.2</v>
      </c>
      <c r="LS58">
        <v>101.5</v>
      </c>
      <c r="LT58">
        <v>106.3</v>
      </c>
      <c r="LU58">
        <v>107.1</v>
      </c>
      <c r="LV58">
        <v>101.6</v>
      </c>
      <c r="LW58">
        <v>102.8</v>
      </c>
      <c r="LX58">
        <v>101.9</v>
      </c>
      <c r="LY58">
        <v>102.6</v>
      </c>
      <c r="LZ58">
        <v>101.6</v>
      </c>
      <c r="MA58">
        <v>101.4</v>
      </c>
      <c r="MB58">
        <v>101.2</v>
      </c>
      <c r="MC58">
        <v>106.3</v>
      </c>
      <c r="MD58">
        <v>100.2</v>
      </c>
      <c r="ME58">
        <v>100.7</v>
      </c>
      <c r="MF58">
        <v>96.1</v>
      </c>
      <c r="MG58">
        <v>99.9</v>
      </c>
      <c r="MH58">
        <v>103.3</v>
      </c>
      <c r="MI58">
        <v>100.3</v>
      </c>
      <c r="MJ58">
        <v>99.7</v>
      </c>
      <c r="MK58">
        <v>100.4</v>
      </c>
      <c r="ML58">
        <v>95.7</v>
      </c>
      <c r="MM58">
        <v>101</v>
      </c>
      <c r="MN58">
        <v>99.2</v>
      </c>
      <c r="MO58">
        <v>99.4</v>
      </c>
      <c r="MP58">
        <v>99</v>
      </c>
      <c r="MQ58">
        <v>99.8</v>
      </c>
      <c r="MR58">
        <v>97.5</v>
      </c>
      <c r="MS58">
        <v>101.9</v>
      </c>
      <c r="MT58">
        <v>99.3</v>
      </c>
      <c r="MU58">
        <v>100.3</v>
      </c>
      <c r="MV58">
        <v>102</v>
      </c>
      <c r="MW58">
        <v>111.6</v>
      </c>
      <c r="MX58">
        <v>99.3</v>
      </c>
      <c r="MY58">
        <v>99.5</v>
      </c>
      <c r="MZ58">
        <v>102.3</v>
      </c>
      <c r="NA58">
        <v>101</v>
      </c>
      <c r="NB58">
        <v>102.9</v>
      </c>
      <c r="NC58">
        <v>100.1</v>
      </c>
      <c r="ND58">
        <v>97.4</v>
      </c>
      <c r="NE58">
        <v>101.8</v>
      </c>
      <c r="NF58">
        <v>101.4</v>
      </c>
      <c r="NG58">
        <v>101.3</v>
      </c>
      <c r="NH58">
        <v>101.5</v>
      </c>
      <c r="NI58">
        <v>105</v>
      </c>
      <c r="NJ58">
        <v>100.1</v>
      </c>
      <c r="NK58">
        <v>113.1</v>
      </c>
      <c r="NL58">
        <v>100.4</v>
      </c>
      <c r="NM58">
        <v>113.8</v>
      </c>
      <c r="NN58">
        <v>99.1</v>
      </c>
      <c r="NO58">
        <v>101.4</v>
      </c>
      <c r="NP58">
        <v>99.6</v>
      </c>
      <c r="NQ58">
        <v>100.1</v>
      </c>
      <c r="NR58">
        <v>100.1</v>
      </c>
      <c r="NS58">
        <v>100.1</v>
      </c>
      <c r="NT58">
        <v>100.2</v>
      </c>
      <c r="NU58">
        <v>100</v>
      </c>
      <c r="NV58">
        <v>100.2</v>
      </c>
      <c r="NW58">
        <v>100</v>
      </c>
      <c r="NX58">
        <v>100</v>
      </c>
      <c r="NY58">
        <v>100.7</v>
      </c>
      <c r="NZ58">
        <v>101.8</v>
      </c>
      <c r="OA58">
        <v>99.8</v>
      </c>
      <c r="OB58">
        <v>99.7</v>
      </c>
      <c r="OC58">
        <v>100</v>
      </c>
      <c r="OD58">
        <v>101.9</v>
      </c>
      <c r="OE58">
        <v>103.1</v>
      </c>
      <c r="OF58">
        <v>103.7</v>
      </c>
      <c r="OG58">
        <v>105.9</v>
      </c>
      <c r="OH58">
        <v>105.8</v>
      </c>
      <c r="OI58">
        <v>102.5</v>
      </c>
      <c r="OJ58">
        <v>104.8</v>
      </c>
      <c r="OK58">
        <v>104.8</v>
      </c>
      <c r="OL58">
        <v>100.1</v>
      </c>
      <c r="OM58">
        <v>97.6</v>
      </c>
      <c r="ON58">
        <v>99.3</v>
      </c>
      <c r="OO58">
        <v>103.7</v>
      </c>
      <c r="OP58">
        <v>101.9</v>
      </c>
      <c r="OQ58">
        <v>103.1</v>
      </c>
      <c r="OR58">
        <v>103.5</v>
      </c>
      <c r="OS58">
        <v>109.8</v>
      </c>
      <c r="OT58">
        <v>103.7</v>
      </c>
      <c r="OU58">
        <v>102.7</v>
      </c>
      <c r="OV58">
        <v>99.6</v>
      </c>
      <c r="OW58">
        <v>104.3</v>
      </c>
      <c r="OX58">
        <v>104.1</v>
      </c>
      <c r="OY58">
        <v>105.1</v>
      </c>
      <c r="OZ58">
        <v>104.1</v>
      </c>
      <c r="PA58">
        <v>93.9</v>
      </c>
      <c r="PB58">
        <v>103.4</v>
      </c>
      <c r="PC58">
        <v>105</v>
      </c>
      <c r="PD58">
        <v>99.2</v>
      </c>
      <c r="PE58">
        <v>100.3</v>
      </c>
      <c r="PF58">
        <v>99.1</v>
      </c>
      <c r="PG58">
        <v>95.8</v>
      </c>
      <c r="PH58">
        <v>100</v>
      </c>
      <c r="PI58">
        <v>100.1</v>
      </c>
      <c r="PJ58">
        <v>100.4</v>
      </c>
      <c r="PK58">
        <v>98.9</v>
      </c>
      <c r="PL58">
        <v>99.1</v>
      </c>
      <c r="PM58">
        <v>100.7</v>
      </c>
      <c r="PN58">
        <v>102.3</v>
      </c>
      <c r="PO58">
        <v>100</v>
      </c>
      <c r="PP58">
        <v>99.6</v>
      </c>
      <c r="PQ58">
        <v>100.5</v>
      </c>
      <c r="PR58">
        <v>101.6</v>
      </c>
      <c r="PS58">
        <v>99.6</v>
      </c>
      <c r="PT58">
        <v>99.3</v>
      </c>
      <c r="PU58">
        <v>100</v>
      </c>
      <c r="PV58">
        <v>99.6</v>
      </c>
      <c r="PW58">
        <v>100</v>
      </c>
      <c r="PX58">
        <v>99.1</v>
      </c>
      <c r="PY58">
        <v>99.9</v>
      </c>
      <c r="PZ58">
        <v>99.4</v>
      </c>
      <c r="QA58">
        <v>99.2</v>
      </c>
      <c r="QB58">
        <v>98.4</v>
      </c>
      <c r="QC58">
        <v>101</v>
      </c>
      <c r="QD58">
        <v>100.1</v>
      </c>
      <c r="QE58">
        <v>101</v>
      </c>
      <c r="QF58">
        <v>99.5</v>
      </c>
      <c r="QG58">
        <v>100.3</v>
      </c>
      <c r="QH58">
        <v>100.1</v>
      </c>
      <c r="QI58">
        <v>100.1</v>
      </c>
      <c r="QJ58">
        <v>99.1</v>
      </c>
      <c r="QK58">
        <v>99.9</v>
      </c>
      <c r="QL58">
        <v>97.5</v>
      </c>
      <c r="QM58">
        <v>98.3</v>
      </c>
      <c r="QN58">
        <v>101.6</v>
      </c>
      <c r="QO58">
        <v>101.7</v>
      </c>
      <c r="QP58">
        <v>97.9</v>
      </c>
      <c r="QQ58">
        <v>99.3</v>
      </c>
      <c r="QR58">
        <v>97.8</v>
      </c>
      <c r="QS58">
        <v>99.1</v>
      </c>
      <c r="QT58">
        <v>101.4</v>
      </c>
      <c r="QU58">
        <v>99.2</v>
      </c>
      <c r="QV58">
        <v>100.4</v>
      </c>
      <c r="QW58">
        <v>99.4</v>
      </c>
      <c r="QX58">
        <v>99.2</v>
      </c>
      <c r="QY58">
        <v>101.5</v>
      </c>
      <c r="QZ58">
        <v>101.8</v>
      </c>
      <c r="RA58">
        <v>102.1</v>
      </c>
      <c r="RB58">
        <v>100.8</v>
      </c>
      <c r="RC58">
        <v>100.2</v>
      </c>
      <c r="RD58">
        <v>99.5</v>
      </c>
      <c r="RE58">
        <v>100.6</v>
      </c>
      <c r="RF58">
        <v>99.5</v>
      </c>
      <c r="RG58">
        <v>102.4</v>
      </c>
      <c r="RH58">
        <v>101.4</v>
      </c>
      <c r="RI58">
        <v>104.4</v>
      </c>
      <c r="RJ58">
        <v>100.4</v>
      </c>
      <c r="RK58">
        <v>99.9</v>
      </c>
      <c r="RL58">
        <v>99.8</v>
      </c>
      <c r="RM58">
        <v>101.2</v>
      </c>
      <c r="RN58">
        <v>101.6</v>
      </c>
      <c r="RO58">
        <v>99.6</v>
      </c>
      <c r="RP58">
        <v>100.1</v>
      </c>
      <c r="RQ58">
        <v>100.2</v>
      </c>
      <c r="RR58">
        <v>100.8</v>
      </c>
      <c r="RS58">
        <v>98.7</v>
      </c>
      <c r="RT58">
        <v>98.7</v>
      </c>
      <c r="RU58">
        <v>99.7</v>
      </c>
      <c r="RV58">
        <v>98.3</v>
      </c>
      <c r="RW58">
        <v>99.4</v>
      </c>
      <c r="RX58">
        <v>99.3</v>
      </c>
      <c r="RY58">
        <v>94.7</v>
      </c>
      <c r="RZ58">
        <v>105.6</v>
      </c>
      <c r="SA58">
        <v>98.6</v>
      </c>
      <c r="SB58">
        <v>100.2</v>
      </c>
      <c r="SC58">
        <v>102.5</v>
      </c>
      <c r="SD58">
        <v>100.2</v>
      </c>
      <c r="SE58">
        <v>99.9</v>
      </c>
      <c r="SF58">
        <v>99.3</v>
      </c>
      <c r="SG58">
        <v>99.2</v>
      </c>
      <c r="SH58">
        <v>100</v>
      </c>
      <c r="SI58">
        <v>100.1</v>
      </c>
      <c r="SJ58">
        <v>100.9</v>
      </c>
      <c r="SK58">
        <v>93.2</v>
      </c>
      <c r="SL58">
        <v>100.6</v>
      </c>
      <c r="SM58">
        <v>100</v>
      </c>
      <c r="SN58">
        <v>100</v>
      </c>
      <c r="SO58">
        <v>100</v>
      </c>
      <c r="SP58">
        <v>100</v>
      </c>
      <c r="SQ58">
        <v>100</v>
      </c>
      <c r="SR58">
        <v>100</v>
      </c>
      <c r="SS58">
        <v>100.1</v>
      </c>
      <c r="ST58">
        <v>100.1</v>
      </c>
      <c r="SU58">
        <v>100.1</v>
      </c>
      <c r="SV58">
        <v>100</v>
      </c>
      <c r="SW58">
        <v>101.3</v>
      </c>
      <c r="SX58">
        <v>101.2</v>
      </c>
      <c r="SY58">
        <v>100.8</v>
      </c>
      <c r="SZ58">
        <v>101.1</v>
      </c>
      <c r="TA58">
        <v>101.6</v>
      </c>
      <c r="TB58">
        <v>101.5</v>
      </c>
      <c r="TC58">
        <v>102.5</v>
      </c>
      <c r="TD58">
        <v>98.4</v>
      </c>
      <c r="TE58">
        <v>103.3</v>
      </c>
      <c r="TF58">
        <v>100.8</v>
      </c>
      <c r="TG58">
        <v>100.6</v>
      </c>
      <c r="TH58">
        <v>100.1</v>
      </c>
      <c r="TI58">
        <v>100.3</v>
      </c>
      <c r="TJ58">
        <v>104.2</v>
      </c>
      <c r="TK58">
        <v>100.4</v>
      </c>
      <c r="TL58">
        <v>100.1</v>
      </c>
      <c r="TM58">
        <v>100.9</v>
      </c>
      <c r="TN58">
        <v>104.2</v>
      </c>
      <c r="TO58">
        <v>118.3</v>
      </c>
      <c r="TP58">
        <v>100.9</v>
      </c>
      <c r="TQ58">
        <v>100.4</v>
      </c>
      <c r="TR58">
        <v>101.1</v>
      </c>
      <c r="TS58">
        <v>102.9</v>
      </c>
      <c r="TT58">
        <v>100.3</v>
      </c>
      <c r="TU58">
        <v>103.6</v>
      </c>
      <c r="TV58">
        <v>101.1</v>
      </c>
      <c r="TW58">
        <v>99.8</v>
      </c>
      <c r="TX58">
        <v>100.3</v>
      </c>
      <c r="TY58">
        <v>100</v>
      </c>
      <c r="TZ58">
        <v>100.2</v>
      </c>
      <c r="UA58">
        <v>101</v>
      </c>
      <c r="UB58">
        <v>100</v>
      </c>
      <c r="UC58">
        <v>88.7</v>
      </c>
      <c r="UD58">
        <v>98.2</v>
      </c>
      <c r="UE58">
        <v>70.099999999999994</v>
      </c>
      <c r="UF58">
        <v>100</v>
      </c>
      <c r="UG58">
        <v>100</v>
      </c>
      <c r="UH58">
        <v>100</v>
      </c>
      <c r="UI58">
        <v>53.2</v>
      </c>
      <c r="UJ58">
        <v>100</v>
      </c>
      <c r="UK58">
        <v>94.4</v>
      </c>
      <c r="UL58">
        <v>100.3</v>
      </c>
      <c r="UM58">
        <v>99.6</v>
      </c>
      <c r="UN58">
        <v>100.1</v>
      </c>
      <c r="UO58">
        <v>98.8</v>
      </c>
      <c r="UP58">
        <v>101.2</v>
      </c>
      <c r="UQ58">
        <v>100</v>
      </c>
      <c r="UR58">
        <v>100.2</v>
      </c>
      <c r="US58">
        <v>98.3</v>
      </c>
      <c r="UT58">
        <v>99.4</v>
      </c>
      <c r="UU58">
        <v>99.3</v>
      </c>
      <c r="UV58">
        <v>99.1</v>
      </c>
      <c r="UW58">
        <v>100.3</v>
      </c>
      <c r="UX58">
        <v>100.4</v>
      </c>
      <c r="UY58">
        <v>100.3</v>
      </c>
      <c r="UZ58">
        <v>102.2</v>
      </c>
      <c r="VA58">
        <v>101.2</v>
      </c>
      <c r="VB58">
        <v>101.2</v>
      </c>
      <c r="VC58">
        <v>104.8</v>
      </c>
      <c r="VD58">
        <v>101.9</v>
      </c>
      <c r="VE58">
        <v>99.2</v>
      </c>
      <c r="VF58">
        <v>99.9</v>
      </c>
      <c r="VG58">
        <v>97</v>
      </c>
      <c r="VH58">
        <v>93</v>
      </c>
      <c r="VI58">
        <v>95.7</v>
      </c>
      <c r="VJ58">
        <v>97.2</v>
      </c>
      <c r="VK58">
        <v>122.6</v>
      </c>
      <c r="VL58">
        <v>111</v>
      </c>
      <c r="VM58">
        <v>100</v>
      </c>
      <c r="VN58">
        <v>103.8</v>
      </c>
      <c r="VO58">
        <v>98.9</v>
      </c>
      <c r="VP58">
        <v>99.5</v>
      </c>
      <c r="VQ58">
        <v>99.7</v>
      </c>
      <c r="VR58">
        <v>99.6</v>
      </c>
      <c r="VS58">
        <v>99.1</v>
      </c>
      <c r="VT58">
        <v>94.9</v>
      </c>
      <c r="VU58">
        <v>86.7</v>
      </c>
      <c r="VV58">
        <v>106.7</v>
      </c>
      <c r="VW58">
        <v>100.7</v>
      </c>
      <c r="VX58">
        <v>100.9</v>
      </c>
      <c r="VY58">
        <v>88.4</v>
      </c>
      <c r="VZ58">
        <v>97.9</v>
      </c>
      <c r="WA58">
        <v>104.9</v>
      </c>
      <c r="WB58">
        <v>97.8</v>
      </c>
      <c r="WC58">
        <v>100</v>
      </c>
      <c r="WD58">
        <v>99.7</v>
      </c>
      <c r="WE58">
        <v>99.9</v>
      </c>
      <c r="WF58">
        <v>97.8</v>
      </c>
      <c r="WG58">
        <v>94.8</v>
      </c>
      <c r="WH58">
        <v>102.7</v>
      </c>
      <c r="WI58">
        <v>102.5</v>
      </c>
      <c r="WJ58">
        <v>101.3</v>
      </c>
      <c r="WK58">
        <v>105.5</v>
      </c>
      <c r="WL58">
        <v>100.2</v>
      </c>
      <c r="WM58">
        <v>88.5</v>
      </c>
      <c r="WN58">
        <v>99</v>
      </c>
      <c r="WO58">
        <v>99.9</v>
      </c>
      <c r="WP58">
        <v>99.9</v>
      </c>
      <c r="WQ58">
        <v>98.3</v>
      </c>
      <c r="WR58">
        <v>99.6</v>
      </c>
      <c r="WS58">
        <v>105.7</v>
      </c>
      <c r="WT58">
        <v>99.9</v>
      </c>
      <c r="WU58">
        <v>99.9</v>
      </c>
      <c r="WV58">
        <v>101.5</v>
      </c>
      <c r="WW58">
        <v>99.8</v>
      </c>
      <c r="WX58">
        <v>103</v>
      </c>
      <c r="WY58">
        <v>103.2</v>
      </c>
      <c r="WZ58">
        <v>103.1</v>
      </c>
      <c r="XA58">
        <v>103.3</v>
      </c>
      <c r="XB58">
        <v>103.7</v>
      </c>
      <c r="XC58">
        <v>103.9</v>
      </c>
      <c r="XD58">
        <v>102.6</v>
      </c>
      <c r="XE58">
        <v>102.1</v>
      </c>
      <c r="XF58">
        <v>101</v>
      </c>
      <c r="XG58">
        <v>103</v>
      </c>
      <c r="XH58">
        <v>103.3</v>
      </c>
      <c r="XI58">
        <v>116.9</v>
      </c>
      <c r="XJ58">
        <v>116.9</v>
      </c>
      <c r="XK58">
        <v>100</v>
      </c>
      <c r="XL58">
        <v>100</v>
      </c>
      <c r="XM58">
        <v>101.9</v>
      </c>
      <c r="XN58">
        <v>99.2</v>
      </c>
      <c r="XO58">
        <v>101.4</v>
      </c>
      <c r="XP58">
        <v>100.5</v>
      </c>
      <c r="XQ58">
        <v>103.4</v>
      </c>
      <c r="XR58">
        <v>103.6</v>
      </c>
      <c r="XS58">
        <v>102.8</v>
      </c>
      <c r="XT58">
        <v>100.6</v>
      </c>
      <c r="XU58">
        <v>100.5</v>
      </c>
      <c r="XV58">
        <v>99</v>
      </c>
      <c r="XW58">
        <v>97.9</v>
      </c>
      <c r="XX58">
        <v>100.1</v>
      </c>
      <c r="XY58">
        <v>100</v>
      </c>
      <c r="XZ58">
        <v>102.2</v>
      </c>
      <c r="YA58">
        <v>100.1</v>
      </c>
      <c r="YB58">
        <v>100.8</v>
      </c>
      <c r="YC58">
        <v>111.6</v>
      </c>
      <c r="YD58">
        <v>101.8</v>
      </c>
      <c r="YE58">
        <v>100.2</v>
      </c>
      <c r="YF58">
        <v>101.6</v>
      </c>
      <c r="YG58">
        <v>101</v>
      </c>
      <c r="YH58">
        <v>100.3</v>
      </c>
      <c r="YI58">
        <v>100.9</v>
      </c>
      <c r="YJ58">
        <v>103</v>
      </c>
      <c r="YK58">
        <v>107.9</v>
      </c>
      <c r="YL58">
        <v>101.1</v>
      </c>
      <c r="YM58">
        <v>100.2</v>
      </c>
      <c r="YN58">
        <v>100.7</v>
      </c>
      <c r="YO58">
        <v>101.7</v>
      </c>
      <c r="YP58">
        <v>100</v>
      </c>
      <c r="YQ58">
        <v>99.3</v>
      </c>
      <c r="YR58">
        <v>100.5</v>
      </c>
      <c r="YS58">
        <v>100.9</v>
      </c>
      <c r="YT58">
        <v>101.4</v>
      </c>
      <c r="YU58">
        <v>100.2</v>
      </c>
      <c r="YV58">
        <v>100.5</v>
      </c>
      <c r="YW58">
        <v>100</v>
      </c>
      <c r="YX58">
        <v>100.2</v>
      </c>
      <c r="YY58">
        <v>100.4</v>
      </c>
      <c r="YZ58">
        <v>100.4</v>
      </c>
      <c r="ZA58">
        <v>99.8</v>
      </c>
      <c r="ZB58">
        <v>99.7</v>
      </c>
      <c r="ZC58">
        <v>98.4</v>
      </c>
      <c r="ZD58">
        <v>95.8</v>
      </c>
      <c r="ZE58">
        <v>101.2</v>
      </c>
      <c r="ZF58">
        <v>99.9</v>
      </c>
      <c r="ZG58">
        <v>97.9</v>
      </c>
      <c r="ZH58">
        <v>97.9</v>
      </c>
      <c r="ZI58">
        <v>98.7</v>
      </c>
      <c r="ZJ58">
        <v>100.2</v>
      </c>
      <c r="ZK58">
        <v>100.5</v>
      </c>
      <c r="ZL58">
        <v>100.7</v>
      </c>
      <c r="ZM58">
        <v>101.2</v>
      </c>
      <c r="ZN58">
        <v>99.8</v>
      </c>
      <c r="ZO58">
        <v>99.5</v>
      </c>
      <c r="ZP58">
        <v>99.4</v>
      </c>
      <c r="ZQ58">
        <v>100</v>
      </c>
      <c r="ZR58">
        <v>100.4</v>
      </c>
      <c r="ZS58">
        <v>100</v>
      </c>
      <c r="ZT58">
        <v>100.5</v>
      </c>
      <c r="ZU58">
        <v>100</v>
      </c>
      <c r="ZV58">
        <v>100.3</v>
      </c>
      <c r="ZW58">
        <v>100</v>
      </c>
      <c r="ZX58">
        <v>100</v>
      </c>
      <c r="ZY58">
        <v>100</v>
      </c>
      <c r="ZZ58">
        <v>100</v>
      </c>
      <c r="AAA58">
        <v>97.2</v>
      </c>
      <c r="AAB58">
        <v>100</v>
      </c>
      <c r="AAC58">
        <v>102</v>
      </c>
      <c r="AAD58">
        <v>102.3</v>
      </c>
      <c r="AAE58">
        <v>99.4</v>
      </c>
      <c r="AAF58">
        <v>107.8</v>
      </c>
      <c r="AAG58">
        <v>101.5</v>
      </c>
      <c r="AAH58">
        <v>93.6</v>
      </c>
      <c r="AAI58">
        <v>102</v>
      </c>
      <c r="AAJ58">
        <v>101.8</v>
      </c>
      <c r="AAK58">
        <v>102.1</v>
      </c>
      <c r="AAL58">
        <v>100.3</v>
      </c>
      <c r="AAM58">
        <v>100.3</v>
      </c>
      <c r="AAN58">
        <v>100.2</v>
      </c>
      <c r="AAO58">
        <v>110.2</v>
      </c>
      <c r="AAP58">
        <v>111.2</v>
      </c>
      <c r="AAQ58">
        <v>109.1</v>
      </c>
      <c r="AAR58">
        <v>101.5</v>
      </c>
      <c r="AAS58">
        <v>100</v>
      </c>
      <c r="AAT58">
        <v>102.7</v>
      </c>
      <c r="AAU58">
        <v>99.8</v>
      </c>
      <c r="AAV58">
        <v>103.3</v>
      </c>
      <c r="AAW58">
        <v>100.9</v>
      </c>
      <c r="AAX58">
        <v>100.1</v>
      </c>
      <c r="AAY58">
        <v>100</v>
      </c>
      <c r="AAZ58">
        <v>90.2</v>
      </c>
      <c r="ABA58">
        <v>101.1</v>
      </c>
      <c r="ABB58">
        <v>101</v>
      </c>
      <c r="ABC58">
        <v>104.6</v>
      </c>
      <c r="ABD58">
        <v>98.7</v>
      </c>
      <c r="ABE58">
        <v>101.4</v>
      </c>
      <c r="ABF58">
        <v>99.9</v>
      </c>
      <c r="ABG58">
        <v>100.6</v>
      </c>
      <c r="ABH58">
        <v>99.9</v>
      </c>
      <c r="ABI58">
        <v>102.2</v>
      </c>
      <c r="ABJ58">
        <v>99.9</v>
      </c>
      <c r="ABK58">
        <v>99.9</v>
      </c>
      <c r="ABL58">
        <v>108.7</v>
      </c>
      <c r="ABM58">
        <v>99.2</v>
      </c>
      <c r="ABN58">
        <v>98.8</v>
      </c>
      <c r="ABO58">
        <v>100.5</v>
      </c>
      <c r="ABP58">
        <v>101.8</v>
      </c>
      <c r="ABQ58">
        <v>74.5</v>
      </c>
      <c r="ABS58" s="1067">
        <v>100</v>
      </c>
      <c r="ABT58" t="s">
        <v>321</v>
      </c>
    </row>
    <row r="59" spans="1:748">
      <c r="A59">
        <v>2022</v>
      </c>
      <c r="B59">
        <v>103.2</v>
      </c>
      <c r="C59">
        <v>106.4</v>
      </c>
      <c r="D59">
        <v>105.6</v>
      </c>
      <c r="E59">
        <v>93</v>
      </c>
      <c r="F59">
        <v>93.7</v>
      </c>
      <c r="G59">
        <v>92.6</v>
      </c>
      <c r="H59">
        <v>111.8</v>
      </c>
      <c r="I59">
        <v>112.5</v>
      </c>
      <c r="J59">
        <v>111</v>
      </c>
      <c r="K59">
        <v>112.2</v>
      </c>
      <c r="L59">
        <v>110.1</v>
      </c>
      <c r="M59">
        <v>111.6</v>
      </c>
      <c r="N59">
        <v>102.6</v>
      </c>
      <c r="O59">
        <v>115.9</v>
      </c>
      <c r="P59">
        <v>110.8</v>
      </c>
      <c r="Q59">
        <v>109.9</v>
      </c>
      <c r="R59">
        <v>106.9</v>
      </c>
      <c r="S59">
        <v>120.1</v>
      </c>
      <c r="T59">
        <v>99.6</v>
      </c>
      <c r="U59">
        <v>109.8</v>
      </c>
      <c r="V59">
        <v>116.4</v>
      </c>
      <c r="W59">
        <v>120.1</v>
      </c>
      <c r="X59">
        <v>123.8</v>
      </c>
      <c r="Y59">
        <v>109</v>
      </c>
      <c r="Z59">
        <v>112</v>
      </c>
      <c r="AA59">
        <v>112.1</v>
      </c>
      <c r="AB59">
        <v>126.2</v>
      </c>
      <c r="AC59">
        <v>116.4</v>
      </c>
      <c r="AD59">
        <v>127.9</v>
      </c>
      <c r="AE59">
        <v>110</v>
      </c>
      <c r="AF59">
        <v>125</v>
      </c>
      <c r="AG59">
        <v>117.3</v>
      </c>
      <c r="AH59">
        <v>126.3</v>
      </c>
      <c r="AI59">
        <v>105.8</v>
      </c>
      <c r="AJ59">
        <v>131.69999999999999</v>
      </c>
      <c r="AK59">
        <v>113</v>
      </c>
      <c r="AL59">
        <v>120.3</v>
      </c>
      <c r="AM59">
        <v>114</v>
      </c>
      <c r="AN59">
        <v>124.3</v>
      </c>
      <c r="AO59">
        <v>109</v>
      </c>
      <c r="AP59">
        <v>103.7</v>
      </c>
      <c r="AQ59">
        <v>108.1</v>
      </c>
      <c r="AR59">
        <v>103.1</v>
      </c>
      <c r="AS59">
        <v>108.6</v>
      </c>
      <c r="AT59">
        <v>131.4</v>
      </c>
      <c r="AU59">
        <v>110.9</v>
      </c>
      <c r="AV59">
        <v>111.3</v>
      </c>
      <c r="AW59">
        <v>110.8</v>
      </c>
      <c r="AX59">
        <v>110.7</v>
      </c>
      <c r="AY59">
        <v>109</v>
      </c>
      <c r="AZ59">
        <v>99.9</v>
      </c>
      <c r="BA59">
        <v>117</v>
      </c>
      <c r="BB59">
        <v>106.5</v>
      </c>
      <c r="BC59">
        <v>104.5</v>
      </c>
      <c r="BD59">
        <v>106.8</v>
      </c>
      <c r="BE59">
        <v>107.5</v>
      </c>
      <c r="BF59">
        <v>102.8</v>
      </c>
      <c r="BG59">
        <v>117.3</v>
      </c>
      <c r="BH59">
        <v>108.1</v>
      </c>
      <c r="BI59">
        <v>106.9</v>
      </c>
      <c r="BJ59">
        <v>105.5</v>
      </c>
      <c r="BK59">
        <v>103.9</v>
      </c>
      <c r="BL59">
        <v>102.4</v>
      </c>
      <c r="BM59">
        <v>105.1</v>
      </c>
      <c r="BN59">
        <v>102.1</v>
      </c>
      <c r="BO59">
        <v>105.2</v>
      </c>
      <c r="BP59">
        <v>105.1</v>
      </c>
      <c r="BQ59">
        <v>103.7</v>
      </c>
      <c r="BR59">
        <v>103.9</v>
      </c>
      <c r="BS59">
        <v>103.9</v>
      </c>
      <c r="BT59">
        <v>103.6</v>
      </c>
      <c r="BU59">
        <v>102.8</v>
      </c>
      <c r="BV59">
        <v>100.2</v>
      </c>
      <c r="BW59">
        <v>98.9</v>
      </c>
      <c r="BX59">
        <v>112.8</v>
      </c>
      <c r="BY59">
        <v>110.2</v>
      </c>
      <c r="BZ59">
        <v>110.4</v>
      </c>
      <c r="CA59">
        <v>110.4</v>
      </c>
      <c r="CB59">
        <v>102.9</v>
      </c>
      <c r="CC59">
        <v>102.5</v>
      </c>
      <c r="CD59">
        <v>93.4</v>
      </c>
      <c r="CE59">
        <v>101.6</v>
      </c>
      <c r="CF59">
        <v>95.6</v>
      </c>
      <c r="CG59">
        <v>101.1</v>
      </c>
      <c r="CH59">
        <v>101.3</v>
      </c>
      <c r="CI59">
        <v>101.3</v>
      </c>
      <c r="CJ59">
        <v>103.9</v>
      </c>
      <c r="CK59">
        <v>106.7</v>
      </c>
      <c r="CL59">
        <v>110.6</v>
      </c>
      <c r="CM59">
        <v>104.1</v>
      </c>
      <c r="CN59">
        <v>103.8</v>
      </c>
      <c r="CO59">
        <v>115.8</v>
      </c>
      <c r="CP59">
        <v>101.7</v>
      </c>
      <c r="CQ59">
        <v>109.1</v>
      </c>
      <c r="CR59">
        <v>145.9</v>
      </c>
      <c r="CS59">
        <v>91.6</v>
      </c>
      <c r="CT59">
        <v>95.4</v>
      </c>
      <c r="CU59">
        <v>93.3</v>
      </c>
      <c r="CV59">
        <v>100</v>
      </c>
      <c r="CW59">
        <v>107.7</v>
      </c>
      <c r="CX59">
        <v>112.7</v>
      </c>
      <c r="CY59">
        <v>92.8</v>
      </c>
      <c r="CZ59">
        <v>88</v>
      </c>
      <c r="DA59">
        <v>100.3</v>
      </c>
      <c r="DB59">
        <v>90.9</v>
      </c>
      <c r="DC59">
        <v>104.3</v>
      </c>
      <c r="DD59">
        <v>100.3</v>
      </c>
      <c r="DE59">
        <v>97.2</v>
      </c>
      <c r="DF59">
        <v>98.8</v>
      </c>
      <c r="DG59">
        <v>103.5</v>
      </c>
      <c r="DH59">
        <v>101.5</v>
      </c>
      <c r="DI59">
        <v>101.2</v>
      </c>
      <c r="DJ59">
        <v>100.4</v>
      </c>
      <c r="DK59">
        <v>102.4</v>
      </c>
      <c r="DL59">
        <v>103.7</v>
      </c>
      <c r="DM59">
        <v>101.4</v>
      </c>
      <c r="DN59">
        <v>105</v>
      </c>
      <c r="DO59">
        <v>107.4</v>
      </c>
      <c r="DP59">
        <v>110.5</v>
      </c>
      <c r="DQ59">
        <v>98.6</v>
      </c>
      <c r="DR59">
        <v>103.5</v>
      </c>
      <c r="DS59">
        <v>101.4</v>
      </c>
      <c r="DT59">
        <v>100.7</v>
      </c>
      <c r="DU59">
        <v>104.8</v>
      </c>
      <c r="DV59">
        <v>102.6</v>
      </c>
      <c r="DW59">
        <v>101.5</v>
      </c>
      <c r="DX59">
        <v>109.1</v>
      </c>
      <c r="DY59">
        <v>109.1</v>
      </c>
      <c r="DZ59">
        <v>105.2</v>
      </c>
      <c r="EA59">
        <v>106.1</v>
      </c>
      <c r="EB59">
        <v>101.7</v>
      </c>
      <c r="EC59">
        <v>109.5</v>
      </c>
      <c r="ED59">
        <v>123.4</v>
      </c>
      <c r="EE59">
        <v>113.9</v>
      </c>
      <c r="EF59">
        <v>93.9</v>
      </c>
      <c r="EG59">
        <v>106.2</v>
      </c>
      <c r="EH59">
        <v>109.2</v>
      </c>
      <c r="EI59">
        <v>96.3</v>
      </c>
      <c r="EJ59">
        <v>106.7</v>
      </c>
      <c r="EK59">
        <v>109.6</v>
      </c>
      <c r="EL59">
        <v>113.7</v>
      </c>
      <c r="EM59">
        <v>106.6</v>
      </c>
      <c r="EN59">
        <v>103.2</v>
      </c>
      <c r="EO59">
        <v>105.9</v>
      </c>
      <c r="EP59">
        <v>89.7</v>
      </c>
      <c r="EQ59">
        <v>118</v>
      </c>
      <c r="ER59">
        <v>95.8</v>
      </c>
      <c r="ES59">
        <v>95.8</v>
      </c>
      <c r="ET59">
        <v>109.5</v>
      </c>
      <c r="EU59">
        <v>148.69999999999999</v>
      </c>
      <c r="EV59">
        <v>153.30000000000001</v>
      </c>
      <c r="EW59">
        <v>119.7</v>
      </c>
      <c r="EX59">
        <v>104.7</v>
      </c>
      <c r="EY59">
        <v>97.1</v>
      </c>
      <c r="EZ59">
        <v>109.1</v>
      </c>
      <c r="FA59">
        <v>102.9</v>
      </c>
      <c r="FB59">
        <v>110.5</v>
      </c>
      <c r="FC59">
        <v>107.1</v>
      </c>
      <c r="FD59">
        <v>108</v>
      </c>
      <c r="FE59">
        <v>107.6</v>
      </c>
      <c r="FF59">
        <v>131.19999999999999</v>
      </c>
      <c r="FG59">
        <v>102.6</v>
      </c>
      <c r="FH59">
        <v>108.5</v>
      </c>
      <c r="FI59">
        <v>105.7</v>
      </c>
      <c r="FJ59">
        <v>99.3</v>
      </c>
      <c r="FK59">
        <v>102.8</v>
      </c>
      <c r="FL59">
        <v>102.8</v>
      </c>
      <c r="FM59">
        <v>99</v>
      </c>
      <c r="FN59">
        <v>99.3</v>
      </c>
      <c r="FO59">
        <v>101.9</v>
      </c>
      <c r="FP59">
        <v>116.3</v>
      </c>
      <c r="FQ59">
        <v>107.3</v>
      </c>
      <c r="FR59">
        <v>105.4</v>
      </c>
      <c r="FS59">
        <v>118.8</v>
      </c>
      <c r="FT59">
        <v>115.3</v>
      </c>
      <c r="FU59">
        <v>105.9</v>
      </c>
      <c r="FV59">
        <v>108.6</v>
      </c>
      <c r="FW59">
        <v>105.7</v>
      </c>
      <c r="FX59">
        <v>107.4</v>
      </c>
      <c r="FY59">
        <v>108.3</v>
      </c>
      <c r="FZ59">
        <v>107.8</v>
      </c>
      <c r="GA59">
        <v>105.2</v>
      </c>
      <c r="GB59">
        <v>105.1</v>
      </c>
      <c r="GC59">
        <v>115</v>
      </c>
      <c r="GD59">
        <v>104.5</v>
      </c>
      <c r="GE59">
        <v>107.3</v>
      </c>
      <c r="GF59">
        <v>99.1</v>
      </c>
      <c r="GG59">
        <v>104.2</v>
      </c>
      <c r="GH59">
        <v>104</v>
      </c>
      <c r="GI59">
        <v>106.9</v>
      </c>
      <c r="GJ59">
        <v>105.5</v>
      </c>
      <c r="GK59">
        <v>106.7</v>
      </c>
      <c r="GL59">
        <v>106</v>
      </c>
      <c r="GM59">
        <v>106</v>
      </c>
      <c r="GN59">
        <v>104.6</v>
      </c>
      <c r="GO59">
        <v>103.2</v>
      </c>
      <c r="GP59">
        <v>108.6</v>
      </c>
      <c r="GQ59">
        <v>105.2</v>
      </c>
      <c r="GR59">
        <v>103.7</v>
      </c>
      <c r="GS59">
        <v>104.5</v>
      </c>
      <c r="GT59">
        <v>99.3</v>
      </c>
      <c r="GU59">
        <v>107.8</v>
      </c>
      <c r="GV59">
        <v>107.3</v>
      </c>
      <c r="GW59">
        <v>106</v>
      </c>
      <c r="GX59">
        <v>111</v>
      </c>
      <c r="GY59">
        <v>101.9</v>
      </c>
      <c r="GZ59">
        <v>111</v>
      </c>
      <c r="HA59">
        <v>106.6</v>
      </c>
      <c r="HB59">
        <v>109</v>
      </c>
      <c r="HC59">
        <v>111.8</v>
      </c>
      <c r="HD59">
        <v>113.6</v>
      </c>
      <c r="HE59">
        <v>106.8</v>
      </c>
      <c r="HF59">
        <v>97.6</v>
      </c>
      <c r="HG59">
        <v>111.5</v>
      </c>
      <c r="HH59">
        <v>110.4</v>
      </c>
      <c r="HI59">
        <v>102.6</v>
      </c>
      <c r="HJ59">
        <v>121.8</v>
      </c>
      <c r="HK59">
        <v>105.5</v>
      </c>
      <c r="HL59">
        <v>106</v>
      </c>
      <c r="HM59">
        <v>104.4</v>
      </c>
      <c r="HN59">
        <v>105</v>
      </c>
      <c r="HO59">
        <v>104.8</v>
      </c>
      <c r="HP59">
        <v>98.9</v>
      </c>
      <c r="HQ59">
        <v>101.7</v>
      </c>
      <c r="HR59">
        <v>114.7</v>
      </c>
      <c r="HS59">
        <v>95.2</v>
      </c>
      <c r="HT59">
        <v>110</v>
      </c>
      <c r="HU59">
        <v>110.2</v>
      </c>
      <c r="HV59">
        <v>127.3</v>
      </c>
      <c r="HW59">
        <v>99.3</v>
      </c>
      <c r="HX59">
        <v>107.1</v>
      </c>
      <c r="HY59">
        <v>105.3</v>
      </c>
      <c r="HZ59">
        <v>101.7</v>
      </c>
      <c r="IA59">
        <v>102.7</v>
      </c>
      <c r="IB59">
        <v>101.8</v>
      </c>
      <c r="IC59">
        <v>119.1</v>
      </c>
      <c r="ID59">
        <v>103.9</v>
      </c>
      <c r="IE59">
        <v>100</v>
      </c>
      <c r="IF59">
        <v>100.9</v>
      </c>
      <c r="IG59">
        <v>100</v>
      </c>
      <c r="IH59">
        <v>102.1</v>
      </c>
      <c r="II59">
        <v>102.3</v>
      </c>
      <c r="IJ59">
        <v>102.5</v>
      </c>
      <c r="IK59">
        <v>102.4</v>
      </c>
      <c r="IL59">
        <v>100.7</v>
      </c>
      <c r="IM59">
        <v>98.4</v>
      </c>
      <c r="IN59">
        <v>103.2</v>
      </c>
      <c r="IO59">
        <v>99.5</v>
      </c>
      <c r="IP59">
        <v>99.6</v>
      </c>
      <c r="IQ59">
        <v>98.6</v>
      </c>
      <c r="IR59">
        <v>104.1</v>
      </c>
      <c r="IS59">
        <v>112.3</v>
      </c>
      <c r="IT59">
        <v>105</v>
      </c>
      <c r="IU59">
        <v>105.4</v>
      </c>
      <c r="IV59">
        <v>104.2</v>
      </c>
      <c r="IW59">
        <v>104.5</v>
      </c>
      <c r="IX59">
        <v>103.6</v>
      </c>
      <c r="IY59">
        <v>102.7</v>
      </c>
      <c r="IZ59">
        <v>108.1</v>
      </c>
      <c r="JA59">
        <v>106.3</v>
      </c>
      <c r="JB59">
        <v>104</v>
      </c>
      <c r="JC59">
        <v>103.3</v>
      </c>
      <c r="JD59">
        <v>111.3</v>
      </c>
      <c r="JE59">
        <v>104.6</v>
      </c>
      <c r="JF59">
        <v>104.3</v>
      </c>
      <c r="JG59">
        <v>104</v>
      </c>
      <c r="JH59">
        <v>104</v>
      </c>
      <c r="JI59">
        <v>104.5</v>
      </c>
      <c r="JJ59">
        <v>105.2</v>
      </c>
      <c r="JK59">
        <v>114.3</v>
      </c>
      <c r="JL59">
        <v>104</v>
      </c>
      <c r="JM59">
        <v>105.3</v>
      </c>
      <c r="JN59">
        <v>113.6</v>
      </c>
      <c r="JO59">
        <v>104.5</v>
      </c>
      <c r="JP59">
        <v>106.8</v>
      </c>
      <c r="JQ59">
        <v>103</v>
      </c>
      <c r="JR59">
        <v>104.4</v>
      </c>
      <c r="JS59">
        <v>98.6</v>
      </c>
      <c r="JT59">
        <v>98.9</v>
      </c>
      <c r="JU59">
        <v>98.1</v>
      </c>
      <c r="JV59">
        <v>101.6</v>
      </c>
      <c r="JW59">
        <v>100.1</v>
      </c>
      <c r="JX59">
        <v>99.9</v>
      </c>
      <c r="JY59">
        <v>99.9</v>
      </c>
      <c r="JZ59">
        <v>100.2</v>
      </c>
      <c r="KA59">
        <v>99.7</v>
      </c>
      <c r="KB59">
        <v>100.7</v>
      </c>
      <c r="KC59">
        <v>100.2</v>
      </c>
      <c r="KD59">
        <v>100.2</v>
      </c>
      <c r="KE59">
        <v>109.9</v>
      </c>
      <c r="KF59">
        <v>105.8</v>
      </c>
      <c r="KG59">
        <v>107.4</v>
      </c>
      <c r="KH59">
        <v>101.8</v>
      </c>
      <c r="KI59">
        <v>103.9</v>
      </c>
      <c r="KJ59">
        <v>102.5</v>
      </c>
      <c r="KK59">
        <v>103.1</v>
      </c>
      <c r="KL59">
        <v>117.9</v>
      </c>
      <c r="KM59">
        <v>111.6</v>
      </c>
      <c r="KN59">
        <v>105.7</v>
      </c>
      <c r="KO59">
        <v>107.2</v>
      </c>
      <c r="KP59">
        <v>106.9</v>
      </c>
      <c r="KQ59">
        <v>108.7</v>
      </c>
      <c r="KR59">
        <v>107.4</v>
      </c>
      <c r="KS59">
        <v>101.6</v>
      </c>
      <c r="KT59">
        <v>108.9</v>
      </c>
      <c r="KU59">
        <v>101.3</v>
      </c>
      <c r="KV59">
        <v>106.7</v>
      </c>
      <c r="KW59">
        <v>112.1</v>
      </c>
      <c r="KX59">
        <v>122.8</v>
      </c>
      <c r="KY59">
        <v>117.3</v>
      </c>
      <c r="KZ59">
        <v>120.6</v>
      </c>
      <c r="LA59">
        <v>120.6</v>
      </c>
      <c r="LB59">
        <v>121.9</v>
      </c>
      <c r="LC59">
        <v>128.1</v>
      </c>
      <c r="LD59">
        <v>111.9</v>
      </c>
      <c r="LE59">
        <v>137.69999999999999</v>
      </c>
      <c r="LF59">
        <v>137.69999999999999</v>
      </c>
      <c r="LG59">
        <v>101.5</v>
      </c>
      <c r="LH59">
        <v>102.1</v>
      </c>
      <c r="LI59">
        <v>100.5</v>
      </c>
      <c r="LJ59">
        <v>107.7</v>
      </c>
      <c r="LK59">
        <v>110.6</v>
      </c>
      <c r="LL59">
        <v>105.4</v>
      </c>
      <c r="LM59">
        <v>103.2</v>
      </c>
      <c r="LN59">
        <v>103.1</v>
      </c>
      <c r="LO59">
        <v>100</v>
      </c>
      <c r="LP59">
        <v>106.6</v>
      </c>
      <c r="LQ59">
        <v>105.1</v>
      </c>
      <c r="LR59">
        <v>101.7</v>
      </c>
      <c r="LS59">
        <v>111.1</v>
      </c>
      <c r="LT59">
        <v>117.4</v>
      </c>
      <c r="LU59">
        <v>119.2</v>
      </c>
      <c r="LV59">
        <v>105.3</v>
      </c>
      <c r="LW59">
        <v>113.9</v>
      </c>
      <c r="LX59">
        <v>113.9</v>
      </c>
      <c r="LY59">
        <v>116.1</v>
      </c>
      <c r="LZ59">
        <v>113.4</v>
      </c>
      <c r="MA59">
        <v>111.6</v>
      </c>
      <c r="MB59">
        <v>105.2</v>
      </c>
      <c r="MC59">
        <v>114.5</v>
      </c>
      <c r="MD59">
        <v>103</v>
      </c>
      <c r="ME59">
        <v>103</v>
      </c>
      <c r="MF59">
        <v>98.6</v>
      </c>
      <c r="MG59">
        <v>103.7</v>
      </c>
      <c r="MH59">
        <v>111.6</v>
      </c>
      <c r="MI59">
        <v>103.7</v>
      </c>
      <c r="MJ59">
        <v>104.1</v>
      </c>
      <c r="MK59">
        <v>104.4</v>
      </c>
      <c r="ML59">
        <v>95.2</v>
      </c>
      <c r="MM59">
        <v>107.9</v>
      </c>
      <c r="MN59">
        <v>102.5</v>
      </c>
      <c r="MO59">
        <v>101.6</v>
      </c>
      <c r="MP59">
        <v>103.1</v>
      </c>
      <c r="MQ59">
        <v>107.2</v>
      </c>
      <c r="MR59">
        <v>99.1</v>
      </c>
      <c r="MS59">
        <v>113</v>
      </c>
      <c r="MT59">
        <v>109</v>
      </c>
      <c r="MU59">
        <v>102.4</v>
      </c>
      <c r="MV59">
        <v>109.3</v>
      </c>
      <c r="MW59">
        <v>132.4</v>
      </c>
      <c r="MX59">
        <v>101.3</v>
      </c>
      <c r="MY59">
        <v>103.3</v>
      </c>
      <c r="MZ59">
        <v>108.8</v>
      </c>
      <c r="NA59">
        <v>109.1</v>
      </c>
      <c r="NB59">
        <v>107</v>
      </c>
      <c r="NC59">
        <v>107.2</v>
      </c>
      <c r="ND59">
        <v>103.6</v>
      </c>
      <c r="NE59">
        <v>109.4</v>
      </c>
      <c r="NF59">
        <v>106.2</v>
      </c>
      <c r="NG59">
        <v>102.5</v>
      </c>
      <c r="NH59">
        <v>108.9</v>
      </c>
      <c r="NI59">
        <v>107.4</v>
      </c>
      <c r="NJ59">
        <v>109.6</v>
      </c>
      <c r="NK59">
        <v>111.5</v>
      </c>
      <c r="NL59">
        <v>102.2</v>
      </c>
      <c r="NM59">
        <v>119.6</v>
      </c>
      <c r="NN59">
        <v>99.2</v>
      </c>
      <c r="NO59">
        <v>105.3</v>
      </c>
      <c r="NP59">
        <v>99.4</v>
      </c>
      <c r="NQ59">
        <v>101.3</v>
      </c>
      <c r="NR59">
        <v>100.4</v>
      </c>
      <c r="NS59">
        <v>100.4</v>
      </c>
      <c r="NT59">
        <v>100.3</v>
      </c>
      <c r="NU59">
        <v>100</v>
      </c>
      <c r="NV59">
        <v>100.4</v>
      </c>
      <c r="NW59">
        <v>104.2</v>
      </c>
      <c r="NX59">
        <v>104.2</v>
      </c>
      <c r="NY59">
        <v>102.9</v>
      </c>
      <c r="NZ59">
        <v>103.8</v>
      </c>
      <c r="OA59">
        <v>101.1</v>
      </c>
      <c r="OB59">
        <v>101.3</v>
      </c>
      <c r="OC59">
        <v>100.6</v>
      </c>
      <c r="OD59">
        <v>103.9</v>
      </c>
      <c r="OE59">
        <v>105.5</v>
      </c>
      <c r="OF59">
        <v>105.7</v>
      </c>
      <c r="OG59">
        <v>107.4</v>
      </c>
      <c r="OH59">
        <v>108.1</v>
      </c>
      <c r="OI59">
        <v>107</v>
      </c>
      <c r="OJ59">
        <v>105.8</v>
      </c>
      <c r="OK59">
        <v>107.7</v>
      </c>
      <c r="OL59">
        <v>101.8</v>
      </c>
      <c r="OM59">
        <v>100.3</v>
      </c>
      <c r="ON59">
        <v>103.2</v>
      </c>
      <c r="OO59">
        <v>106.6</v>
      </c>
      <c r="OP59">
        <v>103.8</v>
      </c>
      <c r="OQ59">
        <v>103.5</v>
      </c>
      <c r="OR59">
        <v>102.3</v>
      </c>
      <c r="OS59">
        <v>106.5</v>
      </c>
      <c r="OT59">
        <v>107.2</v>
      </c>
      <c r="OU59">
        <v>103.3</v>
      </c>
      <c r="OV59">
        <v>101.7</v>
      </c>
      <c r="OW59">
        <v>107.6</v>
      </c>
      <c r="OX59">
        <v>102.9</v>
      </c>
      <c r="OY59">
        <v>108.1</v>
      </c>
      <c r="OZ59">
        <v>107.3</v>
      </c>
      <c r="PA59">
        <v>94</v>
      </c>
      <c r="PB59">
        <v>108.4</v>
      </c>
      <c r="PC59">
        <v>108.4</v>
      </c>
      <c r="PD59">
        <v>100.7</v>
      </c>
      <c r="PE59">
        <v>101.3</v>
      </c>
      <c r="PF59">
        <v>101.9</v>
      </c>
      <c r="PG59">
        <v>92.7</v>
      </c>
      <c r="PH59">
        <v>102.3</v>
      </c>
      <c r="PI59">
        <v>102</v>
      </c>
      <c r="PJ59">
        <v>103.1</v>
      </c>
      <c r="PK59">
        <v>99.3</v>
      </c>
      <c r="PL59">
        <v>100</v>
      </c>
      <c r="PM59">
        <v>102.8</v>
      </c>
      <c r="PN59">
        <v>109.7</v>
      </c>
      <c r="PO59">
        <v>102</v>
      </c>
      <c r="PP59">
        <v>100.6</v>
      </c>
      <c r="PQ59">
        <v>99.9</v>
      </c>
      <c r="PR59">
        <v>103</v>
      </c>
      <c r="PS59">
        <v>102.3</v>
      </c>
      <c r="PT59">
        <v>102.6</v>
      </c>
      <c r="PU59">
        <v>100.6</v>
      </c>
      <c r="PV59">
        <v>98.9</v>
      </c>
      <c r="PW59">
        <v>99</v>
      </c>
      <c r="PX59">
        <v>98.9</v>
      </c>
      <c r="PY59">
        <v>102.7</v>
      </c>
      <c r="PZ59">
        <v>102.8</v>
      </c>
      <c r="QA59">
        <v>103.9</v>
      </c>
      <c r="QB59">
        <v>99.7</v>
      </c>
      <c r="QC59">
        <v>103.8</v>
      </c>
      <c r="QD59">
        <v>102.8</v>
      </c>
      <c r="QE59">
        <v>102</v>
      </c>
      <c r="QF59">
        <v>101.4</v>
      </c>
      <c r="QG59">
        <v>104.6</v>
      </c>
      <c r="QH59">
        <v>102.1</v>
      </c>
      <c r="QI59">
        <v>102.1</v>
      </c>
      <c r="QJ59">
        <v>101.5</v>
      </c>
      <c r="QK59">
        <v>101.2</v>
      </c>
      <c r="QL59">
        <v>97.2</v>
      </c>
      <c r="QM59">
        <v>101.5</v>
      </c>
      <c r="QN59">
        <v>108.8</v>
      </c>
      <c r="QO59">
        <v>104.1</v>
      </c>
      <c r="QP59">
        <v>100.1</v>
      </c>
      <c r="QQ59">
        <v>100.6</v>
      </c>
      <c r="QR59">
        <v>100.2</v>
      </c>
      <c r="QS59">
        <v>98.8</v>
      </c>
      <c r="QT59">
        <v>106.2</v>
      </c>
      <c r="QU59">
        <v>99.6</v>
      </c>
      <c r="QV59">
        <v>102.6</v>
      </c>
      <c r="QW59">
        <v>99.9</v>
      </c>
      <c r="QX59">
        <v>99.4</v>
      </c>
      <c r="QY59">
        <v>105.9</v>
      </c>
      <c r="QZ59">
        <v>106.4</v>
      </c>
      <c r="RA59">
        <v>108</v>
      </c>
      <c r="RB59">
        <v>104.1</v>
      </c>
      <c r="RC59">
        <v>102</v>
      </c>
      <c r="RD59">
        <v>99.5</v>
      </c>
      <c r="RE59">
        <v>102</v>
      </c>
      <c r="RF59">
        <v>109</v>
      </c>
      <c r="RG59">
        <v>102.5</v>
      </c>
      <c r="RH59">
        <v>102.7</v>
      </c>
      <c r="RI59">
        <v>105.1</v>
      </c>
      <c r="RJ59">
        <v>100</v>
      </c>
      <c r="RK59">
        <v>100.2</v>
      </c>
      <c r="RL59">
        <v>101.3</v>
      </c>
      <c r="RM59">
        <v>101.9</v>
      </c>
      <c r="RN59">
        <v>101.7</v>
      </c>
      <c r="RO59">
        <v>100.3</v>
      </c>
      <c r="RP59">
        <v>99.3</v>
      </c>
      <c r="RQ59">
        <v>101.2</v>
      </c>
      <c r="RR59">
        <v>102.3</v>
      </c>
      <c r="RS59">
        <v>99.4</v>
      </c>
      <c r="RT59">
        <v>102.8</v>
      </c>
      <c r="RU59">
        <v>106</v>
      </c>
      <c r="RV59">
        <v>100.1</v>
      </c>
      <c r="RW59">
        <v>98.7</v>
      </c>
      <c r="RX59">
        <v>100</v>
      </c>
      <c r="RY59">
        <v>94.4</v>
      </c>
      <c r="RZ59">
        <v>108.4</v>
      </c>
      <c r="SA59">
        <v>97.7</v>
      </c>
      <c r="SB59">
        <v>101.1</v>
      </c>
      <c r="SC59">
        <v>101.2</v>
      </c>
      <c r="SD59">
        <v>101</v>
      </c>
      <c r="SE59">
        <v>100.2</v>
      </c>
      <c r="SF59">
        <v>98.3</v>
      </c>
      <c r="SG59">
        <v>98</v>
      </c>
      <c r="SH59">
        <v>100.9</v>
      </c>
      <c r="SI59">
        <v>99.8</v>
      </c>
      <c r="SJ59">
        <v>101.4</v>
      </c>
      <c r="SK59">
        <v>94</v>
      </c>
      <c r="SL59">
        <v>101.1</v>
      </c>
      <c r="SM59">
        <v>100.2</v>
      </c>
      <c r="SN59">
        <v>100</v>
      </c>
      <c r="SO59">
        <v>102.1</v>
      </c>
      <c r="SP59">
        <v>99.9</v>
      </c>
      <c r="SQ59">
        <v>100</v>
      </c>
      <c r="SR59">
        <v>100</v>
      </c>
      <c r="SS59">
        <v>100.1</v>
      </c>
      <c r="ST59">
        <v>100.1</v>
      </c>
      <c r="SU59">
        <v>100.1</v>
      </c>
      <c r="SV59">
        <v>100</v>
      </c>
      <c r="SW59">
        <v>104.5</v>
      </c>
      <c r="SX59">
        <v>101.8</v>
      </c>
      <c r="SY59">
        <v>102.7</v>
      </c>
      <c r="SZ59">
        <v>102.3</v>
      </c>
      <c r="TA59">
        <v>108.4</v>
      </c>
      <c r="TB59">
        <v>99</v>
      </c>
      <c r="TC59">
        <v>98.9</v>
      </c>
      <c r="TD59">
        <v>99.1</v>
      </c>
      <c r="TE59">
        <v>104.8</v>
      </c>
      <c r="TF59">
        <v>102.2</v>
      </c>
      <c r="TG59">
        <v>101.4</v>
      </c>
      <c r="TH59">
        <v>100.7</v>
      </c>
      <c r="TI59">
        <v>101.2</v>
      </c>
      <c r="TJ59">
        <v>110</v>
      </c>
      <c r="TK59">
        <v>110.2</v>
      </c>
      <c r="TL59">
        <v>112.3</v>
      </c>
      <c r="TM59">
        <v>107.1</v>
      </c>
      <c r="TN59">
        <v>105.6</v>
      </c>
      <c r="TO59">
        <v>123.8</v>
      </c>
      <c r="TP59">
        <v>106.7</v>
      </c>
      <c r="TQ59">
        <v>105</v>
      </c>
      <c r="TR59">
        <v>95.5</v>
      </c>
      <c r="TS59">
        <v>97.4</v>
      </c>
      <c r="TT59">
        <v>101.1</v>
      </c>
      <c r="TU59">
        <v>108.6</v>
      </c>
      <c r="TV59">
        <v>105.5</v>
      </c>
      <c r="TW59">
        <v>99.9</v>
      </c>
      <c r="TX59">
        <v>100.7</v>
      </c>
      <c r="TY59">
        <v>100</v>
      </c>
      <c r="TZ59">
        <v>101.4</v>
      </c>
      <c r="UA59">
        <v>102.7</v>
      </c>
      <c r="UB59">
        <v>100</v>
      </c>
      <c r="UC59">
        <v>88.7</v>
      </c>
      <c r="UD59">
        <v>96.1</v>
      </c>
      <c r="UE59">
        <v>69.599999999999994</v>
      </c>
      <c r="UF59">
        <v>100</v>
      </c>
      <c r="UG59">
        <v>100</v>
      </c>
      <c r="UH59">
        <v>100</v>
      </c>
      <c r="UI59">
        <v>47.9</v>
      </c>
      <c r="UJ59">
        <v>100</v>
      </c>
      <c r="UK59">
        <v>107.7</v>
      </c>
      <c r="UL59">
        <v>101.1</v>
      </c>
      <c r="UM59">
        <v>100</v>
      </c>
      <c r="UN59">
        <v>97.7</v>
      </c>
      <c r="UO59">
        <v>98.1</v>
      </c>
      <c r="UP59">
        <v>101.6</v>
      </c>
      <c r="UQ59">
        <v>100</v>
      </c>
      <c r="UR59">
        <v>101.7</v>
      </c>
      <c r="US59">
        <v>98.4</v>
      </c>
      <c r="UT59">
        <v>99.9</v>
      </c>
      <c r="UU59">
        <v>99.4</v>
      </c>
      <c r="UV59">
        <v>100.2</v>
      </c>
      <c r="UW59">
        <v>104.1</v>
      </c>
      <c r="UX59">
        <v>105</v>
      </c>
      <c r="UY59">
        <v>103.4</v>
      </c>
      <c r="UZ59">
        <v>103.6</v>
      </c>
      <c r="VA59">
        <v>102.2</v>
      </c>
      <c r="VB59">
        <v>103.2</v>
      </c>
      <c r="VC59">
        <v>105.9</v>
      </c>
      <c r="VD59">
        <v>103.2</v>
      </c>
      <c r="VE59">
        <v>103.3</v>
      </c>
      <c r="VF59">
        <v>101.5</v>
      </c>
      <c r="VG59">
        <v>98.2</v>
      </c>
      <c r="VH59">
        <v>91</v>
      </c>
      <c r="VI59">
        <v>102.3</v>
      </c>
      <c r="VJ59">
        <v>111.3</v>
      </c>
      <c r="VK59">
        <v>127</v>
      </c>
      <c r="VL59">
        <v>121.1</v>
      </c>
      <c r="VM59">
        <v>106.6</v>
      </c>
      <c r="VN59">
        <v>109.2</v>
      </c>
      <c r="VO59">
        <v>102.1</v>
      </c>
      <c r="VP59">
        <v>102.5</v>
      </c>
      <c r="VQ59">
        <v>100.2</v>
      </c>
      <c r="VR59">
        <v>101.5</v>
      </c>
      <c r="VS59">
        <v>106.9</v>
      </c>
      <c r="VT59">
        <v>94.4</v>
      </c>
      <c r="VU59">
        <v>79.2</v>
      </c>
      <c r="VV59">
        <v>105.2</v>
      </c>
      <c r="VW59">
        <v>100.9</v>
      </c>
      <c r="VX59">
        <v>101.1</v>
      </c>
      <c r="VY59">
        <v>88.9</v>
      </c>
      <c r="VZ59">
        <v>102</v>
      </c>
      <c r="WA59">
        <v>105.3</v>
      </c>
      <c r="WB59">
        <v>100.6</v>
      </c>
      <c r="WC59">
        <v>100</v>
      </c>
      <c r="WD59">
        <v>99.3</v>
      </c>
      <c r="WE59">
        <v>98.9</v>
      </c>
      <c r="WF59">
        <v>102.7</v>
      </c>
      <c r="WG59">
        <v>100.9</v>
      </c>
      <c r="WH59">
        <v>109.6</v>
      </c>
      <c r="WI59">
        <v>110.2</v>
      </c>
      <c r="WJ59">
        <v>108.1</v>
      </c>
      <c r="WK59">
        <v>112.3</v>
      </c>
      <c r="WL59">
        <v>104.7</v>
      </c>
      <c r="WM59">
        <v>82.3</v>
      </c>
      <c r="WN59">
        <v>96.8</v>
      </c>
      <c r="WO59">
        <v>99.5</v>
      </c>
      <c r="WP59">
        <v>107.7</v>
      </c>
      <c r="WQ59">
        <v>97.7</v>
      </c>
      <c r="WR59">
        <v>110.3</v>
      </c>
      <c r="WS59">
        <v>112.1</v>
      </c>
      <c r="WT59">
        <v>102.8</v>
      </c>
      <c r="WU59">
        <v>100.3</v>
      </c>
      <c r="WV59">
        <v>105.3</v>
      </c>
      <c r="WW59">
        <v>105.1</v>
      </c>
      <c r="WX59">
        <v>104.2</v>
      </c>
      <c r="WY59">
        <v>103.8</v>
      </c>
      <c r="WZ59">
        <v>103.2</v>
      </c>
      <c r="XA59">
        <v>104.3</v>
      </c>
      <c r="XB59">
        <v>107.2</v>
      </c>
      <c r="XC59">
        <v>107.8</v>
      </c>
      <c r="XD59">
        <v>104.7</v>
      </c>
      <c r="XE59">
        <v>104</v>
      </c>
      <c r="XF59">
        <v>102.5</v>
      </c>
      <c r="XG59">
        <v>105.2</v>
      </c>
      <c r="XH59">
        <v>103.4</v>
      </c>
      <c r="XI59">
        <v>113.6</v>
      </c>
      <c r="XJ59">
        <v>113.6</v>
      </c>
      <c r="XK59">
        <v>100</v>
      </c>
      <c r="XL59">
        <v>100</v>
      </c>
      <c r="XM59">
        <v>103.5</v>
      </c>
      <c r="XN59">
        <v>99.4</v>
      </c>
      <c r="XO59">
        <v>101.9</v>
      </c>
      <c r="XP59">
        <v>101.3</v>
      </c>
      <c r="XQ59">
        <v>104.4</v>
      </c>
      <c r="XR59">
        <v>106.8</v>
      </c>
      <c r="XS59">
        <v>104.7</v>
      </c>
      <c r="XT59">
        <v>101.6</v>
      </c>
      <c r="XU59">
        <v>101.1</v>
      </c>
      <c r="XV59">
        <v>99</v>
      </c>
      <c r="XW59">
        <v>97.9</v>
      </c>
      <c r="XX59">
        <v>100.2</v>
      </c>
      <c r="XY59">
        <v>100</v>
      </c>
      <c r="XZ59">
        <v>103.3</v>
      </c>
      <c r="YA59">
        <v>100.9</v>
      </c>
      <c r="YB59">
        <v>100.8</v>
      </c>
      <c r="YC59">
        <v>99.5</v>
      </c>
      <c r="YD59">
        <v>105.5</v>
      </c>
      <c r="YE59">
        <v>100.9</v>
      </c>
      <c r="YF59">
        <v>104.2</v>
      </c>
      <c r="YG59">
        <v>103.2</v>
      </c>
      <c r="YH59">
        <v>100.5</v>
      </c>
      <c r="YI59">
        <v>102.7</v>
      </c>
      <c r="YJ59">
        <v>104.6</v>
      </c>
      <c r="YK59">
        <v>106.1</v>
      </c>
      <c r="YL59">
        <v>104.6</v>
      </c>
      <c r="YM59">
        <v>100.6</v>
      </c>
      <c r="YN59">
        <v>101.7</v>
      </c>
      <c r="YO59">
        <v>104.3</v>
      </c>
      <c r="YP59">
        <v>100</v>
      </c>
      <c r="YQ59">
        <v>100.8</v>
      </c>
      <c r="YR59">
        <v>101</v>
      </c>
      <c r="YS59">
        <v>102.9</v>
      </c>
      <c r="YT59">
        <v>102.6</v>
      </c>
      <c r="YU59">
        <v>101.5</v>
      </c>
      <c r="YV59">
        <v>104.1</v>
      </c>
      <c r="YW59">
        <v>100.6</v>
      </c>
      <c r="YX59">
        <v>101</v>
      </c>
      <c r="YY59">
        <v>101.4</v>
      </c>
      <c r="YZ59">
        <v>100.9</v>
      </c>
      <c r="ZA59">
        <v>103.5</v>
      </c>
      <c r="ZB59">
        <v>100.4</v>
      </c>
      <c r="ZC59">
        <v>99.6</v>
      </c>
      <c r="ZD59">
        <v>96.4</v>
      </c>
      <c r="ZE59">
        <v>103</v>
      </c>
      <c r="ZF59">
        <v>101</v>
      </c>
      <c r="ZG59">
        <v>97.5</v>
      </c>
      <c r="ZH59">
        <v>98.6</v>
      </c>
      <c r="ZI59">
        <v>98</v>
      </c>
      <c r="ZJ59">
        <v>101.1</v>
      </c>
      <c r="ZK59">
        <v>102</v>
      </c>
      <c r="ZL59">
        <v>102.2</v>
      </c>
      <c r="ZM59">
        <v>103.4</v>
      </c>
      <c r="ZN59">
        <v>100.2</v>
      </c>
      <c r="ZO59">
        <v>99.6</v>
      </c>
      <c r="ZP59">
        <v>100.4</v>
      </c>
      <c r="ZQ59">
        <v>100</v>
      </c>
      <c r="ZR59">
        <v>100.7</v>
      </c>
      <c r="ZS59">
        <v>100</v>
      </c>
      <c r="ZT59">
        <v>101.4</v>
      </c>
      <c r="ZU59">
        <v>100</v>
      </c>
      <c r="ZV59">
        <v>100.6</v>
      </c>
      <c r="ZW59">
        <v>100</v>
      </c>
      <c r="ZX59">
        <v>100</v>
      </c>
      <c r="ZY59">
        <v>100</v>
      </c>
      <c r="ZZ59">
        <v>100</v>
      </c>
      <c r="AAA59">
        <v>100.7</v>
      </c>
      <c r="AAB59">
        <v>100</v>
      </c>
      <c r="AAC59">
        <v>106.3</v>
      </c>
      <c r="AAD59">
        <v>108.3</v>
      </c>
      <c r="AAE59">
        <v>103.2</v>
      </c>
      <c r="AAF59">
        <v>119.7</v>
      </c>
      <c r="AAG59">
        <v>102.6</v>
      </c>
      <c r="AAH59">
        <v>95.3</v>
      </c>
      <c r="AAI59">
        <v>102.9</v>
      </c>
      <c r="AAJ59">
        <v>105.4</v>
      </c>
      <c r="AAK59">
        <v>101.8</v>
      </c>
      <c r="AAL59">
        <v>100.4</v>
      </c>
      <c r="AAM59">
        <v>100.5</v>
      </c>
      <c r="AAN59">
        <v>100.1</v>
      </c>
      <c r="AAO59">
        <v>113.8</v>
      </c>
      <c r="AAP59">
        <v>115.2</v>
      </c>
      <c r="AAQ59">
        <v>112.4</v>
      </c>
      <c r="AAR59">
        <v>101.7</v>
      </c>
      <c r="AAS59">
        <v>101</v>
      </c>
      <c r="AAT59">
        <v>102.8</v>
      </c>
      <c r="AAU59">
        <v>99.7</v>
      </c>
      <c r="AAV59">
        <v>103.4</v>
      </c>
      <c r="AAW59">
        <v>101.8</v>
      </c>
      <c r="AAX59">
        <v>100.4</v>
      </c>
      <c r="AAY59">
        <v>100</v>
      </c>
      <c r="AAZ59">
        <v>78.599999999999994</v>
      </c>
      <c r="ABA59">
        <v>101.1</v>
      </c>
      <c r="ABB59">
        <v>108.4</v>
      </c>
      <c r="ABC59">
        <v>120.1</v>
      </c>
      <c r="ABD59">
        <v>102.5</v>
      </c>
      <c r="ABE59">
        <v>106.1</v>
      </c>
      <c r="ABF59">
        <v>103</v>
      </c>
      <c r="ABG59">
        <v>106</v>
      </c>
      <c r="ABH59">
        <v>103.7</v>
      </c>
      <c r="ABI59">
        <v>105.5</v>
      </c>
      <c r="ABJ59">
        <v>100</v>
      </c>
      <c r="ABK59">
        <v>103.5</v>
      </c>
      <c r="ABL59">
        <v>122.6</v>
      </c>
      <c r="ABM59">
        <v>101.4</v>
      </c>
      <c r="ABN59">
        <v>99.9</v>
      </c>
      <c r="ABO59">
        <v>101.2</v>
      </c>
      <c r="ABP59">
        <v>103.1</v>
      </c>
      <c r="ABQ59">
        <v>71.599999999999994</v>
      </c>
      <c r="ABS59" s="1067"/>
    </row>
    <row r="60" spans="1:748">
      <c r="A60">
        <v>2023</v>
      </c>
      <c r="B60">
        <v>106.3</v>
      </c>
      <c r="C60">
        <v>114.3</v>
      </c>
      <c r="D60">
        <v>113.3</v>
      </c>
      <c r="E60">
        <v>97.7</v>
      </c>
      <c r="F60">
        <v>97.6</v>
      </c>
      <c r="G60">
        <v>97.8</v>
      </c>
      <c r="H60">
        <v>120.1</v>
      </c>
      <c r="I60">
        <v>120.5</v>
      </c>
      <c r="J60">
        <v>119</v>
      </c>
      <c r="K60">
        <v>121.8</v>
      </c>
      <c r="L60">
        <v>121.3</v>
      </c>
      <c r="M60">
        <v>123.2</v>
      </c>
      <c r="N60">
        <v>112.9</v>
      </c>
      <c r="O60">
        <v>120.4</v>
      </c>
      <c r="P60">
        <v>122.2</v>
      </c>
      <c r="Q60">
        <v>122.8</v>
      </c>
      <c r="R60">
        <v>111.9</v>
      </c>
      <c r="S60">
        <v>126.9</v>
      </c>
      <c r="T60">
        <v>104.4</v>
      </c>
      <c r="U60">
        <v>114.1</v>
      </c>
      <c r="V60">
        <v>126</v>
      </c>
      <c r="W60">
        <v>126.3</v>
      </c>
      <c r="X60">
        <v>119.8</v>
      </c>
      <c r="Y60">
        <v>116.5</v>
      </c>
      <c r="Z60">
        <v>119.4</v>
      </c>
      <c r="AA60">
        <v>123.2</v>
      </c>
      <c r="AB60">
        <v>137.80000000000001</v>
      </c>
      <c r="AC60">
        <v>122.1</v>
      </c>
      <c r="AD60">
        <v>151.19999999999999</v>
      </c>
      <c r="AE60">
        <v>117</v>
      </c>
      <c r="AF60">
        <v>123.5</v>
      </c>
      <c r="AG60">
        <v>140.19999999999999</v>
      </c>
      <c r="AH60">
        <v>132.69999999999999</v>
      </c>
      <c r="AI60">
        <v>108</v>
      </c>
      <c r="AJ60">
        <v>141</v>
      </c>
      <c r="AK60">
        <v>123.9</v>
      </c>
      <c r="AL60">
        <v>133.5</v>
      </c>
      <c r="AM60">
        <v>126.7</v>
      </c>
      <c r="AN60">
        <v>132.5</v>
      </c>
      <c r="AO60">
        <v>118.8</v>
      </c>
      <c r="AP60">
        <v>132</v>
      </c>
      <c r="AQ60">
        <v>121.5</v>
      </c>
      <c r="AR60">
        <v>124.9</v>
      </c>
      <c r="AS60">
        <v>110</v>
      </c>
      <c r="AT60">
        <v>134.6</v>
      </c>
      <c r="AU60">
        <v>124.4</v>
      </c>
      <c r="AV60">
        <v>121.2</v>
      </c>
      <c r="AW60">
        <v>125.7</v>
      </c>
      <c r="AX60">
        <v>125.8</v>
      </c>
      <c r="AY60">
        <v>125.2</v>
      </c>
      <c r="AZ60">
        <v>121.5</v>
      </c>
      <c r="BA60">
        <v>131.80000000000001</v>
      </c>
      <c r="BB60">
        <v>117.7</v>
      </c>
      <c r="BC60">
        <v>122.2</v>
      </c>
      <c r="BD60">
        <v>112.5</v>
      </c>
      <c r="BE60">
        <v>113.5</v>
      </c>
      <c r="BF60">
        <v>105.3</v>
      </c>
      <c r="BG60">
        <v>126.5</v>
      </c>
      <c r="BH60">
        <v>114.6</v>
      </c>
      <c r="BI60">
        <v>112.8</v>
      </c>
      <c r="BJ60">
        <v>112.5</v>
      </c>
      <c r="BK60">
        <v>108.4</v>
      </c>
      <c r="BL60">
        <v>107.7</v>
      </c>
      <c r="BM60">
        <v>108.6</v>
      </c>
      <c r="BN60">
        <v>108.8</v>
      </c>
      <c r="BO60">
        <v>108.9</v>
      </c>
      <c r="BP60">
        <v>121</v>
      </c>
      <c r="BQ60">
        <v>116.8</v>
      </c>
      <c r="BR60">
        <v>116.4</v>
      </c>
      <c r="BS60">
        <v>116.4</v>
      </c>
      <c r="BT60">
        <v>117.2</v>
      </c>
      <c r="BU60">
        <v>117</v>
      </c>
      <c r="BV60">
        <v>111.7</v>
      </c>
      <c r="BW60">
        <v>113.6</v>
      </c>
      <c r="BX60">
        <v>134.19999999999999</v>
      </c>
      <c r="BY60">
        <v>122.2</v>
      </c>
      <c r="BZ60">
        <v>137.4</v>
      </c>
      <c r="CA60">
        <v>137.4</v>
      </c>
      <c r="CB60">
        <v>110.4</v>
      </c>
      <c r="CC60">
        <v>109.7</v>
      </c>
      <c r="CD60">
        <v>101.2</v>
      </c>
      <c r="CE60">
        <v>107</v>
      </c>
      <c r="CF60">
        <v>104.7</v>
      </c>
      <c r="CG60">
        <v>118.1</v>
      </c>
      <c r="CH60">
        <v>103.6</v>
      </c>
      <c r="CI60">
        <v>107.5</v>
      </c>
      <c r="CJ60">
        <v>108.7</v>
      </c>
      <c r="CK60">
        <v>114.9</v>
      </c>
      <c r="CL60">
        <v>109.2</v>
      </c>
      <c r="CM60">
        <v>106.4</v>
      </c>
      <c r="CN60">
        <v>112.9</v>
      </c>
      <c r="CO60">
        <v>116.4</v>
      </c>
      <c r="CP60">
        <v>112.9</v>
      </c>
      <c r="CQ60">
        <v>114.2</v>
      </c>
      <c r="CR60">
        <v>134.30000000000001</v>
      </c>
      <c r="CS60">
        <v>88.9</v>
      </c>
      <c r="CT60">
        <v>115.6</v>
      </c>
      <c r="CU60">
        <v>92.3</v>
      </c>
      <c r="CV60">
        <v>110</v>
      </c>
      <c r="CW60">
        <v>112.1</v>
      </c>
      <c r="CX60">
        <v>135.9</v>
      </c>
      <c r="CY60">
        <v>104.1</v>
      </c>
      <c r="CZ60">
        <v>94.2</v>
      </c>
      <c r="DA60">
        <v>109.7</v>
      </c>
      <c r="DB60">
        <v>102.2</v>
      </c>
      <c r="DC60">
        <v>109.8</v>
      </c>
      <c r="DD60">
        <v>109.6</v>
      </c>
      <c r="DE60">
        <v>104.5</v>
      </c>
      <c r="DF60">
        <v>101.7</v>
      </c>
      <c r="DG60">
        <v>111.6</v>
      </c>
      <c r="DH60">
        <v>111.3</v>
      </c>
      <c r="DI60">
        <v>103.2</v>
      </c>
      <c r="DJ60">
        <v>116.5</v>
      </c>
      <c r="DK60">
        <v>107.5</v>
      </c>
      <c r="DL60">
        <v>106.8</v>
      </c>
      <c r="DM60">
        <v>108.6</v>
      </c>
      <c r="DN60">
        <v>113.8</v>
      </c>
      <c r="DO60">
        <v>116.2</v>
      </c>
      <c r="DP60">
        <v>121.4</v>
      </c>
      <c r="DQ60">
        <v>105.8</v>
      </c>
      <c r="DR60">
        <v>109.7</v>
      </c>
      <c r="DS60">
        <v>104.9</v>
      </c>
      <c r="DT60">
        <v>103.8</v>
      </c>
      <c r="DU60">
        <v>113.4</v>
      </c>
      <c r="DV60">
        <v>106.4</v>
      </c>
      <c r="DW60">
        <v>104</v>
      </c>
      <c r="DX60">
        <v>118.2</v>
      </c>
      <c r="DY60">
        <v>130</v>
      </c>
      <c r="DZ60">
        <v>114.1</v>
      </c>
      <c r="EA60">
        <v>115.6</v>
      </c>
      <c r="EB60">
        <v>120.9</v>
      </c>
      <c r="EC60">
        <v>117.5</v>
      </c>
      <c r="ED60">
        <v>130.80000000000001</v>
      </c>
      <c r="EE60">
        <v>118</v>
      </c>
      <c r="EF60">
        <v>101.7</v>
      </c>
      <c r="EG60">
        <v>110.8</v>
      </c>
      <c r="EH60">
        <v>119.9</v>
      </c>
      <c r="EI60">
        <v>118.5</v>
      </c>
      <c r="EJ60">
        <v>109.3</v>
      </c>
      <c r="EK60">
        <v>115</v>
      </c>
      <c r="EL60">
        <v>115.6</v>
      </c>
      <c r="EM60">
        <v>112.8</v>
      </c>
      <c r="EN60">
        <v>116</v>
      </c>
      <c r="EO60">
        <v>114.5</v>
      </c>
      <c r="EP60">
        <v>90.4</v>
      </c>
      <c r="EQ60">
        <v>115.1</v>
      </c>
      <c r="ER60">
        <v>98.1</v>
      </c>
      <c r="ES60">
        <v>98.1</v>
      </c>
      <c r="ET60">
        <v>117.7</v>
      </c>
      <c r="EU60">
        <v>152.5</v>
      </c>
      <c r="EV60">
        <v>156.9</v>
      </c>
      <c r="EW60">
        <v>124.9</v>
      </c>
      <c r="EX60">
        <v>113.5</v>
      </c>
      <c r="EY60">
        <v>100.5</v>
      </c>
      <c r="EZ60">
        <v>121.1</v>
      </c>
      <c r="FA60">
        <v>109.7</v>
      </c>
      <c r="FB60">
        <v>126.7</v>
      </c>
      <c r="FC60">
        <v>109</v>
      </c>
      <c r="FD60">
        <v>125.7</v>
      </c>
      <c r="FE60">
        <v>125.2</v>
      </c>
      <c r="FF60">
        <v>153.5</v>
      </c>
      <c r="FG60">
        <v>103.1</v>
      </c>
      <c r="FH60">
        <v>111.7</v>
      </c>
      <c r="FI60">
        <v>123.5</v>
      </c>
      <c r="FJ60">
        <v>110.5</v>
      </c>
      <c r="FK60">
        <v>107.3</v>
      </c>
      <c r="FL60">
        <v>110.6</v>
      </c>
      <c r="FM60">
        <v>98.7</v>
      </c>
      <c r="FN60">
        <v>110.3</v>
      </c>
      <c r="FO60">
        <v>105.7</v>
      </c>
      <c r="FP60">
        <v>129.19999999999999</v>
      </c>
      <c r="FQ60">
        <v>118.5</v>
      </c>
      <c r="FR60">
        <v>110.7</v>
      </c>
      <c r="FS60">
        <v>132.5</v>
      </c>
      <c r="FT60">
        <v>130.1</v>
      </c>
      <c r="FU60">
        <v>116.7</v>
      </c>
      <c r="FV60">
        <v>115.8</v>
      </c>
      <c r="FW60">
        <v>120.7</v>
      </c>
      <c r="FX60">
        <v>138.5</v>
      </c>
      <c r="FY60">
        <v>120.2</v>
      </c>
      <c r="FZ60">
        <v>116.1</v>
      </c>
      <c r="GA60">
        <v>116.7</v>
      </c>
      <c r="GB60">
        <v>110.7</v>
      </c>
      <c r="GC60">
        <v>125.8</v>
      </c>
      <c r="GD60">
        <v>111.8</v>
      </c>
      <c r="GE60">
        <v>117.1</v>
      </c>
      <c r="GF60">
        <v>110.6</v>
      </c>
      <c r="GG60">
        <v>116.2</v>
      </c>
      <c r="GH60">
        <v>110.1</v>
      </c>
      <c r="GI60">
        <v>115.5</v>
      </c>
      <c r="GJ60">
        <v>113</v>
      </c>
      <c r="GK60">
        <v>111.8</v>
      </c>
      <c r="GL60">
        <v>114.6</v>
      </c>
      <c r="GM60">
        <v>110.4</v>
      </c>
      <c r="GN60">
        <v>112.8</v>
      </c>
      <c r="GO60">
        <v>114.8</v>
      </c>
      <c r="GP60">
        <v>119</v>
      </c>
      <c r="GQ60">
        <v>117.9</v>
      </c>
      <c r="GR60">
        <v>107.8</v>
      </c>
      <c r="GS60">
        <v>107.8</v>
      </c>
      <c r="GT60">
        <v>106.4</v>
      </c>
      <c r="GU60">
        <v>117.2</v>
      </c>
      <c r="GV60">
        <v>119.7</v>
      </c>
      <c r="GW60">
        <v>111</v>
      </c>
      <c r="GX60">
        <v>121.5</v>
      </c>
      <c r="GY60">
        <v>107</v>
      </c>
      <c r="GZ60">
        <v>119</v>
      </c>
      <c r="HA60">
        <v>116.1</v>
      </c>
      <c r="HB60">
        <v>115.9</v>
      </c>
      <c r="HC60">
        <v>117.7</v>
      </c>
      <c r="HD60">
        <v>138.30000000000001</v>
      </c>
      <c r="HE60">
        <v>120.6</v>
      </c>
      <c r="HF60">
        <v>111.8</v>
      </c>
      <c r="HG60">
        <v>125.8</v>
      </c>
      <c r="HH60">
        <v>108.9</v>
      </c>
      <c r="HI60">
        <v>108.6</v>
      </c>
      <c r="HJ60">
        <v>134.4</v>
      </c>
      <c r="HK60">
        <v>111.7</v>
      </c>
      <c r="HL60">
        <v>113.7</v>
      </c>
      <c r="HM60">
        <v>109.8</v>
      </c>
      <c r="HN60">
        <v>121.9</v>
      </c>
      <c r="HO60">
        <v>111.8</v>
      </c>
      <c r="HP60">
        <v>102.3</v>
      </c>
      <c r="HQ60">
        <v>104</v>
      </c>
      <c r="HR60">
        <v>120.5</v>
      </c>
      <c r="HS60">
        <v>98.9</v>
      </c>
      <c r="HT60">
        <v>115.7</v>
      </c>
      <c r="HU60">
        <v>111.9</v>
      </c>
      <c r="HV60">
        <v>138</v>
      </c>
      <c r="HW60">
        <v>104.2</v>
      </c>
      <c r="HX60">
        <v>113.3</v>
      </c>
      <c r="HY60">
        <v>114.2</v>
      </c>
      <c r="HZ60">
        <v>121.8</v>
      </c>
      <c r="IA60">
        <v>109.5</v>
      </c>
      <c r="IB60">
        <v>113.6</v>
      </c>
      <c r="IC60">
        <v>131.9</v>
      </c>
      <c r="ID60">
        <v>108.2</v>
      </c>
      <c r="IE60">
        <v>100</v>
      </c>
      <c r="IF60">
        <v>110.6</v>
      </c>
      <c r="IG60">
        <v>100</v>
      </c>
      <c r="IH60">
        <v>110.5</v>
      </c>
      <c r="II60">
        <v>110.5</v>
      </c>
      <c r="IJ60">
        <v>108.3</v>
      </c>
      <c r="IK60">
        <v>108.4</v>
      </c>
      <c r="IL60">
        <v>107.9</v>
      </c>
      <c r="IM60">
        <v>99.1</v>
      </c>
      <c r="IN60">
        <v>109.5</v>
      </c>
      <c r="IO60">
        <v>118.1</v>
      </c>
      <c r="IP60">
        <v>107.8</v>
      </c>
      <c r="IQ60">
        <v>102.7</v>
      </c>
      <c r="IR60">
        <v>109</v>
      </c>
      <c r="IS60">
        <v>121.8</v>
      </c>
      <c r="IT60">
        <v>109.8</v>
      </c>
      <c r="IU60">
        <v>110.9</v>
      </c>
      <c r="IV60">
        <v>108.2</v>
      </c>
      <c r="IW60">
        <v>109.3</v>
      </c>
      <c r="IX60">
        <v>107.7</v>
      </c>
      <c r="IY60">
        <v>106.9</v>
      </c>
      <c r="IZ60">
        <v>115.1</v>
      </c>
      <c r="JA60">
        <v>110.7</v>
      </c>
      <c r="JB60">
        <v>108.1</v>
      </c>
      <c r="JC60">
        <v>106.8</v>
      </c>
      <c r="JD60">
        <v>115.3</v>
      </c>
      <c r="JE60">
        <v>109.4</v>
      </c>
      <c r="JF60">
        <v>111.1</v>
      </c>
      <c r="JG60">
        <v>119.3</v>
      </c>
      <c r="JH60">
        <v>109</v>
      </c>
      <c r="JI60">
        <v>110.8</v>
      </c>
      <c r="JJ60">
        <v>109.8</v>
      </c>
      <c r="JK60">
        <v>124.7</v>
      </c>
      <c r="JL60">
        <v>107.5</v>
      </c>
      <c r="JM60">
        <v>115.8</v>
      </c>
      <c r="JN60">
        <v>120.2</v>
      </c>
      <c r="JO60">
        <v>107.6</v>
      </c>
      <c r="JP60">
        <v>110.9</v>
      </c>
      <c r="JQ60">
        <v>108.2</v>
      </c>
      <c r="JR60">
        <v>110.2</v>
      </c>
      <c r="JS60">
        <v>91</v>
      </c>
      <c r="JT60">
        <v>92</v>
      </c>
      <c r="JU60">
        <v>88.9</v>
      </c>
      <c r="JV60">
        <v>102.5</v>
      </c>
      <c r="JW60">
        <v>100.3</v>
      </c>
      <c r="JX60">
        <v>100</v>
      </c>
      <c r="JY60">
        <v>100</v>
      </c>
      <c r="JZ60">
        <v>100.5</v>
      </c>
      <c r="KA60">
        <v>99.8</v>
      </c>
      <c r="KB60">
        <v>101.2</v>
      </c>
      <c r="KC60">
        <v>100.3</v>
      </c>
      <c r="KD60">
        <v>100.3</v>
      </c>
      <c r="KE60">
        <v>115.6</v>
      </c>
      <c r="KF60">
        <v>109.7</v>
      </c>
      <c r="KG60">
        <v>113.8</v>
      </c>
      <c r="KH60">
        <v>104.2</v>
      </c>
      <c r="KI60">
        <v>106.2</v>
      </c>
      <c r="KJ60">
        <v>106.4</v>
      </c>
      <c r="KK60">
        <v>106.9</v>
      </c>
      <c r="KL60">
        <v>124.7</v>
      </c>
      <c r="KM60">
        <v>118</v>
      </c>
      <c r="KN60">
        <v>111</v>
      </c>
      <c r="KO60">
        <v>113.6</v>
      </c>
      <c r="KP60">
        <v>114.8</v>
      </c>
      <c r="KQ60">
        <v>114.1</v>
      </c>
      <c r="KR60">
        <v>111.8</v>
      </c>
      <c r="KS60">
        <v>103.4</v>
      </c>
      <c r="KT60">
        <v>115.8</v>
      </c>
      <c r="KU60">
        <v>102.9</v>
      </c>
      <c r="KV60">
        <v>112.2</v>
      </c>
      <c r="KW60">
        <v>121.6</v>
      </c>
      <c r="KX60">
        <v>132.1</v>
      </c>
      <c r="KY60">
        <v>106.6</v>
      </c>
      <c r="KZ60">
        <v>101.9</v>
      </c>
      <c r="LA60">
        <v>101.9</v>
      </c>
      <c r="LB60">
        <v>112.6</v>
      </c>
      <c r="LC60">
        <v>113.2</v>
      </c>
      <c r="LD60">
        <v>111.7</v>
      </c>
      <c r="LE60">
        <v>140.5</v>
      </c>
      <c r="LF60">
        <v>140.5</v>
      </c>
      <c r="LG60">
        <v>102.9</v>
      </c>
      <c r="LH60">
        <v>104.1</v>
      </c>
      <c r="LI60">
        <v>101.2</v>
      </c>
      <c r="LJ60">
        <v>115.2</v>
      </c>
      <c r="LK60">
        <v>115.7</v>
      </c>
      <c r="LL60">
        <v>108.4</v>
      </c>
      <c r="LM60">
        <v>107.5</v>
      </c>
      <c r="LN60">
        <v>113.3</v>
      </c>
      <c r="LO60">
        <v>114.3</v>
      </c>
      <c r="LP60">
        <v>109.6</v>
      </c>
      <c r="LQ60">
        <v>103.8</v>
      </c>
      <c r="LR60">
        <v>108.4</v>
      </c>
      <c r="LS60">
        <v>103.6</v>
      </c>
      <c r="LT60">
        <v>126.3</v>
      </c>
      <c r="LU60">
        <v>127.6</v>
      </c>
      <c r="LV60">
        <v>110.7</v>
      </c>
      <c r="LW60">
        <v>135.4</v>
      </c>
      <c r="LX60">
        <v>117.6</v>
      </c>
      <c r="LY60">
        <v>121.9</v>
      </c>
      <c r="LZ60">
        <v>114.9</v>
      </c>
      <c r="MA60">
        <v>119.9</v>
      </c>
      <c r="MB60">
        <v>115</v>
      </c>
      <c r="MC60">
        <v>141</v>
      </c>
      <c r="MD60">
        <v>105.1</v>
      </c>
      <c r="ME60">
        <v>108.3</v>
      </c>
      <c r="MF60">
        <v>107.7</v>
      </c>
      <c r="MG60">
        <v>108.1</v>
      </c>
      <c r="MH60">
        <v>113.6</v>
      </c>
      <c r="MI60">
        <v>112.4</v>
      </c>
      <c r="MJ60">
        <v>109.4</v>
      </c>
      <c r="MK60">
        <v>114.9</v>
      </c>
      <c r="ML60">
        <v>93.8</v>
      </c>
      <c r="MM60">
        <v>115.4</v>
      </c>
      <c r="MN60">
        <v>108.6</v>
      </c>
      <c r="MO60">
        <v>106.9</v>
      </c>
      <c r="MP60">
        <v>109.7</v>
      </c>
      <c r="MQ60">
        <v>116</v>
      </c>
      <c r="MR60">
        <v>110.7</v>
      </c>
      <c r="MS60">
        <v>125.7</v>
      </c>
      <c r="MT60">
        <v>114.4</v>
      </c>
      <c r="MU60">
        <v>110</v>
      </c>
      <c r="MV60">
        <v>116.5</v>
      </c>
      <c r="MW60">
        <v>140.9</v>
      </c>
      <c r="MX60">
        <v>104.9</v>
      </c>
      <c r="MY60">
        <v>105.6</v>
      </c>
      <c r="MZ60">
        <v>124.6</v>
      </c>
      <c r="NA60">
        <v>120.6</v>
      </c>
      <c r="NB60">
        <v>119.6</v>
      </c>
      <c r="NC60">
        <v>122.7</v>
      </c>
      <c r="ND60">
        <v>121.5</v>
      </c>
      <c r="NE60">
        <v>123.5</v>
      </c>
      <c r="NF60">
        <v>120.7</v>
      </c>
      <c r="NG60">
        <v>117.5</v>
      </c>
      <c r="NH60">
        <v>123</v>
      </c>
      <c r="NI60">
        <v>117.4</v>
      </c>
      <c r="NJ60">
        <v>121.9</v>
      </c>
      <c r="NK60">
        <v>111.2</v>
      </c>
      <c r="NL60">
        <v>120.3</v>
      </c>
      <c r="NM60">
        <v>128</v>
      </c>
      <c r="NN60">
        <v>100.2</v>
      </c>
      <c r="NO60">
        <v>113.5</v>
      </c>
      <c r="NP60">
        <v>125.3</v>
      </c>
      <c r="NQ60">
        <v>102.5</v>
      </c>
      <c r="NR60">
        <v>100.5</v>
      </c>
      <c r="NS60">
        <v>100.5</v>
      </c>
      <c r="NT60">
        <v>101.7</v>
      </c>
      <c r="NU60">
        <v>100</v>
      </c>
      <c r="NV60">
        <v>102.4</v>
      </c>
      <c r="NW60">
        <v>105.5</v>
      </c>
      <c r="NX60">
        <v>105.5</v>
      </c>
      <c r="NY60">
        <v>106.3</v>
      </c>
      <c r="NZ60">
        <v>106.4</v>
      </c>
      <c r="OA60">
        <v>103.4</v>
      </c>
      <c r="OB60">
        <v>104.2</v>
      </c>
      <c r="OC60">
        <v>101</v>
      </c>
      <c r="OD60">
        <v>106.5</v>
      </c>
      <c r="OE60">
        <v>108.4</v>
      </c>
      <c r="OF60">
        <v>107.9</v>
      </c>
      <c r="OG60">
        <v>113.4</v>
      </c>
      <c r="OH60">
        <v>111.1</v>
      </c>
      <c r="OI60">
        <v>111.4</v>
      </c>
      <c r="OJ60">
        <v>106.5</v>
      </c>
      <c r="OK60">
        <v>111.2</v>
      </c>
      <c r="OL60">
        <v>104.1</v>
      </c>
      <c r="OM60">
        <v>103.5</v>
      </c>
      <c r="ON60">
        <v>107.3</v>
      </c>
      <c r="OO60">
        <v>108</v>
      </c>
      <c r="OP60">
        <v>106.1</v>
      </c>
      <c r="OQ60">
        <v>107.1</v>
      </c>
      <c r="OR60">
        <v>102.5</v>
      </c>
      <c r="OS60">
        <v>105.4</v>
      </c>
      <c r="OT60">
        <v>109.3</v>
      </c>
      <c r="OU60">
        <v>103.2</v>
      </c>
      <c r="OV60">
        <v>102.6</v>
      </c>
      <c r="OW60">
        <v>110.7</v>
      </c>
      <c r="OX60">
        <v>109.1</v>
      </c>
      <c r="OY60">
        <v>110.5</v>
      </c>
      <c r="OZ60">
        <v>109.7</v>
      </c>
      <c r="PA60">
        <v>96.8</v>
      </c>
      <c r="PB60">
        <v>111.4</v>
      </c>
      <c r="PC60">
        <v>109.4</v>
      </c>
      <c r="PD60">
        <v>103.8</v>
      </c>
      <c r="PE60">
        <v>105.4</v>
      </c>
      <c r="PF60">
        <v>105.3</v>
      </c>
      <c r="PG60">
        <v>91.2</v>
      </c>
      <c r="PH60">
        <v>106.1</v>
      </c>
      <c r="PI60">
        <v>104.6</v>
      </c>
      <c r="PJ60">
        <v>105.3</v>
      </c>
      <c r="PK60">
        <v>101.1</v>
      </c>
      <c r="PL60">
        <v>103</v>
      </c>
      <c r="PM60">
        <v>104.5</v>
      </c>
      <c r="PN60">
        <v>112.8</v>
      </c>
      <c r="PO60">
        <v>104.8</v>
      </c>
      <c r="PP60">
        <v>103.1</v>
      </c>
      <c r="PQ60">
        <v>105.1</v>
      </c>
      <c r="PR60">
        <v>105.7</v>
      </c>
      <c r="PS60">
        <v>105.1</v>
      </c>
      <c r="PT60">
        <v>104.8</v>
      </c>
      <c r="PU60">
        <v>101.6</v>
      </c>
      <c r="PV60">
        <v>100.9</v>
      </c>
      <c r="PW60">
        <v>100.9</v>
      </c>
      <c r="PX60">
        <v>101</v>
      </c>
      <c r="PY60">
        <v>109.2</v>
      </c>
      <c r="PZ60">
        <v>112.5</v>
      </c>
      <c r="QA60">
        <v>118.3</v>
      </c>
      <c r="QB60">
        <v>103.9</v>
      </c>
      <c r="QC60">
        <v>108.9</v>
      </c>
      <c r="QD60">
        <v>107.3</v>
      </c>
      <c r="QE60">
        <v>103.1</v>
      </c>
      <c r="QF60">
        <v>106.5</v>
      </c>
      <c r="QG60">
        <v>109.7</v>
      </c>
      <c r="QH60">
        <v>109.8</v>
      </c>
      <c r="QI60">
        <v>109.8</v>
      </c>
      <c r="QJ60">
        <v>106.1</v>
      </c>
      <c r="QK60">
        <v>104.6</v>
      </c>
      <c r="QL60">
        <v>98.7</v>
      </c>
      <c r="QM60">
        <v>108.8</v>
      </c>
      <c r="QN60">
        <v>116.9</v>
      </c>
      <c r="QO60">
        <v>109.1</v>
      </c>
      <c r="QP60">
        <v>107.8</v>
      </c>
      <c r="QQ60">
        <v>104.4</v>
      </c>
      <c r="QR60">
        <v>103.3</v>
      </c>
      <c r="QS60">
        <v>99.4</v>
      </c>
      <c r="QT60">
        <v>112</v>
      </c>
      <c r="QU60">
        <v>102.3</v>
      </c>
      <c r="QV60">
        <v>119</v>
      </c>
      <c r="QW60">
        <v>102.7</v>
      </c>
      <c r="QX60">
        <v>100.2</v>
      </c>
      <c r="QY60">
        <v>110.6</v>
      </c>
      <c r="QZ60">
        <v>110.5</v>
      </c>
      <c r="RA60">
        <v>113.8</v>
      </c>
      <c r="RB60">
        <v>110.1</v>
      </c>
      <c r="RC60">
        <v>104.8</v>
      </c>
      <c r="RD60">
        <v>101.6</v>
      </c>
      <c r="RE60">
        <v>105.1</v>
      </c>
      <c r="RF60">
        <v>114.1</v>
      </c>
      <c r="RG60">
        <v>106.9</v>
      </c>
      <c r="RH60">
        <v>103</v>
      </c>
      <c r="RI60">
        <v>105</v>
      </c>
      <c r="RJ60">
        <v>100.6</v>
      </c>
      <c r="RK60">
        <v>107</v>
      </c>
      <c r="RL60">
        <v>101</v>
      </c>
      <c r="RM60">
        <v>118.4</v>
      </c>
      <c r="RN60">
        <v>102.3</v>
      </c>
      <c r="RO60">
        <v>100.2</v>
      </c>
      <c r="RP60">
        <v>101.3</v>
      </c>
      <c r="RQ60">
        <v>105</v>
      </c>
      <c r="RR60">
        <v>102.3</v>
      </c>
      <c r="RS60">
        <v>106.5</v>
      </c>
      <c r="RT60">
        <v>110</v>
      </c>
      <c r="RU60">
        <v>121.7</v>
      </c>
      <c r="RV60">
        <v>116.2</v>
      </c>
      <c r="RW60">
        <v>99.1</v>
      </c>
      <c r="RX60">
        <v>100.9</v>
      </c>
      <c r="RY60">
        <v>108.1</v>
      </c>
      <c r="RZ60">
        <v>119.8</v>
      </c>
      <c r="SA60">
        <v>96.5</v>
      </c>
      <c r="SB60">
        <v>108.5</v>
      </c>
      <c r="SC60">
        <v>110.7</v>
      </c>
      <c r="SD60">
        <v>103.7</v>
      </c>
      <c r="SE60">
        <v>100.6</v>
      </c>
      <c r="SF60">
        <v>98.2</v>
      </c>
      <c r="SG60">
        <v>97.8</v>
      </c>
      <c r="SH60">
        <v>102</v>
      </c>
      <c r="SI60">
        <v>100.8</v>
      </c>
      <c r="SJ60">
        <v>101.7</v>
      </c>
      <c r="SK60">
        <v>96.5</v>
      </c>
      <c r="SL60">
        <v>104.1</v>
      </c>
      <c r="SM60">
        <v>101.7</v>
      </c>
      <c r="SN60">
        <v>100.9</v>
      </c>
      <c r="SO60">
        <v>104</v>
      </c>
      <c r="SP60">
        <v>100.6</v>
      </c>
      <c r="SQ60">
        <v>100.3</v>
      </c>
      <c r="SR60">
        <v>103.3</v>
      </c>
      <c r="SS60">
        <v>105.9</v>
      </c>
      <c r="ST60">
        <v>105.1</v>
      </c>
      <c r="SU60">
        <v>101.3</v>
      </c>
      <c r="SV60">
        <v>107.6</v>
      </c>
      <c r="SW60">
        <v>108.8</v>
      </c>
      <c r="SX60">
        <v>105.1</v>
      </c>
      <c r="SY60">
        <v>105.9</v>
      </c>
      <c r="SZ60">
        <v>109.7</v>
      </c>
      <c r="TA60">
        <v>111.3</v>
      </c>
      <c r="TB60">
        <v>99</v>
      </c>
      <c r="TC60">
        <v>98.9</v>
      </c>
      <c r="TD60">
        <v>99.1</v>
      </c>
      <c r="TE60">
        <v>106.9</v>
      </c>
      <c r="TF60">
        <v>104.3</v>
      </c>
      <c r="TG60">
        <v>103.5</v>
      </c>
      <c r="TH60">
        <v>101.8</v>
      </c>
      <c r="TI60">
        <v>102.4</v>
      </c>
      <c r="TJ60">
        <v>117.5</v>
      </c>
      <c r="TK60">
        <v>117.5</v>
      </c>
      <c r="TL60">
        <v>120.4</v>
      </c>
      <c r="TM60">
        <v>113.1</v>
      </c>
      <c r="TN60">
        <v>107.6</v>
      </c>
      <c r="TO60">
        <v>127.7</v>
      </c>
      <c r="TP60">
        <v>113.3</v>
      </c>
      <c r="TQ60">
        <v>115.7</v>
      </c>
      <c r="TR60">
        <v>104</v>
      </c>
      <c r="TS60">
        <v>97.8</v>
      </c>
      <c r="TT60">
        <v>103.1</v>
      </c>
      <c r="TU60">
        <v>112.2</v>
      </c>
      <c r="TV60">
        <v>114.6</v>
      </c>
      <c r="TW60">
        <v>100</v>
      </c>
      <c r="TX60">
        <v>101.1</v>
      </c>
      <c r="TY60">
        <v>100</v>
      </c>
      <c r="TZ60">
        <v>119.6</v>
      </c>
      <c r="UA60">
        <v>106.3</v>
      </c>
      <c r="UB60">
        <v>100</v>
      </c>
      <c r="UC60">
        <v>78.5</v>
      </c>
      <c r="UD60">
        <v>96.6</v>
      </c>
      <c r="UE60">
        <v>72.8</v>
      </c>
      <c r="UF60">
        <v>100</v>
      </c>
      <c r="UG60">
        <v>100</v>
      </c>
      <c r="UH60">
        <v>97</v>
      </c>
      <c r="UI60">
        <v>51.9</v>
      </c>
      <c r="UJ60">
        <v>108.5</v>
      </c>
      <c r="UK60">
        <v>111.6</v>
      </c>
      <c r="UL60">
        <v>102.4</v>
      </c>
      <c r="UM60">
        <v>100.4</v>
      </c>
      <c r="UN60">
        <v>96.6</v>
      </c>
      <c r="UO60">
        <v>98</v>
      </c>
      <c r="UP60">
        <v>102.8</v>
      </c>
      <c r="UQ60">
        <v>99.9</v>
      </c>
      <c r="UR60">
        <v>102.6</v>
      </c>
      <c r="US60">
        <v>98.4</v>
      </c>
      <c r="UT60">
        <v>100.3</v>
      </c>
      <c r="UU60">
        <v>99.5</v>
      </c>
      <c r="UV60">
        <v>101.4</v>
      </c>
      <c r="UW60">
        <v>105.3</v>
      </c>
      <c r="UX60">
        <v>106.5</v>
      </c>
      <c r="UY60">
        <v>104.3</v>
      </c>
      <c r="UZ60">
        <v>107.4</v>
      </c>
      <c r="VA60">
        <v>105.9</v>
      </c>
      <c r="VB60">
        <v>105.2</v>
      </c>
      <c r="VC60">
        <v>112.3</v>
      </c>
      <c r="VD60">
        <v>109</v>
      </c>
      <c r="VE60">
        <v>104.7</v>
      </c>
      <c r="VF60">
        <v>101.3</v>
      </c>
      <c r="VG60">
        <v>108.7</v>
      </c>
      <c r="VH60">
        <v>93.5</v>
      </c>
      <c r="VI60">
        <v>102.1</v>
      </c>
      <c r="VJ60">
        <v>114.2</v>
      </c>
      <c r="VK60">
        <v>114.4</v>
      </c>
      <c r="VL60">
        <v>127.5</v>
      </c>
      <c r="VM60">
        <v>113.6</v>
      </c>
      <c r="VN60">
        <v>117.1</v>
      </c>
      <c r="VO60">
        <v>107.8</v>
      </c>
      <c r="VP60">
        <v>110.7</v>
      </c>
      <c r="VQ60">
        <v>102.3</v>
      </c>
      <c r="VR60">
        <v>109.3</v>
      </c>
      <c r="VS60">
        <v>121.7</v>
      </c>
      <c r="VT60">
        <v>98.5</v>
      </c>
      <c r="VU60">
        <v>77.8</v>
      </c>
      <c r="VV60">
        <v>108.3</v>
      </c>
      <c r="VW60">
        <v>104.1</v>
      </c>
      <c r="VX60">
        <v>100.1</v>
      </c>
      <c r="VY60">
        <v>92.8</v>
      </c>
      <c r="VZ60">
        <v>108.8</v>
      </c>
      <c r="WA60">
        <v>115.6</v>
      </c>
      <c r="WB60">
        <v>104.5</v>
      </c>
      <c r="WC60">
        <v>100.1</v>
      </c>
      <c r="WD60">
        <v>99.1</v>
      </c>
      <c r="WE60">
        <v>107.7</v>
      </c>
      <c r="WF60">
        <v>108.7</v>
      </c>
      <c r="WG60">
        <v>106.6</v>
      </c>
      <c r="WH60">
        <v>113.3</v>
      </c>
      <c r="WI60">
        <v>114.5</v>
      </c>
      <c r="WJ60">
        <v>112.2</v>
      </c>
      <c r="WK60">
        <v>115</v>
      </c>
      <c r="WL60">
        <v>111.8</v>
      </c>
      <c r="WM60">
        <v>82.8</v>
      </c>
      <c r="WN60">
        <v>101</v>
      </c>
      <c r="WO60">
        <v>99.4</v>
      </c>
      <c r="WP60">
        <v>108.4</v>
      </c>
      <c r="WQ60">
        <v>124</v>
      </c>
      <c r="WR60">
        <v>116.8</v>
      </c>
      <c r="WS60">
        <v>115.9</v>
      </c>
      <c r="WT60">
        <v>111.5</v>
      </c>
      <c r="WU60">
        <v>100.3</v>
      </c>
      <c r="WV60">
        <v>113.4</v>
      </c>
      <c r="WW60">
        <v>109.6</v>
      </c>
      <c r="WX60">
        <v>109.3</v>
      </c>
      <c r="WY60">
        <v>109.9</v>
      </c>
      <c r="WZ60">
        <v>107.4</v>
      </c>
      <c r="XA60">
        <v>111.8</v>
      </c>
      <c r="XB60">
        <v>112.9</v>
      </c>
      <c r="XC60">
        <v>113.8</v>
      </c>
      <c r="XD60">
        <v>109.4</v>
      </c>
      <c r="XE60">
        <v>106.2</v>
      </c>
      <c r="XF60">
        <v>104.6</v>
      </c>
      <c r="XG60">
        <v>107.4</v>
      </c>
      <c r="XH60">
        <v>110</v>
      </c>
      <c r="XI60">
        <v>142.6</v>
      </c>
      <c r="XJ60">
        <v>142.6</v>
      </c>
      <c r="XK60">
        <v>116.6</v>
      </c>
      <c r="XL60">
        <v>116.6</v>
      </c>
      <c r="XM60">
        <v>105.9</v>
      </c>
      <c r="XN60">
        <v>99.6</v>
      </c>
      <c r="XO60">
        <v>103.9</v>
      </c>
      <c r="XP60">
        <v>103.2</v>
      </c>
      <c r="XQ60">
        <v>107</v>
      </c>
      <c r="XR60">
        <v>110.8</v>
      </c>
      <c r="XS60">
        <v>107.1</v>
      </c>
      <c r="XT60">
        <v>103.5</v>
      </c>
      <c r="XU60">
        <v>102.5</v>
      </c>
      <c r="XV60">
        <v>96.7</v>
      </c>
      <c r="XW60">
        <v>93</v>
      </c>
      <c r="XX60">
        <v>100.8</v>
      </c>
      <c r="XY60">
        <v>100</v>
      </c>
      <c r="XZ60">
        <v>106.8</v>
      </c>
      <c r="YA60">
        <v>103.4</v>
      </c>
      <c r="YB60">
        <v>103.8</v>
      </c>
      <c r="YC60">
        <v>99.5</v>
      </c>
      <c r="YD60">
        <v>105.5</v>
      </c>
      <c r="YE60">
        <v>102.8</v>
      </c>
      <c r="YF60">
        <v>107.1</v>
      </c>
      <c r="YG60">
        <v>105.9</v>
      </c>
      <c r="YH60">
        <v>100.7</v>
      </c>
      <c r="YI60">
        <v>105.9</v>
      </c>
      <c r="YJ60">
        <v>107.8</v>
      </c>
      <c r="YK60">
        <v>114.5</v>
      </c>
      <c r="YL60">
        <v>110.1</v>
      </c>
      <c r="YM60">
        <v>102.7</v>
      </c>
      <c r="YN60">
        <v>103.3</v>
      </c>
      <c r="YO60">
        <v>107.4</v>
      </c>
      <c r="YP60">
        <v>102</v>
      </c>
      <c r="YQ60">
        <v>104.9</v>
      </c>
      <c r="YR60">
        <v>101.8</v>
      </c>
      <c r="YS60">
        <v>107.4</v>
      </c>
      <c r="YT60">
        <v>104</v>
      </c>
      <c r="YU60">
        <v>103.9</v>
      </c>
      <c r="YV60">
        <v>111.8</v>
      </c>
      <c r="YW60">
        <v>102.2</v>
      </c>
      <c r="YX60">
        <v>103.2</v>
      </c>
      <c r="YY60">
        <v>103.3</v>
      </c>
      <c r="YZ60">
        <v>103.3</v>
      </c>
      <c r="ZA60">
        <v>105.3</v>
      </c>
      <c r="ZB60">
        <v>101.4</v>
      </c>
      <c r="ZC60">
        <v>105.1</v>
      </c>
      <c r="ZD60">
        <v>105.1</v>
      </c>
      <c r="ZE60">
        <v>105.2</v>
      </c>
      <c r="ZF60">
        <v>103.5</v>
      </c>
      <c r="ZG60">
        <v>101.5</v>
      </c>
      <c r="ZH60">
        <v>98.2</v>
      </c>
      <c r="ZI60">
        <v>98.8</v>
      </c>
      <c r="ZJ60">
        <v>101.6</v>
      </c>
      <c r="ZK60">
        <v>104</v>
      </c>
      <c r="ZL60">
        <v>104.2</v>
      </c>
      <c r="ZM60">
        <v>109</v>
      </c>
      <c r="ZN60">
        <v>100</v>
      </c>
      <c r="ZO60">
        <v>99.4</v>
      </c>
      <c r="ZP60">
        <v>100.3</v>
      </c>
      <c r="ZQ60">
        <v>100</v>
      </c>
      <c r="ZR60">
        <v>99.9</v>
      </c>
      <c r="ZS60">
        <v>100</v>
      </c>
      <c r="ZT60">
        <v>99.9</v>
      </c>
      <c r="ZU60">
        <v>100</v>
      </c>
      <c r="ZV60">
        <v>99.7</v>
      </c>
      <c r="ZW60">
        <v>100</v>
      </c>
      <c r="ZX60">
        <v>100</v>
      </c>
      <c r="ZY60">
        <v>102.4</v>
      </c>
      <c r="ZZ60">
        <v>100</v>
      </c>
      <c r="AAA60">
        <v>99.3</v>
      </c>
      <c r="AAB60">
        <v>100</v>
      </c>
      <c r="AAC60">
        <v>112.6</v>
      </c>
      <c r="AAD60">
        <v>115.1</v>
      </c>
      <c r="AAE60">
        <v>105.2</v>
      </c>
      <c r="AAF60">
        <v>134.4</v>
      </c>
      <c r="AAG60">
        <v>105.2</v>
      </c>
      <c r="AAH60">
        <v>97.3</v>
      </c>
      <c r="AAI60">
        <v>108.7</v>
      </c>
      <c r="AAJ60">
        <v>109.8</v>
      </c>
      <c r="AAK60">
        <v>108.2</v>
      </c>
      <c r="AAL60">
        <v>105.1</v>
      </c>
      <c r="AAM60">
        <v>107.4</v>
      </c>
      <c r="AAN60">
        <v>101.1</v>
      </c>
      <c r="AAO60">
        <v>114.3</v>
      </c>
      <c r="AAP60">
        <v>115.4</v>
      </c>
      <c r="AAQ60">
        <v>113.2</v>
      </c>
      <c r="AAR60">
        <v>101.7</v>
      </c>
      <c r="AAS60">
        <v>102.2</v>
      </c>
      <c r="AAT60">
        <v>102.8</v>
      </c>
      <c r="AAU60">
        <v>98.5</v>
      </c>
      <c r="AAV60">
        <v>103.7</v>
      </c>
      <c r="AAW60">
        <v>102.6</v>
      </c>
      <c r="AAX60">
        <v>100.8</v>
      </c>
      <c r="AAY60">
        <v>100</v>
      </c>
      <c r="AAZ60">
        <v>78.599999999999994</v>
      </c>
      <c r="ABA60">
        <v>103.8</v>
      </c>
      <c r="ABB60">
        <v>115.8</v>
      </c>
      <c r="ABC60">
        <v>126.3</v>
      </c>
      <c r="ABD60">
        <v>109.7</v>
      </c>
      <c r="ABE60">
        <v>115.6</v>
      </c>
      <c r="ABF60">
        <v>105.9</v>
      </c>
      <c r="ABG60">
        <v>114</v>
      </c>
      <c r="ABH60">
        <v>107.4</v>
      </c>
      <c r="ABI60">
        <v>108.7</v>
      </c>
      <c r="ABJ60">
        <v>100.1</v>
      </c>
      <c r="ABK60">
        <v>107</v>
      </c>
      <c r="ABL60">
        <v>112.8</v>
      </c>
      <c r="ABM60">
        <v>105.3</v>
      </c>
      <c r="ABN60">
        <v>102.5</v>
      </c>
      <c r="ABO60">
        <v>102.4</v>
      </c>
      <c r="ABP60">
        <v>108.5</v>
      </c>
      <c r="ABQ60">
        <v>73.5</v>
      </c>
      <c r="ABS60" s="1067">
        <f>XJ60*100/XJ58</f>
        <v>121.98460222412318</v>
      </c>
      <c r="ABT60" t="s">
        <v>327</v>
      </c>
    </row>
    <row r="61" spans="1:748">
      <c r="A61">
        <v>2024</v>
      </c>
      <c r="B61">
        <v>109.5</v>
      </c>
      <c r="C61">
        <v>120</v>
      </c>
      <c r="D61">
        <v>127.3</v>
      </c>
      <c r="E61">
        <v>143.30000000000001</v>
      </c>
      <c r="F61">
        <v>141.19999999999999</v>
      </c>
      <c r="G61">
        <v>144.5</v>
      </c>
      <c r="H61">
        <v>121.9</v>
      </c>
      <c r="I61">
        <v>123.1</v>
      </c>
      <c r="J61">
        <v>119.1</v>
      </c>
      <c r="K61">
        <v>125.2</v>
      </c>
      <c r="L61">
        <v>121</v>
      </c>
      <c r="M61">
        <v>125.3</v>
      </c>
      <c r="N61">
        <v>112.1</v>
      </c>
      <c r="O61">
        <v>120.9</v>
      </c>
      <c r="P61">
        <v>121.5</v>
      </c>
      <c r="Q61">
        <v>121.5</v>
      </c>
      <c r="R61">
        <v>114.2</v>
      </c>
      <c r="S61">
        <v>130.4</v>
      </c>
      <c r="T61">
        <v>108</v>
      </c>
      <c r="U61">
        <v>114.1</v>
      </c>
      <c r="V61">
        <v>127.4</v>
      </c>
      <c r="W61">
        <v>126.5</v>
      </c>
      <c r="X61">
        <v>114.6</v>
      </c>
      <c r="Y61">
        <v>114.4</v>
      </c>
      <c r="Z61">
        <v>122.8</v>
      </c>
      <c r="AA61">
        <v>121.1</v>
      </c>
      <c r="AB61">
        <v>135.30000000000001</v>
      </c>
      <c r="AC61">
        <v>124.6</v>
      </c>
      <c r="AD61">
        <v>136.6</v>
      </c>
      <c r="AE61">
        <v>119.2</v>
      </c>
      <c r="AF61">
        <v>129.9</v>
      </c>
      <c r="AG61">
        <v>146.69999999999999</v>
      </c>
      <c r="AH61">
        <v>139.1</v>
      </c>
      <c r="AI61">
        <v>110.1</v>
      </c>
      <c r="AJ61">
        <v>145.19999999999999</v>
      </c>
      <c r="AK61">
        <v>126.5</v>
      </c>
      <c r="AL61">
        <v>139.4</v>
      </c>
      <c r="AM61">
        <v>129.5</v>
      </c>
      <c r="AN61">
        <v>136.5</v>
      </c>
      <c r="AO61">
        <v>118.1</v>
      </c>
      <c r="AP61">
        <v>133.80000000000001</v>
      </c>
      <c r="AQ61">
        <v>123.8</v>
      </c>
      <c r="AR61">
        <v>152.9</v>
      </c>
      <c r="AS61">
        <v>114.3</v>
      </c>
      <c r="AT61">
        <v>131.4</v>
      </c>
      <c r="AU61">
        <v>124.8</v>
      </c>
      <c r="AV61">
        <v>121.1</v>
      </c>
      <c r="AW61">
        <v>125.6</v>
      </c>
      <c r="AX61">
        <v>127</v>
      </c>
      <c r="AY61">
        <v>130.19999999999999</v>
      </c>
      <c r="AZ61">
        <v>142.30000000000001</v>
      </c>
      <c r="BA61">
        <v>135.19999999999999</v>
      </c>
      <c r="BB61">
        <v>120.5</v>
      </c>
      <c r="BC61">
        <v>125.1</v>
      </c>
      <c r="BD61">
        <v>117.1</v>
      </c>
      <c r="BE61">
        <v>118.2</v>
      </c>
      <c r="BF61">
        <v>109.4</v>
      </c>
      <c r="BG61">
        <v>135.69999999999999</v>
      </c>
      <c r="BH61">
        <v>120.9</v>
      </c>
      <c r="BI61">
        <v>119.3</v>
      </c>
      <c r="BJ61">
        <v>111.6</v>
      </c>
      <c r="BK61">
        <v>112.6</v>
      </c>
      <c r="BL61">
        <v>114.6</v>
      </c>
      <c r="BM61">
        <v>109.5</v>
      </c>
      <c r="BN61">
        <v>115.7</v>
      </c>
      <c r="BO61">
        <v>115</v>
      </c>
      <c r="BP61">
        <v>120.4</v>
      </c>
      <c r="BQ61">
        <v>118.8</v>
      </c>
      <c r="BR61">
        <v>119.6</v>
      </c>
      <c r="BS61">
        <v>119.6</v>
      </c>
      <c r="BT61">
        <v>118.3</v>
      </c>
      <c r="BU61">
        <v>120.8</v>
      </c>
      <c r="BV61">
        <v>112.5</v>
      </c>
      <c r="BW61">
        <v>120.2</v>
      </c>
      <c r="BX61">
        <v>133.5</v>
      </c>
      <c r="BY61">
        <v>124.1</v>
      </c>
      <c r="BZ61">
        <v>126.8</v>
      </c>
      <c r="CA61">
        <v>126.8</v>
      </c>
      <c r="CB61">
        <v>123.9</v>
      </c>
      <c r="CC61">
        <v>127.3</v>
      </c>
      <c r="CD61">
        <v>164.4</v>
      </c>
      <c r="CE61">
        <v>125.3</v>
      </c>
      <c r="CF61">
        <v>157.19999999999999</v>
      </c>
      <c r="CG61">
        <v>129.69999999999999</v>
      </c>
      <c r="CH61">
        <v>136.4</v>
      </c>
      <c r="CI61">
        <v>142.5</v>
      </c>
      <c r="CJ61">
        <v>111.3</v>
      </c>
      <c r="CK61">
        <v>123</v>
      </c>
      <c r="CL61">
        <v>112.2</v>
      </c>
      <c r="CM61">
        <v>126.9</v>
      </c>
      <c r="CN61">
        <v>128.69999999999999</v>
      </c>
      <c r="CO61">
        <v>146.69999999999999</v>
      </c>
      <c r="CP61">
        <v>126.8</v>
      </c>
      <c r="CQ61">
        <v>121.1</v>
      </c>
      <c r="CR61">
        <v>145.30000000000001</v>
      </c>
      <c r="CS61">
        <v>94.8</v>
      </c>
      <c r="CT61">
        <v>115.7</v>
      </c>
      <c r="CU61">
        <v>102.6</v>
      </c>
      <c r="CV61">
        <v>117.3</v>
      </c>
      <c r="CW61">
        <v>132.9</v>
      </c>
      <c r="CX61">
        <v>127.8</v>
      </c>
      <c r="CY61">
        <v>120</v>
      </c>
      <c r="CZ61">
        <v>106.8</v>
      </c>
      <c r="DA61">
        <v>126.3</v>
      </c>
      <c r="DB61">
        <v>116.1</v>
      </c>
      <c r="DC61">
        <v>112.9</v>
      </c>
      <c r="DD61">
        <v>123.2</v>
      </c>
      <c r="DE61">
        <v>112.5</v>
      </c>
      <c r="DF61">
        <v>103.4</v>
      </c>
      <c r="DG61">
        <v>117.4</v>
      </c>
      <c r="DH61">
        <v>124.2</v>
      </c>
      <c r="DI61">
        <v>110.5</v>
      </c>
      <c r="DJ61">
        <v>136.80000000000001</v>
      </c>
      <c r="DK61">
        <v>115.6</v>
      </c>
      <c r="DL61">
        <v>109.6</v>
      </c>
      <c r="DM61">
        <v>117.7</v>
      </c>
      <c r="DN61">
        <v>116.5</v>
      </c>
      <c r="DO61">
        <v>118.8</v>
      </c>
      <c r="DP61">
        <v>124.3</v>
      </c>
      <c r="DQ61">
        <v>108.5</v>
      </c>
      <c r="DR61">
        <v>113.6</v>
      </c>
      <c r="DS61">
        <v>106.8</v>
      </c>
      <c r="DT61">
        <v>106.3</v>
      </c>
      <c r="DU61">
        <v>120.8</v>
      </c>
      <c r="DV61">
        <v>111.2</v>
      </c>
      <c r="DW61">
        <v>105.2</v>
      </c>
      <c r="DX61">
        <v>122</v>
      </c>
      <c r="DY61">
        <v>139.6</v>
      </c>
      <c r="DZ61">
        <v>128.4</v>
      </c>
      <c r="EA61">
        <v>131.1</v>
      </c>
      <c r="EB61">
        <v>139.30000000000001</v>
      </c>
      <c r="EC61">
        <v>148</v>
      </c>
      <c r="ED61">
        <v>140.6</v>
      </c>
      <c r="EE61">
        <v>142.4</v>
      </c>
      <c r="EF61">
        <v>113.3</v>
      </c>
      <c r="EG61">
        <v>120.4</v>
      </c>
      <c r="EH61">
        <v>126.1</v>
      </c>
      <c r="EI61">
        <v>134.4</v>
      </c>
      <c r="EJ61">
        <v>118.4</v>
      </c>
      <c r="EK61">
        <v>128.4</v>
      </c>
      <c r="EL61">
        <v>129.69999999999999</v>
      </c>
      <c r="EM61">
        <v>124.5</v>
      </c>
      <c r="EN61">
        <v>125</v>
      </c>
      <c r="EO61">
        <v>123.9</v>
      </c>
      <c r="EP61">
        <v>106.8</v>
      </c>
      <c r="EQ61">
        <v>139.5</v>
      </c>
      <c r="ER61">
        <v>99.5</v>
      </c>
      <c r="ES61">
        <v>99.5</v>
      </c>
      <c r="ET61">
        <v>118.7</v>
      </c>
      <c r="EU61">
        <v>145</v>
      </c>
      <c r="EV61">
        <v>148</v>
      </c>
      <c r="EW61">
        <v>126.3</v>
      </c>
      <c r="EX61">
        <v>115.5</v>
      </c>
      <c r="EY61">
        <v>108.4</v>
      </c>
      <c r="EZ61">
        <v>122</v>
      </c>
      <c r="FA61">
        <v>114.2</v>
      </c>
      <c r="FB61">
        <v>137.5</v>
      </c>
      <c r="FC61">
        <v>109.7</v>
      </c>
      <c r="FD61">
        <v>133.80000000000001</v>
      </c>
      <c r="FE61">
        <v>137.9</v>
      </c>
      <c r="FF61">
        <v>152.9</v>
      </c>
      <c r="FG61">
        <v>101.9</v>
      </c>
      <c r="FH61">
        <v>112.2</v>
      </c>
      <c r="FI61">
        <v>127</v>
      </c>
      <c r="FJ61">
        <v>112.7</v>
      </c>
      <c r="FK61">
        <v>106.8</v>
      </c>
      <c r="FL61">
        <v>121.5</v>
      </c>
      <c r="FM61">
        <v>98</v>
      </c>
      <c r="FN61">
        <v>111.6</v>
      </c>
      <c r="FO61">
        <v>104.7</v>
      </c>
      <c r="FP61">
        <v>124.5</v>
      </c>
      <c r="FQ61">
        <v>124.9</v>
      </c>
      <c r="FR61">
        <v>114.8</v>
      </c>
      <c r="FS61">
        <v>135.4</v>
      </c>
      <c r="FT61">
        <v>131.80000000000001</v>
      </c>
      <c r="FU61">
        <v>125.1</v>
      </c>
      <c r="FV61">
        <v>120.2</v>
      </c>
      <c r="FW61">
        <v>125.3</v>
      </c>
      <c r="FX61">
        <v>146</v>
      </c>
      <c r="FY61">
        <v>127.1</v>
      </c>
      <c r="FZ61">
        <v>121.9</v>
      </c>
      <c r="GA61">
        <v>129.9</v>
      </c>
      <c r="GB61">
        <v>112.9</v>
      </c>
      <c r="GC61">
        <v>127.7</v>
      </c>
      <c r="GD61">
        <v>112.1</v>
      </c>
      <c r="GE61">
        <v>137.80000000000001</v>
      </c>
      <c r="GF61">
        <v>110.8</v>
      </c>
      <c r="GG61">
        <v>121.3</v>
      </c>
      <c r="GH61">
        <v>126.7</v>
      </c>
      <c r="GI61">
        <v>118.9</v>
      </c>
      <c r="GJ61">
        <v>116.9</v>
      </c>
      <c r="GK61">
        <v>112.6</v>
      </c>
      <c r="GL61">
        <v>121.1</v>
      </c>
      <c r="GM61">
        <v>113.2</v>
      </c>
      <c r="GN61">
        <v>116.3</v>
      </c>
      <c r="GO61">
        <v>124</v>
      </c>
      <c r="GP61">
        <v>122.9</v>
      </c>
      <c r="GQ61">
        <v>118.3</v>
      </c>
      <c r="GR61">
        <v>114</v>
      </c>
      <c r="GS61">
        <v>110.8</v>
      </c>
      <c r="GT61">
        <v>114.5</v>
      </c>
      <c r="GU61">
        <v>120.3</v>
      </c>
      <c r="GV61">
        <v>118.7</v>
      </c>
      <c r="GW61">
        <v>113.5</v>
      </c>
      <c r="GX61">
        <v>124.3</v>
      </c>
      <c r="GY61">
        <v>110.4</v>
      </c>
      <c r="GZ61">
        <v>121.7</v>
      </c>
      <c r="HA61">
        <v>120.8</v>
      </c>
      <c r="HB61">
        <v>118.1</v>
      </c>
      <c r="HC61">
        <v>121</v>
      </c>
      <c r="HD61">
        <v>140.69999999999999</v>
      </c>
      <c r="HE61">
        <v>123.1</v>
      </c>
      <c r="HF61">
        <v>111.8</v>
      </c>
      <c r="HG61">
        <v>128.19999999999999</v>
      </c>
      <c r="HH61">
        <v>109.7</v>
      </c>
      <c r="HI61">
        <v>113.3</v>
      </c>
      <c r="HJ61">
        <v>140.6</v>
      </c>
      <c r="HK61">
        <v>114.9</v>
      </c>
      <c r="HL61">
        <v>121.6</v>
      </c>
      <c r="HM61">
        <v>113.4</v>
      </c>
      <c r="HN61">
        <v>131.80000000000001</v>
      </c>
      <c r="HO61">
        <v>117.7</v>
      </c>
      <c r="HP61">
        <v>102.5</v>
      </c>
      <c r="HQ61">
        <v>104.4</v>
      </c>
      <c r="HR61">
        <v>119.9</v>
      </c>
      <c r="HS61">
        <v>99.1</v>
      </c>
      <c r="HT61">
        <v>122.4</v>
      </c>
      <c r="HU61">
        <v>108.9</v>
      </c>
      <c r="HV61">
        <v>154.30000000000001</v>
      </c>
      <c r="HW61">
        <v>110.7</v>
      </c>
      <c r="HX61">
        <v>121.4</v>
      </c>
      <c r="HY61">
        <v>122.2</v>
      </c>
      <c r="HZ61">
        <v>154.30000000000001</v>
      </c>
      <c r="IA61">
        <v>123.4</v>
      </c>
      <c r="IB61">
        <v>122.1</v>
      </c>
      <c r="IC61">
        <v>139.80000000000001</v>
      </c>
      <c r="ID61">
        <v>107</v>
      </c>
      <c r="IE61">
        <v>100</v>
      </c>
      <c r="IF61">
        <v>120.1</v>
      </c>
      <c r="IG61">
        <v>101.3</v>
      </c>
      <c r="IH61">
        <v>114.8</v>
      </c>
      <c r="II61">
        <v>111.6</v>
      </c>
      <c r="IJ61">
        <v>108.8</v>
      </c>
      <c r="IK61">
        <v>107.6</v>
      </c>
      <c r="IL61">
        <v>108</v>
      </c>
      <c r="IM61">
        <v>96.6</v>
      </c>
      <c r="IN61">
        <v>111.7</v>
      </c>
      <c r="IO61">
        <v>123.7</v>
      </c>
      <c r="IP61">
        <v>108.8</v>
      </c>
      <c r="IQ61">
        <v>103.9</v>
      </c>
      <c r="IR61">
        <v>108.8</v>
      </c>
      <c r="IS61">
        <v>126.4</v>
      </c>
      <c r="IT61">
        <v>112.7</v>
      </c>
      <c r="IU61">
        <v>114.5</v>
      </c>
      <c r="IV61">
        <v>110.9</v>
      </c>
      <c r="IW61">
        <v>111.8</v>
      </c>
      <c r="IX61">
        <v>111.5</v>
      </c>
      <c r="IY61">
        <v>109.9</v>
      </c>
      <c r="IZ61">
        <v>119.3</v>
      </c>
      <c r="JA61">
        <v>115.1</v>
      </c>
      <c r="JB61">
        <v>111.3</v>
      </c>
      <c r="JC61">
        <v>110.7</v>
      </c>
      <c r="JD61">
        <v>122.2</v>
      </c>
      <c r="JE61">
        <v>113.3</v>
      </c>
      <c r="JF61">
        <v>114.8</v>
      </c>
      <c r="JG61">
        <v>124</v>
      </c>
      <c r="JH61">
        <v>114.5</v>
      </c>
      <c r="JI61">
        <v>115.1</v>
      </c>
      <c r="JJ61">
        <v>112.5</v>
      </c>
      <c r="JK61">
        <v>123.4</v>
      </c>
      <c r="JL61">
        <v>111.4</v>
      </c>
      <c r="JM61">
        <v>120.9</v>
      </c>
      <c r="JN61">
        <v>126.1</v>
      </c>
      <c r="JO61">
        <v>111.4</v>
      </c>
      <c r="JP61">
        <v>116.9</v>
      </c>
      <c r="JQ61">
        <v>110.4</v>
      </c>
      <c r="JR61">
        <v>114.4</v>
      </c>
      <c r="JS61">
        <v>82.1</v>
      </c>
      <c r="JT61">
        <v>82.9</v>
      </c>
      <c r="JU61">
        <v>80.5</v>
      </c>
      <c r="JV61">
        <v>103.3</v>
      </c>
      <c r="JW61">
        <v>100.5</v>
      </c>
      <c r="JX61">
        <v>100.4</v>
      </c>
      <c r="JY61">
        <v>100.4</v>
      </c>
      <c r="JZ61">
        <v>101.2</v>
      </c>
      <c r="KA61">
        <v>100.6</v>
      </c>
      <c r="KB61">
        <v>101.9</v>
      </c>
      <c r="KC61">
        <v>100.5</v>
      </c>
      <c r="KD61">
        <v>100.5</v>
      </c>
      <c r="KE61">
        <v>119.2</v>
      </c>
      <c r="KF61">
        <v>111.2</v>
      </c>
      <c r="KG61">
        <v>114.2</v>
      </c>
      <c r="KH61">
        <v>104.9</v>
      </c>
      <c r="KI61">
        <v>107.4</v>
      </c>
      <c r="KJ61">
        <v>108.2</v>
      </c>
      <c r="KK61">
        <v>109.5</v>
      </c>
      <c r="KL61">
        <v>127.5</v>
      </c>
      <c r="KM61">
        <v>122.4</v>
      </c>
      <c r="KN61">
        <v>114.6</v>
      </c>
      <c r="KO61">
        <v>117.8</v>
      </c>
      <c r="KP61">
        <v>119.4</v>
      </c>
      <c r="KQ61">
        <v>117.7</v>
      </c>
      <c r="KR61">
        <v>115.9</v>
      </c>
      <c r="KS61">
        <v>105.7</v>
      </c>
      <c r="KT61">
        <v>119.8</v>
      </c>
      <c r="KU61">
        <v>105.3</v>
      </c>
      <c r="KV61">
        <v>116.4</v>
      </c>
      <c r="KW61">
        <v>125.4</v>
      </c>
      <c r="KX61">
        <v>138.5</v>
      </c>
      <c r="KY61">
        <v>114.9</v>
      </c>
      <c r="KZ61">
        <v>115.3</v>
      </c>
      <c r="LA61">
        <v>115.3</v>
      </c>
      <c r="LB61">
        <v>117.3</v>
      </c>
      <c r="LC61">
        <v>118.9</v>
      </c>
      <c r="LD61">
        <v>114.7</v>
      </c>
      <c r="LE61">
        <v>145</v>
      </c>
      <c r="LF61">
        <v>145</v>
      </c>
      <c r="LG61">
        <v>105</v>
      </c>
      <c r="LH61">
        <v>106.8</v>
      </c>
      <c r="LI61">
        <v>102.4</v>
      </c>
      <c r="LJ61">
        <v>119.6</v>
      </c>
      <c r="LK61">
        <v>120.9</v>
      </c>
      <c r="LL61">
        <v>109.5</v>
      </c>
      <c r="LM61">
        <v>110.1</v>
      </c>
      <c r="LN61">
        <v>119.2</v>
      </c>
      <c r="LO61">
        <v>115.5</v>
      </c>
      <c r="LP61">
        <v>111.8</v>
      </c>
      <c r="LQ61">
        <v>97.8</v>
      </c>
      <c r="LR61">
        <v>108.5</v>
      </c>
      <c r="LS61">
        <v>103.9</v>
      </c>
      <c r="LT61">
        <v>139.1</v>
      </c>
      <c r="LU61">
        <v>142.69999999999999</v>
      </c>
      <c r="LV61">
        <v>115.6</v>
      </c>
      <c r="LW61">
        <v>129.4</v>
      </c>
      <c r="LX61">
        <v>119.8</v>
      </c>
      <c r="LY61">
        <v>123.8</v>
      </c>
      <c r="LZ61">
        <v>116.3</v>
      </c>
      <c r="MA61">
        <v>125.3</v>
      </c>
      <c r="MB61">
        <v>118.2</v>
      </c>
      <c r="MC61">
        <v>145.9</v>
      </c>
      <c r="MD61">
        <v>106.4</v>
      </c>
      <c r="ME61">
        <v>111.1</v>
      </c>
      <c r="MF61">
        <v>114</v>
      </c>
      <c r="MG61">
        <v>109.4</v>
      </c>
      <c r="MH61">
        <v>117.7</v>
      </c>
      <c r="MI61">
        <v>113.1</v>
      </c>
      <c r="MJ61">
        <v>113.1</v>
      </c>
      <c r="MK61">
        <v>118.7</v>
      </c>
      <c r="ML61">
        <v>91.4</v>
      </c>
      <c r="MM61">
        <v>121.6</v>
      </c>
      <c r="MN61">
        <v>111.4</v>
      </c>
      <c r="MO61">
        <v>108.6</v>
      </c>
      <c r="MP61">
        <v>113.3</v>
      </c>
      <c r="MQ61">
        <v>119</v>
      </c>
      <c r="MR61">
        <v>113.2</v>
      </c>
      <c r="MS61">
        <v>132.4</v>
      </c>
      <c r="MT61">
        <v>115.7</v>
      </c>
      <c r="MU61">
        <v>112</v>
      </c>
      <c r="MV61">
        <v>125</v>
      </c>
      <c r="MW61">
        <v>175.9</v>
      </c>
      <c r="MX61">
        <v>110</v>
      </c>
      <c r="MY61">
        <v>108</v>
      </c>
      <c r="MZ61">
        <v>130.4</v>
      </c>
      <c r="NA61">
        <v>121.4</v>
      </c>
      <c r="NB61">
        <v>123.2</v>
      </c>
      <c r="NC61">
        <v>124.5</v>
      </c>
      <c r="ND61">
        <v>124.7</v>
      </c>
      <c r="NE61">
        <v>124.4</v>
      </c>
      <c r="NF61">
        <v>129.4</v>
      </c>
      <c r="NG61">
        <v>122.1</v>
      </c>
      <c r="NH61">
        <v>134.6</v>
      </c>
      <c r="NI61">
        <v>119</v>
      </c>
      <c r="NJ61">
        <v>120.1</v>
      </c>
      <c r="NK61">
        <v>111.1</v>
      </c>
      <c r="NL61">
        <v>120.8</v>
      </c>
      <c r="NM61">
        <v>131.5</v>
      </c>
      <c r="NN61">
        <v>100.4</v>
      </c>
      <c r="NO61">
        <v>112.5</v>
      </c>
      <c r="NP61">
        <v>133.80000000000001</v>
      </c>
      <c r="NQ61">
        <v>104.9</v>
      </c>
      <c r="NR61">
        <v>111.2</v>
      </c>
      <c r="NS61">
        <v>111.2</v>
      </c>
      <c r="NT61">
        <v>103.1</v>
      </c>
      <c r="NU61">
        <v>100</v>
      </c>
      <c r="NV61">
        <v>104.4</v>
      </c>
      <c r="NW61">
        <v>105.5</v>
      </c>
      <c r="NX61">
        <v>105.5</v>
      </c>
      <c r="NY61">
        <v>109</v>
      </c>
      <c r="NZ61">
        <v>109.1</v>
      </c>
      <c r="OA61">
        <v>103.9</v>
      </c>
      <c r="OB61">
        <v>104.8</v>
      </c>
      <c r="OC61">
        <v>101.3</v>
      </c>
      <c r="OD61">
        <v>109.2</v>
      </c>
      <c r="OE61">
        <v>111.8</v>
      </c>
      <c r="OF61">
        <v>109.6</v>
      </c>
      <c r="OG61">
        <v>120.8</v>
      </c>
      <c r="OH61">
        <v>114.5</v>
      </c>
      <c r="OI61">
        <v>116.5</v>
      </c>
      <c r="OJ61">
        <v>109.1</v>
      </c>
      <c r="OK61">
        <v>115.1</v>
      </c>
      <c r="OL61">
        <v>107.1</v>
      </c>
      <c r="OM61">
        <v>103.8</v>
      </c>
      <c r="ON61">
        <v>109.7</v>
      </c>
      <c r="OO61">
        <v>112.5</v>
      </c>
      <c r="OP61">
        <v>108.6</v>
      </c>
      <c r="OQ61">
        <v>107.8</v>
      </c>
      <c r="OR61">
        <v>107.4</v>
      </c>
      <c r="OS61">
        <v>104.7</v>
      </c>
      <c r="OT61">
        <v>112.7</v>
      </c>
      <c r="OU61">
        <v>102</v>
      </c>
      <c r="OV61">
        <v>102.4</v>
      </c>
      <c r="OW61">
        <v>115.7</v>
      </c>
      <c r="OX61">
        <v>110.9</v>
      </c>
      <c r="OY61">
        <v>115.7</v>
      </c>
      <c r="OZ61">
        <v>116.4</v>
      </c>
      <c r="PA61">
        <v>96.9</v>
      </c>
      <c r="PB61">
        <v>114.7</v>
      </c>
      <c r="PC61">
        <v>111.4</v>
      </c>
      <c r="PD61">
        <v>106.1</v>
      </c>
      <c r="PE61">
        <v>106.2</v>
      </c>
      <c r="PF61">
        <v>108.7</v>
      </c>
      <c r="PG61">
        <v>93.5</v>
      </c>
      <c r="PH61">
        <v>109.2</v>
      </c>
      <c r="PI61">
        <v>107.4</v>
      </c>
      <c r="PJ61">
        <v>108.3</v>
      </c>
      <c r="PK61">
        <v>102.7</v>
      </c>
      <c r="PL61">
        <v>105</v>
      </c>
      <c r="PM61">
        <v>109.8</v>
      </c>
      <c r="PN61">
        <v>114.3</v>
      </c>
      <c r="PO61">
        <v>107.6</v>
      </c>
      <c r="PP61">
        <v>107.1</v>
      </c>
      <c r="PQ61">
        <v>107.7</v>
      </c>
      <c r="PR61">
        <v>106.4</v>
      </c>
      <c r="PS61">
        <v>108.2</v>
      </c>
      <c r="PT61">
        <v>108</v>
      </c>
      <c r="PU61">
        <v>107</v>
      </c>
      <c r="PV61">
        <v>103.5</v>
      </c>
      <c r="PW61">
        <v>102.7</v>
      </c>
      <c r="PX61">
        <v>104.3</v>
      </c>
      <c r="PY61">
        <v>112.8</v>
      </c>
      <c r="PZ61">
        <v>116.3</v>
      </c>
      <c r="QA61">
        <v>122.6</v>
      </c>
      <c r="QB61">
        <v>109.2</v>
      </c>
      <c r="QC61">
        <v>110.1</v>
      </c>
      <c r="QD61">
        <v>110.7</v>
      </c>
      <c r="QE61">
        <v>105.2</v>
      </c>
      <c r="QF61">
        <v>112.1</v>
      </c>
      <c r="QG61">
        <v>111.4</v>
      </c>
      <c r="QH61">
        <v>113.5</v>
      </c>
      <c r="QI61">
        <v>113.5</v>
      </c>
      <c r="QJ61">
        <v>107.1</v>
      </c>
      <c r="QK61">
        <v>108.3</v>
      </c>
      <c r="QL61">
        <v>98.5</v>
      </c>
      <c r="QM61">
        <v>112.4</v>
      </c>
      <c r="QN61">
        <v>114.2</v>
      </c>
      <c r="QO61">
        <v>113.8</v>
      </c>
      <c r="QP61">
        <v>110.9</v>
      </c>
      <c r="QQ61">
        <v>107.2</v>
      </c>
      <c r="QR61">
        <v>108.7</v>
      </c>
      <c r="QS61">
        <v>102.3</v>
      </c>
      <c r="QT61">
        <v>114.3</v>
      </c>
      <c r="QU61">
        <v>105.3</v>
      </c>
      <c r="QV61">
        <v>120.9</v>
      </c>
      <c r="QW61">
        <v>104.3</v>
      </c>
      <c r="QX61">
        <v>101.5</v>
      </c>
      <c r="QY61">
        <v>114.3</v>
      </c>
      <c r="QZ61">
        <v>113.2</v>
      </c>
      <c r="RA61">
        <v>118.1</v>
      </c>
      <c r="RB61">
        <v>114.5</v>
      </c>
      <c r="RC61">
        <v>108.8</v>
      </c>
      <c r="RD61">
        <v>103.2</v>
      </c>
      <c r="RE61">
        <v>107.8</v>
      </c>
      <c r="RF61">
        <v>114.7</v>
      </c>
      <c r="RG61">
        <v>108.4</v>
      </c>
      <c r="RH61">
        <v>103.5</v>
      </c>
      <c r="RI61">
        <v>105.3</v>
      </c>
      <c r="RJ61">
        <v>101</v>
      </c>
      <c r="RK61">
        <v>114.8</v>
      </c>
      <c r="RL61">
        <v>102</v>
      </c>
      <c r="RM61">
        <v>134.19999999999999</v>
      </c>
      <c r="RN61">
        <v>103.7</v>
      </c>
      <c r="RO61">
        <v>100.4</v>
      </c>
      <c r="RP61">
        <v>108.8</v>
      </c>
      <c r="RQ61">
        <v>105.5</v>
      </c>
      <c r="RR61">
        <v>102.3</v>
      </c>
      <c r="RS61">
        <v>110</v>
      </c>
      <c r="RT61">
        <v>117.7</v>
      </c>
      <c r="RU61">
        <v>123.4</v>
      </c>
      <c r="RV61">
        <v>125.4</v>
      </c>
      <c r="RW61">
        <v>98.9</v>
      </c>
      <c r="RX61">
        <v>101.6</v>
      </c>
      <c r="RY61">
        <v>111.3</v>
      </c>
      <c r="RZ61">
        <v>120.7</v>
      </c>
      <c r="SA61">
        <v>99.1</v>
      </c>
      <c r="SB61">
        <v>112</v>
      </c>
      <c r="SC61">
        <v>114.9</v>
      </c>
      <c r="SD61">
        <v>105.7</v>
      </c>
      <c r="SE61">
        <v>106.6</v>
      </c>
      <c r="SF61">
        <v>98.6</v>
      </c>
      <c r="SG61">
        <v>98.1</v>
      </c>
      <c r="SH61">
        <v>104.6</v>
      </c>
      <c r="SI61">
        <v>101.6</v>
      </c>
      <c r="SJ61">
        <v>101.8</v>
      </c>
      <c r="SK61">
        <v>98</v>
      </c>
      <c r="SL61">
        <v>105</v>
      </c>
      <c r="SM61">
        <v>101.8</v>
      </c>
      <c r="SN61">
        <v>101.1</v>
      </c>
      <c r="SO61">
        <v>104</v>
      </c>
      <c r="SP61">
        <v>100.6</v>
      </c>
      <c r="SQ61">
        <v>100.4</v>
      </c>
      <c r="SR61">
        <v>103.6</v>
      </c>
      <c r="SS61">
        <v>106.6</v>
      </c>
      <c r="ST61">
        <v>105.8</v>
      </c>
      <c r="SU61">
        <v>101.5</v>
      </c>
      <c r="SV61">
        <v>108.4</v>
      </c>
      <c r="SW61">
        <v>111.5</v>
      </c>
      <c r="SX61">
        <v>110.1</v>
      </c>
      <c r="SY61">
        <v>109.1</v>
      </c>
      <c r="SZ61">
        <v>113.4</v>
      </c>
      <c r="TA61">
        <v>111.5</v>
      </c>
      <c r="TB61">
        <v>99.2</v>
      </c>
      <c r="TC61">
        <v>98.9</v>
      </c>
      <c r="TD61">
        <v>100.2</v>
      </c>
      <c r="TE61">
        <v>109.6</v>
      </c>
      <c r="TF61">
        <v>106.8</v>
      </c>
      <c r="TG61">
        <v>106.5</v>
      </c>
      <c r="TH61">
        <v>104.4</v>
      </c>
      <c r="TI61">
        <v>103.7</v>
      </c>
      <c r="TJ61">
        <v>122.5</v>
      </c>
      <c r="TK61">
        <v>119.8</v>
      </c>
      <c r="TL61">
        <v>121.3</v>
      </c>
      <c r="TM61">
        <v>117.4</v>
      </c>
      <c r="TN61">
        <v>110.4</v>
      </c>
      <c r="TO61">
        <v>130</v>
      </c>
      <c r="TP61">
        <v>113</v>
      </c>
      <c r="TQ61">
        <v>115.4</v>
      </c>
      <c r="TR61">
        <v>99.7</v>
      </c>
      <c r="TS61">
        <v>103.1</v>
      </c>
      <c r="TT61">
        <v>106.6</v>
      </c>
      <c r="TU61">
        <v>116.7</v>
      </c>
      <c r="TV61">
        <v>118.3</v>
      </c>
      <c r="TW61">
        <v>100.2</v>
      </c>
      <c r="TX61">
        <v>102.4</v>
      </c>
      <c r="TY61">
        <v>100</v>
      </c>
      <c r="TZ61">
        <v>120.2</v>
      </c>
      <c r="UA61">
        <v>108.8</v>
      </c>
      <c r="UB61">
        <v>174.1</v>
      </c>
      <c r="UC61">
        <v>78.5</v>
      </c>
      <c r="UD61">
        <v>100.6</v>
      </c>
      <c r="UE61">
        <v>72</v>
      </c>
      <c r="UF61">
        <v>117.5</v>
      </c>
      <c r="UG61">
        <v>108.5</v>
      </c>
      <c r="UH61">
        <v>88</v>
      </c>
      <c r="UI61">
        <v>53.6</v>
      </c>
      <c r="UJ61">
        <v>110.7</v>
      </c>
      <c r="UK61">
        <v>106.9</v>
      </c>
      <c r="UL61">
        <v>101.3</v>
      </c>
      <c r="UM61">
        <v>97.8</v>
      </c>
      <c r="UN61">
        <v>94.6</v>
      </c>
      <c r="UO61">
        <v>96.3</v>
      </c>
      <c r="UP61">
        <v>103.6</v>
      </c>
      <c r="UQ61">
        <v>92.8</v>
      </c>
      <c r="UR61">
        <v>90.7</v>
      </c>
      <c r="US61">
        <v>98.5</v>
      </c>
      <c r="UT61">
        <v>100.7</v>
      </c>
      <c r="UU61">
        <v>99.7</v>
      </c>
      <c r="UV61">
        <v>102.9</v>
      </c>
      <c r="UW61">
        <v>108.2</v>
      </c>
      <c r="UX61">
        <v>109.7</v>
      </c>
      <c r="UY61">
        <v>106.9</v>
      </c>
      <c r="UZ61">
        <v>109.8</v>
      </c>
      <c r="VA61">
        <v>108.6</v>
      </c>
      <c r="VB61">
        <v>106.9</v>
      </c>
      <c r="VC61">
        <v>115.8</v>
      </c>
      <c r="VD61">
        <v>113.5</v>
      </c>
      <c r="VE61">
        <v>107.5</v>
      </c>
      <c r="VF61">
        <v>101.4</v>
      </c>
      <c r="VG61">
        <v>112.6</v>
      </c>
      <c r="VH61">
        <v>96.4</v>
      </c>
      <c r="VI61">
        <v>108.2</v>
      </c>
      <c r="VJ61">
        <v>109</v>
      </c>
      <c r="VK61">
        <v>115.5</v>
      </c>
      <c r="VL61">
        <v>140.30000000000001</v>
      </c>
      <c r="VM61">
        <v>121.2</v>
      </c>
      <c r="VN61">
        <v>117.4</v>
      </c>
      <c r="VO61">
        <v>110.9</v>
      </c>
      <c r="VP61">
        <v>115.8</v>
      </c>
      <c r="VQ61">
        <v>103.8</v>
      </c>
      <c r="VR61">
        <v>115.1</v>
      </c>
      <c r="VS61">
        <v>128.9</v>
      </c>
      <c r="VT61">
        <v>101.2</v>
      </c>
      <c r="VU61">
        <v>84.9</v>
      </c>
      <c r="VV61">
        <v>111.9</v>
      </c>
      <c r="VW61">
        <v>111.1</v>
      </c>
      <c r="VX61">
        <v>99.9</v>
      </c>
      <c r="VY61">
        <v>93.9</v>
      </c>
      <c r="VZ61">
        <v>107.8</v>
      </c>
      <c r="WA61">
        <v>119.7</v>
      </c>
      <c r="WB61">
        <v>106.2</v>
      </c>
      <c r="WC61">
        <v>100.1</v>
      </c>
      <c r="WD61">
        <v>99</v>
      </c>
      <c r="WE61">
        <v>111.2</v>
      </c>
      <c r="WF61">
        <v>108.8</v>
      </c>
      <c r="WG61">
        <v>110.9</v>
      </c>
      <c r="WH61">
        <v>118</v>
      </c>
      <c r="WI61">
        <v>119.5</v>
      </c>
      <c r="WJ61">
        <v>117.6</v>
      </c>
      <c r="WK61">
        <v>118</v>
      </c>
      <c r="WL61">
        <v>114.5</v>
      </c>
      <c r="WM61">
        <v>83.2</v>
      </c>
      <c r="WN61">
        <v>104.8</v>
      </c>
      <c r="WO61">
        <v>98.4</v>
      </c>
      <c r="WP61">
        <v>118.4</v>
      </c>
      <c r="WQ61">
        <v>125.3</v>
      </c>
      <c r="WR61">
        <v>117</v>
      </c>
      <c r="WS61">
        <v>120.6</v>
      </c>
      <c r="WT61">
        <v>112.1</v>
      </c>
      <c r="WU61">
        <v>100.8</v>
      </c>
      <c r="WV61">
        <v>116.5</v>
      </c>
      <c r="WW61">
        <v>109.7</v>
      </c>
      <c r="WX61">
        <v>113.1</v>
      </c>
      <c r="WY61">
        <v>113.6</v>
      </c>
      <c r="WZ61">
        <v>112.6</v>
      </c>
      <c r="XA61">
        <v>114.3</v>
      </c>
      <c r="XB61">
        <v>120.1</v>
      </c>
      <c r="XC61">
        <v>121.3</v>
      </c>
      <c r="XD61">
        <v>115.3</v>
      </c>
      <c r="XE61">
        <v>109</v>
      </c>
      <c r="XF61">
        <v>108.9</v>
      </c>
      <c r="XG61">
        <v>109</v>
      </c>
      <c r="XH61">
        <v>115.5</v>
      </c>
      <c r="XI61">
        <v>156.4</v>
      </c>
      <c r="XJ61">
        <v>156.4</v>
      </c>
      <c r="ABS61" s="1067">
        <f>XJ61*100/XJ58</f>
        <v>133.78956372968349</v>
      </c>
      <c r="ABT61" t="s">
        <v>327</v>
      </c>
    </row>
    <row r="62" spans="1:748">
      <c r="A62">
        <v>2025</v>
      </c>
    </row>
    <row r="63" spans="1:748">
      <c r="A63">
        <v>2026</v>
      </c>
    </row>
  </sheetData>
  <phoneticPr fontId="2"/>
  <hyperlinks>
    <hyperlink ref="ABS1" r:id="rId1" display="https://www.e-stat.go.jp/stat-search/files?page=1&amp;layout=datalist&amp;toukei=00200573&amp;tstat=000001150147&amp;cycle=0&amp;tclass1=000001150151&amp;tclass2=000001150152&amp;tclass3=000001150153&amp;tclass4=000001150155&amp;tclass5val=0" xr:uid="{5D21E37E-1EDC-4355-B842-A99CD0924BDB}"/>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BFEB-BCF0-4E61-9806-EAC079D40D00}">
  <sheetPr codeName="Sheet231">
    <tabColor rgb="FFFFC000"/>
  </sheetPr>
  <dimension ref="A1:CA180"/>
  <sheetViews>
    <sheetView workbookViewId="0">
      <selection sqref="A1:B1"/>
    </sheetView>
  </sheetViews>
  <sheetFormatPr defaultColWidth="8.54296875" defaultRowHeight="16"/>
  <cols>
    <col min="1" max="1" width="13.7265625" style="197" customWidth="1"/>
    <col min="2" max="2" width="16.7265625" style="197" customWidth="1"/>
    <col min="3" max="3" width="7.1796875" style="197" bestFit="1" customWidth="1"/>
    <col min="4" max="4" width="9" style="873" bestFit="1" customWidth="1"/>
    <col min="5" max="5" width="55.1796875" style="197" customWidth="1"/>
    <col min="6" max="6" width="14.26953125" style="880" customWidth="1"/>
    <col min="7" max="7" width="14.26953125" style="842" customWidth="1"/>
    <col min="8" max="8" width="14.26953125" style="198" customWidth="1"/>
    <col min="9" max="9" width="14.26953125" style="199" customWidth="1"/>
    <col min="10" max="10" width="23.81640625" style="199" customWidth="1"/>
    <col min="11" max="11" width="10.7265625" style="198" customWidth="1"/>
    <col min="12" max="14" width="16.453125" style="199" customWidth="1"/>
    <col min="15" max="15" width="36.81640625" style="199" customWidth="1"/>
    <col min="16" max="18" width="10.1796875" style="197" customWidth="1"/>
    <col min="19" max="20" width="10.1796875" style="844" customWidth="1"/>
    <col min="21" max="21" width="45.1796875" style="856" customWidth="1"/>
    <col min="22" max="22" width="11.54296875" style="197" customWidth="1"/>
    <col min="23" max="23" width="11.54296875" style="857" customWidth="1"/>
    <col min="24" max="24" width="11.54296875" style="858" customWidth="1"/>
    <col min="25" max="26" width="11.54296875" style="857" customWidth="1"/>
    <col min="27" max="27" width="15.1796875" style="859" customWidth="1"/>
    <col min="28" max="28" width="10.7265625" style="859" customWidth="1"/>
    <col min="29" max="29" width="45.1796875" style="197" customWidth="1"/>
    <col min="30" max="30" width="11.54296875" style="202" customWidth="1"/>
    <col min="31" max="31" width="11.54296875" style="200" customWidth="1"/>
    <col min="32" max="32" width="11.54296875" style="858" customWidth="1"/>
    <col min="33" max="34" width="11.54296875" style="200" customWidth="1"/>
    <col min="35" max="35" width="15.1796875" style="859" customWidth="1"/>
    <col min="36" max="36" width="10.7265625" style="859" customWidth="1"/>
    <col min="37" max="37" width="16.453125" style="854" customWidth="1"/>
    <col min="38" max="38" width="18.54296875" style="860" customWidth="1"/>
    <col min="39" max="41" width="18.54296875" style="868" customWidth="1"/>
    <col min="42" max="42" width="10.453125" style="858" customWidth="1"/>
    <col min="43" max="44" width="10.453125" style="861" customWidth="1"/>
    <col min="45" max="49" width="10.453125" style="858" customWidth="1"/>
    <col min="50" max="51" width="10.453125" style="861" customWidth="1"/>
    <col min="52" max="56" width="10.453125" style="858" customWidth="1"/>
    <col min="57" max="59" width="10.453125" style="861" customWidth="1"/>
    <col min="60" max="60" width="10.453125" style="858" customWidth="1"/>
    <col min="61" max="61" width="10.453125" style="861" customWidth="1"/>
    <col min="62" max="63" width="10.453125" style="858" customWidth="1"/>
    <col min="64" max="65" width="10.453125" style="861" customWidth="1"/>
    <col min="66" max="70" width="10.453125" style="858" customWidth="1"/>
    <col min="71" max="72" width="10.453125" style="861" customWidth="1"/>
    <col min="73" max="76" width="10.453125" style="858" customWidth="1"/>
    <col min="77" max="77" width="2.1796875" style="200" customWidth="1"/>
    <col min="78" max="79" width="36.453125" style="862" customWidth="1"/>
    <col min="80" max="16384" width="8.54296875" style="202"/>
  </cols>
  <sheetData>
    <row r="1" spans="1:79" s="214" customFormat="1" ht="35.15" customHeight="1" thickTop="1" thickBot="1">
      <c r="A1" s="6452" t="s">
        <v>2078</v>
      </c>
      <c r="B1" s="6393"/>
      <c r="C1" s="6395" t="s">
        <v>2079</v>
      </c>
      <c r="D1" s="6453" t="s">
        <v>2080</v>
      </c>
      <c r="E1" s="203" t="s">
        <v>2081</v>
      </c>
      <c r="F1" s="6454" t="s">
        <v>2082</v>
      </c>
      <c r="G1" s="6397"/>
      <c r="H1" s="6408" t="s">
        <v>2083</v>
      </c>
      <c r="I1" s="6408" t="s">
        <v>2084</v>
      </c>
      <c r="J1" s="6408" t="s">
        <v>2085</v>
      </c>
      <c r="K1" s="6408" t="s">
        <v>2086</v>
      </c>
      <c r="L1" s="6409" t="s">
        <v>2087</v>
      </c>
      <c r="M1" s="6410"/>
      <c r="N1" s="6411"/>
      <c r="O1" s="204" t="s">
        <v>2088</v>
      </c>
      <c r="P1" s="6462" t="s">
        <v>2089</v>
      </c>
      <c r="Q1" s="6463"/>
      <c r="R1" s="6464"/>
      <c r="S1" s="6465" t="s">
        <v>2090</v>
      </c>
      <c r="T1" s="6465"/>
      <c r="U1" s="6448" t="s">
        <v>2091</v>
      </c>
      <c r="V1" s="6449"/>
      <c r="W1" s="6449"/>
      <c r="X1" s="6449"/>
      <c r="Y1" s="6449"/>
      <c r="Z1" s="6449"/>
      <c r="AA1" s="6414" t="s">
        <v>2092</v>
      </c>
      <c r="AB1" s="6414" t="s">
        <v>2093</v>
      </c>
      <c r="AC1" s="6450" t="s">
        <v>2094</v>
      </c>
      <c r="AD1" s="6381"/>
      <c r="AE1" s="6381"/>
      <c r="AF1" s="6381"/>
      <c r="AG1" s="6381"/>
      <c r="AH1" s="6451"/>
      <c r="AI1" s="6413" t="s">
        <v>2092</v>
      </c>
      <c r="AJ1" s="6414" t="s">
        <v>2093</v>
      </c>
      <c r="AK1" s="6415" t="s">
        <v>2095</v>
      </c>
      <c r="AL1" s="6461" t="s">
        <v>2095</v>
      </c>
      <c r="AM1" s="6455" t="s">
        <v>2096</v>
      </c>
      <c r="AN1" s="6455" t="s">
        <v>2097</v>
      </c>
      <c r="AO1" s="6455" t="s">
        <v>2098</v>
      </c>
      <c r="AP1" s="205">
        <v>46269</v>
      </c>
      <c r="AQ1" s="206">
        <v>46270</v>
      </c>
      <c r="AR1" s="206">
        <v>46271</v>
      </c>
      <c r="AS1" s="205">
        <v>46272</v>
      </c>
      <c r="AT1" s="205">
        <v>46273</v>
      </c>
      <c r="AU1" s="205">
        <v>46274</v>
      </c>
      <c r="AV1" s="205">
        <v>46275</v>
      </c>
      <c r="AW1" s="205">
        <v>46276</v>
      </c>
      <c r="AX1" s="206">
        <v>46277</v>
      </c>
      <c r="AY1" s="206">
        <v>46278</v>
      </c>
      <c r="AZ1" s="205">
        <v>46279</v>
      </c>
      <c r="BA1" s="205">
        <v>46280</v>
      </c>
      <c r="BB1" s="205">
        <v>46281</v>
      </c>
      <c r="BC1" s="205">
        <v>46282</v>
      </c>
      <c r="BD1" s="207">
        <v>46283</v>
      </c>
      <c r="BE1" s="208">
        <v>46284</v>
      </c>
      <c r="BF1" s="209">
        <v>46285</v>
      </c>
      <c r="BG1" s="206">
        <v>46286</v>
      </c>
      <c r="BH1" s="205">
        <v>46287</v>
      </c>
      <c r="BI1" s="206">
        <v>46288</v>
      </c>
      <c r="BJ1" s="205">
        <v>46289</v>
      </c>
      <c r="BK1" s="205">
        <v>46290</v>
      </c>
      <c r="BL1" s="206">
        <v>46291</v>
      </c>
      <c r="BM1" s="206">
        <v>46292</v>
      </c>
      <c r="BN1" s="205">
        <v>46293</v>
      </c>
      <c r="BO1" s="205">
        <v>46294</v>
      </c>
      <c r="BP1" s="205">
        <v>46295</v>
      </c>
      <c r="BQ1" s="205">
        <v>46296</v>
      </c>
      <c r="BR1" s="205">
        <v>46297</v>
      </c>
      <c r="BS1" s="210">
        <v>46298</v>
      </c>
      <c r="BT1" s="208">
        <v>46299</v>
      </c>
      <c r="BU1" s="211">
        <v>46300</v>
      </c>
      <c r="BV1" s="205">
        <v>46301</v>
      </c>
      <c r="BW1" s="205">
        <v>46302</v>
      </c>
      <c r="BX1" s="212">
        <v>46303</v>
      </c>
      <c r="BY1" s="213"/>
      <c r="BZ1" s="6387" t="s">
        <v>2099</v>
      </c>
      <c r="CA1" s="6389" t="s">
        <v>2100</v>
      </c>
    </row>
    <row r="2" spans="1:79" s="245" customFormat="1" ht="50.5" customHeight="1" thickTop="1" thickBot="1">
      <c r="A2" s="215" t="s">
        <v>2101</v>
      </c>
      <c r="B2" s="216" t="s">
        <v>2102</v>
      </c>
      <c r="C2" s="6395"/>
      <c r="D2" s="6453"/>
      <c r="E2" s="217" t="s">
        <v>2103</v>
      </c>
      <c r="F2" s="881" t="s">
        <v>2104</v>
      </c>
      <c r="G2" s="218" t="s">
        <v>2105</v>
      </c>
      <c r="H2" s="6408"/>
      <c r="I2" s="6408"/>
      <c r="J2" s="6408"/>
      <c r="K2" s="6408"/>
      <c r="L2" s="219" t="s">
        <v>2106</v>
      </c>
      <c r="M2" s="220" t="s">
        <v>2107</v>
      </c>
      <c r="N2" s="221" t="s">
        <v>2108</v>
      </c>
      <c r="O2" s="222" t="s">
        <v>2109</v>
      </c>
      <c r="P2" s="223">
        <v>15000</v>
      </c>
      <c r="Q2" s="223">
        <v>12000</v>
      </c>
      <c r="R2" s="224" t="s">
        <v>255</v>
      </c>
      <c r="S2" s="223">
        <v>15000</v>
      </c>
      <c r="T2" s="223">
        <v>12000</v>
      </c>
      <c r="U2" s="225" t="s">
        <v>2110</v>
      </c>
      <c r="V2" s="225" t="s">
        <v>2111</v>
      </c>
      <c r="W2" s="226" t="s">
        <v>2112</v>
      </c>
      <c r="X2" s="227" t="s">
        <v>2113</v>
      </c>
      <c r="Y2" s="227" t="s">
        <v>2114</v>
      </c>
      <c r="Z2" s="227" t="s">
        <v>2115</v>
      </c>
      <c r="AA2" s="6414"/>
      <c r="AB2" s="6414"/>
      <c r="AC2" s="228" t="s">
        <v>2110</v>
      </c>
      <c r="AD2" s="229" t="s">
        <v>2111</v>
      </c>
      <c r="AE2" s="230" t="s">
        <v>2112</v>
      </c>
      <c r="AF2" s="231" t="s">
        <v>2113</v>
      </c>
      <c r="AG2" s="232" t="s">
        <v>2114</v>
      </c>
      <c r="AH2" s="233" t="s">
        <v>2115</v>
      </c>
      <c r="AI2" s="6413"/>
      <c r="AJ2" s="6414"/>
      <c r="AK2" s="6415"/>
      <c r="AL2" s="6461"/>
      <c r="AM2" s="6456"/>
      <c r="AN2" s="6456"/>
      <c r="AO2" s="6456"/>
      <c r="AP2" s="234" t="s">
        <v>2116</v>
      </c>
      <c r="AQ2" s="235" t="s">
        <v>2117</v>
      </c>
      <c r="AR2" s="235" t="s">
        <v>2118</v>
      </c>
      <c r="AS2" s="234" t="s">
        <v>2119</v>
      </c>
      <c r="AT2" s="234" t="s">
        <v>2120</v>
      </c>
      <c r="AU2" s="236" t="s">
        <v>2121</v>
      </c>
      <c r="AV2" s="236" t="s">
        <v>2122</v>
      </c>
      <c r="AW2" s="236" t="s">
        <v>2116</v>
      </c>
      <c r="AX2" s="237" t="s">
        <v>2117</v>
      </c>
      <c r="AY2" s="237" t="s">
        <v>2118</v>
      </c>
      <c r="AZ2" s="236" t="s">
        <v>2123</v>
      </c>
      <c r="BA2" s="236" t="s">
        <v>2124</v>
      </c>
      <c r="BB2" s="236" t="s">
        <v>2125</v>
      </c>
      <c r="BC2" s="236" t="s">
        <v>2126</v>
      </c>
      <c r="BD2" s="238" t="s">
        <v>2116</v>
      </c>
      <c r="BE2" s="239" t="s">
        <v>2117</v>
      </c>
      <c r="BF2" s="240" t="s">
        <v>2118</v>
      </c>
      <c r="BG2" s="237" t="s">
        <v>2123</v>
      </c>
      <c r="BH2" s="236" t="s">
        <v>2124</v>
      </c>
      <c r="BI2" s="237" t="s">
        <v>2125</v>
      </c>
      <c r="BJ2" s="236" t="s">
        <v>2126</v>
      </c>
      <c r="BK2" s="236" t="s">
        <v>2116</v>
      </c>
      <c r="BL2" s="237" t="s">
        <v>2117</v>
      </c>
      <c r="BM2" s="237" t="s">
        <v>2118</v>
      </c>
      <c r="BN2" s="236" t="s">
        <v>2123</v>
      </c>
      <c r="BO2" s="236" t="s">
        <v>2124</v>
      </c>
      <c r="BP2" s="236" t="s">
        <v>2125</v>
      </c>
      <c r="BQ2" s="236" t="s">
        <v>2126</v>
      </c>
      <c r="BR2" s="236" t="s">
        <v>2116</v>
      </c>
      <c r="BS2" s="241" t="s">
        <v>2117</v>
      </c>
      <c r="BT2" s="239" t="s">
        <v>2118</v>
      </c>
      <c r="BU2" s="242" t="s">
        <v>2123</v>
      </c>
      <c r="BV2" s="236" t="s">
        <v>2124</v>
      </c>
      <c r="BW2" s="236" t="s">
        <v>2125</v>
      </c>
      <c r="BX2" s="243" t="s">
        <v>2126</v>
      </c>
      <c r="BY2" s="244"/>
      <c r="BZ2" s="6388"/>
      <c r="CA2" s="6390"/>
    </row>
    <row r="3" spans="1:79" s="293" customFormat="1" ht="46" customHeight="1" thickTop="1" thickBot="1">
      <c r="A3" s="246" t="s">
        <v>2127</v>
      </c>
      <c r="B3" s="247" t="s">
        <v>2128</v>
      </c>
      <c r="C3" s="248">
        <v>1</v>
      </c>
      <c r="D3" s="249" t="s">
        <v>2129</v>
      </c>
      <c r="E3" s="250" t="s">
        <v>2130</v>
      </c>
      <c r="F3" s="251">
        <v>1500</v>
      </c>
      <c r="G3" s="251">
        <v>3000</v>
      </c>
      <c r="H3" s="252" t="s">
        <v>2131</v>
      </c>
      <c r="I3" s="253" t="s">
        <v>2131</v>
      </c>
      <c r="J3" s="254" t="s">
        <v>2132</v>
      </c>
      <c r="K3" s="255" t="s">
        <v>2131</v>
      </c>
      <c r="L3" s="256" t="s">
        <v>2133</v>
      </c>
      <c r="M3" s="256" t="s">
        <v>2133</v>
      </c>
      <c r="N3" s="256" t="s">
        <v>2134</v>
      </c>
      <c r="O3" s="257" t="s">
        <v>2135</v>
      </c>
      <c r="P3" s="258" t="s">
        <v>2133</v>
      </c>
      <c r="Q3" s="259" t="s">
        <v>2133</v>
      </c>
      <c r="R3" s="259"/>
      <c r="S3" s="260" t="s">
        <v>2136</v>
      </c>
      <c r="T3" s="260" t="s">
        <v>2136</v>
      </c>
      <c r="U3" s="261" t="s">
        <v>2137</v>
      </c>
      <c r="V3" s="261" t="s">
        <v>2138</v>
      </c>
      <c r="W3" s="262">
        <v>869</v>
      </c>
      <c r="X3" s="263">
        <v>2669</v>
      </c>
      <c r="Y3" s="264">
        <v>24</v>
      </c>
      <c r="Z3" s="265">
        <v>32</v>
      </c>
      <c r="AA3" s="266">
        <v>331</v>
      </c>
      <c r="AB3" s="267">
        <v>0.11033333333333334</v>
      </c>
      <c r="AC3" s="268" t="s">
        <v>2137</v>
      </c>
      <c r="AD3" s="269" t="s">
        <v>2138</v>
      </c>
      <c r="AE3" s="270">
        <v>705</v>
      </c>
      <c r="AF3" s="271">
        <v>2639</v>
      </c>
      <c r="AG3" s="272">
        <v>24</v>
      </c>
      <c r="AH3" s="273">
        <v>32</v>
      </c>
      <c r="AI3" s="274">
        <v>361</v>
      </c>
      <c r="AJ3" s="267">
        <v>0.12033333333333333</v>
      </c>
      <c r="AK3" s="275" t="s">
        <v>2139</v>
      </c>
      <c r="AL3" s="276" t="s">
        <v>2140</v>
      </c>
      <c r="AM3" s="277">
        <v>46281</v>
      </c>
      <c r="AN3" s="277">
        <v>46303</v>
      </c>
      <c r="AO3" s="278">
        <v>22</v>
      </c>
      <c r="AP3" s="279"/>
      <c r="AQ3" s="279"/>
      <c r="AR3" s="279"/>
      <c r="AS3" s="279"/>
      <c r="AT3" s="279"/>
      <c r="AU3" s="279"/>
      <c r="AV3" s="279"/>
      <c r="AW3" s="279"/>
      <c r="AX3" s="279"/>
      <c r="AY3" s="279"/>
      <c r="AZ3" s="279"/>
      <c r="BA3" s="280"/>
      <c r="BB3" s="281">
        <v>0</v>
      </c>
      <c r="BC3" s="282">
        <v>0</v>
      </c>
      <c r="BD3" s="283">
        <v>603</v>
      </c>
      <c r="BE3" s="284">
        <v>2074</v>
      </c>
      <c r="BF3" s="285">
        <v>2074</v>
      </c>
      <c r="BG3" s="286">
        <v>2074</v>
      </c>
      <c r="BH3" s="286">
        <v>2196</v>
      </c>
      <c r="BI3" s="286">
        <v>2339</v>
      </c>
      <c r="BJ3" s="286">
        <v>2339</v>
      </c>
      <c r="BK3" s="286">
        <v>2669</v>
      </c>
      <c r="BL3" s="286">
        <v>2669</v>
      </c>
      <c r="BM3" s="286">
        <v>2669</v>
      </c>
      <c r="BN3" s="286">
        <v>2669</v>
      </c>
      <c r="BO3" s="286">
        <v>2669</v>
      </c>
      <c r="BP3" s="286">
        <v>2121</v>
      </c>
      <c r="BQ3" s="286">
        <v>2121</v>
      </c>
      <c r="BR3" s="286">
        <v>596</v>
      </c>
      <c r="BS3" s="283">
        <v>596</v>
      </c>
      <c r="BT3" s="284">
        <v>596</v>
      </c>
      <c r="BU3" s="285">
        <v>473</v>
      </c>
      <c r="BV3" s="287">
        <v>0</v>
      </c>
      <c r="BW3" s="288">
        <v>0</v>
      </c>
      <c r="BX3" s="289">
        <v>0</v>
      </c>
      <c r="BY3" s="290"/>
      <c r="BZ3" s="291"/>
      <c r="CA3" s="292"/>
    </row>
    <row r="4" spans="1:79" ht="46" customHeight="1" thickBot="1">
      <c r="A4" s="294"/>
      <c r="B4" s="295"/>
      <c r="C4" s="296"/>
      <c r="D4" s="297" t="s">
        <v>2129</v>
      </c>
      <c r="E4" s="298"/>
      <c r="F4" s="299">
        <v>0</v>
      </c>
      <c r="G4" s="299">
        <v>0</v>
      </c>
      <c r="H4" s="300">
        <v>0</v>
      </c>
      <c r="I4" s="301">
        <v>0</v>
      </c>
      <c r="J4" s="301">
        <v>0</v>
      </c>
      <c r="K4" s="300">
        <v>0</v>
      </c>
      <c r="L4" s="301">
        <v>0</v>
      </c>
      <c r="M4" s="301">
        <v>0</v>
      </c>
      <c r="N4" s="301">
        <v>0</v>
      </c>
      <c r="O4" s="301" t="s">
        <v>2129</v>
      </c>
      <c r="P4" s="302" t="s">
        <v>2129</v>
      </c>
      <c r="Q4" s="302" t="s">
        <v>2129</v>
      </c>
      <c r="R4" s="303"/>
      <c r="S4" s="304"/>
      <c r="T4" s="304"/>
      <c r="U4" s="305" t="s">
        <v>2141</v>
      </c>
      <c r="V4" s="305" t="s">
        <v>2142</v>
      </c>
      <c r="W4" s="306">
        <v>234</v>
      </c>
      <c r="X4" s="307"/>
      <c r="Y4" s="308">
        <v>32</v>
      </c>
      <c r="Z4" s="309">
        <v>41</v>
      </c>
      <c r="AA4" s="310"/>
      <c r="AB4" s="311"/>
      <c r="AC4" s="312" t="s">
        <v>2141</v>
      </c>
      <c r="AD4" s="313" t="s">
        <v>2142</v>
      </c>
      <c r="AE4" s="314">
        <v>191</v>
      </c>
      <c r="AF4" s="315"/>
      <c r="AG4" s="316">
        <v>32</v>
      </c>
      <c r="AH4" s="317">
        <v>41</v>
      </c>
      <c r="AI4" s="318"/>
      <c r="AJ4" s="311"/>
      <c r="AK4" s="319"/>
      <c r="AL4" s="320" t="s">
        <v>2143</v>
      </c>
      <c r="AM4" s="277">
        <v>46281</v>
      </c>
      <c r="AN4" s="277">
        <v>46303</v>
      </c>
      <c r="AO4" s="278">
        <v>22</v>
      </c>
      <c r="AP4" s="321"/>
      <c r="AQ4" s="321"/>
      <c r="AR4" s="321"/>
      <c r="AS4" s="321"/>
      <c r="AT4" s="321"/>
      <c r="AU4" s="321"/>
      <c r="AV4" s="321"/>
      <c r="AW4" s="321"/>
      <c r="AX4" s="321"/>
      <c r="AY4" s="321"/>
      <c r="AZ4" s="321"/>
      <c r="BA4" s="322"/>
      <c r="BB4" s="323">
        <v>0</v>
      </c>
      <c r="BC4" s="324">
        <v>153</v>
      </c>
      <c r="BD4" s="325">
        <v>649</v>
      </c>
      <c r="BE4" s="326">
        <v>1825</v>
      </c>
      <c r="BF4" s="327">
        <v>1860</v>
      </c>
      <c r="BG4" s="328">
        <v>1881</v>
      </c>
      <c r="BH4" s="328">
        <v>1983</v>
      </c>
      <c r="BI4" s="328">
        <v>2100</v>
      </c>
      <c r="BJ4" s="328">
        <v>2100</v>
      </c>
      <c r="BK4" s="328">
        <v>2639</v>
      </c>
      <c r="BL4" s="328">
        <v>2639</v>
      </c>
      <c r="BM4" s="328">
        <v>2639</v>
      </c>
      <c r="BN4" s="328">
        <v>2604</v>
      </c>
      <c r="BO4" s="328">
        <v>2583</v>
      </c>
      <c r="BP4" s="328">
        <v>2137</v>
      </c>
      <c r="BQ4" s="328">
        <v>2137</v>
      </c>
      <c r="BR4" s="328">
        <v>913</v>
      </c>
      <c r="BS4" s="325">
        <v>760</v>
      </c>
      <c r="BT4" s="326">
        <v>760</v>
      </c>
      <c r="BU4" s="327">
        <v>656</v>
      </c>
      <c r="BV4" s="329">
        <v>0</v>
      </c>
      <c r="BW4" s="330">
        <v>0</v>
      </c>
      <c r="BX4" s="331">
        <v>0</v>
      </c>
      <c r="BY4" s="290"/>
      <c r="BZ4" s="332"/>
      <c r="CA4" s="333"/>
    </row>
    <row r="5" spans="1:79" ht="46" customHeight="1" thickTop="1" thickBot="1">
      <c r="A5" s="294"/>
      <c r="B5" s="295"/>
      <c r="C5" s="296"/>
      <c r="D5" s="297" t="s">
        <v>2129</v>
      </c>
      <c r="E5" s="298"/>
      <c r="F5" s="299">
        <v>0</v>
      </c>
      <c r="G5" s="299">
        <v>0</v>
      </c>
      <c r="H5" s="300">
        <v>0</v>
      </c>
      <c r="I5" s="301">
        <v>0</v>
      </c>
      <c r="J5" s="301">
        <v>0</v>
      </c>
      <c r="K5" s="300">
        <v>0</v>
      </c>
      <c r="L5" s="301">
        <v>0</v>
      </c>
      <c r="M5" s="301">
        <v>0</v>
      </c>
      <c r="N5" s="301">
        <v>0</v>
      </c>
      <c r="O5" s="301" t="s">
        <v>2129</v>
      </c>
      <c r="P5" s="302" t="s">
        <v>2129</v>
      </c>
      <c r="Q5" s="302" t="s">
        <v>2129</v>
      </c>
      <c r="R5" s="303"/>
      <c r="S5" s="304"/>
      <c r="T5" s="304"/>
      <c r="U5" s="305" t="s">
        <v>2144</v>
      </c>
      <c r="V5" s="305" t="s">
        <v>2138</v>
      </c>
      <c r="W5" s="306">
        <v>246</v>
      </c>
      <c r="X5" s="307"/>
      <c r="Y5" s="308">
        <v>25</v>
      </c>
      <c r="Z5" s="309">
        <v>25</v>
      </c>
      <c r="AA5" s="310"/>
      <c r="AB5" s="311"/>
      <c r="AC5" s="312" t="s">
        <v>2145</v>
      </c>
      <c r="AD5" s="313" t="s">
        <v>2138</v>
      </c>
      <c r="AE5" s="314">
        <v>162</v>
      </c>
      <c r="AF5" s="315"/>
      <c r="AG5" s="316">
        <v>22</v>
      </c>
      <c r="AH5" s="317">
        <v>27</v>
      </c>
      <c r="AI5" s="318"/>
      <c r="AJ5" s="311"/>
      <c r="AK5" s="334"/>
      <c r="AL5" s="335"/>
      <c r="AM5" s="277" t="s">
        <v>2129</v>
      </c>
      <c r="AN5" s="277" t="s">
        <v>2129</v>
      </c>
      <c r="AO5" s="278" t="s">
        <v>2129</v>
      </c>
      <c r="AP5" s="336"/>
      <c r="AQ5" s="336"/>
      <c r="AR5" s="336"/>
      <c r="AS5" s="336"/>
      <c r="AT5" s="336"/>
      <c r="AU5" s="336"/>
      <c r="AV5" s="336"/>
      <c r="AW5" s="336"/>
      <c r="AX5" s="336"/>
      <c r="AY5" s="336"/>
      <c r="AZ5" s="336"/>
      <c r="BA5" s="336"/>
      <c r="BB5" s="336"/>
      <c r="BC5" s="336"/>
      <c r="BD5" s="337"/>
      <c r="BE5" s="338"/>
      <c r="BF5" s="339"/>
      <c r="BG5" s="336"/>
      <c r="BH5" s="336"/>
      <c r="BI5" s="336"/>
      <c r="BJ5" s="336"/>
      <c r="BK5" s="336"/>
      <c r="BL5" s="336"/>
      <c r="BM5" s="336"/>
      <c r="BN5" s="336"/>
      <c r="BO5" s="336"/>
      <c r="BP5" s="336"/>
      <c r="BQ5" s="336"/>
      <c r="BR5" s="336"/>
      <c r="BS5" s="337"/>
      <c r="BT5" s="338"/>
      <c r="BU5" s="339"/>
      <c r="BV5" s="336"/>
      <c r="BW5" s="336"/>
      <c r="BX5" s="340"/>
      <c r="BY5" s="290"/>
      <c r="BZ5" s="332"/>
      <c r="CA5" s="333"/>
    </row>
    <row r="6" spans="1:79" ht="46" customHeight="1" thickBot="1">
      <c r="A6" s="294"/>
      <c r="B6" s="295"/>
      <c r="C6" s="296"/>
      <c r="D6" s="297" t="s">
        <v>2129</v>
      </c>
      <c r="E6" s="298"/>
      <c r="F6" s="299">
        <v>0</v>
      </c>
      <c r="G6" s="299">
        <v>0</v>
      </c>
      <c r="H6" s="300">
        <v>0</v>
      </c>
      <c r="I6" s="301">
        <v>0</v>
      </c>
      <c r="J6" s="301">
        <v>0</v>
      </c>
      <c r="K6" s="300">
        <v>0</v>
      </c>
      <c r="L6" s="301">
        <v>0</v>
      </c>
      <c r="M6" s="301">
        <v>0</v>
      </c>
      <c r="N6" s="301">
        <v>0</v>
      </c>
      <c r="O6" s="301" t="s">
        <v>2129</v>
      </c>
      <c r="P6" s="302" t="s">
        <v>2129</v>
      </c>
      <c r="Q6" s="302" t="s">
        <v>2129</v>
      </c>
      <c r="R6" s="303"/>
      <c r="S6" s="304"/>
      <c r="T6" s="304"/>
      <c r="U6" s="305" t="s">
        <v>2146</v>
      </c>
      <c r="V6" s="305" t="s">
        <v>2138</v>
      </c>
      <c r="W6" s="306">
        <v>314</v>
      </c>
      <c r="X6" s="307"/>
      <c r="Y6" s="308">
        <v>29</v>
      </c>
      <c r="Z6" s="309">
        <v>33</v>
      </c>
      <c r="AA6" s="310"/>
      <c r="AB6" s="311"/>
      <c r="AC6" s="312" t="s">
        <v>2147</v>
      </c>
      <c r="AD6" s="313" t="s">
        <v>2138</v>
      </c>
      <c r="AE6" s="314">
        <v>108</v>
      </c>
      <c r="AF6" s="315"/>
      <c r="AG6" s="316">
        <v>22</v>
      </c>
      <c r="AH6" s="317">
        <v>27</v>
      </c>
      <c r="AI6" s="318"/>
      <c r="AJ6" s="311"/>
      <c r="AK6" s="334"/>
      <c r="AL6" s="335"/>
      <c r="AM6" s="277" t="s">
        <v>2129</v>
      </c>
      <c r="AN6" s="277" t="s">
        <v>2129</v>
      </c>
      <c r="AO6" s="278" t="s">
        <v>2129</v>
      </c>
      <c r="AP6" s="336"/>
      <c r="AQ6" s="336"/>
      <c r="AR6" s="336"/>
      <c r="AS6" s="336"/>
      <c r="AT6" s="336"/>
      <c r="AU6" s="336"/>
      <c r="AV6" s="336"/>
      <c r="AW6" s="336"/>
      <c r="AX6" s="336"/>
      <c r="AY6" s="336"/>
      <c r="AZ6" s="336"/>
      <c r="BA6" s="336"/>
      <c r="BB6" s="336"/>
      <c r="BC6" s="336"/>
      <c r="BD6" s="337"/>
      <c r="BE6" s="338"/>
      <c r="BF6" s="339"/>
      <c r="BG6" s="336"/>
      <c r="BH6" s="336"/>
      <c r="BI6" s="336"/>
      <c r="BJ6" s="336"/>
      <c r="BK6" s="336"/>
      <c r="BL6" s="336"/>
      <c r="BM6" s="336"/>
      <c r="BN6" s="336"/>
      <c r="BO6" s="336"/>
      <c r="BP6" s="336"/>
      <c r="BQ6" s="336"/>
      <c r="BR6" s="336"/>
      <c r="BS6" s="337"/>
      <c r="BT6" s="338"/>
      <c r="BU6" s="339"/>
      <c r="BV6" s="336"/>
      <c r="BW6" s="336"/>
      <c r="BX6" s="340"/>
      <c r="BY6" s="290"/>
      <c r="BZ6" s="332"/>
      <c r="CA6" s="333"/>
    </row>
    <row r="7" spans="1:79" s="341" customFormat="1" ht="46" customHeight="1" thickBot="1">
      <c r="A7" s="294"/>
      <c r="B7" s="295"/>
      <c r="C7" s="296"/>
      <c r="D7" s="297" t="s">
        <v>2129</v>
      </c>
      <c r="E7" s="298"/>
      <c r="F7" s="299">
        <v>0</v>
      </c>
      <c r="G7" s="299">
        <v>0</v>
      </c>
      <c r="H7" s="300">
        <v>0</v>
      </c>
      <c r="I7" s="301">
        <v>0</v>
      </c>
      <c r="J7" s="301">
        <v>0</v>
      </c>
      <c r="K7" s="300">
        <v>0</v>
      </c>
      <c r="L7" s="301">
        <v>0</v>
      </c>
      <c r="M7" s="301">
        <v>0</v>
      </c>
      <c r="N7" s="301">
        <v>0</v>
      </c>
      <c r="O7" s="301"/>
      <c r="P7" s="302" t="s">
        <v>2129</v>
      </c>
      <c r="Q7" s="302" t="s">
        <v>2129</v>
      </c>
      <c r="R7" s="303"/>
      <c r="S7" s="304"/>
      <c r="T7" s="304"/>
      <c r="U7" s="305" t="s">
        <v>2148</v>
      </c>
      <c r="V7" s="305" t="s">
        <v>2138</v>
      </c>
      <c r="W7" s="306">
        <v>122</v>
      </c>
      <c r="X7" s="307"/>
      <c r="Y7" s="308">
        <v>10</v>
      </c>
      <c r="Z7" s="309">
        <v>18</v>
      </c>
      <c r="AA7" s="310"/>
      <c r="AB7" s="311"/>
      <c r="AC7" s="312" t="s">
        <v>2144</v>
      </c>
      <c r="AD7" s="313" t="s">
        <v>2138</v>
      </c>
      <c r="AE7" s="314">
        <v>201</v>
      </c>
      <c r="AF7" s="315"/>
      <c r="AG7" s="316">
        <v>25</v>
      </c>
      <c r="AH7" s="317">
        <v>25</v>
      </c>
      <c r="AI7" s="318"/>
      <c r="AJ7" s="311"/>
      <c r="AK7" s="334"/>
      <c r="AL7" s="335"/>
      <c r="AM7" s="277" t="s">
        <v>2129</v>
      </c>
      <c r="AN7" s="277" t="s">
        <v>2129</v>
      </c>
      <c r="AO7" s="278" t="s">
        <v>2129</v>
      </c>
      <c r="AP7" s="336"/>
      <c r="AQ7" s="336"/>
      <c r="AR7" s="336"/>
      <c r="AS7" s="336"/>
      <c r="AT7" s="336"/>
      <c r="AU7" s="336"/>
      <c r="AV7" s="336"/>
      <c r="AW7" s="336"/>
      <c r="AX7" s="336"/>
      <c r="AY7" s="336"/>
      <c r="AZ7" s="336"/>
      <c r="BA7" s="336"/>
      <c r="BB7" s="336"/>
      <c r="BC7" s="336"/>
      <c r="BD7" s="337"/>
      <c r="BE7" s="338"/>
      <c r="BF7" s="339"/>
      <c r="BG7" s="336"/>
      <c r="BH7" s="336"/>
      <c r="BI7" s="336"/>
      <c r="BJ7" s="336"/>
      <c r="BK7" s="336"/>
      <c r="BL7" s="336"/>
      <c r="BM7" s="336"/>
      <c r="BN7" s="336"/>
      <c r="BO7" s="336"/>
      <c r="BP7" s="336"/>
      <c r="BQ7" s="336"/>
      <c r="BR7" s="336"/>
      <c r="BS7" s="337"/>
      <c r="BT7" s="338"/>
      <c r="BU7" s="339"/>
      <c r="BV7" s="336"/>
      <c r="BW7" s="336"/>
      <c r="BX7" s="340"/>
      <c r="BY7" s="290"/>
      <c r="BZ7" s="332"/>
      <c r="CA7" s="333"/>
    </row>
    <row r="8" spans="1:79" ht="46" customHeight="1" thickBot="1">
      <c r="A8" s="294"/>
      <c r="B8" s="295"/>
      <c r="C8" s="296"/>
      <c r="D8" s="297" t="s">
        <v>2129</v>
      </c>
      <c r="E8" s="298"/>
      <c r="F8" s="299">
        <v>0</v>
      </c>
      <c r="G8" s="299">
        <v>0</v>
      </c>
      <c r="H8" s="300">
        <v>0</v>
      </c>
      <c r="I8" s="301">
        <v>0</v>
      </c>
      <c r="J8" s="301">
        <v>0</v>
      </c>
      <c r="K8" s="300">
        <v>0</v>
      </c>
      <c r="L8" s="301">
        <v>0</v>
      </c>
      <c r="M8" s="301">
        <v>0</v>
      </c>
      <c r="N8" s="301">
        <v>0</v>
      </c>
      <c r="O8" s="301"/>
      <c r="P8" s="302" t="s">
        <v>2129</v>
      </c>
      <c r="Q8" s="302" t="s">
        <v>2129</v>
      </c>
      <c r="R8" s="303"/>
      <c r="S8" s="304"/>
      <c r="T8" s="304"/>
      <c r="U8" s="305" t="s">
        <v>2149</v>
      </c>
      <c r="V8" s="305" t="s">
        <v>2150</v>
      </c>
      <c r="W8" s="306">
        <v>162</v>
      </c>
      <c r="X8" s="307"/>
      <c r="Y8" s="308">
        <v>12</v>
      </c>
      <c r="Z8" s="309">
        <v>16</v>
      </c>
      <c r="AA8" s="310"/>
      <c r="AB8" s="311"/>
      <c r="AC8" s="312" t="s">
        <v>2146</v>
      </c>
      <c r="AD8" s="313" t="s">
        <v>2138</v>
      </c>
      <c r="AE8" s="314">
        <v>255</v>
      </c>
      <c r="AF8" s="315"/>
      <c r="AG8" s="316">
        <v>29</v>
      </c>
      <c r="AH8" s="317">
        <v>33</v>
      </c>
      <c r="AI8" s="318"/>
      <c r="AJ8" s="311"/>
      <c r="AK8" s="334"/>
      <c r="AL8" s="335"/>
      <c r="AM8" s="277" t="s">
        <v>2129</v>
      </c>
      <c r="AN8" s="277" t="s">
        <v>2129</v>
      </c>
      <c r="AO8" s="278" t="s">
        <v>2129</v>
      </c>
      <c r="AP8" s="336"/>
      <c r="AQ8" s="336"/>
      <c r="AR8" s="336"/>
      <c r="AS8" s="336"/>
      <c r="AT8" s="336"/>
      <c r="AU8" s="336"/>
      <c r="AV8" s="336"/>
      <c r="AW8" s="336"/>
      <c r="AX8" s="336"/>
      <c r="AY8" s="336"/>
      <c r="AZ8" s="336"/>
      <c r="BA8" s="336"/>
      <c r="BB8" s="336"/>
      <c r="BC8" s="336"/>
      <c r="BD8" s="337"/>
      <c r="BE8" s="338"/>
      <c r="BF8" s="339"/>
      <c r="BG8" s="336"/>
      <c r="BH8" s="336"/>
      <c r="BI8" s="336"/>
      <c r="BJ8" s="336"/>
      <c r="BK8" s="336"/>
      <c r="BL8" s="336"/>
      <c r="BM8" s="336"/>
      <c r="BN8" s="336"/>
      <c r="BO8" s="336"/>
      <c r="BP8" s="336"/>
      <c r="BQ8" s="336"/>
      <c r="BR8" s="336"/>
      <c r="BS8" s="337"/>
      <c r="BT8" s="338"/>
      <c r="BU8" s="339"/>
      <c r="BV8" s="336"/>
      <c r="BW8" s="336"/>
      <c r="BX8" s="340"/>
      <c r="BY8" s="290"/>
      <c r="BZ8" s="332"/>
      <c r="CA8" s="333"/>
    </row>
    <row r="9" spans="1:79" ht="46" customHeight="1" thickBot="1">
      <c r="A9" s="294"/>
      <c r="B9" s="295"/>
      <c r="C9" s="296"/>
      <c r="D9" s="297" t="s">
        <v>2129</v>
      </c>
      <c r="E9" s="298"/>
      <c r="F9" s="299">
        <v>0</v>
      </c>
      <c r="G9" s="299">
        <v>0</v>
      </c>
      <c r="H9" s="300">
        <v>0</v>
      </c>
      <c r="I9" s="301">
        <v>0</v>
      </c>
      <c r="J9" s="301">
        <v>0</v>
      </c>
      <c r="K9" s="300">
        <v>0</v>
      </c>
      <c r="L9" s="301">
        <v>0</v>
      </c>
      <c r="M9" s="301">
        <v>0</v>
      </c>
      <c r="N9" s="301">
        <v>0</v>
      </c>
      <c r="O9" s="301"/>
      <c r="P9" s="302" t="s">
        <v>2129</v>
      </c>
      <c r="Q9" s="302" t="s">
        <v>2129</v>
      </c>
      <c r="R9" s="303"/>
      <c r="S9" s="304"/>
      <c r="T9" s="304"/>
      <c r="U9" s="305" t="s">
        <v>2151</v>
      </c>
      <c r="V9" s="305" t="s">
        <v>2150</v>
      </c>
      <c r="W9" s="306">
        <v>126</v>
      </c>
      <c r="X9" s="307"/>
      <c r="Y9" s="308">
        <v>12</v>
      </c>
      <c r="Z9" s="309">
        <v>16</v>
      </c>
      <c r="AA9" s="310"/>
      <c r="AB9" s="311"/>
      <c r="AC9" s="312" t="s">
        <v>2148</v>
      </c>
      <c r="AD9" s="313" t="s">
        <v>2138</v>
      </c>
      <c r="AE9" s="314">
        <v>102</v>
      </c>
      <c r="AF9" s="315"/>
      <c r="AG9" s="316">
        <v>10</v>
      </c>
      <c r="AH9" s="317">
        <v>18</v>
      </c>
      <c r="AI9" s="318"/>
      <c r="AJ9" s="311"/>
      <c r="AK9" s="334"/>
      <c r="AL9" s="335"/>
      <c r="AM9" s="277" t="s">
        <v>2129</v>
      </c>
      <c r="AN9" s="277" t="s">
        <v>2129</v>
      </c>
      <c r="AO9" s="278" t="s">
        <v>2129</v>
      </c>
      <c r="AP9" s="336"/>
      <c r="AQ9" s="336"/>
      <c r="AR9" s="336"/>
      <c r="AS9" s="336"/>
      <c r="AT9" s="336"/>
      <c r="AU9" s="336"/>
      <c r="AV9" s="336"/>
      <c r="AW9" s="336"/>
      <c r="AX9" s="336"/>
      <c r="AY9" s="336"/>
      <c r="AZ9" s="336"/>
      <c r="BA9" s="336"/>
      <c r="BB9" s="336"/>
      <c r="BC9" s="336"/>
      <c r="BD9" s="337"/>
      <c r="BE9" s="338"/>
      <c r="BF9" s="339"/>
      <c r="BG9" s="336"/>
      <c r="BH9" s="336"/>
      <c r="BI9" s="336"/>
      <c r="BJ9" s="336"/>
      <c r="BK9" s="336"/>
      <c r="BL9" s="336"/>
      <c r="BM9" s="336"/>
      <c r="BN9" s="336"/>
      <c r="BO9" s="336"/>
      <c r="BP9" s="336"/>
      <c r="BQ9" s="336"/>
      <c r="BR9" s="336"/>
      <c r="BS9" s="337"/>
      <c r="BT9" s="338"/>
      <c r="BU9" s="339"/>
      <c r="BV9" s="336"/>
      <c r="BW9" s="336"/>
      <c r="BX9" s="340"/>
      <c r="BY9" s="290"/>
      <c r="BZ9" s="332"/>
      <c r="CA9" s="333"/>
    </row>
    <row r="10" spans="1:79" ht="46" customHeight="1" thickBot="1">
      <c r="A10" s="294"/>
      <c r="B10" s="295"/>
      <c r="C10" s="296"/>
      <c r="D10" s="297" t="s">
        <v>2129</v>
      </c>
      <c r="E10" s="298"/>
      <c r="F10" s="299">
        <v>0</v>
      </c>
      <c r="G10" s="299">
        <v>0</v>
      </c>
      <c r="H10" s="300">
        <v>0</v>
      </c>
      <c r="I10" s="300">
        <v>0</v>
      </c>
      <c r="J10" s="301">
        <v>0</v>
      </c>
      <c r="K10" s="300">
        <v>0</v>
      </c>
      <c r="L10" s="301">
        <v>0</v>
      </c>
      <c r="M10" s="301">
        <v>0</v>
      </c>
      <c r="N10" s="301">
        <v>0</v>
      </c>
      <c r="O10" s="301"/>
      <c r="P10" s="302" t="s">
        <v>2129</v>
      </c>
      <c r="Q10" s="302" t="s">
        <v>2129</v>
      </c>
      <c r="R10" s="303"/>
      <c r="S10" s="304"/>
      <c r="T10" s="304"/>
      <c r="U10" s="305" t="s">
        <v>2152</v>
      </c>
      <c r="V10" s="305" t="s">
        <v>2138</v>
      </c>
      <c r="W10" s="306">
        <v>143</v>
      </c>
      <c r="X10" s="307"/>
      <c r="Y10" s="308">
        <v>1</v>
      </c>
      <c r="Z10" s="309">
        <v>1</v>
      </c>
      <c r="AA10" s="310"/>
      <c r="AB10" s="311"/>
      <c r="AC10" s="312" t="s">
        <v>2149</v>
      </c>
      <c r="AD10" s="313" t="s">
        <v>2150</v>
      </c>
      <c r="AE10" s="314">
        <v>108</v>
      </c>
      <c r="AF10" s="315"/>
      <c r="AG10" s="316">
        <v>12</v>
      </c>
      <c r="AH10" s="317">
        <v>16</v>
      </c>
      <c r="AI10" s="318"/>
      <c r="AJ10" s="311"/>
      <c r="AK10" s="334"/>
      <c r="AL10" s="335"/>
      <c r="AM10" s="277" t="s">
        <v>2129</v>
      </c>
      <c r="AN10" s="277" t="s">
        <v>2129</v>
      </c>
      <c r="AO10" s="278" t="s">
        <v>2129</v>
      </c>
      <c r="AP10" s="336"/>
      <c r="AQ10" s="336"/>
      <c r="AR10" s="336"/>
      <c r="AS10" s="336"/>
      <c r="AT10" s="336"/>
      <c r="AU10" s="336"/>
      <c r="AV10" s="336"/>
      <c r="AW10" s="336"/>
      <c r="AX10" s="336"/>
      <c r="AY10" s="336"/>
      <c r="AZ10" s="336"/>
      <c r="BA10" s="336"/>
      <c r="BB10" s="336"/>
      <c r="BC10" s="336"/>
      <c r="BD10" s="337"/>
      <c r="BE10" s="338"/>
      <c r="BF10" s="339"/>
      <c r="BG10" s="336"/>
      <c r="BH10" s="336"/>
      <c r="BI10" s="336"/>
      <c r="BJ10" s="336"/>
      <c r="BK10" s="336"/>
      <c r="BL10" s="336"/>
      <c r="BM10" s="336"/>
      <c r="BN10" s="336"/>
      <c r="BO10" s="336"/>
      <c r="BP10" s="336"/>
      <c r="BQ10" s="336"/>
      <c r="BR10" s="336"/>
      <c r="BS10" s="337"/>
      <c r="BT10" s="338"/>
      <c r="BU10" s="339"/>
      <c r="BV10" s="336"/>
      <c r="BW10" s="336"/>
      <c r="BX10" s="340"/>
      <c r="BY10" s="290"/>
      <c r="BZ10" s="332"/>
      <c r="CA10" s="333"/>
    </row>
    <row r="11" spans="1:79" s="341" customFormat="1" ht="46" customHeight="1" thickBot="1">
      <c r="A11" s="294"/>
      <c r="B11" s="295"/>
      <c r="C11" s="296"/>
      <c r="D11" s="297" t="s">
        <v>2129</v>
      </c>
      <c r="E11" s="298"/>
      <c r="F11" s="299">
        <v>0</v>
      </c>
      <c r="G11" s="299">
        <v>0</v>
      </c>
      <c r="H11" s="300">
        <v>0</v>
      </c>
      <c r="I11" s="301">
        <v>0</v>
      </c>
      <c r="J11" s="301">
        <v>0</v>
      </c>
      <c r="K11" s="300">
        <v>0</v>
      </c>
      <c r="L11" s="301">
        <v>0</v>
      </c>
      <c r="M11" s="301">
        <v>0</v>
      </c>
      <c r="N11" s="301">
        <v>0</v>
      </c>
      <c r="O11" s="301"/>
      <c r="P11" s="302" t="s">
        <v>2129</v>
      </c>
      <c r="Q11" s="302" t="s">
        <v>2129</v>
      </c>
      <c r="R11" s="303"/>
      <c r="S11" s="304"/>
      <c r="T11" s="304"/>
      <c r="U11" s="305" t="s">
        <v>2153</v>
      </c>
      <c r="V11" s="305" t="s">
        <v>2138</v>
      </c>
      <c r="W11" s="306">
        <v>123</v>
      </c>
      <c r="X11" s="307"/>
      <c r="Y11" s="308">
        <v>2</v>
      </c>
      <c r="Z11" s="309">
        <v>4</v>
      </c>
      <c r="AA11" s="310"/>
      <c r="AB11" s="311"/>
      <c r="AC11" s="312" t="s">
        <v>2151</v>
      </c>
      <c r="AD11" s="313" t="s">
        <v>2150</v>
      </c>
      <c r="AE11" s="314">
        <v>108</v>
      </c>
      <c r="AF11" s="315"/>
      <c r="AG11" s="316">
        <v>12</v>
      </c>
      <c r="AH11" s="317">
        <v>16</v>
      </c>
      <c r="AI11" s="318"/>
      <c r="AJ11" s="311"/>
      <c r="AK11" s="334"/>
      <c r="AL11" s="335"/>
      <c r="AM11" s="277" t="s">
        <v>2129</v>
      </c>
      <c r="AN11" s="277" t="s">
        <v>2129</v>
      </c>
      <c r="AO11" s="278" t="s">
        <v>2129</v>
      </c>
      <c r="AP11" s="336"/>
      <c r="AQ11" s="336"/>
      <c r="AR11" s="336"/>
      <c r="AS11" s="336"/>
      <c r="AT11" s="336"/>
      <c r="AU11" s="336"/>
      <c r="AV11" s="336"/>
      <c r="AW11" s="336"/>
      <c r="AX11" s="336"/>
      <c r="AY11" s="336"/>
      <c r="AZ11" s="336"/>
      <c r="BA11" s="336"/>
      <c r="BB11" s="336"/>
      <c r="BC11" s="336"/>
      <c r="BD11" s="337"/>
      <c r="BE11" s="338"/>
      <c r="BF11" s="339"/>
      <c r="BG11" s="336"/>
      <c r="BH11" s="336"/>
      <c r="BI11" s="336"/>
      <c r="BJ11" s="336"/>
      <c r="BK11" s="336"/>
      <c r="BL11" s="336"/>
      <c r="BM11" s="336"/>
      <c r="BN11" s="336"/>
      <c r="BO11" s="336"/>
      <c r="BP11" s="336"/>
      <c r="BQ11" s="336"/>
      <c r="BR11" s="336"/>
      <c r="BS11" s="337"/>
      <c r="BT11" s="338"/>
      <c r="BU11" s="339"/>
      <c r="BV11" s="336"/>
      <c r="BW11" s="336"/>
      <c r="BX11" s="340"/>
      <c r="BY11" s="290"/>
      <c r="BZ11" s="332"/>
      <c r="CA11" s="333"/>
    </row>
    <row r="12" spans="1:79" ht="46" customHeight="1" thickBot="1">
      <c r="A12" s="294"/>
      <c r="B12" s="295"/>
      <c r="C12" s="296"/>
      <c r="D12" s="297" t="s">
        <v>2129</v>
      </c>
      <c r="E12" s="298"/>
      <c r="F12" s="299">
        <v>0</v>
      </c>
      <c r="G12" s="299">
        <v>0</v>
      </c>
      <c r="H12" s="300">
        <v>0</v>
      </c>
      <c r="I12" s="301">
        <v>0</v>
      </c>
      <c r="J12" s="301">
        <v>0</v>
      </c>
      <c r="K12" s="300">
        <v>0</v>
      </c>
      <c r="L12" s="301">
        <v>0</v>
      </c>
      <c r="M12" s="301">
        <v>0</v>
      </c>
      <c r="N12" s="301">
        <v>0</v>
      </c>
      <c r="O12" s="301"/>
      <c r="P12" s="302" t="s">
        <v>2129</v>
      </c>
      <c r="Q12" s="302" t="s">
        <v>2129</v>
      </c>
      <c r="R12" s="303"/>
      <c r="S12" s="304"/>
      <c r="T12" s="304"/>
      <c r="U12" s="305" t="s">
        <v>2154</v>
      </c>
      <c r="V12" s="305" t="s">
        <v>2138</v>
      </c>
      <c r="W12" s="306">
        <v>330</v>
      </c>
      <c r="X12" s="307"/>
      <c r="Y12" s="308">
        <v>29</v>
      </c>
      <c r="Z12" s="309">
        <v>33</v>
      </c>
      <c r="AA12" s="310"/>
      <c r="AB12" s="311"/>
      <c r="AC12" s="312" t="s">
        <v>2152</v>
      </c>
      <c r="AD12" s="313" t="s">
        <v>2138</v>
      </c>
      <c r="AE12" s="314">
        <v>117</v>
      </c>
      <c r="AF12" s="315"/>
      <c r="AG12" s="316">
        <v>1</v>
      </c>
      <c r="AH12" s="317">
        <v>1</v>
      </c>
      <c r="AI12" s="318"/>
      <c r="AJ12" s="311"/>
      <c r="AK12" s="334"/>
      <c r="AL12" s="335"/>
      <c r="AM12" s="277" t="s">
        <v>2129</v>
      </c>
      <c r="AN12" s="277" t="s">
        <v>2129</v>
      </c>
      <c r="AO12" s="278" t="s">
        <v>2129</v>
      </c>
      <c r="AP12" s="336"/>
      <c r="AQ12" s="336"/>
      <c r="AR12" s="336"/>
      <c r="AS12" s="336"/>
      <c r="AT12" s="336"/>
      <c r="AU12" s="336"/>
      <c r="AV12" s="336"/>
      <c r="AW12" s="336"/>
      <c r="AX12" s="336"/>
      <c r="AY12" s="336"/>
      <c r="AZ12" s="336"/>
      <c r="BA12" s="336"/>
      <c r="BB12" s="336"/>
      <c r="BC12" s="336"/>
      <c r="BD12" s="337"/>
      <c r="BE12" s="338"/>
      <c r="BF12" s="339"/>
      <c r="BG12" s="336"/>
      <c r="BH12" s="336"/>
      <c r="BI12" s="336"/>
      <c r="BJ12" s="336"/>
      <c r="BK12" s="336"/>
      <c r="BL12" s="336"/>
      <c r="BM12" s="336"/>
      <c r="BN12" s="336"/>
      <c r="BO12" s="336"/>
      <c r="BP12" s="336"/>
      <c r="BQ12" s="336"/>
      <c r="BR12" s="336"/>
      <c r="BS12" s="337"/>
      <c r="BT12" s="338"/>
      <c r="BU12" s="339"/>
      <c r="BV12" s="336"/>
      <c r="BW12" s="336"/>
      <c r="BX12" s="340"/>
      <c r="BY12" s="290"/>
      <c r="BZ12" s="332"/>
      <c r="CA12" s="333"/>
    </row>
    <row r="13" spans="1:79" ht="46" customHeight="1" thickBot="1">
      <c r="A13" s="294"/>
      <c r="B13" s="295"/>
      <c r="C13" s="296"/>
      <c r="D13" s="297" t="s">
        <v>2129</v>
      </c>
      <c r="E13" s="298"/>
      <c r="F13" s="299">
        <v>0</v>
      </c>
      <c r="G13" s="299">
        <v>0</v>
      </c>
      <c r="H13" s="300">
        <v>0</v>
      </c>
      <c r="I13" s="301">
        <v>0</v>
      </c>
      <c r="J13" s="301">
        <v>0</v>
      </c>
      <c r="K13" s="300">
        <v>0</v>
      </c>
      <c r="L13" s="301">
        <v>0</v>
      </c>
      <c r="M13" s="301">
        <v>0</v>
      </c>
      <c r="N13" s="301">
        <v>0</v>
      </c>
      <c r="O13" s="301"/>
      <c r="P13" s="302" t="s">
        <v>2129</v>
      </c>
      <c r="Q13" s="302" t="s">
        <v>2129</v>
      </c>
      <c r="R13" s="303"/>
      <c r="S13" s="304"/>
      <c r="T13" s="304"/>
      <c r="U13" s="305" t="s">
        <v>2134</v>
      </c>
      <c r="V13" s="305" t="s">
        <v>2134</v>
      </c>
      <c r="W13" s="306">
        <v>0</v>
      </c>
      <c r="X13" s="307"/>
      <c r="Y13" s="308"/>
      <c r="Z13" s="309"/>
      <c r="AA13" s="310"/>
      <c r="AB13" s="311"/>
      <c r="AC13" s="312" t="s">
        <v>2155</v>
      </c>
      <c r="AD13" s="313" t="s">
        <v>2138</v>
      </c>
      <c r="AE13" s="314">
        <v>21</v>
      </c>
      <c r="AF13" s="315"/>
      <c r="AG13" s="316">
        <v>24</v>
      </c>
      <c r="AH13" s="317">
        <v>33</v>
      </c>
      <c r="AI13" s="318"/>
      <c r="AJ13" s="311"/>
      <c r="AK13" s="334"/>
      <c r="AL13" s="335"/>
      <c r="AM13" s="277" t="s">
        <v>2129</v>
      </c>
      <c r="AN13" s="277" t="s">
        <v>2129</v>
      </c>
      <c r="AO13" s="278" t="s">
        <v>2129</v>
      </c>
      <c r="AP13" s="336"/>
      <c r="AQ13" s="336"/>
      <c r="AR13" s="336"/>
      <c r="AS13" s="336"/>
      <c r="AT13" s="336"/>
      <c r="AU13" s="336"/>
      <c r="AV13" s="336"/>
      <c r="AW13" s="336"/>
      <c r="AX13" s="336"/>
      <c r="AY13" s="336"/>
      <c r="AZ13" s="336"/>
      <c r="BA13" s="336"/>
      <c r="BB13" s="336"/>
      <c r="BC13" s="336"/>
      <c r="BD13" s="337"/>
      <c r="BE13" s="338"/>
      <c r="BF13" s="339"/>
      <c r="BG13" s="336"/>
      <c r="BH13" s="336"/>
      <c r="BI13" s="336"/>
      <c r="BJ13" s="336"/>
      <c r="BK13" s="336"/>
      <c r="BL13" s="336"/>
      <c r="BM13" s="336"/>
      <c r="BN13" s="336"/>
      <c r="BO13" s="336"/>
      <c r="BP13" s="336"/>
      <c r="BQ13" s="336"/>
      <c r="BR13" s="336"/>
      <c r="BS13" s="337"/>
      <c r="BT13" s="338"/>
      <c r="BU13" s="339"/>
      <c r="BV13" s="336"/>
      <c r="BW13" s="336"/>
      <c r="BX13" s="340"/>
      <c r="BY13" s="290"/>
      <c r="BZ13" s="332"/>
      <c r="CA13" s="333"/>
    </row>
    <row r="14" spans="1:79" ht="46" customHeight="1" thickBot="1">
      <c r="A14" s="294"/>
      <c r="B14" s="295"/>
      <c r="C14" s="296"/>
      <c r="D14" s="297" t="s">
        <v>2129</v>
      </c>
      <c r="E14" s="298"/>
      <c r="F14" s="299">
        <v>0</v>
      </c>
      <c r="G14" s="299">
        <v>0</v>
      </c>
      <c r="H14" s="300">
        <v>0</v>
      </c>
      <c r="I14" s="301">
        <v>0</v>
      </c>
      <c r="J14" s="301">
        <v>0</v>
      </c>
      <c r="K14" s="300">
        <v>0</v>
      </c>
      <c r="L14" s="301">
        <v>0</v>
      </c>
      <c r="M14" s="301">
        <v>0</v>
      </c>
      <c r="N14" s="301">
        <v>0</v>
      </c>
      <c r="O14" s="301"/>
      <c r="P14" s="302" t="s">
        <v>2129</v>
      </c>
      <c r="Q14" s="302" t="s">
        <v>2129</v>
      </c>
      <c r="R14" s="303"/>
      <c r="S14" s="304"/>
      <c r="T14" s="304"/>
      <c r="U14" s="305" t="s">
        <v>2134</v>
      </c>
      <c r="V14" s="305" t="s">
        <v>2134</v>
      </c>
      <c r="W14" s="306">
        <v>0</v>
      </c>
      <c r="X14" s="307"/>
      <c r="Y14" s="308"/>
      <c r="Z14" s="309"/>
      <c r="AA14" s="310"/>
      <c r="AB14" s="311"/>
      <c r="AC14" s="312" t="s">
        <v>2156</v>
      </c>
      <c r="AD14" s="313" t="s">
        <v>2138</v>
      </c>
      <c r="AE14" s="314">
        <v>35</v>
      </c>
      <c r="AF14" s="315"/>
      <c r="AG14" s="316">
        <v>33</v>
      </c>
      <c r="AH14" s="317">
        <v>32</v>
      </c>
      <c r="AI14" s="318"/>
      <c r="AJ14" s="311"/>
      <c r="AK14" s="334"/>
      <c r="AL14" s="335"/>
      <c r="AM14" s="277" t="s">
        <v>2129</v>
      </c>
      <c r="AN14" s="277" t="s">
        <v>2129</v>
      </c>
      <c r="AO14" s="278" t="s">
        <v>2129</v>
      </c>
      <c r="AP14" s="336"/>
      <c r="AQ14" s="336"/>
      <c r="AR14" s="336"/>
      <c r="AS14" s="336"/>
      <c r="AT14" s="336"/>
      <c r="AU14" s="336"/>
      <c r="AV14" s="336"/>
      <c r="AW14" s="336"/>
      <c r="AX14" s="336"/>
      <c r="AY14" s="336"/>
      <c r="AZ14" s="336"/>
      <c r="BA14" s="336"/>
      <c r="BB14" s="336"/>
      <c r="BC14" s="336"/>
      <c r="BD14" s="337"/>
      <c r="BE14" s="338"/>
      <c r="BF14" s="339"/>
      <c r="BG14" s="336"/>
      <c r="BH14" s="336"/>
      <c r="BI14" s="336"/>
      <c r="BJ14" s="336"/>
      <c r="BK14" s="336"/>
      <c r="BL14" s="336"/>
      <c r="BM14" s="336"/>
      <c r="BN14" s="336"/>
      <c r="BO14" s="336"/>
      <c r="BP14" s="336"/>
      <c r="BQ14" s="336"/>
      <c r="BR14" s="336"/>
      <c r="BS14" s="337"/>
      <c r="BT14" s="338"/>
      <c r="BU14" s="339"/>
      <c r="BV14" s="336"/>
      <c r="BW14" s="336"/>
      <c r="BX14" s="340"/>
      <c r="BY14" s="290"/>
      <c r="BZ14" s="332"/>
      <c r="CA14" s="333"/>
    </row>
    <row r="15" spans="1:79" ht="46" customHeight="1" thickBot="1">
      <c r="A15" s="294"/>
      <c r="B15" s="295"/>
      <c r="C15" s="296"/>
      <c r="D15" s="297" t="s">
        <v>2129</v>
      </c>
      <c r="E15" s="298"/>
      <c r="F15" s="299">
        <v>0</v>
      </c>
      <c r="G15" s="299">
        <v>0</v>
      </c>
      <c r="H15" s="300">
        <v>0</v>
      </c>
      <c r="I15" s="301">
        <v>0</v>
      </c>
      <c r="J15" s="301">
        <v>0</v>
      </c>
      <c r="K15" s="300">
        <v>0</v>
      </c>
      <c r="L15" s="301">
        <v>0</v>
      </c>
      <c r="M15" s="301">
        <v>0</v>
      </c>
      <c r="N15" s="301">
        <v>0</v>
      </c>
      <c r="O15" s="301"/>
      <c r="P15" s="302" t="s">
        <v>2129</v>
      </c>
      <c r="Q15" s="302" t="s">
        <v>2129</v>
      </c>
      <c r="R15" s="303"/>
      <c r="S15" s="304"/>
      <c r="T15" s="304"/>
      <c r="U15" s="305" t="s">
        <v>2134</v>
      </c>
      <c r="V15" s="305" t="s">
        <v>2134</v>
      </c>
      <c r="W15" s="306">
        <v>0</v>
      </c>
      <c r="X15" s="307"/>
      <c r="Y15" s="308"/>
      <c r="Z15" s="309"/>
      <c r="AA15" s="310"/>
      <c r="AB15" s="311"/>
      <c r="AC15" s="312" t="s">
        <v>2157</v>
      </c>
      <c r="AD15" s="313" t="s">
        <v>2158</v>
      </c>
      <c r="AE15" s="314">
        <v>153</v>
      </c>
      <c r="AF15" s="315"/>
      <c r="AG15" s="316">
        <v>32</v>
      </c>
      <c r="AH15" s="317">
        <v>40</v>
      </c>
      <c r="AI15" s="318"/>
      <c r="AJ15" s="311"/>
      <c r="AK15" s="334"/>
      <c r="AL15" s="335"/>
      <c r="AM15" s="277" t="s">
        <v>2129</v>
      </c>
      <c r="AN15" s="277" t="s">
        <v>2129</v>
      </c>
      <c r="AO15" s="278" t="s">
        <v>2129</v>
      </c>
      <c r="AP15" s="336"/>
      <c r="AQ15" s="336"/>
      <c r="AR15" s="336"/>
      <c r="AS15" s="336"/>
      <c r="AT15" s="336"/>
      <c r="AU15" s="336"/>
      <c r="AV15" s="336"/>
      <c r="AW15" s="336"/>
      <c r="AX15" s="336"/>
      <c r="AY15" s="336"/>
      <c r="AZ15" s="336"/>
      <c r="BA15" s="336"/>
      <c r="BB15" s="336"/>
      <c r="BC15" s="336"/>
      <c r="BD15" s="337"/>
      <c r="BE15" s="338"/>
      <c r="BF15" s="339"/>
      <c r="BG15" s="336"/>
      <c r="BH15" s="336"/>
      <c r="BI15" s="336"/>
      <c r="BJ15" s="336"/>
      <c r="BK15" s="336"/>
      <c r="BL15" s="336"/>
      <c r="BM15" s="336"/>
      <c r="BN15" s="336"/>
      <c r="BO15" s="336"/>
      <c r="BP15" s="336"/>
      <c r="BQ15" s="336"/>
      <c r="BR15" s="336"/>
      <c r="BS15" s="337"/>
      <c r="BT15" s="338"/>
      <c r="BU15" s="339"/>
      <c r="BV15" s="336"/>
      <c r="BW15" s="336"/>
      <c r="BX15" s="340"/>
      <c r="BY15" s="290"/>
      <c r="BZ15" s="332"/>
      <c r="CA15" s="333"/>
    </row>
    <row r="16" spans="1:79" ht="46" customHeight="1" thickBot="1">
      <c r="A16" s="294"/>
      <c r="B16" s="295"/>
      <c r="C16" s="296"/>
      <c r="D16" s="297" t="s">
        <v>2129</v>
      </c>
      <c r="E16" s="298"/>
      <c r="F16" s="299">
        <v>0</v>
      </c>
      <c r="G16" s="299">
        <v>0</v>
      </c>
      <c r="H16" s="300">
        <v>0</v>
      </c>
      <c r="I16" s="301">
        <v>0</v>
      </c>
      <c r="J16" s="301">
        <v>0</v>
      </c>
      <c r="K16" s="300">
        <v>0</v>
      </c>
      <c r="L16" s="301">
        <v>0</v>
      </c>
      <c r="M16" s="301">
        <v>0</v>
      </c>
      <c r="N16" s="301">
        <v>0</v>
      </c>
      <c r="O16" s="301"/>
      <c r="P16" s="302" t="s">
        <v>2129</v>
      </c>
      <c r="Q16" s="302" t="s">
        <v>2129</v>
      </c>
      <c r="R16" s="303"/>
      <c r="S16" s="304"/>
      <c r="T16" s="304"/>
      <c r="U16" s="305" t="s">
        <v>2134</v>
      </c>
      <c r="V16" s="305" t="s">
        <v>2134</v>
      </c>
      <c r="W16" s="306">
        <v>0</v>
      </c>
      <c r="X16" s="307"/>
      <c r="Y16" s="308"/>
      <c r="Z16" s="309"/>
      <c r="AA16" s="310"/>
      <c r="AB16" s="311"/>
      <c r="AC16" s="312" t="s">
        <v>2153</v>
      </c>
      <c r="AD16" s="313" t="s">
        <v>2138</v>
      </c>
      <c r="AE16" s="314">
        <v>104</v>
      </c>
      <c r="AF16" s="315"/>
      <c r="AG16" s="316">
        <v>2</v>
      </c>
      <c r="AH16" s="317">
        <v>4</v>
      </c>
      <c r="AI16" s="318"/>
      <c r="AJ16" s="311"/>
      <c r="AK16" s="334"/>
      <c r="AL16" s="335"/>
      <c r="AM16" s="277" t="s">
        <v>2129</v>
      </c>
      <c r="AN16" s="277" t="s">
        <v>2129</v>
      </c>
      <c r="AO16" s="278" t="s">
        <v>2129</v>
      </c>
      <c r="AP16" s="336"/>
      <c r="AQ16" s="336"/>
      <c r="AR16" s="336"/>
      <c r="AS16" s="336"/>
      <c r="AT16" s="336"/>
      <c r="AU16" s="336"/>
      <c r="AV16" s="336"/>
      <c r="AW16" s="336"/>
      <c r="AX16" s="336"/>
      <c r="AY16" s="336"/>
      <c r="AZ16" s="336"/>
      <c r="BA16" s="336"/>
      <c r="BB16" s="336"/>
      <c r="BC16" s="336"/>
      <c r="BD16" s="337"/>
      <c r="BE16" s="338"/>
      <c r="BF16" s="339"/>
      <c r="BG16" s="336"/>
      <c r="BH16" s="336"/>
      <c r="BI16" s="336"/>
      <c r="BJ16" s="336"/>
      <c r="BK16" s="336"/>
      <c r="BL16" s="336"/>
      <c r="BM16" s="336"/>
      <c r="BN16" s="336"/>
      <c r="BO16" s="336"/>
      <c r="BP16" s="336"/>
      <c r="BQ16" s="336"/>
      <c r="BR16" s="336"/>
      <c r="BS16" s="337"/>
      <c r="BT16" s="338"/>
      <c r="BU16" s="339"/>
      <c r="BV16" s="336"/>
      <c r="BW16" s="336"/>
      <c r="BX16" s="340"/>
      <c r="BY16" s="290"/>
      <c r="BZ16" s="332"/>
      <c r="CA16" s="333"/>
    </row>
    <row r="17" spans="1:79" ht="46" customHeight="1" thickBot="1">
      <c r="A17" s="294"/>
      <c r="B17" s="342"/>
      <c r="C17" s="343"/>
      <c r="D17" s="344" t="s">
        <v>2129</v>
      </c>
      <c r="E17" s="345"/>
      <c r="F17" s="346">
        <v>0</v>
      </c>
      <c r="G17" s="346">
        <v>0</v>
      </c>
      <c r="H17" s="347">
        <v>0</v>
      </c>
      <c r="I17" s="348">
        <v>0</v>
      </c>
      <c r="J17" s="348">
        <v>0</v>
      </c>
      <c r="K17" s="347">
        <v>0</v>
      </c>
      <c r="L17" s="348">
        <v>0</v>
      </c>
      <c r="M17" s="348">
        <v>0</v>
      </c>
      <c r="N17" s="348">
        <v>0</v>
      </c>
      <c r="O17" s="348"/>
      <c r="P17" s="349" t="s">
        <v>2129</v>
      </c>
      <c r="Q17" s="349" t="s">
        <v>2129</v>
      </c>
      <c r="R17" s="350"/>
      <c r="S17" s="351"/>
      <c r="T17" s="351"/>
      <c r="U17" s="352" t="s">
        <v>2134</v>
      </c>
      <c r="V17" s="352" t="s">
        <v>2134</v>
      </c>
      <c r="W17" s="353">
        <v>0</v>
      </c>
      <c r="X17" s="354"/>
      <c r="Y17" s="355"/>
      <c r="Z17" s="356"/>
      <c r="AA17" s="357"/>
      <c r="AB17" s="358"/>
      <c r="AC17" s="359" t="s">
        <v>2154</v>
      </c>
      <c r="AD17" s="360" t="s">
        <v>2138</v>
      </c>
      <c r="AE17" s="361">
        <v>269</v>
      </c>
      <c r="AF17" s="362"/>
      <c r="AG17" s="363">
        <v>29</v>
      </c>
      <c r="AH17" s="364">
        <v>33</v>
      </c>
      <c r="AI17" s="365"/>
      <c r="AJ17" s="358"/>
      <c r="AK17" s="366"/>
      <c r="AL17" s="367"/>
      <c r="AM17" s="277" t="s">
        <v>2129</v>
      </c>
      <c r="AN17" s="277" t="s">
        <v>2129</v>
      </c>
      <c r="AO17" s="278" t="s">
        <v>2129</v>
      </c>
      <c r="AP17" s="368"/>
      <c r="AQ17" s="368"/>
      <c r="AR17" s="368"/>
      <c r="AS17" s="368"/>
      <c r="AT17" s="368"/>
      <c r="AU17" s="368"/>
      <c r="AV17" s="368"/>
      <c r="AW17" s="368"/>
      <c r="AX17" s="336"/>
      <c r="AY17" s="336"/>
      <c r="AZ17" s="336"/>
      <c r="BA17" s="336"/>
      <c r="BB17" s="336"/>
      <c r="BC17" s="336"/>
      <c r="BD17" s="337"/>
      <c r="BE17" s="338"/>
      <c r="BF17" s="339"/>
      <c r="BG17" s="336"/>
      <c r="BH17" s="336"/>
      <c r="BI17" s="336"/>
      <c r="BJ17" s="336"/>
      <c r="BK17" s="336"/>
      <c r="BL17" s="336"/>
      <c r="BM17" s="336"/>
      <c r="BN17" s="336"/>
      <c r="BO17" s="336"/>
      <c r="BP17" s="336"/>
      <c r="BQ17" s="336"/>
      <c r="BR17" s="336"/>
      <c r="BS17" s="337"/>
      <c r="BT17" s="338"/>
      <c r="BU17" s="339"/>
      <c r="BV17" s="336"/>
      <c r="BW17" s="336"/>
      <c r="BX17" s="369"/>
      <c r="BY17" s="290"/>
      <c r="BZ17" s="370"/>
      <c r="CA17" s="371"/>
    </row>
    <row r="18" spans="1:79" ht="46" customHeight="1" thickTop="1" thickBot="1">
      <c r="A18" s="294"/>
      <c r="B18" s="295" t="s">
        <v>2138</v>
      </c>
      <c r="C18" s="372">
        <v>2</v>
      </c>
      <c r="D18" s="871">
        <v>105</v>
      </c>
      <c r="E18" s="373" t="s">
        <v>2159</v>
      </c>
      <c r="F18" s="876">
        <v>245</v>
      </c>
      <c r="G18" s="374">
        <v>358</v>
      </c>
      <c r="H18" s="375">
        <v>19</v>
      </c>
      <c r="I18" s="376" t="s">
        <v>2134</v>
      </c>
      <c r="J18" s="376" t="s">
        <v>2132</v>
      </c>
      <c r="K18" s="375">
        <v>154</v>
      </c>
      <c r="L18" s="376" t="s">
        <v>2133</v>
      </c>
      <c r="M18" s="376" t="s">
        <v>2134</v>
      </c>
      <c r="N18" s="376" t="s">
        <v>2134</v>
      </c>
      <c r="O18" s="376" t="s">
        <v>2160</v>
      </c>
      <c r="P18" s="377" t="s">
        <v>2133</v>
      </c>
      <c r="Q18" s="377" t="s">
        <v>2133</v>
      </c>
      <c r="R18" s="378" t="s">
        <v>2161</v>
      </c>
      <c r="S18" s="379" t="s">
        <v>2136</v>
      </c>
      <c r="T18" s="379" t="s">
        <v>2136</v>
      </c>
      <c r="U18" s="380" t="s">
        <v>2162</v>
      </c>
      <c r="V18" s="380" t="s">
        <v>2138</v>
      </c>
      <c r="W18" s="381">
        <v>267</v>
      </c>
      <c r="X18" s="382">
        <v>521</v>
      </c>
      <c r="Y18" s="383">
        <v>4</v>
      </c>
      <c r="Z18" s="384">
        <v>11</v>
      </c>
      <c r="AA18" s="385">
        <v>91</v>
      </c>
      <c r="AB18" s="386">
        <v>0.25418994413407819</v>
      </c>
      <c r="AC18" s="387" t="s">
        <v>2162</v>
      </c>
      <c r="AD18" s="388" t="s">
        <v>2138</v>
      </c>
      <c r="AE18" s="389">
        <v>224</v>
      </c>
      <c r="AF18" s="390">
        <v>486</v>
      </c>
      <c r="AG18" s="391">
        <v>4</v>
      </c>
      <c r="AH18" s="392">
        <v>11</v>
      </c>
      <c r="AI18" s="393">
        <v>84</v>
      </c>
      <c r="AJ18" s="394">
        <v>0.23463687150837989</v>
      </c>
      <c r="AK18" s="395" t="s">
        <v>2163</v>
      </c>
      <c r="AL18" s="396" t="s">
        <v>2140</v>
      </c>
      <c r="AM18" s="865">
        <v>46277</v>
      </c>
      <c r="AN18" s="865">
        <v>46302</v>
      </c>
      <c r="AO18" s="866">
        <v>25</v>
      </c>
      <c r="AP18" s="397"/>
      <c r="AQ18" s="397"/>
      <c r="AR18" s="397"/>
      <c r="AS18" s="321"/>
      <c r="AT18" s="321"/>
      <c r="AU18" s="321"/>
      <c r="AV18" s="397"/>
      <c r="AW18" s="398"/>
      <c r="AX18" s="399">
        <v>0</v>
      </c>
      <c r="AY18" s="400">
        <v>0</v>
      </c>
      <c r="AZ18" s="400">
        <v>0</v>
      </c>
      <c r="BA18" s="286">
        <v>267</v>
      </c>
      <c r="BB18" s="286">
        <v>267</v>
      </c>
      <c r="BC18" s="286">
        <v>267</v>
      </c>
      <c r="BD18" s="283">
        <v>267</v>
      </c>
      <c r="BE18" s="284">
        <v>267</v>
      </c>
      <c r="BF18" s="285">
        <v>267</v>
      </c>
      <c r="BG18" s="286">
        <v>267</v>
      </c>
      <c r="BH18" s="286">
        <v>267</v>
      </c>
      <c r="BI18" s="286">
        <v>267</v>
      </c>
      <c r="BJ18" s="286">
        <v>267</v>
      </c>
      <c r="BK18" s="286">
        <v>267</v>
      </c>
      <c r="BL18" s="286">
        <v>267</v>
      </c>
      <c r="BM18" s="286">
        <v>254</v>
      </c>
      <c r="BN18" s="286">
        <v>254</v>
      </c>
      <c r="BO18" s="286">
        <v>254</v>
      </c>
      <c r="BP18" s="286">
        <v>254</v>
      </c>
      <c r="BQ18" s="286">
        <v>254</v>
      </c>
      <c r="BR18" s="286">
        <v>254</v>
      </c>
      <c r="BS18" s="283">
        <v>254</v>
      </c>
      <c r="BT18" s="284">
        <v>254</v>
      </c>
      <c r="BU18" s="285">
        <v>254</v>
      </c>
      <c r="BV18" s="401">
        <v>254</v>
      </c>
      <c r="BW18" s="402">
        <v>0</v>
      </c>
      <c r="BX18" s="403"/>
      <c r="BY18" s="290"/>
      <c r="BZ18" s="404"/>
      <c r="CA18" s="405"/>
    </row>
    <row r="19" spans="1:79" ht="46" customHeight="1" thickBot="1">
      <c r="A19" s="294"/>
      <c r="B19" s="295"/>
      <c r="C19" s="296"/>
      <c r="D19" s="297" t="s">
        <v>2129</v>
      </c>
      <c r="E19" s="298"/>
      <c r="F19" s="299">
        <v>0</v>
      </c>
      <c r="G19" s="299">
        <v>0</v>
      </c>
      <c r="H19" s="300">
        <v>0</v>
      </c>
      <c r="I19" s="301">
        <v>0</v>
      </c>
      <c r="J19" s="301">
        <v>0</v>
      </c>
      <c r="K19" s="300">
        <v>0</v>
      </c>
      <c r="L19" s="301">
        <v>0</v>
      </c>
      <c r="M19" s="301">
        <v>0</v>
      </c>
      <c r="N19" s="301">
        <v>0</v>
      </c>
      <c r="O19" s="301">
        <v>0</v>
      </c>
      <c r="P19" s="302" t="s">
        <v>2129</v>
      </c>
      <c r="Q19" s="302" t="s">
        <v>2129</v>
      </c>
      <c r="R19" s="303"/>
      <c r="S19" s="304"/>
      <c r="T19" s="304"/>
      <c r="U19" s="406" t="s">
        <v>2164</v>
      </c>
      <c r="V19" s="406" t="s">
        <v>2138</v>
      </c>
      <c r="W19" s="407">
        <v>254</v>
      </c>
      <c r="X19" s="408"/>
      <c r="Y19" s="409">
        <v>6</v>
      </c>
      <c r="Z19" s="410">
        <v>17</v>
      </c>
      <c r="AA19" s="411"/>
      <c r="AB19" s="412"/>
      <c r="AC19" s="413" t="s">
        <v>2164</v>
      </c>
      <c r="AD19" s="313" t="s">
        <v>2138</v>
      </c>
      <c r="AE19" s="314">
        <v>212</v>
      </c>
      <c r="AF19" s="315"/>
      <c r="AG19" s="414">
        <v>6</v>
      </c>
      <c r="AH19" s="415">
        <v>17</v>
      </c>
      <c r="AI19" s="318"/>
      <c r="AJ19" s="311"/>
      <c r="AK19" s="416"/>
      <c r="AL19" s="320" t="s">
        <v>2143</v>
      </c>
      <c r="AM19" s="277">
        <v>46277</v>
      </c>
      <c r="AN19" s="277">
        <v>46302</v>
      </c>
      <c r="AO19" s="278">
        <v>25</v>
      </c>
      <c r="AP19" s="321"/>
      <c r="AQ19" s="321"/>
      <c r="AR19" s="321"/>
      <c r="AS19" s="321"/>
      <c r="AT19" s="321"/>
      <c r="AU19" s="321"/>
      <c r="AV19" s="321"/>
      <c r="AW19" s="322"/>
      <c r="AX19" s="417">
        <v>0</v>
      </c>
      <c r="AY19" s="418">
        <v>0</v>
      </c>
      <c r="AZ19" s="418">
        <v>0</v>
      </c>
      <c r="BA19" s="328">
        <v>274</v>
      </c>
      <c r="BB19" s="328">
        <v>274</v>
      </c>
      <c r="BC19" s="328">
        <v>274</v>
      </c>
      <c r="BD19" s="325">
        <v>274</v>
      </c>
      <c r="BE19" s="326">
        <v>274</v>
      </c>
      <c r="BF19" s="327">
        <v>274</v>
      </c>
      <c r="BG19" s="328">
        <v>274</v>
      </c>
      <c r="BH19" s="328">
        <v>274</v>
      </c>
      <c r="BI19" s="328">
        <v>274</v>
      </c>
      <c r="BJ19" s="328">
        <v>224</v>
      </c>
      <c r="BK19" s="328">
        <v>224</v>
      </c>
      <c r="BL19" s="328">
        <v>224</v>
      </c>
      <c r="BM19" s="328">
        <v>212</v>
      </c>
      <c r="BN19" s="328">
        <v>212</v>
      </c>
      <c r="BO19" s="328">
        <v>212</v>
      </c>
      <c r="BP19" s="328">
        <v>212</v>
      </c>
      <c r="BQ19" s="328">
        <v>212</v>
      </c>
      <c r="BR19" s="328">
        <v>212</v>
      </c>
      <c r="BS19" s="325">
        <v>212</v>
      </c>
      <c r="BT19" s="326">
        <v>212</v>
      </c>
      <c r="BU19" s="327">
        <v>212</v>
      </c>
      <c r="BV19" s="328">
        <v>212</v>
      </c>
      <c r="BW19" s="419">
        <v>0</v>
      </c>
      <c r="BX19" s="331"/>
      <c r="BY19" s="290"/>
      <c r="BZ19" s="332"/>
      <c r="CA19" s="333"/>
    </row>
    <row r="20" spans="1:79" ht="46" customHeight="1" thickTop="1" thickBot="1">
      <c r="A20" s="294"/>
      <c r="B20" s="295"/>
      <c r="C20" s="420"/>
      <c r="D20" s="421" t="s">
        <v>2129</v>
      </c>
      <c r="E20" s="422"/>
      <c r="F20" s="423">
        <v>0</v>
      </c>
      <c r="G20" s="423">
        <v>0</v>
      </c>
      <c r="H20" s="424">
        <v>0</v>
      </c>
      <c r="I20" s="425">
        <v>0</v>
      </c>
      <c r="J20" s="425">
        <v>0</v>
      </c>
      <c r="K20" s="424">
        <v>0</v>
      </c>
      <c r="L20" s="425">
        <v>0</v>
      </c>
      <c r="M20" s="425">
        <v>0</v>
      </c>
      <c r="N20" s="425">
        <v>0</v>
      </c>
      <c r="O20" s="425">
        <v>0</v>
      </c>
      <c r="P20" s="426" t="s">
        <v>2129</v>
      </c>
      <c r="Q20" s="426" t="s">
        <v>2129</v>
      </c>
      <c r="R20" s="427"/>
      <c r="S20" s="428"/>
      <c r="T20" s="428"/>
      <c r="U20" s="429" t="s">
        <v>2134</v>
      </c>
      <c r="V20" s="429" t="s">
        <v>2134</v>
      </c>
      <c r="W20" s="430">
        <v>0</v>
      </c>
      <c r="X20" s="431"/>
      <c r="Y20" s="432"/>
      <c r="Z20" s="433"/>
      <c r="AA20" s="434"/>
      <c r="AB20" s="435"/>
      <c r="AC20" s="436" t="s">
        <v>2165</v>
      </c>
      <c r="AD20" s="437" t="s">
        <v>2138</v>
      </c>
      <c r="AE20" s="438">
        <v>50</v>
      </c>
      <c r="AF20" s="439"/>
      <c r="AG20" s="440">
        <v>6.2</v>
      </c>
      <c r="AH20" s="441">
        <v>19</v>
      </c>
      <c r="AI20" s="442"/>
      <c r="AJ20" s="435"/>
      <c r="AK20" s="443"/>
      <c r="AL20" s="444"/>
      <c r="AM20" s="277" t="s">
        <v>2129</v>
      </c>
      <c r="AN20" s="277" t="s">
        <v>2129</v>
      </c>
      <c r="AO20" s="278" t="s">
        <v>2129</v>
      </c>
      <c r="AP20" s="445"/>
      <c r="AQ20" s="336"/>
      <c r="AR20" s="336"/>
      <c r="AS20" s="336"/>
      <c r="AT20" s="336"/>
      <c r="AU20" s="336"/>
      <c r="AV20" s="336"/>
      <c r="AW20" s="336"/>
      <c r="AX20" s="336"/>
      <c r="AY20" s="336"/>
      <c r="AZ20" s="336"/>
      <c r="BA20" s="336"/>
      <c r="BB20" s="336"/>
      <c r="BC20" s="336"/>
      <c r="BD20" s="337"/>
      <c r="BE20" s="338"/>
      <c r="BF20" s="339"/>
      <c r="BG20" s="336"/>
      <c r="BH20" s="336"/>
      <c r="BI20" s="336"/>
      <c r="BJ20" s="336"/>
      <c r="BK20" s="336"/>
      <c r="BL20" s="336"/>
      <c r="BM20" s="445"/>
      <c r="BN20" s="445"/>
      <c r="BO20" s="445"/>
      <c r="BP20" s="445"/>
      <c r="BQ20" s="445"/>
      <c r="BR20" s="445"/>
      <c r="BS20" s="446"/>
      <c r="BT20" s="447"/>
      <c r="BU20" s="448"/>
      <c r="BV20" s="445"/>
      <c r="BW20" s="445"/>
      <c r="BX20" s="449"/>
      <c r="BY20" s="290"/>
      <c r="BZ20" s="450"/>
      <c r="CA20" s="451"/>
    </row>
    <row r="21" spans="1:79" ht="46" customHeight="1" thickTop="1" thickBot="1">
      <c r="A21" s="294"/>
      <c r="B21" s="295"/>
      <c r="C21" s="296">
        <v>3</v>
      </c>
      <c r="D21" s="870">
        <v>172</v>
      </c>
      <c r="E21" s="298" t="s">
        <v>2166</v>
      </c>
      <c r="F21" s="875">
        <v>204</v>
      </c>
      <c r="G21" s="299">
        <v>251</v>
      </c>
      <c r="H21" s="300">
        <v>9</v>
      </c>
      <c r="I21" s="301" t="s">
        <v>2167</v>
      </c>
      <c r="J21" s="301" t="s">
        <v>2132</v>
      </c>
      <c r="K21" s="300">
        <v>70</v>
      </c>
      <c r="L21" s="301" t="s">
        <v>2133</v>
      </c>
      <c r="M21" s="301" t="s">
        <v>2134</v>
      </c>
      <c r="N21" s="301" t="s">
        <v>2133</v>
      </c>
      <c r="O21" s="301" t="s">
        <v>2168</v>
      </c>
      <c r="P21" s="302" t="s">
        <v>2133</v>
      </c>
      <c r="Q21" s="302" t="s">
        <v>2129</v>
      </c>
      <c r="R21" s="303"/>
      <c r="S21" s="2721" t="s">
        <v>2169</v>
      </c>
      <c r="T21" s="2720"/>
      <c r="U21" s="452" t="s">
        <v>2170</v>
      </c>
      <c r="V21" s="452" t="s">
        <v>2171</v>
      </c>
      <c r="W21" s="453">
        <v>0</v>
      </c>
      <c r="X21" s="454">
        <v>0</v>
      </c>
      <c r="Y21" s="455">
        <v>26</v>
      </c>
      <c r="Z21" s="456">
        <v>28</v>
      </c>
      <c r="AA21" s="457">
        <v>119</v>
      </c>
      <c r="AB21" s="394">
        <v>0.47410358565737054</v>
      </c>
      <c r="AC21" s="458" t="s">
        <v>2172</v>
      </c>
      <c r="AD21" s="459" t="s">
        <v>2134</v>
      </c>
      <c r="AE21" s="460">
        <v>0</v>
      </c>
      <c r="AF21" s="315"/>
      <c r="AG21" s="461"/>
      <c r="AH21" s="462"/>
      <c r="AI21" s="318">
        <v>251</v>
      </c>
      <c r="AJ21" s="311">
        <v>1</v>
      </c>
      <c r="AK21" s="395" t="s">
        <v>2173</v>
      </c>
      <c r="AL21" s="320" t="s">
        <v>2174</v>
      </c>
      <c r="AM21" s="865">
        <v>46270</v>
      </c>
      <c r="AN21" s="865">
        <v>46291</v>
      </c>
      <c r="AO21" s="866">
        <v>21</v>
      </c>
      <c r="AP21" s="398"/>
      <c r="AQ21" s="463">
        <v>0</v>
      </c>
      <c r="AR21" s="464">
        <v>0</v>
      </c>
      <c r="AS21" s="464">
        <v>0</v>
      </c>
      <c r="AT21" s="465">
        <v>66</v>
      </c>
      <c r="AU21" s="465">
        <v>132</v>
      </c>
      <c r="AV21" s="465">
        <v>132</v>
      </c>
      <c r="AW21" s="465">
        <v>132</v>
      </c>
      <c r="AX21" s="465">
        <v>132</v>
      </c>
      <c r="AY21" s="465">
        <v>132</v>
      </c>
      <c r="AZ21" s="465">
        <v>132</v>
      </c>
      <c r="BA21" s="465">
        <v>132</v>
      </c>
      <c r="BB21" s="465">
        <v>132</v>
      </c>
      <c r="BC21" s="465">
        <v>132</v>
      </c>
      <c r="BD21" s="466">
        <v>132</v>
      </c>
      <c r="BE21" s="467">
        <v>132</v>
      </c>
      <c r="BF21" s="468">
        <v>132</v>
      </c>
      <c r="BG21" s="465">
        <v>132</v>
      </c>
      <c r="BH21" s="465">
        <v>132</v>
      </c>
      <c r="BI21" s="465">
        <v>132</v>
      </c>
      <c r="BJ21" s="465">
        <v>132</v>
      </c>
      <c r="BK21" s="465">
        <v>66</v>
      </c>
      <c r="BL21" s="469">
        <v>0</v>
      </c>
      <c r="BM21" s="470"/>
      <c r="BN21" s="397"/>
      <c r="BO21" s="397"/>
      <c r="BP21" s="397"/>
      <c r="BQ21" s="397"/>
      <c r="BR21" s="397"/>
      <c r="BS21" s="398"/>
      <c r="BT21" s="471"/>
      <c r="BU21" s="470"/>
      <c r="BV21" s="397"/>
      <c r="BW21" s="397"/>
      <c r="BX21" s="472"/>
      <c r="BY21" s="290"/>
      <c r="BZ21" s="332"/>
      <c r="CA21" s="333"/>
    </row>
    <row r="22" spans="1:79" ht="46" customHeight="1" thickTop="1" thickBot="1">
      <c r="A22" s="294"/>
      <c r="B22" s="295"/>
      <c r="C22" s="420"/>
      <c r="D22" s="421" t="s">
        <v>2129</v>
      </c>
      <c r="E22" s="422"/>
      <c r="F22" s="423">
        <v>0</v>
      </c>
      <c r="G22" s="423">
        <v>0</v>
      </c>
      <c r="H22" s="424">
        <v>0</v>
      </c>
      <c r="I22" s="425">
        <v>0</v>
      </c>
      <c r="J22" s="425">
        <v>0</v>
      </c>
      <c r="K22" s="424">
        <v>0</v>
      </c>
      <c r="L22" s="425">
        <v>0</v>
      </c>
      <c r="M22" s="425">
        <v>0</v>
      </c>
      <c r="N22" s="425">
        <v>0</v>
      </c>
      <c r="O22" s="425">
        <v>0</v>
      </c>
      <c r="P22" s="426" t="s">
        <v>2129</v>
      </c>
      <c r="Q22" s="426" t="s">
        <v>2129</v>
      </c>
      <c r="R22" s="427"/>
      <c r="S22" s="428"/>
      <c r="T22" s="428"/>
      <c r="U22" s="473"/>
      <c r="V22" s="473"/>
      <c r="W22" s="474"/>
      <c r="X22" s="431"/>
      <c r="Y22" s="475"/>
      <c r="Z22" s="476"/>
      <c r="AA22" s="434"/>
      <c r="AB22" s="435"/>
      <c r="AC22" s="477"/>
      <c r="AD22" s="478"/>
      <c r="AE22" s="479"/>
      <c r="AF22" s="439"/>
      <c r="AG22" s="480"/>
      <c r="AH22" s="481"/>
      <c r="AI22" s="442"/>
      <c r="AJ22" s="435"/>
      <c r="AK22" s="443"/>
      <c r="AL22" s="444" t="s">
        <v>2175</v>
      </c>
      <c r="AM22" s="277" t="s">
        <v>2129</v>
      </c>
      <c r="AN22" s="277" t="s">
        <v>2129</v>
      </c>
      <c r="AO22" s="278" t="s">
        <v>2129</v>
      </c>
      <c r="AP22" s="445"/>
      <c r="AQ22" s="445"/>
      <c r="AR22" s="445"/>
      <c r="AS22" s="445"/>
      <c r="AT22" s="445"/>
      <c r="AU22" s="445"/>
      <c r="AV22" s="445"/>
      <c r="AW22" s="445"/>
      <c r="AX22" s="336"/>
      <c r="AY22" s="336"/>
      <c r="AZ22" s="336"/>
      <c r="BA22" s="336"/>
      <c r="BB22" s="336"/>
      <c r="BC22" s="336"/>
      <c r="BD22" s="337"/>
      <c r="BE22" s="338"/>
      <c r="BF22" s="339"/>
      <c r="BG22" s="336"/>
      <c r="BH22" s="336"/>
      <c r="BI22" s="336"/>
      <c r="BJ22" s="336"/>
      <c r="BK22" s="336"/>
      <c r="BL22" s="336"/>
      <c r="BM22" s="336"/>
      <c r="BN22" s="336"/>
      <c r="BO22" s="336"/>
      <c r="BP22" s="336"/>
      <c r="BQ22" s="336"/>
      <c r="BR22" s="336"/>
      <c r="BS22" s="446"/>
      <c r="BT22" s="447"/>
      <c r="BU22" s="448"/>
      <c r="BV22" s="445"/>
      <c r="BW22" s="445"/>
      <c r="BX22" s="449"/>
      <c r="BY22" s="290"/>
      <c r="BZ22" s="450"/>
      <c r="CA22" s="451"/>
    </row>
    <row r="23" spans="1:79" ht="46" customHeight="1" thickTop="1" thickBot="1">
      <c r="A23" s="294"/>
      <c r="B23" s="295"/>
      <c r="C23" s="296">
        <v>4</v>
      </c>
      <c r="D23" s="870">
        <v>70</v>
      </c>
      <c r="E23" s="298" t="s">
        <v>2176</v>
      </c>
      <c r="F23" s="875">
        <v>233</v>
      </c>
      <c r="G23" s="299">
        <v>343</v>
      </c>
      <c r="H23" s="300">
        <v>0</v>
      </c>
      <c r="I23" s="301" t="s">
        <v>2167</v>
      </c>
      <c r="J23" s="301" t="s">
        <v>2132</v>
      </c>
      <c r="K23" s="300">
        <v>106</v>
      </c>
      <c r="L23" s="301" t="s">
        <v>2134</v>
      </c>
      <c r="M23" s="301" t="s">
        <v>2177</v>
      </c>
      <c r="N23" s="301" t="s">
        <v>2133</v>
      </c>
      <c r="O23" s="301" t="s">
        <v>2168</v>
      </c>
      <c r="P23" s="302" t="s">
        <v>2133</v>
      </c>
      <c r="Q23" s="302" t="s">
        <v>2133</v>
      </c>
      <c r="R23" s="303"/>
      <c r="S23" s="304" t="s">
        <v>2136</v>
      </c>
      <c r="T23" s="304" t="s">
        <v>2136</v>
      </c>
      <c r="U23" s="482" t="s">
        <v>2178</v>
      </c>
      <c r="V23" s="482" t="s">
        <v>2179</v>
      </c>
      <c r="W23" s="483">
        <v>323</v>
      </c>
      <c r="X23" s="307">
        <v>323</v>
      </c>
      <c r="Y23" s="484">
        <v>29</v>
      </c>
      <c r="Z23" s="485">
        <v>31</v>
      </c>
      <c r="AA23" s="310">
        <v>20</v>
      </c>
      <c r="AB23" s="311">
        <v>5.8309037900874633E-2</v>
      </c>
      <c r="AC23" s="486" t="s">
        <v>2178</v>
      </c>
      <c r="AD23" s="487" t="s">
        <v>2179</v>
      </c>
      <c r="AE23" s="488">
        <v>263</v>
      </c>
      <c r="AF23" s="315">
        <v>263</v>
      </c>
      <c r="AG23" s="489">
        <v>29</v>
      </c>
      <c r="AH23" s="490">
        <v>31</v>
      </c>
      <c r="AI23" s="318">
        <v>80</v>
      </c>
      <c r="AJ23" s="311">
        <v>0.23323615160349853</v>
      </c>
      <c r="AK23" s="491" t="s">
        <v>2180</v>
      </c>
      <c r="AL23" s="492" t="s">
        <v>2140</v>
      </c>
      <c r="AM23" s="865">
        <v>46277</v>
      </c>
      <c r="AN23" s="865">
        <v>46297</v>
      </c>
      <c r="AO23" s="866">
        <v>20</v>
      </c>
      <c r="AP23" s="493"/>
      <c r="AQ23" s="493"/>
      <c r="AR23" s="493"/>
      <c r="AS23" s="493"/>
      <c r="AT23" s="493"/>
      <c r="AU23" s="493"/>
      <c r="AV23" s="493"/>
      <c r="AW23" s="494"/>
      <c r="AX23" s="495">
        <v>0</v>
      </c>
      <c r="AY23" s="282">
        <v>0</v>
      </c>
      <c r="AZ23" s="282">
        <v>0</v>
      </c>
      <c r="BA23" s="286">
        <v>323</v>
      </c>
      <c r="BB23" s="286">
        <v>323</v>
      </c>
      <c r="BC23" s="286">
        <v>323</v>
      </c>
      <c r="BD23" s="283">
        <v>323</v>
      </c>
      <c r="BE23" s="284">
        <v>323</v>
      </c>
      <c r="BF23" s="285">
        <v>323</v>
      </c>
      <c r="BG23" s="286">
        <v>323</v>
      </c>
      <c r="BH23" s="286">
        <v>323</v>
      </c>
      <c r="BI23" s="286">
        <v>323</v>
      </c>
      <c r="BJ23" s="286">
        <v>323</v>
      </c>
      <c r="BK23" s="286">
        <v>323</v>
      </c>
      <c r="BL23" s="286">
        <v>323</v>
      </c>
      <c r="BM23" s="286">
        <v>323</v>
      </c>
      <c r="BN23" s="286">
        <v>323</v>
      </c>
      <c r="BO23" s="286">
        <v>323</v>
      </c>
      <c r="BP23" s="286">
        <v>323</v>
      </c>
      <c r="BQ23" s="286">
        <v>323</v>
      </c>
      <c r="BR23" s="402">
        <v>0</v>
      </c>
      <c r="BS23" s="496"/>
      <c r="BT23" s="497"/>
      <c r="BU23" s="498"/>
      <c r="BV23" s="493"/>
      <c r="BW23" s="493"/>
      <c r="BX23" s="499"/>
      <c r="BY23" s="290"/>
      <c r="BZ23" s="332"/>
      <c r="CA23" s="333"/>
    </row>
    <row r="24" spans="1:79" ht="46" customHeight="1" thickBot="1">
      <c r="A24" s="294"/>
      <c r="B24" s="295"/>
      <c r="C24" s="296"/>
      <c r="D24" s="297" t="s">
        <v>2129</v>
      </c>
      <c r="E24" s="298"/>
      <c r="F24" s="299">
        <v>0</v>
      </c>
      <c r="G24" s="299">
        <v>0</v>
      </c>
      <c r="H24" s="300">
        <v>0</v>
      </c>
      <c r="I24" s="301">
        <v>0</v>
      </c>
      <c r="J24" s="301">
        <v>0</v>
      </c>
      <c r="K24" s="300">
        <v>0</v>
      </c>
      <c r="L24" s="301">
        <v>0</v>
      </c>
      <c r="M24" s="301">
        <v>0</v>
      </c>
      <c r="N24" s="301">
        <v>0</v>
      </c>
      <c r="O24" s="301">
        <v>0</v>
      </c>
      <c r="P24" s="302" t="s">
        <v>2129</v>
      </c>
      <c r="Q24" s="302" t="s">
        <v>2129</v>
      </c>
      <c r="R24" s="303"/>
      <c r="S24" s="304"/>
      <c r="T24" s="304"/>
      <c r="U24" s="473"/>
      <c r="V24" s="473"/>
      <c r="W24" s="474"/>
      <c r="X24" s="431"/>
      <c r="Y24" s="475"/>
      <c r="Z24" s="476"/>
      <c r="AA24" s="434"/>
      <c r="AB24" s="435"/>
      <c r="AC24" s="477"/>
      <c r="AD24" s="478"/>
      <c r="AE24" s="479"/>
      <c r="AF24" s="439"/>
      <c r="AG24" s="480"/>
      <c r="AH24" s="481"/>
      <c r="AI24" s="442"/>
      <c r="AJ24" s="311"/>
      <c r="AK24" s="319"/>
      <c r="AL24" s="320" t="s">
        <v>2143</v>
      </c>
      <c r="AM24" s="277">
        <v>46277</v>
      </c>
      <c r="AN24" s="277">
        <v>46297</v>
      </c>
      <c r="AO24" s="278">
        <v>20</v>
      </c>
      <c r="AP24" s="321"/>
      <c r="AQ24" s="321"/>
      <c r="AR24" s="321"/>
      <c r="AS24" s="321"/>
      <c r="AT24" s="321"/>
      <c r="AU24" s="321"/>
      <c r="AV24" s="321"/>
      <c r="AW24" s="322"/>
      <c r="AX24" s="500">
        <v>0</v>
      </c>
      <c r="AY24" s="501">
        <v>0</v>
      </c>
      <c r="AZ24" s="501">
        <v>0</v>
      </c>
      <c r="BA24" s="321">
        <v>263</v>
      </c>
      <c r="BB24" s="321">
        <v>263</v>
      </c>
      <c r="BC24" s="321">
        <v>263</v>
      </c>
      <c r="BD24" s="322">
        <v>263</v>
      </c>
      <c r="BE24" s="502">
        <v>263</v>
      </c>
      <c r="BF24" s="503">
        <v>263</v>
      </c>
      <c r="BG24" s="321">
        <v>263</v>
      </c>
      <c r="BH24" s="321">
        <v>263</v>
      </c>
      <c r="BI24" s="321">
        <v>263</v>
      </c>
      <c r="BJ24" s="321">
        <v>263</v>
      </c>
      <c r="BK24" s="321">
        <v>263</v>
      </c>
      <c r="BL24" s="321">
        <v>263</v>
      </c>
      <c r="BM24" s="321">
        <v>263</v>
      </c>
      <c r="BN24" s="321">
        <v>263</v>
      </c>
      <c r="BO24" s="321">
        <v>263</v>
      </c>
      <c r="BP24" s="321">
        <v>263</v>
      </c>
      <c r="BQ24" s="321">
        <v>263</v>
      </c>
      <c r="BR24" s="504">
        <v>0</v>
      </c>
      <c r="BS24" s="505"/>
      <c r="BT24" s="502"/>
      <c r="BU24" s="503"/>
      <c r="BV24" s="321"/>
      <c r="BW24" s="506"/>
      <c r="BX24" s="507"/>
      <c r="BY24" s="290"/>
      <c r="BZ24" s="332"/>
      <c r="CA24" s="333"/>
    </row>
    <row r="25" spans="1:79" ht="46" customHeight="1" thickTop="1" thickBot="1">
      <c r="A25" s="294"/>
      <c r="B25" s="295"/>
      <c r="C25" s="372">
        <v>5</v>
      </c>
      <c r="D25" s="871">
        <v>24</v>
      </c>
      <c r="E25" s="373" t="s">
        <v>2181</v>
      </c>
      <c r="F25" s="876">
        <v>243</v>
      </c>
      <c r="G25" s="374">
        <v>322</v>
      </c>
      <c r="H25" s="375">
        <v>16</v>
      </c>
      <c r="I25" s="376" t="s">
        <v>2182</v>
      </c>
      <c r="J25" s="376" t="s">
        <v>2132</v>
      </c>
      <c r="K25" s="375">
        <v>122</v>
      </c>
      <c r="L25" s="376" t="s">
        <v>2134</v>
      </c>
      <c r="M25" s="376" t="s">
        <v>2134</v>
      </c>
      <c r="N25" s="376" t="s">
        <v>2134</v>
      </c>
      <c r="O25" s="376" t="s">
        <v>2183</v>
      </c>
      <c r="P25" s="377" t="s">
        <v>2133</v>
      </c>
      <c r="Q25" s="377" t="s">
        <v>2133</v>
      </c>
      <c r="R25" s="378"/>
      <c r="S25" s="379" t="s">
        <v>2136</v>
      </c>
      <c r="T25" s="379" t="s">
        <v>2136</v>
      </c>
      <c r="U25" s="508" t="s">
        <v>2184</v>
      </c>
      <c r="V25" s="508" t="s">
        <v>2138</v>
      </c>
      <c r="W25" s="509">
        <v>156</v>
      </c>
      <c r="X25" s="454">
        <v>293</v>
      </c>
      <c r="Y25" s="510">
        <v>10</v>
      </c>
      <c r="Z25" s="511">
        <v>20</v>
      </c>
      <c r="AA25" s="457">
        <v>29</v>
      </c>
      <c r="AB25" s="394">
        <v>9.0062111801242239E-2</v>
      </c>
      <c r="AC25" s="512" t="s">
        <v>2184</v>
      </c>
      <c r="AD25" s="388" t="s">
        <v>2138</v>
      </c>
      <c r="AE25" s="389">
        <v>117</v>
      </c>
      <c r="AF25" s="390">
        <v>234</v>
      </c>
      <c r="AG25" s="513">
        <v>10</v>
      </c>
      <c r="AH25" s="514">
        <v>20</v>
      </c>
      <c r="AI25" s="318">
        <v>88</v>
      </c>
      <c r="AJ25" s="394">
        <v>0.27329192546583853</v>
      </c>
      <c r="AK25" s="515" t="s">
        <v>2185</v>
      </c>
      <c r="AL25" s="396" t="s">
        <v>2140</v>
      </c>
      <c r="AM25" s="865">
        <v>46275</v>
      </c>
      <c r="AN25" s="865">
        <v>46301</v>
      </c>
      <c r="AO25" s="866">
        <v>26</v>
      </c>
      <c r="AP25" s="397"/>
      <c r="AQ25" s="397"/>
      <c r="AR25" s="397"/>
      <c r="AS25" s="397"/>
      <c r="AT25" s="397"/>
      <c r="AU25" s="398"/>
      <c r="AV25" s="495">
        <v>0</v>
      </c>
      <c r="AW25" s="282">
        <v>0</v>
      </c>
      <c r="AX25" s="282">
        <v>0</v>
      </c>
      <c r="AY25" s="286">
        <v>293</v>
      </c>
      <c r="AZ25" s="286">
        <v>293</v>
      </c>
      <c r="BA25" s="286">
        <v>293</v>
      </c>
      <c r="BB25" s="286">
        <v>293</v>
      </c>
      <c r="BC25" s="286">
        <v>293</v>
      </c>
      <c r="BD25" s="283">
        <v>293</v>
      </c>
      <c r="BE25" s="284">
        <v>293</v>
      </c>
      <c r="BF25" s="285">
        <v>293</v>
      </c>
      <c r="BG25" s="286">
        <v>293</v>
      </c>
      <c r="BH25" s="286">
        <v>293</v>
      </c>
      <c r="BI25" s="286">
        <v>293</v>
      </c>
      <c r="BJ25" s="286">
        <v>293</v>
      </c>
      <c r="BK25" s="286">
        <v>293</v>
      </c>
      <c r="BL25" s="286">
        <v>293</v>
      </c>
      <c r="BM25" s="286">
        <v>293</v>
      </c>
      <c r="BN25" s="286">
        <v>293</v>
      </c>
      <c r="BO25" s="286">
        <v>293</v>
      </c>
      <c r="BP25" s="286">
        <v>293</v>
      </c>
      <c r="BQ25" s="286">
        <v>293</v>
      </c>
      <c r="BR25" s="286">
        <v>293</v>
      </c>
      <c r="BS25" s="283">
        <v>293</v>
      </c>
      <c r="BT25" s="284">
        <v>293</v>
      </c>
      <c r="BU25" s="285">
        <v>293</v>
      </c>
      <c r="BV25" s="402">
        <v>0</v>
      </c>
      <c r="BW25" s="498"/>
      <c r="BX25" s="472"/>
      <c r="BY25" s="290"/>
      <c r="BZ25" s="404"/>
      <c r="CA25" s="405"/>
    </row>
    <row r="26" spans="1:79" s="521" customFormat="1" ht="46" customHeight="1" thickBot="1">
      <c r="A26" s="294"/>
      <c r="B26" s="295"/>
      <c r="C26" s="420"/>
      <c r="D26" s="421" t="s">
        <v>2129</v>
      </c>
      <c r="E26" s="422"/>
      <c r="F26" s="423">
        <v>0</v>
      </c>
      <c r="G26" s="423">
        <v>0</v>
      </c>
      <c r="H26" s="424">
        <v>0</v>
      </c>
      <c r="I26" s="425">
        <v>0</v>
      </c>
      <c r="J26" s="425">
        <v>0</v>
      </c>
      <c r="K26" s="424">
        <v>0</v>
      </c>
      <c r="L26" s="425">
        <v>0</v>
      </c>
      <c r="M26" s="425">
        <v>0</v>
      </c>
      <c r="N26" s="425">
        <v>0</v>
      </c>
      <c r="O26" s="425">
        <v>0</v>
      </c>
      <c r="P26" s="426" t="s">
        <v>2129</v>
      </c>
      <c r="Q26" s="426" t="s">
        <v>2129</v>
      </c>
      <c r="R26" s="427"/>
      <c r="S26" s="428"/>
      <c r="T26" s="428"/>
      <c r="U26" s="429" t="s">
        <v>2186</v>
      </c>
      <c r="V26" s="429" t="s">
        <v>2138</v>
      </c>
      <c r="W26" s="430">
        <v>137</v>
      </c>
      <c r="X26" s="431"/>
      <c r="Y26" s="432">
        <v>10</v>
      </c>
      <c r="Z26" s="433">
        <v>20</v>
      </c>
      <c r="AA26" s="434"/>
      <c r="AB26" s="435"/>
      <c r="AC26" s="436" t="s">
        <v>2186</v>
      </c>
      <c r="AD26" s="437" t="s">
        <v>2138</v>
      </c>
      <c r="AE26" s="438">
        <v>117</v>
      </c>
      <c r="AF26" s="439"/>
      <c r="AG26" s="440">
        <v>10</v>
      </c>
      <c r="AH26" s="516">
        <v>20</v>
      </c>
      <c r="AI26" s="442"/>
      <c r="AJ26" s="435"/>
      <c r="AK26" s="517"/>
      <c r="AL26" s="518" t="s">
        <v>2143</v>
      </c>
      <c r="AM26" s="277">
        <v>46275</v>
      </c>
      <c r="AN26" s="277">
        <v>46301</v>
      </c>
      <c r="AO26" s="278">
        <v>26</v>
      </c>
      <c r="AP26" s="506"/>
      <c r="AQ26" s="506"/>
      <c r="AR26" s="506"/>
      <c r="AS26" s="506"/>
      <c r="AT26" s="506"/>
      <c r="AU26" s="519"/>
      <c r="AV26" s="417">
        <v>0</v>
      </c>
      <c r="AW26" s="418">
        <v>0</v>
      </c>
      <c r="AX26" s="501">
        <v>0</v>
      </c>
      <c r="AY26" s="321">
        <v>234</v>
      </c>
      <c r="AZ26" s="321">
        <v>234</v>
      </c>
      <c r="BA26" s="321">
        <v>234</v>
      </c>
      <c r="BB26" s="321">
        <v>234</v>
      </c>
      <c r="BC26" s="321">
        <v>234</v>
      </c>
      <c r="BD26" s="322">
        <v>234</v>
      </c>
      <c r="BE26" s="502">
        <v>234</v>
      </c>
      <c r="BF26" s="503">
        <v>234</v>
      </c>
      <c r="BG26" s="321">
        <v>234</v>
      </c>
      <c r="BH26" s="321">
        <v>234</v>
      </c>
      <c r="BI26" s="321">
        <v>234</v>
      </c>
      <c r="BJ26" s="321">
        <v>234</v>
      </c>
      <c r="BK26" s="321">
        <v>234</v>
      </c>
      <c r="BL26" s="321">
        <v>234</v>
      </c>
      <c r="BM26" s="321">
        <v>234</v>
      </c>
      <c r="BN26" s="321">
        <v>234</v>
      </c>
      <c r="BO26" s="321">
        <v>234</v>
      </c>
      <c r="BP26" s="321">
        <v>234</v>
      </c>
      <c r="BQ26" s="321">
        <v>234</v>
      </c>
      <c r="BR26" s="321">
        <v>234</v>
      </c>
      <c r="BS26" s="322">
        <v>234</v>
      </c>
      <c r="BT26" s="502">
        <v>234</v>
      </c>
      <c r="BU26" s="503">
        <v>234</v>
      </c>
      <c r="BV26" s="504">
        <v>0</v>
      </c>
      <c r="BW26" s="503"/>
      <c r="BX26" s="520"/>
      <c r="BY26" s="290"/>
      <c r="BZ26" s="450"/>
      <c r="CA26" s="451"/>
    </row>
    <row r="27" spans="1:79" ht="46" customHeight="1" thickTop="1" thickBot="1">
      <c r="A27" s="294"/>
      <c r="B27" s="295"/>
      <c r="C27" s="296">
        <v>6</v>
      </c>
      <c r="D27" s="870">
        <v>160</v>
      </c>
      <c r="E27" s="298" t="s">
        <v>2187</v>
      </c>
      <c r="F27" s="875">
        <v>242</v>
      </c>
      <c r="G27" s="299">
        <v>286</v>
      </c>
      <c r="H27" s="300">
        <v>0</v>
      </c>
      <c r="I27" s="301" t="s">
        <v>2167</v>
      </c>
      <c r="J27" s="522" t="s">
        <v>2132</v>
      </c>
      <c r="K27" s="300">
        <v>58</v>
      </c>
      <c r="L27" s="301" t="s">
        <v>2134</v>
      </c>
      <c r="M27" s="301" t="s">
        <v>2134</v>
      </c>
      <c r="N27" s="301" t="s">
        <v>2133</v>
      </c>
      <c r="O27" s="301" t="s">
        <v>2168</v>
      </c>
      <c r="P27" s="302" t="s">
        <v>2133</v>
      </c>
      <c r="Q27" s="302" t="s">
        <v>2133</v>
      </c>
      <c r="R27" s="303"/>
      <c r="S27" s="304" t="s">
        <v>2136</v>
      </c>
      <c r="T27" s="304" t="s">
        <v>2136</v>
      </c>
      <c r="U27" s="523" t="s">
        <v>2188</v>
      </c>
      <c r="V27" s="523" t="s">
        <v>2138</v>
      </c>
      <c r="W27" s="524">
        <v>137</v>
      </c>
      <c r="X27" s="307">
        <v>268</v>
      </c>
      <c r="Y27" s="525">
        <v>10</v>
      </c>
      <c r="Z27" s="526">
        <v>20</v>
      </c>
      <c r="AA27" s="457">
        <v>89</v>
      </c>
      <c r="AB27" s="311">
        <v>0.3111888111888112</v>
      </c>
      <c r="AC27" s="527" t="s">
        <v>2189</v>
      </c>
      <c r="AD27" s="528" t="s">
        <v>2138</v>
      </c>
      <c r="AE27" s="529">
        <v>233</v>
      </c>
      <c r="AF27" s="315">
        <v>233</v>
      </c>
      <c r="AG27" s="530">
        <v>10</v>
      </c>
      <c r="AH27" s="531">
        <v>30</v>
      </c>
      <c r="AI27" s="318">
        <v>53</v>
      </c>
      <c r="AJ27" s="311">
        <v>0.18531468531468531</v>
      </c>
      <c r="AK27" s="491" t="s">
        <v>2190</v>
      </c>
      <c r="AL27" s="492" t="s">
        <v>2140</v>
      </c>
      <c r="AM27" s="865">
        <v>46277</v>
      </c>
      <c r="AN27" s="865">
        <v>46302</v>
      </c>
      <c r="AO27" s="866">
        <v>25</v>
      </c>
      <c r="AP27" s="493"/>
      <c r="AQ27" s="493"/>
      <c r="AR27" s="493"/>
      <c r="AS27" s="493"/>
      <c r="AT27" s="493"/>
      <c r="AU27" s="493"/>
      <c r="AV27" s="493"/>
      <c r="AW27" s="494"/>
      <c r="AX27" s="495">
        <v>0</v>
      </c>
      <c r="AY27" s="282">
        <v>0</v>
      </c>
      <c r="AZ27" s="282">
        <v>0</v>
      </c>
      <c r="BA27" s="286">
        <v>197</v>
      </c>
      <c r="BB27" s="286">
        <v>197</v>
      </c>
      <c r="BC27" s="286">
        <v>197</v>
      </c>
      <c r="BD27" s="283">
        <v>197</v>
      </c>
      <c r="BE27" s="284">
        <v>197</v>
      </c>
      <c r="BF27" s="285">
        <v>197</v>
      </c>
      <c r="BG27" s="286">
        <v>197</v>
      </c>
      <c r="BH27" s="286">
        <v>197</v>
      </c>
      <c r="BI27" s="286">
        <v>197</v>
      </c>
      <c r="BJ27" s="286">
        <v>187</v>
      </c>
      <c r="BK27" s="286">
        <v>187</v>
      </c>
      <c r="BL27" s="286">
        <v>187</v>
      </c>
      <c r="BM27" s="286">
        <v>187</v>
      </c>
      <c r="BN27" s="286">
        <v>50</v>
      </c>
      <c r="BO27" s="286">
        <v>71</v>
      </c>
      <c r="BP27" s="286">
        <v>71</v>
      </c>
      <c r="BQ27" s="286">
        <v>71</v>
      </c>
      <c r="BR27" s="286">
        <v>71</v>
      </c>
      <c r="BS27" s="283">
        <v>21</v>
      </c>
      <c r="BT27" s="284">
        <v>21</v>
      </c>
      <c r="BU27" s="285">
        <v>21</v>
      </c>
      <c r="BV27" s="286">
        <v>21</v>
      </c>
      <c r="BW27" s="402">
        <v>0</v>
      </c>
      <c r="BX27" s="532"/>
      <c r="BY27" s="290"/>
      <c r="BZ27" s="332"/>
      <c r="CA27" s="333"/>
    </row>
    <row r="28" spans="1:79" ht="46" customHeight="1" thickBot="1">
      <c r="A28" s="294"/>
      <c r="B28" s="295"/>
      <c r="C28" s="296"/>
      <c r="D28" s="297" t="s">
        <v>2129</v>
      </c>
      <c r="E28" s="298"/>
      <c r="F28" s="299">
        <v>0</v>
      </c>
      <c r="G28" s="299">
        <v>0</v>
      </c>
      <c r="H28" s="300">
        <v>0</v>
      </c>
      <c r="I28" s="301">
        <v>0</v>
      </c>
      <c r="J28" s="522" t="s">
        <v>2191</v>
      </c>
      <c r="K28" s="300">
        <v>0</v>
      </c>
      <c r="L28" s="301">
        <v>0</v>
      </c>
      <c r="M28" s="301">
        <v>0</v>
      </c>
      <c r="N28" s="301">
        <v>0</v>
      </c>
      <c r="O28" s="301">
        <v>0</v>
      </c>
      <c r="P28" s="302" t="s">
        <v>2129</v>
      </c>
      <c r="Q28" s="302" t="s">
        <v>2129</v>
      </c>
      <c r="R28" s="303"/>
      <c r="S28" s="304"/>
      <c r="T28" s="304"/>
      <c r="U28" s="305" t="s">
        <v>2192</v>
      </c>
      <c r="V28" s="305" t="s">
        <v>2138</v>
      </c>
      <c r="W28" s="306">
        <v>50</v>
      </c>
      <c r="X28" s="307"/>
      <c r="Y28" s="308">
        <v>10</v>
      </c>
      <c r="Z28" s="309">
        <v>20</v>
      </c>
      <c r="AA28" s="310"/>
      <c r="AB28" s="311"/>
      <c r="AC28" s="312" t="s">
        <v>2172</v>
      </c>
      <c r="AD28" s="313" t="s">
        <v>2134</v>
      </c>
      <c r="AE28" s="314">
        <v>0</v>
      </c>
      <c r="AF28" s="315"/>
      <c r="AG28" s="316"/>
      <c r="AH28" s="317"/>
      <c r="AI28" s="318"/>
      <c r="AJ28" s="311"/>
      <c r="AK28" s="319"/>
      <c r="AL28" s="320" t="s">
        <v>2143</v>
      </c>
      <c r="AM28" s="277">
        <v>46277</v>
      </c>
      <c r="AN28" s="277">
        <v>46301</v>
      </c>
      <c r="AO28" s="278">
        <v>24</v>
      </c>
      <c r="AP28" s="321"/>
      <c r="AQ28" s="321"/>
      <c r="AR28" s="321"/>
      <c r="AS28" s="321"/>
      <c r="AT28" s="321"/>
      <c r="AU28" s="321"/>
      <c r="AV28" s="321"/>
      <c r="AW28" s="322"/>
      <c r="AX28" s="417">
        <v>0</v>
      </c>
      <c r="AY28" s="418">
        <v>0</v>
      </c>
      <c r="AZ28" s="418">
        <v>0</v>
      </c>
      <c r="BA28" s="328">
        <v>233</v>
      </c>
      <c r="BB28" s="328">
        <v>233</v>
      </c>
      <c r="BC28" s="328">
        <v>233</v>
      </c>
      <c r="BD28" s="325">
        <v>233</v>
      </c>
      <c r="BE28" s="326">
        <v>233</v>
      </c>
      <c r="BF28" s="327">
        <v>233</v>
      </c>
      <c r="BG28" s="328">
        <v>233</v>
      </c>
      <c r="BH28" s="328">
        <v>233</v>
      </c>
      <c r="BI28" s="328">
        <v>233</v>
      </c>
      <c r="BJ28" s="328">
        <v>233</v>
      </c>
      <c r="BK28" s="328">
        <v>233</v>
      </c>
      <c r="BL28" s="328">
        <v>233</v>
      </c>
      <c r="BM28" s="328">
        <v>233</v>
      </c>
      <c r="BN28" s="328">
        <v>233</v>
      </c>
      <c r="BO28" s="328">
        <v>233</v>
      </c>
      <c r="BP28" s="328">
        <v>233</v>
      </c>
      <c r="BQ28" s="328">
        <v>233</v>
      </c>
      <c r="BR28" s="328">
        <v>233</v>
      </c>
      <c r="BS28" s="325">
        <v>233</v>
      </c>
      <c r="BT28" s="326">
        <v>233</v>
      </c>
      <c r="BU28" s="327">
        <v>233</v>
      </c>
      <c r="BV28" s="329">
        <v>0</v>
      </c>
      <c r="BW28" s="533"/>
      <c r="BX28" s="331"/>
      <c r="BY28" s="290"/>
      <c r="BZ28" s="332"/>
      <c r="CA28" s="333"/>
    </row>
    <row r="29" spans="1:79" ht="46" customHeight="1" thickTop="1" thickBot="1">
      <c r="A29" s="294"/>
      <c r="B29" s="295"/>
      <c r="C29" s="296"/>
      <c r="D29" s="297" t="s">
        <v>2129</v>
      </c>
      <c r="E29" s="298"/>
      <c r="F29" s="299">
        <v>0</v>
      </c>
      <c r="G29" s="299">
        <v>0</v>
      </c>
      <c r="H29" s="300">
        <v>0</v>
      </c>
      <c r="I29" s="301">
        <v>0</v>
      </c>
      <c r="J29" s="301">
        <v>0</v>
      </c>
      <c r="K29" s="300">
        <v>0</v>
      </c>
      <c r="L29" s="301">
        <v>0</v>
      </c>
      <c r="M29" s="301">
        <v>0</v>
      </c>
      <c r="N29" s="301">
        <v>0</v>
      </c>
      <c r="O29" s="301">
        <v>0</v>
      </c>
      <c r="P29" s="302" t="s">
        <v>2129</v>
      </c>
      <c r="Q29" s="302" t="s">
        <v>2129</v>
      </c>
      <c r="R29" s="303"/>
      <c r="S29" s="304"/>
      <c r="T29" s="304"/>
      <c r="U29" s="305" t="s">
        <v>2193</v>
      </c>
      <c r="V29" s="305" t="s">
        <v>2138</v>
      </c>
      <c r="W29" s="306">
        <v>21</v>
      </c>
      <c r="X29" s="307"/>
      <c r="Y29" s="308">
        <v>10</v>
      </c>
      <c r="Z29" s="309">
        <v>20</v>
      </c>
      <c r="AA29" s="310"/>
      <c r="AB29" s="311"/>
      <c r="AC29" s="312" t="s">
        <v>2134</v>
      </c>
      <c r="AD29" s="313" t="s">
        <v>2134</v>
      </c>
      <c r="AE29" s="314">
        <v>0</v>
      </c>
      <c r="AF29" s="315"/>
      <c r="AG29" s="316"/>
      <c r="AH29" s="317"/>
      <c r="AI29" s="318"/>
      <c r="AJ29" s="311"/>
      <c r="AK29" s="334"/>
      <c r="AL29" s="335"/>
      <c r="AM29" s="277" t="s">
        <v>2129</v>
      </c>
      <c r="AN29" s="277" t="s">
        <v>2129</v>
      </c>
      <c r="AO29" s="278" t="s">
        <v>2129</v>
      </c>
      <c r="AP29" s="336"/>
      <c r="AQ29" s="336"/>
      <c r="AR29" s="336"/>
      <c r="AS29" s="336"/>
      <c r="AT29" s="336"/>
      <c r="AU29" s="336"/>
      <c r="AV29" s="336"/>
      <c r="AW29" s="336"/>
      <c r="AX29" s="336"/>
      <c r="AY29" s="336"/>
      <c r="AZ29" s="336"/>
      <c r="BA29" s="336"/>
      <c r="BB29" s="336"/>
      <c r="BC29" s="336"/>
      <c r="BD29" s="337"/>
      <c r="BE29" s="338"/>
      <c r="BF29" s="339"/>
      <c r="BG29" s="336"/>
      <c r="BH29" s="336"/>
      <c r="BI29" s="336"/>
      <c r="BJ29" s="336"/>
      <c r="BK29" s="336"/>
      <c r="BL29" s="336"/>
      <c r="BM29" s="336"/>
      <c r="BN29" s="336"/>
      <c r="BO29" s="336"/>
      <c r="BP29" s="336"/>
      <c r="BQ29" s="336"/>
      <c r="BR29" s="336"/>
      <c r="BS29" s="337"/>
      <c r="BT29" s="338"/>
      <c r="BU29" s="339"/>
      <c r="BV29" s="336"/>
      <c r="BW29" s="336"/>
      <c r="BX29" s="340"/>
      <c r="BY29" s="290"/>
      <c r="BZ29" s="332"/>
      <c r="CA29" s="333"/>
    </row>
    <row r="30" spans="1:79" s="521" customFormat="1" ht="46" customHeight="1" thickBot="1">
      <c r="A30" s="294"/>
      <c r="B30" s="295"/>
      <c r="C30" s="296"/>
      <c r="D30" s="297" t="s">
        <v>2129</v>
      </c>
      <c r="E30" s="298"/>
      <c r="F30" s="299">
        <v>0</v>
      </c>
      <c r="G30" s="299">
        <v>0</v>
      </c>
      <c r="H30" s="300">
        <v>0</v>
      </c>
      <c r="I30" s="301">
        <v>0</v>
      </c>
      <c r="J30" s="301">
        <v>0</v>
      </c>
      <c r="K30" s="300">
        <v>0</v>
      </c>
      <c r="L30" s="301">
        <v>0</v>
      </c>
      <c r="M30" s="301">
        <v>0</v>
      </c>
      <c r="N30" s="301">
        <v>0</v>
      </c>
      <c r="O30" s="301">
        <v>0</v>
      </c>
      <c r="P30" s="302" t="s">
        <v>2129</v>
      </c>
      <c r="Q30" s="302" t="s">
        <v>2129</v>
      </c>
      <c r="R30" s="303"/>
      <c r="S30" s="304"/>
      <c r="T30" s="304"/>
      <c r="U30" s="452" t="s">
        <v>2165</v>
      </c>
      <c r="V30" s="452" t="s">
        <v>2138</v>
      </c>
      <c r="W30" s="453">
        <v>60</v>
      </c>
      <c r="X30" s="307"/>
      <c r="Y30" s="455">
        <v>3</v>
      </c>
      <c r="Z30" s="456">
        <v>11</v>
      </c>
      <c r="AA30" s="310"/>
      <c r="AB30" s="311"/>
      <c r="AC30" s="458" t="s">
        <v>2134</v>
      </c>
      <c r="AD30" s="459" t="s">
        <v>2134</v>
      </c>
      <c r="AE30" s="460">
        <v>0</v>
      </c>
      <c r="AF30" s="315"/>
      <c r="AG30" s="461"/>
      <c r="AH30" s="462"/>
      <c r="AI30" s="442"/>
      <c r="AJ30" s="311"/>
      <c r="AK30" s="534"/>
      <c r="AL30" s="444"/>
      <c r="AM30" s="277" t="s">
        <v>2129</v>
      </c>
      <c r="AN30" s="277" t="s">
        <v>2129</v>
      </c>
      <c r="AO30" s="278" t="s">
        <v>2129</v>
      </c>
      <c r="AP30" s="445"/>
      <c r="AQ30" s="336"/>
      <c r="AR30" s="336"/>
      <c r="AS30" s="336"/>
      <c r="AT30" s="336"/>
      <c r="AU30" s="336"/>
      <c r="AV30" s="336"/>
      <c r="AW30" s="336"/>
      <c r="AX30" s="336"/>
      <c r="AY30" s="336"/>
      <c r="AZ30" s="336"/>
      <c r="BA30" s="336"/>
      <c r="BB30" s="336"/>
      <c r="BC30" s="336"/>
      <c r="BD30" s="337"/>
      <c r="BE30" s="338"/>
      <c r="BF30" s="339"/>
      <c r="BG30" s="336"/>
      <c r="BH30" s="336"/>
      <c r="BI30" s="336"/>
      <c r="BJ30" s="336"/>
      <c r="BK30" s="336"/>
      <c r="BL30" s="336"/>
      <c r="BM30" s="336"/>
      <c r="BN30" s="336"/>
      <c r="BO30" s="336"/>
      <c r="BP30" s="445"/>
      <c r="BQ30" s="445"/>
      <c r="BR30" s="445"/>
      <c r="BS30" s="446"/>
      <c r="BT30" s="447"/>
      <c r="BU30" s="448"/>
      <c r="BV30" s="445"/>
      <c r="BW30" s="445"/>
      <c r="BX30" s="449"/>
      <c r="BY30" s="290"/>
      <c r="BZ30" s="332"/>
      <c r="CA30" s="333"/>
    </row>
    <row r="31" spans="1:79" ht="46" customHeight="1" thickTop="1" thickBot="1">
      <c r="A31" s="294"/>
      <c r="B31" s="295"/>
      <c r="C31" s="372">
        <v>7</v>
      </c>
      <c r="D31" s="871">
        <v>39</v>
      </c>
      <c r="E31" s="373" t="s">
        <v>2194</v>
      </c>
      <c r="F31" s="876">
        <v>115</v>
      </c>
      <c r="G31" s="374">
        <v>154</v>
      </c>
      <c r="H31" s="375">
        <v>3</v>
      </c>
      <c r="I31" s="376" t="s">
        <v>2167</v>
      </c>
      <c r="J31" s="376" t="s">
        <v>2132</v>
      </c>
      <c r="K31" s="375">
        <v>52</v>
      </c>
      <c r="L31" s="376" t="s">
        <v>2134</v>
      </c>
      <c r="M31" s="376" t="s">
        <v>2134</v>
      </c>
      <c r="N31" s="376" t="s">
        <v>2134</v>
      </c>
      <c r="O31" s="376" t="s">
        <v>2160</v>
      </c>
      <c r="P31" s="377" t="s">
        <v>2133</v>
      </c>
      <c r="Q31" s="377" t="s">
        <v>2133</v>
      </c>
      <c r="R31" s="378"/>
      <c r="S31" s="379" t="s">
        <v>2136</v>
      </c>
      <c r="T31" s="379" t="s">
        <v>2136</v>
      </c>
      <c r="U31" s="535" t="s">
        <v>2195</v>
      </c>
      <c r="V31" s="535" t="s">
        <v>2138</v>
      </c>
      <c r="W31" s="536">
        <v>0</v>
      </c>
      <c r="X31" s="454">
        <v>0</v>
      </c>
      <c r="Y31" s="537">
        <v>16</v>
      </c>
      <c r="Z31" s="538">
        <v>32</v>
      </c>
      <c r="AA31" s="457">
        <v>22</v>
      </c>
      <c r="AB31" s="394">
        <v>0.14285714285714285</v>
      </c>
      <c r="AC31" s="539" t="s">
        <v>2195</v>
      </c>
      <c r="AD31" s="540" t="s">
        <v>2138</v>
      </c>
      <c r="AE31" s="541">
        <v>0</v>
      </c>
      <c r="AF31" s="390">
        <v>0</v>
      </c>
      <c r="AG31" s="542">
        <v>16</v>
      </c>
      <c r="AH31" s="543">
        <v>32</v>
      </c>
      <c r="AI31" s="318">
        <v>22</v>
      </c>
      <c r="AJ31" s="394">
        <v>0.14285714285714285</v>
      </c>
      <c r="AK31" s="515" t="s">
        <v>2196</v>
      </c>
      <c r="AL31" s="396" t="s">
        <v>2140</v>
      </c>
      <c r="AM31" s="865">
        <v>46270</v>
      </c>
      <c r="AN31" s="865">
        <v>46294</v>
      </c>
      <c r="AO31" s="866">
        <v>24</v>
      </c>
      <c r="AP31" s="398"/>
      <c r="AQ31" s="495">
        <v>0</v>
      </c>
      <c r="AR31" s="282">
        <v>0</v>
      </c>
      <c r="AS31" s="282">
        <v>0</v>
      </c>
      <c r="AT31" s="286">
        <v>66</v>
      </c>
      <c r="AU31" s="286">
        <v>132</v>
      </c>
      <c r="AV31" s="286">
        <v>132</v>
      </c>
      <c r="AW31" s="286">
        <v>132</v>
      </c>
      <c r="AX31" s="286">
        <v>132</v>
      </c>
      <c r="AY31" s="286">
        <v>132</v>
      </c>
      <c r="AZ31" s="283">
        <v>132</v>
      </c>
      <c r="BA31" s="286">
        <v>132</v>
      </c>
      <c r="BB31" s="286">
        <v>132</v>
      </c>
      <c r="BC31" s="286">
        <v>132</v>
      </c>
      <c r="BD31" s="283">
        <v>132</v>
      </c>
      <c r="BE31" s="284">
        <v>132</v>
      </c>
      <c r="BF31" s="285">
        <v>132</v>
      </c>
      <c r="BG31" s="286">
        <v>132</v>
      </c>
      <c r="BH31" s="286">
        <v>132</v>
      </c>
      <c r="BI31" s="286">
        <v>132</v>
      </c>
      <c r="BJ31" s="286">
        <v>132</v>
      </c>
      <c r="BK31" s="286">
        <v>66</v>
      </c>
      <c r="BL31" s="286">
        <v>66</v>
      </c>
      <c r="BM31" s="286">
        <v>33</v>
      </c>
      <c r="BN31" s="286">
        <v>33</v>
      </c>
      <c r="BO31" s="402">
        <v>0</v>
      </c>
      <c r="BP31" s="470"/>
      <c r="BQ31" s="397"/>
      <c r="BR31" s="397"/>
      <c r="BS31" s="398"/>
      <c r="BT31" s="471"/>
      <c r="BU31" s="470"/>
      <c r="BV31" s="397"/>
      <c r="BW31" s="397"/>
      <c r="BX31" s="472"/>
      <c r="BY31" s="290"/>
      <c r="BZ31" s="404"/>
      <c r="CA31" s="405"/>
    </row>
    <row r="32" spans="1:79" s="521" customFormat="1" ht="46" customHeight="1" thickBot="1">
      <c r="A32" s="294"/>
      <c r="B32" s="295"/>
      <c r="C32" s="420"/>
      <c r="D32" s="421" t="s">
        <v>2129</v>
      </c>
      <c r="E32" s="422"/>
      <c r="F32" s="423">
        <v>0</v>
      </c>
      <c r="G32" s="423">
        <v>0</v>
      </c>
      <c r="H32" s="424">
        <v>0</v>
      </c>
      <c r="I32" s="425">
        <v>0</v>
      </c>
      <c r="J32" s="425">
        <v>0</v>
      </c>
      <c r="K32" s="424">
        <v>0</v>
      </c>
      <c r="L32" s="425">
        <v>0</v>
      </c>
      <c r="M32" s="425">
        <v>0</v>
      </c>
      <c r="N32" s="425">
        <v>0</v>
      </c>
      <c r="O32" s="425">
        <v>0</v>
      </c>
      <c r="P32" s="426" t="s">
        <v>2129</v>
      </c>
      <c r="Q32" s="426" t="s">
        <v>2129</v>
      </c>
      <c r="R32" s="427"/>
      <c r="S32" s="428"/>
      <c r="T32" s="428"/>
      <c r="U32" s="473"/>
      <c r="V32" s="473"/>
      <c r="W32" s="474"/>
      <c r="X32" s="431"/>
      <c r="Y32" s="475"/>
      <c r="Z32" s="476"/>
      <c r="AA32" s="434"/>
      <c r="AB32" s="435"/>
      <c r="AC32" s="477"/>
      <c r="AD32" s="478"/>
      <c r="AE32" s="479"/>
      <c r="AF32" s="439"/>
      <c r="AG32" s="480"/>
      <c r="AH32" s="481"/>
      <c r="AI32" s="442"/>
      <c r="AJ32" s="435"/>
      <c r="AK32" s="517"/>
      <c r="AL32" s="518" t="s">
        <v>2143</v>
      </c>
      <c r="AM32" s="277">
        <v>46270</v>
      </c>
      <c r="AN32" s="277">
        <v>46294</v>
      </c>
      <c r="AO32" s="278">
        <v>24</v>
      </c>
      <c r="AP32" s="519"/>
      <c r="AQ32" s="544">
        <v>0</v>
      </c>
      <c r="AR32" s="545">
        <v>0</v>
      </c>
      <c r="AS32" s="545">
        <v>0</v>
      </c>
      <c r="AT32" s="328">
        <v>66</v>
      </c>
      <c r="AU32" s="328">
        <v>132</v>
      </c>
      <c r="AV32" s="328">
        <v>132</v>
      </c>
      <c r="AW32" s="328">
        <v>132</v>
      </c>
      <c r="AX32" s="321">
        <v>132</v>
      </c>
      <c r="AY32" s="321">
        <v>132</v>
      </c>
      <c r="AZ32" s="322">
        <v>132</v>
      </c>
      <c r="BA32" s="321">
        <v>132</v>
      </c>
      <c r="BB32" s="321">
        <v>132</v>
      </c>
      <c r="BC32" s="321">
        <v>132</v>
      </c>
      <c r="BD32" s="546">
        <v>132</v>
      </c>
      <c r="BE32" s="502">
        <v>132</v>
      </c>
      <c r="BF32" s="503">
        <v>132</v>
      </c>
      <c r="BG32" s="321">
        <v>132</v>
      </c>
      <c r="BH32" s="321">
        <v>132</v>
      </c>
      <c r="BI32" s="321">
        <v>132</v>
      </c>
      <c r="BJ32" s="321">
        <v>132</v>
      </c>
      <c r="BK32" s="321">
        <v>66</v>
      </c>
      <c r="BL32" s="321">
        <v>66</v>
      </c>
      <c r="BM32" s="321">
        <v>33</v>
      </c>
      <c r="BN32" s="321">
        <v>33</v>
      </c>
      <c r="BO32" s="504">
        <v>0</v>
      </c>
      <c r="BP32" s="503"/>
      <c r="BQ32" s="321"/>
      <c r="BR32" s="321"/>
      <c r="BS32" s="322"/>
      <c r="BT32" s="502"/>
      <c r="BU32" s="503"/>
      <c r="BV32" s="321"/>
      <c r="BW32" s="506"/>
      <c r="BX32" s="520"/>
      <c r="BY32" s="290"/>
      <c r="BZ32" s="450"/>
      <c r="CA32" s="451"/>
    </row>
    <row r="33" spans="1:79" ht="46" customHeight="1" thickTop="1" thickBot="1">
      <c r="A33" s="294"/>
      <c r="B33" s="295"/>
      <c r="C33" s="296">
        <v>8</v>
      </c>
      <c r="D33" s="870">
        <v>81</v>
      </c>
      <c r="E33" s="298" t="s">
        <v>2197</v>
      </c>
      <c r="F33" s="875">
        <v>284</v>
      </c>
      <c r="G33" s="299">
        <v>476</v>
      </c>
      <c r="H33" s="300">
        <v>1</v>
      </c>
      <c r="I33" s="301" t="s">
        <v>2167</v>
      </c>
      <c r="J33" s="301" t="s">
        <v>2132</v>
      </c>
      <c r="K33" s="300">
        <v>95</v>
      </c>
      <c r="L33" s="301" t="s">
        <v>2134</v>
      </c>
      <c r="M33" s="301" t="s">
        <v>2134</v>
      </c>
      <c r="N33" s="301" t="s">
        <v>2134</v>
      </c>
      <c r="O33" s="301" t="s">
        <v>2160</v>
      </c>
      <c r="P33" s="302" t="s">
        <v>2133</v>
      </c>
      <c r="Q33" s="302" t="s">
        <v>2133</v>
      </c>
      <c r="R33" s="303"/>
      <c r="S33" s="304" t="s">
        <v>2136</v>
      </c>
      <c r="T33" s="304" t="s">
        <v>2136</v>
      </c>
      <c r="U33" s="523" t="s">
        <v>2198</v>
      </c>
      <c r="V33" s="523" t="s">
        <v>2138</v>
      </c>
      <c r="W33" s="524">
        <v>204</v>
      </c>
      <c r="X33" s="307">
        <v>416</v>
      </c>
      <c r="Y33" s="525">
        <v>12</v>
      </c>
      <c r="Z33" s="526">
        <v>17</v>
      </c>
      <c r="AA33" s="457">
        <v>60</v>
      </c>
      <c r="AB33" s="311">
        <v>0.12605042016806722</v>
      </c>
      <c r="AC33" s="527" t="s">
        <v>2199</v>
      </c>
      <c r="AD33" s="528" t="s">
        <v>2138</v>
      </c>
      <c r="AE33" s="529">
        <v>167</v>
      </c>
      <c r="AF33" s="315">
        <v>341</v>
      </c>
      <c r="AG33" s="530">
        <v>12</v>
      </c>
      <c r="AH33" s="547">
        <v>17</v>
      </c>
      <c r="AI33" s="318">
        <v>135</v>
      </c>
      <c r="AJ33" s="311">
        <v>0.28361344537815125</v>
      </c>
      <c r="AK33" s="491" t="s">
        <v>2200</v>
      </c>
      <c r="AL33" s="492" t="s">
        <v>2140</v>
      </c>
      <c r="AM33" s="865">
        <v>46277</v>
      </c>
      <c r="AN33" s="865">
        <v>46301</v>
      </c>
      <c r="AO33" s="866">
        <v>24</v>
      </c>
      <c r="AP33" s="493"/>
      <c r="AQ33" s="493"/>
      <c r="AR33" s="493"/>
      <c r="AS33" s="493"/>
      <c r="AT33" s="493"/>
      <c r="AU33" s="493"/>
      <c r="AV33" s="493"/>
      <c r="AW33" s="494"/>
      <c r="AX33" s="495">
        <v>0</v>
      </c>
      <c r="AY33" s="282">
        <v>0</v>
      </c>
      <c r="AZ33" s="282">
        <v>0</v>
      </c>
      <c r="BA33" s="286">
        <v>241</v>
      </c>
      <c r="BB33" s="286">
        <v>241</v>
      </c>
      <c r="BC33" s="286">
        <v>241</v>
      </c>
      <c r="BD33" s="283">
        <v>241</v>
      </c>
      <c r="BE33" s="284">
        <v>241</v>
      </c>
      <c r="BF33" s="285">
        <v>241</v>
      </c>
      <c r="BG33" s="286">
        <v>288</v>
      </c>
      <c r="BH33" s="286">
        <v>288</v>
      </c>
      <c r="BI33" s="286">
        <v>288</v>
      </c>
      <c r="BJ33" s="286">
        <v>416</v>
      </c>
      <c r="BK33" s="286">
        <v>416</v>
      </c>
      <c r="BL33" s="286">
        <v>416</v>
      </c>
      <c r="BM33" s="286">
        <v>416</v>
      </c>
      <c r="BN33" s="286">
        <v>416</v>
      </c>
      <c r="BO33" s="286">
        <v>212</v>
      </c>
      <c r="BP33" s="286">
        <v>175</v>
      </c>
      <c r="BQ33" s="286">
        <v>175</v>
      </c>
      <c r="BR33" s="286">
        <v>175</v>
      </c>
      <c r="BS33" s="283">
        <v>175</v>
      </c>
      <c r="BT33" s="284">
        <v>175</v>
      </c>
      <c r="BU33" s="285">
        <v>175</v>
      </c>
      <c r="BV33" s="402">
        <v>0</v>
      </c>
      <c r="BW33" s="498"/>
      <c r="BX33" s="499"/>
      <c r="BY33" s="290"/>
      <c r="BZ33" s="332"/>
      <c r="CA33" s="333"/>
    </row>
    <row r="34" spans="1:79" ht="46" customHeight="1" thickBot="1">
      <c r="A34" s="294"/>
      <c r="B34" s="295"/>
      <c r="C34" s="296"/>
      <c r="D34" s="297" t="s">
        <v>2129</v>
      </c>
      <c r="E34" s="298"/>
      <c r="F34" s="299">
        <v>0</v>
      </c>
      <c r="G34" s="299">
        <v>0</v>
      </c>
      <c r="H34" s="300">
        <v>0</v>
      </c>
      <c r="I34" s="301">
        <v>0</v>
      </c>
      <c r="J34" s="301">
        <v>0</v>
      </c>
      <c r="K34" s="300">
        <v>0</v>
      </c>
      <c r="L34" s="301">
        <v>0</v>
      </c>
      <c r="M34" s="301">
        <v>0</v>
      </c>
      <c r="N34" s="301">
        <v>0</v>
      </c>
      <c r="O34" s="301">
        <v>0</v>
      </c>
      <c r="P34" s="302" t="s">
        <v>2129</v>
      </c>
      <c r="Q34" s="302" t="s">
        <v>2129</v>
      </c>
      <c r="R34" s="303"/>
      <c r="S34" s="304"/>
      <c r="T34" s="304"/>
      <c r="U34" s="305" t="s">
        <v>2201</v>
      </c>
      <c r="V34" s="305" t="s">
        <v>2138</v>
      </c>
      <c r="W34" s="306">
        <v>128</v>
      </c>
      <c r="X34" s="307"/>
      <c r="Y34" s="308">
        <v>12</v>
      </c>
      <c r="Z34" s="309">
        <v>17</v>
      </c>
      <c r="AA34" s="310"/>
      <c r="AB34" s="311"/>
      <c r="AC34" s="312" t="s">
        <v>2202</v>
      </c>
      <c r="AD34" s="313" t="s">
        <v>2138</v>
      </c>
      <c r="AE34" s="314">
        <v>105</v>
      </c>
      <c r="AF34" s="315"/>
      <c r="AG34" s="316">
        <v>12</v>
      </c>
      <c r="AH34" s="548">
        <v>17</v>
      </c>
      <c r="AI34" s="318"/>
      <c r="AJ34" s="311"/>
      <c r="AK34" s="319"/>
      <c r="AL34" s="320" t="s">
        <v>2143</v>
      </c>
      <c r="AM34" s="277">
        <v>46277</v>
      </c>
      <c r="AN34" s="277">
        <v>46301</v>
      </c>
      <c r="AO34" s="278">
        <v>24</v>
      </c>
      <c r="AP34" s="321"/>
      <c r="AQ34" s="321"/>
      <c r="AR34" s="321"/>
      <c r="AS34" s="321"/>
      <c r="AT34" s="321"/>
      <c r="AU34" s="321"/>
      <c r="AV34" s="321"/>
      <c r="AW34" s="322"/>
      <c r="AX34" s="417">
        <v>0</v>
      </c>
      <c r="AY34" s="418">
        <v>0</v>
      </c>
      <c r="AZ34" s="418">
        <v>0</v>
      </c>
      <c r="BA34" s="328">
        <v>198</v>
      </c>
      <c r="BB34" s="328">
        <v>198</v>
      </c>
      <c r="BC34" s="328">
        <v>198</v>
      </c>
      <c r="BD34" s="325">
        <v>198</v>
      </c>
      <c r="BE34" s="326">
        <v>198</v>
      </c>
      <c r="BF34" s="327">
        <v>198</v>
      </c>
      <c r="BG34" s="328">
        <v>236</v>
      </c>
      <c r="BH34" s="328">
        <v>236</v>
      </c>
      <c r="BI34" s="328">
        <v>236</v>
      </c>
      <c r="BJ34" s="328">
        <v>341</v>
      </c>
      <c r="BK34" s="328">
        <v>341</v>
      </c>
      <c r="BL34" s="328">
        <v>341</v>
      </c>
      <c r="BM34" s="328">
        <v>341</v>
      </c>
      <c r="BN34" s="328">
        <v>341</v>
      </c>
      <c r="BO34" s="328">
        <v>174</v>
      </c>
      <c r="BP34" s="328">
        <v>143</v>
      </c>
      <c r="BQ34" s="328">
        <v>143</v>
      </c>
      <c r="BR34" s="328">
        <v>143</v>
      </c>
      <c r="BS34" s="325">
        <v>143</v>
      </c>
      <c r="BT34" s="326">
        <v>143</v>
      </c>
      <c r="BU34" s="327">
        <v>143</v>
      </c>
      <c r="BV34" s="419">
        <v>0</v>
      </c>
      <c r="BW34" s="503"/>
      <c r="BX34" s="507"/>
      <c r="BY34" s="290"/>
      <c r="BZ34" s="332"/>
      <c r="CA34" s="333"/>
    </row>
    <row r="35" spans="1:79" ht="46" customHeight="1" thickTop="1" thickBot="1">
      <c r="A35" s="294"/>
      <c r="B35" s="295"/>
      <c r="C35" s="296"/>
      <c r="D35" s="297" t="s">
        <v>2129</v>
      </c>
      <c r="E35" s="298"/>
      <c r="F35" s="299">
        <v>0</v>
      </c>
      <c r="G35" s="299">
        <v>0</v>
      </c>
      <c r="H35" s="300">
        <v>0</v>
      </c>
      <c r="I35" s="301">
        <v>0</v>
      </c>
      <c r="J35" s="301">
        <v>0</v>
      </c>
      <c r="K35" s="300">
        <v>0</v>
      </c>
      <c r="L35" s="301">
        <v>0</v>
      </c>
      <c r="M35" s="301">
        <v>0</v>
      </c>
      <c r="N35" s="301">
        <v>0</v>
      </c>
      <c r="O35" s="301">
        <v>0</v>
      </c>
      <c r="P35" s="302" t="s">
        <v>2129</v>
      </c>
      <c r="Q35" s="302" t="s">
        <v>2129</v>
      </c>
      <c r="R35" s="303"/>
      <c r="S35" s="304"/>
      <c r="T35" s="304"/>
      <c r="U35" s="305" t="s">
        <v>2203</v>
      </c>
      <c r="V35" s="305" t="s">
        <v>2138</v>
      </c>
      <c r="W35" s="306">
        <v>37</v>
      </c>
      <c r="X35" s="307"/>
      <c r="Y35" s="308">
        <v>3</v>
      </c>
      <c r="Z35" s="309">
        <v>10</v>
      </c>
      <c r="AA35" s="310"/>
      <c r="AB35" s="311"/>
      <c r="AC35" s="312" t="s">
        <v>2203</v>
      </c>
      <c r="AD35" s="313" t="s">
        <v>2138</v>
      </c>
      <c r="AE35" s="314">
        <v>31</v>
      </c>
      <c r="AF35" s="315"/>
      <c r="AG35" s="316">
        <v>3</v>
      </c>
      <c r="AH35" s="548">
        <v>10</v>
      </c>
      <c r="AI35" s="318"/>
      <c r="AJ35" s="311"/>
      <c r="AK35" s="334"/>
      <c r="AL35" s="335"/>
      <c r="AM35" s="277" t="s">
        <v>2129</v>
      </c>
      <c r="AN35" s="277" t="s">
        <v>2129</v>
      </c>
      <c r="AO35" s="278" t="s">
        <v>2129</v>
      </c>
      <c r="AP35" s="336"/>
      <c r="AQ35" s="336"/>
      <c r="AR35" s="336"/>
      <c r="AS35" s="336"/>
      <c r="AT35" s="336"/>
      <c r="AU35" s="336"/>
      <c r="AV35" s="336"/>
      <c r="AW35" s="336"/>
      <c r="AX35" s="336"/>
      <c r="AY35" s="336"/>
      <c r="AZ35" s="336"/>
      <c r="BA35" s="336"/>
      <c r="BB35" s="336"/>
      <c r="BC35" s="336"/>
      <c r="BD35" s="337"/>
      <c r="BE35" s="338"/>
      <c r="BF35" s="339"/>
      <c r="BG35" s="336"/>
      <c r="BH35" s="336"/>
      <c r="BI35" s="336"/>
      <c r="BJ35" s="336"/>
      <c r="BK35" s="336"/>
      <c r="BL35" s="336"/>
      <c r="BM35" s="336"/>
      <c r="BN35" s="336"/>
      <c r="BO35" s="336"/>
      <c r="BP35" s="336"/>
      <c r="BQ35" s="336"/>
      <c r="BR35" s="336"/>
      <c r="BS35" s="337"/>
      <c r="BT35" s="338"/>
      <c r="BU35" s="339"/>
      <c r="BV35" s="336"/>
      <c r="BW35" s="336"/>
      <c r="BX35" s="340"/>
      <c r="BY35" s="290"/>
      <c r="BZ35" s="332"/>
      <c r="CA35" s="333"/>
    </row>
    <row r="36" spans="1:79" s="521" customFormat="1" ht="46" customHeight="1" thickBot="1">
      <c r="A36" s="294"/>
      <c r="B36" s="295"/>
      <c r="C36" s="296"/>
      <c r="D36" s="297" t="s">
        <v>2129</v>
      </c>
      <c r="E36" s="298"/>
      <c r="F36" s="299">
        <v>0</v>
      </c>
      <c r="G36" s="299">
        <v>0</v>
      </c>
      <c r="H36" s="300">
        <v>0</v>
      </c>
      <c r="I36" s="301">
        <v>0</v>
      </c>
      <c r="J36" s="301">
        <v>0</v>
      </c>
      <c r="K36" s="300">
        <v>0</v>
      </c>
      <c r="L36" s="301">
        <v>0</v>
      </c>
      <c r="M36" s="301">
        <v>0</v>
      </c>
      <c r="N36" s="301">
        <v>0</v>
      </c>
      <c r="O36" s="301">
        <v>0</v>
      </c>
      <c r="P36" s="302" t="s">
        <v>2129</v>
      </c>
      <c r="Q36" s="302" t="s">
        <v>2129</v>
      </c>
      <c r="R36" s="303"/>
      <c r="S36" s="304"/>
      <c r="T36" s="304"/>
      <c r="U36" s="452" t="s">
        <v>2204</v>
      </c>
      <c r="V36" s="452" t="s">
        <v>2138</v>
      </c>
      <c r="W36" s="453">
        <v>47</v>
      </c>
      <c r="X36" s="307"/>
      <c r="Y36" s="455">
        <v>10</v>
      </c>
      <c r="Z36" s="456">
        <v>17</v>
      </c>
      <c r="AA36" s="310"/>
      <c r="AB36" s="311"/>
      <c r="AC36" s="458" t="s">
        <v>2204</v>
      </c>
      <c r="AD36" s="459" t="s">
        <v>2138</v>
      </c>
      <c r="AE36" s="460">
        <v>38</v>
      </c>
      <c r="AF36" s="315"/>
      <c r="AG36" s="461">
        <v>10</v>
      </c>
      <c r="AH36" s="549">
        <v>17</v>
      </c>
      <c r="AI36" s="442"/>
      <c r="AJ36" s="311"/>
      <c r="AK36" s="534"/>
      <c r="AL36" s="444"/>
      <c r="AM36" s="277" t="s">
        <v>2129</v>
      </c>
      <c r="AN36" s="277" t="s">
        <v>2129</v>
      </c>
      <c r="AO36" s="278" t="s">
        <v>2129</v>
      </c>
      <c r="AP36" s="445"/>
      <c r="AQ36" s="336"/>
      <c r="AR36" s="336"/>
      <c r="AS36" s="336"/>
      <c r="AT36" s="336"/>
      <c r="AU36" s="336"/>
      <c r="AV36" s="336"/>
      <c r="AW36" s="336"/>
      <c r="AX36" s="336"/>
      <c r="AY36" s="336"/>
      <c r="AZ36" s="336"/>
      <c r="BA36" s="336"/>
      <c r="BB36" s="336"/>
      <c r="BC36" s="336"/>
      <c r="BD36" s="337"/>
      <c r="BE36" s="338"/>
      <c r="BF36" s="339"/>
      <c r="BG36" s="336"/>
      <c r="BH36" s="336"/>
      <c r="BI36" s="336"/>
      <c r="BJ36" s="336"/>
      <c r="BK36" s="336"/>
      <c r="BL36" s="336"/>
      <c r="BM36" s="336"/>
      <c r="BN36" s="336"/>
      <c r="BO36" s="336"/>
      <c r="BP36" s="336"/>
      <c r="BQ36" s="336"/>
      <c r="BR36" s="336"/>
      <c r="BS36" s="337"/>
      <c r="BT36" s="338"/>
      <c r="BU36" s="339"/>
      <c r="BV36" s="336"/>
      <c r="BW36" s="445"/>
      <c r="BX36" s="449"/>
      <c r="BY36" s="290"/>
      <c r="BZ36" s="332"/>
      <c r="CA36" s="333"/>
    </row>
    <row r="37" spans="1:79" ht="46" customHeight="1" thickTop="1" thickBot="1">
      <c r="A37" s="294"/>
      <c r="B37" s="295"/>
      <c r="C37" s="372">
        <v>9</v>
      </c>
      <c r="D37" s="871">
        <v>121</v>
      </c>
      <c r="E37" s="373" t="s">
        <v>2205</v>
      </c>
      <c r="F37" s="876">
        <v>565</v>
      </c>
      <c r="G37" s="374">
        <v>776</v>
      </c>
      <c r="H37" s="550">
        <v>15</v>
      </c>
      <c r="I37" s="551" t="s">
        <v>2134</v>
      </c>
      <c r="J37" s="551" t="s">
        <v>2132</v>
      </c>
      <c r="K37" s="550">
        <v>116</v>
      </c>
      <c r="L37" s="551" t="s">
        <v>2133</v>
      </c>
      <c r="M37" s="551" t="s">
        <v>2206</v>
      </c>
      <c r="N37" s="551" t="s">
        <v>2134</v>
      </c>
      <c r="O37" s="551" t="s">
        <v>2207</v>
      </c>
      <c r="P37" s="377" t="s">
        <v>2133</v>
      </c>
      <c r="Q37" s="377" t="s">
        <v>2133</v>
      </c>
      <c r="R37" s="378" t="s">
        <v>2161</v>
      </c>
      <c r="S37" s="552" t="s">
        <v>2136</v>
      </c>
      <c r="T37" s="552" t="s">
        <v>2136</v>
      </c>
      <c r="U37" s="508" t="s">
        <v>2208</v>
      </c>
      <c r="V37" s="508" t="s">
        <v>2171</v>
      </c>
      <c r="W37" s="509">
        <v>288</v>
      </c>
      <c r="X37" s="454">
        <v>648</v>
      </c>
      <c r="Y37" s="510">
        <v>25</v>
      </c>
      <c r="Z37" s="511">
        <v>31</v>
      </c>
      <c r="AA37" s="457">
        <v>128</v>
      </c>
      <c r="AB37" s="394">
        <v>0.16494845360824742</v>
      </c>
      <c r="AC37" s="512" t="s">
        <v>2208</v>
      </c>
      <c r="AD37" s="388" t="s">
        <v>2171</v>
      </c>
      <c r="AE37" s="389">
        <v>216</v>
      </c>
      <c r="AF37" s="390">
        <v>510</v>
      </c>
      <c r="AG37" s="513">
        <v>25</v>
      </c>
      <c r="AH37" s="514">
        <v>31</v>
      </c>
      <c r="AI37" s="318">
        <v>134</v>
      </c>
      <c r="AJ37" s="394">
        <v>0.17268041237113402</v>
      </c>
      <c r="AK37" s="515" t="s">
        <v>2209</v>
      </c>
      <c r="AL37" s="396" t="s">
        <v>2140</v>
      </c>
      <c r="AM37" s="865">
        <v>46272</v>
      </c>
      <c r="AN37" s="865">
        <v>46301</v>
      </c>
      <c r="AO37" s="866">
        <v>29</v>
      </c>
      <c r="AP37" s="398"/>
      <c r="AQ37" s="553"/>
      <c r="AR37" s="286"/>
      <c r="AS37" s="282">
        <v>0</v>
      </c>
      <c r="AT37" s="282">
        <v>0</v>
      </c>
      <c r="AU37" s="282">
        <v>0</v>
      </c>
      <c r="AV37" s="286">
        <v>288</v>
      </c>
      <c r="AW37" s="286">
        <v>288</v>
      </c>
      <c r="AX37" s="286">
        <v>288</v>
      </c>
      <c r="AY37" s="286">
        <v>288</v>
      </c>
      <c r="AZ37" s="286">
        <v>288</v>
      </c>
      <c r="BA37" s="286">
        <v>288</v>
      </c>
      <c r="BB37" s="286">
        <v>288</v>
      </c>
      <c r="BC37" s="286">
        <v>288</v>
      </c>
      <c r="BD37" s="283">
        <v>288</v>
      </c>
      <c r="BE37" s="284">
        <v>288</v>
      </c>
      <c r="BF37" s="285">
        <v>288</v>
      </c>
      <c r="BG37" s="286">
        <v>288</v>
      </c>
      <c r="BH37" s="286">
        <v>288</v>
      </c>
      <c r="BI37" s="286">
        <v>288</v>
      </c>
      <c r="BJ37" s="286">
        <v>288</v>
      </c>
      <c r="BK37" s="286">
        <v>648</v>
      </c>
      <c r="BL37" s="286">
        <v>648</v>
      </c>
      <c r="BM37" s="286">
        <v>648</v>
      </c>
      <c r="BN37" s="286">
        <v>648</v>
      </c>
      <c r="BO37" s="286">
        <v>648</v>
      </c>
      <c r="BP37" s="286">
        <v>648</v>
      </c>
      <c r="BQ37" s="286">
        <v>648</v>
      </c>
      <c r="BR37" s="286">
        <v>648</v>
      </c>
      <c r="BS37" s="283">
        <v>648</v>
      </c>
      <c r="BT37" s="284">
        <v>648</v>
      </c>
      <c r="BU37" s="285">
        <v>648</v>
      </c>
      <c r="BV37" s="402">
        <v>0</v>
      </c>
      <c r="BW37" s="498"/>
      <c r="BX37" s="472"/>
      <c r="BY37" s="290"/>
      <c r="BZ37" s="404"/>
      <c r="CA37" s="405"/>
    </row>
    <row r="38" spans="1:79" ht="46" customHeight="1" thickBot="1">
      <c r="A38" s="294"/>
      <c r="B38" s="295"/>
      <c r="C38" s="296"/>
      <c r="D38" s="297" t="s">
        <v>2129</v>
      </c>
      <c r="E38" s="298"/>
      <c r="F38" s="299">
        <v>0</v>
      </c>
      <c r="G38" s="299">
        <v>0</v>
      </c>
      <c r="H38" s="554">
        <v>0</v>
      </c>
      <c r="I38" s="555">
        <v>0</v>
      </c>
      <c r="J38" s="555">
        <v>0</v>
      </c>
      <c r="K38" s="554">
        <v>0</v>
      </c>
      <c r="L38" s="555">
        <v>0</v>
      </c>
      <c r="M38" s="555">
        <v>0</v>
      </c>
      <c r="N38" s="555">
        <v>0</v>
      </c>
      <c r="O38" s="555">
        <v>0</v>
      </c>
      <c r="P38" s="302" t="s">
        <v>2129</v>
      </c>
      <c r="Q38" s="302" t="s">
        <v>2129</v>
      </c>
      <c r="R38" s="303"/>
      <c r="S38" s="556"/>
      <c r="T38" s="556"/>
      <c r="U38" s="305" t="s">
        <v>2145</v>
      </c>
      <c r="V38" s="305" t="s">
        <v>2138</v>
      </c>
      <c r="W38" s="306">
        <v>234</v>
      </c>
      <c r="X38" s="307"/>
      <c r="Y38" s="308">
        <v>9</v>
      </c>
      <c r="Z38" s="309">
        <v>19</v>
      </c>
      <c r="AA38" s="310"/>
      <c r="AB38" s="311"/>
      <c r="AC38" s="312" t="s">
        <v>2210</v>
      </c>
      <c r="AD38" s="313" t="s">
        <v>2171</v>
      </c>
      <c r="AE38" s="314">
        <v>162</v>
      </c>
      <c r="AF38" s="315"/>
      <c r="AG38" s="557">
        <v>25</v>
      </c>
      <c r="AH38" s="514">
        <v>31</v>
      </c>
      <c r="AI38" s="318"/>
      <c r="AJ38" s="311"/>
      <c r="AK38" s="319"/>
      <c r="AL38" s="320" t="s">
        <v>2143</v>
      </c>
      <c r="AM38" s="277">
        <v>46270</v>
      </c>
      <c r="AN38" s="277">
        <v>46301</v>
      </c>
      <c r="AO38" s="278">
        <v>31</v>
      </c>
      <c r="AP38" s="322"/>
      <c r="AQ38" s="417">
        <v>0</v>
      </c>
      <c r="AR38" s="418">
        <v>0</v>
      </c>
      <c r="AS38" s="418">
        <v>0</v>
      </c>
      <c r="AT38" s="328">
        <v>66</v>
      </c>
      <c r="AU38" s="328">
        <v>132</v>
      </c>
      <c r="AV38" s="328">
        <v>510</v>
      </c>
      <c r="AW38" s="328">
        <v>510</v>
      </c>
      <c r="AX38" s="328">
        <v>510</v>
      </c>
      <c r="AY38" s="328">
        <v>510</v>
      </c>
      <c r="AZ38" s="328">
        <v>510</v>
      </c>
      <c r="BA38" s="328">
        <v>510</v>
      </c>
      <c r="BB38" s="328">
        <v>510</v>
      </c>
      <c r="BC38" s="328">
        <v>510</v>
      </c>
      <c r="BD38" s="325">
        <v>510</v>
      </c>
      <c r="BE38" s="326">
        <v>642</v>
      </c>
      <c r="BF38" s="327">
        <v>642</v>
      </c>
      <c r="BG38" s="328">
        <v>642</v>
      </c>
      <c r="BH38" s="328">
        <v>642</v>
      </c>
      <c r="BI38" s="328">
        <v>642</v>
      </c>
      <c r="BJ38" s="328">
        <v>642</v>
      </c>
      <c r="BK38" s="328">
        <v>576</v>
      </c>
      <c r="BL38" s="328">
        <v>510</v>
      </c>
      <c r="BM38" s="328">
        <v>510</v>
      </c>
      <c r="BN38" s="328">
        <v>510</v>
      </c>
      <c r="BO38" s="328">
        <v>510</v>
      </c>
      <c r="BP38" s="328">
        <v>378</v>
      </c>
      <c r="BQ38" s="328">
        <v>378</v>
      </c>
      <c r="BR38" s="328">
        <v>378</v>
      </c>
      <c r="BS38" s="325">
        <v>378</v>
      </c>
      <c r="BT38" s="326">
        <v>378</v>
      </c>
      <c r="BU38" s="327">
        <v>378</v>
      </c>
      <c r="BV38" s="419">
        <v>0</v>
      </c>
      <c r="BW38" s="503"/>
      <c r="BX38" s="507"/>
      <c r="BY38" s="290"/>
      <c r="BZ38" s="332"/>
      <c r="CA38" s="333"/>
    </row>
    <row r="39" spans="1:79" ht="46" customHeight="1" thickTop="1" thickBot="1">
      <c r="A39" s="294"/>
      <c r="B39" s="295"/>
      <c r="C39" s="296"/>
      <c r="D39" s="297" t="s">
        <v>2129</v>
      </c>
      <c r="E39" s="298"/>
      <c r="F39" s="299">
        <v>0</v>
      </c>
      <c r="G39" s="299">
        <v>0</v>
      </c>
      <c r="H39" s="554">
        <v>0</v>
      </c>
      <c r="I39" s="555">
        <v>0</v>
      </c>
      <c r="J39" s="555">
        <v>0</v>
      </c>
      <c r="K39" s="554">
        <v>0</v>
      </c>
      <c r="L39" s="555">
        <v>0</v>
      </c>
      <c r="M39" s="555">
        <v>0</v>
      </c>
      <c r="N39" s="555">
        <v>0</v>
      </c>
      <c r="O39" s="555">
        <v>0</v>
      </c>
      <c r="P39" s="302" t="s">
        <v>2129</v>
      </c>
      <c r="Q39" s="302" t="s">
        <v>2129</v>
      </c>
      <c r="R39" s="303"/>
      <c r="S39" s="556"/>
      <c r="T39" s="556"/>
      <c r="U39" s="305" t="s">
        <v>2147</v>
      </c>
      <c r="V39" s="305" t="s">
        <v>2138</v>
      </c>
      <c r="W39" s="306">
        <v>126</v>
      </c>
      <c r="X39" s="307"/>
      <c r="Y39" s="308">
        <v>9</v>
      </c>
      <c r="Z39" s="309">
        <v>19</v>
      </c>
      <c r="AA39" s="310"/>
      <c r="AB39" s="311"/>
      <c r="AC39" s="312" t="s">
        <v>2170</v>
      </c>
      <c r="AD39" s="313" t="s">
        <v>2171</v>
      </c>
      <c r="AE39" s="314">
        <v>0</v>
      </c>
      <c r="AF39" s="315"/>
      <c r="AG39" s="557">
        <v>25</v>
      </c>
      <c r="AH39" s="514">
        <v>31</v>
      </c>
      <c r="AI39" s="318"/>
      <c r="AJ39" s="311"/>
      <c r="AK39" s="334"/>
      <c r="AL39" s="335"/>
      <c r="AM39" s="277" t="s">
        <v>2129</v>
      </c>
      <c r="AN39" s="277" t="s">
        <v>2129</v>
      </c>
      <c r="AO39" s="278" t="s">
        <v>2129</v>
      </c>
      <c r="AP39" s="336"/>
      <c r="AQ39" s="336"/>
      <c r="AR39" s="336"/>
      <c r="AS39" s="336"/>
      <c r="AT39" s="336"/>
      <c r="AU39" s="336"/>
      <c r="AV39" s="336"/>
      <c r="AW39" s="336"/>
      <c r="AX39" s="336"/>
      <c r="AY39" s="336"/>
      <c r="AZ39" s="336"/>
      <c r="BA39" s="336"/>
      <c r="BB39" s="336"/>
      <c r="BC39" s="336"/>
      <c r="BD39" s="337"/>
      <c r="BE39" s="338"/>
      <c r="BF39" s="339"/>
      <c r="BG39" s="336"/>
      <c r="BH39" s="336"/>
      <c r="BI39" s="336"/>
      <c r="BJ39" s="336"/>
      <c r="BK39" s="336"/>
      <c r="BL39" s="336"/>
      <c r="BM39" s="336"/>
      <c r="BN39" s="336"/>
      <c r="BO39" s="336"/>
      <c r="BP39" s="336"/>
      <c r="BQ39" s="336"/>
      <c r="BR39" s="336"/>
      <c r="BS39" s="337"/>
      <c r="BT39" s="338"/>
      <c r="BU39" s="339"/>
      <c r="BV39" s="336"/>
      <c r="BW39" s="336"/>
      <c r="BX39" s="340"/>
      <c r="BY39" s="290"/>
      <c r="BZ39" s="332"/>
      <c r="CA39" s="333"/>
    </row>
    <row r="40" spans="1:79" s="561" customFormat="1" ht="46" customHeight="1" thickBot="1">
      <c r="A40" s="294"/>
      <c r="B40" s="295"/>
      <c r="C40" s="420"/>
      <c r="D40" s="421" t="s">
        <v>2129</v>
      </c>
      <c r="E40" s="422"/>
      <c r="F40" s="423">
        <v>0</v>
      </c>
      <c r="G40" s="423">
        <v>0</v>
      </c>
      <c r="H40" s="558">
        <v>0</v>
      </c>
      <c r="I40" s="559">
        <v>0</v>
      </c>
      <c r="J40" s="559">
        <v>0</v>
      </c>
      <c r="K40" s="558">
        <v>0</v>
      </c>
      <c r="L40" s="559">
        <v>0</v>
      </c>
      <c r="M40" s="559">
        <v>0</v>
      </c>
      <c r="N40" s="559">
        <v>0</v>
      </c>
      <c r="O40" s="559">
        <v>0</v>
      </c>
      <c r="P40" s="426" t="s">
        <v>2129</v>
      </c>
      <c r="Q40" s="426" t="s">
        <v>2129</v>
      </c>
      <c r="R40" s="427"/>
      <c r="S40" s="560"/>
      <c r="T40" s="560"/>
      <c r="U40" s="429" t="s">
        <v>2134</v>
      </c>
      <c r="V40" s="429" t="s">
        <v>2134</v>
      </c>
      <c r="W40" s="430">
        <v>0</v>
      </c>
      <c r="X40" s="431"/>
      <c r="Y40" s="432"/>
      <c r="Z40" s="433"/>
      <c r="AA40" s="434"/>
      <c r="AB40" s="435"/>
      <c r="AC40" s="436" t="s">
        <v>2211</v>
      </c>
      <c r="AD40" s="437" t="s">
        <v>2138</v>
      </c>
      <c r="AE40" s="438">
        <v>132</v>
      </c>
      <c r="AF40" s="439"/>
      <c r="AG40" s="440">
        <v>13</v>
      </c>
      <c r="AH40" s="441">
        <v>24</v>
      </c>
      <c r="AI40" s="365"/>
      <c r="AJ40" s="435"/>
      <c r="AK40" s="534"/>
      <c r="AL40" s="444"/>
      <c r="AM40" s="277" t="s">
        <v>2129</v>
      </c>
      <c r="AN40" s="277" t="s">
        <v>2129</v>
      </c>
      <c r="AO40" s="278" t="s">
        <v>2129</v>
      </c>
      <c r="AP40" s="445"/>
      <c r="AQ40" s="445"/>
      <c r="AR40" s="445"/>
      <c r="AS40" s="445"/>
      <c r="AT40" s="445"/>
      <c r="AU40" s="445"/>
      <c r="AV40" s="445"/>
      <c r="AW40" s="445"/>
      <c r="AX40" s="336"/>
      <c r="AY40" s="336"/>
      <c r="AZ40" s="336"/>
      <c r="BA40" s="336"/>
      <c r="BB40" s="336"/>
      <c r="BC40" s="336"/>
      <c r="BD40" s="337"/>
      <c r="BE40" s="338"/>
      <c r="BF40" s="339"/>
      <c r="BG40" s="336"/>
      <c r="BH40" s="336"/>
      <c r="BI40" s="336"/>
      <c r="BJ40" s="336"/>
      <c r="BK40" s="336"/>
      <c r="BL40" s="336"/>
      <c r="BM40" s="336"/>
      <c r="BN40" s="336"/>
      <c r="BO40" s="336"/>
      <c r="BP40" s="336"/>
      <c r="BQ40" s="336"/>
      <c r="BR40" s="336"/>
      <c r="BS40" s="337"/>
      <c r="BT40" s="338"/>
      <c r="BU40" s="339"/>
      <c r="BV40" s="336"/>
      <c r="BW40" s="336"/>
      <c r="BX40" s="449"/>
      <c r="BY40" s="290"/>
      <c r="BZ40" s="450"/>
      <c r="CA40" s="451"/>
    </row>
    <row r="41" spans="1:79" s="564" customFormat="1" ht="46" customHeight="1" thickTop="1" thickBot="1">
      <c r="A41" s="294"/>
      <c r="B41" s="295"/>
      <c r="C41" s="372">
        <v>10</v>
      </c>
      <c r="D41" s="871">
        <v>93</v>
      </c>
      <c r="E41" s="373" t="s">
        <v>2212</v>
      </c>
      <c r="F41" s="876">
        <v>580</v>
      </c>
      <c r="G41" s="374">
        <v>681</v>
      </c>
      <c r="H41" s="375">
        <v>12</v>
      </c>
      <c r="I41" s="376" t="s">
        <v>2167</v>
      </c>
      <c r="J41" s="376" t="s">
        <v>2132</v>
      </c>
      <c r="K41" s="375">
        <v>120</v>
      </c>
      <c r="L41" s="376" t="s">
        <v>2134</v>
      </c>
      <c r="M41" s="376" t="s">
        <v>2134</v>
      </c>
      <c r="N41" s="376" t="s">
        <v>2133</v>
      </c>
      <c r="O41" s="376" t="s">
        <v>2160</v>
      </c>
      <c r="P41" s="377" t="s">
        <v>2133</v>
      </c>
      <c r="Q41" s="377" t="s">
        <v>2133</v>
      </c>
      <c r="R41" s="378"/>
      <c r="S41" s="379" t="s">
        <v>2136</v>
      </c>
      <c r="T41" s="379" t="s">
        <v>2136</v>
      </c>
      <c r="U41" s="508" t="s">
        <v>2213</v>
      </c>
      <c r="V41" s="508" t="s">
        <v>2214</v>
      </c>
      <c r="W41" s="509">
        <v>312</v>
      </c>
      <c r="X41" s="454">
        <v>528</v>
      </c>
      <c r="Y41" s="510">
        <v>14</v>
      </c>
      <c r="Z41" s="511">
        <v>24</v>
      </c>
      <c r="AA41" s="457">
        <v>153</v>
      </c>
      <c r="AB41" s="394">
        <v>0.22466960352422907</v>
      </c>
      <c r="AC41" s="512" t="s">
        <v>2215</v>
      </c>
      <c r="AD41" s="388" t="s">
        <v>2214</v>
      </c>
      <c r="AE41" s="389">
        <v>216</v>
      </c>
      <c r="AF41" s="390">
        <v>529</v>
      </c>
      <c r="AG41" s="513">
        <v>14</v>
      </c>
      <c r="AH41" s="514">
        <v>24</v>
      </c>
      <c r="AI41" s="318">
        <v>169</v>
      </c>
      <c r="AJ41" s="394">
        <v>0.24816446402349487</v>
      </c>
      <c r="AK41" s="515" t="s">
        <v>2216</v>
      </c>
      <c r="AL41" s="396" t="s">
        <v>2140</v>
      </c>
      <c r="AM41" s="865">
        <v>46277</v>
      </c>
      <c r="AN41" s="865">
        <v>46299</v>
      </c>
      <c r="AO41" s="866">
        <v>22</v>
      </c>
      <c r="AP41" s="397"/>
      <c r="AQ41" s="397"/>
      <c r="AR41" s="397"/>
      <c r="AS41" s="397"/>
      <c r="AT41" s="397"/>
      <c r="AU41" s="397"/>
      <c r="AV41" s="397"/>
      <c r="AW41" s="398"/>
      <c r="AX41" s="495">
        <v>0</v>
      </c>
      <c r="AY41" s="282">
        <v>0</v>
      </c>
      <c r="AZ41" s="282">
        <v>0</v>
      </c>
      <c r="BA41" s="286">
        <v>528</v>
      </c>
      <c r="BB41" s="286">
        <v>528</v>
      </c>
      <c r="BC41" s="286">
        <v>528</v>
      </c>
      <c r="BD41" s="283">
        <v>528</v>
      </c>
      <c r="BE41" s="284">
        <v>528</v>
      </c>
      <c r="BF41" s="285">
        <v>528</v>
      </c>
      <c r="BG41" s="286">
        <v>528</v>
      </c>
      <c r="BH41" s="286">
        <v>528</v>
      </c>
      <c r="BI41" s="286">
        <v>528</v>
      </c>
      <c r="BJ41" s="286">
        <v>528</v>
      </c>
      <c r="BK41" s="286">
        <v>528</v>
      </c>
      <c r="BL41" s="286">
        <v>528</v>
      </c>
      <c r="BM41" s="286">
        <v>528</v>
      </c>
      <c r="BN41" s="286">
        <v>528</v>
      </c>
      <c r="BO41" s="286">
        <v>528</v>
      </c>
      <c r="BP41" s="286">
        <v>528</v>
      </c>
      <c r="BQ41" s="286">
        <v>528</v>
      </c>
      <c r="BR41" s="286">
        <v>312</v>
      </c>
      <c r="BS41" s="283">
        <v>312</v>
      </c>
      <c r="BT41" s="562">
        <v>0</v>
      </c>
      <c r="BU41" s="285"/>
      <c r="BV41" s="286"/>
      <c r="BW41" s="563"/>
      <c r="BX41" s="403"/>
      <c r="BY41" s="290"/>
      <c r="BZ41" s="404"/>
      <c r="CA41" s="405"/>
    </row>
    <row r="42" spans="1:79" ht="46" customHeight="1" thickBot="1">
      <c r="A42" s="294"/>
      <c r="B42" s="295"/>
      <c r="C42" s="296"/>
      <c r="D42" s="297" t="s">
        <v>2129</v>
      </c>
      <c r="E42" s="298"/>
      <c r="F42" s="299">
        <v>0</v>
      </c>
      <c r="G42" s="299">
        <v>0</v>
      </c>
      <c r="H42" s="300">
        <v>0</v>
      </c>
      <c r="I42" s="301">
        <v>0</v>
      </c>
      <c r="J42" s="301">
        <v>0</v>
      </c>
      <c r="K42" s="300">
        <v>0</v>
      </c>
      <c r="L42" s="301">
        <v>0</v>
      </c>
      <c r="M42" s="301">
        <v>0</v>
      </c>
      <c r="N42" s="301">
        <v>0</v>
      </c>
      <c r="O42" s="301">
        <v>0</v>
      </c>
      <c r="P42" s="302" t="s">
        <v>2129</v>
      </c>
      <c r="Q42" s="302" t="s">
        <v>2129</v>
      </c>
      <c r="R42" s="303"/>
      <c r="S42" s="304"/>
      <c r="T42" s="304"/>
      <c r="U42" s="305" t="s">
        <v>2217</v>
      </c>
      <c r="V42" s="305" t="s">
        <v>2218</v>
      </c>
      <c r="W42" s="306">
        <v>216</v>
      </c>
      <c r="X42" s="307"/>
      <c r="Y42" s="308">
        <v>18</v>
      </c>
      <c r="Z42" s="309">
        <v>33</v>
      </c>
      <c r="AA42" s="310"/>
      <c r="AB42" s="311"/>
      <c r="AC42" s="312" t="s">
        <v>2219</v>
      </c>
      <c r="AD42" s="313" t="s">
        <v>2218</v>
      </c>
      <c r="AE42" s="314">
        <v>144</v>
      </c>
      <c r="AF42" s="315"/>
      <c r="AG42" s="316">
        <v>18</v>
      </c>
      <c r="AH42" s="548">
        <v>33</v>
      </c>
      <c r="AI42" s="318"/>
      <c r="AJ42" s="311"/>
      <c r="AK42" s="565"/>
      <c r="AL42" s="320" t="s">
        <v>2143</v>
      </c>
      <c r="AM42" s="277">
        <v>46277</v>
      </c>
      <c r="AN42" s="277">
        <v>46302</v>
      </c>
      <c r="AO42" s="278">
        <v>25</v>
      </c>
      <c r="AP42" s="321"/>
      <c r="AQ42" s="321"/>
      <c r="AR42" s="321"/>
      <c r="AS42" s="321"/>
      <c r="AT42" s="321"/>
      <c r="AU42" s="321"/>
      <c r="AV42" s="321"/>
      <c r="AW42" s="322"/>
      <c r="AX42" s="417">
        <v>0</v>
      </c>
      <c r="AY42" s="418">
        <v>0</v>
      </c>
      <c r="AZ42" s="418">
        <v>0</v>
      </c>
      <c r="BA42" s="328">
        <v>471</v>
      </c>
      <c r="BB42" s="328">
        <v>471</v>
      </c>
      <c r="BC42" s="328">
        <v>471</v>
      </c>
      <c r="BD42" s="325">
        <v>471</v>
      </c>
      <c r="BE42" s="326">
        <v>471</v>
      </c>
      <c r="BF42" s="327">
        <v>471</v>
      </c>
      <c r="BG42" s="328">
        <v>471</v>
      </c>
      <c r="BH42" s="328">
        <v>471</v>
      </c>
      <c r="BI42" s="328">
        <v>471</v>
      </c>
      <c r="BJ42" s="328">
        <v>512</v>
      </c>
      <c r="BK42" s="328">
        <v>512</v>
      </c>
      <c r="BL42" s="328">
        <v>512</v>
      </c>
      <c r="BM42" s="328">
        <v>512</v>
      </c>
      <c r="BN42" s="328">
        <v>401</v>
      </c>
      <c r="BO42" s="328">
        <v>418</v>
      </c>
      <c r="BP42" s="328">
        <v>418</v>
      </c>
      <c r="BQ42" s="328">
        <v>418</v>
      </c>
      <c r="BR42" s="328">
        <v>58</v>
      </c>
      <c r="BS42" s="325">
        <v>17</v>
      </c>
      <c r="BT42" s="326">
        <v>17</v>
      </c>
      <c r="BU42" s="327">
        <v>17</v>
      </c>
      <c r="BV42" s="328">
        <v>17</v>
      </c>
      <c r="BW42" s="419">
        <v>0</v>
      </c>
      <c r="BX42" s="331"/>
      <c r="BY42" s="290"/>
      <c r="BZ42" s="332"/>
      <c r="CA42" s="333"/>
    </row>
    <row r="43" spans="1:79" ht="46" customHeight="1" thickTop="1" thickBot="1">
      <c r="A43" s="294"/>
      <c r="B43" s="295"/>
      <c r="C43" s="296"/>
      <c r="D43" s="297" t="s">
        <v>2129</v>
      </c>
      <c r="E43" s="298"/>
      <c r="F43" s="299">
        <v>0</v>
      </c>
      <c r="G43" s="299">
        <v>0</v>
      </c>
      <c r="H43" s="300">
        <v>0</v>
      </c>
      <c r="I43" s="301">
        <v>0</v>
      </c>
      <c r="J43" s="301">
        <v>0</v>
      </c>
      <c r="K43" s="300">
        <v>0</v>
      </c>
      <c r="L43" s="301">
        <v>0</v>
      </c>
      <c r="M43" s="301">
        <v>0</v>
      </c>
      <c r="N43" s="301">
        <v>0</v>
      </c>
      <c r="O43" s="301">
        <v>0</v>
      </c>
      <c r="P43" s="302" t="s">
        <v>2129</v>
      </c>
      <c r="Q43" s="302" t="s">
        <v>2129</v>
      </c>
      <c r="R43" s="303"/>
      <c r="S43" s="304"/>
      <c r="T43" s="304"/>
      <c r="U43" s="305" t="s">
        <v>2134</v>
      </c>
      <c r="V43" s="305" t="s">
        <v>2134</v>
      </c>
      <c r="W43" s="306">
        <v>0</v>
      </c>
      <c r="X43" s="307"/>
      <c r="Y43" s="308"/>
      <c r="Z43" s="309"/>
      <c r="AA43" s="310"/>
      <c r="AB43" s="311"/>
      <c r="AC43" s="312" t="s">
        <v>2188</v>
      </c>
      <c r="AD43" s="313" t="s">
        <v>2138</v>
      </c>
      <c r="AE43" s="314">
        <v>111</v>
      </c>
      <c r="AF43" s="315"/>
      <c r="AG43" s="316">
        <v>10</v>
      </c>
      <c r="AH43" s="317">
        <v>27</v>
      </c>
      <c r="AI43" s="318"/>
      <c r="AJ43" s="311"/>
      <c r="AK43" s="565"/>
      <c r="AL43" s="335"/>
      <c r="AM43" s="277" t="s">
        <v>2129</v>
      </c>
      <c r="AN43" s="277" t="s">
        <v>2129</v>
      </c>
      <c r="AO43" s="278" t="s">
        <v>2129</v>
      </c>
      <c r="AP43" s="336"/>
      <c r="AQ43" s="336"/>
      <c r="AR43" s="336"/>
      <c r="AS43" s="336"/>
      <c r="AT43" s="336"/>
      <c r="AU43" s="336"/>
      <c r="AV43" s="336"/>
      <c r="AW43" s="336"/>
      <c r="AX43" s="336"/>
      <c r="AY43" s="336"/>
      <c r="AZ43" s="336"/>
      <c r="BA43" s="336"/>
      <c r="BB43" s="336"/>
      <c r="BC43" s="336"/>
      <c r="BD43" s="337"/>
      <c r="BE43" s="338"/>
      <c r="BF43" s="339"/>
      <c r="BG43" s="336"/>
      <c r="BH43" s="336"/>
      <c r="BI43" s="336"/>
      <c r="BJ43" s="336"/>
      <c r="BK43" s="336"/>
      <c r="BL43" s="336"/>
      <c r="BM43" s="336"/>
      <c r="BN43" s="336"/>
      <c r="BO43" s="336"/>
      <c r="BP43" s="336"/>
      <c r="BQ43" s="336"/>
      <c r="BR43" s="336"/>
      <c r="BS43" s="337"/>
      <c r="BT43" s="338"/>
      <c r="BU43" s="339"/>
      <c r="BV43" s="336"/>
      <c r="BW43" s="336"/>
      <c r="BX43" s="340"/>
      <c r="BY43" s="290"/>
      <c r="BZ43" s="332"/>
      <c r="CA43" s="333"/>
    </row>
    <row r="44" spans="1:79" ht="46" customHeight="1" thickBot="1">
      <c r="A44" s="294"/>
      <c r="B44" s="295"/>
      <c r="C44" s="296"/>
      <c r="D44" s="297" t="s">
        <v>2129</v>
      </c>
      <c r="E44" s="298"/>
      <c r="F44" s="299">
        <v>0</v>
      </c>
      <c r="G44" s="299">
        <v>0</v>
      </c>
      <c r="H44" s="300">
        <v>0</v>
      </c>
      <c r="I44" s="301">
        <v>0</v>
      </c>
      <c r="J44" s="301">
        <v>0</v>
      </c>
      <c r="K44" s="300">
        <v>0</v>
      </c>
      <c r="L44" s="301">
        <v>0</v>
      </c>
      <c r="M44" s="301">
        <v>0</v>
      </c>
      <c r="N44" s="301">
        <v>0</v>
      </c>
      <c r="O44" s="301">
        <v>0</v>
      </c>
      <c r="P44" s="302" t="s">
        <v>2129</v>
      </c>
      <c r="Q44" s="302" t="s">
        <v>2129</v>
      </c>
      <c r="R44" s="303"/>
      <c r="S44" s="304"/>
      <c r="T44" s="304"/>
      <c r="U44" s="305" t="s">
        <v>2134</v>
      </c>
      <c r="V44" s="305" t="s">
        <v>2134</v>
      </c>
      <c r="W44" s="306">
        <v>0</v>
      </c>
      <c r="X44" s="307"/>
      <c r="Y44" s="308"/>
      <c r="Z44" s="309"/>
      <c r="AA44" s="310"/>
      <c r="AB44" s="311"/>
      <c r="AC44" s="312" t="s">
        <v>2192</v>
      </c>
      <c r="AD44" s="313" t="s">
        <v>2138</v>
      </c>
      <c r="AE44" s="314">
        <v>41</v>
      </c>
      <c r="AF44" s="315"/>
      <c r="AG44" s="316">
        <v>10</v>
      </c>
      <c r="AH44" s="317">
        <v>27</v>
      </c>
      <c r="AI44" s="318"/>
      <c r="AJ44" s="311"/>
      <c r="AK44" s="565"/>
      <c r="AL44" s="335"/>
      <c r="AM44" s="277" t="s">
        <v>2129</v>
      </c>
      <c r="AN44" s="277" t="s">
        <v>2129</v>
      </c>
      <c r="AO44" s="278" t="s">
        <v>2129</v>
      </c>
      <c r="AP44" s="336"/>
      <c r="AQ44" s="336"/>
      <c r="AR44" s="336"/>
      <c r="AS44" s="336"/>
      <c r="AT44" s="336"/>
      <c r="AU44" s="336"/>
      <c r="AV44" s="336"/>
      <c r="AW44" s="336"/>
      <c r="AX44" s="336"/>
      <c r="AY44" s="336"/>
      <c r="AZ44" s="336"/>
      <c r="BA44" s="336"/>
      <c r="BB44" s="336"/>
      <c r="BC44" s="336"/>
      <c r="BD44" s="337"/>
      <c r="BE44" s="338"/>
      <c r="BF44" s="339"/>
      <c r="BG44" s="336"/>
      <c r="BH44" s="336"/>
      <c r="BI44" s="336"/>
      <c r="BJ44" s="336"/>
      <c r="BK44" s="336"/>
      <c r="BL44" s="336"/>
      <c r="BM44" s="336"/>
      <c r="BN44" s="336"/>
      <c r="BO44" s="336"/>
      <c r="BP44" s="336"/>
      <c r="BQ44" s="336"/>
      <c r="BR44" s="336"/>
      <c r="BS44" s="337"/>
      <c r="BT44" s="338"/>
      <c r="BU44" s="339"/>
      <c r="BV44" s="336"/>
      <c r="BW44" s="336"/>
      <c r="BX44" s="340"/>
      <c r="BY44" s="290"/>
      <c r="BZ44" s="332"/>
      <c r="CA44" s="333"/>
    </row>
    <row r="45" spans="1:79" s="561" customFormat="1" ht="46" customHeight="1" thickBot="1">
      <c r="A45" s="566"/>
      <c r="B45" s="567"/>
      <c r="C45" s="420"/>
      <c r="D45" s="421" t="s">
        <v>2129</v>
      </c>
      <c r="E45" s="422"/>
      <c r="F45" s="423">
        <v>0</v>
      </c>
      <c r="G45" s="423">
        <v>0</v>
      </c>
      <c r="H45" s="424">
        <v>0</v>
      </c>
      <c r="I45" s="425">
        <v>0</v>
      </c>
      <c r="J45" s="425">
        <v>0</v>
      </c>
      <c r="K45" s="424">
        <v>0</v>
      </c>
      <c r="L45" s="425">
        <v>0</v>
      </c>
      <c r="M45" s="425">
        <v>0</v>
      </c>
      <c r="N45" s="425">
        <v>0</v>
      </c>
      <c r="O45" s="425">
        <v>0</v>
      </c>
      <c r="P45" s="426" t="s">
        <v>2129</v>
      </c>
      <c r="Q45" s="426" t="s">
        <v>2129</v>
      </c>
      <c r="R45" s="427"/>
      <c r="S45" s="428"/>
      <c r="T45" s="428"/>
      <c r="U45" s="429" t="s">
        <v>2134</v>
      </c>
      <c r="V45" s="429" t="s">
        <v>2134</v>
      </c>
      <c r="W45" s="430">
        <v>0</v>
      </c>
      <c r="X45" s="431"/>
      <c r="Y45" s="432"/>
      <c r="Z45" s="433"/>
      <c r="AA45" s="434"/>
      <c r="AB45" s="435"/>
      <c r="AC45" s="436" t="s">
        <v>2193</v>
      </c>
      <c r="AD45" s="437" t="s">
        <v>2138</v>
      </c>
      <c r="AE45" s="438">
        <v>17</v>
      </c>
      <c r="AF45" s="439"/>
      <c r="AG45" s="568">
        <v>10</v>
      </c>
      <c r="AH45" s="516">
        <v>27</v>
      </c>
      <c r="AI45" s="442"/>
      <c r="AJ45" s="435"/>
      <c r="AK45" s="517"/>
      <c r="AL45" s="444"/>
      <c r="AM45" s="277" t="s">
        <v>2129</v>
      </c>
      <c r="AN45" s="277" t="s">
        <v>2129</v>
      </c>
      <c r="AO45" s="278" t="s">
        <v>2129</v>
      </c>
      <c r="AP45" s="445"/>
      <c r="AQ45" s="445"/>
      <c r="AR45" s="445"/>
      <c r="AS45" s="445"/>
      <c r="AT45" s="445"/>
      <c r="AU45" s="445"/>
      <c r="AV45" s="445"/>
      <c r="AW45" s="445"/>
      <c r="AX45" s="336"/>
      <c r="AY45" s="336"/>
      <c r="AZ45" s="336"/>
      <c r="BA45" s="336"/>
      <c r="BB45" s="336"/>
      <c r="BC45" s="336"/>
      <c r="BD45" s="337"/>
      <c r="BE45" s="338"/>
      <c r="BF45" s="339"/>
      <c r="BG45" s="336"/>
      <c r="BH45" s="336"/>
      <c r="BI45" s="336"/>
      <c r="BJ45" s="336"/>
      <c r="BK45" s="336"/>
      <c r="BL45" s="336"/>
      <c r="BM45" s="336"/>
      <c r="BN45" s="336"/>
      <c r="BO45" s="336"/>
      <c r="BP45" s="336"/>
      <c r="BQ45" s="445"/>
      <c r="BR45" s="445"/>
      <c r="BS45" s="446"/>
      <c r="BT45" s="447"/>
      <c r="BU45" s="448"/>
      <c r="BV45" s="445"/>
      <c r="BW45" s="445"/>
      <c r="BX45" s="449"/>
      <c r="BY45" s="290"/>
      <c r="BZ45" s="450"/>
      <c r="CA45" s="451"/>
    </row>
    <row r="46" spans="1:79" s="564" customFormat="1" ht="46" customHeight="1" thickTop="1" thickBot="1">
      <c r="A46" s="569"/>
      <c r="B46" s="570"/>
      <c r="C46" s="372">
        <v>11</v>
      </c>
      <c r="D46" s="871">
        <v>79</v>
      </c>
      <c r="E46" s="373" t="s">
        <v>2220</v>
      </c>
      <c r="F46" s="876">
        <v>191</v>
      </c>
      <c r="G46" s="374">
        <v>292</v>
      </c>
      <c r="H46" s="375">
        <v>0</v>
      </c>
      <c r="I46" s="376" t="s">
        <v>2167</v>
      </c>
      <c r="J46" s="376" t="s">
        <v>2132</v>
      </c>
      <c r="K46" s="375">
        <v>62</v>
      </c>
      <c r="L46" s="376" t="s">
        <v>2133</v>
      </c>
      <c r="M46" s="376" t="s">
        <v>2134</v>
      </c>
      <c r="N46" s="376" t="s">
        <v>2134</v>
      </c>
      <c r="O46" s="376" t="s">
        <v>2168</v>
      </c>
      <c r="P46" s="377" t="s">
        <v>2133</v>
      </c>
      <c r="Q46" s="377" t="s">
        <v>2133</v>
      </c>
      <c r="R46" s="378"/>
      <c r="S46" s="379" t="s">
        <v>2136</v>
      </c>
      <c r="T46" s="379" t="s">
        <v>2136</v>
      </c>
      <c r="U46" s="535" t="s">
        <v>2211</v>
      </c>
      <c r="V46" s="535" t="s">
        <v>2138</v>
      </c>
      <c r="W46" s="536">
        <v>161</v>
      </c>
      <c r="X46" s="454">
        <v>229</v>
      </c>
      <c r="Y46" s="537">
        <v>16.399999999999999</v>
      </c>
      <c r="Z46" s="538">
        <v>29</v>
      </c>
      <c r="AA46" s="457">
        <v>63</v>
      </c>
      <c r="AB46" s="394">
        <v>0.21575342465753425</v>
      </c>
      <c r="AC46" s="539" t="s">
        <v>2221</v>
      </c>
      <c r="AD46" s="540" t="s">
        <v>2138</v>
      </c>
      <c r="AE46" s="541">
        <v>84</v>
      </c>
      <c r="AF46" s="390">
        <v>150</v>
      </c>
      <c r="AG46" s="542">
        <v>21</v>
      </c>
      <c r="AH46" s="571">
        <v>28</v>
      </c>
      <c r="AI46" s="393">
        <v>142</v>
      </c>
      <c r="AJ46" s="394">
        <v>0.4863013698630137</v>
      </c>
      <c r="AK46" s="515" t="s">
        <v>2222</v>
      </c>
      <c r="AL46" s="396" t="s">
        <v>2140</v>
      </c>
      <c r="AM46" s="865">
        <v>46281</v>
      </c>
      <c r="AN46" s="865">
        <v>46295</v>
      </c>
      <c r="AO46" s="866">
        <v>14</v>
      </c>
      <c r="AP46" s="397"/>
      <c r="AQ46" s="397"/>
      <c r="AR46" s="397"/>
      <c r="AS46" s="397"/>
      <c r="AT46" s="397"/>
      <c r="AU46" s="397"/>
      <c r="AV46" s="397"/>
      <c r="AW46" s="398"/>
      <c r="AX46" s="553"/>
      <c r="AY46" s="286"/>
      <c r="AZ46" s="286"/>
      <c r="BA46" s="286"/>
      <c r="BB46" s="282">
        <v>0</v>
      </c>
      <c r="BC46" s="282">
        <v>0</v>
      </c>
      <c r="BD46" s="282">
        <v>0</v>
      </c>
      <c r="BE46" s="284">
        <v>161</v>
      </c>
      <c r="BF46" s="285">
        <v>203</v>
      </c>
      <c r="BG46" s="286">
        <v>229</v>
      </c>
      <c r="BH46" s="286">
        <v>229</v>
      </c>
      <c r="BI46" s="286">
        <v>229</v>
      </c>
      <c r="BJ46" s="286">
        <v>229</v>
      </c>
      <c r="BK46" s="286">
        <v>229</v>
      </c>
      <c r="BL46" s="286">
        <v>229</v>
      </c>
      <c r="BM46" s="286">
        <v>229</v>
      </c>
      <c r="BN46" s="286">
        <v>187</v>
      </c>
      <c r="BO46" s="286">
        <v>161</v>
      </c>
      <c r="BP46" s="402">
        <v>0</v>
      </c>
      <c r="BQ46" s="470"/>
      <c r="BR46" s="397"/>
      <c r="BS46" s="398"/>
      <c r="BT46" s="471"/>
      <c r="BU46" s="470"/>
      <c r="BV46" s="397"/>
      <c r="BW46" s="397"/>
      <c r="BX46" s="472"/>
      <c r="BY46" s="290"/>
      <c r="BZ46" s="404"/>
      <c r="CA46" s="405"/>
    </row>
    <row r="47" spans="1:79" s="521" customFormat="1" ht="46" customHeight="1" thickBot="1">
      <c r="A47" s="294"/>
      <c r="B47" s="295"/>
      <c r="C47" s="296"/>
      <c r="D47" s="297" t="s">
        <v>2129</v>
      </c>
      <c r="E47" s="298"/>
      <c r="F47" s="299">
        <v>0</v>
      </c>
      <c r="G47" s="299">
        <v>0</v>
      </c>
      <c r="H47" s="300">
        <v>0</v>
      </c>
      <c r="I47" s="301">
        <v>0</v>
      </c>
      <c r="J47" s="301">
        <v>0</v>
      </c>
      <c r="K47" s="300">
        <v>0</v>
      </c>
      <c r="L47" s="301">
        <v>0</v>
      </c>
      <c r="M47" s="301">
        <v>0</v>
      </c>
      <c r="N47" s="301">
        <v>0</v>
      </c>
      <c r="O47" s="301">
        <v>0</v>
      </c>
      <c r="P47" s="302" t="s">
        <v>2129</v>
      </c>
      <c r="Q47" s="302" t="s">
        <v>2129</v>
      </c>
      <c r="R47" s="303"/>
      <c r="S47" s="304"/>
      <c r="T47" s="304"/>
      <c r="U47" s="452" t="s">
        <v>2155</v>
      </c>
      <c r="V47" s="452" t="s">
        <v>2138</v>
      </c>
      <c r="W47" s="453">
        <v>26</v>
      </c>
      <c r="X47" s="307"/>
      <c r="Y47" s="455">
        <v>4.5</v>
      </c>
      <c r="Z47" s="456">
        <v>15</v>
      </c>
      <c r="AA47" s="310"/>
      <c r="AB47" s="311"/>
      <c r="AC47" s="312" t="s">
        <v>2223</v>
      </c>
      <c r="AD47" s="313" t="s">
        <v>2138</v>
      </c>
      <c r="AE47" s="314">
        <v>66</v>
      </c>
      <c r="AF47" s="315"/>
      <c r="AG47" s="461">
        <v>21</v>
      </c>
      <c r="AH47" s="462">
        <v>28</v>
      </c>
      <c r="AI47" s="318"/>
      <c r="AJ47" s="311"/>
      <c r="AK47" s="517"/>
      <c r="AL47" s="320" t="s">
        <v>2143</v>
      </c>
      <c r="AM47" s="277">
        <v>46277</v>
      </c>
      <c r="AN47" s="277">
        <v>46294</v>
      </c>
      <c r="AO47" s="278">
        <v>17</v>
      </c>
      <c r="AP47" s="321"/>
      <c r="AQ47" s="321"/>
      <c r="AR47" s="321"/>
      <c r="AS47" s="321"/>
      <c r="AT47" s="321"/>
      <c r="AU47" s="321"/>
      <c r="AV47" s="321"/>
      <c r="AW47" s="322"/>
      <c r="AX47" s="417">
        <v>0</v>
      </c>
      <c r="AY47" s="418">
        <v>0</v>
      </c>
      <c r="AZ47" s="418">
        <v>0</v>
      </c>
      <c r="BA47" s="328">
        <v>150</v>
      </c>
      <c r="BB47" s="328">
        <v>150</v>
      </c>
      <c r="BC47" s="328">
        <v>150</v>
      </c>
      <c r="BD47" s="325">
        <v>150</v>
      </c>
      <c r="BE47" s="326">
        <v>150</v>
      </c>
      <c r="BF47" s="327">
        <v>150</v>
      </c>
      <c r="BG47" s="328">
        <v>150</v>
      </c>
      <c r="BH47" s="328">
        <v>150</v>
      </c>
      <c r="BI47" s="328">
        <v>150</v>
      </c>
      <c r="BJ47" s="328">
        <v>150</v>
      </c>
      <c r="BK47" s="328">
        <v>150</v>
      </c>
      <c r="BL47" s="328">
        <v>150</v>
      </c>
      <c r="BM47" s="328">
        <v>150</v>
      </c>
      <c r="BN47" s="328">
        <v>150</v>
      </c>
      <c r="BO47" s="329">
        <v>0</v>
      </c>
      <c r="BP47" s="533"/>
      <c r="BQ47" s="503"/>
      <c r="BR47" s="321"/>
      <c r="BS47" s="322"/>
      <c r="BT47" s="502"/>
      <c r="BU47" s="503"/>
      <c r="BV47" s="321"/>
      <c r="BW47" s="321"/>
      <c r="BX47" s="507"/>
      <c r="BY47" s="290"/>
      <c r="BZ47" s="332"/>
      <c r="CA47" s="333"/>
    </row>
    <row r="48" spans="1:79" s="521" customFormat="1" ht="46" customHeight="1" thickTop="1" thickBot="1">
      <c r="A48" s="294"/>
      <c r="B48" s="295"/>
      <c r="C48" s="420"/>
      <c r="D48" s="421" t="s">
        <v>2129</v>
      </c>
      <c r="E48" s="422"/>
      <c r="F48" s="423">
        <v>0</v>
      </c>
      <c r="G48" s="423">
        <v>0</v>
      </c>
      <c r="H48" s="424">
        <v>0</v>
      </c>
      <c r="I48" s="425">
        <v>0</v>
      </c>
      <c r="J48" s="425">
        <v>0</v>
      </c>
      <c r="K48" s="424">
        <v>0</v>
      </c>
      <c r="L48" s="425">
        <v>0</v>
      </c>
      <c r="M48" s="425">
        <v>0</v>
      </c>
      <c r="N48" s="425">
        <v>0</v>
      </c>
      <c r="O48" s="425">
        <v>0</v>
      </c>
      <c r="P48" s="426" t="s">
        <v>2129</v>
      </c>
      <c r="Q48" s="426" t="s">
        <v>2129</v>
      </c>
      <c r="R48" s="427"/>
      <c r="S48" s="428"/>
      <c r="T48" s="428"/>
      <c r="U48" s="429" t="s">
        <v>2156</v>
      </c>
      <c r="V48" s="429" t="s">
        <v>2138</v>
      </c>
      <c r="W48" s="430">
        <v>42</v>
      </c>
      <c r="X48" s="431"/>
      <c r="Y48" s="432">
        <v>17.3</v>
      </c>
      <c r="Z48" s="433">
        <v>27</v>
      </c>
      <c r="AA48" s="434"/>
      <c r="AB48" s="435"/>
      <c r="AC48" s="477" t="s">
        <v>2134</v>
      </c>
      <c r="AD48" s="478" t="s">
        <v>2134</v>
      </c>
      <c r="AE48" s="479">
        <v>0</v>
      </c>
      <c r="AF48" s="439"/>
      <c r="AG48" s="440"/>
      <c r="AH48" s="441"/>
      <c r="AI48" s="442"/>
      <c r="AJ48" s="435"/>
      <c r="AK48" s="517"/>
      <c r="AL48" s="444"/>
      <c r="AM48" s="277" t="s">
        <v>2129</v>
      </c>
      <c r="AN48" s="277" t="s">
        <v>2129</v>
      </c>
      <c r="AO48" s="278" t="s">
        <v>2129</v>
      </c>
      <c r="AP48" s="445"/>
      <c r="AQ48" s="336"/>
      <c r="AR48" s="336"/>
      <c r="AS48" s="336"/>
      <c r="AT48" s="336"/>
      <c r="AU48" s="336"/>
      <c r="AV48" s="336"/>
      <c r="AW48" s="336"/>
      <c r="AX48" s="336"/>
      <c r="AY48" s="336"/>
      <c r="AZ48" s="336"/>
      <c r="BA48" s="336"/>
      <c r="BB48" s="336"/>
      <c r="BC48" s="336"/>
      <c r="BD48" s="337"/>
      <c r="BE48" s="338"/>
      <c r="BF48" s="339"/>
      <c r="BG48" s="336"/>
      <c r="BH48" s="336"/>
      <c r="BI48" s="336"/>
      <c r="BJ48" s="336"/>
      <c r="BK48" s="336"/>
      <c r="BL48" s="336"/>
      <c r="BM48" s="336"/>
      <c r="BN48" s="336"/>
      <c r="BO48" s="336"/>
      <c r="BP48" s="445"/>
      <c r="BQ48" s="445"/>
      <c r="BR48" s="445"/>
      <c r="BS48" s="446"/>
      <c r="BT48" s="447"/>
      <c r="BU48" s="448"/>
      <c r="BV48" s="445"/>
      <c r="BW48" s="445"/>
      <c r="BX48" s="449"/>
      <c r="BY48" s="290"/>
      <c r="BZ48" s="450"/>
      <c r="CA48" s="451"/>
    </row>
    <row r="49" spans="1:79" ht="46" customHeight="1" thickTop="1" thickBot="1">
      <c r="A49" s="294"/>
      <c r="B49" s="295"/>
      <c r="C49" s="296">
        <v>12</v>
      </c>
      <c r="D49" s="870">
        <v>34</v>
      </c>
      <c r="E49" s="298" t="s">
        <v>2224</v>
      </c>
      <c r="F49" s="875">
        <v>271</v>
      </c>
      <c r="G49" s="299">
        <v>309</v>
      </c>
      <c r="H49" s="300">
        <v>10</v>
      </c>
      <c r="I49" s="301" t="s">
        <v>2167</v>
      </c>
      <c r="J49" s="301" t="s">
        <v>2132</v>
      </c>
      <c r="K49" s="300">
        <v>112</v>
      </c>
      <c r="L49" s="301" t="s">
        <v>2134</v>
      </c>
      <c r="M49" s="301" t="s">
        <v>2134</v>
      </c>
      <c r="N49" s="301" t="s">
        <v>2133</v>
      </c>
      <c r="O49" s="301" t="s">
        <v>2160</v>
      </c>
      <c r="P49" s="302" t="s">
        <v>2133</v>
      </c>
      <c r="Q49" s="302" t="s">
        <v>2133</v>
      </c>
      <c r="R49" s="303"/>
      <c r="S49" s="304" t="s">
        <v>2136</v>
      </c>
      <c r="T49" s="304" t="s">
        <v>2136</v>
      </c>
      <c r="U49" s="523" t="s">
        <v>2225</v>
      </c>
      <c r="V49" s="523" t="s">
        <v>2138</v>
      </c>
      <c r="W49" s="524">
        <v>0</v>
      </c>
      <c r="X49" s="307">
        <v>0</v>
      </c>
      <c r="Y49" s="525">
        <v>13.4</v>
      </c>
      <c r="Z49" s="526">
        <v>25</v>
      </c>
      <c r="AA49" s="310">
        <v>111</v>
      </c>
      <c r="AB49" s="311">
        <v>0.35922330097087379</v>
      </c>
      <c r="AC49" s="527" t="s">
        <v>2225</v>
      </c>
      <c r="AD49" s="528" t="s">
        <v>2138</v>
      </c>
      <c r="AE49" s="529">
        <v>0</v>
      </c>
      <c r="AF49" s="315">
        <v>0</v>
      </c>
      <c r="AG49" s="530">
        <v>13.4</v>
      </c>
      <c r="AH49" s="547">
        <v>25</v>
      </c>
      <c r="AI49" s="318">
        <v>111</v>
      </c>
      <c r="AJ49" s="311">
        <v>0.35922330097087379</v>
      </c>
      <c r="AK49" s="491" t="s">
        <v>2226</v>
      </c>
      <c r="AL49" s="492" t="s">
        <v>2140</v>
      </c>
      <c r="AM49" s="865">
        <v>46270</v>
      </c>
      <c r="AN49" s="865">
        <v>46294</v>
      </c>
      <c r="AO49" s="866">
        <v>24</v>
      </c>
      <c r="AP49" s="494"/>
      <c r="AQ49" s="495">
        <v>0</v>
      </c>
      <c r="AR49" s="282">
        <v>0</v>
      </c>
      <c r="AS49" s="282">
        <v>0</v>
      </c>
      <c r="AT49" s="286">
        <v>66</v>
      </c>
      <c r="AU49" s="286">
        <v>132</v>
      </c>
      <c r="AV49" s="286">
        <v>132</v>
      </c>
      <c r="AW49" s="286">
        <v>132</v>
      </c>
      <c r="AX49" s="286">
        <v>132</v>
      </c>
      <c r="AY49" s="286">
        <v>132</v>
      </c>
      <c r="AZ49" s="286">
        <v>132</v>
      </c>
      <c r="BA49" s="286">
        <v>132</v>
      </c>
      <c r="BB49" s="286">
        <v>132</v>
      </c>
      <c r="BC49" s="286">
        <v>132</v>
      </c>
      <c r="BD49" s="283">
        <v>132</v>
      </c>
      <c r="BE49" s="284">
        <v>198</v>
      </c>
      <c r="BF49" s="285">
        <v>198</v>
      </c>
      <c r="BG49" s="286">
        <v>198</v>
      </c>
      <c r="BH49" s="286">
        <v>198</v>
      </c>
      <c r="BI49" s="286">
        <v>198</v>
      </c>
      <c r="BJ49" s="286">
        <v>132</v>
      </c>
      <c r="BK49" s="286">
        <v>66</v>
      </c>
      <c r="BL49" s="286">
        <v>66</v>
      </c>
      <c r="BM49" s="286">
        <v>33</v>
      </c>
      <c r="BN49" s="286">
        <v>33</v>
      </c>
      <c r="BO49" s="402">
        <v>0</v>
      </c>
      <c r="BP49" s="498"/>
      <c r="BQ49" s="493"/>
      <c r="BR49" s="493"/>
      <c r="BS49" s="494"/>
      <c r="BT49" s="497"/>
      <c r="BU49" s="498"/>
      <c r="BV49" s="493"/>
      <c r="BW49" s="493"/>
      <c r="BX49" s="499"/>
      <c r="BY49" s="290"/>
      <c r="BZ49" s="332"/>
      <c r="CA49" s="333"/>
    </row>
    <row r="50" spans="1:79" ht="46" customHeight="1" thickBot="1">
      <c r="A50" s="294"/>
      <c r="B50" s="295"/>
      <c r="C50" s="296"/>
      <c r="D50" s="297" t="s">
        <v>2129</v>
      </c>
      <c r="E50" s="298"/>
      <c r="F50" s="299">
        <v>0</v>
      </c>
      <c r="G50" s="299">
        <v>0</v>
      </c>
      <c r="H50" s="300">
        <v>0</v>
      </c>
      <c r="I50" s="301">
        <v>0</v>
      </c>
      <c r="J50" s="301">
        <v>0</v>
      </c>
      <c r="K50" s="300">
        <v>0</v>
      </c>
      <c r="L50" s="301">
        <v>0</v>
      </c>
      <c r="M50" s="301">
        <v>0</v>
      </c>
      <c r="N50" s="301">
        <v>0</v>
      </c>
      <c r="O50" s="301">
        <v>0</v>
      </c>
      <c r="P50" s="302" t="s">
        <v>2129</v>
      </c>
      <c r="Q50" s="302" t="s">
        <v>2129</v>
      </c>
      <c r="R50" s="303"/>
      <c r="S50" s="304"/>
      <c r="T50" s="304"/>
      <c r="U50" s="305" t="s">
        <v>2227</v>
      </c>
      <c r="V50" s="305" t="s">
        <v>2138</v>
      </c>
      <c r="W50" s="306">
        <v>0</v>
      </c>
      <c r="X50" s="307"/>
      <c r="Y50" s="308">
        <v>13.4</v>
      </c>
      <c r="Z50" s="309">
        <v>25</v>
      </c>
      <c r="AA50" s="310"/>
      <c r="AB50" s="311"/>
      <c r="AC50" s="312" t="s">
        <v>2227</v>
      </c>
      <c r="AD50" s="313" t="s">
        <v>2138</v>
      </c>
      <c r="AE50" s="314">
        <v>0</v>
      </c>
      <c r="AF50" s="315"/>
      <c r="AG50" s="316">
        <v>13.4</v>
      </c>
      <c r="AH50" s="548">
        <v>25</v>
      </c>
      <c r="AI50" s="442"/>
      <c r="AJ50" s="311"/>
      <c r="AK50" s="319"/>
      <c r="AL50" s="320" t="s">
        <v>2143</v>
      </c>
      <c r="AM50" s="277">
        <v>46270</v>
      </c>
      <c r="AN50" s="277">
        <v>46294</v>
      </c>
      <c r="AO50" s="278">
        <v>24</v>
      </c>
      <c r="AP50" s="322"/>
      <c r="AQ50" s="417">
        <v>0</v>
      </c>
      <c r="AR50" s="418">
        <v>0</v>
      </c>
      <c r="AS50" s="501">
        <v>0</v>
      </c>
      <c r="AT50" s="321">
        <v>66</v>
      </c>
      <c r="AU50" s="321">
        <v>132</v>
      </c>
      <c r="AV50" s="321">
        <v>132</v>
      </c>
      <c r="AW50" s="321">
        <v>132</v>
      </c>
      <c r="AX50" s="336">
        <v>132</v>
      </c>
      <c r="AY50" s="336">
        <v>132</v>
      </c>
      <c r="AZ50" s="336">
        <v>132</v>
      </c>
      <c r="BA50" s="321">
        <v>132</v>
      </c>
      <c r="BB50" s="321">
        <v>132</v>
      </c>
      <c r="BC50" s="321">
        <v>132</v>
      </c>
      <c r="BD50" s="322">
        <v>132</v>
      </c>
      <c r="BE50" s="502">
        <v>198</v>
      </c>
      <c r="BF50" s="503">
        <v>198</v>
      </c>
      <c r="BG50" s="321">
        <v>198</v>
      </c>
      <c r="BH50" s="321">
        <v>198</v>
      </c>
      <c r="BI50" s="321">
        <v>198</v>
      </c>
      <c r="BJ50" s="321">
        <v>132</v>
      </c>
      <c r="BK50" s="321">
        <v>66</v>
      </c>
      <c r="BL50" s="321">
        <v>66</v>
      </c>
      <c r="BM50" s="321">
        <v>33</v>
      </c>
      <c r="BN50" s="321">
        <v>33</v>
      </c>
      <c r="BO50" s="504">
        <v>0</v>
      </c>
      <c r="BP50" s="503"/>
      <c r="BQ50" s="321"/>
      <c r="BR50" s="321"/>
      <c r="BS50" s="322"/>
      <c r="BT50" s="502"/>
      <c r="BU50" s="503"/>
      <c r="BV50" s="321"/>
      <c r="BW50" s="321"/>
      <c r="BX50" s="507"/>
      <c r="BY50" s="290"/>
      <c r="BZ50" s="332"/>
      <c r="CA50" s="333"/>
    </row>
    <row r="51" spans="1:79" ht="46" customHeight="1" thickTop="1" thickBot="1">
      <c r="A51" s="294"/>
      <c r="B51" s="295"/>
      <c r="C51" s="372">
        <v>13</v>
      </c>
      <c r="D51" s="871">
        <v>111</v>
      </c>
      <c r="E51" s="572" t="s">
        <v>2228</v>
      </c>
      <c r="F51" s="876">
        <v>250</v>
      </c>
      <c r="G51" s="374">
        <v>264</v>
      </c>
      <c r="H51" s="375">
        <v>4</v>
      </c>
      <c r="I51" s="376" t="s">
        <v>2131</v>
      </c>
      <c r="J51" s="376" t="s">
        <v>2229</v>
      </c>
      <c r="K51" s="375">
        <v>26</v>
      </c>
      <c r="L51" s="376" t="s">
        <v>2133</v>
      </c>
      <c r="M51" s="376" t="s">
        <v>2134</v>
      </c>
      <c r="N51" s="376" t="s">
        <v>2133</v>
      </c>
      <c r="O51" s="376" t="s">
        <v>2168</v>
      </c>
      <c r="P51" s="377" t="s">
        <v>2133</v>
      </c>
      <c r="Q51" s="377" t="s">
        <v>2129</v>
      </c>
      <c r="R51" s="378"/>
      <c r="S51" s="379" t="s">
        <v>2136</v>
      </c>
      <c r="T51" s="2722"/>
      <c r="U51" s="535" t="s">
        <v>2210</v>
      </c>
      <c r="V51" s="535" t="s">
        <v>2171</v>
      </c>
      <c r="W51" s="536">
        <v>216</v>
      </c>
      <c r="X51" s="454">
        <v>216</v>
      </c>
      <c r="Y51" s="537">
        <v>24.8</v>
      </c>
      <c r="Z51" s="538">
        <v>36</v>
      </c>
      <c r="AA51" s="457">
        <v>48</v>
      </c>
      <c r="AB51" s="394">
        <v>0.18181818181818182</v>
      </c>
      <c r="AC51" s="539" t="s">
        <v>2172</v>
      </c>
      <c r="AD51" s="540" t="s">
        <v>2134</v>
      </c>
      <c r="AE51" s="541">
        <v>0</v>
      </c>
      <c r="AF51" s="390">
        <v>0</v>
      </c>
      <c r="AG51" s="542"/>
      <c r="AH51" s="571"/>
      <c r="AI51" s="318">
        <v>264</v>
      </c>
      <c r="AJ51" s="394">
        <v>1</v>
      </c>
      <c r="AK51" s="515" t="s">
        <v>2230</v>
      </c>
      <c r="AL51" s="396" t="s">
        <v>2140</v>
      </c>
      <c r="AM51" s="865">
        <v>46272</v>
      </c>
      <c r="AN51" s="865">
        <v>46301</v>
      </c>
      <c r="AO51" s="866">
        <v>29</v>
      </c>
      <c r="AP51" s="397"/>
      <c r="AQ51" s="493"/>
      <c r="AR51" s="494"/>
      <c r="AS51" s="463">
        <v>0</v>
      </c>
      <c r="AT51" s="464">
        <v>0</v>
      </c>
      <c r="AU51" s="464">
        <v>0</v>
      </c>
      <c r="AV51" s="465">
        <v>216</v>
      </c>
      <c r="AW51" s="465">
        <v>216</v>
      </c>
      <c r="AX51" s="465">
        <v>216</v>
      </c>
      <c r="AY51" s="465">
        <v>216</v>
      </c>
      <c r="AZ51" s="465">
        <v>216</v>
      </c>
      <c r="BA51" s="465">
        <v>216</v>
      </c>
      <c r="BB51" s="465">
        <v>216</v>
      </c>
      <c r="BC51" s="465">
        <v>216</v>
      </c>
      <c r="BD51" s="466">
        <v>216</v>
      </c>
      <c r="BE51" s="467">
        <v>216</v>
      </c>
      <c r="BF51" s="468">
        <v>216</v>
      </c>
      <c r="BG51" s="465">
        <v>216</v>
      </c>
      <c r="BH51" s="465">
        <v>216</v>
      </c>
      <c r="BI51" s="465">
        <v>216</v>
      </c>
      <c r="BJ51" s="465">
        <v>216</v>
      </c>
      <c r="BK51" s="465">
        <v>216</v>
      </c>
      <c r="BL51" s="465">
        <v>216</v>
      </c>
      <c r="BM51" s="465">
        <v>216</v>
      </c>
      <c r="BN51" s="465">
        <v>216</v>
      </c>
      <c r="BO51" s="465">
        <v>216</v>
      </c>
      <c r="BP51" s="465">
        <v>216</v>
      </c>
      <c r="BQ51" s="465">
        <v>216</v>
      </c>
      <c r="BR51" s="465">
        <v>216</v>
      </c>
      <c r="BS51" s="466">
        <v>216</v>
      </c>
      <c r="BT51" s="467">
        <v>216</v>
      </c>
      <c r="BU51" s="468">
        <v>216</v>
      </c>
      <c r="BV51" s="469">
        <v>0</v>
      </c>
      <c r="BW51" s="470"/>
      <c r="BX51" s="472"/>
      <c r="BY51" s="573"/>
      <c r="BZ51" s="574"/>
      <c r="CA51" s="575"/>
    </row>
    <row r="52" spans="1:79" ht="46" customHeight="1" thickTop="1" thickBot="1">
      <c r="A52" s="576"/>
      <c r="B52" s="342"/>
      <c r="C52" s="343"/>
      <c r="D52" s="344" t="s">
        <v>2129</v>
      </c>
      <c r="E52" s="577"/>
      <c r="F52" s="346">
        <v>0</v>
      </c>
      <c r="G52" s="346">
        <v>0</v>
      </c>
      <c r="H52" s="347">
        <v>0</v>
      </c>
      <c r="I52" s="348">
        <v>0</v>
      </c>
      <c r="J52" s="348" t="s">
        <v>2231</v>
      </c>
      <c r="K52" s="347">
        <v>0</v>
      </c>
      <c r="L52" s="348">
        <v>0</v>
      </c>
      <c r="M52" s="348">
        <v>0</v>
      </c>
      <c r="N52" s="348">
        <v>0</v>
      </c>
      <c r="O52" s="348">
        <v>0</v>
      </c>
      <c r="P52" s="349"/>
      <c r="Q52" s="349"/>
      <c r="R52" s="350"/>
      <c r="S52" s="351"/>
      <c r="T52" s="351"/>
      <c r="U52" s="578"/>
      <c r="V52" s="578"/>
      <c r="W52" s="579"/>
      <c r="X52" s="354"/>
      <c r="Y52" s="580"/>
      <c r="Z52" s="581"/>
      <c r="AA52" s="357"/>
      <c r="AB52" s="358"/>
      <c r="AC52" s="582"/>
      <c r="AD52" s="583"/>
      <c r="AE52" s="584"/>
      <c r="AF52" s="362"/>
      <c r="AG52" s="585"/>
      <c r="AH52" s="586"/>
      <c r="AI52" s="365"/>
      <c r="AJ52" s="358"/>
      <c r="AK52" s="587"/>
      <c r="AL52" s="588" t="s">
        <v>2143</v>
      </c>
      <c r="AM52" s="277" t="s">
        <v>2129</v>
      </c>
      <c r="AN52" s="277" t="s">
        <v>2129</v>
      </c>
      <c r="AO52" s="278" t="s">
        <v>2129</v>
      </c>
      <c r="AP52" s="589"/>
      <c r="AQ52" s="589"/>
      <c r="AR52" s="589"/>
      <c r="AS52" s="368"/>
      <c r="AT52" s="368"/>
      <c r="AU52" s="368"/>
      <c r="AV52" s="336"/>
      <c r="AW52" s="336"/>
      <c r="AX52" s="336"/>
      <c r="AY52" s="336"/>
      <c r="AZ52" s="336"/>
      <c r="BA52" s="336"/>
      <c r="BB52" s="336"/>
      <c r="BC52" s="336"/>
      <c r="BD52" s="337"/>
      <c r="BE52" s="338"/>
      <c r="BF52" s="339"/>
      <c r="BG52" s="336"/>
      <c r="BH52" s="336"/>
      <c r="BI52" s="336"/>
      <c r="BJ52" s="336"/>
      <c r="BK52" s="336"/>
      <c r="BL52" s="336"/>
      <c r="BM52" s="336"/>
      <c r="BN52" s="336"/>
      <c r="BO52" s="336"/>
      <c r="BP52" s="336"/>
      <c r="BQ52" s="336"/>
      <c r="BR52" s="336"/>
      <c r="BS52" s="337"/>
      <c r="BT52" s="338"/>
      <c r="BU52" s="339"/>
      <c r="BV52" s="336"/>
      <c r="BW52" s="589"/>
      <c r="BX52" s="590"/>
      <c r="BY52" s="573"/>
      <c r="BZ52" s="591"/>
      <c r="CA52" s="592"/>
    </row>
    <row r="53" spans="1:79" ht="46" customHeight="1" thickTop="1" thickBot="1">
      <c r="A53" s="246" t="s">
        <v>2232</v>
      </c>
      <c r="B53" s="247" t="s">
        <v>2233</v>
      </c>
      <c r="C53" s="248">
        <v>14</v>
      </c>
      <c r="D53" s="869">
        <v>1008</v>
      </c>
      <c r="E53" s="593" t="s">
        <v>2234</v>
      </c>
      <c r="F53" s="877">
        <v>154</v>
      </c>
      <c r="G53" s="252">
        <v>253</v>
      </c>
      <c r="H53" s="594">
        <v>4</v>
      </c>
      <c r="I53" s="257" t="s">
        <v>2167</v>
      </c>
      <c r="J53" s="257" t="s">
        <v>2132</v>
      </c>
      <c r="K53" s="594">
        <v>130</v>
      </c>
      <c r="L53" s="257" t="s">
        <v>2133</v>
      </c>
      <c r="M53" s="257" t="s">
        <v>2133</v>
      </c>
      <c r="N53" s="257" t="s">
        <v>2134</v>
      </c>
      <c r="O53" s="257" t="s">
        <v>2235</v>
      </c>
      <c r="P53" s="258" t="s">
        <v>2133</v>
      </c>
      <c r="Q53" s="258" t="s">
        <v>2133</v>
      </c>
      <c r="R53" s="595"/>
      <c r="S53" s="260" t="s">
        <v>2136</v>
      </c>
      <c r="T53" s="260" t="s">
        <v>2136</v>
      </c>
      <c r="U53" s="596" t="s">
        <v>2236</v>
      </c>
      <c r="V53" s="596" t="s">
        <v>2237</v>
      </c>
      <c r="W53" s="597">
        <v>180</v>
      </c>
      <c r="X53" s="263">
        <v>180</v>
      </c>
      <c r="Y53" s="598">
        <v>8.5</v>
      </c>
      <c r="Z53" s="599">
        <v>16</v>
      </c>
      <c r="AA53" s="310">
        <v>73</v>
      </c>
      <c r="AB53" s="267">
        <v>0.28853754940711462</v>
      </c>
      <c r="AC53" s="600" t="s">
        <v>2236</v>
      </c>
      <c r="AD53" s="601" t="s">
        <v>2237</v>
      </c>
      <c r="AE53" s="602">
        <v>180</v>
      </c>
      <c r="AF53" s="271">
        <v>180</v>
      </c>
      <c r="AG53" s="603">
        <v>8.5</v>
      </c>
      <c r="AH53" s="604">
        <v>16</v>
      </c>
      <c r="AI53" s="318">
        <v>73</v>
      </c>
      <c r="AJ53" s="267">
        <v>0.28853754940711462</v>
      </c>
      <c r="AK53" s="275" t="s">
        <v>2238</v>
      </c>
      <c r="AL53" s="276" t="s">
        <v>2140</v>
      </c>
      <c r="AM53" s="865">
        <v>46275</v>
      </c>
      <c r="AN53" s="865">
        <v>46301</v>
      </c>
      <c r="AO53" s="866">
        <v>26</v>
      </c>
      <c r="AP53" s="279"/>
      <c r="AQ53" s="279"/>
      <c r="AR53" s="279"/>
      <c r="AS53" s="279"/>
      <c r="AT53" s="279"/>
      <c r="AU53" s="280"/>
      <c r="AV53" s="495">
        <v>0</v>
      </c>
      <c r="AW53" s="282">
        <v>0</v>
      </c>
      <c r="AX53" s="282">
        <v>0</v>
      </c>
      <c r="AY53" s="286">
        <v>180</v>
      </c>
      <c r="AZ53" s="286">
        <v>180</v>
      </c>
      <c r="BA53" s="286">
        <v>180</v>
      </c>
      <c r="BB53" s="286">
        <v>180</v>
      </c>
      <c r="BC53" s="286">
        <v>180</v>
      </c>
      <c r="BD53" s="283">
        <v>180</v>
      </c>
      <c r="BE53" s="284">
        <v>180</v>
      </c>
      <c r="BF53" s="285">
        <v>180</v>
      </c>
      <c r="BG53" s="286">
        <v>180</v>
      </c>
      <c r="BH53" s="286">
        <v>180</v>
      </c>
      <c r="BI53" s="286">
        <v>180</v>
      </c>
      <c r="BJ53" s="286">
        <v>180</v>
      </c>
      <c r="BK53" s="286">
        <v>180</v>
      </c>
      <c r="BL53" s="286">
        <v>180</v>
      </c>
      <c r="BM53" s="286">
        <v>180</v>
      </c>
      <c r="BN53" s="286">
        <v>180</v>
      </c>
      <c r="BO53" s="286">
        <v>180</v>
      </c>
      <c r="BP53" s="286">
        <v>180</v>
      </c>
      <c r="BQ53" s="286">
        <v>180</v>
      </c>
      <c r="BR53" s="286">
        <v>180</v>
      </c>
      <c r="BS53" s="283">
        <v>180</v>
      </c>
      <c r="BT53" s="284">
        <v>180</v>
      </c>
      <c r="BU53" s="285">
        <v>180</v>
      </c>
      <c r="BV53" s="402">
        <v>0</v>
      </c>
      <c r="BW53" s="605"/>
      <c r="BX53" s="606"/>
      <c r="BY53" s="573"/>
      <c r="BZ53" s="607"/>
      <c r="CA53" s="608"/>
    </row>
    <row r="54" spans="1:79" s="521" customFormat="1" ht="46" customHeight="1" thickBot="1">
      <c r="A54" s="294"/>
      <c r="B54" s="295"/>
      <c r="C54" s="296"/>
      <c r="D54" s="297" t="s">
        <v>2129</v>
      </c>
      <c r="E54" s="609"/>
      <c r="F54" s="299">
        <v>0</v>
      </c>
      <c r="G54" s="299">
        <v>0</v>
      </c>
      <c r="H54" s="300">
        <v>0</v>
      </c>
      <c r="I54" s="301">
        <v>0</v>
      </c>
      <c r="J54" s="301">
        <v>0</v>
      </c>
      <c r="K54" s="300">
        <v>0</v>
      </c>
      <c r="L54" s="301">
        <v>0</v>
      </c>
      <c r="M54" s="301">
        <v>0</v>
      </c>
      <c r="N54" s="301">
        <v>0</v>
      </c>
      <c r="O54" s="301">
        <v>0</v>
      </c>
      <c r="P54" s="302"/>
      <c r="Q54" s="302"/>
      <c r="R54" s="303"/>
      <c r="S54" s="304"/>
      <c r="T54" s="304"/>
      <c r="U54" s="473"/>
      <c r="V54" s="473"/>
      <c r="W54" s="474"/>
      <c r="X54" s="431"/>
      <c r="Y54" s="475"/>
      <c r="Z54" s="476"/>
      <c r="AA54" s="434"/>
      <c r="AB54" s="435"/>
      <c r="AC54" s="477"/>
      <c r="AD54" s="478"/>
      <c r="AE54" s="479"/>
      <c r="AF54" s="439"/>
      <c r="AG54" s="480"/>
      <c r="AH54" s="481"/>
      <c r="AI54" s="442"/>
      <c r="AJ54" s="311"/>
      <c r="AK54" s="319"/>
      <c r="AL54" s="320" t="s">
        <v>2143</v>
      </c>
      <c r="AM54" s="277">
        <v>46275</v>
      </c>
      <c r="AN54" s="277">
        <v>46301</v>
      </c>
      <c r="AO54" s="278">
        <v>26</v>
      </c>
      <c r="AP54" s="321"/>
      <c r="AQ54" s="321"/>
      <c r="AR54" s="321"/>
      <c r="AS54" s="321"/>
      <c r="AT54" s="321"/>
      <c r="AU54" s="322"/>
      <c r="AV54" s="417">
        <v>0</v>
      </c>
      <c r="AW54" s="418">
        <v>0</v>
      </c>
      <c r="AX54" s="418">
        <v>0</v>
      </c>
      <c r="AY54" s="328">
        <v>180</v>
      </c>
      <c r="AZ54" s="328">
        <v>180</v>
      </c>
      <c r="BA54" s="328">
        <v>180</v>
      </c>
      <c r="BB54" s="328">
        <v>180</v>
      </c>
      <c r="BC54" s="328">
        <v>180</v>
      </c>
      <c r="BD54" s="325">
        <v>180</v>
      </c>
      <c r="BE54" s="326">
        <v>180</v>
      </c>
      <c r="BF54" s="327">
        <v>180</v>
      </c>
      <c r="BG54" s="328">
        <v>180</v>
      </c>
      <c r="BH54" s="328">
        <v>180</v>
      </c>
      <c r="BI54" s="328">
        <v>180</v>
      </c>
      <c r="BJ54" s="328">
        <v>180</v>
      </c>
      <c r="BK54" s="328">
        <v>180</v>
      </c>
      <c r="BL54" s="328">
        <v>180</v>
      </c>
      <c r="BM54" s="328">
        <v>180</v>
      </c>
      <c r="BN54" s="328">
        <v>180</v>
      </c>
      <c r="BO54" s="328">
        <v>180</v>
      </c>
      <c r="BP54" s="328">
        <v>180</v>
      </c>
      <c r="BQ54" s="328">
        <v>180</v>
      </c>
      <c r="BR54" s="328">
        <v>180</v>
      </c>
      <c r="BS54" s="325">
        <v>180</v>
      </c>
      <c r="BT54" s="326">
        <v>180</v>
      </c>
      <c r="BU54" s="327">
        <v>180</v>
      </c>
      <c r="BV54" s="419">
        <v>0</v>
      </c>
      <c r="BW54" s="503"/>
      <c r="BX54" s="507"/>
      <c r="BY54" s="573"/>
      <c r="BZ54" s="610"/>
      <c r="CA54" s="611"/>
    </row>
    <row r="55" spans="1:79" ht="46" customHeight="1" thickTop="1" thickBot="1">
      <c r="A55" s="294"/>
      <c r="B55" s="295"/>
      <c r="C55" s="372">
        <v>15</v>
      </c>
      <c r="D55" s="871">
        <v>1007</v>
      </c>
      <c r="E55" s="572" t="s">
        <v>2239</v>
      </c>
      <c r="F55" s="876">
        <v>118</v>
      </c>
      <c r="G55" s="374">
        <v>192</v>
      </c>
      <c r="H55" s="375">
        <v>1</v>
      </c>
      <c r="I55" s="376" t="s">
        <v>2167</v>
      </c>
      <c r="J55" s="376" t="s">
        <v>2229</v>
      </c>
      <c r="K55" s="375">
        <v>72</v>
      </c>
      <c r="L55" s="376" t="s">
        <v>2134</v>
      </c>
      <c r="M55" s="376" t="s">
        <v>2133</v>
      </c>
      <c r="N55" s="376" t="s">
        <v>2133</v>
      </c>
      <c r="O55" s="376" t="s">
        <v>2240</v>
      </c>
      <c r="P55" s="377" t="s">
        <v>2133</v>
      </c>
      <c r="Q55" s="377" t="s">
        <v>2133</v>
      </c>
      <c r="R55" s="378"/>
      <c r="S55" s="379" t="s">
        <v>2136</v>
      </c>
      <c r="T55" s="379" t="s">
        <v>2136</v>
      </c>
      <c r="U55" s="535" t="s">
        <v>2241</v>
      </c>
      <c r="V55" s="535" t="s">
        <v>2237</v>
      </c>
      <c r="W55" s="536">
        <v>144</v>
      </c>
      <c r="X55" s="454">
        <v>144</v>
      </c>
      <c r="Y55" s="537">
        <v>10</v>
      </c>
      <c r="Z55" s="538">
        <v>19</v>
      </c>
      <c r="AA55" s="457">
        <v>48</v>
      </c>
      <c r="AB55" s="394">
        <v>0.25</v>
      </c>
      <c r="AC55" s="539" t="s">
        <v>2241</v>
      </c>
      <c r="AD55" s="540" t="s">
        <v>2237</v>
      </c>
      <c r="AE55" s="541">
        <v>144</v>
      </c>
      <c r="AF55" s="390">
        <v>144</v>
      </c>
      <c r="AG55" s="542">
        <v>10</v>
      </c>
      <c r="AH55" s="543">
        <v>19</v>
      </c>
      <c r="AI55" s="318">
        <v>48</v>
      </c>
      <c r="AJ55" s="394">
        <v>0.25</v>
      </c>
      <c r="AK55" s="515" t="s">
        <v>2242</v>
      </c>
      <c r="AL55" s="396" t="s">
        <v>2140</v>
      </c>
      <c r="AM55" s="865">
        <v>46275</v>
      </c>
      <c r="AN55" s="865">
        <v>46301</v>
      </c>
      <c r="AO55" s="866">
        <v>26</v>
      </c>
      <c r="AP55" s="397"/>
      <c r="AQ55" s="397"/>
      <c r="AR55" s="397"/>
      <c r="AS55" s="397"/>
      <c r="AT55" s="397"/>
      <c r="AU55" s="398"/>
      <c r="AV55" s="495">
        <v>0</v>
      </c>
      <c r="AW55" s="282">
        <v>0</v>
      </c>
      <c r="AX55" s="282">
        <v>0</v>
      </c>
      <c r="AY55" s="286">
        <v>144</v>
      </c>
      <c r="AZ55" s="286">
        <v>144</v>
      </c>
      <c r="BA55" s="286">
        <v>144</v>
      </c>
      <c r="BB55" s="286">
        <v>144</v>
      </c>
      <c r="BC55" s="286">
        <v>144</v>
      </c>
      <c r="BD55" s="283">
        <v>144</v>
      </c>
      <c r="BE55" s="284">
        <v>144</v>
      </c>
      <c r="BF55" s="285">
        <v>144</v>
      </c>
      <c r="BG55" s="286">
        <v>144</v>
      </c>
      <c r="BH55" s="286">
        <v>144</v>
      </c>
      <c r="BI55" s="286">
        <v>144</v>
      </c>
      <c r="BJ55" s="286">
        <v>144</v>
      </c>
      <c r="BK55" s="286">
        <v>144</v>
      </c>
      <c r="BL55" s="286">
        <v>144</v>
      </c>
      <c r="BM55" s="286">
        <v>144</v>
      </c>
      <c r="BN55" s="286">
        <v>144</v>
      </c>
      <c r="BO55" s="286">
        <v>144</v>
      </c>
      <c r="BP55" s="286">
        <v>144</v>
      </c>
      <c r="BQ55" s="286">
        <v>144</v>
      </c>
      <c r="BR55" s="286">
        <v>144</v>
      </c>
      <c r="BS55" s="283">
        <v>144</v>
      </c>
      <c r="BT55" s="284">
        <v>144</v>
      </c>
      <c r="BU55" s="285">
        <v>144</v>
      </c>
      <c r="BV55" s="402">
        <v>0</v>
      </c>
      <c r="BW55" s="470"/>
      <c r="BX55" s="472"/>
      <c r="BY55" s="573"/>
      <c r="BZ55" s="574"/>
      <c r="CA55" s="575"/>
    </row>
    <row r="56" spans="1:79" s="521" customFormat="1" ht="46" customHeight="1" thickBot="1">
      <c r="A56" s="294"/>
      <c r="B56" s="567"/>
      <c r="C56" s="420"/>
      <c r="D56" s="421" t="s">
        <v>2129</v>
      </c>
      <c r="E56" s="612"/>
      <c r="F56" s="423">
        <v>0</v>
      </c>
      <c r="G56" s="423">
        <v>0</v>
      </c>
      <c r="H56" s="424">
        <v>0</v>
      </c>
      <c r="I56" s="425">
        <v>0</v>
      </c>
      <c r="J56" s="425" t="s">
        <v>2231</v>
      </c>
      <c r="K56" s="424">
        <v>0</v>
      </c>
      <c r="L56" s="425">
        <v>0</v>
      </c>
      <c r="M56" s="425">
        <v>0</v>
      </c>
      <c r="N56" s="425">
        <v>0</v>
      </c>
      <c r="O56" s="425">
        <v>0</v>
      </c>
      <c r="P56" s="426"/>
      <c r="Q56" s="426"/>
      <c r="R56" s="427"/>
      <c r="S56" s="428"/>
      <c r="T56" s="428"/>
      <c r="U56" s="473"/>
      <c r="V56" s="473"/>
      <c r="W56" s="474"/>
      <c r="X56" s="431"/>
      <c r="Y56" s="475"/>
      <c r="Z56" s="476"/>
      <c r="AA56" s="434"/>
      <c r="AB56" s="435"/>
      <c r="AC56" s="477"/>
      <c r="AD56" s="478"/>
      <c r="AE56" s="479"/>
      <c r="AF56" s="439"/>
      <c r="AG56" s="480"/>
      <c r="AH56" s="481"/>
      <c r="AI56" s="442"/>
      <c r="AJ56" s="435"/>
      <c r="AK56" s="517"/>
      <c r="AL56" s="518" t="s">
        <v>2143</v>
      </c>
      <c r="AM56" s="277">
        <v>46275</v>
      </c>
      <c r="AN56" s="277">
        <v>46301</v>
      </c>
      <c r="AO56" s="278">
        <v>26</v>
      </c>
      <c r="AP56" s="506"/>
      <c r="AQ56" s="506"/>
      <c r="AR56" s="506"/>
      <c r="AS56" s="321"/>
      <c r="AT56" s="321"/>
      <c r="AU56" s="322"/>
      <c r="AV56" s="500">
        <v>0</v>
      </c>
      <c r="AW56" s="501">
        <v>0</v>
      </c>
      <c r="AX56" s="501">
        <v>0</v>
      </c>
      <c r="AY56" s="321">
        <v>144</v>
      </c>
      <c r="AZ56" s="321">
        <v>144</v>
      </c>
      <c r="BA56" s="321">
        <v>144</v>
      </c>
      <c r="BB56" s="321">
        <v>144</v>
      </c>
      <c r="BC56" s="321">
        <v>144</v>
      </c>
      <c r="BD56" s="322">
        <v>144</v>
      </c>
      <c r="BE56" s="502">
        <v>144</v>
      </c>
      <c r="BF56" s="503">
        <v>144</v>
      </c>
      <c r="BG56" s="321">
        <v>144</v>
      </c>
      <c r="BH56" s="321">
        <v>144</v>
      </c>
      <c r="BI56" s="321">
        <v>144</v>
      </c>
      <c r="BJ56" s="321">
        <v>144</v>
      </c>
      <c r="BK56" s="321">
        <v>144</v>
      </c>
      <c r="BL56" s="321">
        <v>144</v>
      </c>
      <c r="BM56" s="321">
        <v>144</v>
      </c>
      <c r="BN56" s="321">
        <v>144</v>
      </c>
      <c r="BO56" s="321">
        <v>144</v>
      </c>
      <c r="BP56" s="321">
        <v>144</v>
      </c>
      <c r="BQ56" s="321">
        <v>144</v>
      </c>
      <c r="BR56" s="321">
        <v>144</v>
      </c>
      <c r="BS56" s="322">
        <v>144</v>
      </c>
      <c r="BT56" s="502">
        <v>144</v>
      </c>
      <c r="BU56" s="503">
        <v>144</v>
      </c>
      <c r="BV56" s="504">
        <v>0</v>
      </c>
      <c r="BW56" s="613"/>
      <c r="BX56" s="520"/>
      <c r="BY56" s="573"/>
      <c r="BZ56" s="614"/>
      <c r="CA56" s="615"/>
    </row>
    <row r="57" spans="1:79" ht="46" customHeight="1" thickTop="1" thickBot="1">
      <c r="A57" s="294"/>
      <c r="B57" s="295" t="s">
        <v>2243</v>
      </c>
      <c r="C57" s="296">
        <v>16</v>
      </c>
      <c r="D57" s="870">
        <v>12</v>
      </c>
      <c r="E57" s="298" t="s">
        <v>2244</v>
      </c>
      <c r="F57" s="875">
        <v>224</v>
      </c>
      <c r="G57" s="299">
        <v>241</v>
      </c>
      <c r="H57" s="300">
        <v>11</v>
      </c>
      <c r="I57" s="301" t="s">
        <v>2245</v>
      </c>
      <c r="J57" s="301" t="s">
        <v>2132</v>
      </c>
      <c r="K57" s="300">
        <v>82</v>
      </c>
      <c r="L57" s="301" t="s">
        <v>2133</v>
      </c>
      <c r="M57" s="301" t="s">
        <v>2206</v>
      </c>
      <c r="N57" s="301" t="s">
        <v>2133</v>
      </c>
      <c r="O57" s="301" t="s">
        <v>2240</v>
      </c>
      <c r="P57" s="302" t="s">
        <v>2133</v>
      </c>
      <c r="Q57" s="302" t="s">
        <v>2133</v>
      </c>
      <c r="R57" s="303"/>
      <c r="S57" s="304" t="s">
        <v>2136</v>
      </c>
      <c r="T57" s="304" t="s">
        <v>2136</v>
      </c>
      <c r="U57" s="482" t="s">
        <v>2246</v>
      </c>
      <c r="V57" s="482" t="s">
        <v>2243</v>
      </c>
      <c r="W57" s="483">
        <v>176</v>
      </c>
      <c r="X57" s="307">
        <v>176</v>
      </c>
      <c r="Y57" s="484">
        <v>5.9</v>
      </c>
      <c r="Z57" s="485">
        <v>16</v>
      </c>
      <c r="AA57" s="457">
        <v>65</v>
      </c>
      <c r="AB57" s="311">
        <v>0.26970954356846472</v>
      </c>
      <c r="AC57" s="486" t="s">
        <v>2247</v>
      </c>
      <c r="AD57" s="487" t="s">
        <v>2243</v>
      </c>
      <c r="AE57" s="488">
        <v>180</v>
      </c>
      <c r="AF57" s="315">
        <v>180</v>
      </c>
      <c r="AG57" s="489">
        <v>5.9</v>
      </c>
      <c r="AH57" s="490">
        <v>16</v>
      </c>
      <c r="AI57" s="318">
        <v>61</v>
      </c>
      <c r="AJ57" s="311">
        <v>0.25311203319502074</v>
      </c>
      <c r="AK57" s="491" t="s">
        <v>2248</v>
      </c>
      <c r="AL57" s="492" t="s">
        <v>2140</v>
      </c>
      <c r="AM57" s="865">
        <v>46272</v>
      </c>
      <c r="AN57" s="865">
        <v>46301</v>
      </c>
      <c r="AO57" s="866">
        <v>29</v>
      </c>
      <c r="AP57" s="493"/>
      <c r="AQ57" s="493"/>
      <c r="AR57" s="494"/>
      <c r="AS57" s="495">
        <v>0</v>
      </c>
      <c r="AT57" s="282">
        <v>0</v>
      </c>
      <c r="AU57" s="282">
        <v>0</v>
      </c>
      <c r="AV57" s="286">
        <v>176</v>
      </c>
      <c r="AW57" s="286">
        <v>176</v>
      </c>
      <c r="AX57" s="286">
        <v>176</v>
      </c>
      <c r="AY57" s="286">
        <v>176</v>
      </c>
      <c r="AZ57" s="286">
        <v>176</v>
      </c>
      <c r="BA57" s="286">
        <v>176</v>
      </c>
      <c r="BB57" s="286">
        <v>176</v>
      </c>
      <c r="BC57" s="286">
        <v>176</v>
      </c>
      <c r="BD57" s="283">
        <v>176</v>
      </c>
      <c r="BE57" s="284">
        <v>176</v>
      </c>
      <c r="BF57" s="285">
        <v>176</v>
      </c>
      <c r="BG57" s="286">
        <v>176</v>
      </c>
      <c r="BH57" s="286">
        <v>176</v>
      </c>
      <c r="BI57" s="286">
        <v>176</v>
      </c>
      <c r="BJ57" s="286">
        <v>176</v>
      </c>
      <c r="BK57" s="286">
        <v>176</v>
      </c>
      <c r="BL57" s="286">
        <v>176</v>
      </c>
      <c r="BM57" s="286">
        <v>176</v>
      </c>
      <c r="BN57" s="286">
        <v>176</v>
      </c>
      <c r="BO57" s="286">
        <v>176</v>
      </c>
      <c r="BP57" s="286">
        <v>176</v>
      </c>
      <c r="BQ57" s="286">
        <v>176</v>
      </c>
      <c r="BR57" s="286">
        <v>176</v>
      </c>
      <c r="BS57" s="283">
        <v>176</v>
      </c>
      <c r="BT57" s="284">
        <v>176</v>
      </c>
      <c r="BU57" s="285">
        <v>176</v>
      </c>
      <c r="BV57" s="402">
        <v>0</v>
      </c>
      <c r="BW57" s="498"/>
      <c r="BX57" s="499"/>
      <c r="BY57" s="290"/>
      <c r="BZ57" s="332"/>
      <c r="CA57" s="333"/>
    </row>
    <row r="58" spans="1:79" s="521" customFormat="1" ht="46" customHeight="1" thickBot="1">
      <c r="A58" s="294"/>
      <c r="B58" s="295"/>
      <c r="C58" s="296"/>
      <c r="D58" s="297" t="s">
        <v>2129</v>
      </c>
      <c r="E58" s="298"/>
      <c r="F58" s="299">
        <v>0</v>
      </c>
      <c r="G58" s="299">
        <v>0</v>
      </c>
      <c r="H58" s="300">
        <v>0</v>
      </c>
      <c r="I58" s="301">
        <v>0</v>
      </c>
      <c r="J58" s="301">
        <v>0</v>
      </c>
      <c r="K58" s="300">
        <v>0</v>
      </c>
      <c r="L58" s="301">
        <v>0</v>
      </c>
      <c r="M58" s="301">
        <v>0</v>
      </c>
      <c r="N58" s="301">
        <v>0</v>
      </c>
      <c r="O58" s="301">
        <v>0</v>
      </c>
      <c r="P58" s="302" t="s">
        <v>2129</v>
      </c>
      <c r="Q58" s="302" t="s">
        <v>2129</v>
      </c>
      <c r="R58" s="303"/>
      <c r="S58" s="304"/>
      <c r="T58" s="304"/>
      <c r="U58" s="473"/>
      <c r="V58" s="473"/>
      <c r="W58" s="474"/>
      <c r="X58" s="431"/>
      <c r="Y58" s="475"/>
      <c r="Z58" s="476"/>
      <c r="AA58" s="310"/>
      <c r="AB58" s="311"/>
      <c r="AC58" s="477"/>
      <c r="AD58" s="478"/>
      <c r="AE58" s="479"/>
      <c r="AF58" s="439"/>
      <c r="AG58" s="480"/>
      <c r="AH58" s="481"/>
      <c r="AI58" s="442"/>
      <c r="AJ58" s="311"/>
      <c r="AK58" s="319"/>
      <c r="AL58" s="320" t="s">
        <v>2143</v>
      </c>
      <c r="AM58" s="277">
        <v>46272</v>
      </c>
      <c r="AN58" s="277">
        <v>46301</v>
      </c>
      <c r="AO58" s="278">
        <v>29</v>
      </c>
      <c r="AP58" s="321"/>
      <c r="AQ58" s="321"/>
      <c r="AR58" s="322"/>
      <c r="AS58" s="417">
        <v>0</v>
      </c>
      <c r="AT58" s="418">
        <v>0</v>
      </c>
      <c r="AU58" s="418">
        <v>0</v>
      </c>
      <c r="AV58" s="328">
        <v>180</v>
      </c>
      <c r="AW58" s="328">
        <v>180</v>
      </c>
      <c r="AX58" s="328">
        <v>180</v>
      </c>
      <c r="AY58" s="328">
        <v>180</v>
      </c>
      <c r="AZ58" s="328">
        <v>180</v>
      </c>
      <c r="BA58" s="328">
        <v>180</v>
      </c>
      <c r="BB58" s="328">
        <v>180</v>
      </c>
      <c r="BC58" s="328">
        <v>180</v>
      </c>
      <c r="BD58" s="325">
        <v>180</v>
      </c>
      <c r="BE58" s="326">
        <v>180</v>
      </c>
      <c r="BF58" s="327">
        <v>180</v>
      </c>
      <c r="BG58" s="328">
        <v>180</v>
      </c>
      <c r="BH58" s="328">
        <v>180</v>
      </c>
      <c r="BI58" s="328">
        <v>180</v>
      </c>
      <c r="BJ58" s="328">
        <v>180</v>
      </c>
      <c r="BK58" s="328">
        <v>180</v>
      </c>
      <c r="BL58" s="328">
        <v>180</v>
      </c>
      <c r="BM58" s="328">
        <v>180</v>
      </c>
      <c r="BN58" s="328">
        <v>180</v>
      </c>
      <c r="BO58" s="328">
        <v>180</v>
      </c>
      <c r="BP58" s="328">
        <v>180</v>
      </c>
      <c r="BQ58" s="328">
        <v>180</v>
      </c>
      <c r="BR58" s="328">
        <v>180</v>
      </c>
      <c r="BS58" s="325">
        <v>180</v>
      </c>
      <c r="BT58" s="326">
        <v>180</v>
      </c>
      <c r="BU58" s="327">
        <v>180</v>
      </c>
      <c r="BV58" s="419">
        <v>0</v>
      </c>
      <c r="BW58" s="503"/>
      <c r="BX58" s="507"/>
      <c r="BY58" s="290"/>
      <c r="BZ58" s="332"/>
      <c r="CA58" s="333"/>
    </row>
    <row r="59" spans="1:79" ht="46" customHeight="1" thickTop="1" thickBot="1">
      <c r="A59" s="294"/>
      <c r="B59" s="295"/>
      <c r="C59" s="372">
        <v>17</v>
      </c>
      <c r="D59" s="871">
        <v>15</v>
      </c>
      <c r="E59" s="572" t="s">
        <v>2249</v>
      </c>
      <c r="F59" s="876">
        <v>73</v>
      </c>
      <c r="G59" s="374">
        <v>90</v>
      </c>
      <c r="H59" s="375">
        <v>7</v>
      </c>
      <c r="I59" s="376" t="s">
        <v>2167</v>
      </c>
      <c r="J59" s="376" t="s">
        <v>2132</v>
      </c>
      <c r="K59" s="375">
        <v>59</v>
      </c>
      <c r="L59" s="376" t="s">
        <v>2133</v>
      </c>
      <c r="M59" s="376" t="s">
        <v>2206</v>
      </c>
      <c r="N59" s="376" t="s">
        <v>2133</v>
      </c>
      <c r="O59" s="376" t="s">
        <v>2250</v>
      </c>
      <c r="P59" s="377" t="s">
        <v>2133</v>
      </c>
      <c r="Q59" s="377" t="s">
        <v>2129</v>
      </c>
      <c r="R59" s="378"/>
      <c r="S59" s="379" t="s">
        <v>2136</v>
      </c>
      <c r="T59" s="2722"/>
      <c r="U59" s="535" t="s">
        <v>2251</v>
      </c>
      <c r="V59" s="535" t="s">
        <v>2243</v>
      </c>
      <c r="W59" s="536">
        <v>76</v>
      </c>
      <c r="X59" s="454">
        <v>76</v>
      </c>
      <c r="Y59" s="537">
        <v>3.2</v>
      </c>
      <c r="Z59" s="538">
        <v>9</v>
      </c>
      <c r="AA59" s="457">
        <v>14</v>
      </c>
      <c r="AB59" s="394">
        <v>0.15555555555555556</v>
      </c>
      <c r="AC59" s="539" t="s">
        <v>2172</v>
      </c>
      <c r="AD59" s="540" t="s">
        <v>2134</v>
      </c>
      <c r="AE59" s="541">
        <v>0</v>
      </c>
      <c r="AF59" s="390">
        <v>0</v>
      </c>
      <c r="AG59" s="542"/>
      <c r="AH59" s="571"/>
      <c r="AI59" s="318">
        <v>90</v>
      </c>
      <c r="AJ59" s="394">
        <v>1</v>
      </c>
      <c r="AK59" s="515" t="s">
        <v>2252</v>
      </c>
      <c r="AL59" s="396" t="s">
        <v>2140</v>
      </c>
      <c r="AM59" s="865">
        <v>46272</v>
      </c>
      <c r="AN59" s="865">
        <v>46301</v>
      </c>
      <c r="AO59" s="866">
        <v>29</v>
      </c>
      <c r="AP59" s="397"/>
      <c r="AQ59" s="397"/>
      <c r="AR59" s="398"/>
      <c r="AS59" s="463">
        <v>0</v>
      </c>
      <c r="AT59" s="464">
        <v>0</v>
      </c>
      <c r="AU59" s="464">
        <v>0</v>
      </c>
      <c r="AV59" s="465">
        <v>76</v>
      </c>
      <c r="AW59" s="465">
        <v>76</v>
      </c>
      <c r="AX59" s="465">
        <v>76</v>
      </c>
      <c r="AY59" s="465">
        <v>76</v>
      </c>
      <c r="AZ59" s="465">
        <v>76</v>
      </c>
      <c r="BA59" s="465">
        <v>76</v>
      </c>
      <c r="BB59" s="465">
        <v>76</v>
      </c>
      <c r="BC59" s="465">
        <v>76</v>
      </c>
      <c r="BD59" s="466">
        <v>76</v>
      </c>
      <c r="BE59" s="467">
        <v>76</v>
      </c>
      <c r="BF59" s="468">
        <v>76</v>
      </c>
      <c r="BG59" s="465">
        <v>76</v>
      </c>
      <c r="BH59" s="465">
        <v>76</v>
      </c>
      <c r="BI59" s="465">
        <v>76</v>
      </c>
      <c r="BJ59" s="465">
        <v>76</v>
      </c>
      <c r="BK59" s="465">
        <v>76</v>
      </c>
      <c r="BL59" s="465">
        <v>76</v>
      </c>
      <c r="BM59" s="465">
        <v>76</v>
      </c>
      <c r="BN59" s="465">
        <v>76</v>
      </c>
      <c r="BO59" s="465">
        <v>76</v>
      </c>
      <c r="BP59" s="465">
        <v>76</v>
      </c>
      <c r="BQ59" s="465">
        <v>76</v>
      </c>
      <c r="BR59" s="465">
        <v>76</v>
      </c>
      <c r="BS59" s="466">
        <v>76</v>
      </c>
      <c r="BT59" s="467">
        <v>76</v>
      </c>
      <c r="BU59" s="468">
        <v>76</v>
      </c>
      <c r="BV59" s="469">
        <v>0</v>
      </c>
      <c r="BW59" s="470"/>
      <c r="BX59" s="472"/>
      <c r="BY59" s="573"/>
      <c r="BZ59" s="574"/>
      <c r="CA59" s="575"/>
    </row>
    <row r="60" spans="1:79" ht="46" customHeight="1" thickTop="1" thickBot="1">
      <c r="A60" s="294"/>
      <c r="B60" s="567"/>
      <c r="C60" s="420"/>
      <c r="D60" s="421" t="s">
        <v>2129</v>
      </c>
      <c r="E60" s="612"/>
      <c r="F60" s="423">
        <v>0</v>
      </c>
      <c r="G60" s="423">
        <v>0</v>
      </c>
      <c r="H60" s="424">
        <v>0</v>
      </c>
      <c r="I60" s="425">
        <v>0</v>
      </c>
      <c r="J60" s="425">
        <v>0</v>
      </c>
      <c r="K60" s="424">
        <v>0</v>
      </c>
      <c r="L60" s="425">
        <v>0</v>
      </c>
      <c r="M60" s="425">
        <v>0</v>
      </c>
      <c r="N60" s="425">
        <v>0</v>
      </c>
      <c r="O60" s="425">
        <v>0</v>
      </c>
      <c r="P60" s="426"/>
      <c r="Q60" s="426"/>
      <c r="R60" s="427"/>
      <c r="S60" s="428"/>
      <c r="T60" s="428"/>
      <c r="U60" s="473"/>
      <c r="V60" s="473"/>
      <c r="W60" s="616"/>
      <c r="X60" s="431"/>
      <c r="Y60" s="617"/>
      <c r="Z60" s="618"/>
      <c r="AA60" s="434"/>
      <c r="AB60" s="435"/>
      <c r="AC60" s="477"/>
      <c r="AD60" s="478"/>
      <c r="AE60" s="479"/>
      <c r="AF60" s="439"/>
      <c r="AG60" s="619"/>
      <c r="AH60" s="481"/>
      <c r="AI60" s="442"/>
      <c r="AJ60" s="435"/>
      <c r="AK60" s="517"/>
      <c r="AL60" s="518" t="s">
        <v>2143</v>
      </c>
      <c r="AM60" s="277" t="s">
        <v>2129</v>
      </c>
      <c r="AN60" s="277" t="s">
        <v>2129</v>
      </c>
      <c r="AO60" s="278" t="s">
        <v>2129</v>
      </c>
      <c r="AP60" s="506"/>
      <c r="AQ60" s="506"/>
      <c r="AR60" s="321"/>
      <c r="AS60" s="336"/>
      <c r="AT60" s="336"/>
      <c r="AU60" s="336"/>
      <c r="AV60" s="336"/>
      <c r="AW60" s="336"/>
      <c r="AX60" s="336"/>
      <c r="AY60" s="336"/>
      <c r="AZ60" s="336"/>
      <c r="BA60" s="336"/>
      <c r="BB60" s="336"/>
      <c r="BC60" s="336"/>
      <c r="BD60" s="337"/>
      <c r="BE60" s="338"/>
      <c r="BF60" s="339"/>
      <c r="BG60" s="336"/>
      <c r="BH60" s="336"/>
      <c r="BI60" s="336"/>
      <c r="BJ60" s="336"/>
      <c r="BK60" s="336"/>
      <c r="BL60" s="336"/>
      <c r="BM60" s="336"/>
      <c r="BN60" s="336"/>
      <c r="BO60" s="336"/>
      <c r="BP60" s="336"/>
      <c r="BQ60" s="336"/>
      <c r="BR60" s="336"/>
      <c r="BS60" s="337"/>
      <c r="BT60" s="338"/>
      <c r="BU60" s="339"/>
      <c r="BV60" s="336"/>
      <c r="BW60" s="506"/>
      <c r="BX60" s="520"/>
      <c r="BY60" s="573"/>
      <c r="BZ60" s="614"/>
      <c r="CA60" s="615"/>
    </row>
    <row r="61" spans="1:79" ht="46" customHeight="1" thickTop="1" thickBot="1">
      <c r="A61" s="620"/>
      <c r="B61" s="295" t="s">
        <v>2253</v>
      </c>
      <c r="C61" s="296">
        <v>18</v>
      </c>
      <c r="D61" s="297">
        <v>3000</v>
      </c>
      <c r="E61" s="298" t="s">
        <v>2254</v>
      </c>
      <c r="F61" s="299">
        <v>170</v>
      </c>
      <c r="G61" s="299" t="s">
        <v>2131</v>
      </c>
      <c r="H61" s="300" t="s">
        <v>2131</v>
      </c>
      <c r="I61" s="301" t="s">
        <v>2131</v>
      </c>
      <c r="J61" s="301" t="s">
        <v>2131</v>
      </c>
      <c r="K61" s="300" t="s">
        <v>2134</v>
      </c>
      <c r="L61" s="301" t="s">
        <v>2131</v>
      </c>
      <c r="M61" s="301" t="s">
        <v>2134</v>
      </c>
      <c r="N61" s="301" t="s">
        <v>2131</v>
      </c>
      <c r="O61" s="301" t="s">
        <v>2131</v>
      </c>
      <c r="P61" s="302" t="s">
        <v>2133</v>
      </c>
      <c r="Q61" s="302" t="s">
        <v>2133</v>
      </c>
      <c r="R61" s="303"/>
      <c r="S61" s="304" t="s">
        <v>2136</v>
      </c>
      <c r="T61" s="304" t="s">
        <v>2136</v>
      </c>
      <c r="U61" s="508" t="s">
        <v>2255</v>
      </c>
      <c r="V61" s="508" t="s">
        <v>2256</v>
      </c>
      <c r="W61" s="509">
        <v>0</v>
      </c>
      <c r="X61" s="621">
        <v>0</v>
      </c>
      <c r="Y61" s="510">
        <v>16</v>
      </c>
      <c r="Z61" s="511">
        <v>34</v>
      </c>
      <c r="AA61" s="622" t="e">
        <v>#VALUE!</v>
      </c>
      <c r="AB61" s="623" t="e">
        <v>#VALUE!</v>
      </c>
      <c r="AC61" s="512" t="s">
        <v>2255</v>
      </c>
      <c r="AD61" s="388" t="s">
        <v>2256</v>
      </c>
      <c r="AE61" s="389">
        <v>0</v>
      </c>
      <c r="AF61" s="624">
        <v>0</v>
      </c>
      <c r="AG61" s="513">
        <v>16</v>
      </c>
      <c r="AH61" s="514">
        <v>34</v>
      </c>
      <c r="AI61" s="318" t="e">
        <v>#VALUE!</v>
      </c>
      <c r="AJ61" s="311" t="e">
        <v>#VALUE!</v>
      </c>
      <c r="AK61" s="491" t="s">
        <v>2257</v>
      </c>
      <c r="AL61" s="492" t="s">
        <v>2140</v>
      </c>
      <c r="AM61" s="277">
        <v>46271</v>
      </c>
      <c r="AN61" s="277">
        <v>46301</v>
      </c>
      <c r="AO61" s="278">
        <v>30</v>
      </c>
      <c r="AP61" s="493"/>
      <c r="AQ61" s="494"/>
      <c r="AR61" s="495">
        <v>0</v>
      </c>
      <c r="AS61" s="282">
        <v>0</v>
      </c>
      <c r="AT61" s="282">
        <v>0</v>
      </c>
      <c r="AU61" s="286">
        <v>132</v>
      </c>
      <c r="AV61" s="286">
        <v>132</v>
      </c>
      <c r="AW61" s="286">
        <v>132</v>
      </c>
      <c r="AX61" s="286">
        <v>132</v>
      </c>
      <c r="AY61" s="286">
        <v>132</v>
      </c>
      <c r="AZ61" s="286">
        <v>132</v>
      </c>
      <c r="BA61" s="286">
        <v>132</v>
      </c>
      <c r="BB61" s="286">
        <v>132</v>
      </c>
      <c r="BC61" s="286">
        <v>132</v>
      </c>
      <c r="BD61" s="283">
        <v>132</v>
      </c>
      <c r="BE61" s="284">
        <v>132</v>
      </c>
      <c r="BF61" s="285">
        <v>132</v>
      </c>
      <c r="BG61" s="286">
        <v>132</v>
      </c>
      <c r="BH61" s="286">
        <v>132</v>
      </c>
      <c r="BI61" s="286">
        <v>132</v>
      </c>
      <c r="BJ61" s="286">
        <v>132</v>
      </c>
      <c r="BK61" s="286">
        <v>132</v>
      </c>
      <c r="BL61" s="286">
        <v>132</v>
      </c>
      <c r="BM61" s="286">
        <v>132</v>
      </c>
      <c r="BN61" s="286">
        <v>132</v>
      </c>
      <c r="BO61" s="286">
        <v>0</v>
      </c>
      <c r="BP61" s="286">
        <v>0</v>
      </c>
      <c r="BQ61" s="286">
        <v>66</v>
      </c>
      <c r="BR61" s="286">
        <v>132</v>
      </c>
      <c r="BS61" s="283">
        <v>132</v>
      </c>
      <c r="BT61" s="284">
        <v>132</v>
      </c>
      <c r="BU61" s="285">
        <v>132</v>
      </c>
      <c r="BV61" s="402">
        <v>0</v>
      </c>
      <c r="BW61" s="498"/>
      <c r="BX61" s="499"/>
      <c r="BY61" s="290"/>
      <c r="BZ61" s="332"/>
      <c r="CA61" s="333"/>
    </row>
    <row r="62" spans="1:79" s="521" customFormat="1" ht="46" customHeight="1" thickBot="1">
      <c r="A62" s="294"/>
      <c r="B62" s="295"/>
      <c r="C62" s="296"/>
      <c r="D62" s="297" t="s">
        <v>2129</v>
      </c>
      <c r="E62" s="298" t="s">
        <v>2258</v>
      </c>
      <c r="F62" s="299">
        <v>0</v>
      </c>
      <c r="G62" s="299">
        <v>0</v>
      </c>
      <c r="H62" s="300">
        <v>0</v>
      </c>
      <c r="I62" s="301">
        <v>0</v>
      </c>
      <c r="J62" s="301"/>
      <c r="K62" s="300"/>
      <c r="L62" s="301"/>
      <c r="M62" s="301"/>
      <c r="N62" s="301"/>
      <c r="O62" s="301"/>
      <c r="P62" s="302"/>
      <c r="Q62" s="302"/>
      <c r="R62" s="303"/>
      <c r="S62" s="304"/>
      <c r="T62" s="304"/>
      <c r="U62" s="625" t="s">
        <v>2259</v>
      </c>
      <c r="V62" s="482"/>
      <c r="W62" s="483"/>
      <c r="X62" s="307"/>
      <c r="Y62" s="484">
        <v>27.3</v>
      </c>
      <c r="Z62" s="485">
        <v>35</v>
      </c>
      <c r="AA62" s="310"/>
      <c r="AB62" s="311"/>
      <c r="AC62" s="626" t="s">
        <v>2259</v>
      </c>
      <c r="AD62" s="487"/>
      <c r="AE62" s="488"/>
      <c r="AF62" s="315"/>
      <c r="AG62" s="489">
        <v>27.3</v>
      </c>
      <c r="AH62" s="490">
        <v>35</v>
      </c>
      <c r="AI62" s="365"/>
      <c r="AJ62" s="311"/>
      <c r="AK62" s="319"/>
      <c r="AL62" s="320" t="s">
        <v>2143</v>
      </c>
      <c r="AM62" s="277">
        <v>46271</v>
      </c>
      <c r="AN62" s="277">
        <v>46301</v>
      </c>
      <c r="AO62" s="278">
        <v>30</v>
      </c>
      <c r="AP62" s="321"/>
      <c r="AQ62" s="322"/>
      <c r="AR62" s="544">
        <v>0</v>
      </c>
      <c r="AS62" s="545">
        <v>0</v>
      </c>
      <c r="AT62" s="545">
        <v>0</v>
      </c>
      <c r="AU62" s="328">
        <v>132</v>
      </c>
      <c r="AV62" s="328">
        <v>132</v>
      </c>
      <c r="AW62" s="328">
        <v>132</v>
      </c>
      <c r="AX62" s="328">
        <v>132</v>
      </c>
      <c r="AY62" s="328">
        <v>132</v>
      </c>
      <c r="AZ62" s="328">
        <v>132</v>
      </c>
      <c r="BA62" s="328">
        <v>132</v>
      </c>
      <c r="BB62" s="328">
        <v>132</v>
      </c>
      <c r="BC62" s="328">
        <v>132</v>
      </c>
      <c r="BD62" s="325">
        <v>132</v>
      </c>
      <c r="BE62" s="326">
        <v>132</v>
      </c>
      <c r="BF62" s="327">
        <v>132</v>
      </c>
      <c r="BG62" s="328">
        <v>132</v>
      </c>
      <c r="BH62" s="328">
        <v>132</v>
      </c>
      <c r="BI62" s="328">
        <v>132</v>
      </c>
      <c r="BJ62" s="328">
        <v>132</v>
      </c>
      <c r="BK62" s="328">
        <v>132</v>
      </c>
      <c r="BL62" s="328">
        <v>132</v>
      </c>
      <c r="BM62" s="328">
        <v>132</v>
      </c>
      <c r="BN62" s="328">
        <v>132</v>
      </c>
      <c r="BO62" s="328">
        <v>0</v>
      </c>
      <c r="BP62" s="328">
        <v>0</v>
      </c>
      <c r="BQ62" s="328">
        <v>66</v>
      </c>
      <c r="BR62" s="328">
        <v>132</v>
      </c>
      <c r="BS62" s="325">
        <v>132</v>
      </c>
      <c r="BT62" s="326">
        <v>132</v>
      </c>
      <c r="BU62" s="327">
        <v>132</v>
      </c>
      <c r="BV62" s="419">
        <v>0</v>
      </c>
      <c r="BW62" s="503"/>
      <c r="BX62" s="507"/>
      <c r="BY62" s="290"/>
      <c r="BZ62" s="332"/>
      <c r="CA62" s="333"/>
    </row>
    <row r="63" spans="1:79" ht="46" customHeight="1" thickTop="1" thickBot="1">
      <c r="A63" s="627" t="s">
        <v>2260</v>
      </c>
      <c r="B63" s="247" t="s">
        <v>2261</v>
      </c>
      <c r="C63" s="248">
        <v>19</v>
      </c>
      <c r="D63" s="869">
        <v>299</v>
      </c>
      <c r="E63" s="250" t="s">
        <v>2262</v>
      </c>
      <c r="F63" s="874">
        <v>1286</v>
      </c>
      <c r="G63" s="251">
        <v>1287</v>
      </c>
      <c r="H63" s="594">
        <v>0</v>
      </c>
      <c r="I63" s="257" t="s">
        <v>2245</v>
      </c>
      <c r="J63" s="257" t="s">
        <v>2229</v>
      </c>
      <c r="K63" s="594">
        <v>380</v>
      </c>
      <c r="L63" s="257" t="s">
        <v>2134</v>
      </c>
      <c r="M63" s="257" t="s">
        <v>2134</v>
      </c>
      <c r="N63" s="257" t="s">
        <v>2133</v>
      </c>
      <c r="O63" s="257" t="s">
        <v>2160</v>
      </c>
      <c r="P63" s="258" t="s">
        <v>2133</v>
      </c>
      <c r="Q63" s="258" t="s">
        <v>2133</v>
      </c>
      <c r="R63" s="595"/>
      <c r="S63" s="260" t="s">
        <v>2136</v>
      </c>
      <c r="T63" s="260" t="s">
        <v>2136</v>
      </c>
      <c r="U63" s="261" t="s">
        <v>2263</v>
      </c>
      <c r="V63" s="261" t="s">
        <v>2261</v>
      </c>
      <c r="W63" s="262">
        <v>56</v>
      </c>
      <c r="X63" s="263">
        <v>901</v>
      </c>
      <c r="Y63" s="264">
        <v>1</v>
      </c>
      <c r="Z63" s="265">
        <v>2</v>
      </c>
      <c r="AA63" s="266">
        <v>386</v>
      </c>
      <c r="AB63" s="267">
        <v>0.29992229992229991</v>
      </c>
      <c r="AC63" s="268" t="s">
        <v>2263</v>
      </c>
      <c r="AD63" s="269" t="s">
        <v>2261</v>
      </c>
      <c r="AE63" s="270">
        <v>47</v>
      </c>
      <c r="AF63" s="271">
        <v>628</v>
      </c>
      <c r="AG63" s="272">
        <v>1</v>
      </c>
      <c r="AH63" s="628">
        <v>2</v>
      </c>
      <c r="AI63" s="318">
        <v>659</v>
      </c>
      <c r="AJ63" s="267">
        <v>0.51204351204351206</v>
      </c>
      <c r="AK63" s="275" t="s">
        <v>2264</v>
      </c>
      <c r="AL63" s="276" t="s">
        <v>2140</v>
      </c>
      <c r="AM63" s="865">
        <v>46277</v>
      </c>
      <c r="AN63" s="865">
        <v>46300</v>
      </c>
      <c r="AO63" s="866">
        <v>23</v>
      </c>
      <c r="AP63" s="279"/>
      <c r="AQ63" s="279"/>
      <c r="AR63" s="493"/>
      <c r="AS63" s="493"/>
      <c r="AT63" s="493"/>
      <c r="AU63" s="493"/>
      <c r="AV63" s="493"/>
      <c r="AW63" s="494"/>
      <c r="AX63" s="495">
        <v>0</v>
      </c>
      <c r="AY63" s="282">
        <v>0</v>
      </c>
      <c r="AZ63" s="282">
        <v>0</v>
      </c>
      <c r="BA63" s="286">
        <v>204</v>
      </c>
      <c r="BB63" s="286">
        <v>845</v>
      </c>
      <c r="BC63" s="286">
        <v>845</v>
      </c>
      <c r="BD63" s="283">
        <v>845</v>
      </c>
      <c r="BE63" s="284">
        <v>845</v>
      </c>
      <c r="BF63" s="285">
        <v>845</v>
      </c>
      <c r="BG63" s="286">
        <v>845</v>
      </c>
      <c r="BH63" s="286">
        <v>845</v>
      </c>
      <c r="BI63" s="286">
        <v>845</v>
      </c>
      <c r="BJ63" s="286">
        <v>901</v>
      </c>
      <c r="BK63" s="286">
        <v>901</v>
      </c>
      <c r="BL63" s="286">
        <v>901</v>
      </c>
      <c r="BM63" s="286">
        <v>901</v>
      </c>
      <c r="BN63" s="286">
        <v>901</v>
      </c>
      <c r="BO63" s="286">
        <v>698</v>
      </c>
      <c r="BP63" s="286">
        <v>697</v>
      </c>
      <c r="BQ63" s="286">
        <v>56</v>
      </c>
      <c r="BR63" s="286">
        <v>56</v>
      </c>
      <c r="BS63" s="283">
        <v>56</v>
      </c>
      <c r="BT63" s="284">
        <v>56</v>
      </c>
      <c r="BU63" s="402">
        <v>0</v>
      </c>
      <c r="BV63" s="498"/>
      <c r="BW63" s="279"/>
      <c r="BX63" s="606"/>
      <c r="BY63" s="290"/>
      <c r="BZ63" s="291"/>
      <c r="CA63" s="292"/>
    </row>
    <row r="64" spans="1:79" ht="46" customHeight="1" thickBot="1">
      <c r="A64" s="294"/>
      <c r="B64" s="295"/>
      <c r="C64" s="296"/>
      <c r="D64" s="297" t="s">
        <v>2129</v>
      </c>
      <c r="E64" s="298"/>
      <c r="F64" s="299">
        <v>0</v>
      </c>
      <c r="G64" s="299">
        <v>0</v>
      </c>
      <c r="H64" s="300">
        <v>0</v>
      </c>
      <c r="I64" s="301">
        <v>0</v>
      </c>
      <c r="J64" s="301" t="s">
        <v>2265</v>
      </c>
      <c r="K64" s="300">
        <v>0</v>
      </c>
      <c r="L64" s="301">
        <v>0</v>
      </c>
      <c r="M64" s="301">
        <v>0</v>
      </c>
      <c r="N64" s="301">
        <v>0</v>
      </c>
      <c r="O64" s="301">
        <v>0</v>
      </c>
      <c r="P64" s="302" t="s">
        <v>2129</v>
      </c>
      <c r="Q64" s="302" t="s">
        <v>2129</v>
      </c>
      <c r="R64" s="303"/>
      <c r="S64" s="304"/>
      <c r="T64" s="304"/>
      <c r="U64" s="305" t="s">
        <v>2266</v>
      </c>
      <c r="V64" s="305" t="s">
        <v>2261</v>
      </c>
      <c r="W64" s="306">
        <v>641</v>
      </c>
      <c r="X64" s="307"/>
      <c r="Y64" s="308">
        <v>1</v>
      </c>
      <c r="Z64" s="309">
        <v>2</v>
      </c>
      <c r="AA64" s="310"/>
      <c r="AB64" s="311"/>
      <c r="AC64" s="312" t="s">
        <v>2266</v>
      </c>
      <c r="AD64" s="313" t="s">
        <v>2261</v>
      </c>
      <c r="AE64" s="314">
        <v>534</v>
      </c>
      <c r="AF64" s="315"/>
      <c r="AG64" s="316">
        <v>1</v>
      </c>
      <c r="AH64" s="548">
        <v>2</v>
      </c>
      <c r="AI64" s="318"/>
      <c r="AJ64" s="311"/>
      <c r="AK64" s="319"/>
      <c r="AL64" s="320" t="s">
        <v>2143</v>
      </c>
      <c r="AM64" s="277">
        <v>46278</v>
      </c>
      <c r="AN64" s="277">
        <v>46300</v>
      </c>
      <c r="AO64" s="278">
        <v>22</v>
      </c>
      <c r="AP64" s="321"/>
      <c r="AQ64" s="321"/>
      <c r="AR64" s="321"/>
      <c r="AS64" s="321"/>
      <c r="AT64" s="321"/>
      <c r="AU64" s="321"/>
      <c r="AV64" s="321"/>
      <c r="AW64" s="322"/>
      <c r="AX64" s="629"/>
      <c r="AY64" s="418">
        <v>0</v>
      </c>
      <c r="AZ64" s="418">
        <v>0</v>
      </c>
      <c r="BA64" s="418">
        <v>0</v>
      </c>
      <c r="BB64" s="328">
        <v>534</v>
      </c>
      <c r="BC64" s="328">
        <v>534</v>
      </c>
      <c r="BD64" s="325">
        <v>534</v>
      </c>
      <c r="BE64" s="326">
        <v>534</v>
      </c>
      <c r="BF64" s="327">
        <v>534</v>
      </c>
      <c r="BG64" s="328">
        <v>534</v>
      </c>
      <c r="BH64" s="328">
        <v>549</v>
      </c>
      <c r="BI64" s="328">
        <v>581</v>
      </c>
      <c r="BJ64" s="328">
        <v>628</v>
      </c>
      <c r="BK64" s="328">
        <v>628</v>
      </c>
      <c r="BL64" s="328">
        <v>628</v>
      </c>
      <c r="BM64" s="328">
        <v>628</v>
      </c>
      <c r="BN64" s="328">
        <v>628</v>
      </c>
      <c r="BO64" s="328">
        <v>628</v>
      </c>
      <c r="BP64" s="328">
        <v>613</v>
      </c>
      <c r="BQ64" s="328">
        <v>79</v>
      </c>
      <c r="BR64" s="328">
        <v>47</v>
      </c>
      <c r="BS64" s="325">
        <v>47</v>
      </c>
      <c r="BT64" s="326">
        <v>47</v>
      </c>
      <c r="BU64" s="630">
        <v>0</v>
      </c>
      <c r="BV64" s="503"/>
      <c r="BW64" s="321"/>
      <c r="BX64" s="507"/>
      <c r="BY64" s="290"/>
      <c r="BZ64" s="332"/>
      <c r="CA64" s="333"/>
    </row>
    <row r="65" spans="1:79" ht="46" customHeight="1" thickTop="1" thickBot="1">
      <c r="A65" s="294"/>
      <c r="B65" s="295"/>
      <c r="C65" s="296"/>
      <c r="D65" s="297" t="s">
        <v>2129</v>
      </c>
      <c r="E65" s="298"/>
      <c r="F65" s="299">
        <v>0</v>
      </c>
      <c r="G65" s="299">
        <v>0</v>
      </c>
      <c r="H65" s="300">
        <v>0</v>
      </c>
      <c r="I65" s="301">
        <v>0</v>
      </c>
      <c r="J65" s="301">
        <v>0</v>
      </c>
      <c r="K65" s="300">
        <v>0</v>
      </c>
      <c r="L65" s="301">
        <v>0</v>
      </c>
      <c r="M65" s="301">
        <v>0</v>
      </c>
      <c r="N65" s="301">
        <v>0</v>
      </c>
      <c r="O65" s="301">
        <v>0</v>
      </c>
      <c r="P65" s="302" t="s">
        <v>2129</v>
      </c>
      <c r="Q65" s="302" t="s">
        <v>2129</v>
      </c>
      <c r="R65" s="303"/>
      <c r="S65" s="304"/>
      <c r="T65" s="304"/>
      <c r="U65" s="305" t="s">
        <v>2221</v>
      </c>
      <c r="V65" s="305" t="s">
        <v>2138</v>
      </c>
      <c r="W65" s="306">
        <v>114</v>
      </c>
      <c r="X65" s="307"/>
      <c r="Y65" s="308">
        <v>37</v>
      </c>
      <c r="Z65" s="309">
        <v>34</v>
      </c>
      <c r="AA65" s="310"/>
      <c r="AB65" s="311"/>
      <c r="AC65" s="312" t="s">
        <v>2267</v>
      </c>
      <c r="AD65" s="313" t="s">
        <v>2261</v>
      </c>
      <c r="AE65" s="314">
        <v>15</v>
      </c>
      <c r="AF65" s="315"/>
      <c r="AG65" s="316">
        <v>1</v>
      </c>
      <c r="AH65" s="317">
        <v>2</v>
      </c>
      <c r="AI65" s="318"/>
      <c r="AJ65" s="311"/>
      <c r="AK65" s="334"/>
      <c r="AL65" s="335"/>
      <c r="AM65" s="277" t="s">
        <v>2129</v>
      </c>
      <c r="AN65" s="277" t="s">
        <v>2129</v>
      </c>
      <c r="AO65" s="278" t="s">
        <v>2129</v>
      </c>
      <c r="AP65" s="336"/>
      <c r="AQ65" s="336"/>
      <c r="AR65" s="336"/>
      <c r="AS65" s="336"/>
      <c r="AT65" s="336"/>
      <c r="AU65" s="336"/>
      <c r="AV65" s="336"/>
      <c r="AW65" s="336"/>
      <c r="AX65" s="336"/>
      <c r="AY65" s="336"/>
      <c r="AZ65" s="336"/>
      <c r="BA65" s="336"/>
      <c r="BB65" s="336"/>
      <c r="BC65" s="336"/>
      <c r="BD65" s="337"/>
      <c r="BE65" s="338"/>
      <c r="BF65" s="339"/>
      <c r="BG65" s="336"/>
      <c r="BH65" s="336"/>
      <c r="BI65" s="336"/>
      <c r="BJ65" s="336"/>
      <c r="BK65" s="336"/>
      <c r="BL65" s="336"/>
      <c r="BM65" s="336"/>
      <c r="BN65" s="336"/>
      <c r="BO65" s="336"/>
      <c r="BP65" s="336"/>
      <c r="BQ65" s="336"/>
      <c r="BR65" s="336"/>
      <c r="BS65" s="337"/>
      <c r="BT65" s="338"/>
      <c r="BU65" s="339"/>
      <c r="BV65" s="336"/>
      <c r="BW65" s="336"/>
      <c r="BX65" s="340"/>
      <c r="BY65" s="290"/>
      <c r="BZ65" s="332"/>
      <c r="CA65" s="333"/>
    </row>
    <row r="66" spans="1:79" ht="46" customHeight="1" thickBot="1">
      <c r="A66" s="294"/>
      <c r="B66" s="295"/>
      <c r="C66" s="420"/>
      <c r="D66" s="421" t="s">
        <v>2129</v>
      </c>
      <c r="E66" s="422"/>
      <c r="F66" s="423">
        <v>0</v>
      </c>
      <c r="G66" s="423">
        <v>0</v>
      </c>
      <c r="H66" s="424">
        <v>0</v>
      </c>
      <c r="I66" s="425">
        <v>0</v>
      </c>
      <c r="J66" s="425">
        <v>0</v>
      </c>
      <c r="K66" s="424">
        <v>0</v>
      </c>
      <c r="L66" s="425">
        <v>0</v>
      </c>
      <c r="M66" s="425">
        <v>0</v>
      </c>
      <c r="N66" s="425">
        <v>0</v>
      </c>
      <c r="O66" s="425">
        <v>0</v>
      </c>
      <c r="P66" s="426" t="s">
        <v>2129</v>
      </c>
      <c r="Q66" s="426" t="s">
        <v>2129</v>
      </c>
      <c r="R66" s="427"/>
      <c r="S66" s="428"/>
      <c r="T66" s="428"/>
      <c r="U66" s="429" t="s">
        <v>2223</v>
      </c>
      <c r="V66" s="429" t="s">
        <v>2138</v>
      </c>
      <c r="W66" s="430">
        <v>90</v>
      </c>
      <c r="X66" s="431"/>
      <c r="Y66" s="432">
        <v>37</v>
      </c>
      <c r="Z66" s="433">
        <v>34</v>
      </c>
      <c r="AA66" s="434"/>
      <c r="AB66" s="435"/>
      <c r="AC66" s="436" t="s">
        <v>2268</v>
      </c>
      <c r="AD66" s="437" t="s">
        <v>2269</v>
      </c>
      <c r="AE66" s="438">
        <v>32</v>
      </c>
      <c r="AF66" s="439"/>
      <c r="AG66" s="440">
        <v>12.4</v>
      </c>
      <c r="AH66" s="441">
        <v>24</v>
      </c>
      <c r="AI66" s="442"/>
      <c r="AJ66" s="435"/>
      <c r="AK66" s="534"/>
      <c r="AL66" s="444"/>
      <c r="AM66" s="277" t="s">
        <v>2129</v>
      </c>
      <c r="AN66" s="277" t="s">
        <v>2129</v>
      </c>
      <c r="AO66" s="278" t="s">
        <v>2129</v>
      </c>
      <c r="AP66" s="445"/>
      <c r="AQ66" s="445"/>
      <c r="AR66" s="445"/>
      <c r="AS66" s="445"/>
      <c r="AT66" s="445"/>
      <c r="AU66" s="445"/>
      <c r="AV66" s="445"/>
      <c r="AW66" s="445"/>
      <c r="AX66" s="336"/>
      <c r="AY66" s="336"/>
      <c r="AZ66" s="336"/>
      <c r="BA66" s="336"/>
      <c r="BB66" s="336"/>
      <c r="BC66" s="336"/>
      <c r="BD66" s="337"/>
      <c r="BE66" s="338"/>
      <c r="BF66" s="339"/>
      <c r="BG66" s="336"/>
      <c r="BH66" s="336"/>
      <c r="BI66" s="336"/>
      <c r="BJ66" s="336"/>
      <c r="BK66" s="336"/>
      <c r="BL66" s="336"/>
      <c r="BM66" s="336"/>
      <c r="BN66" s="336"/>
      <c r="BO66" s="336"/>
      <c r="BP66" s="336"/>
      <c r="BQ66" s="336"/>
      <c r="BR66" s="336"/>
      <c r="BS66" s="337"/>
      <c r="BT66" s="338"/>
      <c r="BU66" s="339"/>
      <c r="BV66" s="336"/>
      <c r="BW66" s="445"/>
      <c r="BX66" s="449"/>
      <c r="BY66" s="290"/>
      <c r="BZ66" s="450"/>
      <c r="CA66" s="451"/>
    </row>
    <row r="67" spans="1:79" ht="46" customHeight="1" thickTop="1" thickBot="1">
      <c r="A67" s="294"/>
      <c r="B67" s="295"/>
      <c r="C67" s="296">
        <v>20</v>
      </c>
      <c r="D67" s="870">
        <v>300</v>
      </c>
      <c r="E67" s="298" t="s">
        <v>2270</v>
      </c>
      <c r="F67" s="875">
        <v>988</v>
      </c>
      <c r="G67" s="631">
        <v>1014</v>
      </c>
      <c r="H67" s="300">
        <v>1</v>
      </c>
      <c r="I67" s="301" t="s">
        <v>2245</v>
      </c>
      <c r="J67" s="301" t="s">
        <v>2229</v>
      </c>
      <c r="K67" s="300">
        <v>180</v>
      </c>
      <c r="L67" s="301" t="s">
        <v>2134</v>
      </c>
      <c r="M67" s="301" t="s">
        <v>2134</v>
      </c>
      <c r="N67" s="301" t="s">
        <v>2133</v>
      </c>
      <c r="O67" s="301" t="s">
        <v>2240</v>
      </c>
      <c r="P67" s="302" t="s">
        <v>2133</v>
      </c>
      <c r="Q67" s="302" t="s">
        <v>2129</v>
      </c>
      <c r="R67" s="303"/>
      <c r="S67" s="304" t="s">
        <v>2136</v>
      </c>
      <c r="T67" s="2720"/>
      <c r="U67" s="523" t="s">
        <v>2267</v>
      </c>
      <c r="V67" s="523" t="s">
        <v>2261</v>
      </c>
      <c r="W67" s="524">
        <v>18</v>
      </c>
      <c r="X67" s="307">
        <v>335</v>
      </c>
      <c r="Y67" s="525">
        <v>1</v>
      </c>
      <c r="Z67" s="526">
        <v>2</v>
      </c>
      <c r="AA67" s="310">
        <v>679</v>
      </c>
      <c r="AB67" s="311">
        <v>0.66962524654832345</v>
      </c>
      <c r="AC67" s="486" t="s">
        <v>2172</v>
      </c>
      <c r="AD67" s="487" t="s">
        <v>2134</v>
      </c>
      <c r="AE67" s="488">
        <v>0</v>
      </c>
      <c r="AF67" s="315">
        <v>0</v>
      </c>
      <c r="AG67" s="530"/>
      <c r="AH67" s="531"/>
      <c r="AI67" s="318">
        <v>1014</v>
      </c>
      <c r="AJ67" s="311">
        <v>1</v>
      </c>
      <c r="AK67" s="491" t="s">
        <v>2271</v>
      </c>
      <c r="AL67" s="492" t="s">
        <v>2140</v>
      </c>
      <c r="AM67" s="865">
        <v>46277</v>
      </c>
      <c r="AN67" s="865">
        <v>46301</v>
      </c>
      <c r="AO67" s="866">
        <v>24</v>
      </c>
      <c r="AP67" s="493"/>
      <c r="AQ67" s="493"/>
      <c r="AR67" s="493"/>
      <c r="AS67" s="493"/>
      <c r="AT67" s="493"/>
      <c r="AU67" s="493"/>
      <c r="AV67" s="493"/>
      <c r="AW67" s="494"/>
      <c r="AX67" s="463">
        <v>0</v>
      </c>
      <c r="AY67" s="464">
        <v>0</v>
      </c>
      <c r="AZ67" s="464">
        <v>0</v>
      </c>
      <c r="BA67" s="465">
        <v>279</v>
      </c>
      <c r="BB67" s="465">
        <v>279</v>
      </c>
      <c r="BC67" s="465">
        <v>279</v>
      </c>
      <c r="BD67" s="466">
        <v>279</v>
      </c>
      <c r="BE67" s="467">
        <v>279</v>
      </c>
      <c r="BF67" s="468">
        <v>279</v>
      </c>
      <c r="BG67" s="465">
        <v>279</v>
      </c>
      <c r="BH67" s="465">
        <v>297</v>
      </c>
      <c r="BI67" s="465">
        <v>335</v>
      </c>
      <c r="BJ67" s="465">
        <v>335</v>
      </c>
      <c r="BK67" s="465">
        <v>335</v>
      </c>
      <c r="BL67" s="465">
        <v>335</v>
      </c>
      <c r="BM67" s="465">
        <v>335</v>
      </c>
      <c r="BN67" s="465">
        <v>335</v>
      </c>
      <c r="BO67" s="465">
        <v>335</v>
      </c>
      <c r="BP67" s="465">
        <v>317</v>
      </c>
      <c r="BQ67" s="465">
        <v>317</v>
      </c>
      <c r="BR67" s="465">
        <v>279</v>
      </c>
      <c r="BS67" s="466">
        <v>279</v>
      </c>
      <c r="BT67" s="467">
        <v>279</v>
      </c>
      <c r="BU67" s="468">
        <v>279</v>
      </c>
      <c r="BV67" s="469">
        <v>0</v>
      </c>
      <c r="BW67" s="498"/>
      <c r="BX67" s="499"/>
      <c r="BY67" s="290"/>
      <c r="BZ67" s="332"/>
      <c r="CA67" s="333"/>
    </row>
    <row r="68" spans="1:79" s="521" customFormat="1" ht="46" customHeight="1" thickTop="1" thickBot="1">
      <c r="A68" s="294"/>
      <c r="B68" s="295"/>
      <c r="C68" s="296"/>
      <c r="D68" s="297" t="s">
        <v>2129</v>
      </c>
      <c r="E68" s="298"/>
      <c r="F68" s="299">
        <v>0</v>
      </c>
      <c r="G68" s="299">
        <v>0</v>
      </c>
      <c r="H68" s="300">
        <v>0</v>
      </c>
      <c r="I68" s="301">
        <v>0</v>
      </c>
      <c r="J68" s="301" t="s">
        <v>2265</v>
      </c>
      <c r="K68" s="300">
        <v>0</v>
      </c>
      <c r="L68" s="301">
        <v>0</v>
      </c>
      <c r="M68" s="301">
        <v>0</v>
      </c>
      <c r="N68" s="301">
        <v>0</v>
      </c>
      <c r="O68" s="301">
        <v>0</v>
      </c>
      <c r="P68" s="302" t="s">
        <v>2129</v>
      </c>
      <c r="Q68" s="302" t="s">
        <v>2129</v>
      </c>
      <c r="R68" s="303"/>
      <c r="S68" s="304"/>
      <c r="T68" s="304"/>
      <c r="U68" s="305" t="s">
        <v>2268</v>
      </c>
      <c r="V68" s="305" t="s">
        <v>2269</v>
      </c>
      <c r="W68" s="306">
        <v>38</v>
      </c>
      <c r="X68" s="307"/>
      <c r="Y68" s="308">
        <v>14</v>
      </c>
      <c r="Z68" s="309">
        <v>25</v>
      </c>
      <c r="AA68" s="310"/>
      <c r="AB68" s="311"/>
      <c r="AC68" s="312" t="s">
        <v>2134</v>
      </c>
      <c r="AD68" s="313" t="s">
        <v>2134</v>
      </c>
      <c r="AE68" s="314">
        <v>0</v>
      </c>
      <c r="AF68" s="315"/>
      <c r="AG68" s="316"/>
      <c r="AH68" s="317"/>
      <c r="AI68" s="318"/>
      <c r="AJ68" s="311"/>
      <c r="AK68" s="319"/>
      <c r="AL68" s="320" t="s">
        <v>2143</v>
      </c>
      <c r="AM68" s="277" t="s">
        <v>2129</v>
      </c>
      <c r="AN68" s="277" t="s">
        <v>2129</v>
      </c>
      <c r="AO68" s="278" t="s">
        <v>2129</v>
      </c>
      <c r="AP68" s="321"/>
      <c r="AQ68" s="321"/>
      <c r="AR68" s="321"/>
      <c r="AS68" s="321"/>
      <c r="AT68" s="321"/>
      <c r="AU68" s="321"/>
      <c r="AV68" s="321"/>
      <c r="AW68" s="321"/>
      <c r="AX68" s="336"/>
      <c r="AY68" s="336"/>
      <c r="AZ68" s="336"/>
      <c r="BA68" s="336"/>
      <c r="BB68" s="336"/>
      <c r="BC68" s="336"/>
      <c r="BD68" s="337"/>
      <c r="BE68" s="338"/>
      <c r="BF68" s="632"/>
      <c r="BG68" s="336"/>
      <c r="BH68" s="336"/>
      <c r="BI68" s="336"/>
      <c r="BJ68" s="336"/>
      <c r="BK68" s="336"/>
      <c r="BL68" s="336"/>
      <c r="BM68" s="336"/>
      <c r="BN68" s="336"/>
      <c r="BO68" s="336"/>
      <c r="BP68" s="336"/>
      <c r="BQ68" s="336"/>
      <c r="BR68" s="336"/>
      <c r="BS68" s="337"/>
      <c r="BT68" s="338"/>
      <c r="BU68" s="339"/>
      <c r="BV68" s="336"/>
      <c r="BW68" s="321"/>
      <c r="BX68" s="507"/>
      <c r="BY68" s="290"/>
      <c r="BZ68" s="332"/>
      <c r="CA68" s="333"/>
    </row>
    <row r="69" spans="1:79" ht="46" customHeight="1" thickBot="1">
      <c r="A69" s="294"/>
      <c r="B69" s="295"/>
      <c r="C69" s="420"/>
      <c r="D69" s="421" t="s">
        <v>2129</v>
      </c>
      <c r="E69" s="422"/>
      <c r="F69" s="423">
        <v>0</v>
      </c>
      <c r="G69" s="423">
        <v>0</v>
      </c>
      <c r="H69" s="424">
        <v>0</v>
      </c>
      <c r="I69" s="425">
        <v>0</v>
      </c>
      <c r="J69" s="425">
        <v>0</v>
      </c>
      <c r="K69" s="424">
        <v>0</v>
      </c>
      <c r="L69" s="425">
        <v>0</v>
      </c>
      <c r="M69" s="425">
        <v>0</v>
      </c>
      <c r="N69" s="425">
        <v>0</v>
      </c>
      <c r="O69" s="425">
        <v>0</v>
      </c>
      <c r="P69" s="426" t="s">
        <v>2129</v>
      </c>
      <c r="Q69" s="426" t="s">
        <v>2129</v>
      </c>
      <c r="R69" s="427"/>
      <c r="S69" s="428"/>
      <c r="T69" s="428"/>
      <c r="U69" s="473" t="s">
        <v>2272</v>
      </c>
      <c r="V69" s="473" t="s">
        <v>2138</v>
      </c>
      <c r="W69" s="474">
        <v>279</v>
      </c>
      <c r="X69" s="431"/>
      <c r="Y69" s="475">
        <v>41</v>
      </c>
      <c r="Z69" s="476">
        <v>45</v>
      </c>
      <c r="AA69" s="434"/>
      <c r="AB69" s="435"/>
      <c r="AC69" s="436" t="s">
        <v>2134</v>
      </c>
      <c r="AD69" s="437" t="s">
        <v>2134</v>
      </c>
      <c r="AE69" s="438">
        <v>0</v>
      </c>
      <c r="AF69" s="439"/>
      <c r="AG69" s="480"/>
      <c r="AH69" s="481"/>
      <c r="AI69" s="442"/>
      <c r="AJ69" s="435"/>
      <c r="AK69" s="534"/>
      <c r="AL69" s="444"/>
      <c r="AM69" s="277" t="s">
        <v>2129</v>
      </c>
      <c r="AN69" s="277" t="s">
        <v>2129</v>
      </c>
      <c r="AO69" s="278" t="s">
        <v>2129</v>
      </c>
      <c r="AP69" s="445"/>
      <c r="AQ69" s="445"/>
      <c r="AR69" s="445"/>
      <c r="AS69" s="445"/>
      <c r="AT69" s="445"/>
      <c r="AU69" s="445"/>
      <c r="AV69" s="445"/>
      <c r="AW69" s="445"/>
      <c r="AX69" s="445"/>
      <c r="AY69" s="445"/>
      <c r="AZ69" s="445"/>
      <c r="BA69" s="445"/>
      <c r="BB69" s="445"/>
      <c r="BC69" s="445"/>
      <c r="BD69" s="446"/>
      <c r="BE69" s="447"/>
      <c r="BF69" s="339"/>
      <c r="BG69" s="336"/>
      <c r="BH69" s="336"/>
      <c r="BI69" s="336"/>
      <c r="BJ69" s="336"/>
      <c r="BK69" s="336"/>
      <c r="BL69" s="336"/>
      <c r="BM69" s="336"/>
      <c r="BN69" s="336"/>
      <c r="BO69" s="336"/>
      <c r="BP69" s="336"/>
      <c r="BQ69" s="336"/>
      <c r="BR69" s="336"/>
      <c r="BS69" s="337"/>
      <c r="BT69" s="338"/>
      <c r="BU69" s="339"/>
      <c r="BV69" s="336"/>
      <c r="BW69" s="445"/>
      <c r="BX69" s="449"/>
      <c r="BY69" s="290"/>
      <c r="BZ69" s="450"/>
      <c r="CA69" s="451"/>
    </row>
    <row r="70" spans="1:79" ht="46" customHeight="1" thickTop="1" thickBot="1">
      <c r="A70" s="294"/>
      <c r="B70" s="295"/>
      <c r="C70" s="372">
        <v>21</v>
      </c>
      <c r="D70" s="871">
        <v>298</v>
      </c>
      <c r="E70" s="373" t="s">
        <v>2273</v>
      </c>
      <c r="F70" s="876">
        <v>319</v>
      </c>
      <c r="G70" s="374">
        <v>427</v>
      </c>
      <c r="H70" s="375">
        <v>1</v>
      </c>
      <c r="I70" s="376" t="s">
        <v>2167</v>
      </c>
      <c r="J70" s="376" t="s">
        <v>2132</v>
      </c>
      <c r="K70" s="375">
        <v>140</v>
      </c>
      <c r="L70" s="376" t="s">
        <v>2133</v>
      </c>
      <c r="M70" s="376" t="s">
        <v>2134</v>
      </c>
      <c r="N70" s="376" t="s">
        <v>2134</v>
      </c>
      <c r="O70" s="376" t="s">
        <v>2274</v>
      </c>
      <c r="P70" s="377" t="s">
        <v>2133</v>
      </c>
      <c r="Q70" s="377" t="s">
        <v>2133</v>
      </c>
      <c r="R70" s="378" t="s">
        <v>2161</v>
      </c>
      <c r="S70" s="379" t="s">
        <v>2136</v>
      </c>
      <c r="T70" s="379" t="s">
        <v>2136</v>
      </c>
      <c r="U70" s="535" t="s">
        <v>2275</v>
      </c>
      <c r="V70" s="535" t="s">
        <v>2261</v>
      </c>
      <c r="W70" s="536">
        <v>369</v>
      </c>
      <c r="X70" s="454">
        <v>369</v>
      </c>
      <c r="Y70" s="537">
        <v>1</v>
      </c>
      <c r="Z70" s="538">
        <v>2</v>
      </c>
      <c r="AA70" s="457">
        <v>58</v>
      </c>
      <c r="AB70" s="394">
        <v>0.13583138173302109</v>
      </c>
      <c r="AC70" s="539" t="s">
        <v>2276</v>
      </c>
      <c r="AD70" s="540" t="s">
        <v>2261</v>
      </c>
      <c r="AE70" s="541">
        <v>300</v>
      </c>
      <c r="AF70" s="390">
        <v>300</v>
      </c>
      <c r="AG70" s="542">
        <v>1</v>
      </c>
      <c r="AH70" s="543">
        <v>2</v>
      </c>
      <c r="AI70" s="318">
        <v>127</v>
      </c>
      <c r="AJ70" s="394">
        <v>0.29742388758782201</v>
      </c>
      <c r="AK70" s="515" t="s">
        <v>2277</v>
      </c>
      <c r="AL70" s="396" t="s">
        <v>2140</v>
      </c>
      <c r="AM70" s="865">
        <v>46285</v>
      </c>
      <c r="AN70" s="865">
        <v>46301</v>
      </c>
      <c r="AO70" s="866">
        <v>16</v>
      </c>
      <c r="AP70" s="397"/>
      <c r="AQ70" s="397"/>
      <c r="AR70" s="397"/>
      <c r="AS70" s="397"/>
      <c r="AT70" s="397"/>
      <c r="AU70" s="397"/>
      <c r="AV70" s="397"/>
      <c r="AW70" s="397"/>
      <c r="AX70" s="397"/>
      <c r="AY70" s="397"/>
      <c r="AZ70" s="397"/>
      <c r="BA70" s="397"/>
      <c r="BB70" s="397"/>
      <c r="BC70" s="397"/>
      <c r="BD70" s="398"/>
      <c r="BE70" s="633"/>
      <c r="BF70" s="495">
        <v>0</v>
      </c>
      <c r="BG70" s="282">
        <v>0</v>
      </c>
      <c r="BH70" s="282">
        <v>0</v>
      </c>
      <c r="BI70" s="286">
        <v>369</v>
      </c>
      <c r="BJ70" s="286">
        <v>369</v>
      </c>
      <c r="BK70" s="286">
        <v>369</v>
      </c>
      <c r="BL70" s="286">
        <v>369</v>
      </c>
      <c r="BM70" s="286">
        <v>369</v>
      </c>
      <c r="BN70" s="286">
        <v>369</v>
      </c>
      <c r="BO70" s="286">
        <v>369</v>
      </c>
      <c r="BP70" s="286">
        <v>369</v>
      </c>
      <c r="BQ70" s="286">
        <v>369</v>
      </c>
      <c r="BR70" s="286">
        <v>369</v>
      </c>
      <c r="BS70" s="283">
        <v>369</v>
      </c>
      <c r="BT70" s="284">
        <v>369</v>
      </c>
      <c r="BU70" s="285">
        <v>369</v>
      </c>
      <c r="BV70" s="402">
        <v>0</v>
      </c>
      <c r="BW70" s="470"/>
      <c r="BX70" s="472"/>
      <c r="BY70" s="290"/>
      <c r="BZ70" s="404"/>
      <c r="CA70" s="405"/>
    </row>
    <row r="71" spans="1:79" ht="46" customHeight="1" thickBot="1">
      <c r="A71" s="294"/>
      <c r="B71" s="295"/>
      <c r="C71" s="420"/>
      <c r="D71" s="421" t="s">
        <v>2129</v>
      </c>
      <c r="E71" s="422"/>
      <c r="F71" s="423">
        <v>0</v>
      </c>
      <c r="G71" s="423">
        <v>0</v>
      </c>
      <c r="H71" s="424">
        <v>0</v>
      </c>
      <c r="I71" s="425">
        <v>0</v>
      </c>
      <c r="J71" s="425">
        <v>0</v>
      </c>
      <c r="K71" s="424">
        <v>0</v>
      </c>
      <c r="L71" s="425">
        <v>0</v>
      </c>
      <c r="M71" s="425">
        <v>0</v>
      </c>
      <c r="N71" s="425">
        <v>0</v>
      </c>
      <c r="O71" s="425">
        <v>0</v>
      </c>
      <c r="P71" s="426" t="s">
        <v>2129</v>
      </c>
      <c r="Q71" s="426" t="s">
        <v>2129</v>
      </c>
      <c r="R71" s="427"/>
      <c r="S71" s="428"/>
      <c r="T71" s="428"/>
      <c r="U71" s="473"/>
      <c r="V71" s="473"/>
      <c r="W71" s="474"/>
      <c r="X71" s="431"/>
      <c r="Y71" s="475"/>
      <c r="Z71" s="476"/>
      <c r="AA71" s="434"/>
      <c r="AB71" s="435"/>
      <c r="AC71" s="477"/>
      <c r="AD71" s="478"/>
      <c r="AE71" s="479"/>
      <c r="AF71" s="439"/>
      <c r="AG71" s="480"/>
      <c r="AH71" s="481"/>
      <c r="AI71" s="442"/>
      <c r="AJ71" s="435"/>
      <c r="AK71" s="517"/>
      <c r="AL71" s="518" t="s">
        <v>2143</v>
      </c>
      <c r="AM71" s="277">
        <v>46285</v>
      </c>
      <c r="AN71" s="277">
        <v>46301</v>
      </c>
      <c r="AO71" s="278">
        <v>16</v>
      </c>
      <c r="AP71" s="506"/>
      <c r="AQ71" s="506"/>
      <c r="AR71" s="506"/>
      <c r="AS71" s="506"/>
      <c r="AT71" s="506"/>
      <c r="AU71" s="506"/>
      <c r="AV71" s="506"/>
      <c r="AW71" s="506"/>
      <c r="AX71" s="506"/>
      <c r="AY71" s="506"/>
      <c r="AZ71" s="321"/>
      <c r="BA71" s="321"/>
      <c r="BB71" s="321"/>
      <c r="BC71" s="321"/>
      <c r="BD71" s="322"/>
      <c r="BE71" s="634"/>
      <c r="BF71" s="500">
        <v>0</v>
      </c>
      <c r="BG71" s="501">
        <v>0</v>
      </c>
      <c r="BH71" s="501">
        <v>0</v>
      </c>
      <c r="BI71" s="321">
        <v>300</v>
      </c>
      <c r="BJ71" s="321">
        <v>300</v>
      </c>
      <c r="BK71" s="321">
        <v>300</v>
      </c>
      <c r="BL71" s="321">
        <v>300</v>
      </c>
      <c r="BM71" s="321">
        <v>300</v>
      </c>
      <c r="BN71" s="321">
        <v>300</v>
      </c>
      <c r="BO71" s="321">
        <v>300</v>
      </c>
      <c r="BP71" s="321">
        <v>300</v>
      </c>
      <c r="BQ71" s="321">
        <v>300</v>
      </c>
      <c r="BR71" s="321">
        <v>300</v>
      </c>
      <c r="BS71" s="322">
        <v>300</v>
      </c>
      <c r="BT71" s="326">
        <v>300</v>
      </c>
      <c r="BU71" s="327">
        <v>300</v>
      </c>
      <c r="BV71" s="419">
        <v>0</v>
      </c>
      <c r="BW71" s="613"/>
      <c r="BX71" s="520"/>
      <c r="BY71" s="290"/>
      <c r="BZ71" s="450"/>
      <c r="CA71" s="451"/>
    </row>
    <row r="72" spans="1:79" ht="46" customHeight="1" thickTop="1" thickBot="1">
      <c r="A72" s="294"/>
      <c r="B72" s="295"/>
      <c r="C72" s="296">
        <v>22</v>
      </c>
      <c r="D72" s="870">
        <v>304</v>
      </c>
      <c r="E72" s="298" t="s">
        <v>2278</v>
      </c>
      <c r="F72" s="875">
        <v>180</v>
      </c>
      <c r="G72" s="299">
        <v>246</v>
      </c>
      <c r="H72" s="300">
        <v>3</v>
      </c>
      <c r="I72" s="301" t="s">
        <v>2167</v>
      </c>
      <c r="J72" s="301" t="s">
        <v>2132</v>
      </c>
      <c r="K72" s="300">
        <v>80</v>
      </c>
      <c r="L72" s="301" t="s">
        <v>2134</v>
      </c>
      <c r="M72" s="301" t="s">
        <v>2206</v>
      </c>
      <c r="N72" s="301" t="s">
        <v>2133</v>
      </c>
      <c r="O72" s="301" t="s">
        <v>2279</v>
      </c>
      <c r="P72" s="302" t="s">
        <v>2133</v>
      </c>
      <c r="Q72" s="302" t="s">
        <v>2129</v>
      </c>
      <c r="R72" s="303" t="s">
        <v>2161</v>
      </c>
      <c r="S72" s="304" t="s">
        <v>2136</v>
      </c>
      <c r="T72" s="2720"/>
      <c r="U72" s="482" t="s">
        <v>2157</v>
      </c>
      <c r="V72" s="482" t="s">
        <v>2158</v>
      </c>
      <c r="W72" s="483">
        <v>204</v>
      </c>
      <c r="X72" s="307">
        <v>204</v>
      </c>
      <c r="Y72" s="484">
        <v>48</v>
      </c>
      <c r="Z72" s="485">
        <v>50</v>
      </c>
      <c r="AA72" s="310">
        <v>42</v>
      </c>
      <c r="AB72" s="311">
        <v>0.17073170731707318</v>
      </c>
      <c r="AC72" s="486" t="s">
        <v>2134</v>
      </c>
      <c r="AD72" s="487" t="s">
        <v>2134</v>
      </c>
      <c r="AE72" s="488">
        <v>0</v>
      </c>
      <c r="AF72" s="315">
        <v>0</v>
      </c>
      <c r="AG72" s="489"/>
      <c r="AH72" s="635"/>
      <c r="AI72" s="318">
        <v>246</v>
      </c>
      <c r="AJ72" s="311">
        <v>1</v>
      </c>
      <c r="AK72" s="491" t="s">
        <v>2280</v>
      </c>
      <c r="AL72" s="492" t="s">
        <v>2140</v>
      </c>
      <c r="AM72" s="865">
        <v>46279</v>
      </c>
      <c r="AN72" s="865">
        <v>46298</v>
      </c>
      <c r="AO72" s="866">
        <v>19</v>
      </c>
      <c r="AP72" s="493"/>
      <c r="AQ72" s="493"/>
      <c r="AR72" s="493"/>
      <c r="AS72" s="493"/>
      <c r="AT72" s="493"/>
      <c r="AU72" s="493"/>
      <c r="AV72" s="493"/>
      <c r="AW72" s="493"/>
      <c r="AX72" s="493"/>
      <c r="AY72" s="494"/>
      <c r="AZ72" s="463">
        <v>0</v>
      </c>
      <c r="BA72" s="464">
        <v>0</v>
      </c>
      <c r="BB72" s="464">
        <v>0</v>
      </c>
      <c r="BC72" s="465">
        <v>204</v>
      </c>
      <c r="BD72" s="466">
        <v>204</v>
      </c>
      <c r="BE72" s="467">
        <v>204</v>
      </c>
      <c r="BF72" s="468">
        <v>204</v>
      </c>
      <c r="BG72" s="465">
        <v>204</v>
      </c>
      <c r="BH72" s="465">
        <v>204</v>
      </c>
      <c r="BI72" s="465">
        <v>204</v>
      </c>
      <c r="BJ72" s="465">
        <v>204</v>
      </c>
      <c r="BK72" s="465">
        <v>204</v>
      </c>
      <c r="BL72" s="465">
        <v>204</v>
      </c>
      <c r="BM72" s="465">
        <v>204</v>
      </c>
      <c r="BN72" s="465">
        <v>204</v>
      </c>
      <c r="BO72" s="465">
        <v>204</v>
      </c>
      <c r="BP72" s="465">
        <v>204</v>
      </c>
      <c r="BQ72" s="465">
        <v>204</v>
      </c>
      <c r="BR72" s="465">
        <v>204</v>
      </c>
      <c r="BS72" s="469">
        <v>0</v>
      </c>
      <c r="BT72" s="636"/>
      <c r="BU72" s="498"/>
      <c r="BV72" s="493"/>
      <c r="BW72" s="493"/>
      <c r="BX72" s="499"/>
      <c r="BY72" s="290"/>
      <c r="BZ72" s="332"/>
      <c r="CA72" s="333"/>
    </row>
    <row r="73" spans="1:79" ht="46" customHeight="1" thickTop="1" thickBot="1">
      <c r="A73" s="576"/>
      <c r="B73" s="342"/>
      <c r="C73" s="343"/>
      <c r="D73" s="344" t="s">
        <v>2129</v>
      </c>
      <c r="E73" s="345"/>
      <c r="F73" s="346">
        <v>0</v>
      </c>
      <c r="G73" s="346">
        <v>0</v>
      </c>
      <c r="H73" s="347">
        <v>0</v>
      </c>
      <c r="I73" s="348">
        <v>0</v>
      </c>
      <c r="J73" s="348">
        <v>0</v>
      </c>
      <c r="K73" s="347">
        <v>0</v>
      </c>
      <c r="L73" s="348">
        <v>0</v>
      </c>
      <c r="M73" s="348">
        <v>0</v>
      </c>
      <c r="N73" s="348">
        <v>0</v>
      </c>
      <c r="O73" s="348">
        <v>0</v>
      </c>
      <c r="P73" s="349" t="s">
        <v>2129</v>
      </c>
      <c r="Q73" s="349" t="s">
        <v>2129</v>
      </c>
      <c r="R73" s="350"/>
      <c r="S73" s="351"/>
      <c r="T73" s="351"/>
      <c r="U73" s="578"/>
      <c r="V73" s="578"/>
      <c r="W73" s="637"/>
      <c r="X73" s="354"/>
      <c r="Y73" s="638"/>
      <c r="Z73" s="639"/>
      <c r="AA73" s="357"/>
      <c r="AB73" s="358"/>
      <c r="AC73" s="582"/>
      <c r="AD73" s="583"/>
      <c r="AE73" s="584"/>
      <c r="AF73" s="362"/>
      <c r="AG73" s="640"/>
      <c r="AH73" s="586"/>
      <c r="AI73" s="365"/>
      <c r="AJ73" s="358"/>
      <c r="AK73" s="587"/>
      <c r="AL73" s="588" t="s">
        <v>2143</v>
      </c>
      <c r="AM73" s="277" t="s">
        <v>2129</v>
      </c>
      <c r="AN73" s="277" t="s">
        <v>2129</v>
      </c>
      <c r="AO73" s="278" t="s">
        <v>2129</v>
      </c>
      <c r="AP73" s="589"/>
      <c r="AQ73" s="589"/>
      <c r="AR73" s="589"/>
      <c r="AS73" s="589"/>
      <c r="AT73" s="589"/>
      <c r="AU73" s="589"/>
      <c r="AV73" s="589"/>
      <c r="AW73" s="589"/>
      <c r="AX73" s="321"/>
      <c r="AY73" s="321"/>
      <c r="AZ73" s="336"/>
      <c r="BA73" s="336"/>
      <c r="BB73" s="336"/>
      <c r="BC73" s="336"/>
      <c r="BD73" s="337"/>
      <c r="BE73" s="338"/>
      <c r="BF73" s="632"/>
      <c r="BG73" s="336"/>
      <c r="BH73" s="336"/>
      <c r="BI73" s="336"/>
      <c r="BJ73" s="336"/>
      <c r="BK73" s="336"/>
      <c r="BL73" s="336"/>
      <c r="BM73" s="336"/>
      <c r="BN73" s="336"/>
      <c r="BO73" s="336"/>
      <c r="BP73" s="336"/>
      <c r="BQ73" s="336"/>
      <c r="BR73" s="336"/>
      <c r="BS73" s="337"/>
      <c r="BT73" s="502"/>
      <c r="BU73" s="503"/>
      <c r="BV73" s="321"/>
      <c r="BW73" s="589"/>
      <c r="BX73" s="590"/>
      <c r="BY73" s="290"/>
      <c r="BZ73" s="370"/>
      <c r="CA73" s="371"/>
    </row>
    <row r="74" spans="1:79" ht="46" customHeight="1" thickTop="1" thickBot="1">
      <c r="A74" s="641" t="s">
        <v>2281</v>
      </c>
      <c r="B74" s="295" t="s">
        <v>2282</v>
      </c>
      <c r="C74" s="296">
        <v>23</v>
      </c>
      <c r="D74" s="870">
        <v>1036</v>
      </c>
      <c r="E74" s="298" t="s">
        <v>2283</v>
      </c>
      <c r="F74" s="875">
        <v>165</v>
      </c>
      <c r="G74" s="299" t="s">
        <v>2131</v>
      </c>
      <c r="H74" s="300" t="s">
        <v>2131</v>
      </c>
      <c r="I74" s="301" t="s">
        <v>2167</v>
      </c>
      <c r="J74" s="301" t="s">
        <v>2131</v>
      </c>
      <c r="K74" s="300" t="s">
        <v>2131</v>
      </c>
      <c r="L74" s="301" t="s">
        <v>2131</v>
      </c>
      <c r="M74" s="301" t="s">
        <v>2131</v>
      </c>
      <c r="N74" s="301" t="s">
        <v>2131</v>
      </c>
      <c r="O74" s="301" t="s">
        <v>2131</v>
      </c>
      <c r="P74" s="302" t="s">
        <v>2133</v>
      </c>
      <c r="Q74" s="302" t="s">
        <v>2133</v>
      </c>
      <c r="R74" s="303"/>
      <c r="S74" s="304" t="s">
        <v>2136</v>
      </c>
      <c r="T74" s="304" t="s">
        <v>2136</v>
      </c>
      <c r="U74" s="523" t="s">
        <v>2284</v>
      </c>
      <c r="V74" s="523" t="s">
        <v>2282</v>
      </c>
      <c r="W74" s="524">
        <v>81</v>
      </c>
      <c r="X74" s="307">
        <v>141</v>
      </c>
      <c r="Y74" s="525">
        <v>6</v>
      </c>
      <c r="Z74" s="526">
        <v>9</v>
      </c>
      <c r="AA74" s="642" t="e">
        <v>#VALUE!</v>
      </c>
      <c r="AB74" s="311" t="e">
        <v>#VALUE!</v>
      </c>
      <c r="AC74" s="527" t="s">
        <v>2284</v>
      </c>
      <c r="AD74" s="528" t="s">
        <v>2282</v>
      </c>
      <c r="AE74" s="529">
        <v>60</v>
      </c>
      <c r="AF74" s="315">
        <v>105</v>
      </c>
      <c r="AG74" s="530">
        <v>6</v>
      </c>
      <c r="AH74" s="547">
        <v>9</v>
      </c>
      <c r="AI74" s="318" t="e">
        <v>#VALUE!</v>
      </c>
      <c r="AJ74" s="311" t="e">
        <v>#VALUE!</v>
      </c>
      <c r="AK74" s="491" t="s">
        <v>2285</v>
      </c>
      <c r="AL74" s="492" t="s">
        <v>2140</v>
      </c>
      <c r="AM74" s="865">
        <v>46277</v>
      </c>
      <c r="AN74" s="865">
        <v>46301</v>
      </c>
      <c r="AO74" s="866">
        <v>24</v>
      </c>
      <c r="AP74" s="493"/>
      <c r="AQ74" s="493"/>
      <c r="AR74" s="493"/>
      <c r="AS74" s="493"/>
      <c r="AT74" s="493"/>
      <c r="AU74" s="493"/>
      <c r="AV74" s="493"/>
      <c r="AW74" s="494"/>
      <c r="AX74" s="495">
        <v>0</v>
      </c>
      <c r="AY74" s="282">
        <v>0</v>
      </c>
      <c r="AZ74" s="282">
        <v>0</v>
      </c>
      <c r="BA74" s="286">
        <v>141</v>
      </c>
      <c r="BB74" s="286">
        <v>141</v>
      </c>
      <c r="BC74" s="286">
        <v>141</v>
      </c>
      <c r="BD74" s="283">
        <v>141</v>
      </c>
      <c r="BE74" s="284">
        <v>141</v>
      </c>
      <c r="BF74" s="285">
        <v>141</v>
      </c>
      <c r="BG74" s="286">
        <v>141</v>
      </c>
      <c r="BH74" s="286">
        <v>141</v>
      </c>
      <c r="BI74" s="286">
        <v>141</v>
      </c>
      <c r="BJ74" s="286">
        <v>141</v>
      </c>
      <c r="BK74" s="286">
        <v>141</v>
      </c>
      <c r="BL74" s="286">
        <v>141</v>
      </c>
      <c r="BM74" s="286">
        <v>141</v>
      </c>
      <c r="BN74" s="286">
        <v>141</v>
      </c>
      <c r="BO74" s="286">
        <v>141</v>
      </c>
      <c r="BP74" s="286">
        <v>141</v>
      </c>
      <c r="BQ74" s="286">
        <v>141</v>
      </c>
      <c r="BR74" s="286">
        <v>141</v>
      </c>
      <c r="BS74" s="283">
        <v>141</v>
      </c>
      <c r="BT74" s="284">
        <v>141</v>
      </c>
      <c r="BU74" s="285">
        <v>141</v>
      </c>
      <c r="BV74" s="402">
        <v>0</v>
      </c>
      <c r="BW74" s="498"/>
      <c r="BX74" s="499"/>
      <c r="BY74" s="290"/>
      <c r="BZ74" s="332"/>
      <c r="CA74" s="333"/>
    </row>
    <row r="75" spans="1:79" s="521" customFormat="1" ht="46" customHeight="1" thickBot="1">
      <c r="A75" s="294"/>
      <c r="B75" s="567"/>
      <c r="C75" s="296"/>
      <c r="D75" s="297" t="s">
        <v>2129</v>
      </c>
      <c r="E75" s="298"/>
      <c r="F75" s="299">
        <v>0</v>
      </c>
      <c r="G75" s="299">
        <v>0</v>
      </c>
      <c r="H75" s="300">
        <v>0</v>
      </c>
      <c r="I75" s="301">
        <v>0</v>
      </c>
      <c r="J75" s="301">
        <v>0</v>
      </c>
      <c r="K75" s="300">
        <v>0</v>
      </c>
      <c r="L75" s="301">
        <v>0</v>
      </c>
      <c r="M75" s="301">
        <v>0</v>
      </c>
      <c r="N75" s="301">
        <v>0</v>
      </c>
      <c r="O75" s="301">
        <v>0</v>
      </c>
      <c r="P75" s="302" t="s">
        <v>2129</v>
      </c>
      <c r="Q75" s="302" t="s">
        <v>2129</v>
      </c>
      <c r="R75" s="303"/>
      <c r="S75" s="304"/>
      <c r="T75" s="304"/>
      <c r="U75" s="452" t="s">
        <v>2286</v>
      </c>
      <c r="V75" s="452" t="s">
        <v>2282</v>
      </c>
      <c r="W75" s="453">
        <v>60</v>
      </c>
      <c r="X75" s="307"/>
      <c r="Y75" s="643">
        <v>6</v>
      </c>
      <c r="Z75" s="644">
        <v>9</v>
      </c>
      <c r="AA75" s="310"/>
      <c r="AB75" s="311"/>
      <c r="AC75" s="458" t="s">
        <v>2286</v>
      </c>
      <c r="AD75" s="459" t="s">
        <v>2282</v>
      </c>
      <c r="AE75" s="460">
        <v>45</v>
      </c>
      <c r="AF75" s="315"/>
      <c r="AG75" s="645">
        <v>6</v>
      </c>
      <c r="AH75" s="547">
        <v>9</v>
      </c>
      <c r="AI75" s="442"/>
      <c r="AJ75" s="311"/>
      <c r="AK75" s="319"/>
      <c r="AL75" s="320" t="s">
        <v>2143</v>
      </c>
      <c r="AM75" s="277">
        <v>46277</v>
      </c>
      <c r="AN75" s="277">
        <v>46301</v>
      </c>
      <c r="AO75" s="278">
        <v>24</v>
      </c>
      <c r="AP75" s="321"/>
      <c r="AQ75" s="321"/>
      <c r="AR75" s="321"/>
      <c r="AS75" s="321"/>
      <c r="AT75" s="321"/>
      <c r="AU75" s="321"/>
      <c r="AV75" s="321"/>
      <c r="AW75" s="322"/>
      <c r="AX75" s="417">
        <v>0</v>
      </c>
      <c r="AY75" s="418">
        <v>0</v>
      </c>
      <c r="AZ75" s="418">
        <v>0</v>
      </c>
      <c r="BA75" s="328">
        <v>105</v>
      </c>
      <c r="BB75" s="328">
        <v>105</v>
      </c>
      <c r="BC75" s="328">
        <v>105</v>
      </c>
      <c r="BD75" s="325">
        <v>105</v>
      </c>
      <c r="BE75" s="326">
        <v>105</v>
      </c>
      <c r="BF75" s="327">
        <v>105</v>
      </c>
      <c r="BG75" s="328">
        <v>105</v>
      </c>
      <c r="BH75" s="328">
        <v>105</v>
      </c>
      <c r="BI75" s="328">
        <v>105</v>
      </c>
      <c r="BJ75" s="328">
        <v>105</v>
      </c>
      <c r="BK75" s="328">
        <v>105</v>
      </c>
      <c r="BL75" s="328">
        <v>105</v>
      </c>
      <c r="BM75" s="328">
        <v>105</v>
      </c>
      <c r="BN75" s="328">
        <v>105</v>
      </c>
      <c r="BO75" s="328">
        <v>105</v>
      </c>
      <c r="BP75" s="328">
        <v>105</v>
      </c>
      <c r="BQ75" s="328">
        <v>105</v>
      </c>
      <c r="BR75" s="328">
        <v>105</v>
      </c>
      <c r="BS75" s="325">
        <v>105</v>
      </c>
      <c r="BT75" s="326">
        <v>105</v>
      </c>
      <c r="BU75" s="327">
        <v>105</v>
      </c>
      <c r="BV75" s="419">
        <v>0</v>
      </c>
      <c r="BW75" s="503"/>
      <c r="BX75" s="507"/>
      <c r="BY75" s="290"/>
      <c r="BZ75" s="332"/>
      <c r="CA75" s="333"/>
    </row>
    <row r="76" spans="1:79" ht="46" customHeight="1" thickTop="1" thickBot="1">
      <c r="A76" s="294"/>
      <c r="B76" s="295" t="s">
        <v>2158</v>
      </c>
      <c r="C76" s="372">
        <v>24</v>
      </c>
      <c r="D76" s="871">
        <v>221</v>
      </c>
      <c r="E76" s="572" t="s">
        <v>2287</v>
      </c>
      <c r="F76" s="876">
        <v>108</v>
      </c>
      <c r="G76" s="374">
        <v>162</v>
      </c>
      <c r="H76" s="375">
        <v>11</v>
      </c>
      <c r="I76" s="376" t="s">
        <v>2167</v>
      </c>
      <c r="J76" s="376" t="s">
        <v>2132</v>
      </c>
      <c r="K76" s="375">
        <v>40</v>
      </c>
      <c r="L76" s="376" t="s">
        <v>2134</v>
      </c>
      <c r="M76" s="376" t="s">
        <v>2133</v>
      </c>
      <c r="N76" s="376" t="s">
        <v>2133</v>
      </c>
      <c r="O76" s="376" t="s">
        <v>2288</v>
      </c>
      <c r="P76" s="377" t="s">
        <v>2133</v>
      </c>
      <c r="Q76" s="377" t="s">
        <v>2133</v>
      </c>
      <c r="R76" s="378" t="s">
        <v>2161</v>
      </c>
      <c r="S76" s="379" t="s">
        <v>2136</v>
      </c>
      <c r="T76" s="379" t="s">
        <v>2136</v>
      </c>
      <c r="U76" s="535" t="s">
        <v>2289</v>
      </c>
      <c r="V76" s="535" t="s">
        <v>2256</v>
      </c>
      <c r="W76" s="536">
        <v>148</v>
      </c>
      <c r="X76" s="646">
        <v>148</v>
      </c>
      <c r="Y76" s="537">
        <v>52</v>
      </c>
      <c r="Z76" s="538">
        <v>67</v>
      </c>
      <c r="AA76" s="457">
        <v>14</v>
      </c>
      <c r="AB76" s="647">
        <v>8.6419753086419748E-2</v>
      </c>
      <c r="AC76" s="539" t="s">
        <v>2289</v>
      </c>
      <c r="AD76" s="540" t="s">
        <v>2256</v>
      </c>
      <c r="AE76" s="541">
        <v>146</v>
      </c>
      <c r="AF76" s="648">
        <v>146</v>
      </c>
      <c r="AG76" s="542">
        <v>52</v>
      </c>
      <c r="AH76" s="543">
        <v>67</v>
      </c>
      <c r="AI76" s="318">
        <v>16</v>
      </c>
      <c r="AJ76" s="647">
        <v>9.8765432098765427E-2</v>
      </c>
      <c r="AK76" s="515" t="s">
        <v>2290</v>
      </c>
      <c r="AL76" s="396" t="s">
        <v>2140</v>
      </c>
      <c r="AM76" s="865">
        <v>46277</v>
      </c>
      <c r="AN76" s="865">
        <v>46300</v>
      </c>
      <c r="AO76" s="866">
        <v>23</v>
      </c>
      <c r="AP76" s="397"/>
      <c r="AQ76" s="397"/>
      <c r="AR76" s="397"/>
      <c r="AS76" s="397"/>
      <c r="AT76" s="397"/>
      <c r="AU76" s="397"/>
      <c r="AV76" s="397"/>
      <c r="AW76" s="398"/>
      <c r="AX76" s="495">
        <v>0</v>
      </c>
      <c r="AY76" s="282">
        <v>0</v>
      </c>
      <c r="AZ76" s="282">
        <v>0</v>
      </c>
      <c r="BA76" s="286">
        <v>148</v>
      </c>
      <c r="BB76" s="286">
        <v>148</v>
      </c>
      <c r="BC76" s="286">
        <v>148</v>
      </c>
      <c r="BD76" s="283">
        <v>148</v>
      </c>
      <c r="BE76" s="284">
        <v>148</v>
      </c>
      <c r="BF76" s="285">
        <v>148</v>
      </c>
      <c r="BG76" s="286">
        <v>148</v>
      </c>
      <c r="BH76" s="286">
        <v>148</v>
      </c>
      <c r="BI76" s="286">
        <v>148</v>
      </c>
      <c r="BJ76" s="286">
        <v>148</v>
      </c>
      <c r="BK76" s="286">
        <v>148</v>
      </c>
      <c r="BL76" s="286">
        <v>148</v>
      </c>
      <c r="BM76" s="286">
        <v>148</v>
      </c>
      <c r="BN76" s="286">
        <v>148</v>
      </c>
      <c r="BO76" s="286">
        <v>148</v>
      </c>
      <c r="BP76" s="286">
        <v>148</v>
      </c>
      <c r="BQ76" s="286">
        <v>148</v>
      </c>
      <c r="BR76" s="286">
        <v>148</v>
      </c>
      <c r="BS76" s="283">
        <v>148</v>
      </c>
      <c r="BT76" s="284">
        <v>148</v>
      </c>
      <c r="BU76" s="649">
        <v>0</v>
      </c>
      <c r="BV76" s="498"/>
      <c r="BW76" s="397"/>
      <c r="BX76" s="472"/>
      <c r="BY76" s="573"/>
      <c r="BZ76" s="574"/>
      <c r="CA76" s="575"/>
    </row>
    <row r="77" spans="1:79" s="521" customFormat="1" ht="46" customHeight="1" thickBot="1">
      <c r="A77" s="294"/>
      <c r="B77" s="295"/>
      <c r="C77" s="420"/>
      <c r="D77" s="421" t="s">
        <v>2129</v>
      </c>
      <c r="E77" s="612"/>
      <c r="F77" s="423">
        <v>0</v>
      </c>
      <c r="G77" s="423">
        <v>0</v>
      </c>
      <c r="H77" s="424">
        <v>0</v>
      </c>
      <c r="I77" s="425">
        <v>0</v>
      </c>
      <c r="J77" s="425">
        <v>0</v>
      </c>
      <c r="K77" s="424">
        <v>0</v>
      </c>
      <c r="L77" s="425">
        <v>0</v>
      </c>
      <c r="M77" s="425">
        <v>0</v>
      </c>
      <c r="N77" s="425">
        <v>0</v>
      </c>
      <c r="O77" s="425">
        <v>0</v>
      </c>
      <c r="P77" s="426"/>
      <c r="Q77" s="426"/>
      <c r="R77" s="427"/>
      <c r="S77" s="428"/>
      <c r="T77" s="428"/>
      <c r="U77" s="473"/>
      <c r="V77" s="473"/>
      <c r="W77" s="474"/>
      <c r="X77" s="650"/>
      <c r="Y77" s="475"/>
      <c r="Z77" s="476"/>
      <c r="AA77" s="651"/>
      <c r="AB77" s="652"/>
      <c r="AC77" s="477"/>
      <c r="AD77" s="478"/>
      <c r="AE77" s="479"/>
      <c r="AF77" s="653"/>
      <c r="AG77" s="480"/>
      <c r="AH77" s="654"/>
      <c r="AI77" s="442"/>
      <c r="AJ77" s="652"/>
      <c r="AK77" s="517"/>
      <c r="AL77" s="518" t="s">
        <v>2143</v>
      </c>
      <c r="AM77" s="277">
        <v>46277</v>
      </c>
      <c r="AN77" s="277">
        <v>46300</v>
      </c>
      <c r="AO77" s="278">
        <v>23</v>
      </c>
      <c r="AP77" s="506"/>
      <c r="AQ77" s="506"/>
      <c r="AR77" s="506"/>
      <c r="AS77" s="506"/>
      <c r="AT77" s="506"/>
      <c r="AU77" s="506"/>
      <c r="AV77" s="506"/>
      <c r="AW77" s="519"/>
      <c r="AX77" s="417">
        <v>0</v>
      </c>
      <c r="AY77" s="418">
        <v>0</v>
      </c>
      <c r="AZ77" s="418">
        <v>0</v>
      </c>
      <c r="BA77" s="328">
        <v>146</v>
      </c>
      <c r="BB77" s="328">
        <v>146</v>
      </c>
      <c r="BC77" s="328">
        <v>146</v>
      </c>
      <c r="BD77" s="325">
        <v>146</v>
      </c>
      <c r="BE77" s="326">
        <v>146</v>
      </c>
      <c r="BF77" s="327">
        <v>146</v>
      </c>
      <c r="BG77" s="328">
        <v>146</v>
      </c>
      <c r="BH77" s="328">
        <v>146</v>
      </c>
      <c r="BI77" s="328">
        <v>146</v>
      </c>
      <c r="BJ77" s="328">
        <v>146</v>
      </c>
      <c r="BK77" s="328">
        <v>146</v>
      </c>
      <c r="BL77" s="328">
        <v>146</v>
      </c>
      <c r="BM77" s="328">
        <v>146</v>
      </c>
      <c r="BN77" s="328">
        <v>146</v>
      </c>
      <c r="BO77" s="328">
        <v>146</v>
      </c>
      <c r="BP77" s="328">
        <v>146</v>
      </c>
      <c r="BQ77" s="328">
        <v>146</v>
      </c>
      <c r="BR77" s="328">
        <v>146</v>
      </c>
      <c r="BS77" s="325">
        <v>146</v>
      </c>
      <c r="BT77" s="326">
        <v>146</v>
      </c>
      <c r="BU77" s="630">
        <v>0</v>
      </c>
      <c r="BV77" s="613"/>
      <c r="BW77" s="506"/>
      <c r="BX77" s="520"/>
      <c r="BY77" s="573"/>
      <c r="BZ77" s="614"/>
      <c r="CA77" s="615"/>
    </row>
    <row r="78" spans="1:79" ht="46" customHeight="1" thickTop="1" thickBot="1">
      <c r="A78" s="294"/>
      <c r="B78" s="295"/>
      <c r="C78" s="296">
        <v>25</v>
      </c>
      <c r="D78" s="870">
        <v>219</v>
      </c>
      <c r="E78" s="609" t="s">
        <v>2291</v>
      </c>
      <c r="F78" s="875">
        <v>246</v>
      </c>
      <c r="G78" s="299">
        <v>247</v>
      </c>
      <c r="H78" s="300">
        <v>0</v>
      </c>
      <c r="I78" s="301" t="s">
        <v>2245</v>
      </c>
      <c r="J78" s="301" t="s">
        <v>2229</v>
      </c>
      <c r="K78" s="300">
        <v>40</v>
      </c>
      <c r="L78" s="301" t="s">
        <v>2134</v>
      </c>
      <c r="M78" s="301" t="s">
        <v>2134</v>
      </c>
      <c r="N78" s="301" t="s">
        <v>2133</v>
      </c>
      <c r="O78" s="301" t="s">
        <v>2168</v>
      </c>
      <c r="P78" s="302" t="s">
        <v>2133</v>
      </c>
      <c r="Q78" s="302" t="s">
        <v>2133</v>
      </c>
      <c r="R78" s="303"/>
      <c r="S78" s="304" t="s">
        <v>2136</v>
      </c>
      <c r="T78" s="304" t="s">
        <v>2136</v>
      </c>
      <c r="U78" s="482" t="s">
        <v>2292</v>
      </c>
      <c r="V78" s="482" t="s">
        <v>2256</v>
      </c>
      <c r="W78" s="483">
        <v>220</v>
      </c>
      <c r="X78" s="655">
        <v>220</v>
      </c>
      <c r="Y78" s="484">
        <v>53</v>
      </c>
      <c r="Z78" s="485">
        <v>68</v>
      </c>
      <c r="AA78" s="457">
        <v>27</v>
      </c>
      <c r="AB78" s="656">
        <v>0.10931174089068826</v>
      </c>
      <c r="AC78" s="486" t="s">
        <v>2292</v>
      </c>
      <c r="AD78" s="487" t="s">
        <v>2256</v>
      </c>
      <c r="AE78" s="488">
        <v>230</v>
      </c>
      <c r="AF78" s="657">
        <v>230</v>
      </c>
      <c r="AG78" s="489">
        <v>53</v>
      </c>
      <c r="AH78" s="490">
        <v>68</v>
      </c>
      <c r="AI78" s="318">
        <v>17</v>
      </c>
      <c r="AJ78" s="656">
        <v>6.8825910931174086E-2</v>
      </c>
      <c r="AK78" s="491" t="s">
        <v>2293</v>
      </c>
      <c r="AL78" s="492" t="s">
        <v>2140</v>
      </c>
      <c r="AM78" s="865">
        <v>46277</v>
      </c>
      <c r="AN78" s="865">
        <v>46300</v>
      </c>
      <c r="AO78" s="866">
        <v>23</v>
      </c>
      <c r="AP78" s="493"/>
      <c r="AQ78" s="493"/>
      <c r="AR78" s="493"/>
      <c r="AS78" s="493"/>
      <c r="AT78" s="493"/>
      <c r="AU78" s="493"/>
      <c r="AV78" s="493"/>
      <c r="AW78" s="494"/>
      <c r="AX78" s="495">
        <v>0</v>
      </c>
      <c r="AY78" s="282">
        <v>0</v>
      </c>
      <c r="AZ78" s="282">
        <v>0</v>
      </c>
      <c r="BA78" s="286">
        <v>220</v>
      </c>
      <c r="BB78" s="286">
        <v>220</v>
      </c>
      <c r="BC78" s="286">
        <v>220</v>
      </c>
      <c r="BD78" s="283">
        <v>220</v>
      </c>
      <c r="BE78" s="284">
        <v>220</v>
      </c>
      <c r="BF78" s="285">
        <v>220</v>
      </c>
      <c r="BG78" s="286">
        <v>220</v>
      </c>
      <c r="BH78" s="286">
        <v>220</v>
      </c>
      <c r="BI78" s="286">
        <v>220</v>
      </c>
      <c r="BJ78" s="286">
        <v>220</v>
      </c>
      <c r="BK78" s="286">
        <v>220</v>
      </c>
      <c r="BL78" s="286">
        <v>220</v>
      </c>
      <c r="BM78" s="286">
        <v>220</v>
      </c>
      <c r="BN78" s="286">
        <v>220</v>
      </c>
      <c r="BO78" s="286">
        <v>220</v>
      </c>
      <c r="BP78" s="286">
        <v>220</v>
      </c>
      <c r="BQ78" s="286">
        <v>220</v>
      </c>
      <c r="BR78" s="286">
        <v>220</v>
      </c>
      <c r="BS78" s="283">
        <v>220</v>
      </c>
      <c r="BT78" s="284">
        <v>220</v>
      </c>
      <c r="BU78" s="649">
        <v>0</v>
      </c>
      <c r="BV78" s="498"/>
      <c r="BW78" s="493"/>
      <c r="BX78" s="499"/>
      <c r="BY78" s="573"/>
      <c r="BZ78" s="610"/>
      <c r="CA78" s="611"/>
    </row>
    <row r="79" spans="1:79" s="521" customFormat="1" ht="46" customHeight="1" thickBot="1">
      <c r="A79" s="294"/>
      <c r="B79" s="295"/>
      <c r="C79" s="296"/>
      <c r="D79" s="297" t="s">
        <v>2129</v>
      </c>
      <c r="E79" s="609"/>
      <c r="F79" s="299">
        <v>0</v>
      </c>
      <c r="G79" s="299">
        <v>0</v>
      </c>
      <c r="H79" s="300">
        <v>0</v>
      </c>
      <c r="I79" s="301">
        <v>0</v>
      </c>
      <c r="J79" s="301" t="s">
        <v>2294</v>
      </c>
      <c r="K79" s="300">
        <v>0</v>
      </c>
      <c r="L79" s="301">
        <v>0</v>
      </c>
      <c r="M79" s="301">
        <v>0</v>
      </c>
      <c r="N79" s="301">
        <v>0</v>
      </c>
      <c r="O79" s="301">
        <v>0</v>
      </c>
      <c r="P79" s="302"/>
      <c r="Q79" s="302"/>
      <c r="R79" s="303"/>
      <c r="S79" s="304"/>
      <c r="T79" s="304"/>
      <c r="U79" s="473"/>
      <c r="V79" s="473"/>
      <c r="W79" s="474"/>
      <c r="X79" s="655"/>
      <c r="Y79" s="475"/>
      <c r="Z79" s="476"/>
      <c r="AA79" s="658"/>
      <c r="AB79" s="656"/>
      <c r="AC79" s="486"/>
      <c r="AD79" s="487"/>
      <c r="AE79" s="488"/>
      <c r="AF79" s="657"/>
      <c r="AG79" s="480"/>
      <c r="AH79" s="654"/>
      <c r="AI79" s="442"/>
      <c r="AJ79" s="656"/>
      <c r="AK79" s="319"/>
      <c r="AL79" s="320" t="s">
        <v>2143</v>
      </c>
      <c r="AM79" s="277">
        <v>46277</v>
      </c>
      <c r="AN79" s="277">
        <v>46300</v>
      </c>
      <c r="AO79" s="278">
        <v>23</v>
      </c>
      <c r="AP79" s="321"/>
      <c r="AQ79" s="321"/>
      <c r="AR79" s="321"/>
      <c r="AS79" s="321"/>
      <c r="AT79" s="321"/>
      <c r="AU79" s="321"/>
      <c r="AV79" s="321"/>
      <c r="AW79" s="322"/>
      <c r="AX79" s="417">
        <v>0</v>
      </c>
      <c r="AY79" s="418">
        <v>0</v>
      </c>
      <c r="AZ79" s="418">
        <v>0</v>
      </c>
      <c r="BA79" s="328">
        <v>230</v>
      </c>
      <c r="BB79" s="328">
        <v>230</v>
      </c>
      <c r="BC79" s="328">
        <v>230</v>
      </c>
      <c r="BD79" s="325">
        <v>230</v>
      </c>
      <c r="BE79" s="326">
        <v>230</v>
      </c>
      <c r="BF79" s="327">
        <v>230</v>
      </c>
      <c r="BG79" s="328">
        <v>230</v>
      </c>
      <c r="BH79" s="328">
        <v>230</v>
      </c>
      <c r="BI79" s="328">
        <v>230</v>
      </c>
      <c r="BJ79" s="328">
        <v>230</v>
      </c>
      <c r="BK79" s="328">
        <v>230</v>
      </c>
      <c r="BL79" s="328">
        <v>230</v>
      </c>
      <c r="BM79" s="328">
        <v>230</v>
      </c>
      <c r="BN79" s="328">
        <v>230</v>
      </c>
      <c r="BO79" s="328">
        <v>230</v>
      </c>
      <c r="BP79" s="328">
        <v>230</v>
      </c>
      <c r="BQ79" s="328">
        <v>230</v>
      </c>
      <c r="BR79" s="328">
        <v>230</v>
      </c>
      <c r="BS79" s="325">
        <v>230</v>
      </c>
      <c r="BT79" s="326">
        <v>230</v>
      </c>
      <c r="BU79" s="630">
        <v>0</v>
      </c>
      <c r="BV79" s="503"/>
      <c r="BW79" s="321"/>
      <c r="BX79" s="507"/>
      <c r="BY79" s="573"/>
      <c r="BZ79" s="610"/>
      <c r="CA79" s="611"/>
    </row>
    <row r="80" spans="1:79" ht="46" customHeight="1" thickTop="1" thickBot="1">
      <c r="A80" s="294"/>
      <c r="B80" s="295"/>
      <c r="C80" s="372">
        <v>26</v>
      </c>
      <c r="D80" s="871">
        <v>220</v>
      </c>
      <c r="E80" s="572" t="s">
        <v>2295</v>
      </c>
      <c r="F80" s="876">
        <v>143</v>
      </c>
      <c r="G80" s="374">
        <v>144</v>
      </c>
      <c r="H80" s="375">
        <v>0</v>
      </c>
      <c r="I80" s="376" t="s">
        <v>2245</v>
      </c>
      <c r="J80" s="376" t="s">
        <v>2229</v>
      </c>
      <c r="K80" s="375">
        <v>16</v>
      </c>
      <c r="L80" s="376" t="s">
        <v>2134</v>
      </c>
      <c r="M80" s="376" t="s">
        <v>2134</v>
      </c>
      <c r="N80" s="376" t="s">
        <v>2133</v>
      </c>
      <c r="O80" s="376" t="s">
        <v>2168</v>
      </c>
      <c r="P80" s="377" t="s">
        <v>2133</v>
      </c>
      <c r="Q80" s="377" t="s">
        <v>2133</v>
      </c>
      <c r="R80" s="378"/>
      <c r="S80" s="379" t="s">
        <v>2136</v>
      </c>
      <c r="T80" s="379" t="s">
        <v>2136</v>
      </c>
      <c r="U80" s="535" t="s">
        <v>2296</v>
      </c>
      <c r="V80" s="535" t="s">
        <v>2256</v>
      </c>
      <c r="W80" s="536">
        <v>130</v>
      </c>
      <c r="X80" s="646">
        <v>130</v>
      </c>
      <c r="Y80" s="659">
        <v>53</v>
      </c>
      <c r="Z80" s="660">
        <v>68</v>
      </c>
      <c r="AA80" s="457">
        <v>14</v>
      </c>
      <c r="AB80" s="647">
        <v>9.7222222222222224E-2</v>
      </c>
      <c r="AC80" s="539" t="s">
        <v>2296</v>
      </c>
      <c r="AD80" s="540" t="s">
        <v>2256</v>
      </c>
      <c r="AE80" s="541">
        <v>130</v>
      </c>
      <c r="AF80" s="648">
        <v>130</v>
      </c>
      <c r="AG80" s="661">
        <v>53</v>
      </c>
      <c r="AH80" s="490">
        <v>68</v>
      </c>
      <c r="AI80" s="318">
        <v>14</v>
      </c>
      <c r="AJ80" s="647">
        <v>9.7222222222222224E-2</v>
      </c>
      <c r="AK80" s="515" t="s">
        <v>2297</v>
      </c>
      <c r="AL80" s="396" t="s">
        <v>2140</v>
      </c>
      <c r="AM80" s="865">
        <v>46277</v>
      </c>
      <c r="AN80" s="865">
        <v>46300</v>
      </c>
      <c r="AO80" s="866">
        <v>23</v>
      </c>
      <c r="AP80" s="397"/>
      <c r="AQ80" s="397"/>
      <c r="AR80" s="397"/>
      <c r="AS80" s="397"/>
      <c r="AT80" s="397"/>
      <c r="AU80" s="397"/>
      <c r="AV80" s="397"/>
      <c r="AW80" s="398"/>
      <c r="AX80" s="495">
        <v>0</v>
      </c>
      <c r="AY80" s="282">
        <v>0</v>
      </c>
      <c r="AZ80" s="282">
        <v>0</v>
      </c>
      <c r="BA80" s="286">
        <v>130</v>
      </c>
      <c r="BB80" s="286">
        <v>130</v>
      </c>
      <c r="BC80" s="286">
        <v>130</v>
      </c>
      <c r="BD80" s="283">
        <v>130</v>
      </c>
      <c r="BE80" s="284">
        <v>130</v>
      </c>
      <c r="BF80" s="285">
        <v>130</v>
      </c>
      <c r="BG80" s="286">
        <v>130</v>
      </c>
      <c r="BH80" s="286">
        <v>130</v>
      </c>
      <c r="BI80" s="286">
        <v>130</v>
      </c>
      <c r="BJ80" s="286">
        <v>130</v>
      </c>
      <c r="BK80" s="286">
        <v>130</v>
      </c>
      <c r="BL80" s="286">
        <v>130</v>
      </c>
      <c r="BM80" s="286">
        <v>130</v>
      </c>
      <c r="BN80" s="286">
        <v>130</v>
      </c>
      <c r="BO80" s="286">
        <v>130</v>
      </c>
      <c r="BP80" s="286">
        <v>130</v>
      </c>
      <c r="BQ80" s="286">
        <v>130</v>
      </c>
      <c r="BR80" s="286">
        <v>130</v>
      </c>
      <c r="BS80" s="283">
        <v>130</v>
      </c>
      <c r="BT80" s="284">
        <v>130</v>
      </c>
      <c r="BU80" s="649">
        <v>0</v>
      </c>
      <c r="BV80" s="470"/>
      <c r="BW80" s="397"/>
      <c r="BX80" s="472"/>
      <c r="BY80" s="573"/>
      <c r="BZ80" s="574"/>
      <c r="CA80" s="575"/>
    </row>
    <row r="81" spans="1:79" s="521" customFormat="1" ht="46" customHeight="1" thickBot="1">
      <c r="A81" s="294"/>
      <c r="B81" s="295"/>
      <c r="C81" s="420"/>
      <c r="D81" s="421" t="s">
        <v>2129</v>
      </c>
      <c r="E81" s="612"/>
      <c r="F81" s="423">
        <v>0</v>
      </c>
      <c r="G81" s="423">
        <v>0</v>
      </c>
      <c r="H81" s="424">
        <v>0</v>
      </c>
      <c r="I81" s="425">
        <v>0</v>
      </c>
      <c r="J81" s="425" t="s">
        <v>2294</v>
      </c>
      <c r="K81" s="424">
        <v>0</v>
      </c>
      <c r="L81" s="425">
        <v>0</v>
      </c>
      <c r="M81" s="425">
        <v>0</v>
      </c>
      <c r="N81" s="425">
        <v>0</v>
      </c>
      <c r="O81" s="425">
        <v>0</v>
      </c>
      <c r="P81" s="426"/>
      <c r="Q81" s="426"/>
      <c r="R81" s="427"/>
      <c r="S81" s="428"/>
      <c r="T81" s="428"/>
      <c r="U81" s="473"/>
      <c r="V81" s="473"/>
      <c r="W81" s="474"/>
      <c r="X81" s="650"/>
      <c r="Y81" s="475"/>
      <c r="Z81" s="476"/>
      <c r="AA81" s="651"/>
      <c r="AB81" s="652"/>
      <c r="AC81" s="477"/>
      <c r="AD81" s="478"/>
      <c r="AE81" s="479"/>
      <c r="AF81" s="653"/>
      <c r="AG81" s="480"/>
      <c r="AH81" s="481"/>
      <c r="AI81" s="442"/>
      <c r="AJ81" s="652"/>
      <c r="AK81" s="517"/>
      <c r="AL81" s="518" t="s">
        <v>2143</v>
      </c>
      <c r="AM81" s="277">
        <v>46277</v>
      </c>
      <c r="AN81" s="277">
        <v>46300</v>
      </c>
      <c r="AO81" s="278">
        <v>23</v>
      </c>
      <c r="AP81" s="506"/>
      <c r="AQ81" s="506"/>
      <c r="AR81" s="506"/>
      <c r="AS81" s="506"/>
      <c r="AT81" s="506"/>
      <c r="AU81" s="506"/>
      <c r="AV81" s="506"/>
      <c r="AW81" s="519"/>
      <c r="AX81" s="417">
        <v>0</v>
      </c>
      <c r="AY81" s="418">
        <v>0</v>
      </c>
      <c r="AZ81" s="418">
        <v>0</v>
      </c>
      <c r="BA81" s="328">
        <v>130</v>
      </c>
      <c r="BB81" s="328">
        <v>130</v>
      </c>
      <c r="BC81" s="328">
        <v>130</v>
      </c>
      <c r="BD81" s="325">
        <v>130</v>
      </c>
      <c r="BE81" s="326">
        <v>130</v>
      </c>
      <c r="BF81" s="327">
        <v>130</v>
      </c>
      <c r="BG81" s="328">
        <v>130</v>
      </c>
      <c r="BH81" s="328">
        <v>130</v>
      </c>
      <c r="BI81" s="328">
        <v>130</v>
      </c>
      <c r="BJ81" s="328">
        <v>130</v>
      </c>
      <c r="BK81" s="328">
        <v>130</v>
      </c>
      <c r="BL81" s="328">
        <v>130</v>
      </c>
      <c r="BM81" s="328">
        <v>130</v>
      </c>
      <c r="BN81" s="328">
        <v>130</v>
      </c>
      <c r="BO81" s="328">
        <v>130</v>
      </c>
      <c r="BP81" s="328">
        <v>130</v>
      </c>
      <c r="BQ81" s="328">
        <v>130</v>
      </c>
      <c r="BR81" s="328">
        <v>130</v>
      </c>
      <c r="BS81" s="325">
        <v>130</v>
      </c>
      <c r="BT81" s="326">
        <v>130</v>
      </c>
      <c r="BU81" s="630">
        <v>0</v>
      </c>
      <c r="BV81" s="613"/>
      <c r="BW81" s="506"/>
      <c r="BX81" s="520"/>
      <c r="BY81" s="573"/>
      <c r="BZ81" s="614"/>
      <c r="CA81" s="615"/>
    </row>
    <row r="82" spans="1:79" ht="46" customHeight="1" thickTop="1" thickBot="1">
      <c r="A82" s="294"/>
      <c r="B82" s="295"/>
      <c r="C82" s="296">
        <v>27</v>
      </c>
      <c r="D82" s="870">
        <v>223</v>
      </c>
      <c r="E82" s="609" t="s">
        <v>2298</v>
      </c>
      <c r="F82" s="875">
        <v>128</v>
      </c>
      <c r="G82" s="299">
        <v>142</v>
      </c>
      <c r="H82" s="300">
        <v>0</v>
      </c>
      <c r="I82" s="301" t="s">
        <v>2131</v>
      </c>
      <c r="J82" s="301" t="s">
        <v>2229</v>
      </c>
      <c r="K82" s="300">
        <v>40</v>
      </c>
      <c r="L82" s="301" t="s">
        <v>2134</v>
      </c>
      <c r="M82" s="301" t="s">
        <v>2133</v>
      </c>
      <c r="N82" s="301" t="s">
        <v>2133</v>
      </c>
      <c r="O82" s="301" t="s">
        <v>2299</v>
      </c>
      <c r="P82" s="302" t="s">
        <v>2133</v>
      </c>
      <c r="Q82" s="302" t="s">
        <v>2129</v>
      </c>
      <c r="R82" s="303"/>
      <c r="S82" s="304" t="s">
        <v>2136</v>
      </c>
      <c r="T82" s="2720"/>
      <c r="U82" s="535" t="s">
        <v>2300</v>
      </c>
      <c r="V82" s="535" t="s">
        <v>2256</v>
      </c>
      <c r="W82" s="536">
        <v>125</v>
      </c>
      <c r="X82" s="655">
        <v>125</v>
      </c>
      <c r="Y82" s="537">
        <v>51.4</v>
      </c>
      <c r="Z82" s="538">
        <v>66</v>
      </c>
      <c r="AA82" s="457">
        <v>17</v>
      </c>
      <c r="AB82" s="656">
        <v>0.11971830985915492</v>
      </c>
      <c r="AC82" s="486" t="s">
        <v>2172</v>
      </c>
      <c r="AD82" s="487" t="s">
        <v>2134</v>
      </c>
      <c r="AE82" s="488">
        <v>0</v>
      </c>
      <c r="AF82" s="657">
        <v>0</v>
      </c>
      <c r="AG82" s="542"/>
      <c r="AH82" s="571"/>
      <c r="AI82" s="318">
        <v>142</v>
      </c>
      <c r="AJ82" s="656">
        <v>1</v>
      </c>
      <c r="AK82" s="491" t="s">
        <v>2301</v>
      </c>
      <c r="AL82" s="492" t="s">
        <v>2140</v>
      </c>
      <c r="AM82" s="865">
        <v>46277</v>
      </c>
      <c r="AN82" s="865">
        <v>46300</v>
      </c>
      <c r="AO82" s="866">
        <v>23</v>
      </c>
      <c r="AP82" s="493"/>
      <c r="AQ82" s="493"/>
      <c r="AR82" s="493"/>
      <c r="AS82" s="493"/>
      <c r="AT82" s="493"/>
      <c r="AU82" s="493"/>
      <c r="AV82" s="493"/>
      <c r="AW82" s="494"/>
      <c r="AX82" s="463">
        <v>0</v>
      </c>
      <c r="AY82" s="464">
        <v>0</v>
      </c>
      <c r="AZ82" s="464">
        <v>0</v>
      </c>
      <c r="BA82" s="465">
        <v>125</v>
      </c>
      <c r="BB82" s="465">
        <v>125</v>
      </c>
      <c r="BC82" s="465">
        <v>125</v>
      </c>
      <c r="BD82" s="466">
        <v>125</v>
      </c>
      <c r="BE82" s="467">
        <v>125</v>
      </c>
      <c r="BF82" s="468">
        <v>125</v>
      </c>
      <c r="BG82" s="465">
        <v>125</v>
      </c>
      <c r="BH82" s="465">
        <v>125</v>
      </c>
      <c r="BI82" s="465">
        <v>125</v>
      </c>
      <c r="BJ82" s="465">
        <v>125</v>
      </c>
      <c r="BK82" s="465">
        <v>125</v>
      </c>
      <c r="BL82" s="465">
        <v>125</v>
      </c>
      <c r="BM82" s="465">
        <v>125</v>
      </c>
      <c r="BN82" s="465">
        <v>125</v>
      </c>
      <c r="BO82" s="465">
        <v>125</v>
      </c>
      <c r="BP82" s="465">
        <v>125</v>
      </c>
      <c r="BQ82" s="465">
        <v>125</v>
      </c>
      <c r="BR82" s="465">
        <v>125</v>
      </c>
      <c r="BS82" s="466">
        <v>125</v>
      </c>
      <c r="BT82" s="467">
        <v>125</v>
      </c>
      <c r="BU82" s="662">
        <v>0</v>
      </c>
      <c r="BV82" s="498"/>
      <c r="BW82" s="493"/>
      <c r="BX82" s="499"/>
      <c r="BY82" s="573"/>
      <c r="BZ82" s="610"/>
      <c r="CA82" s="611"/>
    </row>
    <row r="83" spans="1:79" s="521" customFormat="1" ht="46" customHeight="1" thickTop="1" thickBot="1">
      <c r="A83" s="294"/>
      <c r="B83" s="567"/>
      <c r="C83" s="420"/>
      <c r="D83" s="421" t="s">
        <v>2129</v>
      </c>
      <c r="E83" s="612"/>
      <c r="F83" s="423">
        <v>0</v>
      </c>
      <c r="G83" s="423">
        <v>0</v>
      </c>
      <c r="H83" s="424">
        <v>0</v>
      </c>
      <c r="I83" s="425">
        <v>0</v>
      </c>
      <c r="J83" s="425" t="s">
        <v>2294</v>
      </c>
      <c r="K83" s="424">
        <v>0</v>
      </c>
      <c r="L83" s="425">
        <v>0</v>
      </c>
      <c r="M83" s="425">
        <v>0</v>
      </c>
      <c r="N83" s="425">
        <v>0</v>
      </c>
      <c r="O83" s="425">
        <v>0</v>
      </c>
      <c r="P83" s="426"/>
      <c r="Q83" s="426"/>
      <c r="R83" s="427"/>
      <c r="S83" s="428"/>
      <c r="T83" s="428"/>
      <c r="U83" s="473"/>
      <c r="V83" s="473"/>
      <c r="W83" s="474"/>
      <c r="X83" s="650"/>
      <c r="Y83" s="475"/>
      <c r="Z83" s="476"/>
      <c r="AA83" s="651"/>
      <c r="AB83" s="652"/>
      <c r="AC83" s="477"/>
      <c r="AD83" s="478"/>
      <c r="AE83" s="479"/>
      <c r="AF83" s="653"/>
      <c r="AG83" s="480"/>
      <c r="AH83" s="481"/>
      <c r="AI83" s="442"/>
      <c r="AJ83" s="652"/>
      <c r="AK83" s="517"/>
      <c r="AL83" s="518" t="s">
        <v>2143</v>
      </c>
      <c r="AM83" s="277" t="s">
        <v>2129</v>
      </c>
      <c r="AN83" s="277" t="s">
        <v>2129</v>
      </c>
      <c r="AO83" s="278" t="s">
        <v>2129</v>
      </c>
      <c r="AP83" s="506"/>
      <c r="AQ83" s="506"/>
      <c r="AR83" s="506"/>
      <c r="AS83" s="506"/>
      <c r="AT83" s="506"/>
      <c r="AU83" s="506"/>
      <c r="AV83" s="506"/>
      <c r="AW83" s="506"/>
      <c r="AX83" s="445"/>
      <c r="AY83" s="445"/>
      <c r="AZ83" s="445"/>
      <c r="BA83" s="445"/>
      <c r="BB83" s="445"/>
      <c r="BC83" s="445"/>
      <c r="BD83" s="446"/>
      <c r="BE83" s="447"/>
      <c r="BF83" s="448"/>
      <c r="BG83" s="336"/>
      <c r="BH83" s="336"/>
      <c r="BI83" s="336"/>
      <c r="BJ83" s="336"/>
      <c r="BK83" s="336"/>
      <c r="BL83" s="336"/>
      <c r="BM83" s="336"/>
      <c r="BN83" s="336"/>
      <c r="BO83" s="336"/>
      <c r="BP83" s="336"/>
      <c r="BQ83" s="336"/>
      <c r="BR83" s="336"/>
      <c r="BS83" s="337"/>
      <c r="BT83" s="338"/>
      <c r="BU83" s="339"/>
      <c r="BV83" s="321"/>
      <c r="BW83" s="506"/>
      <c r="BX83" s="520"/>
      <c r="BY83" s="573"/>
      <c r="BZ83" s="614"/>
      <c r="CA83" s="615"/>
    </row>
    <row r="84" spans="1:79" ht="46" customHeight="1" thickTop="1" thickBot="1">
      <c r="A84" s="294"/>
      <c r="B84" s="295" t="s">
        <v>2256</v>
      </c>
      <c r="C84" s="296">
        <v>28</v>
      </c>
      <c r="D84" s="870">
        <v>201</v>
      </c>
      <c r="E84" s="298" t="s">
        <v>2302</v>
      </c>
      <c r="F84" s="875">
        <v>69</v>
      </c>
      <c r="G84" s="299">
        <v>106</v>
      </c>
      <c r="H84" s="300">
        <v>19</v>
      </c>
      <c r="I84" s="301" t="s">
        <v>2131</v>
      </c>
      <c r="J84" s="301" t="s">
        <v>2132</v>
      </c>
      <c r="K84" s="300">
        <v>106</v>
      </c>
      <c r="L84" s="301" t="s">
        <v>2134</v>
      </c>
      <c r="M84" s="301" t="s">
        <v>2133</v>
      </c>
      <c r="N84" s="301" t="s">
        <v>2133</v>
      </c>
      <c r="O84" s="301" t="s">
        <v>2183</v>
      </c>
      <c r="P84" s="302" t="s">
        <v>2133</v>
      </c>
      <c r="Q84" s="302" t="s">
        <v>2133</v>
      </c>
      <c r="R84" s="303"/>
      <c r="S84" s="304" t="s">
        <v>2136</v>
      </c>
      <c r="T84" s="304" t="s">
        <v>2136</v>
      </c>
      <c r="U84" s="482" t="s">
        <v>2303</v>
      </c>
      <c r="V84" s="482" t="s">
        <v>2256</v>
      </c>
      <c r="W84" s="483">
        <v>56</v>
      </c>
      <c r="X84" s="307">
        <v>56</v>
      </c>
      <c r="Y84" s="484">
        <v>19</v>
      </c>
      <c r="Z84" s="485">
        <v>20</v>
      </c>
      <c r="AA84" s="310">
        <v>50</v>
      </c>
      <c r="AB84" s="311">
        <v>0.47169811320754718</v>
      </c>
      <c r="AC84" s="486" t="s">
        <v>2304</v>
      </c>
      <c r="AD84" s="487" t="s">
        <v>2256</v>
      </c>
      <c r="AE84" s="488">
        <v>47</v>
      </c>
      <c r="AF84" s="315">
        <v>47</v>
      </c>
      <c r="AG84" s="489">
        <v>19</v>
      </c>
      <c r="AH84" s="635">
        <v>20</v>
      </c>
      <c r="AI84" s="318">
        <v>59</v>
      </c>
      <c r="AJ84" s="311">
        <v>0.55660377358490565</v>
      </c>
      <c r="AK84" s="491" t="s">
        <v>2305</v>
      </c>
      <c r="AL84" s="492" t="s">
        <v>2140</v>
      </c>
      <c r="AM84" s="865">
        <v>46286</v>
      </c>
      <c r="AN84" s="865">
        <v>46301</v>
      </c>
      <c r="AO84" s="866">
        <v>15</v>
      </c>
      <c r="AP84" s="493"/>
      <c r="AQ84" s="493"/>
      <c r="AR84" s="493"/>
      <c r="AS84" s="493"/>
      <c r="AT84" s="493"/>
      <c r="AU84" s="493"/>
      <c r="AV84" s="493"/>
      <c r="AW84" s="493"/>
      <c r="AX84" s="493"/>
      <c r="AY84" s="493"/>
      <c r="AZ84" s="493"/>
      <c r="BA84" s="493"/>
      <c r="BB84" s="493"/>
      <c r="BC84" s="493"/>
      <c r="BD84" s="494"/>
      <c r="BE84" s="497"/>
      <c r="BF84" s="496"/>
      <c r="BG84" s="495">
        <v>0</v>
      </c>
      <c r="BH84" s="282">
        <v>0</v>
      </c>
      <c r="BI84" s="282">
        <v>0</v>
      </c>
      <c r="BJ84" s="286">
        <v>56</v>
      </c>
      <c r="BK84" s="286">
        <v>56</v>
      </c>
      <c r="BL84" s="286">
        <v>56</v>
      </c>
      <c r="BM84" s="286">
        <v>56</v>
      </c>
      <c r="BN84" s="286">
        <v>56</v>
      </c>
      <c r="BO84" s="286">
        <v>56</v>
      </c>
      <c r="BP84" s="286">
        <v>56</v>
      </c>
      <c r="BQ84" s="286">
        <v>56</v>
      </c>
      <c r="BR84" s="286">
        <v>56</v>
      </c>
      <c r="BS84" s="283">
        <v>56</v>
      </c>
      <c r="BT84" s="284">
        <v>56</v>
      </c>
      <c r="BU84" s="285">
        <v>56</v>
      </c>
      <c r="BV84" s="402">
        <v>0</v>
      </c>
      <c r="BW84" s="498"/>
      <c r="BX84" s="499"/>
      <c r="BY84" s="290"/>
      <c r="BZ84" s="332"/>
      <c r="CA84" s="333"/>
    </row>
    <row r="85" spans="1:79" ht="46" customHeight="1" thickBot="1">
      <c r="A85" s="294"/>
      <c r="B85" s="295"/>
      <c r="C85" s="296"/>
      <c r="D85" s="297" t="s">
        <v>2129</v>
      </c>
      <c r="E85" s="298"/>
      <c r="F85" s="299">
        <v>0</v>
      </c>
      <c r="G85" s="299">
        <v>0</v>
      </c>
      <c r="H85" s="300">
        <v>0</v>
      </c>
      <c r="I85" s="301">
        <v>0</v>
      </c>
      <c r="J85" s="301">
        <v>0</v>
      </c>
      <c r="K85" s="300">
        <v>0</v>
      </c>
      <c r="L85" s="301">
        <v>0</v>
      </c>
      <c r="M85" s="301">
        <v>0</v>
      </c>
      <c r="N85" s="301">
        <v>0</v>
      </c>
      <c r="O85" s="301">
        <v>0</v>
      </c>
      <c r="P85" s="302" t="s">
        <v>2129</v>
      </c>
      <c r="Q85" s="302" t="s">
        <v>2129</v>
      </c>
      <c r="R85" s="303"/>
      <c r="S85" s="304"/>
      <c r="T85" s="304"/>
      <c r="U85" s="473"/>
      <c r="V85" s="473"/>
      <c r="W85" s="474"/>
      <c r="X85" s="431"/>
      <c r="Y85" s="475"/>
      <c r="Z85" s="476"/>
      <c r="AA85" s="434"/>
      <c r="AB85" s="435"/>
      <c r="AC85" s="477"/>
      <c r="AD85" s="478"/>
      <c r="AE85" s="479"/>
      <c r="AF85" s="439"/>
      <c r="AG85" s="480"/>
      <c r="AH85" s="481"/>
      <c r="AI85" s="442"/>
      <c r="AJ85" s="311"/>
      <c r="AK85" s="565"/>
      <c r="AL85" s="320" t="s">
        <v>2143</v>
      </c>
      <c r="AM85" s="277">
        <v>46286</v>
      </c>
      <c r="AN85" s="277">
        <v>46301</v>
      </c>
      <c r="AO85" s="278">
        <v>15</v>
      </c>
      <c r="AP85" s="321"/>
      <c r="AQ85" s="321"/>
      <c r="AR85" s="321"/>
      <c r="AS85" s="321"/>
      <c r="AT85" s="321"/>
      <c r="AU85" s="321"/>
      <c r="AV85" s="321"/>
      <c r="AW85" s="321"/>
      <c r="AX85" s="321"/>
      <c r="AY85" s="321"/>
      <c r="AZ85" s="321"/>
      <c r="BA85" s="321"/>
      <c r="BB85" s="321"/>
      <c r="BC85" s="321"/>
      <c r="BD85" s="322"/>
      <c r="BE85" s="502"/>
      <c r="BF85" s="505"/>
      <c r="BG85" s="663">
        <v>0</v>
      </c>
      <c r="BH85" s="664">
        <v>0</v>
      </c>
      <c r="BI85" s="664">
        <v>0</v>
      </c>
      <c r="BJ85" s="321">
        <v>47</v>
      </c>
      <c r="BK85" s="321">
        <v>47</v>
      </c>
      <c r="BL85" s="321">
        <v>47</v>
      </c>
      <c r="BM85" s="321">
        <v>47</v>
      </c>
      <c r="BN85" s="321">
        <v>47</v>
      </c>
      <c r="BO85" s="321">
        <v>47</v>
      </c>
      <c r="BP85" s="321">
        <v>47</v>
      </c>
      <c r="BQ85" s="321">
        <v>47</v>
      </c>
      <c r="BR85" s="321">
        <v>47</v>
      </c>
      <c r="BS85" s="322">
        <v>47</v>
      </c>
      <c r="BT85" s="326">
        <v>47</v>
      </c>
      <c r="BU85" s="327">
        <v>47</v>
      </c>
      <c r="BV85" s="419">
        <v>0</v>
      </c>
      <c r="BW85" s="503"/>
      <c r="BX85" s="507"/>
      <c r="BY85" s="290"/>
      <c r="BZ85" s="332"/>
      <c r="CA85" s="333"/>
    </row>
    <row r="86" spans="1:79" ht="46" customHeight="1" thickTop="1" thickBot="1">
      <c r="A86" s="294"/>
      <c r="B86" s="295"/>
      <c r="C86" s="372">
        <v>29</v>
      </c>
      <c r="D86" s="871">
        <v>206</v>
      </c>
      <c r="E86" s="373" t="s">
        <v>2306</v>
      </c>
      <c r="F86" s="876">
        <v>151</v>
      </c>
      <c r="G86" s="374">
        <v>191</v>
      </c>
      <c r="H86" s="375">
        <v>6</v>
      </c>
      <c r="I86" s="376" t="s">
        <v>2134</v>
      </c>
      <c r="J86" s="376" t="s">
        <v>2132</v>
      </c>
      <c r="K86" s="375">
        <v>60</v>
      </c>
      <c r="L86" s="376" t="s">
        <v>2133</v>
      </c>
      <c r="M86" s="376" t="s">
        <v>2134</v>
      </c>
      <c r="N86" s="376" t="s">
        <v>2134</v>
      </c>
      <c r="O86" s="376" t="s">
        <v>2235</v>
      </c>
      <c r="P86" s="377" t="s">
        <v>2133</v>
      </c>
      <c r="Q86" s="377" t="s">
        <v>2133</v>
      </c>
      <c r="R86" s="378" t="s">
        <v>2161</v>
      </c>
      <c r="S86" s="379" t="s">
        <v>2136</v>
      </c>
      <c r="T86" s="379" t="s">
        <v>2136</v>
      </c>
      <c r="U86" s="508" t="s">
        <v>2307</v>
      </c>
      <c r="V86" s="508" t="s">
        <v>2256</v>
      </c>
      <c r="W86" s="509">
        <v>123</v>
      </c>
      <c r="X86" s="454">
        <v>186</v>
      </c>
      <c r="Y86" s="510">
        <v>0.9</v>
      </c>
      <c r="Z86" s="511">
        <v>14</v>
      </c>
      <c r="AA86" s="457">
        <v>5</v>
      </c>
      <c r="AB86" s="394">
        <v>2.6178010471204188E-2</v>
      </c>
      <c r="AC86" s="512" t="s">
        <v>2307</v>
      </c>
      <c r="AD86" s="388" t="s">
        <v>2256</v>
      </c>
      <c r="AE86" s="389">
        <v>110</v>
      </c>
      <c r="AF86" s="390">
        <v>161</v>
      </c>
      <c r="AG86" s="513">
        <v>0.9</v>
      </c>
      <c r="AH86" s="665">
        <v>14</v>
      </c>
      <c r="AI86" s="318">
        <v>30</v>
      </c>
      <c r="AJ86" s="394">
        <v>0.15706806282722513</v>
      </c>
      <c r="AK86" s="515" t="s">
        <v>2308</v>
      </c>
      <c r="AL86" s="396" t="s">
        <v>2309</v>
      </c>
      <c r="AM86" s="865">
        <v>46273</v>
      </c>
      <c r="AN86" s="865">
        <v>46298</v>
      </c>
      <c r="AO86" s="866">
        <v>25</v>
      </c>
      <c r="AP86" s="397"/>
      <c r="AQ86" s="397"/>
      <c r="AR86" s="397"/>
      <c r="AS86" s="398"/>
      <c r="AT86" s="495">
        <v>0</v>
      </c>
      <c r="AU86" s="282">
        <v>0</v>
      </c>
      <c r="AV86" s="282">
        <v>0</v>
      </c>
      <c r="AW86" s="286">
        <v>63</v>
      </c>
      <c r="AX86" s="286">
        <v>63</v>
      </c>
      <c r="AY86" s="286">
        <v>63</v>
      </c>
      <c r="AZ86" s="286">
        <v>63</v>
      </c>
      <c r="BA86" s="286">
        <v>186</v>
      </c>
      <c r="BB86" s="286">
        <v>186</v>
      </c>
      <c r="BC86" s="286">
        <v>186</v>
      </c>
      <c r="BD86" s="283">
        <v>186</v>
      </c>
      <c r="BE86" s="284">
        <v>186</v>
      </c>
      <c r="BF86" s="285">
        <v>186</v>
      </c>
      <c r="BG86" s="286">
        <v>186</v>
      </c>
      <c r="BH86" s="286">
        <v>186</v>
      </c>
      <c r="BI86" s="286">
        <v>123</v>
      </c>
      <c r="BJ86" s="286">
        <v>123</v>
      </c>
      <c r="BK86" s="286">
        <v>123</v>
      </c>
      <c r="BL86" s="286">
        <v>123</v>
      </c>
      <c r="BM86" s="286">
        <v>123</v>
      </c>
      <c r="BN86" s="286">
        <v>123</v>
      </c>
      <c r="BO86" s="286">
        <v>123</v>
      </c>
      <c r="BP86" s="286">
        <v>123</v>
      </c>
      <c r="BQ86" s="286">
        <v>123</v>
      </c>
      <c r="BR86" s="286">
        <v>123</v>
      </c>
      <c r="BS86" s="666">
        <v>0</v>
      </c>
      <c r="BT86" s="636"/>
      <c r="BU86" s="498"/>
      <c r="BV86" s="493"/>
      <c r="BW86" s="397"/>
      <c r="BX86" s="472"/>
      <c r="BY86" s="290"/>
      <c r="BZ86" s="404"/>
      <c r="CA86" s="405"/>
    </row>
    <row r="87" spans="1:79" s="561" customFormat="1" ht="46" customHeight="1" thickBot="1">
      <c r="A87" s="566"/>
      <c r="B87" s="567"/>
      <c r="C87" s="420"/>
      <c r="D87" s="421" t="s">
        <v>2129</v>
      </c>
      <c r="E87" s="422"/>
      <c r="F87" s="423">
        <v>0</v>
      </c>
      <c r="G87" s="423">
        <v>0</v>
      </c>
      <c r="H87" s="424">
        <v>0</v>
      </c>
      <c r="I87" s="425">
        <v>0</v>
      </c>
      <c r="J87" s="425">
        <v>0</v>
      </c>
      <c r="K87" s="424">
        <v>0</v>
      </c>
      <c r="L87" s="425">
        <v>0</v>
      </c>
      <c r="M87" s="425">
        <v>0</v>
      </c>
      <c r="N87" s="425">
        <v>0</v>
      </c>
      <c r="O87" s="425">
        <v>0</v>
      </c>
      <c r="P87" s="426" t="s">
        <v>2129</v>
      </c>
      <c r="Q87" s="426" t="s">
        <v>2129</v>
      </c>
      <c r="R87" s="427"/>
      <c r="S87" s="428"/>
      <c r="T87" s="428"/>
      <c r="U87" s="429" t="s">
        <v>2310</v>
      </c>
      <c r="V87" s="429" t="s">
        <v>2158</v>
      </c>
      <c r="W87" s="430">
        <v>63</v>
      </c>
      <c r="X87" s="431"/>
      <c r="Y87" s="432">
        <v>16.5</v>
      </c>
      <c r="Z87" s="433">
        <v>38</v>
      </c>
      <c r="AA87" s="434"/>
      <c r="AB87" s="435"/>
      <c r="AC87" s="436" t="s">
        <v>2311</v>
      </c>
      <c r="AD87" s="437" t="s">
        <v>2158</v>
      </c>
      <c r="AE87" s="438">
        <v>51</v>
      </c>
      <c r="AF87" s="439"/>
      <c r="AG87" s="440">
        <v>16.5</v>
      </c>
      <c r="AH87" s="516">
        <v>38</v>
      </c>
      <c r="AI87" s="442"/>
      <c r="AJ87" s="435"/>
      <c r="AK87" s="517"/>
      <c r="AL87" s="518" t="s">
        <v>2143</v>
      </c>
      <c r="AM87" s="277">
        <v>46273</v>
      </c>
      <c r="AN87" s="277">
        <v>46298</v>
      </c>
      <c r="AO87" s="278">
        <v>25</v>
      </c>
      <c r="AP87" s="506"/>
      <c r="AQ87" s="506"/>
      <c r="AR87" s="506"/>
      <c r="AS87" s="519"/>
      <c r="AT87" s="544">
        <v>0</v>
      </c>
      <c r="AU87" s="545">
        <v>0</v>
      </c>
      <c r="AV87" s="545">
        <v>0</v>
      </c>
      <c r="AW87" s="328">
        <v>51</v>
      </c>
      <c r="AX87" s="328">
        <v>51</v>
      </c>
      <c r="AY87" s="328">
        <v>51</v>
      </c>
      <c r="AZ87" s="328">
        <v>51</v>
      </c>
      <c r="BA87" s="328">
        <v>161</v>
      </c>
      <c r="BB87" s="328">
        <v>161</v>
      </c>
      <c r="BC87" s="328">
        <v>161</v>
      </c>
      <c r="BD87" s="325">
        <v>161</v>
      </c>
      <c r="BE87" s="326">
        <v>161</v>
      </c>
      <c r="BF87" s="327">
        <v>161</v>
      </c>
      <c r="BG87" s="328">
        <v>161</v>
      </c>
      <c r="BH87" s="328">
        <v>161</v>
      </c>
      <c r="BI87" s="328">
        <v>110</v>
      </c>
      <c r="BJ87" s="328">
        <v>110</v>
      </c>
      <c r="BK87" s="328">
        <v>110</v>
      </c>
      <c r="BL87" s="328">
        <v>110</v>
      </c>
      <c r="BM87" s="328">
        <v>110</v>
      </c>
      <c r="BN87" s="328">
        <v>110</v>
      </c>
      <c r="BO87" s="328">
        <v>110</v>
      </c>
      <c r="BP87" s="328">
        <v>110</v>
      </c>
      <c r="BQ87" s="328">
        <v>110</v>
      </c>
      <c r="BR87" s="328">
        <v>110</v>
      </c>
      <c r="BS87" s="667">
        <v>0</v>
      </c>
      <c r="BT87" s="668"/>
      <c r="BU87" s="613"/>
      <c r="BV87" s="506"/>
      <c r="BW87" s="506"/>
      <c r="BX87" s="520"/>
      <c r="BY87" s="290"/>
      <c r="BZ87" s="450"/>
      <c r="CA87" s="451"/>
    </row>
    <row r="88" spans="1:79" s="564" customFormat="1" ht="46" customHeight="1" thickTop="1" thickBot="1">
      <c r="A88" s="569"/>
      <c r="B88" s="570"/>
      <c r="C88" s="372">
        <v>30</v>
      </c>
      <c r="D88" s="871">
        <v>210</v>
      </c>
      <c r="E88" s="572" t="s">
        <v>2312</v>
      </c>
      <c r="F88" s="876">
        <v>99</v>
      </c>
      <c r="G88" s="374">
        <v>128</v>
      </c>
      <c r="H88" s="375">
        <v>6</v>
      </c>
      <c r="I88" s="376" t="s">
        <v>2134</v>
      </c>
      <c r="J88" s="376" t="s">
        <v>2132</v>
      </c>
      <c r="K88" s="375">
        <v>76</v>
      </c>
      <c r="L88" s="669" t="s">
        <v>2134</v>
      </c>
      <c r="M88" s="376" t="s">
        <v>2134</v>
      </c>
      <c r="N88" s="376" t="s">
        <v>2134</v>
      </c>
      <c r="O88" s="376" t="s">
        <v>2288</v>
      </c>
      <c r="P88" s="377" t="s">
        <v>2133</v>
      </c>
      <c r="Q88" s="377" t="s">
        <v>2133</v>
      </c>
      <c r="R88" s="378" t="s">
        <v>2161</v>
      </c>
      <c r="S88" s="379" t="s">
        <v>2136</v>
      </c>
      <c r="T88" s="379" t="s">
        <v>2136</v>
      </c>
      <c r="U88" s="535" t="s">
        <v>2313</v>
      </c>
      <c r="V88" s="535" t="s">
        <v>2256</v>
      </c>
      <c r="W88" s="536">
        <v>110</v>
      </c>
      <c r="X88" s="646">
        <v>110</v>
      </c>
      <c r="Y88" s="537">
        <v>1.4</v>
      </c>
      <c r="Z88" s="538">
        <v>5</v>
      </c>
      <c r="AA88" s="457">
        <v>18</v>
      </c>
      <c r="AB88" s="647">
        <v>0.140625</v>
      </c>
      <c r="AC88" s="539" t="s">
        <v>2313</v>
      </c>
      <c r="AD88" s="540" t="s">
        <v>2256</v>
      </c>
      <c r="AE88" s="541">
        <v>79</v>
      </c>
      <c r="AF88" s="648">
        <v>79</v>
      </c>
      <c r="AG88" s="542">
        <v>1.4</v>
      </c>
      <c r="AH88" s="543">
        <v>5</v>
      </c>
      <c r="AI88" s="393">
        <v>49</v>
      </c>
      <c r="AJ88" s="647">
        <v>0.3828125</v>
      </c>
      <c r="AK88" s="515" t="s">
        <v>2314</v>
      </c>
      <c r="AL88" s="396" t="s">
        <v>2140</v>
      </c>
      <c r="AM88" s="865">
        <v>46277</v>
      </c>
      <c r="AN88" s="865">
        <v>46298</v>
      </c>
      <c r="AO88" s="866">
        <v>21</v>
      </c>
      <c r="AP88" s="397"/>
      <c r="AQ88" s="397"/>
      <c r="AR88" s="397"/>
      <c r="AS88" s="397"/>
      <c r="AT88" s="493"/>
      <c r="AU88" s="493"/>
      <c r="AV88" s="493"/>
      <c r="AW88" s="494"/>
      <c r="AX88" s="495">
        <v>0</v>
      </c>
      <c r="AY88" s="282">
        <v>0</v>
      </c>
      <c r="AZ88" s="282">
        <v>0</v>
      </c>
      <c r="BA88" s="286">
        <v>110</v>
      </c>
      <c r="BB88" s="286">
        <v>110</v>
      </c>
      <c r="BC88" s="286">
        <v>110</v>
      </c>
      <c r="BD88" s="283">
        <v>110</v>
      </c>
      <c r="BE88" s="284">
        <v>110</v>
      </c>
      <c r="BF88" s="285">
        <v>110</v>
      </c>
      <c r="BG88" s="286">
        <v>110</v>
      </c>
      <c r="BH88" s="286">
        <v>110</v>
      </c>
      <c r="BI88" s="286">
        <v>110</v>
      </c>
      <c r="BJ88" s="286">
        <v>110</v>
      </c>
      <c r="BK88" s="286">
        <v>110</v>
      </c>
      <c r="BL88" s="286">
        <v>110</v>
      </c>
      <c r="BM88" s="286">
        <v>110</v>
      </c>
      <c r="BN88" s="286">
        <v>110</v>
      </c>
      <c r="BO88" s="286">
        <v>110</v>
      </c>
      <c r="BP88" s="286">
        <v>110</v>
      </c>
      <c r="BQ88" s="286">
        <v>110</v>
      </c>
      <c r="BR88" s="286">
        <v>110</v>
      </c>
      <c r="BS88" s="666">
        <v>0</v>
      </c>
      <c r="BT88" s="670"/>
      <c r="BU88" s="470"/>
      <c r="BV88" s="397"/>
      <c r="BW88" s="397"/>
      <c r="BX88" s="472"/>
      <c r="BY88" s="573"/>
      <c r="BZ88" s="574"/>
      <c r="CA88" s="575"/>
    </row>
    <row r="89" spans="1:79" s="521" customFormat="1" ht="46" customHeight="1" thickBot="1">
      <c r="A89" s="294"/>
      <c r="B89" s="295"/>
      <c r="C89" s="296"/>
      <c r="D89" s="297" t="s">
        <v>2129</v>
      </c>
      <c r="E89" s="609"/>
      <c r="F89" s="299">
        <v>0</v>
      </c>
      <c r="G89" s="299">
        <v>0</v>
      </c>
      <c r="H89" s="300">
        <v>0</v>
      </c>
      <c r="I89" s="301">
        <v>0</v>
      </c>
      <c r="J89" s="301">
        <v>0</v>
      </c>
      <c r="K89" s="300">
        <v>0</v>
      </c>
      <c r="L89" s="671">
        <v>0</v>
      </c>
      <c r="M89" s="301">
        <v>0</v>
      </c>
      <c r="N89" s="301">
        <v>0</v>
      </c>
      <c r="O89" s="301">
        <v>0</v>
      </c>
      <c r="P89" s="302"/>
      <c r="Q89" s="302"/>
      <c r="R89" s="303"/>
      <c r="S89" s="304"/>
      <c r="T89" s="304"/>
      <c r="U89" s="473"/>
      <c r="V89" s="473"/>
      <c r="W89" s="474"/>
      <c r="X89" s="650"/>
      <c r="Y89" s="475"/>
      <c r="Z89" s="476"/>
      <c r="AA89" s="651"/>
      <c r="AB89" s="652"/>
      <c r="AC89" s="477"/>
      <c r="AD89" s="478"/>
      <c r="AE89" s="479"/>
      <c r="AF89" s="657"/>
      <c r="AG89" s="480"/>
      <c r="AH89" s="481"/>
      <c r="AI89" s="442"/>
      <c r="AJ89" s="656"/>
      <c r="AK89" s="319"/>
      <c r="AL89" s="320" t="s">
        <v>2143</v>
      </c>
      <c r="AM89" s="277">
        <v>46277</v>
      </c>
      <c r="AN89" s="277">
        <v>46298</v>
      </c>
      <c r="AO89" s="278">
        <v>21</v>
      </c>
      <c r="AP89" s="321"/>
      <c r="AQ89" s="321"/>
      <c r="AR89" s="321"/>
      <c r="AS89" s="321"/>
      <c r="AT89" s="321"/>
      <c r="AU89" s="321"/>
      <c r="AV89" s="321"/>
      <c r="AW89" s="322"/>
      <c r="AX89" s="544">
        <v>0</v>
      </c>
      <c r="AY89" s="545">
        <v>0</v>
      </c>
      <c r="AZ89" s="664">
        <v>0</v>
      </c>
      <c r="BA89" s="321">
        <v>79</v>
      </c>
      <c r="BB89" s="321">
        <v>79</v>
      </c>
      <c r="BC89" s="321">
        <v>79</v>
      </c>
      <c r="BD89" s="322">
        <v>79</v>
      </c>
      <c r="BE89" s="502">
        <v>79</v>
      </c>
      <c r="BF89" s="503">
        <v>79</v>
      </c>
      <c r="BG89" s="321">
        <v>79</v>
      </c>
      <c r="BH89" s="321">
        <v>79</v>
      </c>
      <c r="BI89" s="321">
        <v>79</v>
      </c>
      <c r="BJ89" s="321">
        <v>79</v>
      </c>
      <c r="BK89" s="321">
        <v>79</v>
      </c>
      <c r="BL89" s="321">
        <v>79</v>
      </c>
      <c r="BM89" s="321">
        <v>79</v>
      </c>
      <c r="BN89" s="321">
        <v>79</v>
      </c>
      <c r="BO89" s="321">
        <v>79</v>
      </c>
      <c r="BP89" s="321">
        <v>79</v>
      </c>
      <c r="BQ89" s="321">
        <v>79</v>
      </c>
      <c r="BR89" s="321">
        <v>79</v>
      </c>
      <c r="BS89" s="504">
        <v>0</v>
      </c>
      <c r="BT89" s="672"/>
      <c r="BU89" s="503"/>
      <c r="BV89" s="321"/>
      <c r="BW89" s="321"/>
      <c r="BX89" s="507"/>
      <c r="BY89" s="573"/>
      <c r="BZ89" s="610"/>
      <c r="CA89" s="611"/>
    </row>
    <row r="90" spans="1:79" ht="46" customHeight="1" thickTop="1" thickBot="1">
      <c r="A90" s="294"/>
      <c r="B90" s="570" t="s">
        <v>2315</v>
      </c>
      <c r="C90" s="372">
        <v>31</v>
      </c>
      <c r="D90" s="871">
        <v>229</v>
      </c>
      <c r="E90" s="572" t="s">
        <v>2316</v>
      </c>
      <c r="F90" s="876">
        <v>107</v>
      </c>
      <c r="G90" s="374">
        <v>119</v>
      </c>
      <c r="H90" s="375">
        <v>2</v>
      </c>
      <c r="I90" s="376" t="s">
        <v>2167</v>
      </c>
      <c r="J90" s="376" t="s">
        <v>2132</v>
      </c>
      <c r="K90" s="375">
        <v>50</v>
      </c>
      <c r="L90" s="669" t="s">
        <v>2134</v>
      </c>
      <c r="M90" s="376" t="s">
        <v>2134</v>
      </c>
      <c r="N90" s="376" t="s">
        <v>2134</v>
      </c>
      <c r="O90" s="376" t="s">
        <v>2317</v>
      </c>
      <c r="P90" s="377" t="s">
        <v>2133</v>
      </c>
      <c r="Q90" s="377" t="s">
        <v>2133</v>
      </c>
      <c r="R90" s="378"/>
      <c r="S90" s="379" t="s">
        <v>2136</v>
      </c>
      <c r="T90" s="379" t="s">
        <v>2136</v>
      </c>
      <c r="U90" s="535" t="s">
        <v>2318</v>
      </c>
      <c r="V90" s="535" t="s">
        <v>2315</v>
      </c>
      <c r="W90" s="536">
        <v>110</v>
      </c>
      <c r="X90" s="646">
        <v>110</v>
      </c>
      <c r="Y90" s="537">
        <v>6.8</v>
      </c>
      <c r="Z90" s="538">
        <v>19</v>
      </c>
      <c r="AA90" s="457">
        <v>9</v>
      </c>
      <c r="AB90" s="647">
        <v>7.5630252100840331E-2</v>
      </c>
      <c r="AC90" s="539" t="s">
        <v>2319</v>
      </c>
      <c r="AD90" s="540" t="s">
        <v>2315</v>
      </c>
      <c r="AE90" s="541">
        <v>108</v>
      </c>
      <c r="AF90" s="648">
        <v>108</v>
      </c>
      <c r="AG90" s="542">
        <v>6.8</v>
      </c>
      <c r="AH90" s="543">
        <v>19</v>
      </c>
      <c r="AI90" s="318">
        <v>11</v>
      </c>
      <c r="AJ90" s="647">
        <v>9.2436974789915971E-2</v>
      </c>
      <c r="AK90" s="515" t="s">
        <v>2320</v>
      </c>
      <c r="AL90" s="396" t="s">
        <v>2140</v>
      </c>
      <c r="AM90" s="865">
        <v>46279</v>
      </c>
      <c r="AN90" s="865">
        <v>46301</v>
      </c>
      <c r="AO90" s="866">
        <v>22</v>
      </c>
      <c r="AP90" s="397"/>
      <c r="AQ90" s="397"/>
      <c r="AR90" s="397"/>
      <c r="AS90" s="397"/>
      <c r="AT90" s="397"/>
      <c r="AU90" s="397"/>
      <c r="AV90" s="397"/>
      <c r="AW90" s="397"/>
      <c r="AX90" s="493"/>
      <c r="AY90" s="494"/>
      <c r="AZ90" s="495">
        <v>0</v>
      </c>
      <c r="BA90" s="282">
        <v>0</v>
      </c>
      <c r="BB90" s="282">
        <v>0</v>
      </c>
      <c r="BC90" s="286">
        <v>110</v>
      </c>
      <c r="BD90" s="283">
        <v>110</v>
      </c>
      <c r="BE90" s="284">
        <v>110</v>
      </c>
      <c r="BF90" s="285">
        <v>110</v>
      </c>
      <c r="BG90" s="286">
        <v>110</v>
      </c>
      <c r="BH90" s="286">
        <v>110</v>
      </c>
      <c r="BI90" s="286">
        <v>110</v>
      </c>
      <c r="BJ90" s="286">
        <v>110</v>
      </c>
      <c r="BK90" s="286">
        <v>110</v>
      </c>
      <c r="BL90" s="286">
        <v>110</v>
      </c>
      <c r="BM90" s="286">
        <v>110</v>
      </c>
      <c r="BN90" s="286">
        <v>110</v>
      </c>
      <c r="BO90" s="286">
        <v>110</v>
      </c>
      <c r="BP90" s="286">
        <v>110</v>
      </c>
      <c r="BQ90" s="286">
        <v>110</v>
      </c>
      <c r="BR90" s="286">
        <v>110</v>
      </c>
      <c r="BS90" s="283">
        <v>110</v>
      </c>
      <c r="BT90" s="284">
        <v>110</v>
      </c>
      <c r="BU90" s="285">
        <v>110</v>
      </c>
      <c r="BV90" s="402">
        <v>0</v>
      </c>
      <c r="BW90" s="470"/>
      <c r="BX90" s="472"/>
      <c r="BY90" s="573"/>
      <c r="BZ90" s="574"/>
      <c r="CA90" s="575"/>
    </row>
    <row r="91" spans="1:79" s="521" customFormat="1" ht="46" customHeight="1" thickBot="1">
      <c r="A91" s="294"/>
      <c r="B91" s="295"/>
      <c r="C91" s="420"/>
      <c r="D91" s="421" t="s">
        <v>2129</v>
      </c>
      <c r="E91" s="612"/>
      <c r="F91" s="423">
        <v>0</v>
      </c>
      <c r="G91" s="423">
        <v>0</v>
      </c>
      <c r="H91" s="424">
        <v>0</v>
      </c>
      <c r="I91" s="425">
        <v>0</v>
      </c>
      <c r="J91" s="425">
        <v>0</v>
      </c>
      <c r="K91" s="424">
        <v>0</v>
      </c>
      <c r="L91" s="673">
        <v>0</v>
      </c>
      <c r="M91" s="425">
        <v>0</v>
      </c>
      <c r="N91" s="425">
        <v>0</v>
      </c>
      <c r="O91" s="425">
        <v>0</v>
      </c>
      <c r="P91" s="426"/>
      <c r="Q91" s="426"/>
      <c r="R91" s="427"/>
      <c r="S91" s="428"/>
      <c r="T91" s="428"/>
      <c r="U91" s="473"/>
      <c r="V91" s="473"/>
      <c r="W91" s="474"/>
      <c r="X91" s="650"/>
      <c r="Y91" s="475"/>
      <c r="Z91" s="476"/>
      <c r="AA91" s="651"/>
      <c r="AB91" s="652"/>
      <c r="AC91" s="477"/>
      <c r="AD91" s="478"/>
      <c r="AE91" s="479"/>
      <c r="AF91" s="653"/>
      <c r="AG91" s="480"/>
      <c r="AH91" s="654"/>
      <c r="AI91" s="442"/>
      <c r="AJ91" s="652"/>
      <c r="AK91" s="517"/>
      <c r="AL91" s="518" t="s">
        <v>2143</v>
      </c>
      <c r="AM91" s="277">
        <v>46279</v>
      </c>
      <c r="AN91" s="277">
        <v>46301</v>
      </c>
      <c r="AO91" s="278">
        <v>22</v>
      </c>
      <c r="AP91" s="506"/>
      <c r="AQ91" s="506"/>
      <c r="AR91" s="506"/>
      <c r="AS91" s="506"/>
      <c r="AT91" s="506"/>
      <c r="AU91" s="506"/>
      <c r="AV91" s="506"/>
      <c r="AW91" s="506"/>
      <c r="AX91" s="506"/>
      <c r="AY91" s="519"/>
      <c r="AZ91" s="417">
        <v>0</v>
      </c>
      <c r="BA91" s="418">
        <v>0</v>
      </c>
      <c r="BB91" s="418">
        <v>0</v>
      </c>
      <c r="BC91" s="328">
        <v>108</v>
      </c>
      <c r="BD91" s="325">
        <v>108</v>
      </c>
      <c r="BE91" s="326">
        <v>108</v>
      </c>
      <c r="BF91" s="327">
        <v>108</v>
      </c>
      <c r="BG91" s="328">
        <v>108</v>
      </c>
      <c r="BH91" s="328">
        <v>108</v>
      </c>
      <c r="BI91" s="328">
        <v>108</v>
      </c>
      <c r="BJ91" s="328">
        <v>108</v>
      </c>
      <c r="BK91" s="328">
        <v>108</v>
      </c>
      <c r="BL91" s="328">
        <v>108</v>
      </c>
      <c r="BM91" s="328">
        <v>108</v>
      </c>
      <c r="BN91" s="328">
        <v>108</v>
      </c>
      <c r="BO91" s="328">
        <v>108</v>
      </c>
      <c r="BP91" s="328">
        <v>108</v>
      </c>
      <c r="BQ91" s="328">
        <v>108</v>
      </c>
      <c r="BR91" s="328">
        <v>108</v>
      </c>
      <c r="BS91" s="325">
        <v>108</v>
      </c>
      <c r="BT91" s="326">
        <v>108</v>
      </c>
      <c r="BU91" s="327">
        <v>108</v>
      </c>
      <c r="BV91" s="419">
        <v>0</v>
      </c>
      <c r="BW91" s="613"/>
      <c r="BX91" s="520"/>
      <c r="BY91" s="573"/>
      <c r="BZ91" s="614"/>
      <c r="CA91" s="615"/>
    </row>
    <row r="92" spans="1:79" ht="46" customHeight="1" thickTop="1" thickBot="1">
      <c r="A92" s="294"/>
      <c r="B92" s="295"/>
      <c r="C92" s="296">
        <v>32</v>
      </c>
      <c r="D92" s="870">
        <v>238</v>
      </c>
      <c r="E92" s="609" t="s">
        <v>2321</v>
      </c>
      <c r="F92" s="875">
        <v>90</v>
      </c>
      <c r="G92" s="299">
        <v>92</v>
      </c>
      <c r="H92" s="300">
        <v>12</v>
      </c>
      <c r="I92" s="301" t="s">
        <v>2167</v>
      </c>
      <c r="J92" s="301" t="s">
        <v>2132</v>
      </c>
      <c r="K92" s="300">
        <v>60</v>
      </c>
      <c r="L92" s="671" t="s">
        <v>2134</v>
      </c>
      <c r="M92" s="301" t="s">
        <v>2177</v>
      </c>
      <c r="N92" s="301" t="s">
        <v>2134</v>
      </c>
      <c r="O92" s="301" t="s">
        <v>2240</v>
      </c>
      <c r="P92" s="302" t="s">
        <v>2133</v>
      </c>
      <c r="Q92" s="302" t="s">
        <v>2129</v>
      </c>
      <c r="R92" s="303"/>
      <c r="S92" s="304" t="s">
        <v>2136</v>
      </c>
      <c r="T92" s="2720"/>
      <c r="U92" s="482" t="s">
        <v>2322</v>
      </c>
      <c r="V92" s="482" t="s">
        <v>2315</v>
      </c>
      <c r="W92" s="483">
        <v>52</v>
      </c>
      <c r="X92" s="655">
        <v>52</v>
      </c>
      <c r="Y92" s="484">
        <v>5.9</v>
      </c>
      <c r="Z92" s="485">
        <v>15</v>
      </c>
      <c r="AA92" s="457">
        <v>40</v>
      </c>
      <c r="AB92" s="656">
        <v>0.43478260869565216</v>
      </c>
      <c r="AC92" s="486" t="s">
        <v>2172</v>
      </c>
      <c r="AD92" s="487" t="s">
        <v>2134</v>
      </c>
      <c r="AE92" s="488">
        <v>0</v>
      </c>
      <c r="AF92" s="657">
        <v>0</v>
      </c>
      <c r="AG92" s="489"/>
      <c r="AH92" s="635"/>
      <c r="AI92" s="318">
        <v>92</v>
      </c>
      <c r="AJ92" s="656">
        <v>1</v>
      </c>
      <c r="AK92" s="491" t="s">
        <v>2323</v>
      </c>
      <c r="AL92" s="492" t="s">
        <v>2140</v>
      </c>
      <c r="AM92" s="865">
        <v>46279</v>
      </c>
      <c r="AN92" s="865">
        <v>46301</v>
      </c>
      <c r="AO92" s="866">
        <v>22</v>
      </c>
      <c r="AP92" s="493"/>
      <c r="AQ92" s="493"/>
      <c r="AR92" s="493"/>
      <c r="AS92" s="493"/>
      <c r="AT92" s="493"/>
      <c r="AU92" s="493"/>
      <c r="AV92" s="493"/>
      <c r="AW92" s="493"/>
      <c r="AX92" s="493"/>
      <c r="AY92" s="494"/>
      <c r="AZ92" s="463">
        <v>0</v>
      </c>
      <c r="BA92" s="464">
        <v>0</v>
      </c>
      <c r="BB92" s="464">
        <v>0</v>
      </c>
      <c r="BC92" s="465">
        <v>52</v>
      </c>
      <c r="BD92" s="466">
        <v>52</v>
      </c>
      <c r="BE92" s="467">
        <v>52</v>
      </c>
      <c r="BF92" s="468">
        <v>52</v>
      </c>
      <c r="BG92" s="465">
        <v>52</v>
      </c>
      <c r="BH92" s="465">
        <v>52</v>
      </c>
      <c r="BI92" s="465">
        <v>52</v>
      </c>
      <c r="BJ92" s="465">
        <v>52</v>
      </c>
      <c r="BK92" s="465">
        <v>52</v>
      </c>
      <c r="BL92" s="465">
        <v>52</v>
      </c>
      <c r="BM92" s="465">
        <v>52</v>
      </c>
      <c r="BN92" s="465">
        <v>52</v>
      </c>
      <c r="BO92" s="465">
        <v>52</v>
      </c>
      <c r="BP92" s="465">
        <v>52</v>
      </c>
      <c r="BQ92" s="465">
        <v>52</v>
      </c>
      <c r="BR92" s="465">
        <v>52</v>
      </c>
      <c r="BS92" s="466">
        <v>52</v>
      </c>
      <c r="BT92" s="467">
        <v>52</v>
      </c>
      <c r="BU92" s="468">
        <v>52</v>
      </c>
      <c r="BV92" s="469">
        <v>0</v>
      </c>
      <c r="BW92" s="498"/>
      <c r="BX92" s="499"/>
      <c r="BY92" s="573"/>
      <c r="BZ92" s="610"/>
      <c r="CA92" s="611"/>
    </row>
    <row r="93" spans="1:79" s="521" customFormat="1" ht="46" customHeight="1" thickTop="1" thickBot="1">
      <c r="A93" s="294"/>
      <c r="B93" s="567"/>
      <c r="C93" s="420"/>
      <c r="D93" s="421" t="s">
        <v>2129</v>
      </c>
      <c r="E93" s="612"/>
      <c r="F93" s="423">
        <v>0</v>
      </c>
      <c r="G93" s="423">
        <v>0</v>
      </c>
      <c r="H93" s="424">
        <v>0</v>
      </c>
      <c r="I93" s="425">
        <v>0</v>
      </c>
      <c r="J93" s="425">
        <v>0</v>
      </c>
      <c r="K93" s="424">
        <v>0</v>
      </c>
      <c r="L93" s="673">
        <v>0</v>
      </c>
      <c r="M93" s="425">
        <v>0</v>
      </c>
      <c r="N93" s="425">
        <v>0</v>
      </c>
      <c r="O93" s="425">
        <v>0</v>
      </c>
      <c r="P93" s="426"/>
      <c r="Q93" s="426"/>
      <c r="R93" s="427"/>
      <c r="S93" s="428"/>
      <c r="T93" s="428"/>
      <c r="U93" s="473"/>
      <c r="V93" s="473"/>
      <c r="W93" s="474"/>
      <c r="X93" s="650"/>
      <c r="Y93" s="475"/>
      <c r="Z93" s="476"/>
      <c r="AA93" s="651"/>
      <c r="AB93" s="652"/>
      <c r="AC93" s="477"/>
      <c r="AD93" s="478"/>
      <c r="AE93" s="479"/>
      <c r="AF93" s="653"/>
      <c r="AG93" s="480"/>
      <c r="AH93" s="481"/>
      <c r="AI93" s="442"/>
      <c r="AJ93" s="652"/>
      <c r="AK93" s="517"/>
      <c r="AL93" s="518" t="s">
        <v>2143</v>
      </c>
      <c r="AM93" s="277" t="s">
        <v>2129</v>
      </c>
      <c r="AN93" s="277" t="s">
        <v>2129</v>
      </c>
      <c r="AO93" s="278" t="s">
        <v>2129</v>
      </c>
      <c r="AP93" s="321"/>
      <c r="AQ93" s="321"/>
      <c r="AR93" s="321"/>
      <c r="AS93" s="321"/>
      <c r="AT93" s="321"/>
      <c r="AU93" s="321"/>
      <c r="AV93" s="321"/>
      <c r="AW93" s="321"/>
      <c r="AX93" s="321"/>
      <c r="AY93" s="321"/>
      <c r="AZ93" s="336"/>
      <c r="BA93" s="336"/>
      <c r="BB93" s="336"/>
      <c r="BC93" s="336"/>
      <c r="BD93" s="337"/>
      <c r="BE93" s="338"/>
      <c r="BF93" s="339"/>
      <c r="BG93" s="336"/>
      <c r="BH93" s="336"/>
      <c r="BI93" s="336"/>
      <c r="BJ93" s="336"/>
      <c r="BK93" s="336"/>
      <c r="BL93" s="336"/>
      <c r="BM93" s="445"/>
      <c r="BN93" s="445"/>
      <c r="BO93" s="445"/>
      <c r="BP93" s="445"/>
      <c r="BQ93" s="445"/>
      <c r="BR93" s="445"/>
      <c r="BS93" s="446"/>
      <c r="BT93" s="447"/>
      <c r="BU93" s="448"/>
      <c r="BV93" s="445"/>
      <c r="BW93" s="506"/>
      <c r="BX93" s="520"/>
      <c r="BY93" s="573"/>
      <c r="BZ93" s="614"/>
      <c r="CA93" s="615"/>
    </row>
    <row r="94" spans="1:79" ht="46" customHeight="1" thickTop="1" thickBot="1">
      <c r="A94" s="294"/>
      <c r="B94" s="295" t="s">
        <v>2324</v>
      </c>
      <c r="C94" s="296">
        <v>33</v>
      </c>
      <c r="D94" s="870">
        <v>241</v>
      </c>
      <c r="E94" s="298" t="s">
        <v>2325</v>
      </c>
      <c r="F94" s="875">
        <v>152</v>
      </c>
      <c r="G94" s="299">
        <v>362</v>
      </c>
      <c r="H94" s="300">
        <v>10</v>
      </c>
      <c r="I94" s="301" t="s">
        <v>2134</v>
      </c>
      <c r="J94" s="301" t="s">
        <v>2132</v>
      </c>
      <c r="K94" s="300">
        <v>120</v>
      </c>
      <c r="L94" s="301" t="s">
        <v>2134</v>
      </c>
      <c r="M94" s="301" t="s">
        <v>2133</v>
      </c>
      <c r="N94" s="301" t="s">
        <v>2133</v>
      </c>
      <c r="O94" s="301" t="s">
        <v>2235</v>
      </c>
      <c r="P94" s="302" t="s">
        <v>2133</v>
      </c>
      <c r="Q94" s="302" t="s">
        <v>2133</v>
      </c>
      <c r="R94" s="303"/>
      <c r="S94" s="304" t="s">
        <v>2136</v>
      </c>
      <c r="T94" s="304" t="s">
        <v>2136</v>
      </c>
      <c r="U94" s="508" t="s">
        <v>2326</v>
      </c>
      <c r="V94" s="508" t="s">
        <v>2324</v>
      </c>
      <c r="W94" s="509">
        <v>323</v>
      </c>
      <c r="X94" s="621">
        <v>323</v>
      </c>
      <c r="Y94" s="510">
        <v>16.899999999999999</v>
      </c>
      <c r="Z94" s="511">
        <v>26</v>
      </c>
      <c r="AA94" s="674">
        <v>39</v>
      </c>
      <c r="AB94" s="623">
        <v>0.10773480662983426</v>
      </c>
      <c r="AC94" s="512" t="s">
        <v>2327</v>
      </c>
      <c r="AD94" s="388" t="s">
        <v>2324</v>
      </c>
      <c r="AE94" s="389">
        <v>263</v>
      </c>
      <c r="AF94" s="624">
        <v>263</v>
      </c>
      <c r="AG94" s="513">
        <v>16.899999999999999</v>
      </c>
      <c r="AH94" s="665">
        <v>26</v>
      </c>
      <c r="AI94" s="318">
        <v>99</v>
      </c>
      <c r="AJ94" s="311">
        <v>0.27348066298342544</v>
      </c>
      <c r="AK94" s="491" t="s">
        <v>2328</v>
      </c>
      <c r="AL94" s="675" t="s">
        <v>2140</v>
      </c>
      <c r="AM94" s="865">
        <v>46269</v>
      </c>
      <c r="AN94" s="865">
        <v>46291</v>
      </c>
      <c r="AO94" s="866">
        <v>22</v>
      </c>
      <c r="AP94" s="495">
        <v>0</v>
      </c>
      <c r="AQ94" s="282">
        <v>0</v>
      </c>
      <c r="AR94" s="282">
        <v>0</v>
      </c>
      <c r="AS94" s="286">
        <v>323</v>
      </c>
      <c r="AT94" s="286">
        <v>323</v>
      </c>
      <c r="AU94" s="286">
        <v>323</v>
      </c>
      <c r="AV94" s="286">
        <v>323</v>
      </c>
      <c r="AW94" s="286">
        <v>323</v>
      </c>
      <c r="AX94" s="286">
        <v>323</v>
      </c>
      <c r="AY94" s="286">
        <v>323</v>
      </c>
      <c r="AZ94" s="286">
        <v>323</v>
      </c>
      <c r="BA94" s="286">
        <v>323</v>
      </c>
      <c r="BB94" s="286">
        <v>323</v>
      </c>
      <c r="BC94" s="286">
        <v>323</v>
      </c>
      <c r="BD94" s="283">
        <v>323</v>
      </c>
      <c r="BE94" s="284">
        <v>323</v>
      </c>
      <c r="BF94" s="285">
        <v>323</v>
      </c>
      <c r="BG94" s="286">
        <v>323</v>
      </c>
      <c r="BH94" s="286">
        <v>323</v>
      </c>
      <c r="BI94" s="286">
        <v>323</v>
      </c>
      <c r="BJ94" s="286">
        <v>323</v>
      </c>
      <c r="BK94" s="286">
        <v>323</v>
      </c>
      <c r="BL94" s="402">
        <v>0</v>
      </c>
      <c r="BM94" s="498"/>
      <c r="BN94" s="493"/>
      <c r="BO94" s="493"/>
      <c r="BP94" s="493"/>
      <c r="BQ94" s="493"/>
      <c r="BR94" s="493"/>
      <c r="BS94" s="494"/>
      <c r="BT94" s="497"/>
      <c r="BU94" s="498"/>
      <c r="BV94" s="493"/>
      <c r="BW94" s="493"/>
      <c r="BX94" s="499"/>
      <c r="BY94" s="290"/>
      <c r="BZ94" s="332"/>
      <c r="CA94" s="333"/>
    </row>
    <row r="95" spans="1:79" ht="46" customHeight="1" thickBot="1">
      <c r="A95" s="294"/>
      <c r="B95" s="295"/>
      <c r="C95" s="296"/>
      <c r="D95" s="297" t="s">
        <v>2129</v>
      </c>
      <c r="E95" s="612" t="s">
        <v>2329</v>
      </c>
      <c r="F95" s="299" t="s">
        <v>2129</v>
      </c>
      <c r="G95" s="299" t="s">
        <v>2129</v>
      </c>
      <c r="H95" s="300" t="s">
        <v>2129</v>
      </c>
      <c r="I95" s="301" t="s">
        <v>2129</v>
      </c>
      <c r="J95" s="301" t="s">
        <v>2129</v>
      </c>
      <c r="K95" s="300" t="s">
        <v>2129</v>
      </c>
      <c r="L95" s="301" t="s">
        <v>2129</v>
      </c>
      <c r="M95" s="301" t="s">
        <v>2129</v>
      </c>
      <c r="N95" s="301" t="s">
        <v>2129</v>
      </c>
      <c r="O95" s="301" t="s">
        <v>2129</v>
      </c>
      <c r="P95" s="302"/>
      <c r="Q95" s="302"/>
      <c r="R95" s="303"/>
      <c r="S95" s="304"/>
      <c r="T95" s="304"/>
      <c r="U95" s="625" t="s">
        <v>2259</v>
      </c>
      <c r="V95" s="482"/>
      <c r="W95" s="483"/>
      <c r="X95" s="307"/>
      <c r="Y95" s="484">
        <v>20.8</v>
      </c>
      <c r="Z95" s="485">
        <v>32</v>
      </c>
      <c r="AA95" s="310"/>
      <c r="AB95" s="311"/>
      <c r="AC95" s="626" t="s">
        <v>2259</v>
      </c>
      <c r="AD95" s="583"/>
      <c r="AE95" s="584"/>
      <c r="AF95" s="315"/>
      <c r="AG95" s="489">
        <v>20.8</v>
      </c>
      <c r="AH95" s="635">
        <v>32</v>
      </c>
      <c r="AI95" s="365"/>
      <c r="AJ95" s="311"/>
      <c r="AK95" s="565"/>
      <c r="AL95" s="676" t="s">
        <v>2143</v>
      </c>
      <c r="AM95" s="277">
        <v>46269</v>
      </c>
      <c r="AN95" s="277">
        <v>46291</v>
      </c>
      <c r="AO95" s="278">
        <v>22</v>
      </c>
      <c r="AP95" s="417">
        <v>0</v>
      </c>
      <c r="AQ95" s="418">
        <v>0</v>
      </c>
      <c r="AR95" s="418">
        <v>0</v>
      </c>
      <c r="AS95" s="328">
        <v>263</v>
      </c>
      <c r="AT95" s="328">
        <v>263</v>
      </c>
      <c r="AU95" s="328">
        <v>263</v>
      </c>
      <c r="AV95" s="328">
        <v>263</v>
      </c>
      <c r="AW95" s="328">
        <v>263</v>
      </c>
      <c r="AX95" s="328">
        <v>263</v>
      </c>
      <c r="AY95" s="328">
        <v>263</v>
      </c>
      <c r="AZ95" s="328">
        <v>263</v>
      </c>
      <c r="BA95" s="328">
        <v>263</v>
      </c>
      <c r="BB95" s="328">
        <v>263</v>
      </c>
      <c r="BC95" s="328">
        <v>263</v>
      </c>
      <c r="BD95" s="325">
        <v>263</v>
      </c>
      <c r="BE95" s="502">
        <v>263</v>
      </c>
      <c r="BF95" s="503">
        <v>263</v>
      </c>
      <c r="BG95" s="321">
        <v>263</v>
      </c>
      <c r="BH95" s="321">
        <v>263</v>
      </c>
      <c r="BI95" s="321">
        <v>263</v>
      </c>
      <c r="BJ95" s="321">
        <v>263</v>
      </c>
      <c r="BK95" s="321">
        <v>263</v>
      </c>
      <c r="BL95" s="504">
        <v>0</v>
      </c>
      <c r="BM95" s="503"/>
      <c r="BN95" s="321"/>
      <c r="BO95" s="321"/>
      <c r="BP95" s="321"/>
      <c r="BQ95" s="321"/>
      <c r="BR95" s="321"/>
      <c r="BS95" s="322"/>
      <c r="BT95" s="502"/>
      <c r="BU95" s="503"/>
      <c r="BV95" s="321"/>
      <c r="BW95" s="321"/>
      <c r="BX95" s="507"/>
      <c r="BY95" s="290"/>
      <c r="BZ95" s="614"/>
      <c r="CA95" s="615"/>
    </row>
    <row r="96" spans="1:79" ht="46" customHeight="1" thickTop="1" thickBot="1">
      <c r="A96" s="246" t="s">
        <v>2330</v>
      </c>
      <c r="B96" s="247" t="s">
        <v>2331</v>
      </c>
      <c r="C96" s="248">
        <v>34</v>
      </c>
      <c r="D96" s="869">
        <v>249</v>
      </c>
      <c r="E96" s="593" t="s">
        <v>2332</v>
      </c>
      <c r="F96" s="877">
        <v>101</v>
      </c>
      <c r="G96" s="252">
        <v>202</v>
      </c>
      <c r="H96" s="594">
        <v>20</v>
      </c>
      <c r="I96" s="257" t="s">
        <v>2167</v>
      </c>
      <c r="J96" s="257" t="s">
        <v>2132</v>
      </c>
      <c r="K96" s="594">
        <v>100</v>
      </c>
      <c r="L96" s="677" t="s">
        <v>2134</v>
      </c>
      <c r="M96" s="257" t="s">
        <v>2133</v>
      </c>
      <c r="N96" s="257" t="s">
        <v>2133</v>
      </c>
      <c r="O96" s="257" t="s">
        <v>2183</v>
      </c>
      <c r="P96" s="258" t="s">
        <v>2133</v>
      </c>
      <c r="Q96" s="258" t="s">
        <v>2133</v>
      </c>
      <c r="R96" s="595"/>
      <c r="S96" s="260" t="s">
        <v>2136</v>
      </c>
      <c r="T96" s="260" t="s">
        <v>2136</v>
      </c>
      <c r="U96" s="596" t="s">
        <v>2333</v>
      </c>
      <c r="V96" s="596" t="s">
        <v>2315</v>
      </c>
      <c r="W96" s="597">
        <v>120</v>
      </c>
      <c r="X96" s="678">
        <v>120</v>
      </c>
      <c r="Y96" s="598">
        <v>23</v>
      </c>
      <c r="Z96" s="599">
        <v>41</v>
      </c>
      <c r="AA96" s="679">
        <v>82</v>
      </c>
      <c r="AB96" s="680">
        <v>0.40594059405940597</v>
      </c>
      <c r="AC96" s="600" t="s">
        <v>2334</v>
      </c>
      <c r="AD96" s="601" t="s">
        <v>2315</v>
      </c>
      <c r="AE96" s="602">
        <v>120</v>
      </c>
      <c r="AF96" s="681">
        <v>120</v>
      </c>
      <c r="AG96" s="603">
        <v>23</v>
      </c>
      <c r="AH96" s="682">
        <v>41</v>
      </c>
      <c r="AI96" s="318">
        <v>82</v>
      </c>
      <c r="AJ96" s="680">
        <v>0.40594059405940597</v>
      </c>
      <c r="AK96" s="275" t="s">
        <v>2335</v>
      </c>
      <c r="AL96" s="276" t="s">
        <v>2140</v>
      </c>
      <c r="AM96" s="865">
        <v>46284</v>
      </c>
      <c r="AN96" s="865">
        <v>46302</v>
      </c>
      <c r="AO96" s="866">
        <v>18</v>
      </c>
      <c r="AP96" s="493"/>
      <c r="AQ96" s="493"/>
      <c r="AR96" s="493"/>
      <c r="AS96" s="493"/>
      <c r="AT96" s="493"/>
      <c r="AU96" s="493"/>
      <c r="AV96" s="493"/>
      <c r="AW96" s="493"/>
      <c r="AX96" s="493"/>
      <c r="AY96" s="493"/>
      <c r="AZ96" s="493"/>
      <c r="BA96" s="493"/>
      <c r="BB96" s="493"/>
      <c r="BC96" s="493"/>
      <c r="BD96" s="494"/>
      <c r="BE96" s="683">
        <v>0</v>
      </c>
      <c r="BF96" s="684">
        <v>0</v>
      </c>
      <c r="BG96" s="282">
        <v>0</v>
      </c>
      <c r="BH96" s="286">
        <v>120</v>
      </c>
      <c r="BI96" s="286">
        <v>120</v>
      </c>
      <c r="BJ96" s="286">
        <v>120</v>
      </c>
      <c r="BK96" s="286">
        <v>120</v>
      </c>
      <c r="BL96" s="286">
        <v>120</v>
      </c>
      <c r="BM96" s="286">
        <v>120</v>
      </c>
      <c r="BN96" s="286">
        <v>120</v>
      </c>
      <c r="BO96" s="286">
        <v>120</v>
      </c>
      <c r="BP96" s="286">
        <v>120</v>
      </c>
      <c r="BQ96" s="286">
        <v>120</v>
      </c>
      <c r="BR96" s="286">
        <v>120</v>
      </c>
      <c r="BS96" s="283">
        <v>120</v>
      </c>
      <c r="BT96" s="284">
        <v>120</v>
      </c>
      <c r="BU96" s="285">
        <v>120</v>
      </c>
      <c r="BV96" s="286">
        <v>120</v>
      </c>
      <c r="BW96" s="402">
        <v>0</v>
      </c>
      <c r="BX96" s="289"/>
      <c r="BY96" s="573"/>
      <c r="BZ96" s="607"/>
      <c r="CA96" s="608"/>
    </row>
    <row r="97" spans="1:79" s="521" customFormat="1" ht="46" customHeight="1" thickBot="1">
      <c r="A97" s="294"/>
      <c r="B97" s="295"/>
      <c r="C97" s="420"/>
      <c r="D97" s="421" t="s">
        <v>2129</v>
      </c>
      <c r="E97" s="612"/>
      <c r="F97" s="423">
        <v>0</v>
      </c>
      <c r="G97" s="423">
        <v>0</v>
      </c>
      <c r="H97" s="424">
        <v>0</v>
      </c>
      <c r="I97" s="425">
        <v>0</v>
      </c>
      <c r="J97" s="425">
        <v>0</v>
      </c>
      <c r="K97" s="424">
        <v>0</v>
      </c>
      <c r="L97" s="673">
        <v>0</v>
      </c>
      <c r="M97" s="425">
        <v>0</v>
      </c>
      <c r="N97" s="425">
        <v>0</v>
      </c>
      <c r="O97" s="425">
        <v>0</v>
      </c>
      <c r="P97" s="426"/>
      <c r="Q97" s="426"/>
      <c r="R97" s="427"/>
      <c r="S97" s="428"/>
      <c r="T97" s="428"/>
      <c r="U97" s="473"/>
      <c r="V97" s="473"/>
      <c r="W97" s="474"/>
      <c r="X97" s="650"/>
      <c r="Y97" s="475"/>
      <c r="Z97" s="476"/>
      <c r="AA97" s="651"/>
      <c r="AB97" s="652"/>
      <c r="AC97" s="477"/>
      <c r="AD97" s="478"/>
      <c r="AE97" s="479"/>
      <c r="AF97" s="653"/>
      <c r="AG97" s="480"/>
      <c r="AH97" s="481"/>
      <c r="AI97" s="442"/>
      <c r="AJ97" s="652"/>
      <c r="AK97" s="517"/>
      <c r="AL97" s="518" t="s">
        <v>2143</v>
      </c>
      <c r="AM97" s="277">
        <v>46284</v>
      </c>
      <c r="AN97" s="277">
        <v>46302</v>
      </c>
      <c r="AO97" s="278">
        <v>18</v>
      </c>
      <c r="AP97" s="506"/>
      <c r="AQ97" s="506"/>
      <c r="AR97" s="506"/>
      <c r="AS97" s="506"/>
      <c r="AT97" s="506"/>
      <c r="AU97" s="506"/>
      <c r="AV97" s="506"/>
      <c r="AW97" s="506"/>
      <c r="AX97" s="506"/>
      <c r="AY97" s="506"/>
      <c r="AZ97" s="506"/>
      <c r="BA97" s="506"/>
      <c r="BB97" s="506"/>
      <c r="BC97" s="506"/>
      <c r="BD97" s="519"/>
      <c r="BE97" s="685">
        <v>0</v>
      </c>
      <c r="BF97" s="686">
        <v>0</v>
      </c>
      <c r="BG97" s="418">
        <v>0</v>
      </c>
      <c r="BH97" s="328">
        <v>120</v>
      </c>
      <c r="BI97" s="328">
        <v>120</v>
      </c>
      <c r="BJ97" s="328">
        <v>120</v>
      </c>
      <c r="BK97" s="328">
        <v>120</v>
      </c>
      <c r="BL97" s="328">
        <v>120</v>
      </c>
      <c r="BM97" s="328">
        <v>120</v>
      </c>
      <c r="BN97" s="328">
        <v>120</v>
      </c>
      <c r="BO97" s="328">
        <v>120</v>
      </c>
      <c r="BP97" s="328">
        <v>120</v>
      </c>
      <c r="BQ97" s="328">
        <v>120</v>
      </c>
      <c r="BR97" s="328">
        <v>120</v>
      </c>
      <c r="BS97" s="325">
        <v>120</v>
      </c>
      <c r="BT97" s="326">
        <v>120</v>
      </c>
      <c r="BU97" s="327">
        <v>120</v>
      </c>
      <c r="BV97" s="328">
        <v>120</v>
      </c>
      <c r="BW97" s="419">
        <v>0</v>
      </c>
      <c r="BX97" s="687"/>
      <c r="BY97" s="573"/>
      <c r="BZ97" s="614"/>
      <c r="CA97" s="615"/>
    </row>
    <row r="98" spans="1:79" ht="46" customHeight="1" thickTop="1" thickBot="1">
      <c r="A98" s="294"/>
      <c r="B98" s="295"/>
      <c r="C98" s="296">
        <v>35</v>
      </c>
      <c r="D98" s="870">
        <v>250</v>
      </c>
      <c r="E98" s="609" t="s">
        <v>2336</v>
      </c>
      <c r="F98" s="878">
        <v>50</v>
      </c>
      <c r="G98" s="688">
        <v>100</v>
      </c>
      <c r="H98" s="300">
        <v>16</v>
      </c>
      <c r="I98" s="301" t="s">
        <v>2167</v>
      </c>
      <c r="J98" s="301" t="s">
        <v>2132</v>
      </c>
      <c r="K98" s="300">
        <v>200</v>
      </c>
      <c r="L98" s="671" t="s">
        <v>2134</v>
      </c>
      <c r="M98" s="301" t="s">
        <v>2134</v>
      </c>
      <c r="N98" s="301" t="s">
        <v>2134</v>
      </c>
      <c r="O98" s="301" t="s">
        <v>2288</v>
      </c>
      <c r="P98" s="302" t="s">
        <v>2133</v>
      </c>
      <c r="Q98" s="302" t="s">
        <v>2133</v>
      </c>
      <c r="R98" s="303"/>
      <c r="S98" s="304" t="s">
        <v>2136</v>
      </c>
      <c r="T98" s="304" t="s">
        <v>2136</v>
      </c>
      <c r="U98" s="482" t="s">
        <v>2337</v>
      </c>
      <c r="V98" s="482" t="s">
        <v>2315</v>
      </c>
      <c r="W98" s="483">
        <v>90</v>
      </c>
      <c r="X98" s="655">
        <v>90</v>
      </c>
      <c r="Y98" s="484">
        <v>23</v>
      </c>
      <c r="Z98" s="485">
        <v>41</v>
      </c>
      <c r="AA98" s="457">
        <v>10</v>
      </c>
      <c r="AB98" s="656">
        <v>0.1</v>
      </c>
      <c r="AC98" s="486" t="s">
        <v>2337</v>
      </c>
      <c r="AD98" s="487" t="s">
        <v>2315</v>
      </c>
      <c r="AE98" s="488">
        <v>90</v>
      </c>
      <c r="AF98" s="657">
        <v>90</v>
      </c>
      <c r="AG98" s="489">
        <v>23</v>
      </c>
      <c r="AH98" s="490">
        <v>41</v>
      </c>
      <c r="AI98" s="318">
        <v>10</v>
      </c>
      <c r="AJ98" s="656">
        <v>0.1</v>
      </c>
      <c r="AK98" s="491" t="s">
        <v>2338</v>
      </c>
      <c r="AL98" s="492" t="s">
        <v>2140</v>
      </c>
      <c r="AM98" s="865">
        <v>46284</v>
      </c>
      <c r="AN98" s="865">
        <v>46302</v>
      </c>
      <c r="AO98" s="866">
        <v>18</v>
      </c>
      <c r="AP98" s="493"/>
      <c r="AQ98" s="493"/>
      <c r="AR98" s="493"/>
      <c r="AS98" s="493"/>
      <c r="AT98" s="493"/>
      <c r="AU98" s="493"/>
      <c r="AV98" s="493"/>
      <c r="AW98" s="493"/>
      <c r="AX98" s="493"/>
      <c r="AY98" s="493"/>
      <c r="AZ98" s="493"/>
      <c r="BA98" s="493"/>
      <c r="BB98" s="493"/>
      <c r="BC98" s="493"/>
      <c r="BD98" s="494"/>
      <c r="BE98" s="683">
        <v>0</v>
      </c>
      <c r="BF98" s="684">
        <v>0</v>
      </c>
      <c r="BG98" s="282">
        <v>0</v>
      </c>
      <c r="BH98" s="286">
        <v>90</v>
      </c>
      <c r="BI98" s="286">
        <v>90</v>
      </c>
      <c r="BJ98" s="286">
        <v>90</v>
      </c>
      <c r="BK98" s="286">
        <v>90</v>
      </c>
      <c r="BL98" s="286">
        <v>90</v>
      </c>
      <c r="BM98" s="286">
        <v>90</v>
      </c>
      <c r="BN98" s="286">
        <v>90</v>
      </c>
      <c r="BO98" s="286">
        <v>90</v>
      </c>
      <c r="BP98" s="286">
        <v>90</v>
      </c>
      <c r="BQ98" s="286">
        <v>90</v>
      </c>
      <c r="BR98" s="286">
        <v>90</v>
      </c>
      <c r="BS98" s="283">
        <v>90</v>
      </c>
      <c r="BT98" s="284">
        <v>90</v>
      </c>
      <c r="BU98" s="285">
        <v>90</v>
      </c>
      <c r="BV98" s="286">
        <v>90</v>
      </c>
      <c r="BW98" s="402">
        <v>0</v>
      </c>
      <c r="BX98" s="532"/>
      <c r="BY98" s="573"/>
      <c r="BZ98" s="610"/>
      <c r="CA98" s="611"/>
    </row>
    <row r="99" spans="1:79" s="521" customFormat="1" ht="46" customHeight="1" thickBot="1">
      <c r="A99" s="294"/>
      <c r="B99" s="295"/>
      <c r="C99" s="420"/>
      <c r="D99" s="421" t="s">
        <v>2129</v>
      </c>
      <c r="E99" s="612"/>
      <c r="F99" s="423">
        <v>0</v>
      </c>
      <c r="G99" s="423">
        <v>0</v>
      </c>
      <c r="H99" s="424">
        <v>0</v>
      </c>
      <c r="I99" s="425">
        <v>0</v>
      </c>
      <c r="J99" s="425">
        <v>0</v>
      </c>
      <c r="K99" s="424">
        <v>0</v>
      </c>
      <c r="L99" s="673">
        <v>0</v>
      </c>
      <c r="M99" s="425">
        <v>0</v>
      </c>
      <c r="N99" s="425">
        <v>0</v>
      </c>
      <c r="O99" s="425">
        <v>0</v>
      </c>
      <c r="P99" s="426" t="s">
        <v>2129</v>
      </c>
      <c r="Q99" s="426"/>
      <c r="R99" s="427"/>
      <c r="S99" s="428"/>
      <c r="T99" s="428"/>
      <c r="U99" s="473"/>
      <c r="V99" s="473"/>
      <c r="W99" s="474"/>
      <c r="X99" s="650"/>
      <c r="Y99" s="475"/>
      <c r="Z99" s="476"/>
      <c r="AA99" s="651"/>
      <c r="AB99" s="652"/>
      <c r="AC99" s="477"/>
      <c r="AD99" s="478"/>
      <c r="AE99" s="479"/>
      <c r="AF99" s="653"/>
      <c r="AG99" s="480"/>
      <c r="AH99" s="654"/>
      <c r="AI99" s="442"/>
      <c r="AJ99" s="652"/>
      <c r="AK99" s="517"/>
      <c r="AL99" s="518" t="s">
        <v>2143</v>
      </c>
      <c r="AM99" s="277">
        <v>46284</v>
      </c>
      <c r="AN99" s="277">
        <v>46302</v>
      </c>
      <c r="AO99" s="278">
        <v>18</v>
      </c>
      <c r="AP99" s="506"/>
      <c r="AQ99" s="506"/>
      <c r="AR99" s="506"/>
      <c r="AS99" s="506"/>
      <c r="AT99" s="506"/>
      <c r="AU99" s="506"/>
      <c r="AV99" s="506"/>
      <c r="AW99" s="506"/>
      <c r="AX99" s="506"/>
      <c r="AY99" s="506"/>
      <c r="AZ99" s="506"/>
      <c r="BA99" s="506"/>
      <c r="BB99" s="506"/>
      <c r="BC99" s="506"/>
      <c r="BD99" s="519"/>
      <c r="BE99" s="685">
        <v>0</v>
      </c>
      <c r="BF99" s="686">
        <v>0</v>
      </c>
      <c r="BG99" s="418">
        <v>0</v>
      </c>
      <c r="BH99" s="328">
        <v>90</v>
      </c>
      <c r="BI99" s="328">
        <v>90</v>
      </c>
      <c r="BJ99" s="328">
        <v>90</v>
      </c>
      <c r="BK99" s="328">
        <v>90</v>
      </c>
      <c r="BL99" s="328">
        <v>90</v>
      </c>
      <c r="BM99" s="328">
        <v>90</v>
      </c>
      <c r="BN99" s="328">
        <v>90</v>
      </c>
      <c r="BO99" s="328">
        <v>90</v>
      </c>
      <c r="BP99" s="328">
        <v>90</v>
      </c>
      <c r="BQ99" s="328">
        <v>90</v>
      </c>
      <c r="BR99" s="328">
        <v>90</v>
      </c>
      <c r="BS99" s="325">
        <v>90</v>
      </c>
      <c r="BT99" s="326">
        <v>90</v>
      </c>
      <c r="BU99" s="689">
        <v>90</v>
      </c>
      <c r="BV99" s="328">
        <v>90</v>
      </c>
      <c r="BW99" s="419">
        <v>0</v>
      </c>
      <c r="BX99" s="687"/>
      <c r="BY99" s="573"/>
      <c r="BZ99" s="614"/>
      <c r="CA99" s="615"/>
    </row>
    <row r="100" spans="1:79" ht="46" customHeight="1" thickTop="1" thickBot="1">
      <c r="A100" s="294"/>
      <c r="B100" s="295"/>
      <c r="C100" s="296">
        <v>37</v>
      </c>
      <c r="D100" s="870">
        <v>252</v>
      </c>
      <c r="E100" s="609" t="s">
        <v>2339</v>
      </c>
      <c r="F100" s="875">
        <v>70</v>
      </c>
      <c r="G100" s="299">
        <v>140</v>
      </c>
      <c r="H100" s="300">
        <v>14</v>
      </c>
      <c r="I100" s="301" t="s">
        <v>2167</v>
      </c>
      <c r="J100" s="301" t="s">
        <v>2132</v>
      </c>
      <c r="K100" s="300">
        <v>125</v>
      </c>
      <c r="L100" s="671" t="s">
        <v>2134</v>
      </c>
      <c r="M100" s="301" t="s">
        <v>2133</v>
      </c>
      <c r="N100" s="301" t="s">
        <v>2134</v>
      </c>
      <c r="O100" s="301" t="s">
        <v>2207</v>
      </c>
      <c r="P100" s="302" t="s">
        <v>2133</v>
      </c>
      <c r="Q100" s="302" t="s">
        <v>2133</v>
      </c>
      <c r="R100" s="303"/>
      <c r="S100" s="304" t="s">
        <v>2136</v>
      </c>
      <c r="T100" s="304" t="s">
        <v>2136</v>
      </c>
      <c r="U100" s="482" t="s">
        <v>2340</v>
      </c>
      <c r="V100" s="482" t="s">
        <v>2315</v>
      </c>
      <c r="W100" s="483">
        <v>90</v>
      </c>
      <c r="X100" s="655">
        <v>90</v>
      </c>
      <c r="Y100" s="484">
        <v>23.4</v>
      </c>
      <c r="Z100" s="485">
        <v>41</v>
      </c>
      <c r="AA100" s="310">
        <v>50</v>
      </c>
      <c r="AB100" s="656">
        <v>0.35714285714285715</v>
      </c>
      <c r="AC100" s="486" t="s">
        <v>2340</v>
      </c>
      <c r="AD100" s="487" t="s">
        <v>2315</v>
      </c>
      <c r="AE100" s="488">
        <v>101</v>
      </c>
      <c r="AF100" s="657">
        <v>101</v>
      </c>
      <c r="AG100" s="489">
        <v>23.4</v>
      </c>
      <c r="AH100" s="490">
        <v>41</v>
      </c>
      <c r="AI100" s="318">
        <v>39</v>
      </c>
      <c r="AJ100" s="656">
        <v>0.27857142857142858</v>
      </c>
      <c r="AK100" s="491" t="s">
        <v>2341</v>
      </c>
      <c r="AL100" s="492" t="s">
        <v>2140</v>
      </c>
      <c r="AM100" s="865">
        <v>46284</v>
      </c>
      <c r="AN100" s="865">
        <v>46302</v>
      </c>
      <c r="AO100" s="866">
        <v>18</v>
      </c>
      <c r="AP100" s="493"/>
      <c r="AQ100" s="493"/>
      <c r="AR100" s="493"/>
      <c r="AS100" s="493"/>
      <c r="AT100" s="493"/>
      <c r="AU100" s="493"/>
      <c r="AV100" s="493"/>
      <c r="AW100" s="493"/>
      <c r="AX100" s="493"/>
      <c r="AY100" s="493"/>
      <c r="AZ100" s="493"/>
      <c r="BA100" s="493"/>
      <c r="BB100" s="493"/>
      <c r="BC100" s="493"/>
      <c r="BD100" s="494"/>
      <c r="BE100" s="683">
        <v>0</v>
      </c>
      <c r="BF100" s="684">
        <v>0</v>
      </c>
      <c r="BG100" s="282">
        <v>0</v>
      </c>
      <c r="BH100" s="286">
        <v>90</v>
      </c>
      <c r="BI100" s="286">
        <v>90</v>
      </c>
      <c r="BJ100" s="286">
        <v>90</v>
      </c>
      <c r="BK100" s="286">
        <v>90</v>
      </c>
      <c r="BL100" s="286">
        <v>90</v>
      </c>
      <c r="BM100" s="286">
        <v>90</v>
      </c>
      <c r="BN100" s="286">
        <v>90</v>
      </c>
      <c r="BO100" s="286">
        <v>90</v>
      </c>
      <c r="BP100" s="286">
        <v>90</v>
      </c>
      <c r="BQ100" s="286">
        <v>90</v>
      </c>
      <c r="BR100" s="286">
        <v>90</v>
      </c>
      <c r="BS100" s="283">
        <v>90</v>
      </c>
      <c r="BT100" s="284">
        <v>90</v>
      </c>
      <c r="BU100" s="285">
        <v>90</v>
      </c>
      <c r="BV100" s="286">
        <v>90</v>
      </c>
      <c r="BW100" s="402">
        <v>0</v>
      </c>
      <c r="BX100" s="532"/>
      <c r="BY100" s="573"/>
      <c r="BZ100" s="610"/>
      <c r="CA100" s="611"/>
    </row>
    <row r="101" spans="1:79" s="521" customFormat="1" ht="46" customHeight="1" thickBot="1">
      <c r="A101" s="294"/>
      <c r="B101" s="295"/>
      <c r="C101" s="296"/>
      <c r="D101" s="297" t="s">
        <v>2129</v>
      </c>
      <c r="E101" s="609"/>
      <c r="F101" s="299">
        <v>0</v>
      </c>
      <c r="G101" s="299">
        <v>0</v>
      </c>
      <c r="H101" s="300">
        <v>0</v>
      </c>
      <c r="I101" s="301">
        <v>0</v>
      </c>
      <c r="J101" s="301">
        <v>0</v>
      </c>
      <c r="K101" s="300">
        <v>0</v>
      </c>
      <c r="L101" s="671">
        <v>0</v>
      </c>
      <c r="M101" s="301">
        <v>0</v>
      </c>
      <c r="N101" s="301">
        <v>0</v>
      </c>
      <c r="O101" s="301">
        <v>0</v>
      </c>
      <c r="P101" s="302" t="s">
        <v>2129</v>
      </c>
      <c r="Q101" s="302"/>
      <c r="R101" s="303"/>
      <c r="S101" s="304"/>
      <c r="T101" s="304"/>
      <c r="U101" s="473"/>
      <c r="V101" s="473"/>
      <c r="W101" s="474"/>
      <c r="X101" s="650"/>
      <c r="Y101" s="475"/>
      <c r="Z101" s="476"/>
      <c r="AA101" s="651"/>
      <c r="AB101" s="652"/>
      <c r="AC101" s="477"/>
      <c r="AD101" s="478"/>
      <c r="AE101" s="479"/>
      <c r="AF101" s="657"/>
      <c r="AG101" s="480"/>
      <c r="AH101" s="481"/>
      <c r="AI101" s="442"/>
      <c r="AJ101" s="656"/>
      <c r="AK101" s="319"/>
      <c r="AL101" s="320" t="s">
        <v>2143</v>
      </c>
      <c r="AM101" s="277">
        <v>46284</v>
      </c>
      <c r="AN101" s="277">
        <v>46302</v>
      </c>
      <c r="AO101" s="278">
        <v>18</v>
      </c>
      <c r="AP101" s="321"/>
      <c r="AQ101" s="321"/>
      <c r="AR101" s="321"/>
      <c r="AS101" s="506"/>
      <c r="AT101" s="506"/>
      <c r="AU101" s="506"/>
      <c r="AV101" s="321"/>
      <c r="AW101" s="321"/>
      <c r="AX101" s="321"/>
      <c r="AY101" s="321"/>
      <c r="AZ101" s="321"/>
      <c r="BA101" s="321"/>
      <c r="BB101" s="321"/>
      <c r="BC101" s="321"/>
      <c r="BD101" s="322"/>
      <c r="BE101" s="685">
        <v>0</v>
      </c>
      <c r="BF101" s="686">
        <v>0</v>
      </c>
      <c r="BG101" s="418">
        <v>0</v>
      </c>
      <c r="BH101" s="328">
        <v>101</v>
      </c>
      <c r="BI101" s="328">
        <v>101</v>
      </c>
      <c r="BJ101" s="328">
        <v>101</v>
      </c>
      <c r="BK101" s="328">
        <v>101</v>
      </c>
      <c r="BL101" s="328">
        <v>101</v>
      </c>
      <c r="BM101" s="328">
        <v>101</v>
      </c>
      <c r="BN101" s="328">
        <v>101</v>
      </c>
      <c r="BO101" s="328">
        <v>101</v>
      </c>
      <c r="BP101" s="328">
        <v>101</v>
      </c>
      <c r="BQ101" s="328">
        <v>101</v>
      </c>
      <c r="BR101" s="328">
        <v>101</v>
      </c>
      <c r="BS101" s="325">
        <v>101</v>
      </c>
      <c r="BT101" s="326">
        <v>101</v>
      </c>
      <c r="BU101" s="327">
        <v>101</v>
      </c>
      <c r="BV101" s="328">
        <v>101</v>
      </c>
      <c r="BW101" s="419">
        <v>0</v>
      </c>
      <c r="BX101" s="331"/>
      <c r="BY101" s="573"/>
      <c r="BZ101" s="610"/>
      <c r="CA101" s="611"/>
    </row>
    <row r="102" spans="1:79" ht="46" customHeight="1" thickTop="1" thickBot="1">
      <c r="A102" s="294"/>
      <c r="B102" s="295"/>
      <c r="C102" s="372">
        <v>36</v>
      </c>
      <c r="D102" s="871">
        <v>251</v>
      </c>
      <c r="E102" s="572" t="s">
        <v>2342</v>
      </c>
      <c r="F102" s="876">
        <v>62</v>
      </c>
      <c r="G102" s="374">
        <v>124</v>
      </c>
      <c r="H102" s="375">
        <v>13</v>
      </c>
      <c r="I102" s="376" t="s">
        <v>2167</v>
      </c>
      <c r="J102" s="376" t="s">
        <v>2132</v>
      </c>
      <c r="K102" s="375">
        <v>140</v>
      </c>
      <c r="L102" s="669" t="s">
        <v>2134</v>
      </c>
      <c r="M102" s="376" t="s">
        <v>2134</v>
      </c>
      <c r="N102" s="376" t="s">
        <v>2134</v>
      </c>
      <c r="O102" s="376" t="s">
        <v>2240</v>
      </c>
      <c r="P102" s="377" t="s">
        <v>2133</v>
      </c>
      <c r="Q102" s="377" t="s">
        <v>2129</v>
      </c>
      <c r="R102" s="378"/>
      <c r="S102" s="379" t="s">
        <v>2136</v>
      </c>
      <c r="T102" s="690"/>
      <c r="U102" s="535" t="s">
        <v>2343</v>
      </c>
      <c r="V102" s="535" t="s">
        <v>2315</v>
      </c>
      <c r="W102" s="536">
        <v>83</v>
      </c>
      <c r="X102" s="646">
        <v>83</v>
      </c>
      <c r="Y102" s="537">
        <v>23</v>
      </c>
      <c r="Z102" s="538">
        <v>40</v>
      </c>
      <c r="AA102" s="457">
        <v>41</v>
      </c>
      <c r="AB102" s="647">
        <v>0.33064516129032256</v>
      </c>
      <c r="AC102" s="539" t="s">
        <v>2134</v>
      </c>
      <c r="AD102" s="540" t="s">
        <v>2134</v>
      </c>
      <c r="AE102" s="541">
        <v>0</v>
      </c>
      <c r="AF102" s="648">
        <v>0</v>
      </c>
      <c r="AG102" s="542"/>
      <c r="AH102" s="571"/>
      <c r="AI102" s="318">
        <v>124</v>
      </c>
      <c r="AJ102" s="647">
        <v>1</v>
      </c>
      <c r="AK102" s="515" t="s">
        <v>2344</v>
      </c>
      <c r="AL102" s="396" t="s">
        <v>2140</v>
      </c>
      <c r="AM102" s="865">
        <v>46284</v>
      </c>
      <c r="AN102" s="865">
        <v>46302</v>
      </c>
      <c r="AO102" s="866">
        <v>18</v>
      </c>
      <c r="AP102" s="397"/>
      <c r="AQ102" s="397"/>
      <c r="AR102" s="397"/>
      <c r="AS102" s="397"/>
      <c r="AT102" s="397"/>
      <c r="AU102" s="397"/>
      <c r="AV102" s="397"/>
      <c r="AW102" s="397"/>
      <c r="AX102" s="397"/>
      <c r="AY102" s="397"/>
      <c r="AZ102" s="397"/>
      <c r="BA102" s="397"/>
      <c r="BB102" s="397"/>
      <c r="BC102" s="397"/>
      <c r="BD102" s="398"/>
      <c r="BE102" s="691">
        <v>0</v>
      </c>
      <c r="BF102" s="692">
        <v>0</v>
      </c>
      <c r="BG102" s="464">
        <v>0</v>
      </c>
      <c r="BH102" s="465">
        <v>83</v>
      </c>
      <c r="BI102" s="465">
        <v>83</v>
      </c>
      <c r="BJ102" s="465">
        <v>83</v>
      </c>
      <c r="BK102" s="465">
        <v>83</v>
      </c>
      <c r="BL102" s="465">
        <v>83</v>
      </c>
      <c r="BM102" s="465">
        <v>83</v>
      </c>
      <c r="BN102" s="465">
        <v>83</v>
      </c>
      <c r="BO102" s="465">
        <v>83</v>
      </c>
      <c r="BP102" s="465">
        <v>83</v>
      </c>
      <c r="BQ102" s="465">
        <v>83</v>
      </c>
      <c r="BR102" s="465">
        <v>83</v>
      </c>
      <c r="BS102" s="466">
        <v>83</v>
      </c>
      <c r="BT102" s="467">
        <v>83</v>
      </c>
      <c r="BU102" s="468">
        <v>83</v>
      </c>
      <c r="BV102" s="465">
        <v>83</v>
      </c>
      <c r="BW102" s="469">
        <v>0</v>
      </c>
      <c r="BX102" s="403"/>
      <c r="BY102" s="573"/>
      <c r="BZ102" s="574"/>
      <c r="CA102" s="575"/>
    </row>
    <row r="103" spans="1:79" s="521" customFormat="1" ht="46" customHeight="1" thickTop="1" thickBot="1">
      <c r="A103" s="294"/>
      <c r="B103" s="295"/>
      <c r="C103" s="420"/>
      <c r="D103" s="421" t="s">
        <v>2129</v>
      </c>
      <c r="E103" s="612"/>
      <c r="F103" s="423">
        <v>0</v>
      </c>
      <c r="G103" s="423">
        <v>0</v>
      </c>
      <c r="H103" s="424">
        <v>0</v>
      </c>
      <c r="I103" s="425">
        <v>0</v>
      </c>
      <c r="J103" s="425">
        <v>0</v>
      </c>
      <c r="K103" s="424">
        <v>0</v>
      </c>
      <c r="L103" s="673">
        <v>0</v>
      </c>
      <c r="M103" s="425">
        <v>0</v>
      </c>
      <c r="N103" s="425">
        <v>0</v>
      </c>
      <c r="O103" s="425">
        <v>0</v>
      </c>
      <c r="P103" s="426" t="s">
        <v>2129</v>
      </c>
      <c r="Q103" s="426"/>
      <c r="R103" s="427"/>
      <c r="S103" s="428"/>
      <c r="T103" s="428"/>
      <c r="U103" s="473"/>
      <c r="V103" s="473"/>
      <c r="W103" s="474"/>
      <c r="X103" s="650"/>
      <c r="Y103" s="475"/>
      <c r="Z103" s="476"/>
      <c r="AA103" s="651"/>
      <c r="AB103" s="652"/>
      <c r="AC103" s="477"/>
      <c r="AD103" s="478"/>
      <c r="AE103" s="479"/>
      <c r="AF103" s="653"/>
      <c r="AG103" s="480"/>
      <c r="AH103" s="481"/>
      <c r="AI103" s="442"/>
      <c r="AJ103" s="652"/>
      <c r="AK103" s="517"/>
      <c r="AL103" s="518" t="s">
        <v>2143</v>
      </c>
      <c r="AM103" s="277" t="s">
        <v>2129</v>
      </c>
      <c r="AN103" s="277" t="s">
        <v>2129</v>
      </c>
      <c r="AO103" s="278" t="s">
        <v>2129</v>
      </c>
      <c r="AP103" s="506"/>
      <c r="AQ103" s="506"/>
      <c r="AR103" s="506"/>
      <c r="AS103" s="321"/>
      <c r="AT103" s="321"/>
      <c r="AU103" s="321"/>
      <c r="AV103" s="321"/>
      <c r="AW103" s="321"/>
      <c r="AX103" s="321"/>
      <c r="AY103" s="321"/>
      <c r="AZ103" s="321"/>
      <c r="BA103" s="321"/>
      <c r="BB103" s="321"/>
      <c r="BC103" s="321"/>
      <c r="BD103" s="322"/>
      <c r="BE103" s="338"/>
      <c r="BF103" s="339"/>
      <c r="BG103" s="336"/>
      <c r="BH103" s="336"/>
      <c r="BI103" s="336"/>
      <c r="BJ103" s="336"/>
      <c r="BK103" s="336"/>
      <c r="BL103" s="445"/>
      <c r="BM103" s="445"/>
      <c r="BN103" s="445"/>
      <c r="BO103" s="445"/>
      <c r="BP103" s="445"/>
      <c r="BQ103" s="445"/>
      <c r="BR103" s="445"/>
      <c r="BS103" s="446"/>
      <c r="BT103" s="447"/>
      <c r="BU103" s="448"/>
      <c r="BV103" s="445"/>
      <c r="BW103" s="445"/>
      <c r="BX103" s="520"/>
      <c r="BY103" s="573"/>
      <c r="BZ103" s="614"/>
      <c r="CA103" s="615"/>
    </row>
    <row r="104" spans="1:79" ht="46" customHeight="1" thickTop="1" thickBot="1">
      <c r="A104" s="294"/>
      <c r="B104" s="295"/>
      <c r="C104" s="372">
        <v>38</v>
      </c>
      <c r="D104" s="871">
        <v>245</v>
      </c>
      <c r="E104" s="572" t="s">
        <v>2345</v>
      </c>
      <c r="F104" s="876">
        <v>100</v>
      </c>
      <c r="G104" s="374">
        <v>200</v>
      </c>
      <c r="H104" s="375">
        <v>0</v>
      </c>
      <c r="I104" s="376" t="s">
        <v>2167</v>
      </c>
      <c r="J104" s="376" t="s">
        <v>2132</v>
      </c>
      <c r="K104" s="375">
        <v>216</v>
      </c>
      <c r="L104" s="669" t="s">
        <v>2134</v>
      </c>
      <c r="M104" s="376" t="s">
        <v>2134</v>
      </c>
      <c r="N104" s="376" t="s">
        <v>2133</v>
      </c>
      <c r="O104" s="376" t="s">
        <v>2240</v>
      </c>
      <c r="P104" s="377" t="s">
        <v>2133</v>
      </c>
      <c r="Q104" s="377" t="s">
        <v>2133</v>
      </c>
      <c r="R104" s="378" t="s">
        <v>2161</v>
      </c>
      <c r="S104" s="379" t="s">
        <v>2136</v>
      </c>
      <c r="T104" s="379" t="s">
        <v>2136</v>
      </c>
      <c r="U104" s="535" t="s">
        <v>2346</v>
      </c>
      <c r="V104" s="535" t="s">
        <v>2331</v>
      </c>
      <c r="W104" s="536">
        <v>216</v>
      </c>
      <c r="X104" s="646">
        <v>216</v>
      </c>
      <c r="Y104" s="537">
        <v>0</v>
      </c>
      <c r="Z104" s="538">
        <v>1</v>
      </c>
      <c r="AA104" s="457">
        <v>-16</v>
      </c>
      <c r="AB104" s="647">
        <v>-0.08</v>
      </c>
      <c r="AC104" s="539" t="s">
        <v>2347</v>
      </c>
      <c r="AD104" s="540" t="s">
        <v>2331</v>
      </c>
      <c r="AE104" s="541">
        <v>216</v>
      </c>
      <c r="AF104" s="648">
        <v>216</v>
      </c>
      <c r="AG104" s="542">
        <v>0</v>
      </c>
      <c r="AH104" s="543">
        <v>1</v>
      </c>
      <c r="AI104" s="318">
        <v>-16</v>
      </c>
      <c r="AJ104" s="647">
        <v>-0.08</v>
      </c>
      <c r="AK104" s="515" t="s">
        <v>2348</v>
      </c>
      <c r="AL104" s="396" t="s">
        <v>2140</v>
      </c>
      <c r="AM104" s="865">
        <v>46272</v>
      </c>
      <c r="AN104" s="865">
        <v>46290</v>
      </c>
      <c r="AO104" s="866">
        <v>18</v>
      </c>
      <c r="AP104" s="397"/>
      <c r="AQ104" s="397"/>
      <c r="AR104" s="398"/>
      <c r="AS104" s="495">
        <v>0</v>
      </c>
      <c r="AT104" s="282">
        <v>0</v>
      </c>
      <c r="AU104" s="282">
        <v>0</v>
      </c>
      <c r="AV104" s="286">
        <v>216</v>
      </c>
      <c r="AW104" s="286">
        <v>216</v>
      </c>
      <c r="AX104" s="286">
        <v>216</v>
      </c>
      <c r="AY104" s="286">
        <v>216</v>
      </c>
      <c r="AZ104" s="286">
        <v>216</v>
      </c>
      <c r="BA104" s="286">
        <v>216</v>
      </c>
      <c r="BB104" s="286">
        <v>216</v>
      </c>
      <c r="BC104" s="286">
        <v>216</v>
      </c>
      <c r="BD104" s="283">
        <v>216</v>
      </c>
      <c r="BE104" s="284">
        <v>216</v>
      </c>
      <c r="BF104" s="285">
        <v>216</v>
      </c>
      <c r="BG104" s="286">
        <v>216</v>
      </c>
      <c r="BH104" s="286">
        <v>216</v>
      </c>
      <c r="BI104" s="286">
        <v>216</v>
      </c>
      <c r="BJ104" s="286">
        <v>216</v>
      </c>
      <c r="BK104" s="402">
        <v>0</v>
      </c>
      <c r="BL104" s="470"/>
      <c r="BM104" s="397"/>
      <c r="BN104" s="397"/>
      <c r="BO104" s="397"/>
      <c r="BP104" s="397"/>
      <c r="BQ104" s="397"/>
      <c r="BR104" s="397"/>
      <c r="BS104" s="398"/>
      <c r="BT104" s="471"/>
      <c r="BU104" s="470"/>
      <c r="BV104" s="397"/>
      <c r="BW104" s="397"/>
      <c r="BX104" s="472"/>
      <c r="BY104" s="573"/>
      <c r="BZ104" s="574"/>
      <c r="CA104" s="575"/>
    </row>
    <row r="105" spans="1:79" s="521" customFormat="1" ht="46" customHeight="1" thickBot="1">
      <c r="A105" s="294"/>
      <c r="B105" s="295"/>
      <c r="C105" s="420"/>
      <c r="D105" s="421" t="s">
        <v>2129</v>
      </c>
      <c r="E105" s="612"/>
      <c r="F105" s="423">
        <v>0</v>
      </c>
      <c r="G105" s="423">
        <v>0</v>
      </c>
      <c r="H105" s="424">
        <v>0</v>
      </c>
      <c r="I105" s="425">
        <v>0</v>
      </c>
      <c r="J105" s="425">
        <v>0</v>
      </c>
      <c r="K105" s="424">
        <v>0</v>
      </c>
      <c r="L105" s="673">
        <v>0</v>
      </c>
      <c r="M105" s="425">
        <v>0</v>
      </c>
      <c r="N105" s="425">
        <v>0</v>
      </c>
      <c r="O105" s="425">
        <v>0</v>
      </c>
      <c r="P105" s="426" t="s">
        <v>2129</v>
      </c>
      <c r="Q105" s="426"/>
      <c r="R105" s="427"/>
      <c r="S105" s="428"/>
      <c r="T105" s="428"/>
      <c r="U105" s="473"/>
      <c r="V105" s="473"/>
      <c r="W105" s="474"/>
      <c r="X105" s="650"/>
      <c r="Y105" s="475"/>
      <c r="Z105" s="476"/>
      <c r="AA105" s="651"/>
      <c r="AB105" s="652"/>
      <c r="AC105" s="477"/>
      <c r="AD105" s="478"/>
      <c r="AE105" s="479"/>
      <c r="AF105" s="653"/>
      <c r="AG105" s="480"/>
      <c r="AH105" s="481"/>
      <c r="AI105" s="442"/>
      <c r="AJ105" s="652"/>
      <c r="AK105" s="517"/>
      <c r="AL105" s="518" t="s">
        <v>2143</v>
      </c>
      <c r="AM105" s="277">
        <v>46272</v>
      </c>
      <c r="AN105" s="277">
        <v>46290</v>
      </c>
      <c r="AO105" s="278">
        <v>18</v>
      </c>
      <c r="AP105" s="506"/>
      <c r="AQ105" s="506"/>
      <c r="AR105" s="519"/>
      <c r="AS105" s="417">
        <v>0</v>
      </c>
      <c r="AT105" s="418">
        <v>0</v>
      </c>
      <c r="AU105" s="418">
        <v>0</v>
      </c>
      <c r="AV105" s="328">
        <v>216</v>
      </c>
      <c r="AW105" s="328">
        <v>216</v>
      </c>
      <c r="AX105" s="321">
        <v>216</v>
      </c>
      <c r="AY105" s="321">
        <v>216</v>
      </c>
      <c r="AZ105" s="321">
        <v>216</v>
      </c>
      <c r="BA105" s="321">
        <v>216</v>
      </c>
      <c r="BB105" s="321">
        <v>216</v>
      </c>
      <c r="BC105" s="321">
        <v>216</v>
      </c>
      <c r="BD105" s="322">
        <v>216</v>
      </c>
      <c r="BE105" s="502">
        <v>216</v>
      </c>
      <c r="BF105" s="503">
        <v>216</v>
      </c>
      <c r="BG105" s="321">
        <v>216</v>
      </c>
      <c r="BH105" s="321">
        <v>216</v>
      </c>
      <c r="BI105" s="321">
        <v>216</v>
      </c>
      <c r="BJ105" s="321">
        <v>216</v>
      </c>
      <c r="BK105" s="504">
        <v>0</v>
      </c>
      <c r="BL105" s="503"/>
      <c r="BM105" s="506"/>
      <c r="BN105" s="506"/>
      <c r="BO105" s="506"/>
      <c r="BP105" s="506"/>
      <c r="BQ105" s="506"/>
      <c r="BR105" s="506"/>
      <c r="BS105" s="519"/>
      <c r="BT105" s="693"/>
      <c r="BU105" s="613"/>
      <c r="BV105" s="506"/>
      <c r="BW105" s="506"/>
      <c r="BX105" s="520"/>
      <c r="BY105" s="573"/>
      <c r="BZ105" s="614"/>
      <c r="CA105" s="615"/>
    </row>
    <row r="106" spans="1:79" ht="46" customHeight="1" thickTop="1" thickBot="1">
      <c r="A106" s="294"/>
      <c r="B106" s="295"/>
      <c r="C106" s="296">
        <v>39</v>
      </c>
      <c r="D106" s="870">
        <v>261</v>
      </c>
      <c r="E106" s="609" t="s">
        <v>2349</v>
      </c>
      <c r="F106" s="875">
        <v>82</v>
      </c>
      <c r="G106" s="299">
        <v>164</v>
      </c>
      <c r="H106" s="300">
        <v>18</v>
      </c>
      <c r="I106" s="301" t="s">
        <v>2167</v>
      </c>
      <c r="J106" s="301" t="s">
        <v>2132</v>
      </c>
      <c r="K106" s="300">
        <v>200</v>
      </c>
      <c r="L106" s="671" t="s">
        <v>2134</v>
      </c>
      <c r="M106" s="301" t="s">
        <v>2134</v>
      </c>
      <c r="N106" s="301" t="s">
        <v>2134</v>
      </c>
      <c r="O106" s="301" t="s">
        <v>2350</v>
      </c>
      <c r="P106" s="302" t="s">
        <v>2133</v>
      </c>
      <c r="Q106" s="302" t="s">
        <v>2133</v>
      </c>
      <c r="R106" s="303"/>
      <c r="S106" s="304" t="s">
        <v>2136</v>
      </c>
      <c r="T106" s="304" t="s">
        <v>2136</v>
      </c>
      <c r="U106" s="482" t="s">
        <v>2351</v>
      </c>
      <c r="V106" s="482" t="s">
        <v>2331</v>
      </c>
      <c r="W106" s="483">
        <v>102</v>
      </c>
      <c r="X106" s="655">
        <v>102</v>
      </c>
      <c r="Y106" s="484">
        <v>1.1000000000000001</v>
      </c>
      <c r="Z106" s="485">
        <v>3</v>
      </c>
      <c r="AA106" s="457">
        <v>62</v>
      </c>
      <c r="AB106" s="656">
        <v>0.37804878048780488</v>
      </c>
      <c r="AC106" s="486" t="s">
        <v>2352</v>
      </c>
      <c r="AD106" s="487" t="s">
        <v>2331</v>
      </c>
      <c r="AE106" s="488">
        <v>84</v>
      </c>
      <c r="AF106" s="657">
        <v>84</v>
      </c>
      <c r="AG106" s="489">
        <v>1.1000000000000001</v>
      </c>
      <c r="AH106" s="635">
        <v>3</v>
      </c>
      <c r="AI106" s="318">
        <v>80</v>
      </c>
      <c r="AJ106" s="656">
        <v>0.48780487804878048</v>
      </c>
      <c r="AK106" s="491" t="s">
        <v>2353</v>
      </c>
      <c r="AL106" s="492" t="s">
        <v>2140</v>
      </c>
      <c r="AM106" s="865">
        <v>46277</v>
      </c>
      <c r="AN106" s="865">
        <v>46291</v>
      </c>
      <c r="AO106" s="866">
        <v>14</v>
      </c>
      <c r="AP106" s="493"/>
      <c r="AQ106" s="493"/>
      <c r="AR106" s="493"/>
      <c r="AS106" s="493"/>
      <c r="AT106" s="493"/>
      <c r="AU106" s="493"/>
      <c r="AV106" s="493"/>
      <c r="AW106" s="494"/>
      <c r="AX106" s="495">
        <v>0</v>
      </c>
      <c r="AY106" s="282">
        <v>0</v>
      </c>
      <c r="AZ106" s="282">
        <v>0</v>
      </c>
      <c r="BA106" s="286">
        <v>102</v>
      </c>
      <c r="BB106" s="286">
        <v>102</v>
      </c>
      <c r="BC106" s="286">
        <v>102</v>
      </c>
      <c r="BD106" s="283">
        <v>102</v>
      </c>
      <c r="BE106" s="284">
        <v>102</v>
      </c>
      <c r="BF106" s="285">
        <v>102</v>
      </c>
      <c r="BG106" s="286">
        <v>102</v>
      </c>
      <c r="BH106" s="286">
        <v>102</v>
      </c>
      <c r="BI106" s="286">
        <v>102</v>
      </c>
      <c r="BJ106" s="286">
        <v>102</v>
      </c>
      <c r="BK106" s="286">
        <v>102</v>
      </c>
      <c r="BL106" s="402">
        <v>0</v>
      </c>
      <c r="BM106" s="498"/>
      <c r="BN106" s="493"/>
      <c r="BO106" s="493"/>
      <c r="BP106" s="493"/>
      <c r="BQ106" s="493"/>
      <c r="BR106" s="493"/>
      <c r="BS106" s="494"/>
      <c r="BT106" s="497"/>
      <c r="BU106" s="498"/>
      <c r="BV106" s="493"/>
      <c r="BW106" s="493"/>
      <c r="BX106" s="499"/>
      <c r="BY106" s="573"/>
      <c r="BZ106" s="610"/>
      <c r="CA106" s="611"/>
    </row>
    <row r="107" spans="1:79" s="561" customFormat="1" ht="46" customHeight="1" thickBot="1">
      <c r="A107" s="620"/>
      <c r="B107" s="567"/>
      <c r="C107" s="420"/>
      <c r="D107" s="421" t="s">
        <v>2129</v>
      </c>
      <c r="E107" s="612"/>
      <c r="F107" s="423">
        <v>0</v>
      </c>
      <c r="G107" s="423">
        <v>0</v>
      </c>
      <c r="H107" s="424">
        <v>0</v>
      </c>
      <c r="I107" s="425">
        <v>0</v>
      </c>
      <c r="J107" s="425">
        <v>0</v>
      </c>
      <c r="K107" s="424">
        <v>0</v>
      </c>
      <c r="L107" s="673">
        <v>0</v>
      </c>
      <c r="M107" s="425">
        <v>0</v>
      </c>
      <c r="N107" s="425">
        <v>0</v>
      </c>
      <c r="O107" s="425">
        <v>0</v>
      </c>
      <c r="P107" s="426" t="s">
        <v>2129</v>
      </c>
      <c r="Q107" s="426"/>
      <c r="R107" s="427"/>
      <c r="S107" s="428"/>
      <c r="T107" s="428"/>
      <c r="U107" s="473"/>
      <c r="V107" s="473"/>
      <c r="W107" s="474"/>
      <c r="X107" s="650"/>
      <c r="Y107" s="475"/>
      <c r="Z107" s="476"/>
      <c r="AA107" s="651"/>
      <c r="AB107" s="652"/>
      <c r="AC107" s="477"/>
      <c r="AD107" s="478"/>
      <c r="AE107" s="479"/>
      <c r="AF107" s="653"/>
      <c r="AG107" s="480"/>
      <c r="AH107" s="481"/>
      <c r="AI107" s="365"/>
      <c r="AJ107" s="652"/>
      <c r="AK107" s="517"/>
      <c r="AL107" s="518" t="s">
        <v>2143</v>
      </c>
      <c r="AM107" s="277">
        <v>46277</v>
      </c>
      <c r="AN107" s="277">
        <v>46291</v>
      </c>
      <c r="AO107" s="278">
        <v>14</v>
      </c>
      <c r="AP107" s="506"/>
      <c r="AQ107" s="506"/>
      <c r="AR107" s="506"/>
      <c r="AS107" s="506"/>
      <c r="AT107" s="506"/>
      <c r="AU107" s="506"/>
      <c r="AV107" s="506"/>
      <c r="AW107" s="519"/>
      <c r="AX107" s="417">
        <v>0</v>
      </c>
      <c r="AY107" s="418">
        <v>0</v>
      </c>
      <c r="AZ107" s="418">
        <v>0</v>
      </c>
      <c r="BA107" s="328">
        <v>84</v>
      </c>
      <c r="BB107" s="328">
        <v>84</v>
      </c>
      <c r="BC107" s="328">
        <v>84</v>
      </c>
      <c r="BD107" s="325">
        <v>84</v>
      </c>
      <c r="BE107" s="326">
        <v>84</v>
      </c>
      <c r="BF107" s="327">
        <v>84</v>
      </c>
      <c r="BG107" s="328">
        <v>84</v>
      </c>
      <c r="BH107" s="328">
        <v>84</v>
      </c>
      <c r="BI107" s="328">
        <v>84</v>
      </c>
      <c r="BJ107" s="328">
        <v>84</v>
      </c>
      <c r="BK107" s="328">
        <v>84</v>
      </c>
      <c r="BL107" s="419">
        <v>0</v>
      </c>
      <c r="BM107" s="613"/>
      <c r="BN107" s="506"/>
      <c r="BO107" s="506"/>
      <c r="BP107" s="506"/>
      <c r="BQ107" s="506"/>
      <c r="BR107" s="506"/>
      <c r="BS107" s="519"/>
      <c r="BT107" s="693"/>
      <c r="BU107" s="613"/>
      <c r="BV107" s="506"/>
      <c r="BW107" s="506"/>
      <c r="BX107" s="520"/>
      <c r="BY107" s="573"/>
      <c r="BZ107" s="614"/>
      <c r="CA107" s="615"/>
    </row>
    <row r="108" spans="1:79" s="564" customFormat="1" ht="46" customHeight="1" thickTop="1" thickBot="1">
      <c r="A108" s="294"/>
      <c r="B108" s="570" t="s">
        <v>2354</v>
      </c>
      <c r="C108" s="372">
        <v>40</v>
      </c>
      <c r="D108" s="871">
        <v>1003</v>
      </c>
      <c r="E108" s="572" t="s">
        <v>2355</v>
      </c>
      <c r="F108" s="876">
        <v>184</v>
      </c>
      <c r="G108" s="374">
        <v>186</v>
      </c>
      <c r="H108" s="375">
        <v>0</v>
      </c>
      <c r="I108" s="376" t="s">
        <v>2245</v>
      </c>
      <c r="J108" s="376" t="s">
        <v>2132</v>
      </c>
      <c r="K108" s="375">
        <v>92</v>
      </c>
      <c r="L108" s="669" t="s">
        <v>2134</v>
      </c>
      <c r="M108" s="376" t="s">
        <v>2134</v>
      </c>
      <c r="N108" s="376" t="s">
        <v>2133</v>
      </c>
      <c r="O108" s="376" t="s">
        <v>2317</v>
      </c>
      <c r="P108" s="377" t="s">
        <v>2133</v>
      </c>
      <c r="Q108" s="377" t="s">
        <v>2133</v>
      </c>
      <c r="R108" s="378"/>
      <c r="S108" s="379" t="s">
        <v>2136</v>
      </c>
      <c r="T108" s="379" t="s">
        <v>2136</v>
      </c>
      <c r="U108" s="535" t="s">
        <v>2356</v>
      </c>
      <c r="V108" s="535" t="s">
        <v>2354</v>
      </c>
      <c r="W108" s="536">
        <v>131</v>
      </c>
      <c r="X108" s="646">
        <v>131</v>
      </c>
      <c r="Y108" s="537">
        <v>2.8</v>
      </c>
      <c r="Z108" s="538">
        <v>7</v>
      </c>
      <c r="AA108" s="457">
        <v>55</v>
      </c>
      <c r="AB108" s="647">
        <v>0.29569892473118281</v>
      </c>
      <c r="AC108" s="539" t="s">
        <v>2357</v>
      </c>
      <c r="AD108" s="540" t="s">
        <v>2354</v>
      </c>
      <c r="AE108" s="541">
        <v>107</v>
      </c>
      <c r="AF108" s="648">
        <v>107</v>
      </c>
      <c r="AG108" s="542">
        <v>2.8</v>
      </c>
      <c r="AH108" s="571">
        <v>7</v>
      </c>
      <c r="AI108" s="318">
        <v>79</v>
      </c>
      <c r="AJ108" s="647">
        <v>0.42473118279569894</v>
      </c>
      <c r="AK108" s="515" t="s">
        <v>2358</v>
      </c>
      <c r="AL108" s="396" t="s">
        <v>2140</v>
      </c>
      <c r="AM108" s="865">
        <v>46278</v>
      </c>
      <c r="AN108" s="865">
        <v>46291</v>
      </c>
      <c r="AO108" s="866">
        <v>13</v>
      </c>
      <c r="AP108" s="397"/>
      <c r="AQ108" s="397"/>
      <c r="AR108" s="397"/>
      <c r="AS108" s="397"/>
      <c r="AT108" s="397"/>
      <c r="AU108" s="397"/>
      <c r="AV108" s="397"/>
      <c r="AW108" s="397"/>
      <c r="AX108" s="494"/>
      <c r="AY108" s="495">
        <v>0</v>
      </c>
      <c r="AZ108" s="282">
        <v>0</v>
      </c>
      <c r="BA108" s="282">
        <v>0</v>
      </c>
      <c r="BB108" s="286">
        <v>131</v>
      </c>
      <c r="BC108" s="286">
        <v>131</v>
      </c>
      <c r="BD108" s="283">
        <v>131</v>
      </c>
      <c r="BE108" s="284">
        <v>131</v>
      </c>
      <c r="BF108" s="285">
        <v>131</v>
      </c>
      <c r="BG108" s="286">
        <v>131</v>
      </c>
      <c r="BH108" s="286">
        <v>131</v>
      </c>
      <c r="BI108" s="286">
        <v>131</v>
      </c>
      <c r="BJ108" s="286">
        <v>131</v>
      </c>
      <c r="BK108" s="286">
        <v>131</v>
      </c>
      <c r="BL108" s="402">
        <v>0</v>
      </c>
      <c r="BM108" s="470"/>
      <c r="BN108" s="397"/>
      <c r="BO108" s="397"/>
      <c r="BP108" s="397"/>
      <c r="BQ108" s="397"/>
      <c r="BR108" s="397"/>
      <c r="BS108" s="398"/>
      <c r="BT108" s="471"/>
      <c r="BU108" s="470"/>
      <c r="BV108" s="397"/>
      <c r="BW108" s="397"/>
      <c r="BX108" s="472"/>
      <c r="BY108" s="573"/>
      <c r="BZ108" s="574"/>
      <c r="CA108" s="575"/>
    </row>
    <row r="109" spans="1:79" s="521" customFormat="1" ht="46" customHeight="1" thickBot="1">
      <c r="A109" s="294"/>
      <c r="B109" s="295"/>
      <c r="C109" s="296"/>
      <c r="D109" s="297" t="s">
        <v>2129</v>
      </c>
      <c r="E109" s="609"/>
      <c r="F109" s="299">
        <v>0</v>
      </c>
      <c r="G109" s="299">
        <v>0</v>
      </c>
      <c r="H109" s="300">
        <v>0</v>
      </c>
      <c r="I109" s="301">
        <v>0</v>
      </c>
      <c r="J109" s="301">
        <v>0</v>
      </c>
      <c r="K109" s="300">
        <v>0</v>
      </c>
      <c r="L109" s="671">
        <v>0</v>
      </c>
      <c r="M109" s="301">
        <v>0</v>
      </c>
      <c r="N109" s="301">
        <v>0</v>
      </c>
      <c r="O109" s="301">
        <v>0</v>
      </c>
      <c r="P109" s="302" t="s">
        <v>2129</v>
      </c>
      <c r="Q109" s="302"/>
      <c r="R109" s="303"/>
      <c r="S109" s="304"/>
      <c r="T109" s="304"/>
      <c r="U109" s="473"/>
      <c r="V109" s="473"/>
      <c r="W109" s="474"/>
      <c r="X109" s="650"/>
      <c r="Y109" s="475"/>
      <c r="Z109" s="476"/>
      <c r="AA109" s="651"/>
      <c r="AB109" s="652"/>
      <c r="AC109" s="477"/>
      <c r="AD109" s="478"/>
      <c r="AE109" s="479"/>
      <c r="AF109" s="657"/>
      <c r="AG109" s="480"/>
      <c r="AH109" s="481"/>
      <c r="AI109" s="442"/>
      <c r="AJ109" s="656"/>
      <c r="AK109" s="319"/>
      <c r="AL109" s="320" t="s">
        <v>2143</v>
      </c>
      <c r="AM109" s="277">
        <v>46278</v>
      </c>
      <c r="AN109" s="277">
        <v>46291</v>
      </c>
      <c r="AO109" s="278">
        <v>13</v>
      </c>
      <c r="AP109" s="321"/>
      <c r="AQ109" s="321"/>
      <c r="AR109" s="321"/>
      <c r="AS109" s="321"/>
      <c r="AT109" s="321"/>
      <c r="AU109" s="321"/>
      <c r="AV109" s="321"/>
      <c r="AW109" s="321"/>
      <c r="AX109" s="322"/>
      <c r="AY109" s="417">
        <v>0</v>
      </c>
      <c r="AZ109" s="418">
        <v>0</v>
      </c>
      <c r="BA109" s="418">
        <v>0</v>
      </c>
      <c r="BB109" s="328">
        <v>107</v>
      </c>
      <c r="BC109" s="321">
        <v>107</v>
      </c>
      <c r="BD109" s="322">
        <v>107</v>
      </c>
      <c r="BE109" s="502">
        <v>107</v>
      </c>
      <c r="BF109" s="503">
        <v>107</v>
      </c>
      <c r="BG109" s="321">
        <v>107</v>
      </c>
      <c r="BH109" s="321">
        <v>107</v>
      </c>
      <c r="BI109" s="321">
        <v>107</v>
      </c>
      <c r="BJ109" s="321">
        <v>107</v>
      </c>
      <c r="BK109" s="321">
        <v>107</v>
      </c>
      <c r="BL109" s="504">
        <v>0</v>
      </c>
      <c r="BM109" s="503"/>
      <c r="BN109" s="321"/>
      <c r="BO109" s="321"/>
      <c r="BP109" s="321"/>
      <c r="BQ109" s="321"/>
      <c r="BR109" s="321"/>
      <c r="BS109" s="322"/>
      <c r="BT109" s="502"/>
      <c r="BU109" s="503"/>
      <c r="BV109" s="321"/>
      <c r="BW109" s="321"/>
      <c r="BX109" s="507"/>
      <c r="BY109" s="573"/>
      <c r="BZ109" s="610"/>
      <c r="CA109" s="611"/>
    </row>
    <row r="110" spans="1:79" ht="46" customHeight="1" thickTop="1" thickBot="1">
      <c r="A110" s="294"/>
      <c r="B110" s="570" t="s">
        <v>2359</v>
      </c>
      <c r="C110" s="372">
        <v>41</v>
      </c>
      <c r="D110" s="871">
        <v>1030</v>
      </c>
      <c r="E110" s="572" t="s">
        <v>2360</v>
      </c>
      <c r="F110" s="876">
        <v>67</v>
      </c>
      <c r="G110" s="374">
        <v>110</v>
      </c>
      <c r="H110" s="375">
        <v>9</v>
      </c>
      <c r="I110" s="376" t="s">
        <v>2167</v>
      </c>
      <c r="J110" s="376" t="s">
        <v>2132</v>
      </c>
      <c r="K110" s="375" t="s">
        <v>2131</v>
      </c>
      <c r="L110" s="669" t="s">
        <v>2134</v>
      </c>
      <c r="M110" s="376" t="s">
        <v>2133</v>
      </c>
      <c r="N110" s="376" t="s">
        <v>2131</v>
      </c>
      <c r="O110" s="376" t="s">
        <v>2183</v>
      </c>
      <c r="P110" s="377" t="s">
        <v>2133</v>
      </c>
      <c r="Q110" s="377" t="s">
        <v>2133</v>
      </c>
      <c r="R110" s="378"/>
      <c r="S110" s="379" t="s">
        <v>2136</v>
      </c>
      <c r="T110" s="379" t="s">
        <v>2136</v>
      </c>
      <c r="U110" s="535" t="s">
        <v>2361</v>
      </c>
      <c r="V110" s="535" t="s">
        <v>2359</v>
      </c>
      <c r="W110" s="536">
        <v>72</v>
      </c>
      <c r="X110" s="646">
        <v>72</v>
      </c>
      <c r="Y110" s="537">
        <v>19.899999999999999</v>
      </c>
      <c r="Z110" s="538">
        <v>26</v>
      </c>
      <c r="AA110" s="457">
        <v>38</v>
      </c>
      <c r="AB110" s="647">
        <v>0.34545454545454546</v>
      </c>
      <c r="AC110" s="539" t="s">
        <v>2362</v>
      </c>
      <c r="AD110" s="540" t="s">
        <v>2359</v>
      </c>
      <c r="AE110" s="541">
        <v>72</v>
      </c>
      <c r="AF110" s="648">
        <v>72</v>
      </c>
      <c r="AG110" s="542">
        <v>19.899999999999999</v>
      </c>
      <c r="AH110" s="543">
        <v>26</v>
      </c>
      <c r="AI110" s="318">
        <v>38</v>
      </c>
      <c r="AJ110" s="647">
        <v>0.34545454545454546</v>
      </c>
      <c r="AK110" s="515" t="s">
        <v>2363</v>
      </c>
      <c r="AL110" s="396" t="s">
        <v>2140</v>
      </c>
      <c r="AM110" s="865">
        <v>46282</v>
      </c>
      <c r="AN110" s="865">
        <v>46297</v>
      </c>
      <c r="AO110" s="866">
        <v>15</v>
      </c>
      <c r="AP110" s="397"/>
      <c r="AQ110" s="397"/>
      <c r="AR110" s="397"/>
      <c r="AS110" s="397"/>
      <c r="AT110" s="397"/>
      <c r="AU110" s="397"/>
      <c r="AV110" s="397"/>
      <c r="AW110" s="397"/>
      <c r="AX110" s="397"/>
      <c r="AY110" s="493"/>
      <c r="AZ110" s="493"/>
      <c r="BA110" s="493"/>
      <c r="BB110" s="494"/>
      <c r="BC110" s="495">
        <v>0</v>
      </c>
      <c r="BD110" s="694">
        <v>0</v>
      </c>
      <c r="BE110" s="695">
        <v>0</v>
      </c>
      <c r="BF110" s="285">
        <v>72</v>
      </c>
      <c r="BG110" s="286">
        <v>72</v>
      </c>
      <c r="BH110" s="286">
        <v>72</v>
      </c>
      <c r="BI110" s="286">
        <v>72</v>
      </c>
      <c r="BJ110" s="286">
        <v>72</v>
      </c>
      <c r="BK110" s="286">
        <v>72</v>
      </c>
      <c r="BL110" s="286">
        <v>72</v>
      </c>
      <c r="BM110" s="286">
        <v>72</v>
      </c>
      <c r="BN110" s="286">
        <v>72</v>
      </c>
      <c r="BO110" s="286">
        <v>72</v>
      </c>
      <c r="BP110" s="286">
        <v>72</v>
      </c>
      <c r="BQ110" s="286">
        <v>72</v>
      </c>
      <c r="BR110" s="402">
        <v>0</v>
      </c>
      <c r="BS110" s="696"/>
      <c r="BT110" s="471"/>
      <c r="BU110" s="470"/>
      <c r="BV110" s="397"/>
      <c r="BW110" s="397"/>
      <c r="BX110" s="472"/>
      <c r="BY110" s="573"/>
      <c r="BZ110" s="574"/>
      <c r="CA110" s="575"/>
    </row>
    <row r="111" spans="1:79" s="521" customFormat="1" ht="46" customHeight="1" thickBot="1">
      <c r="A111" s="294"/>
      <c r="B111" s="567"/>
      <c r="C111" s="420"/>
      <c r="D111" s="421" t="s">
        <v>2129</v>
      </c>
      <c r="E111" s="612"/>
      <c r="F111" s="423">
        <v>0</v>
      </c>
      <c r="G111" s="423">
        <v>0</v>
      </c>
      <c r="H111" s="424">
        <v>0</v>
      </c>
      <c r="I111" s="425">
        <v>0</v>
      </c>
      <c r="J111" s="425">
        <v>0</v>
      </c>
      <c r="K111" s="424">
        <v>0</v>
      </c>
      <c r="L111" s="673">
        <v>0</v>
      </c>
      <c r="M111" s="425">
        <v>0</v>
      </c>
      <c r="N111" s="425">
        <v>0</v>
      </c>
      <c r="O111" s="425">
        <v>0</v>
      </c>
      <c r="P111" s="426" t="s">
        <v>2129</v>
      </c>
      <c r="Q111" s="426"/>
      <c r="R111" s="427"/>
      <c r="S111" s="428"/>
      <c r="T111" s="428"/>
      <c r="U111" s="473"/>
      <c r="V111" s="473"/>
      <c r="W111" s="474"/>
      <c r="X111" s="650"/>
      <c r="Y111" s="475"/>
      <c r="Z111" s="476"/>
      <c r="AA111" s="651"/>
      <c r="AB111" s="652"/>
      <c r="AC111" s="477"/>
      <c r="AD111" s="478"/>
      <c r="AE111" s="479"/>
      <c r="AF111" s="653"/>
      <c r="AG111" s="480"/>
      <c r="AH111" s="481"/>
      <c r="AI111" s="442"/>
      <c r="AJ111" s="652"/>
      <c r="AK111" s="517"/>
      <c r="AL111" s="518" t="s">
        <v>2143</v>
      </c>
      <c r="AM111" s="277">
        <v>46282</v>
      </c>
      <c r="AN111" s="277">
        <v>46297</v>
      </c>
      <c r="AO111" s="278">
        <v>15</v>
      </c>
      <c r="AP111" s="506"/>
      <c r="AQ111" s="506"/>
      <c r="AR111" s="506"/>
      <c r="AS111" s="506"/>
      <c r="AT111" s="506"/>
      <c r="AU111" s="321"/>
      <c r="AV111" s="321"/>
      <c r="AW111" s="321"/>
      <c r="AX111" s="321"/>
      <c r="AY111" s="321"/>
      <c r="AZ111" s="321"/>
      <c r="BA111" s="321"/>
      <c r="BB111" s="322"/>
      <c r="BC111" s="500">
        <v>0</v>
      </c>
      <c r="BD111" s="697">
        <v>0</v>
      </c>
      <c r="BE111" s="698">
        <v>0</v>
      </c>
      <c r="BF111" s="503">
        <v>72</v>
      </c>
      <c r="BG111" s="321">
        <v>72</v>
      </c>
      <c r="BH111" s="321">
        <v>72</v>
      </c>
      <c r="BI111" s="321">
        <v>72</v>
      </c>
      <c r="BJ111" s="321">
        <v>72</v>
      </c>
      <c r="BK111" s="321">
        <v>72</v>
      </c>
      <c r="BL111" s="321">
        <v>72</v>
      </c>
      <c r="BM111" s="321">
        <v>72</v>
      </c>
      <c r="BN111" s="321">
        <v>72</v>
      </c>
      <c r="BO111" s="321">
        <v>72</v>
      </c>
      <c r="BP111" s="321">
        <v>72</v>
      </c>
      <c r="BQ111" s="321">
        <v>72</v>
      </c>
      <c r="BR111" s="504">
        <v>0</v>
      </c>
      <c r="BS111" s="505"/>
      <c r="BT111" s="502"/>
      <c r="BU111" s="503"/>
      <c r="BV111" s="321"/>
      <c r="BW111" s="321"/>
      <c r="BX111" s="520"/>
      <c r="BY111" s="573"/>
      <c r="BZ111" s="614"/>
      <c r="CA111" s="615"/>
    </row>
    <row r="112" spans="1:79" ht="46" customHeight="1" thickTop="1" thickBot="1">
      <c r="A112" s="294"/>
      <c r="B112" s="295" t="s">
        <v>2364</v>
      </c>
      <c r="C112" s="296">
        <v>42</v>
      </c>
      <c r="D112" s="870">
        <v>281</v>
      </c>
      <c r="E112" s="298" t="s">
        <v>2365</v>
      </c>
      <c r="F112" s="875">
        <v>377</v>
      </c>
      <c r="G112" s="299">
        <v>643</v>
      </c>
      <c r="H112" s="300">
        <v>24</v>
      </c>
      <c r="I112" s="301" t="s">
        <v>2182</v>
      </c>
      <c r="J112" s="301" t="s">
        <v>2132</v>
      </c>
      <c r="K112" s="300">
        <v>122</v>
      </c>
      <c r="L112" s="301" t="s">
        <v>2133</v>
      </c>
      <c r="M112" s="301" t="s">
        <v>2206</v>
      </c>
      <c r="N112" s="301" t="s">
        <v>2133</v>
      </c>
      <c r="O112" s="301" t="s">
        <v>2207</v>
      </c>
      <c r="P112" s="302" t="s">
        <v>2133</v>
      </c>
      <c r="Q112" s="302" t="s">
        <v>2133</v>
      </c>
      <c r="R112" s="303" t="s">
        <v>2161</v>
      </c>
      <c r="S112" s="304" t="s">
        <v>2136</v>
      </c>
      <c r="T112" s="304" t="s">
        <v>2136</v>
      </c>
      <c r="U112" s="699" t="s">
        <v>2366</v>
      </c>
      <c r="V112" s="699" t="s">
        <v>2364</v>
      </c>
      <c r="W112" s="700">
        <v>279</v>
      </c>
      <c r="X112" s="408">
        <v>845</v>
      </c>
      <c r="Y112" s="701">
        <v>5.8</v>
      </c>
      <c r="Z112" s="702">
        <v>14</v>
      </c>
      <c r="AA112" s="385">
        <v>77</v>
      </c>
      <c r="AB112" s="412">
        <v>0.11975116640746501</v>
      </c>
      <c r="AC112" s="703" t="s">
        <v>2367</v>
      </c>
      <c r="AD112" s="528" t="s">
        <v>2364</v>
      </c>
      <c r="AE112" s="529">
        <v>234</v>
      </c>
      <c r="AF112" s="315">
        <v>584</v>
      </c>
      <c r="AG112" s="704">
        <v>5.8</v>
      </c>
      <c r="AH112" s="705">
        <v>14</v>
      </c>
      <c r="AI112" s="318">
        <v>293</v>
      </c>
      <c r="AJ112" s="311">
        <v>0.45567651632970452</v>
      </c>
      <c r="AK112" s="491" t="s">
        <v>2368</v>
      </c>
      <c r="AL112" s="492" t="s">
        <v>2140</v>
      </c>
      <c r="AM112" s="865">
        <v>46274</v>
      </c>
      <c r="AN112" s="865">
        <v>46302</v>
      </c>
      <c r="AO112" s="866">
        <v>28</v>
      </c>
      <c r="AP112" s="493"/>
      <c r="AQ112" s="493"/>
      <c r="AR112" s="493"/>
      <c r="AS112" s="493"/>
      <c r="AT112" s="494"/>
      <c r="AU112" s="495">
        <v>0</v>
      </c>
      <c r="AV112" s="282">
        <v>0</v>
      </c>
      <c r="AW112" s="282">
        <v>0</v>
      </c>
      <c r="AX112" s="286">
        <v>270</v>
      </c>
      <c r="AY112" s="286">
        <v>270</v>
      </c>
      <c r="AZ112" s="286">
        <v>270</v>
      </c>
      <c r="BA112" s="286">
        <v>549</v>
      </c>
      <c r="BB112" s="286">
        <v>549</v>
      </c>
      <c r="BC112" s="286">
        <v>549</v>
      </c>
      <c r="BD112" s="283">
        <v>549</v>
      </c>
      <c r="BE112" s="284">
        <v>549</v>
      </c>
      <c r="BF112" s="285">
        <v>549</v>
      </c>
      <c r="BG112" s="286">
        <v>549</v>
      </c>
      <c r="BH112" s="286">
        <v>549</v>
      </c>
      <c r="BI112" s="286">
        <v>549</v>
      </c>
      <c r="BJ112" s="286">
        <v>549</v>
      </c>
      <c r="BK112" s="286">
        <v>549</v>
      </c>
      <c r="BL112" s="286">
        <v>566</v>
      </c>
      <c r="BM112" s="286">
        <v>566</v>
      </c>
      <c r="BN112" s="286">
        <v>566</v>
      </c>
      <c r="BO112" s="286">
        <v>566</v>
      </c>
      <c r="BP112" s="286">
        <v>566</v>
      </c>
      <c r="BQ112" s="286">
        <v>566</v>
      </c>
      <c r="BR112" s="286">
        <v>566</v>
      </c>
      <c r="BS112" s="283">
        <v>566</v>
      </c>
      <c r="BT112" s="284">
        <v>566</v>
      </c>
      <c r="BU112" s="285">
        <v>296</v>
      </c>
      <c r="BV112" s="286">
        <v>296</v>
      </c>
      <c r="BW112" s="402">
        <v>0</v>
      </c>
      <c r="BX112" s="532"/>
      <c r="BY112" s="290"/>
      <c r="BZ112" s="332"/>
      <c r="CA112" s="333"/>
    </row>
    <row r="113" spans="1:79" ht="46" customHeight="1" thickBot="1">
      <c r="A113" s="294"/>
      <c r="B113" s="295"/>
      <c r="C113" s="296"/>
      <c r="D113" s="297" t="s">
        <v>2129</v>
      </c>
      <c r="E113" s="298"/>
      <c r="F113" s="299">
        <v>0</v>
      </c>
      <c r="G113" s="299">
        <v>0</v>
      </c>
      <c r="H113" s="300">
        <v>0</v>
      </c>
      <c r="I113" s="301">
        <v>0</v>
      </c>
      <c r="J113" s="301">
        <v>0</v>
      </c>
      <c r="K113" s="300">
        <v>0</v>
      </c>
      <c r="L113" s="301">
        <v>0</v>
      </c>
      <c r="M113" s="301">
        <v>0</v>
      </c>
      <c r="N113" s="301">
        <v>0</v>
      </c>
      <c r="O113" s="301">
        <v>0</v>
      </c>
      <c r="P113" s="302" t="s">
        <v>2129</v>
      </c>
      <c r="Q113" s="302" t="s">
        <v>2129</v>
      </c>
      <c r="R113" s="303"/>
      <c r="S113" s="304"/>
      <c r="T113" s="304"/>
      <c r="U113" s="406" t="s">
        <v>2369</v>
      </c>
      <c r="V113" s="406" t="s">
        <v>2364</v>
      </c>
      <c r="W113" s="407">
        <v>296</v>
      </c>
      <c r="X113" s="408"/>
      <c r="Y113" s="409">
        <v>5.8</v>
      </c>
      <c r="Z113" s="410">
        <v>14</v>
      </c>
      <c r="AA113" s="411"/>
      <c r="AB113" s="412"/>
      <c r="AC113" s="413" t="s">
        <v>2370</v>
      </c>
      <c r="AD113" s="313" t="s">
        <v>2364</v>
      </c>
      <c r="AE113" s="314">
        <v>242</v>
      </c>
      <c r="AF113" s="315"/>
      <c r="AG113" s="414">
        <v>5.8</v>
      </c>
      <c r="AH113" s="706">
        <v>14</v>
      </c>
      <c r="AI113" s="318"/>
      <c r="AJ113" s="311"/>
      <c r="AK113" s="565"/>
      <c r="AL113" s="320" t="s">
        <v>2143</v>
      </c>
      <c r="AM113" s="277">
        <v>46277</v>
      </c>
      <c r="AN113" s="277">
        <v>46302</v>
      </c>
      <c r="AO113" s="278">
        <v>25</v>
      </c>
      <c r="AP113" s="321"/>
      <c r="AQ113" s="321"/>
      <c r="AR113" s="321"/>
      <c r="AS113" s="321"/>
      <c r="AT113" s="322"/>
      <c r="AU113" s="629"/>
      <c r="AV113" s="328"/>
      <c r="AW113" s="328"/>
      <c r="AX113" s="418">
        <v>0</v>
      </c>
      <c r="AY113" s="418">
        <v>0</v>
      </c>
      <c r="AZ113" s="418">
        <v>0</v>
      </c>
      <c r="BA113" s="328">
        <v>234</v>
      </c>
      <c r="BB113" s="328">
        <v>234</v>
      </c>
      <c r="BC113" s="328">
        <v>234</v>
      </c>
      <c r="BD113" s="325">
        <v>234</v>
      </c>
      <c r="BE113" s="326">
        <v>234</v>
      </c>
      <c r="BF113" s="327">
        <v>234</v>
      </c>
      <c r="BG113" s="328">
        <v>234</v>
      </c>
      <c r="BH113" s="328">
        <v>342</v>
      </c>
      <c r="BI113" s="328">
        <v>342</v>
      </c>
      <c r="BJ113" s="328">
        <v>342</v>
      </c>
      <c r="BK113" s="328">
        <v>342</v>
      </c>
      <c r="BL113" s="328">
        <v>350</v>
      </c>
      <c r="BM113" s="328">
        <v>350</v>
      </c>
      <c r="BN113" s="328">
        <v>350</v>
      </c>
      <c r="BO113" s="328">
        <v>350</v>
      </c>
      <c r="BP113" s="328">
        <v>350</v>
      </c>
      <c r="BQ113" s="328">
        <v>350</v>
      </c>
      <c r="BR113" s="328">
        <v>350</v>
      </c>
      <c r="BS113" s="325">
        <v>350</v>
      </c>
      <c r="BT113" s="326">
        <v>350</v>
      </c>
      <c r="BU113" s="327">
        <v>242</v>
      </c>
      <c r="BV113" s="328">
        <v>242</v>
      </c>
      <c r="BW113" s="419">
        <v>0</v>
      </c>
      <c r="BX113" s="331"/>
      <c r="BY113" s="290"/>
      <c r="BZ113" s="332"/>
      <c r="CA113" s="333"/>
    </row>
    <row r="114" spans="1:79" ht="46" customHeight="1" thickTop="1" thickBot="1">
      <c r="A114" s="620"/>
      <c r="B114" s="295"/>
      <c r="C114" s="420"/>
      <c r="D114" s="421" t="s">
        <v>2129</v>
      </c>
      <c r="E114" s="422"/>
      <c r="F114" s="423">
        <v>0</v>
      </c>
      <c r="G114" s="423">
        <v>0</v>
      </c>
      <c r="H114" s="424">
        <v>0</v>
      </c>
      <c r="I114" s="425">
        <v>0</v>
      </c>
      <c r="J114" s="425">
        <v>0</v>
      </c>
      <c r="K114" s="424">
        <v>0</v>
      </c>
      <c r="L114" s="425">
        <v>0</v>
      </c>
      <c r="M114" s="425">
        <v>0</v>
      </c>
      <c r="N114" s="425">
        <v>0</v>
      </c>
      <c r="O114" s="425">
        <v>0</v>
      </c>
      <c r="P114" s="426" t="s">
        <v>2129</v>
      </c>
      <c r="Q114" s="426" t="s">
        <v>2129</v>
      </c>
      <c r="R114" s="427"/>
      <c r="S114" s="428"/>
      <c r="T114" s="428"/>
      <c r="U114" s="707" t="s">
        <v>2371</v>
      </c>
      <c r="V114" s="707" t="s">
        <v>2315</v>
      </c>
      <c r="W114" s="708">
        <v>270</v>
      </c>
      <c r="X114" s="709"/>
      <c r="Y114" s="710">
        <v>43.9</v>
      </c>
      <c r="Z114" s="711">
        <v>61</v>
      </c>
      <c r="AA114" s="712"/>
      <c r="AB114" s="713"/>
      <c r="AC114" s="714" t="s">
        <v>2372</v>
      </c>
      <c r="AD114" s="437" t="s">
        <v>2364</v>
      </c>
      <c r="AE114" s="438">
        <v>108</v>
      </c>
      <c r="AF114" s="439"/>
      <c r="AG114" s="715">
        <v>8</v>
      </c>
      <c r="AH114" s="716">
        <v>21</v>
      </c>
      <c r="AI114" s="442"/>
      <c r="AJ114" s="435"/>
      <c r="AK114" s="517"/>
      <c r="AL114" s="444"/>
      <c r="AM114" s="277" t="s">
        <v>2129</v>
      </c>
      <c r="AN114" s="277" t="s">
        <v>2129</v>
      </c>
      <c r="AO114" s="278" t="s">
        <v>2129</v>
      </c>
      <c r="AP114" s="2206"/>
      <c r="AQ114" s="2206"/>
      <c r="AR114" s="2206"/>
      <c r="AS114" s="2206"/>
      <c r="AT114" s="2206"/>
      <c r="AU114" s="2205"/>
      <c r="AV114" s="2205"/>
      <c r="AW114" s="2205"/>
      <c r="AX114" s="2205"/>
      <c r="AY114" s="2205"/>
      <c r="AZ114" s="2205"/>
      <c r="BA114" s="2205"/>
      <c r="BB114" s="2205"/>
      <c r="BC114" s="2205"/>
      <c r="BD114" s="2204"/>
      <c r="BE114" s="2203"/>
      <c r="BF114" s="2202"/>
      <c r="BG114" s="2205"/>
      <c r="BH114" s="2205"/>
      <c r="BI114" s="2205"/>
      <c r="BJ114" s="2205"/>
      <c r="BK114" s="2205"/>
      <c r="BL114" s="2205"/>
      <c r="BM114" s="2205"/>
      <c r="BN114" s="2205"/>
      <c r="BO114" s="2205"/>
      <c r="BP114" s="2205"/>
      <c r="BQ114" s="2205"/>
      <c r="BR114" s="2205"/>
      <c r="BS114" s="2204"/>
      <c r="BT114" s="2203"/>
      <c r="BU114" s="2202"/>
      <c r="BV114" s="2206"/>
      <c r="BW114" s="2206"/>
      <c r="BX114" s="2201"/>
      <c r="BY114" s="290"/>
      <c r="BZ114" s="450"/>
      <c r="CA114" s="451"/>
    </row>
    <row r="115" spans="1:79" ht="46" customHeight="1" thickTop="1" thickBot="1">
      <c r="A115" s="294"/>
      <c r="B115" s="295"/>
      <c r="C115" s="296">
        <v>43</v>
      </c>
      <c r="D115" s="870">
        <v>278</v>
      </c>
      <c r="E115" s="298" t="s">
        <v>2373</v>
      </c>
      <c r="F115" s="875">
        <v>222</v>
      </c>
      <c r="G115" s="717">
        <v>277</v>
      </c>
      <c r="H115" s="300">
        <v>9</v>
      </c>
      <c r="I115" s="301" t="s">
        <v>2182</v>
      </c>
      <c r="J115" s="301" t="s">
        <v>2132</v>
      </c>
      <c r="K115" s="300">
        <v>84</v>
      </c>
      <c r="L115" s="301" t="s">
        <v>2134</v>
      </c>
      <c r="M115" s="301" t="s">
        <v>2134</v>
      </c>
      <c r="N115" s="301" t="s">
        <v>2134</v>
      </c>
      <c r="O115" s="301" t="s">
        <v>2235</v>
      </c>
      <c r="P115" s="302" t="s">
        <v>2133</v>
      </c>
      <c r="Q115" s="302" t="s">
        <v>2133</v>
      </c>
      <c r="R115" s="303" t="s">
        <v>2161</v>
      </c>
      <c r="S115" s="304" t="s">
        <v>2136</v>
      </c>
      <c r="T115" s="304" t="s">
        <v>2136</v>
      </c>
      <c r="U115" s="482" t="s">
        <v>2374</v>
      </c>
      <c r="V115" s="482" t="s">
        <v>2315</v>
      </c>
      <c r="W115" s="483">
        <v>72</v>
      </c>
      <c r="X115" s="307">
        <v>234</v>
      </c>
      <c r="Y115" s="484">
        <v>39.9</v>
      </c>
      <c r="Z115" s="485">
        <v>54</v>
      </c>
      <c r="AA115" s="310">
        <v>43</v>
      </c>
      <c r="AB115" s="311">
        <v>0.1552346570397112</v>
      </c>
      <c r="AC115" s="486" t="s">
        <v>2375</v>
      </c>
      <c r="AD115" s="487" t="s">
        <v>2315</v>
      </c>
      <c r="AE115" s="488">
        <v>252</v>
      </c>
      <c r="AF115" s="315">
        <v>252</v>
      </c>
      <c r="AG115" s="489">
        <v>39.9</v>
      </c>
      <c r="AH115" s="490">
        <v>54</v>
      </c>
      <c r="AI115" s="318">
        <v>25</v>
      </c>
      <c r="AJ115" s="311">
        <v>9.0252707581227443E-2</v>
      </c>
      <c r="AK115" s="491" t="s">
        <v>2376</v>
      </c>
      <c r="AL115" s="492" t="s">
        <v>2140</v>
      </c>
      <c r="AM115" s="865">
        <v>46274</v>
      </c>
      <c r="AN115" s="865">
        <v>46300</v>
      </c>
      <c r="AO115" s="866">
        <v>26</v>
      </c>
      <c r="AP115" s="493"/>
      <c r="AQ115" s="493"/>
      <c r="AR115" s="493"/>
      <c r="AS115" s="493"/>
      <c r="AT115" s="494"/>
      <c r="AU115" s="495">
        <v>0</v>
      </c>
      <c r="AV115" s="282">
        <v>0</v>
      </c>
      <c r="AW115" s="282">
        <v>0</v>
      </c>
      <c r="AX115" s="286">
        <v>72</v>
      </c>
      <c r="AY115" s="286">
        <v>72</v>
      </c>
      <c r="AZ115" s="286">
        <v>72</v>
      </c>
      <c r="BA115" s="286">
        <v>72</v>
      </c>
      <c r="BB115" s="286">
        <v>72</v>
      </c>
      <c r="BC115" s="286">
        <v>72</v>
      </c>
      <c r="BD115" s="283">
        <v>72</v>
      </c>
      <c r="BE115" s="284">
        <v>72</v>
      </c>
      <c r="BF115" s="285">
        <v>72</v>
      </c>
      <c r="BG115" s="286">
        <v>72</v>
      </c>
      <c r="BH115" s="286">
        <v>234</v>
      </c>
      <c r="BI115" s="286">
        <v>234</v>
      </c>
      <c r="BJ115" s="286">
        <v>234</v>
      </c>
      <c r="BK115" s="286">
        <v>234</v>
      </c>
      <c r="BL115" s="286">
        <v>234</v>
      </c>
      <c r="BM115" s="286">
        <v>234</v>
      </c>
      <c r="BN115" s="286">
        <v>234</v>
      </c>
      <c r="BO115" s="286">
        <v>234</v>
      </c>
      <c r="BP115" s="286">
        <v>234</v>
      </c>
      <c r="BQ115" s="286">
        <v>234</v>
      </c>
      <c r="BR115" s="286">
        <v>234</v>
      </c>
      <c r="BS115" s="283">
        <v>234</v>
      </c>
      <c r="BT115" s="284">
        <v>234</v>
      </c>
      <c r="BU115" s="649">
        <v>0</v>
      </c>
      <c r="BV115" s="498"/>
      <c r="BW115" s="493"/>
      <c r="BX115" s="499"/>
      <c r="BY115" s="290"/>
      <c r="BZ115" s="332"/>
      <c r="CA115" s="333"/>
    </row>
    <row r="116" spans="1:79" ht="46" customHeight="1" thickBot="1">
      <c r="A116" s="576"/>
      <c r="B116" s="342"/>
      <c r="C116" s="343"/>
      <c r="D116" s="344" t="s">
        <v>2129</v>
      </c>
      <c r="E116" s="345"/>
      <c r="F116" s="718">
        <v>0</v>
      </c>
      <c r="G116" s="718">
        <v>0</v>
      </c>
      <c r="H116" s="347">
        <v>0</v>
      </c>
      <c r="I116" s="348">
        <v>0</v>
      </c>
      <c r="J116" s="348">
        <v>0</v>
      </c>
      <c r="K116" s="347">
        <v>0</v>
      </c>
      <c r="L116" s="348">
        <v>0</v>
      </c>
      <c r="M116" s="348">
        <v>0</v>
      </c>
      <c r="N116" s="348">
        <v>0</v>
      </c>
      <c r="O116" s="348">
        <v>0</v>
      </c>
      <c r="P116" s="349" t="s">
        <v>2129</v>
      </c>
      <c r="Q116" s="349" t="s">
        <v>2129</v>
      </c>
      <c r="R116" s="350"/>
      <c r="S116" s="351"/>
      <c r="T116" s="351"/>
      <c r="U116" s="352" t="s">
        <v>2372</v>
      </c>
      <c r="V116" s="352" t="s">
        <v>2364</v>
      </c>
      <c r="W116" s="353">
        <v>162</v>
      </c>
      <c r="X116" s="354"/>
      <c r="Y116" s="355">
        <v>5.6</v>
      </c>
      <c r="Z116" s="356">
        <v>16</v>
      </c>
      <c r="AA116" s="357"/>
      <c r="AB116" s="358"/>
      <c r="AC116" s="582"/>
      <c r="AD116" s="583"/>
      <c r="AE116" s="584"/>
      <c r="AF116" s="362"/>
      <c r="AG116" s="363"/>
      <c r="AH116" s="364"/>
      <c r="AI116" s="365"/>
      <c r="AJ116" s="358"/>
      <c r="AK116" s="587"/>
      <c r="AL116" s="588" t="s">
        <v>2143</v>
      </c>
      <c r="AM116" s="277">
        <v>46274</v>
      </c>
      <c r="AN116" s="277">
        <v>46300</v>
      </c>
      <c r="AO116" s="278">
        <v>26</v>
      </c>
      <c r="AP116" s="589"/>
      <c r="AQ116" s="321"/>
      <c r="AR116" s="321"/>
      <c r="AS116" s="321"/>
      <c r="AT116" s="322"/>
      <c r="AU116" s="500">
        <v>0</v>
      </c>
      <c r="AV116" s="501">
        <v>0</v>
      </c>
      <c r="AW116" s="501">
        <v>0</v>
      </c>
      <c r="AX116" s="321">
        <v>252</v>
      </c>
      <c r="AY116" s="321">
        <v>252</v>
      </c>
      <c r="AZ116" s="321">
        <v>252</v>
      </c>
      <c r="BA116" s="321">
        <v>252</v>
      </c>
      <c r="BB116" s="321">
        <v>252</v>
      </c>
      <c r="BC116" s="321">
        <v>252</v>
      </c>
      <c r="BD116" s="322">
        <v>252</v>
      </c>
      <c r="BE116" s="502">
        <v>252</v>
      </c>
      <c r="BF116" s="503">
        <v>252</v>
      </c>
      <c r="BG116" s="321">
        <v>252</v>
      </c>
      <c r="BH116" s="321">
        <v>252</v>
      </c>
      <c r="BI116" s="321">
        <v>252</v>
      </c>
      <c r="BJ116" s="321">
        <v>252</v>
      </c>
      <c r="BK116" s="321">
        <v>252</v>
      </c>
      <c r="BL116" s="321">
        <v>252</v>
      </c>
      <c r="BM116" s="328">
        <v>252</v>
      </c>
      <c r="BN116" s="328">
        <v>252</v>
      </c>
      <c r="BO116" s="328">
        <v>252</v>
      </c>
      <c r="BP116" s="328">
        <v>252</v>
      </c>
      <c r="BQ116" s="328">
        <v>252</v>
      </c>
      <c r="BR116" s="328">
        <v>252</v>
      </c>
      <c r="BS116" s="325">
        <v>252</v>
      </c>
      <c r="BT116" s="326">
        <v>252</v>
      </c>
      <c r="BU116" s="630">
        <v>0</v>
      </c>
      <c r="BV116" s="719"/>
      <c r="BW116" s="589"/>
      <c r="BX116" s="590"/>
      <c r="BY116" s="290"/>
      <c r="BZ116" s="370"/>
      <c r="CA116" s="371"/>
    </row>
    <row r="117" spans="1:79" ht="46" customHeight="1" thickTop="1" thickBot="1">
      <c r="A117" s="294" t="s">
        <v>2377</v>
      </c>
      <c r="B117" s="295" t="s">
        <v>2378</v>
      </c>
      <c r="C117" s="296">
        <v>44</v>
      </c>
      <c r="D117" s="870">
        <v>2026</v>
      </c>
      <c r="E117" s="298" t="s">
        <v>2379</v>
      </c>
      <c r="F117" s="875">
        <v>158</v>
      </c>
      <c r="G117" s="299">
        <v>184</v>
      </c>
      <c r="H117" s="300">
        <v>14</v>
      </c>
      <c r="I117" s="301" t="s">
        <v>2167</v>
      </c>
      <c r="J117" s="301" t="s">
        <v>2132</v>
      </c>
      <c r="K117" s="300">
        <v>150</v>
      </c>
      <c r="L117" s="671" t="s">
        <v>2134</v>
      </c>
      <c r="M117" s="301" t="s">
        <v>2133</v>
      </c>
      <c r="N117" s="301" t="s">
        <v>2134</v>
      </c>
      <c r="O117" s="301" t="s">
        <v>2288</v>
      </c>
      <c r="P117" s="302" t="s">
        <v>2133</v>
      </c>
      <c r="Q117" s="302" t="s">
        <v>2133</v>
      </c>
      <c r="R117" s="303"/>
      <c r="S117" s="304" t="s">
        <v>2136</v>
      </c>
      <c r="T117" s="304" t="s">
        <v>2136</v>
      </c>
      <c r="U117" s="482" t="s">
        <v>2380</v>
      </c>
      <c r="V117" s="482" t="s">
        <v>2378</v>
      </c>
      <c r="W117" s="483">
        <v>0</v>
      </c>
      <c r="X117" s="307">
        <v>0</v>
      </c>
      <c r="Y117" s="484">
        <v>1.4</v>
      </c>
      <c r="Z117" s="485">
        <v>4</v>
      </c>
      <c r="AA117" s="310">
        <v>52</v>
      </c>
      <c r="AB117" s="311">
        <v>0.28260869565217389</v>
      </c>
      <c r="AC117" s="486" t="s">
        <v>2380</v>
      </c>
      <c r="AD117" s="487" t="s">
        <v>2378</v>
      </c>
      <c r="AE117" s="488">
        <v>0</v>
      </c>
      <c r="AF117" s="315">
        <v>0</v>
      </c>
      <c r="AG117" s="489">
        <v>1.4</v>
      </c>
      <c r="AH117" s="490">
        <v>4</v>
      </c>
      <c r="AI117" s="318">
        <v>52</v>
      </c>
      <c r="AJ117" s="311">
        <v>0.28260869565217389</v>
      </c>
      <c r="AK117" s="491" t="s">
        <v>2381</v>
      </c>
      <c r="AL117" s="492" t="s">
        <v>2140</v>
      </c>
      <c r="AM117" s="865">
        <v>46270</v>
      </c>
      <c r="AN117" s="865">
        <v>46291</v>
      </c>
      <c r="AO117" s="866">
        <v>21</v>
      </c>
      <c r="AP117" s="494"/>
      <c r="AQ117" s="495">
        <v>0</v>
      </c>
      <c r="AR117" s="282">
        <v>0</v>
      </c>
      <c r="AS117" s="282">
        <v>0</v>
      </c>
      <c r="AT117" s="286">
        <v>66</v>
      </c>
      <c r="AU117" s="286">
        <v>132</v>
      </c>
      <c r="AV117" s="286">
        <v>132</v>
      </c>
      <c r="AW117" s="286">
        <v>132</v>
      </c>
      <c r="AX117" s="286">
        <v>132</v>
      </c>
      <c r="AY117" s="286">
        <v>132</v>
      </c>
      <c r="AZ117" s="286">
        <v>132</v>
      </c>
      <c r="BA117" s="286">
        <v>132</v>
      </c>
      <c r="BB117" s="286">
        <v>132</v>
      </c>
      <c r="BC117" s="286">
        <v>132</v>
      </c>
      <c r="BD117" s="283">
        <v>132</v>
      </c>
      <c r="BE117" s="284">
        <v>66</v>
      </c>
      <c r="BF117" s="285">
        <v>66</v>
      </c>
      <c r="BG117" s="286">
        <v>66</v>
      </c>
      <c r="BH117" s="286">
        <v>66</v>
      </c>
      <c r="BI117" s="286">
        <v>66</v>
      </c>
      <c r="BJ117" s="286">
        <v>66</v>
      </c>
      <c r="BK117" s="286">
        <v>33</v>
      </c>
      <c r="BL117" s="402">
        <v>0</v>
      </c>
      <c r="BM117" s="498"/>
      <c r="BN117" s="493"/>
      <c r="BO117" s="493"/>
      <c r="BP117" s="493"/>
      <c r="BQ117" s="493"/>
      <c r="BR117" s="493"/>
      <c r="BS117" s="494"/>
      <c r="BT117" s="497"/>
      <c r="BU117" s="498"/>
      <c r="BV117" s="493"/>
      <c r="BW117" s="493"/>
      <c r="BX117" s="499"/>
      <c r="BY117" s="573"/>
      <c r="BZ117" s="332"/>
      <c r="CA117" s="333"/>
    </row>
    <row r="118" spans="1:79" s="521" customFormat="1" ht="46" customHeight="1" thickBot="1">
      <c r="A118" s="294"/>
      <c r="B118" s="295"/>
      <c r="C118" s="296"/>
      <c r="D118" s="297" t="s">
        <v>2129</v>
      </c>
      <c r="E118" s="298"/>
      <c r="F118" s="299">
        <v>0</v>
      </c>
      <c r="G118" s="299">
        <v>0</v>
      </c>
      <c r="H118" s="300">
        <v>0</v>
      </c>
      <c r="I118" s="301">
        <v>0</v>
      </c>
      <c r="J118" s="301">
        <v>0</v>
      </c>
      <c r="K118" s="300">
        <v>0</v>
      </c>
      <c r="L118" s="671">
        <v>0</v>
      </c>
      <c r="M118" s="301">
        <v>0</v>
      </c>
      <c r="N118" s="301">
        <v>0</v>
      </c>
      <c r="O118" s="301">
        <v>0</v>
      </c>
      <c r="P118" s="302" t="s">
        <v>2129</v>
      </c>
      <c r="Q118" s="302" t="s">
        <v>2129</v>
      </c>
      <c r="R118" s="303"/>
      <c r="S118" s="304"/>
      <c r="T118" s="304"/>
      <c r="U118" s="473"/>
      <c r="V118" s="473"/>
      <c r="W118" s="474"/>
      <c r="X118" s="307"/>
      <c r="Y118" s="475"/>
      <c r="Z118" s="476"/>
      <c r="AA118" s="310"/>
      <c r="AB118" s="311"/>
      <c r="AC118" s="477"/>
      <c r="AD118" s="478"/>
      <c r="AE118" s="479"/>
      <c r="AF118" s="315"/>
      <c r="AG118" s="480"/>
      <c r="AH118" s="654"/>
      <c r="AI118" s="442"/>
      <c r="AJ118" s="311"/>
      <c r="AK118" s="319"/>
      <c r="AL118" s="320" t="s">
        <v>2143</v>
      </c>
      <c r="AM118" s="277">
        <v>46270</v>
      </c>
      <c r="AN118" s="277">
        <v>46291</v>
      </c>
      <c r="AO118" s="278">
        <v>21</v>
      </c>
      <c r="AP118" s="322"/>
      <c r="AQ118" s="417">
        <v>0</v>
      </c>
      <c r="AR118" s="418">
        <v>0</v>
      </c>
      <c r="AS118" s="418">
        <v>0</v>
      </c>
      <c r="AT118" s="328">
        <v>66</v>
      </c>
      <c r="AU118" s="328">
        <v>132</v>
      </c>
      <c r="AV118" s="321">
        <v>132</v>
      </c>
      <c r="AW118" s="321">
        <v>132</v>
      </c>
      <c r="AX118" s="321">
        <v>132</v>
      </c>
      <c r="AY118" s="321">
        <v>132</v>
      </c>
      <c r="AZ118" s="321">
        <v>132</v>
      </c>
      <c r="BA118" s="321">
        <v>132</v>
      </c>
      <c r="BB118" s="321">
        <v>132</v>
      </c>
      <c r="BC118" s="321">
        <v>132</v>
      </c>
      <c r="BD118" s="322">
        <v>132</v>
      </c>
      <c r="BE118" s="502">
        <v>66</v>
      </c>
      <c r="BF118" s="503">
        <v>66</v>
      </c>
      <c r="BG118" s="321">
        <v>66</v>
      </c>
      <c r="BH118" s="321">
        <v>66</v>
      </c>
      <c r="BI118" s="321">
        <v>66</v>
      </c>
      <c r="BJ118" s="321">
        <v>66</v>
      </c>
      <c r="BK118" s="321">
        <v>33</v>
      </c>
      <c r="BL118" s="504">
        <v>0</v>
      </c>
      <c r="BM118" s="503"/>
      <c r="BN118" s="321"/>
      <c r="BO118" s="321"/>
      <c r="BP118" s="321"/>
      <c r="BQ118" s="321"/>
      <c r="BR118" s="321"/>
      <c r="BS118" s="322"/>
      <c r="BT118" s="502"/>
      <c r="BU118" s="503"/>
      <c r="BV118" s="321"/>
      <c r="BW118" s="321"/>
      <c r="BX118" s="507"/>
      <c r="BY118" s="573"/>
      <c r="BZ118" s="332"/>
      <c r="CA118" s="333"/>
    </row>
    <row r="119" spans="1:79" ht="46" customHeight="1" thickTop="1" thickBot="1">
      <c r="A119" s="294"/>
      <c r="B119" s="295"/>
      <c r="C119" s="372">
        <v>45</v>
      </c>
      <c r="D119" s="871">
        <v>2027</v>
      </c>
      <c r="E119" s="373" t="s">
        <v>2382</v>
      </c>
      <c r="F119" s="876">
        <v>192</v>
      </c>
      <c r="G119" s="374">
        <v>348</v>
      </c>
      <c r="H119" s="375">
        <v>16</v>
      </c>
      <c r="I119" s="376" t="s">
        <v>2134</v>
      </c>
      <c r="J119" s="376" t="s">
        <v>2132</v>
      </c>
      <c r="K119" s="375">
        <v>142</v>
      </c>
      <c r="L119" s="376" t="s">
        <v>2133</v>
      </c>
      <c r="M119" s="376" t="s">
        <v>2206</v>
      </c>
      <c r="N119" s="376" t="s">
        <v>2134</v>
      </c>
      <c r="O119" s="376" t="s">
        <v>2207</v>
      </c>
      <c r="P119" s="377" t="s">
        <v>2133</v>
      </c>
      <c r="Q119" s="377" t="s">
        <v>2133</v>
      </c>
      <c r="R119" s="378" t="s">
        <v>2161</v>
      </c>
      <c r="S119" s="379" t="s">
        <v>2136</v>
      </c>
      <c r="T119" s="379" t="s">
        <v>2136</v>
      </c>
      <c r="U119" s="535" t="s">
        <v>2383</v>
      </c>
      <c r="V119" s="535" t="s">
        <v>2237</v>
      </c>
      <c r="W119" s="536">
        <v>324</v>
      </c>
      <c r="X119" s="646">
        <v>324</v>
      </c>
      <c r="Y119" s="537">
        <v>17.399999999999999</v>
      </c>
      <c r="Z119" s="538">
        <v>30</v>
      </c>
      <c r="AA119" s="457">
        <v>24</v>
      </c>
      <c r="AB119" s="647">
        <v>6.8965517241379309E-2</v>
      </c>
      <c r="AC119" s="539" t="s">
        <v>2383</v>
      </c>
      <c r="AD119" s="540" t="s">
        <v>2237</v>
      </c>
      <c r="AE119" s="541">
        <v>324</v>
      </c>
      <c r="AF119" s="648">
        <v>324</v>
      </c>
      <c r="AG119" s="542">
        <v>17.399999999999999</v>
      </c>
      <c r="AH119" s="543">
        <v>30</v>
      </c>
      <c r="AI119" s="318">
        <v>24</v>
      </c>
      <c r="AJ119" s="647">
        <v>6.8965517241379309E-2</v>
      </c>
      <c r="AK119" s="515" t="s">
        <v>2384</v>
      </c>
      <c r="AL119" s="396" t="s">
        <v>2140</v>
      </c>
      <c r="AM119" s="865">
        <v>46275</v>
      </c>
      <c r="AN119" s="865">
        <v>46301</v>
      </c>
      <c r="AO119" s="866">
        <v>26</v>
      </c>
      <c r="AP119" s="397"/>
      <c r="AQ119" s="493"/>
      <c r="AR119" s="493"/>
      <c r="AS119" s="493"/>
      <c r="AT119" s="493"/>
      <c r="AU119" s="494"/>
      <c r="AV119" s="495">
        <v>0</v>
      </c>
      <c r="AW119" s="282">
        <v>0</v>
      </c>
      <c r="AX119" s="282">
        <v>0</v>
      </c>
      <c r="AY119" s="286">
        <v>324</v>
      </c>
      <c r="AZ119" s="286">
        <v>324</v>
      </c>
      <c r="BA119" s="286">
        <v>324</v>
      </c>
      <c r="BB119" s="286">
        <v>324</v>
      </c>
      <c r="BC119" s="286">
        <v>324</v>
      </c>
      <c r="BD119" s="283">
        <v>324</v>
      </c>
      <c r="BE119" s="284">
        <v>324</v>
      </c>
      <c r="BF119" s="285">
        <v>324</v>
      </c>
      <c r="BG119" s="286">
        <v>324</v>
      </c>
      <c r="BH119" s="286">
        <v>324</v>
      </c>
      <c r="BI119" s="286">
        <v>324</v>
      </c>
      <c r="BJ119" s="286">
        <v>324</v>
      </c>
      <c r="BK119" s="286">
        <v>324</v>
      </c>
      <c r="BL119" s="286">
        <v>324</v>
      </c>
      <c r="BM119" s="286">
        <v>324</v>
      </c>
      <c r="BN119" s="286">
        <v>324</v>
      </c>
      <c r="BO119" s="286">
        <v>324</v>
      </c>
      <c r="BP119" s="286">
        <v>324</v>
      </c>
      <c r="BQ119" s="286">
        <v>324</v>
      </c>
      <c r="BR119" s="286">
        <v>324</v>
      </c>
      <c r="BS119" s="283">
        <v>324</v>
      </c>
      <c r="BT119" s="284">
        <v>324</v>
      </c>
      <c r="BU119" s="285">
        <v>324</v>
      </c>
      <c r="BV119" s="402">
        <v>0</v>
      </c>
      <c r="BW119" s="470"/>
      <c r="BX119" s="472"/>
      <c r="BY119" s="290"/>
      <c r="BZ119" s="404"/>
      <c r="CA119" s="405"/>
    </row>
    <row r="120" spans="1:79" s="521" customFormat="1" ht="46" customHeight="1" thickBot="1">
      <c r="A120" s="294"/>
      <c r="B120" s="295"/>
      <c r="C120" s="420"/>
      <c r="D120" s="421" t="s">
        <v>2129</v>
      </c>
      <c r="E120" s="422"/>
      <c r="F120" s="423">
        <v>0</v>
      </c>
      <c r="G120" s="423">
        <v>0</v>
      </c>
      <c r="H120" s="424">
        <v>0</v>
      </c>
      <c r="I120" s="425">
        <v>0</v>
      </c>
      <c r="J120" s="425">
        <v>0</v>
      </c>
      <c r="K120" s="424">
        <v>0</v>
      </c>
      <c r="L120" s="425">
        <v>0</v>
      </c>
      <c r="M120" s="425">
        <v>0</v>
      </c>
      <c r="N120" s="425">
        <v>0</v>
      </c>
      <c r="O120" s="425">
        <v>0</v>
      </c>
      <c r="P120" s="426" t="s">
        <v>2129</v>
      </c>
      <c r="Q120" s="426" t="s">
        <v>2129</v>
      </c>
      <c r="R120" s="427"/>
      <c r="S120" s="428"/>
      <c r="T120" s="428"/>
      <c r="U120" s="473"/>
      <c r="V120" s="473"/>
      <c r="W120" s="474"/>
      <c r="X120" s="650"/>
      <c r="Y120" s="475"/>
      <c r="Z120" s="476"/>
      <c r="AA120" s="651"/>
      <c r="AB120" s="652"/>
      <c r="AC120" s="477"/>
      <c r="AD120" s="478"/>
      <c r="AE120" s="479"/>
      <c r="AF120" s="653"/>
      <c r="AG120" s="480"/>
      <c r="AH120" s="654"/>
      <c r="AI120" s="442"/>
      <c r="AJ120" s="652"/>
      <c r="AK120" s="517"/>
      <c r="AL120" s="518" t="s">
        <v>2143</v>
      </c>
      <c r="AM120" s="277">
        <v>46275</v>
      </c>
      <c r="AN120" s="277">
        <v>46301</v>
      </c>
      <c r="AO120" s="278">
        <v>26</v>
      </c>
      <c r="AP120" s="506"/>
      <c r="AQ120" s="506"/>
      <c r="AR120" s="506"/>
      <c r="AS120" s="506"/>
      <c r="AT120" s="506"/>
      <c r="AU120" s="519"/>
      <c r="AV120" s="417">
        <v>0</v>
      </c>
      <c r="AW120" s="418">
        <v>0</v>
      </c>
      <c r="AX120" s="418">
        <v>0</v>
      </c>
      <c r="AY120" s="328">
        <v>324</v>
      </c>
      <c r="AZ120" s="328">
        <v>324</v>
      </c>
      <c r="BA120" s="328">
        <v>324</v>
      </c>
      <c r="BB120" s="328">
        <v>324</v>
      </c>
      <c r="BC120" s="328">
        <v>324</v>
      </c>
      <c r="BD120" s="325">
        <v>324</v>
      </c>
      <c r="BE120" s="326">
        <v>324</v>
      </c>
      <c r="BF120" s="327">
        <v>324</v>
      </c>
      <c r="BG120" s="328">
        <v>324</v>
      </c>
      <c r="BH120" s="328">
        <v>324</v>
      </c>
      <c r="BI120" s="328">
        <v>324</v>
      </c>
      <c r="BJ120" s="328">
        <v>324</v>
      </c>
      <c r="BK120" s="328">
        <v>324</v>
      </c>
      <c r="BL120" s="328">
        <v>324</v>
      </c>
      <c r="BM120" s="328">
        <v>324</v>
      </c>
      <c r="BN120" s="328">
        <v>324</v>
      </c>
      <c r="BO120" s="328">
        <v>324</v>
      </c>
      <c r="BP120" s="328">
        <v>324</v>
      </c>
      <c r="BQ120" s="328">
        <v>324</v>
      </c>
      <c r="BR120" s="328">
        <v>324</v>
      </c>
      <c r="BS120" s="325">
        <v>324</v>
      </c>
      <c r="BT120" s="326">
        <v>324</v>
      </c>
      <c r="BU120" s="327">
        <v>324</v>
      </c>
      <c r="BV120" s="419">
        <v>0</v>
      </c>
      <c r="BW120" s="613"/>
      <c r="BX120" s="520"/>
      <c r="BY120" s="290"/>
      <c r="BZ120" s="450"/>
      <c r="CA120" s="451"/>
    </row>
    <row r="121" spans="1:79" ht="46" customHeight="1" thickTop="1" thickBot="1">
      <c r="A121" s="294"/>
      <c r="B121" s="570" t="s">
        <v>2385</v>
      </c>
      <c r="C121" s="372">
        <v>46</v>
      </c>
      <c r="D121" s="871">
        <v>2032</v>
      </c>
      <c r="E121" s="572" t="s">
        <v>2386</v>
      </c>
      <c r="F121" s="876">
        <v>78</v>
      </c>
      <c r="G121" s="374">
        <v>132</v>
      </c>
      <c r="H121" s="375">
        <v>23</v>
      </c>
      <c r="I121" s="376" t="s">
        <v>2167</v>
      </c>
      <c r="J121" s="376" t="s">
        <v>2132</v>
      </c>
      <c r="K121" s="375">
        <v>100</v>
      </c>
      <c r="L121" s="376" t="s">
        <v>2134</v>
      </c>
      <c r="M121" s="376" t="s">
        <v>2134</v>
      </c>
      <c r="N121" s="376" t="s">
        <v>2133</v>
      </c>
      <c r="O121" s="376" t="s">
        <v>2183</v>
      </c>
      <c r="P121" s="377" t="s">
        <v>2133</v>
      </c>
      <c r="Q121" s="377" t="s">
        <v>2133</v>
      </c>
      <c r="R121" s="378"/>
      <c r="S121" s="379" t="s">
        <v>2136</v>
      </c>
      <c r="T121" s="379" t="s">
        <v>2136</v>
      </c>
      <c r="U121" s="535" t="s">
        <v>2387</v>
      </c>
      <c r="V121" s="535" t="s">
        <v>2388</v>
      </c>
      <c r="W121" s="536">
        <v>110</v>
      </c>
      <c r="X121" s="646">
        <v>110</v>
      </c>
      <c r="Y121" s="537">
        <v>23.6</v>
      </c>
      <c r="Z121" s="538">
        <v>36</v>
      </c>
      <c r="AA121" s="457">
        <v>22</v>
      </c>
      <c r="AB121" s="647">
        <v>0.16666666666666666</v>
      </c>
      <c r="AC121" s="539" t="s">
        <v>2389</v>
      </c>
      <c r="AD121" s="540" t="s">
        <v>2388</v>
      </c>
      <c r="AE121" s="541">
        <v>90</v>
      </c>
      <c r="AF121" s="648">
        <v>90</v>
      </c>
      <c r="AG121" s="542">
        <v>23.6</v>
      </c>
      <c r="AH121" s="543">
        <v>36</v>
      </c>
      <c r="AI121" s="318">
        <v>42</v>
      </c>
      <c r="AJ121" s="647">
        <v>0.31818181818181818</v>
      </c>
      <c r="AK121" s="515" t="s">
        <v>2390</v>
      </c>
      <c r="AL121" s="396" t="s">
        <v>2140</v>
      </c>
      <c r="AM121" s="865">
        <v>46283</v>
      </c>
      <c r="AN121" s="865">
        <v>46301</v>
      </c>
      <c r="AO121" s="866">
        <v>18</v>
      </c>
      <c r="AP121" s="397"/>
      <c r="AQ121" s="397"/>
      <c r="AR121" s="397"/>
      <c r="AS121" s="397"/>
      <c r="AT121" s="397"/>
      <c r="AU121" s="397"/>
      <c r="AV121" s="493"/>
      <c r="AW121" s="493"/>
      <c r="AX121" s="493"/>
      <c r="AY121" s="493"/>
      <c r="AZ121" s="493"/>
      <c r="BA121" s="493"/>
      <c r="BB121" s="493"/>
      <c r="BC121" s="494"/>
      <c r="BD121" s="720">
        <v>0</v>
      </c>
      <c r="BE121" s="695">
        <v>0</v>
      </c>
      <c r="BF121" s="684">
        <v>0</v>
      </c>
      <c r="BG121" s="286">
        <v>110</v>
      </c>
      <c r="BH121" s="286">
        <v>110</v>
      </c>
      <c r="BI121" s="286">
        <v>110</v>
      </c>
      <c r="BJ121" s="286">
        <v>110</v>
      </c>
      <c r="BK121" s="286">
        <v>110</v>
      </c>
      <c r="BL121" s="286">
        <v>110</v>
      </c>
      <c r="BM121" s="286">
        <v>110</v>
      </c>
      <c r="BN121" s="286">
        <v>110</v>
      </c>
      <c r="BO121" s="286">
        <v>110</v>
      </c>
      <c r="BP121" s="286">
        <v>110</v>
      </c>
      <c r="BQ121" s="286">
        <v>110</v>
      </c>
      <c r="BR121" s="286">
        <v>110</v>
      </c>
      <c r="BS121" s="283">
        <v>110</v>
      </c>
      <c r="BT121" s="284">
        <v>110</v>
      </c>
      <c r="BU121" s="285">
        <v>110</v>
      </c>
      <c r="BV121" s="402">
        <v>0</v>
      </c>
      <c r="BW121" s="470"/>
      <c r="BX121" s="472"/>
      <c r="BY121" s="573"/>
      <c r="BZ121" s="574"/>
      <c r="CA121" s="575"/>
    </row>
    <row r="122" spans="1:79" s="521" customFormat="1" ht="46" customHeight="1" thickBot="1">
      <c r="A122" s="294"/>
      <c r="B122" s="567"/>
      <c r="C122" s="420"/>
      <c r="D122" s="421" t="s">
        <v>2129</v>
      </c>
      <c r="E122" s="612"/>
      <c r="F122" s="423">
        <v>0</v>
      </c>
      <c r="G122" s="423">
        <v>0</v>
      </c>
      <c r="H122" s="424">
        <v>0</v>
      </c>
      <c r="I122" s="425">
        <v>0</v>
      </c>
      <c r="J122" s="425">
        <v>0</v>
      </c>
      <c r="K122" s="424">
        <v>0</v>
      </c>
      <c r="L122" s="425">
        <v>0</v>
      </c>
      <c r="M122" s="425">
        <v>0</v>
      </c>
      <c r="N122" s="425">
        <v>0</v>
      </c>
      <c r="O122" s="425">
        <v>0</v>
      </c>
      <c r="P122" s="426" t="s">
        <v>2129</v>
      </c>
      <c r="Q122" s="426"/>
      <c r="R122" s="427"/>
      <c r="S122" s="428"/>
      <c r="T122" s="428"/>
      <c r="U122" s="473"/>
      <c r="V122" s="473"/>
      <c r="W122" s="474"/>
      <c r="X122" s="650"/>
      <c r="Y122" s="475"/>
      <c r="Z122" s="476"/>
      <c r="AA122" s="651"/>
      <c r="AB122" s="652"/>
      <c r="AC122" s="477"/>
      <c r="AD122" s="478"/>
      <c r="AE122" s="479"/>
      <c r="AF122" s="653"/>
      <c r="AG122" s="480"/>
      <c r="AH122" s="654"/>
      <c r="AI122" s="442"/>
      <c r="AJ122" s="652"/>
      <c r="AK122" s="517"/>
      <c r="AL122" s="518" t="s">
        <v>2143</v>
      </c>
      <c r="AM122" s="277">
        <v>46283</v>
      </c>
      <c r="AN122" s="277">
        <v>46301</v>
      </c>
      <c r="AO122" s="278">
        <v>18</v>
      </c>
      <c r="AP122" s="506"/>
      <c r="AQ122" s="506"/>
      <c r="AR122" s="506"/>
      <c r="AS122" s="506"/>
      <c r="AT122" s="506"/>
      <c r="AU122" s="506"/>
      <c r="AV122" s="506"/>
      <c r="AW122" s="506"/>
      <c r="AX122" s="506"/>
      <c r="AY122" s="506"/>
      <c r="AZ122" s="506"/>
      <c r="BA122" s="506"/>
      <c r="BB122" s="506"/>
      <c r="BC122" s="519"/>
      <c r="BD122" s="721">
        <v>0</v>
      </c>
      <c r="BE122" s="722">
        <v>0</v>
      </c>
      <c r="BF122" s="686">
        <v>0</v>
      </c>
      <c r="BG122" s="328">
        <v>90</v>
      </c>
      <c r="BH122" s="328">
        <v>90</v>
      </c>
      <c r="BI122" s="328">
        <v>90</v>
      </c>
      <c r="BJ122" s="328">
        <v>90</v>
      </c>
      <c r="BK122" s="328">
        <v>90</v>
      </c>
      <c r="BL122" s="328">
        <v>90</v>
      </c>
      <c r="BM122" s="328">
        <v>90</v>
      </c>
      <c r="BN122" s="328">
        <v>90</v>
      </c>
      <c r="BO122" s="328">
        <v>90</v>
      </c>
      <c r="BP122" s="328">
        <v>90</v>
      </c>
      <c r="BQ122" s="328">
        <v>90</v>
      </c>
      <c r="BR122" s="328">
        <v>90</v>
      </c>
      <c r="BS122" s="325">
        <v>90</v>
      </c>
      <c r="BT122" s="326">
        <v>90</v>
      </c>
      <c r="BU122" s="327">
        <v>90</v>
      </c>
      <c r="BV122" s="419">
        <v>0</v>
      </c>
      <c r="BW122" s="613"/>
      <c r="BX122" s="520"/>
      <c r="BY122" s="573"/>
      <c r="BZ122" s="614"/>
      <c r="CA122" s="615"/>
    </row>
    <row r="123" spans="1:79" ht="46" customHeight="1" thickTop="1" thickBot="1">
      <c r="A123" s="294"/>
      <c r="B123" s="570" t="s">
        <v>2391</v>
      </c>
      <c r="C123" s="296">
        <v>47</v>
      </c>
      <c r="D123" s="870">
        <v>2037</v>
      </c>
      <c r="E123" s="298" t="s">
        <v>2392</v>
      </c>
      <c r="F123" s="875">
        <v>265</v>
      </c>
      <c r="G123" s="299">
        <v>297</v>
      </c>
      <c r="H123" s="300">
        <v>8</v>
      </c>
      <c r="I123" s="301" t="s">
        <v>2167</v>
      </c>
      <c r="J123" s="301" t="s">
        <v>2132</v>
      </c>
      <c r="K123" s="300">
        <v>172</v>
      </c>
      <c r="L123" s="301" t="s">
        <v>2134</v>
      </c>
      <c r="M123" s="301" t="s">
        <v>2134</v>
      </c>
      <c r="N123" s="301" t="s">
        <v>2134</v>
      </c>
      <c r="O123" s="301" t="s">
        <v>2207</v>
      </c>
      <c r="P123" s="302" t="s">
        <v>2133</v>
      </c>
      <c r="Q123" s="302" t="s">
        <v>2133</v>
      </c>
      <c r="R123" s="303"/>
      <c r="S123" s="304" t="s">
        <v>2136</v>
      </c>
      <c r="T123" s="304" t="s">
        <v>2136</v>
      </c>
      <c r="U123" s="482" t="s">
        <v>2393</v>
      </c>
      <c r="V123" s="482" t="s">
        <v>2388</v>
      </c>
      <c r="W123" s="483">
        <v>250</v>
      </c>
      <c r="X123" s="307">
        <v>250</v>
      </c>
      <c r="Y123" s="484">
        <v>17</v>
      </c>
      <c r="Z123" s="485">
        <v>26</v>
      </c>
      <c r="AA123" s="457">
        <v>47</v>
      </c>
      <c r="AB123" s="311">
        <v>0.15824915824915825</v>
      </c>
      <c r="AC123" s="486" t="s">
        <v>2394</v>
      </c>
      <c r="AD123" s="487" t="s">
        <v>2388</v>
      </c>
      <c r="AE123" s="488">
        <v>203</v>
      </c>
      <c r="AF123" s="315">
        <v>203</v>
      </c>
      <c r="AG123" s="489">
        <v>17</v>
      </c>
      <c r="AH123" s="490">
        <v>26</v>
      </c>
      <c r="AI123" s="318">
        <v>94</v>
      </c>
      <c r="AJ123" s="311">
        <v>0.3164983164983165</v>
      </c>
      <c r="AK123" s="491" t="s">
        <v>2395</v>
      </c>
      <c r="AL123" s="492" t="s">
        <v>2140</v>
      </c>
      <c r="AM123" s="865">
        <v>46283</v>
      </c>
      <c r="AN123" s="865">
        <v>46301</v>
      </c>
      <c r="AO123" s="866">
        <v>18</v>
      </c>
      <c r="AP123" s="493"/>
      <c r="AQ123" s="493"/>
      <c r="AR123" s="493"/>
      <c r="AS123" s="493"/>
      <c r="AT123" s="493"/>
      <c r="AU123" s="493"/>
      <c r="AV123" s="493"/>
      <c r="AW123" s="493"/>
      <c r="AX123" s="493"/>
      <c r="AY123" s="493"/>
      <c r="AZ123" s="493"/>
      <c r="BA123" s="493"/>
      <c r="BB123" s="493"/>
      <c r="BC123" s="494"/>
      <c r="BD123" s="720">
        <v>0</v>
      </c>
      <c r="BE123" s="695">
        <v>0</v>
      </c>
      <c r="BF123" s="684">
        <v>0</v>
      </c>
      <c r="BG123" s="286">
        <v>250</v>
      </c>
      <c r="BH123" s="286">
        <v>250</v>
      </c>
      <c r="BI123" s="286">
        <v>250</v>
      </c>
      <c r="BJ123" s="286">
        <v>250</v>
      </c>
      <c r="BK123" s="286">
        <v>250</v>
      </c>
      <c r="BL123" s="286">
        <v>250</v>
      </c>
      <c r="BM123" s="286">
        <v>250</v>
      </c>
      <c r="BN123" s="286">
        <v>250</v>
      </c>
      <c r="BO123" s="286">
        <v>250</v>
      </c>
      <c r="BP123" s="286">
        <v>250</v>
      </c>
      <c r="BQ123" s="286">
        <v>250</v>
      </c>
      <c r="BR123" s="286">
        <v>250</v>
      </c>
      <c r="BS123" s="283">
        <v>250</v>
      </c>
      <c r="BT123" s="284">
        <v>250</v>
      </c>
      <c r="BU123" s="285">
        <v>250</v>
      </c>
      <c r="BV123" s="402">
        <v>0</v>
      </c>
      <c r="BW123" s="498"/>
      <c r="BX123" s="499"/>
      <c r="BY123" s="290"/>
      <c r="BZ123" s="332"/>
      <c r="CA123" s="333"/>
    </row>
    <row r="124" spans="1:79" s="521" customFormat="1" ht="46" customHeight="1" thickBot="1">
      <c r="A124" s="294"/>
      <c r="B124" s="567"/>
      <c r="C124" s="296"/>
      <c r="D124" s="297" t="s">
        <v>2129</v>
      </c>
      <c r="E124" s="298"/>
      <c r="F124" s="299">
        <v>0</v>
      </c>
      <c r="G124" s="299">
        <v>0</v>
      </c>
      <c r="H124" s="300">
        <v>0</v>
      </c>
      <c r="I124" s="301">
        <v>0</v>
      </c>
      <c r="J124" s="301">
        <v>0</v>
      </c>
      <c r="K124" s="300">
        <v>0</v>
      </c>
      <c r="L124" s="301">
        <v>0</v>
      </c>
      <c r="M124" s="301">
        <v>0</v>
      </c>
      <c r="N124" s="301">
        <v>0</v>
      </c>
      <c r="O124" s="301">
        <v>0</v>
      </c>
      <c r="P124" s="302" t="s">
        <v>2129</v>
      </c>
      <c r="Q124" s="302" t="s">
        <v>2129</v>
      </c>
      <c r="R124" s="303"/>
      <c r="S124" s="304"/>
      <c r="T124" s="304"/>
      <c r="U124" s="473"/>
      <c r="V124" s="473"/>
      <c r="W124" s="474"/>
      <c r="X124" s="431"/>
      <c r="Y124" s="475"/>
      <c r="Z124" s="476"/>
      <c r="AA124" s="434"/>
      <c r="AB124" s="435"/>
      <c r="AC124" s="477"/>
      <c r="AD124" s="478"/>
      <c r="AE124" s="479"/>
      <c r="AF124" s="439"/>
      <c r="AG124" s="480"/>
      <c r="AH124" s="481"/>
      <c r="AI124" s="442"/>
      <c r="AJ124" s="311"/>
      <c r="AK124" s="319"/>
      <c r="AL124" s="320" t="s">
        <v>2143</v>
      </c>
      <c r="AM124" s="277">
        <v>46283</v>
      </c>
      <c r="AN124" s="277">
        <v>46301</v>
      </c>
      <c r="AO124" s="278">
        <v>18</v>
      </c>
      <c r="AP124" s="321"/>
      <c r="AQ124" s="321"/>
      <c r="AR124" s="321"/>
      <c r="AS124" s="321"/>
      <c r="AT124" s="321"/>
      <c r="AU124" s="321"/>
      <c r="AV124" s="321"/>
      <c r="AW124" s="321"/>
      <c r="AX124" s="321"/>
      <c r="AY124" s="321"/>
      <c r="AZ124" s="321"/>
      <c r="BA124" s="321"/>
      <c r="BB124" s="321"/>
      <c r="BC124" s="322"/>
      <c r="BD124" s="721">
        <v>0</v>
      </c>
      <c r="BE124" s="722">
        <v>0</v>
      </c>
      <c r="BF124" s="686">
        <v>0</v>
      </c>
      <c r="BG124" s="328">
        <v>203</v>
      </c>
      <c r="BH124" s="328">
        <v>203</v>
      </c>
      <c r="BI124" s="328">
        <v>203</v>
      </c>
      <c r="BJ124" s="328">
        <v>203</v>
      </c>
      <c r="BK124" s="328">
        <v>203</v>
      </c>
      <c r="BL124" s="328">
        <v>203</v>
      </c>
      <c r="BM124" s="328">
        <v>203</v>
      </c>
      <c r="BN124" s="328">
        <v>203</v>
      </c>
      <c r="BO124" s="328">
        <v>203</v>
      </c>
      <c r="BP124" s="328">
        <v>203</v>
      </c>
      <c r="BQ124" s="328">
        <v>203</v>
      </c>
      <c r="BR124" s="328">
        <v>203</v>
      </c>
      <c r="BS124" s="325">
        <v>203</v>
      </c>
      <c r="BT124" s="326">
        <v>203</v>
      </c>
      <c r="BU124" s="327">
        <v>203</v>
      </c>
      <c r="BV124" s="419">
        <v>0</v>
      </c>
      <c r="BW124" s="503"/>
      <c r="BX124" s="507"/>
      <c r="BY124" s="290"/>
      <c r="BZ124" s="332"/>
      <c r="CA124" s="333"/>
    </row>
    <row r="125" spans="1:79" ht="46" customHeight="1" thickTop="1" thickBot="1">
      <c r="A125" s="294"/>
      <c r="B125" s="570" t="s">
        <v>2396</v>
      </c>
      <c r="C125" s="372">
        <v>48</v>
      </c>
      <c r="D125" s="871">
        <v>2022</v>
      </c>
      <c r="E125" s="572" t="s">
        <v>2397</v>
      </c>
      <c r="F125" s="876">
        <v>212</v>
      </c>
      <c r="G125" s="374">
        <v>522</v>
      </c>
      <c r="H125" s="375">
        <v>12</v>
      </c>
      <c r="I125" s="376" t="s">
        <v>2167</v>
      </c>
      <c r="J125" s="376" t="s">
        <v>2132</v>
      </c>
      <c r="K125" s="375">
        <v>122</v>
      </c>
      <c r="L125" s="376" t="s">
        <v>2134</v>
      </c>
      <c r="M125" s="376" t="s">
        <v>2133</v>
      </c>
      <c r="N125" s="376" t="s">
        <v>2133</v>
      </c>
      <c r="O125" s="376" t="s">
        <v>2317</v>
      </c>
      <c r="P125" s="377" t="s">
        <v>2133</v>
      </c>
      <c r="Q125" s="377" t="s">
        <v>2133</v>
      </c>
      <c r="R125" s="378"/>
      <c r="S125" s="2723" t="s">
        <v>2169</v>
      </c>
      <c r="T125" s="2724" t="s">
        <v>2169</v>
      </c>
      <c r="U125" s="508" t="s">
        <v>2398</v>
      </c>
      <c r="V125" s="508" t="s">
        <v>2396</v>
      </c>
      <c r="W125" s="509">
        <v>216</v>
      </c>
      <c r="X125" s="723">
        <v>216</v>
      </c>
      <c r="Y125" s="510">
        <v>18.399999999999999</v>
      </c>
      <c r="Z125" s="511">
        <v>29</v>
      </c>
      <c r="AA125" s="674">
        <v>306</v>
      </c>
      <c r="AB125" s="724">
        <v>0.58620689655172409</v>
      </c>
      <c r="AC125" s="512" t="s">
        <v>2399</v>
      </c>
      <c r="AD125" s="388" t="s">
        <v>2396</v>
      </c>
      <c r="AE125" s="389">
        <v>176</v>
      </c>
      <c r="AF125" s="725">
        <v>176</v>
      </c>
      <c r="AG125" s="513">
        <v>18</v>
      </c>
      <c r="AH125" s="665">
        <v>29</v>
      </c>
      <c r="AI125" s="318">
        <v>346</v>
      </c>
      <c r="AJ125" s="647">
        <v>0.66283524904214564</v>
      </c>
      <c r="AK125" s="515" t="s">
        <v>2400</v>
      </c>
      <c r="AL125" s="396" t="s">
        <v>2140</v>
      </c>
      <c r="AM125" s="865">
        <v>46286</v>
      </c>
      <c r="AN125" s="865">
        <v>46300</v>
      </c>
      <c r="AO125" s="866">
        <v>14</v>
      </c>
      <c r="AP125" s="397"/>
      <c r="AQ125" s="397"/>
      <c r="AR125" s="397"/>
      <c r="AS125" s="397"/>
      <c r="AT125" s="397"/>
      <c r="AU125" s="397"/>
      <c r="AV125" s="397"/>
      <c r="AW125" s="397"/>
      <c r="AX125" s="397"/>
      <c r="AY125" s="397"/>
      <c r="AZ125" s="397"/>
      <c r="BA125" s="397"/>
      <c r="BB125" s="397"/>
      <c r="BC125" s="397"/>
      <c r="BD125" s="494"/>
      <c r="BE125" s="497"/>
      <c r="BF125" s="496"/>
      <c r="BG125" s="495">
        <v>0</v>
      </c>
      <c r="BH125" s="282">
        <v>0</v>
      </c>
      <c r="BI125" s="282">
        <v>0</v>
      </c>
      <c r="BJ125" s="286">
        <v>216</v>
      </c>
      <c r="BK125" s="286">
        <v>216</v>
      </c>
      <c r="BL125" s="286">
        <v>216</v>
      </c>
      <c r="BM125" s="286">
        <v>216</v>
      </c>
      <c r="BN125" s="286">
        <v>216</v>
      </c>
      <c r="BO125" s="286">
        <v>216</v>
      </c>
      <c r="BP125" s="286">
        <v>216</v>
      </c>
      <c r="BQ125" s="286">
        <v>216</v>
      </c>
      <c r="BR125" s="286">
        <v>216</v>
      </c>
      <c r="BS125" s="283">
        <v>216</v>
      </c>
      <c r="BT125" s="284">
        <v>216</v>
      </c>
      <c r="BU125" s="649">
        <v>0</v>
      </c>
      <c r="BV125" s="498"/>
      <c r="BW125" s="397"/>
      <c r="BX125" s="472"/>
      <c r="BY125" s="573"/>
      <c r="BZ125" s="574"/>
      <c r="CA125" s="575"/>
    </row>
    <row r="126" spans="1:79" s="521" customFormat="1" ht="46" customHeight="1" thickBot="1">
      <c r="A126" s="294"/>
      <c r="B126" s="567"/>
      <c r="C126" s="420"/>
      <c r="D126" s="421" t="s">
        <v>2129</v>
      </c>
      <c r="E126" s="612" t="s">
        <v>2401</v>
      </c>
      <c r="F126" s="423"/>
      <c r="G126" s="423"/>
      <c r="H126" s="424"/>
      <c r="I126" s="425"/>
      <c r="J126" s="425"/>
      <c r="K126" s="424"/>
      <c r="L126" s="673"/>
      <c r="M126" s="425"/>
      <c r="N126" s="425"/>
      <c r="O126" s="425"/>
      <c r="P126" s="426"/>
      <c r="Q126" s="426"/>
      <c r="R126" s="427"/>
      <c r="S126" s="428"/>
      <c r="T126" s="428"/>
      <c r="U126" s="625" t="s">
        <v>2259</v>
      </c>
      <c r="V126" s="473" t="s">
        <v>2129</v>
      </c>
      <c r="W126" s="474"/>
      <c r="X126" s="650"/>
      <c r="Y126" s="475">
        <v>12.4</v>
      </c>
      <c r="Z126" s="476">
        <v>20</v>
      </c>
      <c r="AA126" s="651"/>
      <c r="AB126" s="652"/>
      <c r="AC126" s="626" t="s">
        <v>2259</v>
      </c>
      <c r="AD126" s="478"/>
      <c r="AE126" s="479"/>
      <c r="AF126" s="653"/>
      <c r="AG126" s="480">
        <v>12.4</v>
      </c>
      <c r="AH126" s="481">
        <v>20</v>
      </c>
      <c r="AI126" s="442"/>
      <c r="AJ126" s="652"/>
      <c r="AK126" s="517"/>
      <c r="AL126" s="518" t="s">
        <v>2143</v>
      </c>
      <c r="AM126" s="277">
        <v>46286</v>
      </c>
      <c r="AN126" s="277">
        <v>46300</v>
      </c>
      <c r="AO126" s="278">
        <v>14</v>
      </c>
      <c r="AP126" s="506"/>
      <c r="AQ126" s="506"/>
      <c r="AR126" s="321"/>
      <c r="AS126" s="321"/>
      <c r="AT126" s="321"/>
      <c r="AU126" s="321"/>
      <c r="AV126" s="321"/>
      <c r="AW126" s="321"/>
      <c r="AX126" s="321"/>
      <c r="AY126" s="321"/>
      <c r="AZ126" s="321"/>
      <c r="BA126" s="321"/>
      <c r="BB126" s="321"/>
      <c r="BC126" s="321"/>
      <c r="BD126" s="322"/>
      <c r="BE126" s="502"/>
      <c r="BF126" s="505"/>
      <c r="BG126" s="500">
        <v>0</v>
      </c>
      <c r="BH126" s="501">
        <v>0</v>
      </c>
      <c r="BI126" s="501">
        <v>0</v>
      </c>
      <c r="BJ126" s="321">
        <v>176</v>
      </c>
      <c r="BK126" s="321">
        <v>176</v>
      </c>
      <c r="BL126" s="321">
        <v>176</v>
      </c>
      <c r="BM126" s="321">
        <v>176</v>
      </c>
      <c r="BN126" s="321">
        <v>176</v>
      </c>
      <c r="BO126" s="321">
        <v>176</v>
      </c>
      <c r="BP126" s="321">
        <v>176</v>
      </c>
      <c r="BQ126" s="321">
        <v>176</v>
      </c>
      <c r="BR126" s="321">
        <v>176</v>
      </c>
      <c r="BS126" s="322">
        <v>176</v>
      </c>
      <c r="BT126" s="502">
        <v>176</v>
      </c>
      <c r="BU126" s="726">
        <v>0</v>
      </c>
      <c r="BV126" s="613"/>
      <c r="BW126" s="506"/>
      <c r="BX126" s="520"/>
      <c r="BY126" s="573"/>
      <c r="BZ126" s="614"/>
      <c r="CA126" s="615"/>
    </row>
    <row r="127" spans="1:79" ht="46" customHeight="1" thickTop="1" thickBot="1">
      <c r="A127" s="294"/>
      <c r="B127" s="295" t="s">
        <v>2402</v>
      </c>
      <c r="C127" s="372">
        <v>49</v>
      </c>
      <c r="D127" s="871">
        <v>2016</v>
      </c>
      <c r="E127" s="373" t="s">
        <v>2403</v>
      </c>
      <c r="F127" s="876">
        <v>232</v>
      </c>
      <c r="G127" s="374">
        <v>718</v>
      </c>
      <c r="H127" s="375">
        <v>40</v>
      </c>
      <c r="I127" s="376" t="s">
        <v>2167</v>
      </c>
      <c r="J127" s="376" t="s">
        <v>2132</v>
      </c>
      <c r="K127" s="375">
        <v>100</v>
      </c>
      <c r="L127" s="376" t="s">
        <v>2134</v>
      </c>
      <c r="M127" s="376" t="s">
        <v>2133</v>
      </c>
      <c r="N127" s="376" t="s">
        <v>2133</v>
      </c>
      <c r="O127" s="376" t="s">
        <v>2183</v>
      </c>
      <c r="P127" s="377" t="s">
        <v>2133</v>
      </c>
      <c r="Q127" s="377" t="s">
        <v>2133</v>
      </c>
      <c r="R127" s="378"/>
      <c r="S127" s="2723" t="s">
        <v>2169</v>
      </c>
      <c r="T127" s="2724" t="s">
        <v>2169</v>
      </c>
      <c r="U127" s="508" t="s">
        <v>2404</v>
      </c>
      <c r="V127" s="508" t="s">
        <v>2405</v>
      </c>
      <c r="W127" s="509">
        <v>0</v>
      </c>
      <c r="X127" s="454">
        <v>0</v>
      </c>
      <c r="Y127" s="510">
        <v>10.6</v>
      </c>
      <c r="Z127" s="511">
        <v>17</v>
      </c>
      <c r="AA127" s="457">
        <v>520</v>
      </c>
      <c r="AB127" s="394">
        <v>0.72423398328690802</v>
      </c>
      <c r="AC127" s="512" t="s">
        <v>2404</v>
      </c>
      <c r="AD127" s="388" t="s">
        <v>2405</v>
      </c>
      <c r="AE127" s="389">
        <v>0</v>
      </c>
      <c r="AF127" s="390">
        <v>0</v>
      </c>
      <c r="AG127" s="513">
        <v>10.6</v>
      </c>
      <c r="AH127" s="665">
        <v>17</v>
      </c>
      <c r="AI127" s="318">
        <v>520</v>
      </c>
      <c r="AJ127" s="394">
        <v>0.72423398328690802</v>
      </c>
      <c r="AK127" s="515" t="s">
        <v>2406</v>
      </c>
      <c r="AL127" s="396" t="s">
        <v>2140</v>
      </c>
      <c r="AM127" s="865">
        <v>46271</v>
      </c>
      <c r="AN127" s="865">
        <v>46300</v>
      </c>
      <c r="AO127" s="866">
        <v>29</v>
      </c>
      <c r="AP127" s="397"/>
      <c r="AQ127" s="398"/>
      <c r="AR127" s="495">
        <v>0</v>
      </c>
      <c r="AS127" s="282">
        <v>0</v>
      </c>
      <c r="AT127" s="282">
        <v>0</v>
      </c>
      <c r="AU127" s="286">
        <v>132</v>
      </c>
      <c r="AV127" s="286">
        <v>132</v>
      </c>
      <c r="AW127" s="286">
        <v>132</v>
      </c>
      <c r="AX127" s="286">
        <v>132</v>
      </c>
      <c r="AY127" s="286">
        <v>132</v>
      </c>
      <c r="AZ127" s="286">
        <v>132</v>
      </c>
      <c r="BA127" s="286">
        <v>132</v>
      </c>
      <c r="BB127" s="286">
        <v>132</v>
      </c>
      <c r="BC127" s="286">
        <v>132</v>
      </c>
      <c r="BD127" s="283">
        <v>132</v>
      </c>
      <c r="BE127" s="284">
        <v>132</v>
      </c>
      <c r="BF127" s="285">
        <v>132</v>
      </c>
      <c r="BG127" s="286">
        <v>132</v>
      </c>
      <c r="BH127" s="286">
        <v>132</v>
      </c>
      <c r="BI127" s="286">
        <v>132</v>
      </c>
      <c r="BJ127" s="286">
        <v>132</v>
      </c>
      <c r="BK127" s="286">
        <v>132</v>
      </c>
      <c r="BL127" s="286">
        <v>132</v>
      </c>
      <c r="BM127" s="286">
        <v>198</v>
      </c>
      <c r="BN127" s="286">
        <v>198</v>
      </c>
      <c r="BO127" s="286">
        <v>132</v>
      </c>
      <c r="BP127" s="286">
        <v>132</v>
      </c>
      <c r="BQ127" s="286">
        <v>132</v>
      </c>
      <c r="BR127" s="286">
        <v>66</v>
      </c>
      <c r="BS127" s="283">
        <v>66</v>
      </c>
      <c r="BT127" s="284">
        <v>66</v>
      </c>
      <c r="BU127" s="649">
        <v>0</v>
      </c>
      <c r="BV127" s="470"/>
      <c r="BW127" s="397"/>
      <c r="BX127" s="472"/>
      <c r="BY127" s="290"/>
      <c r="BZ127" s="404"/>
      <c r="CA127" s="405"/>
    </row>
    <row r="128" spans="1:79" s="521" customFormat="1" ht="46" customHeight="1" thickBot="1">
      <c r="A128" s="294"/>
      <c r="B128" s="567"/>
      <c r="C128" s="420"/>
      <c r="D128" s="421" t="s">
        <v>2129</v>
      </c>
      <c r="E128" s="422"/>
      <c r="F128" s="423">
        <v>0</v>
      </c>
      <c r="G128" s="423">
        <v>0</v>
      </c>
      <c r="H128" s="424">
        <v>0</v>
      </c>
      <c r="I128" s="425">
        <v>0</v>
      </c>
      <c r="J128" s="425">
        <v>0</v>
      </c>
      <c r="K128" s="424">
        <v>0</v>
      </c>
      <c r="L128" s="425">
        <v>0</v>
      </c>
      <c r="M128" s="425">
        <v>0</v>
      </c>
      <c r="N128" s="425">
        <v>0</v>
      </c>
      <c r="O128" s="425">
        <v>0</v>
      </c>
      <c r="P128" s="426" t="s">
        <v>2129</v>
      </c>
      <c r="Q128" s="426" t="s">
        <v>2129</v>
      </c>
      <c r="R128" s="427"/>
      <c r="S128" s="428"/>
      <c r="T128" s="428"/>
      <c r="U128" s="429" t="s">
        <v>2407</v>
      </c>
      <c r="V128" s="429" t="s">
        <v>2405</v>
      </c>
      <c r="W128" s="430">
        <v>0</v>
      </c>
      <c r="X128" s="431"/>
      <c r="Y128" s="432">
        <v>10.6</v>
      </c>
      <c r="Z128" s="433">
        <v>17</v>
      </c>
      <c r="AA128" s="434"/>
      <c r="AB128" s="435"/>
      <c r="AC128" s="436" t="s">
        <v>2407</v>
      </c>
      <c r="AD128" s="437" t="s">
        <v>2405</v>
      </c>
      <c r="AE128" s="438">
        <v>0</v>
      </c>
      <c r="AF128" s="439"/>
      <c r="AG128" s="440">
        <v>10.6</v>
      </c>
      <c r="AH128" s="441">
        <v>17</v>
      </c>
      <c r="AI128" s="442"/>
      <c r="AJ128" s="435"/>
      <c r="AK128" s="517"/>
      <c r="AL128" s="518" t="s">
        <v>2143</v>
      </c>
      <c r="AM128" s="277">
        <v>46271</v>
      </c>
      <c r="AN128" s="277">
        <v>46300</v>
      </c>
      <c r="AO128" s="278">
        <v>29</v>
      </c>
      <c r="AP128" s="506"/>
      <c r="AQ128" s="519"/>
      <c r="AR128" s="417">
        <v>0</v>
      </c>
      <c r="AS128" s="418">
        <v>0</v>
      </c>
      <c r="AT128" s="418">
        <v>0</v>
      </c>
      <c r="AU128" s="328">
        <v>132</v>
      </c>
      <c r="AV128" s="328">
        <v>132</v>
      </c>
      <c r="AW128" s="328">
        <v>132</v>
      </c>
      <c r="AX128" s="328">
        <v>132</v>
      </c>
      <c r="AY128" s="328">
        <v>132</v>
      </c>
      <c r="AZ128" s="328">
        <v>132</v>
      </c>
      <c r="BA128" s="328">
        <v>132</v>
      </c>
      <c r="BB128" s="328">
        <v>132</v>
      </c>
      <c r="BC128" s="328">
        <v>132</v>
      </c>
      <c r="BD128" s="325">
        <v>132</v>
      </c>
      <c r="BE128" s="326">
        <v>132</v>
      </c>
      <c r="BF128" s="327">
        <v>132</v>
      </c>
      <c r="BG128" s="328">
        <v>132</v>
      </c>
      <c r="BH128" s="328">
        <v>132</v>
      </c>
      <c r="BI128" s="328">
        <v>132</v>
      </c>
      <c r="BJ128" s="328">
        <v>132</v>
      </c>
      <c r="BK128" s="328">
        <v>132</v>
      </c>
      <c r="BL128" s="328">
        <v>132</v>
      </c>
      <c r="BM128" s="328">
        <v>198</v>
      </c>
      <c r="BN128" s="328">
        <v>198</v>
      </c>
      <c r="BO128" s="328">
        <v>132</v>
      </c>
      <c r="BP128" s="328">
        <v>132</v>
      </c>
      <c r="BQ128" s="328">
        <v>132</v>
      </c>
      <c r="BR128" s="328">
        <v>66</v>
      </c>
      <c r="BS128" s="325">
        <v>66</v>
      </c>
      <c r="BT128" s="326">
        <v>66</v>
      </c>
      <c r="BU128" s="630">
        <v>0</v>
      </c>
      <c r="BV128" s="613"/>
      <c r="BW128" s="506"/>
      <c r="BX128" s="520"/>
      <c r="BY128" s="290"/>
      <c r="BZ128" s="450"/>
      <c r="CA128" s="451"/>
    </row>
    <row r="129" spans="1:79" ht="46" customHeight="1" thickTop="1" thickBot="1">
      <c r="A129" s="294"/>
      <c r="B129" s="570" t="s">
        <v>2408</v>
      </c>
      <c r="C129" s="296">
        <v>50</v>
      </c>
      <c r="D129" s="870">
        <v>2019</v>
      </c>
      <c r="E129" s="609" t="s">
        <v>2409</v>
      </c>
      <c r="F129" s="875">
        <v>369</v>
      </c>
      <c r="G129" s="299">
        <v>641</v>
      </c>
      <c r="H129" s="300">
        <v>2</v>
      </c>
      <c r="I129" s="301" t="s">
        <v>2131</v>
      </c>
      <c r="J129" s="301" t="s">
        <v>2132</v>
      </c>
      <c r="K129" s="300">
        <v>250</v>
      </c>
      <c r="L129" s="376" t="s">
        <v>2134</v>
      </c>
      <c r="M129" s="301" t="s">
        <v>2177</v>
      </c>
      <c r="N129" s="301" t="s">
        <v>2133</v>
      </c>
      <c r="O129" s="301" t="s">
        <v>2183</v>
      </c>
      <c r="P129" s="302" t="s">
        <v>2133</v>
      </c>
      <c r="Q129" s="302" t="s">
        <v>2133</v>
      </c>
      <c r="R129" s="303"/>
      <c r="S129" s="2725" t="s">
        <v>2169</v>
      </c>
      <c r="T129" s="2726" t="s">
        <v>2169</v>
      </c>
      <c r="U129" s="482" t="s">
        <v>2410</v>
      </c>
      <c r="V129" s="482" t="s">
        <v>2408</v>
      </c>
      <c r="W129" s="483">
        <v>111</v>
      </c>
      <c r="X129" s="655">
        <v>111</v>
      </c>
      <c r="Y129" s="484">
        <v>8.5</v>
      </c>
      <c r="Z129" s="485">
        <v>16</v>
      </c>
      <c r="AA129" s="457">
        <v>530</v>
      </c>
      <c r="AB129" s="656">
        <v>0.82683307332293288</v>
      </c>
      <c r="AC129" s="486" t="s">
        <v>2411</v>
      </c>
      <c r="AD129" s="487" t="s">
        <v>2408</v>
      </c>
      <c r="AE129" s="488">
        <v>90</v>
      </c>
      <c r="AF129" s="657">
        <v>90</v>
      </c>
      <c r="AG129" s="489">
        <v>8.5</v>
      </c>
      <c r="AH129" s="635">
        <v>16</v>
      </c>
      <c r="AI129" s="318">
        <v>551</v>
      </c>
      <c r="AJ129" s="656">
        <v>0.85959438377535102</v>
      </c>
      <c r="AK129" s="491" t="s">
        <v>2412</v>
      </c>
      <c r="AL129" s="492" t="s">
        <v>2140</v>
      </c>
      <c r="AM129" s="865">
        <v>46283</v>
      </c>
      <c r="AN129" s="865">
        <v>46296</v>
      </c>
      <c r="AO129" s="866">
        <v>13</v>
      </c>
      <c r="AP129" s="493"/>
      <c r="AQ129" s="493"/>
      <c r="AR129" s="493"/>
      <c r="AS129" s="493"/>
      <c r="AT129" s="493"/>
      <c r="AU129" s="493"/>
      <c r="AV129" s="493"/>
      <c r="AW129" s="493"/>
      <c r="AX129" s="493"/>
      <c r="AY129" s="493"/>
      <c r="AZ129" s="493"/>
      <c r="BA129" s="493"/>
      <c r="BB129" s="493"/>
      <c r="BC129" s="494"/>
      <c r="BD129" s="720">
        <v>0</v>
      </c>
      <c r="BE129" s="695">
        <v>0</v>
      </c>
      <c r="BF129" s="684">
        <v>0</v>
      </c>
      <c r="BG129" s="286">
        <v>111</v>
      </c>
      <c r="BH129" s="286">
        <v>111</v>
      </c>
      <c r="BI129" s="286">
        <v>111</v>
      </c>
      <c r="BJ129" s="286">
        <v>111</v>
      </c>
      <c r="BK129" s="286">
        <v>111</v>
      </c>
      <c r="BL129" s="286">
        <v>111</v>
      </c>
      <c r="BM129" s="286">
        <v>111</v>
      </c>
      <c r="BN129" s="286">
        <v>111</v>
      </c>
      <c r="BO129" s="286">
        <v>111</v>
      </c>
      <c r="BP129" s="286">
        <v>111</v>
      </c>
      <c r="BQ129" s="402">
        <v>0</v>
      </c>
      <c r="BR129" s="498"/>
      <c r="BS129" s="494"/>
      <c r="BT129" s="497"/>
      <c r="BU129" s="498"/>
      <c r="BV129" s="493"/>
      <c r="BW129" s="493"/>
      <c r="BX129" s="499"/>
      <c r="BY129" s="573"/>
      <c r="BZ129" s="610"/>
      <c r="CA129" s="611"/>
    </row>
    <row r="130" spans="1:79" s="561" customFormat="1" ht="46" customHeight="1" thickBot="1">
      <c r="A130" s="566"/>
      <c r="B130" s="567"/>
      <c r="C130" s="420"/>
      <c r="D130" s="421" t="s">
        <v>2129</v>
      </c>
      <c r="E130" s="612"/>
      <c r="F130" s="423">
        <v>0</v>
      </c>
      <c r="G130" s="423">
        <v>0</v>
      </c>
      <c r="H130" s="424">
        <v>0</v>
      </c>
      <c r="I130" s="425">
        <v>0</v>
      </c>
      <c r="J130" s="425">
        <v>0</v>
      </c>
      <c r="K130" s="424">
        <v>0</v>
      </c>
      <c r="L130" s="673">
        <v>0</v>
      </c>
      <c r="M130" s="425">
        <v>0</v>
      </c>
      <c r="N130" s="425">
        <v>0</v>
      </c>
      <c r="O130" s="425">
        <v>0</v>
      </c>
      <c r="P130" s="426" t="s">
        <v>2129</v>
      </c>
      <c r="Q130" s="426"/>
      <c r="R130" s="427"/>
      <c r="S130" s="428"/>
      <c r="T130" s="428"/>
      <c r="U130" s="473"/>
      <c r="V130" s="473"/>
      <c r="W130" s="616"/>
      <c r="X130" s="650"/>
      <c r="Y130" s="617"/>
      <c r="Z130" s="618"/>
      <c r="AA130" s="651"/>
      <c r="AB130" s="652"/>
      <c r="AC130" s="477"/>
      <c r="AD130" s="478"/>
      <c r="AE130" s="479"/>
      <c r="AF130" s="653"/>
      <c r="AG130" s="619"/>
      <c r="AH130" s="481"/>
      <c r="AI130" s="442"/>
      <c r="AJ130" s="652"/>
      <c r="AK130" s="517"/>
      <c r="AL130" s="518" t="s">
        <v>2143</v>
      </c>
      <c r="AM130" s="277">
        <v>46283</v>
      </c>
      <c r="AN130" s="277">
        <v>46296</v>
      </c>
      <c r="AO130" s="278">
        <v>13</v>
      </c>
      <c r="AP130" s="506"/>
      <c r="AQ130" s="506"/>
      <c r="AR130" s="321"/>
      <c r="AS130" s="321"/>
      <c r="AT130" s="321"/>
      <c r="AU130" s="321"/>
      <c r="AV130" s="321"/>
      <c r="AW130" s="321"/>
      <c r="AX130" s="321"/>
      <c r="AY130" s="321"/>
      <c r="AZ130" s="321"/>
      <c r="BA130" s="321"/>
      <c r="BB130" s="321"/>
      <c r="BC130" s="322"/>
      <c r="BD130" s="727">
        <v>0</v>
      </c>
      <c r="BE130" s="698">
        <v>0</v>
      </c>
      <c r="BF130" s="728">
        <v>0</v>
      </c>
      <c r="BG130" s="321">
        <v>90</v>
      </c>
      <c r="BH130" s="321">
        <v>90</v>
      </c>
      <c r="BI130" s="321">
        <v>90</v>
      </c>
      <c r="BJ130" s="321">
        <v>90</v>
      </c>
      <c r="BK130" s="321">
        <v>90</v>
      </c>
      <c r="BL130" s="321">
        <v>90</v>
      </c>
      <c r="BM130" s="321">
        <v>90</v>
      </c>
      <c r="BN130" s="321">
        <v>90</v>
      </c>
      <c r="BO130" s="321">
        <v>90</v>
      </c>
      <c r="BP130" s="321">
        <v>90</v>
      </c>
      <c r="BQ130" s="504">
        <v>0</v>
      </c>
      <c r="BR130" s="503"/>
      <c r="BS130" s="519"/>
      <c r="BT130" s="693"/>
      <c r="BU130" s="613"/>
      <c r="BV130" s="506"/>
      <c r="BW130" s="506"/>
      <c r="BX130" s="520"/>
      <c r="BY130" s="573"/>
      <c r="BZ130" s="614"/>
      <c r="CA130" s="615"/>
    </row>
    <row r="131" spans="1:79" s="564" customFormat="1" ht="46" customHeight="1" thickTop="1" thickBot="1">
      <c r="A131" s="569"/>
      <c r="B131" s="570" t="s">
        <v>2413</v>
      </c>
      <c r="C131" s="372">
        <v>51</v>
      </c>
      <c r="D131" s="871">
        <v>2008</v>
      </c>
      <c r="E131" s="373" t="s">
        <v>2414</v>
      </c>
      <c r="F131" s="876">
        <v>241</v>
      </c>
      <c r="G131" s="374">
        <v>456</v>
      </c>
      <c r="H131" s="375">
        <v>20</v>
      </c>
      <c r="I131" s="376" t="s">
        <v>2182</v>
      </c>
      <c r="J131" s="376" t="s">
        <v>2132</v>
      </c>
      <c r="K131" s="375">
        <v>170</v>
      </c>
      <c r="L131" s="376" t="s">
        <v>2134</v>
      </c>
      <c r="M131" s="376" t="s">
        <v>2134</v>
      </c>
      <c r="N131" s="376" t="s">
        <v>2134</v>
      </c>
      <c r="O131" s="376" t="s">
        <v>2415</v>
      </c>
      <c r="P131" s="377" t="s">
        <v>2133</v>
      </c>
      <c r="Q131" s="377" t="s">
        <v>2133</v>
      </c>
      <c r="R131" s="378"/>
      <c r="S131" s="2723" t="s">
        <v>2169</v>
      </c>
      <c r="T131" s="2724" t="s">
        <v>2169</v>
      </c>
      <c r="U131" s="535" t="s">
        <v>2416</v>
      </c>
      <c r="V131" s="535" t="s">
        <v>2417</v>
      </c>
      <c r="W131" s="729">
        <v>0</v>
      </c>
      <c r="X131" s="646">
        <v>0</v>
      </c>
      <c r="Y131" s="730">
        <v>9.5</v>
      </c>
      <c r="Z131" s="731">
        <v>20</v>
      </c>
      <c r="AA131" s="457">
        <v>324</v>
      </c>
      <c r="AB131" s="647">
        <v>0.71052631578947367</v>
      </c>
      <c r="AC131" s="539" t="s">
        <v>2416</v>
      </c>
      <c r="AD131" s="540" t="s">
        <v>2417</v>
      </c>
      <c r="AE131" s="541">
        <v>0</v>
      </c>
      <c r="AF131" s="648">
        <v>0</v>
      </c>
      <c r="AG131" s="732">
        <v>9.5</v>
      </c>
      <c r="AH131" s="571">
        <v>20</v>
      </c>
      <c r="AI131" s="393">
        <v>324</v>
      </c>
      <c r="AJ131" s="647">
        <v>0.71052631578947367</v>
      </c>
      <c r="AK131" s="515" t="s">
        <v>2418</v>
      </c>
      <c r="AL131" s="396" t="s">
        <v>2140</v>
      </c>
      <c r="AM131" s="865">
        <v>46271</v>
      </c>
      <c r="AN131" s="865">
        <v>46297</v>
      </c>
      <c r="AO131" s="866">
        <v>26</v>
      </c>
      <c r="AP131" s="397"/>
      <c r="AQ131" s="398"/>
      <c r="AR131" s="495">
        <v>0</v>
      </c>
      <c r="AS131" s="282">
        <v>0</v>
      </c>
      <c r="AT131" s="282">
        <v>0</v>
      </c>
      <c r="AU131" s="286">
        <v>132</v>
      </c>
      <c r="AV131" s="286">
        <v>132</v>
      </c>
      <c r="AW131" s="286">
        <v>132</v>
      </c>
      <c r="AX131" s="286">
        <v>132</v>
      </c>
      <c r="AY131" s="286">
        <v>132</v>
      </c>
      <c r="AZ131" s="286">
        <v>132</v>
      </c>
      <c r="BA131" s="286">
        <v>132</v>
      </c>
      <c r="BB131" s="286">
        <v>132</v>
      </c>
      <c r="BC131" s="286">
        <v>132</v>
      </c>
      <c r="BD131" s="283">
        <v>132</v>
      </c>
      <c r="BE131" s="284">
        <v>132</v>
      </c>
      <c r="BF131" s="285">
        <v>132</v>
      </c>
      <c r="BG131" s="286">
        <v>132</v>
      </c>
      <c r="BH131" s="286">
        <v>132</v>
      </c>
      <c r="BI131" s="286">
        <v>132</v>
      </c>
      <c r="BJ131" s="286">
        <v>132</v>
      </c>
      <c r="BK131" s="286">
        <v>132</v>
      </c>
      <c r="BL131" s="286">
        <v>132</v>
      </c>
      <c r="BM131" s="286">
        <v>132</v>
      </c>
      <c r="BN131" s="286">
        <v>132</v>
      </c>
      <c r="BO131" s="286">
        <v>132</v>
      </c>
      <c r="BP131" s="286">
        <v>132</v>
      </c>
      <c r="BQ131" s="286">
        <v>66</v>
      </c>
      <c r="BR131" s="402">
        <v>0</v>
      </c>
      <c r="BS131" s="470"/>
      <c r="BT131" s="471"/>
      <c r="BU131" s="470"/>
      <c r="BV131" s="397"/>
      <c r="BW131" s="397"/>
      <c r="BX131" s="472"/>
      <c r="BY131" s="290"/>
      <c r="BZ131" s="404"/>
      <c r="CA131" s="405"/>
    </row>
    <row r="132" spans="1:79" s="521" customFormat="1" ht="46" customHeight="1" thickBot="1">
      <c r="A132" s="294"/>
      <c r="B132" s="567"/>
      <c r="C132" s="420"/>
      <c r="D132" s="421" t="s">
        <v>2129</v>
      </c>
      <c r="E132" s="422"/>
      <c r="F132" s="423">
        <v>0</v>
      </c>
      <c r="G132" s="423">
        <v>0</v>
      </c>
      <c r="H132" s="424">
        <v>0</v>
      </c>
      <c r="I132" s="425">
        <v>0</v>
      </c>
      <c r="J132" s="425">
        <v>0</v>
      </c>
      <c r="K132" s="424">
        <v>0</v>
      </c>
      <c r="L132" s="425">
        <v>0</v>
      </c>
      <c r="M132" s="425">
        <v>0</v>
      </c>
      <c r="N132" s="425">
        <v>0</v>
      </c>
      <c r="O132" s="425">
        <v>0</v>
      </c>
      <c r="P132" s="426" t="s">
        <v>2129</v>
      </c>
      <c r="Q132" s="426" t="s">
        <v>2129</v>
      </c>
      <c r="R132" s="427"/>
      <c r="S132" s="428"/>
      <c r="T132" s="428"/>
      <c r="U132" s="473"/>
      <c r="V132" s="473"/>
      <c r="W132" s="616"/>
      <c r="X132" s="650"/>
      <c r="Y132" s="617"/>
      <c r="Z132" s="618"/>
      <c r="AA132" s="651"/>
      <c r="AB132" s="652"/>
      <c r="AC132" s="477"/>
      <c r="AD132" s="478"/>
      <c r="AE132" s="479"/>
      <c r="AF132" s="653"/>
      <c r="AG132" s="619"/>
      <c r="AH132" s="481"/>
      <c r="AI132" s="442"/>
      <c r="AJ132" s="652"/>
      <c r="AK132" s="517"/>
      <c r="AL132" s="518" t="s">
        <v>2143</v>
      </c>
      <c r="AM132" s="277">
        <v>46271</v>
      </c>
      <c r="AN132" s="277">
        <v>46297</v>
      </c>
      <c r="AO132" s="278">
        <v>26</v>
      </c>
      <c r="AP132" s="506"/>
      <c r="AQ132" s="519"/>
      <c r="AR132" s="417">
        <v>0</v>
      </c>
      <c r="AS132" s="545">
        <v>0</v>
      </c>
      <c r="AT132" s="545">
        <v>0</v>
      </c>
      <c r="AU132" s="328">
        <v>132</v>
      </c>
      <c r="AV132" s="328">
        <v>132</v>
      </c>
      <c r="AW132" s="328">
        <v>132</v>
      </c>
      <c r="AX132" s="321">
        <v>132</v>
      </c>
      <c r="AY132" s="321">
        <v>132</v>
      </c>
      <c r="AZ132" s="321">
        <v>132</v>
      </c>
      <c r="BA132" s="321">
        <v>132</v>
      </c>
      <c r="BB132" s="321">
        <v>132</v>
      </c>
      <c r="BC132" s="321">
        <v>132</v>
      </c>
      <c r="BD132" s="322">
        <v>132</v>
      </c>
      <c r="BE132" s="502">
        <v>132</v>
      </c>
      <c r="BF132" s="503">
        <v>132</v>
      </c>
      <c r="BG132" s="321">
        <v>132</v>
      </c>
      <c r="BH132" s="321">
        <v>132</v>
      </c>
      <c r="BI132" s="321">
        <v>132</v>
      </c>
      <c r="BJ132" s="321">
        <v>132</v>
      </c>
      <c r="BK132" s="321">
        <v>132</v>
      </c>
      <c r="BL132" s="321">
        <v>132</v>
      </c>
      <c r="BM132" s="321">
        <v>132</v>
      </c>
      <c r="BN132" s="321">
        <v>132</v>
      </c>
      <c r="BO132" s="321">
        <v>132</v>
      </c>
      <c r="BP132" s="321">
        <v>132</v>
      </c>
      <c r="BQ132" s="321">
        <v>66</v>
      </c>
      <c r="BR132" s="504">
        <v>0</v>
      </c>
      <c r="BS132" s="505"/>
      <c r="BT132" s="693"/>
      <c r="BU132" s="613"/>
      <c r="BV132" s="506"/>
      <c r="BW132" s="506"/>
      <c r="BX132" s="520"/>
      <c r="BY132" s="290"/>
      <c r="BZ132" s="450"/>
      <c r="CA132" s="451"/>
    </row>
    <row r="133" spans="1:79" ht="46" customHeight="1" thickTop="1" thickBot="1">
      <c r="A133" s="294"/>
      <c r="B133" s="295" t="s">
        <v>2419</v>
      </c>
      <c r="C133" s="296">
        <v>52</v>
      </c>
      <c r="D133" s="870">
        <v>2051</v>
      </c>
      <c r="E133" s="298" t="s">
        <v>2420</v>
      </c>
      <c r="F133" s="876">
        <v>605</v>
      </c>
      <c r="G133" s="733">
        <v>1210</v>
      </c>
      <c r="H133" s="375">
        <v>1</v>
      </c>
      <c r="I133" s="376" t="s">
        <v>2131</v>
      </c>
      <c r="J133" s="376" t="s">
        <v>2132</v>
      </c>
      <c r="K133" s="375">
        <v>420</v>
      </c>
      <c r="L133" s="376" t="s">
        <v>2133</v>
      </c>
      <c r="M133" s="376" t="s">
        <v>2133</v>
      </c>
      <c r="N133" s="376" t="s">
        <v>2133</v>
      </c>
      <c r="O133" s="376" t="s">
        <v>2350</v>
      </c>
      <c r="P133" s="377" t="s">
        <v>2133</v>
      </c>
      <c r="Q133" s="377" t="s">
        <v>2133</v>
      </c>
      <c r="R133" s="378"/>
      <c r="S133" s="379" t="s">
        <v>2136</v>
      </c>
      <c r="T133" s="379" t="s">
        <v>2136</v>
      </c>
      <c r="U133" s="508" t="s">
        <v>2421</v>
      </c>
      <c r="V133" s="508" t="s">
        <v>2419</v>
      </c>
      <c r="W133" s="734">
        <v>492</v>
      </c>
      <c r="X133" s="454">
        <v>728</v>
      </c>
      <c r="Y133" s="735">
        <v>1.2</v>
      </c>
      <c r="Z133" s="736">
        <v>4</v>
      </c>
      <c r="AA133" s="457">
        <v>482</v>
      </c>
      <c r="AB133" s="394">
        <v>0.39834710743801655</v>
      </c>
      <c r="AC133" s="512" t="s">
        <v>2422</v>
      </c>
      <c r="AD133" s="388" t="s">
        <v>2419</v>
      </c>
      <c r="AE133" s="389">
        <v>401</v>
      </c>
      <c r="AF133" s="390">
        <v>594</v>
      </c>
      <c r="AG133" s="737">
        <v>1</v>
      </c>
      <c r="AH133" s="665">
        <v>4</v>
      </c>
      <c r="AI133" s="318">
        <v>616</v>
      </c>
      <c r="AJ133" s="394">
        <v>0.50909090909090904</v>
      </c>
      <c r="AK133" s="515" t="s">
        <v>2423</v>
      </c>
      <c r="AL133" s="396" t="s">
        <v>2140</v>
      </c>
      <c r="AM133" s="865">
        <v>46277</v>
      </c>
      <c r="AN133" s="865">
        <v>46298</v>
      </c>
      <c r="AO133" s="866">
        <v>21</v>
      </c>
      <c r="AP133" s="397"/>
      <c r="AQ133" s="397"/>
      <c r="AR133" s="493"/>
      <c r="AS133" s="493"/>
      <c r="AT133" s="493"/>
      <c r="AU133" s="493"/>
      <c r="AV133" s="493"/>
      <c r="AW133" s="494"/>
      <c r="AX133" s="495">
        <v>0</v>
      </c>
      <c r="AY133" s="282">
        <v>0</v>
      </c>
      <c r="AZ133" s="282">
        <v>0</v>
      </c>
      <c r="BA133" s="286">
        <v>641</v>
      </c>
      <c r="BB133" s="286">
        <v>641</v>
      </c>
      <c r="BC133" s="286">
        <v>641</v>
      </c>
      <c r="BD133" s="283">
        <v>641</v>
      </c>
      <c r="BE133" s="284">
        <v>641</v>
      </c>
      <c r="BF133" s="285">
        <v>641</v>
      </c>
      <c r="BG133" s="286">
        <v>728</v>
      </c>
      <c r="BH133" s="286">
        <v>728</v>
      </c>
      <c r="BI133" s="286">
        <v>728</v>
      </c>
      <c r="BJ133" s="286">
        <v>728</v>
      </c>
      <c r="BK133" s="286">
        <v>728</v>
      </c>
      <c r="BL133" s="286">
        <v>728</v>
      </c>
      <c r="BM133" s="286">
        <v>728</v>
      </c>
      <c r="BN133" s="286">
        <v>236</v>
      </c>
      <c r="BO133" s="286">
        <v>236</v>
      </c>
      <c r="BP133" s="286">
        <v>236</v>
      </c>
      <c r="BQ133" s="286">
        <v>236</v>
      </c>
      <c r="BR133" s="286">
        <v>236</v>
      </c>
      <c r="BS133" s="402">
        <v>0</v>
      </c>
      <c r="BT133" s="670"/>
      <c r="BU133" s="470"/>
      <c r="BV133" s="397"/>
      <c r="BW133" s="397"/>
      <c r="BX133" s="472"/>
      <c r="BY133" s="290"/>
      <c r="BZ133" s="332"/>
      <c r="CA133" s="333"/>
    </row>
    <row r="134" spans="1:79" ht="46" customHeight="1" thickBot="1">
      <c r="A134" s="294"/>
      <c r="B134" s="295"/>
      <c r="C134" s="296"/>
      <c r="D134" s="297" t="s">
        <v>2129</v>
      </c>
      <c r="E134" s="298"/>
      <c r="F134" s="299">
        <v>0</v>
      </c>
      <c r="G134" s="299">
        <v>0</v>
      </c>
      <c r="H134" s="300">
        <v>0</v>
      </c>
      <c r="I134" s="301">
        <v>0</v>
      </c>
      <c r="J134" s="301">
        <v>0</v>
      </c>
      <c r="K134" s="300">
        <v>0</v>
      </c>
      <c r="L134" s="301">
        <v>0</v>
      </c>
      <c r="M134" s="301">
        <v>0</v>
      </c>
      <c r="N134" s="301">
        <v>0</v>
      </c>
      <c r="O134" s="301">
        <v>0</v>
      </c>
      <c r="P134" s="302" t="s">
        <v>2129</v>
      </c>
      <c r="Q134" s="302" t="s">
        <v>2129</v>
      </c>
      <c r="R134" s="303"/>
      <c r="S134" s="304"/>
      <c r="T134" s="304"/>
      <c r="U134" s="305" t="s">
        <v>2424</v>
      </c>
      <c r="V134" s="305" t="s">
        <v>2419</v>
      </c>
      <c r="W134" s="738">
        <v>87</v>
      </c>
      <c r="X134" s="307"/>
      <c r="Y134" s="739">
        <v>1.2</v>
      </c>
      <c r="Z134" s="740">
        <v>4</v>
      </c>
      <c r="AA134" s="310"/>
      <c r="AB134" s="311"/>
      <c r="AC134" s="312" t="s">
        <v>2425</v>
      </c>
      <c r="AD134" s="313" t="s">
        <v>2419</v>
      </c>
      <c r="AE134" s="314">
        <v>71</v>
      </c>
      <c r="AF134" s="315"/>
      <c r="AG134" s="741">
        <v>1</v>
      </c>
      <c r="AH134" s="317">
        <v>4</v>
      </c>
      <c r="AI134" s="318"/>
      <c r="AJ134" s="311"/>
      <c r="AK134" s="319"/>
      <c r="AL134" s="320" t="s">
        <v>2143</v>
      </c>
      <c r="AM134" s="277">
        <v>46277</v>
      </c>
      <c r="AN134" s="277">
        <v>46298</v>
      </c>
      <c r="AO134" s="278">
        <v>21</v>
      </c>
      <c r="AP134" s="321"/>
      <c r="AQ134" s="321"/>
      <c r="AR134" s="321"/>
      <c r="AS134" s="321"/>
      <c r="AT134" s="321"/>
      <c r="AU134" s="321"/>
      <c r="AV134" s="321"/>
      <c r="AW134" s="322"/>
      <c r="AX134" s="417">
        <v>0</v>
      </c>
      <c r="AY134" s="418">
        <v>0</v>
      </c>
      <c r="AZ134" s="418">
        <v>0</v>
      </c>
      <c r="BA134" s="328">
        <v>523</v>
      </c>
      <c r="BB134" s="328">
        <v>523</v>
      </c>
      <c r="BC134" s="328">
        <v>523</v>
      </c>
      <c r="BD134" s="325">
        <v>523</v>
      </c>
      <c r="BE134" s="326">
        <v>523</v>
      </c>
      <c r="BF134" s="327">
        <v>523</v>
      </c>
      <c r="BG134" s="328">
        <v>594</v>
      </c>
      <c r="BH134" s="328">
        <v>594</v>
      </c>
      <c r="BI134" s="328">
        <v>594</v>
      </c>
      <c r="BJ134" s="328">
        <v>594</v>
      </c>
      <c r="BK134" s="328">
        <v>594</v>
      </c>
      <c r="BL134" s="328">
        <v>594</v>
      </c>
      <c r="BM134" s="328">
        <v>594</v>
      </c>
      <c r="BN134" s="328">
        <v>193</v>
      </c>
      <c r="BO134" s="328">
        <v>193</v>
      </c>
      <c r="BP134" s="328">
        <v>193</v>
      </c>
      <c r="BQ134" s="328">
        <v>193</v>
      </c>
      <c r="BR134" s="328">
        <v>193</v>
      </c>
      <c r="BS134" s="419">
        <v>0</v>
      </c>
      <c r="BT134" s="672"/>
      <c r="BU134" s="503"/>
      <c r="BV134" s="321"/>
      <c r="BW134" s="321"/>
      <c r="BX134" s="507"/>
      <c r="BY134" s="290"/>
      <c r="BZ134" s="332"/>
      <c r="CA134" s="333"/>
    </row>
    <row r="135" spans="1:79" ht="46" customHeight="1" thickTop="1" thickBot="1">
      <c r="A135" s="742"/>
      <c r="B135" s="743"/>
      <c r="C135" s="744"/>
      <c r="D135" s="745" t="s">
        <v>2129</v>
      </c>
      <c r="E135" s="746"/>
      <c r="F135" s="747">
        <v>0</v>
      </c>
      <c r="G135" s="747">
        <v>0</v>
      </c>
      <c r="H135" s="748">
        <v>0</v>
      </c>
      <c r="I135" s="749">
        <v>0</v>
      </c>
      <c r="J135" s="749">
        <v>0</v>
      </c>
      <c r="K135" s="748">
        <v>0</v>
      </c>
      <c r="L135" s="749">
        <v>0</v>
      </c>
      <c r="M135" s="749">
        <v>0</v>
      </c>
      <c r="N135" s="749">
        <v>0</v>
      </c>
      <c r="O135" s="749">
        <v>0</v>
      </c>
      <c r="P135" s="750" t="s">
        <v>2129</v>
      </c>
      <c r="Q135" s="750" t="s">
        <v>2129</v>
      </c>
      <c r="R135" s="751"/>
      <c r="S135" s="752"/>
      <c r="T135" s="752"/>
      <c r="U135" s="753" t="s">
        <v>2426</v>
      </c>
      <c r="V135" s="753" t="s">
        <v>2419</v>
      </c>
      <c r="W135" s="754">
        <v>149</v>
      </c>
      <c r="X135" s="755"/>
      <c r="Y135" s="756">
        <v>28.6</v>
      </c>
      <c r="Z135" s="757">
        <v>45</v>
      </c>
      <c r="AA135" s="758"/>
      <c r="AB135" s="759"/>
      <c r="AC135" s="760" t="s">
        <v>2426</v>
      </c>
      <c r="AD135" s="761" t="s">
        <v>2419</v>
      </c>
      <c r="AE135" s="762">
        <v>122</v>
      </c>
      <c r="AF135" s="763"/>
      <c r="AG135" s="764">
        <v>28.6</v>
      </c>
      <c r="AH135" s="765">
        <v>45</v>
      </c>
      <c r="AI135" s="766"/>
      <c r="AJ135" s="759"/>
      <c r="AK135" s="767"/>
      <c r="AL135" s="768"/>
      <c r="AM135" s="769"/>
      <c r="AN135" s="769"/>
      <c r="AO135" s="769"/>
      <c r="AP135" s="770"/>
      <c r="AQ135" s="770"/>
      <c r="AR135" s="770"/>
      <c r="AS135" s="770"/>
      <c r="AT135" s="770"/>
      <c r="AU135" s="770"/>
      <c r="AV135" s="770"/>
      <c r="AW135" s="770"/>
      <c r="AX135" s="770"/>
      <c r="AY135" s="770"/>
      <c r="AZ135" s="770"/>
      <c r="BA135" s="770"/>
      <c r="BB135" s="770"/>
      <c r="BC135" s="770"/>
      <c r="BD135" s="771"/>
      <c r="BE135" s="772"/>
      <c r="BF135" s="773"/>
      <c r="BG135" s="770"/>
      <c r="BH135" s="770"/>
      <c r="BI135" s="770"/>
      <c r="BJ135" s="770"/>
      <c r="BK135" s="770"/>
      <c r="BL135" s="770"/>
      <c r="BM135" s="770"/>
      <c r="BN135" s="770"/>
      <c r="BO135" s="770"/>
      <c r="BP135" s="770"/>
      <c r="BQ135" s="770"/>
      <c r="BR135" s="770"/>
      <c r="BS135" s="771"/>
      <c r="BT135" s="772"/>
      <c r="BU135" s="773"/>
      <c r="BV135" s="770"/>
      <c r="BW135" s="770"/>
      <c r="BX135" s="774"/>
      <c r="BY135" s="290"/>
      <c r="BZ135" s="370"/>
      <c r="CA135" s="371"/>
    </row>
    <row r="136" spans="1:79" s="786" customFormat="1" ht="46" customHeight="1" thickTop="1">
      <c r="A136" s="775"/>
      <c r="B136" s="775"/>
      <c r="C136" s="775"/>
      <c r="D136" s="775"/>
      <c r="E136" s="776"/>
      <c r="F136" s="777"/>
      <c r="G136" s="777"/>
      <c r="H136" s="6457" t="s">
        <v>2427</v>
      </c>
      <c r="I136" s="6457"/>
      <c r="J136" s="6457"/>
      <c r="K136" s="6458"/>
      <c r="L136" s="6398" t="s">
        <v>2428</v>
      </c>
      <c r="M136" s="6399"/>
      <c r="N136" s="6399"/>
      <c r="O136" s="6400"/>
      <c r="P136" s="778">
        <v>13</v>
      </c>
      <c r="Q136" s="779">
        <v>11</v>
      </c>
      <c r="R136" s="780">
        <v>2</v>
      </c>
      <c r="S136" s="775"/>
      <c r="T136" s="775"/>
      <c r="U136" s="775"/>
      <c r="V136" s="781"/>
      <c r="W136" s="782"/>
      <c r="X136" s="783"/>
      <c r="Y136" s="782"/>
      <c r="Z136" s="782"/>
      <c r="AA136" s="784"/>
      <c r="AB136" s="784"/>
      <c r="AC136" s="785"/>
      <c r="AE136" s="782"/>
      <c r="AF136" s="783"/>
      <c r="AG136" s="782"/>
      <c r="AH136" s="782"/>
      <c r="AI136" s="784"/>
      <c r="AJ136" s="784"/>
      <c r="AK136" s="787"/>
      <c r="AL136" s="788" t="s">
        <v>2140</v>
      </c>
      <c r="AM136" s="789"/>
      <c r="AN136" s="789"/>
      <c r="AO136" s="789"/>
      <c r="AP136" s="790"/>
      <c r="AQ136" s="790"/>
      <c r="AR136" s="790"/>
      <c r="AS136" s="790">
        <v>323</v>
      </c>
      <c r="AT136" s="790">
        <v>587</v>
      </c>
      <c r="AU136" s="790">
        <v>1247</v>
      </c>
      <c r="AV136" s="790">
        <v>2219</v>
      </c>
      <c r="AW136" s="790">
        <v>2282</v>
      </c>
      <c r="AX136" s="790">
        <v>2624</v>
      </c>
      <c r="AY136" s="790">
        <v>3565</v>
      </c>
      <c r="AZ136" s="790">
        <v>3565</v>
      </c>
      <c r="BA136" s="790">
        <v>7623</v>
      </c>
      <c r="BB136" s="790">
        <v>8395</v>
      </c>
      <c r="BC136" s="790">
        <v>8761</v>
      </c>
      <c r="BD136" s="791">
        <v>9364</v>
      </c>
      <c r="BE136" s="792">
        <v>10996</v>
      </c>
      <c r="BF136" s="793">
        <v>11110</v>
      </c>
      <c r="BG136" s="790">
        <v>11741</v>
      </c>
      <c r="BH136" s="790">
        <v>12426</v>
      </c>
      <c r="BI136" s="790">
        <v>12913</v>
      </c>
      <c r="BJ136" s="790">
        <v>13293</v>
      </c>
      <c r="BK136" s="790">
        <v>13536</v>
      </c>
      <c r="BL136" s="790">
        <v>12898</v>
      </c>
      <c r="BM136" s="790">
        <v>12885</v>
      </c>
      <c r="BN136" s="790">
        <v>12214</v>
      </c>
      <c r="BO136" s="790">
        <v>11538</v>
      </c>
      <c r="BP136" s="790">
        <v>10773</v>
      </c>
      <c r="BQ136" s="790">
        <v>10021</v>
      </c>
      <c r="BR136" s="790">
        <v>7781</v>
      </c>
      <c r="BS136" s="791">
        <v>7058</v>
      </c>
      <c r="BT136" s="792">
        <v>6746</v>
      </c>
      <c r="BU136" s="793">
        <v>5158</v>
      </c>
      <c r="BV136" s="790">
        <v>954</v>
      </c>
      <c r="BW136" s="790"/>
      <c r="BX136" s="794"/>
      <c r="BY136" s="782"/>
      <c r="BZ136" s="782"/>
      <c r="CA136" s="782"/>
    </row>
    <row r="137" spans="1:79" s="786" customFormat="1" ht="46" customHeight="1" thickBot="1">
      <c r="A137" s="775"/>
      <c r="B137" s="775"/>
      <c r="C137" s="775"/>
      <c r="D137" s="775"/>
      <c r="E137" s="776"/>
      <c r="F137" s="776"/>
      <c r="G137" s="776"/>
      <c r="H137" s="6459"/>
      <c r="I137" s="6459"/>
      <c r="J137" s="6459"/>
      <c r="K137" s="6460"/>
      <c r="L137" s="6370" t="s">
        <v>2429</v>
      </c>
      <c r="M137" s="6371"/>
      <c r="N137" s="6371"/>
      <c r="O137" s="6372"/>
      <c r="P137" s="795">
        <v>30</v>
      </c>
      <c r="Q137" s="796">
        <v>24</v>
      </c>
      <c r="R137" s="797">
        <v>8</v>
      </c>
      <c r="S137" s="775"/>
      <c r="T137" s="775"/>
      <c r="U137" s="775"/>
      <c r="V137" s="781"/>
      <c r="W137" s="782"/>
      <c r="X137" s="783"/>
      <c r="Y137" s="782"/>
      <c r="Z137" s="782"/>
      <c r="AA137" s="784"/>
      <c r="AB137" s="784"/>
      <c r="AC137" s="785"/>
      <c r="AE137" s="782"/>
      <c r="AF137" s="783"/>
      <c r="AG137" s="782"/>
      <c r="AH137" s="782"/>
      <c r="AI137" s="784"/>
      <c r="AJ137" s="784"/>
      <c r="AK137" s="798"/>
      <c r="AL137" s="799" t="s">
        <v>2143</v>
      </c>
      <c r="AM137" s="800"/>
      <c r="AN137" s="800"/>
      <c r="AO137" s="800"/>
      <c r="AP137" s="801"/>
      <c r="AQ137" s="801"/>
      <c r="AR137" s="801"/>
      <c r="AS137" s="801">
        <v>263</v>
      </c>
      <c r="AT137" s="801">
        <v>527</v>
      </c>
      <c r="AU137" s="801">
        <v>1187</v>
      </c>
      <c r="AV137" s="801">
        <v>1961</v>
      </c>
      <c r="AW137" s="801">
        <v>2012</v>
      </c>
      <c r="AX137" s="801">
        <v>2264</v>
      </c>
      <c r="AY137" s="801">
        <v>3146</v>
      </c>
      <c r="AZ137" s="801">
        <v>3146</v>
      </c>
      <c r="BA137" s="801">
        <v>6376</v>
      </c>
      <c r="BB137" s="801">
        <v>7017</v>
      </c>
      <c r="BC137" s="801">
        <v>7278</v>
      </c>
      <c r="BD137" s="802">
        <v>7774</v>
      </c>
      <c r="BE137" s="803">
        <v>9082</v>
      </c>
      <c r="BF137" s="804">
        <v>9189</v>
      </c>
      <c r="BG137" s="801">
        <v>9702</v>
      </c>
      <c r="BH137" s="801">
        <v>10238</v>
      </c>
      <c r="BI137" s="801">
        <v>10636</v>
      </c>
      <c r="BJ137" s="801">
        <v>10936</v>
      </c>
      <c r="BK137" s="801">
        <v>11028</v>
      </c>
      <c r="BL137" s="801">
        <v>10483</v>
      </c>
      <c r="BM137" s="801">
        <v>10471</v>
      </c>
      <c r="BN137" s="801">
        <v>9924</v>
      </c>
      <c r="BO137" s="801">
        <v>9339</v>
      </c>
      <c r="BP137" s="801">
        <v>8715</v>
      </c>
      <c r="BQ137" s="801">
        <v>8091</v>
      </c>
      <c r="BR137" s="801">
        <v>6074</v>
      </c>
      <c r="BS137" s="802">
        <v>5498</v>
      </c>
      <c r="BT137" s="803">
        <v>5498</v>
      </c>
      <c r="BU137" s="804">
        <v>4239</v>
      </c>
      <c r="BV137" s="801">
        <v>782</v>
      </c>
      <c r="BW137" s="801"/>
      <c r="BX137" s="805"/>
      <c r="BY137" s="782"/>
      <c r="BZ137" s="782"/>
      <c r="CA137" s="782"/>
    </row>
    <row r="138" spans="1:79" s="786" customFormat="1" ht="46" customHeight="1" thickTop="1" thickBot="1">
      <c r="A138" s="775"/>
      <c r="B138" s="775"/>
      <c r="C138" s="775"/>
      <c r="D138" s="775"/>
      <c r="E138" s="776"/>
      <c r="F138" s="776"/>
      <c r="G138" s="776"/>
      <c r="H138" s="6459"/>
      <c r="I138" s="6459"/>
      <c r="J138" s="6459"/>
      <c r="K138" s="6460"/>
      <c r="L138" s="6373" t="s">
        <v>2430</v>
      </c>
      <c r="M138" s="6374"/>
      <c r="N138" s="6374"/>
      <c r="O138" s="6375"/>
      <c r="P138" s="806">
        <v>9</v>
      </c>
      <c r="Q138" s="807">
        <v>9</v>
      </c>
      <c r="R138" s="808">
        <v>1</v>
      </c>
      <c r="S138" s="775"/>
      <c r="T138" s="775"/>
      <c r="U138" s="775"/>
      <c r="V138" s="781"/>
      <c r="W138" s="782"/>
      <c r="X138" s="783"/>
      <c r="Y138" s="782"/>
      <c r="Z138" s="782"/>
      <c r="AA138" s="784"/>
      <c r="AB138" s="784"/>
      <c r="AC138" s="785"/>
      <c r="AD138" s="781"/>
      <c r="AE138" s="782"/>
      <c r="AF138" s="783"/>
      <c r="AG138" s="782"/>
      <c r="AH138" s="782"/>
      <c r="AI138" s="784"/>
      <c r="AJ138" s="784"/>
      <c r="AK138" s="785"/>
      <c r="AL138" s="809"/>
      <c r="AM138" s="809"/>
      <c r="AN138" s="809"/>
      <c r="AO138" s="809"/>
      <c r="AP138" s="783"/>
      <c r="AQ138" s="810"/>
      <c r="AR138" s="810"/>
      <c r="AS138" s="783"/>
      <c r="AT138" s="783"/>
      <c r="AU138" s="783"/>
      <c r="AV138" s="783"/>
      <c r="AW138" s="783"/>
      <c r="AX138" s="810"/>
      <c r="AY138" s="810"/>
      <c r="AZ138" s="783"/>
      <c r="BA138" s="783"/>
      <c r="BB138" s="783"/>
      <c r="BC138" s="783"/>
      <c r="BD138" s="783"/>
      <c r="BE138" s="810"/>
      <c r="BF138" s="810"/>
      <c r="BG138" s="810"/>
      <c r="BH138" s="783"/>
      <c r="BI138" s="810"/>
      <c r="BJ138" s="783"/>
      <c r="BK138" s="783"/>
      <c r="BL138" s="810"/>
      <c r="BM138" s="810"/>
      <c r="BN138" s="783"/>
      <c r="BO138" s="783"/>
      <c r="BP138" s="783"/>
      <c r="BQ138" s="783"/>
      <c r="BR138" s="783"/>
      <c r="BS138" s="810"/>
      <c r="BT138" s="810"/>
      <c r="BU138" s="783"/>
      <c r="BV138" s="783"/>
      <c r="BW138" s="783"/>
      <c r="BX138" s="811" t="s">
        <v>2431</v>
      </c>
      <c r="BY138" s="812"/>
      <c r="BZ138" s="782"/>
      <c r="CA138" s="782"/>
    </row>
    <row r="139" spans="1:79" s="786" customFormat="1" ht="46" customHeight="1" thickTop="1" thickBot="1">
      <c r="A139" s="775"/>
      <c r="B139" s="775"/>
      <c r="C139" s="775"/>
      <c r="D139" s="775"/>
      <c r="E139" s="776"/>
      <c r="F139" s="776"/>
      <c r="G139" s="776"/>
      <c r="H139" s="6459"/>
      <c r="I139" s="6459"/>
      <c r="J139" s="6459"/>
      <c r="K139" s="6460"/>
      <c r="L139" s="6376" t="s">
        <v>2432</v>
      </c>
      <c r="M139" s="6377"/>
      <c r="N139" s="6377"/>
      <c r="O139" s="6378"/>
      <c r="P139" s="813">
        <v>52</v>
      </c>
      <c r="Q139" s="814">
        <v>44</v>
      </c>
      <c r="R139" s="815">
        <v>11</v>
      </c>
      <c r="S139" s="775"/>
      <c r="T139" s="775"/>
      <c r="U139" s="775"/>
      <c r="V139" s="781"/>
      <c r="W139" s="782"/>
      <c r="X139" s="783"/>
      <c r="Y139" s="782"/>
      <c r="Z139" s="782"/>
      <c r="AA139" s="784"/>
      <c r="AB139" s="784"/>
      <c r="AC139" s="785"/>
      <c r="AD139" s="781"/>
      <c r="AE139" s="782"/>
      <c r="AF139" s="783"/>
      <c r="AG139" s="782"/>
      <c r="AH139" s="782"/>
      <c r="AI139" s="784"/>
      <c r="AJ139" s="784"/>
      <c r="AK139" s="785"/>
      <c r="AL139" s="809"/>
      <c r="AM139" s="809"/>
      <c r="AN139" s="809"/>
      <c r="AO139" s="809"/>
      <c r="AP139" s="783"/>
      <c r="AQ139" s="810"/>
      <c r="AR139" s="810"/>
      <c r="AS139" s="783"/>
      <c r="AT139" s="783"/>
      <c r="AU139" s="783"/>
      <c r="AV139" s="783"/>
      <c r="AW139" s="783"/>
      <c r="AX139" s="810"/>
      <c r="AY139" s="810"/>
      <c r="AZ139" s="783"/>
      <c r="BA139" s="783"/>
      <c r="BB139" s="783"/>
      <c r="BC139" s="783"/>
      <c r="BD139" s="783"/>
      <c r="BE139" s="810"/>
      <c r="BF139" s="810"/>
      <c r="BG139" s="810"/>
      <c r="BH139" s="783"/>
      <c r="BI139" s="810"/>
      <c r="BJ139" s="783"/>
      <c r="BK139" s="783"/>
      <c r="BL139" s="810"/>
      <c r="BM139" s="810"/>
      <c r="BN139" s="783"/>
      <c r="BO139" s="783"/>
      <c r="BP139" s="783"/>
      <c r="BQ139" s="783"/>
      <c r="BR139" s="783"/>
      <c r="BS139" s="810"/>
      <c r="BT139" s="810"/>
      <c r="BU139" s="783"/>
      <c r="BV139" s="783"/>
      <c r="BW139" s="783"/>
      <c r="BX139" s="783"/>
      <c r="BY139" s="782"/>
      <c r="BZ139" s="782"/>
      <c r="CA139" s="782"/>
    </row>
    <row r="140" spans="1:79" s="786" customFormat="1" ht="42" customHeight="1" thickTop="1">
      <c r="A140" s="816"/>
      <c r="B140" s="785"/>
      <c r="C140" s="785"/>
      <c r="D140" s="817"/>
      <c r="E140" s="785"/>
      <c r="F140" s="818"/>
      <c r="G140" s="818"/>
      <c r="H140" s="819"/>
      <c r="I140" s="820"/>
      <c r="J140" s="820"/>
      <c r="K140" s="819"/>
      <c r="L140" s="820"/>
      <c r="M140" s="820"/>
      <c r="N140" s="820"/>
      <c r="O140" s="820"/>
      <c r="P140" s="821"/>
      <c r="Q140" s="821"/>
      <c r="R140" s="821"/>
      <c r="S140" s="822"/>
      <c r="T140" s="822"/>
      <c r="U140" s="823"/>
      <c r="V140" s="824"/>
      <c r="W140" s="825"/>
      <c r="X140" s="826">
        <f>SUM(X3:X139)</f>
        <v>13819</v>
      </c>
      <c r="Y140" s="825"/>
      <c r="Z140" s="825"/>
      <c r="AA140" s="784"/>
      <c r="AB140" s="784"/>
      <c r="AC140" s="827"/>
      <c r="AD140" s="828"/>
      <c r="AE140" s="829"/>
      <c r="AF140" s="830"/>
      <c r="AG140" s="829"/>
      <c r="AH140" s="829"/>
      <c r="AI140" s="784"/>
      <c r="AJ140" s="784"/>
      <c r="AK140" s="831"/>
      <c r="AL140" s="832"/>
      <c r="AM140" s="832"/>
      <c r="AN140" s="832"/>
      <c r="AO140" s="832"/>
      <c r="AP140" s="830"/>
      <c r="AQ140" s="833"/>
      <c r="AR140" s="833"/>
      <c r="AS140" s="830"/>
      <c r="AT140" s="830"/>
      <c r="AU140" s="830"/>
      <c r="AV140" s="830"/>
      <c r="AW140" s="830"/>
      <c r="AX140" s="833"/>
      <c r="AY140" s="833"/>
      <c r="AZ140" s="830"/>
      <c r="BA140" s="830"/>
      <c r="BB140" s="830"/>
      <c r="BC140" s="830"/>
      <c r="BD140" s="830"/>
      <c r="BE140" s="833"/>
      <c r="BF140" s="833"/>
      <c r="BG140" s="833"/>
      <c r="BH140" s="830"/>
      <c r="BI140" s="833"/>
      <c r="BJ140" s="830"/>
      <c r="BK140" s="830"/>
      <c r="BL140" s="833"/>
      <c r="BM140" s="833"/>
      <c r="BN140" s="830"/>
      <c r="BO140" s="830"/>
      <c r="BP140" s="830"/>
      <c r="BQ140" s="830"/>
      <c r="BR140" s="830"/>
      <c r="BS140" s="833"/>
      <c r="BT140" s="833"/>
      <c r="BU140" s="830"/>
      <c r="BV140" s="830"/>
      <c r="BW140" s="830"/>
      <c r="BX140" s="830"/>
      <c r="BY140" s="782"/>
      <c r="BZ140" s="782"/>
      <c r="CA140" s="782"/>
    </row>
    <row r="141" spans="1:79" s="786" customFormat="1" ht="42" customHeight="1">
      <c r="A141" s="816"/>
      <c r="B141" s="782"/>
      <c r="C141" s="834"/>
      <c r="D141" s="817"/>
      <c r="E141" s="782" t="s">
        <v>2433</v>
      </c>
      <c r="F141" s="818"/>
      <c r="G141" s="818"/>
      <c r="H141" s="819"/>
      <c r="I141" s="820"/>
      <c r="J141" s="820"/>
      <c r="K141" s="819"/>
      <c r="L141" s="820"/>
      <c r="M141" s="820"/>
      <c r="N141" s="820"/>
      <c r="O141" s="820"/>
      <c r="P141" s="834">
        <f>COUNTIF(P$3:P$135,"○")-P139</f>
        <v>0</v>
      </c>
      <c r="Q141" s="834">
        <f>COUNTIF(Q$3:Q$135,"○")-Q139</f>
        <v>0</v>
      </c>
      <c r="R141" s="834">
        <f>COUNTIF(R$3:R$135,"○")-R139</f>
        <v>0</v>
      </c>
      <c r="S141" s="822"/>
      <c r="T141" s="822"/>
      <c r="U141" s="823"/>
      <c r="V141" s="824"/>
      <c r="W141" s="830" t="s">
        <v>2434</v>
      </c>
      <c r="X141" s="826">
        <f>SUM(X3:X139)-'[50]競技情報DB(15,000人ver)'!D114</f>
        <v>0</v>
      </c>
      <c r="Y141" s="830"/>
      <c r="Z141" s="830"/>
      <c r="AA141" s="835"/>
      <c r="AB141" s="835"/>
      <c r="AC141" s="827"/>
      <c r="AD141" s="828"/>
      <c r="AE141" s="830" t="s">
        <v>2434</v>
      </c>
      <c r="AF141" s="826">
        <f>SUM(AF3:AF139)-'[50]競技情報DB(12,000人ver)'!D99</f>
        <v>0</v>
      </c>
      <c r="AG141" s="830"/>
      <c r="AH141" s="830"/>
      <c r="AI141" s="835"/>
      <c r="AJ141" s="830" t="s">
        <v>2434</v>
      </c>
      <c r="AK141" s="831" t="s">
        <v>2174</v>
      </c>
      <c r="AL141" s="832" t="s">
        <v>2174</v>
      </c>
      <c r="AM141" s="832"/>
      <c r="AN141" s="832"/>
      <c r="AO141" s="832"/>
      <c r="AP141" s="836">
        <f>+'[50]競技情報DB(15,000人ver)'!E114-AP136</f>
        <v>0</v>
      </c>
      <c r="AQ141" s="837">
        <f>+'[50]競技情報DB(15,000人ver)'!F114-AQ136</f>
        <v>0</v>
      </c>
      <c r="AR141" s="837">
        <f>+'[50]競技情報DB(15,000人ver)'!G114-AR136</f>
        <v>0</v>
      </c>
      <c r="AS141" s="836">
        <f>+'[50]競技情報DB(15,000人ver)'!H114-AS136</f>
        <v>0</v>
      </c>
      <c r="AT141" s="836">
        <f>+'[50]競技情報DB(15,000人ver)'!I114-AT136</f>
        <v>0</v>
      </c>
      <c r="AU141" s="836">
        <f>+'[50]競技情報DB(15,000人ver)'!J114-AU136</f>
        <v>0</v>
      </c>
      <c r="AV141" s="836">
        <f>+'[50]競技情報DB(15,000人ver)'!K114-AV136</f>
        <v>0</v>
      </c>
      <c r="AW141" s="836">
        <f>+'[50]競技情報DB(15,000人ver)'!L114-AW136</f>
        <v>0</v>
      </c>
      <c r="AX141" s="837">
        <f>+'[50]競技情報DB(15,000人ver)'!M114-AX136</f>
        <v>0</v>
      </c>
      <c r="AY141" s="837">
        <f>+'[50]競技情報DB(15,000人ver)'!N114-AY136</f>
        <v>0</v>
      </c>
      <c r="AZ141" s="836">
        <f>+'[50]競技情報DB(15,000人ver)'!O114-AZ136</f>
        <v>0</v>
      </c>
      <c r="BA141" s="836">
        <f>+'[50]競技情報DB(15,000人ver)'!P114-BA136</f>
        <v>0</v>
      </c>
      <c r="BB141" s="836">
        <f>+'[50]競技情報DB(15,000人ver)'!Q114-BB136</f>
        <v>0</v>
      </c>
      <c r="BC141" s="836">
        <f>+'[50]競技情報DB(15,000人ver)'!R114-BC136</f>
        <v>0</v>
      </c>
      <c r="BD141" s="836">
        <f>+'[50]競技情報DB(15,000人ver)'!S114-BD136</f>
        <v>0</v>
      </c>
      <c r="BE141" s="837">
        <f>+'[50]競技情報DB(15,000人ver)'!T114-BE136</f>
        <v>0</v>
      </c>
      <c r="BF141" s="837">
        <f>+'[50]競技情報DB(15,000人ver)'!U114-BF136</f>
        <v>0</v>
      </c>
      <c r="BG141" s="837">
        <f>+'[50]競技情報DB(15,000人ver)'!V114-BG136</f>
        <v>0</v>
      </c>
      <c r="BH141" s="836">
        <f>+'[50]競技情報DB(15,000人ver)'!W114-BH136</f>
        <v>0</v>
      </c>
      <c r="BI141" s="837">
        <f>+'[50]競技情報DB(15,000人ver)'!X114-BI136</f>
        <v>0</v>
      </c>
      <c r="BJ141" s="836">
        <f>+'[50]競技情報DB(15,000人ver)'!Y114-BJ136</f>
        <v>0</v>
      </c>
      <c r="BK141" s="836">
        <f>+'[50]競技情報DB(15,000人ver)'!Z114-BK136</f>
        <v>0</v>
      </c>
      <c r="BL141" s="837">
        <f>+'[50]競技情報DB(15,000人ver)'!AA114-BL136</f>
        <v>0</v>
      </c>
      <c r="BM141" s="837">
        <f>+'[50]競技情報DB(15,000人ver)'!AB114-BM136</f>
        <v>0</v>
      </c>
      <c r="BN141" s="836">
        <f>+'[50]競技情報DB(15,000人ver)'!AC114-BN136</f>
        <v>0</v>
      </c>
      <c r="BO141" s="836">
        <f>+'[50]競技情報DB(15,000人ver)'!AD114-BO136</f>
        <v>0</v>
      </c>
      <c r="BP141" s="836">
        <f>+'[50]競技情報DB(15,000人ver)'!AE114-BP136</f>
        <v>0</v>
      </c>
      <c r="BQ141" s="836">
        <f>+'[50]競技情報DB(15,000人ver)'!AF114-BQ136</f>
        <v>0</v>
      </c>
      <c r="BR141" s="836">
        <f>+'[50]競技情報DB(15,000人ver)'!AG114-BR136</f>
        <v>0</v>
      </c>
      <c r="BS141" s="837">
        <f>+'[50]競技情報DB(15,000人ver)'!AH114-BS136</f>
        <v>0</v>
      </c>
      <c r="BT141" s="837">
        <f>+'[50]競技情報DB(15,000人ver)'!AI114-BT136</f>
        <v>0</v>
      </c>
      <c r="BU141" s="836">
        <f>+'[50]競技情報DB(15,000人ver)'!AJ114-BU136</f>
        <v>0</v>
      </c>
      <c r="BV141" s="836">
        <f>+'[50]競技情報DB(15,000人ver)'!AK114-BV136</f>
        <v>0</v>
      </c>
      <c r="BW141" s="836">
        <f>+'[50]競技情報DB(15,000人ver)'!AL114-BW136</f>
        <v>0</v>
      </c>
      <c r="BX141" s="836">
        <f>+'[50]競技情報DB(15,000人ver)'!AM114-BX136</f>
        <v>0</v>
      </c>
      <c r="BY141" s="782"/>
      <c r="BZ141" s="782"/>
      <c r="CA141" s="782"/>
    </row>
    <row r="142" spans="1:79" s="786" customFormat="1" ht="42" customHeight="1">
      <c r="A142" s="816"/>
      <c r="B142" s="785"/>
      <c r="C142" s="785"/>
      <c r="D142" s="817"/>
      <c r="E142" s="785"/>
      <c r="F142" s="818"/>
      <c r="G142" s="818"/>
      <c r="H142" s="819"/>
      <c r="I142" s="820"/>
      <c r="J142" s="820"/>
      <c r="K142" s="819"/>
      <c r="L142" s="820"/>
      <c r="M142" s="820"/>
      <c r="N142" s="820"/>
      <c r="O142" s="820"/>
      <c r="P142" s="821"/>
      <c r="Q142" s="821"/>
      <c r="R142" s="821"/>
      <c r="S142" s="822"/>
      <c r="T142" s="822"/>
      <c r="U142" s="823"/>
      <c r="V142" s="824"/>
      <c r="W142" s="838"/>
      <c r="X142" s="839"/>
      <c r="Y142" s="838"/>
      <c r="Z142" s="838"/>
      <c r="AA142" s="835"/>
      <c r="AB142" s="835"/>
      <c r="AC142" s="827"/>
      <c r="AD142" s="828"/>
      <c r="AE142" s="829"/>
      <c r="AF142" s="830"/>
      <c r="AG142" s="829"/>
      <c r="AH142" s="829"/>
      <c r="AI142" s="835"/>
      <c r="AJ142" s="835"/>
      <c r="AK142" s="831" t="s">
        <v>2175</v>
      </c>
      <c r="AL142" s="832" t="s">
        <v>2175</v>
      </c>
      <c r="AM142" s="832"/>
      <c r="AN142" s="832"/>
      <c r="AO142" s="832"/>
      <c r="AP142" s="836">
        <f>+'[50]競技情報DB(12,000人ver)'!E99-AP137</f>
        <v>0</v>
      </c>
      <c r="AQ142" s="837">
        <f>+'[50]競技情報DB(12,000人ver)'!F99-AQ137</f>
        <v>0</v>
      </c>
      <c r="AR142" s="837">
        <f>+'[50]競技情報DB(12,000人ver)'!G99-AR137</f>
        <v>0</v>
      </c>
      <c r="AS142" s="836">
        <f>+'[50]競技情報DB(12,000人ver)'!H99-AS137</f>
        <v>0</v>
      </c>
      <c r="AT142" s="836">
        <f>+'[50]競技情報DB(12,000人ver)'!I99-AT137</f>
        <v>0</v>
      </c>
      <c r="AU142" s="836">
        <f>+'[50]競技情報DB(12,000人ver)'!J99-AU137</f>
        <v>0</v>
      </c>
      <c r="AV142" s="836">
        <f>+'[50]競技情報DB(12,000人ver)'!K99-AV137</f>
        <v>0</v>
      </c>
      <c r="AW142" s="836">
        <f>+'[50]競技情報DB(12,000人ver)'!L99-AW137</f>
        <v>0</v>
      </c>
      <c r="AX142" s="837">
        <f>+'[50]競技情報DB(12,000人ver)'!M99-AX137</f>
        <v>0</v>
      </c>
      <c r="AY142" s="837">
        <f>+'[50]競技情報DB(12,000人ver)'!N99-AY137</f>
        <v>0</v>
      </c>
      <c r="AZ142" s="836">
        <f>+'[50]競技情報DB(12,000人ver)'!O99-AZ137</f>
        <v>0</v>
      </c>
      <c r="BA142" s="836">
        <f>+'[50]競技情報DB(12,000人ver)'!P99-BA137</f>
        <v>0</v>
      </c>
      <c r="BB142" s="836">
        <f>+'[50]競技情報DB(12,000人ver)'!Q99-BB137</f>
        <v>0</v>
      </c>
      <c r="BC142" s="836">
        <f>+'[50]競技情報DB(12,000人ver)'!R99-BC137</f>
        <v>0</v>
      </c>
      <c r="BD142" s="836">
        <f>+'[50]競技情報DB(12,000人ver)'!S99-BD137</f>
        <v>0</v>
      </c>
      <c r="BE142" s="837">
        <f>+'[50]競技情報DB(12,000人ver)'!T99-BE137</f>
        <v>0</v>
      </c>
      <c r="BF142" s="837">
        <f>+'[50]競技情報DB(12,000人ver)'!U99-BF137</f>
        <v>0</v>
      </c>
      <c r="BG142" s="837">
        <f>+'[50]競技情報DB(12,000人ver)'!V99-BG137</f>
        <v>0</v>
      </c>
      <c r="BH142" s="836">
        <f>+'[50]競技情報DB(12,000人ver)'!W99-BH137</f>
        <v>0</v>
      </c>
      <c r="BI142" s="837">
        <f>+'[50]競技情報DB(12,000人ver)'!X99-BI137</f>
        <v>0</v>
      </c>
      <c r="BJ142" s="836">
        <f>+'[50]競技情報DB(12,000人ver)'!Y99-BJ137</f>
        <v>0</v>
      </c>
      <c r="BK142" s="836">
        <f>+'[50]競技情報DB(12,000人ver)'!Z99-BK137</f>
        <v>0</v>
      </c>
      <c r="BL142" s="837">
        <f>+'[50]競技情報DB(12,000人ver)'!AA99-BL137</f>
        <v>0</v>
      </c>
      <c r="BM142" s="837">
        <f>+'[50]競技情報DB(12,000人ver)'!AB99-BM137</f>
        <v>0</v>
      </c>
      <c r="BN142" s="836">
        <f>+'[50]競技情報DB(12,000人ver)'!AC99-BN137</f>
        <v>0</v>
      </c>
      <c r="BO142" s="836">
        <f>+'[50]競技情報DB(12,000人ver)'!AD99-BO137</f>
        <v>0</v>
      </c>
      <c r="BP142" s="836">
        <f>+'[50]競技情報DB(12,000人ver)'!AE99-BP137</f>
        <v>0</v>
      </c>
      <c r="BQ142" s="836">
        <f>+'[50]競技情報DB(12,000人ver)'!AF99-BQ137</f>
        <v>0</v>
      </c>
      <c r="BR142" s="836">
        <f>+'[50]競技情報DB(12,000人ver)'!AG99-BR137</f>
        <v>0</v>
      </c>
      <c r="BS142" s="837">
        <f>+'[50]競技情報DB(12,000人ver)'!AH99-BS137</f>
        <v>0</v>
      </c>
      <c r="BT142" s="837">
        <f>+'[50]競技情報DB(12,000人ver)'!AI99-BT137</f>
        <v>0</v>
      </c>
      <c r="BU142" s="836">
        <f>+'[50]競技情報DB(12,000人ver)'!AJ99-BU137</f>
        <v>0</v>
      </c>
      <c r="BV142" s="836">
        <f>+'[50]競技情報DB(12,000人ver)'!AK99-BV137</f>
        <v>0</v>
      </c>
      <c r="BW142" s="836">
        <f>+'[50]競技情報DB(12,000人ver)'!AL99-BW137</f>
        <v>0</v>
      </c>
      <c r="BX142" s="836">
        <f>+'[50]競技情報DB(12,000人ver)'!AM99-BX137</f>
        <v>0</v>
      </c>
      <c r="BY142" s="840"/>
      <c r="BZ142" s="782"/>
      <c r="CA142" s="782"/>
    </row>
    <row r="143" spans="1:79" s="786" customFormat="1" ht="42" customHeight="1">
      <c r="A143" s="816"/>
      <c r="B143" s="785"/>
      <c r="C143" s="785"/>
      <c r="D143" s="872"/>
      <c r="E143" s="785"/>
      <c r="F143" s="879"/>
      <c r="G143" s="818"/>
      <c r="H143" s="819"/>
      <c r="I143" s="820"/>
      <c r="J143" s="820"/>
      <c r="K143" s="819"/>
      <c r="L143" s="820"/>
      <c r="M143" s="820"/>
      <c r="N143" s="820"/>
      <c r="O143" s="820"/>
      <c r="P143" s="821"/>
      <c r="Q143" s="821"/>
      <c r="R143" s="821"/>
      <c r="S143" s="822"/>
      <c r="T143" s="822"/>
      <c r="U143" s="823"/>
      <c r="V143" s="824"/>
      <c r="W143" s="838"/>
      <c r="X143" s="839"/>
      <c r="Y143" s="838"/>
      <c r="Z143" s="838"/>
      <c r="AA143" s="835"/>
      <c r="AB143" s="835"/>
      <c r="AC143" s="827"/>
      <c r="AD143" s="828"/>
      <c r="AE143" s="829"/>
      <c r="AF143" s="830"/>
      <c r="AG143" s="829"/>
      <c r="AH143" s="829"/>
      <c r="AI143" s="835"/>
      <c r="AJ143" s="835"/>
      <c r="AK143" s="831"/>
      <c r="AL143" s="832"/>
      <c r="AM143" s="867"/>
      <c r="AN143" s="867"/>
      <c r="AO143" s="867"/>
      <c r="AP143" s="830"/>
      <c r="AQ143" s="833"/>
      <c r="AR143" s="833"/>
      <c r="AS143" s="830"/>
      <c r="AT143" s="830"/>
      <c r="AU143" s="830"/>
      <c r="AV143" s="830"/>
      <c r="AW143" s="830"/>
      <c r="AX143" s="833"/>
      <c r="AY143" s="833"/>
      <c r="AZ143" s="830"/>
      <c r="BA143" s="830"/>
      <c r="BB143" s="830"/>
      <c r="BC143" s="830"/>
      <c r="BD143" s="830"/>
      <c r="BE143" s="833"/>
      <c r="BF143" s="833"/>
      <c r="BG143" s="833"/>
      <c r="BH143" s="830"/>
      <c r="BI143" s="833"/>
      <c r="BJ143" s="830"/>
      <c r="BK143" s="830"/>
      <c r="BL143" s="833"/>
      <c r="BM143" s="833"/>
      <c r="BN143" s="830"/>
      <c r="BO143" s="830"/>
      <c r="BP143" s="830"/>
      <c r="BQ143" s="830"/>
      <c r="BR143" s="830"/>
      <c r="BS143" s="833"/>
      <c r="BT143" s="833"/>
      <c r="BU143" s="830"/>
      <c r="BV143" s="830"/>
      <c r="BW143" s="830"/>
      <c r="BX143" s="830"/>
      <c r="BY143" s="782"/>
      <c r="BZ143" s="782"/>
      <c r="CA143" s="782"/>
    </row>
    <row r="144" spans="1:79" s="786" customFormat="1" ht="42" customHeight="1">
      <c r="A144" s="816"/>
      <c r="B144" s="785"/>
      <c r="C144" s="785"/>
      <c r="D144" s="872"/>
      <c r="E144" s="785"/>
      <c r="F144" s="879"/>
      <c r="G144" s="818"/>
      <c r="H144" s="819"/>
      <c r="I144" s="820"/>
      <c r="J144" s="820"/>
      <c r="K144" s="819"/>
      <c r="L144" s="820"/>
      <c r="M144" s="820"/>
      <c r="N144" s="820"/>
      <c r="O144" s="820"/>
      <c r="P144" s="821"/>
      <c r="Q144" s="821"/>
      <c r="R144" s="821"/>
      <c r="S144" s="822"/>
      <c r="T144" s="822"/>
      <c r="U144" s="823"/>
      <c r="V144" s="824"/>
      <c r="W144" s="838"/>
      <c r="X144" s="839"/>
      <c r="Y144" s="838"/>
      <c r="Z144" s="838"/>
      <c r="AA144" s="835"/>
      <c r="AB144" s="835"/>
      <c r="AC144" s="827"/>
      <c r="AD144" s="828"/>
      <c r="AE144" s="829"/>
      <c r="AF144" s="830"/>
      <c r="AG144" s="829"/>
      <c r="AH144" s="829"/>
      <c r="AI144" s="835"/>
      <c r="AJ144" s="835"/>
      <c r="AK144" s="831"/>
      <c r="AL144" s="832"/>
      <c r="AM144" s="867"/>
      <c r="AN144" s="867"/>
      <c r="AO144" s="867"/>
      <c r="AP144" s="830"/>
      <c r="AQ144" s="833"/>
      <c r="AR144" s="833"/>
      <c r="AS144" s="830"/>
      <c r="AT144" s="830"/>
      <c r="AU144" s="830"/>
      <c r="AV144" s="830"/>
      <c r="AW144" s="830"/>
      <c r="AX144" s="833"/>
      <c r="AY144" s="833"/>
      <c r="AZ144" s="830"/>
      <c r="BA144" s="830"/>
      <c r="BB144" s="830"/>
      <c r="BC144" s="830"/>
      <c r="BD144" s="830"/>
      <c r="BE144" s="833"/>
      <c r="BF144" s="833"/>
      <c r="BG144" s="833"/>
      <c r="BH144" s="830"/>
      <c r="BI144" s="833"/>
      <c r="BJ144" s="830"/>
      <c r="BK144" s="830"/>
      <c r="BL144" s="833"/>
      <c r="BM144" s="833"/>
      <c r="BN144" s="830"/>
      <c r="BO144" s="830"/>
      <c r="BP144" s="830"/>
      <c r="BQ144" s="830"/>
      <c r="BR144" s="830"/>
      <c r="BS144" s="833"/>
      <c r="BT144" s="833"/>
      <c r="BU144" s="830"/>
      <c r="BV144" s="830"/>
      <c r="BW144" s="830"/>
      <c r="BX144" s="830"/>
      <c r="BY144" s="782"/>
      <c r="BZ144" s="841"/>
      <c r="CA144" s="841"/>
    </row>
    <row r="145" spans="1:79" s="786" customFormat="1" ht="42" customHeight="1">
      <c r="A145" s="816"/>
      <c r="B145" s="785"/>
      <c r="C145" s="785"/>
      <c r="D145" s="872"/>
      <c r="E145" s="785"/>
      <c r="F145" s="879"/>
      <c r="G145" s="818"/>
      <c r="H145" s="819"/>
      <c r="I145" s="820"/>
      <c r="J145" s="820"/>
      <c r="K145" s="819"/>
      <c r="L145" s="820"/>
      <c r="M145" s="820"/>
      <c r="N145" s="820"/>
      <c r="O145" s="820"/>
      <c r="P145" s="821"/>
      <c r="Q145" s="821"/>
      <c r="R145" s="821"/>
      <c r="S145" s="822"/>
      <c r="T145" s="822"/>
      <c r="U145" s="823"/>
      <c r="V145" s="824"/>
      <c r="W145" s="838"/>
      <c r="X145" s="839"/>
      <c r="Y145" s="838"/>
      <c r="Z145" s="838"/>
      <c r="AA145" s="835"/>
      <c r="AB145" s="835"/>
      <c r="AC145" s="827"/>
      <c r="AD145" s="828"/>
      <c r="AE145" s="829"/>
      <c r="AF145" s="830"/>
      <c r="AG145" s="829"/>
      <c r="AH145" s="829"/>
      <c r="AI145" s="835"/>
      <c r="AJ145" s="835"/>
      <c r="AK145" s="831"/>
      <c r="AL145" s="832"/>
      <c r="AM145" s="867"/>
      <c r="AN145" s="867"/>
      <c r="AO145" s="867"/>
      <c r="AP145" s="830"/>
      <c r="AQ145" s="833"/>
      <c r="AR145" s="833"/>
      <c r="AS145" s="830"/>
      <c r="AT145" s="830"/>
      <c r="AU145" s="830"/>
      <c r="AV145" s="830"/>
      <c r="AW145" s="830"/>
      <c r="AX145" s="833"/>
      <c r="AY145" s="833"/>
      <c r="AZ145" s="830"/>
      <c r="BA145" s="830"/>
      <c r="BB145" s="830"/>
      <c r="BC145" s="830"/>
      <c r="BD145" s="830"/>
      <c r="BE145" s="833"/>
      <c r="BF145" s="833"/>
      <c r="BG145" s="833"/>
      <c r="BH145" s="830"/>
      <c r="BI145" s="833"/>
      <c r="BJ145" s="830"/>
      <c r="BK145" s="830"/>
      <c r="BL145" s="833"/>
      <c r="BM145" s="833"/>
      <c r="BN145" s="830"/>
      <c r="BO145" s="830"/>
      <c r="BP145" s="830"/>
      <c r="BQ145" s="830"/>
      <c r="BR145" s="830"/>
      <c r="BS145" s="833"/>
      <c r="BT145" s="833"/>
      <c r="BU145" s="830"/>
      <c r="BV145" s="830"/>
      <c r="BW145" s="830"/>
      <c r="BX145" s="830"/>
      <c r="BY145" s="782"/>
      <c r="BZ145" s="841"/>
      <c r="CA145" s="841"/>
    </row>
    <row r="146" spans="1:79" s="786" customFormat="1" ht="20.5" customHeight="1">
      <c r="A146" s="816"/>
      <c r="B146" s="197"/>
      <c r="C146" s="197"/>
      <c r="D146" s="868"/>
      <c r="E146" s="197"/>
      <c r="F146" s="880"/>
      <c r="G146" s="842"/>
      <c r="H146" s="198"/>
      <c r="I146" s="199"/>
      <c r="J146" s="199"/>
      <c r="K146" s="198"/>
      <c r="L146" s="199"/>
      <c r="M146" s="199"/>
      <c r="N146" s="199"/>
      <c r="O146" s="199"/>
      <c r="P146" s="843" t="s">
        <v>2435</v>
      </c>
      <c r="Q146" s="843"/>
      <c r="R146" s="843"/>
      <c r="S146" s="844"/>
      <c r="T146" s="844"/>
      <c r="U146" s="845"/>
      <c r="V146" s="846"/>
      <c r="W146" s="847"/>
      <c r="X146" s="848"/>
      <c r="Y146" s="847"/>
      <c r="Z146" s="847"/>
      <c r="AA146" s="849"/>
      <c r="AB146" s="849"/>
      <c r="AC146" s="197"/>
      <c r="AD146" s="202"/>
      <c r="AE146" s="200"/>
      <c r="AF146" s="848"/>
      <c r="AG146" s="200"/>
      <c r="AH146" s="200"/>
      <c r="AI146" s="849"/>
      <c r="AJ146" s="849"/>
      <c r="AK146" s="850"/>
      <c r="AL146" s="843"/>
      <c r="AM146" s="868"/>
      <c r="AN146" s="868"/>
      <c r="AO146" s="868"/>
      <c r="AP146" s="848"/>
      <c r="AQ146" s="201"/>
      <c r="AR146" s="201"/>
      <c r="AS146" s="848"/>
      <c r="AT146" s="848"/>
      <c r="AU146" s="848"/>
      <c r="AV146" s="848"/>
      <c r="AW146" s="848"/>
      <c r="AX146" s="201"/>
      <c r="AY146" s="201"/>
      <c r="AZ146" s="848"/>
      <c r="BA146" s="848"/>
      <c r="BB146" s="848"/>
      <c r="BC146" s="848"/>
      <c r="BD146" s="848"/>
      <c r="BE146" s="201"/>
      <c r="BF146" s="201"/>
      <c r="BG146" s="201"/>
      <c r="BH146" s="848"/>
      <c r="BI146" s="201"/>
      <c r="BJ146" s="848"/>
      <c r="BK146" s="848"/>
      <c r="BL146" s="201"/>
      <c r="BM146" s="201"/>
      <c r="BN146" s="848"/>
      <c r="BO146" s="848"/>
      <c r="BP146" s="848"/>
      <c r="BQ146" s="848"/>
      <c r="BR146" s="848"/>
      <c r="BS146" s="201"/>
      <c r="BT146" s="201"/>
      <c r="BU146" s="848"/>
      <c r="BV146" s="848"/>
      <c r="BW146" s="848"/>
      <c r="BX146" s="848"/>
      <c r="BY146" s="847"/>
      <c r="BZ146" s="851"/>
      <c r="CA146" s="851"/>
    </row>
    <row r="147" spans="1:79" s="786" customFormat="1" ht="20.5" customHeight="1">
      <c r="A147" s="816"/>
      <c r="B147" s="197"/>
      <c r="C147" s="197"/>
      <c r="D147" s="873"/>
      <c r="E147" s="197"/>
      <c r="F147" s="880"/>
      <c r="G147" s="842"/>
      <c r="H147" s="198"/>
      <c r="I147" s="852">
        <f>COUNTIF($I$18:$I$135,"宿泊施設")</f>
        <v>0</v>
      </c>
      <c r="J147" s="852">
        <f>COUNTIF($I$18:$I$135,"宿泊施設")</f>
        <v>0</v>
      </c>
      <c r="K147" s="853">
        <f>COUNTIF($I$18:$I$135,"宿泊施設")</f>
        <v>0</v>
      </c>
      <c r="L147" s="199"/>
      <c r="M147" s="199"/>
      <c r="N147" s="852" t="s">
        <v>2436</v>
      </c>
      <c r="O147" s="199"/>
      <c r="P147" s="846" t="s">
        <v>2437</v>
      </c>
      <c r="Q147" s="846"/>
      <c r="R147" s="846"/>
      <c r="S147" s="844" t="s">
        <v>2136</v>
      </c>
      <c r="T147" s="844" t="s">
        <v>2136</v>
      </c>
      <c r="U147" s="845"/>
      <c r="V147" s="846"/>
      <c r="W147" s="847"/>
      <c r="X147" s="848"/>
      <c r="Y147" s="847"/>
      <c r="Z147" s="847"/>
      <c r="AA147" s="849"/>
      <c r="AB147" s="849"/>
      <c r="AC147" s="197"/>
      <c r="AD147" s="202"/>
      <c r="AE147" s="200"/>
      <c r="AF147" s="848"/>
      <c r="AG147" s="200"/>
      <c r="AH147" s="200"/>
      <c r="AI147" s="849"/>
      <c r="AJ147" s="849"/>
      <c r="AK147" s="850"/>
      <c r="AL147" s="843"/>
      <c r="AM147" s="868"/>
      <c r="AN147" s="868"/>
      <c r="AO147" s="868"/>
      <c r="AP147" s="848"/>
      <c r="AQ147" s="201"/>
      <c r="AR147" s="201"/>
      <c r="AS147" s="848"/>
      <c r="AT147" s="848"/>
      <c r="AU147" s="848"/>
      <c r="AV147" s="848"/>
      <c r="AW147" s="848"/>
      <c r="AX147" s="201"/>
      <c r="AY147" s="201"/>
      <c r="AZ147" s="848"/>
      <c r="BA147" s="848"/>
      <c r="BB147" s="848"/>
      <c r="BC147" s="848"/>
      <c r="BD147" s="848"/>
      <c r="BE147" s="201"/>
      <c r="BF147" s="201"/>
      <c r="BG147" s="201"/>
      <c r="BH147" s="848"/>
      <c r="BI147" s="201"/>
      <c r="BJ147" s="848"/>
      <c r="BK147" s="848"/>
      <c r="BL147" s="201"/>
      <c r="BM147" s="201"/>
      <c r="BN147" s="848"/>
      <c r="BO147" s="848"/>
      <c r="BP147" s="848"/>
      <c r="BQ147" s="848"/>
      <c r="BR147" s="848"/>
      <c r="BS147" s="201"/>
      <c r="BT147" s="201"/>
      <c r="BU147" s="848"/>
      <c r="BV147" s="848"/>
      <c r="BW147" s="848"/>
      <c r="BX147" s="848"/>
      <c r="BY147" s="847"/>
      <c r="BZ147" s="851"/>
      <c r="CA147" s="851"/>
    </row>
    <row r="148" spans="1:79" s="786" customFormat="1" ht="20.5" customHeight="1">
      <c r="A148" s="816"/>
      <c r="B148" s="197"/>
      <c r="C148" s="197"/>
      <c r="D148" s="873"/>
      <c r="E148" s="197"/>
      <c r="F148" s="880"/>
      <c r="G148" s="842"/>
      <c r="H148" s="198"/>
      <c r="I148" s="852">
        <f>COUNTIF($I$18:$I$135,"ケータリング")</f>
        <v>0</v>
      </c>
      <c r="J148" s="852">
        <f>COUNTIF($I$18:$I$135,"ケータリング")</f>
        <v>0</v>
      </c>
      <c r="K148" s="853">
        <f>COUNTIF($I$18:$I$135,"ケータリング")</f>
        <v>0</v>
      </c>
      <c r="L148" s="199"/>
      <c r="M148" s="199"/>
      <c r="N148" s="852" t="s">
        <v>2438</v>
      </c>
      <c r="O148" s="199"/>
      <c r="P148" s="846" t="s">
        <v>2439</v>
      </c>
      <c r="Q148" s="846"/>
      <c r="R148" s="846"/>
      <c r="S148" s="844" t="s">
        <v>2440</v>
      </c>
      <c r="T148" s="844" t="s">
        <v>2440</v>
      </c>
      <c r="U148" s="845"/>
      <c r="V148" s="846"/>
      <c r="W148" s="847"/>
      <c r="X148" s="848"/>
      <c r="Y148" s="847"/>
      <c r="Z148" s="847"/>
      <c r="AA148" s="849"/>
      <c r="AB148" s="849"/>
      <c r="AC148" s="197"/>
      <c r="AD148" s="202"/>
      <c r="AE148" s="200"/>
      <c r="AF148" s="848"/>
      <c r="AG148" s="200"/>
      <c r="AH148" s="200"/>
      <c r="AI148" s="849"/>
      <c r="AJ148" s="849"/>
      <c r="AK148" s="850"/>
      <c r="AL148" s="843"/>
      <c r="AM148" s="868"/>
      <c r="AN148" s="868"/>
      <c r="AO148" s="868"/>
      <c r="AP148" s="848"/>
      <c r="AQ148" s="201"/>
      <c r="AR148" s="201"/>
      <c r="AS148" s="848"/>
      <c r="AT148" s="848"/>
      <c r="AU148" s="848"/>
      <c r="AV148" s="848"/>
      <c r="AW148" s="848"/>
      <c r="AX148" s="201"/>
      <c r="AY148" s="201"/>
      <c r="AZ148" s="848"/>
      <c r="BA148" s="848"/>
      <c r="BB148" s="848"/>
      <c r="BC148" s="848"/>
      <c r="BD148" s="848"/>
      <c r="BE148" s="201"/>
      <c r="BF148" s="201"/>
      <c r="BG148" s="201"/>
      <c r="BH148" s="848"/>
      <c r="BI148" s="201"/>
      <c r="BJ148" s="848"/>
      <c r="BK148" s="848"/>
      <c r="BL148" s="201"/>
      <c r="BM148" s="201"/>
      <c r="BN148" s="848"/>
      <c r="BO148" s="848"/>
      <c r="BP148" s="848"/>
      <c r="BQ148" s="848"/>
      <c r="BR148" s="848"/>
      <c r="BS148" s="201"/>
      <c r="BT148" s="201"/>
      <c r="BU148" s="848"/>
      <c r="BV148" s="848"/>
      <c r="BW148" s="848"/>
      <c r="BX148" s="848"/>
      <c r="BY148" s="847"/>
      <c r="BZ148" s="851"/>
      <c r="CA148" s="851"/>
    </row>
    <row r="149" spans="1:79" s="786" customFormat="1" ht="20.5" customHeight="1">
      <c r="A149" s="816"/>
      <c r="B149" s="197"/>
      <c r="C149" s="197"/>
      <c r="D149" s="873"/>
      <c r="E149" s="197"/>
      <c r="F149" s="880"/>
      <c r="G149" s="842"/>
      <c r="H149" s="198"/>
      <c r="I149" s="199"/>
      <c r="J149" s="199"/>
      <c r="K149" s="198"/>
      <c r="L149" s="199"/>
      <c r="M149" s="199"/>
      <c r="N149" s="199"/>
      <c r="O149" s="199"/>
      <c r="P149" s="846" t="s">
        <v>2441</v>
      </c>
      <c r="Q149" s="846"/>
      <c r="R149" s="846"/>
      <c r="S149" s="844"/>
      <c r="T149" s="844"/>
      <c r="U149" s="845"/>
      <c r="V149" s="846"/>
      <c r="W149" s="847"/>
      <c r="X149" s="848"/>
      <c r="Y149" s="847"/>
      <c r="Z149" s="847"/>
      <c r="AA149" s="849"/>
      <c r="AB149" s="849"/>
      <c r="AC149" s="197"/>
      <c r="AD149" s="202"/>
      <c r="AE149" s="200"/>
      <c r="AF149" s="848"/>
      <c r="AG149" s="200"/>
      <c r="AH149" s="200"/>
      <c r="AI149" s="849"/>
      <c r="AJ149" s="849"/>
      <c r="AK149" s="850"/>
      <c r="AL149" s="843"/>
      <c r="AM149" s="868"/>
      <c r="AN149" s="868"/>
      <c r="AO149" s="868"/>
      <c r="AP149" s="848"/>
      <c r="AQ149" s="201"/>
      <c r="AR149" s="201"/>
      <c r="AS149" s="848"/>
      <c r="AT149" s="848"/>
      <c r="AU149" s="848"/>
      <c r="AV149" s="848"/>
      <c r="AW149" s="848"/>
      <c r="AX149" s="201"/>
      <c r="AY149" s="201"/>
      <c r="AZ149" s="848"/>
      <c r="BA149" s="848"/>
      <c r="BB149" s="848"/>
      <c r="BC149" s="848"/>
      <c r="BD149" s="848"/>
      <c r="BE149" s="201"/>
      <c r="BF149" s="201"/>
      <c r="BG149" s="201"/>
      <c r="BH149" s="848"/>
      <c r="BI149" s="201"/>
      <c r="BJ149" s="848"/>
      <c r="BK149" s="848"/>
      <c r="BL149" s="201"/>
      <c r="BM149" s="201"/>
      <c r="BN149" s="848"/>
      <c r="BO149" s="848"/>
      <c r="BP149" s="848"/>
      <c r="BQ149" s="848"/>
      <c r="BR149" s="848"/>
      <c r="BS149" s="201"/>
      <c r="BT149" s="201"/>
      <c r="BU149" s="848"/>
      <c r="BV149" s="848"/>
      <c r="BW149" s="848"/>
      <c r="BX149" s="848"/>
      <c r="BY149" s="847"/>
      <c r="BZ149" s="851"/>
      <c r="CA149" s="851"/>
    </row>
    <row r="162" spans="1:79" s="842" customFormat="1">
      <c r="A162" s="197"/>
      <c r="B162" s="197"/>
      <c r="C162" s="197"/>
      <c r="D162" s="873"/>
      <c r="E162" s="855"/>
      <c r="F162" s="880"/>
      <c r="H162" s="198"/>
      <c r="I162" s="199"/>
      <c r="J162" s="199"/>
      <c r="K162" s="198"/>
      <c r="L162" s="199"/>
      <c r="M162" s="199"/>
      <c r="N162" s="199"/>
      <c r="O162" s="199"/>
      <c r="P162" s="197"/>
      <c r="Q162" s="197"/>
      <c r="R162" s="197"/>
      <c r="S162" s="844"/>
      <c r="T162" s="844"/>
      <c r="U162" s="856"/>
      <c r="V162" s="197"/>
      <c r="W162" s="857"/>
      <c r="X162" s="858"/>
      <c r="Y162" s="857"/>
      <c r="Z162" s="857"/>
      <c r="AA162" s="859"/>
      <c r="AB162" s="859"/>
      <c r="AC162" s="197"/>
      <c r="AD162" s="202"/>
      <c r="AE162" s="200"/>
      <c r="AF162" s="858"/>
      <c r="AG162" s="200"/>
      <c r="AH162" s="200"/>
      <c r="AI162" s="859"/>
      <c r="AJ162" s="859"/>
      <c r="AK162" s="854"/>
      <c r="AL162" s="860"/>
      <c r="AM162" s="868"/>
      <c r="AN162" s="868"/>
      <c r="AO162" s="868"/>
      <c r="AP162" s="858"/>
      <c r="AQ162" s="861"/>
      <c r="AR162" s="861"/>
      <c r="AS162" s="858"/>
      <c r="AT162" s="858"/>
      <c r="AU162" s="858"/>
      <c r="AV162" s="858"/>
      <c r="AW162" s="858"/>
      <c r="AX162" s="861"/>
      <c r="AY162" s="861"/>
      <c r="AZ162" s="858"/>
      <c r="BA162" s="858"/>
      <c r="BB162" s="858"/>
      <c r="BC162" s="858"/>
      <c r="BD162" s="858"/>
      <c r="BE162" s="861"/>
      <c r="BF162" s="861"/>
      <c r="BG162" s="861"/>
      <c r="BH162" s="858"/>
      <c r="BI162" s="861"/>
      <c r="BJ162" s="858"/>
      <c r="BK162" s="858"/>
      <c r="BL162" s="861"/>
      <c r="BM162" s="861"/>
      <c r="BN162" s="858"/>
      <c r="BO162" s="858"/>
      <c r="BP162" s="858"/>
      <c r="BQ162" s="858"/>
      <c r="BR162" s="858"/>
      <c r="BS162" s="861"/>
      <c r="BT162" s="861"/>
      <c r="BU162" s="858"/>
      <c r="BV162" s="858"/>
      <c r="BW162" s="858"/>
      <c r="BX162" s="858"/>
      <c r="BY162" s="200"/>
      <c r="BZ162" s="862"/>
      <c r="CA162" s="862"/>
    </row>
    <row r="166" spans="1:79" s="842" customFormat="1">
      <c r="A166" s="197"/>
      <c r="B166" s="197"/>
      <c r="C166" s="197"/>
      <c r="D166" s="873"/>
      <c r="E166" s="855"/>
      <c r="F166" s="880"/>
      <c r="H166" s="198"/>
      <c r="I166" s="199"/>
      <c r="J166" s="199"/>
      <c r="K166" s="198"/>
      <c r="L166" s="199"/>
      <c r="M166" s="199"/>
      <c r="N166" s="199"/>
      <c r="O166" s="199"/>
      <c r="P166" s="197"/>
      <c r="Q166" s="197"/>
      <c r="R166" s="197"/>
      <c r="S166" s="844"/>
      <c r="T166" s="844"/>
      <c r="U166" s="856"/>
      <c r="V166" s="197"/>
      <c r="W166" s="857"/>
      <c r="X166" s="858"/>
      <c r="Y166" s="857"/>
      <c r="Z166" s="857"/>
      <c r="AA166" s="859"/>
      <c r="AB166" s="859"/>
      <c r="AC166" s="197"/>
      <c r="AD166" s="202"/>
      <c r="AE166" s="200"/>
      <c r="AF166" s="858"/>
      <c r="AG166" s="200"/>
      <c r="AH166" s="200"/>
      <c r="AI166" s="859"/>
      <c r="AJ166" s="859"/>
      <c r="AK166" s="854"/>
      <c r="AL166" s="860"/>
      <c r="AM166" s="868"/>
      <c r="AN166" s="868"/>
      <c r="AO166" s="868"/>
      <c r="AP166" s="858"/>
      <c r="AQ166" s="861"/>
      <c r="AR166" s="861"/>
      <c r="AS166" s="858"/>
      <c r="AT166" s="858"/>
      <c r="AU166" s="858"/>
      <c r="AV166" s="858"/>
      <c r="AW166" s="858"/>
      <c r="AX166" s="861"/>
      <c r="AY166" s="861"/>
      <c r="AZ166" s="858"/>
      <c r="BA166" s="858"/>
      <c r="BB166" s="858"/>
      <c r="BC166" s="858"/>
      <c r="BD166" s="858"/>
      <c r="BE166" s="861"/>
      <c r="BF166" s="861"/>
      <c r="BG166" s="861"/>
      <c r="BH166" s="858"/>
      <c r="BI166" s="861"/>
      <c r="BJ166" s="858"/>
      <c r="BK166" s="858"/>
      <c r="BL166" s="861"/>
      <c r="BM166" s="861"/>
      <c r="BN166" s="858"/>
      <c r="BO166" s="858"/>
      <c r="BP166" s="858"/>
      <c r="BQ166" s="858"/>
      <c r="BR166" s="858"/>
      <c r="BS166" s="861"/>
      <c r="BT166" s="861"/>
      <c r="BU166" s="858"/>
      <c r="BV166" s="858"/>
      <c r="BW166" s="858"/>
      <c r="BX166" s="858"/>
      <c r="BY166" s="200"/>
      <c r="BZ166" s="862"/>
      <c r="CA166" s="862"/>
    </row>
    <row r="176" spans="1:79" s="842" customFormat="1">
      <c r="A176" s="197"/>
      <c r="B176" s="197"/>
      <c r="C176" s="197"/>
      <c r="D176" s="873"/>
      <c r="E176" s="855"/>
      <c r="F176" s="880"/>
      <c r="H176" s="198"/>
      <c r="I176" s="199"/>
      <c r="J176" s="199"/>
      <c r="K176" s="198"/>
      <c r="L176" s="199"/>
      <c r="M176" s="199"/>
      <c r="N176" s="199"/>
      <c r="O176" s="199"/>
      <c r="P176" s="197"/>
      <c r="Q176" s="197"/>
      <c r="R176" s="197"/>
      <c r="S176" s="844"/>
      <c r="T176" s="844"/>
      <c r="U176" s="856"/>
      <c r="V176" s="197"/>
      <c r="W176" s="857"/>
      <c r="X176" s="858"/>
      <c r="Y176" s="857"/>
      <c r="Z176" s="857"/>
      <c r="AA176" s="859"/>
      <c r="AB176" s="859"/>
      <c r="AC176" s="197"/>
      <c r="AD176" s="202"/>
      <c r="AE176" s="200"/>
      <c r="AF176" s="858"/>
      <c r="AG176" s="200"/>
      <c r="AH176" s="200"/>
      <c r="AI176" s="859"/>
      <c r="AJ176" s="859"/>
      <c r="AK176" s="854"/>
      <c r="AL176" s="860"/>
      <c r="AM176" s="868"/>
      <c r="AN176" s="868"/>
      <c r="AO176" s="868"/>
      <c r="AP176" s="858"/>
      <c r="AQ176" s="861"/>
      <c r="AR176" s="861"/>
      <c r="AS176" s="858"/>
      <c r="AT176" s="858"/>
      <c r="AU176" s="858"/>
      <c r="AV176" s="858"/>
      <c r="AW176" s="858"/>
      <c r="AX176" s="861"/>
      <c r="AY176" s="861"/>
      <c r="AZ176" s="858"/>
      <c r="BA176" s="858"/>
      <c r="BB176" s="858"/>
      <c r="BC176" s="858"/>
      <c r="BD176" s="858"/>
      <c r="BE176" s="861"/>
      <c r="BF176" s="861"/>
      <c r="BG176" s="861"/>
      <c r="BH176" s="858"/>
      <c r="BI176" s="861"/>
      <c r="BJ176" s="858"/>
      <c r="BK176" s="858"/>
      <c r="BL176" s="861"/>
      <c r="BM176" s="861"/>
      <c r="BN176" s="858"/>
      <c r="BO176" s="858"/>
      <c r="BP176" s="858"/>
      <c r="BQ176" s="858"/>
      <c r="BR176" s="858"/>
      <c r="BS176" s="861"/>
      <c r="BT176" s="861"/>
      <c r="BU176" s="858"/>
      <c r="BV176" s="858"/>
      <c r="BW176" s="858"/>
      <c r="BX176" s="858"/>
      <c r="BY176" s="200"/>
      <c r="BZ176" s="862"/>
      <c r="CA176" s="862"/>
    </row>
    <row r="180" spans="1:79" s="842" customFormat="1">
      <c r="A180" s="197"/>
      <c r="B180" s="197"/>
      <c r="C180" s="197"/>
      <c r="D180" s="873"/>
      <c r="E180" s="855"/>
      <c r="F180" s="880"/>
      <c r="H180" s="198"/>
      <c r="I180" s="199"/>
      <c r="J180" s="199"/>
      <c r="K180" s="198"/>
      <c r="L180" s="199"/>
      <c r="M180" s="199"/>
      <c r="N180" s="199"/>
      <c r="O180" s="199"/>
      <c r="P180" s="197"/>
      <c r="Q180" s="197"/>
      <c r="R180" s="197"/>
      <c r="S180" s="844"/>
      <c r="T180" s="844"/>
      <c r="U180" s="856"/>
      <c r="V180" s="197"/>
      <c r="W180" s="857"/>
      <c r="X180" s="858"/>
      <c r="Y180" s="857"/>
      <c r="Z180" s="857"/>
      <c r="AA180" s="859"/>
      <c r="AB180" s="859"/>
      <c r="AC180" s="197"/>
      <c r="AD180" s="202"/>
      <c r="AE180" s="200"/>
      <c r="AF180" s="858"/>
      <c r="AG180" s="200"/>
      <c r="AH180" s="200"/>
      <c r="AI180" s="859"/>
      <c r="AJ180" s="859"/>
      <c r="AK180" s="854"/>
      <c r="AL180" s="860"/>
      <c r="AM180" s="868"/>
      <c r="AN180" s="868"/>
      <c r="AO180" s="868"/>
      <c r="AP180" s="858"/>
      <c r="AQ180" s="861"/>
      <c r="AR180" s="861"/>
      <c r="AS180" s="858"/>
      <c r="AT180" s="858"/>
      <c r="AU180" s="858"/>
      <c r="AV180" s="858"/>
      <c r="AW180" s="858"/>
      <c r="AX180" s="861"/>
      <c r="AY180" s="861"/>
      <c r="AZ180" s="858"/>
      <c r="BA180" s="858"/>
      <c r="BB180" s="858"/>
      <c r="BC180" s="858"/>
      <c r="BD180" s="858"/>
      <c r="BE180" s="861"/>
      <c r="BF180" s="861"/>
      <c r="BG180" s="861"/>
      <c r="BH180" s="858"/>
      <c r="BI180" s="861"/>
      <c r="BJ180" s="858"/>
      <c r="BK180" s="858"/>
      <c r="BL180" s="861"/>
      <c r="BM180" s="861"/>
      <c r="BN180" s="858"/>
      <c r="BO180" s="858"/>
      <c r="BP180" s="858"/>
      <c r="BQ180" s="858"/>
      <c r="BR180" s="858"/>
      <c r="BS180" s="861"/>
      <c r="BT180" s="861"/>
      <c r="BU180" s="858"/>
      <c r="BV180" s="858"/>
      <c r="BW180" s="858"/>
      <c r="BX180" s="858"/>
      <c r="BY180" s="200"/>
      <c r="BZ180" s="862"/>
      <c r="CA180" s="862"/>
    </row>
  </sheetData>
  <sheetProtection formatColumns="0"/>
  <autoFilter ref="A2:CA142" xr:uid="{9DC790AB-86C9-44E9-87BA-EDCC0A8866C4}"/>
  <mergeCells count="29">
    <mergeCell ref="AO1:AO2"/>
    <mergeCell ref="BZ1:BZ2"/>
    <mergeCell ref="CA1:CA2"/>
    <mergeCell ref="H136:K139"/>
    <mergeCell ref="L136:O136"/>
    <mergeCell ref="L137:O137"/>
    <mergeCell ref="L138:O138"/>
    <mergeCell ref="L139:O139"/>
    <mergeCell ref="AI1:AI2"/>
    <mergeCell ref="AJ1:AJ2"/>
    <mergeCell ref="AK1:AK2"/>
    <mergeCell ref="AL1:AL2"/>
    <mergeCell ref="AM1:AM2"/>
    <mergeCell ref="AN1:AN2"/>
    <mergeCell ref="P1:R1"/>
    <mergeCell ref="S1:T1"/>
    <mergeCell ref="U1:Z1"/>
    <mergeCell ref="AA1:AA2"/>
    <mergeCell ref="AB1:AB2"/>
    <mergeCell ref="AC1:AH1"/>
    <mergeCell ref="A1:B1"/>
    <mergeCell ref="C1:C2"/>
    <mergeCell ref="D1:D2"/>
    <mergeCell ref="F1:G1"/>
    <mergeCell ref="H1:H2"/>
    <mergeCell ref="I1:I2"/>
    <mergeCell ref="J1:J2"/>
    <mergeCell ref="K1:K2"/>
    <mergeCell ref="L1:N1"/>
  </mergeCells>
  <phoneticPr fontId="2"/>
  <conditionalFormatting sqref="A3:C3 B84:C84 B121:C135">
    <cfRule type="containsText" dxfId="1016" priority="8" operator="containsText" text="NGホテル">
      <formula>NOT(ISERROR(SEARCH("NGホテル",A3)))</formula>
    </cfRule>
    <cfRule type="containsText" dxfId="1015" priority="9" operator="containsText" text="追加">
      <formula>NOT(ISERROR(SEARCH("追加",A3)))</formula>
    </cfRule>
  </conditionalFormatting>
  <conditionalFormatting sqref="A53:C53 C54 B57:C57 A61:C61 C62 A74:C74 B75:C76 C77 B90:C90 C91 A96:C96 C97 B108:C112 B115:C115 A117:C117 C118">
    <cfRule type="containsText" dxfId="1014" priority="13" operator="containsText" text="NGホテル">
      <formula>NOT(ISERROR(SEARCH("NGホテル",A53)))</formula>
    </cfRule>
    <cfRule type="containsText" dxfId="1013" priority="14" operator="containsText" text="追加">
      <formula>NOT(ISERROR(SEARCH("追加",A53)))</formula>
    </cfRule>
  </conditionalFormatting>
  <conditionalFormatting sqref="A63:C63">
    <cfRule type="containsText" dxfId="1012" priority="3" operator="containsText" text="NGホテル">
      <formula>NOT(ISERROR(SEARCH("NGホテル",A63)))</formula>
    </cfRule>
    <cfRule type="containsText" dxfId="1011" priority="4" operator="containsText" text="追加">
      <formula>NOT(ISERROR(SEARCH("追加",A63)))</formula>
    </cfRule>
  </conditionalFormatting>
  <conditionalFormatting sqref="B94">
    <cfRule type="containsText" dxfId="1010" priority="1" operator="containsText" text="NGホテル">
      <formula>NOT(ISERROR(SEARCH("NGホテル",B94)))</formula>
    </cfRule>
    <cfRule type="containsText" dxfId="1009" priority="2" operator="containsText" text="追加">
      <formula>NOT(ISERROR(SEARCH("追加",B94)))</formula>
    </cfRule>
  </conditionalFormatting>
  <conditionalFormatting sqref="B141">
    <cfRule type="duplicateValues" dxfId="1008" priority="5"/>
  </conditionalFormatting>
  <conditionalFormatting sqref="I4:K48 I51:K135">
    <cfRule type="cellIs" dxfId="1007" priority="16" operator="equal">
      <formula>"ケータリング"</formula>
    </cfRule>
    <cfRule type="expression" dxfId="1006" priority="17">
      <formula>#REF!="ケータリング"</formula>
    </cfRule>
  </conditionalFormatting>
  <conditionalFormatting sqref="L1 O1:O2 L88:N93 L117:N118 M125:N125 L126:N126 M129:N129 L130:N130">
    <cfRule type="cellIs" dxfId="1005" priority="10" operator="lessThan">
      <formula>0</formula>
    </cfRule>
  </conditionalFormatting>
  <conditionalFormatting sqref="L4:N17 L96:N111 L140:O1048576">
    <cfRule type="cellIs" dxfId="1004" priority="12" operator="lessThan">
      <formula>0</formula>
    </cfRule>
  </conditionalFormatting>
  <conditionalFormatting sqref="L18:N19 L21:N21 L23:N23 L25:N25 L27:N27 L31:N31 L51:N56 L59:N60 L76:N83 L121:N122 L131:N131">
    <cfRule type="containsText" dxfId="1003" priority="11" operator="containsText" text="未調査">
      <formula>NOT(ISERROR(SEARCH("未調査",L18)))</formula>
    </cfRule>
    <cfRule type="containsText" dxfId="1002" priority="15" operator="containsText" text="ケータリング">
      <formula>NOT(ISERROR(SEARCH("ケータリング",L18)))</formula>
    </cfRule>
  </conditionalFormatting>
  <conditionalFormatting sqref="S1 S136:T1048576">
    <cfRule type="containsText" dxfId="1001" priority="6" operator="containsText" text="不可">
      <formula>NOT(ISERROR(SEARCH("不可",S1)))</formula>
    </cfRule>
  </conditionalFormatting>
  <dataValidations count="3">
    <dataValidation showInputMessage="1" showErrorMessage="1" sqref="BX37:BY37 BW51:BX51 BW63:BY63 BW70:BX70 BW74:BX74 BV76:BX76 BW84:BX84 BV78:BX78 BX96 BX98 BX100 BW123:BX123 BW57:BX57 AK136:AO136 AP136:BX137 BR129:BX129 BZ95:CA95 AO25:AU25 BV80:BX80 BL104:BX104 BM108:BX108 BV86:BX86 BV127:BX127 BM106:BX106 BV82:BX82 BY19:CA22 BY24:CA24 BY28:CA30 BY34:CA36 BV88:BX88 BW92:BX92 BY43:BY46 BT46:BX46 BW53:BX53 BT49:BY49 BX102 BW119:BX119 BW121:BX121 BW90:BX90 BV125:BX125 AK135:BY135 BU41:BY41 BY51:BY62 AG57:AI57 BW55:BX55 BS110:BX110 BW59:BX59 BW61:BX61 BW33:BY33 BP31:BY31 BX25:BY25 BM94:BX94 BA23:BQ23 BX3:BY3 BX27:BY27 AI123 BD3:BU3 BW18:BY18 AG23:AJ23 BA115:BV115 AG61:AI61 AI84 AV18:BU18 AY25:BV25 BA27:BV27 AT31:BN31 BA33:BU33 BA41:BS41 BA46:BR46 AT49:BR49 AV51:BU51 AY53:BU53 AY55:BU55 AV57:BU57 AV59:BU59 AT21:BK21 BA63:BU63 BI70:BU70 BA74:BU74 BA76:BT76 BA78:BT78 BA80:BT80 BA82:BT82 AW84:BU84 AX86:BT86 AX88:BT88 BC90:BU90 BC92:BU92 AS94:BK94 BH102:BV102 BH100:BV100 AV104:BJ104 BA106:BK106 BB108:BK108 BF110:BQ110 AU61:BU61 AY119:BU119 BG121:BU121 BG123:BU123 BJ125:BT125 BM117:BX117 BG129:BP129 AU127:BT127 BA133:BR133 BT133:BX133 BS23:BY23 BX112 BA112:BV112 BA67:BY67 BI72:BU72 BW72:BX72 BY68 AF41:AF49 BY70:BY84 BX115 AF18:AF37 AG94:AI94 V3:W45 Y47:Z135 AD3:AE69 AO23:AW23 AI21:AK21 BM21:BX21 AO21:AP21 AT117:BK117 AI133 AI112 BY117:CA133 AG127:AI127 V47:W135 BY86:BY116 BS131:BX131 AJ51:AJ57 AI51 AG53:AI53 AG55:AI55 AJ59:AJ62 AI59 AJ76:AJ84 AI76 AI78 AI80 AI82 AJ88:AJ94 AI88 AI90 AI92 AJ96:AJ112 AI96 AI98 AI100 AI102 AG104:AI104 AI106 AI108 AG110:AI110 AJ119:AJ123 AI119 AI121 AJ125:AJ127 AI125 AJ129:AJ133 AG129:AI129 AG131:AI131 AU131:BQ131 X88:X94 X129:X133 X21 X96:X112 X76:X84 X72 X115 X125:X127 X119:X123 X117 X70 X51:X57 X49 X3 X86 X74 X67 X33 X59:X63 Y3:Z45 X41 X37 X31 X27 X25 X23 X18 AA23:AB23 AF51:AF63 AF67:AF68 AF3 V46:AB46 AA18:AB18 AA88:AB94 AA129:AB133 AA21:AB21 AA96:AB112 AA76:AB84 AA72:AB72 AA115:AB115 AA125:AB127 AA119:AB123 AA117:AB117 AA70:AB70 AA51:AB57 AA49:AB49 AA3:AB3 AA86:AB86 AA74:AB74 AA67:AB67 AA33:AB33 AA59:AB63 AA41:AB41 AA37:AB37 AA31:AB31 AA27:AB27 AA25:AB25 AG38:AH52 AI3:BA3 AO20:BX20 AG87:AH93 AG24:AH30 AG32:AH36 AG62:AH69 AG54:AH54 AG56:AH56 AD70:AF135 AG116:AH126 AG105:AH109 AG111:AH114 AG58:AH60 AG132:AH135 AG130:AH130 AG128:AH128 AG95:AH103 AG71:AH85 AG3:AH22 AK20:AL20 AK22:AL23 AI25:AL25 AI27:AL27 AK29:AL30 AG31:AL31 AI33:AL33 AK35:AL36 AG37:AL37 AK39:AL39 AI41:AL41 AK43:AL44 AI46:AL46 AI49:AL49 AK53:AL53 AK55:AL55 AK57:AL57 AK59:AL59 AK61:AL61 AI63:AL63 AK65:AL65 AG70:AL70 AI72:AL72 AI74:AL74 AK76:AL76 AK78:AL78 AK80:AL80 AK84:AL84 AG86:AL86 AK88:AL88 AK90:AL90 AK92:AL92 AK94:AL94 AK96:AL96 AK100:AL100 AK102:AL102 AK104:AL104 AK106:AL106 AK108:AL108 AK110:AL110 AK112:AL112 AM19:AM50 AI117:AL117 AK119:AL119 AK121:AL121 AK123:AL123 AK125:AL125 AK127:AL127 AK129:AL129 AK133:AL133 AM52:AM66 AM116:AM130 AM68:AM81 AM83:AM97 AM99:AM113 AP29:BX30 AP35:BX36 AP43:BX44 AP133:AW133 AN19:AO19 AN26:AO26 AN32:AO32 AN38:AO38 AN40:AO40 AN50:AO50 AN52:AO52 AN54:AO54 AN56:AO56 AN58:AO58 AN60:AO60 AN62:AO62 AN64:AO64 AN66:AO66 AN71:AO71 AN73:AO73 AN75:AO75 AN77:AO77 AN79:AO79 AN81:AO81 AN83:AO83 AN85:AO85 AN87:AO87 AN89:AO89 AN91:AO91 AN93:AO95 AN97:AO97 AN99:AO99 AN101:AO101 AN103:AO103 AN105:AO105 AN107:AO107 AN109:AO109 AN111:AO111 AN113:AO113 AN116:AO116 AN118:AO118 AN120:AO120 AN122:AO122 AN124:AO124 AN126:AO126 AN128:AO128 AN130:AO130 AM132:AO134 AK114:BX114 AI18:AR18 AK51:AR51 AI67:AX67 AK82:AW82 AK98:BV98 AG115:AW115 AK131:AQ131 AN129:BC129 AN112:AW112 AN96:BV96 AN80:AW80 AN65:BX65 AN49:AP49 AN41:AW41 AN33:AW33 AN27:AW27 AN59:AR59 AN63:AW63 AN70:BE70 AN108:AX108 AN110:BB110 AN92:AY92 AN127:AQ127 AN123:BC123 AN88:AT88 AN84:AS84 AN78:AW78 AN57:AR57 AN55:AU55 AN46:AW46 AN37:BV37 AN125:BF125 AN121:BC121 AN119:AU119 AN117:AP117 AN106:AW106 AN104:AR104 AN102:BD102 AN100:BD100 AN90:AY90 AN86:AT86 AN76:AW76 AN74:AW74 AN72:BE72 AN53:AU53 AN61:AQ61 AN31:AP31 AN20:AN25 AN39:BX39 AM4:AO17 AO22 AO24 AN28:AO30 AN34:AO36 AN42:AO45 AN47:AO48 AN68:AO69" xr:uid="{113DE038-0694-4A2C-8D42-D80261DF474C}"/>
    <dataValidation type="list" allowBlank="1" showInputMessage="1" showErrorMessage="1" sqref="S3:T135" xr:uid="{85FE8A04-5738-4A5B-A861-D59ABB10A4ED}">
      <formula1>$S$147:$S$148</formula1>
    </dataValidation>
    <dataValidation type="list" allowBlank="1" showInputMessage="1" showErrorMessage="1" sqref="AE141 BX139:BX140 AP138:BW140 W136:AB139 W146:AB1048576 AG141:AH141 AF136:AF140 AI136:AJ137 AI138:AO1048576 BZ136:CA1048576 AP143:BY1048576 BY136:BY141 AF142:AF1048576" xr:uid="{E004B7A2-BBFF-4178-A399-2AD4DFBA8F4E}">
      <formula1>$P$147:$P$148</formula1>
    </dataValidation>
  </dataValidations>
  <printOptions horizontalCentered="1"/>
  <pageMargins left="0.62992125984251968" right="0.62992125984251968" top="0.74803149606299213" bottom="0.74803149606299213" header="0.31496062992125984" footer="0.31496062992125984"/>
  <pageSetup paperSize="8" scale="33" fitToWidth="2" fitToHeight="0" pageOrder="overThenDown" orientation="landscape" r:id="rId1"/>
  <headerFooter>
    <oddFooter>&amp;C&amp;14&amp;P / &amp;N ページ</oddFooter>
  </headerFooter>
  <rowBreaks count="2" manualBreakCount="2">
    <brk id="45" max="76" man="1"/>
    <brk id="87" max="76"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4AEF-9A71-4C88-913B-913290FF8AA3}">
  <sheetPr codeName="Sheet261">
    <tabColor rgb="FFFF0000"/>
  </sheetPr>
  <dimension ref="A1:BQ161"/>
  <sheetViews>
    <sheetView topLeftCell="A76" zoomScale="40" zoomScaleNormal="40" workbookViewId="0">
      <selection activeCell="AH25" sqref="AH25"/>
    </sheetView>
  </sheetViews>
  <sheetFormatPr defaultColWidth="9.453125" defaultRowHeight="16"/>
  <cols>
    <col min="1" max="1" width="15.1796875" style="197" customWidth="1"/>
    <col min="2" max="2" width="18.26953125" style="197" customWidth="1"/>
    <col min="3" max="3" width="9.81640625" style="197" customWidth="1"/>
    <col min="4" max="4" width="8.54296875" style="854" customWidth="1"/>
    <col min="5" max="5" width="60.1796875" style="197" customWidth="1"/>
    <col min="6" max="7" width="15.453125" style="842" customWidth="1"/>
    <col min="8" max="8" width="15.453125" style="198" customWidth="1"/>
    <col min="9" max="9" width="15.453125" style="199" customWidth="1"/>
    <col min="10" max="10" width="26" style="199" customWidth="1"/>
    <col min="11" max="11" width="11.7265625" style="198" customWidth="1"/>
    <col min="12" max="14" width="18.1796875" style="199" customWidth="1"/>
    <col min="15" max="15" width="40.453125" style="199" customWidth="1"/>
    <col min="16" max="17" width="11" style="197" customWidth="1"/>
    <col min="18" max="18" width="11" style="844" customWidth="1"/>
    <col min="19" max="19" width="49.1796875" style="197" customWidth="1"/>
    <col min="20" max="20" width="12.54296875" style="202" customWidth="1"/>
    <col min="21" max="21" width="12.54296875" style="200" customWidth="1"/>
    <col min="22" max="22" width="12.54296875" style="858" customWidth="1"/>
    <col min="23" max="24" width="12.54296875" style="200" customWidth="1"/>
    <col min="25" max="25" width="16.453125" style="859" customWidth="1"/>
    <col min="26" max="26" width="11.81640625" style="859" customWidth="1"/>
    <col min="27" max="27" width="18.1796875" style="854" customWidth="1"/>
    <col min="28" max="29" width="18.1796875" style="2941" customWidth="1"/>
    <col min="30" max="30" width="18.1796875" style="854" customWidth="1"/>
    <col min="31" max="31" width="20.26953125" style="860" customWidth="1"/>
    <col min="32" max="32" width="11.453125" style="858" customWidth="1"/>
    <col min="33" max="34" width="11.453125" style="861" customWidth="1"/>
    <col min="35" max="39" width="11.453125" style="858" customWidth="1"/>
    <col min="40" max="41" width="11.453125" style="861" customWidth="1"/>
    <col min="42" max="46" width="11.453125" style="858" customWidth="1"/>
    <col min="47" max="49" width="11.453125" style="861" customWidth="1"/>
    <col min="50" max="50" width="11.453125" style="858" customWidth="1"/>
    <col min="51" max="51" width="11.453125" style="861" customWidth="1"/>
    <col min="52" max="53" width="11.453125" style="858" customWidth="1"/>
    <col min="54" max="55" width="11.453125" style="861" customWidth="1"/>
    <col min="56" max="60" width="11.453125" style="858" customWidth="1"/>
    <col min="61" max="62" width="11.453125" style="861" customWidth="1"/>
    <col min="63" max="66" width="11.453125" style="858" customWidth="1"/>
    <col min="67" max="67" width="2.26953125" style="200" customWidth="1"/>
    <col min="68" max="69" width="39.54296875" style="862" customWidth="1"/>
    <col min="70" max="16384" width="9.453125" style="202"/>
  </cols>
  <sheetData>
    <row r="1" spans="1:69" ht="50.15" customHeight="1" thickTop="1" thickBot="1">
      <c r="A1" s="2829" t="s">
        <v>2442</v>
      </c>
      <c r="D1" s="2830"/>
      <c r="E1" s="2831"/>
      <c r="F1" s="2832"/>
      <c r="G1" s="2832"/>
      <c r="P1" s="2830"/>
      <c r="Q1" s="2830"/>
      <c r="R1" s="197"/>
      <c r="S1" s="2833"/>
      <c r="T1" s="2833"/>
      <c r="U1" s="2833"/>
      <c r="V1" s="2833"/>
      <c r="W1" s="2833"/>
      <c r="X1" s="2833"/>
      <c r="Y1" s="2833"/>
      <c r="Z1" s="2833"/>
      <c r="AA1" s="2834"/>
      <c r="AB1" s="2936"/>
      <c r="AC1" s="2936"/>
      <c r="AD1" s="2834"/>
      <c r="AE1" s="2835"/>
      <c r="AF1" s="2836"/>
      <c r="AG1" s="2837"/>
      <c r="AH1" s="2838"/>
      <c r="AI1" s="2836"/>
      <c r="AJ1" s="2836"/>
      <c r="AK1" s="2836"/>
      <c r="AL1" s="2836"/>
      <c r="AM1" s="2836"/>
      <c r="AN1" s="2837"/>
      <c r="AO1" s="2837"/>
      <c r="AP1" s="2836"/>
      <c r="AQ1" s="2836"/>
      <c r="AR1" s="2839"/>
      <c r="AS1" s="2839"/>
      <c r="AT1" s="2839"/>
      <c r="AU1" s="201"/>
      <c r="AV1" s="201"/>
      <c r="AW1" s="201"/>
      <c r="AX1" s="2839"/>
      <c r="AY1" s="201"/>
      <c r="AZ1" s="2839"/>
      <c r="BA1" s="2839"/>
      <c r="BB1" s="201"/>
      <c r="BC1" s="201"/>
      <c r="BD1" s="2839"/>
      <c r="BE1" s="2839"/>
      <c r="BF1" s="2839"/>
      <c r="BG1" s="2839"/>
      <c r="BH1" s="2839"/>
      <c r="BI1" s="201"/>
      <c r="BJ1" s="201"/>
      <c r="BK1" s="2839"/>
      <c r="BL1" s="6466" t="s">
        <v>2443</v>
      </c>
      <c r="BM1" s="6467"/>
      <c r="BN1" s="6468"/>
      <c r="BO1" s="2840"/>
      <c r="BP1" s="2841"/>
      <c r="BQ1" s="2841"/>
    </row>
    <row r="2" spans="1:69" ht="30.65" customHeight="1" thickTop="1" thickBot="1">
      <c r="A2" s="2842"/>
      <c r="D2" s="2843"/>
      <c r="E2" s="2831"/>
      <c r="F2" s="2832"/>
      <c r="G2" s="2832"/>
      <c r="P2" s="2843"/>
      <c r="Q2" s="2843"/>
      <c r="R2" s="197"/>
      <c r="V2" s="2839"/>
      <c r="Y2" s="2833"/>
      <c r="Z2" s="2833"/>
      <c r="AA2" s="2834"/>
      <c r="AB2" s="2936"/>
      <c r="AC2" s="2936"/>
      <c r="AD2" s="2834"/>
      <c r="AE2" s="2835"/>
      <c r="AF2" s="2836"/>
      <c r="AG2" s="2837"/>
      <c r="AH2" s="2837"/>
      <c r="AI2" s="2836"/>
      <c r="AJ2" s="2836"/>
      <c r="AK2" s="2836"/>
      <c r="AL2" s="2836"/>
      <c r="AM2" s="2836"/>
      <c r="AN2" s="2837"/>
      <c r="AO2" s="2837"/>
      <c r="AP2" s="2836"/>
      <c r="AQ2" s="2836"/>
      <c r="AR2" s="2836"/>
      <c r="AS2" s="2844"/>
      <c r="AT2" s="2844"/>
      <c r="AU2" s="2845" t="s">
        <v>2444</v>
      </c>
      <c r="AV2" s="2846"/>
      <c r="AW2" s="2846"/>
      <c r="AX2" s="2844"/>
      <c r="AY2" s="2846"/>
      <c r="AZ2" s="2844"/>
      <c r="BA2" s="2844"/>
      <c r="BB2" s="2837"/>
      <c r="BC2" s="2837"/>
      <c r="BD2" s="2836"/>
      <c r="BE2" s="2836"/>
      <c r="BF2" s="2836"/>
      <c r="BG2" s="2836"/>
      <c r="BH2" s="2836"/>
      <c r="BI2" s="2837"/>
      <c r="BJ2" s="2847" t="s">
        <v>2445</v>
      </c>
      <c r="BK2" s="2836"/>
      <c r="BL2" s="2836"/>
      <c r="BM2" s="2836"/>
      <c r="BN2" s="2848"/>
      <c r="BO2" s="2840"/>
      <c r="BP2" s="2849"/>
      <c r="BQ2" s="2849"/>
    </row>
    <row r="3" spans="1:69" s="214" customFormat="1" ht="35.15" customHeight="1" thickTop="1" thickBot="1">
      <c r="A3" s="6452" t="s">
        <v>2078</v>
      </c>
      <c r="B3" s="6393"/>
      <c r="C3" s="6395" t="s">
        <v>2079</v>
      </c>
      <c r="D3" s="6396" t="s">
        <v>2080</v>
      </c>
      <c r="E3" s="203" t="s">
        <v>2081</v>
      </c>
      <c r="F3" s="6397" t="s">
        <v>2082</v>
      </c>
      <c r="G3" s="6397"/>
      <c r="H3" s="6408" t="s">
        <v>2083</v>
      </c>
      <c r="I3" s="6408" t="s">
        <v>2084</v>
      </c>
      <c r="J3" s="6408" t="s">
        <v>2085</v>
      </c>
      <c r="K3" s="6408" t="s">
        <v>2086</v>
      </c>
      <c r="L3" s="6409" t="s">
        <v>2087</v>
      </c>
      <c r="M3" s="6410"/>
      <c r="N3" s="6411"/>
      <c r="O3" s="204" t="s">
        <v>2088</v>
      </c>
      <c r="P3" s="6463"/>
      <c r="Q3" s="6464"/>
      <c r="R3" s="2828"/>
      <c r="S3" s="6450" t="s">
        <v>2094</v>
      </c>
      <c r="T3" s="6381"/>
      <c r="U3" s="6381"/>
      <c r="V3" s="6381"/>
      <c r="W3" s="6381"/>
      <c r="X3" s="6451"/>
      <c r="Y3" s="6413" t="s">
        <v>2092</v>
      </c>
      <c r="Z3" s="6414" t="s">
        <v>2093</v>
      </c>
      <c r="AA3" s="6415" t="s">
        <v>2095</v>
      </c>
      <c r="AB3" s="6368" t="s">
        <v>2096</v>
      </c>
      <c r="AC3" s="6368" t="s">
        <v>2097</v>
      </c>
      <c r="AD3" s="6455" t="s">
        <v>2098</v>
      </c>
      <c r="AE3" s="6461" t="s">
        <v>2095</v>
      </c>
      <c r="AF3" s="205">
        <v>46269</v>
      </c>
      <c r="AG3" s="206">
        <v>46270</v>
      </c>
      <c r="AH3" s="206">
        <v>46271</v>
      </c>
      <c r="AI3" s="205">
        <v>46272</v>
      </c>
      <c r="AJ3" s="205">
        <v>46273</v>
      </c>
      <c r="AK3" s="205">
        <v>46274</v>
      </c>
      <c r="AL3" s="205">
        <v>46275</v>
      </c>
      <c r="AM3" s="205">
        <v>46276</v>
      </c>
      <c r="AN3" s="206">
        <v>46277</v>
      </c>
      <c r="AO3" s="206">
        <v>46278</v>
      </c>
      <c r="AP3" s="205">
        <v>46279</v>
      </c>
      <c r="AQ3" s="205">
        <v>46280</v>
      </c>
      <c r="AR3" s="205">
        <v>46281</v>
      </c>
      <c r="AS3" s="205">
        <v>46282</v>
      </c>
      <c r="AT3" s="207">
        <v>46283</v>
      </c>
      <c r="AU3" s="208">
        <v>46284</v>
      </c>
      <c r="AV3" s="209">
        <v>46285</v>
      </c>
      <c r="AW3" s="206">
        <v>46286</v>
      </c>
      <c r="AX3" s="205">
        <v>46287</v>
      </c>
      <c r="AY3" s="206">
        <v>46288</v>
      </c>
      <c r="AZ3" s="205">
        <v>46289</v>
      </c>
      <c r="BA3" s="205">
        <v>46290</v>
      </c>
      <c r="BB3" s="206">
        <v>46291</v>
      </c>
      <c r="BC3" s="206">
        <v>46292</v>
      </c>
      <c r="BD3" s="205">
        <v>46293</v>
      </c>
      <c r="BE3" s="205">
        <v>46294</v>
      </c>
      <c r="BF3" s="205">
        <v>46295</v>
      </c>
      <c r="BG3" s="205">
        <v>46296</v>
      </c>
      <c r="BH3" s="205">
        <v>46297</v>
      </c>
      <c r="BI3" s="210">
        <v>46298</v>
      </c>
      <c r="BJ3" s="208">
        <v>46299</v>
      </c>
      <c r="BK3" s="211">
        <v>46300</v>
      </c>
      <c r="BL3" s="205">
        <v>46301</v>
      </c>
      <c r="BM3" s="205">
        <v>46302</v>
      </c>
      <c r="BN3" s="212">
        <v>46303</v>
      </c>
      <c r="BO3" s="213"/>
      <c r="BP3" s="6387" t="s">
        <v>2099</v>
      </c>
      <c r="BQ3" s="6389" t="s">
        <v>2100</v>
      </c>
    </row>
    <row r="4" spans="1:69" s="245" customFormat="1" ht="50.5" customHeight="1" thickTop="1" thickBot="1">
      <c r="A4" s="215" t="s">
        <v>2101</v>
      </c>
      <c r="B4" s="2850" t="s">
        <v>2102</v>
      </c>
      <c r="C4" s="6395"/>
      <c r="D4" s="6396"/>
      <c r="E4" s="217" t="s">
        <v>2103</v>
      </c>
      <c r="F4" s="218" t="s">
        <v>2104</v>
      </c>
      <c r="G4" s="218" t="s">
        <v>2105</v>
      </c>
      <c r="H4" s="6408"/>
      <c r="I4" s="6408"/>
      <c r="J4" s="6408"/>
      <c r="K4" s="6408"/>
      <c r="L4" s="219" t="s">
        <v>2106</v>
      </c>
      <c r="M4" s="220" t="s">
        <v>2107</v>
      </c>
      <c r="N4" s="221" t="s">
        <v>2108</v>
      </c>
      <c r="O4" s="222" t="s">
        <v>2109</v>
      </c>
      <c r="P4" s="223">
        <v>12000</v>
      </c>
      <c r="Q4" s="223" t="s">
        <v>255</v>
      </c>
      <c r="R4" s="223">
        <v>12000</v>
      </c>
      <c r="S4" s="228" t="s">
        <v>2110</v>
      </c>
      <c r="T4" s="229" t="s">
        <v>2111</v>
      </c>
      <c r="U4" s="230" t="s">
        <v>2112</v>
      </c>
      <c r="V4" s="231" t="s">
        <v>2113</v>
      </c>
      <c r="W4" s="232" t="s">
        <v>2114</v>
      </c>
      <c r="X4" s="233" t="s">
        <v>2115</v>
      </c>
      <c r="Y4" s="6413"/>
      <c r="Z4" s="6414"/>
      <c r="AA4" s="6415"/>
      <c r="AB4" s="6369"/>
      <c r="AC4" s="6369"/>
      <c r="AD4" s="6456"/>
      <c r="AE4" s="6469"/>
      <c r="AF4" s="234" t="s">
        <v>2116</v>
      </c>
      <c r="AG4" s="235" t="s">
        <v>2117</v>
      </c>
      <c r="AH4" s="235" t="s">
        <v>2118</v>
      </c>
      <c r="AI4" s="234" t="s">
        <v>2119</v>
      </c>
      <c r="AJ4" s="234" t="s">
        <v>2120</v>
      </c>
      <c r="AK4" s="236" t="s">
        <v>2121</v>
      </c>
      <c r="AL4" s="236" t="s">
        <v>2122</v>
      </c>
      <c r="AM4" s="236" t="s">
        <v>2116</v>
      </c>
      <c r="AN4" s="237" t="s">
        <v>2117</v>
      </c>
      <c r="AO4" s="237" t="s">
        <v>2118</v>
      </c>
      <c r="AP4" s="236" t="s">
        <v>2123</v>
      </c>
      <c r="AQ4" s="236" t="s">
        <v>2124</v>
      </c>
      <c r="AR4" s="236" t="s">
        <v>2125</v>
      </c>
      <c r="AS4" s="236" t="s">
        <v>2126</v>
      </c>
      <c r="AT4" s="238" t="s">
        <v>2116</v>
      </c>
      <c r="AU4" s="239" t="s">
        <v>2117</v>
      </c>
      <c r="AV4" s="240" t="s">
        <v>2118</v>
      </c>
      <c r="AW4" s="237" t="s">
        <v>2123</v>
      </c>
      <c r="AX4" s="236" t="s">
        <v>2124</v>
      </c>
      <c r="AY4" s="237" t="s">
        <v>2125</v>
      </c>
      <c r="AZ4" s="236" t="s">
        <v>2126</v>
      </c>
      <c r="BA4" s="236" t="s">
        <v>2116</v>
      </c>
      <c r="BB4" s="237" t="s">
        <v>2117</v>
      </c>
      <c r="BC4" s="237" t="s">
        <v>2118</v>
      </c>
      <c r="BD4" s="236" t="s">
        <v>2123</v>
      </c>
      <c r="BE4" s="236" t="s">
        <v>2124</v>
      </c>
      <c r="BF4" s="236" t="s">
        <v>2125</v>
      </c>
      <c r="BG4" s="236" t="s">
        <v>2126</v>
      </c>
      <c r="BH4" s="236" t="s">
        <v>2116</v>
      </c>
      <c r="BI4" s="241" t="s">
        <v>2117</v>
      </c>
      <c r="BJ4" s="239" t="s">
        <v>2118</v>
      </c>
      <c r="BK4" s="242" t="s">
        <v>2123</v>
      </c>
      <c r="BL4" s="236" t="s">
        <v>2124</v>
      </c>
      <c r="BM4" s="236" t="s">
        <v>2125</v>
      </c>
      <c r="BN4" s="243" t="s">
        <v>2126</v>
      </c>
      <c r="BO4" s="244"/>
      <c r="BP4" s="6388"/>
      <c r="BQ4" s="6390"/>
    </row>
    <row r="5" spans="1:69" s="293" customFormat="1" ht="46" customHeight="1" thickTop="1">
      <c r="A5" s="2851" t="s">
        <v>2127</v>
      </c>
      <c r="B5" s="2852" t="s">
        <v>2128</v>
      </c>
      <c r="C5" s="248">
        <v>1</v>
      </c>
      <c r="D5" s="249" t="str">
        <f>IF(_xlfn.XLOOKUP(E5,[51]宿泊施設DB!$B$3:$B$206,[51]宿泊施設DB!$A$3:$A$206,"",)=0,"",_xlfn.XLOOKUP(E5,[51]宿泊施設DB!$B$3:$B$206,[51]宿泊施設DB!$A$3:$A$206,"",))</f>
        <v/>
      </c>
      <c r="E5" s="250" t="s">
        <v>2130</v>
      </c>
      <c r="F5" s="2853">
        <f>_xlfn.XLOOKUP($E5,[51]宿泊施設DB!$B$3:$B$206,[51]宿泊施設DB!$D$3:$D$206,"",)</f>
        <v>1500</v>
      </c>
      <c r="G5" s="2853">
        <f>_xlfn.XLOOKUP($E5,[51]宿泊施設DB!$B$3:$B$206,[51]宿泊施設DB!$E$3:$E$206,"",)</f>
        <v>3700</v>
      </c>
      <c r="H5" s="2854" t="str">
        <f>_xlfn.XLOOKUP($E5,[51]宿泊施設DB!$B$3:$B$206,[51]宿泊施設DB!$J$3:$J$206,"",)</f>
        <v>調査中</v>
      </c>
      <c r="I5" s="253" t="str">
        <f>_xlfn.XLOOKUP($E5,[51]宿泊施設DB!$B$3:$B$206,[51]宿泊施設DB!$T$3:$T$206,"",)</f>
        <v>調査中</v>
      </c>
      <c r="J5" s="2855" t="str">
        <f>_xlfn.XLOOKUP($E5,[51]宿泊施設DB!$B$3:$B$206,[51]宿泊施設DB!$R$3:$R$206,"",)</f>
        <v>宿泊施設</v>
      </c>
      <c r="K5" s="255" t="str">
        <f>_xlfn.XLOOKUP($E5,[51]宿泊施設DB!$B$3:$B$206,[51]宿泊施設DB!$S$3:$S$206,"",)</f>
        <v>調査中</v>
      </c>
      <c r="L5" s="2856" t="str">
        <f>_xlfn.XLOOKUP($E5,[51]宿泊施設DB!$B$3:$B$206,[51]宿泊施設DB!$U$3:$U$206,"",)</f>
        <v>○</v>
      </c>
      <c r="M5" s="2856" t="str">
        <f>_xlfn.XLOOKUP($E5,[51]宿泊施設DB!$B$3:$B$206,[51]宿泊施設DB!$V$3:$V$206,"",)</f>
        <v>○</v>
      </c>
      <c r="N5" s="2856" t="str">
        <f>_xlfn.XLOOKUP($E5,[51]宿泊施設DB!$B$3:$B$206,[51]宿泊施設DB!$W$3:$W$206,"",)</f>
        <v>－</v>
      </c>
      <c r="O5" s="2857" t="s">
        <v>2135</v>
      </c>
      <c r="P5" s="2858" t="str">
        <f t="shared" ref="P5:P21" si="0">IF(AND(E5&lt;&gt;"", S5&lt;&gt;"－"), "○", "")</f>
        <v>○</v>
      </c>
      <c r="Q5" s="2858"/>
      <c r="R5" s="248" t="s">
        <v>2136</v>
      </c>
      <c r="S5" s="268" t="s">
        <v>2137</v>
      </c>
      <c r="T5" s="269" t="str">
        <f>IFERROR(VLOOKUP($S5,'[51]競技情報DB(12,000人ver)'!$A$6:$D$201,2,),"－")</f>
        <v>名古屋市</v>
      </c>
      <c r="U5" s="270">
        <f>_xlfn.XLOOKUP(S5,'[51]競技情報DB(12,000人ver)'!$A$6:$A$99,'[51]競技情報DB(12,000人ver)'!$D$6:$D$99,"",0,)</f>
        <v>806</v>
      </c>
      <c r="V5" s="271">
        <f>SUM(U5:U24)</f>
        <v>3865</v>
      </c>
      <c r="W5" s="272">
        <v>23.1</v>
      </c>
      <c r="X5" s="273">
        <v>29</v>
      </c>
      <c r="Y5" s="274">
        <f>$G5-MAX(AF5:BN5)</f>
        <v>3</v>
      </c>
      <c r="Z5" s="267">
        <f>+Y5/$G5</f>
        <v>8.1081081081081077E-4</v>
      </c>
      <c r="AA5" s="275" t="str">
        <f>E5&amp;"　"&amp;"合計"</f>
        <v>【ホテルシップ】　合計</v>
      </c>
      <c r="AB5" s="2939">
        <v>45551</v>
      </c>
      <c r="AC5" s="2939">
        <v>45572</v>
      </c>
      <c r="AD5" s="2943">
        <v>21</v>
      </c>
      <c r="AE5" s="320" t="s">
        <v>2143</v>
      </c>
      <c r="AF5" s="321">
        <f>+_xlfn.XLOOKUP($AA5,'[51]②配宿シュミレーション(12,000人ver)'!$AO$6:$AO$674,'[51]②配宿シュミレーション(12,000人ver)'!AP$6:AP$674,)</f>
        <v>0</v>
      </c>
      <c r="AG5" s="321">
        <f>+_xlfn.XLOOKUP($AA5,'[51]②配宿シュミレーション(12,000人ver)'!$AO$6:$AO$674,'[51]②配宿シュミレーション(12,000人ver)'!AQ$6:AQ$674,)</f>
        <v>0</v>
      </c>
      <c r="AH5" s="321">
        <f>+_xlfn.XLOOKUP($AA5,'[51]②配宿シュミレーション(12,000人ver)'!$AO$6:$AO$674,'[51]②配宿シュミレーション(12,000人ver)'!AR$6:AR$674,)</f>
        <v>0</v>
      </c>
      <c r="AI5" s="321">
        <f>+_xlfn.XLOOKUP($AA5,'[51]②配宿シュミレーション(12,000人ver)'!$AO$6:$AO$674,'[51]②配宿シュミレーション(12,000人ver)'!AS$6:AS$674,)</f>
        <v>0</v>
      </c>
      <c r="AJ5" s="321">
        <f>+_xlfn.XLOOKUP($AA5,'[51]②配宿シュミレーション(12,000人ver)'!$AO$6:$AO$674,'[51]②配宿シュミレーション(12,000人ver)'!AT$6:AT$674,)</f>
        <v>0</v>
      </c>
      <c r="AK5" s="321">
        <f>+_xlfn.XLOOKUP($AA5,'[51]②配宿シュミレーション(12,000人ver)'!$AO$6:$AO$674,'[51]②配宿シュミレーション(12,000人ver)'!AU$6:AU$674,)</f>
        <v>0</v>
      </c>
      <c r="AL5" s="321">
        <f>+_xlfn.XLOOKUP($AA5,'[51]②配宿シュミレーション(12,000人ver)'!$AO$6:$AO$674,'[51]②配宿シュミレーション(12,000人ver)'!AV$6:AV$674,)</f>
        <v>0</v>
      </c>
      <c r="AM5" s="321">
        <f>+_xlfn.XLOOKUP($AA5,'[51]②配宿シュミレーション(12,000人ver)'!$AO$6:$AO$674,'[51]②配宿シュミレーション(12,000人ver)'!AW$6:AW$674,)</f>
        <v>0</v>
      </c>
      <c r="AN5" s="321">
        <f>+_xlfn.XLOOKUP($AA5,'[51]②配宿シュミレーション(12,000人ver)'!$AO$6:$AO$674,'[51]②配宿シュミレーション(12,000人ver)'!AX$6:AX$674,)</f>
        <v>0</v>
      </c>
      <c r="AO5" s="321">
        <f>+_xlfn.XLOOKUP($AA5,'[51]②配宿シュミレーション(12,000人ver)'!$AO$6:$AO$674,'[51]②配宿シュミレーション(12,000人ver)'!AY$6:AY$674,)</f>
        <v>0</v>
      </c>
      <c r="AP5" s="321">
        <f>+_xlfn.XLOOKUP($AA5,'[51]②配宿シュミレーション(12,000人ver)'!$AO$6:$AO$674,'[51]②配宿シュミレーション(12,000人ver)'!AZ$6:AZ$674,)</f>
        <v>0</v>
      </c>
      <c r="AQ5" s="321">
        <f>+_xlfn.XLOOKUP($AA5,'[51]②配宿シュミレーション(12,000人ver)'!$AO$6:$AO$674,'[51]②配宿シュミレーション(12,000人ver)'!BA$6:BA$674,)</f>
        <v>0</v>
      </c>
      <c r="AR5" s="2859" t="s">
        <v>2446</v>
      </c>
      <c r="AS5" s="2860" t="s">
        <v>2447</v>
      </c>
      <c r="AT5" s="321">
        <f>+_xlfn.XLOOKUP($AA5,'[51]②配宿シュミレーション(12,000人ver)'!$AO$6:$AO$674,'[51]②配宿シュミレーション(12,000人ver)'!BD$6:BD$674,)</f>
        <v>293</v>
      </c>
      <c r="AU5" s="321">
        <f>+_xlfn.XLOOKUP($AA5,'[51]②配宿シュミレーション(12,000人ver)'!$AO$6:$AO$674,'[51]②配宿シュミレーション(12,000人ver)'!BE$6:BE$674,)</f>
        <v>293</v>
      </c>
      <c r="AV5" s="321">
        <f>+_xlfn.XLOOKUP($AA5,'[51]②配宿シュミレーション(12,000人ver)'!$AO$6:$AO$674,'[51]②配宿シュミレーション(12,000人ver)'!BF$6:BF$674,)</f>
        <v>695</v>
      </c>
      <c r="AW5" s="321">
        <f>+_xlfn.XLOOKUP($AA5,'[51]②配宿シュミレーション(12,000人ver)'!$AO$6:$AO$674,'[51]②配宿シュミレーション(12,000人ver)'!BG$6:BG$674,)</f>
        <v>2065</v>
      </c>
      <c r="AX5" s="321">
        <f>+_xlfn.XLOOKUP($AA5,'[51]②配宿シュミレーション(12,000人ver)'!$AO$6:$AO$674,'[51]②配宿シュミレーション(12,000人ver)'!BH$6:BH$674,)</f>
        <v>2393</v>
      </c>
      <c r="AY5" s="321">
        <f>+_xlfn.XLOOKUP($AA5,'[51]②配宿シュミレーション(12,000人ver)'!$AO$6:$AO$674,'[51]②配宿シュミレーション(12,000人ver)'!BI$6:BI$674,)</f>
        <v>2717</v>
      </c>
      <c r="AZ5" s="321">
        <f>+_xlfn.XLOOKUP($AA5,'[51]②配宿シュミレーション(12,000人ver)'!$AO$6:$AO$674,'[51]②配宿シュミレーション(12,000人ver)'!BJ$6:BJ$674,)</f>
        <v>2857</v>
      </c>
      <c r="BA5" s="321">
        <f>+_xlfn.XLOOKUP($AA5,'[51]②配宿シュミレーション(12,000人ver)'!$AO$6:$AO$674,'[51]②配宿シュミレーション(12,000人ver)'!BK$6:BK$674,)</f>
        <v>2857</v>
      </c>
      <c r="BB5" s="321">
        <f>+_xlfn.XLOOKUP($AA5,'[51]②配宿シュミレーション(12,000人ver)'!$AO$6:$AO$674,'[51]②配宿シュミレーション(12,000人ver)'!BL$6:BL$674,)</f>
        <v>2857</v>
      </c>
      <c r="BC5" s="321">
        <f>+_xlfn.XLOOKUP($AA5,'[51]②配宿シュミレーション(12,000人ver)'!$AO$6:$AO$674,'[51]②配宿シュミレーション(12,000人ver)'!BM$6:BM$674,)</f>
        <v>3451</v>
      </c>
      <c r="BD5" s="321">
        <f>+_xlfn.XLOOKUP($AA5,'[51]②配宿シュミレーション(12,000人ver)'!$AO$6:$AO$674,'[51]②配宿シュミレーション(12,000人ver)'!BN$6:BN$674,)</f>
        <v>3697</v>
      </c>
      <c r="BE5" s="321">
        <f>+_xlfn.XLOOKUP($AA5,'[51]②配宿シュミレーション(12,000人ver)'!$AO$6:$AO$674,'[51]②配宿シュミレーション(12,000人ver)'!BO$6:BO$674,)</f>
        <v>3042</v>
      </c>
      <c r="BF5" s="321">
        <f>+_xlfn.XLOOKUP($AA5,'[51]②配宿シュミレーション(12,000人ver)'!$AO$6:$AO$674,'[51]②配宿シュミレーション(12,000人ver)'!BP$6:BP$674,)</f>
        <v>3149</v>
      </c>
      <c r="BG5" s="321">
        <f>+_xlfn.XLOOKUP($AA5,'[51]②配宿シュミレーション(12,000人ver)'!$AO$6:$AO$674,'[51]②配宿シュミレーション(12,000人ver)'!BQ$6:BQ$674,)</f>
        <v>1711</v>
      </c>
      <c r="BH5" s="321">
        <f>+_xlfn.XLOOKUP($AA5,'[51]②配宿シュミレーション(12,000人ver)'!$AO$6:$AO$674,'[51]②配宿シュミレーション(12,000人ver)'!BR$6:BR$674,)</f>
        <v>1711</v>
      </c>
      <c r="BI5" s="321">
        <f>+_xlfn.XLOOKUP($AA5,'[51]②配宿シュミレーション(12,000人ver)'!$AO$6:$AO$674,'[51]②配宿シュミレーション(12,000人ver)'!BS$6:BS$674,)</f>
        <v>1711</v>
      </c>
      <c r="BJ5" s="321">
        <f>+_xlfn.XLOOKUP($AA5,'[51]②配宿シュミレーション(12,000人ver)'!$AO$6:$AO$674,'[51]②配宿シュミレーション(12,000人ver)'!BT$6:BT$674,)</f>
        <v>1621</v>
      </c>
      <c r="BK5" s="321">
        <f>+_xlfn.XLOOKUP($AA5,'[51]②配宿シュミレーション(12,000人ver)'!$AO$6:$AO$674,'[51]②配宿シュミレーション(12,000人ver)'!BU$6:BU$674,)</f>
        <v>13</v>
      </c>
      <c r="BL5" s="2861" t="s">
        <v>2448</v>
      </c>
      <c r="BM5" s="2859" t="s">
        <v>2449</v>
      </c>
      <c r="BN5" s="507">
        <f>+_xlfn.XLOOKUP($AA5,'[51]②配宿シュミレーション(12,000人ver)'!$AO$6:$AO$674,'[51]②配宿シュミレーション(12,000人ver)'!BX$6:BX$674,)</f>
        <v>0</v>
      </c>
      <c r="BO5" s="290"/>
      <c r="BP5" s="291"/>
      <c r="BQ5" s="292"/>
    </row>
    <row r="6" spans="1:69" ht="46" customHeight="1">
      <c r="A6" s="2862"/>
      <c r="B6" s="2863"/>
      <c r="C6" s="296"/>
      <c r="D6" s="297" t="str">
        <f>IF(_xlfn.XLOOKUP(E6,[51]宿泊施設DB!$B$3:$B$206,[51]宿泊施設DB!$A$3:$A$206,"",)=0,"",_xlfn.XLOOKUP(E6,[51]宿泊施設DB!$B$3:$B$206,[51]宿泊施設DB!$A$3:$A$206,"",))</f>
        <v/>
      </c>
      <c r="E6" s="298"/>
      <c r="F6" s="2864">
        <f>_xlfn.XLOOKUP($E6,[51]宿泊施設DB!$B$3:$B$206,[51]宿泊施設DB!$D$3:$D$206,"",)</f>
        <v>0</v>
      </c>
      <c r="G6" s="2864">
        <f>_xlfn.XLOOKUP($E6,[51]宿泊施設DB!$B$3:$B$206,[51]宿泊施設DB!$E$3:$E$206,"",)</f>
        <v>0</v>
      </c>
      <c r="H6" s="2865">
        <f>_xlfn.XLOOKUP($E6,[51]宿泊施設DB!$B$3:$B$206,[51]宿泊施設DB!$J$3:$J$206,"",)</f>
        <v>0</v>
      </c>
      <c r="I6" s="2866">
        <f>_xlfn.XLOOKUP($E6,[51]宿泊施設DB!$B$3:$B$206,[51]宿泊施設DB!$T$3:$T$206,"",)</f>
        <v>0</v>
      </c>
      <c r="J6" s="2866">
        <f>_xlfn.XLOOKUP($E6,[51]宿泊施設DB!$B$3:$B$206,[51]宿泊施設DB!$R$3:$R$206,"",)</f>
        <v>0</v>
      </c>
      <c r="K6" s="2865">
        <f>_xlfn.XLOOKUP($E6,[51]宿泊施設DB!$B$3:$B$206,[51]宿泊施設DB!$S$3:$S$206,"",)</f>
        <v>0</v>
      </c>
      <c r="L6" s="2866">
        <f>_xlfn.XLOOKUP($E6,[51]宿泊施設DB!$B$3:$B$206,[51]宿泊施設DB!$U$3:$U$206,"",)</f>
        <v>0</v>
      </c>
      <c r="M6" s="2866">
        <f>_xlfn.XLOOKUP($E6,[51]宿泊施設DB!$B$3:$B$206,[51]宿泊施設DB!$V$3:$V$206,"",)</f>
        <v>0</v>
      </c>
      <c r="N6" s="2866">
        <f>_xlfn.XLOOKUP($E6,[51]宿泊施設DB!$B$3:$B$206,[51]宿泊施設DB!$W$3:$W$206,"",)</f>
        <v>0</v>
      </c>
      <c r="O6" s="2866" t="str">
        <f>IFERROR(VLOOKUP(E6,#REF!,3,),"")</f>
        <v/>
      </c>
      <c r="P6" s="302" t="str">
        <f t="shared" si="0"/>
        <v/>
      </c>
      <c r="Q6" s="302"/>
      <c r="R6" s="296"/>
      <c r="S6" s="312" t="s">
        <v>2141</v>
      </c>
      <c r="T6" s="313" t="str">
        <f>IFERROR(VLOOKUP($S6,'[51]競技情報DB(12,000人ver)'!$A$6:$D$201,2,),"－")</f>
        <v>三好市</v>
      </c>
      <c r="U6" s="314">
        <f>_xlfn.XLOOKUP(S6,'[51]競技情報DB(12,000人ver)'!$A$6:$A$99,'[51]競技情報DB(12,000人ver)'!$D$6:$D$99,"",0,)</f>
        <v>225</v>
      </c>
      <c r="V6" s="315"/>
      <c r="W6" s="316">
        <v>31.4</v>
      </c>
      <c r="X6" s="317">
        <v>40</v>
      </c>
      <c r="Y6" s="318"/>
      <c r="Z6" s="311"/>
      <c r="AA6" s="319"/>
      <c r="AB6" s="2944"/>
      <c r="AC6" s="2944"/>
      <c r="AD6" s="2945"/>
      <c r="AE6" s="320"/>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21"/>
      <c r="BJ6" s="321"/>
      <c r="BK6" s="321"/>
      <c r="BL6" s="321"/>
      <c r="BM6" s="321"/>
      <c r="BN6" s="507"/>
      <c r="BO6" s="290"/>
      <c r="BP6" s="332"/>
      <c r="BQ6" s="333"/>
    </row>
    <row r="7" spans="1:69" ht="46" customHeight="1">
      <c r="A7" s="2862"/>
      <c r="B7" s="2863"/>
      <c r="C7" s="296"/>
      <c r="D7" s="297" t="str">
        <f>IF(_xlfn.XLOOKUP(E7,[51]宿泊施設DB!$B$3:$B$206,[51]宿泊施設DB!$A$3:$A$206,"",)=0,"",_xlfn.XLOOKUP(E7,[51]宿泊施設DB!$B$3:$B$206,[51]宿泊施設DB!$A$3:$A$206,"",))</f>
        <v/>
      </c>
      <c r="E7" s="298"/>
      <c r="F7" s="2864">
        <f>_xlfn.XLOOKUP($E7,[51]宿泊施設DB!$B$3:$B$206,[51]宿泊施設DB!$D$3:$D$206,"",)</f>
        <v>0</v>
      </c>
      <c r="G7" s="2864">
        <f>_xlfn.XLOOKUP($E7,[51]宿泊施設DB!$B$3:$B$206,[51]宿泊施設DB!$E$3:$E$206,"",)</f>
        <v>0</v>
      </c>
      <c r="H7" s="2865">
        <f>_xlfn.XLOOKUP($E7,[51]宿泊施設DB!$B$3:$B$206,[51]宿泊施設DB!$J$3:$J$206,"",)</f>
        <v>0</v>
      </c>
      <c r="I7" s="2866">
        <f>_xlfn.XLOOKUP($E7,[51]宿泊施設DB!$B$3:$B$206,[51]宿泊施設DB!$T$3:$T$206,"",)</f>
        <v>0</v>
      </c>
      <c r="J7" s="2866">
        <f>_xlfn.XLOOKUP($E7,[51]宿泊施設DB!$B$3:$B$206,[51]宿泊施設DB!$R$3:$R$206,"",)</f>
        <v>0</v>
      </c>
      <c r="K7" s="2865">
        <f>_xlfn.XLOOKUP($E7,[51]宿泊施設DB!$B$3:$B$206,[51]宿泊施設DB!$S$3:$S$206,"",)</f>
        <v>0</v>
      </c>
      <c r="L7" s="2866">
        <f>_xlfn.XLOOKUP($E7,[51]宿泊施設DB!$B$3:$B$206,[51]宿泊施設DB!$U$3:$U$206,"",)</f>
        <v>0</v>
      </c>
      <c r="M7" s="2866">
        <f>_xlfn.XLOOKUP($E7,[51]宿泊施設DB!$B$3:$B$206,[51]宿泊施設DB!$V$3:$V$206,"",)</f>
        <v>0</v>
      </c>
      <c r="N7" s="2866">
        <f>_xlfn.XLOOKUP($E7,[51]宿泊施設DB!$B$3:$B$206,[51]宿泊施設DB!$W$3:$W$206,"",)</f>
        <v>0</v>
      </c>
      <c r="O7" s="2866" t="str">
        <f>IFERROR(VLOOKUP(E7,#REF!,3,),"")</f>
        <v/>
      </c>
      <c r="P7" s="302" t="str">
        <f t="shared" si="0"/>
        <v/>
      </c>
      <c r="Q7" s="302"/>
      <c r="R7" s="296"/>
      <c r="S7" s="312" t="s">
        <v>2156</v>
      </c>
      <c r="T7" s="313" t="str">
        <f>IFERROR(VLOOKUP($S7,'[51]競技情報DB(12,000人ver)'!$A$6:$D$201,2,),"－")</f>
        <v>名古屋市</v>
      </c>
      <c r="U7" s="314">
        <f>_xlfn.XLOOKUP(S7,'[51]競技情報DB(12,000人ver)'!$A$6:$A$99,'[51]競技情報DB(12,000人ver)'!$D$6:$D$99,"",0,)</f>
        <v>39</v>
      </c>
      <c r="V7" s="315"/>
      <c r="W7" s="316">
        <v>32.700000000000003</v>
      </c>
      <c r="X7" s="317">
        <v>30</v>
      </c>
      <c r="Y7" s="318"/>
      <c r="Z7" s="311"/>
      <c r="AA7" s="334"/>
      <c r="AB7" s="2939"/>
      <c r="AC7" s="2939"/>
      <c r="AD7" s="2943"/>
      <c r="AE7" s="335"/>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6"/>
      <c r="BK7" s="336"/>
      <c r="BL7" s="336"/>
      <c r="BM7" s="336"/>
      <c r="BN7" s="340"/>
      <c r="BO7" s="290"/>
      <c r="BP7" s="332"/>
      <c r="BQ7" s="333"/>
    </row>
    <row r="8" spans="1:69" ht="46" customHeight="1" thickBot="1">
      <c r="A8" s="2862"/>
      <c r="B8" s="2863"/>
      <c r="C8" s="296"/>
      <c r="D8" s="297" t="str">
        <f>IF(_xlfn.XLOOKUP(E8,[51]宿泊施設DB!$B$3:$B$206,[51]宿泊施設DB!$A$3:$A$206,"",)=0,"",_xlfn.XLOOKUP(E8,[51]宿泊施設DB!$B$3:$B$206,[51]宿泊施設DB!$A$3:$A$206,"",))</f>
        <v/>
      </c>
      <c r="E8" s="298"/>
      <c r="F8" s="2864">
        <f>_xlfn.XLOOKUP($E8,[51]宿泊施設DB!$B$3:$B$206,[51]宿泊施設DB!$D$3:$D$206,"",)</f>
        <v>0</v>
      </c>
      <c r="G8" s="2864">
        <f>_xlfn.XLOOKUP($E8,[51]宿泊施設DB!$B$3:$B$206,[51]宿泊施設DB!$E$3:$E$206,"",)</f>
        <v>0</v>
      </c>
      <c r="H8" s="2865">
        <f>_xlfn.XLOOKUP($E8,[51]宿泊施設DB!$B$3:$B$206,[51]宿泊施設DB!$J$3:$J$206,"",)</f>
        <v>0</v>
      </c>
      <c r="I8" s="2866">
        <f>_xlfn.XLOOKUP($E8,[51]宿泊施設DB!$B$3:$B$206,[51]宿泊施設DB!$T$3:$T$206,"",)</f>
        <v>0</v>
      </c>
      <c r="J8" s="2866">
        <f>_xlfn.XLOOKUP($E8,[51]宿泊施設DB!$B$3:$B$206,[51]宿泊施設DB!$R$3:$R$206,"",)</f>
        <v>0</v>
      </c>
      <c r="K8" s="2865">
        <f>_xlfn.XLOOKUP($E8,[51]宿泊施設DB!$B$3:$B$206,[51]宿泊施設DB!$S$3:$S$206,"",)</f>
        <v>0</v>
      </c>
      <c r="L8" s="2866">
        <f>_xlfn.XLOOKUP($E8,[51]宿泊施設DB!$B$3:$B$206,[51]宿泊施設DB!$U$3:$U$206,"",)</f>
        <v>0</v>
      </c>
      <c r="M8" s="2866">
        <f>_xlfn.XLOOKUP($E8,[51]宿泊施設DB!$B$3:$B$206,[51]宿泊施設DB!$V$3:$V$206,"",)</f>
        <v>0</v>
      </c>
      <c r="N8" s="2866">
        <f>_xlfn.XLOOKUP($E8,[51]宿泊施設DB!$B$3:$B$206,[51]宿泊施設DB!$W$3:$W$206,"",)</f>
        <v>0</v>
      </c>
      <c r="O8" s="2866" t="str">
        <f>IFERROR(VLOOKUP(E8,#REF!,3,),"")</f>
        <v/>
      </c>
      <c r="P8" s="302" t="str">
        <f t="shared" si="0"/>
        <v/>
      </c>
      <c r="Q8" s="302"/>
      <c r="R8" s="296"/>
      <c r="S8" s="312" t="s">
        <v>2155</v>
      </c>
      <c r="T8" s="313" t="str">
        <f>IFERROR(VLOOKUP($S8,'[51]競技情報DB(12,000人ver)'!$A$6:$D$201,2,),"－")</f>
        <v>名古屋市</v>
      </c>
      <c r="U8" s="314">
        <f>_xlfn.XLOOKUP(S8,'[51]競技情報DB(12,000人ver)'!$A$6:$A$99,'[51]競技情報DB(12,000人ver)'!$D$6:$D$99,"",0,)</f>
        <v>22</v>
      </c>
      <c r="V8" s="315"/>
      <c r="W8" s="316">
        <v>21.89</v>
      </c>
      <c r="X8" s="317">
        <v>28</v>
      </c>
      <c r="Y8" s="318"/>
      <c r="Z8" s="311"/>
      <c r="AA8" s="334"/>
      <c r="AB8" s="2939"/>
      <c r="AC8" s="2939"/>
      <c r="AD8" s="2943"/>
      <c r="AE8" s="335"/>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6"/>
      <c r="BD8" s="336"/>
      <c r="BE8" s="336"/>
      <c r="BF8" s="336"/>
      <c r="BG8" s="336"/>
      <c r="BH8" s="336"/>
      <c r="BI8" s="336"/>
      <c r="BJ8" s="336"/>
      <c r="BK8" s="336"/>
      <c r="BL8" s="336"/>
      <c r="BM8" s="336"/>
      <c r="BN8" s="340"/>
      <c r="BO8" s="290"/>
      <c r="BP8" s="332"/>
      <c r="BQ8" s="333"/>
    </row>
    <row r="9" spans="1:69" s="341" customFormat="1" ht="46" customHeight="1">
      <c r="A9" s="2862"/>
      <c r="B9" s="2863"/>
      <c r="C9" s="296"/>
      <c r="D9" s="297" t="str">
        <f>IF(_xlfn.XLOOKUP(E9,[51]宿泊施設DB!$B$3:$B$206,[51]宿泊施設DB!$A$3:$A$206,"",)=0,"",_xlfn.XLOOKUP(E9,[51]宿泊施設DB!$B$3:$B$206,[51]宿泊施設DB!$A$3:$A$206,"",))</f>
        <v/>
      </c>
      <c r="E9" s="298"/>
      <c r="F9" s="2864">
        <f>_xlfn.XLOOKUP($E9,[51]宿泊施設DB!$B$3:$B$206,[51]宿泊施設DB!$D$3:$D$206,"",)</f>
        <v>0</v>
      </c>
      <c r="G9" s="2864">
        <f>_xlfn.XLOOKUP($E9,[51]宿泊施設DB!$B$3:$B$206,[51]宿泊施設DB!$E$3:$E$206,"",)</f>
        <v>0</v>
      </c>
      <c r="H9" s="2865">
        <f>_xlfn.XLOOKUP($E9,[51]宿泊施設DB!$B$3:$B$206,[51]宿泊施設DB!$J$3:$J$206,"",)</f>
        <v>0</v>
      </c>
      <c r="I9" s="2866">
        <f>_xlfn.XLOOKUP($E9,[51]宿泊施設DB!$B$3:$B$206,[51]宿泊施設DB!$T$3:$T$206,"",)</f>
        <v>0</v>
      </c>
      <c r="J9" s="2866">
        <f>_xlfn.XLOOKUP($E9,[51]宿泊施設DB!$B$3:$B$206,[51]宿泊施設DB!$R$3:$R$206,"",)</f>
        <v>0</v>
      </c>
      <c r="K9" s="2865">
        <f>_xlfn.XLOOKUP($E9,[51]宿泊施設DB!$B$3:$B$206,[51]宿泊施設DB!$S$3:$S$206,"",)</f>
        <v>0</v>
      </c>
      <c r="L9" s="2866">
        <f>_xlfn.XLOOKUP($E9,[51]宿泊施設DB!$B$3:$B$206,[51]宿泊施設DB!$U$3:$U$206,"",)</f>
        <v>0</v>
      </c>
      <c r="M9" s="2866">
        <f>_xlfn.XLOOKUP($E9,[51]宿泊施設DB!$B$3:$B$206,[51]宿泊施設DB!$V$3:$V$206,"",)</f>
        <v>0</v>
      </c>
      <c r="N9" s="2866">
        <f>_xlfn.XLOOKUP($E9,[51]宿泊施設DB!$B$3:$B$206,[51]宿泊施設DB!$W$3:$W$206,"",)</f>
        <v>0</v>
      </c>
      <c r="O9" s="2866"/>
      <c r="P9" s="302" t="str">
        <f t="shared" si="0"/>
        <v/>
      </c>
      <c r="Q9" s="302"/>
      <c r="R9" s="296"/>
      <c r="S9" s="312" t="s">
        <v>2188</v>
      </c>
      <c r="T9" s="313" t="str">
        <f>IFERROR(VLOOKUP($S9,'[51]競技情報DB(12,000人ver)'!$A$6:$D$201,2,),"－")</f>
        <v>名古屋市</v>
      </c>
      <c r="U9" s="314">
        <f>_xlfn.XLOOKUP(S9,'[51]競技情報DB(12,000人ver)'!$A$6:$A$99,'[51]競技情報DB(12,000人ver)'!$D$6:$D$99,"",0,)</f>
        <v>134</v>
      </c>
      <c r="V9" s="315"/>
      <c r="W9" s="316">
        <v>12.9</v>
      </c>
      <c r="X9" s="317">
        <v>21</v>
      </c>
      <c r="Y9" s="318"/>
      <c r="Z9" s="311"/>
      <c r="AA9" s="334"/>
      <c r="AB9" s="2939"/>
      <c r="AC9" s="2939"/>
      <c r="AD9" s="2943"/>
      <c r="AE9" s="335"/>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40"/>
      <c r="BO9" s="290"/>
      <c r="BP9" s="332"/>
      <c r="BQ9" s="333"/>
    </row>
    <row r="10" spans="1:69" ht="46" customHeight="1">
      <c r="A10" s="2862"/>
      <c r="B10" s="2863"/>
      <c r="C10" s="296"/>
      <c r="D10" s="297" t="str">
        <f>IF(_xlfn.XLOOKUP(E10,[51]宿泊施設DB!$B$3:$B$206,[51]宿泊施設DB!$A$3:$A$206,"",)=0,"",_xlfn.XLOOKUP(E10,[51]宿泊施設DB!$B$3:$B$206,[51]宿泊施設DB!$A$3:$A$206,"",))</f>
        <v/>
      </c>
      <c r="E10" s="298"/>
      <c r="F10" s="2864">
        <f>_xlfn.XLOOKUP($E10,[51]宿泊施設DB!$B$3:$B$206,[51]宿泊施設DB!$D$3:$D$206,"",)</f>
        <v>0</v>
      </c>
      <c r="G10" s="2864">
        <f>_xlfn.XLOOKUP($E10,[51]宿泊施設DB!$B$3:$B$206,[51]宿泊施設DB!$E$3:$E$206,"",)</f>
        <v>0</v>
      </c>
      <c r="H10" s="2865">
        <f>_xlfn.XLOOKUP($E10,[51]宿泊施設DB!$B$3:$B$206,[51]宿泊施設DB!$J$3:$J$206,"",)</f>
        <v>0</v>
      </c>
      <c r="I10" s="2866">
        <f>_xlfn.XLOOKUP($E10,[51]宿泊施設DB!$B$3:$B$206,[51]宿泊施設DB!$T$3:$T$206,"",)</f>
        <v>0</v>
      </c>
      <c r="J10" s="2866">
        <f>_xlfn.XLOOKUP($E10,[51]宿泊施設DB!$B$3:$B$206,[51]宿泊施設DB!$R$3:$R$206,"",)</f>
        <v>0</v>
      </c>
      <c r="K10" s="2865">
        <f>_xlfn.XLOOKUP($E10,[51]宿泊施設DB!$B$3:$B$206,[51]宿泊施設DB!$S$3:$S$206,"",)</f>
        <v>0</v>
      </c>
      <c r="L10" s="2866">
        <f>_xlfn.XLOOKUP($E10,[51]宿泊施設DB!$B$3:$B$206,[51]宿泊施設DB!$U$3:$U$206,"",)</f>
        <v>0</v>
      </c>
      <c r="M10" s="2866">
        <f>_xlfn.XLOOKUP($E10,[51]宿泊施設DB!$B$3:$B$206,[51]宿泊施設DB!$V$3:$V$206,"",)</f>
        <v>0</v>
      </c>
      <c r="N10" s="2866">
        <f>_xlfn.XLOOKUP($E10,[51]宿泊施設DB!$B$3:$B$206,[51]宿泊施設DB!$W$3:$W$206,"",)</f>
        <v>0</v>
      </c>
      <c r="O10" s="2866"/>
      <c r="P10" s="302" t="str">
        <f t="shared" si="0"/>
        <v/>
      </c>
      <c r="Q10" s="302"/>
      <c r="R10" s="296"/>
      <c r="S10" s="312" t="s">
        <v>2146</v>
      </c>
      <c r="T10" s="313" t="str">
        <f>IFERROR(VLOOKUP($S10,'[51]競技情報DB(12,000人ver)'!$A$6:$D$201,2,),"－")</f>
        <v>名古屋市</v>
      </c>
      <c r="U10" s="314">
        <f>_xlfn.XLOOKUP(S10,'[51]競技情報DB(12,000人ver)'!$A$6:$A$99,'[51]競技情報DB(12,000人ver)'!$D$6:$D$99,"",0,)</f>
        <v>283</v>
      </c>
      <c r="V10" s="315"/>
      <c r="W10" s="316">
        <v>28.1</v>
      </c>
      <c r="X10" s="317">
        <v>28</v>
      </c>
      <c r="Y10" s="318"/>
      <c r="Z10" s="311"/>
      <c r="AA10" s="334"/>
      <c r="AB10" s="2939"/>
      <c r="AC10" s="2939"/>
      <c r="AD10" s="2943"/>
      <c r="AE10" s="335"/>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40"/>
      <c r="BO10" s="290"/>
      <c r="BP10" s="332"/>
      <c r="BQ10" s="333"/>
    </row>
    <row r="11" spans="1:69" ht="46" customHeight="1">
      <c r="A11" s="2862"/>
      <c r="B11" s="2863"/>
      <c r="C11" s="296"/>
      <c r="D11" s="297"/>
      <c r="E11" s="298"/>
      <c r="F11" s="2864"/>
      <c r="G11" s="2864"/>
      <c r="H11" s="2865"/>
      <c r="I11" s="2866"/>
      <c r="J11" s="2866"/>
      <c r="K11" s="2865"/>
      <c r="L11" s="2866"/>
      <c r="M11" s="2866"/>
      <c r="N11" s="2866"/>
      <c r="O11" s="2866"/>
      <c r="P11" s="302" t="str">
        <f t="shared" si="0"/>
        <v/>
      </c>
      <c r="Q11" s="302"/>
      <c r="R11" s="296"/>
      <c r="S11" s="312" t="s">
        <v>2450</v>
      </c>
      <c r="T11" s="313" t="str">
        <f>IFERROR(VLOOKUP($S11,'[51]競技情報DB(12,000人ver)'!$A$6:$D$201,2,),"－")</f>
        <v>名古屋市</v>
      </c>
      <c r="U11" s="314">
        <f>_xlfn.XLOOKUP(S11,'[51]競技情報DB(12,000人ver)'!$A$6:$A$99,'[51]競技情報DB(12,000人ver)'!$D$6:$D$99,"",0,)</f>
        <v>187</v>
      </c>
      <c r="V11" s="315"/>
      <c r="W11" s="316">
        <v>22.7</v>
      </c>
      <c r="X11" s="317">
        <v>27</v>
      </c>
      <c r="Y11" s="318"/>
      <c r="Z11" s="311"/>
      <c r="AA11" s="334"/>
      <c r="AB11" s="2939"/>
      <c r="AC11" s="2939"/>
      <c r="AD11" s="2943"/>
      <c r="AE11" s="335"/>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40"/>
      <c r="BO11" s="290"/>
      <c r="BP11" s="332"/>
      <c r="BQ11" s="333"/>
    </row>
    <row r="12" spans="1:69" ht="46" customHeight="1">
      <c r="A12" s="2862"/>
      <c r="B12" s="2863"/>
      <c r="C12" s="296"/>
      <c r="D12" s="297" t="str">
        <f>IF(_xlfn.XLOOKUP(E12,[51]宿泊施設DB!$B$3:$B$206,[51]宿泊施設DB!$A$3:$A$206,"",)=0,"",_xlfn.XLOOKUP(E12,[51]宿泊施設DB!$B$3:$B$206,[51]宿泊施設DB!$A$3:$A$206,"",))</f>
        <v/>
      </c>
      <c r="E12" s="298"/>
      <c r="F12" s="2864">
        <f>_xlfn.XLOOKUP($E12,[51]宿泊施設DB!$B$3:$B$206,[51]宿泊施設DB!$D$3:$D$206,"",)</f>
        <v>0</v>
      </c>
      <c r="G12" s="2864">
        <f>_xlfn.XLOOKUP($E12,[51]宿泊施設DB!$B$3:$B$206,[51]宿泊施設DB!$E$3:$E$206,"",)</f>
        <v>0</v>
      </c>
      <c r="H12" s="2865">
        <f>_xlfn.XLOOKUP($E12,[51]宿泊施設DB!$B$3:$B$206,[51]宿泊施設DB!$J$3:$J$206,"",)</f>
        <v>0</v>
      </c>
      <c r="I12" s="2866">
        <f>_xlfn.XLOOKUP($E12,[51]宿泊施設DB!$B$3:$B$206,[51]宿泊施設DB!$T$3:$T$206,"",)</f>
        <v>0</v>
      </c>
      <c r="J12" s="2866">
        <f>_xlfn.XLOOKUP($E12,[51]宿泊施設DB!$B$3:$B$206,[51]宿泊施設DB!$R$3:$R$206,"",)</f>
        <v>0</v>
      </c>
      <c r="K12" s="2865">
        <f>_xlfn.XLOOKUP($E12,[51]宿泊施設DB!$B$3:$B$206,[51]宿泊施設DB!$S$3:$S$206,"",)</f>
        <v>0</v>
      </c>
      <c r="L12" s="2866">
        <f>_xlfn.XLOOKUP($E12,[51]宿泊施設DB!$B$3:$B$206,[51]宿泊施設DB!$U$3:$U$206,"",)</f>
        <v>0</v>
      </c>
      <c r="M12" s="2866">
        <f>_xlfn.XLOOKUP($E12,[51]宿泊施設DB!$B$3:$B$206,[51]宿泊施設DB!$V$3:$V$206,"",)</f>
        <v>0</v>
      </c>
      <c r="N12" s="2866">
        <f>_xlfn.XLOOKUP($E12,[51]宿泊施設DB!$B$3:$B$206,[51]宿泊施設DB!$W$3:$W$206,"",)</f>
        <v>0</v>
      </c>
      <c r="O12" s="2866"/>
      <c r="P12" s="302" t="str">
        <f t="shared" si="0"/>
        <v/>
      </c>
      <c r="Q12" s="302"/>
      <c r="R12" s="296"/>
      <c r="S12" s="312" t="s">
        <v>2451</v>
      </c>
      <c r="T12" s="313" t="str">
        <f>IFERROR(VLOOKUP($S12,'[51]競技情報DB(12,000人ver)'!$A$6:$D$201,2,),"－")</f>
        <v>名古屋市</v>
      </c>
      <c r="U12" s="314">
        <f>_xlfn.XLOOKUP(S12,'[51]競技情報DB(12,000人ver)'!$A$6:$A$99,'[51]競技情報DB(12,000人ver)'!$D$6:$D$99,"",0,)</f>
        <v>125</v>
      </c>
      <c r="V12" s="315"/>
      <c r="W12" s="316">
        <v>22.7</v>
      </c>
      <c r="X12" s="317">
        <v>27</v>
      </c>
      <c r="Y12" s="318"/>
      <c r="Z12" s="311"/>
      <c r="AA12" s="334"/>
      <c r="AB12" s="2939"/>
      <c r="AC12" s="2939"/>
      <c r="AD12" s="2943"/>
      <c r="AE12" s="335"/>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6"/>
      <c r="BK12" s="336"/>
      <c r="BL12" s="336"/>
      <c r="BM12" s="336"/>
      <c r="BN12" s="340"/>
      <c r="BO12" s="290"/>
      <c r="BP12" s="332"/>
      <c r="BQ12" s="333"/>
    </row>
    <row r="13" spans="1:69" ht="46" customHeight="1" thickBot="1">
      <c r="A13" s="2862"/>
      <c r="B13" s="2863"/>
      <c r="C13" s="296"/>
      <c r="D13" s="297" t="str">
        <f>IF(_xlfn.XLOOKUP(E13,[51]宿泊施設DB!$B$3:$B$206,[51]宿泊施設DB!$A$3:$A$206,"",)=0,"",_xlfn.XLOOKUP(E13,[51]宿泊施設DB!$B$3:$B$206,[51]宿泊施設DB!$A$3:$A$206,"",))</f>
        <v/>
      </c>
      <c r="E13" s="298"/>
      <c r="F13" s="2864">
        <f>_xlfn.XLOOKUP($E13,[51]宿泊施設DB!$B$3:$B$206,[51]宿泊施設DB!$D$3:$D$206,"",)</f>
        <v>0</v>
      </c>
      <c r="G13" s="2864">
        <f>_xlfn.XLOOKUP($E13,[51]宿泊施設DB!$B$3:$B$206,[51]宿泊施設DB!$E$3:$E$206,"",)</f>
        <v>0</v>
      </c>
      <c r="H13" s="2865">
        <f>_xlfn.XLOOKUP($E13,[51]宿泊施設DB!$B$3:$B$206,[51]宿泊施設DB!$J$3:$J$206,"",)</f>
        <v>0</v>
      </c>
      <c r="I13" s="2865">
        <f>_xlfn.XLOOKUP($E13,[51]宿泊施設DB!$B$3:$B$206,[51]宿泊施設DB!$T$3:$T$206,"",)</f>
        <v>0</v>
      </c>
      <c r="J13" s="2866">
        <f>_xlfn.XLOOKUP($E13,[51]宿泊施設DB!$B$3:$B$206,[51]宿泊施設DB!$R$3:$R$206,"",)</f>
        <v>0</v>
      </c>
      <c r="K13" s="2865">
        <f>_xlfn.XLOOKUP($E13,[51]宿泊施設DB!$B$3:$B$206,[51]宿泊施設DB!$S$3:$S$206,"",)</f>
        <v>0</v>
      </c>
      <c r="L13" s="2866">
        <f>_xlfn.XLOOKUP($E13,[51]宿泊施設DB!$B$3:$B$206,[51]宿泊施設DB!$U$3:$U$206,"",)</f>
        <v>0</v>
      </c>
      <c r="M13" s="2866">
        <f>_xlfn.XLOOKUP($E13,[51]宿泊施設DB!$B$3:$B$206,[51]宿泊施設DB!$V$3:$V$206,"",)</f>
        <v>0</v>
      </c>
      <c r="N13" s="2866">
        <f>_xlfn.XLOOKUP($E13,[51]宿泊施設DB!$B$3:$B$206,[51]宿泊施設DB!$W$3:$W$206,"",)</f>
        <v>0</v>
      </c>
      <c r="O13" s="2866"/>
      <c r="P13" s="302" t="str">
        <f t="shared" si="0"/>
        <v/>
      </c>
      <c r="Q13" s="302"/>
      <c r="R13" s="296"/>
      <c r="S13" s="312" t="s">
        <v>2198</v>
      </c>
      <c r="T13" s="313" t="str">
        <f>IFERROR(VLOOKUP($S13,'[51]競技情報DB(12,000人ver)'!$A$6:$D$201,2,),"－")</f>
        <v>名古屋市</v>
      </c>
      <c r="U13" s="314">
        <f>_xlfn.XLOOKUP(S13,'[51]競技情報DB(12,000人ver)'!$A$6:$A$99,'[51]競技情報DB(12,000人ver)'!$D$6:$D$99,"",0,)</f>
        <v>199</v>
      </c>
      <c r="V13" s="315"/>
      <c r="W13" s="316">
        <v>26.4</v>
      </c>
      <c r="X13" s="317">
        <v>30</v>
      </c>
      <c r="Y13" s="318"/>
      <c r="Z13" s="311"/>
      <c r="AA13" s="334"/>
      <c r="AB13" s="2939"/>
      <c r="AC13" s="2939"/>
      <c r="AD13" s="2943"/>
      <c r="AE13" s="335"/>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36"/>
      <c r="BF13" s="336"/>
      <c r="BG13" s="336"/>
      <c r="BH13" s="336"/>
      <c r="BI13" s="336"/>
      <c r="BJ13" s="336"/>
      <c r="BK13" s="336"/>
      <c r="BL13" s="336"/>
      <c r="BM13" s="336"/>
      <c r="BN13" s="340"/>
      <c r="BO13" s="290"/>
      <c r="BP13" s="332"/>
      <c r="BQ13" s="333"/>
    </row>
    <row r="14" spans="1:69" s="341" customFormat="1" ht="46" customHeight="1">
      <c r="A14" s="2862"/>
      <c r="B14" s="2863"/>
      <c r="C14" s="296"/>
      <c r="D14" s="297" t="str">
        <f>IF(_xlfn.XLOOKUP(E14,[51]宿泊施設DB!$B$3:$B$206,[51]宿泊施設DB!$A$3:$A$206,"",)=0,"",_xlfn.XLOOKUP(E14,[51]宿泊施設DB!$B$3:$B$206,[51]宿泊施設DB!$A$3:$A$206,"",))</f>
        <v/>
      </c>
      <c r="E14" s="298"/>
      <c r="F14" s="2864">
        <f>_xlfn.XLOOKUP($E14,[51]宿泊施設DB!$B$3:$B$206,[51]宿泊施設DB!$D$3:$D$206,"",)</f>
        <v>0</v>
      </c>
      <c r="G14" s="2864">
        <f>_xlfn.XLOOKUP($E14,[51]宿泊施設DB!$B$3:$B$206,[51]宿泊施設DB!$E$3:$E$206,"",)</f>
        <v>0</v>
      </c>
      <c r="H14" s="2865">
        <f>_xlfn.XLOOKUP($E14,[51]宿泊施設DB!$B$3:$B$206,[51]宿泊施設DB!$J$3:$J$206,"",)</f>
        <v>0</v>
      </c>
      <c r="I14" s="2866">
        <f>_xlfn.XLOOKUP($E14,[51]宿泊施設DB!$B$3:$B$206,[51]宿泊施設DB!$T$3:$T$206,"",)</f>
        <v>0</v>
      </c>
      <c r="J14" s="2866">
        <f>_xlfn.XLOOKUP($E14,[51]宿泊施設DB!$B$3:$B$206,[51]宿泊施設DB!$R$3:$R$206,"",)</f>
        <v>0</v>
      </c>
      <c r="K14" s="2865">
        <f>_xlfn.XLOOKUP($E14,[51]宿泊施設DB!$B$3:$B$206,[51]宿泊施設DB!$S$3:$S$206,"",)</f>
        <v>0</v>
      </c>
      <c r="L14" s="2866">
        <f>_xlfn.XLOOKUP($E14,[51]宿泊施設DB!$B$3:$B$206,[51]宿泊施設DB!$U$3:$U$206,"",)</f>
        <v>0</v>
      </c>
      <c r="M14" s="2866">
        <f>_xlfn.XLOOKUP($E14,[51]宿泊施設DB!$B$3:$B$206,[51]宿泊施設DB!$V$3:$V$206,"",)</f>
        <v>0</v>
      </c>
      <c r="N14" s="2866">
        <f>_xlfn.XLOOKUP($E14,[51]宿泊施設DB!$B$3:$B$206,[51]宿泊施設DB!$W$3:$W$206,"",)</f>
        <v>0</v>
      </c>
      <c r="O14" s="2866"/>
      <c r="P14" s="302" t="str">
        <f t="shared" si="0"/>
        <v/>
      </c>
      <c r="Q14" s="302"/>
      <c r="R14" s="296"/>
      <c r="S14" s="312" t="s">
        <v>2452</v>
      </c>
      <c r="T14" s="313" t="str">
        <f>IFERROR(VLOOKUP($S14,'[51]競技情報DB(12,000人ver)'!$A$6:$D$201,2,),"－")</f>
        <v>名古屋市</v>
      </c>
      <c r="U14" s="314">
        <f>_xlfn.XLOOKUP(S14,'[51]競技情報DB(12,000人ver)'!$A$6:$A$99,'[51]競技情報DB(12,000人ver)'!$D$6:$D$99,"",0,)</f>
        <v>203</v>
      </c>
      <c r="V14" s="315"/>
      <c r="W14" s="316">
        <v>24.1</v>
      </c>
      <c r="X14" s="317">
        <v>24</v>
      </c>
      <c r="Y14" s="318"/>
      <c r="Z14" s="311"/>
      <c r="AA14" s="334"/>
      <c r="AB14" s="2939"/>
      <c r="AC14" s="2939"/>
      <c r="AD14" s="2943"/>
      <c r="AE14" s="335"/>
      <c r="AF14" s="33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336"/>
      <c r="BM14" s="336"/>
      <c r="BN14" s="340"/>
      <c r="BO14" s="290"/>
      <c r="BP14" s="332"/>
      <c r="BQ14" s="333"/>
    </row>
    <row r="15" spans="1:69" ht="46" customHeight="1">
      <c r="A15" s="2862"/>
      <c r="B15" s="2863"/>
      <c r="C15" s="296"/>
      <c r="D15" s="297" t="str">
        <f>IF(_xlfn.XLOOKUP(E15,[51]宿泊施設DB!$B$3:$B$206,[51]宿泊施設DB!$A$3:$A$206,"",)=0,"",_xlfn.XLOOKUP(E15,[51]宿泊施設DB!$B$3:$B$206,[51]宿泊施設DB!$A$3:$A$206,"",))</f>
        <v/>
      </c>
      <c r="E15" s="298"/>
      <c r="F15" s="2864">
        <f>_xlfn.XLOOKUP($E15,[51]宿泊施設DB!$B$3:$B$206,[51]宿泊施設DB!$D$3:$D$206,"",)</f>
        <v>0</v>
      </c>
      <c r="G15" s="2864">
        <f>_xlfn.XLOOKUP($E15,[51]宿泊施設DB!$B$3:$B$206,[51]宿泊施設DB!$E$3:$E$206,"",)</f>
        <v>0</v>
      </c>
      <c r="H15" s="2865">
        <f>_xlfn.XLOOKUP($E15,[51]宿泊施設DB!$B$3:$B$206,[51]宿泊施設DB!$J$3:$J$206,"",)</f>
        <v>0</v>
      </c>
      <c r="I15" s="2866">
        <f>_xlfn.XLOOKUP($E15,[51]宿泊施設DB!$B$3:$B$206,[51]宿泊施設DB!$T$3:$T$206,"",)</f>
        <v>0</v>
      </c>
      <c r="J15" s="2866">
        <f>_xlfn.XLOOKUP($E15,[51]宿泊施設DB!$B$3:$B$206,[51]宿泊施設DB!$R$3:$R$206,"",)</f>
        <v>0</v>
      </c>
      <c r="K15" s="2865">
        <f>_xlfn.XLOOKUP($E15,[51]宿泊施設DB!$B$3:$B$206,[51]宿泊施設DB!$S$3:$S$206,"",)</f>
        <v>0</v>
      </c>
      <c r="L15" s="2866">
        <f>_xlfn.XLOOKUP($E15,[51]宿泊施設DB!$B$3:$B$206,[51]宿泊施設DB!$U$3:$U$206,"",)</f>
        <v>0</v>
      </c>
      <c r="M15" s="2866">
        <f>_xlfn.XLOOKUP($E15,[51]宿泊施設DB!$B$3:$B$206,[51]宿泊施設DB!$V$3:$V$206,"",)</f>
        <v>0</v>
      </c>
      <c r="N15" s="2866">
        <f>_xlfn.XLOOKUP($E15,[51]宿泊施設DB!$B$3:$B$206,[51]宿泊施設DB!$W$3:$W$206,"",)</f>
        <v>0</v>
      </c>
      <c r="O15" s="2866"/>
      <c r="P15" s="302" t="str">
        <f t="shared" si="0"/>
        <v/>
      </c>
      <c r="Q15" s="302"/>
      <c r="R15" s="296"/>
      <c r="S15" s="312" t="s">
        <v>2154</v>
      </c>
      <c r="T15" s="313" t="str">
        <f>IFERROR(VLOOKUP($S15,'[51]競技情報DB(12,000人ver)'!$A$6:$D$201,2,),"－")</f>
        <v>名古屋市</v>
      </c>
      <c r="U15" s="314">
        <f>_xlfn.XLOOKUP(S15,'[51]競技情報DB(12,000人ver)'!$A$6:$A$99,'[51]競技情報DB(12,000人ver)'!$D$6:$D$99,"",0,)</f>
        <v>321</v>
      </c>
      <c r="V15" s="315"/>
      <c r="W15" s="316">
        <v>28.1</v>
      </c>
      <c r="X15" s="317">
        <v>28</v>
      </c>
      <c r="Y15" s="318"/>
      <c r="Z15" s="311"/>
      <c r="AA15" s="334"/>
      <c r="AB15" s="2939"/>
      <c r="AC15" s="2939"/>
      <c r="AD15" s="2943"/>
      <c r="AE15" s="335"/>
      <c r="AF15" s="33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336"/>
      <c r="BM15" s="336"/>
      <c r="BN15" s="340"/>
      <c r="BO15" s="290"/>
      <c r="BP15" s="332"/>
      <c r="BQ15" s="333"/>
    </row>
    <row r="16" spans="1:69" ht="46" customHeight="1">
      <c r="A16" s="2862"/>
      <c r="B16" s="2863"/>
      <c r="C16" s="296"/>
      <c r="D16" s="297" t="str">
        <f>IF(_xlfn.XLOOKUP(E16,[51]宿泊施設DB!$B$3:$B$206,[51]宿泊施設DB!$A$3:$A$206,"",)=0,"",_xlfn.XLOOKUP(E16,[51]宿泊施設DB!$B$3:$B$206,[51]宿泊施設DB!$A$3:$A$206,"",))</f>
        <v/>
      </c>
      <c r="E16" s="298"/>
      <c r="F16" s="2864">
        <f>_xlfn.XLOOKUP($E16,[51]宿泊施設DB!$B$3:$B$206,[51]宿泊施設DB!$D$3:$D$206,"",)</f>
        <v>0</v>
      </c>
      <c r="G16" s="2864">
        <f>_xlfn.XLOOKUP($E16,[51]宿泊施設DB!$B$3:$B$206,[51]宿泊施設DB!$E$3:$E$206,"",)</f>
        <v>0</v>
      </c>
      <c r="H16" s="2865">
        <f>_xlfn.XLOOKUP($E16,[51]宿泊施設DB!$B$3:$B$206,[51]宿泊施設DB!$J$3:$J$206,"",)</f>
        <v>0</v>
      </c>
      <c r="I16" s="2866">
        <f>_xlfn.XLOOKUP($E16,[51]宿泊施設DB!$B$3:$B$206,[51]宿泊施設DB!$T$3:$T$206,"",)</f>
        <v>0</v>
      </c>
      <c r="J16" s="2866">
        <f>_xlfn.XLOOKUP($E16,[51]宿泊施設DB!$B$3:$B$206,[51]宿泊施設DB!$R$3:$R$206,"",)</f>
        <v>0</v>
      </c>
      <c r="K16" s="2865">
        <f>_xlfn.XLOOKUP($E16,[51]宿泊施設DB!$B$3:$B$206,[51]宿泊施設DB!$S$3:$S$206,"",)</f>
        <v>0</v>
      </c>
      <c r="L16" s="2866">
        <f>_xlfn.XLOOKUP($E16,[51]宿泊施設DB!$B$3:$B$206,[51]宿泊施設DB!$U$3:$U$206,"",)</f>
        <v>0</v>
      </c>
      <c r="M16" s="2866">
        <f>_xlfn.XLOOKUP($E16,[51]宿泊施設DB!$B$3:$B$206,[51]宿泊施設DB!$V$3:$V$206,"",)</f>
        <v>0</v>
      </c>
      <c r="N16" s="2866">
        <f>_xlfn.XLOOKUP($E16,[51]宿泊施設DB!$B$3:$B$206,[51]宿泊施設DB!$W$3:$W$206,"",)</f>
        <v>0</v>
      </c>
      <c r="O16" s="2866"/>
      <c r="P16" s="302" t="str">
        <f t="shared" si="0"/>
        <v/>
      </c>
      <c r="Q16" s="302"/>
      <c r="R16" s="296"/>
      <c r="S16" s="312" t="s">
        <v>2152</v>
      </c>
      <c r="T16" s="313" t="str">
        <f>IFERROR(VLOOKUP($S16,'[51]競技情報DB(12,000人ver)'!$A$6:$D$201,2,),"－")</f>
        <v>名古屋市</v>
      </c>
      <c r="U16" s="314">
        <f>_xlfn.XLOOKUP(S16,'[51]競技情報DB(12,000人ver)'!$A$6:$A$99,'[51]競技情報DB(12,000人ver)'!$D$6:$D$99,"",0,)</f>
        <v>125</v>
      </c>
      <c r="V16" s="315"/>
      <c r="W16" s="316">
        <v>1.3</v>
      </c>
      <c r="X16" s="317">
        <v>4</v>
      </c>
      <c r="Y16" s="318"/>
      <c r="Z16" s="311"/>
      <c r="AA16" s="334"/>
      <c r="AB16" s="2939"/>
      <c r="AC16" s="2939"/>
      <c r="AD16" s="2943"/>
      <c r="AE16" s="335"/>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336"/>
      <c r="BM16" s="336"/>
      <c r="BN16" s="340"/>
      <c r="BO16" s="290"/>
      <c r="BP16" s="332"/>
      <c r="BQ16" s="333"/>
    </row>
    <row r="17" spans="1:69" ht="46" customHeight="1">
      <c r="A17" s="2862"/>
      <c r="B17" s="2863"/>
      <c r="C17" s="296"/>
      <c r="D17" s="297" t="str">
        <f>IF(_xlfn.XLOOKUP(E17,[51]宿泊施設DB!$B$3:$B$206,[51]宿泊施設DB!$A$3:$A$206,"",)=0,"",_xlfn.XLOOKUP(E17,[51]宿泊施設DB!$B$3:$B$206,[51]宿泊施設DB!$A$3:$A$206,"",))</f>
        <v/>
      </c>
      <c r="E17" s="298"/>
      <c r="F17" s="2864">
        <f>_xlfn.XLOOKUP($E17,[51]宿泊施設DB!$B$3:$B$206,[51]宿泊施設DB!$D$3:$D$206,"",)</f>
        <v>0</v>
      </c>
      <c r="G17" s="2864">
        <f>_xlfn.XLOOKUP($E17,[51]宿泊施設DB!$B$3:$B$206,[51]宿泊施設DB!$E$3:$E$206,"",)</f>
        <v>0</v>
      </c>
      <c r="H17" s="2865">
        <f>_xlfn.XLOOKUP($E17,[51]宿泊施設DB!$B$3:$B$206,[51]宿泊施設DB!$J$3:$J$206,"",)</f>
        <v>0</v>
      </c>
      <c r="I17" s="2866">
        <f>_xlfn.XLOOKUP($E17,[51]宿泊施設DB!$B$3:$B$206,[51]宿泊施設DB!$T$3:$T$206,"",)</f>
        <v>0</v>
      </c>
      <c r="J17" s="2866">
        <f>_xlfn.XLOOKUP($E17,[51]宿泊施設DB!$B$3:$B$206,[51]宿泊施設DB!$R$3:$R$206,"",)</f>
        <v>0</v>
      </c>
      <c r="K17" s="2865">
        <f>_xlfn.XLOOKUP($E17,[51]宿泊施設DB!$B$3:$B$206,[51]宿泊施設DB!$S$3:$S$206,"",)</f>
        <v>0</v>
      </c>
      <c r="L17" s="2866">
        <f>_xlfn.XLOOKUP($E17,[51]宿泊施設DB!$B$3:$B$206,[51]宿泊施設DB!$U$3:$U$206,"",)</f>
        <v>0</v>
      </c>
      <c r="M17" s="2866">
        <f>_xlfn.XLOOKUP($E17,[51]宿泊施設DB!$B$3:$B$206,[51]宿泊施設DB!$V$3:$V$206,"",)</f>
        <v>0</v>
      </c>
      <c r="N17" s="2866">
        <f>_xlfn.XLOOKUP($E17,[51]宿泊施設DB!$B$3:$B$206,[51]宿泊施設DB!$W$3:$W$206,"",)</f>
        <v>0</v>
      </c>
      <c r="O17" s="2866"/>
      <c r="P17" s="302" t="str">
        <f t="shared" si="0"/>
        <v/>
      </c>
      <c r="Q17" s="302"/>
      <c r="R17" s="296"/>
      <c r="S17" s="312" t="s">
        <v>2157</v>
      </c>
      <c r="T17" s="313" t="str">
        <f>IFERROR(VLOOKUP($S17,'[51]競技情報DB(12,000人ver)'!$A$6:$D$201,2,),"－")</f>
        <v>安城市</v>
      </c>
      <c r="U17" s="314">
        <f>_xlfn.XLOOKUP(S17,'[51]競技情報DB(12,000人ver)'!$A$6:$A$99,'[51]競技情報DB(12,000人ver)'!$D$6:$D$99,"",0,)</f>
        <v>177</v>
      </c>
      <c r="V17" s="315"/>
      <c r="W17" s="316">
        <v>31.3</v>
      </c>
      <c r="X17" s="317">
        <v>36</v>
      </c>
      <c r="Y17" s="318"/>
      <c r="Z17" s="311"/>
      <c r="AA17" s="334"/>
      <c r="AB17" s="2939"/>
      <c r="AC17" s="2939"/>
      <c r="AD17" s="2943"/>
      <c r="AE17" s="335"/>
      <c r="AF17" s="33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336"/>
      <c r="BM17" s="336"/>
      <c r="BN17" s="340"/>
      <c r="BO17" s="290"/>
      <c r="BP17" s="332"/>
      <c r="BQ17" s="333"/>
    </row>
    <row r="18" spans="1:69" ht="46" customHeight="1">
      <c r="A18" s="2862"/>
      <c r="B18" s="2863"/>
      <c r="C18" s="296"/>
      <c r="D18" s="297" t="str">
        <f>IF(_xlfn.XLOOKUP(E18,[51]宿泊施設DB!$B$3:$B$206,[51]宿泊施設DB!$A$3:$A$206,"",)=0,"",_xlfn.XLOOKUP(E18,[51]宿泊施設DB!$B$3:$B$206,[51]宿泊施設DB!$A$3:$A$206,"",))</f>
        <v/>
      </c>
      <c r="E18" s="298"/>
      <c r="F18" s="2864">
        <f>_xlfn.XLOOKUP($E18,[51]宿泊施設DB!$B$3:$B$206,[51]宿泊施設DB!$D$3:$D$206,"",)</f>
        <v>0</v>
      </c>
      <c r="G18" s="2864">
        <f>_xlfn.XLOOKUP($E18,[51]宿泊施設DB!$B$3:$B$206,[51]宿泊施設DB!$E$3:$E$206,"",)</f>
        <v>0</v>
      </c>
      <c r="H18" s="2865">
        <f>_xlfn.XLOOKUP($E18,[51]宿泊施設DB!$B$3:$B$206,[51]宿泊施設DB!$J$3:$J$206,"",)</f>
        <v>0</v>
      </c>
      <c r="I18" s="2866">
        <f>_xlfn.XLOOKUP($E18,[51]宿泊施設DB!$B$3:$B$206,[51]宿泊施設DB!$T$3:$T$206,"",)</f>
        <v>0</v>
      </c>
      <c r="J18" s="2866">
        <f>_xlfn.XLOOKUP($E18,[51]宿泊施設DB!$B$3:$B$206,[51]宿泊施設DB!$R$3:$R$206,"",)</f>
        <v>0</v>
      </c>
      <c r="K18" s="2865">
        <f>_xlfn.XLOOKUP($E18,[51]宿泊施設DB!$B$3:$B$206,[51]宿泊施設DB!$S$3:$S$206,"",)</f>
        <v>0</v>
      </c>
      <c r="L18" s="2866">
        <f>_xlfn.XLOOKUP($E18,[51]宿泊施設DB!$B$3:$B$206,[51]宿泊施設DB!$U$3:$U$206,"",)</f>
        <v>0</v>
      </c>
      <c r="M18" s="2866">
        <f>_xlfn.XLOOKUP($E18,[51]宿泊施設DB!$B$3:$B$206,[51]宿泊施設DB!$V$3:$V$206,"",)</f>
        <v>0</v>
      </c>
      <c r="N18" s="2866">
        <f>_xlfn.XLOOKUP($E18,[51]宿泊施設DB!$B$3:$B$206,[51]宿泊施設DB!$W$3:$W$206,"",)</f>
        <v>0</v>
      </c>
      <c r="O18" s="2866"/>
      <c r="P18" s="302" t="str">
        <f t="shared" si="0"/>
        <v/>
      </c>
      <c r="Q18" s="302"/>
      <c r="R18" s="296"/>
      <c r="S18" s="312" t="s">
        <v>2164</v>
      </c>
      <c r="T18" s="313" t="str">
        <f>IFERROR(VLOOKUP($S18,'[51]競技情報DB(12,000人ver)'!$A$6:$D$201,2,),"－")</f>
        <v>名古屋市</v>
      </c>
      <c r="U18" s="314">
        <f>_xlfn.XLOOKUP(S18,'[51]競技情報DB(12,000人ver)'!$A$6:$A$99,'[51]競技情報DB(12,000人ver)'!$D$6:$D$99,"",0,)</f>
        <v>246</v>
      </c>
      <c r="V18" s="315"/>
      <c r="W18" s="316">
        <v>9.5</v>
      </c>
      <c r="X18" s="317">
        <v>17</v>
      </c>
      <c r="Y18" s="318"/>
      <c r="Z18" s="311"/>
      <c r="AA18" s="334"/>
      <c r="AB18" s="2939"/>
      <c r="AC18" s="2939"/>
      <c r="AD18" s="2943"/>
      <c r="AE18" s="335"/>
      <c r="AF18" s="336"/>
      <c r="AG18" s="336"/>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336"/>
      <c r="BM18" s="336"/>
      <c r="BN18" s="340"/>
      <c r="BO18" s="290"/>
      <c r="BP18" s="332"/>
      <c r="BQ18" s="333"/>
    </row>
    <row r="19" spans="1:69" ht="46" customHeight="1">
      <c r="A19" s="2862"/>
      <c r="B19" s="2863"/>
      <c r="C19" s="296"/>
      <c r="D19" s="297" t="str">
        <f>IF(_xlfn.XLOOKUP(E19,[51]宿泊施設DB!$B$3:$B$206,[51]宿泊施設DB!$A$3:$A$206,"",)=0,"",_xlfn.XLOOKUP(E19,[51]宿泊施設DB!$B$3:$B$206,[51]宿泊施設DB!$A$3:$A$206,"",))</f>
        <v/>
      </c>
      <c r="E19" s="298"/>
      <c r="F19" s="2864">
        <f>_xlfn.XLOOKUP($E19,[51]宿泊施設DB!$B$3:$B$206,[51]宿泊施設DB!$D$3:$D$206,"",)</f>
        <v>0</v>
      </c>
      <c r="G19" s="2864">
        <f>_xlfn.XLOOKUP($E19,[51]宿泊施設DB!$B$3:$B$206,[51]宿泊施設DB!$E$3:$E$206,"",)</f>
        <v>0</v>
      </c>
      <c r="H19" s="2865">
        <f>_xlfn.XLOOKUP($E19,[51]宿泊施設DB!$B$3:$B$206,[51]宿泊施設DB!$J$3:$J$206,"",)</f>
        <v>0</v>
      </c>
      <c r="I19" s="2866">
        <f>_xlfn.XLOOKUP($E19,[51]宿泊施設DB!$B$3:$B$206,[51]宿泊施設DB!$T$3:$T$206,"",)</f>
        <v>0</v>
      </c>
      <c r="J19" s="2866">
        <f>_xlfn.XLOOKUP($E19,[51]宿泊施設DB!$B$3:$B$206,[51]宿泊施設DB!$R$3:$R$206,"",)</f>
        <v>0</v>
      </c>
      <c r="K19" s="2865">
        <f>_xlfn.XLOOKUP($E19,[51]宿泊施設DB!$B$3:$B$206,[51]宿泊施設DB!$S$3:$S$206,"",)</f>
        <v>0</v>
      </c>
      <c r="L19" s="2866">
        <f>_xlfn.XLOOKUP($E19,[51]宿泊施設DB!$B$3:$B$206,[51]宿泊施設DB!$U$3:$U$206,"",)</f>
        <v>0</v>
      </c>
      <c r="M19" s="2866">
        <f>_xlfn.XLOOKUP($E19,[51]宿泊施設DB!$B$3:$B$206,[51]宿泊施設DB!$V$3:$V$206,"",)</f>
        <v>0</v>
      </c>
      <c r="N19" s="2866">
        <f>_xlfn.XLOOKUP($E19,[51]宿泊施設DB!$B$3:$B$206,[51]宿泊施設DB!$W$3:$W$206,"",)</f>
        <v>0</v>
      </c>
      <c r="O19" s="2866"/>
      <c r="P19" s="302" t="str">
        <f t="shared" si="0"/>
        <v/>
      </c>
      <c r="Q19" s="302"/>
      <c r="R19" s="296"/>
      <c r="S19" s="312" t="s">
        <v>2148</v>
      </c>
      <c r="T19" s="313" t="str">
        <f>IFERROR(VLOOKUP($S19,'[51]競技情報DB(12,000人ver)'!$A$6:$D$201,2,),"－")</f>
        <v>名古屋市</v>
      </c>
      <c r="U19" s="314">
        <f>_xlfn.XLOOKUP(S19,'[51]競技情報DB(12,000人ver)'!$A$6:$A$99,'[51]競技情報DB(12,000人ver)'!$D$6:$D$99,"",0,)</f>
        <v>118</v>
      </c>
      <c r="V19" s="315"/>
      <c r="W19" s="316">
        <v>9.5</v>
      </c>
      <c r="X19" s="317">
        <v>17</v>
      </c>
      <c r="Y19" s="318"/>
      <c r="Z19" s="311"/>
      <c r="AA19" s="334"/>
      <c r="AB19" s="2939"/>
      <c r="AC19" s="2939"/>
      <c r="AD19" s="2943"/>
      <c r="AE19" s="335"/>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36"/>
      <c r="BK19" s="336"/>
      <c r="BL19" s="336"/>
      <c r="BM19" s="336"/>
      <c r="BN19" s="340"/>
      <c r="BO19" s="290"/>
      <c r="BP19" s="332"/>
      <c r="BQ19" s="333"/>
    </row>
    <row r="20" spans="1:69" ht="46" customHeight="1">
      <c r="A20" s="2862"/>
      <c r="B20" s="2863"/>
      <c r="C20" s="296"/>
      <c r="D20" s="297"/>
      <c r="E20" s="298"/>
      <c r="F20" s="2864"/>
      <c r="G20" s="2864"/>
      <c r="H20" s="2865"/>
      <c r="I20" s="2866"/>
      <c r="J20" s="2866"/>
      <c r="K20" s="2865"/>
      <c r="L20" s="2866"/>
      <c r="M20" s="2866"/>
      <c r="N20" s="2866"/>
      <c r="O20" s="2866"/>
      <c r="P20" s="302" t="str">
        <f t="shared" si="0"/>
        <v/>
      </c>
      <c r="Q20" s="302"/>
      <c r="R20" s="296"/>
      <c r="S20" s="312" t="s">
        <v>2193</v>
      </c>
      <c r="T20" s="313" t="str">
        <f>IFERROR(VLOOKUP($S20,'[51]競技情報DB(12,000人ver)'!$A$6:$D$201,2,),"－")</f>
        <v>名古屋市</v>
      </c>
      <c r="U20" s="314">
        <f>_xlfn.XLOOKUP(S20,'[51]競技情報DB(12,000人ver)'!$A$6:$A$99,'[51]競技情報DB(12,000人ver)'!$D$6:$D$99,"",0,)</f>
        <v>13</v>
      </c>
      <c r="V20" s="315"/>
      <c r="W20" s="316">
        <v>12.9</v>
      </c>
      <c r="X20" s="317">
        <v>21</v>
      </c>
      <c r="Y20" s="318"/>
      <c r="Z20" s="311"/>
      <c r="AA20" s="334"/>
      <c r="AB20" s="2939"/>
      <c r="AC20" s="2939"/>
      <c r="AD20" s="2943"/>
      <c r="AE20" s="335"/>
      <c r="AF20" s="336"/>
      <c r="AG20" s="336"/>
      <c r="AH20" s="336"/>
      <c r="AI20" s="336"/>
      <c r="AJ20" s="336"/>
      <c r="AK20" s="336"/>
      <c r="AL20" s="336"/>
      <c r="AM20" s="336"/>
      <c r="AN20" s="336"/>
      <c r="AO20" s="336"/>
      <c r="AP20" s="336"/>
      <c r="AQ20" s="336"/>
      <c r="AR20" s="336"/>
      <c r="AS20" s="336"/>
      <c r="AT20" s="336"/>
      <c r="AU20" s="336"/>
      <c r="AV20" s="336"/>
      <c r="AW20" s="336"/>
      <c r="AX20" s="336"/>
      <c r="AY20" s="336"/>
      <c r="AZ20" s="336"/>
      <c r="BA20" s="336"/>
      <c r="BB20" s="336"/>
      <c r="BC20" s="336"/>
      <c r="BD20" s="336"/>
      <c r="BE20" s="336"/>
      <c r="BF20" s="336"/>
      <c r="BG20" s="336"/>
      <c r="BH20" s="336"/>
      <c r="BI20" s="336"/>
      <c r="BJ20" s="336"/>
      <c r="BK20" s="336"/>
      <c r="BL20" s="336"/>
      <c r="BM20" s="336"/>
      <c r="BN20" s="340"/>
      <c r="BO20" s="290"/>
      <c r="BP20" s="332"/>
      <c r="BQ20" s="333"/>
    </row>
    <row r="21" spans="1:69" ht="46" customHeight="1">
      <c r="A21" s="2862"/>
      <c r="B21" s="2863"/>
      <c r="C21" s="296"/>
      <c r="D21" s="297" t="str">
        <f>IF(_xlfn.XLOOKUP(E21,[51]宿泊施設DB!$B$3:$B$206,[51]宿泊施設DB!$A$3:$A$206,"",)=0,"",_xlfn.XLOOKUP(E21,[51]宿泊施設DB!$B$3:$B$206,[51]宿泊施設DB!$A$3:$A$206,"",))</f>
        <v/>
      </c>
      <c r="E21" s="298"/>
      <c r="F21" s="2864">
        <f>_xlfn.XLOOKUP($E21,[51]宿泊施設DB!$B$3:$B$206,[51]宿泊施設DB!$D$3:$D$206,"",)</f>
        <v>0</v>
      </c>
      <c r="G21" s="717">
        <f>_xlfn.XLOOKUP($E21,[51]宿泊施設DB!$B$3:$B$206,[51]宿泊施設DB!$E$3:$E$206,"",)</f>
        <v>0</v>
      </c>
      <c r="H21" s="2865">
        <f>_xlfn.XLOOKUP($E21,[51]宿泊施設DB!$B$3:$B$206,[51]宿泊施設DB!$J$3:$J$206,"",)</f>
        <v>0</v>
      </c>
      <c r="I21" s="2866">
        <f>_xlfn.XLOOKUP($E21,[51]宿泊施設DB!$B$3:$B$206,[51]宿泊施設DB!$T$3:$T$206,"",)</f>
        <v>0</v>
      </c>
      <c r="J21" s="2866">
        <f>_xlfn.XLOOKUP($E21,[51]宿泊施設DB!$B$3:$B$206,[51]宿泊施設DB!$R$3:$R$206,"",)</f>
        <v>0</v>
      </c>
      <c r="K21" s="2865">
        <f>_xlfn.XLOOKUP($E21,[51]宿泊施設DB!$B$3:$B$206,[51]宿泊施設DB!$S$3:$S$206,"",)</f>
        <v>0</v>
      </c>
      <c r="L21" s="2866">
        <f>_xlfn.XLOOKUP($E21,[51]宿泊施設DB!$B$3:$B$206,[51]宿泊施設DB!$U$3:$U$206,"",)</f>
        <v>0</v>
      </c>
      <c r="M21" s="2866">
        <f>_xlfn.XLOOKUP($E21,[51]宿泊施設DB!$B$3:$B$206,[51]宿泊施設DB!$V$3:$V$206,"",)</f>
        <v>0</v>
      </c>
      <c r="N21" s="2866">
        <f>_xlfn.XLOOKUP($E21,[51]宿泊施設DB!$B$3:$B$206,[51]宿泊施設DB!$W$3:$W$206,"",)</f>
        <v>0</v>
      </c>
      <c r="O21" s="2866"/>
      <c r="P21" s="302" t="str">
        <f t="shared" si="0"/>
        <v/>
      </c>
      <c r="Q21" s="302"/>
      <c r="R21" s="296"/>
      <c r="S21" s="312" t="s">
        <v>2453</v>
      </c>
      <c r="T21" s="313" t="str">
        <f>IFERROR(VLOOKUP($S21,'[51]競技情報DB(12,000人ver)'!$A$6:$D$201,2,),"－")</f>
        <v>岡崎市</v>
      </c>
      <c r="U21" s="314">
        <f>_xlfn.XLOOKUP(S21,'[51]競技情報DB(12,000人ver)'!$A$6:$A$99,'[51]競技情報DB(12,000人ver)'!$D$6:$D$99,"",0,)</f>
        <v>289</v>
      </c>
      <c r="V21" s="315"/>
      <c r="W21" s="316">
        <v>46.7</v>
      </c>
      <c r="X21" s="317">
        <v>40</v>
      </c>
      <c r="Y21" s="318"/>
      <c r="Z21" s="311"/>
      <c r="AA21" s="334"/>
      <c r="AB21" s="2939"/>
      <c r="AC21" s="2939"/>
      <c r="AD21" s="2943"/>
      <c r="AE21" s="335"/>
      <c r="AF21" s="33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6"/>
      <c r="BK21" s="336"/>
      <c r="BL21" s="336"/>
      <c r="BM21" s="336"/>
      <c r="BN21" s="340"/>
      <c r="BO21" s="290"/>
      <c r="BP21" s="332"/>
      <c r="BQ21" s="333"/>
    </row>
    <row r="22" spans="1:69" ht="46" customHeight="1">
      <c r="A22" s="2862"/>
      <c r="B22" s="2863"/>
      <c r="C22" s="296"/>
      <c r="D22" s="297"/>
      <c r="E22" s="298"/>
      <c r="F22" s="2864"/>
      <c r="G22" s="717"/>
      <c r="H22" s="2865"/>
      <c r="I22" s="2866"/>
      <c r="J22" s="2866"/>
      <c r="K22" s="2865"/>
      <c r="L22" s="2866"/>
      <c r="M22" s="2866"/>
      <c r="N22" s="2866"/>
      <c r="O22" s="2866"/>
      <c r="P22" s="302"/>
      <c r="Q22" s="302"/>
      <c r="R22" s="296"/>
      <c r="S22" s="312" t="s">
        <v>2211</v>
      </c>
      <c r="T22" s="313" t="str">
        <f>IFERROR(VLOOKUP($S22,'[51]競技情報DB(12,000人ver)'!$A$6:$D$201,2,),"－")</f>
        <v>名古屋市</v>
      </c>
      <c r="U22" s="314">
        <f>_xlfn.XLOOKUP(S22,'[51]競技情報DB(12,000人ver)'!$A$6:$A$99,'[51]競技情報DB(12,000人ver)'!$D$6:$D$99,"",0,)</f>
        <v>147</v>
      </c>
      <c r="V22" s="315"/>
      <c r="W22" s="316">
        <v>26.9</v>
      </c>
      <c r="X22" s="317">
        <v>32</v>
      </c>
      <c r="Y22" s="318"/>
      <c r="Z22" s="311"/>
      <c r="AA22" s="334"/>
      <c r="AB22" s="2939"/>
      <c r="AC22" s="2939"/>
      <c r="AD22" s="2943"/>
      <c r="AE22" s="335"/>
      <c r="AF22" s="336"/>
      <c r="AG22" s="336"/>
      <c r="AH22" s="336"/>
      <c r="AI22" s="336"/>
      <c r="AJ22" s="336"/>
      <c r="AK22" s="336"/>
      <c r="AL22" s="336"/>
      <c r="AM22" s="336"/>
      <c r="AN22" s="336"/>
      <c r="AO22" s="336"/>
      <c r="AP22" s="336"/>
      <c r="AQ22" s="336"/>
      <c r="AR22" s="336"/>
      <c r="AS22" s="336"/>
      <c r="AT22" s="336"/>
      <c r="AU22" s="336"/>
      <c r="AV22" s="336"/>
      <c r="AW22" s="336"/>
      <c r="AX22" s="336"/>
      <c r="AY22" s="336"/>
      <c r="AZ22" s="336"/>
      <c r="BA22" s="336"/>
      <c r="BB22" s="336"/>
      <c r="BC22" s="336"/>
      <c r="BD22" s="336"/>
      <c r="BE22" s="336"/>
      <c r="BF22" s="336"/>
      <c r="BG22" s="336"/>
      <c r="BH22" s="336"/>
      <c r="BI22" s="336"/>
      <c r="BJ22" s="336"/>
      <c r="BK22" s="336"/>
      <c r="BL22" s="336"/>
      <c r="BM22" s="336"/>
      <c r="BN22" s="340"/>
      <c r="BO22" s="290"/>
      <c r="BP22" s="332"/>
      <c r="BQ22" s="333"/>
    </row>
    <row r="23" spans="1:69" ht="46" customHeight="1">
      <c r="A23" s="2862"/>
      <c r="B23" s="2863"/>
      <c r="C23" s="296"/>
      <c r="D23" s="297" t="str">
        <f>IF(_xlfn.XLOOKUP(E23,[51]宿泊施設DB!$B$3:$B$206,[51]宿泊施設DB!$A$3:$A$206,"",)=0,"",_xlfn.XLOOKUP(E23,[51]宿泊施設DB!$B$3:$B$206,[51]宿泊施設DB!$A$3:$A$206,"",))</f>
        <v/>
      </c>
      <c r="E23" s="298"/>
      <c r="F23" s="2864">
        <f>_xlfn.XLOOKUP($E23,[51]宿泊施設DB!$B$3:$B$206,[51]宿泊施設DB!$D$3:$D$206,"",)</f>
        <v>0</v>
      </c>
      <c r="G23" s="717">
        <f>_xlfn.XLOOKUP($E23,[51]宿泊施設DB!$B$3:$B$206,[51]宿泊施設DB!$E$3:$E$206,"",)</f>
        <v>0</v>
      </c>
      <c r="H23" s="2865">
        <f>_xlfn.XLOOKUP($E23,[51]宿泊施設DB!$B$3:$B$206,[51]宿泊施設DB!$J$3:$J$206,"",)</f>
        <v>0</v>
      </c>
      <c r="I23" s="2866">
        <f>_xlfn.XLOOKUP($E23,[51]宿泊施設DB!$B$3:$B$206,[51]宿泊施設DB!$T$3:$T$206,"",)</f>
        <v>0</v>
      </c>
      <c r="J23" s="2866">
        <f>_xlfn.XLOOKUP($E23,[51]宿泊施設DB!$B$3:$B$206,[51]宿泊施設DB!$R$3:$R$206,"",)</f>
        <v>0</v>
      </c>
      <c r="K23" s="2865">
        <f>_xlfn.XLOOKUP($E23,[51]宿泊施設DB!$B$3:$B$206,[51]宿泊施設DB!$S$3:$S$206,"",)</f>
        <v>0</v>
      </c>
      <c r="L23" s="2866">
        <f>_xlfn.XLOOKUP($E23,[51]宿泊施設DB!$B$3:$B$206,[51]宿泊施設DB!$U$3:$U$206,"",)</f>
        <v>0</v>
      </c>
      <c r="M23" s="2866">
        <f>_xlfn.XLOOKUP($E23,[51]宿泊施設DB!$B$3:$B$206,[51]宿泊施設DB!$V$3:$V$206,"",)</f>
        <v>0</v>
      </c>
      <c r="N23" s="2866">
        <f>_xlfn.XLOOKUP($E23,[51]宿泊施設DB!$B$3:$B$206,[51]宿泊施設DB!$W$3:$W$206,"",)</f>
        <v>0</v>
      </c>
      <c r="O23" s="2866"/>
      <c r="P23" s="302" t="str">
        <f t="shared" ref="P23:P37" si="1">IF(AND(E23&lt;&gt;"", S23&lt;&gt;"－"), "○", "")</f>
        <v/>
      </c>
      <c r="Q23" s="302"/>
      <c r="R23" s="296"/>
      <c r="S23" s="312" t="s">
        <v>2153</v>
      </c>
      <c r="T23" s="313" t="str">
        <f>IFERROR(VLOOKUP($S23,'[51]競技情報DB(12,000人ver)'!$A$6:$D$201,2,),"－")</f>
        <v>名古屋市</v>
      </c>
      <c r="U23" s="314">
        <f>_xlfn.XLOOKUP(S23,'[51]競技情報DB(12,000人ver)'!$A$6:$A$99,'[51]競技情報DB(12,000人ver)'!$D$6:$D$99,"",0,)</f>
        <v>90</v>
      </c>
      <c r="V23" s="315"/>
      <c r="W23" s="316">
        <v>1</v>
      </c>
      <c r="X23" s="317">
        <v>2</v>
      </c>
      <c r="Y23" s="318"/>
      <c r="Z23" s="311"/>
      <c r="AA23" s="334"/>
      <c r="AB23" s="2939"/>
      <c r="AC23" s="2939"/>
      <c r="AD23" s="2943"/>
      <c r="AE23" s="335"/>
      <c r="AF23" s="336"/>
      <c r="AG23" s="336"/>
      <c r="AH23" s="336"/>
      <c r="AI23" s="336"/>
      <c r="AJ23" s="336"/>
      <c r="AK23" s="336"/>
      <c r="AL23" s="336"/>
      <c r="AM23" s="336"/>
      <c r="AN23" s="336"/>
      <c r="AO23" s="336"/>
      <c r="AP23" s="336"/>
      <c r="AQ23" s="336"/>
      <c r="AR23" s="336"/>
      <c r="AS23" s="336"/>
      <c r="AT23" s="336"/>
      <c r="AU23" s="336"/>
      <c r="AV23" s="336"/>
      <c r="AW23" s="336"/>
      <c r="AX23" s="336"/>
      <c r="AY23" s="336"/>
      <c r="AZ23" s="336"/>
      <c r="BA23" s="336"/>
      <c r="BB23" s="336"/>
      <c r="BC23" s="336"/>
      <c r="BD23" s="336"/>
      <c r="BE23" s="336"/>
      <c r="BF23" s="336"/>
      <c r="BG23" s="336"/>
      <c r="BH23" s="336"/>
      <c r="BI23" s="336"/>
      <c r="BJ23" s="336"/>
      <c r="BK23" s="336"/>
      <c r="BL23" s="336"/>
      <c r="BM23" s="336"/>
      <c r="BN23" s="340"/>
      <c r="BO23" s="290"/>
      <c r="BP23" s="332"/>
      <c r="BQ23" s="333"/>
    </row>
    <row r="24" spans="1:69" ht="46" customHeight="1" thickBot="1">
      <c r="A24" s="2862"/>
      <c r="B24" s="2867"/>
      <c r="C24" s="343"/>
      <c r="D24" s="344" t="str">
        <f>IF(_xlfn.XLOOKUP(E24,[51]宿泊施設DB!$B$3:$B$206,[51]宿泊施設DB!$A$3:$A$206,"",)=0,"",_xlfn.XLOOKUP(E24,[51]宿泊施設DB!$B$3:$B$206,[51]宿泊施設DB!$A$3:$A$206,"",))</f>
        <v/>
      </c>
      <c r="E24" s="345"/>
      <c r="F24" s="2868">
        <f>_xlfn.XLOOKUP($E24,[51]宿泊施設DB!$B$3:$B$206,[51]宿泊施設DB!$D$3:$D$206,"",)</f>
        <v>0</v>
      </c>
      <c r="G24" s="718">
        <f>_xlfn.XLOOKUP($E24,[51]宿泊施設DB!$B$3:$B$206,[51]宿泊施設DB!$E$3:$E$206,"",)</f>
        <v>0</v>
      </c>
      <c r="H24" s="2869">
        <f>_xlfn.XLOOKUP($E24,[51]宿泊施設DB!$B$3:$B$206,[51]宿泊施設DB!$J$3:$J$206,"",)</f>
        <v>0</v>
      </c>
      <c r="I24" s="2870">
        <f>_xlfn.XLOOKUP($E24,[51]宿泊施設DB!$B$3:$B$206,[51]宿泊施設DB!$T$3:$T$206,"",)</f>
        <v>0</v>
      </c>
      <c r="J24" s="2870">
        <f>_xlfn.XLOOKUP($E24,[51]宿泊施設DB!$B$3:$B$206,[51]宿泊施設DB!$R$3:$R$206,"",)</f>
        <v>0</v>
      </c>
      <c r="K24" s="2869">
        <f>_xlfn.XLOOKUP($E24,[51]宿泊施設DB!$B$3:$B$206,[51]宿泊施設DB!$S$3:$S$206,"",)</f>
        <v>0</v>
      </c>
      <c r="L24" s="2870">
        <f>_xlfn.XLOOKUP($E24,[51]宿泊施設DB!$B$3:$B$206,[51]宿泊施設DB!$U$3:$U$206,"",)</f>
        <v>0</v>
      </c>
      <c r="M24" s="2870">
        <f>_xlfn.XLOOKUP($E24,[51]宿泊施設DB!$B$3:$B$206,[51]宿泊施設DB!$V$3:$V$206,"",)</f>
        <v>0</v>
      </c>
      <c r="N24" s="2870">
        <f>_xlfn.XLOOKUP($E24,[51]宿泊施設DB!$B$3:$B$206,[51]宿泊施設DB!$W$3:$W$206,"",)</f>
        <v>0</v>
      </c>
      <c r="O24" s="2870"/>
      <c r="P24" s="349" t="str">
        <f t="shared" si="1"/>
        <v/>
      </c>
      <c r="Q24" s="349"/>
      <c r="R24" s="343"/>
      <c r="S24" s="359" t="s">
        <v>2454</v>
      </c>
      <c r="T24" s="360">
        <f>IFERROR(VLOOKUP($S24,'[51]競技情報DB(12,000人ver)'!$A$6:$D$201,2,),"－")</f>
        <v>0</v>
      </c>
      <c r="U24" s="361">
        <f>_xlfn.XLOOKUP(S24,'[51]競技情報DB(12,000人ver)'!$A$6:$A$99,'[51]競技情報DB(12,000人ver)'!$D$6:$D$99,"",0,)</f>
        <v>116</v>
      </c>
      <c r="V24" s="362"/>
      <c r="W24" s="363">
        <v>45.3</v>
      </c>
      <c r="X24" s="364">
        <v>40</v>
      </c>
      <c r="Y24" s="365"/>
      <c r="Z24" s="358"/>
      <c r="AA24" s="366"/>
      <c r="AB24" s="2946"/>
      <c r="AC24" s="2946"/>
      <c r="AD24" s="2947"/>
      <c r="AE24" s="367"/>
      <c r="AF24" s="368"/>
      <c r="AG24" s="368"/>
      <c r="AH24" s="368"/>
      <c r="AI24" s="368"/>
      <c r="AJ24" s="368"/>
      <c r="AK24" s="368"/>
      <c r="AL24" s="368"/>
      <c r="AM24" s="368"/>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8"/>
      <c r="BK24" s="368"/>
      <c r="BL24" s="368"/>
      <c r="BM24" s="368"/>
      <c r="BN24" s="369"/>
      <c r="BO24" s="290"/>
      <c r="BP24" s="370"/>
      <c r="BQ24" s="371"/>
    </row>
    <row r="25" spans="1:69" ht="46" customHeight="1">
      <c r="A25" s="2862"/>
      <c r="B25" s="2863" t="s">
        <v>2138</v>
      </c>
      <c r="C25" s="372">
        <f>C5+1</f>
        <v>2</v>
      </c>
      <c r="D25" s="2871">
        <f>IF(_xlfn.XLOOKUP(E25,[51]宿泊施設DB!$B$3:$B$206,[51]宿泊施設DB!$A$3:$A$206,"",)=0,"",_xlfn.XLOOKUP(E25,[51]宿泊施設DB!$B$3:$B$206,[51]宿泊施設DB!$A$3:$A$206,"",))</f>
        <v>105</v>
      </c>
      <c r="E25" s="373" t="s">
        <v>2159</v>
      </c>
      <c r="F25" s="2872">
        <f>_xlfn.XLOOKUP($E25,[51]宿泊施設DB!$B$3:$B$206,[51]宿泊施設DB!$D$3:$D$206,"",)</f>
        <v>245</v>
      </c>
      <c r="G25" s="733">
        <f>_xlfn.XLOOKUP($E25,[51]宿泊施設DB!$B$3:$B$206,[51]宿泊施設DB!$E$3:$E$206,"",)</f>
        <v>358</v>
      </c>
      <c r="H25" s="2873">
        <f>_xlfn.XLOOKUP($E25,[51]宿泊施設DB!$B$3:$B$206,[51]宿泊施設DB!$J$3:$J$206,"",)</f>
        <v>19</v>
      </c>
      <c r="I25" s="2874" t="str">
        <f>_xlfn.XLOOKUP($E25,[51]宿泊施設DB!$B$3:$B$206,[51]宿泊施設DB!$T$3:$T$206,"",)</f>
        <v>－</v>
      </c>
      <c r="J25" s="2874" t="str">
        <f>_xlfn.XLOOKUP($E25,[51]宿泊施設DB!$B$3:$B$206,[51]宿泊施設DB!$R$3:$R$206,"",)</f>
        <v>宿泊施設</v>
      </c>
      <c r="K25" s="2873">
        <f>_xlfn.XLOOKUP($E25,[51]宿泊施設DB!$B$3:$B$206,[51]宿泊施設DB!$S$3:$S$206,"",)</f>
        <v>154</v>
      </c>
      <c r="L25" s="2874" t="str">
        <f>_xlfn.XLOOKUP($E25,[51]宿泊施設DB!$B$3:$B$206,[51]宿泊施設DB!$U$3:$U$206,"",)</f>
        <v>○</v>
      </c>
      <c r="M25" s="2874" t="str">
        <f>_xlfn.XLOOKUP($E25,[51]宿泊施設DB!$B$3:$B$206,[51]宿泊施設DB!$V$3:$V$206,"",)</f>
        <v>－</v>
      </c>
      <c r="N25" s="2874" t="str">
        <f>_xlfn.XLOOKUP($E25,[51]宿泊施設DB!$B$3:$B$206,[51]宿泊施設DB!$W$3:$W$206,"",)</f>
        <v>－</v>
      </c>
      <c r="O25" s="2874" t="str">
        <f>_xlfn.XLOOKUP($E25,[51]宿泊施設DB!$B$3:$B$206,[51]宿泊施設DB!$X$3:$X$206,"",)</f>
        <v>路上2台</v>
      </c>
      <c r="P25" s="377" t="str">
        <f t="shared" si="1"/>
        <v>○</v>
      </c>
      <c r="Q25" s="377" t="s">
        <v>2161</v>
      </c>
      <c r="R25" s="372" t="s">
        <v>2169</v>
      </c>
      <c r="S25" s="387" t="s">
        <v>2455</v>
      </c>
      <c r="T25" s="388" t="str">
        <f>IFERROR(VLOOKUP($S25,'[51]競技情報DB(12,000人ver)'!$A$6:$D$201,2,),"－")</f>
        <v>名古屋市</v>
      </c>
      <c r="U25" s="389">
        <f>_xlfn.XLOOKUP(S25,'[51]競技情報DB(12,000人ver)'!$A$6:$A$99,'[51]競技情報DB(12,000人ver)'!$D$6:$D$99,"",0,)</f>
        <v>116</v>
      </c>
      <c r="V25" s="390">
        <f>SUM(U25:U27)</f>
        <v>348</v>
      </c>
      <c r="W25" s="391">
        <v>12.5</v>
      </c>
      <c r="X25" s="392">
        <v>24</v>
      </c>
      <c r="Y25" s="274">
        <f>$G25-MAX(AF25:BN25)</f>
        <v>10</v>
      </c>
      <c r="Z25" s="394">
        <f>+Y25/$G25</f>
        <v>2.7932960893854747E-2</v>
      </c>
      <c r="AA25" s="395" t="str">
        <f>E25&amp;"　"&amp;"合計"</f>
        <v>ANAクラウンプラザホテル　グランコート名古屋　合計</v>
      </c>
      <c r="AB25" s="2939">
        <v>45543</v>
      </c>
      <c r="AC25" s="2939">
        <v>45563</v>
      </c>
      <c r="AD25" s="2943">
        <v>20</v>
      </c>
      <c r="AE25" s="320" t="s">
        <v>2143</v>
      </c>
      <c r="AF25" s="397">
        <f>+_xlfn.XLOOKUP($AA25,'[51]②配宿シュミレーション(12,000人ver)'!$AO$6:$AO$674,'[51]②配宿シュミレーション(12,000人ver)'!AP$6:AP$674,)</f>
        <v>0</v>
      </c>
      <c r="AG25" s="397">
        <f>+_xlfn.XLOOKUP($AA25,'[51]②配宿シュミレーション(12,000人ver)'!$AO$6:$AO$674,'[51]②配宿シュミレーション(12,000人ver)'!AQ$6:AQ$674,)</f>
        <v>0</v>
      </c>
      <c r="AH25" s="397">
        <f>+_xlfn.XLOOKUP($AA25,'[51]②配宿シュミレーション(12,000人ver)'!$AO$6:$AO$674,'[51]②配宿シュミレーション(12,000人ver)'!AR$6:AR$674,)</f>
        <v>0</v>
      </c>
      <c r="AI25" s="397">
        <f>+_xlfn.XLOOKUP($AA25,'[51]②配宿シュミレーション(12,000人ver)'!$AO$6:$AO$674,'[51]②配宿シュミレーション(12,000人ver)'!AS$6:AS$674,)</f>
        <v>0</v>
      </c>
      <c r="AJ25" s="2860" t="s">
        <v>2447</v>
      </c>
      <c r="AK25" s="2860" t="s">
        <v>2447</v>
      </c>
      <c r="AL25" s="397">
        <f>+_xlfn.XLOOKUP($AA25,'[51]②配宿シュミレーション(12,000人ver)'!$AO$6:$AO$674,'[51]②配宿シュミレーション(12,000人ver)'!AV$6:AV$674,)</f>
        <v>116</v>
      </c>
      <c r="AM25" s="397">
        <f>+_xlfn.XLOOKUP($AA25,'[51]②配宿シュミレーション(12,000人ver)'!$AO$6:$AO$674,'[51]②配宿シュミレーション(12,000人ver)'!AW$6:AW$674,)</f>
        <v>348</v>
      </c>
      <c r="AN25" s="397">
        <f>+_xlfn.XLOOKUP($AA25,'[51]②配宿シュミレーション(12,000人ver)'!$AO$6:$AO$674,'[51]②配宿シュミレーション(12,000人ver)'!AX$6:AX$674,)</f>
        <v>348</v>
      </c>
      <c r="AO25" s="397">
        <f>+_xlfn.XLOOKUP($AA25,'[51]②配宿シュミレーション(12,000人ver)'!$AO$6:$AO$674,'[51]②配宿シュミレーション(12,000人ver)'!AY$6:AY$674,)</f>
        <v>348</v>
      </c>
      <c r="AP25" s="397">
        <f>+_xlfn.XLOOKUP($AA25,'[51]②配宿シュミレーション(12,000人ver)'!$AO$6:$AO$674,'[51]②配宿シュミレーション(12,000人ver)'!AZ$6:AZ$674,)</f>
        <v>348</v>
      </c>
      <c r="AQ25" s="397">
        <f>+_xlfn.XLOOKUP($AA25,'[51]②配宿シュミレーション(12,000人ver)'!$AO$6:$AO$674,'[51]②配宿シュミレーション(12,000人ver)'!BA$6:BA$674,)</f>
        <v>348</v>
      </c>
      <c r="AR25" s="397">
        <f>+_xlfn.XLOOKUP($AA25,'[51]②配宿シュミレーション(12,000人ver)'!$AO$6:$AO$674,'[51]②配宿シュミレーション(12,000人ver)'!BB$6:BB$674,)</f>
        <v>348</v>
      </c>
      <c r="AS25" s="397">
        <f>+_xlfn.XLOOKUP($AA25,'[51]②配宿シュミレーション(12,000人ver)'!$AO$6:$AO$674,'[51]②配宿シュミレーション(12,000人ver)'!BC$6:BC$674,)</f>
        <v>348</v>
      </c>
      <c r="AT25" s="397">
        <f>+_xlfn.XLOOKUP($AA25,'[51]②配宿シュミレーション(12,000人ver)'!$AO$6:$AO$674,'[51]②配宿シュミレーション(12,000人ver)'!BD$6:BD$674,)</f>
        <v>348</v>
      </c>
      <c r="AU25" s="397">
        <f>+_xlfn.XLOOKUP($AA25,'[51]②配宿シュミレーション(12,000人ver)'!$AO$6:$AO$674,'[51]②配宿シュミレーション(12,000人ver)'!BE$6:BE$674,)</f>
        <v>348</v>
      </c>
      <c r="AV25" s="397">
        <f>+_xlfn.XLOOKUP($AA25,'[51]②配宿シュミレーション(12,000人ver)'!$AO$6:$AO$674,'[51]②配宿シュミレーション(12,000人ver)'!BF$6:BF$674,)</f>
        <v>348</v>
      </c>
      <c r="AW25" s="397">
        <f>+_xlfn.XLOOKUP($AA25,'[51]②配宿シュミレーション(12,000人ver)'!$AO$6:$AO$674,'[51]②配宿シュミレーション(12,000人ver)'!BG$6:BG$674,)</f>
        <v>348</v>
      </c>
      <c r="AX25" s="397">
        <f>+_xlfn.XLOOKUP($AA25,'[51]②配宿シュミレーション(12,000人ver)'!$AO$6:$AO$674,'[51]②配宿シュミレーション(12,000人ver)'!BH$6:BH$674,)</f>
        <v>298</v>
      </c>
      <c r="AY25" s="397">
        <f>+_xlfn.XLOOKUP($AA25,'[51]②配宿シュミレーション(12,000人ver)'!$AO$6:$AO$674,'[51]②配宿シュミレーション(12,000人ver)'!BI$6:BI$674,)</f>
        <v>232</v>
      </c>
      <c r="AZ25" s="397">
        <f>+_xlfn.XLOOKUP($AA25,'[51]②配宿シュミレーション(12,000人ver)'!$AO$6:$AO$674,'[51]②配宿シュミレーション(12,000人ver)'!BJ$6:BJ$674,)</f>
        <v>174</v>
      </c>
      <c r="BA25" s="397">
        <f>+_xlfn.XLOOKUP($AA25,'[51]②配宿シュミレーション(12,000人ver)'!$AO$6:$AO$674,'[51]②配宿シュミレーション(12,000人ver)'!BK$6:BK$674,)</f>
        <v>174</v>
      </c>
      <c r="BB25" s="397">
        <f>+_xlfn.XLOOKUP($AA25,'[51]②配宿シュミレーション(12,000人ver)'!$AO$6:$AO$674,'[51]②配宿シュミレーション(12,000人ver)'!BL$6:BL$674,)</f>
        <v>174</v>
      </c>
      <c r="BC25" s="397">
        <f>+_xlfn.XLOOKUP($AA25,'[51]②配宿シュミレーション(12,000人ver)'!$AO$6:$AO$674,'[51]②配宿シュミレーション(12,000人ver)'!BM$6:BM$674,)</f>
        <v>116</v>
      </c>
      <c r="BD25" s="2861" t="s">
        <v>2448</v>
      </c>
      <c r="BE25" s="397">
        <f>+_xlfn.XLOOKUP($AA25,'[51]②配宿シュミレーション(12,000人ver)'!$AO$6:$AO$674,'[51]②配宿シュミレーション(12,000人ver)'!BO$6:BO$674,)</f>
        <v>0</v>
      </c>
      <c r="BF25" s="397">
        <f>+_xlfn.XLOOKUP($AA25,'[51]②配宿シュミレーション(12,000人ver)'!$AO$6:$AO$674,'[51]②配宿シュミレーション(12,000人ver)'!BP$6:BP$674,)</f>
        <v>0</v>
      </c>
      <c r="BG25" s="397">
        <f>+_xlfn.XLOOKUP($AA25,'[51]②配宿シュミレーション(12,000人ver)'!$AO$6:$AO$674,'[51]②配宿シュミレーション(12,000人ver)'!BQ$6:BQ$674,)</f>
        <v>0</v>
      </c>
      <c r="BH25" s="397">
        <f>+_xlfn.XLOOKUP($AA25,'[51]②配宿シュミレーション(12,000人ver)'!$AO$6:$AO$674,'[51]②配宿シュミレーション(12,000人ver)'!BR$6:BR$674,)</f>
        <v>0</v>
      </c>
      <c r="BI25" s="397">
        <f>+_xlfn.XLOOKUP($AA25,'[51]②配宿シュミレーション(12,000人ver)'!$AO$6:$AO$674,'[51]②配宿シュミレーション(12,000人ver)'!BS$6:BS$674,)</f>
        <v>0</v>
      </c>
      <c r="BJ25" s="397">
        <f>+_xlfn.XLOOKUP($AA25,'[51]②配宿シュミレーション(12,000人ver)'!$AO$6:$AO$674,'[51]②配宿シュミレーション(12,000人ver)'!BT$6:BT$674,)</f>
        <v>0</v>
      </c>
      <c r="BK25" s="397">
        <f>+_xlfn.XLOOKUP($AA25,'[51]②配宿シュミレーション(12,000人ver)'!$AO$6:$AO$674,'[51]②配宿シュミレーション(12,000人ver)'!BU$6:BU$674,)</f>
        <v>0</v>
      </c>
      <c r="BL25" s="397">
        <f>+_xlfn.XLOOKUP($AA25,'[51]②配宿シュミレーション(12,000人ver)'!$AO$6:$AO$674,'[51]②配宿シュミレーション(12,000人ver)'!BV$6:BV$674,)</f>
        <v>0</v>
      </c>
      <c r="BM25" s="397">
        <f>+_xlfn.XLOOKUP($AA25,'[51]②配宿シュミレーション(12,000人ver)'!$AO$6:$AO$674,'[51]②配宿シュミレーション(12,000人ver)'!BW$6:BW$674,)</f>
        <v>0</v>
      </c>
      <c r="BN25" s="472">
        <f>+_xlfn.XLOOKUP($AA25,'[51]②配宿シュミレーション(12,000人ver)'!$AO$6:$AO$674,'[51]②配宿シュミレーション(12,000人ver)'!BX$6:BX$674,)</f>
        <v>0</v>
      </c>
      <c r="BO25" s="290"/>
      <c r="BP25" s="404"/>
      <c r="BQ25" s="405"/>
    </row>
    <row r="26" spans="1:69" ht="46" customHeight="1">
      <c r="A26" s="2862"/>
      <c r="B26" s="2863"/>
      <c r="C26" s="296"/>
      <c r="D26" s="297" t="str">
        <f>IF(_xlfn.XLOOKUP(E26,[51]宿泊施設DB!$B$3:$B$206,[51]宿泊施設DB!$A$3:$A$206,"",)=0,"",_xlfn.XLOOKUP(E26,[51]宿泊施設DB!$B$3:$B$206,[51]宿泊施設DB!$A$3:$A$206,"",))</f>
        <v/>
      </c>
      <c r="E26" s="298"/>
      <c r="F26" s="2864">
        <f>_xlfn.XLOOKUP($E26,[51]宿泊施設DB!$B$3:$B$206,[51]宿泊施設DB!$D$3:$D$206,"",)</f>
        <v>0</v>
      </c>
      <c r="G26" s="717">
        <f>_xlfn.XLOOKUP($E26,[51]宿泊施設DB!$B$3:$B$206,[51]宿泊施設DB!$E$3:$E$206,"",)</f>
        <v>0</v>
      </c>
      <c r="H26" s="2865">
        <f>_xlfn.XLOOKUP($E26,[51]宿泊施設DB!$B$3:$B$206,[51]宿泊施設DB!$J$3:$J$206,"",)</f>
        <v>0</v>
      </c>
      <c r="I26" s="2866">
        <f>_xlfn.XLOOKUP($E26,[51]宿泊施設DB!$B$3:$B$206,[51]宿泊施設DB!$T$3:$T$206,"",)</f>
        <v>0</v>
      </c>
      <c r="J26" s="2866">
        <f>_xlfn.XLOOKUP($E26,[51]宿泊施設DB!$B$3:$B$206,[51]宿泊施設DB!$R$3:$R$206,"",)</f>
        <v>0</v>
      </c>
      <c r="K26" s="2865">
        <f>_xlfn.XLOOKUP($E26,[51]宿泊施設DB!$B$3:$B$206,[51]宿泊施設DB!$S$3:$S$206,"",)</f>
        <v>0</v>
      </c>
      <c r="L26" s="2866">
        <f>_xlfn.XLOOKUP($E26,[51]宿泊施設DB!$B$3:$B$206,[51]宿泊施設DB!$U$3:$U$206,"",)</f>
        <v>0</v>
      </c>
      <c r="M26" s="2866">
        <f>_xlfn.XLOOKUP($E26,[51]宿泊施設DB!$B$3:$B$206,[51]宿泊施設DB!$V$3:$V$206,"",)</f>
        <v>0</v>
      </c>
      <c r="N26" s="2866">
        <f>_xlfn.XLOOKUP($E26,[51]宿泊施設DB!$B$3:$B$206,[51]宿泊施設DB!$W$3:$W$206,"",)</f>
        <v>0</v>
      </c>
      <c r="O26" s="2866">
        <f>_xlfn.XLOOKUP($E26,[51]宿泊施設DB!$B$3:$B$206,[51]宿泊施設DB!$X$3:$X$206,"",)</f>
        <v>0</v>
      </c>
      <c r="P26" s="302" t="str">
        <f t="shared" si="1"/>
        <v/>
      </c>
      <c r="Q26" s="302"/>
      <c r="R26" s="296"/>
      <c r="S26" s="413" t="s">
        <v>2456</v>
      </c>
      <c r="T26" s="313" t="str">
        <f>IFERROR(VLOOKUP($S26,'[51]競技情報DB(12,000人ver)'!$A$6:$D$201,2,),"－")</f>
        <v>豊田市</v>
      </c>
      <c r="U26" s="314">
        <f>_xlfn.XLOOKUP(S26,'[51]競技情報DB(12,000人ver)'!$A$6:$A$99,'[51]競技情報DB(12,000人ver)'!$D$6:$D$99,"",0,)</f>
        <v>116</v>
      </c>
      <c r="V26" s="315"/>
      <c r="W26" s="414">
        <v>47.8</v>
      </c>
      <c r="X26" s="415">
        <v>44</v>
      </c>
      <c r="Y26" s="318"/>
      <c r="Z26" s="311"/>
      <c r="AA26" s="416"/>
      <c r="AB26" s="2944"/>
      <c r="AC26" s="2944"/>
      <c r="AD26" s="2945"/>
      <c r="AE26" s="320"/>
      <c r="AF26" s="321"/>
      <c r="AG26" s="321"/>
      <c r="AH26" s="321"/>
      <c r="AI26" s="321"/>
      <c r="AJ26" s="321"/>
      <c r="AK26" s="321"/>
      <c r="AL26" s="321"/>
      <c r="AM26" s="321"/>
      <c r="AN26" s="321"/>
      <c r="AO26" s="321"/>
      <c r="AP26" s="321"/>
      <c r="AQ26" s="321"/>
      <c r="AR26" s="321"/>
      <c r="AS26" s="321"/>
      <c r="AT26" s="321"/>
      <c r="AU26" s="321"/>
      <c r="AV26" s="321"/>
      <c r="AW26" s="321"/>
      <c r="AX26" s="321"/>
      <c r="AY26" s="321"/>
      <c r="AZ26" s="321"/>
      <c r="BA26" s="321"/>
      <c r="BB26" s="321"/>
      <c r="BC26" s="321"/>
      <c r="BD26" s="321"/>
      <c r="BE26" s="321"/>
      <c r="BF26" s="321"/>
      <c r="BG26" s="321"/>
      <c r="BH26" s="321"/>
      <c r="BI26" s="321"/>
      <c r="BJ26" s="321"/>
      <c r="BK26" s="321"/>
      <c r="BL26" s="321"/>
      <c r="BM26" s="321"/>
      <c r="BN26" s="507"/>
      <c r="BO26" s="290"/>
      <c r="BP26" s="332"/>
      <c r="BQ26" s="333"/>
    </row>
    <row r="27" spans="1:69" ht="46" customHeight="1">
      <c r="A27" s="2862"/>
      <c r="B27" s="2863"/>
      <c r="C27" s="420"/>
      <c r="D27" s="421" t="str">
        <f>IF(_xlfn.XLOOKUP(E27,[51]宿泊施設DB!$B$3:$B$206,[51]宿泊施設DB!$A$3:$A$206,"",)=0,"",_xlfn.XLOOKUP(E27,[51]宿泊施設DB!$B$3:$B$206,[51]宿泊施設DB!$A$3:$A$206,"",))</f>
        <v/>
      </c>
      <c r="E27" s="422"/>
      <c r="F27" s="2875">
        <f>_xlfn.XLOOKUP($E27,[51]宿泊施設DB!$B$3:$B$206,[51]宿泊施設DB!$D$3:$D$206,"",)</f>
        <v>0</v>
      </c>
      <c r="G27" s="2876">
        <f>_xlfn.XLOOKUP($E27,[51]宿泊施設DB!$B$3:$B$206,[51]宿泊施設DB!$E$3:$E$206,"",)</f>
        <v>0</v>
      </c>
      <c r="H27" s="2877">
        <f>_xlfn.XLOOKUP($E27,[51]宿泊施設DB!$B$3:$B$206,[51]宿泊施設DB!$J$3:$J$206,"",)</f>
        <v>0</v>
      </c>
      <c r="I27" s="2878">
        <f>_xlfn.XLOOKUP($E27,[51]宿泊施設DB!$B$3:$B$206,[51]宿泊施設DB!$T$3:$T$206,"",)</f>
        <v>0</v>
      </c>
      <c r="J27" s="2878">
        <f>_xlfn.XLOOKUP($E27,[51]宿泊施設DB!$B$3:$B$206,[51]宿泊施設DB!$R$3:$R$206,"",)</f>
        <v>0</v>
      </c>
      <c r="K27" s="2877">
        <f>_xlfn.XLOOKUP($E27,[51]宿泊施設DB!$B$3:$B$206,[51]宿泊施設DB!$S$3:$S$206,"",)</f>
        <v>0</v>
      </c>
      <c r="L27" s="2878">
        <f>_xlfn.XLOOKUP($E27,[51]宿泊施設DB!$B$3:$B$206,[51]宿泊施設DB!$U$3:$U$206,"",)</f>
        <v>0</v>
      </c>
      <c r="M27" s="2878">
        <f>_xlfn.XLOOKUP($E27,[51]宿泊施設DB!$B$3:$B$206,[51]宿泊施設DB!$V$3:$V$206,"",)</f>
        <v>0</v>
      </c>
      <c r="N27" s="2878">
        <f>_xlfn.XLOOKUP($E27,[51]宿泊施設DB!$B$3:$B$206,[51]宿泊施設DB!$W$3:$W$206,"",)</f>
        <v>0</v>
      </c>
      <c r="O27" s="2878">
        <f>_xlfn.XLOOKUP($E27,[51]宿泊施設DB!$B$3:$B$206,[51]宿泊施設DB!$X$3:$X$206,"",)</f>
        <v>0</v>
      </c>
      <c r="P27" s="426" t="str">
        <f t="shared" si="1"/>
        <v/>
      </c>
      <c r="Q27" s="426"/>
      <c r="R27" s="420"/>
      <c r="S27" s="436" t="s">
        <v>2457</v>
      </c>
      <c r="T27" s="437" t="str">
        <f>IFERROR(VLOOKUP($S27,'[51]競技情報DB(12,000人ver)'!$A$6:$D$201,2,),"－")</f>
        <v>名古屋市</v>
      </c>
      <c r="U27" s="438">
        <f>_xlfn.XLOOKUP(S27,'[51]競技情報DB(12,000人ver)'!$A$6:$A$99,'[51]競技情報DB(12,000人ver)'!$D$6:$D$99,"",0,)</f>
        <v>116</v>
      </c>
      <c r="V27" s="439"/>
      <c r="W27" s="440">
        <v>22.6</v>
      </c>
      <c r="X27" s="441">
        <v>22</v>
      </c>
      <c r="Y27" s="442"/>
      <c r="Z27" s="435"/>
      <c r="AA27" s="443"/>
      <c r="AB27" s="2948"/>
      <c r="AC27" s="2948"/>
      <c r="AD27" s="2949"/>
      <c r="AE27" s="444"/>
      <c r="AF27" s="445"/>
      <c r="AG27" s="445"/>
      <c r="AH27" s="445"/>
      <c r="AI27" s="445"/>
      <c r="AJ27" s="445"/>
      <c r="AK27" s="445"/>
      <c r="AL27" s="445"/>
      <c r="AM27" s="445"/>
      <c r="AN27" s="445"/>
      <c r="AO27" s="445"/>
      <c r="AP27" s="445"/>
      <c r="AQ27" s="445"/>
      <c r="AR27" s="445"/>
      <c r="AS27" s="445"/>
      <c r="AT27" s="445"/>
      <c r="AU27" s="445"/>
      <c r="AV27" s="445"/>
      <c r="AW27" s="445"/>
      <c r="AX27" s="445"/>
      <c r="AY27" s="445"/>
      <c r="AZ27" s="445"/>
      <c r="BA27" s="445"/>
      <c r="BB27" s="445"/>
      <c r="BC27" s="445"/>
      <c r="BD27" s="445"/>
      <c r="BE27" s="445"/>
      <c r="BF27" s="445"/>
      <c r="BG27" s="445"/>
      <c r="BH27" s="445"/>
      <c r="BI27" s="445"/>
      <c r="BJ27" s="445"/>
      <c r="BK27" s="445"/>
      <c r="BL27" s="445"/>
      <c r="BM27" s="445"/>
      <c r="BN27" s="449"/>
      <c r="BO27" s="290"/>
      <c r="BP27" s="450"/>
      <c r="BQ27" s="451"/>
    </row>
    <row r="28" spans="1:69" ht="46" customHeight="1">
      <c r="A28" s="2862"/>
      <c r="B28" s="2863"/>
      <c r="C28" s="296">
        <f>C25+1</f>
        <v>3</v>
      </c>
      <c r="D28" s="297">
        <f>IF(_xlfn.XLOOKUP(E28,[51]宿泊施設DB!$B$3:$B$206,[51]宿泊施設DB!$A$3:$A$206,"",)=0,"",_xlfn.XLOOKUP(E28,[51]宿泊施設DB!$B$3:$B$206,[51]宿泊施設DB!$A$3:$A$206,"",))</f>
        <v>70</v>
      </c>
      <c r="E28" s="298" t="s">
        <v>2176</v>
      </c>
      <c r="F28" s="2864">
        <f>_xlfn.XLOOKUP($E28,[51]宿泊施設DB!$B$3:$B$206,[51]宿泊施設DB!$D$3:$D$206,"",)</f>
        <v>233</v>
      </c>
      <c r="G28" s="717">
        <f>_xlfn.XLOOKUP($E28,[51]宿泊施設DB!$B$3:$B$206,[51]宿泊施設DB!$E$3:$E$206,"",)</f>
        <v>343</v>
      </c>
      <c r="H28" s="2865">
        <f>_xlfn.XLOOKUP($E28,[51]宿泊施設DB!$B$3:$B$206,[51]宿泊施設DB!$J$3:$J$206,"",)</f>
        <v>0</v>
      </c>
      <c r="I28" s="2866" t="str">
        <f>_xlfn.XLOOKUP($E28,[51]宿泊施設DB!$B$3:$B$206,[51]宿泊施設DB!$T$3:$T$206,"",)</f>
        <v>中</v>
      </c>
      <c r="J28" s="2866" t="str">
        <f>_xlfn.XLOOKUP($E28,[51]宿泊施設DB!$B$3:$B$206,[51]宿泊施設DB!$R$3:$R$206,"",)</f>
        <v>宿泊施設</v>
      </c>
      <c r="K28" s="2865">
        <f>_xlfn.XLOOKUP($E28,[51]宿泊施設DB!$B$3:$B$206,[51]宿泊施設DB!$S$3:$S$206,"",)</f>
        <v>106</v>
      </c>
      <c r="L28" s="2866" t="str">
        <f>_xlfn.XLOOKUP($E28,[51]宿泊施設DB!$B$3:$B$206,[51]宿泊施設DB!$U$3:$U$206,"",)</f>
        <v>－</v>
      </c>
      <c r="M28" s="2866" t="str">
        <f>_xlfn.XLOOKUP($E28,[51]宿泊施設DB!$B$3:$B$206,[51]宿泊施設DB!$V$3:$V$206,"",)</f>
        <v>ﾐｽﾄｻｳﾅ</v>
      </c>
      <c r="N28" s="2866" t="str">
        <f>_xlfn.XLOOKUP($E28,[51]宿泊施設DB!$B$3:$B$206,[51]宿泊施設DB!$W$3:$W$206,"",)</f>
        <v>○</v>
      </c>
      <c r="O28" s="2866" t="str">
        <f>_xlfn.XLOOKUP($E28,[51]宿泊施設DB!$B$3:$B$206,[51]宿泊施設DB!$X$3:$X$206,"",)</f>
        <v>路上1台</v>
      </c>
      <c r="P28" s="302" t="str">
        <f t="shared" si="1"/>
        <v>○</v>
      </c>
      <c r="Q28" s="302"/>
      <c r="R28" s="296" t="s">
        <v>2136</v>
      </c>
      <c r="S28" s="486" t="s">
        <v>2178</v>
      </c>
      <c r="T28" s="487" t="str">
        <f>IFERROR(VLOOKUP($S28,'[51]競技情報DB(12,000人ver)'!$A$6:$D$201,2,),"－")</f>
        <v>一宮市</v>
      </c>
      <c r="U28" s="488">
        <f>_xlfn.XLOOKUP(S28,'[51]競技情報DB(12,000人ver)'!$A$6:$A$99,'[51]競技情報DB(12,000人ver)'!$D$6:$D$99,"",0,)</f>
        <v>273</v>
      </c>
      <c r="V28" s="315">
        <f>SUM(U28:U29)</f>
        <v>309</v>
      </c>
      <c r="W28" s="489">
        <v>29</v>
      </c>
      <c r="X28" s="490">
        <v>28</v>
      </c>
      <c r="Y28" s="318">
        <f>$G28-MAX(AF28:BN28)</f>
        <v>34</v>
      </c>
      <c r="Z28" s="311">
        <f>+Y28/$G28</f>
        <v>9.9125364431486881E-2</v>
      </c>
      <c r="AA28" s="491" t="str">
        <f>E28&amp;"　"&amp;"合計"</f>
        <v>ベッセルホテルカンパーナ名古屋　合計</v>
      </c>
      <c r="AB28" s="2950">
        <v>45549</v>
      </c>
      <c r="AC28" s="2950">
        <v>45566</v>
      </c>
      <c r="AD28" s="2943">
        <v>17</v>
      </c>
      <c r="AE28" s="492" t="s">
        <v>2175</v>
      </c>
      <c r="AF28" s="398">
        <f>+_xlfn.XLOOKUP($AA28,'[51]②配宿シュミレーション(12,000人ver)'!$AO$6:$AO$674,'[51]②配宿シュミレーション(12,000人ver)'!AP$6:AP$674,)</f>
        <v>0</v>
      </c>
      <c r="AG28" s="398">
        <f>+_xlfn.XLOOKUP($AA28,'[51]②配宿シュミレーション(12,000人ver)'!$AO$6:$AO$674,'[51]②配宿シュミレーション(12,000人ver)'!AQ$6:AQ$674,)</f>
        <v>0</v>
      </c>
      <c r="AH28" s="398">
        <f>+_xlfn.XLOOKUP($AA28,'[51]②配宿シュミレーション(12,000人ver)'!$AO$6:$AO$674,'[51]②配宿シュミレーション(12,000人ver)'!AR$6:AR$674,)</f>
        <v>0</v>
      </c>
      <c r="AI28" s="2879">
        <f>+_xlfn.XLOOKUP($AA28,'[51]②配宿シュミレーション(12,000人ver)'!$AO$6:$AO$674,'[51]②配宿シュミレーション(12,000人ver)'!AS$6:AS$674,)</f>
        <v>0</v>
      </c>
      <c r="AJ28" s="2879">
        <f>+_xlfn.XLOOKUP($AA28,'[51]②配宿シュミレーション(12,000人ver)'!$AO$6:$AO$674,'[51]②配宿シュミレーション(12,000人ver)'!AT$6:AT$674,)</f>
        <v>0</v>
      </c>
      <c r="AK28" s="2879">
        <f>+_xlfn.XLOOKUP($AA28,'[51]②配宿シュミレーション(12,000人ver)'!$AO$6:$AO$674,'[51]②配宿シュミレーション(12,000人ver)'!AU$6:AU$674,)</f>
        <v>0</v>
      </c>
      <c r="AL28" s="2879">
        <f>+_xlfn.XLOOKUP($AA28,'[51]②配宿シュミレーション(12,000人ver)'!$AO$6:$AO$674,'[51]②配宿シュミレーション(12,000人ver)'!AV$6:AV$674,)</f>
        <v>0</v>
      </c>
      <c r="AM28" s="2879">
        <f>+_xlfn.XLOOKUP($AA28,'[51]②配宿シュミレーション(12,000人ver)'!$AO$6:$AO$674,'[51]②配宿シュミレーション(12,000人ver)'!AW$6:AW$674,)</f>
        <v>0</v>
      </c>
      <c r="AN28" s="2879">
        <f>+_xlfn.XLOOKUP($AA28,'[51]②配宿シュミレーション(12,000人ver)'!$AO$6:$AO$674,'[51]②配宿シュミレーション(12,000人ver)'!AX$6:AX$674,)</f>
        <v>0</v>
      </c>
      <c r="AO28" s="2879">
        <f>+_xlfn.XLOOKUP($AA28,'[51]②配宿シュミレーション(12,000人ver)'!$AO$6:$AO$674,'[51]②配宿シュミレーション(12,000人ver)'!AY$6:AY$674,)</f>
        <v>0</v>
      </c>
      <c r="AP28" s="2860" t="s">
        <v>2447</v>
      </c>
      <c r="AQ28" s="2860" t="s">
        <v>2447</v>
      </c>
      <c r="AR28" s="2879">
        <f>+_xlfn.XLOOKUP($AA28,'[51]②配宿シュミレーション(12,000人ver)'!$AO$6:$AO$674,'[51]②配宿シュミレーション(12,000人ver)'!BB$6:BB$674,)</f>
        <v>309</v>
      </c>
      <c r="AS28" s="2879">
        <f>+_xlfn.XLOOKUP($AA28,'[51]②配宿シュミレーション(12,000人ver)'!$AO$6:$AO$674,'[51]②配宿シュミレーション(12,000人ver)'!BC$6:BC$674,)</f>
        <v>309</v>
      </c>
      <c r="AT28" s="2879">
        <f>+_xlfn.XLOOKUP($AA28,'[51]②配宿シュミレーション(12,000人ver)'!$AO$6:$AO$674,'[51]②配宿シュミレーション(12,000人ver)'!BD$6:BD$674,)</f>
        <v>309</v>
      </c>
      <c r="AU28" s="2879">
        <f>+_xlfn.XLOOKUP($AA28,'[51]②配宿シュミレーション(12,000人ver)'!$AO$6:$AO$674,'[51]②配宿シュミレーション(12,000人ver)'!BE$6:BE$674,)</f>
        <v>309</v>
      </c>
      <c r="AV28" s="2879">
        <f>+_xlfn.XLOOKUP($AA28,'[51]②配宿シュミレーション(12,000人ver)'!$AO$6:$AO$674,'[51]②配宿シュミレーション(12,000人ver)'!BF$6:BF$674,)</f>
        <v>309</v>
      </c>
      <c r="AW28" s="2879">
        <f>+_xlfn.XLOOKUP($AA28,'[51]②配宿シュミレーション(12,000人ver)'!$AO$6:$AO$674,'[51]②配宿シュミレーション(12,000人ver)'!BG$6:BG$674,)</f>
        <v>309</v>
      </c>
      <c r="AX28" s="2879">
        <f>+_xlfn.XLOOKUP($AA28,'[51]②配宿シュミレーション(12,000人ver)'!$AO$6:$AO$674,'[51]②配宿シュミレーション(12,000人ver)'!BH$6:BH$674,)</f>
        <v>309</v>
      </c>
      <c r="AY28" s="2879">
        <f>+_xlfn.XLOOKUP($AA28,'[51]②配宿シュミレーション(12,000人ver)'!$AO$6:$AO$674,'[51]②配宿シュミレーション(12,000人ver)'!BI$6:BI$674,)</f>
        <v>273</v>
      </c>
      <c r="AZ28" s="2879">
        <f>+_xlfn.XLOOKUP($AA28,'[51]②配宿シュミレーション(12,000人ver)'!$AO$6:$AO$674,'[51]②配宿シュミレーション(12,000人ver)'!BJ$6:BJ$674,)</f>
        <v>273</v>
      </c>
      <c r="BA28" s="2879">
        <f>+_xlfn.XLOOKUP($AA28,'[51]②配宿シュミレーション(12,000人ver)'!$AO$6:$AO$674,'[51]②配宿シュミレーション(12,000人ver)'!BK$6:BK$674,)</f>
        <v>273</v>
      </c>
      <c r="BB28" s="2879">
        <f>+_xlfn.XLOOKUP($AA28,'[51]②配宿シュミレーション(12,000人ver)'!$AO$6:$AO$674,'[51]②配宿シュミレーション(12,000人ver)'!BL$6:BL$674,)</f>
        <v>273</v>
      </c>
      <c r="BC28" s="2879">
        <f>+_xlfn.XLOOKUP($AA28,'[51]②配宿シュミレーション(12,000人ver)'!$AO$6:$AO$674,'[51]②配宿シュミレーション(12,000人ver)'!BM$6:BM$674,)</f>
        <v>273</v>
      </c>
      <c r="BD28" s="2879">
        <f>+_xlfn.XLOOKUP($AA28,'[51]②配宿シュミレーション(12,000人ver)'!$AO$6:$AO$674,'[51]②配宿シュミレーション(12,000人ver)'!BN$6:BN$674,)</f>
        <v>273</v>
      </c>
      <c r="BE28" s="2879">
        <f>+_xlfn.XLOOKUP($AA28,'[51]②配宿シュミレーション(12,000人ver)'!$AO$6:$AO$674,'[51]②配宿シュミレーション(12,000人ver)'!BO$6:BO$674,)</f>
        <v>273</v>
      </c>
      <c r="BF28" s="2879">
        <f>+_xlfn.XLOOKUP($AA28,'[51]②配宿シュミレーション(12,000人ver)'!$AO$6:$AO$674,'[51]②配宿シュミレーション(12,000人ver)'!BP$6:BP$674,)</f>
        <v>273</v>
      </c>
      <c r="BG28" s="2861" t="s">
        <v>2448</v>
      </c>
      <c r="BH28" s="398">
        <f>+_xlfn.XLOOKUP($AA28,'[51]②配宿シュミレーション(12,000人ver)'!$AO$6:$AO$674,'[51]②配宿シュミレーション(12,000人ver)'!BR$6:BR$674,)</f>
        <v>0</v>
      </c>
      <c r="BI28" s="398">
        <f>+_xlfn.XLOOKUP($AA28,'[51]②配宿シュミレーション(12,000人ver)'!$AO$6:$AO$674,'[51]②配宿シュミレーション(12,000人ver)'!BS$6:BS$674,)</f>
        <v>0</v>
      </c>
      <c r="BJ28" s="398">
        <f>+_xlfn.XLOOKUP($AA28,'[51]②配宿シュミレーション(12,000人ver)'!$AO$6:$AO$674,'[51]②配宿シュミレーション(12,000人ver)'!BT$6:BT$674,)</f>
        <v>0</v>
      </c>
      <c r="BK28" s="398">
        <f>+_xlfn.XLOOKUP($AA28,'[51]②配宿シュミレーション(12,000人ver)'!$AO$6:$AO$674,'[51]②配宿シュミレーション(12,000人ver)'!BU$6:BU$674,)</f>
        <v>0</v>
      </c>
      <c r="BL28" s="398">
        <f>+_xlfn.XLOOKUP($AA28,'[51]②配宿シュミレーション(12,000人ver)'!$AO$6:$AO$674,'[51]②配宿シュミレーション(12,000人ver)'!BV$6:BV$674,)</f>
        <v>0</v>
      </c>
      <c r="BM28" s="398">
        <f>+_xlfn.XLOOKUP($AA28,'[51]②配宿シュミレーション(12,000人ver)'!$AO$6:$AO$674,'[51]②配宿シュミレーション(12,000人ver)'!BW$6:BW$674,)</f>
        <v>0</v>
      </c>
      <c r="BN28" s="472">
        <f>+_xlfn.XLOOKUP($AA28,'[51]②配宿シュミレーション(12,000人ver)'!$AO$6:$AO$674,'[51]②配宿シュミレーション(12,000人ver)'!BX$6:BX$674,)</f>
        <v>0</v>
      </c>
      <c r="BO28" s="290"/>
      <c r="BP28" s="332"/>
      <c r="BQ28" s="333"/>
    </row>
    <row r="29" spans="1:69" ht="46" customHeight="1">
      <c r="A29" s="2862"/>
      <c r="B29" s="2863"/>
      <c r="C29" s="296"/>
      <c r="D29" s="297" t="str">
        <f>IF(_xlfn.XLOOKUP(E29,[51]宿泊施設DB!$B$3:$B$206,[51]宿泊施設DB!$A$3:$A$206,"",)=0,"",_xlfn.XLOOKUP(E29,[51]宿泊施設DB!$B$3:$B$206,[51]宿泊施設DB!$A$3:$A$206,"",))</f>
        <v/>
      </c>
      <c r="E29" s="298"/>
      <c r="F29" s="2864">
        <f>_xlfn.XLOOKUP($E29,[51]宿泊施設DB!$B$3:$B$206,[51]宿泊施設DB!$D$3:$D$206,"",)</f>
        <v>0</v>
      </c>
      <c r="G29" s="717">
        <f>_xlfn.XLOOKUP($E29,[51]宿泊施設DB!$B$3:$B$206,[51]宿泊施設DB!$E$3:$E$206,"",)</f>
        <v>0</v>
      </c>
      <c r="H29" s="2865">
        <f>_xlfn.XLOOKUP($E29,[51]宿泊施設DB!$B$3:$B$206,[51]宿泊施設DB!$J$3:$J$206,"",)</f>
        <v>0</v>
      </c>
      <c r="I29" s="2866">
        <f>_xlfn.XLOOKUP($E29,[51]宿泊施設DB!$B$3:$B$206,[51]宿泊施設DB!$T$3:$T$206,"",)</f>
        <v>0</v>
      </c>
      <c r="J29" s="2866">
        <f>_xlfn.XLOOKUP($E29,[51]宿泊施設DB!$B$3:$B$206,[51]宿泊施設DB!$R$3:$R$206,"",)</f>
        <v>0</v>
      </c>
      <c r="K29" s="2865">
        <f>_xlfn.XLOOKUP($E29,[51]宿泊施設DB!$B$3:$B$206,[51]宿泊施設DB!$S$3:$S$206,"",)</f>
        <v>0</v>
      </c>
      <c r="L29" s="2866">
        <f>_xlfn.XLOOKUP($E29,[51]宿泊施設DB!$B$3:$B$206,[51]宿泊施設DB!$U$3:$U$206,"",)</f>
        <v>0</v>
      </c>
      <c r="M29" s="2866">
        <f>_xlfn.XLOOKUP($E29,[51]宿泊施設DB!$B$3:$B$206,[51]宿泊施設DB!$V$3:$V$206,"",)</f>
        <v>0</v>
      </c>
      <c r="N29" s="2866">
        <f>_xlfn.XLOOKUP($E29,[51]宿泊施設DB!$B$3:$B$206,[51]宿泊施設DB!$W$3:$W$206,"",)</f>
        <v>0</v>
      </c>
      <c r="O29" s="2866">
        <f>_xlfn.XLOOKUP($E29,[51]宿泊施設DB!$B$3:$B$206,[51]宿泊施設DB!$X$3:$X$206,"",)</f>
        <v>0</v>
      </c>
      <c r="P29" s="302" t="str">
        <f t="shared" si="1"/>
        <v/>
      </c>
      <c r="Q29" s="302"/>
      <c r="R29" s="296"/>
      <c r="S29" s="477" t="s">
        <v>2192</v>
      </c>
      <c r="T29" s="478" t="str">
        <f>IFERROR(VLOOKUP($S29,'[51]競技情報DB(12,000人ver)'!$A$6:$D$201,2,),"－")</f>
        <v>名古屋市</v>
      </c>
      <c r="U29" s="479">
        <f>_xlfn.XLOOKUP(S29,'[51]競技情報DB(12,000人ver)'!$A$6:$A$99,'[51]競技情報DB(12,000人ver)'!$D$6:$D$99,"",0,)</f>
        <v>36</v>
      </c>
      <c r="V29" s="439"/>
      <c r="W29" s="480">
        <v>13.3</v>
      </c>
      <c r="X29" s="481">
        <v>24</v>
      </c>
      <c r="Y29" s="442"/>
      <c r="Z29" s="311"/>
      <c r="AA29" s="319"/>
      <c r="AB29" s="2944"/>
      <c r="AC29" s="2944"/>
      <c r="AD29" s="2945"/>
      <c r="AE29" s="320"/>
      <c r="AF29" s="445"/>
      <c r="AG29" s="445"/>
      <c r="AH29" s="445"/>
      <c r="AI29" s="506"/>
      <c r="AJ29" s="506"/>
      <c r="AK29" s="506"/>
      <c r="AL29" s="506"/>
      <c r="AM29" s="506"/>
      <c r="AN29" s="506"/>
      <c r="AO29" s="506"/>
      <c r="AP29" s="506"/>
      <c r="AQ29" s="506"/>
      <c r="AR29" s="506"/>
      <c r="AS29" s="506"/>
      <c r="AT29" s="506"/>
      <c r="AU29" s="506"/>
      <c r="AV29" s="506"/>
      <c r="AW29" s="506"/>
      <c r="AX29" s="506"/>
      <c r="AY29" s="506"/>
      <c r="AZ29" s="506"/>
      <c r="BA29" s="506"/>
      <c r="BB29" s="506"/>
      <c r="BC29" s="506"/>
      <c r="BD29" s="506"/>
      <c r="BE29" s="506"/>
      <c r="BF29" s="506"/>
      <c r="BG29" s="506"/>
      <c r="BH29" s="445"/>
      <c r="BI29" s="445"/>
      <c r="BJ29" s="445"/>
      <c r="BK29" s="445"/>
      <c r="BL29" s="445"/>
      <c r="BM29" s="445"/>
      <c r="BN29" s="449"/>
      <c r="BO29" s="290"/>
      <c r="BP29" s="332"/>
      <c r="BQ29" s="333"/>
    </row>
    <row r="30" spans="1:69" ht="46" customHeight="1">
      <c r="A30" s="2862"/>
      <c r="B30" s="2863"/>
      <c r="C30" s="372">
        <f>C28+1</f>
        <v>4</v>
      </c>
      <c r="D30" s="2871">
        <f>IF(_xlfn.XLOOKUP(E30,[51]宿泊施設DB!$B$3:$B$206,[51]宿泊施設DB!$A$3:$A$206,"",)=0,"",_xlfn.XLOOKUP(E30,[51]宿泊施設DB!$B$3:$B$206,[51]宿泊施設DB!$A$3:$A$206,"",))</f>
        <v>24</v>
      </c>
      <c r="E30" s="373" t="s">
        <v>2181</v>
      </c>
      <c r="F30" s="2872">
        <f>_xlfn.XLOOKUP($E30,[51]宿泊施設DB!$B$3:$B$206,[51]宿泊施設DB!$D$3:$D$206,"",)</f>
        <v>243</v>
      </c>
      <c r="G30" s="733">
        <f>_xlfn.XLOOKUP($E30,[51]宿泊施設DB!$B$3:$B$206,[51]宿泊施設DB!$E$3:$E$206,"",)</f>
        <v>322</v>
      </c>
      <c r="H30" s="2873">
        <f>_xlfn.XLOOKUP($E30,[51]宿泊施設DB!$B$3:$B$206,[51]宿泊施設DB!$J$3:$J$206,"",)</f>
        <v>16</v>
      </c>
      <c r="I30" s="2874" t="str">
        <f>_xlfn.XLOOKUP($E30,[51]宿泊施設DB!$B$3:$B$206,[51]宿泊施設DB!$T$3:$T$206,"",)</f>
        <v>低</v>
      </c>
      <c r="J30" s="2874" t="str">
        <f>_xlfn.XLOOKUP($E30,[51]宿泊施設DB!$B$3:$B$206,[51]宿泊施設DB!$R$3:$R$206,"",)</f>
        <v>宿泊施設</v>
      </c>
      <c r="K30" s="2873">
        <f>_xlfn.XLOOKUP($E30,[51]宿泊施設DB!$B$3:$B$206,[51]宿泊施設DB!$S$3:$S$206,"",)</f>
        <v>122</v>
      </c>
      <c r="L30" s="2874" t="str">
        <f>_xlfn.XLOOKUP($E30,[51]宿泊施設DB!$B$3:$B$206,[51]宿泊施設DB!$U$3:$U$206,"",)</f>
        <v>－</v>
      </c>
      <c r="M30" s="2874" t="str">
        <f>_xlfn.XLOOKUP($E30,[51]宿泊施設DB!$B$3:$B$206,[51]宿泊施設DB!$V$3:$V$206,"",)</f>
        <v>－</v>
      </c>
      <c r="N30" s="2874" t="str">
        <f>_xlfn.XLOOKUP($E30,[51]宿泊施設DB!$B$3:$B$206,[51]宿泊施設DB!$W$3:$W$206,"",)</f>
        <v>－</v>
      </c>
      <c r="O30" s="2874" t="str">
        <f>_xlfn.XLOOKUP($E30,[51]宿泊施設DB!$B$3:$B$206,[51]宿泊施設DB!$X$3:$X$206,"",)</f>
        <v>玄関前（屋根付）3台</v>
      </c>
      <c r="P30" s="377" t="str">
        <f t="shared" si="1"/>
        <v>○</v>
      </c>
      <c r="Q30" s="377"/>
      <c r="R30" s="372" t="s">
        <v>2169</v>
      </c>
      <c r="S30" s="512" t="s">
        <v>2458</v>
      </c>
      <c r="T30" s="388" t="str">
        <f>IFERROR(VLOOKUP($S30,'[51]競技情報DB(12,000人ver)'!$A$6:$D$201,2,),"－")</f>
        <v>刈谷市</v>
      </c>
      <c r="U30" s="389">
        <f>_xlfn.XLOOKUP(S30,'[51]競技情報DB(12,000人ver)'!$A$6:$A$99,'[51]競技情報DB(12,000人ver)'!$D$6:$D$99,"",0,)</f>
        <v>116</v>
      </c>
      <c r="V30" s="390">
        <f>SUM(U30:U32)</f>
        <v>229</v>
      </c>
      <c r="W30" s="513">
        <v>7</v>
      </c>
      <c r="X30" s="514">
        <v>19</v>
      </c>
      <c r="Y30" s="318">
        <f>$G30-MAX(AF30:BN30)</f>
        <v>93</v>
      </c>
      <c r="Z30" s="394">
        <f>+Y30/$G30</f>
        <v>0.28881987577639751</v>
      </c>
      <c r="AA30" s="515" t="str">
        <f>E30&amp;"　"&amp;"合計"</f>
        <v>ホテルメルパルク名古屋　合計</v>
      </c>
      <c r="AB30" s="2951">
        <v>45543</v>
      </c>
      <c r="AC30" s="2951">
        <v>45562</v>
      </c>
      <c r="AD30" s="2943">
        <v>19</v>
      </c>
      <c r="AE30" s="396" t="s">
        <v>2175</v>
      </c>
      <c r="AF30" s="397">
        <f>+_xlfn.XLOOKUP($AA30,'[51]②配宿シュミレーション(12,000人ver)'!$AO$6:$AO$674,'[51]②配宿シュミレーション(12,000人ver)'!AP$6:AP$674,)</f>
        <v>0</v>
      </c>
      <c r="AG30" s="397">
        <f>+_xlfn.XLOOKUP($AA30,'[51]②配宿シュミレーション(12,000人ver)'!$AO$6:$AO$674,'[51]②配宿シュミレーション(12,000人ver)'!AQ$6:AQ$674,)</f>
        <v>0</v>
      </c>
      <c r="AH30" s="397">
        <f>+_xlfn.XLOOKUP($AA30,'[51]②配宿シュミレーション(12,000人ver)'!$AO$6:$AO$674,'[51]②配宿シュミレーション(12,000人ver)'!AR$6:AR$674,)</f>
        <v>0</v>
      </c>
      <c r="AI30" s="397">
        <f>+_xlfn.XLOOKUP($AA30,'[51]②配宿シュミレーション(12,000人ver)'!$AO$6:$AO$674,'[51]②配宿シュミレーション(12,000人ver)'!AS$6:AS$674,)</f>
        <v>0</v>
      </c>
      <c r="AJ30" s="2880" t="s">
        <v>2447</v>
      </c>
      <c r="AK30" s="2880" t="s">
        <v>2447</v>
      </c>
      <c r="AL30" s="397">
        <f>+_xlfn.XLOOKUP($AA30,'[51]②配宿シュミレーション(12,000人ver)'!$AO$6:$AO$674,'[51]②配宿シュミレーション(12,000人ver)'!AV$6:AV$674,)</f>
        <v>58</v>
      </c>
      <c r="AM30" s="397">
        <f>+_xlfn.XLOOKUP($AA30,'[51]②配宿シュミレーション(12,000人ver)'!$AO$6:$AO$674,'[51]②配宿シュミレーション(12,000人ver)'!AW$6:AW$674,)</f>
        <v>116</v>
      </c>
      <c r="AN30" s="397">
        <f>+_xlfn.XLOOKUP($AA30,'[51]②配宿シュミレーション(12,000人ver)'!$AO$6:$AO$674,'[51]②配宿シュミレーション(12,000人ver)'!AX$6:AX$674,)</f>
        <v>116</v>
      </c>
      <c r="AO30" s="397">
        <f>+_xlfn.XLOOKUP($AA30,'[51]②配宿シュミレーション(12,000人ver)'!$AO$6:$AO$674,'[51]②配宿シュミレーション(12,000人ver)'!AY$6:AY$674,)</f>
        <v>116</v>
      </c>
      <c r="AP30" s="397">
        <f>+_xlfn.XLOOKUP($AA30,'[51]②配宿シュミレーション(12,000人ver)'!$AO$6:$AO$674,'[51]②配宿シュミレーション(12,000人ver)'!AZ$6:AZ$674,)</f>
        <v>116</v>
      </c>
      <c r="AQ30" s="397">
        <f>+_xlfn.XLOOKUP($AA30,'[51]②配宿シュミレーション(12,000人ver)'!$AO$6:$AO$674,'[51]②配宿シュミレーション(12,000人ver)'!BA$6:BA$674,)</f>
        <v>116</v>
      </c>
      <c r="AR30" s="397">
        <f>+_xlfn.XLOOKUP($AA30,'[51]②配宿シュミレーション(12,000人ver)'!$AO$6:$AO$674,'[51]②配宿シュミレーション(12,000人ver)'!BB$6:BB$674,)</f>
        <v>229</v>
      </c>
      <c r="AS30" s="397">
        <f>+_xlfn.XLOOKUP($AA30,'[51]②配宿シュミレーション(12,000人ver)'!$AO$6:$AO$674,'[51]②配宿シュミレーション(12,000人ver)'!BC$6:BC$674,)</f>
        <v>229</v>
      </c>
      <c r="AT30" s="397">
        <f>+_xlfn.XLOOKUP($AA30,'[51]②配宿シュミレーション(12,000人ver)'!$AO$6:$AO$674,'[51]②配宿シュミレーション(12,000人ver)'!BD$6:BD$674,)</f>
        <v>229</v>
      </c>
      <c r="AU30" s="397">
        <f>+_xlfn.XLOOKUP($AA30,'[51]②配宿シュミレーション(12,000人ver)'!$AO$6:$AO$674,'[51]②配宿シュミレーション(12,000人ver)'!BE$6:BE$674,)</f>
        <v>229</v>
      </c>
      <c r="AV30" s="397">
        <f>+_xlfn.XLOOKUP($AA30,'[51]②配宿シュミレーション(12,000人ver)'!$AO$6:$AO$674,'[51]②配宿シュミレーション(12,000人ver)'!BF$6:BF$674,)</f>
        <v>229</v>
      </c>
      <c r="AW30" s="397">
        <f>+_xlfn.XLOOKUP($AA30,'[51]②配宿シュミレーション(12,000人ver)'!$AO$6:$AO$674,'[51]②配宿シュミレーション(12,000人ver)'!BG$6:BG$674,)</f>
        <v>229</v>
      </c>
      <c r="AX30" s="397">
        <f>+_xlfn.XLOOKUP($AA30,'[51]②配宿シュミレーション(12,000人ver)'!$AO$6:$AO$674,'[51]②配宿シュミレーション(12,000人ver)'!BH$6:BH$674,)</f>
        <v>229</v>
      </c>
      <c r="AY30" s="397">
        <f>+_xlfn.XLOOKUP($AA30,'[51]②配宿シュミレーション(12,000人ver)'!$AO$6:$AO$674,'[51]②配宿シュミレーション(12,000人ver)'!BI$6:BI$674,)</f>
        <v>171</v>
      </c>
      <c r="AZ30" s="397">
        <f>+_xlfn.XLOOKUP($AA30,'[51]②配宿シュミレーション(12,000人ver)'!$AO$6:$AO$674,'[51]②配宿シュミレーション(12,000人ver)'!BJ$6:BJ$674,)</f>
        <v>171</v>
      </c>
      <c r="BA30" s="397">
        <f>+_xlfn.XLOOKUP($AA30,'[51]②配宿シュミレーション(12,000人ver)'!$AO$6:$AO$674,'[51]②配宿シュミレーション(12,000人ver)'!BK$6:BK$674,)</f>
        <v>58</v>
      </c>
      <c r="BB30" s="397">
        <f>+_xlfn.XLOOKUP($AA30,'[51]②配宿シュミレーション(12,000人ver)'!$AO$6:$AO$674,'[51]②配宿シュミレーション(12,000人ver)'!BL$6:BL$674,)</f>
        <v>58</v>
      </c>
      <c r="BC30" s="2881" t="s">
        <v>2448</v>
      </c>
      <c r="BD30" s="397">
        <f>+_xlfn.XLOOKUP($AA30,'[51]②配宿シュミレーション(12,000人ver)'!$AO$6:$AO$674,'[51]②配宿シュミレーション(12,000人ver)'!BN$6:BN$674,)</f>
        <v>0</v>
      </c>
      <c r="BE30" s="397">
        <f>+_xlfn.XLOOKUP($AA30,'[51]②配宿シュミレーション(12,000人ver)'!$AO$6:$AO$674,'[51]②配宿シュミレーション(12,000人ver)'!BO$6:BO$674,)</f>
        <v>0</v>
      </c>
      <c r="BF30" s="397">
        <f>+_xlfn.XLOOKUP($AA30,'[51]②配宿シュミレーション(12,000人ver)'!$AO$6:$AO$674,'[51]②配宿シュミレーション(12,000人ver)'!BP$6:BP$674,)</f>
        <v>0</v>
      </c>
      <c r="BG30" s="397">
        <f>+_xlfn.XLOOKUP($AA30,'[51]②配宿シュミレーション(12,000人ver)'!$AO$6:$AO$674,'[51]②配宿シュミレーション(12,000人ver)'!BQ$6:BQ$674,)</f>
        <v>0</v>
      </c>
      <c r="BH30" s="397">
        <f>+_xlfn.XLOOKUP($AA30,'[51]②配宿シュミレーション(12,000人ver)'!$AO$6:$AO$674,'[51]②配宿シュミレーション(12,000人ver)'!BR$6:BR$674,)</f>
        <v>0</v>
      </c>
      <c r="BI30" s="397">
        <f>+_xlfn.XLOOKUP($AA30,'[51]②配宿シュミレーション(12,000人ver)'!$AO$6:$AO$674,'[51]②配宿シュミレーション(12,000人ver)'!BS$6:BS$674,)</f>
        <v>0</v>
      </c>
      <c r="BJ30" s="397">
        <f>+_xlfn.XLOOKUP($AA30,'[51]②配宿シュミレーション(12,000人ver)'!$AO$6:$AO$674,'[51]②配宿シュミレーション(12,000人ver)'!BT$6:BT$674,)</f>
        <v>0</v>
      </c>
      <c r="BK30" s="397">
        <f>+_xlfn.XLOOKUP($AA30,'[51]②配宿シュミレーション(12,000人ver)'!$AO$6:$AO$674,'[51]②配宿シュミレーション(12,000人ver)'!BU$6:BU$674,)</f>
        <v>0</v>
      </c>
      <c r="BL30" s="397">
        <f>+_xlfn.XLOOKUP($AA30,'[51]②配宿シュミレーション(12,000人ver)'!$AO$6:$AO$674,'[51]②配宿シュミレーション(12,000人ver)'!BV$6:BV$674,)</f>
        <v>0</v>
      </c>
      <c r="BM30" s="397">
        <f>+_xlfn.XLOOKUP($AA30,'[51]②配宿シュミレーション(12,000人ver)'!$AO$6:$AO$674,'[51]②配宿シュミレーション(12,000人ver)'!BW$6:BW$674,)</f>
        <v>0</v>
      </c>
      <c r="BN30" s="472">
        <f>+_xlfn.XLOOKUP($AA30,'[51]②配宿シュミレーション(12,000人ver)'!$AO$6:$AO$674,'[51]②配宿シュミレーション(12,000人ver)'!BX$6:BX$674,)</f>
        <v>0</v>
      </c>
      <c r="BO30" s="290"/>
      <c r="BP30" s="404"/>
      <c r="BQ30" s="405"/>
    </row>
    <row r="31" spans="1:69" ht="46" customHeight="1">
      <c r="A31" s="2862"/>
      <c r="B31" s="2863"/>
      <c r="C31" s="296"/>
      <c r="D31" s="297"/>
      <c r="E31" s="298"/>
      <c r="F31" s="2864"/>
      <c r="G31" s="717"/>
      <c r="H31" s="2865"/>
      <c r="I31" s="2866"/>
      <c r="J31" s="2866"/>
      <c r="K31" s="2865"/>
      <c r="L31" s="2866"/>
      <c r="M31" s="2866"/>
      <c r="N31" s="2866"/>
      <c r="O31" s="2866"/>
      <c r="P31" s="302" t="str">
        <f t="shared" si="1"/>
        <v/>
      </c>
      <c r="Q31" s="302"/>
      <c r="R31" s="296"/>
      <c r="S31" s="486" t="s">
        <v>2201</v>
      </c>
      <c r="T31" s="487" t="str">
        <f>IFERROR(VLOOKUP($S31,'[51]競技情報DB(12,000人ver)'!$A$6:$D$201,2,),"－")</f>
        <v>名古屋市</v>
      </c>
      <c r="U31" s="488">
        <f>_xlfn.XLOOKUP(S31,'[51]競技情報DB(12,000人ver)'!$A$6:$A$99,'[51]競技情報DB(12,000人ver)'!$D$6:$D$99,"",0,)</f>
        <v>113</v>
      </c>
      <c r="V31" s="315"/>
      <c r="W31" s="489">
        <v>5.7</v>
      </c>
      <c r="X31" s="490">
        <v>16</v>
      </c>
      <c r="Y31" s="318"/>
      <c r="Z31" s="311"/>
      <c r="AA31" s="334"/>
      <c r="AB31" s="2939"/>
      <c r="AC31" s="2939"/>
      <c r="AD31" s="2943"/>
      <c r="AE31" s="335"/>
      <c r="AF31" s="336"/>
      <c r="AG31" s="336"/>
      <c r="AH31" s="336"/>
      <c r="AI31" s="336"/>
      <c r="AJ31" s="336"/>
      <c r="AK31" s="336"/>
      <c r="AL31" s="336"/>
      <c r="AM31" s="336"/>
      <c r="AN31" s="336"/>
      <c r="AO31" s="336"/>
      <c r="AP31" s="336"/>
      <c r="AQ31" s="336"/>
      <c r="AR31" s="336"/>
      <c r="AS31" s="336"/>
      <c r="AT31" s="336"/>
      <c r="AU31" s="336"/>
      <c r="AV31" s="336"/>
      <c r="AW31" s="336"/>
      <c r="AX31" s="336"/>
      <c r="AY31" s="336"/>
      <c r="AZ31" s="336"/>
      <c r="BA31" s="336"/>
      <c r="BB31" s="336"/>
      <c r="BC31" s="336"/>
      <c r="BD31" s="336"/>
      <c r="BE31" s="336"/>
      <c r="BF31" s="336"/>
      <c r="BG31" s="336"/>
      <c r="BH31" s="336"/>
      <c r="BI31" s="336"/>
      <c r="BJ31" s="336"/>
      <c r="BK31" s="336"/>
      <c r="BL31" s="336"/>
      <c r="BM31" s="336"/>
      <c r="BN31" s="340"/>
      <c r="BO31" s="290"/>
      <c r="BP31" s="332"/>
      <c r="BQ31" s="333"/>
    </row>
    <row r="32" spans="1:69" s="521" customFormat="1" ht="46" customHeight="1" thickBot="1">
      <c r="A32" s="2862"/>
      <c r="B32" s="2863"/>
      <c r="C32" s="420"/>
      <c r="D32" s="421" t="str">
        <f>IF(_xlfn.XLOOKUP(E32,[51]宿泊施設DB!$B$3:$B$206,[51]宿泊施設DB!$A$3:$A$206,"",)=0,"",_xlfn.XLOOKUP(E32,[51]宿泊施設DB!$B$3:$B$206,[51]宿泊施設DB!$A$3:$A$206,"",))</f>
        <v/>
      </c>
      <c r="E32" s="422"/>
      <c r="F32" s="2875">
        <f>_xlfn.XLOOKUP($E32,[51]宿泊施設DB!$B$3:$B$206,[51]宿泊施設DB!$D$3:$D$206,"",)</f>
        <v>0</v>
      </c>
      <c r="G32" s="2876">
        <f>_xlfn.XLOOKUP($E32,[51]宿泊施設DB!$B$3:$B$206,[51]宿泊施設DB!$E$3:$E$206,"",)</f>
        <v>0</v>
      </c>
      <c r="H32" s="2877">
        <f>_xlfn.XLOOKUP($E32,[51]宿泊施設DB!$B$3:$B$206,[51]宿泊施設DB!$J$3:$J$206,"",)</f>
        <v>0</v>
      </c>
      <c r="I32" s="2878">
        <f>_xlfn.XLOOKUP($E32,[51]宿泊施設DB!$B$3:$B$206,[51]宿泊施設DB!$T$3:$T$206,"",)</f>
        <v>0</v>
      </c>
      <c r="J32" s="2878">
        <f>_xlfn.XLOOKUP($E32,[51]宿泊施設DB!$B$3:$B$206,[51]宿泊施設DB!$R$3:$R$206,"",)</f>
        <v>0</v>
      </c>
      <c r="K32" s="2877">
        <f>_xlfn.XLOOKUP($E32,[51]宿泊施設DB!$B$3:$B$206,[51]宿泊施設DB!$S$3:$S$206,"",)</f>
        <v>0</v>
      </c>
      <c r="L32" s="2878">
        <f>_xlfn.XLOOKUP($E32,[51]宿泊施設DB!$B$3:$B$206,[51]宿泊施設DB!$U$3:$U$206,"",)</f>
        <v>0</v>
      </c>
      <c r="M32" s="2878">
        <f>_xlfn.XLOOKUP($E32,[51]宿泊施設DB!$B$3:$B$206,[51]宿泊施設DB!$V$3:$V$206,"",)</f>
        <v>0</v>
      </c>
      <c r="N32" s="2878">
        <f>_xlfn.XLOOKUP($E32,[51]宿泊施設DB!$B$3:$B$206,[51]宿泊施設DB!$W$3:$W$206,"",)</f>
        <v>0</v>
      </c>
      <c r="O32" s="2878">
        <f>_xlfn.XLOOKUP($E32,[51]宿泊施設DB!$B$3:$B$206,[51]宿泊施設DB!$X$3:$X$206,"",)</f>
        <v>0</v>
      </c>
      <c r="P32" s="426" t="str">
        <f t="shared" si="1"/>
        <v/>
      </c>
      <c r="Q32" s="426"/>
      <c r="R32" s="420"/>
      <c r="S32" s="436"/>
      <c r="T32" s="437" t="str">
        <f>IFERROR(VLOOKUP($S32,'[51]競技情報DB(12,000人ver)'!$A$6:$D$201,2,),"－")</f>
        <v>－</v>
      </c>
      <c r="U32" s="438">
        <f>_xlfn.XLOOKUP(S32,'[51]競技情報DB(12,000人ver)'!$A$6:$A$99,'[51]競技情報DB(12,000人ver)'!$D$6:$D$99,"",0,)</f>
        <v>0</v>
      </c>
      <c r="V32" s="439"/>
      <c r="W32" s="440"/>
      <c r="X32" s="516"/>
      <c r="Y32" s="442"/>
      <c r="Z32" s="435"/>
      <c r="AA32" s="517"/>
      <c r="AB32" s="2952"/>
      <c r="AC32" s="2952"/>
      <c r="AD32" s="2953"/>
      <c r="AE32" s="518"/>
      <c r="AF32" s="506"/>
      <c r="AG32" s="506"/>
      <c r="AH32" s="506"/>
      <c r="AI32" s="506"/>
      <c r="AJ32" s="506"/>
      <c r="AK32" s="506"/>
      <c r="AL32" s="506"/>
      <c r="AM32" s="506"/>
      <c r="AN32" s="506"/>
      <c r="AO32" s="506"/>
      <c r="AP32" s="506"/>
      <c r="AQ32" s="506"/>
      <c r="AR32" s="506"/>
      <c r="AS32" s="506"/>
      <c r="AT32" s="506"/>
      <c r="AU32" s="506"/>
      <c r="AV32" s="506"/>
      <c r="AW32" s="506"/>
      <c r="AX32" s="506"/>
      <c r="AY32" s="506"/>
      <c r="AZ32" s="506"/>
      <c r="BA32" s="506"/>
      <c r="BB32" s="506"/>
      <c r="BC32" s="506"/>
      <c r="BD32" s="506"/>
      <c r="BE32" s="506"/>
      <c r="BF32" s="506"/>
      <c r="BG32" s="506"/>
      <c r="BH32" s="506"/>
      <c r="BI32" s="506"/>
      <c r="BJ32" s="506"/>
      <c r="BK32" s="506"/>
      <c r="BL32" s="506"/>
      <c r="BM32" s="506"/>
      <c r="BN32" s="520"/>
      <c r="BO32" s="290"/>
      <c r="BP32" s="450"/>
      <c r="BQ32" s="451"/>
    </row>
    <row r="33" spans="1:69" ht="46" customHeight="1">
      <c r="A33" s="2862"/>
      <c r="B33" s="2863"/>
      <c r="C33" s="296">
        <f>C30+1</f>
        <v>5</v>
      </c>
      <c r="D33" s="297">
        <f>IF(_xlfn.XLOOKUP(E33,[51]宿泊施設DB!$B$3:$B$206,[51]宿泊施設DB!$A$3:$A$206,"",)=0,"",_xlfn.XLOOKUP(E33,[51]宿泊施設DB!$B$3:$B$206,[51]宿泊施設DB!$A$3:$A$206,"",))</f>
        <v>160</v>
      </c>
      <c r="E33" s="298" t="s">
        <v>2187</v>
      </c>
      <c r="F33" s="2864">
        <f>_xlfn.XLOOKUP($E33,[51]宿泊施設DB!$B$3:$B$206,[51]宿泊施設DB!$D$3:$D$206,"",)</f>
        <v>242</v>
      </c>
      <c r="G33" s="717">
        <f>_xlfn.XLOOKUP($E33,[51]宿泊施設DB!$B$3:$B$206,[51]宿泊施設DB!$E$3:$E$206,"",)</f>
        <v>286</v>
      </c>
      <c r="H33" s="2865">
        <f>_xlfn.XLOOKUP($E33,[51]宿泊施設DB!$B$3:$B$206,[51]宿泊施設DB!$J$3:$J$206,"",)</f>
        <v>0</v>
      </c>
      <c r="I33" s="2866" t="str">
        <f>_xlfn.XLOOKUP($E33,[51]宿泊施設DB!$B$3:$B$206,[51]宿泊施設DB!$T$3:$T$206,"",)</f>
        <v>中</v>
      </c>
      <c r="J33" s="2866" t="str">
        <f>_xlfn.XLOOKUP($E33,[51]宿泊施設DB!$B$3:$B$206,[51]宿泊施設DB!$R$3:$R$206,"",)</f>
        <v>宿泊施設</v>
      </c>
      <c r="K33" s="2865">
        <f>_xlfn.XLOOKUP($E33,[51]宿泊施設DB!$B$3:$B$206,[51]宿泊施設DB!$S$3:$S$206,"",)</f>
        <v>58</v>
      </c>
      <c r="L33" s="2866" t="str">
        <f>_xlfn.XLOOKUP($E33,[51]宿泊施設DB!$B$3:$B$206,[51]宿泊施設DB!$U$3:$U$206,"",)</f>
        <v>－</v>
      </c>
      <c r="M33" s="2866" t="str">
        <f>_xlfn.XLOOKUP($E33,[51]宿泊施設DB!$B$3:$B$206,[51]宿泊施設DB!$V$3:$V$206,"",)</f>
        <v>－</v>
      </c>
      <c r="N33" s="2866" t="str">
        <f>_xlfn.XLOOKUP($E33,[51]宿泊施設DB!$B$3:$B$206,[51]宿泊施設DB!$W$3:$W$206,"",)</f>
        <v>○</v>
      </c>
      <c r="O33" s="2866" t="str">
        <f>_xlfn.XLOOKUP($E33,[51]宿泊施設DB!$B$3:$B$206,[51]宿泊施設DB!$X$3:$X$206,"",)</f>
        <v>路上1台</v>
      </c>
      <c r="P33" s="302" t="str">
        <f t="shared" si="1"/>
        <v>○</v>
      </c>
      <c r="Q33" s="302"/>
      <c r="R33" s="296" t="s">
        <v>2136</v>
      </c>
      <c r="S33" s="527" t="s">
        <v>2272</v>
      </c>
      <c r="T33" s="528" t="str">
        <f>IFERROR(VLOOKUP($S33,'[51]競技情報DB(12,000人ver)'!$A$6:$D$201,2,),"－")</f>
        <v>名古屋市</v>
      </c>
      <c r="U33" s="529">
        <f>_xlfn.XLOOKUP(S33,'[51]競技情報DB(12,000人ver)'!$A$6:$A$99,'[51]競技情報DB(12,000人ver)'!$D$6:$D$99,"",0,)</f>
        <v>269</v>
      </c>
      <c r="V33" s="315">
        <f>SUM(U33:U34)</f>
        <v>269</v>
      </c>
      <c r="W33" s="530">
        <v>11.2</v>
      </c>
      <c r="X33" s="531">
        <v>26</v>
      </c>
      <c r="Y33" s="318">
        <f>$G33-MAX(AF33:BN33)</f>
        <v>17</v>
      </c>
      <c r="Z33" s="311">
        <f>+Y33/$G33</f>
        <v>5.944055944055944E-2</v>
      </c>
      <c r="AA33" s="491" t="str">
        <f>E33&amp;"　"&amp;"合計"</f>
        <v>西鉄ホテルクルーム名古屋　合計</v>
      </c>
      <c r="AB33" s="2950">
        <v>45549</v>
      </c>
      <c r="AC33" s="2950">
        <v>45570</v>
      </c>
      <c r="AD33" s="2943">
        <v>21</v>
      </c>
      <c r="AE33" s="492" t="s">
        <v>2175</v>
      </c>
      <c r="AF33" s="493">
        <f>+_xlfn.XLOOKUP($AA33,'[51]②配宿シュミレーション(12,000人ver)'!$AO$6:$AO$674,'[51]②配宿シュミレーション(12,000人ver)'!AP$6:AP$674,)</f>
        <v>0</v>
      </c>
      <c r="AG33" s="493">
        <f>+_xlfn.XLOOKUP($AA33,'[51]②配宿シュミレーション(12,000人ver)'!$AO$6:$AO$674,'[51]②配宿シュミレーション(12,000人ver)'!AQ$6:AQ$674,)</f>
        <v>0</v>
      </c>
      <c r="AH33" s="493">
        <f>+_xlfn.XLOOKUP($AA33,'[51]②配宿シュミレーション(12,000人ver)'!$AO$6:$AO$674,'[51]②配宿シュミレーション(12,000人ver)'!AR$6:AR$674,)</f>
        <v>0</v>
      </c>
      <c r="AI33" s="397">
        <f>+_xlfn.XLOOKUP($AA33,'[51]②配宿シュミレーション(12,000人ver)'!$AO$6:$AO$674,'[51]②配宿シュミレーション(12,000人ver)'!AS$6:AS$674,)</f>
        <v>0</v>
      </c>
      <c r="AJ33" s="397">
        <f>+_xlfn.XLOOKUP($AA33,'[51]②配宿シュミレーション(12,000人ver)'!$AO$6:$AO$674,'[51]②配宿シュミレーション(12,000人ver)'!AT$6:AT$674,)</f>
        <v>0</v>
      </c>
      <c r="AK33" s="397">
        <f>+_xlfn.XLOOKUP($AA33,'[51]②配宿シュミレーション(12,000人ver)'!$AO$6:$AO$674,'[51]②配宿シュミレーション(12,000人ver)'!AU$6:AU$674,)</f>
        <v>0</v>
      </c>
      <c r="AL33" s="397">
        <f>+_xlfn.XLOOKUP($AA33,'[51]②配宿シュミレーション(12,000人ver)'!$AO$6:$AO$674,'[51]②配宿シュミレーション(12,000人ver)'!AV$6:AV$674,)</f>
        <v>0</v>
      </c>
      <c r="AM33" s="397">
        <f>+_xlfn.XLOOKUP($AA33,'[51]②配宿シュミレーション(12,000人ver)'!$AO$6:$AO$674,'[51]②配宿シュミレーション(12,000人ver)'!AW$6:AW$674,)</f>
        <v>0</v>
      </c>
      <c r="AN33" s="397">
        <f>+_xlfn.XLOOKUP($AA33,'[51]②配宿シュミレーション(12,000人ver)'!$AO$6:$AO$674,'[51]②配宿シュミレーション(12,000人ver)'!AX$6:AX$674,)</f>
        <v>0</v>
      </c>
      <c r="AO33" s="397">
        <f>+_xlfn.XLOOKUP($AA33,'[51]②配宿シュミレーション(12,000人ver)'!$AO$6:$AO$674,'[51]②配宿シュミレーション(12,000人ver)'!AY$6:AY$674,)</f>
        <v>0</v>
      </c>
      <c r="AP33" s="2882" t="s">
        <v>2447</v>
      </c>
      <c r="AQ33" s="2882" t="s">
        <v>2447</v>
      </c>
      <c r="AR33" s="397">
        <f>+_xlfn.XLOOKUP($AA33,'[51]②配宿シュミレーション(12,000人ver)'!$AO$6:$AO$674,'[51]②配宿シュミレーション(12,000人ver)'!BB$6:BB$674,)</f>
        <v>269</v>
      </c>
      <c r="AS33" s="397">
        <f>+_xlfn.XLOOKUP($AA33,'[51]②配宿シュミレーション(12,000人ver)'!$AO$6:$AO$674,'[51]②配宿シュミレーション(12,000人ver)'!BC$6:BC$674,)</f>
        <v>269</v>
      </c>
      <c r="AT33" s="397">
        <f>+_xlfn.XLOOKUP($AA33,'[51]②配宿シュミレーション(12,000人ver)'!$AO$6:$AO$674,'[51]②配宿シュミレーション(12,000人ver)'!BD$6:BD$674,)</f>
        <v>269</v>
      </c>
      <c r="AU33" s="397">
        <f>+_xlfn.XLOOKUP($AA33,'[51]②配宿シュミレーション(12,000人ver)'!$AO$6:$AO$674,'[51]②配宿シュミレーション(12,000人ver)'!BE$6:BE$674,)</f>
        <v>269</v>
      </c>
      <c r="AV33" s="397">
        <f>+_xlfn.XLOOKUP($AA33,'[51]②配宿シュミレーション(12,000人ver)'!$AO$6:$AO$674,'[51]②配宿シュミレーション(12,000人ver)'!BF$6:BF$674,)</f>
        <v>269</v>
      </c>
      <c r="AW33" s="397">
        <f>+_xlfn.XLOOKUP($AA33,'[51]②配宿シュミレーション(12,000人ver)'!$AO$6:$AO$674,'[51]②配宿シュミレーション(12,000人ver)'!BG$6:BG$674,)</f>
        <v>269</v>
      </c>
      <c r="AX33" s="397">
        <f>+_xlfn.XLOOKUP($AA33,'[51]②配宿シュミレーション(12,000人ver)'!$AO$6:$AO$674,'[51]②配宿シュミレーション(12,000人ver)'!BH$6:BH$674,)</f>
        <v>269</v>
      </c>
      <c r="AY33" s="397">
        <f>+_xlfn.XLOOKUP($AA33,'[51]②配宿シュミレーション(12,000人ver)'!$AO$6:$AO$674,'[51]②配宿シュミレーション(12,000人ver)'!BI$6:BI$674,)</f>
        <v>269</v>
      </c>
      <c r="AZ33" s="397">
        <f>+_xlfn.XLOOKUP($AA33,'[51]②配宿シュミレーション(12,000人ver)'!$AO$6:$AO$674,'[51]②配宿シュミレーション(12,000人ver)'!BJ$6:BJ$674,)</f>
        <v>269</v>
      </c>
      <c r="BA33" s="397">
        <f>+_xlfn.XLOOKUP($AA33,'[51]②配宿シュミレーション(12,000人ver)'!$AO$6:$AO$674,'[51]②配宿シュミレーション(12,000人ver)'!BK$6:BK$674,)</f>
        <v>269</v>
      </c>
      <c r="BB33" s="397">
        <f>+_xlfn.XLOOKUP($AA33,'[51]②配宿シュミレーション(12,000人ver)'!$AO$6:$AO$674,'[51]②配宿シュミレーション(12,000人ver)'!BL$6:BL$674,)</f>
        <v>269</v>
      </c>
      <c r="BC33" s="397">
        <f>+_xlfn.XLOOKUP($AA33,'[51]②配宿シュミレーション(12,000人ver)'!$AO$6:$AO$674,'[51]②配宿シュミレーション(12,000人ver)'!BM$6:BM$674,)</f>
        <v>269</v>
      </c>
      <c r="BD33" s="397">
        <f>+_xlfn.XLOOKUP($AA33,'[51]②配宿シュミレーション(12,000人ver)'!$AO$6:$AO$674,'[51]②配宿シュミレーション(12,000人ver)'!BN$6:BN$674,)</f>
        <v>269</v>
      </c>
      <c r="BE33" s="397">
        <f>+_xlfn.XLOOKUP($AA33,'[51]②配宿シュミレーション(12,000人ver)'!$AO$6:$AO$674,'[51]②配宿シュミレーション(12,000人ver)'!BO$6:BO$674,)</f>
        <v>269</v>
      </c>
      <c r="BF33" s="397">
        <f>+_xlfn.XLOOKUP($AA33,'[51]②配宿シュミレーション(12,000人ver)'!$AO$6:$AO$674,'[51]②配宿シュミレーション(12,000人ver)'!BP$6:BP$674,)</f>
        <v>269</v>
      </c>
      <c r="BG33" s="397">
        <f>+_xlfn.XLOOKUP($AA33,'[51]②配宿シュミレーション(12,000人ver)'!$AO$6:$AO$674,'[51]②配宿シュミレーション(12,000人ver)'!BQ$6:BQ$674,)</f>
        <v>269</v>
      </c>
      <c r="BH33" s="397">
        <f>+_xlfn.XLOOKUP($AA33,'[51]②配宿シュミレーション(12,000人ver)'!$AO$6:$AO$674,'[51]②配宿シュミレーション(12,000人ver)'!BR$6:BR$674,)</f>
        <v>269</v>
      </c>
      <c r="BI33" s="397">
        <f>+_xlfn.XLOOKUP($AA33,'[51]②配宿シュミレーション(12,000人ver)'!$AO$6:$AO$674,'[51]②配宿シュミレーション(12,000人ver)'!BS$6:BS$674,)</f>
        <v>269</v>
      </c>
      <c r="BJ33" s="397">
        <f>+_xlfn.XLOOKUP($AA33,'[51]②配宿シュミレーション(12,000人ver)'!$AO$6:$AO$674,'[51]②配宿シュミレーション(12,000人ver)'!BT$6:BT$674,)</f>
        <v>269</v>
      </c>
      <c r="BK33" s="2883" t="s">
        <v>2448</v>
      </c>
      <c r="BL33" s="493">
        <f>+_xlfn.XLOOKUP($AA33,'[51]②配宿シュミレーション(12,000人ver)'!$AO$6:$AO$674,'[51]②配宿シュミレーション(12,000人ver)'!BV$6:BV$674,)</f>
        <v>0</v>
      </c>
      <c r="BM33" s="493">
        <f>+_xlfn.XLOOKUP($AA33,'[51]②配宿シュミレーション(12,000人ver)'!$AO$6:$AO$674,'[51]②配宿シュミレーション(12,000人ver)'!BW$6:BW$674,)</f>
        <v>0</v>
      </c>
      <c r="BN33" s="499">
        <f>+_xlfn.XLOOKUP($AA33,'[51]②配宿シュミレーション(12,000人ver)'!$AO$6:$AO$674,'[51]②配宿シュミレーション(12,000人ver)'!BX$6:BX$674,)</f>
        <v>0</v>
      </c>
      <c r="BO33" s="290"/>
      <c r="BP33" s="332"/>
      <c r="BQ33" s="333"/>
    </row>
    <row r="34" spans="1:69" ht="46" customHeight="1">
      <c r="A34" s="2862"/>
      <c r="B34" s="2863"/>
      <c r="C34" s="296"/>
      <c r="D34" s="297" t="str">
        <f>IF(_xlfn.XLOOKUP(E34,[51]宿泊施設DB!$B$3:$B$206,[51]宿泊施設DB!$A$3:$A$206,"",)=0,"",_xlfn.XLOOKUP(E34,[51]宿泊施設DB!$B$3:$B$206,[51]宿泊施設DB!$A$3:$A$206,"",))</f>
        <v/>
      </c>
      <c r="E34" s="298"/>
      <c r="F34" s="2864">
        <f>_xlfn.XLOOKUP($E34,[51]宿泊施設DB!$B$3:$B$206,[51]宿泊施設DB!$D$3:$D$206,"",)</f>
        <v>0</v>
      </c>
      <c r="G34" s="717">
        <f>_xlfn.XLOOKUP($E34,[51]宿泊施設DB!$B$3:$B$206,[51]宿泊施設DB!$E$3:$E$206,"",)</f>
        <v>0</v>
      </c>
      <c r="H34" s="2865">
        <f>_xlfn.XLOOKUP($E34,[51]宿泊施設DB!$B$3:$B$206,[51]宿泊施設DB!$J$3:$J$206,"",)</f>
        <v>0</v>
      </c>
      <c r="I34" s="2866">
        <f>_xlfn.XLOOKUP($E34,[51]宿泊施設DB!$B$3:$B$206,[51]宿泊施設DB!$T$3:$T$206,"",)</f>
        <v>0</v>
      </c>
      <c r="J34" s="2866" t="s">
        <v>2191</v>
      </c>
      <c r="K34" s="2865">
        <f>_xlfn.XLOOKUP($E34,[51]宿泊施設DB!$B$3:$B$206,[51]宿泊施設DB!$S$3:$S$206,"",)</f>
        <v>0</v>
      </c>
      <c r="L34" s="2866">
        <f>_xlfn.XLOOKUP($E34,[51]宿泊施設DB!$B$3:$B$206,[51]宿泊施設DB!$U$3:$U$206,"",)</f>
        <v>0</v>
      </c>
      <c r="M34" s="2866">
        <f>_xlfn.XLOOKUP($E34,[51]宿泊施設DB!$B$3:$B$206,[51]宿泊施設DB!$V$3:$V$206,"",)</f>
        <v>0</v>
      </c>
      <c r="N34" s="2866">
        <f>_xlfn.XLOOKUP($E34,[51]宿泊施設DB!$B$3:$B$206,[51]宿泊施設DB!$W$3:$W$206,"",)</f>
        <v>0</v>
      </c>
      <c r="O34" s="2866">
        <f>_xlfn.XLOOKUP($E34,[51]宿泊施設DB!$B$3:$B$206,[51]宿泊施設DB!$X$3:$X$206,"",)</f>
        <v>0</v>
      </c>
      <c r="P34" s="302" t="str">
        <f t="shared" si="1"/>
        <v/>
      </c>
      <c r="Q34" s="302"/>
      <c r="R34" s="296"/>
      <c r="S34" s="312"/>
      <c r="T34" s="313" t="str">
        <f>IFERROR(VLOOKUP($S34,'[51]競技情報DB(12,000人ver)'!$A$6:$D$201,2,),"－")</f>
        <v>－</v>
      </c>
      <c r="U34" s="314">
        <f>_xlfn.XLOOKUP(S34,'[51]競技情報DB(12,000人ver)'!$A$6:$A$99,'[51]競技情報DB(12,000人ver)'!$D$6:$D$99,"",0,)</f>
        <v>0</v>
      </c>
      <c r="V34" s="315"/>
      <c r="W34" s="316"/>
      <c r="X34" s="317"/>
      <c r="Y34" s="318"/>
      <c r="Z34" s="311"/>
      <c r="AA34" s="319"/>
      <c r="AB34" s="2944"/>
      <c r="AC34" s="2944"/>
      <c r="AD34" s="2945"/>
      <c r="AE34" s="320"/>
      <c r="AF34" s="321"/>
      <c r="AG34" s="321"/>
      <c r="AH34" s="321"/>
      <c r="AI34" s="506"/>
      <c r="AJ34" s="506"/>
      <c r="AK34" s="506"/>
      <c r="AL34" s="506"/>
      <c r="AM34" s="506"/>
      <c r="AN34" s="506"/>
      <c r="AO34" s="506"/>
      <c r="AP34" s="506"/>
      <c r="AQ34" s="506"/>
      <c r="AR34" s="506"/>
      <c r="AS34" s="506"/>
      <c r="AT34" s="506"/>
      <c r="AU34" s="506"/>
      <c r="AV34" s="506"/>
      <c r="AW34" s="506"/>
      <c r="AX34" s="506"/>
      <c r="AY34" s="506"/>
      <c r="AZ34" s="506"/>
      <c r="BA34" s="506"/>
      <c r="BB34" s="506"/>
      <c r="BC34" s="506"/>
      <c r="BD34" s="506"/>
      <c r="BE34" s="506"/>
      <c r="BF34" s="506"/>
      <c r="BG34" s="506"/>
      <c r="BH34" s="506"/>
      <c r="BI34" s="506"/>
      <c r="BJ34" s="506"/>
      <c r="BK34" s="506"/>
      <c r="BL34" s="321"/>
      <c r="BM34" s="321"/>
      <c r="BN34" s="507"/>
      <c r="BO34" s="290"/>
      <c r="BP34" s="332"/>
      <c r="BQ34" s="333"/>
    </row>
    <row r="35" spans="1:69" ht="46" customHeight="1">
      <c r="A35" s="2862"/>
      <c r="B35" s="2863"/>
      <c r="C35" s="372">
        <f>C33+1</f>
        <v>6</v>
      </c>
      <c r="D35" s="2871">
        <f>IF(_xlfn.XLOOKUP(E35,[51]宿泊施設DB!$B$3:$B$206,[51]宿泊施設DB!$A$3:$A$206,"",)=0,"",_xlfn.XLOOKUP(E35,[51]宿泊施設DB!$B$3:$B$206,[51]宿泊施設DB!$A$3:$A$206,"",))</f>
        <v>121</v>
      </c>
      <c r="E35" s="373" t="s">
        <v>2205</v>
      </c>
      <c r="F35" s="2872">
        <f>_xlfn.XLOOKUP($E35,[51]宿泊施設DB!$B$3:$B$206,[51]宿泊施設DB!$D$3:$D$206,"",)</f>
        <v>565</v>
      </c>
      <c r="G35" s="2872">
        <f>_xlfn.XLOOKUP($E35,[51]宿泊施設DB!$B$3:$B$206,[51]宿泊施設DB!$E$3:$E$206,"",)</f>
        <v>776</v>
      </c>
      <c r="H35" s="2884">
        <f>_xlfn.XLOOKUP($E35,[51]宿泊施設DB!$B$3:$B$206,[51]宿泊施設DB!$J$3:$J$206,"",)</f>
        <v>15</v>
      </c>
      <c r="I35" s="2885" t="str">
        <f>_xlfn.XLOOKUP($E35,[51]宿泊施設DB!$B$3:$B$206,[51]宿泊施設DB!$T$3:$T$206,"",)</f>
        <v>－</v>
      </c>
      <c r="J35" s="2885" t="str">
        <f>_xlfn.XLOOKUP($E35,[51]宿泊施設DB!$B$3:$B$206,[51]宿泊施設DB!$R$3:$R$206,"",)</f>
        <v>宿泊施設</v>
      </c>
      <c r="K35" s="2884">
        <f>_xlfn.XLOOKUP($E35,[51]宿泊施設DB!$B$3:$B$206,[51]宿泊施設DB!$S$3:$S$206,"",)</f>
        <v>116</v>
      </c>
      <c r="L35" s="2885" t="str">
        <f>_xlfn.XLOOKUP($E35,[51]宿泊施設DB!$B$3:$B$206,[51]宿泊施設DB!$U$3:$U$206,"",)</f>
        <v>○</v>
      </c>
      <c r="M35" s="2885" t="str">
        <f>_xlfn.XLOOKUP($E35,[51]宿泊施設DB!$B$3:$B$206,[51]宿泊施設DB!$V$3:$V$206,"",)</f>
        <v>○(ｼﾞﾑ内等)</v>
      </c>
      <c r="N35" s="2885" t="str">
        <f>_xlfn.XLOOKUP($E35,[51]宿泊施設DB!$B$3:$B$206,[51]宿泊施設DB!$W$3:$W$206,"",)</f>
        <v>－</v>
      </c>
      <c r="O35" s="2885" t="str">
        <f>_xlfn.XLOOKUP($E35,[51]宿泊施設DB!$B$3:$B$206,[51]宿泊施設DB!$X$3:$X$206,"",)</f>
        <v>玄関前（屋根付）2台</v>
      </c>
      <c r="P35" s="377" t="str">
        <f t="shared" si="1"/>
        <v>○</v>
      </c>
      <c r="Q35" s="377" t="s">
        <v>2161</v>
      </c>
      <c r="R35" s="2886" t="s">
        <v>2169</v>
      </c>
      <c r="S35" s="512" t="s">
        <v>2459</v>
      </c>
      <c r="T35" s="388" t="str">
        <f>IFERROR(VLOOKUP($S35,'[51]競技情報DB(12,000人ver)'!$A$6:$D$201,2,),"－")</f>
        <v>刈谷市</v>
      </c>
      <c r="U35" s="389">
        <f>_xlfn.XLOOKUP(S35,'[51]競技情報DB(12,000人ver)'!$A$6:$A$99,'[51]競技情報DB(12,000人ver)'!$D$6:$D$99,"",0,)</f>
        <v>187</v>
      </c>
      <c r="V35" s="390">
        <f>SUM(U35:U40)</f>
        <v>735</v>
      </c>
      <c r="W35" s="513">
        <v>24.1</v>
      </c>
      <c r="X35" s="514">
        <v>24</v>
      </c>
      <c r="Y35" s="2887">
        <f>$G35-MAX(AF35:BN35)</f>
        <v>77</v>
      </c>
      <c r="Z35" s="394">
        <f>+Y35/$G35</f>
        <v>9.9226804123711335E-2</v>
      </c>
      <c r="AA35" s="515" t="str">
        <f>E35&amp;"　"&amp;"合計"</f>
        <v>名古屋東急ホテル　合計</v>
      </c>
      <c r="AB35" s="2951">
        <v>45542</v>
      </c>
      <c r="AC35" s="2951">
        <v>45570</v>
      </c>
      <c r="AD35" s="2943">
        <v>28</v>
      </c>
      <c r="AE35" s="396" t="s">
        <v>2175</v>
      </c>
      <c r="AF35" s="398">
        <f>+_xlfn.XLOOKUP($AA35,'[51]②配宿シュミレーション(12,000人ver)'!$AO$6:$AO$674,'[51]②配宿シュミレーション(12,000人ver)'!AP$6:AP$674,)</f>
        <v>0</v>
      </c>
      <c r="AG35" s="398">
        <f>+_xlfn.XLOOKUP($AA35,'[51]②配宿シュミレーション(12,000人ver)'!$AO$6:$AO$674,'[51]②配宿シュミレーション(12,000人ver)'!AQ$6:AQ$674,)</f>
        <v>0</v>
      </c>
      <c r="AH35" s="398">
        <f>+_xlfn.XLOOKUP($AA35,'[51]②配宿シュミレーション(12,000人ver)'!$AO$6:$AO$674,'[51]②配宿シュミレーション(12,000人ver)'!AR$6:AR$674,)</f>
        <v>0</v>
      </c>
      <c r="AI35" s="2888" t="s">
        <v>2447</v>
      </c>
      <c r="AJ35" s="2888" t="s">
        <v>2447</v>
      </c>
      <c r="AK35" s="494">
        <f>+_xlfn.XLOOKUP($AA35,'[51]②配宿シュミレーション(12,000人ver)'!$AO$6:$AO$674,'[51]②配宿シュミレーション(12,000人ver)'!AU$6:AU$674,)</f>
        <v>374</v>
      </c>
      <c r="AL35" s="494">
        <f>+_xlfn.XLOOKUP($AA35,'[51]②配宿シュミレーション(12,000人ver)'!$AO$6:$AO$674,'[51]②配宿シュミレーション(12,000人ver)'!AV$6:AV$674,)</f>
        <v>374</v>
      </c>
      <c r="AM35" s="494">
        <f>+_xlfn.XLOOKUP($AA35,'[51]②配宿シュミレーション(12,000人ver)'!$AO$6:$AO$674,'[51]②配宿シュミレーション(12,000人ver)'!AW$6:AW$674,)</f>
        <v>374</v>
      </c>
      <c r="AN35" s="494">
        <f>+_xlfn.XLOOKUP($AA35,'[51]②配宿シュミレーション(12,000人ver)'!$AO$6:$AO$674,'[51]②配宿シュミレーション(12,000人ver)'!AX$6:AX$674,)</f>
        <v>374</v>
      </c>
      <c r="AO35" s="494">
        <f>+_xlfn.XLOOKUP($AA35,'[51]②配宿シュミレーション(12,000人ver)'!$AO$6:$AO$674,'[51]②配宿シュミレーション(12,000人ver)'!AY$6:AY$674,)</f>
        <v>410</v>
      </c>
      <c r="AP35" s="494">
        <f>+_xlfn.XLOOKUP($AA35,'[51]②配宿シュミレーション(12,000人ver)'!$AO$6:$AO$674,'[51]②配宿シュミレーション(12,000人ver)'!AZ$6:AZ$674,)</f>
        <v>410</v>
      </c>
      <c r="AQ35" s="494">
        <f>+_xlfn.XLOOKUP($AA35,'[51]②配宿シュミレーション(12,000人ver)'!$AO$6:$AO$674,'[51]②配宿シュミレーション(12,000人ver)'!BA$6:BA$674,)</f>
        <v>410</v>
      </c>
      <c r="AR35" s="494">
        <f>+_xlfn.XLOOKUP($AA35,'[51]②配宿シュミレーション(12,000人ver)'!$AO$6:$AO$674,'[51]②配宿シュミレーション(12,000人ver)'!BB$6:BB$674,)</f>
        <v>657</v>
      </c>
      <c r="AS35" s="494">
        <f>+_xlfn.XLOOKUP($AA35,'[51]②配宿シュミレーション(12,000人ver)'!$AO$6:$AO$674,'[51]②配宿シュミレーション(12,000人ver)'!BC$6:BC$674,)</f>
        <v>657</v>
      </c>
      <c r="AT35" s="494">
        <f>+_xlfn.XLOOKUP($AA35,'[51]②配宿シュミレーション(12,000人ver)'!$AO$6:$AO$674,'[51]②配宿シュミレーション(12,000人ver)'!BD$6:BD$674,)</f>
        <v>657</v>
      </c>
      <c r="AU35" s="494">
        <f>+_xlfn.XLOOKUP($AA35,'[51]②配宿シュミレーション(12,000人ver)'!$AO$6:$AO$674,'[51]②配宿シュミレーション(12,000人ver)'!BE$6:BE$674,)</f>
        <v>657</v>
      </c>
      <c r="AV35" s="494">
        <f>+_xlfn.XLOOKUP($AA35,'[51]②配宿シュミレーション(12,000人ver)'!$AO$6:$AO$674,'[51]②配宿シュミレーション(12,000人ver)'!BF$6:BF$674,)</f>
        <v>692</v>
      </c>
      <c r="AW35" s="494">
        <f>+_xlfn.XLOOKUP($AA35,'[51]②配宿シュミレーション(12,000人ver)'!$AO$6:$AO$674,'[51]②配宿シュミレーション(12,000人ver)'!BG$6:BG$674,)</f>
        <v>692</v>
      </c>
      <c r="AX35" s="494">
        <f>+_xlfn.XLOOKUP($AA35,'[51]②配宿シュミレーション(12,000人ver)'!$AO$6:$AO$674,'[51]②配宿シュミレーション(12,000人ver)'!BH$6:BH$674,)</f>
        <v>656</v>
      </c>
      <c r="AY35" s="494">
        <f>+_xlfn.XLOOKUP($AA35,'[51]②配宿シュミレーション(12,000人ver)'!$AO$6:$AO$674,'[51]②配宿シュミレーション(12,000人ver)'!BI$6:BI$674,)</f>
        <v>699</v>
      </c>
      <c r="AZ35" s="494">
        <f>+_xlfn.XLOOKUP($AA35,'[51]②配宿シュミレーション(12,000人ver)'!$AO$6:$AO$674,'[51]②配宿シュミレーション(12,000人ver)'!BJ$6:BJ$674,)</f>
        <v>699</v>
      </c>
      <c r="BA35" s="494">
        <f>+_xlfn.XLOOKUP($AA35,'[51]②配宿シュミレーション(12,000人ver)'!$AO$6:$AO$674,'[51]②配宿シュミレーション(12,000人ver)'!BK$6:BK$674,)</f>
        <v>699</v>
      </c>
      <c r="BB35" s="494">
        <f>+_xlfn.XLOOKUP($AA35,'[51]②配宿シュミレーション(12,000人ver)'!$AO$6:$AO$674,'[51]②配宿シュミレーション(12,000人ver)'!BL$6:BL$674,)</f>
        <v>452</v>
      </c>
      <c r="BC35" s="494">
        <f>+_xlfn.XLOOKUP($AA35,'[51]②配宿シュミレーション(12,000人ver)'!$AO$6:$AO$674,'[51]②配宿シュミレーション(12,000人ver)'!BM$6:BM$674,)</f>
        <v>452</v>
      </c>
      <c r="BD35" s="494">
        <f>+_xlfn.XLOOKUP($AA35,'[51]②配宿シュミレーション(12,000人ver)'!$AO$6:$AO$674,'[51]②配宿シュミレーション(12,000人ver)'!BN$6:BN$674,)</f>
        <v>409</v>
      </c>
      <c r="BE35" s="494">
        <f>+_xlfn.XLOOKUP($AA35,'[51]②配宿シュミレーション(12,000人ver)'!$AO$6:$AO$674,'[51]②配宿シュミレーション(12,000人ver)'!BO$6:BO$674,)</f>
        <v>374</v>
      </c>
      <c r="BF35" s="494">
        <f>+_xlfn.XLOOKUP($AA35,'[51]②配宿シュミレーション(12,000人ver)'!$AO$6:$AO$674,'[51]②配宿シュミレーション(12,000人ver)'!BP$6:BP$674,)</f>
        <v>374</v>
      </c>
      <c r="BG35" s="494">
        <f>+_xlfn.XLOOKUP($AA35,'[51]②配宿シュミレーション(12,000人ver)'!$AO$6:$AO$674,'[51]②配宿シュミレーション(12,000人ver)'!BQ$6:BQ$674,)</f>
        <v>374</v>
      </c>
      <c r="BH35" s="494">
        <f>+_xlfn.XLOOKUP($AA35,'[51]②配宿シュミレーション(12,000人ver)'!$AO$6:$AO$674,'[51]②配宿シュミレーション(12,000人ver)'!BR$6:BR$674,)</f>
        <v>374</v>
      </c>
      <c r="BI35" s="494">
        <f>+_xlfn.XLOOKUP($AA35,'[51]②配宿シュミレーション(12,000人ver)'!$AO$6:$AO$674,'[51]②配宿シュミレーション(12,000人ver)'!BS$6:BS$674,)</f>
        <v>374</v>
      </c>
      <c r="BJ35" s="494">
        <f>+_xlfn.XLOOKUP($AA35,'[51]②配宿シュミレーション(12,000人ver)'!$AO$6:$AO$674,'[51]②配宿シュミレーション(12,000人ver)'!BT$6:BT$674,)</f>
        <v>374</v>
      </c>
      <c r="BK35" s="2889" t="s">
        <v>2448</v>
      </c>
      <c r="BL35" s="398">
        <f>+_xlfn.XLOOKUP($AA35,'[51]②配宿シュミレーション(12,000人ver)'!$AO$6:$AO$674,'[51]②配宿シュミレーション(12,000人ver)'!BV$6:BV$674,)</f>
        <v>0</v>
      </c>
      <c r="BM35" s="398">
        <f>+_xlfn.XLOOKUP($AA35,'[51]②配宿シュミレーション(12,000人ver)'!$AO$6:$AO$674,'[51]②配宿シュミレーション(12,000人ver)'!BW$6:BW$674,)</f>
        <v>0</v>
      </c>
      <c r="BN35" s="472">
        <f>+_xlfn.XLOOKUP($AA35,'[51]②配宿シュミレーション(12,000人ver)'!$AO$6:$AO$674,'[51]②配宿シュミレーション(12,000人ver)'!BX$6:BX$674,)</f>
        <v>0</v>
      </c>
      <c r="BO35" s="290"/>
      <c r="BP35" s="404"/>
      <c r="BQ35" s="405"/>
    </row>
    <row r="36" spans="1:69" ht="46" customHeight="1">
      <c r="A36" s="2862"/>
      <c r="B36" s="2863"/>
      <c r="C36" s="296"/>
      <c r="D36" s="297" t="str">
        <f>IF(_xlfn.XLOOKUP(E36,[51]宿泊施設DB!$B$3:$B$206,[51]宿泊施設DB!$A$3:$A$206,"",)=0,"",_xlfn.XLOOKUP(E36,[51]宿泊施設DB!$B$3:$B$206,[51]宿泊施設DB!$A$3:$A$206,"",))</f>
        <v/>
      </c>
      <c r="E36" s="298"/>
      <c r="F36" s="2864">
        <f>_xlfn.XLOOKUP($E36,[51]宿泊施設DB!$B$3:$B$206,[51]宿泊施設DB!$D$3:$D$206,"",)</f>
        <v>0</v>
      </c>
      <c r="G36" s="2864">
        <f>_xlfn.XLOOKUP($E36,[51]宿泊施設DB!$B$3:$B$206,[51]宿泊施設DB!$E$3:$E$206,"",)</f>
        <v>0</v>
      </c>
      <c r="H36" s="2890">
        <f>_xlfn.XLOOKUP($E36,[51]宿泊施設DB!$B$3:$B$206,[51]宿泊施設DB!$J$3:$J$206,"",)</f>
        <v>0</v>
      </c>
      <c r="I36" s="2891">
        <f>_xlfn.XLOOKUP($E36,[51]宿泊施設DB!$B$3:$B$206,[51]宿泊施設DB!$T$3:$T$206,"",)</f>
        <v>0</v>
      </c>
      <c r="J36" s="2891">
        <f>_xlfn.XLOOKUP($E36,[51]宿泊施設DB!$B$3:$B$206,[51]宿泊施設DB!$R$3:$R$206,"",)</f>
        <v>0</v>
      </c>
      <c r="K36" s="2890">
        <f>_xlfn.XLOOKUP($E36,[51]宿泊施設DB!$B$3:$B$206,[51]宿泊施設DB!$S$3:$S$206,"",)</f>
        <v>0</v>
      </c>
      <c r="L36" s="2891">
        <f>_xlfn.XLOOKUP($E36,[51]宿泊施設DB!$B$3:$B$206,[51]宿泊施設DB!$U$3:$U$206,"",)</f>
        <v>0</v>
      </c>
      <c r="M36" s="2891">
        <f>_xlfn.XLOOKUP($E36,[51]宿泊施設DB!$B$3:$B$206,[51]宿泊施設DB!$V$3:$V$206,"",)</f>
        <v>0</v>
      </c>
      <c r="N36" s="2891">
        <f>_xlfn.XLOOKUP($E36,[51]宿泊施設DB!$B$3:$B$206,[51]宿泊施設DB!$W$3:$W$206,"",)</f>
        <v>0</v>
      </c>
      <c r="O36" s="2891">
        <f>_xlfn.XLOOKUP($E36,[51]宿泊施設DB!$B$3:$B$206,[51]宿泊施設DB!$X$3:$X$206,"",)</f>
        <v>0</v>
      </c>
      <c r="P36" s="302" t="str">
        <f t="shared" si="1"/>
        <v/>
      </c>
      <c r="Q36" s="302"/>
      <c r="R36" s="2892"/>
      <c r="S36" s="312" t="s">
        <v>2460</v>
      </c>
      <c r="T36" s="313" t="str">
        <f>IFERROR(VLOOKUP($S36,'[51]競技情報DB(12,000人ver)'!$A$6:$D$201,2,),"－")</f>
        <v>刈谷市</v>
      </c>
      <c r="U36" s="314">
        <f>_xlfn.XLOOKUP(S36,'[51]競技情報DB(12,000人ver)'!$A$6:$A$99,'[51]競技情報DB(12,000人ver)'!$D$6:$D$99,"",0,)</f>
        <v>187</v>
      </c>
      <c r="V36" s="315"/>
      <c r="W36" s="2893">
        <v>24.1</v>
      </c>
      <c r="X36" s="548">
        <v>24</v>
      </c>
      <c r="Y36" s="2894"/>
      <c r="Z36" s="311"/>
      <c r="AA36" s="319"/>
      <c r="AB36" s="2944"/>
      <c r="AC36" s="2944"/>
      <c r="AD36" s="2945"/>
      <c r="AE36" s="320"/>
      <c r="AF36" s="322"/>
      <c r="AG36" s="322"/>
      <c r="AH36" s="322"/>
      <c r="AI36" s="322"/>
      <c r="AJ36" s="322"/>
      <c r="AK36" s="322"/>
      <c r="AL36" s="322"/>
      <c r="AM36" s="322"/>
      <c r="AN36" s="322"/>
      <c r="AO36" s="322"/>
      <c r="AP36" s="322"/>
      <c r="AQ36" s="322"/>
      <c r="AR36" s="322"/>
      <c r="AS36" s="322"/>
      <c r="AT36" s="322"/>
      <c r="AU36" s="322"/>
      <c r="AV36" s="322"/>
      <c r="AW36" s="322"/>
      <c r="AX36" s="322"/>
      <c r="AY36" s="322"/>
      <c r="AZ36" s="322"/>
      <c r="BA36" s="322"/>
      <c r="BB36" s="322"/>
      <c r="BC36" s="322"/>
      <c r="BD36" s="322"/>
      <c r="BE36" s="322"/>
      <c r="BF36" s="322"/>
      <c r="BG36" s="322"/>
      <c r="BH36" s="322"/>
      <c r="BI36" s="322"/>
      <c r="BJ36" s="322"/>
      <c r="BK36" s="322"/>
      <c r="BL36" s="322"/>
      <c r="BM36" s="322"/>
      <c r="BN36" s="507"/>
      <c r="BO36" s="290"/>
      <c r="BP36" s="332"/>
      <c r="BQ36" s="333"/>
    </row>
    <row r="37" spans="1:69" ht="46" customHeight="1">
      <c r="A37" s="2862"/>
      <c r="B37" s="2863"/>
      <c r="C37" s="296"/>
      <c r="D37" s="297" t="str">
        <f>IF(_xlfn.XLOOKUP(E37,[51]宿泊施設DB!$B$3:$B$206,[51]宿泊施設DB!$A$3:$A$206,"",)=0,"",_xlfn.XLOOKUP(E37,[51]宿泊施設DB!$B$3:$B$206,[51]宿泊施設DB!$A$3:$A$206,"",))</f>
        <v/>
      </c>
      <c r="E37" s="298"/>
      <c r="F37" s="2864">
        <f>_xlfn.XLOOKUP($E37,[51]宿泊施設DB!$B$3:$B$206,[51]宿泊施設DB!$D$3:$D$206,"",)</f>
        <v>0</v>
      </c>
      <c r="G37" s="2864">
        <f>_xlfn.XLOOKUP($E37,[51]宿泊施設DB!$B$3:$B$206,[51]宿泊施設DB!$E$3:$E$206,"",)</f>
        <v>0</v>
      </c>
      <c r="H37" s="2890">
        <f>_xlfn.XLOOKUP($E37,[51]宿泊施設DB!$B$3:$B$206,[51]宿泊施設DB!$J$3:$J$206,"",)</f>
        <v>0</v>
      </c>
      <c r="I37" s="2891">
        <f>_xlfn.XLOOKUP($E37,[51]宿泊施設DB!$B$3:$B$206,[51]宿泊施設DB!$T$3:$T$206,"",)</f>
        <v>0</v>
      </c>
      <c r="J37" s="2891">
        <f>_xlfn.XLOOKUP($E37,[51]宿泊施設DB!$B$3:$B$206,[51]宿泊施設DB!$R$3:$R$206,"",)</f>
        <v>0</v>
      </c>
      <c r="K37" s="2890">
        <f>_xlfn.XLOOKUP($E37,[51]宿泊施設DB!$B$3:$B$206,[51]宿泊施設DB!$S$3:$S$206,"",)</f>
        <v>0</v>
      </c>
      <c r="L37" s="2891">
        <f>_xlfn.XLOOKUP($E37,[51]宿泊施設DB!$B$3:$B$206,[51]宿泊施設DB!$U$3:$U$206,"",)</f>
        <v>0</v>
      </c>
      <c r="M37" s="2891">
        <f>_xlfn.XLOOKUP($E37,[51]宿泊施設DB!$B$3:$B$206,[51]宿泊施設DB!$V$3:$V$206,"",)</f>
        <v>0</v>
      </c>
      <c r="N37" s="2891">
        <f>_xlfn.XLOOKUP($E37,[51]宿泊施設DB!$B$3:$B$206,[51]宿泊施設DB!$W$3:$W$206,"",)</f>
        <v>0</v>
      </c>
      <c r="O37" s="2891">
        <f>_xlfn.XLOOKUP($E37,[51]宿泊施設DB!$B$3:$B$206,[51]宿泊施設DB!$X$3:$X$206,"",)</f>
        <v>0</v>
      </c>
      <c r="P37" s="302" t="str">
        <f t="shared" si="1"/>
        <v/>
      </c>
      <c r="Q37" s="302"/>
      <c r="R37" s="2892"/>
      <c r="S37" s="312" t="s">
        <v>2162</v>
      </c>
      <c r="T37" s="313" t="str">
        <f>IFERROR(VLOOKUP($S37,'[51]競技情報DB(12,000人ver)'!$A$6:$D$201,2,),"－")</f>
        <v>名古屋市</v>
      </c>
      <c r="U37" s="314">
        <f>_xlfn.XLOOKUP(S37,'[51]競技情報DB(12,000人ver)'!$A$6:$A$99,'[51]競技情報DB(12,000人ver)'!$D$6:$D$99,"",0,)</f>
        <v>247</v>
      </c>
      <c r="V37" s="315"/>
      <c r="W37" s="2893">
        <v>3</v>
      </c>
      <c r="X37" s="548">
        <v>11</v>
      </c>
      <c r="Y37" s="2894"/>
      <c r="Z37" s="311"/>
      <c r="AA37" s="334"/>
      <c r="AB37" s="2939"/>
      <c r="AC37" s="2939"/>
      <c r="AD37" s="2943"/>
      <c r="AE37" s="335"/>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40"/>
      <c r="BO37" s="290"/>
      <c r="BP37" s="332"/>
      <c r="BQ37" s="333"/>
    </row>
    <row r="38" spans="1:69" ht="46" customHeight="1">
      <c r="A38" s="2862"/>
      <c r="B38" s="2863"/>
      <c r="C38" s="296"/>
      <c r="D38" s="297"/>
      <c r="E38" s="298"/>
      <c r="F38" s="2864"/>
      <c r="G38" s="2864"/>
      <c r="H38" s="2890"/>
      <c r="I38" s="2891"/>
      <c r="J38" s="2891"/>
      <c r="K38" s="2890"/>
      <c r="L38" s="2891"/>
      <c r="M38" s="2891"/>
      <c r="N38" s="2891"/>
      <c r="O38" s="2891"/>
      <c r="P38" s="302"/>
      <c r="Q38" s="302"/>
      <c r="R38" s="2892"/>
      <c r="S38" s="312" t="s">
        <v>2310</v>
      </c>
      <c r="T38" s="313" t="str">
        <f>IFERROR(VLOOKUP($S38,'[51]競技情報DB(12,000人ver)'!$A$6:$D$201,2,),"－")</f>
        <v>安城市</v>
      </c>
      <c r="U38" s="314">
        <f>_xlfn.XLOOKUP(S38,'[51]競技情報DB(12,000人ver)'!$A$6:$A$99,'[51]競技情報DB(12,000人ver)'!$D$6:$D$99,"",0,)</f>
        <v>36</v>
      </c>
      <c r="V38" s="315"/>
      <c r="W38" s="2893">
        <v>34.700000000000003</v>
      </c>
      <c r="X38" s="548">
        <v>38</v>
      </c>
      <c r="Y38" s="2894"/>
      <c r="Z38" s="311"/>
      <c r="AA38" s="334"/>
      <c r="AB38" s="2939"/>
      <c r="AC38" s="2939"/>
      <c r="AD38" s="2943"/>
      <c r="AE38" s="335"/>
      <c r="AF38" s="33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336"/>
      <c r="BE38" s="336"/>
      <c r="BF38" s="336"/>
      <c r="BG38" s="336"/>
      <c r="BH38" s="336"/>
      <c r="BI38" s="336"/>
      <c r="BJ38" s="336"/>
      <c r="BK38" s="336"/>
      <c r="BL38" s="336"/>
      <c r="BM38" s="336"/>
      <c r="BN38" s="340"/>
      <c r="BO38" s="290"/>
      <c r="BP38" s="332"/>
      <c r="BQ38" s="333"/>
    </row>
    <row r="39" spans="1:69" ht="46" customHeight="1">
      <c r="A39" s="2862"/>
      <c r="B39" s="2863"/>
      <c r="C39" s="296"/>
      <c r="D39" s="297"/>
      <c r="E39" s="298"/>
      <c r="F39" s="2864"/>
      <c r="G39" s="2864"/>
      <c r="H39" s="2890"/>
      <c r="I39" s="2891"/>
      <c r="J39" s="2891"/>
      <c r="K39" s="2890"/>
      <c r="L39" s="2891"/>
      <c r="M39" s="2891"/>
      <c r="N39" s="2891"/>
      <c r="O39" s="2891"/>
      <c r="P39" s="302"/>
      <c r="Q39" s="302"/>
      <c r="R39" s="2892"/>
      <c r="S39" s="312" t="s">
        <v>2204</v>
      </c>
      <c r="T39" s="313" t="str">
        <f>IFERROR(VLOOKUP($S39,'[51]競技情報DB(12,000人ver)'!$A$6:$D$201,2,),"－")</f>
        <v>名古屋市</v>
      </c>
      <c r="U39" s="314">
        <f>_xlfn.XLOOKUP(S39,'[51]競技情報DB(12,000人ver)'!$A$6:$A$99,'[51]競技情報DB(12,000人ver)'!$D$6:$D$99,"",0,)</f>
        <v>43</v>
      </c>
      <c r="V39" s="315"/>
      <c r="W39" s="2893"/>
      <c r="X39" s="548"/>
      <c r="Y39" s="2894"/>
      <c r="Z39" s="311"/>
      <c r="AA39" s="334"/>
      <c r="AB39" s="2939"/>
      <c r="AC39" s="2939"/>
      <c r="AD39" s="2943"/>
      <c r="AE39" s="335"/>
      <c r="AF39" s="33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336"/>
      <c r="BE39" s="336"/>
      <c r="BF39" s="336"/>
      <c r="BG39" s="336"/>
      <c r="BH39" s="336"/>
      <c r="BI39" s="336"/>
      <c r="BJ39" s="336"/>
      <c r="BK39" s="336"/>
      <c r="BL39" s="336"/>
      <c r="BM39" s="336"/>
      <c r="BN39" s="340"/>
      <c r="BO39" s="290"/>
      <c r="BP39" s="332"/>
      <c r="BQ39" s="333"/>
    </row>
    <row r="40" spans="1:69" ht="46" customHeight="1">
      <c r="A40" s="2862"/>
      <c r="B40" s="2863"/>
      <c r="C40" s="296"/>
      <c r="D40" s="297" t="str">
        <f>IF(_xlfn.XLOOKUP(E40,[51]宿泊施設DB!$B$3:$B$206,[51]宿泊施設DB!$A$3:$A$206,"",)=0,"",_xlfn.XLOOKUP(E40,[51]宿泊施設DB!$B$3:$B$206,[51]宿泊施設DB!$A$3:$A$206,"",))</f>
        <v/>
      </c>
      <c r="E40" s="298"/>
      <c r="F40" s="2864">
        <f>_xlfn.XLOOKUP($E40,[51]宿泊施設DB!$B$3:$B$206,[51]宿泊施設DB!$D$3:$D$206,"",)</f>
        <v>0</v>
      </c>
      <c r="G40" s="2864">
        <f>_xlfn.XLOOKUP($E40,[51]宿泊施設DB!$B$3:$B$206,[51]宿泊施設DB!$E$3:$E$206,"",)</f>
        <v>0</v>
      </c>
      <c r="H40" s="2890">
        <f>_xlfn.XLOOKUP($E40,[51]宿泊施設DB!$B$3:$B$206,[51]宿泊施設DB!$J$3:$J$206,"",)</f>
        <v>0</v>
      </c>
      <c r="I40" s="2891">
        <f>_xlfn.XLOOKUP($E40,[51]宿泊施設DB!$B$3:$B$206,[51]宿泊施設DB!$T$3:$T$206,"",)</f>
        <v>0</v>
      </c>
      <c r="J40" s="2891">
        <f>_xlfn.XLOOKUP($E40,[51]宿泊施設DB!$B$3:$B$206,[51]宿泊施設DB!$R$3:$R$206,"",)</f>
        <v>0</v>
      </c>
      <c r="K40" s="2890">
        <f>_xlfn.XLOOKUP($E40,[51]宿泊施設DB!$B$3:$B$206,[51]宿泊施設DB!$S$3:$S$206,"",)</f>
        <v>0</v>
      </c>
      <c r="L40" s="2891">
        <f>_xlfn.XLOOKUP($E40,[51]宿泊施設DB!$B$3:$B$206,[51]宿泊施設DB!$U$3:$U$206,"",)</f>
        <v>0</v>
      </c>
      <c r="M40" s="2891">
        <f>_xlfn.XLOOKUP($E40,[51]宿泊施設DB!$B$3:$B$206,[51]宿泊施設DB!$V$3:$V$206,"",)</f>
        <v>0</v>
      </c>
      <c r="N40" s="2891">
        <f>_xlfn.XLOOKUP($E40,[51]宿泊施設DB!$B$3:$B$206,[51]宿泊施設DB!$W$3:$W$206,"",)</f>
        <v>0</v>
      </c>
      <c r="O40" s="2891">
        <f>_xlfn.XLOOKUP($E40,[51]宿泊施設DB!$B$3:$B$206,[51]宿泊施設DB!$X$3:$X$206,"",)</f>
        <v>0</v>
      </c>
      <c r="P40" s="302" t="str">
        <f t="shared" ref="P40:P103" si="2">IF(AND(E40&lt;&gt;"", S40&lt;&gt;"－"), "○", "")</f>
        <v/>
      </c>
      <c r="Q40" s="302"/>
      <c r="R40" s="2892"/>
      <c r="S40" s="312" t="s">
        <v>2203</v>
      </c>
      <c r="T40" s="313" t="str">
        <f>IFERROR(VLOOKUP($S40,'[51]競技情報DB(12,000人ver)'!$A$6:$D$201,2,),"－")</f>
        <v>名古屋市</v>
      </c>
      <c r="U40" s="314">
        <f>_xlfn.XLOOKUP(S40,'[51]競技情報DB(12,000人ver)'!$A$6:$A$99,'[51]競技情報DB(12,000人ver)'!$D$6:$D$99,"",0,)</f>
        <v>35</v>
      </c>
      <c r="V40" s="315"/>
      <c r="W40" s="2893"/>
      <c r="X40" s="548"/>
      <c r="Y40" s="2895"/>
      <c r="Z40" s="435"/>
      <c r="AA40" s="334"/>
      <c r="AB40" s="2939"/>
      <c r="AC40" s="2939"/>
      <c r="AD40" s="2943"/>
      <c r="AE40" s="335"/>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40"/>
      <c r="BO40" s="290"/>
      <c r="BP40" s="332"/>
      <c r="BQ40" s="333"/>
    </row>
    <row r="41" spans="1:69" s="564" customFormat="1" ht="46" customHeight="1">
      <c r="A41" s="2862"/>
      <c r="B41" s="2863"/>
      <c r="C41" s="372">
        <f>C35+1</f>
        <v>7</v>
      </c>
      <c r="D41" s="2871">
        <f>IF(_xlfn.XLOOKUP(E41,[51]宿泊施設DB!$B$3:$B$206,[51]宿泊施設DB!$A$3:$A$206,"",)=0,"",_xlfn.XLOOKUP(E41,[51]宿泊施設DB!$B$3:$B$206,[51]宿泊施設DB!$A$3:$A$206,"",))</f>
        <v>93</v>
      </c>
      <c r="E41" s="373" t="s">
        <v>2212</v>
      </c>
      <c r="F41" s="2872">
        <f>_xlfn.XLOOKUP($E41,[51]宿泊施設DB!$B$3:$B$206,[51]宿泊施設DB!$D$3:$D$206,"",)</f>
        <v>580</v>
      </c>
      <c r="G41" s="2872">
        <f>_xlfn.XLOOKUP($E41,[51]宿泊施設DB!$B$3:$B$206,[51]宿泊施設DB!$E$3:$E$206,"",)</f>
        <v>681</v>
      </c>
      <c r="H41" s="2873">
        <f>_xlfn.XLOOKUP($E41,[51]宿泊施設DB!$B$3:$B$206,[51]宿泊施設DB!$J$3:$J$206,"",)</f>
        <v>12</v>
      </c>
      <c r="I41" s="2874" t="str">
        <f>_xlfn.XLOOKUP($E41,[51]宿泊施設DB!$B$3:$B$206,[51]宿泊施設DB!$T$3:$T$206,"",)</f>
        <v>中</v>
      </c>
      <c r="J41" s="2874" t="str">
        <f>_xlfn.XLOOKUP($E41,[51]宿泊施設DB!$B$3:$B$206,[51]宿泊施設DB!$R$3:$R$206,"",)</f>
        <v>宿泊施設</v>
      </c>
      <c r="K41" s="2873">
        <f>_xlfn.XLOOKUP($E41,[51]宿泊施設DB!$B$3:$B$206,[51]宿泊施設DB!$S$3:$S$206,"",)</f>
        <v>120</v>
      </c>
      <c r="L41" s="2874" t="str">
        <f>_xlfn.XLOOKUP($E41,[51]宿泊施設DB!$B$3:$B$206,[51]宿泊施設DB!$U$3:$U$206,"",)</f>
        <v>－</v>
      </c>
      <c r="M41" s="2874" t="str">
        <f>_xlfn.XLOOKUP($E41,[51]宿泊施設DB!$B$3:$B$206,[51]宿泊施設DB!$V$3:$V$206,"",)</f>
        <v>－</v>
      </c>
      <c r="N41" s="2874" t="str">
        <f>_xlfn.XLOOKUP($E41,[51]宿泊施設DB!$B$3:$B$206,[51]宿泊施設DB!$W$3:$W$206,"",)</f>
        <v>○</v>
      </c>
      <c r="O41" s="2874" t="str">
        <f>_xlfn.XLOOKUP($E41,[51]宿泊施設DB!$B$3:$B$206,[51]宿泊施設DB!$X$3:$X$206,"",)</f>
        <v>路上2台</v>
      </c>
      <c r="P41" s="377" t="str">
        <f t="shared" si="2"/>
        <v>○</v>
      </c>
      <c r="Q41" s="377"/>
      <c r="R41" s="372" t="s">
        <v>2169</v>
      </c>
      <c r="S41" s="512" t="s">
        <v>2213</v>
      </c>
      <c r="T41" s="388" t="str">
        <f>IFERROR(VLOOKUP($S41,'[51]競技情報DB(12,000人ver)'!$A$6:$D$201,2,),"－")</f>
        <v>春日井市</v>
      </c>
      <c r="U41" s="389">
        <f>_xlfn.XLOOKUP(S41,'[51]競技情報DB(12,000人ver)'!$A$6:$A$99,'[51]競技情報DB(12,000人ver)'!$D$6:$D$99,"",0,)</f>
        <v>250</v>
      </c>
      <c r="V41" s="390">
        <f>SUM(U41:U42)</f>
        <v>416</v>
      </c>
      <c r="W41" s="513">
        <v>19.8</v>
      </c>
      <c r="X41" s="514">
        <v>33</v>
      </c>
      <c r="Y41" s="318">
        <f>$G41-MAX(AF41:BN41)</f>
        <v>265</v>
      </c>
      <c r="Z41" s="311">
        <f>+Y41/$G41</f>
        <v>0.3891336270190896</v>
      </c>
      <c r="AA41" s="515" t="str">
        <f>E41&amp;"　"&amp;"合計"</f>
        <v>都心の天然温泉　名古屋クラウンホテル　合計</v>
      </c>
      <c r="AB41" s="2951">
        <v>45549</v>
      </c>
      <c r="AC41" s="2951">
        <v>45568</v>
      </c>
      <c r="AD41" s="2943">
        <v>19</v>
      </c>
      <c r="AE41" s="396" t="s">
        <v>2175</v>
      </c>
      <c r="AF41" s="398">
        <f>+_xlfn.XLOOKUP($AA41,'[51]②配宿シュミレーション(12,000人ver)'!$AO$6:$AO$674,'[51]②配宿シュミレーション(12,000人ver)'!AP$6:AP$674,)</f>
        <v>0</v>
      </c>
      <c r="AG41" s="398">
        <f>+_xlfn.XLOOKUP($AA41,'[51]②配宿シュミレーション(12,000人ver)'!$AO$6:$AO$674,'[51]②配宿シュミレーション(12,000人ver)'!AQ$6:AQ$674,)</f>
        <v>0</v>
      </c>
      <c r="AH41" s="398">
        <f>+_xlfn.XLOOKUP($AA41,'[51]②配宿シュミレーション(12,000人ver)'!$AO$6:$AO$674,'[51]②配宿シュミレーション(12,000人ver)'!AR$6:AR$674,)</f>
        <v>0</v>
      </c>
      <c r="AI41" s="398">
        <f>+_xlfn.XLOOKUP($AA41,'[51]②配宿シュミレーション(12,000人ver)'!$AO$6:$AO$674,'[51]②配宿シュミレーション(12,000人ver)'!AS$6:AS$674,)</f>
        <v>0</v>
      </c>
      <c r="AJ41" s="398">
        <f>+_xlfn.XLOOKUP($AA41,'[51]②配宿シュミレーション(12,000人ver)'!$AO$6:$AO$674,'[51]②配宿シュミレーション(12,000人ver)'!AT$6:AT$674,)</f>
        <v>0</v>
      </c>
      <c r="AK41" s="398">
        <f>+_xlfn.XLOOKUP($AA41,'[51]②配宿シュミレーション(12,000人ver)'!$AO$6:$AO$674,'[51]②配宿シュミレーション(12,000人ver)'!AU$6:AU$674,)</f>
        <v>0</v>
      </c>
      <c r="AL41" s="398">
        <f>+_xlfn.XLOOKUP($AA41,'[51]②配宿シュミレーション(12,000人ver)'!$AO$6:$AO$674,'[51]②配宿シュミレーション(12,000人ver)'!AV$6:AV$674,)</f>
        <v>0</v>
      </c>
      <c r="AM41" s="398">
        <f>+_xlfn.XLOOKUP($AA41,'[51]②配宿シュミレーション(12,000人ver)'!$AO$6:$AO$674,'[51]②配宿シュミレーション(12,000人ver)'!AW$6:AW$674,)</f>
        <v>0</v>
      </c>
      <c r="AN41" s="398">
        <f>+_xlfn.XLOOKUP($AA41,'[51]②配宿シュミレーション(12,000人ver)'!$AO$6:$AO$674,'[51]②配宿シュミレーション(12,000人ver)'!AX$6:AX$674,)</f>
        <v>0</v>
      </c>
      <c r="AO41" s="398">
        <f>+_xlfn.XLOOKUP($AA41,'[51]②配宿シュミレーション(12,000人ver)'!$AO$6:$AO$674,'[51]②配宿シュミレーション(12,000人ver)'!AY$6:AY$674,)</f>
        <v>0</v>
      </c>
      <c r="AP41" s="2882" t="s">
        <v>2447</v>
      </c>
      <c r="AQ41" s="2882" t="s">
        <v>2447</v>
      </c>
      <c r="AR41" s="398">
        <f>+_xlfn.XLOOKUP($AA41,'[51]②配宿シュミレーション(12,000人ver)'!$AO$6:$AO$674,'[51]②配宿シュミレーション(12,000人ver)'!BB$6:BB$674,)</f>
        <v>416</v>
      </c>
      <c r="AS41" s="398">
        <f>+_xlfn.XLOOKUP($AA41,'[51]②配宿シュミレーション(12,000人ver)'!$AO$6:$AO$674,'[51]②配宿シュミレーション(12,000人ver)'!BC$6:BC$674,)</f>
        <v>416</v>
      </c>
      <c r="AT41" s="398">
        <f>+_xlfn.XLOOKUP($AA41,'[51]②配宿シュミレーション(12,000人ver)'!$AO$6:$AO$674,'[51]②配宿シュミレーション(12,000人ver)'!BD$6:BD$674,)</f>
        <v>416</v>
      </c>
      <c r="AU41" s="398">
        <f>+_xlfn.XLOOKUP($AA41,'[51]②配宿シュミレーション(12,000人ver)'!$AO$6:$AO$674,'[51]②配宿シュミレーション(12,000人ver)'!BE$6:BE$674,)</f>
        <v>416</v>
      </c>
      <c r="AV41" s="398">
        <f>+_xlfn.XLOOKUP($AA41,'[51]②配宿シュミレーション(12,000人ver)'!$AO$6:$AO$674,'[51]②配宿シュミレーション(12,000人ver)'!BF$6:BF$674,)</f>
        <v>416</v>
      </c>
      <c r="AW41" s="398">
        <f>+_xlfn.XLOOKUP($AA41,'[51]②配宿シュミレーション(12,000人ver)'!$AO$6:$AO$674,'[51]②配宿シュミレーション(12,000人ver)'!BG$6:BG$674,)</f>
        <v>416</v>
      </c>
      <c r="AX41" s="398">
        <f>+_xlfn.XLOOKUP($AA41,'[51]②配宿シュミレーション(12,000人ver)'!$AO$6:$AO$674,'[51]②配宿シュミレーション(12,000人ver)'!BH$6:BH$674,)</f>
        <v>416</v>
      </c>
      <c r="AY41" s="398">
        <f>+_xlfn.XLOOKUP($AA41,'[51]②配宿シュミレーション(12,000人ver)'!$AO$6:$AO$674,'[51]②配宿シュミレーション(12,000人ver)'!BI$6:BI$674,)</f>
        <v>416</v>
      </c>
      <c r="AZ41" s="398">
        <f>+_xlfn.XLOOKUP($AA41,'[51]②配宿シュミレーション(12,000人ver)'!$AO$6:$AO$674,'[51]②配宿シュミレーション(12,000人ver)'!BJ$6:BJ$674,)</f>
        <v>416</v>
      </c>
      <c r="BA41" s="398">
        <f>+_xlfn.XLOOKUP($AA41,'[51]②配宿シュミレーション(12,000人ver)'!$AO$6:$AO$674,'[51]②配宿シュミレーション(12,000人ver)'!BK$6:BK$674,)</f>
        <v>416</v>
      </c>
      <c r="BB41" s="398">
        <f>+_xlfn.XLOOKUP($AA41,'[51]②配宿シュミレーション(12,000人ver)'!$AO$6:$AO$674,'[51]②配宿シュミレーション(12,000人ver)'!BL$6:BL$674,)</f>
        <v>416</v>
      </c>
      <c r="BC41" s="398">
        <f>+_xlfn.XLOOKUP($AA41,'[51]②配宿シュミレーション(12,000人ver)'!$AO$6:$AO$674,'[51]②配宿シュミレーション(12,000人ver)'!BM$6:BM$674,)</f>
        <v>416</v>
      </c>
      <c r="BD41" s="398">
        <f>+_xlfn.XLOOKUP($AA41,'[51]②配宿シュミレーション(12,000人ver)'!$AO$6:$AO$674,'[51]②配宿シュミレーション(12,000人ver)'!BN$6:BN$674,)</f>
        <v>416</v>
      </c>
      <c r="BE41" s="398">
        <f>+_xlfn.XLOOKUP($AA41,'[51]②配宿シュミレーション(12,000人ver)'!$AO$6:$AO$674,'[51]②配宿シュミレーション(12,000人ver)'!BO$6:BO$674,)</f>
        <v>416</v>
      </c>
      <c r="BF41" s="398">
        <f>+_xlfn.XLOOKUP($AA41,'[51]②配宿シュミレーション(12,000人ver)'!$AO$6:$AO$674,'[51]②配宿シュミレーション(12,000人ver)'!BP$6:BP$674,)</f>
        <v>416</v>
      </c>
      <c r="BG41" s="398">
        <f>+_xlfn.XLOOKUP($AA41,'[51]②配宿シュミレーション(12,000人ver)'!$AO$6:$AO$674,'[51]②配宿シュミレーション(12,000人ver)'!BQ$6:BQ$674,)</f>
        <v>166</v>
      </c>
      <c r="BH41" s="398">
        <f>+_xlfn.XLOOKUP($AA41,'[51]②配宿シュミレーション(12,000人ver)'!$AO$6:$AO$674,'[51]②配宿シュミレーション(12,000人ver)'!BR$6:BR$674,)</f>
        <v>166</v>
      </c>
      <c r="BI41" s="2883" t="s">
        <v>2448</v>
      </c>
      <c r="BJ41" s="398">
        <f>+_xlfn.XLOOKUP($AA41,'[51]②配宿シュミレーション(12,000人ver)'!$AO$6:$AO$674,'[51]②配宿シュミレーション(12,000人ver)'!BT$6:BT$674,)</f>
        <v>0</v>
      </c>
      <c r="BK41" s="397">
        <f>+_xlfn.XLOOKUP($AA41,'[51]②配宿シュミレーション(12,000人ver)'!$AO$6:$AO$674,'[51]②配宿シュミレーション(12,000人ver)'!BU$6:BU$674,)</f>
        <v>0</v>
      </c>
      <c r="BL41" s="398">
        <f>+_xlfn.XLOOKUP($AA41,'[51]②配宿シュミレーション(12,000人ver)'!$AO$6:$AO$674,'[51]②配宿シュミレーション(12,000人ver)'!BV$6:BV$674,)</f>
        <v>0</v>
      </c>
      <c r="BM41" s="398">
        <f>+_xlfn.XLOOKUP($AA41,'[51]②配宿シュミレーション(12,000人ver)'!$AO$6:$AO$674,'[51]②配宿シュミレーション(12,000人ver)'!BW$6:BW$674,)</f>
        <v>0</v>
      </c>
      <c r="BN41" s="472">
        <f>+_xlfn.XLOOKUP($AA41,'[51]②配宿シュミレーション(12,000人ver)'!$AO$6:$AO$674,'[51]②配宿シュミレーション(12,000人ver)'!BX$6:BX$674,)</f>
        <v>0</v>
      </c>
      <c r="BO41" s="290"/>
      <c r="BP41" s="404"/>
      <c r="BQ41" s="405"/>
    </row>
    <row r="42" spans="1:69" ht="46" customHeight="1">
      <c r="A42" s="2862"/>
      <c r="B42" s="2863"/>
      <c r="C42" s="296"/>
      <c r="D42" s="297" t="str">
        <f>IF(_xlfn.XLOOKUP(E42,[51]宿泊施設DB!$B$3:$B$206,[51]宿泊施設DB!$A$3:$A$206,"",)=0,"",_xlfn.XLOOKUP(E42,[51]宿泊施設DB!$B$3:$B$206,[51]宿泊施設DB!$A$3:$A$206,"",))</f>
        <v/>
      </c>
      <c r="E42" s="298"/>
      <c r="F42" s="2864">
        <f>_xlfn.XLOOKUP($E42,[51]宿泊施設DB!$B$3:$B$206,[51]宿泊施設DB!$D$3:$D$206,"",)</f>
        <v>0</v>
      </c>
      <c r="G42" s="2864">
        <f>_xlfn.XLOOKUP($E42,[51]宿泊施設DB!$B$3:$B$206,[51]宿泊施設DB!$E$3:$E$206,"",)</f>
        <v>0</v>
      </c>
      <c r="H42" s="2865">
        <f>_xlfn.XLOOKUP($E42,[51]宿泊施設DB!$B$3:$B$206,[51]宿泊施設DB!$J$3:$J$206,"",)</f>
        <v>0</v>
      </c>
      <c r="I42" s="2866">
        <f>_xlfn.XLOOKUP($E42,[51]宿泊施設DB!$B$3:$B$206,[51]宿泊施設DB!$T$3:$T$206,"",)</f>
        <v>0</v>
      </c>
      <c r="J42" s="2866">
        <f>_xlfn.XLOOKUP($E42,[51]宿泊施設DB!$B$3:$B$206,[51]宿泊施設DB!$R$3:$R$206,"",)</f>
        <v>0</v>
      </c>
      <c r="K42" s="2865">
        <f>_xlfn.XLOOKUP($E42,[51]宿泊施設DB!$B$3:$B$206,[51]宿泊施設DB!$S$3:$S$206,"",)</f>
        <v>0</v>
      </c>
      <c r="L42" s="2866">
        <f>_xlfn.XLOOKUP($E42,[51]宿泊施設DB!$B$3:$B$206,[51]宿泊施設DB!$U$3:$U$206,"",)</f>
        <v>0</v>
      </c>
      <c r="M42" s="2866">
        <f>_xlfn.XLOOKUP($E42,[51]宿泊施設DB!$B$3:$B$206,[51]宿泊施設DB!$V$3:$V$206,"",)</f>
        <v>0</v>
      </c>
      <c r="N42" s="2866">
        <f>_xlfn.XLOOKUP($E42,[51]宿泊施設DB!$B$3:$B$206,[51]宿泊施設DB!$W$3:$W$206,"",)</f>
        <v>0</v>
      </c>
      <c r="O42" s="2866">
        <f>_xlfn.XLOOKUP($E42,[51]宿泊施設DB!$B$3:$B$206,[51]宿泊施設DB!$X$3:$X$206,"",)</f>
        <v>0</v>
      </c>
      <c r="P42" s="302" t="str">
        <f t="shared" si="2"/>
        <v/>
      </c>
      <c r="Q42" s="302"/>
      <c r="R42" s="296"/>
      <c r="S42" s="312" t="s">
        <v>2217</v>
      </c>
      <c r="T42" s="313" t="str">
        <f>IFERROR(VLOOKUP($S42,'[51]競技情報DB(12,000人ver)'!$A$6:$D$201,2,),"－")</f>
        <v>稲沢市</v>
      </c>
      <c r="U42" s="314">
        <f>_xlfn.XLOOKUP(S42,'[51]競技情報DB(12,000人ver)'!$A$6:$A$99,'[51]競技情報DB(12,000人ver)'!$D$6:$D$99,"",0,)</f>
        <v>166</v>
      </c>
      <c r="V42" s="315"/>
      <c r="W42" s="316">
        <v>15.4</v>
      </c>
      <c r="X42" s="548">
        <v>24</v>
      </c>
      <c r="Y42" s="318"/>
      <c r="Z42" s="311"/>
      <c r="AA42" s="565"/>
      <c r="AB42" s="2944"/>
      <c r="AC42" s="2944"/>
      <c r="AD42" s="2945"/>
      <c r="AE42" s="320"/>
      <c r="AF42" s="321"/>
      <c r="AG42" s="321"/>
      <c r="AH42" s="321"/>
      <c r="AI42" s="321"/>
      <c r="AJ42" s="321"/>
      <c r="AK42" s="321"/>
      <c r="AL42" s="321"/>
      <c r="AM42" s="321"/>
      <c r="AN42" s="321"/>
      <c r="AO42" s="506"/>
      <c r="AP42" s="506"/>
      <c r="AQ42" s="506"/>
      <c r="AR42" s="506"/>
      <c r="AS42" s="506"/>
      <c r="AT42" s="506"/>
      <c r="AU42" s="506"/>
      <c r="AV42" s="506"/>
      <c r="AW42" s="506"/>
      <c r="AX42" s="506"/>
      <c r="AY42" s="506"/>
      <c r="AZ42" s="506"/>
      <c r="BA42" s="506"/>
      <c r="BB42" s="506"/>
      <c r="BC42" s="506"/>
      <c r="BD42" s="506"/>
      <c r="BE42" s="506"/>
      <c r="BF42" s="506"/>
      <c r="BG42" s="506"/>
      <c r="BH42" s="506"/>
      <c r="BI42" s="506"/>
      <c r="BJ42" s="506"/>
      <c r="BK42" s="506"/>
      <c r="BL42" s="321"/>
      <c r="BM42" s="321"/>
      <c r="BN42" s="507"/>
      <c r="BO42" s="290"/>
      <c r="BP42" s="332"/>
      <c r="BQ42" s="333"/>
    </row>
    <row r="43" spans="1:69" ht="46" customHeight="1">
      <c r="A43" s="2862"/>
      <c r="B43" s="2863"/>
      <c r="C43" s="372">
        <f>C41+1</f>
        <v>8</v>
      </c>
      <c r="D43" s="2871">
        <f>IF(_xlfn.XLOOKUP(E43,[51]宿泊施設DB!$B$3:$B$206,[51]宿泊施設DB!$A$3:$A$206,"",)=0,"",_xlfn.XLOOKUP(E43,[51]宿泊施設DB!$B$3:$B$206,[51]宿泊施設DB!$A$3:$A$206,"",))</f>
        <v>111</v>
      </c>
      <c r="E43" s="572" t="s">
        <v>2228</v>
      </c>
      <c r="F43" s="2872">
        <f>_xlfn.XLOOKUP($E43,[51]宿泊施設DB!$B$3:$B$206,[51]宿泊施設DB!$D$3:$D$206,"",)</f>
        <v>250</v>
      </c>
      <c r="G43" s="2872">
        <f>_xlfn.XLOOKUP($E43,[51]宿泊施設DB!$B$3:$B$206,[51]宿泊施設DB!$E$3:$E$206,"",)</f>
        <v>264</v>
      </c>
      <c r="H43" s="2873">
        <f>_xlfn.XLOOKUP($E43,[51]宿泊施設DB!$B$3:$B$206,[51]宿泊施設DB!$J$3:$J$206,"",)</f>
        <v>4</v>
      </c>
      <c r="I43" s="2874" t="str">
        <f>_xlfn.XLOOKUP($E43,[51]宿泊施設DB!$B$3:$B$206,[51]宿泊施設DB!$T$3:$T$206,"",)</f>
        <v>調査中</v>
      </c>
      <c r="J43" s="2874" t="str">
        <f>_xlfn.XLOOKUP($E43,[51]宿泊施設DB!$B$3:$B$206,[51]宿泊施設DB!$R$3:$R$206,"",)</f>
        <v>ケータリング</v>
      </c>
      <c r="K43" s="2873">
        <f>_xlfn.XLOOKUP($E43,[51]宿泊施設DB!$B$3:$B$206,[51]宿泊施設DB!$S$3:$S$206,"",)</f>
        <v>26</v>
      </c>
      <c r="L43" s="2874" t="str">
        <f>_xlfn.XLOOKUP($E43,[51]宿泊施設DB!$B$3:$B$206,[51]宿泊施設DB!$U$3:$U$206,"",)</f>
        <v>○</v>
      </c>
      <c r="M43" s="2874" t="str">
        <f>_xlfn.XLOOKUP($E43,[51]宿泊施設DB!$B$3:$B$206,[51]宿泊施設DB!$V$3:$V$206,"",)</f>
        <v>－</v>
      </c>
      <c r="N43" s="2874" t="str">
        <f>_xlfn.XLOOKUP($E43,[51]宿泊施設DB!$B$3:$B$206,[51]宿泊施設DB!$W$3:$W$206,"",)</f>
        <v>○</v>
      </c>
      <c r="O43" s="2874" t="str">
        <f>_xlfn.XLOOKUP($E43,[51]宿泊施設DB!$B$3:$B$206,[51]宿泊施設DB!$X$3:$X$206,"",)</f>
        <v>路上1台</v>
      </c>
      <c r="P43" s="377" t="str">
        <f t="shared" si="2"/>
        <v>○</v>
      </c>
      <c r="Q43" s="377"/>
      <c r="R43" s="372" t="s">
        <v>2136</v>
      </c>
      <c r="S43" s="512" t="s">
        <v>2461</v>
      </c>
      <c r="T43" s="388" t="str">
        <f>IFERROR(VLOOKUP($S43,'[51]競技情報DB(12,000人ver)'!$A$6:$D$201,2,),"－")</f>
        <v>名古屋市</v>
      </c>
      <c r="U43" s="389">
        <f>_xlfn.XLOOKUP(S43,'[51]競技情報DB(12,000人ver)'!$A$6:$A$99,'[51]競技情報DB(12,000人ver)'!$D$6:$D$99,"",0,)</f>
        <v>135</v>
      </c>
      <c r="V43" s="390">
        <f>SUM(U43:U44)</f>
        <v>236</v>
      </c>
      <c r="W43" s="513">
        <v>11.8</v>
      </c>
      <c r="X43" s="665">
        <v>17</v>
      </c>
      <c r="Y43" s="2887">
        <f>$G43-MAX(AF43:BN43)</f>
        <v>28</v>
      </c>
      <c r="Z43" s="394">
        <f>+Y43/$G43</f>
        <v>0.10606060606060606</v>
      </c>
      <c r="AA43" s="515" t="str">
        <f>E43&amp;"　"&amp;"合計"</f>
        <v>アパホテル&lt;名古屋錦&gt; EXCELLENT　合計</v>
      </c>
      <c r="AB43" s="2951">
        <v>45548</v>
      </c>
      <c r="AC43" s="2951">
        <v>45570</v>
      </c>
      <c r="AD43" s="2943">
        <v>22</v>
      </c>
      <c r="AE43" s="396" t="s">
        <v>2175</v>
      </c>
      <c r="AF43" s="398">
        <f>+_xlfn.XLOOKUP($AA43,'[51]②配宿シュミレーション(12,000人ver)'!$AO$6:$AO$674,'[51]②配宿シュミレーション(12,000人ver)'!AP$6:AP$674,)</f>
        <v>0</v>
      </c>
      <c r="AG43" s="398">
        <f>+_xlfn.XLOOKUP($AA43,'[51]②配宿シュミレーション(12,000人ver)'!$AO$6:$AO$674,'[51]②配宿シュミレーション(12,000人ver)'!AQ$6:AQ$674,)</f>
        <v>0</v>
      </c>
      <c r="AH43" s="398">
        <f>+_xlfn.XLOOKUP($AA43,'[51]②配宿シュミレーション(12,000人ver)'!$AO$6:$AO$674,'[51]②配宿シュミレーション(12,000人ver)'!AR$6:AR$674,)</f>
        <v>0</v>
      </c>
      <c r="AI43" s="398">
        <f>+_xlfn.XLOOKUP($AA43,'[51]②配宿シュミレーション(12,000人ver)'!$AO$6:$AO$674,'[51]②配宿シュミレーション(12,000人ver)'!AS$6:AS$674,)</f>
        <v>0</v>
      </c>
      <c r="AJ43" s="398">
        <f>+_xlfn.XLOOKUP($AA43,'[51]②配宿シュミレーション(12,000人ver)'!$AO$6:$AO$674,'[51]②配宿シュミレーション(12,000人ver)'!AT$6:AT$674,)</f>
        <v>0</v>
      </c>
      <c r="AK43" s="398">
        <f>+_xlfn.XLOOKUP($AA43,'[51]②配宿シュミレーション(12,000人ver)'!$AO$6:$AO$674,'[51]②配宿シュミレーション(12,000人ver)'!AU$6:AU$674,)</f>
        <v>0</v>
      </c>
      <c r="AL43" s="398">
        <f>+_xlfn.XLOOKUP($AA43,'[51]②配宿シュミレーション(12,000人ver)'!$AO$6:$AO$674,'[51]②配宿シュミレーション(12,000人ver)'!AV$6:AV$674,)</f>
        <v>0</v>
      </c>
      <c r="AM43" s="398">
        <f>+_xlfn.XLOOKUP($AA43,'[51]②配宿シュミレーション(12,000人ver)'!$AO$6:$AO$674,'[51]②配宿シュミレーション(12,000人ver)'!AW$6:AW$674,)</f>
        <v>0</v>
      </c>
      <c r="AN43" s="398">
        <f>+_xlfn.XLOOKUP($AA43,'[51]②配宿シュミレーション(12,000人ver)'!$AO$6:$AO$674,'[51]②配宿シュミレーション(12,000人ver)'!AX$6:AX$674,)</f>
        <v>0</v>
      </c>
      <c r="AO43" s="2896" t="s">
        <v>2447</v>
      </c>
      <c r="AP43" s="2896" t="s">
        <v>2447</v>
      </c>
      <c r="AQ43" s="398">
        <f>+_xlfn.XLOOKUP($AA43,'[51]②配宿シュミレーション(12,000人ver)'!$AO$6:$AO$674,'[51]②配宿シュミレーション(12,000人ver)'!BA$6:BA$674,)</f>
        <v>236</v>
      </c>
      <c r="AR43" s="398">
        <f>+_xlfn.XLOOKUP($AA43,'[51]②配宿シュミレーション(12,000人ver)'!$AO$6:$AO$674,'[51]②配宿シュミレーション(12,000人ver)'!BB$6:BB$674,)</f>
        <v>236</v>
      </c>
      <c r="AS43" s="398">
        <f>+_xlfn.XLOOKUP($AA43,'[51]②配宿シュミレーション(12,000人ver)'!$AO$6:$AO$674,'[51]②配宿シュミレーション(12,000人ver)'!BC$6:BC$674,)</f>
        <v>236</v>
      </c>
      <c r="AT43" s="398">
        <f>+_xlfn.XLOOKUP($AA43,'[51]②配宿シュミレーション(12,000人ver)'!$AO$6:$AO$674,'[51]②配宿シュミレーション(12,000人ver)'!BD$6:BD$674,)</f>
        <v>236</v>
      </c>
      <c r="AU43" s="398">
        <f>+_xlfn.XLOOKUP($AA43,'[51]②配宿シュミレーション(12,000人ver)'!$AO$6:$AO$674,'[51]②配宿シュミレーション(12,000人ver)'!BE$6:BE$674,)</f>
        <v>236</v>
      </c>
      <c r="AV43" s="398">
        <f>+_xlfn.XLOOKUP($AA43,'[51]②配宿シュミレーション(12,000人ver)'!$AO$6:$AO$674,'[51]②配宿シュミレーション(12,000人ver)'!BF$6:BF$674,)</f>
        <v>236</v>
      </c>
      <c r="AW43" s="398">
        <f>+_xlfn.XLOOKUP($AA43,'[51]②配宿シュミレーション(12,000人ver)'!$AO$6:$AO$674,'[51]②配宿シュミレーション(12,000人ver)'!BG$6:BG$674,)</f>
        <v>236</v>
      </c>
      <c r="AX43" s="398">
        <f>+_xlfn.XLOOKUP($AA43,'[51]②配宿シュミレーション(12,000人ver)'!$AO$6:$AO$674,'[51]②配宿シュミレーション(12,000人ver)'!BH$6:BH$674,)</f>
        <v>236</v>
      </c>
      <c r="AY43" s="398">
        <f>+_xlfn.XLOOKUP($AA43,'[51]②配宿シュミレーション(12,000人ver)'!$AO$6:$AO$674,'[51]②配宿シュミレーション(12,000人ver)'!BI$6:BI$674,)</f>
        <v>236</v>
      </c>
      <c r="AZ43" s="398">
        <f>+_xlfn.XLOOKUP($AA43,'[51]②配宿シュミレーション(12,000人ver)'!$AO$6:$AO$674,'[51]②配宿シュミレーション(12,000人ver)'!BJ$6:BJ$674,)</f>
        <v>236</v>
      </c>
      <c r="BA43" s="398">
        <f>+_xlfn.XLOOKUP($AA43,'[51]②配宿シュミレーション(12,000人ver)'!$AO$6:$AO$674,'[51]②配宿シュミレーション(12,000人ver)'!BK$6:BK$674,)</f>
        <v>236</v>
      </c>
      <c r="BB43" s="398">
        <f>+_xlfn.XLOOKUP($AA43,'[51]②配宿シュミレーション(12,000人ver)'!$AO$6:$AO$674,'[51]②配宿シュミレーション(12,000人ver)'!BL$6:BL$674,)</f>
        <v>236</v>
      </c>
      <c r="BC43" s="398">
        <f>+_xlfn.XLOOKUP($AA43,'[51]②配宿シュミレーション(12,000人ver)'!$AO$6:$AO$674,'[51]②配宿シュミレーション(12,000人ver)'!BM$6:BM$674,)</f>
        <v>236</v>
      </c>
      <c r="BD43" s="398">
        <f>+_xlfn.XLOOKUP($AA43,'[51]②配宿シュミレーション(12,000人ver)'!$AO$6:$AO$674,'[51]②配宿シュミレーション(12,000人ver)'!BN$6:BN$674,)</f>
        <v>236</v>
      </c>
      <c r="BE43" s="398">
        <f>+_xlfn.XLOOKUP($AA43,'[51]②配宿シュミレーション(12,000人ver)'!$AO$6:$AO$674,'[51]②配宿シュミレーション(12,000人ver)'!BO$6:BO$674,)</f>
        <v>236</v>
      </c>
      <c r="BF43" s="398">
        <f>+_xlfn.XLOOKUP($AA43,'[51]②配宿シュミレーション(12,000人ver)'!$AO$6:$AO$674,'[51]②配宿シュミレーション(12,000人ver)'!BP$6:BP$674,)</f>
        <v>236</v>
      </c>
      <c r="BG43" s="398">
        <f>+_xlfn.XLOOKUP($AA43,'[51]②配宿シュミレーション(12,000人ver)'!$AO$6:$AO$674,'[51]②配宿シュミレーション(12,000人ver)'!BQ$6:BQ$674,)</f>
        <v>236</v>
      </c>
      <c r="BH43" s="398">
        <f>+_xlfn.XLOOKUP($AA43,'[51]②配宿シュミレーション(12,000人ver)'!$AO$6:$AO$674,'[51]②配宿シュミレーション(12,000人ver)'!BR$6:BR$674,)</f>
        <v>236</v>
      </c>
      <c r="BI43" s="398">
        <f>+_xlfn.XLOOKUP($AA43,'[51]②配宿シュミレーション(12,000人ver)'!$AO$6:$AO$674,'[51]②配宿シュミレーション(12,000人ver)'!BS$6:BS$674,)</f>
        <v>236</v>
      </c>
      <c r="BJ43" s="398">
        <f>+_xlfn.XLOOKUP($AA43,'[51]②配宿シュミレーション(12,000人ver)'!$AO$6:$AO$674,'[51]②配宿シュミレーション(12,000人ver)'!BT$6:BT$674,)</f>
        <v>236</v>
      </c>
      <c r="BK43" s="2897" t="s">
        <v>2448</v>
      </c>
      <c r="BL43" s="398">
        <f>+_xlfn.XLOOKUP($AA43,'[51]②配宿シュミレーション(12,000人ver)'!$AO$6:$AO$674,'[51]②配宿シュミレーション(12,000人ver)'!BV$6:BV$674,)</f>
        <v>0</v>
      </c>
      <c r="BM43" s="398">
        <f>+_xlfn.XLOOKUP($AA43,'[51]②配宿シュミレーション(12,000人ver)'!$AO$6:$AO$674,'[51]②配宿シュミレーション(12,000人ver)'!BW$6:BW$674,)</f>
        <v>0</v>
      </c>
      <c r="BN43" s="472">
        <f>+_xlfn.XLOOKUP($AA43,'[51]②配宿シュミレーション(12,000人ver)'!$AO$6:$AO$674,'[51]②配宿シュミレーション(12,000人ver)'!BX$6:BX$674,)</f>
        <v>0</v>
      </c>
      <c r="BO43" s="573"/>
      <c r="BP43" s="574"/>
      <c r="BQ43" s="575"/>
    </row>
    <row r="44" spans="1:69" ht="46" customHeight="1">
      <c r="A44" s="2862"/>
      <c r="B44" s="296"/>
      <c r="C44" s="296"/>
      <c r="D44" s="297" t="str">
        <f>IF(_xlfn.XLOOKUP(E44,[51]宿泊施設DB!$B$3:$B$206,[51]宿泊施設DB!$A$3:$A$206,"",)=0,"",_xlfn.XLOOKUP(E44,[51]宿泊施設DB!$B$3:$B$206,[51]宿泊施設DB!$A$3:$A$206,"",))</f>
        <v/>
      </c>
      <c r="E44" s="609"/>
      <c r="F44" s="2864">
        <f>_xlfn.XLOOKUP($E44,[51]宿泊施設DB!$B$3:$B$206,[51]宿泊施設DB!$D$3:$D$206,"",)</f>
        <v>0</v>
      </c>
      <c r="G44" s="2864">
        <f>_xlfn.XLOOKUP($E44,[51]宿泊施設DB!$B$3:$B$206,[51]宿泊施設DB!$E$3:$E$206,"",)</f>
        <v>0</v>
      </c>
      <c r="H44" s="2865">
        <f>_xlfn.XLOOKUP($E44,[51]宿泊施設DB!$B$3:$B$206,[51]宿泊施設DB!$J$3:$J$206,"",)</f>
        <v>0</v>
      </c>
      <c r="I44" s="2866">
        <f>_xlfn.XLOOKUP($E44,[51]宿泊施設DB!$B$3:$B$206,[51]宿泊施設DB!$T$3:$T$206,"",)</f>
        <v>0</v>
      </c>
      <c r="J44" s="2866" t="s">
        <v>2231</v>
      </c>
      <c r="K44" s="2865">
        <f>_xlfn.XLOOKUP($E44,[51]宿泊施設DB!$B$3:$B$206,[51]宿泊施設DB!$S$3:$S$206,"",)</f>
        <v>0</v>
      </c>
      <c r="L44" s="2866">
        <f>_xlfn.XLOOKUP($E44,[51]宿泊施設DB!$B$3:$B$206,[51]宿泊施設DB!$U$3:$U$206,"",)</f>
        <v>0</v>
      </c>
      <c r="M44" s="2866">
        <f>_xlfn.XLOOKUP($E44,[51]宿泊施設DB!$B$3:$B$206,[51]宿泊施設DB!$V$3:$V$206,"",)</f>
        <v>0</v>
      </c>
      <c r="N44" s="2866">
        <f>_xlfn.XLOOKUP($E44,[51]宿泊施設DB!$B$3:$B$206,[51]宿泊施設DB!$W$3:$W$206,"",)</f>
        <v>0</v>
      </c>
      <c r="O44" s="2866">
        <f>_xlfn.XLOOKUP($E44,[51]宿泊施設DB!$B$3:$B$206,[51]宿泊施設DB!$X$3:$X$206,"",)</f>
        <v>0</v>
      </c>
      <c r="P44" s="302" t="str">
        <f t="shared" si="2"/>
        <v/>
      </c>
      <c r="Q44" s="302"/>
      <c r="R44" s="296"/>
      <c r="S44" s="436" t="s">
        <v>2462</v>
      </c>
      <c r="T44" s="437" t="str">
        <f>IFERROR(VLOOKUP($S44,'[51]競技情報DB(12,000人ver)'!$A$6:$D$201,2,),"－")</f>
        <v>名古屋市</v>
      </c>
      <c r="U44" s="438">
        <f>_xlfn.XLOOKUP(S44,'[51]競技情報DB(12,000人ver)'!$A$6:$A$99,'[51]競技情報DB(12,000人ver)'!$D$6:$D$99,"",0,)</f>
        <v>101</v>
      </c>
      <c r="V44" s="439"/>
      <c r="W44" s="2898">
        <v>11.8</v>
      </c>
      <c r="X44" s="441">
        <v>17</v>
      </c>
      <c r="Y44" s="2895"/>
      <c r="Z44" s="311"/>
      <c r="AA44" s="319"/>
      <c r="AB44" s="2944"/>
      <c r="AC44" s="2944"/>
      <c r="AD44" s="2945"/>
      <c r="AE44" s="518"/>
      <c r="AF44" s="445"/>
      <c r="AG44" s="445"/>
      <c r="AH44" s="445"/>
      <c r="AI44" s="445"/>
      <c r="AJ44" s="445"/>
      <c r="AK44" s="445"/>
      <c r="AL44" s="445"/>
      <c r="AM44" s="445"/>
      <c r="AN44" s="445"/>
      <c r="AO44" s="445"/>
      <c r="AP44" s="445"/>
      <c r="AQ44" s="445"/>
      <c r="AR44" s="445"/>
      <c r="AS44" s="445"/>
      <c r="AT44" s="445"/>
      <c r="AU44" s="445"/>
      <c r="AV44" s="445"/>
      <c r="AW44" s="445"/>
      <c r="AX44" s="445"/>
      <c r="AY44" s="445"/>
      <c r="AZ44" s="445"/>
      <c r="BA44" s="445"/>
      <c r="BB44" s="445"/>
      <c r="BC44" s="445"/>
      <c r="BD44" s="445"/>
      <c r="BE44" s="445"/>
      <c r="BF44" s="445"/>
      <c r="BG44" s="445"/>
      <c r="BH44" s="445"/>
      <c r="BI44" s="445"/>
      <c r="BJ44" s="445"/>
      <c r="BK44" s="445"/>
      <c r="BL44" s="445"/>
      <c r="BM44" s="445"/>
      <c r="BN44" s="449"/>
      <c r="BO44" s="573"/>
      <c r="BP44" s="610"/>
      <c r="BQ44" s="611"/>
    </row>
    <row r="45" spans="1:69" ht="46" customHeight="1">
      <c r="A45" s="2862"/>
      <c r="B45" s="296"/>
      <c r="C45" s="372">
        <v>9</v>
      </c>
      <c r="D45" s="2871">
        <v>1039</v>
      </c>
      <c r="E45" s="572" t="s">
        <v>2463</v>
      </c>
      <c r="F45" s="2872">
        <f>_xlfn.XLOOKUP($E45,[51]宿泊施設DB!$B$3:$B$206,[51]宿泊施設DB!$D$3:$D$206,"",)</f>
        <v>143</v>
      </c>
      <c r="G45" s="2872">
        <f>_xlfn.XLOOKUP($E45,[51]宿泊施設DB!$B$3:$B$206,[51]宿泊施設DB!$E$3:$E$206,"",)</f>
        <v>242</v>
      </c>
      <c r="H45" s="2873">
        <f>_xlfn.XLOOKUP($E45,[51]宿泊施設DB!$B$3:$B$206,[51]宿泊施設DB!$J$3:$J$206,"",)</f>
        <v>0</v>
      </c>
      <c r="I45" s="2874" t="str">
        <f>_xlfn.XLOOKUP($E45,[51]宿泊施設DB!$B$3:$B$206,[51]宿泊施設DB!$T$3:$T$206,"",)</f>
        <v>調査中</v>
      </c>
      <c r="J45" s="2874" t="str">
        <f>_xlfn.XLOOKUP($E45,[51]宿泊施設DB!$B$3:$B$206,[51]宿泊施設DB!$R$3:$R$206,"",)</f>
        <v>宿泊施設</v>
      </c>
      <c r="K45" s="2873">
        <f>_xlfn.XLOOKUP($E45,[51]宿泊施設DB!$B$3:$B$206,[51]宿泊施設DB!$S$3:$S$206,"",)</f>
        <v>50</v>
      </c>
      <c r="L45" s="2874" t="str">
        <f>_xlfn.XLOOKUP($E45,[51]宿泊施設DB!$B$3:$B$206,[51]宿泊施設DB!$U$3:$U$206,"",)</f>
        <v>－</v>
      </c>
      <c r="M45" s="2874" t="str">
        <f>_xlfn.XLOOKUP($E45,[51]宿泊施設DB!$B$3:$B$206,[51]宿泊施設DB!$V$3:$V$206,"",)</f>
        <v>－</v>
      </c>
      <c r="N45" s="2874" t="str">
        <f>_xlfn.XLOOKUP($E45,[51]宿泊施設DB!$B$3:$B$206,[51]宿泊施設DB!$W$3:$W$206,"",)</f>
        <v>－</v>
      </c>
      <c r="O45" s="2874" t="str">
        <f>_xlfn.XLOOKUP($E45,[51]宿泊施設DB!$B$3:$B$206,[51]宿泊施設DB!$X$3:$X$206,"",)</f>
        <v>路上</v>
      </c>
      <c r="P45" s="377" t="str">
        <f t="shared" si="2"/>
        <v>○</v>
      </c>
      <c r="Q45" s="377"/>
      <c r="R45" s="372" t="s">
        <v>2136</v>
      </c>
      <c r="S45" s="512" t="s">
        <v>2464</v>
      </c>
      <c r="T45" s="388" t="str">
        <f>IFERROR(VLOOKUP($S45,'[51]競技情報DB(12,000人ver)'!$A$6:$D$201,2,),"－")</f>
        <v>名古屋市</v>
      </c>
      <c r="U45" s="389">
        <f>_xlfn.XLOOKUP(S45,'[51]競技情報DB(12,000人ver)'!$A$6:$A$99,'[51]競技情報DB(12,000人ver)'!$D$6:$D$99,"",0,)</f>
        <v>83</v>
      </c>
      <c r="V45" s="390">
        <f>SUM(U45:U47)</f>
        <v>226</v>
      </c>
      <c r="W45" s="737">
        <v>23.3</v>
      </c>
      <c r="X45" s="665">
        <v>24</v>
      </c>
      <c r="Y45" s="318">
        <f>$G45-MAX(AF45:BN45)</f>
        <v>16</v>
      </c>
      <c r="Z45" s="394">
        <f>+Y45/$G45</f>
        <v>6.6115702479338845E-2</v>
      </c>
      <c r="AA45" s="515" t="str">
        <f>E45&amp;"　"&amp;"合計"</f>
        <v>ベストウェスタンプラス名古屋栄　合計</v>
      </c>
      <c r="AB45" s="2950">
        <v>45548</v>
      </c>
      <c r="AC45" s="2950">
        <v>45563</v>
      </c>
      <c r="AD45" s="2943">
        <v>15</v>
      </c>
      <c r="AE45" s="492" t="s">
        <v>2175</v>
      </c>
      <c r="AF45" s="398">
        <f>+_xlfn.XLOOKUP($AA45,'[51]②配宿シュミレーション(12,000人ver)'!$AO$6:$AO$674,'[51]②配宿シュミレーション(12,000人ver)'!AP$6:AP$674,)</f>
        <v>0</v>
      </c>
      <c r="AG45" s="398">
        <f>+_xlfn.XLOOKUP($AA45,'[51]②配宿シュミレーション(12,000人ver)'!$AO$6:$AO$674,'[51]②配宿シュミレーション(12,000人ver)'!AQ$6:AQ$674,)</f>
        <v>0</v>
      </c>
      <c r="AH45" s="398">
        <f>+_xlfn.XLOOKUP($AA45,'[51]②配宿シュミレーション(12,000人ver)'!$AO$6:$AO$674,'[51]②配宿シュミレーション(12,000人ver)'!AR$6:AR$674,)</f>
        <v>0</v>
      </c>
      <c r="AI45" s="398">
        <f>+_xlfn.XLOOKUP($AA45,'[51]②配宿シュミレーション(12,000人ver)'!$AO$6:$AO$674,'[51]②配宿シュミレーション(12,000人ver)'!AS$6:AS$674,)</f>
        <v>0</v>
      </c>
      <c r="AJ45" s="398">
        <f>+_xlfn.XLOOKUP($AA45,'[51]②配宿シュミレーション(12,000人ver)'!$AO$6:$AO$674,'[51]②配宿シュミレーション(12,000人ver)'!AT$6:AT$674,)</f>
        <v>0</v>
      </c>
      <c r="AK45" s="398">
        <f>+_xlfn.XLOOKUP($AA45,'[51]②配宿シュミレーション(12,000人ver)'!$AO$6:$AO$674,'[51]②配宿シュミレーション(12,000人ver)'!AU$6:AU$674,)</f>
        <v>0</v>
      </c>
      <c r="AL45" s="398">
        <f>+_xlfn.XLOOKUP($AA45,'[51]②配宿シュミレーション(12,000人ver)'!$AO$6:$AO$674,'[51]②配宿シュミレーション(12,000人ver)'!AV$6:AV$674,)</f>
        <v>0</v>
      </c>
      <c r="AM45" s="398">
        <f>+_xlfn.XLOOKUP($AA45,'[51]②配宿シュミレーション(12,000人ver)'!$AO$6:$AO$674,'[51]②配宿シュミレーション(12,000人ver)'!AW$6:AW$674,)</f>
        <v>0</v>
      </c>
      <c r="AN45" s="398">
        <f>+_xlfn.XLOOKUP($AA45,'[51]②配宿シュミレーション(12,000人ver)'!$AO$6:$AO$674,'[51]②配宿シュミレーション(12,000人ver)'!AX$6:AX$674,)</f>
        <v>0</v>
      </c>
      <c r="AO45" s="2860" t="s">
        <v>2447</v>
      </c>
      <c r="AP45" s="2860" t="s">
        <v>2447</v>
      </c>
      <c r="AQ45" s="398">
        <f>+_xlfn.XLOOKUP($AA45,'[51]②配宿シュミレーション(12,000人ver)'!$AO$6:$AO$674,'[51]②配宿シュミレーション(12,000人ver)'!BA$6:BA$674,)</f>
        <v>166</v>
      </c>
      <c r="AR45" s="398">
        <f>+_xlfn.XLOOKUP($AA45,'[51]②配宿シュミレーション(12,000人ver)'!$AO$6:$AO$674,'[51]②配宿シュミレーション(12,000人ver)'!BB$6:BB$674,)</f>
        <v>226</v>
      </c>
      <c r="AS45" s="398">
        <f>+_xlfn.XLOOKUP($AA45,'[51]②配宿シュミレーション(12,000人ver)'!$AO$6:$AO$674,'[51]②配宿シュミレーション(12,000人ver)'!BC$6:BC$674,)</f>
        <v>226</v>
      </c>
      <c r="AT45" s="398">
        <f>+_xlfn.XLOOKUP($AA45,'[51]②配宿シュミレーション(12,000人ver)'!$AO$6:$AO$674,'[51]②配宿シュミレーション(12,000人ver)'!BD$6:BD$674,)</f>
        <v>226</v>
      </c>
      <c r="AU45" s="398">
        <f>+_xlfn.XLOOKUP($AA45,'[51]②配宿シュミレーション(12,000人ver)'!$AO$6:$AO$674,'[51]②配宿シュミレーション(12,000人ver)'!BE$6:BE$674,)</f>
        <v>226</v>
      </c>
      <c r="AV45" s="398">
        <f>+_xlfn.XLOOKUP($AA45,'[51]②配宿シュミレーション(12,000人ver)'!$AO$6:$AO$674,'[51]②配宿シュミレーション(12,000人ver)'!BF$6:BF$674,)</f>
        <v>226</v>
      </c>
      <c r="AW45" s="398">
        <f>+_xlfn.XLOOKUP($AA45,'[51]②配宿シュミレーション(12,000人ver)'!$AO$6:$AO$674,'[51]②配宿シュミレーション(12,000人ver)'!BG$6:BG$674,)</f>
        <v>226</v>
      </c>
      <c r="AX45" s="398">
        <f>+_xlfn.XLOOKUP($AA45,'[51]②配宿シュミレーション(12,000人ver)'!$AO$6:$AO$674,'[51]②配宿シュミレーション(12,000人ver)'!BH$6:BH$674,)</f>
        <v>226</v>
      </c>
      <c r="AY45" s="398">
        <f>+_xlfn.XLOOKUP($AA45,'[51]②配宿シュミレーション(12,000人ver)'!$AO$6:$AO$674,'[51]②配宿シュミレーション(12,000人ver)'!BI$6:BI$674,)</f>
        <v>166</v>
      </c>
      <c r="AZ45" s="398">
        <f>+_xlfn.XLOOKUP($AA45,'[51]②配宿シュミレーション(12,000人ver)'!$AO$6:$AO$674,'[51]②配宿シュミレーション(12,000人ver)'!BJ$6:BJ$674,)</f>
        <v>166</v>
      </c>
      <c r="BA45" s="398">
        <f>+_xlfn.XLOOKUP($AA45,'[51]②配宿シュミレーション(12,000人ver)'!$AO$6:$AO$674,'[51]②配宿シュミレーション(12,000人ver)'!BK$6:BK$674,)</f>
        <v>166</v>
      </c>
      <c r="BB45" s="398">
        <f>+_xlfn.XLOOKUP($AA45,'[51]②配宿シュミレーション(12,000人ver)'!$AO$6:$AO$674,'[51]②配宿シュミレーション(12,000人ver)'!BL$6:BL$674,)</f>
        <v>166</v>
      </c>
      <c r="BC45" s="398">
        <f>+_xlfn.XLOOKUP($AA45,'[51]②配宿シュミレーション(12,000人ver)'!$AO$6:$AO$674,'[51]②配宿シュミレーション(12,000人ver)'!BM$6:BM$674,)</f>
        <v>166</v>
      </c>
      <c r="BD45" s="2861" t="s">
        <v>2448</v>
      </c>
      <c r="BE45" s="398">
        <f>+_xlfn.XLOOKUP($AA45,'[51]②配宿シュミレーション(12,000人ver)'!$AO$6:$AO$674,'[51]②配宿シュミレーション(12,000人ver)'!BO$6:BO$674,)</f>
        <v>0</v>
      </c>
      <c r="BF45" s="398">
        <f>+_xlfn.XLOOKUP($AA45,'[51]②配宿シュミレーション(12,000人ver)'!$AO$6:$AO$674,'[51]②配宿シュミレーション(12,000人ver)'!BP$6:BP$674,)</f>
        <v>0</v>
      </c>
      <c r="BG45" s="398">
        <f>+_xlfn.XLOOKUP($AA45,'[51]②配宿シュミレーション(12,000人ver)'!$AO$6:$AO$674,'[51]②配宿シュミレーション(12,000人ver)'!BQ$6:BQ$674,)</f>
        <v>0</v>
      </c>
      <c r="BH45" s="398">
        <f>+_xlfn.XLOOKUP($AA45,'[51]②配宿シュミレーション(12,000人ver)'!$AO$6:$AO$674,'[51]②配宿シュミレーション(12,000人ver)'!BR$6:BR$674,)</f>
        <v>0</v>
      </c>
      <c r="BI45" s="398">
        <f>+_xlfn.XLOOKUP($AA45,'[51]②配宿シュミレーション(12,000人ver)'!$AO$6:$AO$674,'[51]②配宿シュミレーション(12,000人ver)'!BS$6:BS$674,)</f>
        <v>0</v>
      </c>
      <c r="BJ45" s="398">
        <f>+_xlfn.XLOOKUP($AA45,'[51]②配宿シュミレーション(12,000人ver)'!$AO$6:$AO$674,'[51]②配宿シュミレーション(12,000人ver)'!BT$6:BT$674,)</f>
        <v>0</v>
      </c>
      <c r="BK45" s="398">
        <f>+_xlfn.XLOOKUP($AA45,'[51]②配宿シュミレーション(12,000人ver)'!$AO$6:$AO$674,'[51]②配宿シュミレーション(12,000人ver)'!BU$6:BU$674,)</f>
        <v>0</v>
      </c>
      <c r="BL45" s="398">
        <f>+_xlfn.XLOOKUP($AA45,'[51]②配宿シュミレーション(12,000人ver)'!$AO$6:$AO$674,'[51]②配宿シュミレーション(12,000人ver)'!BV$6:BV$674,)</f>
        <v>0</v>
      </c>
      <c r="BM45" s="398">
        <f>+_xlfn.XLOOKUP($AA45,'[51]②配宿シュミレーション(12,000人ver)'!$AO$6:$AO$674,'[51]②配宿シュミレーション(12,000人ver)'!BW$6:BW$674,)</f>
        <v>0</v>
      </c>
      <c r="BN45" s="472">
        <f>+_xlfn.XLOOKUP($AA45,'[51]②配宿シュミレーション(12,000人ver)'!$AO$6:$AO$674,'[51]②配宿シュミレーション(12,000人ver)'!BX$6:BX$674,)</f>
        <v>0</v>
      </c>
      <c r="BO45" s="573"/>
      <c r="BP45" s="610"/>
      <c r="BQ45" s="611"/>
    </row>
    <row r="46" spans="1:69" ht="46" customHeight="1">
      <c r="A46" s="2862"/>
      <c r="B46" s="296"/>
      <c r="C46" s="296"/>
      <c r="D46" s="297"/>
      <c r="E46" s="609"/>
      <c r="F46" s="2864"/>
      <c r="G46" s="2864"/>
      <c r="H46" s="2865"/>
      <c r="I46" s="2866"/>
      <c r="J46" s="2866"/>
      <c r="K46" s="2865"/>
      <c r="L46" s="2866"/>
      <c r="M46" s="2866"/>
      <c r="N46" s="2866"/>
      <c r="O46" s="2866"/>
      <c r="P46" s="302" t="str">
        <f t="shared" si="2"/>
        <v/>
      </c>
      <c r="Q46" s="302"/>
      <c r="R46" s="296"/>
      <c r="S46" s="486" t="s">
        <v>2465</v>
      </c>
      <c r="T46" s="487" t="str">
        <f>IFERROR(VLOOKUP($S46,'[51]競技情報DB(12,000人ver)'!$A$6:$D$201,2,),"－")</f>
        <v>名古屋市</v>
      </c>
      <c r="U46" s="488">
        <f>_xlfn.XLOOKUP(S46,'[51]競技情報DB(12,000人ver)'!$A$6:$A$99,'[51]競技情報DB(12,000人ver)'!$D$6:$D$99,"",0,)</f>
        <v>83</v>
      </c>
      <c r="V46" s="315"/>
      <c r="W46" s="2899">
        <v>23.3</v>
      </c>
      <c r="X46" s="635">
        <v>24</v>
      </c>
      <c r="Y46" s="318"/>
      <c r="Z46" s="311"/>
      <c r="AA46" s="2900"/>
      <c r="AB46" s="2939"/>
      <c r="AC46" s="2939"/>
      <c r="AD46" s="2943"/>
      <c r="AE46" s="320"/>
      <c r="AF46" s="321"/>
      <c r="AG46" s="321"/>
      <c r="AH46" s="321"/>
      <c r="AI46" s="321"/>
      <c r="AJ46" s="321"/>
      <c r="AK46" s="321"/>
      <c r="AL46" s="321"/>
      <c r="AM46" s="321"/>
      <c r="AN46" s="321"/>
      <c r="AO46" s="321"/>
      <c r="AP46" s="321"/>
      <c r="AQ46" s="321"/>
      <c r="AR46" s="321"/>
      <c r="AS46" s="321"/>
      <c r="AT46" s="321"/>
      <c r="AU46" s="321"/>
      <c r="AV46" s="321"/>
      <c r="AW46" s="321"/>
      <c r="AX46" s="321"/>
      <c r="AY46" s="321"/>
      <c r="AZ46" s="321"/>
      <c r="BA46" s="321"/>
      <c r="BB46" s="321"/>
      <c r="BC46" s="321"/>
      <c r="BD46" s="321"/>
      <c r="BE46" s="321"/>
      <c r="BF46" s="321"/>
      <c r="BG46" s="321"/>
      <c r="BH46" s="321"/>
      <c r="BI46" s="321"/>
      <c r="BJ46" s="321"/>
      <c r="BK46" s="321"/>
      <c r="BL46" s="321"/>
      <c r="BM46" s="321"/>
      <c r="BN46" s="507"/>
      <c r="BO46" s="573"/>
      <c r="BP46" s="610"/>
      <c r="BQ46" s="611"/>
    </row>
    <row r="47" spans="1:69" ht="46" customHeight="1" thickBot="1">
      <c r="A47" s="2862"/>
      <c r="B47" s="296"/>
      <c r="C47" s="296"/>
      <c r="D47" s="297"/>
      <c r="E47" s="609"/>
      <c r="F47" s="2864"/>
      <c r="G47" s="2864"/>
      <c r="H47" s="2865"/>
      <c r="I47" s="2866"/>
      <c r="J47" s="2866"/>
      <c r="K47" s="2865"/>
      <c r="L47" s="2866"/>
      <c r="M47" s="2866"/>
      <c r="N47" s="2866"/>
      <c r="O47" s="2866"/>
      <c r="P47" s="302" t="str">
        <f t="shared" si="2"/>
        <v/>
      </c>
      <c r="Q47" s="302"/>
      <c r="R47" s="296"/>
      <c r="S47" s="436" t="s">
        <v>2165</v>
      </c>
      <c r="T47" s="437" t="str">
        <f>IFERROR(VLOOKUP($S47,'[51]競技情報DB(12,000人ver)'!$A$6:$D$201,2,),"－")</f>
        <v>名古屋市</v>
      </c>
      <c r="U47" s="438">
        <f>_xlfn.XLOOKUP(S47,'[51]競技情報DB(12,000人ver)'!$A$6:$A$99,'[51]競技情報DB(12,000人ver)'!$D$6:$D$99,"",0,)</f>
        <v>60</v>
      </c>
      <c r="V47" s="315"/>
      <c r="W47" s="2898">
        <v>2.8</v>
      </c>
      <c r="X47" s="441">
        <v>13</v>
      </c>
      <c r="Y47" s="318"/>
      <c r="Z47" s="311"/>
      <c r="AA47" s="334"/>
      <c r="AB47" s="2939"/>
      <c r="AC47" s="2939"/>
      <c r="AD47" s="2943"/>
      <c r="AE47" s="320"/>
      <c r="AF47" s="2901"/>
      <c r="AG47" s="2901"/>
      <c r="AH47" s="2901"/>
      <c r="AI47" s="2901"/>
      <c r="AJ47" s="2901"/>
      <c r="AK47" s="2901"/>
      <c r="AL47" s="2901"/>
      <c r="AM47" s="2901"/>
      <c r="AN47" s="2901"/>
      <c r="AO47" s="2901"/>
      <c r="AP47" s="2901"/>
      <c r="AQ47" s="2901"/>
      <c r="AR47" s="2901"/>
      <c r="AS47" s="2901"/>
      <c r="AT47" s="2901"/>
      <c r="AU47" s="2901"/>
      <c r="AV47" s="2901"/>
      <c r="AW47" s="2901"/>
      <c r="AX47" s="2901"/>
      <c r="AY47" s="2901"/>
      <c r="AZ47" s="2901"/>
      <c r="BA47" s="2901"/>
      <c r="BB47" s="2901"/>
      <c r="BC47" s="2901"/>
      <c r="BD47" s="2901"/>
      <c r="BE47" s="2901"/>
      <c r="BF47" s="2901"/>
      <c r="BG47" s="2901"/>
      <c r="BH47" s="2901"/>
      <c r="BI47" s="2901"/>
      <c r="BJ47" s="2901"/>
      <c r="BK47" s="2901"/>
      <c r="BL47" s="2901"/>
      <c r="BM47" s="2901"/>
      <c r="BN47" s="2902"/>
      <c r="BO47" s="573"/>
      <c r="BP47" s="610"/>
      <c r="BQ47" s="611"/>
    </row>
    <row r="48" spans="1:69" ht="46" customHeight="1">
      <c r="A48" s="2903" t="s">
        <v>2466</v>
      </c>
      <c r="B48" s="2852" t="s">
        <v>17</v>
      </c>
      <c r="C48" s="248">
        <v>10</v>
      </c>
      <c r="D48" s="249">
        <f>IF(_xlfn.XLOOKUP(E48,[51]宿泊施設DB!$B$3:$B$206,[51]宿泊施設DB!$A$3:$A$206,"",)=0,"",_xlfn.XLOOKUP(E48,[51]宿泊施設DB!$B$3:$B$206,[51]宿泊施設DB!$A$3:$A$206,"",))</f>
        <v>1007</v>
      </c>
      <c r="E48" s="593" t="s">
        <v>2239</v>
      </c>
      <c r="F48" s="2854">
        <f>_xlfn.XLOOKUP($E48,[51]宿泊施設DB!$B$3:$B$206,[51]宿泊施設DB!$D$3:$D$206,"",)</f>
        <v>118</v>
      </c>
      <c r="G48" s="2854">
        <f>_xlfn.XLOOKUP($E48,[51]宿泊施設DB!$B$3:$B$206,[51]宿泊施設DB!$E$3:$E$206,"",)</f>
        <v>192</v>
      </c>
      <c r="H48" s="2904">
        <f>_xlfn.XLOOKUP($E48,[51]宿泊施設DB!$B$3:$B$206,[51]宿泊施設DB!$J$3:$J$206,"",)</f>
        <v>1</v>
      </c>
      <c r="I48" s="2857" t="str">
        <f>_xlfn.XLOOKUP($E48,[51]宿泊施設DB!$B$3:$B$206,[51]宿泊施設DB!$T$3:$T$206,"",)</f>
        <v>中</v>
      </c>
      <c r="J48" s="2857" t="str">
        <f>_xlfn.XLOOKUP($E48,[51]宿泊施設DB!$B$3:$B$206,[51]宿泊施設DB!$R$3:$R$206,"",)</f>
        <v>ケータリング</v>
      </c>
      <c r="K48" s="2904">
        <f>_xlfn.XLOOKUP($E48,[51]宿泊施設DB!$B$3:$B$206,[51]宿泊施設DB!$S$3:$S$206,"",)</f>
        <v>72</v>
      </c>
      <c r="L48" s="2857" t="str">
        <f>_xlfn.XLOOKUP($E48,[51]宿泊施設DB!$B$3:$B$206,[51]宿泊施設DB!$U$3:$U$206,"",)</f>
        <v>－</v>
      </c>
      <c r="M48" s="2857" t="str">
        <f>_xlfn.XLOOKUP($E48,[51]宿泊施設DB!$B$3:$B$206,[51]宿泊施設DB!$V$3:$V$206,"",)</f>
        <v>○</v>
      </c>
      <c r="N48" s="2857" t="str">
        <f>_xlfn.XLOOKUP($E48,[51]宿泊施設DB!$B$3:$B$206,[51]宿泊施設DB!$W$3:$W$206,"",)</f>
        <v>○</v>
      </c>
      <c r="O48" s="2857" t="str">
        <f>_xlfn.XLOOKUP($E48,[51]宿泊施設DB!$B$3:$B$206,[51]宿泊施設DB!$X$3:$X$206,"",)</f>
        <v>玄関前（屋根無）1台</v>
      </c>
      <c r="P48" s="258" t="str">
        <f t="shared" si="2"/>
        <v>○</v>
      </c>
      <c r="Q48" s="258"/>
      <c r="R48" s="248" t="s">
        <v>2169</v>
      </c>
      <c r="S48" s="600" t="s">
        <v>2467</v>
      </c>
      <c r="T48" s="601" t="str">
        <f>IFERROR(VLOOKUP($S48,'[51]競技情報DB(12,000人ver)'!$A$6:$D$201,2,),"－")</f>
        <v>各務原市</v>
      </c>
      <c r="U48" s="270">
        <f>_xlfn.XLOOKUP(S48,'[51]競技情報DB(12,000人ver)'!$A$6:$A$99,'[51]競技情報DB(12,000人ver)'!$D$6:$D$99,"",0,)</f>
        <v>168</v>
      </c>
      <c r="V48" s="271">
        <f>SUM(U48:U48)</f>
        <v>168</v>
      </c>
      <c r="W48" s="603">
        <v>10</v>
      </c>
      <c r="X48" s="604">
        <v>18</v>
      </c>
      <c r="Y48" s="274">
        <f>$G48-MAX(AF48:BN48)</f>
        <v>24</v>
      </c>
      <c r="Z48" s="267">
        <f>+Y48/$G48</f>
        <v>0.125</v>
      </c>
      <c r="AA48" s="275" t="str">
        <f>E48&amp;"　"&amp;"合計"</f>
        <v>ホテルミュースタイル犬山エクスペリエンス　合計</v>
      </c>
      <c r="AB48" s="2954">
        <v>45547</v>
      </c>
      <c r="AC48" s="2954">
        <v>45570</v>
      </c>
      <c r="AD48" s="2943">
        <v>23</v>
      </c>
      <c r="AE48" s="276" t="s">
        <v>2175</v>
      </c>
      <c r="AF48" s="280">
        <f>+_xlfn.XLOOKUP($AA48,'[51]②配宿シュミレーション(12,000人ver)'!$AO$6:$AO$674,'[51]②配宿シュミレーション(12,000人ver)'!AP$6:AP$674,)</f>
        <v>0</v>
      </c>
      <c r="AG48" s="280">
        <f>+_xlfn.XLOOKUP($AA48,'[51]②配宿シュミレーション(12,000人ver)'!$AO$6:$AO$674,'[51]②配宿シュミレーション(12,000人ver)'!AQ$6:AQ$674,)</f>
        <v>0</v>
      </c>
      <c r="AH48" s="280">
        <f>+_xlfn.XLOOKUP($AA48,'[51]②配宿シュミレーション(12,000人ver)'!$AO$6:$AO$674,'[51]②配宿シュミレーション(12,000人ver)'!AR$6:AR$674,)</f>
        <v>0</v>
      </c>
      <c r="AI48" s="280">
        <f>+_xlfn.XLOOKUP($AA48,'[51]②配宿シュミレーション(12,000人ver)'!$AO$6:$AO$674,'[51]②配宿シュミレーション(12,000人ver)'!AS$6:AS$674,)</f>
        <v>0</v>
      </c>
      <c r="AJ48" s="280">
        <f>+_xlfn.XLOOKUP($AA48,'[51]②配宿シュミレーション(12,000人ver)'!$AO$6:$AO$674,'[51]②配宿シュミレーション(12,000人ver)'!AT$6:AT$674,)</f>
        <v>0</v>
      </c>
      <c r="AK48" s="280">
        <f>+_xlfn.XLOOKUP($AA48,'[51]②配宿シュミレーション(12,000人ver)'!$AO$6:$AO$674,'[51]②配宿シュミレーション(12,000人ver)'!AU$6:AU$674,)</f>
        <v>0</v>
      </c>
      <c r="AL48" s="280">
        <f>+_xlfn.XLOOKUP($AA48,'[51]②配宿シュミレーション(12,000人ver)'!$AO$6:$AO$674,'[51]②配宿シュミレーション(12,000人ver)'!AV$6:AV$674,)</f>
        <v>0</v>
      </c>
      <c r="AM48" s="280">
        <f>+_xlfn.XLOOKUP($AA48,'[51]②配宿シュミレーション(12,000人ver)'!$AO$6:$AO$674,'[51]②配宿シュミレーション(12,000人ver)'!AW$6:AW$674,)</f>
        <v>0</v>
      </c>
      <c r="AN48" s="2860" t="s">
        <v>2447</v>
      </c>
      <c r="AO48" s="2860" t="s">
        <v>2447</v>
      </c>
      <c r="AP48" s="2905">
        <f>+_xlfn.XLOOKUP($AA48,'[51]②配宿シュミレーション(12,000人ver)'!$AO$6:$AO$674,'[51]②配宿シュミレーション(12,000人ver)'!AZ$6:AZ$674,)</f>
        <v>168</v>
      </c>
      <c r="AQ48" s="2905">
        <f>+_xlfn.XLOOKUP($AA48,'[51]②配宿シュミレーション(12,000人ver)'!$AO$6:$AO$674,'[51]②配宿シュミレーション(12,000人ver)'!BA$6:BA$674,)</f>
        <v>168</v>
      </c>
      <c r="AR48" s="2905">
        <f>+_xlfn.XLOOKUP($AA48,'[51]②配宿シュミレーション(12,000人ver)'!$AO$6:$AO$674,'[51]②配宿シュミレーション(12,000人ver)'!BB$6:BB$674,)</f>
        <v>168</v>
      </c>
      <c r="AS48" s="2905">
        <f>+_xlfn.XLOOKUP($AA48,'[51]②配宿シュミレーション(12,000人ver)'!$AO$6:$AO$674,'[51]②配宿シュミレーション(12,000人ver)'!BC$6:BC$674,)</f>
        <v>168</v>
      </c>
      <c r="AT48" s="2905">
        <f>+_xlfn.XLOOKUP($AA48,'[51]②配宿シュミレーション(12,000人ver)'!$AO$6:$AO$674,'[51]②配宿シュミレーション(12,000人ver)'!BD$6:BD$674,)</f>
        <v>168</v>
      </c>
      <c r="AU48" s="2905">
        <f>+_xlfn.XLOOKUP($AA48,'[51]②配宿シュミレーション(12,000人ver)'!$AO$6:$AO$674,'[51]②配宿シュミレーション(12,000人ver)'!BE$6:BE$674,)</f>
        <v>168</v>
      </c>
      <c r="AV48" s="2905">
        <f>+_xlfn.XLOOKUP($AA48,'[51]②配宿シュミレーション(12,000人ver)'!$AO$6:$AO$674,'[51]②配宿シュミレーション(12,000人ver)'!BF$6:BF$674,)</f>
        <v>168</v>
      </c>
      <c r="AW48" s="2905">
        <f>+_xlfn.XLOOKUP($AA48,'[51]②配宿シュミレーション(12,000人ver)'!$AO$6:$AO$674,'[51]②配宿シュミレーション(12,000人ver)'!BG$6:BG$674,)</f>
        <v>168</v>
      </c>
      <c r="AX48" s="2905">
        <f>+_xlfn.XLOOKUP($AA48,'[51]②配宿シュミレーション(12,000人ver)'!$AO$6:$AO$674,'[51]②配宿シュミレーション(12,000人ver)'!BH$6:BH$674,)</f>
        <v>168</v>
      </c>
      <c r="AY48" s="2905">
        <f>+_xlfn.XLOOKUP($AA48,'[51]②配宿シュミレーション(12,000人ver)'!$AO$6:$AO$674,'[51]②配宿シュミレーション(12,000人ver)'!BI$6:BI$674,)</f>
        <v>168</v>
      </c>
      <c r="AZ48" s="2905">
        <f>+_xlfn.XLOOKUP($AA48,'[51]②配宿シュミレーション(12,000人ver)'!$AO$6:$AO$674,'[51]②配宿シュミレーション(12,000人ver)'!BJ$6:BJ$674,)</f>
        <v>168</v>
      </c>
      <c r="BA48" s="2905">
        <f>+_xlfn.XLOOKUP($AA48,'[51]②配宿シュミレーション(12,000人ver)'!$AO$6:$AO$674,'[51]②配宿シュミレーション(12,000人ver)'!BK$6:BK$674,)</f>
        <v>168</v>
      </c>
      <c r="BB48" s="2905">
        <f>+_xlfn.XLOOKUP($AA48,'[51]②配宿シュミレーション(12,000人ver)'!$AO$6:$AO$674,'[51]②配宿シュミレーション(12,000人ver)'!BL$6:BL$674,)</f>
        <v>168</v>
      </c>
      <c r="BC48" s="2905">
        <f>+_xlfn.XLOOKUP($AA48,'[51]②配宿シュミレーション(12,000人ver)'!$AO$6:$AO$674,'[51]②配宿シュミレーション(12,000人ver)'!BM$6:BM$674,)</f>
        <v>168</v>
      </c>
      <c r="BD48" s="2905">
        <f>+_xlfn.XLOOKUP($AA48,'[51]②配宿シュミレーション(12,000人ver)'!$AO$6:$AO$674,'[51]②配宿シュミレーション(12,000人ver)'!BN$6:BN$674,)</f>
        <v>168</v>
      </c>
      <c r="BE48" s="2905">
        <f>+_xlfn.XLOOKUP($AA48,'[51]②配宿シュミレーション(12,000人ver)'!$AO$6:$AO$674,'[51]②配宿シュミレーション(12,000人ver)'!BO$6:BO$674,)</f>
        <v>168</v>
      </c>
      <c r="BF48" s="2905">
        <f>+_xlfn.XLOOKUP($AA48,'[51]②配宿シュミレーション(12,000人ver)'!$AO$6:$AO$674,'[51]②配宿シュミレーション(12,000人ver)'!BP$6:BP$674,)</f>
        <v>168</v>
      </c>
      <c r="BG48" s="2905">
        <f>+_xlfn.XLOOKUP($AA48,'[51]②配宿シュミレーション(12,000人ver)'!$AO$6:$AO$674,'[51]②配宿シュミレーション(12,000人ver)'!BQ$6:BQ$674,)</f>
        <v>168</v>
      </c>
      <c r="BH48" s="2905">
        <f>+_xlfn.XLOOKUP($AA48,'[51]②配宿シュミレーション(12,000人ver)'!$AO$6:$AO$674,'[51]②配宿シュミレーション(12,000人ver)'!BR$6:BR$674,)</f>
        <v>168</v>
      </c>
      <c r="BI48" s="2905">
        <f>+_xlfn.XLOOKUP($AA48,'[51]②配宿シュミレーション(12,000人ver)'!$AO$6:$AO$674,'[51]②配宿シュミレーション(12,000人ver)'!BS$6:BS$674,)</f>
        <v>168</v>
      </c>
      <c r="BJ48" s="2905">
        <f>+_xlfn.XLOOKUP($AA48,'[51]②配宿シュミレーション(12,000人ver)'!$AO$6:$AO$674,'[51]②配宿シュミレーション(12,000人ver)'!BT$6:BT$674,)</f>
        <v>168</v>
      </c>
      <c r="BK48" s="2861" t="s">
        <v>2448</v>
      </c>
      <c r="BL48" s="280">
        <f>+_xlfn.XLOOKUP($AA48,'[51]②配宿シュミレーション(12,000人ver)'!$AO$6:$AO$674,'[51]②配宿シュミレーション(12,000人ver)'!BV$6:BV$674,)</f>
        <v>0</v>
      </c>
      <c r="BM48" s="280">
        <f>+_xlfn.XLOOKUP($AA48,'[51]②配宿シュミレーション(12,000人ver)'!$AO$6:$AO$674,'[51]②配宿シュミレーション(12,000人ver)'!BW$6:BW$674,)</f>
        <v>0</v>
      </c>
      <c r="BN48" s="606">
        <f>+_xlfn.XLOOKUP($AA48,'[51]②配宿シュミレーション(12,000人ver)'!$AO$6:$AO$674,'[51]②配宿シュミレーション(12,000人ver)'!BX$6:BX$674,)</f>
        <v>0</v>
      </c>
      <c r="BO48" s="2906"/>
      <c r="BP48" s="574"/>
      <c r="BQ48" s="575"/>
    </row>
    <row r="49" spans="1:69" s="521" customFormat="1" ht="46" customHeight="1" thickBot="1">
      <c r="A49" s="2862"/>
      <c r="B49" s="2907"/>
      <c r="C49" s="420"/>
      <c r="D49" s="421" t="str">
        <f>IF(_xlfn.XLOOKUP(E49,[51]宿泊施設DB!$B$3:$B$206,[51]宿泊施設DB!$A$3:$A$206,"",)=0,"",_xlfn.XLOOKUP(E49,[51]宿泊施設DB!$B$3:$B$206,[51]宿泊施設DB!$A$3:$A$206,"",))</f>
        <v/>
      </c>
      <c r="E49" s="612"/>
      <c r="F49" s="2875">
        <f>_xlfn.XLOOKUP($E49,[51]宿泊施設DB!$B$3:$B$206,[51]宿泊施設DB!$D$3:$D$206,"",)</f>
        <v>0</v>
      </c>
      <c r="G49" s="2875">
        <f>_xlfn.XLOOKUP($E49,[51]宿泊施設DB!$B$3:$B$206,[51]宿泊施設DB!$E$3:$E$206,"",)</f>
        <v>0</v>
      </c>
      <c r="H49" s="2877">
        <f>_xlfn.XLOOKUP($E49,[51]宿泊施設DB!$B$3:$B$206,[51]宿泊施設DB!$J$3:$J$206,"",)</f>
        <v>0</v>
      </c>
      <c r="I49" s="2878">
        <f>_xlfn.XLOOKUP($E49,[51]宿泊施設DB!$B$3:$B$206,[51]宿泊施設DB!$T$3:$T$206,"",)</f>
        <v>0</v>
      </c>
      <c r="J49" s="2878" t="s">
        <v>2231</v>
      </c>
      <c r="K49" s="2877">
        <f>_xlfn.XLOOKUP($E49,[51]宿泊施設DB!$B$3:$B$206,[51]宿泊施設DB!$S$3:$S$206,"",)</f>
        <v>0</v>
      </c>
      <c r="L49" s="2878">
        <f>_xlfn.XLOOKUP($E49,[51]宿泊施設DB!$B$3:$B$206,[51]宿泊施設DB!$U$3:$U$206,"",)</f>
        <v>0</v>
      </c>
      <c r="M49" s="2878">
        <f>_xlfn.XLOOKUP($E49,[51]宿泊施設DB!$B$3:$B$206,[51]宿泊施設DB!$V$3:$V$206,"",)</f>
        <v>0</v>
      </c>
      <c r="N49" s="2878">
        <f>_xlfn.XLOOKUP($E49,[51]宿泊施設DB!$B$3:$B$206,[51]宿泊施設DB!$W$3:$W$206,"",)</f>
        <v>0</v>
      </c>
      <c r="O49" s="2878">
        <f>_xlfn.XLOOKUP($E49,[51]宿泊施設DB!$B$3:$B$206,[51]宿泊施設DB!$X$3:$X$206,"",)</f>
        <v>0</v>
      </c>
      <c r="P49" s="426" t="str">
        <f t="shared" si="2"/>
        <v/>
      </c>
      <c r="Q49" s="426"/>
      <c r="R49" s="420"/>
      <c r="S49" s="477"/>
      <c r="T49" s="478" t="str">
        <f>IFERROR(VLOOKUP($S49,'[51]競技情報DB(12,000人ver)'!$A$6:$D$201,2,),"－")</f>
        <v>－</v>
      </c>
      <c r="U49" s="479">
        <f>_xlfn.XLOOKUP(S49,'[51]競技情報DB(12,000人ver)'!$A$6:$A$99,'[51]競技情報DB(12,000人ver)'!$D$6:$D$99,"",0,)</f>
        <v>0</v>
      </c>
      <c r="V49" s="439"/>
      <c r="W49" s="480"/>
      <c r="X49" s="481"/>
      <c r="Y49" s="442"/>
      <c r="Z49" s="435"/>
      <c r="AA49" s="517"/>
      <c r="AB49" s="2952"/>
      <c r="AC49" s="2952"/>
      <c r="AD49" s="2953"/>
      <c r="AE49" s="518"/>
      <c r="AF49" s="445"/>
      <c r="AG49" s="445"/>
      <c r="AH49" s="445"/>
      <c r="AI49" s="445"/>
      <c r="AJ49" s="445"/>
      <c r="AK49" s="445"/>
      <c r="AL49" s="445"/>
      <c r="AM49" s="445"/>
      <c r="AN49" s="506"/>
      <c r="AO49" s="506"/>
      <c r="AP49" s="506"/>
      <c r="AQ49" s="506"/>
      <c r="AR49" s="506"/>
      <c r="AS49" s="506"/>
      <c r="AT49" s="506"/>
      <c r="AU49" s="506"/>
      <c r="AV49" s="506"/>
      <c r="AW49" s="506"/>
      <c r="AX49" s="506"/>
      <c r="AY49" s="506"/>
      <c r="AZ49" s="506"/>
      <c r="BA49" s="506"/>
      <c r="BB49" s="506"/>
      <c r="BC49" s="506"/>
      <c r="BD49" s="506"/>
      <c r="BE49" s="506"/>
      <c r="BF49" s="506"/>
      <c r="BG49" s="506"/>
      <c r="BH49" s="506"/>
      <c r="BI49" s="506"/>
      <c r="BJ49" s="506"/>
      <c r="BK49" s="506"/>
      <c r="BL49" s="445"/>
      <c r="BM49" s="445"/>
      <c r="BN49" s="449"/>
      <c r="BO49" s="573"/>
      <c r="BP49" s="614"/>
      <c r="BQ49" s="615"/>
    </row>
    <row r="50" spans="1:69" ht="46" customHeight="1">
      <c r="A50" s="2862"/>
      <c r="B50" s="2863" t="s">
        <v>2243</v>
      </c>
      <c r="C50" s="296">
        <f>C48+1</f>
        <v>11</v>
      </c>
      <c r="D50" s="297">
        <f>IF(_xlfn.XLOOKUP(E50,[51]宿泊施設DB!$B$3:$B$206,[51]宿泊施設DB!$A$3:$A$206,"",)=0,"",_xlfn.XLOOKUP(E50,[51]宿泊施設DB!$B$3:$B$206,[51]宿泊施設DB!$A$3:$A$206,"",))</f>
        <v>12</v>
      </c>
      <c r="E50" s="298" t="s">
        <v>2244</v>
      </c>
      <c r="F50" s="2864">
        <f>_xlfn.XLOOKUP($E50,[51]宿泊施設DB!$B$3:$B$206,[51]宿泊施設DB!$D$3:$D$206,"",)</f>
        <v>224</v>
      </c>
      <c r="G50" s="2864">
        <f>_xlfn.XLOOKUP($E50,[51]宿泊施設DB!$B$3:$B$206,[51]宿泊施設DB!$E$3:$E$206,"",)</f>
        <v>241</v>
      </c>
      <c r="H50" s="2865">
        <f>_xlfn.XLOOKUP($E50,[51]宿泊施設DB!$B$3:$B$206,[51]宿泊施設DB!$J$3:$J$206,"",)</f>
        <v>11</v>
      </c>
      <c r="I50" s="2866" t="str">
        <f>_xlfn.XLOOKUP($E50,[51]宿泊施設DB!$B$3:$B$206,[51]宿泊施設DB!$T$3:$T$206,"",)</f>
        <v>高</v>
      </c>
      <c r="J50" s="2866" t="str">
        <f>_xlfn.XLOOKUP($E50,[51]宿泊施設DB!$B$3:$B$206,[51]宿泊施設DB!$R$3:$R$206,"",)</f>
        <v>宿泊施設</v>
      </c>
      <c r="K50" s="2865">
        <f>_xlfn.XLOOKUP($E50,[51]宿泊施設DB!$B$3:$B$206,[51]宿泊施設DB!$S$3:$S$206,"",)</f>
        <v>82</v>
      </c>
      <c r="L50" s="2866" t="str">
        <f>_xlfn.XLOOKUP($E50,[51]宿泊施設DB!$B$3:$B$206,[51]宿泊施設DB!$U$3:$U$206,"",)</f>
        <v>○</v>
      </c>
      <c r="M50" s="2866" t="str">
        <f>_xlfn.XLOOKUP($E50,[51]宿泊施設DB!$B$3:$B$206,[51]宿泊施設DB!$V$3:$V$206,"",)</f>
        <v>○(ｼﾞﾑ内等)</v>
      </c>
      <c r="N50" s="2866" t="str">
        <f>_xlfn.XLOOKUP($E50,[51]宿泊施設DB!$B$3:$B$206,[51]宿泊施設DB!$W$3:$W$206,"",)</f>
        <v>○</v>
      </c>
      <c r="O50" s="2866" t="str">
        <f>_xlfn.XLOOKUP($E50,[51]宿泊施設DB!$B$3:$B$206,[51]宿泊施設DB!$X$3:$X$206,"",)</f>
        <v>玄関前（屋根無）1台</v>
      </c>
      <c r="P50" s="302" t="str">
        <f t="shared" si="2"/>
        <v>○</v>
      </c>
      <c r="Q50" s="302"/>
      <c r="R50" s="296" t="s">
        <v>2169</v>
      </c>
      <c r="S50" s="486" t="s">
        <v>2247</v>
      </c>
      <c r="T50" s="487" t="str">
        <f>IFERROR(VLOOKUP($S50,'[51]競技情報DB(12,000人ver)'!$A$6:$D$201,2,),"－")</f>
        <v>小牧市</v>
      </c>
      <c r="U50" s="488">
        <f>_xlfn.XLOOKUP(S50,'[51]競技情報DB(12,000人ver)'!$A$6:$A$99,'[51]競技情報DB(12,000人ver)'!$D$6:$D$99,"",0,)</f>
        <v>187</v>
      </c>
      <c r="V50" s="315">
        <f>SUM(U50:U51)</f>
        <v>187</v>
      </c>
      <c r="W50" s="489">
        <v>4.3</v>
      </c>
      <c r="X50" s="490">
        <v>11</v>
      </c>
      <c r="Y50" s="318">
        <f>$G50-MAX(AF50:BN50)</f>
        <v>54</v>
      </c>
      <c r="Z50" s="311">
        <f>+Y50/$G50</f>
        <v>0.22406639004149378</v>
      </c>
      <c r="AA50" s="491" t="str">
        <f>E50&amp;"　"&amp;"合計"</f>
        <v>ルートイングランティア小牧　合計</v>
      </c>
      <c r="AB50" s="2950">
        <v>45547</v>
      </c>
      <c r="AC50" s="2950">
        <v>45570</v>
      </c>
      <c r="AD50" s="2943">
        <v>23</v>
      </c>
      <c r="AE50" s="492" t="s">
        <v>2175</v>
      </c>
      <c r="AF50" s="398">
        <f>+_xlfn.XLOOKUP($AA50,'[51]②配宿シュミレーション(12,000人ver)'!$AO$6:$AO$674,'[51]②配宿シュミレーション(12,000人ver)'!AP$6:AP$674,)</f>
        <v>0</v>
      </c>
      <c r="AG50" s="398">
        <f>+_xlfn.XLOOKUP($AA50,'[51]②配宿シュミレーション(12,000人ver)'!$AO$6:$AO$674,'[51]②配宿シュミレーション(12,000人ver)'!AQ$6:AQ$674,)</f>
        <v>0</v>
      </c>
      <c r="AH50" s="398">
        <f>+_xlfn.XLOOKUP($AA50,'[51]②配宿シュミレーション(12,000人ver)'!$AO$6:$AO$674,'[51]②配宿シュミレーション(12,000人ver)'!AR$6:AR$674,)</f>
        <v>0</v>
      </c>
      <c r="AI50" s="398">
        <f>+_xlfn.XLOOKUP($AA50,'[51]②配宿シュミレーション(12,000人ver)'!$AO$6:$AO$674,'[51]②配宿シュミレーション(12,000人ver)'!AS$6:AS$674,)</f>
        <v>0</v>
      </c>
      <c r="AJ50" s="398">
        <f>+_xlfn.XLOOKUP($AA50,'[51]②配宿シュミレーション(12,000人ver)'!$AO$6:$AO$674,'[51]②配宿シュミレーション(12,000人ver)'!AT$6:AT$674,)</f>
        <v>0</v>
      </c>
      <c r="AK50" s="398">
        <f>+_xlfn.XLOOKUP($AA50,'[51]②配宿シュミレーション(12,000人ver)'!$AO$6:$AO$674,'[51]②配宿シュミレーション(12,000人ver)'!AU$6:AU$674,)</f>
        <v>0</v>
      </c>
      <c r="AL50" s="398">
        <f>+_xlfn.XLOOKUP($AA50,'[51]②配宿シュミレーション(12,000人ver)'!$AO$6:$AO$674,'[51]②配宿シュミレーション(12,000人ver)'!AV$6:AV$674,)</f>
        <v>0</v>
      </c>
      <c r="AM50" s="398">
        <f>+_xlfn.XLOOKUP($AA50,'[51]②配宿シュミレーション(12,000人ver)'!$AO$6:$AO$674,'[51]②配宿シュミレーション(12,000人ver)'!AW$6:AW$674,)</f>
        <v>0</v>
      </c>
      <c r="AN50" s="2880" t="s">
        <v>2447</v>
      </c>
      <c r="AO50" s="2880" t="s">
        <v>2447</v>
      </c>
      <c r="AP50" s="398">
        <f>+_xlfn.XLOOKUP($AA50,'[51]②配宿シュミレーション(12,000人ver)'!$AO$6:$AO$674,'[51]②配宿シュミレーション(12,000人ver)'!AZ$6:AZ$674,)</f>
        <v>187</v>
      </c>
      <c r="AQ50" s="398">
        <f>+_xlfn.XLOOKUP($AA50,'[51]②配宿シュミレーション(12,000人ver)'!$AO$6:$AO$674,'[51]②配宿シュミレーション(12,000人ver)'!BA$6:BA$674,)</f>
        <v>187</v>
      </c>
      <c r="AR50" s="398">
        <f>+_xlfn.XLOOKUP($AA50,'[51]②配宿シュミレーション(12,000人ver)'!$AO$6:$AO$674,'[51]②配宿シュミレーション(12,000人ver)'!BB$6:BB$674,)</f>
        <v>187</v>
      </c>
      <c r="AS50" s="398">
        <f>+_xlfn.XLOOKUP($AA50,'[51]②配宿シュミレーション(12,000人ver)'!$AO$6:$AO$674,'[51]②配宿シュミレーション(12,000人ver)'!BC$6:BC$674,)</f>
        <v>187</v>
      </c>
      <c r="AT50" s="398">
        <f>+_xlfn.XLOOKUP($AA50,'[51]②配宿シュミレーション(12,000人ver)'!$AO$6:$AO$674,'[51]②配宿シュミレーション(12,000人ver)'!BD$6:BD$674,)</f>
        <v>187</v>
      </c>
      <c r="AU50" s="398">
        <f>+_xlfn.XLOOKUP($AA50,'[51]②配宿シュミレーション(12,000人ver)'!$AO$6:$AO$674,'[51]②配宿シュミレーション(12,000人ver)'!BE$6:BE$674,)</f>
        <v>187</v>
      </c>
      <c r="AV50" s="398">
        <f>+_xlfn.XLOOKUP($AA50,'[51]②配宿シュミレーション(12,000人ver)'!$AO$6:$AO$674,'[51]②配宿シュミレーション(12,000人ver)'!BF$6:BF$674,)</f>
        <v>187</v>
      </c>
      <c r="AW50" s="398">
        <f>+_xlfn.XLOOKUP($AA50,'[51]②配宿シュミレーション(12,000人ver)'!$AO$6:$AO$674,'[51]②配宿シュミレーション(12,000人ver)'!BG$6:BG$674,)</f>
        <v>187</v>
      </c>
      <c r="AX50" s="398">
        <f>+_xlfn.XLOOKUP($AA50,'[51]②配宿シュミレーション(12,000人ver)'!$AO$6:$AO$674,'[51]②配宿シュミレーション(12,000人ver)'!BH$6:BH$674,)</f>
        <v>187</v>
      </c>
      <c r="AY50" s="398">
        <f>+_xlfn.XLOOKUP($AA50,'[51]②配宿シュミレーション(12,000人ver)'!$AO$6:$AO$674,'[51]②配宿シュミレーション(12,000人ver)'!BI$6:BI$674,)</f>
        <v>187</v>
      </c>
      <c r="AZ50" s="398">
        <f>+_xlfn.XLOOKUP($AA50,'[51]②配宿シュミレーション(12,000人ver)'!$AO$6:$AO$674,'[51]②配宿シュミレーション(12,000人ver)'!BJ$6:BJ$674,)</f>
        <v>187</v>
      </c>
      <c r="BA50" s="398">
        <f>+_xlfn.XLOOKUP($AA50,'[51]②配宿シュミレーション(12,000人ver)'!$AO$6:$AO$674,'[51]②配宿シュミレーション(12,000人ver)'!BK$6:BK$674,)</f>
        <v>187</v>
      </c>
      <c r="BB50" s="398">
        <f>+_xlfn.XLOOKUP($AA50,'[51]②配宿シュミレーション(12,000人ver)'!$AO$6:$AO$674,'[51]②配宿シュミレーション(12,000人ver)'!BL$6:BL$674,)</f>
        <v>187</v>
      </c>
      <c r="BC50" s="398">
        <f>+_xlfn.XLOOKUP($AA50,'[51]②配宿シュミレーション(12,000人ver)'!$AO$6:$AO$674,'[51]②配宿シュミレーション(12,000人ver)'!BM$6:BM$674,)</f>
        <v>187</v>
      </c>
      <c r="BD50" s="398">
        <f>+_xlfn.XLOOKUP($AA50,'[51]②配宿シュミレーション(12,000人ver)'!$AO$6:$AO$674,'[51]②配宿シュミレーション(12,000人ver)'!BN$6:BN$674,)</f>
        <v>187</v>
      </c>
      <c r="BE50" s="398">
        <f>+_xlfn.XLOOKUP($AA50,'[51]②配宿シュミレーション(12,000人ver)'!$AO$6:$AO$674,'[51]②配宿シュミレーション(12,000人ver)'!BO$6:BO$674,)</f>
        <v>187</v>
      </c>
      <c r="BF50" s="398">
        <f>+_xlfn.XLOOKUP($AA50,'[51]②配宿シュミレーション(12,000人ver)'!$AO$6:$AO$674,'[51]②配宿シュミレーション(12,000人ver)'!BP$6:BP$674,)</f>
        <v>187</v>
      </c>
      <c r="BG50" s="398">
        <f>+_xlfn.XLOOKUP($AA50,'[51]②配宿シュミレーション(12,000人ver)'!$AO$6:$AO$674,'[51]②配宿シュミレーション(12,000人ver)'!BQ$6:BQ$674,)</f>
        <v>187</v>
      </c>
      <c r="BH50" s="398">
        <f>+_xlfn.XLOOKUP($AA50,'[51]②配宿シュミレーション(12,000人ver)'!$AO$6:$AO$674,'[51]②配宿シュミレーション(12,000人ver)'!BR$6:BR$674,)</f>
        <v>187</v>
      </c>
      <c r="BI50" s="398">
        <f>+_xlfn.XLOOKUP($AA50,'[51]②配宿シュミレーション(12,000人ver)'!$AO$6:$AO$674,'[51]②配宿シュミレーション(12,000人ver)'!BS$6:BS$674,)</f>
        <v>187</v>
      </c>
      <c r="BJ50" s="398">
        <f>+_xlfn.XLOOKUP($AA50,'[51]②配宿シュミレーション(12,000人ver)'!$AO$6:$AO$674,'[51]②配宿シュミレーション(12,000人ver)'!BT$6:BT$674,)</f>
        <v>187</v>
      </c>
      <c r="BK50" s="2881" t="s">
        <v>2448</v>
      </c>
      <c r="BL50" s="398">
        <f>+_xlfn.XLOOKUP($AA50,'[51]②配宿シュミレーション(12,000人ver)'!$AO$6:$AO$674,'[51]②配宿シュミレーション(12,000人ver)'!BV$6:BV$674,)</f>
        <v>0</v>
      </c>
      <c r="BM50" s="398">
        <f>+_xlfn.XLOOKUP($AA50,'[51]②配宿シュミレーション(12,000人ver)'!$AO$6:$AO$674,'[51]②配宿シュミレーション(12,000人ver)'!BW$6:BW$674,)</f>
        <v>0</v>
      </c>
      <c r="BN50" s="472">
        <f>+_xlfn.XLOOKUP($AA50,'[51]②配宿シュミレーション(12,000人ver)'!$AO$6:$AO$674,'[51]②配宿シュミレーション(12,000人ver)'!BX$6:BX$674,)</f>
        <v>0</v>
      </c>
      <c r="BO50" s="290"/>
      <c r="BP50" s="332"/>
      <c r="BQ50" s="333"/>
    </row>
    <row r="51" spans="1:69" s="521" customFormat="1" ht="46" customHeight="1" thickBot="1">
      <c r="A51" s="2862"/>
      <c r="B51" s="2863"/>
      <c r="C51" s="296"/>
      <c r="D51" s="297" t="str">
        <f>IF(_xlfn.XLOOKUP(E51,[51]宿泊施設DB!$B$3:$B$206,[51]宿泊施設DB!$A$3:$A$206,"",)=0,"",_xlfn.XLOOKUP(E51,[51]宿泊施設DB!$B$3:$B$206,[51]宿泊施設DB!$A$3:$A$206,"",))</f>
        <v/>
      </c>
      <c r="E51" s="298"/>
      <c r="F51" s="2864">
        <f>_xlfn.XLOOKUP($E51,[51]宿泊施設DB!$B$3:$B$206,[51]宿泊施設DB!$D$3:$D$206,"",)</f>
        <v>0</v>
      </c>
      <c r="G51" s="2864">
        <f>_xlfn.XLOOKUP($E51,[51]宿泊施設DB!$B$3:$B$206,[51]宿泊施設DB!$E$3:$E$206,"",)</f>
        <v>0</v>
      </c>
      <c r="H51" s="2865">
        <f>_xlfn.XLOOKUP($E51,[51]宿泊施設DB!$B$3:$B$206,[51]宿泊施設DB!$J$3:$J$206,"",)</f>
        <v>0</v>
      </c>
      <c r="I51" s="2866">
        <f>_xlfn.XLOOKUP($E51,[51]宿泊施設DB!$B$3:$B$206,[51]宿泊施設DB!$T$3:$T$206,"",)</f>
        <v>0</v>
      </c>
      <c r="J51" s="2866">
        <f>_xlfn.XLOOKUP($E51,[51]宿泊施設DB!$B$3:$B$206,[51]宿泊施設DB!$R$3:$R$206,"",)</f>
        <v>0</v>
      </c>
      <c r="K51" s="2865">
        <f>_xlfn.XLOOKUP($E51,[51]宿泊施設DB!$B$3:$B$206,[51]宿泊施設DB!$S$3:$S$206,"",)</f>
        <v>0</v>
      </c>
      <c r="L51" s="2866">
        <f>_xlfn.XLOOKUP($E51,[51]宿泊施設DB!$B$3:$B$206,[51]宿泊施設DB!$U$3:$U$206,"",)</f>
        <v>0</v>
      </c>
      <c r="M51" s="2866">
        <f>_xlfn.XLOOKUP($E51,[51]宿泊施設DB!$B$3:$B$206,[51]宿泊施設DB!$V$3:$V$206,"",)</f>
        <v>0</v>
      </c>
      <c r="N51" s="2866">
        <f>_xlfn.XLOOKUP($E51,[51]宿泊施設DB!$B$3:$B$206,[51]宿泊施設DB!$W$3:$W$206,"",)</f>
        <v>0</v>
      </c>
      <c r="O51" s="2866">
        <f>_xlfn.XLOOKUP($E51,[51]宿泊施設DB!$B$3:$B$206,[51]宿泊施設DB!$X$3:$X$206,"",)</f>
        <v>0</v>
      </c>
      <c r="P51" s="302" t="str">
        <f t="shared" si="2"/>
        <v/>
      </c>
      <c r="Q51" s="302"/>
      <c r="R51" s="296"/>
      <c r="S51" s="477"/>
      <c r="T51" s="478" t="str">
        <f>IFERROR(VLOOKUP($S51,'[51]競技情報DB(12,000人ver)'!$A$6:$D$201,2,),"－")</f>
        <v>－</v>
      </c>
      <c r="U51" s="479">
        <f>_xlfn.XLOOKUP(S51,'[51]競技情報DB(12,000人ver)'!$A$6:$A$99,'[51]競技情報DB(12,000人ver)'!$D$6:$D$99,"",0,)</f>
        <v>0</v>
      </c>
      <c r="V51" s="439"/>
      <c r="W51" s="480"/>
      <c r="X51" s="481"/>
      <c r="Y51" s="442"/>
      <c r="Z51" s="311"/>
      <c r="AA51" s="319"/>
      <c r="AB51" s="2944"/>
      <c r="AC51" s="2944"/>
      <c r="AD51" s="2945"/>
      <c r="AE51" s="320"/>
      <c r="AF51" s="445"/>
      <c r="AG51" s="445"/>
      <c r="AH51" s="445"/>
      <c r="AI51" s="445"/>
      <c r="AJ51" s="445"/>
      <c r="AK51" s="445"/>
      <c r="AL51" s="445"/>
      <c r="AM51" s="445"/>
      <c r="AN51" s="445"/>
      <c r="AO51" s="445"/>
      <c r="AP51" s="445"/>
      <c r="AQ51" s="445"/>
      <c r="AR51" s="445"/>
      <c r="AS51" s="445"/>
      <c r="AT51" s="445"/>
      <c r="AU51" s="445"/>
      <c r="AV51" s="445"/>
      <c r="AW51" s="445"/>
      <c r="AX51" s="445"/>
      <c r="AY51" s="445"/>
      <c r="AZ51" s="445"/>
      <c r="BA51" s="445"/>
      <c r="BB51" s="445"/>
      <c r="BC51" s="445"/>
      <c r="BD51" s="445"/>
      <c r="BE51" s="445"/>
      <c r="BF51" s="445"/>
      <c r="BG51" s="445"/>
      <c r="BH51" s="445"/>
      <c r="BI51" s="445"/>
      <c r="BJ51" s="445"/>
      <c r="BK51" s="445"/>
      <c r="BL51" s="445"/>
      <c r="BM51" s="445"/>
      <c r="BN51" s="449"/>
      <c r="BO51" s="290"/>
      <c r="BP51" s="332"/>
      <c r="BQ51" s="333"/>
    </row>
    <row r="52" spans="1:69" ht="46" customHeight="1">
      <c r="A52" s="2903" t="s">
        <v>2260</v>
      </c>
      <c r="B52" s="2852" t="s">
        <v>2261</v>
      </c>
      <c r="C52" s="248">
        <f>C50+1</f>
        <v>12</v>
      </c>
      <c r="D52" s="249">
        <f>IF(_xlfn.XLOOKUP(E52,[51]宿泊施設DB!$B$3:$B$206,[51]宿泊施設DB!$A$3:$A$206,"",)=0,"",_xlfn.XLOOKUP(E52,[51]宿泊施設DB!$B$3:$B$206,[51]宿泊施設DB!$A$3:$A$206,"",))</f>
        <v>299</v>
      </c>
      <c r="E52" s="250" t="s">
        <v>2262</v>
      </c>
      <c r="F52" s="2853">
        <f>_xlfn.XLOOKUP($E52,[51]宿泊施設DB!$B$3:$B$206,[51]宿泊施設DB!$D$3:$D$206,"",)</f>
        <v>1286</v>
      </c>
      <c r="G52" s="2853">
        <f>_xlfn.XLOOKUP($E52,[51]宿泊施設DB!$B$3:$B$206,[51]宿泊施設DB!$E$3:$E$206,"",)</f>
        <v>1287</v>
      </c>
      <c r="H52" s="2904">
        <f>_xlfn.XLOOKUP($E52,[51]宿泊施設DB!$B$3:$B$206,[51]宿泊施設DB!$J$3:$J$206,"",)</f>
        <v>0</v>
      </c>
      <c r="I52" s="2857" t="str">
        <f>_xlfn.XLOOKUP($E52,[51]宿泊施設DB!$B$3:$B$206,[51]宿泊施設DB!$T$3:$T$206,"",)</f>
        <v>高</v>
      </c>
      <c r="J52" s="2857" t="str">
        <f>_xlfn.XLOOKUP($E52,[51]宿泊施設DB!$B$3:$B$206,[51]宿泊施設DB!$R$3:$R$206,"",)</f>
        <v>ケータリング</v>
      </c>
      <c r="K52" s="2904">
        <f>_xlfn.XLOOKUP($E52,[51]宿泊施設DB!$B$3:$B$206,[51]宿泊施設DB!$S$3:$S$206,"",)</f>
        <v>380</v>
      </c>
      <c r="L52" s="2857" t="str">
        <f>_xlfn.XLOOKUP($E52,[51]宿泊施設DB!$B$3:$B$206,[51]宿泊施設DB!$U$3:$U$206,"",)</f>
        <v>－</v>
      </c>
      <c r="M52" s="2857" t="str">
        <f>_xlfn.XLOOKUP($E52,[51]宿泊施設DB!$B$3:$B$206,[51]宿泊施設DB!$V$3:$V$206,"",)</f>
        <v>－</v>
      </c>
      <c r="N52" s="2857" t="str">
        <f>_xlfn.XLOOKUP($E52,[51]宿泊施設DB!$B$3:$B$206,[51]宿泊施設DB!$W$3:$W$206,"",)</f>
        <v>○</v>
      </c>
      <c r="O52" s="2857" t="str">
        <f>_xlfn.XLOOKUP($E52,[51]宿泊施設DB!$B$3:$B$206,[51]宿泊施設DB!$X$3:$X$206,"",)</f>
        <v>路上2台</v>
      </c>
      <c r="P52" s="258" t="str">
        <f t="shared" si="2"/>
        <v>○</v>
      </c>
      <c r="Q52" s="258"/>
      <c r="R52" s="248" t="s">
        <v>2136</v>
      </c>
      <c r="S52" s="268" t="s">
        <v>2266</v>
      </c>
      <c r="T52" s="269" t="str">
        <f>IFERROR(VLOOKUP($S52,'[51]競技情報DB(12,000人ver)'!$A$6:$D$201,2,),"－")</f>
        <v>常滑市</v>
      </c>
      <c r="U52" s="270">
        <f>_xlfn.XLOOKUP(S52,'[51]競技情報DB(12,000人ver)'!$A$6:$A$99,'[51]競技情報DB(12,000人ver)'!$D$6:$D$99,"",0,)</f>
        <v>619</v>
      </c>
      <c r="V52" s="271">
        <f>SUM(U52:U58)</f>
        <v>782</v>
      </c>
      <c r="W52" s="272">
        <v>1</v>
      </c>
      <c r="X52" s="628">
        <v>2</v>
      </c>
      <c r="Y52" s="318">
        <f>$G52-MAX(AF52:BN52)</f>
        <v>505</v>
      </c>
      <c r="Z52" s="267">
        <f>+Y52/$G52</f>
        <v>0.39238539238539238</v>
      </c>
      <c r="AA52" s="275" t="str">
        <f>E52&amp;"　"&amp;"合計"</f>
        <v>東横INN中部国際空港２　合計</v>
      </c>
      <c r="AB52" s="2954">
        <v>45547</v>
      </c>
      <c r="AC52" s="2954">
        <v>45570</v>
      </c>
      <c r="AD52" s="2943">
        <v>23</v>
      </c>
      <c r="AE52" s="276" t="s">
        <v>2175</v>
      </c>
      <c r="AF52" s="279">
        <f>+_xlfn.XLOOKUP($AA52,'[51]②配宿シュミレーション(12,000人ver)'!$AO$6:$AO$674,'[51]②配宿シュミレーション(12,000人ver)'!AP$6:AP$674,)</f>
        <v>0</v>
      </c>
      <c r="AG52" s="279">
        <f>+_xlfn.XLOOKUP($AA52,'[51]②配宿シュミレーション(12,000人ver)'!$AO$6:$AO$674,'[51]②配宿シュミレーション(12,000人ver)'!AQ$6:AQ$674,)</f>
        <v>0</v>
      </c>
      <c r="AH52" s="279">
        <f>+_xlfn.XLOOKUP($AA52,'[51]②配宿シュミレーション(12,000人ver)'!$AO$6:$AO$674,'[51]②配宿シュミレーション(12,000人ver)'!AR$6:AR$674,)</f>
        <v>0</v>
      </c>
      <c r="AI52" s="279">
        <f>+_xlfn.XLOOKUP($AA52,'[51]②配宿シュミレーション(12,000人ver)'!$AO$6:$AO$674,'[51]②配宿シュミレーション(12,000人ver)'!AS$6:AS$674,)</f>
        <v>0</v>
      </c>
      <c r="AJ52" s="279">
        <f>+_xlfn.XLOOKUP($AA52,'[51]②配宿シュミレーション(12,000人ver)'!$AO$6:$AO$674,'[51]②配宿シュミレーション(12,000人ver)'!AT$6:AT$674,)</f>
        <v>0</v>
      </c>
      <c r="AK52" s="279">
        <f>+_xlfn.XLOOKUP($AA52,'[51]②配宿シュミレーション(12,000人ver)'!$AO$6:$AO$674,'[51]②配宿シュミレーション(12,000人ver)'!AU$6:AU$674,)</f>
        <v>0</v>
      </c>
      <c r="AL52" s="279">
        <f>+_xlfn.XLOOKUP($AA52,'[51]②配宿シュミレーション(12,000人ver)'!$AO$6:$AO$674,'[51]②配宿シュミレーション(12,000人ver)'!AV$6:AV$674,)</f>
        <v>0</v>
      </c>
      <c r="AM52" s="279">
        <f>+_xlfn.XLOOKUP($AA52,'[51]②配宿シュミレーション(12,000人ver)'!$AO$6:$AO$674,'[51]②配宿シュミレーション(12,000人ver)'!AW$6:AW$674,)</f>
        <v>0</v>
      </c>
      <c r="AN52" s="2860" t="s">
        <v>2447</v>
      </c>
      <c r="AO52" s="2860" t="s">
        <v>2447</v>
      </c>
      <c r="AP52" s="279">
        <f>+_xlfn.XLOOKUP($AA52,'[51]②配宿シュミレーション(12,000人ver)'!$AO$6:$AO$674,'[51]②配宿シュミレーション(12,000人ver)'!AZ$6:AZ$674,)</f>
        <v>733</v>
      </c>
      <c r="AQ52" s="279">
        <f>+_xlfn.XLOOKUP($AA52,'[51]②配宿シュミレーション(12,000人ver)'!$AO$6:$AO$674,'[51]②配宿シュミレーション(12,000人ver)'!BA$6:BA$674,)</f>
        <v>733</v>
      </c>
      <c r="AR52" s="279">
        <f>+_xlfn.XLOOKUP($AA52,'[51]②配宿シュミレーション(12,000人ver)'!$AO$6:$AO$674,'[51]②配宿シュミレーション(12,000人ver)'!BB$6:BB$674,)</f>
        <v>733</v>
      </c>
      <c r="AS52" s="279">
        <f>+_xlfn.XLOOKUP($AA52,'[51]②配宿シュミレーション(12,000人ver)'!$AO$6:$AO$674,'[51]②配宿シュミレーション(12,000人ver)'!BC$6:BC$674,)</f>
        <v>733</v>
      </c>
      <c r="AT52" s="279">
        <f>+_xlfn.XLOOKUP($AA52,'[51]②配宿シュミレーション(12,000人ver)'!$AO$6:$AO$674,'[51]②配宿シュミレーション(12,000人ver)'!BD$6:BD$674,)</f>
        <v>733</v>
      </c>
      <c r="AU52" s="279">
        <f>+_xlfn.XLOOKUP($AA52,'[51]②配宿シュミレーション(12,000人ver)'!$AO$6:$AO$674,'[51]②配宿シュミレーション(12,000人ver)'!BE$6:BE$674,)</f>
        <v>733</v>
      </c>
      <c r="AV52" s="279">
        <f>+_xlfn.XLOOKUP($AA52,'[51]②配宿シュミレーション(12,000人ver)'!$AO$6:$AO$674,'[51]②配宿シュミレーション(12,000人ver)'!BF$6:BF$674,)</f>
        <v>733</v>
      </c>
      <c r="AW52" s="279">
        <f>+_xlfn.XLOOKUP($AA52,'[51]②配宿シュミレーション(12,000人ver)'!$AO$6:$AO$674,'[51]②配宿シュミレーション(12,000人ver)'!BG$6:BG$674,)</f>
        <v>782</v>
      </c>
      <c r="AX52" s="279">
        <f>+_xlfn.XLOOKUP($AA52,'[51]②配宿シュミレーション(12,000人ver)'!$AO$6:$AO$674,'[51]②配宿シュミレーション(12,000人ver)'!BH$6:BH$674,)</f>
        <v>782</v>
      </c>
      <c r="AY52" s="279">
        <f>+_xlfn.XLOOKUP($AA52,'[51]②配宿シュミレーション(12,000人ver)'!$AO$6:$AO$674,'[51]②配宿シュミレーション(12,000人ver)'!BI$6:BI$674,)</f>
        <v>782</v>
      </c>
      <c r="AZ52" s="279">
        <f>+_xlfn.XLOOKUP($AA52,'[51]②配宿シュミレーション(12,000人ver)'!$AO$6:$AO$674,'[51]②配宿シュミレーション(12,000人ver)'!BJ$6:BJ$674,)</f>
        <v>782</v>
      </c>
      <c r="BA52" s="279">
        <f>+_xlfn.XLOOKUP($AA52,'[51]②配宿シュミレーション(12,000人ver)'!$AO$6:$AO$674,'[51]②配宿シュミレーション(12,000人ver)'!BK$6:BK$674,)</f>
        <v>782</v>
      </c>
      <c r="BB52" s="279">
        <f>+_xlfn.XLOOKUP($AA52,'[51]②配宿シュミレーション(12,000人ver)'!$AO$6:$AO$674,'[51]②配宿シュミレーション(12,000人ver)'!BL$6:BL$674,)</f>
        <v>782</v>
      </c>
      <c r="BC52" s="279">
        <f>+_xlfn.XLOOKUP($AA52,'[51]②配宿シュミレーション(12,000人ver)'!$AO$6:$AO$674,'[51]②配宿シュミレーション(12,000人ver)'!BM$6:BM$674,)</f>
        <v>782</v>
      </c>
      <c r="BD52" s="279">
        <f>+_xlfn.XLOOKUP($AA52,'[51]②配宿シュミレーション(12,000人ver)'!$AO$6:$AO$674,'[51]②配宿シュミレーション(12,000人ver)'!BN$6:BN$674,)</f>
        <v>782</v>
      </c>
      <c r="BE52" s="279">
        <f>+_xlfn.XLOOKUP($AA52,'[51]②配宿シュミレーション(12,000人ver)'!$AO$6:$AO$674,'[51]②配宿シュミレーション(12,000人ver)'!BO$6:BO$674,)</f>
        <v>733</v>
      </c>
      <c r="BF52" s="279">
        <f>+_xlfn.XLOOKUP($AA52,'[51]②配宿シュミレーション(12,000人ver)'!$AO$6:$AO$674,'[51]②配宿シュミレーション(12,000人ver)'!BP$6:BP$674,)</f>
        <v>733</v>
      </c>
      <c r="BG52" s="279">
        <f>+_xlfn.XLOOKUP($AA52,'[51]②配宿シュミレーション(12,000人ver)'!$AO$6:$AO$674,'[51]②配宿シュミレーション(12,000人ver)'!BQ$6:BQ$674,)</f>
        <v>733</v>
      </c>
      <c r="BH52" s="279">
        <f>+_xlfn.XLOOKUP($AA52,'[51]②配宿シュミレーション(12,000人ver)'!$AO$6:$AO$674,'[51]②配宿シュミレーション(12,000人ver)'!BR$6:BR$674,)</f>
        <v>114</v>
      </c>
      <c r="BI52" s="279">
        <f>+_xlfn.XLOOKUP($AA52,'[51]②配宿シュミレーション(12,000人ver)'!$AO$6:$AO$674,'[51]②配宿シュミレーション(12,000人ver)'!BS$6:BS$674,)</f>
        <v>114</v>
      </c>
      <c r="BJ52" s="279">
        <f>+_xlfn.XLOOKUP($AA52,'[51]②配宿シュミレーション(12,000人ver)'!$AO$6:$AO$674,'[51]②配宿シュミレーション(12,000人ver)'!BT$6:BT$674,)</f>
        <v>114</v>
      </c>
      <c r="BK52" s="2861" t="s">
        <v>2448</v>
      </c>
      <c r="BL52" s="279">
        <f>+_xlfn.XLOOKUP($AA52,'[51]②配宿シュミレーション(12,000人ver)'!$AO$6:$AO$674,'[51]②配宿シュミレーション(12,000人ver)'!BV$6:BV$674,)</f>
        <v>0</v>
      </c>
      <c r="BM52" s="279">
        <f>+_xlfn.XLOOKUP($AA52,'[51]②配宿シュミレーション(12,000人ver)'!$AO$6:$AO$674,'[51]②配宿シュミレーション(12,000人ver)'!BW$6:BW$674,)</f>
        <v>0</v>
      </c>
      <c r="BN52" s="606">
        <f>+_xlfn.XLOOKUP($AA52,'[51]②配宿シュミレーション(12,000人ver)'!$AO$6:$AO$674,'[51]②配宿シュミレーション(12,000人ver)'!BX$6:BX$674,)</f>
        <v>0</v>
      </c>
      <c r="BO52" s="290"/>
      <c r="BP52" s="291"/>
      <c r="BQ52" s="292"/>
    </row>
    <row r="53" spans="1:69" ht="46" customHeight="1">
      <c r="A53" s="2862"/>
      <c r="B53" s="2863"/>
      <c r="C53" s="296"/>
      <c r="D53" s="297" t="str">
        <f>IF(_xlfn.XLOOKUP(E53,[51]宿泊施設DB!$B$3:$B$206,[51]宿泊施設DB!$A$3:$A$206,"",)=0,"",_xlfn.XLOOKUP(E53,[51]宿泊施設DB!$B$3:$B$206,[51]宿泊施設DB!$A$3:$A$206,"",))</f>
        <v/>
      </c>
      <c r="E53" s="298"/>
      <c r="F53" s="2864">
        <f>_xlfn.XLOOKUP($E53,[51]宿泊施設DB!$B$3:$B$206,[51]宿泊施設DB!$D$3:$D$206,"",)</f>
        <v>0</v>
      </c>
      <c r="G53" s="2864">
        <f>_xlfn.XLOOKUP($E53,[51]宿泊施設DB!$B$3:$B$206,[51]宿泊施設DB!$E$3:$E$206,"",)</f>
        <v>0</v>
      </c>
      <c r="H53" s="2865">
        <f>_xlfn.XLOOKUP($E53,[51]宿泊施設DB!$B$3:$B$206,[51]宿泊施設DB!$J$3:$J$206,"",)</f>
        <v>0</v>
      </c>
      <c r="I53" s="2866">
        <f>_xlfn.XLOOKUP($E53,[51]宿泊施設DB!$B$3:$B$206,[51]宿泊施設DB!$T$3:$T$206,"",)</f>
        <v>0</v>
      </c>
      <c r="J53" s="2866" t="s">
        <v>2265</v>
      </c>
      <c r="K53" s="2865">
        <f>_xlfn.XLOOKUP($E53,[51]宿泊施設DB!$B$3:$B$206,[51]宿泊施設DB!$S$3:$S$206,"",)</f>
        <v>0</v>
      </c>
      <c r="L53" s="2866">
        <f>_xlfn.XLOOKUP($E53,[51]宿泊施設DB!$B$3:$B$206,[51]宿泊施設DB!$U$3:$U$206,"",)</f>
        <v>0</v>
      </c>
      <c r="M53" s="2866">
        <f>_xlfn.XLOOKUP($E53,[51]宿泊施設DB!$B$3:$B$206,[51]宿泊施設DB!$V$3:$V$206,"",)</f>
        <v>0</v>
      </c>
      <c r="N53" s="2866">
        <f>_xlfn.XLOOKUP($E53,[51]宿泊施設DB!$B$3:$B$206,[51]宿泊施設DB!$W$3:$W$206,"",)</f>
        <v>0</v>
      </c>
      <c r="O53" s="2866">
        <f>_xlfn.XLOOKUP($E53,[51]宿泊施設DB!$B$3:$B$206,[51]宿泊施設DB!$X$3:$X$206,"",)</f>
        <v>0</v>
      </c>
      <c r="P53" s="302" t="str">
        <f t="shared" si="2"/>
        <v/>
      </c>
      <c r="Q53" s="302"/>
      <c r="R53" s="296"/>
      <c r="S53" s="312" t="s">
        <v>2263</v>
      </c>
      <c r="T53" s="313" t="str">
        <f>IFERROR(VLOOKUP($S53,'[51]競技情報DB(12,000人ver)'!$A$6:$D$201,2,),"－")</f>
        <v>常滑市</v>
      </c>
      <c r="U53" s="314">
        <f>_xlfn.XLOOKUP(S53,'[51]競技情報DB(12,000人ver)'!$A$6:$A$99,'[51]競技情報DB(12,000人ver)'!$D$6:$D$99,"",0,)</f>
        <v>49</v>
      </c>
      <c r="V53" s="315"/>
      <c r="W53" s="316">
        <v>1</v>
      </c>
      <c r="X53" s="548">
        <v>2</v>
      </c>
      <c r="Y53" s="318"/>
      <c r="Z53" s="311"/>
      <c r="AA53" s="319"/>
      <c r="AB53" s="2944"/>
      <c r="AC53" s="2944"/>
      <c r="AD53" s="2945"/>
      <c r="AE53" s="320"/>
      <c r="AF53" s="321"/>
      <c r="AG53" s="321"/>
      <c r="AH53" s="321"/>
      <c r="AI53" s="321"/>
      <c r="AJ53" s="321"/>
      <c r="AK53" s="321"/>
      <c r="AL53" s="321"/>
      <c r="AM53" s="321"/>
      <c r="AN53" s="321"/>
      <c r="AO53" s="321"/>
      <c r="AP53" s="321"/>
      <c r="AQ53" s="321"/>
      <c r="AR53" s="321"/>
      <c r="AS53" s="321"/>
      <c r="AT53" s="321"/>
      <c r="AU53" s="321"/>
      <c r="AV53" s="321"/>
      <c r="AW53" s="321"/>
      <c r="AX53" s="321"/>
      <c r="AY53" s="321"/>
      <c r="AZ53" s="321"/>
      <c r="BA53" s="321"/>
      <c r="BB53" s="321"/>
      <c r="BC53" s="321"/>
      <c r="BD53" s="321"/>
      <c r="BE53" s="321"/>
      <c r="BF53" s="321"/>
      <c r="BG53" s="321"/>
      <c r="BH53" s="321"/>
      <c r="BI53" s="321"/>
      <c r="BJ53" s="321"/>
      <c r="BK53" s="321"/>
      <c r="BL53" s="321"/>
      <c r="BM53" s="321"/>
      <c r="BN53" s="507"/>
      <c r="BO53" s="290"/>
      <c r="BP53" s="332"/>
      <c r="BQ53" s="333"/>
    </row>
    <row r="54" spans="1:69" ht="46" customHeight="1">
      <c r="A54" s="2862"/>
      <c r="B54" s="2863"/>
      <c r="C54" s="296"/>
      <c r="D54" s="297" t="str">
        <f>IF(_xlfn.XLOOKUP(E54,[51]宿泊施設DB!$B$3:$B$206,[51]宿泊施設DB!$A$3:$A$206,"",)=0,"",_xlfn.XLOOKUP(E54,[51]宿泊施設DB!$B$3:$B$206,[51]宿泊施設DB!$A$3:$A$206,"",))</f>
        <v/>
      </c>
      <c r="E54" s="298"/>
      <c r="F54" s="2864">
        <f>_xlfn.XLOOKUP($E54,[51]宿泊施設DB!$B$3:$B$206,[51]宿泊施設DB!$D$3:$D$206,"",)</f>
        <v>0</v>
      </c>
      <c r="G54" s="2864">
        <f>_xlfn.XLOOKUP($E54,[51]宿泊施設DB!$B$3:$B$206,[51]宿泊施設DB!$E$3:$E$206,"",)</f>
        <v>0</v>
      </c>
      <c r="H54" s="2865">
        <f>_xlfn.XLOOKUP($E54,[51]宿泊施設DB!$B$3:$B$206,[51]宿泊施設DB!$J$3:$J$206,"",)</f>
        <v>0</v>
      </c>
      <c r="I54" s="2866">
        <f>_xlfn.XLOOKUP($E54,[51]宿泊施設DB!$B$3:$B$206,[51]宿泊施設DB!$T$3:$T$206,"",)</f>
        <v>0</v>
      </c>
      <c r="J54" s="2866">
        <f>_xlfn.XLOOKUP($E54,[51]宿泊施設DB!$B$3:$B$206,[51]宿泊施設DB!$R$3:$R$206,"",)</f>
        <v>0</v>
      </c>
      <c r="K54" s="2865">
        <f>_xlfn.XLOOKUP($E54,[51]宿泊施設DB!$B$3:$B$206,[51]宿泊施設DB!$S$3:$S$206,"",)</f>
        <v>0</v>
      </c>
      <c r="L54" s="2866">
        <f>_xlfn.XLOOKUP($E54,[51]宿泊施設DB!$B$3:$B$206,[51]宿泊施設DB!$U$3:$U$206,"",)</f>
        <v>0</v>
      </c>
      <c r="M54" s="2866">
        <f>_xlfn.XLOOKUP($E54,[51]宿泊施設DB!$B$3:$B$206,[51]宿泊施設DB!$V$3:$V$206,"",)</f>
        <v>0</v>
      </c>
      <c r="N54" s="2866">
        <f>_xlfn.XLOOKUP($E54,[51]宿泊施設DB!$B$3:$B$206,[51]宿泊施設DB!$W$3:$W$206,"",)</f>
        <v>0</v>
      </c>
      <c r="O54" s="2866">
        <f>_xlfn.XLOOKUP($E54,[51]宿泊施設DB!$B$3:$B$206,[51]宿泊施設DB!$X$3:$X$206,"",)</f>
        <v>0</v>
      </c>
      <c r="P54" s="302" t="str">
        <f t="shared" si="2"/>
        <v/>
      </c>
      <c r="Q54" s="302"/>
      <c r="R54" s="296"/>
      <c r="S54" s="312" t="s">
        <v>2468</v>
      </c>
      <c r="T54" s="313" t="str">
        <f>IFERROR(VLOOKUP($S54,'[51]競技情報DB(12,000人ver)'!$A$6:$D$201,2,),"－")</f>
        <v>碧南市</v>
      </c>
      <c r="U54" s="314">
        <f>_xlfn.XLOOKUP(S54,'[51]競技情報DB(12,000人ver)'!$A$6:$A$99,'[51]競技情報DB(12,000人ver)'!$D$6:$D$99,"",0,)</f>
        <v>62</v>
      </c>
      <c r="V54" s="315"/>
      <c r="W54" s="316"/>
      <c r="X54" s="317"/>
      <c r="Y54" s="318"/>
      <c r="Z54" s="311"/>
      <c r="AA54" s="334"/>
      <c r="AB54" s="2939"/>
      <c r="AC54" s="2939"/>
      <c r="AD54" s="2943"/>
      <c r="AE54" s="335"/>
      <c r="AF54" s="336"/>
      <c r="AG54" s="336"/>
      <c r="AH54" s="336"/>
      <c r="AI54" s="336"/>
      <c r="AJ54" s="336"/>
      <c r="AK54" s="336"/>
      <c r="AL54" s="336"/>
      <c r="AM54" s="336"/>
      <c r="AN54" s="336"/>
      <c r="AO54" s="336"/>
      <c r="AP54" s="336"/>
      <c r="AQ54" s="336"/>
      <c r="AR54" s="336"/>
      <c r="AS54" s="336"/>
      <c r="AT54" s="336"/>
      <c r="AU54" s="336"/>
      <c r="AV54" s="336"/>
      <c r="AW54" s="336"/>
      <c r="AX54" s="336"/>
      <c r="AY54" s="336"/>
      <c r="AZ54" s="336"/>
      <c r="BA54" s="336"/>
      <c r="BB54" s="336"/>
      <c r="BC54" s="336"/>
      <c r="BD54" s="336"/>
      <c r="BE54" s="336"/>
      <c r="BF54" s="336"/>
      <c r="BG54" s="336"/>
      <c r="BH54" s="336"/>
      <c r="BI54" s="336"/>
      <c r="BJ54" s="336"/>
      <c r="BK54" s="336"/>
      <c r="BL54" s="336"/>
      <c r="BM54" s="336"/>
      <c r="BN54" s="340"/>
      <c r="BO54" s="290"/>
      <c r="BP54" s="332"/>
      <c r="BQ54" s="333"/>
    </row>
    <row r="55" spans="1:69" ht="46" customHeight="1">
      <c r="A55" s="2862"/>
      <c r="B55" s="2863"/>
      <c r="C55" s="296"/>
      <c r="D55" s="297" t="str">
        <f>IF(_xlfn.XLOOKUP(E55,[51]宿泊施設DB!$B$3:$B$206,[51]宿泊施設DB!$A$3:$A$206,"",)=0,"",_xlfn.XLOOKUP(E55,[51]宿泊施設DB!$B$3:$B$206,[51]宿泊施設DB!$A$3:$A$206,"",))</f>
        <v/>
      </c>
      <c r="E55" s="298"/>
      <c r="F55" s="2864">
        <f>_xlfn.XLOOKUP($E55,[51]宿泊施設DB!$B$3:$B$206,[51]宿泊施設DB!$D$3:$D$206,"",)</f>
        <v>0</v>
      </c>
      <c r="G55" s="2864">
        <f>_xlfn.XLOOKUP($E55,[51]宿泊施設DB!$B$3:$B$206,[51]宿泊施設DB!$E$3:$E$206,"",)</f>
        <v>0</v>
      </c>
      <c r="H55" s="2865">
        <f>_xlfn.XLOOKUP($E55,[51]宿泊施設DB!$B$3:$B$206,[51]宿泊施設DB!$J$3:$J$206,"",)</f>
        <v>0</v>
      </c>
      <c r="I55" s="2866">
        <f>_xlfn.XLOOKUP($E55,[51]宿泊施設DB!$B$3:$B$206,[51]宿泊施設DB!$T$3:$T$206,"",)</f>
        <v>0</v>
      </c>
      <c r="J55" s="2866">
        <f>_xlfn.XLOOKUP($E55,[51]宿泊施設DB!$B$3:$B$206,[51]宿泊施設DB!$R$3:$R$206,"",)</f>
        <v>0</v>
      </c>
      <c r="K55" s="2865">
        <f>_xlfn.XLOOKUP($E55,[51]宿泊施設DB!$B$3:$B$206,[51]宿泊施設DB!$S$3:$S$206,"",)</f>
        <v>0</v>
      </c>
      <c r="L55" s="2866">
        <f>_xlfn.XLOOKUP($E55,[51]宿泊施設DB!$B$3:$B$206,[51]宿泊施設DB!$U$3:$U$206,"",)</f>
        <v>0</v>
      </c>
      <c r="M55" s="2866">
        <f>_xlfn.XLOOKUP($E55,[51]宿泊施設DB!$B$3:$B$206,[51]宿泊施設DB!$V$3:$V$206,"",)</f>
        <v>0</v>
      </c>
      <c r="N55" s="2866">
        <f>_xlfn.XLOOKUP($E55,[51]宿泊施設DB!$B$3:$B$206,[51]宿泊施設DB!$W$3:$W$206,"",)</f>
        <v>0</v>
      </c>
      <c r="O55" s="2866">
        <f>_xlfn.XLOOKUP($E55,[51]宿泊施設DB!$B$3:$B$206,[51]宿泊施設DB!$X$3:$X$206,"",)</f>
        <v>0</v>
      </c>
      <c r="P55" s="302" t="str">
        <f t="shared" si="2"/>
        <v/>
      </c>
      <c r="Q55" s="302"/>
      <c r="R55" s="296"/>
      <c r="S55" s="312" t="s">
        <v>2469</v>
      </c>
      <c r="T55" s="313" t="str">
        <f>IFERROR(VLOOKUP($S55,'[51]競技情報DB(12,000人ver)'!$A$6:$D$201,2,),"－")</f>
        <v>碧南市</v>
      </c>
      <c r="U55" s="314">
        <f>_xlfn.XLOOKUP(S55,'[51]競技情報DB(12,000人ver)'!$A$6:$A$99,'[51]競技情報DB(12,000人ver)'!$D$6:$D$99,"",0,)</f>
        <v>52</v>
      </c>
      <c r="V55" s="315"/>
      <c r="W55" s="461"/>
      <c r="X55" s="462"/>
      <c r="Y55" s="318"/>
      <c r="Z55" s="311"/>
      <c r="AA55" s="334"/>
      <c r="AB55" s="2939"/>
      <c r="AC55" s="2939"/>
      <c r="AD55" s="2943"/>
      <c r="AE55" s="335"/>
      <c r="AF55" s="336"/>
      <c r="AG55" s="336"/>
      <c r="AH55" s="336"/>
      <c r="AI55" s="336"/>
      <c r="AJ55" s="336"/>
      <c r="AK55" s="336"/>
      <c r="AL55" s="336"/>
      <c r="AM55" s="336"/>
      <c r="AN55" s="336"/>
      <c r="AO55" s="336"/>
      <c r="AP55" s="336"/>
      <c r="AQ55" s="336"/>
      <c r="AR55" s="336"/>
      <c r="AS55" s="336"/>
      <c r="AT55" s="336"/>
      <c r="AU55" s="336"/>
      <c r="AV55" s="336"/>
      <c r="AW55" s="336"/>
      <c r="AX55" s="336"/>
      <c r="AY55" s="336"/>
      <c r="AZ55" s="336"/>
      <c r="BA55" s="336"/>
      <c r="BB55" s="336"/>
      <c r="BC55" s="336"/>
      <c r="BD55" s="336"/>
      <c r="BE55" s="336"/>
      <c r="BF55" s="336"/>
      <c r="BG55" s="336"/>
      <c r="BH55" s="336"/>
      <c r="BI55" s="336"/>
      <c r="BJ55" s="336"/>
      <c r="BK55" s="336"/>
      <c r="BL55" s="336"/>
      <c r="BM55" s="336"/>
      <c r="BN55" s="340"/>
      <c r="BO55" s="290"/>
      <c r="BP55" s="450"/>
      <c r="BQ55" s="451"/>
    </row>
    <row r="56" spans="1:69" ht="46" customHeight="1">
      <c r="A56" s="2862"/>
      <c r="B56" s="2863"/>
      <c r="C56" s="296"/>
      <c r="D56" s="297"/>
      <c r="E56" s="298"/>
      <c r="F56" s="2864"/>
      <c r="G56" s="2864"/>
      <c r="H56" s="2865"/>
      <c r="I56" s="2866"/>
      <c r="J56" s="2866"/>
      <c r="K56" s="2865"/>
      <c r="L56" s="2866"/>
      <c r="M56" s="2866"/>
      <c r="N56" s="2866"/>
      <c r="O56" s="2866"/>
      <c r="P56" s="302" t="str">
        <f t="shared" si="2"/>
        <v/>
      </c>
      <c r="Q56" s="302"/>
      <c r="R56" s="296"/>
      <c r="S56" s="312"/>
      <c r="T56" s="313" t="str">
        <f>IFERROR(VLOOKUP($S56,'[51]競技情報DB(12,000人ver)'!$A$6:$D$201,2,),"－")</f>
        <v>－</v>
      </c>
      <c r="U56" s="314">
        <f>_xlfn.XLOOKUP(S56,'[51]競技情報DB(12,000人ver)'!$A$6:$A$99,'[51]競技情報DB(12,000人ver)'!$D$6:$D$99,"",0,)</f>
        <v>0</v>
      </c>
      <c r="V56" s="315"/>
      <c r="W56" s="316"/>
      <c r="X56" s="317"/>
      <c r="Y56" s="318"/>
      <c r="Z56" s="311"/>
      <c r="AA56" s="334"/>
      <c r="AB56" s="2939"/>
      <c r="AC56" s="2939"/>
      <c r="AD56" s="2943"/>
      <c r="AE56" s="335"/>
      <c r="AF56" s="336"/>
      <c r="AG56" s="336"/>
      <c r="AH56" s="336"/>
      <c r="AI56" s="336"/>
      <c r="AJ56" s="336"/>
      <c r="AK56" s="336"/>
      <c r="AL56" s="336"/>
      <c r="AM56" s="336"/>
      <c r="AN56" s="336"/>
      <c r="AO56" s="336"/>
      <c r="AP56" s="336"/>
      <c r="AQ56" s="336"/>
      <c r="AR56" s="336"/>
      <c r="AS56" s="336"/>
      <c r="AT56" s="336"/>
      <c r="AU56" s="336"/>
      <c r="AV56" s="336"/>
      <c r="AW56" s="336"/>
      <c r="AX56" s="336"/>
      <c r="AY56" s="336"/>
      <c r="AZ56" s="336"/>
      <c r="BA56" s="336"/>
      <c r="BB56" s="336"/>
      <c r="BC56" s="336"/>
      <c r="BD56" s="336"/>
      <c r="BE56" s="336"/>
      <c r="BF56" s="336"/>
      <c r="BG56" s="336"/>
      <c r="BH56" s="336"/>
      <c r="BI56" s="336"/>
      <c r="BJ56" s="336"/>
      <c r="BK56" s="336"/>
      <c r="BL56" s="336"/>
      <c r="BM56" s="336"/>
      <c r="BN56" s="340"/>
      <c r="BO56" s="290"/>
      <c r="BP56" s="332"/>
      <c r="BQ56" s="333"/>
    </row>
    <row r="57" spans="1:69" ht="46" customHeight="1">
      <c r="A57" s="2862"/>
      <c r="B57" s="2863"/>
      <c r="C57" s="296"/>
      <c r="D57" s="297"/>
      <c r="E57" s="298"/>
      <c r="F57" s="2864"/>
      <c r="G57" s="2864"/>
      <c r="H57" s="2865"/>
      <c r="I57" s="2866"/>
      <c r="J57" s="2866"/>
      <c r="K57" s="2865"/>
      <c r="L57" s="2866"/>
      <c r="M57" s="2866"/>
      <c r="N57" s="2866"/>
      <c r="O57" s="2866"/>
      <c r="P57" s="302" t="str">
        <f t="shared" si="2"/>
        <v/>
      </c>
      <c r="Q57" s="302"/>
      <c r="R57" s="296"/>
      <c r="S57" s="458"/>
      <c r="T57" s="313" t="str">
        <f>IFERROR(VLOOKUP($S57,'[51]競技情報DB(12,000人ver)'!$A$6:$D$201,2,),"－")</f>
        <v>－</v>
      </c>
      <c r="U57" s="314">
        <f>_xlfn.XLOOKUP(S57,'[51]競技情報DB(12,000人ver)'!$A$6:$A$99,'[51]競技情報DB(12,000人ver)'!$D$6:$D$99,"",0,)</f>
        <v>0</v>
      </c>
      <c r="V57" s="315"/>
      <c r="W57" s="461"/>
      <c r="X57" s="462"/>
      <c r="Y57" s="318"/>
      <c r="Z57" s="311"/>
      <c r="AA57" s="334"/>
      <c r="AB57" s="2939"/>
      <c r="AC57" s="2939"/>
      <c r="AD57" s="2943"/>
      <c r="AE57" s="335"/>
      <c r="AF57" s="336"/>
      <c r="AG57" s="336"/>
      <c r="AH57" s="336"/>
      <c r="AI57" s="336"/>
      <c r="AJ57" s="336"/>
      <c r="AK57" s="336"/>
      <c r="AL57" s="336"/>
      <c r="AM57" s="336"/>
      <c r="AN57" s="336"/>
      <c r="AO57" s="336"/>
      <c r="AP57" s="336"/>
      <c r="AQ57" s="336"/>
      <c r="AR57" s="336"/>
      <c r="AS57" s="336"/>
      <c r="AT57" s="336"/>
      <c r="AU57" s="336"/>
      <c r="AV57" s="336"/>
      <c r="AW57" s="336"/>
      <c r="AX57" s="336"/>
      <c r="AY57" s="336"/>
      <c r="AZ57" s="336"/>
      <c r="BA57" s="336"/>
      <c r="BB57" s="336"/>
      <c r="BC57" s="336"/>
      <c r="BD57" s="336"/>
      <c r="BE57" s="336"/>
      <c r="BF57" s="336"/>
      <c r="BG57" s="336"/>
      <c r="BH57" s="336"/>
      <c r="BI57" s="336"/>
      <c r="BJ57" s="336"/>
      <c r="BK57" s="336"/>
      <c r="BL57" s="336"/>
      <c r="BM57" s="336"/>
      <c r="BN57" s="340"/>
      <c r="BO57" s="290"/>
      <c r="BP57" s="332"/>
      <c r="BQ57" s="333"/>
    </row>
    <row r="58" spans="1:69" ht="46" customHeight="1">
      <c r="A58" s="2862"/>
      <c r="B58" s="2863"/>
      <c r="C58" s="420"/>
      <c r="D58" s="421"/>
      <c r="E58" s="422"/>
      <c r="F58" s="2875"/>
      <c r="G58" s="2875"/>
      <c r="H58" s="2877"/>
      <c r="I58" s="2878"/>
      <c r="J58" s="2878"/>
      <c r="K58" s="2877"/>
      <c r="L58" s="2878"/>
      <c r="M58" s="2878"/>
      <c r="N58" s="2878"/>
      <c r="O58" s="2878"/>
      <c r="P58" s="426" t="str">
        <f t="shared" si="2"/>
        <v/>
      </c>
      <c r="Q58" s="426"/>
      <c r="R58" s="420"/>
      <c r="S58" s="436"/>
      <c r="T58" s="437" t="str">
        <f>IFERROR(VLOOKUP($S58,'[51]競技情報DB(12,000人ver)'!$A$6:$D$201,2,),"－")</f>
        <v>－</v>
      </c>
      <c r="U58" s="438">
        <f>_xlfn.XLOOKUP(S58,'[51]競技情報DB(12,000人ver)'!$A$6:$A$99,'[51]競技情報DB(12,000人ver)'!$D$6:$D$99,"",0,)</f>
        <v>0</v>
      </c>
      <c r="V58" s="439"/>
      <c r="W58" s="440"/>
      <c r="X58" s="441"/>
      <c r="Y58" s="442"/>
      <c r="Z58" s="435"/>
      <c r="AA58" s="534"/>
      <c r="AB58" s="2948"/>
      <c r="AC58" s="2948"/>
      <c r="AD58" s="2949"/>
      <c r="AE58" s="444"/>
      <c r="AF58" s="445"/>
      <c r="AG58" s="445"/>
      <c r="AH58" s="445"/>
      <c r="AI58" s="445"/>
      <c r="AJ58" s="445"/>
      <c r="AK58" s="445"/>
      <c r="AL58" s="445"/>
      <c r="AM58" s="445"/>
      <c r="AN58" s="445"/>
      <c r="AO58" s="445"/>
      <c r="AP58" s="445"/>
      <c r="AQ58" s="445"/>
      <c r="AR58" s="445"/>
      <c r="AS58" s="445"/>
      <c r="AT58" s="445"/>
      <c r="AU58" s="445"/>
      <c r="AV58" s="445"/>
      <c r="AW58" s="445"/>
      <c r="AX58" s="445"/>
      <c r="AY58" s="445"/>
      <c r="AZ58" s="445"/>
      <c r="BA58" s="445"/>
      <c r="BB58" s="445"/>
      <c r="BC58" s="445"/>
      <c r="BD58" s="445"/>
      <c r="BE58" s="445"/>
      <c r="BF58" s="445"/>
      <c r="BG58" s="445"/>
      <c r="BH58" s="445"/>
      <c r="BI58" s="445"/>
      <c r="BJ58" s="445"/>
      <c r="BK58" s="445"/>
      <c r="BL58" s="445"/>
      <c r="BM58" s="445"/>
      <c r="BN58" s="449"/>
      <c r="BO58" s="290"/>
      <c r="BP58" s="332"/>
      <c r="BQ58" s="333"/>
    </row>
    <row r="59" spans="1:69" ht="46" customHeight="1">
      <c r="A59" s="2862"/>
      <c r="B59" s="2863"/>
      <c r="C59" s="296">
        <f>C52+1</f>
        <v>13</v>
      </c>
      <c r="D59" s="297">
        <f>IF(_xlfn.XLOOKUP(E59,[51]宿泊施設DB!$B$3:$B$206,[51]宿泊施設DB!$A$3:$A$206,"",)=0,"",_xlfn.XLOOKUP(E59,[51]宿泊施設DB!$B$3:$B$206,[51]宿泊施設DB!$A$3:$A$206,"",))</f>
        <v>300</v>
      </c>
      <c r="E59" s="298" t="s">
        <v>2470</v>
      </c>
      <c r="F59" s="2864">
        <f>_xlfn.XLOOKUP($E59,[51]宿泊施設DB!$B$3:$B$206,[51]宿泊施設DB!$D$3:$D$206,"",)</f>
        <v>988</v>
      </c>
      <c r="G59" s="2908">
        <f>_xlfn.XLOOKUP($E59,[51]宿泊施設DB!$B$3:$B$206,[51]宿泊施設DB!$E$3:$E$206,"",)</f>
        <v>1014</v>
      </c>
      <c r="H59" s="2865">
        <f>_xlfn.XLOOKUP($E59,[51]宿泊施設DB!$B$3:$B$206,[51]宿泊施設DB!$J$3:$J$206,"",)</f>
        <v>1</v>
      </c>
      <c r="I59" s="2866" t="str">
        <f>_xlfn.XLOOKUP($E59,[51]宿泊施設DB!$B$3:$B$206,[51]宿泊施設DB!$T$3:$T$206,"",)</f>
        <v>高</v>
      </c>
      <c r="J59" s="2866" t="str">
        <f>_xlfn.XLOOKUP($E59,[51]宿泊施設DB!$B$3:$B$206,[51]宿泊施設DB!$R$3:$R$206,"",)</f>
        <v>ケータリング</v>
      </c>
      <c r="K59" s="2865">
        <f>_xlfn.XLOOKUP($E59,[51]宿泊施設DB!$B$3:$B$206,[51]宿泊施設DB!$S$3:$S$206,"",)</f>
        <v>180</v>
      </c>
      <c r="L59" s="2866" t="str">
        <f>_xlfn.XLOOKUP($E59,[51]宿泊施設DB!$B$3:$B$206,[51]宿泊施設DB!$U$3:$U$206,"",)</f>
        <v>－</v>
      </c>
      <c r="M59" s="2866" t="str">
        <f>_xlfn.XLOOKUP($E59,[51]宿泊施設DB!$B$3:$B$206,[51]宿泊施設DB!$V$3:$V$206,"",)</f>
        <v>－</v>
      </c>
      <c r="N59" s="2866" t="str">
        <f>_xlfn.XLOOKUP($E59,[51]宿泊施設DB!$B$3:$B$206,[51]宿泊施設DB!$W$3:$W$206,"",)</f>
        <v>○</v>
      </c>
      <c r="O59" s="2866" t="str">
        <f>_xlfn.XLOOKUP($E59,[51]宿泊施設DB!$B$3:$B$206,[51]宿泊施設DB!$X$3:$X$206,"",)</f>
        <v>玄関前（屋根無）1台</v>
      </c>
      <c r="P59" s="302" t="str">
        <f t="shared" si="2"/>
        <v>○</v>
      </c>
      <c r="Q59" s="302"/>
      <c r="R59" s="296" t="s">
        <v>2136</v>
      </c>
      <c r="S59" s="312" t="s">
        <v>2471</v>
      </c>
      <c r="T59" s="487" t="str">
        <f>IFERROR(VLOOKUP($S59,'[51]競技情報DB(12,000人ver)'!$A$6:$D$201,2,),"－")</f>
        <v>東海市</v>
      </c>
      <c r="U59" s="488">
        <f>_xlfn.XLOOKUP(S59,'[51]競技情報DB(12,000人ver)'!$A$6:$A$99,'[51]競技情報DB(12,000人ver)'!$D$6:$D$99,"",0,)</f>
        <v>125</v>
      </c>
      <c r="V59" s="315">
        <f>SUM(U59:U62)</f>
        <v>273</v>
      </c>
      <c r="W59" s="530">
        <v>22.4</v>
      </c>
      <c r="X59" s="531">
        <v>29</v>
      </c>
      <c r="Y59" s="318">
        <f>$G59-MAX(AF59:BN59)</f>
        <v>741</v>
      </c>
      <c r="Z59" s="311">
        <f>+Y59/$G59</f>
        <v>0.73076923076923073</v>
      </c>
      <c r="AA59" s="491" t="str">
        <f>E59&amp;"　"&amp;"合計"</f>
        <v>東横INN中部国際空港1　合計</v>
      </c>
      <c r="AB59" s="2950">
        <v>45549</v>
      </c>
      <c r="AC59" s="2950">
        <v>45564</v>
      </c>
      <c r="AD59" s="2943">
        <v>15</v>
      </c>
      <c r="AE59" s="492" t="s">
        <v>2175</v>
      </c>
      <c r="AF59" s="493">
        <f>+_xlfn.XLOOKUP($AA59,'[51]②配宿シュミレーション(12,000人ver)'!$AO$6:$AO$674,'[51]②配宿シュミレーション(12,000人ver)'!AP$6:AP$674,)</f>
        <v>0</v>
      </c>
      <c r="AG59" s="493">
        <f>+_xlfn.XLOOKUP($AA59,'[51]②配宿シュミレーション(12,000人ver)'!$AO$6:$AO$674,'[51]②配宿シュミレーション(12,000人ver)'!AQ$6:AQ$674,)</f>
        <v>0</v>
      </c>
      <c r="AH59" s="493">
        <f>+_xlfn.XLOOKUP($AA59,'[51]②配宿シュミレーション(12,000人ver)'!$AO$6:$AO$674,'[51]②配宿シュミレーション(12,000人ver)'!AR$6:AR$674,)</f>
        <v>0</v>
      </c>
      <c r="AI59" s="493">
        <f>+_xlfn.XLOOKUP($AA59,'[51]②配宿シュミレーション(12,000人ver)'!$AO$6:$AO$674,'[51]②配宿シュミレーション(12,000人ver)'!AS$6:AS$674,)</f>
        <v>0</v>
      </c>
      <c r="AJ59" s="493">
        <f>+_xlfn.XLOOKUP($AA59,'[51]②配宿シュミレーション(12,000人ver)'!$AO$6:$AO$674,'[51]②配宿シュミレーション(12,000人ver)'!AT$6:AT$674,)</f>
        <v>0</v>
      </c>
      <c r="AK59" s="493">
        <f>+_xlfn.XLOOKUP($AA59,'[51]②配宿シュミレーション(12,000人ver)'!$AO$6:$AO$674,'[51]②配宿シュミレーション(12,000人ver)'!AU$6:AU$674,)</f>
        <v>0</v>
      </c>
      <c r="AL59" s="493">
        <f>+_xlfn.XLOOKUP($AA59,'[51]②配宿シュミレーション(12,000人ver)'!$AO$6:$AO$674,'[51]②配宿シュミレーション(12,000人ver)'!AV$6:AV$674,)</f>
        <v>0</v>
      </c>
      <c r="AM59" s="493">
        <f>+_xlfn.XLOOKUP($AA59,'[51]②配宿シュミレーション(12,000人ver)'!$AO$6:$AO$674,'[51]②配宿シュミレーション(12,000人ver)'!AW$6:AW$674,)</f>
        <v>0</v>
      </c>
      <c r="AN59" s="493">
        <f>+_xlfn.XLOOKUP($AA59,'[51]②配宿シュミレーション(12,000人ver)'!$AO$6:$AO$674,'[51]②配宿シュミレーション(12,000人ver)'!AX$6:AX$674,)</f>
        <v>0</v>
      </c>
      <c r="AO59" s="493">
        <f>+_xlfn.XLOOKUP($AA59,'[51]②配宿シュミレーション(12,000人ver)'!$AO$6:$AO$674,'[51]②配宿シュミレーション(12,000人ver)'!AY$6:AY$674,)</f>
        <v>0</v>
      </c>
      <c r="AP59" s="2860" t="s">
        <v>2447</v>
      </c>
      <c r="AQ59" s="2860" t="s">
        <v>2447</v>
      </c>
      <c r="AR59" s="493">
        <f>+_xlfn.XLOOKUP($AA59,'[51]②配宿シュミレーション(12,000人ver)'!$AO$6:$AO$674,'[51]②配宿シュミレーション(12,000人ver)'!BB$6:BB$674,)</f>
        <v>219</v>
      </c>
      <c r="AS59" s="493">
        <f>+_xlfn.XLOOKUP($AA59,'[51]②配宿シュミレーション(12,000人ver)'!$AO$6:$AO$674,'[51]②配宿シュミレーション(12,000人ver)'!BC$6:BC$674,)</f>
        <v>219</v>
      </c>
      <c r="AT59" s="493">
        <f>+_xlfn.XLOOKUP($AA59,'[51]②配宿シュミレーション(12,000人ver)'!$AO$6:$AO$674,'[51]②配宿シュミレーション(12,000人ver)'!BD$6:BD$674,)</f>
        <v>219</v>
      </c>
      <c r="AU59" s="493">
        <f>+_xlfn.XLOOKUP($AA59,'[51]②配宿シュミレーション(12,000人ver)'!$AO$6:$AO$674,'[51]②配宿シュミレーション(12,000人ver)'!BE$6:BE$674,)</f>
        <v>219</v>
      </c>
      <c r="AV59" s="493">
        <f>+_xlfn.XLOOKUP($AA59,'[51]②配宿シュミレーション(12,000人ver)'!$AO$6:$AO$674,'[51]②配宿シュミレーション(12,000人ver)'!BF$6:BF$674,)</f>
        <v>219</v>
      </c>
      <c r="AW59" s="493">
        <f>+_xlfn.XLOOKUP($AA59,'[51]②配宿シュミレーション(12,000人ver)'!$AO$6:$AO$674,'[51]②配宿シュミレーション(12,000人ver)'!BG$6:BG$674,)</f>
        <v>219</v>
      </c>
      <c r="AX59" s="493">
        <f>+_xlfn.XLOOKUP($AA59,'[51]②配宿シュミレーション(12,000人ver)'!$AO$6:$AO$674,'[51]②配宿シュミレーション(12,000人ver)'!BH$6:BH$674,)</f>
        <v>219</v>
      </c>
      <c r="AY59" s="493">
        <f>+_xlfn.XLOOKUP($AA59,'[51]②配宿シュミレーション(12,000人ver)'!$AO$6:$AO$674,'[51]②配宿シュミレーション(12,000人ver)'!BI$6:BI$674,)</f>
        <v>273</v>
      </c>
      <c r="AZ59" s="493">
        <f>+_xlfn.XLOOKUP($AA59,'[51]②配宿シュミレーション(12,000人ver)'!$AO$6:$AO$674,'[51]②配宿シュミレーション(12,000人ver)'!BJ$6:BJ$674,)</f>
        <v>273</v>
      </c>
      <c r="BA59" s="493">
        <f>+_xlfn.XLOOKUP($AA59,'[51]②配宿シュミレーション(12,000人ver)'!$AO$6:$AO$674,'[51]②配宿シュミレーション(12,000人ver)'!BK$6:BK$674,)</f>
        <v>273</v>
      </c>
      <c r="BB59" s="493">
        <f>+_xlfn.XLOOKUP($AA59,'[51]②配宿シュミレーション(12,000人ver)'!$AO$6:$AO$674,'[51]②配宿シュミレーション(12,000人ver)'!BL$6:BL$674,)</f>
        <v>273</v>
      </c>
      <c r="BC59" s="493">
        <f>+_xlfn.XLOOKUP($AA59,'[51]②配宿シュミレーション(12,000人ver)'!$AO$6:$AO$674,'[51]②配宿シュミレーション(12,000人ver)'!BM$6:BM$674,)</f>
        <v>54</v>
      </c>
      <c r="BD59" s="493">
        <f>+_xlfn.XLOOKUP($AA59,'[51]②配宿シュミレーション(12,000人ver)'!$AO$6:$AO$674,'[51]②配宿シュミレーション(12,000人ver)'!BN$6:BN$674,)</f>
        <v>54</v>
      </c>
      <c r="BE59" s="2861" t="s">
        <v>2448</v>
      </c>
      <c r="BF59" s="493">
        <f>+_xlfn.XLOOKUP($AA59,'[51]②配宿シュミレーション(12,000人ver)'!$AO$6:$AO$674,'[51]②配宿シュミレーション(12,000人ver)'!BP$6:BP$674,)</f>
        <v>0</v>
      </c>
      <c r="BG59" s="493">
        <f>+_xlfn.XLOOKUP($AA59,'[51]②配宿シュミレーション(12,000人ver)'!$AO$6:$AO$674,'[51]②配宿シュミレーション(12,000人ver)'!BQ$6:BQ$674,)</f>
        <v>0</v>
      </c>
      <c r="BH59" s="493">
        <f>+_xlfn.XLOOKUP($AA59,'[51]②配宿シュミレーション(12,000人ver)'!$AO$6:$AO$674,'[51]②配宿シュミレーション(12,000人ver)'!BR$6:BR$674,)</f>
        <v>0</v>
      </c>
      <c r="BI59" s="493">
        <f>+_xlfn.XLOOKUP($AA59,'[51]②配宿シュミレーション(12,000人ver)'!$AO$6:$AO$674,'[51]②配宿シュミレーション(12,000人ver)'!BS$6:BS$674,)</f>
        <v>0</v>
      </c>
      <c r="BJ59" s="493">
        <f>+_xlfn.XLOOKUP($AA59,'[51]②配宿シュミレーション(12,000人ver)'!$AO$6:$AO$674,'[51]②配宿シュミレーション(12,000人ver)'!BT$6:BT$674,)</f>
        <v>0</v>
      </c>
      <c r="BK59" s="493">
        <f>+_xlfn.XLOOKUP($AA59,'[51]②配宿シュミレーション(12,000人ver)'!$AO$6:$AO$674,'[51]②配宿シュミレーション(12,000人ver)'!BU$6:BU$674,)</f>
        <v>0</v>
      </c>
      <c r="BL59" s="493">
        <f>+_xlfn.XLOOKUP($AA59,'[51]②配宿シュミレーション(12,000人ver)'!$AO$6:$AO$674,'[51]②配宿シュミレーション(12,000人ver)'!BV$6:BV$674,)</f>
        <v>0</v>
      </c>
      <c r="BM59" s="493">
        <f>+_xlfn.XLOOKUP($AA59,'[51]②配宿シュミレーション(12,000人ver)'!$AO$6:$AO$674,'[51]②配宿シュミレーション(12,000人ver)'!BW$6:BW$674,)</f>
        <v>0</v>
      </c>
      <c r="BN59" s="499">
        <f>+_xlfn.XLOOKUP($AA59,'[51]②配宿シュミレーション(12,000人ver)'!$AO$6:$AO$674,'[51]②配宿シュミレーション(12,000人ver)'!BX$6:BX$674,)</f>
        <v>0</v>
      </c>
      <c r="BO59" s="290"/>
      <c r="BP59" s="332"/>
      <c r="BQ59" s="333"/>
    </row>
    <row r="60" spans="1:69" s="521" customFormat="1" ht="46" customHeight="1" thickBot="1">
      <c r="A60" s="2862"/>
      <c r="B60" s="2863"/>
      <c r="C60" s="296"/>
      <c r="D60" s="297" t="str">
        <f>IF(_xlfn.XLOOKUP(E60,[51]宿泊施設DB!$B$3:$B$206,[51]宿泊施設DB!$A$3:$A$206,"",)=0,"",_xlfn.XLOOKUP(E60,[51]宿泊施設DB!$B$3:$B$206,[51]宿泊施設DB!$A$3:$A$206,"",))</f>
        <v/>
      </c>
      <c r="E60" s="298"/>
      <c r="F60" s="2864">
        <f>_xlfn.XLOOKUP($E60,[51]宿泊施設DB!$B$3:$B$206,[51]宿泊施設DB!$D$3:$D$206,"",)</f>
        <v>0</v>
      </c>
      <c r="G60" s="2864">
        <f>_xlfn.XLOOKUP($E60,[51]宿泊施設DB!$B$3:$B$206,[51]宿泊施設DB!$E$3:$E$206,"",)</f>
        <v>0</v>
      </c>
      <c r="H60" s="2865">
        <f>_xlfn.XLOOKUP($E60,[51]宿泊施設DB!$B$3:$B$206,[51]宿泊施設DB!$J$3:$J$206,"",)</f>
        <v>0</v>
      </c>
      <c r="I60" s="2866">
        <f>_xlfn.XLOOKUP($E60,[51]宿泊施設DB!$B$3:$B$206,[51]宿泊施設DB!$T$3:$T$206,"",)</f>
        <v>0</v>
      </c>
      <c r="J60" s="2866"/>
      <c r="K60" s="2865">
        <f>_xlfn.XLOOKUP($E60,[51]宿泊施設DB!$B$3:$B$206,[51]宿泊施設DB!$S$3:$S$206,"",)</f>
        <v>0</v>
      </c>
      <c r="L60" s="2866">
        <f>_xlfn.XLOOKUP($E60,[51]宿泊施設DB!$B$3:$B$206,[51]宿泊施設DB!$U$3:$U$206,"",)</f>
        <v>0</v>
      </c>
      <c r="M60" s="2866">
        <f>_xlfn.XLOOKUP($E60,[51]宿泊施設DB!$B$3:$B$206,[51]宿泊施設DB!$V$3:$V$206,"",)</f>
        <v>0</v>
      </c>
      <c r="N60" s="2866">
        <f>_xlfn.XLOOKUP($E60,[51]宿泊施設DB!$B$3:$B$206,[51]宿泊施設DB!$W$3:$W$206,"",)</f>
        <v>0</v>
      </c>
      <c r="O60" s="2866">
        <f>_xlfn.XLOOKUP($E60,[51]宿泊施設DB!$B$3:$B$206,[51]宿泊施設DB!$X$3:$X$206,"",)</f>
        <v>0</v>
      </c>
      <c r="P60" s="302" t="str">
        <f t="shared" si="2"/>
        <v/>
      </c>
      <c r="Q60" s="302"/>
      <c r="R60" s="296"/>
      <c r="S60" s="312" t="s">
        <v>2472</v>
      </c>
      <c r="T60" s="313" t="str">
        <f>IFERROR(VLOOKUP($S60,'[51]競技情報DB(12,000人ver)'!$A$6:$D$201,2,),"－")</f>
        <v>東海市</v>
      </c>
      <c r="U60" s="314">
        <f>_xlfn.XLOOKUP(S60,'[51]競技情報DB(12,000人ver)'!$A$6:$A$99,'[51]競技情報DB(12,000人ver)'!$D$6:$D$99,"",0,)</f>
        <v>94</v>
      </c>
      <c r="V60" s="315"/>
      <c r="W60" s="316">
        <v>22.4</v>
      </c>
      <c r="X60" s="317">
        <v>29</v>
      </c>
      <c r="Y60" s="318"/>
      <c r="Z60" s="311"/>
      <c r="AA60" s="319"/>
      <c r="AB60" s="2944"/>
      <c r="AC60" s="2944"/>
      <c r="AD60" s="2945"/>
      <c r="AE60" s="320"/>
      <c r="AF60" s="321"/>
      <c r="AG60" s="321"/>
      <c r="AH60" s="321"/>
      <c r="AI60" s="321"/>
      <c r="AJ60" s="321"/>
      <c r="AK60" s="321"/>
      <c r="AL60" s="321"/>
      <c r="AM60" s="321"/>
      <c r="AN60" s="321"/>
      <c r="AO60" s="321"/>
      <c r="AP60" s="321"/>
      <c r="AQ60" s="321"/>
      <c r="AR60" s="321"/>
      <c r="AS60" s="321"/>
      <c r="AT60" s="321"/>
      <c r="AU60" s="321"/>
      <c r="AV60" s="321"/>
      <c r="AW60" s="321"/>
      <c r="AX60" s="321"/>
      <c r="AY60" s="321"/>
      <c r="AZ60" s="321"/>
      <c r="BA60" s="321"/>
      <c r="BB60" s="321"/>
      <c r="BC60" s="321"/>
      <c r="BD60" s="321"/>
      <c r="BE60" s="321"/>
      <c r="BF60" s="321"/>
      <c r="BG60" s="321"/>
      <c r="BH60" s="321"/>
      <c r="BI60" s="321"/>
      <c r="BJ60" s="321"/>
      <c r="BK60" s="321"/>
      <c r="BL60" s="321"/>
      <c r="BM60" s="321"/>
      <c r="BN60" s="507"/>
      <c r="BO60" s="290"/>
      <c r="BP60" s="332"/>
      <c r="BQ60" s="333"/>
    </row>
    <row r="61" spans="1:69" ht="46" customHeight="1">
      <c r="A61" s="2862"/>
      <c r="B61" s="2863"/>
      <c r="C61" s="296"/>
      <c r="D61" s="297"/>
      <c r="E61" s="298"/>
      <c r="F61" s="2864"/>
      <c r="G61" s="2864"/>
      <c r="H61" s="2865"/>
      <c r="I61" s="2866"/>
      <c r="J61" s="2866"/>
      <c r="K61" s="2865"/>
      <c r="L61" s="2866"/>
      <c r="M61" s="2866"/>
      <c r="N61" s="2866"/>
      <c r="O61" s="2866"/>
      <c r="P61" s="302" t="str">
        <f t="shared" si="2"/>
        <v/>
      </c>
      <c r="Q61" s="302"/>
      <c r="R61" s="296"/>
      <c r="S61" s="458" t="s">
        <v>2267</v>
      </c>
      <c r="T61" s="313" t="str">
        <f>IFERROR(VLOOKUP($S61,'[51]競技情報DB(12,000人ver)'!$A$6:$D$201,2,),"－")</f>
        <v>常滑市</v>
      </c>
      <c r="U61" s="314">
        <f>_xlfn.XLOOKUP(S61,'[51]競技情報DB(12,000人ver)'!$A$6:$A$99,'[51]競技情報DB(12,000人ver)'!$D$6:$D$99,"",0,)</f>
        <v>16</v>
      </c>
      <c r="V61" s="315"/>
      <c r="W61" s="489">
        <v>27.8</v>
      </c>
      <c r="X61" s="635">
        <v>29</v>
      </c>
      <c r="Y61" s="318"/>
      <c r="Z61" s="311"/>
      <c r="AA61" s="334"/>
      <c r="AB61" s="2939"/>
      <c r="AC61" s="2939"/>
      <c r="AD61" s="2943"/>
      <c r="AE61" s="335"/>
      <c r="AF61" s="336"/>
      <c r="AG61" s="336"/>
      <c r="AH61" s="336"/>
      <c r="AI61" s="336"/>
      <c r="AJ61" s="336"/>
      <c r="AK61" s="336"/>
      <c r="AL61" s="336"/>
      <c r="AM61" s="336"/>
      <c r="AN61" s="336"/>
      <c r="AO61" s="336"/>
      <c r="AP61" s="336"/>
      <c r="AQ61" s="336"/>
      <c r="AR61" s="336"/>
      <c r="AS61" s="336"/>
      <c r="AT61" s="336"/>
      <c r="AU61" s="336"/>
      <c r="AV61" s="336"/>
      <c r="AW61" s="336"/>
      <c r="AX61" s="336"/>
      <c r="AY61" s="336"/>
      <c r="AZ61" s="336"/>
      <c r="BA61" s="336"/>
      <c r="BB61" s="336"/>
      <c r="BC61" s="336"/>
      <c r="BD61" s="336"/>
      <c r="BE61" s="336"/>
      <c r="BF61" s="336"/>
      <c r="BG61" s="336"/>
      <c r="BH61" s="336"/>
      <c r="BI61" s="336"/>
      <c r="BJ61" s="336"/>
      <c r="BK61" s="336"/>
      <c r="BL61" s="336"/>
      <c r="BM61" s="336"/>
      <c r="BN61" s="340"/>
      <c r="BO61" s="290"/>
      <c r="BP61" s="332"/>
      <c r="BQ61" s="333"/>
    </row>
    <row r="62" spans="1:69" ht="46" customHeight="1">
      <c r="A62" s="2862"/>
      <c r="B62" s="2863"/>
      <c r="C62" s="296"/>
      <c r="D62" s="297"/>
      <c r="E62" s="298"/>
      <c r="F62" s="2864"/>
      <c r="G62" s="2864"/>
      <c r="H62" s="2865"/>
      <c r="I62" s="2866"/>
      <c r="J62" s="2866"/>
      <c r="K62" s="2865"/>
      <c r="L62" s="2866"/>
      <c r="M62" s="2866"/>
      <c r="N62" s="2866"/>
      <c r="O62" s="2866"/>
      <c r="P62" s="302" t="str">
        <f t="shared" si="2"/>
        <v/>
      </c>
      <c r="Q62" s="302"/>
      <c r="R62" s="296"/>
      <c r="S62" s="458" t="s">
        <v>2268</v>
      </c>
      <c r="T62" s="459" t="str">
        <f>IFERROR(VLOOKUP($S62,'[51]競技情報DB(12,000人ver)'!$A$6:$D$201,2,),"－")</f>
        <v>常滑市</v>
      </c>
      <c r="U62" s="460">
        <f>_xlfn.XLOOKUP(S62,'[51]競技情報DB(12,000人ver)'!$A$6:$A$99,'[51]競技情報DB(12,000人ver)'!$D$6:$D$99,"",0,)</f>
        <v>38</v>
      </c>
      <c r="V62" s="315"/>
      <c r="W62" s="489">
        <v>27.8</v>
      </c>
      <c r="X62" s="635">
        <v>29</v>
      </c>
      <c r="Y62" s="318"/>
      <c r="Z62" s="311"/>
      <c r="AA62" s="334"/>
      <c r="AB62" s="2939"/>
      <c r="AC62" s="2939"/>
      <c r="AD62" s="2943"/>
      <c r="AE62" s="335"/>
      <c r="AF62" s="336"/>
      <c r="AG62" s="336"/>
      <c r="AH62" s="336"/>
      <c r="AI62" s="336"/>
      <c r="AJ62" s="336"/>
      <c r="AK62" s="336"/>
      <c r="AL62" s="336"/>
      <c r="AM62" s="336"/>
      <c r="AN62" s="336"/>
      <c r="AO62" s="336"/>
      <c r="AP62" s="336"/>
      <c r="AQ62" s="336"/>
      <c r="AR62" s="336"/>
      <c r="AS62" s="336"/>
      <c r="AT62" s="336"/>
      <c r="AU62" s="336"/>
      <c r="AV62" s="336"/>
      <c r="AW62" s="336"/>
      <c r="AX62" s="336"/>
      <c r="AY62" s="336"/>
      <c r="AZ62" s="336"/>
      <c r="BA62" s="336"/>
      <c r="BB62" s="336"/>
      <c r="BC62" s="336"/>
      <c r="BD62" s="336"/>
      <c r="BE62" s="336"/>
      <c r="BF62" s="336"/>
      <c r="BG62" s="336"/>
      <c r="BH62" s="336"/>
      <c r="BI62" s="336"/>
      <c r="BJ62" s="336"/>
      <c r="BK62" s="336"/>
      <c r="BL62" s="336"/>
      <c r="BM62" s="336"/>
      <c r="BN62" s="340"/>
      <c r="BO62" s="290"/>
      <c r="BP62" s="332"/>
      <c r="BQ62" s="333"/>
    </row>
    <row r="63" spans="1:69" ht="46" customHeight="1">
      <c r="A63" s="2862"/>
      <c r="B63" s="2863"/>
      <c r="C63" s="372">
        <f>C59+1</f>
        <v>14</v>
      </c>
      <c r="D63" s="2871">
        <f>IF(_xlfn.XLOOKUP(E63,[51]宿泊施設DB!$B$3:$B$206,[51]宿泊施設DB!$A$3:$A$206,"",)=0,"",_xlfn.XLOOKUP(E63,[51]宿泊施設DB!$B$3:$B$206,[51]宿泊施設DB!$A$3:$A$206,"",))</f>
        <v>298</v>
      </c>
      <c r="E63" s="373" t="s">
        <v>2473</v>
      </c>
      <c r="F63" s="2872">
        <f>_xlfn.XLOOKUP($E63,[51]宿泊施設DB!$B$3:$B$206,[51]宿泊施設DB!$D$3:$D$206,"",)</f>
        <v>319</v>
      </c>
      <c r="G63" s="2872">
        <f>_xlfn.XLOOKUP($E63,[51]宿泊施設DB!$B$3:$B$206,[51]宿泊施設DB!$E$3:$E$206,"",)</f>
        <v>427</v>
      </c>
      <c r="H63" s="2873">
        <f>_xlfn.XLOOKUP($E63,[51]宿泊施設DB!$B$3:$B$206,[51]宿泊施設DB!$J$3:$J$206,"",)</f>
        <v>1</v>
      </c>
      <c r="I63" s="2874" t="str">
        <f>_xlfn.XLOOKUP($E63,[51]宿泊施設DB!$B$3:$B$206,[51]宿泊施設DB!$T$3:$T$206,"",)</f>
        <v>中</v>
      </c>
      <c r="J63" s="2874" t="str">
        <f>_xlfn.XLOOKUP($E63,[51]宿泊施設DB!$B$3:$B$206,[51]宿泊施設DB!$R$3:$R$206,"",)</f>
        <v>宿泊施設</v>
      </c>
      <c r="K63" s="2873">
        <f>_xlfn.XLOOKUP($E63,[51]宿泊施設DB!$B$3:$B$206,[51]宿泊施設DB!$S$3:$S$206,"",)</f>
        <v>140</v>
      </c>
      <c r="L63" s="2874" t="str">
        <f>_xlfn.XLOOKUP($E63,[51]宿泊施設DB!$B$3:$B$206,[51]宿泊施設DB!$U$3:$U$206,"",)</f>
        <v>○</v>
      </c>
      <c r="M63" s="2874" t="str">
        <f>_xlfn.XLOOKUP($E63,[51]宿泊施設DB!$B$3:$B$206,[51]宿泊施設DB!$V$3:$V$206,"",)</f>
        <v>－</v>
      </c>
      <c r="N63" s="2874" t="str">
        <f>_xlfn.XLOOKUP($E63,[51]宿泊施設DB!$B$3:$B$206,[51]宿泊施設DB!$W$3:$W$206,"",)</f>
        <v>－</v>
      </c>
      <c r="O63" s="2874" t="str">
        <f>_xlfn.XLOOKUP($E63,[51]宿泊施設DB!$B$3:$B$206,[51]宿泊施設DB!$X$3:$X$206,"",)</f>
        <v>専用乗降場所（屋根無）2台</v>
      </c>
      <c r="P63" s="377" t="str">
        <f t="shared" si="2"/>
        <v>○</v>
      </c>
      <c r="Q63" s="377" t="s">
        <v>2161</v>
      </c>
      <c r="R63" s="372" t="s">
        <v>2169</v>
      </c>
      <c r="S63" s="539" t="s">
        <v>2275</v>
      </c>
      <c r="T63" s="540" t="str">
        <f>IFERROR(VLOOKUP($S63,'[51]競技情報DB(12,000人ver)'!$A$6:$D$201,2,),"－")</f>
        <v>常滑市</v>
      </c>
      <c r="U63" s="541">
        <f>_xlfn.XLOOKUP(S63,'[51]競技情報DB(12,000人ver)'!$A$6:$A$99,'[51]競技情報DB(12,000人ver)'!$D$6:$D$99,"",0,)</f>
        <v>311</v>
      </c>
      <c r="V63" s="390">
        <f>SUM(U63:U64)</f>
        <v>311</v>
      </c>
      <c r="W63" s="542">
        <v>1</v>
      </c>
      <c r="X63" s="543">
        <v>2</v>
      </c>
      <c r="Y63" s="2887">
        <f>$G63-MAX(AF63:BN63)</f>
        <v>116</v>
      </c>
      <c r="Z63" s="394">
        <f>+Y63/$G63</f>
        <v>0.27166276346604218</v>
      </c>
      <c r="AA63" s="515" t="str">
        <f>E63&amp;"　"&amp;"合計"</f>
        <v>フォーポイント　バイ　シェラトン名古屋　中部国際空港　合計</v>
      </c>
      <c r="AB63" s="2951">
        <v>45549</v>
      </c>
      <c r="AC63" s="2951">
        <v>45564</v>
      </c>
      <c r="AD63" s="2943">
        <v>15</v>
      </c>
      <c r="AE63" s="396" t="s">
        <v>2175</v>
      </c>
      <c r="AF63" s="398">
        <f>+_xlfn.XLOOKUP($AA63,'[51]②配宿シュミレーション(12,000人ver)'!$AO$6:$AO$674,'[51]②配宿シュミレーション(12,000人ver)'!AP$6:AP$674,)</f>
        <v>0</v>
      </c>
      <c r="AG63" s="398">
        <f>+_xlfn.XLOOKUP($AA63,'[51]②配宿シュミレーション(12,000人ver)'!$AO$6:$AO$674,'[51]②配宿シュミレーション(12,000人ver)'!AQ$6:AQ$674,)</f>
        <v>0</v>
      </c>
      <c r="AH63" s="398">
        <f>+_xlfn.XLOOKUP($AA63,'[51]②配宿シュミレーション(12,000人ver)'!$AO$6:$AO$674,'[51]②配宿シュミレーション(12,000人ver)'!AR$6:AR$674,)</f>
        <v>0</v>
      </c>
      <c r="AI63" s="398">
        <f>+_xlfn.XLOOKUP($AA63,'[51]②配宿シュミレーション(12,000人ver)'!$AO$6:$AO$674,'[51]②配宿シュミレーション(12,000人ver)'!AS$6:AS$674,)</f>
        <v>0</v>
      </c>
      <c r="AJ63" s="398">
        <f>+_xlfn.XLOOKUP($AA63,'[51]②配宿シュミレーション(12,000人ver)'!$AO$6:$AO$674,'[51]②配宿シュミレーション(12,000人ver)'!AT$6:AT$674,)</f>
        <v>0</v>
      </c>
      <c r="AK63" s="398">
        <f>+_xlfn.XLOOKUP($AA63,'[51]②配宿シュミレーション(12,000人ver)'!$AO$6:$AO$674,'[51]②配宿シュミレーション(12,000人ver)'!AU$6:AU$674,)</f>
        <v>0</v>
      </c>
      <c r="AL63" s="398">
        <f>+_xlfn.XLOOKUP($AA63,'[51]②配宿シュミレーション(12,000人ver)'!$AO$6:$AO$674,'[51]②配宿シュミレーション(12,000人ver)'!AV$6:AV$674,)</f>
        <v>0</v>
      </c>
      <c r="AM63" s="398">
        <f>+_xlfn.XLOOKUP($AA63,'[51]②配宿シュミレーション(12,000人ver)'!$AO$6:$AO$674,'[51]②配宿シュミレーション(12,000人ver)'!AW$6:AW$674,)</f>
        <v>0</v>
      </c>
      <c r="AN63" s="398">
        <f>+_xlfn.XLOOKUP($AA63,'[51]②配宿シュミレーション(12,000人ver)'!$AO$6:$AO$674,'[51]②配宿シュミレーション(12,000人ver)'!AX$6:AX$674,)</f>
        <v>0</v>
      </c>
      <c r="AO63" s="398">
        <f>+_xlfn.XLOOKUP($AA63,'[51]②配宿シュミレーション(12,000人ver)'!$AO$6:$AO$674,'[51]②配宿シュミレーション(12,000人ver)'!AY$6:AY$674,)</f>
        <v>0</v>
      </c>
      <c r="AP63" s="2896" t="s">
        <v>2447</v>
      </c>
      <c r="AQ63" s="2896" t="s">
        <v>2447</v>
      </c>
      <c r="AR63" s="398">
        <f>+_xlfn.XLOOKUP($AA63,'[51]②配宿シュミレーション(12,000人ver)'!$AO$6:$AO$674,'[51]②配宿シュミレーション(12,000人ver)'!BB$6:BB$674,)</f>
        <v>311</v>
      </c>
      <c r="AS63" s="398">
        <f>+_xlfn.XLOOKUP($AA63,'[51]②配宿シュミレーション(12,000人ver)'!$AO$6:$AO$674,'[51]②配宿シュミレーション(12,000人ver)'!BC$6:BC$674,)</f>
        <v>311</v>
      </c>
      <c r="AT63" s="398">
        <f>+_xlfn.XLOOKUP($AA63,'[51]②配宿シュミレーション(12,000人ver)'!$AO$6:$AO$674,'[51]②配宿シュミレーション(12,000人ver)'!BD$6:BD$674,)</f>
        <v>311</v>
      </c>
      <c r="AU63" s="398">
        <f>+_xlfn.XLOOKUP($AA63,'[51]②配宿シュミレーション(12,000人ver)'!$AO$6:$AO$674,'[51]②配宿シュミレーション(12,000人ver)'!BE$6:BE$674,)</f>
        <v>311</v>
      </c>
      <c r="AV63" s="398">
        <f>+_xlfn.XLOOKUP($AA63,'[51]②配宿シュミレーション(12,000人ver)'!$AO$6:$AO$674,'[51]②配宿シュミレーション(12,000人ver)'!BF$6:BF$674,)</f>
        <v>311</v>
      </c>
      <c r="AW63" s="398">
        <f>+_xlfn.XLOOKUP($AA63,'[51]②配宿シュミレーション(12,000人ver)'!$AO$6:$AO$674,'[51]②配宿シュミレーション(12,000人ver)'!BG$6:BG$674,)</f>
        <v>311</v>
      </c>
      <c r="AX63" s="398">
        <f>+_xlfn.XLOOKUP($AA63,'[51]②配宿シュミレーション(12,000人ver)'!$AO$6:$AO$674,'[51]②配宿シュミレーション(12,000人ver)'!BH$6:BH$674,)</f>
        <v>311</v>
      </c>
      <c r="AY63" s="398">
        <f>+_xlfn.XLOOKUP($AA63,'[51]②配宿シュミレーション(12,000人ver)'!$AO$6:$AO$674,'[51]②配宿シュミレーション(12,000人ver)'!BI$6:BI$674,)</f>
        <v>311</v>
      </c>
      <c r="AZ63" s="398">
        <f>+_xlfn.XLOOKUP($AA63,'[51]②配宿シュミレーション(12,000人ver)'!$AO$6:$AO$674,'[51]②配宿シュミレーション(12,000人ver)'!BJ$6:BJ$674,)</f>
        <v>311</v>
      </c>
      <c r="BA63" s="398">
        <f>+_xlfn.XLOOKUP($AA63,'[51]②配宿シュミレーション(12,000人ver)'!$AO$6:$AO$674,'[51]②配宿シュミレーション(12,000人ver)'!BK$6:BK$674,)</f>
        <v>311</v>
      </c>
      <c r="BB63" s="398">
        <f>+_xlfn.XLOOKUP($AA63,'[51]②配宿シュミレーション(12,000人ver)'!$AO$6:$AO$674,'[51]②配宿シュミレーション(12,000人ver)'!BL$6:BL$674,)</f>
        <v>311</v>
      </c>
      <c r="BC63" s="398">
        <f>+_xlfn.XLOOKUP($AA63,'[51]②配宿シュミレーション(12,000人ver)'!$AO$6:$AO$674,'[51]②配宿シュミレーション(12,000人ver)'!BM$6:BM$674,)</f>
        <v>311</v>
      </c>
      <c r="BD63" s="398">
        <f>+_xlfn.XLOOKUP($AA63,'[51]②配宿シュミレーション(12,000人ver)'!$AO$6:$AO$674,'[51]②配宿シュミレーション(12,000人ver)'!BN$6:BN$674,)</f>
        <v>311</v>
      </c>
      <c r="BE63" s="2897" t="s">
        <v>2448</v>
      </c>
      <c r="BF63" s="398">
        <f>+_xlfn.XLOOKUP($AA63,'[51]②配宿シュミレーション(12,000人ver)'!$AO$6:$AO$674,'[51]②配宿シュミレーション(12,000人ver)'!BP$6:BP$674,)</f>
        <v>0</v>
      </c>
      <c r="BG63" s="398">
        <f>+_xlfn.XLOOKUP($AA63,'[51]②配宿シュミレーション(12,000人ver)'!$AO$6:$AO$674,'[51]②配宿シュミレーション(12,000人ver)'!BQ$6:BQ$674,)</f>
        <v>0</v>
      </c>
      <c r="BH63" s="398">
        <f>+_xlfn.XLOOKUP($AA63,'[51]②配宿シュミレーション(12,000人ver)'!$AO$6:$AO$674,'[51]②配宿シュミレーション(12,000人ver)'!BR$6:BR$674,)</f>
        <v>0</v>
      </c>
      <c r="BI63" s="398">
        <f>+_xlfn.XLOOKUP($AA63,'[51]②配宿シュミレーション(12,000人ver)'!$AO$6:$AO$674,'[51]②配宿シュミレーション(12,000人ver)'!BS$6:BS$674,)</f>
        <v>0</v>
      </c>
      <c r="BJ63" s="398">
        <f>+_xlfn.XLOOKUP($AA63,'[51]②配宿シュミレーション(12,000人ver)'!$AO$6:$AO$674,'[51]②配宿シュミレーション(12,000人ver)'!BT$6:BT$674,)</f>
        <v>0</v>
      </c>
      <c r="BK63" s="398">
        <f>+_xlfn.XLOOKUP($AA63,'[51]②配宿シュミレーション(12,000人ver)'!$AO$6:$AO$674,'[51]②配宿シュミレーション(12,000人ver)'!BU$6:BU$674,)</f>
        <v>0</v>
      </c>
      <c r="BL63" s="398">
        <f>+_xlfn.XLOOKUP($AA63,'[51]②配宿シュミレーション(12,000人ver)'!$AO$6:$AO$674,'[51]②配宿シュミレーション(12,000人ver)'!BV$6:BV$674,)</f>
        <v>0</v>
      </c>
      <c r="BM63" s="398">
        <f>+_xlfn.XLOOKUP($AA63,'[51]②配宿シュミレーション(12,000人ver)'!$AO$6:$AO$674,'[51]②配宿シュミレーション(12,000人ver)'!BW$6:BW$674,)</f>
        <v>0</v>
      </c>
      <c r="BN63" s="472">
        <f>+_xlfn.XLOOKUP($AA63,'[51]②配宿シュミレーション(12,000人ver)'!$AO$6:$AO$674,'[51]②配宿シュミレーション(12,000人ver)'!BX$6:BX$674,)</f>
        <v>0</v>
      </c>
      <c r="BO63" s="290"/>
      <c r="BP63" s="404"/>
      <c r="BQ63" s="405"/>
    </row>
    <row r="64" spans="1:69" ht="46" customHeight="1" thickBot="1">
      <c r="A64" s="2862"/>
      <c r="B64" s="2863"/>
      <c r="C64" s="420"/>
      <c r="D64" s="421" t="str">
        <f>IF(_xlfn.XLOOKUP(E64,[51]宿泊施設DB!$B$3:$B$206,[51]宿泊施設DB!$A$3:$A$206,"",)=0,"",_xlfn.XLOOKUP(E64,[51]宿泊施設DB!$B$3:$B$206,[51]宿泊施設DB!$A$3:$A$206,"",))</f>
        <v/>
      </c>
      <c r="E64" s="422"/>
      <c r="F64" s="2875">
        <f>_xlfn.XLOOKUP($E64,[51]宿泊施設DB!$B$3:$B$206,[51]宿泊施設DB!$D$3:$D$206,"",)</f>
        <v>0</v>
      </c>
      <c r="G64" s="2875">
        <f>_xlfn.XLOOKUP($E64,[51]宿泊施設DB!$B$3:$B$206,[51]宿泊施設DB!$E$3:$E$206,"",)</f>
        <v>0</v>
      </c>
      <c r="H64" s="2877">
        <f>_xlfn.XLOOKUP($E64,[51]宿泊施設DB!$B$3:$B$206,[51]宿泊施設DB!$J$3:$J$206,"",)</f>
        <v>0</v>
      </c>
      <c r="I64" s="2878">
        <f>_xlfn.XLOOKUP($E64,[51]宿泊施設DB!$B$3:$B$206,[51]宿泊施設DB!$T$3:$T$206,"",)</f>
        <v>0</v>
      </c>
      <c r="J64" s="2866" t="s">
        <v>2265</v>
      </c>
      <c r="K64" s="2877">
        <f>_xlfn.XLOOKUP($E64,[51]宿泊施設DB!$B$3:$B$206,[51]宿泊施設DB!$S$3:$S$206,"",)</f>
        <v>0</v>
      </c>
      <c r="L64" s="2878">
        <f>_xlfn.XLOOKUP($E64,[51]宿泊施設DB!$B$3:$B$206,[51]宿泊施設DB!$U$3:$U$206,"",)</f>
        <v>0</v>
      </c>
      <c r="M64" s="2878">
        <f>_xlfn.XLOOKUP($E64,[51]宿泊施設DB!$B$3:$B$206,[51]宿泊施設DB!$V$3:$V$206,"",)</f>
        <v>0</v>
      </c>
      <c r="N64" s="2878">
        <f>_xlfn.XLOOKUP($E64,[51]宿泊施設DB!$B$3:$B$206,[51]宿泊施設DB!$W$3:$W$206,"",)</f>
        <v>0</v>
      </c>
      <c r="O64" s="2878">
        <f>_xlfn.XLOOKUP($E64,[51]宿泊施設DB!$B$3:$B$206,[51]宿泊施設DB!$X$3:$X$206,"",)</f>
        <v>0</v>
      </c>
      <c r="P64" s="426" t="str">
        <f t="shared" si="2"/>
        <v/>
      </c>
      <c r="Q64" s="426"/>
      <c r="R64" s="420"/>
      <c r="S64" s="477"/>
      <c r="T64" s="478" t="str">
        <f>IFERROR(VLOOKUP($S64,'[51]競技情報DB(12,000人ver)'!$A$6:$D$201,2,),"－")</f>
        <v>－</v>
      </c>
      <c r="U64" s="479">
        <f>_xlfn.XLOOKUP(S64,'[51]競技情報DB(12,000人ver)'!$A$6:$A$99,'[51]競技情報DB(12,000人ver)'!$D$6:$D$99,"",0,)</f>
        <v>0</v>
      </c>
      <c r="V64" s="439"/>
      <c r="W64" s="480"/>
      <c r="X64" s="481"/>
      <c r="Y64" s="2895"/>
      <c r="Z64" s="435"/>
      <c r="AA64" s="517"/>
      <c r="AB64" s="2952"/>
      <c r="AC64" s="2952"/>
      <c r="AD64" s="2953"/>
      <c r="AE64" s="518"/>
      <c r="AF64" s="445"/>
      <c r="AG64" s="445"/>
      <c r="AH64" s="445"/>
      <c r="AI64" s="445"/>
      <c r="AJ64" s="445"/>
      <c r="AK64" s="445"/>
      <c r="AL64" s="445"/>
      <c r="AM64" s="445"/>
      <c r="AN64" s="445"/>
      <c r="AO64" s="445"/>
      <c r="AP64" s="336"/>
      <c r="AQ64" s="336"/>
      <c r="AR64" s="336"/>
      <c r="AS64" s="336"/>
      <c r="AT64" s="336"/>
      <c r="AU64" s="336"/>
      <c r="AV64" s="336"/>
      <c r="AW64" s="336"/>
      <c r="AX64" s="336"/>
      <c r="AY64" s="336"/>
      <c r="AZ64" s="336"/>
      <c r="BA64" s="336"/>
      <c r="BB64" s="336"/>
      <c r="BC64" s="336"/>
      <c r="BD64" s="336"/>
      <c r="BE64" s="336"/>
      <c r="BF64" s="336"/>
      <c r="BG64" s="336"/>
      <c r="BH64" s="336"/>
      <c r="BI64" s="336"/>
      <c r="BJ64" s="445"/>
      <c r="BK64" s="445"/>
      <c r="BL64" s="445"/>
      <c r="BM64" s="445"/>
      <c r="BN64" s="449"/>
      <c r="BO64" s="290"/>
      <c r="BP64" s="450"/>
      <c r="BQ64" s="451"/>
    </row>
    <row r="65" spans="1:69" ht="46" customHeight="1">
      <c r="A65" s="2903" t="s">
        <v>2474</v>
      </c>
      <c r="B65" s="2852" t="s">
        <v>2158</v>
      </c>
      <c r="C65" s="248">
        <f>C63+1</f>
        <v>15</v>
      </c>
      <c r="D65" s="249">
        <f>IF(_xlfn.XLOOKUP(E65,[51]宿泊施設DB!$B$3:$B$206,[51]宿泊施設DB!$A$3:$A$206,"",)=0,"",_xlfn.XLOOKUP(E65,[51]宿泊施設DB!$B$3:$B$206,[51]宿泊施設DB!$A$3:$A$206,"",))</f>
        <v>221</v>
      </c>
      <c r="E65" s="593" t="s">
        <v>2287</v>
      </c>
      <c r="F65" s="2854">
        <f>_xlfn.XLOOKUP($E65,[51]宿泊施設DB!$B$3:$B$206,[51]宿泊施設DB!$D$3:$D$206,"",)</f>
        <v>108</v>
      </c>
      <c r="G65" s="2854">
        <f>_xlfn.XLOOKUP($E65,[51]宿泊施設DB!$B$3:$B$206,[51]宿泊施設DB!$E$3:$E$206,"",)</f>
        <v>162</v>
      </c>
      <c r="H65" s="2904">
        <f>_xlfn.XLOOKUP($E65,[51]宿泊施設DB!$B$3:$B$206,[51]宿泊施設DB!$J$3:$J$206,"",)</f>
        <v>11</v>
      </c>
      <c r="I65" s="2857" t="str">
        <f>_xlfn.XLOOKUP($E65,[51]宿泊施設DB!$B$3:$B$206,[51]宿泊施設DB!$T$3:$T$206,"",)</f>
        <v>中</v>
      </c>
      <c r="J65" s="2857" t="str">
        <f>_xlfn.XLOOKUP($E65,[51]宿泊施設DB!$B$3:$B$206,[51]宿泊施設DB!$R$3:$R$206,"",)</f>
        <v>宿泊施設</v>
      </c>
      <c r="K65" s="2904">
        <f>_xlfn.XLOOKUP($E65,[51]宿泊施設DB!$B$3:$B$206,[51]宿泊施設DB!$S$3:$S$206,"",)</f>
        <v>40</v>
      </c>
      <c r="L65" s="2857" t="str">
        <f>_xlfn.XLOOKUP($E65,[51]宿泊施設DB!$B$3:$B$206,[51]宿泊施設DB!$U$3:$U$206,"",)</f>
        <v>－</v>
      </c>
      <c r="M65" s="2857" t="str">
        <f>_xlfn.XLOOKUP($E65,[51]宿泊施設DB!$B$3:$B$206,[51]宿泊施設DB!$V$3:$V$206,"",)</f>
        <v>○</v>
      </c>
      <c r="N65" s="2857" t="str">
        <f>_xlfn.XLOOKUP($E65,[51]宿泊施設DB!$B$3:$B$206,[51]宿泊施設DB!$W$3:$W$206,"",)</f>
        <v>○</v>
      </c>
      <c r="O65" s="2857" t="str">
        <f>_xlfn.XLOOKUP($E65,[51]宿泊施設DB!$B$3:$B$206,[51]宿泊施設DB!$X$3:$X$206,"",)</f>
        <v>玄関前（屋根無）2台</v>
      </c>
      <c r="P65" s="258" t="str">
        <f t="shared" si="2"/>
        <v>○</v>
      </c>
      <c r="Q65" s="258" t="s">
        <v>2161</v>
      </c>
      <c r="R65" s="248" t="s">
        <v>2136</v>
      </c>
      <c r="S65" s="600" t="s">
        <v>2289</v>
      </c>
      <c r="T65" s="601" t="str">
        <f>IFERROR(VLOOKUP($S65,'[51]競技情報DB(12,000人ver)'!$A$6:$D$201,2,),"－")</f>
        <v>豊田市</v>
      </c>
      <c r="U65" s="602">
        <f>_xlfn.XLOOKUP(S65,'[51]競技情報DB(12,000人ver)'!$A$6:$A$99,'[51]競技情報DB(12,000人ver)'!$D$6:$D$99,"",0,)</f>
        <v>125</v>
      </c>
      <c r="V65" s="681">
        <f>SUM(U65:U65)</f>
        <v>125</v>
      </c>
      <c r="W65" s="603">
        <v>51.5</v>
      </c>
      <c r="X65" s="604">
        <v>62</v>
      </c>
      <c r="Y65" s="274">
        <f>$G65-MAX(AF65:BN65)</f>
        <v>37</v>
      </c>
      <c r="Z65" s="680">
        <f>+Y65/$G65</f>
        <v>0.22839506172839505</v>
      </c>
      <c r="AA65" s="275" t="str">
        <f>E65&amp;"　"&amp;"合計"</f>
        <v>ホテルグランドティアラ南名古屋　合計</v>
      </c>
      <c r="AB65" s="2954">
        <v>45549</v>
      </c>
      <c r="AC65" s="2954">
        <v>45566</v>
      </c>
      <c r="AD65" s="2943">
        <v>17</v>
      </c>
      <c r="AE65" s="276" t="s">
        <v>2175</v>
      </c>
      <c r="AF65" s="280">
        <f>+_xlfn.XLOOKUP($AA65,'[51]②配宿シュミレーション(12,000人ver)'!$AO$6:$AO$674,'[51]②配宿シュミレーション(12,000人ver)'!AP$6:AP$674,)</f>
        <v>0</v>
      </c>
      <c r="AG65" s="280">
        <f>+_xlfn.XLOOKUP($AA65,'[51]②配宿シュミレーション(12,000人ver)'!$AO$6:$AO$674,'[51]②配宿シュミレーション(12,000人ver)'!AQ$6:AQ$674,)</f>
        <v>0</v>
      </c>
      <c r="AH65" s="280">
        <f>+_xlfn.XLOOKUP($AA65,'[51]②配宿シュミレーション(12,000人ver)'!$AO$6:$AO$674,'[51]②配宿シュミレーション(12,000人ver)'!AR$6:AR$674,)</f>
        <v>0</v>
      </c>
      <c r="AI65" s="280">
        <f>+_xlfn.XLOOKUP($AA65,'[51]②配宿シュミレーション(12,000人ver)'!$AO$6:$AO$674,'[51]②配宿シュミレーション(12,000人ver)'!AS$6:AS$674,)</f>
        <v>0</v>
      </c>
      <c r="AJ65" s="280">
        <f>+_xlfn.XLOOKUP($AA65,'[51]②配宿シュミレーション(12,000人ver)'!$AO$6:$AO$674,'[51]②配宿シュミレーション(12,000人ver)'!AT$6:AT$674,)</f>
        <v>0</v>
      </c>
      <c r="AK65" s="280">
        <f>+_xlfn.XLOOKUP($AA65,'[51]②配宿シュミレーション(12,000人ver)'!$AO$6:$AO$674,'[51]②配宿シュミレーション(12,000人ver)'!AU$6:AU$674,)</f>
        <v>0</v>
      </c>
      <c r="AL65" s="280">
        <f>+_xlfn.XLOOKUP($AA65,'[51]②配宿シュミレーション(12,000人ver)'!$AO$6:$AO$674,'[51]②配宿シュミレーション(12,000人ver)'!AV$6:AV$674,)</f>
        <v>0</v>
      </c>
      <c r="AM65" s="280">
        <f>+_xlfn.XLOOKUP($AA65,'[51]②配宿シュミレーション(12,000人ver)'!$AO$6:$AO$674,'[51]②配宿シュミレーション(12,000人ver)'!AW$6:AW$674,)</f>
        <v>0</v>
      </c>
      <c r="AN65" s="280">
        <f>+_xlfn.XLOOKUP($AA65,'[51]②配宿シュミレーション(12,000人ver)'!$AO$6:$AO$674,'[51]②配宿シュミレーション(12,000人ver)'!AX$6:AX$674,)</f>
        <v>0</v>
      </c>
      <c r="AO65" s="280">
        <f>+_xlfn.XLOOKUP($AA65,'[51]②配宿シュミレーション(12,000人ver)'!$AO$6:$AO$674,'[51]②配宿シュミレーション(12,000人ver)'!AY$6:AY$674,)</f>
        <v>0</v>
      </c>
      <c r="AP65" s="2909" t="s">
        <v>2447</v>
      </c>
      <c r="AQ65" s="2909" t="s">
        <v>2447</v>
      </c>
      <c r="AR65" s="280">
        <f>+_xlfn.XLOOKUP($AA65,'[51]②配宿シュミレーション(12,000人ver)'!$AO$6:$AO$674,'[51]②配宿シュミレーション(12,000人ver)'!BB$6:BB$674,)</f>
        <v>125</v>
      </c>
      <c r="AS65" s="280">
        <f>+_xlfn.XLOOKUP($AA65,'[51]②配宿シュミレーション(12,000人ver)'!$AO$6:$AO$674,'[51]②配宿シュミレーション(12,000人ver)'!BC$6:BC$674,)</f>
        <v>125</v>
      </c>
      <c r="AT65" s="280">
        <f>+_xlfn.XLOOKUP($AA65,'[51]②配宿シュミレーション(12,000人ver)'!$AO$6:$AO$674,'[51]②配宿シュミレーション(12,000人ver)'!BD$6:BD$674,)</f>
        <v>125</v>
      </c>
      <c r="AU65" s="280">
        <f>+_xlfn.XLOOKUP($AA65,'[51]②配宿シュミレーション(12,000人ver)'!$AO$6:$AO$674,'[51]②配宿シュミレーション(12,000人ver)'!BE$6:BE$674,)</f>
        <v>125</v>
      </c>
      <c r="AV65" s="280">
        <f>+_xlfn.XLOOKUP($AA65,'[51]②配宿シュミレーション(12,000人ver)'!$AO$6:$AO$674,'[51]②配宿シュミレーション(12,000人ver)'!BF$6:BF$674,)</f>
        <v>125</v>
      </c>
      <c r="AW65" s="280">
        <f>+_xlfn.XLOOKUP($AA65,'[51]②配宿シュミレーション(12,000人ver)'!$AO$6:$AO$674,'[51]②配宿シュミレーション(12,000人ver)'!BG$6:BG$674,)</f>
        <v>125</v>
      </c>
      <c r="AX65" s="280">
        <f>+_xlfn.XLOOKUP($AA65,'[51]②配宿シュミレーション(12,000人ver)'!$AO$6:$AO$674,'[51]②配宿シュミレーション(12,000人ver)'!BH$6:BH$674,)</f>
        <v>125</v>
      </c>
      <c r="AY65" s="280">
        <f>+_xlfn.XLOOKUP($AA65,'[51]②配宿シュミレーション(12,000人ver)'!$AO$6:$AO$674,'[51]②配宿シュミレーション(12,000人ver)'!BI$6:BI$674,)</f>
        <v>125</v>
      </c>
      <c r="AZ65" s="280">
        <f>+_xlfn.XLOOKUP($AA65,'[51]②配宿シュミレーション(12,000人ver)'!$AO$6:$AO$674,'[51]②配宿シュミレーション(12,000人ver)'!BJ$6:BJ$674,)</f>
        <v>125</v>
      </c>
      <c r="BA65" s="280">
        <f>+_xlfn.XLOOKUP($AA65,'[51]②配宿シュミレーション(12,000人ver)'!$AO$6:$AO$674,'[51]②配宿シュミレーション(12,000人ver)'!BK$6:BK$674,)</f>
        <v>125</v>
      </c>
      <c r="BB65" s="280">
        <f>+_xlfn.XLOOKUP($AA65,'[51]②配宿シュミレーション(12,000人ver)'!$AO$6:$AO$674,'[51]②配宿シュミレーション(12,000人ver)'!BL$6:BL$674,)</f>
        <v>125</v>
      </c>
      <c r="BC65" s="280">
        <f>+_xlfn.XLOOKUP($AA65,'[51]②配宿シュミレーション(12,000人ver)'!$AO$6:$AO$674,'[51]②配宿シュミレーション(12,000人ver)'!BM$6:BM$674,)</f>
        <v>125</v>
      </c>
      <c r="BD65" s="280">
        <f>+_xlfn.XLOOKUP($AA65,'[51]②配宿シュミレーション(12,000人ver)'!$AO$6:$AO$674,'[51]②配宿シュミレーション(12,000人ver)'!BN$6:BN$674,)</f>
        <v>125</v>
      </c>
      <c r="BE65" s="280">
        <f>+_xlfn.XLOOKUP($AA65,'[51]②配宿シュミレーション(12,000人ver)'!$AO$6:$AO$674,'[51]②配宿シュミレーション(12,000人ver)'!BO$6:BO$674,)</f>
        <v>125</v>
      </c>
      <c r="BF65" s="280">
        <f>+_xlfn.XLOOKUP($AA65,'[51]②配宿シュミレーション(12,000人ver)'!$AO$6:$AO$674,'[51]②配宿シュミレーション(12,000人ver)'!BP$6:BP$674,)</f>
        <v>125</v>
      </c>
      <c r="BG65" s="2910" t="s">
        <v>2448</v>
      </c>
      <c r="BH65" s="280">
        <f>+_xlfn.XLOOKUP($AA65,'[51]②配宿シュミレーション(12,000人ver)'!$AO$6:$AO$674,'[51]②配宿シュミレーション(12,000人ver)'!BR$6:BR$674,)</f>
        <v>0</v>
      </c>
      <c r="BI65" s="279">
        <f>+_xlfn.XLOOKUP($AA65,'[51]②配宿シュミレーション(12,000人ver)'!$AO$6:$AO$674,'[51]②配宿シュミレーション(12,000人ver)'!BS$6:BS$674,)</f>
        <v>0</v>
      </c>
      <c r="BJ65" s="280">
        <f>+_xlfn.XLOOKUP($AA65,'[51]②配宿シュミレーション(12,000人ver)'!$AO$6:$AO$674,'[51]②配宿シュミレーション(12,000人ver)'!BT$6:BT$674,)</f>
        <v>0</v>
      </c>
      <c r="BK65" s="280">
        <f>+_xlfn.XLOOKUP($AA65,'[51]②配宿シュミレーション(12,000人ver)'!$AO$6:$AO$674,'[51]②配宿シュミレーション(12,000人ver)'!BU$6:BU$674,)</f>
        <v>0</v>
      </c>
      <c r="BL65" s="280">
        <f>+_xlfn.XLOOKUP($AA65,'[51]②配宿シュミレーション(12,000人ver)'!$AO$6:$AO$674,'[51]②配宿シュミレーション(12,000人ver)'!BV$6:BV$674,)</f>
        <v>0</v>
      </c>
      <c r="BM65" s="280">
        <f>+_xlfn.XLOOKUP($AA65,'[51]②配宿シュミレーション(12,000人ver)'!$AO$6:$AO$674,'[51]②配宿シュミレーション(12,000人ver)'!BW$6:BW$674,)</f>
        <v>0</v>
      </c>
      <c r="BN65" s="606">
        <f>+_xlfn.XLOOKUP($AA65,'[51]②配宿シュミレーション(12,000人ver)'!$AO$6:$AO$674,'[51]②配宿シュミレーション(12,000人ver)'!BX$6:BX$674,)</f>
        <v>0</v>
      </c>
      <c r="BO65" s="573"/>
      <c r="BP65" s="574"/>
      <c r="BQ65" s="575"/>
    </row>
    <row r="66" spans="1:69" s="521" customFormat="1" ht="46" customHeight="1" thickBot="1">
      <c r="A66" s="2862"/>
      <c r="B66" s="2863"/>
      <c r="C66" s="420"/>
      <c r="D66" s="421" t="str">
        <f>IF(_xlfn.XLOOKUP(E66,[51]宿泊施設DB!$B$3:$B$206,[51]宿泊施設DB!$A$3:$A$206,"",)=0,"",_xlfn.XLOOKUP(E66,[51]宿泊施設DB!$B$3:$B$206,[51]宿泊施設DB!$A$3:$A$206,"",))</f>
        <v/>
      </c>
      <c r="E66" s="612"/>
      <c r="F66" s="2875">
        <f>_xlfn.XLOOKUP($E66,[51]宿泊施設DB!$B$3:$B$206,[51]宿泊施設DB!$D$3:$D$206,"",)</f>
        <v>0</v>
      </c>
      <c r="G66" s="2875">
        <f>_xlfn.XLOOKUP($E66,[51]宿泊施設DB!$B$3:$B$206,[51]宿泊施設DB!$E$3:$E$206,"",)</f>
        <v>0</v>
      </c>
      <c r="H66" s="2877">
        <f>_xlfn.XLOOKUP($E66,[51]宿泊施設DB!$B$3:$B$206,[51]宿泊施設DB!$J$3:$J$206,"",)</f>
        <v>0</v>
      </c>
      <c r="I66" s="2878">
        <f>_xlfn.XLOOKUP($E66,[51]宿泊施設DB!$B$3:$B$206,[51]宿泊施設DB!$T$3:$T$206,"",)</f>
        <v>0</v>
      </c>
      <c r="J66" s="2878">
        <f>_xlfn.XLOOKUP($E66,[51]宿泊施設DB!$B$3:$B$206,[51]宿泊施設DB!$R$3:$R$206,"",)</f>
        <v>0</v>
      </c>
      <c r="K66" s="2877">
        <f>_xlfn.XLOOKUP($E66,[51]宿泊施設DB!$B$3:$B$206,[51]宿泊施設DB!$S$3:$S$206,"",)</f>
        <v>0</v>
      </c>
      <c r="L66" s="2878">
        <f>_xlfn.XLOOKUP($E66,[51]宿泊施設DB!$B$3:$B$206,[51]宿泊施設DB!$U$3:$U$206,"",)</f>
        <v>0</v>
      </c>
      <c r="M66" s="2878">
        <f>_xlfn.XLOOKUP($E66,[51]宿泊施設DB!$B$3:$B$206,[51]宿泊施設DB!$V$3:$V$206,"",)</f>
        <v>0</v>
      </c>
      <c r="N66" s="2878">
        <f>_xlfn.XLOOKUP($E66,[51]宿泊施設DB!$B$3:$B$206,[51]宿泊施設DB!$W$3:$W$206,"",)</f>
        <v>0</v>
      </c>
      <c r="O66" s="2878">
        <f>_xlfn.XLOOKUP($E66,[51]宿泊施設DB!$B$3:$B$206,[51]宿泊施設DB!$X$3:$X$206,"",)</f>
        <v>0</v>
      </c>
      <c r="P66" s="426" t="str">
        <f t="shared" si="2"/>
        <v/>
      </c>
      <c r="Q66" s="426"/>
      <c r="R66" s="420"/>
      <c r="S66" s="477"/>
      <c r="T66" s="478" t="str">
        <f>IFERROR(VLOOKUP($S66,'[51]競技情報DB(12,000人ver)'!$A$6:$D$201,2,),"－")</f>
        <v>－</v>
      </c>
      <c r="U66" s="479">
        <f>_xlfn.XLOOKUP(S66,'[51]競技情報DB(12,000人ver)'!$A$6:$A$99,'[51]競技情報DB(12,000人ver)'!$D$6:$D$99,"",0,)</f>
        <v>0</v>
      </c>
      <c r="V66" s="653"/>
      <c r="W66" s="480"/>
      <c r="X66" s="654"/>
      <c r="Y66" s="442"/>
      <c r="Z66" s="652"/>
      <c r="AA66" s="517"/>
      <c r="AB66" s="2952"/>
      <c r="AC66" s="2952"/>
      <c r="AD66" s="2953"/>
      <c r="AE66" s="518"/>
      <c r="AF66" s="445"/>
      <c r="AG66" s="445"/>
      <c r="AH66" s="445"/>
      <c r="AI66" s="445"/>
      <c r="AJ66" s="445"/>
      <c r="AK66" s="445"/>
      <c r="AL66" s="445"/>
      <c r="AM66" s="445"/>
      <c r="AN66" s="445"/>
      <c r="AO66" s="445"/>
      <c r="AP66" s="506"/>
      <c r="AQ66" s="506"/>
      <c r="AR66" s="506"/>
      <c r="AS66" s="506"/>
      <c r="AT66" s="506"/>
      <c r="AU66" s="506"/>
      <c r="AV66" s="506"/>
      <c r="AW66" s="506"/>
      <c r="AX66" s="506"/>
      <c r="AY66" s="506"/>
      <c r="AZ66" s="506"/>
      <c r="BA66" s="506"/>
      <c r="BB66" s="506"/>
      <c r="BC66" s="506"/>
      <c r="BD66" s="506"/>
      <c r="BE66" s="506"/>
      <c r="BF66" s="506"/>
      <c r="BG66" s="506"/>
      <c r="BH66" s="445"/>
      <c r="BI66" s="445"/>
      <c r="BJ66" s="445"/>
      <c r="BK66" s="445"/>
      <c r="BL66" s="445"/>
      <c r="BM66" s="445"/>
      <c r="BN66" s="449"/>
      <c r="BO66" s="573"/>
      <c r="BP66" s="614"/>
      <c r="BQ66" s="615"/>
    </row>
    <row r="67" spans="1:69" ht="46" customHeight="1">
      <c r="A67" s="2862"/>
      <c r="B67" s="2863"/>
      <c r="C67" s="296">
        <f>C65+1</f>
        <v>16</v>
      </c>
      <c r="D67" s="297">
        <f>IF(_xlfn.XLOOKUP(E67,[51]宿泊施設DB!$B$3:$B$206,[51]宿泊施設DB!$A$3:$A$206,"",)=0,"",_xlfn.XLOOKUP(E67,[51]宿泊施設DB!$B$3:$B$206,[51]宿泊施設DB!$A$3:$A$206,"",))</f>
        <v>219</v>
      </c>
      <c r="E67" s="609" t="s">
        <v>2291</v>
      </c>
      <c r="F67" s="2864">
        <f>_xlfn.XLOOKUP($E67,[51]宿泊施設DB!$B$3:$B$206,[51]宿泊施設DB!$D$3:$D$206,"",)</f>
        <v>246</v>
      </c>
      <c r="G67" s="2864">
        <f>_xlfn.XLOOKUP($E67,[51]宿泊施設DB!$B$3:$B$206,[51]宿泊施設DB!$E$3:$E$206,"",)</f>
        <v>247</v>
      </c>
      <c r="H67" s="2865">
        <f>_xlfn.XLOOKUP($E67,[51]宿泊施設DB!$B$3:$B$206,[51]宿泊施設DB!$J$3:$J$206,"",)</f>
        <v>0</v>
      </c>
      <c r="I67" s="2866" t="str">
        <f>_xlfn.XLOOKUP($E67,[51]宿泊施設DB!$B$3:$B$206,[51]宿泊施設DB!$T$3:$T$206,"",)</f>
        <v>高</v>
      </c>
      <c r="J67" s="2866" t="str">
        <f>_xlfn.XLOOKUP($E67,[51]宿泊施設DB!$B$3:$B$206,[51]宿泊施設DB!$R$3:$R$206,"",)</f>
        <v>ケータリング</v>
      </c>
      <c r="K67" s="2865">
        <f>_xlfn.XLOOKUP($E67,[51]宿泊施設DB!$B$3:$B$206,[51]宿泊施設DB!$S$3:$S$206,"",)</f>
        <v>40</v>
      </c>
      <c r="L67" s="2866" t="str">
        <f>_xlfn.XLOOKUP($E67,[51]宿泊施設DB!$B$3:$B$206,[51]宿泊施設DB!$U$3:$U$206,"",)</f>
        <v>－</v>
      </c>
      <c r="M67" s="2866" t="str">
        <f>_xlfn.XLOOKUP($E67,[51]宿泊施設DB!$B$3:$B$206,[51]宿泊施設DB!$V$3:$V$206,"",)</f>
        <v>－</v>
      </c>
      <c r="N67" s="2866" t="str">
        <f>_xlfn.XLOOKUP($E67,[51]宿泊施設DB!$B$3:$B$206,[51]宿泊施設DB!$W$3:$W$206,"",)</f>
        <v>○</v>
      </c>
      <c r="O67" s="2866" t="str">
        <f>_xlfn.XLOOKUP($E67,[51]宿泊施設DB!$B$3:$B$206,[51]宿泊施設DB!$X$3:$X$206,"",)</f>
        <v>路上1台</v>
      </c>
      <c r="P67" s="302" t="str">
        <f t="shared" si="2"/>
        <v>○</v>
      </c>
      <c r="Q67" s="302"/>
      <c r="R67" s="296" t="s">
        <v>2136</v>
      </c>
      <c r="S67" s="486" t="s">
        <v>2292</v>
      </c>
      <c r="T67" s="487" t="str">
        <f>IFERROR(VLOOKUP($S67,'[51]競技情報DB(12,000人ver)'!$A$6:$D$201,2,),"－")</f>
        <v>豊田市</v>
      </c>
      <c r="U67" s="488">
        <f>_xlfn.XLOOKUP(S67,'[51]競技情報DB(12,000人ver)'!$A$6:$A$99,'[51]競技情報DB(12,000人ver)'!$D$6:$D$99,"",0,)</f>
        <v>200</v>
      </c>
      <c r="V67" s="657">
        <f>SUM(U67:U67)</f>
        <v>200</v>
      </c>
      <c r="W67" s="489">
        <v>52.7</v>
      </c>
      <c r="X67" s="490">
        <v>64</v>
      </c>
      <c r="Y67" s="318">
        <f>$G67-MAX(AF67:BN67)</f>
        <v>47</v>
      </c>
      <c r="Z67" s="656">
        <f>+Y67/$G67</f>
        <v>0.19028340080971659</v>
      </c>
      <c r="AA67" s="491" t="str">
        <f>E67&amp;"　"&amp;"合計"</f>
        <v>東横INN三河安城駅新幹線南口２　合計</v>
      </c>
      <c r="AB67" s="2950">
        <v>45549</v>
      </c>
      <c r="AC67" s="2950">
        <v>45566</v>
      </c>
      <c r="AD67" s="2943">
        <v>17</v>
      </c>
      <c r="AE67" s="492" t="s">
        <v>2175</v>
      </c>
      <c r="AF67" s="398">
        <f>+_xlfn.XLOOKUP($AA67,'[51]②配宿シュミレーション(12,000人ver)'!$AO$6:$AO$674,'[51]②配宿シュミレーション(12,000人ver)'!AP$6:AP$674,)</f>
        <v>0</v>
      </c>
      <c r="AG67" s="398">
        <f>+_xlfn.XLOOKUP($AA67,'[51]②配宿シュミレーション(12,000人ver)'!$AO$6:$AO$674,'[51]②配宿シュミレーション(12,000人ver)'!AQ$6:AQ$674,)</f>
        <v>0</v>
      </c>
      <c r="AH67" s="398">
        <f>+_xlfn.XLOOKUP($AA67,'[51]②配宿シュミレーション(12,000人ver)'!$AO$6:$AO$674,'[51]②配宿シュミレーション(12,000人ver)'!AR$6:AR$674,)</f>
        <v>0</v>
      </c>
      <c r="AI67" s="398">
        <f>+_xlfn.XLOOKUP($AA67,'[51]②配宿シュミレーション(12,000人ver)'!$AO$6:$AO$674,'[51]②配宿シュミレーション(12,000人ver)'!AS$6:AS$674,)</f>
        <v>0</v>
      </c>
      <c r="AJ67" s="398">
        <f>+_xlfn.XLOOKUP($AA67,'[51]②配宿シュミレーション(12,000人ver)'!$AO$6:$AO$674,'[51]②配宿シュミレーション(12,000人ver)'!AT$6:AT$674,)</f>
        <v>0</v>
      </c>
      <c r="AK67" s="398">
        <f>+_xlfn.XLOOKUP($AA67,'[51]②配宿シュミレーション(12,000人ver)'!$AO$6:$AO$674,'[51]②配宿シュミレーション(12,000人ver)'!AU$6:AU$674,)</f>
        <v>0</v>
      </c>
      <c r="AL67" s="398">
        <f>+_xlfn.XLOOKUP($AA67,'[51]②配宿シュミレーション(12,000人ver)'!$AO$6:$AO$674,'[51]②配宿シュミレーション(12,000人ver)'!AV$6:AV$674,)</f>
        <v>0</v>
      </c>
      <c r="AM67" s="398">
        <f>+_xlfn.XLOOKUP($AA67,'[51]②配宿シュミレーション(12,000人ver)'!$AO$6:$AO$674,'[51]②配宿シュミレーション(12,000人ver)'!AW$6:AW$674,)</f>
        <v>0</v>
      </c>
      <c r="AN67" s="398">
        <f>+_xlfn.XLOOKUP($AA67,'[51]②配宿シュミレーション(12,000人ver)'!$AO$6:$AO$674,'[51]②配宿シュミレーション(12,000人ver)'!AX$6:AX$674,)</f>
        <v>0</v>
      </c>
      <c r="AO67" s="398">
        <f>+_xlfn.XLOOKUP($AA67,'[51]②配宿シュミレーション(12,000人ver)'!$AO$6:$AO$674,'[51]②配宿シュミレーション(12,000人ver)'!AY$6:AY$674,)</f>
        <v>0</v>
      </c>
      <c r="AP67" s="2880" t="s">
        <v>2447</v>
      </c>
      <c r="AQ67" s="2880" t="s">
        <v>2447</v>
      </c>
      <c r="AR67" s="398">
        <f>+_xlfn.XLOOKUP($AA67,'[51]②配宿シュミレーション(12,000人ver)'!$AO$6:$AO$674,'[51]②配宿シュミレーション(12,000人ver)'!BB$6:BB$674,)</f>
        <v>200</v>
      </c>
      <c r="AS67" s="398">
        <f>+_xlfn.XLOOKUP($AA67,'[51]②配宿シュミレーション(12,000人ver)'!$AO$6:$AO$674,'[51]②配宿シュミレーション(12,000人ver)'!BC$6:BC$674,)</f>
        <v>200</v>
      </c>
      <c r="AT67" s="398">
        <f>+_xlfn.XLOOKUP($AA67,'[51]②配宿シュミレーション(12,000人ver)'!$AO$6:$AO$674,'[51]②配宿シュミレーション(12,000人ver)'!BD$6:BD$674,)</f>
        <v>200</v>
      </c>
      <c r="AU67" s="398">
        <f>+_xlfn.XLOOKUP($AA67,'[51]②配宿シュミレーション(12,000人ver)'!$AO$6:$AO$674,'[51]②配宿シュミレーション(12,000人ver)'!BE$6:BE$674,)</f>
        <v>200</v>
      </c>
      <c r="AV67" s="398">
        <f>+_xlfn.XLOOKUP($AA67,'[51]②配宿シュミレーション(12,000人ver)'!$AO$6:$AO$674,'[51]②配宿シュミレーション(12,000人ver)'!BF$6:BF$674,)</f>
        <v>200</v>
      </c>
      <c r="AW67" s="398">
        <f>+_xlfn.XLOOKUP($AA67,'[51]②配宿シュミレーション(12,000人ver)'!$AO$6:$AO$674,'[51]②配宿シュミレーション(12,000人ver)'!BG$6:BG$674,)</f>
        <v>200</v>
      </c>
      <c r="AX67" s="398">
        <f>+_xlfn.XLOOKUP($AA67,'[51]②配宿シュミレーション(12,000人ver)'!$AO$6:$AO$674,'[51]②配宿シュミレーション(12,000人ver)'!BH$6:BH$674,)</f>
        <v>200</v>
      </c>
      <c r="AY67" s="398">
        <f>+_xlfn.XLOOKUP($AA67,'[51]②配宿シュミレーション(12,000人ver)'!$AO$6:$AO$674,'[51]②配宿シュミレーション(12,000人ver)'!BI$6:BI$674,)</f>
        <v>200</v>
      </c>
      <c r="AZ67" s="398">
        <f>+_xlfn.XLOOKUP($AA67,'[51]②配宿シュミレーション(12,000人ver)'!$AO$6:$AO$674,'[51]②配宿シュミレーション(12,000人ver)'!BJ$6:BJ$674,)</f>
        <v>200</v>
      </c>
      <c r="BA67" s="398">
        <f>+_xlfn.XLOOKUP($AA67,'[51]②配宿シュミレーション(12,000人ver)'!$AO$6:$AO$674,'[51]②配宿シュミレーション(12,000人ver)'!BK$6:BK$674,)</f>
        <v>200</v>
      </c>
      <c r="BB67" s="398">
        <f>+_xlfn.XLOOKUP($AA67,'[51]②配宿シュミレーション(12,000人ver)'!$AO$6:$AO$674,'[51]②配宿シュミレーション(12,000人ver)'!BL$6:BL$674,)</f>
        <v>200</v>
      </c>
      <c r="BC67" s="398">
        <f>+_xlfn.XLOOKUP($AA67,'[51]②配宿シュミレーション(12,000人ver)'!$AO$6:$AO$674,'[51]②配宿シュミレーション(12,000人ver)'!BM$6:BM$674,)</f>
        <v>200</v>
      </c>
      <c r="BD67" s="398">
        <f>+_xlfn.XLOOKUP($AA67,'[51]②配宿シュミレーション(12,000人ver)'!$AO$6:$AO$674,'[51]②配宿シュミレーション(12,000人ver)'!BN$6:BN$674,)</f>
        <v>200</v>
      </c>
      <c r="BE67" s="398">
        <f>+_xlfn.XLOOKUP($AA67,'[51]②配宿シュミレーション(12,000人ver)'!$AO$6:$AO$674,'[51]②配宿シュミレーション(12,000人ver)'!BO$6:BO$674,)</f>
        <v>200</v>
      </c>
      <c r="BF67" s="398">
        <f>+_xlfn.XLOOKUP($AA67,'[51]②配宿シュミレーション(12,000人ver)'!$AO$6:$AO$674,'[51]②配宿シュミレーション(12,000人ver)'!BP$6:BP$674,)</f>
        <v>200</v>
      </c>
      <c r="BG67" s="2881" t="s">
        <v>2448</v>
      </c>
      <c r="BH67" s="398">
        <f>+_xlfn.XLOOKUP($AA67,'[51]②配宿シュミレーション(12,000人ver)'!$AO$6:$AO$674,'[51]②配宿シュミレーション(12,000人ver)'!BR$6:BR$674,)</f>
        <v>0</v>
      </c>
      <c r="BI67" s="398">
        <f>+_xlfn.XLOOKUP($AA67,'[51]②配宿シュミレーション(12,000人ver)'!$AO$6:$AO$674,'[51]②配宿シュミレーション(12,000人ver)'!BS$6:BS$674,)</f>
        <v>0</v>
      </c>
      <c r="BJ67" s="398">
        <f>+_xlfn.XLOOKUP($AA67,'[51]②配宿シュミレーション(12,000人ver)'!$AO$6:$AO$674,'[51]②配宿シュミレーション(12,000人ver)'!BT$6:BT$674,)</f>
        <v>0</v>
      </c>
      <c r="BK67" s="398">
        <f>+_xlfn.XLOOKUP($AA67,'[51]②配宿シュミレーション(12,000人ver)'!$AO$6:$AO$674,'[51]②配宿シュミレーション(12,000人ver)'!BU$6:BU$674,)</f>
        <v>0</v>
      </c>
      <c r="BL67" s="398">
        <f>+_xlfn.XLOOKUP($AA67,'[51]②配宿シュミレーション(12,000人ver)'!$AO$6:$AO$674,'[51]②配宿シュミレーション(12,000人ver)'!BV$6:BV$674,)</f>
        <v>0</v>
      </c>
      <c r="BM67" s="398">
        <f>+_xlfn.XLOOKUP($AA67,'[51]②配宿シュミレーション(12,000人ver)'!$AO$6:$AO$674,'[51]②配宿シュミレーション(12,000人ver)'!BW$6:BW$674,)</f>
        <v>0</v>
      </c>
      <c r="BN67" s="472">
        <f>+_xlfn.XLOOKUP($AA67,'[51]②配宿シュミレーション(12,000人ver)'!$AO$6:$AO$674,'[51]②配宿シュミレーション(12,000人ver)'!BX$6:BX$674,)</f>
        <v>0</v>
      </c>
      <c r="BO67" s="573"/>
      <c r="BP67" s="610"/>
      <c r="BQ67" s="611"/>
    </row>
    <row r="68" spans="1:69" s="521" customFormat="1" ht="46" customHeight="1" thickBot="1">
      <c r="A68" s="2862"/>
      <c r="B68" s="2863"/>
      <c r="C68" s="296"/>
      <c r="D68" s="297" t="str">
        <f>IF(_xlfn.XLOOKUP(E68,[51]宿泊施設DB!$B$3:$B$206,[51]宿泊施設DB!$A$3:$A$206,"",)=0,"",_xlfn.XLOOKUP(E68,[51]宿泊施設DB!$B$3:$B$206,[51]宿泊施設DB!$A$3:$A$206,"",))</f>
        <v/>
      </c>
      <c r="E68" s="609"/>
      <c r="F68" s="2864">
        <f>_xlfn.XLOOKUP($E68,[51]宿泊施設DB!$B$3:$B$206,[51]宿泊施設DB!$D$3:$D$206,"",)</f>
        <v>0</v>
      </c>
      <c r="G68" s="2864">
        <f>_xlfn.XLOOKUP($E68,[51]宿泊施設DB!$B$3:$B$206,[51]宿泊施設DB!$E$3:$E$206,"",)</f>
        <v>0</v>
      </c>
      <c r="H68" s="2865">
        <f>_xlfn.XLOOKUP($E68,[51]宿泊施設DB!$B$3:$B$206,[51]宿泊施設DB!$J$3:$J$206,"",)</f>
        <v>0</v>
      </c>
      <c r="I68" s="2866">
        <f>_xlfn.XLOOKUP($E68,[51]宿泊施設DB!$B$3:$B$206,[51]宿泊施設DB!$T$3:$T$206,"",)</f>
        <v>0</v>
      </c>
      <c r="J68" s="2866" t="s">
        <v>2294</v>
      </c>
      <c r="K68" s="2865">
        <f>_xlfn.XLOOKUP($E68,[51]宿泊施設DB!$B$3:$B$206,[51]宿泊施設DB!$S$3:$S$206,"",)</f>
        <v>0</v>
      </c>
      <c r="L68" s="2866">
        <f>_xlfn.XLOOKUP($E68,[51]宿泊施設DB!$B$3:$B$206,[51]宿泊施設DB!$U$3:$U$206,"",)</f>
        <v>0</v>
      </c>
      <c r="M68" s="2866">
        <f>_xlfn.XLOOKUP($E68,[51]宿泊施設DB!$B$3:$B$206,[51]宿泊施設DB!$V$3:$V$206,"",)</f>
        <v>0</v>
      </c>
      <c r="N68" s="2866">
        <f>_xlfn.XLOOKUP($E68,[51]宿泊施設DB!$B$3:$B$206,[51]宿泊施設DB!$W$3:$W$206,"",)</f>
        <v>0</v>
      </c>
      <c r="O68" s="2866">
        <f>_xlfn.XLOOKUP($E68,[51]宿泊施設DB!$B$3:$B$206,[51]宿泊施設DB!$X$3:$X$206,"",)</f>
        <v>0</v>
      </c>
      <c r="P68" s="302" t="str">
        <f t="shared" si="2"/>
        <v/>
      </c>
      <c r="Q68" s="302"/>
      <c r="R68" s="296"/>
      <c r="S68" s="486"/>
      <c r="T68" s="487" t="str">
        <f>IFERROR(VLOOKUP($S68,'[51]競技情報DB(12,000人ver)'!$A$6:$D$201,2,),"－")</f>
        <v>－</v>
      </c>
      <c r="U68" s="488">
        <f>_xlfn.XLOOKUP(S68,'[51]競技情報DB(12,000人ver)'!$A$6:$A$99,'[51]競技情報DB(12,000人ver)'!$D$6:$D$99,"",0,)</f>
        <v>0</v>
      </c>
      <c r="V68" s="657"/>
      <c r="W68" s="480"/>
      <c r="X68" s="654"/>
      <c r="Y68" s="442"/>
      <c r="Z68" s="656"/>
      <c r="AA68" s="319"/>
      <c r="AB68" s="2944"/>
      <c r="AC68" s="2944"/>
      <c r="AD68" s="2945"/>
      <c r="AE68" s="320"/>
      <c r="AF68" s="445"/>
      <c r="AG68" s="445"/>
      <c r="AH68" s="445"/>
      <c r="AI68" s="445"/>
      <c r="AJ68" s="445"/>
      <c r="AK68" s="445"/>
      <c r="AL68" s="445"/>
      <c r="AM68" s="445"/>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445"/>
      <c r="BJ68" s="445"/>
      <c r="BK68" s="445"/>
      <c r="BL68" s="445"/>
      <c r="BM68" s="445"/>
      <c r="BN68" s="449"/>
      <c r="BO68" s="573"/>
      <c r="BP68" s="610"/>
      <c r="BQ68" s="611"/>
    </row>
    <row r="69" spans="1:69" ht="46" customHeight="1">
      <c r="A69" s="2862"/>
      <c r="B69" s="2863"/>
      <c r="C69" s="372">
        <f>C67+1</f>
        <v>17</v>
      </c>
      <c r="D69" s="2871">
        <f>IF(_xlfn.XLOOKUP(E69,[51]宿泊施設DB!$B$3:$B$206,[51]宿泊施設DB!$A$3:$A$206,"",)=0,"",_xlfn.XLOOKUP(E69,[51]宿泊施設DB!$B$3:$B$206,[51]宿泊施設DB!$A$3:$A$206,"",))</f>
        <v>220</v>
      </c>
      <c r="E69" s="572" t="s">
        <v>2295</v>
      </c>
      <c r="F69" s="2872">
        <f>_xlfn.XLOOKUP($E69,[51]宿泊施設DB!$B$3:$B$206,[51]宿泊施設DB!$D$3:$D$206,"",)</f>
        <v>143</v>
      </c>
      <c r="G69" s="2872">
        <f>_xlfn.XLOOKUP($E69,[51]宿泊施設DB!$B$3:$B$206,[51]宿泊施設DB!$E$3:$E$206,"",)</f>
        <v>144</v>
      </c>
      <c r="H69" s="2873">
        <f>_xlfn.XLOOKUP($E69,[51]宿泊施設DB!$B$3:$B$206,[51]宿泊施設DB!$J$3:$J$206,"",)</f>
        <v>0</v>
      </c>
      <c r="I69" s="2874" t="str">
        <f>_xlfn.XLOOKUP($E69,[51]宿泊施設DB!$B$3:$B$206,[51]宿泊施設DB!$T$3:$T$206,"",)</f>
        <v>高</v>
      </c>
      <c r="J69" s="2874" t="str">
        <f>_xlfn.XLOOKUP($E69,[51]宿泊施設DB!$B$3:$B$206,[51]宿泊施設DB!$R$3:$R$206,"",)</f>
        <v>ケータリング</v>
      </c>
      <c r="K69" s="2873">
        <f>_xlfn.XLOOKUP($E69,[51]宿泊施設DB!$B$3:$B$206,[51]宿泊施設DB!$S$3:$S$206,"",)</f>
        <v>16</v>
      </c>
      <c r="L69" s="2874" t="str">
        <f>_xlfn.XLOOKUP($E69,[51]宿泊施設DB!$B$3:$B$206,[51]宿泊施設DB!$U$3:$U$206,"",)</f>
        <v>－</v>
      </c>
      <c r="M69" s="2874" t="str">
        <f>_xlfn.XLOOKUP($E69,[51]宿泊施設DB!$B$3:$B$206,[51]宿泊施設DB!$V$3:$V$206,"",)</f>
        <v>－</v>
      </c>
      <c r="N69" s="2874" t="str">
        <f>_xlfn.XLOOKUP($E69,[51]宿泊施設DB!$B$3:$B$206,[51]宿泊施設DB!$W$3:$W$206,"",)</f>
        <v>○</v>
      </c>
      <c r="O69" s="2874" t="str">
        <f>_xlfn.XLOOKUP($E69,[51]宿泊施設DB!$B$3:$B$206,[51]宿泊施設DB!$X$3:$X$206,"",)</f>
        <v>路上1台</v>
      </c>
      <c r="P69" s="377" t="str">
        <f t="shared" si="2"/>
        <v>○</v>
      </c>
      <c r="Q69" s="377"/>
      <c r="R69" s="372" t="s">
        <v>2169</v>
      </c>
      <c r="S69" s="539" t="s">
        <v>2296</v>
      </c>
      <c r="T69" s="540" t="str">
        <f>IFERROR(VLOOKUP($S69,'[51]競技情報DB(12,000人ver)'!$A$6:$D$201,2,),"－")</f>
        <v>豊田市</v>
      </c>
      <c r="U69" s="541">
        <f>_xlfn.XLOOKUP(S69,'[51]競技情報DB(12,000人ver)'!$A$6:$A$99,'[51]競技情報DB(12,000人ver)'!$D$6:$D$99,"",0,)</f>
        <v>70</v>
      </c>
      <c r="V69" s="648">
        <f>SUM(U69:U69)</f>
        <v>70</v>
      </c>
      <c r="W69" s="661">
        <v>52.6</v>
      </c>
      <c r="X69" s="490">
        <v>64</v>
      </c>
      <c r="Y69" s="318">
        <f>$G69-MAX(AF69:BN69)</f>
        <v>74</v>
      </c>
      <c r="Z69" s="647">
        <f>+Y69/$G69</f>
        <v>0.51388888888888884</v>
      </c>
      <c r="AA69" s="515" t="str">
        <f>E69&amp;"　"&amp;"合計"</f>
        <v>東横INN三河安城駅新幹線南口１　合計</v>
      </c>
      <c r="AB69" s="2951">
        <v>45549</v>
      </c>
      <c r="AC69" s="2951">
        <v>45566</v>
      </c>
      <c r="AD69" s="2943">
        <v>17</v>
      </c>
      <c r="AE69" s="396" t="s">
        <v>2175</v>
      </c>
      <c r="AF69" s="398">
        <f>+_xlfn.XLOOKUP($AA69,'[51]②配宿シュミレーション(12,000人ver)'!$AO$6:$AO$674,'[51]②配宿シュミレーション(12,000人ver)'!AP$6:AP$674,)</f>
        <v>0</v>
      </c>
      <c r="AG69" s="398">
        <f>+_xlfn.XLOOKUP($AA69,'[51]②配宿シュミレーション(12,000人ver)'!$AO$6:$AO$674,'[51]②配宿シュミレーション(12,000人ver)'!AQ$6:AQ$674,)</f>
        <v>0</v>
      </c>
      <c r="AH69" s="398">
        <f>+_xlfn.XLOOKUP($AA69,'[51]②配宿シュミレーション(12,000人ver)'!$AO$6:$AO$674,'[51]②配宿シュミレーション(12,000人ver)'!AR$6:AR$674,)</f>
        <v>0</v>
      </c>
      <c r="AI69" s="398">
        <f>+_xlfn.XLOOKUP($AA69,'[51]②配宿シュミレーション(12,000人ver)'!$AO$6:$AO$674,'[51]②配宿シュミレーション(12,000人ver)'!AS$6:AS$674,)</f>
        <v>0</v>
      </c>
      <c r="AJ69" s="398">
        <f>+_xlfn.XLOOKUP($AA69,'[51]②配宿シュミレーション(12,000人ver)'!$AO$6:$AO$674,'[51]②配宿シュミレーション(12,000人ver)'!AT$6:AT$674,)</f>
        <v>0</v>
      </c>
      <c r="AK69" s="398">
        <f>+_xlfn.XLOOKUP($AA69,'[51]②配宿シュミレーション(12,000人ver)'!$AO$6:$AO$674,'[51]②配宿シュミレーション(12,000人ver)'!AU$6:AU$674,)</f>
        <v>0</v>
      </c>
      <c r="AL69" s="398">
        <f>+_xlfn.XLOOKUP($AA69,'[51]②配宿シュミレーション(12,000人ver)'!$AO$6:$AO$674,'[51]②配宿シュミレーション(12,000人ver)'!AV$6:AV$674,)</f>
        <v>0</v>
      </c>
      <c r="AM69" s="398">
        <f>+_xlfn.XLOOKUP($AA69,'[51]②配宿シュミレーション(12,000人ver)'!$AO$6:$AO$674,'[51]②配宿シュミレーション(12,000人ver)'!AW$6:AW$674,)</f>
        <v>0</v>
      </c>
      <c r="AN69" s="398">
        <f>+_xlfn.XLOOKUP($AA69,'[51]②配宿シュミレーション(12,000人ver)'!$AO$6:$AO$674,'[51]②配宿シュミレーション(12,000人ver)'!AX$6:AX$674,)</f>
        <v>0</v>
      </c>
      <c r="AO69" s="398">
        <f>+_xlfn.XLOOKUP($AA69,'[51]②配宿シュミレーション(12,000人ver)'!$AO$6:$AO$674,'[51]②配宿シュミレーション(12,000人ver)'!AY$6:AY$674,)</f>
        <v>0</v>
      </c>
      <c r="AP69" s="2860" t="s">
        <v>2447</v>
      </c>
      <c r="AQ69" s="2860" t="s">
        <v>2447</v>
      </c>
      <c r="AR69" s="2879">
        <f>+_xlfn.XLOOKUP($AA69,'[51]②配宿シュミレーション(12,000人ver)'!$AO$6:$AO$674,'[51]②配宿シュミレーション(12,000人ver)'!BB$6:BB$674,)</f>
        <v>70</v>
      </c>
      <c r="AS69" s="2879">
        <f>+_xlfn.XLOOKUP($AA69,'[51]②配宿シュミレーション(12,000人ver)'!$AO$6:$AO$674,'[51]②配宿シュミレーション(12,000人ver)'!BC$6:BC$674,)</f>
        <v>70</v>
      </c>
      <c r="AT69" s="2879">
        <f>+_xlfn.XLOOKUP($AA69,'[51]②配宿シュミレーション(12,000人ver)'!$AO$6:$AO$674,'[51]②配宿シュミレーション(12,000人ver)'!BD$6:BD$674,)</f>
        <v>70</v>
      </c>
      <c r="AU69" s="2879">
        <f>+_xlfn.XLOOKUP($AA69,'[51]②配宿シュミレーション(12,000人ver)'!$AO$6:$AO$674,'[51]②配宿シュミレーション(12,000人ver)'!BE$6:BE$674,)</f>
        <v>70</v>
      </c>
      <c r="AV69" s="2879">
        <f>+_xlfn.XLOOKUP($AA69,'[51]②配宿シュミレーション(12,000人ver)'!$AO$6:$AO$674,'[51]②配宿シュミレーション(12,000人ver)'!BF$6:BF$674,)</f>
        <v>70</v>
      </c>
      <c r="AW69" s="2879">
        <f>+_xlfn.XLOOKUP($AA69,'[51]②配宿シュミレーション(12,000人ver)'!$AO$6:$AO$674,'[51]②配宿シュミレーション(12,000人ver)'!BG$6:BG$674,)</f>
        <v>70</v>
      </c>
      <c r="AX69" s="2879">
        <f>+_xlfn.XLOOKUP($AA69,'[51]②配宿シュミレーション(12,000人ver)'!$AO$6:$AO$674,'[51]②配宿シュミレーション(12,000人ver)'!BH$6:BH$674,)</f>
        <v>70</v>
      </c>
      <c r="AY69" s="2879">
        <f>+_xlfn.XLOOKUP($AA69,'[51]②配宿シュミレーション(12,000人ver)'!$AO$6:$AO$674,'[51]②配宿シュミレーション(12,000人ver)'!BI$6:BI$674,)</f>
        <v>70</v>
      </c>
      <c r="AZ69" s="2879">
        <f>+_xlfn.XLOOKUP($AA69,'[51]②配宿シュミレーション(12,000人ver)'!$AO$6:$AO$674,'[51]②配宿シュミレーション(12,000人ver)'!BJ$6:BJ$674,)</f>
        <v>70</v>
      </c>
      <c r="BA69" s="2879">
        <f>+_xlfn.XLOOKUP($AA69,'[51]②配宿シュミレーション(12,000人ver)'!$AO$6:$AO$674,'[51]②配宿シュミレーション(12,000人ver)'!BK$6:BK$674,)</f>
        <v>70</v>
      </c>
      <c r="BB69" s="2879">
        <f>+_xlfn.XLOOKUP($AA69,'[51]②配宿シュミレーション(12,000人ver)'!$AO$6:$AO$674,'[51]②配宿シュミレーション(12,000人ver)'!BL$6:BL$674,)</f>
        <v>70</v>
      </c>
      <c r="BC69" s="2879">
        <f>+_xlfn.XLOOKUP($AA69,'[51]②配宿シュミレーション(12,000人ver)'!$AO$6:$AO$674,'[51]②配宿シュミレーション(12,000人ver)'!BM$6:BM$674,)</f>
        <v>70</v>
      </c>
      <c r="BD69" s="2879">
        <f>+_xlfn.XLOOKUP($AA69,'[51]②配宿シュミレーション(12,000人ver)'!$AO$6:$AO$674,'[51]②配宿シュミレーション(12,000人ver)'!BN$6:BN$674,)</f>
        <v>70</v>
      </c>
      <c r="BE69" s="2879">
        <f>+_xlfn.XLOOKUP($AA69,'[51]②配宿シュミレーション(12,000人ver)'!$AO$6:$AO$674,'[51]②配宿シュミレーション(12,000人ver)'!BO$6:BO$674,)</f>
        <v>70</v>
      </c>
      <c r="BF69" s="2879">
        <f>+_xlfn.XLOOKUP($AA69,'[51]②配宿シュミレーション(12,000人ver)'!$AO$6:$AO$674,'[51]②配宿シュミレーション(12,000人ver)'!BP$6:BP$674,)</f>
        <v>70</v>
      </c>
      <c r="BG69" s="2861" t="s">
        <v>2448</v>
      </c>
      <c r="BH69" s="398">
        <f>+_xlfn.XLOOKUP($AA69,'[51]②配宿シュミレーション(12,000人ver)'!$AO$6:$AO$674,'[51]②配宿シュミレーション(12,000人ver)'!BR$6:BR$674,)</f>
        <v>0</v>
      </c>
      <c r="BI69" s="398">
        <f>+_xlfn.XLOOKUP($AA69,'[51]②配宿シュミレーション(12,000人ver)'!$AO$6:$AO$674,'[51]②配宿シュミレーション(12,000人ver)'!BS$6:BS$674,)</f>
        <v>0</v>
      </c>
      <c r="BJ69" s="398">
        <f>+_xlfn.XLOOKUP($AA69,'[51]②配宿シュミレーション(12,000人ver)'!$AO$6:$AO$674,'[51]②配宿シュミレーション(12,000人ver)'!BT$6:BT$674,)</f>
        <v>0</v>
      </c>
      <c r="BK69" s="398">
        <f>+_xlfn.XLOOKUP($AA69,'[51]②配宿シュミレーション(12,000人ver)'!$AO$6:$AO$674,'[51]②配宿シュミレーション(12,000人ver)'!BU$6:BU$674,)</f>
        <v>0</v>
      </c>
      <c r="BL69" s="398">
        <f>+_xlfn.XLOOKUP($AA69,'[51]②配宿シュミレーション(12,000人ver)'!$AO$6:$AO$674,'[51]②配宿シュミレーション(12,000人ver)'!BV$6:BV$674,)</f>
        <v>0</v>
      </c>
      <c r="BM69" s="398">
        <f>+_xlfn.XLOOKUP($AA69,'[51]②配宿シュミレーション(12,000人ver)'!$AO$6:$AO$674,'[51]②配宿シュミレーション(12,000人ver)'!BW$6:BW$674,)</f>
        <v>0</v>
      </c>
      <c r="BN69" s="472">
        <f>+_xlfn.XLOOKUP($AA69,'[51]②配宿シュミレーション(12,000人ver)'!$AO$6:$AO$674,'[51]②配宿シュミレーション(12,000人ver)'!BX$6:BX$674,)</f>
        <v>0</v>
      </c>
      <c r="BO69" s="573"/>
      <c r="BP69" s="574"/>
      <c r="BQ69" s="575"/>
    </row>
    <row r="70" spans="1:69" s="521" customFormat="1" ht="46" customHeight="1" thickBot="1">
      <c r="A70" s="2862"/>
      <c r="B70" s="2863"/>
      <c r="C70" s="420"/>
      <c r="D70" s="421" t="str">
        <f>IF(_xlfn.XLOOKUP(E70,[51]宿泊施設DB!$B$3:$B$206,[51]宿泊施設DB!$A$3:$A$206,"",)=0,"",_xlfn.XLOOKUP(E70,[51]宿泊施設DB!$B$3:$B$206,[51]宿泊施設DB!$A$3:$A$206,"",))</f>
        <v/>
      </c>
      <c r="E70" s="612"/>
      <c r="F70" s="2875">
        <f>_xlfn.XLOOKUP($E70,[51]宿泊施設DB!$B$3:$B$206,[51]宿泊施設DB!$D$3:$D$206,"",)</f>
        <v>0</v>
      </c>
      <c r="G70" s="2875">
        <f>_xlfn.XLOOKUP($E70,[51]宿泊施設DB!$B$3:$B$206,[51]宿泊施設DB!$E$3:$E$206,"",)</f>
        <v>0</v>
      </c>
      <c r="H70" s="2877">
        <f>_xlfn.XLOOKUP($E70,[51]宿泊施設DB!$B$3:$B$206,[51]宿泊施設DB!$J$3:$J$206,"",)</f>
        <v>0</v>
      </c>
      <c r="I70" s="2878">
        <f>_xlfn.XLOOKUP($E70,[51]宿泊施設DB!$B$3:$B$206,[51]宿泊施設DB!$T$3:$T$206,"",)</f>
        <v>0</v>
      </c>
      <c r="J70" s="2878" t="s">
        <v>2294</v>
      </c>
      <c r="K70" s="2877">
        <f>_xlfn.XLOOKUP($E70,[51]宿泊施設DB!$B$3:$B$206,[51]宿泊施設DB!$S$3:$S$206,"",)</f>
        <v>0</v>
      </c>
      <c r="L70" s="2878">
        <f>_xlfn.XLOOKUP($E70,[51]宿泊施設DB!$B$3:$B$206,[51]宿泊施設DB!$U$3:$U$206,"",)</f>
        <v>0</v>
      </c>
      <c r="M70" s="2878">
        <f>_xlfn.XLOOKUP($E70,[51]宿泊施設DB!$B$3:$B$206,[51]宿泊施設DB!$V$3:$V$206,"",)</f>
        <v>0</v>
      </c>
      <c r="N70" s="2878">
        <f>_xlfn.XLOOKUP($E70,[51]宿泊施設DB!$B$3:$B$206,[51]宿泊施設DB!$W$3:$W$206,"",)</f>
        <v>0</v>
      </c>
      <c r="O70" s="2878">
        <f>_xlfn.XLOOKUP($E70,[51]宿泊施設DB!$B$3:$B$206,[51]宿泊施設DB!$X$3:$X$206,"",)</f>
        <v>0</v>
      </c>
      <c r="P70" s="426" t="str">
        <f t="shared" si="2"/>
        <v/>
      </c>
      <c r="Q70" s="426"/>
      <c r="R70" s="420"/>
      <c r="S70" s="477"/>
      <c r="T70" s="478" t="str">
        <f>IFERROR(VLOOKUP($S70,'[51]競技情報DB(12,000人ver)'!$A$6:$D$201,2,),"－")</f>
        <v>－</v>
      </c>
      <c r="U70" s="479">
        <f>_xlfn.XLOOKUP(S70,'[51]競技情報DB(12,000人ver)'!$A$6:$A$99,'[51]競技情報DB(12,000人ver)'!$D$6:$D$99,"",0,)</f>
        <v>0</v>
      </c>
      <c r="V70" s="653"/>
      <c r="W70" s="480"/>
      <c r="X70" s="481"/>
      <c r="Y70" s="442"/>
      <c r="Z70" s="652"/>
      <c r="AA70" s="517"/>
      <c r="AB70" s="2952"/>
      <c r="AC70" s="2952"/>
      <c r="AD70" s="2953"/>
      <c r="AE70" s="518"/>
      <c r="AF70" s="445"/>
      <c r="AG70" s="445"/>
      <c r="AH70" s="445"/>
      <c r="AI70" s="445"/>
      <c r="AJ70" s="445"/>
      <c r="AK70" s="445"/>
      <c r="AL70" s="445"/>
      <c r="AM70" s="445"/>
      <c r="AN70" s="445"/>
      <c r="AO70" s="445"/>
      <c r="AP70" s="506"/>
      <c r="AQ70" s="506"/>
      <c r="AR70" s="506"/>
      <c r="AS70" s="506"/>
      <c r="AT70" s="506"/>
      <c r="AU70" s="506"/>
      <c r="AV70" s="506"/>
      <c r="AW70" s="506"/>
      <c r="AX70" s="506"/>
      <c r="AY70" s="506"/>
      <c r="AZ70" s="506"/>
      <c r="BA70" s="506"/>
      <c r="BB70" s="506"/>
      <c r="BC70" s="506"/>
      <c r="BD70" s="506"/>
      <c r="BE70" s="506"/>
      <c r="BF70" s="506"/>
      <c r="BG70" s="506"/>
      <c r="BH70" s="445"/>
      <c r="BI70" s="445"/>
      <c r="BJ70" s="445"/>
      <c r="BK70" s="445"/>
      <c r="BL70" s="445"/>
      <c r="BM70" s="445"/>
      <c r="BN70" s="449"/>
      <c r="BO70" s="573"/>
      <c r="BP70" s="614"/>
      <c r="BQ70" s="615"/>
    </row>
    <row r="71" spans="1:69" ht="46" customHeight="1">
      <c r="A71" s="2862"/>
      <c r="B71" s="2863"/>
      <c r="C71" s="296">
        <f>C69+1</f>
        <v>18</v>
      </c>
      <c r="D71" s="3227">
        <v>222</v>
      </c>
      <c r="E71" s="2974" t="s">
        <v>2298</v>
      </c>
      <c r="F71" s="2864">
        <f>_xlfn.XLOOKUP($E71,[51]宿泊施設DB!$B$3:$B$206,[51]宿泊施設DB!$D$3:$D$206,"",)</f>
        <v>128</v>
      </c>
      <c r="G71" s="2864">
        <f>_xlfn.XLOOKUP($E71,[51]宿泊施設DB!$B$3:$B$206,[51]宿泊施設DB!$E$3:$E$206,"",)</f>
        <v>142</v>
      </c>
      <c r="H71" s="2865">
        <f>_xlfn.XLOOKUP($E71,[51]宿泊施設DB!$B$3:$B$206,[51]宿泊施設DB!$J$3:$J$206,"",)</f>
        <v>0</v>
      </c>
      <c r="I71" s="2866" t="str">
        <f>_xlfn.XLOOKUP($E71,[51]宿泊施設DB!$B$3:$B$206,[51]宿泊施設DB!$T$3:$T$206,"",)</f>
        <v>調査中</v>
      </c>
      <c r="J71" s="2866" t="str">
        <f>_xlfn.XLOOKUP($E71,[51]宿泊施設DB!$B$3:$B$206,[51]宿泊施設DB!$R$3:$R$206,"",)</f>
        <v>ケータリング</v>
      </c>
      <c r="K71" s="2865">
        <f>_xlfn.XLOOKUP($E71,[51]宿泊施設DB!$B$3:$B$206,[51]宿泊施設DB!$S$3:$S$206,"",)</f>
        <v>40</v>
      </c>
      <c r="L71" s="2866" t="str">
        <f>_xlfn.XLOOKUP($E71,[51]宿泊施設DB!$B$3:$B$206,[51]宿泊施設DB!$U$3:$U$206,"",)</f>
        <v>－</v>
      </c>
      <c r="M71" s="2866" t="str">
        <f>_xlfn.XLOOKUP($E71,[51]宿泊施設DB!$B$3:$B$206,[51]宿泊施設DB!$V$3:$V$206,"",)</f>
        <v>○</v>
      </c>
      <c r="N71" s="2866" t="str">
        <f>_xlfn.XLOOKUP($E71,[51]宿泊施設DB!$B$3:$B$206,[51]宿泊施設DB!$W$3:$W$206,"",)</f>
        <v>○</v>
      </c>
      <c r="O71" s="2866" t="str">
        <f>_xlfn.XLOOKUP($E71,[51]宿泊施設DB!$B$3:$B$206,[51]宿泊施設DB!$X$3:$X$206,"",)</f>
        <v>専用乗降場所（屋根無）1台</v>
      </c>
      <c r="P71" s="302" t="str">
        <f t="shared" si="2"/>
        <v>○</v>
      </c>
      <c r="Q71" s="302"/>
      <c r="R71" s="296" t="s">
        <v>2136</v>
      </c>
      <c r="S71" s="486" t="s">
        <v>2300</v>
      </c>
      <c r="T71" s="487" t="str">
        <f>IFERROR(VLOOKUP($S71,'[51]競技情報DB(12,000人ver)'!$A$6:$D$201,2,),"－")</f>
        <v>豊田市</v>
      </c>
      <c r="U71" s="488">
        <f>_xlfn.XLOOKUP(S71,'[51]競技情報DB(12,000人ver)'!$A$6:$A$99,'[51]競技情報DB(12,000人ver)'!$D$6:$D$99,"",0,)</f>
        <v>112</v>
      </c>
      <c r="V71" s="657">
        <f>SUM(U71:U71)</f>
        <v>112</v>
      </c>
      <c r="W71" s="542">
        <v>51.4</v>
      </c>
      <c r="X71" s="571">
        <v>61</v>
      </c>
      <c r="Y71" s="318">
        <f>$G71-MAX(AF71:BN71)</f>
        <v>30</v>
      </c>
      <c r="Z71" s="656">
        <f>+Y71/$G71</f>
        <v>0.21126760563380281</v>
      </c>
      <c r="AA71" s="491" t="str">
        <f>E71&amp;"　"&amp;"合計"</f>
        <v>天然温泉　三州の湯　ドーミーイン　EXPRESS　三河安城　合計</v>
      </c>
      <c r="AB71" s="2950">
        <v>45549</v>
      </c>
      <c r="AC71" s="2950">
        <v>45566</v>
      </c>
      <c r="AD71" s="2943">
        <v>17</v>
      </c>
      <c r="AE71" s="492" t="s">
        <v>2175</v>
      </c>
      <c r="AF71" s="398">
        <f>+_xlfn.XLOOKUP($AA71,'[51]②配宿シュミレーション(12,000人ver)'!$AO$6:$AO$674,'[51]②配宿シュミレーション(12,000人ver)'!AP$6:AP$674,)</f>
        <v>0</v>
      </c>
      <c r="AG71" s="398">
        <f>+_xlfn.XLOOKUP($AA71,'[51]②配宿シュミレーション(12,000人ver)'!$AO$6:$AO$674,'[51]②配宿シュミレーション(12,000人ver)'!AQ$6:AQ$674,)</f>
        <v>0</v>
      </c>
      <c r="AH71" s="398">
        <f>+_xlfn.XLOOKUP($AA71,'[51]②配宿シュミレーション(12,000人ver)'!$AO$6:$AO$674,'[51]②配宿シュミレーション(12,000人ver)'!AR$6:AR$674,)</f>
        <v>0</v>
      </c>
      <c r="AI71" s="398">
        <f>+_xlfn.XLOOKUP($AA71,'[51]②配宿シュミレーション(12,000人ver)'!$AO$6:$AO$674,'[51]②配宿シュミレーション(12,000人ver)'!AS$6:AS$674,)</f>
        <v>0</v>
      </c>
      <c r="AJ71" s="398">
        <f>+_xlfn.XLOOKUP($AA71,'[51]②配宿シュミレーション(12,000人ver)'!$AO$6:$AO$674,'[51]②配宿シュミレーション(12,000人ver)'!AT$6:AT$674,)</f>
        <v>0</v>
      </c>
      <c r="AK71" s="398">
        <f>+_xlfn.XLOOKUP($AA71,'[51]②配宿シュミレーション(12,000人ver)'!$AO$6:$AO$674,'[51]②配宿シュミレーション(12,000人ver)'!AU$6:AU$674,)</f>
        <v>0</v>
      </c>
      <c r="AL71" s="398">
        <f>+_xlfn.XLOOKUP($AA71,'[51]②配宿シュミレーション(12,000人ver)'!$AO$6:$AO$674,'[51]②配宿シュミレーション(12,000人ver)'!AV$6:AV$674,)</f>
        <v>0</v>
      </c>
      <c r="AM71" s="398">
        <f>+_xlfn.XLOOKUP($AA71,'[51]②配宿シュミレーション(12,000人ver)'!$AO$6:$AO$674,'[51]②配宿シュミレーション(12,000人ver)'!AW$6:AW$674,)</f>
        <v>0</v>
      </c>
      <c r="AN71" s="398">
        <f>+_xlfn.XLOOKUP($AA71,'[51]②配宿シュミレーション(12,000人ver)'!$AO$6:$AO$674,'[51]②配宿シュミレーション(12,000人ver)'!AX$6:AX$674,)</f>
        <v>0</v>
      </c>
      <c r="AO71" s="398">
        <f>+_xlfn.XLOOKUP($AA71,'[51]②配宿シュミレーション(12,000人ver)'!$AO$6:$AO$674,'[51]②配宿シュミレーション(12,000人ver)'!AY$6:AY$674,)</f>
        <v>0</v>
      </c>
      <c r="AP71" s="2880" t="s">
        <v>2447</v>
      </c>
      <c r="AQ71" s="2880" t="s">
        <v>2447</v>
      </c>
      <c r="AR71" s="398">
        <f>+_xlfn.XLOOKUP($AA71,'[51]②配宿シュミレーション(12,000人ver)'!$AO$6:$AO$674,'[51]②配宿シュミレーション(12,000人ver)'!BB$6:BB$674,)</f>
        <v>112</v>
      </c>
      <c r="AS71" s="398">
        <f>+_xlfn.XLOOKUP($AA71,'[51]②配宿シュミレーション(12,000人ver)'!$AO$6:$AO$674,'[51]②配宿シュミレーション(12,000人ver)'!BC$6:BC$674,)</f>
        <v>112</v>
      </c>
      <c r="AT71" s="398">
        <f>+_xlfn.XLOOKUP($AA71,'[51]②配宿シュミレーション(12,000人ver)'!$AO$6:$AO$674,'[51]②配宿シュミレーション(12,000人ver)'!BD$6:BD$674,)</f>
        <v>112</v>
      </c>
      <c r="AU71" s="398">
        <f>+_xlfn.XLOOKUP($AA71,'[51]②配宿シュミレーション(12,000人ver)'!$AO$6:$AO$674,'[51]②配宿シュミレーション(12,000人ver)'!BE$6:BE$674,)</f>
        <v>112</v>
      </c>
      <c r="AV71" s="398">
        <f>+_xlfn.XLOOKUP($AA71,'[51]②配宿シュミレーション(12,000人ver)'!$AO$6:$AO$674,'[51]②配宿シュミレーション(12,000人ver)'!BF$6:BF$674,)</f>
        <v>112</v>
      </c>
      <c r="AW71" s="398">
        <f>+_xlfn.XLOOKUP($AA71,'[51]②配宿シュミレーション(12,000人ver)'!$AO$6:$AO$674,'[51]②配宿シュミレーション(12,000人ver)'!BG$6:BG$674,)</f>
        <v>112</v>
      </c>
      <c r="AX71" s="398">
        <f>+_xlfn.XLOOKUP($AA71,'[51]②配宿シュミレーション(12,000人ver)'!$AO$6:$AO$674,'[51]②配宿シュミレーション(12,000人ver)'!BH$6:BH$674,)</f>
        <v>112</v>
      </c>
      <c r="AY71" s="398">
        <f>+_xlfn.XLOOKUP($AA71,'[51]②配宿シュミレーション(12,000人ver)'!$AO$6:$AO$674,'[51]②配宿シュミレーション(12,000人ver)'!BI$6:BI$674,)</f>
        <v>112</v>
      </c>
      <c r="AZ71" s="398">
        <f>+_xlfn.XLOOKUP($AA71,'[51]②配宿シュミレーション(12,000人ver)'!$AO$6:$AO$674,'[51]②配宿シュミレーション(12,000人ver)'!BJ$6:BJ$674,)</f>
        <v>112</v>
      </c>
      <c r="BA71" s="398">
        <f>+_xlfn.XLOOKUP($AA71,'[51]②配宿シュミレーション(12,000人ver)'!$AO$6:$AO$674,'[51]②配宿シュミレーション(12,000人ver)'!BK$6:BK$674,)</f>
        <v>112</v>
      </c>
      <c r="BB71" s="398">
        <f>+_xlfn.XLOOKUP($AA71,'[51]②配宿シュミレーション(12,000人ver)'!$AO$6:$AO$674,'[51]②配宿シュミレーション(12,000人ver)'!BL$6:BL$674,)</f>
        <v>112</v>
      </c>
      <c r="BC71" s="398">
        <f>+_xlfn.XLOOKUP($AA71,'[51]②配宿シュミレーション(12,000人ver)'!$AO$6:$AO$674,'[51]②配宿シュミレーション(12,000人ver)'!BM$6:BM$674,)</f>
        <v>112</v>
      </c>
      <c r="BD71" s="398">
        <f>+_xlfn.XLOOKUP($AA71,'[51]②配宿シュミレーション(12,000人ver)'!$AO$6:$AO$674,'[51]②配宿シュミレーション(12,000人ver)'!BN$6:BN$674,)</f>
        <v>112</v>
      </c>
      <c r="BE71" s="398">
        <f>+_xlfn.XLOOKUP($AA71,'[51]②配宿シュミレーション(12,000人ver)'!$AO$6:$AO$674,'[51]②配宿シュミレーション(12,000人ver)'!BO$6:BO$674,)</f>
        <v>112</v>
      </c>
      <c r="BF71" s="398">
        <f>+_xlfn.XLOOKUP($AA71,'[51]②配宿シュミレーション(12,000人ver)'!$AO$6:$AO$674,'[51]②配宿シュミレーション(12,000人ver)'!BP$6:BP$674,)</f>
        <v>112</v>
      </c>
      <c r="BG71" s="2881" t="s">
        <v>2448</v>
      </c>
      <c r="BH71" s="398">
        <f>+_xlfn.XLOOKUP($AA71,'[51]②配宿シュミレーション(12,000人ver)'!$AO$6:$AO$674,'[51]②配宿シュミレーション(12,000人ver)'!BR$6:BR$674,)</f>
        <v>0</v>
      </c>
      <c r="BI71" s="398">
        <f>+_xlfn.XLOOKUP($AA71,'[51]②配宿シュミレーション(12,000人ver)'!$AO$6:$AO$674,'[51]②配宿シュミレーション(12,000人ver)'!BS$6:BS$674,)</f>
        <v>0</v>
      </c>
      <c r="BJ71" s="398">
        <f>+_xlfn.XLOOKUP($AA71,'[51]②配宿シュミレーション(12,000人ver)'!$AO$6:$AO$674,'[51]②配宿シュミレーション(12,000人ver)'!BT$6:BT$674,)</f>
        <v>0</v>
      </c>
      <c r="BK71" s="398">
        <f>+_xlfn.XLOOKUP($AA71,'[51]②配宿シュミレーション(12,000人ver)'!$AO$6:$AO$674,'[51]②配宿シュミレーション(12,000人ver)'!BU$6:BU$674,)</f>
        <v>0</v>
      </c>
      <c r="BL71" s="398">
        <f>+_xlfn.XLOOKUP($AA71,'[51]②配宿シュミレーション(12,000人ver)'!$AO$6:$AO$674,'[51]②配宿シュミレーション(12,000人ver)'!BV$6:BV$674,)</f>
        <v>0</v>
      </c>
      <c r="BM71" s="398">
        <f>+_xlfn.XLOOKUP($AA71,'[51]②配宿シュミレーション(12,000人ver)'!$AO$6:$AO$674,'[51]②配宿シュミレーション(12,000人ver)'!BW$6:BW$674,)</f>
        <v>0</v>
      </c>
      <c r="BN71" s="472">
        <f>+_xlfn.XLOOKUP($AA71,'[51]②配宿シュミレーション(12,000人ver)'!$AO$6:$AO$674,'[51]②配宿シュミレーション(12,000人ver)'!BX$6:BX$674,)</f>
        <v>0</v>
      </c>
      <c r="BO71" s="573"/>
      <c r="BP71" s="610"/>
      <c r="BQ71" s="611"/>
    </row>
    <row r="72" spans="1:69" s="521" customFormat="1" ht="46" customHeight="1" thickBot="1">
      <c r="A72" s="2862"/>
      <c r="B72" s="2907"/>
      <c r="C72" s="420"/>
      <c r="D72" s="421" t="str">
        <f>IF(_xlfn.XLOOKUP(E72,[51]宿泊施設DB!$B$3:$B$206,[51]宿泊施設DB!$A$3:$A$206,"",)=0,"",_xlfn.XLOOKUP(E72,[51]宿泊施設DB!$B$3:$B$206,[51]宿泊施設DB!$A$3:$A$206,"",))</f>
        <v/>
      </c>
      <c r="E72" s="612" t="s">
        <v>2475</v>
      </c>
      <c r="F72" s="2875" t="str">
        <f>_xlfn.XLOOKUP($E72,[51]宿泊施設DB!$B$3:$B$206,[51]宿泊施設DB!$D$3:$D$206,"",)</f>
        <v/>
      </c>
      <c r="G72" s="2875" t="str">
        <f>_xlfn.XLOOKUP($E72,[51]宿泊施設DB!$B$3:$B$206,[51]宿泊施設DB!$E$3:$E$206,"",)</f>
        <v/>
      </c>
      <c r="H72" s="2877" t="str">
        <f>_xlfn.XLOOKUP($E72,[51]宿泊施設DB!$B$3:$B$206,[51]宿泊施設DB!$J$3:$J$206,"",)</f>
        <v/>
      </c>
      <c r="I72" s="2878" t="str">
        <f>_xlfn.XLOOKUP($E72,[51]宿泊施設DB!$B$3:$B$206,[51]宿泊施設DB!$T$3:$T$206,"",)</f>
        <v/>
      </c>
      <c r="J72" s="2878" t="s">
        <v>2294</v>
      </c>
      <c r="K72" s="2877" t="str">
        <f>_xlfn.XLOOKUP($E72,[51]宿泊施設DB!$B$3:$B$206,[51]宿泊施設DB!$S$3:$S$206,"",)</f>
        <v/>
      </c>
      <c r="L72" s="2878" t="str">
        <f>_xlfn.XLOOKUP($E72,[51]宿泊施設DB!$B$3:$B$206,[51]宿泊施設DB!$U$3:$U$206,"",)</f>
        <v/>
      </c>
      <c r="M72" s="2878" t="str">
        <f>_xlfn.XLOOKUP($E72,[51]宿泊施設DB!$B$3:$B$206,[51]宿泊施設DB!$V$3:$V$206,"",)</f>
        <v/>
      </c>
      <c r="N72" s="2878" t="str">
        <f>_xlfn.XLOOKUP($E72,[51]宿泊施設DB!$B$3:$B$206,[51]宿泊施設DB!$W$3:$W$206,"",)</f>
        <v/>
      </c>
      <c r="O72" s="2878" t="str">
        <f>_xlfn.XLOOKUP($E72,[51]宿泊施設DB!$B$3:$B$206,[51]宿泊施設DB!$X$3:$X$206,"",)</f>
        <v/>
      </c>
      <c r="P72" s="426" t="str">
        <f t="shared" si="2"/>
        <v>○</v>
      </c>
      <c r="Q72" s="426"/>
      <c r="R72" s="420"/>
      <c r="S72" s="477"/>
      <c r="T72" s="478" t="str">
        <f>IFERROR(VLOOKUP($S72,'[51]競技情報DB(12,000人ver)'!$A$6:$D$201,2,),"－")</f>
        <v>－</v>
      </c>
      <c r="U72" s="479">
        <f>_xlfn.XLOOKUP(S72,'[51]競技情報DB(12,000人ver)'!$A$6:$A$99,'[51]競技情報DB(12,000人ver)'!$D$6:$D$99,"",0,)</f>
        <v>0</v>
      </c>
      <c r="V72" s="653"/>
      <c r="W72" s="480"/>
      <c r="X72" s="481"/>
      <c r="Y72" s="442"/>
      <c r="Z72" s="652"/>
      <c r="AA72" s="517"/>
      <c r="AB72" s="2952"/>
      <c r="AC72" s="2952"/>
      <c r="AD72" s="2953"/>
      <c r="AE72" s="518"/>
      <c r="AF72" s="445"/>
      <c r="AG72" s="445"/>
      <c r="AH72" s="445"/>
      <c r="AI72" s="445"/>
      <c r="AJ72" s="445"/>
      <c r="AK72" s="445"/>
      <c r="AL72" s="445"/>
      <c r="AM72" s="445"/>
      <c r="AN72" s="445"/>
      <c r="AO72" s="445"/>
      <c r="AP72" s="445"/>
      <c r="AQ72" s="445"/>
      <c r="AR72" s="445"/>
      <c r="AS72" s="445"/>
      <c r="AT72" s="445"/>
      <c r="AU72" s="445"/>
      <c r="AV72" s="445"/>
      <c r="AW72" s="445"/>
      <c r="AX72" s="445"/>
      <c r="AY72" s="445"/>
      <c r="AZ72" s="445"/>
      <c r="BA72" s="445"/>
      <c r="BB72" s="445"/>
      <c r="BC72" s="445"/>
      <c r="BD72" s="445"/>
      <c r="BE72" s="445"/>
      <c r="BF72" s="445"/>
      <c r="BG72" s="445"/>
      <c r="BH72" s="445"/>
      <c r="BI72" s="445"/>
      <c r="BJ72" s="445"/>
      <c r="BK72" s="445"/>
      <c r="BL72" s="445"/>
      <c r="BM72" s="445"/>
      <c r="BN72" s="449"/>
      <c r="BO72" s="573"/>
      <c r="BP72" s="614"/>
      <c r="BQ72" s="615"/>
    </row>
    <row r="73" spans="1:69" ht="46" customHeight="1">
      <c r="A73" s="2862"/>
      <c r="B73" s="2863" t="s">
        <v>2256</v>
      </c>
      <c r="C73" s="296">
        <f>C71+1</f>
        <v>19</v>
      </c>
      <c r="D73" s="297">
        <f>IF(_xlfn.XLOOKUP(E73,[51]宿泊施設DB!$B$3:$B$206,[51]宿泊施設DB!$A$3:$A$206,"",)=0,"",_xlfn.XLOOKUP(E73,[51]宿泊施設DB!$B$3:$B$206,[51]宿泊施設DB!$A$3:$A$206,"",))</f>
        <v>201</v>
      </c>
      <c r="E73" s="298" t="s">
        <v>2302</v>
      </c>
      <c r="F73" s="2864">
        <f>_xlfn.XLOOKUP($E73,[51]宿泊施設DB!$B$3:$B$206,[51]宿泊施設DB!$D$3:$D$206,"",)</f>
        <v>69</v>
      </c>
      <c r="G73" s="2864">
        <f>_xlfn.XLOOKUP($E73,[51]宿泊施設DB!$B$3:$B$206,[51]宿泊施設DB!$E$3:$E$206,"",)</f>
        <v>106</v>
      </c>
      <c r="H73" s="2865">
        <f>_xlfn.XLOOKUP($E73,[51]宿泊施設DB!$B$3:$B$206,[51]宿泊施設DB!$J$3:$J$206,"",)</f>
        <v>19</v>
      </c>
      <c r="I73" s="2866" t="str">
        <f>_xlfn.XLOOKUP($E73,[51]宿泊施設DB!$B$3:$B$206,[51]宿泊施設DB!$T$3:$T$206,"",)</f>
        <v>調査中</v>
      </c>
      <c r="J73" s="2866" t="str">
        <f>_xlfn.XLOOKUP($E73,[51]宿泊施設DB!$B$3:$B$206,[51]宿泊施設DB!$R$3:$R$206,"",)</f>
        <v>宿泊施設</v>
      </c>
      <c r="K73" s="2865">
        <f>_xlfn.XLOOKUP($E73,[51]宿泊施設DB!$B$3:$B$206,[51]宿泊施設DB!$S$3:$S$206,"",)</f>
        <v>106</v>
      </c>
      <c r="L73" s="2866" t="str">
        <f>_xlfn.XLOOKUP($E73,[51]宿泊施設DB!$B$3:$B$206,[51]宿泊施設DB!$U$3:$U$206,"",)</f>
        <v>－</v>
      </c>
      <c r="M73" s="2866" t="str">
        <f>_xlfn.XLOOKUP($E73,[51]宿泊施設DB!$B$3:$B$206,[51]宿泊施設DB!$V$3:$V$206,"",)</f>
        <v>○</v>
      </c>
      <c r="N73" s="2866" t="str">
        <f>_xlfn.XLOOKUP($E73,[51]宿泊施設DB!$B$3:$B$206,[51]宿泊施設DB!$W$3:$W$206,"",)</f>
        <v>○</v>
      </c>
      <c r="O73" s="2866" t="str">
        <f>_xlfn.XLOOKUP($E73,[51]宿泊施設DB!$B$3:$B$206,[51]宿泊施設DB!$X$3:$X$206,"",)</f>
        <v>玄関前（屋根付）3台</v>
      </c>
      <c r="P73" s="302" t="str">
        <f t="shared" si="2"/>
        <v>○</v>
      </c>
      <c r="Q73" s="302"/>
      <c r="R73" s="296" t="s">
        <v>2169</v>
      </c>
      <c r="S73" s="486" t="s">
        <v>2303</v>
      </c>
      <c r="T73" s="487" t="str">
        <f>IFERROR(VLOOKUP($S73,'[51]競技情報DB(12,000人ver)'!$A$6:$D$201,2,),"－")</f>
        <v>豊田市</v>
      </c>
      <c r="U73" s="488">
        <f>_xlfn.XLOOKUP(S73,'[51]競技情報DB(12,000人ver)'!$A$6:$A$99,'[51]競技情報DB(12,000人ver)'!$D$6:$D$99,"",0,)</f>
        <v>56</v>
      </c>
      <c r="V73" s="315">
        <f>SUM(U73:U74)</f>
        <v>56</v>
      </c>
      <c r="W73" s="489">
        <v>15.7</v>
      </c>
      <c r="X73" s="635">
        <v>21</v>
      </c>
      <c r="Y73" s="318">
        <f>$G73-MAX(AF73:BN73)</f>
        <v>50</v>
      </c>
      <c r="Z73" s="311">
        <f>+Y73/$G73</f>
        <v>0.47169811320754718</v>
      </c>
      <c r="AA73" s="491" t="str">
        <f>E73&amp;"　"&amp;"合計"</f>
        <v>全トヨタ労連研修センター　つどいの丘　合計</v>
      </c>
      <c r="AB73" s="2950">
        <v>45553</v>
      </c>
      <c r="AC73" s="2950">
        <v>45570</v>
      </c>
      <c r="AD73" s="2943">
        <v>17</v>
      </c>
      <c r="AE73" s="492" t="s">
        <v>2175</v>
      </c>
      <c r="AF73" s="398">
        <f>+_xlfn.XLOOKUP($AA73,'[51]②配宿シュミレーション(12,000人ver)'!$AO$6:$AO$674,'[51]②配宿シュミレーション(12,000人ver)'!AP$6:AP$674,)</f>
        <v>0</v>
      </c>
      <c r="AG73" s="398">
        <f>+_xlfn.XLOOKUP($AA73,'[51]②配宿シュミレーション(12,000人ver)'!$AO$6:$AO$674,'[51]②配宿シュミレーション(12,000人ver)'!AQ$6:AQ$674,)</f>
        <v>0</v>
      </c>
      <c r="AH73" s="398">
        <f>+_xlfn.XLOOKUP($AA73,'[51]②配宿シュミレーション(12,000人ver)'!$AO$6:$AO$674,'[51]②配宿シュミレーション(12,000人ver)'!AR$6:AR$674,)</f>
        <v>0</v>
      </c>
      <c r="AI73" s="398">
        <f>+_xlfn.XLOOKUP($AA73,'[51]②配宿シュミレーション(12,000人ver)'!$AO$6:$AO$674,'[51]②配宿シュミレーション(12,000人ver)'!AS$6:AS$674,)</f>
        <v>0</v>
      </c>
      <c r="AJ73" s="398">
        <f>+_xlfn.XLOOKUP($AA73,'[51]②配宿シュミレーション(12,000人ver)'!$AO$6:$AO$674,'[51]②配宿シュミレーション(12,000人ver)'!AT$6:AT$674,)</f>
        <v>0</v>
      </c>
      <c r="AK73" s="398">
        <f>+_xlfn.XLOOKUP($AA73,'[51]②配宿シュミレーション(12,000人ver)'!$AO$6:$AO$674,'[51]②配宿シュミレーション(12,000人ver)'!AU$6:AU$674,)</f>
        <v>0</v>
      </c>
      <c r="AL73" s="398">
        <f>+_xlfn.XLOOKUP($AA73,'[51]②配宿シュミレーション(12,000人ver)'!$AO$6:$AO$674,'[51]②配宿シュミレーション(12,000人ver)'!AV$6:AV$674,)</f>
        <v>0</v>
      </c>
      <c r="AM73" s="398">
        <f>+_xlfn.XLOOKUP($AA73,'[51]②配宿シュミレーション(12,000人ver)'!$AO$6:$AO$674,'[51]②配宿シュミレーション(12,000人ver)'!AW$6:AW$674,)</f>
        <v>0</v>
      </c>
      <c r="AN73" s="398">
        <f>+_xlfn.XLOOKUP($AA73,'[51]②配宿シュミレーション(12,000人ver)'!$AO$6:$AO$674,'[51]②配宿シュミレーション(12,000人ver)'!AX$6:AX$674,)</f>
        <v>0</v>
      </c>
      <c r="AO73" s="398">
        <f>+_xlfn.XLOOKUP($AA73,'[51]②配宿シュミレーション(12,000人ver)'!$AO$6:$AO$674,'[51]②配宿シュミレーション(12,000人ver)'!AY$6:AY$674,)</f>
        <v>0</v>
      </c>
      <c r="AP73" s="398">
        <f>+_xlfn.XLOOKUP($AA73,'[51]②配宿シュミレーション(12,000人ver)'!$AO$6:$AO$674,'[51]②配宿シュミレーション(12,000人ver)'!AZ$6:AZ$674,)</f>
        <v>0</v>
      </c>
      <c r="AQ73" s="398">
        <f>+_xlfn.XLOOKUP($AA73,'[51]②配宿シュミレーション(12,000人ver)'!$AO$6:$AO$674,'[51]②配宿シュミレーション(12,000人ver)'!BA$6:BA$674,)</f>
        <v>0</v>
      </c>
      <c r="AR73" s="398">
        <f>+_xlfn.XLOOKUP($AA73,'[51]②配宿シュミレーション(12,000人ver)'!$AO$6:$AO$674,'[51]②配宿シュミレーション(12,000人ver)'!BB$6:BB$674,)</f>
        <v>0</v>
      </c>
      <c r="AS73" s="398">
        <f>+_xlfn.XLOOKUP($AA73,'[51]②配宿シュミレーション(12,000人ver)'!$AO$6:$AO$674,'[51]②配宿シュミレーション(12,000人ver)'!BC$6:BC$674,)</f>
        <v>0</v>
      </c>
      <c r="AT73" s="2860" t="s">
        <v>2447</v>
      </c>
      <c r="AU73" s="2860" t="s">
        <v>2447</v>
      </c>
      <c r="AV73" s="2879">
        <f>+_xlfn.XLOOKUP($AA73,'[51]②配宿シュミレーション(12,000人ver)'!$AO$6:$AO$674,'[51]②配宿シュミレーション(12,000人ver)'!BF$6:BF$674,)</f>
        <v>56</v>
      </c>
      <c r="AW73" s="2879">
        <f>+_xlfn.XLOOKUP($AA73,'[51]②配宿シュミレーション(12,000人ver)'!$AO$6:$AO$674,'[51]②配宿シュミレーション(12,000人ver)'!BG$6:BG$674,)</f>
        <v>56</v>
      </c>
      <c r="AX73" s="2879">
        <f>+_xlfn.XLOOKUP($AA73,'[51]②配宿シュミレーション(12,000人ver)'!$AO$6:$AO$674,'[51]②配宿シュミレーション(12,000人ver)'!BH$6:BH$674,)</f>
        <v>56</v>
      </c>
      <c r="AY73" s="2879">
        <f>+_xlfn.XLOOKUP($AA73,'[51]②配宿シュミレーション(12,000人ver)'!$AO$6:$AO$674,'[51]②配宿シュミレーション(12,000人ver)'!BI$6:BI$674,)</f>
        <v>56</v>
      </c>
      <c r="AZ73" s="2879">
        <f>+_xlfn.XLOOKUP($AA73,'[51]②配宿シュミレーション(12,000人ver)'!$AO$6:$AO$674,'[51]②配宿シュミレーション(12,000人ver)'!BJ$6:BJ$674,)</f>
        <v>56</v>
      </c>
      <c r="BA73" s="2879">
        <f>+_xlfn.XLOOKUP($AA73,'[51]②配宿シュミレーション(12,000人ver)'!$AO$6:$AO$674,'[51]②配宿シュミレーション(12,000人ver)'!BK$6:BK$674,)</f>
        <v>56</v>
      </c>
      <c r="BB73" s="2879">
        <f>+_xlfn.XLOOKUP($AA73,'[51]②配宿シュミレーション(12,000人ver)'!$AO$6:$AO$674,'[51]②配宿シュミレーション(12,000人ver)'!BL$6:BL$674,)</f>
        <v>56</v>
      </c>
      <c r="BC73" s="2879">
        <f>+_xlfn.XLOOKUP($AA73,'[51]②配宿シュミレーション(12,000人ver)'!$AO$6:$AO$674,'[51]②配宿シュミレーション(12,000人ver)'!BM$6:BM$674,)</f>
        <v>56</v>
      </c>
      <c r="BD73" s="2879">
        <f>+_xlfn.XLOOKUP($AA73,'[51]②配宿シュミレーション(12,000人ver)'!$AO$6:$AO$674,'[51]②配宿シュミレーション(12,000人ver)'!BN$6:BN$674,)</f>
        <v>56</v>
      </c>
      <c r="BE73" s="2879">
        <f>+_xlfn.XLOOKUP($AA73,'[51]②配宿シュミレーション(12,000人ver)'!$AO$6:$AO$674,'[51]②配宿シュミレーション(12,000人ver)'!BO$6:BO$674,)</f>
        <v>56</v>
      </c>
      <c r="BF73" s="2879">
        <f>+_xlfn.XLOOKUP($AA73,'[51]②配宿シュミレーション(12,000人ver)'!$AO$6:$AO$674,'[51]②配宿シュミレーション(12,000人ver)'!BP$6:BP$674,)</f>
        <v>56</v>
      </c>
      <c r="BG73" s="2879">
        <f>+_xlfn.XLOOKUP($AA73,'[51]②配宿シュミレーション(12,000人ver)'!$AO$6:$AO$674,'[51]②配宿シュミレーション(12,000人ver)'!BQ$6:BQ$674,)</f>
        <v>56</v>
      </c>
      <c r="BH73" s="2879">
        <f>+_xlfn.XLOOKUP($AA73,'[51]②配宿シュミレーション(12,000人ver)'!$AO$6:$AO$674,'[51]②配宿シュミレーション(12,000人ver)'!BR$6:BR$674,)</f>
        <v>56</v>
      </c>
      <c r="BI73" s="2879">
        <f>+_xlfn.XLOOKUP($AA73,'[51]②配宿シュミレーション(12,000人ver)'!$AO$6:$AO$674,'[51]②配宿シュミレーション(12,000人ver)'!BS$6:BS$674,)</f>
        <v>56</v>
      </c>
      <c r="BJ73" s="2879">
        <f>+_xlfn.XLOOKUP($AA73,'[51]②配宿シュミレーション(12,000人ver)'!$AO$6:$AO$674,'[51]②配宿シュミレーション(12,000人ver)'!BT$6:BT$674,)</f>
        <v>56</v>
      </c>
      <c r="BK73" s="2861" t="s">
        <v>2448</v>
      </c>
      <c r="BL73" s="398">
        <f>+_xlfn.XLOOKUP($AA73,'[51]②配宿シュミレーション(12,000人ver)'!$AO$6:$AO$674,'[51]②配宿シュミレーション(12,000人ver)'!BV$6:BV$674,)</f>
        <v>0</v>
      </c>
      <c r="BM73" s="398">
        <f>+_xlfn.XLOOKUP($AA73,'[51]②配宿シュミレーション(12,000人ver)'!$AO$6:$AO$674,'[51]②配宿シュミレーション(12,000人ver)'!BW$6:BW$674,)</f>
        <v>0</v>
      </c>
      <c r="BN73" s="472">
        <f>+_xlfn.XLOOKUP($AA73,'[51]②配宿シュミレーション(12,000人ver)'!$AO$6:$AO$674,'[51]②配宿シュミレーション(12,000人ver)'!BX$6:BX$674,)</f>
        <v>0</v>
      </c>
      <c r="BO73" s="290"/>
      <c r="BP73" s="332"/>
      <c r="BQ73" s="333"/>
    </row>
    <row r="74" spans="1:69" ht="46" customHeight="1">
      <c r="A74" s="2862"/>
      <c r="B74" s="2863"/>
      <c r="C74" s="296"/>
      <c r="D74" s="297" t="str">
        <f>IF(_xlfn.XLOOKUP(E74,[51]宿泊施設DB!$B$3:$B$206,[51]宿泊施設DB!$A$3:$A$206,"",)=0,"",_xlfn.XLOOKUP(E74,[51]宿泊施設DB!$B$3:$B$206,[51]宿泊施設DB!$A$3:$A$206,"",))</f>
        <v/>
      </c>
      <c r="E74" s="298" t="s">
        <v>2476</v>
      </c>
      <c r="F74" s="2864" t="str">
        <f>_xlfn.XLOOKUP($E74,[51]宿泊施設DB!$B$3:$B$206,[51]宿泊施設DB!$D$3:$D$206,"",)</f>
        <v/>
      </c>
      <c r="G74" s="2864" t="str">
        <f>_xlfn.XLOOKUP($E74,[51]宿泊施設DB!$B$3:$B$206,[51]宿泊施設DB!$E$3:$E$206,"",)</f>
        <v/>
      </c>
      <c r="H74" s="2865" t="str">
        <f>_xlfn.XLOOKUP($E74,[51]宿泊施設DB!$B$3:$B$206,[51]宿泊施設DB!$J$3:$J$206,"",)</f>
        <v/>
      </c>
      <c r="I74" s="2866" t="str">
        <f>_xlfn.XLOOKUP($E74,[51]宿泊施設DB!$B$3:$B$206,[51]宿泊施設DB!$T$3:$T$206,"",)</f>
        <v/>
      </c>
      <c r="J74" s="2866" t="str">
        <f>_xlfn.XLOOKUP($E74,[51]宿泊施設DB!$B$3:$B$206,[51]宿泊施設DB!$R$3:$R$206,"",)</f>
        <v/>
      </c>
      <c r="K74" s="2865" t="str">
        <f>_xlfn.XLOOKUP($E74,[51]宿泊施設DB!$B$3:$B$206,[51]宿泊施設DB!$S$3:$S$206,"",)</f>
        <v/>
      </c>
      <c r="L74" s="2866" t="str">
        <f>_xlfn.XLOOKUP($E74,[51]宿泊施設DB!$B$3:$B$206,[51]宿泊施設DB!$U$3:$U$206,"",)</f>
        <v/>
      </c>
      <c r="M74" s="2866" t="str">
        <f>_xlfn.XLOOKUP($E74,[51]宿泊施設DB!$B$3:$B$206,[51]宿泊施設DB!$V$3:$V$206,"",)</f>
        <v/>
      </c>
      <c r="N74" s="2866" t="str">
        <f>_xlfn.XLOOKUP($E74,[51]宿泊施設DB!$B$3:$B$206,[51]宿泊施設DB!$W$3:$W$206,"",)</f>
        <v/>
      </c>
      <c r="O74" s="2866" t="str">
        <f>_xlfn.XLOOKUP($E74,[51]宿泊施設DB!$B$3:$B$206,[51]宿泊施設DB!$X$3:$X$206,"",)</f>
        <v/>
      </c>
      <c r="P74" s="302" t="str">
        <f t="shared" si="2"/>
        <v>○</v>
      </c>
      <c r="Q74" s="302"/>
      <c r="R74" s="296"/>
      <c r="S74" s="477"/>
      <c r="T74" s="478" t="str">
        <f>IFERROR(VLOOKUP($S74,'[51]競技情報DB(12,000人ver)'!$A$6:$D$201,2,),"－")</f>
        <v>－</v>
      </c>
      <c r="U74" s="479">
        <f>_xlfn.XLOOKUP(S74,'[51]競技情報DB(12,000人ver)'!$A$6:$A$99,'[51]競技情報DB(12,000人ver)'!$D$6:$D$99,"",0,)</f>
        <v>0</v>
      </c>
      <c r="V74" s="439"/>
      <c r="W74" s="480"/>
      <c r="X74" s="481"/>
      <c r="Y74" s="442"/>
      <c r="Z74" s="311"/>
      <c r="AA74" s="565"/>
      <c r="AB74" s="2944"/>
      <c r="AC74" s="2944"/>
      <c r="AD74" s="2945"/>
      <c r="AE74" s="320"/>
      <c r="AF74" s="445"/>
      <c r="AG74" s="445"/>
      <c r="AH74" s="445"/>
      <c r="AI74" s="445"/>
      <c r="AJ74" s="445"/>
      <c r="AK74" s="445"/>
      <c r="AL74" s="445"/>
      <c r="AM74" s="445"/>
      <c r="AN74" s="445"/>
      <c r="AO74" s="445"/>
      <c r="AP74" s="445"/>
      <c r="AQ74" s="445"/>
      <c r="AR74" s="445"/>
      <c r="AS74" s="445"/>
      <c r="AT74" s="506"/>
      <c r="AU74" s="506"/>
      <c r="AV74" s="506"/>
      <c r="AW74" s="506"/>
      <c r="AX74" s="506"/>
      <c r="AY74" s="506"/>
      <c r="AZ74" s="506"/>
      <c r="BA74" s="506"/>
      <c r="BB74" s="506"/>
      <c r="BC74" s="506"/>
      <c r="BD74" s="506"/>
      <c r="BE74" s="506"/>
      <c r="BF74" s="506"/>
      <c r="BG74" s="506"/>
      <c r="BH74" s="506"/>
      <c r="BI74" s="506"/>
      <c r="BJ74" s="506"/>
      <c r="BK74" s="506"/>
      <c r="BL74" s="445"/>
      <c r="BM74" s="445"/>
      <c r="BN74" s="449"/>
      <c r="BO74" s="290"/>
      <c r="BP74" s="332"/>
      <c r="BQ74" s="333"/>
    </row>
    <row r="75" spans="1:69" ht="46" customHeight="1">
      <c r="A75" s="2862"/>
      <c r="B75" s="2863"/>
      <c r="C75" s="372">
        <f>C73+1</f>
        <v>20</v>
      </c>
      <c r="D75" s="2871">
        <f>IF(_xlfn.XLOOKUP(E75,[51]宿泊施設DB!$B$3:$B$206,[51]宿泊施設DB!$A$3:$A$206,"",)=0,"",_xlfn.XLOOKUP(E75,[51]宿泊施設DB!$B$3:$B$206,[51]宿泊施設DB!$A$3:$A$206,"",))</f>
        <v>206</v>
      </c>
      <c r="E75" s="373" t="s">
        <v>2306</v>
      </c>
      <c r="F75" s="2872">
        <f>_xlfn.XLOOKUP($E75,[51]宿泊施設DB!$B$3:$B$206,[51]宿泊施設DB!$D$3:$D$206,"",)</f>
        <v>151</v>
      </c>
      <c r="G75" s="2872">
        <f>_xlfn.XLOOKUP($E75,[51]宿泊施設DB!$B$3:$B$206,[51]宿泊施設DB!$E$3:$E$206,"",)</f>
        <v>191</v>
      </c>
      <c r="H75" s="2873">
        <f>_xlfn.XLOOKUP($E75,[51]宿泊施設DB!$B$3:$B$206,[51]宿泊施設DB!$J$3:$J$206,"",)</f>
        <v>6</v>
      </c>
      <c r="I75" s="2874" t="str">
        <f>_xlfn.XLOOKUP($E75,[51]宿泊施設DB!$B$3:$B$206,[51]宿泊施設DB!$T$3:$T$206,"",)</f>
        <v>－</v>
      </c>
      <c r="J75" s="2874" t="str">
        <f>_xlfn.XLOOKUP($E75,[51]宿泊施設DB!$B$3:$B$206,[51]宿泊施設DB!$R$3:$R$206,"",)</f>
        <v>宿泊施設</v>
      </c>
      <c r="K75" s="2873">
        <f>_xlfn.XLOOKUP($E75,[51]宿泊施設DB!$B$3:$B$206,[51]宿泊施設DB!$S$3:$S$206,"",)</f>
        <v>60</v>
      </c>
      <c r="L75" s="2874" t="str">
        <f>_xlfn.XLOOKUP($E75,[51]宿泊施設DB!$B$3:$B$206,[51]宿泊施設DB!$U$3:$U$206,"",)</f>
        <v>○</v>
      </c>
      <c r="M75" s="2874" t="str">
        <f>_xlfn.XLOOKUP($E75,[51]宿泊施設DB!$B$3:$B$206,[51]宿泊施設DB!$V$3:$V$206,"",)</f>
        <v>－</v>
      </c>
      <c r="N75" s="2874" t="str">
        <f>_xlfn.XLOOKUP($E75,[51]宿泊施設DB!$B$3:$B$206,[51]宿泊施設DB!$W$3:$W$206,"",)</f>
        <v>－</v>
      </c>
      <c r="O75" s="2874" t="str">
        <f>_xlfn.XLOOKUP($E75,[51]宿泊施設DB!$B$3:$B$206,[51]宿泊施設DB!$X$3:$X$206,"",)</f>
        <v>玄関前（屋根付）1台</v>
      </c>
      <c r="P75" s="377" t="str">
        <f t="shared" si="2"/>
        <v>○</v>
      </c>
      <c r="Q75" s="377" t="s">
        <v>2161</v>
      </c>
      <c r="R75" s="372" t="s">
        <v>2169</v>
      </c>
      <c r="S75" s="512" t="s">
        <v>2307</v>
      </c>
      <c r="T75" s="388" t="str">
        <f>IFERROR(VLOOKUP($S75,'[51]競技情報DB(12,000人ver)'!$A$6:$D$201,2,),"－")</f>
        <v>豊田市</v>
      </c>
      <c r="U75" s="389">
        <f>_xlfn.XLOOKUP(S75,'[51]競技情報DB(12,000人ver)'!$A$6:$A$99,'[51]競技情報DB(12,000人ver)'!$D$6:$D$99,"",0,)</f>
        <v>120</v>
      </c>
      <c r="V75" s="390">
        <f>SUM(U75:U76)</f>
        <v>120</v>
      </c>
      <c r="W75" s="513">
        <v>1</v>
      </c>
      <c r="X75" s="665">
        <v>3</v>
      </c>
      <c r="Y75" s="318">
        <f>$G75-MAX(AF75:BN75)</f>
        <v>71</v>
      </c>
      <c r="Z75" s="394">
        <f>+Y75/$G75</f>
        <v>0.37172774869109948</v>
      </c>
      <c r="AA75" s="515" t="str">
        <f>E75&amp;"　"&amp;"合計"</f>
        <v>ホテルトヨタキャッスル　合計</v>
      </c>
      <c r="AB75" s="2950">
        <v>45553</v>
      </c>
      <c r="AC75" s="2950">
        <v>45568</v>
      </c>
      <c r="AD75" s="2943">
        <v>15</v>
      </c>
      <c r="AE75" s="492" t="s">
        <v>2175</v>
      </c>
      <c r="AF75" s="398">
        <f>+_xlfn.XLOOKUP($AA75,'[51]②配宿シュミレーション(12,000人ver)'!$AO$6:$AO$674,'[51]②配宿シュミレーション(12,000人ver)'!AP$6:AP$674,)</f>
        <v>0</v>
      </c>
      <c r="AG75" s="398">
        <f>+_xlfn.XLOOKUP($AA75,'[51]②配宿シュミレーション(12,000人ver)'!$AO$6:$AO$674,'[51]②配宿シュミレーション(12,000人ver)'!AQ$6:AQ$674,)</f>
        <v>0</v>
      </c>
      <c r="AH75" s="398">
        <f>+_xlfn.XLOOKUP($AA75,'[51]②配宿シュミレーション(12,000人ver)'!$AO$6:$AO$674,'[51]②配宿シュミレーション(12,000人ver)'!AR$6:AR$674,)</f>
        <v>0</v>
      </c>
      <c r="AI75" s="398">
        <f>+_xlfn.XLOOKUP($AA75,'[51]②配宿シュミレーション(12,000人ver)'!$AO$6:$AO$674,'[51]②配宿シュミレーション(12,000人ver)'!AS$6:AS$674,)</f>
        <v>0</v>
      </c>
      <c r="AJ75" s="398">
        <f>+_xlfn.XLOOKUP($AA75,'[51]②配宿シュミレーション(12,000人ver)'!$AO$6:$AO$674,'[51]②配宿シュミレーション(12,000人ver)'!AT$6:AT$674,)</f>
        <v>0</v>
      </c>
      <c r="AK75" s="398">
        <f>+_xlfn.XLOOKUP($AA75,'[51]②配宿シュミレーション(12,000人ver)'!$AO$6:$AO$674,'[51]②配宿シュミレーション(12,000人ver)'!AU$6:AU$674,)</f>
        <v>0</v>
      </c>
      <c r="AL75" s="398">
        <f>+_xlfn.XLOOKUP($AA75,'[51]②配宿シュミレーション(12,000人ver)'!$AO$6:$AO$674,'[51]②配宿シュミレーション(12,000人ver)'!AV$6:AV$674,)</f>
        <v>0</v>
      </c>
      <c r="AM75" s="398">
        <f>+_xlfn.XLOOKUP($AA75,'[51]②配宿シュミレーション(12,000人ver)'!$AO$6:$AO$674,'[51]②配宿シュミレーション(12,000人ver)'!AW$6:AW$674,)</f>
        <v>0</v>
      </c>
      <c r="AN75" s="398">
        <f>+_xlfn.XLOOKUP($AA75,'[51]②配宿シュミレーション(12,000人ver)'!$AO$6:$AO$674,'[51]②配宿シュミレーション(12,000人ver)'!AX$6:AX$674,)</f>
        <v>0</v>
      </c>
      <c r="AO75" s="398">
        <f>+_xlfn.XLOOKUP($AA75,'[51]②配宿シュミレーション(12,000人ver)'!$AO$6:$AO$674,'[51]②配宿シュミレーション(12,000人ver)'!AY$6:AY$674,)</f>
        <v>0</v>
      </c>
      <c r="AP75" s="398">
        <f>+_xlfn.XLOOKUP($AA75,'[51]②配宿シュミレーション(12,000人ver)'!$AO$6:$AO$674,'[51]②配宿シュミレーション(12,000人ver)'!AZ$6:AZ$674,)</f>
        <v>0</v>
      </c>
      <c r="AQ75" s="398">
        <f>+_xlfn.XLOOKUP($AA75,'[51]②配宿シュミレーション(12,000人ver)'!$AO$6:$AO$674,'[51]②配宿シュミレーション(12,000人ver)'!BA$6:BA$674,)</f>
        <v>0</v>
      </c>
      <c r="AR75" s="398">
        <f>+_xlfn.XLOOKUP($AA75,'[51]②配宿シュミレーション(12,000人ver)'!$AO$6:$AO$674,'[51]②配宿シュミレーション(12,000人ver)'!BB$6:BB$674,)</f>
        <v>0</v>
      </c>
      <c r="AS75" s="398">
        <f>+_xlfn.XLOOKUP($AA75,'[51]②配宿シュミレーション(12,000人ver)'!$AO$6:$AO$674,'[51]②配宿シュミレーション(12,000人ver)'!BC$6:BC$674,)</f>
        <v>0</v>
      </c>
      <c r="AT75" s="2880" t="s">
        <v>2447</v>
      </c>
      <c r="AU75" s="2880" t="s">
        <v>2447</v>
      </c>
      <c r="AV75" s="398">
        <f>+_xlfn.XLOOKUP($AA75,'[51]②配宿シュミレーション(12,000人ver)'!$AO$6:$AO$674,'[51]②配宿シュミレーション(12,000人ver)'!BF$6:BF$674,)</f>
        <v>120</v>
      </c>
      <c r="AW75" s="398">
        <f>+_xlfn.XLOOKUP($AA75,'[51]②配宿シュミレーション(12,000人ver)'!$AO$6:$AO$674,'[51]②配宿シュミレーション(12,000人ver)'!BG$6:BG$674,)</f>
        <v>120</v>
      </c>
      <c r="AX75" s="398">
        <f>+_xlfn.XLOOKUP($AA75,'[51]②配宿シュミレーション(12,000人ver)'!$AO$6:$AO$674,'[51]②配宿シュミレーション(12,000人ver)'!BH$6:BH$674,)</f>
        <v>120</v>
      </c>
      <c r="AY75" s="398">
        <f>+_xlfn.XLOOKUP($AA75,'[51]②配宿シュミレーション(12,000人ver)'!$AO$6:$AO$674,'[51]②配宿シュミレーション(12,000人ver)'!BI$6:BI$674,)</f>
        <v>120</v>
      </c>
      <c r="AZ75" s="398">
        <f>+_xlfn.XLOOKUP($AA75,'[51]②配宿シュミレーション(12,000人ver)'!$AO$6:$AO$674,'[51]②配宿シュミレーション(12,000人ver)'!BJ$6:BJ$674,)</f>
        <v>120</v>
      </c>
      <c r="BA75" s="398">
        <f>+_xlfn.XLOOKUP($AA75,'[51]②配宿シュミレーション(12,000人ver)'!$AO$6:$AO$674,'[51]②配宿シュミレーション(12,000人ver)'!BK$6:BK$674,)</f>
        <v>120</v>
      </c>
      <c r="BB75" s="398">
        <f>+_xlfn.XLOOKUP($AA75,'[51]②配宿シュミレーション(12,000人ver)'!$AO$6:$AO$674,'[51]②配宿シュミレーション(12,000人ver)'!BL$6:BL$674,)</f>
        <v>120</v>
      </c>
      <c r="BC75" s="398">
        <f>+_xlfn.XLOOKUP($AA75,'[51]②配宿シュミレーション(12,000人ver)'!$AO$6:$AO$674,'[51]②配宿シュミレーション(12,000人ver)'!BM$6:BM$674,)</f>
        <v>120</v>
      </c>
      <c r="BD75" s="398">
        <f>+_xlfn.XLOOKUP($AA75,'[51]②配宿シュミレーション(12,000人ver)'!$AO$6:$AO$674,'[51]②配宿シュミレーション(12,000人ver)'!BN$6:BN$674,)</f>
        <v>120</v>
      </c>
      <c r="BE75" s="398">
        <f>+_xlfn.XLOOKUP($AA75,'[51]②配宿シュミレーション(12,000人ver)'!$AO$6:$AO$674,'[51]②配宿シュミレーション(12,000人ver)'!BO$6:BO$674,)</f>
        <v>120</v>
      </c>
      <c r="BF75" s="398">
        <f>+_xlfn.XLOOKUP($AA75,'[51]②配宿シュミレーション(12,000人ver)'!$AO$6:$AO$674,'[51]②配宿シュミレーション(12,000人ver)'!BP$6:BP$674,)</f>
        <v>120</v>
      </c>
      <c r="BG75" s="398">
        <f>+_xlfn.XLOOKUP($AA75,'[51]②配宿シュミレーション(12,000人ver)'!$AO$6:$AO$674,'[51]②配宿シュミレーション(12,000人ver)'!BQ$6:BQ$674,)</f>
        <v>120</v>
      </c>
      <c r="BH75" s="398">
        <f>+_xlfn.XLOOKUP($AA75,'[51]②配宿シュミレーション(12,000人ver)'!$AO$6:$AO$674,'[51]②配宿シュミレーション(12,000人ver)'!BR$6:BR$674,)</f>
        <v>120</v>
      </c>
      <c r="BI75" s="2881" t="s">
        <v>2448</v>
      </c>
      <c r="BJ75" s="398">
        <f>+_xlfn.XLOOKUP($AA75,'[51]②配宿シュミレーション(12,000人ver)'!$AO$6:$AO$674,'[51]②配宿シュミレーション(12,000人ver)'!BT$6:BT$674,)</f>
        <v>0</v>
      </c>
      <c r="BK75" s="397">
        <f>+_xlfn.XLOOKUP($AA75,'[51]②配宿シュミレーション(12,000人ver)'!$AO$6:$AO$674,'[51]②配宿シュミレーション(12,000人ver)'!BU$6:BU$674,)</f>
        <v>0</v>
      </c>
      <c r="BL75" s="398">
        <f>+_xlfn.XLOOKUP($AA75,'[51]②配宿シュミレーション(12,000人ver)'!$AO$6:$AO$674,'[51]②配宿シュミレーション(12,000人ver)'!BV$6:BV$674,)</f>
        <v>0</v>
      </c>
      <c r="BM75" s="398">
        <f>+_xlfn.XLOOKUP($AA75,'[51]②配宿シュミレーション(12,000人ver)'!$AO$6:$AO$674,'[51]②配宿シュミレーション(12,000人ver)'!BW$6:BW$674,)</f>
        <v>0</v>
      </c>
      <c r="BN75" s="472">
        <f>+_xlfn.XLOOKUP($AA75,'[51]②配宿シュミレーション(12,000人ver)'!$AO$6:$AO$674,'[51]②配宿シュミレーション(12,000人ver)'!BX$6:BX$674,)</f>
        <v>0</v>
      </c>
      <c r="BO75" s="290"/>
      <c r="BP75" s="404"/>
      <c r="BQ75" s="405"/>
    </row>
    <row r="76" spans="1:69" s="561" customFormat="1" ht="46" customHeight="1">
      <c r="A76" s="2911"/>
      <c r="B76" s="2907"/>
      <c r="C76" s="420"/>
      <c r="D76" s="421" t="str">
        <f>IF(_xlfn.XLOOKUP(E76,[51]宿泊施設DB!$B$3:$B$206,[51]宿泊施設DB!$A$3:$A$206,"",)=0,"",_xlfn.XLOOKUP(E76,[51]宿泊施設DB!$B$3:$B$206,[51]宿泊施設DB!$A$3:$A$206,"",))</f>
        <v/>
      </c>
      <c r="E76" s="422"/>
      <c r="F76" s="2875">
        <f>_xlfn.XLOOKUP($E76,[51]宿泊施設DB!$B$3:$B$206,[51]宿泊施設DB!$D$3:$D$206,"",)</f>
        <v>0</v>
      </c>
      <c r="G76" s="2875">
        <f>_xlfn.XLOOKUP($E76,[51]宿泊施設DB!$B$3:$B$206,[51]宿泊施設DB!$E$3:$E$206,"",)</f>
        <v>0</v>
      </c>
      <c r="H76" s="2877">
        <f>_xlfn.XLOOKUP($E76,[51]宿泊施設DB!$B$3:$B$206,[51]宿泊施設DB!$J$3:$J$206,"",)</f>
        <v>0</v>
      </c>
      <c r="I76" s="2878">
        <f>_xlfn.XLOOKUP($E76,[51]宿泊施設DB!$B$3:$B$206,[51]宿泊施設DB!$T$3:$T$206,"",)</f>
        <v>0</v>
      </c>
      <c r="J76" s="2878">
        <f>_xlfn.XLOOKUP($E76,[51]宿泊施設DB!$B$3:$B$206,[51]宿泊施設DB!$R$3:$R$206,"",)</f>
        <v>0</v>
      </c>
      <c r="K76" s="2877">
        <f>_xlfn.XLOOKUP($E76,[51]宿泊施設DB!$B$3:$B$206,[51]宿泊施設DB!$S$3:$S$206,"",)</f>
        <v>0</v>
      </c>
      <c r="L76" s="2878">
        <f>_xlfn.XLOOKUP($E76,[51]宿泊施設DB!$B$3:$B$206,[51]宿泊施設DB!$U$3:$U$206,"",)</f>
        <v>0</v>
      </c>
      <c r="M76" s="2878">
        <f>_xlfn.XLOOKUP($E76,[51]宿泊施設DB!$B$3:$B$206,[51]宿泊施設DB!$V$3:$V$206,"",)</f>
        <v>0</v>
      </c>
      <c r="N76" s="2878">
        <f>_xlfn.XLOOKUP($E76,[51]宿泊施設DB!$B$3:$B$206,[51]宿泊施設DB!$W$3:$W$206,"",)</f>
        <v>0</v>
      </c>
      <c r="O76" s="2878">
        <f>_xlfn.XLOOKUP($E76,[51]宿泊施設DB!$B$3:$B$206,[51]宿泊施設DB!$X$3:$X$206,"",)</f>
        <v>0</v>
      </c>
      <c r="P76" s="426" t="str">
        <f t="shared" si="2"/>
        <v/>
      </c>
      <c r="Q76" s="426"/>
      <c r="R76" s="420"/>
      <c r="S76" s="436"/>
      <c r="T76" s="437" t="str">
        <f>IFERROR(VLOOKUP($S76,'[51]競技情報DB(12,000人ver)'!$A$6:$D$201,2,),"－")</f>
        <v>－</v>
      </c>
      <c r="U76" s="438">
        <f>_xlfn.XLOOKUP(S76,'[51]競技情報DB(12,000人ver)'!$A$6:$A$99,'[51]競技情報DB(12,000人ver)'!$D$6:$D$99,"",0,)</f>
        <v>0</v>
      </c>
      <c r="V76" s="439"/>
      <c r="W76" s="440"/>
      <c r="X76" s="516"/>
      <c r="Y76" s="442"/>
      <c r="Z76" s="435"/>
      <c r="AA76" s="517"/>
      <c r="AB76" s="2952"/>
      <c r="AC76" s="2952"/>
      <c r="AD76" s="2953"/>
      <c r="AE76" s="518"/>
      <c r="AF76" s="445"/>
      <c r="AG76" s="445"/>
      <c r="AH76" s="445"/>
      <c r="AI76" s="445"/>
      <c r="AJ76" s="445"/>
      <c r="AK76" s="445"/>
      <c r="AL76" s="445"/>
      <c r="AM76" s="445"/>
      <c r="AN76" s="445"/>
      <c r="AO76" s="445"/>
      <c r="AP76" s="445"/>
      <c r="AQ76" s="445"/>
      <c r="AR76" s="445"/>
      <c r="AS76" s="445"/>
      <c r="AT76" s="445"/>
      <c r="AU76" s="445"/>
      <c r="AV76" s="445"/>
      <c r="AW76" s="445"/>
      <c r="AX76" s="445"/>
      <c r="AY76" s="445"/>
      <c r="AZ76" s="445"/>
      <c r="BA76" s="445"/>
      <c r="BB76" s="445"/>
      <c r="BC76" s="445"/>
      <c r="BD76" s="445"/>
      <c r="BE76" s="445"/>
      <c r="BF76" s="445"/>
      <c r="BG76" s="445"/>
      <c r="BH76" s="445"/>
      <c r="BI76" s="445"/>
      <c r="BJ76" s="445"/>
      <c r="BK76" s="445"/>
      <c r="BL76" s="445"/>
      <c r="BM76" s="445"/>
      <c r="BN76" s="449"/>
      <c r="BO76" s="290"/>
      <c r="BP76" s="450"/>
      <c r="BQ76" s="451"/>
    </row>
    <row r="77" spans="1:69" s="564" customFormat="1" ht="46" customHeight="1">
      <c r="A77" s="2912"/>
      <c r="B77" s="2913"/>
      <c r="C77" s="372">
        <f>C75+1</f>
        <v>21</v>
      </c>
      <c r="D77" s="2871">
        <f>IF(_xlfn.XLOOKUP(E77,[51]宿泊施設DB!$B$3:$B$206,[51]宿泊施設DB!$A$3:$A$206,"",)=0,"",_xlfn.XLOOKUP(E77,[51]宿泊施設DB!$B$3:$B$206,[51]宿泊施設DB!$A$3:$A$206,"",))</f>
        <v>210</v>
      </c>
      <c r="E77" s="572" t="s">
        <v>2312</v>
      </c>
      <c r="F77" s="2872">
        <f>_xlfn.XLOOKUP($E77,[51]宿泊施設DB!$B$3:$B$206,[51]宿泊施設DB!$D$3:$D$206,"",)</f>
        <v>99</v>
      </c>
      <c r="G77" s="2872">
        <f>_xlfn.XLOOKUP($E77,[51]宿泊施設DB!$B$3:$B$206,[51]宿泊施設DB!$E$3:$E$206,"",)</f>
        <v>128</v>
      </c>
      <c r="H77" s="2873">
        <f>_xlfn.XLOOKUP($E77,[51]宿泊施設DB!$B$3:$B$206,[51]宿泊施設DB!$J$3:$J$206,"",)</f>
        <v>6</v>
      </c>
      <c r="I77" s="2874" t="str">
        <f>_xlfn.XLOOKUP($E77,[51]宿泊施設DB!$B$3:$B$206,[51]宿泊施設DB!$T$3:$T$206,"",)</f>
        <v>－</v>
      </c>
      <c r="J77" s="2874" t="str">
        <f>_xlfn.XLOOKUP($E77,[51]宿泊施設DB!$B$3:$B$206,[51]宿泊施設DB!$R$3:$R$206,"",)</f>
        <v>宿泊施設</v>
      </c>
      <c r="K77" s="2873">
        <f>_xlfn.XLOOKUP($E77,[51]宿泊施設DB!$B$3:$B$206,[51]宿泊施設DB!$S$3:$S$206,"",)</f>
        <v>76</v>
      </c>
      <c r="L77" s="2914" t="str">
        <f>_xlfn.XLOOKUP($E77,[51]宿泊施設DB!$B$3:$B$206,[51]宿泊施設DB!$U$3:$U$206,"",)</f>
        <v>－</v>
      </c>
      <c r="M77" s="2874" t="str">
        <f>_xlfn.XLOOKUP($E77,[51]宿泊施設DB!$B$3:$B$206,[51]宿泊施設DB!$V$3:$V$206,"",)</f>
        <v>－</v>
      </c>
      <c r="N77" s="2874" t="str">
        <f>_xlfn.XLOOKUP($E77,[51]宿泊施設DB!$B$3:$B$206,[51]宿泊施設DB!$W$3:$W$206,"",)</f>
        <v>－</v>
      </c>
      <c r="O77" s="2874" t="str">
        <f>_xlfn.XLOOKUP($E77,[51]宿泊施設DB!$B$3:$B$206,[51]宿泊施設DB!$X$3:$X$206,"",)</f>
        <v>玄関前（屋根無）2台</v>
      </c>
      <c r="P77" s="377" t="str">
        <f t="shared" si="2"/>
        <v>○</v>
      </c>
      <c r="Q77" s="377" t="s">
        <v>2161</v>
      </c>
      <c r="R77" s="372" t="s">
        <v>2136</v>
      </c>
      <c r="S77" s="539" t="s">
        <v>2313</v>
      </c>
      <c r="T77" s="540" t="str">
        <f>IFERROR(VLOOKUP($S77,'[51]競技情報DB(12,000人ver)'!$A$6:$D$201,2,),"－")</f>
        <v>豊田市</v>
      </c>
      <c r="U77" s="541">
        <f>_xlfn.XLOOKUP(S77,'[51]競技情報DB(12,000人ver)'!$A$6:$A$99,'[51]競技情報DB(12,000人ver)'!$D$6:$D$99,"",0,)</f>
        <v>100</v>
      </c>
      <c r="V77" s="648">
        <f>SUM(U77:U77)</f>
        <v>100</v>
      </c>
      <c r="W77" s="542">
        <v>1.4</v>
      </c>
      <c r="X77" s="543">
        <v>5</v>
      </c>
      <c r="Y77" s="318">
        <f>$G77-MAX(AF77:BN77)</f>
        <v>28</v>
      </c>
      <c r="Z77" s="647">
        <f>+Y77/$G77</f>
        <v>0.21875</v>
      </c>
      <c r="AA77" s="515" t="str">
        <f>E77&amp;"　"&amp;"合計"</f>
        <v>名鉄トヨタホテル　合計</v>
      </c>
      <c r="AB77" s="2951">
        <v>45553</v>
      </c>
      <c r="AC77" s="2951">
        <v>45568</v>
      </c>
      <c r="AD77" s="2943">
        <v>15</v>
      </c>
      <c r="AE77" s="396" t="s">
        <v>2175</v>
      </c>
      <c r="AF77" s="398">
        <f>+_xlfn.XLOOKUP($AA77,'[51]②配宿シュミレーション(12,000人ver)'!$AO$6:$AO$674,'[51]②配宿シュミレーション(12,000人ver)'!AP$6:AP$674,)</f>
        <v>0</v>
      </c>
      <c r="AG77" s="398">
        <f>+_xlfn.XLOOKUP($AA77,'[51]②配宿シュミレーション(12,000人ver)'!$AO$6:$AO$674,'[51]②配宿シュミレーション(12,000人ver)'!AQ$6:AQ$674,)</f>
        <v>0</v>
      </c>
      <c r="AH77" s="398">
        <f>+_xlfn.XLOOKUP($AA77,'[51]②配宿シュミレーション(12,000人ver)'!$AO$6:$AO$674,'[51]②配宿シュミレーション(12,000人ver)'!AR$6:AR$674,)</f>
        <v>0</v>
      </c>
      <c r="AI77" s="398">
        <f>+_xlfn.XLOOKUP($AA77,'[51]②配宿シュミレーション(12,000人ver)'!$AO$6:$AO$674,'[51]②配宿シュミレーション(12,000人ver)'!AS$6:AS$674,)</f>
        <v>0</v>
      </c>
      <c r="AJ77" s="398">
        <f>+_xlfn.XLOOKUP($AA77,'[51]②配宿シュミレーション(12,000人ver)'!$AO$6:$AO$674,'[51]②配宿シュミレーション(12,000人ver)'!AT$6:AT$674,)</f>
        <v>0</v>
      </c>
      <c r="AK77" s="398">
        <f>+_xlfn.XLOOKUP($AA77,'[51]②配宿シュミレーション(12,000人ver)'!$AO$6:$AO$674,'[51]②配宿シュミレーション(12,000人ver)'!AU$6:AU$674,)</f>
        <v>0</v>
      </c>
      <c r="AL77" s="2879">
        <f>+_xlfn.XLOOKUP($AA77,'[51]②配宿シュミレーション(12,000人ver)'!$AO$6:$AO$674,'[51]②配宿シュミレーション(12,000人ver)'!AV$6:AV$674,)</f>
        <v>0</v>
      </c>
      <c r="AM77" s="2879">
        <f>+_xlfn.XLOOKUP($AA77,'[51]②配宿シュミレーション(12,000人ver)'!$AO$6:$AO$674,'[51]②配宿シュミレーション(12,000人ver)'!AW$6:AW$674,)</f>
        <v>0</v>
      </c>
      <c r="AN77" s="2879">
        <f>+_xlfn.XLOOKUP($AA77,'[51]②配宿シュミレーション(12,000人ver)'!$AO$6:$AO$674,'[51]②配宿シュミレーション(12,000人ver)'!AX$6:AX$674,)</f>
        <v>0</v>
      </c>
      <c r="AO77" s="2879">
        <f>+_xlfn.XLOOKUP($AA77,'[51]②配宿シュミレーション(12,000人ver)'!$AO$6:$AO$674,'[51]②配宿シュミレーション(12,000人ver)'!AY$6:AY$674,)</f>
        <v>0</v>
      </c>
      <c r="AP77" s="2879">
        <f>+_xlfn.XLOOKUP($AA77,'[51]②配宿シュミレーション(12,000人ver)'!$AO$6:$AO$674,'[51]②配宿シュミレーション(12,000人ver)'!AZ$6:AZ$674,)</f>
        <v>0</v>
      </c>
      <c r="AQ77" s="2879">
        <f>+_xlfn.XLOOKUP($AA77,'[51]②配宿シュミレーション(12,000人ver)'!$AO$6:$AO$674,'[51]②配宿シュミレーション(12,000人ver)'!BA$6:BA$674,)</f>
        <v>0</v>
      </c>
      <c r="AR77" s="2879">
        <f>+_xlfn.XLOOKUP($AA77,'[51]②配宿シュミレーション(12,000人ver)'!$AO$6:$AO$674,'[51]②配宿シュミレーション(12,000人ver)'!BB$6:BB$674,)</f>
        <v>0</v>
      </c>
      <c r="AS77" s="2879">
        <f>+_xlfn.XLOOKUP($AA77,'[51]②配宿シュミレーション(12,000人ver)'!$AO$6:$AO$674,'[51]②配宿シュミレーション(12,000人ver)'!BC$6:BC$674,)</f>
        <v>0</v>
      </c>
      <c r="AT77" s="2860" t="s">
        <v>2447</v>
      </c>
      <c r="AU77" s="2860" t="s">
        <v>2447</v>
      </c>
      <c r="AV77" s="2879">
        <f>+_xlfn.XLOOKUP($AA77,'[51]②配宿シュミレーション(12,000人ver)'!$AO$6:$AO$674,'[51]②配宿シュミレーション(12,000人ver)'!BF$6:BF$674,)</f>
        <v>100</v>
      </c>
      <c r="AW77" s="2879">
        <f>+_xlfn.XLOOKUP($AA77,'[51]②配宿シュミレーション(12,000人ver)'!$AO$6:$AO$674,'[51]②配宿シュミレーション(12,000人ver)'!BG$6:BG$674,)</f>
        <v>100</v>
      </c>
      <c r="AX77" s="2879">
        <f>+_xlfn.XLOOKUP($AA77,'[51]②配宿シュミレーション(12,000人ver)'!$AO$6:$AO$674,'[51]②配宿シュミレーション(12,000人ver)'!BH$6:BH$674,)</f>
        <v>100</v>
      </c>
      <c r="AY77" s="2879">
        <f>+_xlfn.XLOOKUP($AA77,'[51]②配宿シュミレーション(12,000人ver)'!$AO$6:$AO$674,'[51]②配宿シュミレーション(12,000人ver)'!BI$6:BI$674,)</f>
        <v>100</v>
      </c>
      <c r="AZ77" s="2879">
        <f>+_xlfn.XLOOKUP($AA77,'[51]②配宿シュミレーション(12,000人ver)'!$AO$6:$AO$674,'[51]②配宿シュミレーション(12,000人ver)'!BJ$6:BJ$674,)</f>
        <v>100</v>
      </c>
      <c r="BA77" s="2879">
        <f>+_xlfn.XLOOKUP($AA77,'[51]②配宿シュミレーション(12,000人ver)'!$AO$6:$AO$674,'[51]②配宿シュミレーション(12,000人ver)'!BK$6:BK$674,)</f>
        <v>100</v>
      </c>
      <c r="BB77" s="2879">
        <f>+_xlfn.XLOOKUP($AA77,'[51]②配宿シュミレーション(12,000人ver)'!$AO$6:$AO$674,'[51]②配宿シュミレーション(12,000人ver)'!BL$6:BL$674,)</f>
        <v>100</v>
      </c>
      <c r="BC77" s="2879">
        <f>+_xlfn.XLOOKUP($AA77,'[51]②配宿シュミレーション(12,000人ver)'!$AO$6:$AO$674,'[51]②配宿シュミレーション(12,000人ver)'!BM$6:BM$674,)</f>
        <v>100</v>
      </c>
      <c r="BD77" s="2879">
        <f>+_xlfn.XLOOKUP($AA77,'[51]②配宿シュミレーション(12,000人ver)'!$AO$6:$AO$674,'[51]②配宿シュミレーション(12,000人ver)'!BN$6:BN$674,)</f>
        <v>100</v>
      </c>
      <c r="BE77" s="2879">
        <f>+_xlfn.XLOOKUP($AA77,'[51]②配宿シュミレーション(12,000人ver)'!$AO$6:$AO$674,'[51]②配宿シュミレーション(12,000人ver)'!BO$6:BO$674,)</f>
        <v>100</v>
      </c>
      <c r="BF77" s="2879">
        <f>+_xlfn.XLOOKUP($AA77,'[51]②配宿シュミレーション(12,000人ver)'!$AO$6:$AO$674,'[51]②配宿シュミレーション(12,000人ver)'!BP$6:BP$674,)</f>
        <v>100</v>
      </c>
      <c r="BG77" s="2879">
        <f>+_xlfn.XLOOKUP($AA77,'[51]②配宿シュミレーション(12,000人ver)'!$AO$6:$AO$674,'[51]②配宿シュミレーション(12,000人ver)'!BQ$6:BQ$674,)</f>
        <v>100</v>
      </c>
      <c r="BH77" s="2879">
        <f>+_xlfn.XLOOKUP($AA77,'[51]②配宿シュミレーション(12,000人ver)'!$AO$6:$AO$674,'[51]②配宿シュミレーション(12,000人ver)'!BR$6:BR$674,)</f>
        <v>100</v>
      </c>
      <c r="BI77" s="2861" t="s">
        <v>2448</v>
      </c>
      <c r="BJ77" s="2879">
        <f>+_xlfn.XLOOKUP($AA77,'[51]②配宿シュミレーション(12,000人ver)'!$AO$6:$AO$674,'[51]②配宿シュミレーション(12,000人ver)'!BT$6:BT$674,)</f>
        <v>0</v>
      </c>
      <c r="BK77" s="2879">
        <f>+_xlfn.XLOOKUP($AA77,'[51]②配宿シュミレーション(12,000人ver)'!$AO$6:$AO$674,'[51]②配宿シュミレーション(12,000人ver)'!BU$6:BU$674,)</f>
        <v>0</v>
      </c>
      <c r="BL77" s="398">
        <f>+_xlfn.XLOOKUP($AA77,'[51]②配宿シュミレーション(12,000人ver)'!$AO$6:$AO$674,'[51]②配宿シュミレーション(12,000人ver)'!BV$6:BV$674,)</f>
        <v>0</v>
      </c>
      <c r="BM77" s="398">
        <f>+_xlfn.XLOOKUP($AA77,'[51]②配宿シュミレーション(12,000人ver)'!$AO$6:$AO$674,'[51]②配宿シュミレーション(12,000人ver)'!BW$6:BW$674,)</f>
        <v>0</v>
      </c>
      <c r="BN77" s="472">
        <f>+_xlfn.XLOOKUP($AA77,'[51]②配宿シュミレーション(12,000人ver)'!$AO$6:$AO$674,'[51]②配宿シュミレーション(12,000人ver)'!BX$6:BX$674,)</f>
        <v>0</v>
      </c>
      <c r="BO77" s="573"/>
      <c r="BP77" s="574"/>
      <c r="BQ77" s="575"/>
    </row>
    <row r="78" spans="1:69" s="521" customFormat="1" ht="46" customHeight="1" thickBot="1">
      <c r="A78" s="2862"/>
      <c r="B78" s="2863"/>
      <c r="C78" s="296"/>
      <c r="D78" s="297" t="str">
        <f>IF(_xlfn.XLOOKUP(E78,[51]宿泊施設DB!$B$3:$B$206,[51]宿泊施設DB!$A$3:$A$206,"",)=0,"",_xlfn.XLOOKUP(E78,[51]宿泊施設DB!$B$3:$B$206,[51]宿泊施設DB!$A$3:$A$206,"",))</f>
        <v/>
      </c>
      <c r="E78" s="609"/>
      <c r="F78" s="2864">
        <f>_xlfn.XLOOKUP($E78,[51]宿泊施設DB!$B$3:$B$206,[51]宿泊施設DB!$D$3:$D$206,"",)</f>
        <v>0</v>
      </c>
      <c r="G78" s="2864">
        <f>_xlfn.XLOOKUP($E78,[51]宿泊施設DB!$B$3:$B$206,[51]宿泊施設DB!$E$3:$E$206,"",)</f>
        <v>0</v>
      </c>
      <c r="H78" s="2865">
        <f>_xlfn.XLOOKUP($E78,[51]宿泊施設DB!$B$3:$B$206,[51]宿泊施設DB!$J$3:$J$206,"",)</f>
        <v>0</v>
      </c>
      <c r="I78" s="2866">
        <f>_xlfn.XLOOKUP($E78,[51]宿泊施設DB!$B$3:$B$206,[51]宿泊施設DB!$T$3:$T$206,"",)</f>
        <v>0</v>
      </c>
      <c r="J78" s="2866">
        <f>_xlfn.XLOOKUP($E78,[51]宿泊施設DB!$B$3:$B$206,[51]宿泊施設DB!$R$3:$R$206,"",)</f>
        <v>0</v>
      </c>
      <c r="K78" s="2865">
        <f>_xlfn.XLOOKUP($E78,[51]宿泊施設DB!$B$3:$B$206,[51]宿泊施設DB!$S$3:$S$206,"",)</f>
        <v>0</v>
      </c>
      <c r="L78" s="2915">
        <f>_xlfn.XLOOKUP($E78,[51]宿泊施設DB!$B$3:$B$206,[51]宿泊施設DB!$U$3:$U$206,"",)</f>
        <v>0</v>
      </c>
      <c r="M78" s="2866">
        <f>_xlfn.XLOOKUP($E78,[51]宿泊施設DB!$B$3:$B$206,[51]宿泊施設DB!$V$3:$V$206,"",)</f>
        <v>0</v>
      </c>
      <c r="N78" s="2866">
        <f>_xlfn.XLOOKUP($E78,[51]宿泊施設DB!$B$3:$B$206,[51]宿泊施設DB!$W$3:$W$206,"",)</f>
        <v>0</v>
      </c>
      <c r="O78" s="2866">
        <f>_xlfn.XLOOKUP($E78,[51]宿泊施設DB!$B$3:$B$206,[51]宿泊施設DB!$X$3:$X$206,"",)</f>
        <v>0</v>
      </c>
      <c r="P78" s="302" t="str">
        <f t="shared" si="2"/>
        <v/>
      </c>
      <c r="Q78" s="302"/>
      <c r="R78" s="296"/>
      <c r="S78" s="477"/>
      <c r="T78" s="478" t="str">
        <f>IFERROR(VLOOKUP($S78,'[51]競技情報DB(12,000人ver)'!$A$6:$D$201,2,),"－")</f>
        <v>－</v>
      </c>
      <c r="U78" s="479">
        <f>_xlfn.XLOOKUP(S78,'[51]競技情報DB(12,000人ver)'!$A$6:$A$99,'[51]競技情報DB(12,000人ver)'!$D$6:$D$99,"",0,)</f>
        <v>0</v>
      </c>
      <c r="V78" s="657"/>
      <c r="W78" s="480"/>
      <c r="X78" s="481"/>
      <c r="Y78" s="442"/>
      <c r="Z78" s="656"/>
      <c r="AA78" s="319"/>
      <c r="AB78" s="2944"/>
      <c r="AC78" s="2944"/>
      <c r="AD78" s="2945"/>
      <c r="AE78" s="320"/>
      <c r="AF78" s="445"/>
      <c r="AG78" s="445"/>
      <c r="AH78" s="445"/>
      <c r="AI78" s="445"/>
      <c r="AJ78" s="445"/>
      <c r="AK78" s="445"/>
      <c r="AL78" s="506"/>
      <c r="AM78" s="506"/>
      <c r="AN78" s="506"/>
      <c r="AO78" s="506"/>
      <c r="AP78" s="506"/>
      <c r="AQ78" s="506"/>
      <c r="AR78" s="506"/>
      <c r="AS78" s="506"/>
      <c r="AT78" s="506"/>
      <c r="AU78" s="506"/>
      <c r="AV78" s="506"/>
      <c r="AW78" s="506"/>
      <c r="AX78" s="506"/>
      <c r="AY78" s="506"/>
      <c r="AZ78" s="506"/>
      <c r="BA78" s="506"/>
      <c r="BB78" s="506"/>
      <c r="BC78" s="506"/>
      <c r="BD78" s="506"/>
      <c r="BE78" s="506"/>
      <c r="BF78" s="506"/>
      <c r="BG78" s="506"/>
      <c r="BH78" s="506"/>
      <c r="BI78" s="506"/>
      <c r="BJ78" s="506"/>
      <c r="BK78" s="506"/>
      <c r="BL78" s="445"/>
      <c r="BM78" s="445"/>
      <c r="BN78" s="449"/>
      <c r="BO78" s="573"/>
      <c r="BP78" s="610"/>
      <c r="BQ78" s="611"/>
    </row>
    <row r="79" spans="1:69" ht="46" customHeight="1">
      <c r="A79" s="2862"/>
      <c r="B79" s="2913" t="s">
        <v>2315</v>
      </c>
      <c r="C79" s="372">
        <f>C77+1</f>
        <v>22</v>
      </c>
      <c r="D79" s="2871">
        <f>IF(_xlfn.XLOOKUP(E79,[51]宿泊施設DB!$B$3:$B$206,[51]宿泊施設DB!$A$3:$A$206,"",)=0,"",_xlfn.XLOOKUP(E79,[51]宿泊施設DB!$B$3:$B$206,[51]宿泊施設DB!$A$3:$A$206,"",))</f>
        <v>229</v>
      </c>
      <c r="E79" s="572" t="s">
        <v>2316</v>
      </c>
      <c r="F79" s="2872">
        <f>_xlfn.XLOOKUP($E79,[51]宿泊施設DB!$B$3:$B$206,[51]宿泊施設DB!$D$3:$D$206,"",)</f>
        <v>107</v>
      </c>
      <c r="G79" s="2872">
        <f>_xlfn.XLOOKUP($E79,[51]宿泊施設DB!$B$3:$B$206,[51]宿泊施設DB!$E$3:$E$206,"",)</f>
        <v>119</v>
      </c>
      <c r="H79" s="2873">
        <f>_xlfn.XLOOKUP($E79,[51]宿泊施設DB!$B$3:$B$206,[51]宿泊施設DB!$J$3:$J$206,"",)</f>
        <v>2</v>
      </c>
      <c r="I79" s="2874" t="str">
        <f>_xlfn.XLOOKUP($E79,[51]宿泊施設DB!$B$3:$B$206,[51]宿泊施設DB!$T$3:$T$206,"",)</f>
        <v>中</v>
      </c>
      <c r="J79" s="2874" t="str">
        <f>_xlfn.XLOOKUP($E79,[51]宿泊施設DB!$B$3:$B$206,[51]宿泊施設DB!$R$3:$R$206,"",)</f>
        <v>宿泊施設</v>
      </c>
      <c r="K79" s="2873">
        <f>_xlfn.XLOOKUP($E79,[51]宿泊施設DB!$B$3:$B$206,[51]宿泊施設DB!$S$3:$S$206,"",)</f>
        <v>50</v>
      </c>
      <c r="L79" s="2914" t="str">
        <f>_xlfn.XLOOKUP($E79,[51]宿泊施設DB!$B$3:$B$206,[51]宿泊施設DB!$U$3:$U$206,"",)</f>
        <v>－</v>
      </c>
      <c r="M79" s="2874" t="str">
        <f>_xlfn.XLOOKUP($E79,[51]宿泊施設DB!$B$3:$B$206,[51]宿泊施設DB!$V$3:$V$206,"",)</f>
        <v>－</v>
      </c>
      <c r="N79" s="2874" t="str">
        <f>_xlfn.XLOOKUP($E79,[51]宿泊施設DB!$B$3:$B$206,[51]宿泊施設DB!$W$3:$W$206,"",)</f>
        <v>－</v>
      </c>
      <c r="O79" s="2874" t="str">
        <f>_xlfn.XLOOKUP($E79,[51]宿泊施設DB!$B$3:$B$206,[51]宿泊施設DB!$X$3:$X$206,"",)</f>
        <v>専用乗降場所（屋根無）3台</v>
      </c>
      <c r="P79" s="377" t="str">
        <f t="shared" si="2"/>
        <v>○</v>
      </c>
      <c r="Q79" s="377"/>
      <c r="R79" s="372" t="s">
        <v>2136</v>
      </c>
      <c r="S79" s="539" t="s">
        <v>2477</v>
      </c>
      <c r="T79" s="540" t="str">
        <f>IFERROR(VLOOKUP($S79,'[51]競技情報DB(12,000人ver)'!$A$6:$D$201,2,),"－")</f>
        <v>岡崎市</v>
      </c>
      <c r="U79" s="541">
        <f>_xlfn.XLOOKUP(S79,'[51]競技情報DB(12,000人ver)'!$A$6:$A$99,'[51]競技情報DB(12,000人ver)'!$D$6:$D$99,"",0,)</f>
        <v>80</v>
      </c>
      <c r="V79" s="648">
        <f>SUM(U79:U79)</f>
        <v>80</v>
      </c>
      <c r="W79" s="542">
        <v>6.5</v>
      </c>
      <c r="X79" s="543">
        <v>14</v>
      </c>
      <c r="Y79" s="318">
        <f>$G79-MAX(AF79:BN79)</f>
        <v>39</v>
      </c>
      <c r="Z79" s="647">
        <f>+Y79/$G79</f>
        <v>0.32773109243697479</v>
      </c>
      <c r="AA79" s="515" t="str">
        <f>E79&amp;"　"&amp;"合計"</f>
        <v>岡崎オーワホテル　合計</v>
      </c>
      <c r="AB79" s="2951">
        <v>45545</v>
      </c>
      <c r="AC79" s="2951">
        <v>45570</v>
      </c>
      <c r="AD79" s="2943">
        <v>25</v>
      </c>
      <c r="AE79" s="396" t="s">
        <v>2175</v>
      </c>
      <c r="AF79" s="398">
        <f>+_xlfn.XLOOKUP($AA79,'[51]②配宿シュミレーション(12,000人ver)'!$AO$6:$AO$674,'[51]②配宿シュミレーション(12,000人ver)'!AP$6:AP$674,)</f>
        <v>0</v>
      </c>
      <c r="AG79" s="398">
        <f>+_xlfn.XLOOKUP($AA79,'[51]②配宿シュミレーション(12,000人ver)'!$AO$6:$AO$674,'[51]②配宿シュミレーション(12,000人ver)'!AQ$6:AQ$674,)</f>
        <v>0</v>
      </c>
      <c r="AH79" s="398">
        <f>+_xlfn.XLOOKUP($AA79,'[51]②配宿シュミレーション(12,000人ver)'!$AO$6:$AO$674,'[51]②配宿シュミレーション(12,000人ver)'!AR$6:AR$674,)</f>
        <v>0</v>
      </c>
      <c r="AI79" s="398">
        <f>+_xlfn.XLOOKUP($AA79,'[51]②配宿シュミレーション(12,000人ver)'!$AO$6:$AO$674,'[51]②配宿シュミレーション(12,000人ver)'!AS$6:AS$674,)</f>
        <v>0</v>
      </c>
      <c r="AJ79" s="398">
        <f>+_xlfn.XLOOKUP($AA79,'[51]②配宿シュミレーション(12,000人ver)'!$AO$6:$AO$674,'[51]②配宿シュミレーション(12,000人ver)'!AT$6:AT$674,)</f>
        <v>0</v>
      </c>
      <c r="AK79" s="398">
        <f>+_xlfn.XLOOKUP($AA79,'[51]②配宿シュミレーション(12,000人ver)'!$AO$6:$AO$674,'[51]②配宿シュミレーション(12,000人ver)'!AU$6:AU$674,)</f>
        <v>0</v>
      </c>
      <c r="AL79" s="2880" t="s">
        <v>2447</v>
      </c>
      <c r="AM79" s="2880" t="s">
        <v>2447</v>
      </c>
      <c r="AN79" s="398">
        <f>+_xlfn.XLOOKUP($AA79,'[51]②配宿シュミレーション(12,000人ver)'!$AO$6:$AO$674,'[51]②配宿シュミレーション(12,000人ver)'!AX$6:AX$674,)</f>
        <v>80</v>
      </c>
      <c r="AO79" s="398">
        <f>+_xlfn.XLOOKUP($AA79,'[51]②配宿シュミレーション(12,000人ver)'!$AO$6:$AO$674,'[51]②配宿シュミレーション(12,000人ver)'!AY$6:AY$674,)</f>
        <v>80</v>
      </c>
      <c r="AP79" s="398">
        <f>+_xlfn.XLOOKUP($AA79,'[51]②配宿シュミレーション(12,000人ver)'!$AO$6:$AO$674,'[51]②配宿シュミレーション(12,000人ver)'!AZ$6:AZ$674,)</f>
        <v>80</v>
      </c>
      <c r="AQ79" s="398">
        <f>+_xlfn.XLOOKUP($AA79,'[51]②配宿シュミレーション(12,000人ver)'!$AO$6:$AO$674,'[51]②配宿シュミレーション(12,000人ver)'!BA$6:BA$674,)</f>
        <v>80</v>
      </c>
      <c r="AR79" s="398">
        <f>+_xlfn.XLOOKUP($AA79,'[51]②配宿シュミレーション(12,000人ver)'!$AO$6:$AO$674,'[51]②配宿シュミレーション(12,000人ver)'!BB$6:BB$674,)</f>
        <v>80</v>
      </c>
      <c r="AS79" s="398">
        <f>+_xlfn.XLOOKUP($AA79,'[51]②配宿シュミレーション(12,000人ver)'!$AO$6:$AO$674,'[51]②配宿シュミレーション(12,000人ver)'!BC$6:BC$674,)</f>
        <v>80</v>
      </c>
      <c r="AT79" s="398">
        <f>+_xlfn.XLOOKUP($AA79,'[51]②配宿シュミレーション(12,000人ver)'!$AO$6:$AO$674,'[51]②配宿シュミレーション(12,000人ver)'!BD$6:BD$674,)</f>
        <v>80</v>
      </c>
      <c r="AU79" s="398">
        <f>+_xlfn.XLOOKUP($AA79,'[51]②配宿シュミレーション(12,000人ver)'!$AO$6:$AO$674,'[51]②配宿シュミレーション(12,000人ver)'!BE$6:BE$674,)</f>
        <v>80</v>
      </c>
      <c r="AV79" s="398">
        <f>+_xlfn.XLOOKUP($AA79,'[51]②配宿シュミレーション(12,000人ver)'!$AO$6:$AO$674,'[51]②配宿シュミレーション(12,000人ver)'!BF$6:BF$674,)</f>
        <v>80</v>
      </c>
      <c r="AW79" s="398">
        <f>+_xlfn.XLOOKUP($AA79,'[51]②配宿シュミレーション(12,000人ver)'!$AO$6:$AO$674,'[51]②配宿シュミレーション(12,000人ver)'!BG$6:BG$674,)</f>
        <v>80</v>
      </c>
      <c r="AX79" s="398">
        <f>+_xlfn.XLOOKUP($AA79,'[51]②配宿シュミレーション(12,000人ver)'!$AO$6:$AO$674,'[51]②配宿シュミレーション(12,000人ver)'!BH$6:BH$674,)</f>
        <v>80</v>
      </c>
      <c r="AY79" s="398">
        <f>+_xlfn.XLOOKUP($AA79,'[51]②配宿シュミレーション(12,000人ver)'!$AO$6:$AO$674,'[51]②配宿シュミレーション(12,000人ver)'!BI$6:BI$674,)</f>
        <v>80</v>
      </c>
      <c r="AZ79" s="398">
        <f>+_xlfn.XLOOKUP($AA79,'[51]②配宿シュミレーション(12,000人ver)'!$AO$6:$AO$674,'[51]②配宿シュミレーション(12,000人ver)'!BJ$6:BJ$674,)</f>
        <v>80</v>
      </c>
      <c r="BA79" s="398">
        <f>+_xlfn.XLOOKUP($AA79,'[51]②配宿シュミレーション(12,000人ver)'!$AO$6:$AO$674,'[51]②配宿シュミレーション(12,000人ver)'!BK$6:BK$674,)</f>
        <v>80</v>
      </c>
      <c r="BB79" s="398">
        <f>+_xlfn.XLOOKUP($AA79,'[51]②配宿シュミレーション(12,000人ver)'!$AO$6:$AO$674,'[51]②配宿シュミレーション(12,000人ver)'!BL$6:BL$674,)</f>
        <v>80</v>
      </c>
      <c r="BC79" s="398">
        <f>+_xlfn.XLOOKUP($AA79,'[51]②配宿シュミレーション(12,000人ver)'!$AO$6:$AO$674,'[51]②配宿シュミレーション(12,000人ver)'!BM$6:BM$674,)</f>
        <v>80</v>
      </c>
      <c r="BD79" s="398">
        <f>+_xlfn.XLOOKUP($AA79,'[51]②配宿シュミレーション(12,000人ver)'!$AO$6:$AO$674,'[51]②配宿シュミレーション(12,000人ver)'!BN$6:BN$674,)</f>
        <v>80</v>
      </c>
      <c r="BE79" s="398">
        <f>+_xlfn.XLOOKUP($AA79,'[51]②配宿シュミレーション(12,000人ver)'!$AO$6:$AO$674,'[51]②配宿シュミレーション(12,000人ver)'!BO$6:BO$674,)</f>
        <v>80</v>
      </c>
      <c r="BF79" s="398">
        <f>+_xlfn.XLOOKUP($AA79,'[51]②配宿シュミレーション(12,000人ver)'!$AO$6:$AO$674,'[51]②配宿シュミレーション(12,000人ver)'!BP$6:BP$674,)</f>
        <v>80</v>
      </c>
      <c r="BG79" s="398">
        <f>+_xlfn.XLOOKUP($AA79,'[51]②配宿シュミレーション(12,000人ver)'!$AO$6:$AO$674,'[51]②配宿シュミレーション(12,000人ver)'!BQ$6:BQ$674,)</f>
        <v>80</v>
      </c>
      <c r="BH79" s="398">
        <f>+_xlfn.XLOOKUP($AA79,'[51]②配宿シュミレーション(12,000人ver)'!$AO$6:$AO$674,'[51]②配宿シュミレーション(12,000人ver)'!BR$6:BR$674,)</f>
        <v>80</v>
      </c>
      <c r="BI79" s="398">
        <f>+_xlfn.XLOOKUP($AA79,'[51]②配宿シュミレーション(12,000人ver)'!$AO$6:$AO$674,'[51]②配宿シュミレーション(12,000人ver)'!BS$6:BS$674,)</f>
        <v>80</v>
      </c>
      <c r="BJ79" s="398">
        <f>+_xlfn.XLOOKUP($AA79,'[51]②配宿シュミレーション(12,000人ver)'!$AO$6:$AO$674,'[51]②配宿シュミレーション(12,000人ver)'!BT$6:BT$674,)</f>
        <v>80</v>
      </c>
      <c r="BK79" s="2881" t="s">
        <v>2448</v>
      </c>
      <c r="BL79" s="398">
        <f>+_xlfn.XLOOKUP($AA79,'[51]②配宿シュミレーション(12,000人ver)'!$AO$6:$AO$674,'[51]②配宿シュミレーション(12,000人ver)'!BV$6:BV$674,)</f>
        <v>0</v>
      </c>
      <c r="BM79" s="398">
        <f>+_xlfn.XLOOKUP($AA79,'[51]②配宿シュミレーション(12,000人ver)'!$AO$6:$AO$674,'[51]②配宿シュミレーション(12,000人ver)'!BW$6:BW$674,)</f>
        <v>0</v>
      </c>
      <c r="BN79" s="472">
        <f>+_xlfn.XLOOKUP($AA79,'[51]②配宿シュミレーション(12,000人ver)'!$AO$6:$AO$674,'[51]②配宿シュミレーション(12,000人ver)'!BX$6:BX$674,)</f>
        <v>0</v>
      </c>
      <c r="BO79" s="573"/>
      <c r="BP79" s="574"/>
      <c r="BQ79" s="575"/>
    </row>
    <row r="80" spans="1:69" s="521" customFormat="1" ht="46" customHeight="1" thickBot="1">
      <c r="A80" s="2862"/>
      <c r="B80" s="2863"/>
      <c r="C80" s="420"/>
      <c r="D80" s="421" t="str">
        <f>IF(_xlfn.XLOOKUP(E80,[51]宿泊施設DB!$B$3:$B$206,[51]宿泊施設DB!$A$3:$A$206,"",)=0,"",_xlfn.XLOOKUP(E80,[51]宿泊施設DB!$B$3:$B$206,[51]宿泊施設DB!$A$3:$A$206,"",))</f>
        <v/>
      </c>
      <c r="E80" s="612"/>
      <c r="F80" s="2875">
        <f>_xlfn.XLOOKUP($E80,[51]宿泊施設DB!$B$3:$B$206,[51]宿泊施設DB!$D$3:$D$206,"",)</f>
        <v>0</v>
      </c>
      <c r="G80" s="2875">
        <f>_xlfn.XLOOKUP($E80,[51]宿泊施設DB!$B$3:$B$206,[51]宿泊施設DB!$E$3:$E$206,"",)</f>
        <v>0</v>
      </c>
      <c r="H80" s="2877">
        <f>_xlfn.XLOOKUP($E80,[51]宿泊施設DB!$B$3:$B$206,[51]宿泊施設DB!$J$3:$J$206,"",)</f>
        <v>0</v>
      </c>
      <c r="I80" s="2878">
        <f>_xlfn.XLOOKUP($E80,[51]宿泊施設DB!$B$3:$B$206,[51]宿泊施設DB!$T$3:$T$206,"",)</f>
        <v>0</v>
      </c>
      <c r="J80" s="2878">
        <f>_xlfn.XLOOKUP($E80,[51]宿泊施設DB!$B$3:$B$206,[51]宿泊施設DB!$R$3:$R$206,"",)</f>
        <v>0</v>
      </c>
      <c r="K80" s="2877">
        <f>_xlfn.XLOOKUP($E80,[51]宿泊施設DB!$B$3:$B$206,[51]宿泊施設DB!$S$3:$S$206,"",)</f>
        <v>0</v>
      </c>
      <c r="L80" s="2916">
        <f>_xlfn.XLOOKUP($E80,[51]宿泊施設DB!$B$3:$B$206,[51]宿泊施設DB!$U$3:$U$206,"",)</f>
        <v>0</v>
      </c>
      <c r="M80" s="2878">
        <f>_xlfn.XLOOKUP($E80,[51]宿泊施設DB!$B$3:$B$206,[51]宿泊施設DB!$V$3:$V$206,"",)</f>
        <v>0</v>
      </c>
      <c r="N80" s="2878">
        <f>_xlfn.XLOOKUP($E80,[51]宿泊施設DB!$B$3:$B$206,[51]宿泊施設DB!$W$3:$W$206,"",)</f>
        <v>0</v>
      </c>
      <c r="O80" s="2878">
        <f>_xlfn.XLOOKUP($E80,[51]宿泊施設DB!$B$3:$B$206,[51]宿泊施設DB!$X$3:$X$206,"",)</f>
        <v>0</v>
      </c>
      <c r="P80" s="426" t="str">
        <f t="shared" si="2"/>
        <v/>
      </c>
      <c r="Q80" s="426"/>
      <c r="R80" s="420"/>
      <c r="S80" s="477"/>
      <c r="T80" s="478" t="str">
        <f>IFERROR(VLOOKUP($S80,'[51]競技情報DB(12,000人ver)'!$A$6:$D$201,2,),"－")</f>
        <v>－</v>
      </c>
      <c r="U80" s="479">
        <f>_xlfn.XLOOKUP(S80,'[51]競技情報DB(12,000人ver)'!$A$6:$A$99,'[51]競技情報DB(12,000人ver)'!$D$6:$D$99,"",0,)</f>
        <v>0</v>
      </c>
      <c r="V80" s="653"/>
      <c r="W80" s="480"/>
      <c r="X80" s="654"/>
      <c r="Y80" s="442"/>
      <c r="Z80" s="652"/>
      <c r="AA80" s="517"/>
      <c r="AB80" s="2952"/>
      <c r="AC80" s="2952"/>
      <c r="AD80" s="2953"/>
      <c r="AE80" s="518"/>
      <c r="AF80" s="445"/>
      <c r="AG80" s="445"/>
      <c r="AH80" s="445"/>
      <c r="AI80" s="445"/>
      <c r="AJ80" s="445"/>
      <c r="AK80" s="445"/>
      <c r="AL80" s="445"/>
      <c r="AM80" s="445"/>
      <c r="AN80" s="445"/>
      <c r="AO80" s="445"/>
      <c r="AP80" s="445"/>
      <c r="AQ80" s="445"/>
      <c r="AR80" s="445"/>
      <c r="AS80" s="445"/>
      <c r="AT80" s="445"/>
      <c r="AU80" s="445"/>
      <c r="AV80" s="445"/>
      <c r="AW80" s="445"/>
      <c r="AX80" s="445"/>
      <c r="AY80" s="445"/>
      <c r="AZ80" s="445"/>
      <c r="BA80" s="445"/>
      <c r="BB80" s="445"/>
      <c r="BC80" s="445"/>
      <c r="BD80" s="445"/>
      <c r="BE80" s="445"/>
      <c r="BF80" s="445"/>
      <c r="BG80" s="445"/>
      <c r="BH80" s="445"/>
      <c r="BI80" s="445"/>
      <c r="BJ80" s="445"/>
      <c r="BK80" s="445"/>
      <c r="BL80" s="445"/>
      <c r="BM80" s="445"/>
      <c r="BN80" s="449"/>
      <c r="BO80" s="573"/>
      <c r="BP80" s="614"/>
      <c r="BQ80" s="615"/>
    </row>
    <row r="81" spans="1:69" ht="46" customHeight="1">
      <c r="A81" s="2851" t="s">
        <v>2330</v>
      </c>
      <c r="B81" s="2852" t="s">
        <v>2331</v>
      </c>
      <c r="C81" s="248">
        <f>C79+1</f>
        <v>23</v>
      </c>
      <c r="D81" s="249">
        <f>IF(_xlfn.XLOOKUP(E81,[51]宿泊施設DB!$B$3:$B$206,[51]宿泊施設DB!$A$3:$A$206,"",)=0,"",_xlfn.XLOOKUP(E81,[51]宿泊施設DB!$B$3:$B$206,[51]宿泊施設DB!$A$3:$A$206,"",))</f>
        <v>249</v>
      </c>
      <c r="E81" s="593" t="s">
        <v>2332</v>
      </c>
      <c r="F81" s="2854">
        <f>_xlfn.XLOOKUP($E81,[51]宿泊施設DB!$B$3:$B$206,[51]宿泊施設DB!$D$3:$D$206,"",)</f>
        <v>101</v>
      </c>
      <c r="G81" s="2854">
        <f>_xlfn.XLOOKUP($E81,[51]宿泊施設DB!$B$3:$B$206,[51]宿泊施設DB!$E$3:$E$206,"",)</f>
        <v>245</v>
      </c>
      <c r="H81" s="2904">
        <f>_xlfn.XLOOKUP($E81,[51]宿泊施設DB!$B$3:$B$206,[51]宿泊施設DB!$J$3:$J$206,"",)</f>
        <v>20</v>
      </c>
      <c r="I81" s="2857" t="str">
        <f>_xlfn.XLOOKUP($E81,[51]宿泊施設DB!$B$3:$B$206,[51]宿泊施設DB!$T$3:$T$206,"",)</f>
        <v>中</v>
      </c>
      <c r="J81" s="2857" t="str">
        <f>_xlfn.XLOOKUP($E81,[51]宿泊施設DB!$B$3:$B$206,[51]宿泊施設DB!$R$3:$R$206,"",)</f>
        <v>宿泊施設</v>
      </c>
      <c r="K81" s="2904">
        <f>_xlfn.XLOOKUP($E81,[51]宿泊施設DB!$B$3:$B$206,[51]宿泊施設DB!$S$3:$S$206,"",)</f>
        <v>100</v>
      </c>
      <c r="L81" s="2917" t="str">
        <f>_xlfn.XLOOKUP($E81,[51]宿泊施設DB!$B$3:$B$206,[51]宿泊施設DB!$U$3:$U$206,"",)</f>
        <v>－</v>
      </c>
      <c r="M81" s="2857" t="str">
        <f>_xlfn.XLOOKUP($E81,[51]宿泊施設DB!$B$3:$B$206,[51]宿泊施設DB!$V$3:$V$206,"",)</f>
        <v>○</v>
      </c>
      <c r="N81" s="2857" t="str">
        <f>_xlfn.XLOOKUP($E81,[51]宿泊施設DB!$B$3:$B$206,[51]宿泊施設DB!$W$3:$W$206,"",)</f>
        <v>○</v>
      </c>
      <c r="O81" s="2857" t="str">
        <f>_xlfn.XLOOKUP($E81,[51]宿泊施設DB!$B$3:$B$206,[51]宿泊施設DB!$X$3:$X$206,"",)</f>
        <v>玄関前（屋根付）3台</v>
      </c>
      <c r="P81" s="258" t="str">
        <f t="shared" si="2"/>
        <v>○</v>
      </c>
      <c r="Q81" s="258"/>
      <c r="R81" s="248" t="s">
        <v>2169</v>
      </c>
      <c r="S81" s="600" t="s">
        <v>2478</v>
      </c>
      <c r="T81" s="601" t="str">
        <f>IFERROR(VLOOKUP($S81,'[51]競技情報DB(12,000人ver)'!$A$6:$D$201,2,),"－")</f>
        <v>岡崎市</v>
      </c>
      <c r="U81" s="602">
        <f>_xlfn.XLOOKUP(S81,'[51]競技情報DB(12,000人ver)'!$A$6:$A$99,'[51]競技情報DB(12,000人ver)'!$D$6:$D$99,"",0,)</f>
        <v>170</v>
      </c>
      <c r="V81" s="681">
        <f>SUM(U81:U81)</f>
        <v>170</v>
      </c>
      <c r="W81" s="603">
        <v>29.7</v>
      </c>
      <c r="X81" s="682">
        <v>38</v>
      </c>
      <c r="Y81" s="318">
        <f>$G81-MAX(AF81:BN81)</f>
        <v>75</v>
      </c>
      <c r="Z81" s="680">
        <f>+Y81/$G81</f>
        <v>0.30612244897959184</v>
      </c>
      <c r="AA81" s="275" t="str">
        <f>E81&amp;"　"&amp;"合計"</f>
        <v>ホテル明山荘　合計</v>
      </c>
      <c r="AB81" s="2954">
        <v>45545</v>
      </c>
      <c r="AC81" s="2954">
        <v>45570</v>
      </c>
      <c r="AD81" s="2943">
        <v>25</v>
      </c>
      <c r="AE81" s="276" t="s">
        <v>2175</v>
      </c>
      <c r="AF81" s="493">
        <f>+_xlfn.XLOOKUP($AA81,'[51]②配宿シュミレーション(12,000人ver)'!$AO$6:$AO$674,'[51]②配宿シュミレーション(12,000人ver)'!AP$6:AP$674,)</f>
        <v>0</v>
      </c>
      <c r="AG81" s="493">
        <f>+_xlfn.XLOOKUP($AA81,'[51]②配宿シュミレーション(12,000人ver)'!$AO$6:$AO$674,'[51]②配宿シュミレーション(12,000人ver)'!AQ$6:AQ$674,)</f>
        <v>0</v>
      </c>
      <c r="AH81" s="493">
        <f>+_xlfn.XLOOKUP($AA81,'[51]②配宿シュミレーション(12,000人ver)'!$AO$6:$AO$674,'[51]②配宿シュミレーション(12,000人ver)'!AR$6:AR$674,)</f>
        <v>0</v>
      </c>
      <c r="AI81" s="493">
        <f>+_xlfn.XLOOKUP($AA81,'[51]②配宿シュミレーション(12,000人ver)'!$AO$6:$AO$674,'[51]②配宿シュミレーション(12,000人ver)'!AS$6:AS$674,)</f>
        <v>0</v>
      </c>
      <c r="AJ81" s="493">
        <f>+_xlfn.XLOOKUP($AA81,'[51]②配宿シュミレーション(12,000人ver)'!$AO$6:$AO$674,'[51]②配宿シュミレーション(12,000人ver)'!AT$6:AT$674,)</f>
        <v>0</v>
      </c>
      <c r="AK81" s="493">
        <f>+_xlfn.XLOOKUP($AA81,'[51]②配宿シュミレーション(12,000人ver)'!$AO$6:$AO$674,'[51]②配宿シュミレーション(12,000人ver)'!AU$6:AU$674,)</f>
        <v>0</v>
      </c>
      <c r="AL81" s="2860" t="s">
        <v>2447</v>
      </c>
      <c r="AM81" s="2860" t="s">
        <v>2447</v>
      </c>
      <c r="AN81" s="493">
        <f>+_xlfn.XLOOKUP($AA81,'[51]②配宿シュミレーション(12,000人ver)'!$AO$6:$AO$674,'[51]②配宿シュミレーション(12,000人ver)'!AX$6:AX$674,)</f>
        <v>170</v>
      </c>
      <c r="AO81" s="493">
        <f>+_xlfn.XLOOKUP($AA81,'[51]②配宿シュミレーション(12,000人ver)'!$AO$6:$AO$674,'[51]②配宿シュミレーション(12,000人ver)'!AY$6:AY$674,)</f>
        <v>170</v>
      </c>
      <c r="AP81" s="493">
        <f>+_xlfn.XLOOKUP($AA81,'[51]②配宿シュミレーション(12,000人ver)'!$AO$6:$AO$674,'[51]②配宿シュミレーション(12,000人ver)'!AZ$6:AZ$674,)</f>
        <v>170</v>
      </c>
      <c r="AQ81" s="493">
        <f>+_xlfn.XLOOKUP($AA81,'[51]②配宿シュミレーション(12,000人ver)'!$AO$6:$AO$674,'[51]②配宿シュミレーション(12,000人ver)'!BA$6:BA$674,)</f>
        <v>170</v>
      </c>
      <c r="AR81" s="493">
        <f>+_xlfn.XLOOKUP($AA81,'[51]②配宿シュミレーション(12,000人ver)'!$AO$6:$AO$674,'[51]②配宿シュミレーション(12,000人ver)'!BB$6:BB$674,)</f>
        <v>170</v>
      </c>
      <c r="AS81" s="493">
        <f>+_xlfn.XLOOKUP($AA81,'[51]②配宿シュミレーション(12,000人ver)'!$AO$6:$AO$674,'[51]②配宿シュミレーション(12,000人ver)'!BC$6:BC$674,)</f>
        <v>170</v>
      </c>
      <c r="AT81" s="493">
        <f>+_xlfn.XLOOKUP($AA81,'[51]②配宿シュミレーション(12,000人ver)'!$AO$6:$AO$674,'[51]②配宿シュミレーション(12,000人ver)'!BD$6:BD$674,)</f>
        <v>170</v>
      </c>
      <c r="AU81" s="493">
        <f>+_xlfn.XLOOKUP($AA81,'[51]②配宿シュミレーション(12,000人ver)'!$AO$6:$AO$674,'[51]②配宿シュミレーション(12,000人ver)'!BE$6:BE$674,)</f>
        <v>170</v>
      </c>
      <c r="AV81" s="493">
        <f>+_xlfn.XLOOKUP($AA81,'[51]②配宿シュミレーション(12,000人ver)'!$AO$6:$AO$674,'[51]②配宿シュミレーション(12,000人ver)'!BF$6:BF$674,)</f>
        <v>170</v>
      </c>
      <c r="AW81" s="493">
        <f>+_xlfn.XLOOKUP($AA81,'[51]②配宿シュミレーション(12,000人ver)'!$AO$6:$AO$674,'[51]②配宿シュミレーション(12,000人ver)'!BG$6:BG$674,)</f>
        <v>170</v>
      </c>
      <c r="AX81" s="493">
        <f>+_xlfn.XLOOKUP($AA81,'[51]②配宿シュミレーション(12,000人ver)'!$AO$6:$AO$674,'[51]②配宿シュミレーション(12,000人ver)'!BH$6:BH$674,)</f>
        <v>170</v>
      </c>
      <c r="AY81" s="493">
        <f>+_xlfn.XLOOKUP($AA81,'[51]②配宿シュミレーション(12,000人ver)'!$AO$6:$AO$674,'[51]②配宿シュミレーション(12,000人ver)'!BI$6:BI$674,)</f>
        <v>170</v>
      </c>
      <c r="AZ81" s="493">
        <f>+_xlfn.XLOOKUP($AA81,'[51]②配宿シュミレーション(12,000人ver)'!$AO$6:$AO$674,'[51]②配宿シュミレーション(12,000人ver)'!BJ$6:BJ$674,)</f>
        <v>170</v>
      </c>
      <c r="BA81" s="493">
        <f>+_xlfn.XLOOKUP($AA81,'[51]②配宿シュミレーション(12,000人ver)'!$AO$6:$AO$674,'[51]②配宿シュミレーション(12,000人ver)'!BK$6:BK$674,)</f>
        <v>170</v>
      </c>
      <c r="BB81" s="493">
        <f>+_xlfn.XLOOKUP($AA81,'[51]②配宿シュミレーション(12,000人ver)'!$AO$6:$AO$674,'[51]②配宿シュミレーション(12,000人ver)'!BL$6:BL$674,)</f>
        <v>170</v>
      </c>
      <c r="BC81" s="493">
        <f>+_xlfn.XLOOKUP($AA81,'[51]②配宿シュミレーション(12,000人ver)'!$AO$6:$AO$674,'[51]②配宿シュミレーション(12,000人ver)'!BM$6:BM$674,)</f>
        <v>170</v>
      </c>
      <c r="BD81" s="493">
        <f>+_xlfn.XLOOKUP($AA81,'[51]②配宿シュミレーション(12,000人ver)'!$AO$6:$AO$674,'[51]②配宿シュミレーション(12,000人ver)'!BN$6:BN$674,)</f>
        <v>170</v>
      </c>
      <c r="BE81" s="493">
        <f>+_xlfn.XLOOKUP($AA81,'[51]②配宿シュミレーション(12,000人ver)'!$AO$6:$AO$674,'[51]②配宿シュミレーション(12,000人ver)'!BO$6:BO$674,)</f>
        <v>170</v>
      </c>
      <c r="BF81" s="493">
        <f>+_xlfn.XLOOKUP($AA81,'[51]②配宿シュミレーション(12,000人ver)'!$AO$6:$AO$674,'[51]②配宿シュミレーション(12,000人ver)'!BP$6:BP$674,)</f>
        <v>170</v>
      </c>
      <c r="BG81" s="493">
        <f>+_xlfn.XLOOKUP($AA81,'[51]②配宿シュミレーション(12,000人ver)'!$AO$6:$AO$674,'[51]②配宿シュミレーション(12,000人ver)'!BQ$6:BQ$674,)</f>
        <v>170</v>
      </c>
      <c r="BH81" s="493">
        <f>+_xlfn.XLOOKUP($AA81,'[51]②配宿シュミレーション(12,000人ver)'!$AO$6:$AO$674,'[51]②配宿シュミレーション(12,000人ver)'!BR$6:BR$674,)</f>
        <v>170</v>
      </c>
      <c r="BI81" s="493">
        <f>+_xlfn.XLOOKUP($AA81,'[51]②配宿シュミレーション(12,000人ver)'!$AO$6:$AO$674,'[51]②配宿シュミレーション(12,000人ver)'!BS$6:BS$674,)</f>
        <v>170</v>
      </c>
      <c r="BJ81" s="493">
        <f>+_xlfn.XLOOKUP($AA81,'[51]②配宿シュミレーション(12,000人ver)'!$AO$6:$AO$674,'[51]②配宿シュミレーション(12,000人ver)'!BT$6:BT$674,)</f>
        <v>170</v>
      </c>
      <c r="BK81" s="2861" t="s">
        <v>2448</v>
      </c>
      <c r="BL81" s="493">
        <f>+_xlfn.XLOOKUP($AA81,'[51]②配宿シュミレーション(12,000人ver)'!$AO$6:$AO$674,'[51]②配宿シュミレーション(12,000人ver)'!BV$6:BV$674,)</f>
        <v>0</v>
      </c>
      <c r="BM81" s="493">
        <f>+_xlfn.XLOOKUP($AA81,'[51]②配宿シュミレーション(12,000人ver)'!$AO$6:$AO$674,'[51]②配宿シュミレーション(12,000人ver)'!BW$6:BW$674,)</f>
        <v>0</v>
      </c>
      <c r="BN81" s="499">
        <f>+_xlfn.XLOOKUP($AA81,'[51]②配宿シュミレーション(12,000人ver)'!$AO$6:$AO$674,'[51]②配宿シュミレーション(12,000人ver)'!BX$6:BX$674,)</f>
        <v>0</v>
      </c>
      <c r="BO81" s="573"/>
      <c r="BP81" s="607"/>
      <c r="BQ81" s="608"/>
    </row>
    <row r="82" spans="1:69" s="521" customFormat="1" ht="46" customHeight="1" thickBot="1">
      <c r="A82" s="2862"/>
      <c r="B82" s="2863"/>
      <c r="C82" s="420"/>
      <c r="D82" s="421" t="str">
        <f>IF(_xlfn.XLOOKUP(E82,[51]宿泊施設DB!$B$3:$B$206,[51]宿泊施設DB!$A$3:$A$206,"",)=0,"",_xlfn.XLOOKUP(E82,[51]宿泊施設DB!$B$3:$B$206,[51]宿泊施設DB!$A$3:$A$206,"",))</f>
        <v/>
      </c>
      <c r="E82" s="612"/>
      <c r="F82" s="2875">
        <f>_xlfn.XLOOKUP($E82,[51]宿泊施設DB!$B$3:$B$206,[51]宿泊施設DB!$D$3:$D$206,"",)</f>
        <v>0</v>
      </c>
      <c r="G82" s="2875">
        <f>_xlfn.XLOOKUP($E82,[51]宿泊施設DB!$B$3:$B$206,[51]宿泊施設DB!$E$3:$E$206,"",)</f>
        <v>0</v>
      </c>
      <c r="H82" s="2877">
        <f>_xlfn.XLOOKUP($E82,[51]宿泊施設DB!$B$3:$B$206,[51]宿泊施設DB!$J$3:$J$206,"",)</f>
        <v>0</v>
      </c>
      <c r="I82" s="2878">
        <f>_xlfn.XLOOKUP($E82,[51]宿泊施設DB!$B$3:$B$206,[51]宿泊施設DB!$T$3:$T$206,"",)</f>
        <v>0</v>
      </c>
      <c r="J82" s="2878">
        <f>_xlfn.XLOOKUP($E82,[51]宿泊施設DB!$B$3:$B$206,[51]宿泊施設DB!$R$3:$R$206,"",)</f>
        <v>0</v>
      </c>
      <c r="K82" s="2877">
        <f>_xlfn.XLOOKUP($E82,[51]宿泊施設DB!$B$3:$B$206,[51]宿泊施設DB!$S$3:$S$206,"",)</f>
        <v>0</v>
      </c>
      <c r="L82" s="2916">
        <f>_xlfn.XLOOKUP($E82,[51]宿泊施設DB!$B$3:$B$206,[51]宿泊施設DB!$U$3:$U$206,"",)</f>
        <v>0</v>
      </c>
      <c r="M82" s="2878">
        <f>_xlfn.XLOOKUP($E82,[51]宿泊施設DB!$B$3:$B$206,[51]宿泊施設DB!$V$3:$V$206,"",)</f>
        <v>0</v>
      </c>
      <c r="N82" s="2878">
        <f>_xlfn.XLOOKUP($E82,[51]宿泊施設DB!$B$3:$B$206,[51]宿泊施設DB!$W$3:$W$206,"",)</f>
        <v>0</v>
      </c>
      <c r="O82" s="2878">
        <f>_xlfn.XLOOKUP($E82,[51]宿泊施設DB!$B$3:$B$206,[51]宿泊施設DB!$X$3:$X$206,"",)</f>
        <v>0</v>
      </c>
      <c r="P82" s="426" t="str">
        <f t="shared" si="2"/>
        <v/>
      </c>
      <c r="Q82" s="426"/>
      <c r="R82" s="420"/>
      <c r="S82" s="477"/>
      <c r="T82" s="478" t="str">
        <f>IFERROR(VLOOKUP($S82,'[51]競技情報DB(12,000人ver)'!$A$6:$D$201,2,),"－")</f>
        <v>－</v>
      </c>
      <c r="U82" s="479">
        <f>_xlfn.XLOOKUP(S82,'[51]競技情報DB(12,000人ver)'!$A$6:$A$99,'[51]競技情報DB(12,000人ver)'!$D$6:$D$99,"",0,)</f>
        <v>0</v>
      </c>
      <c r="V82" s="653"/>
      <c r="W82" s="480"/>
      <c r="X82" s="481"/>
      <c r="Y82" s="442"/>
      <c r="Z82" s="652"/>
      <c r="AA82" s="517"/>
      <c r="AB82" s="2952"/>
      <c r="AC82" s="2952"/>
      <c r="AD82" s="2953"/>
      <c r="AE82" s="518"/>
      <c r="AF82" s="506"/>
      <c r="AG82" s="506"/>
      <c r="AH82" s="506"/>
      <c r="AI82" s="506"/>
      <c r="AJ82" s="506"/>
      <c r="AK82" s="506"/>
      <c r="AL82" s="506"/>
      <c r="AM82" s="506"/>
      <c r="AN82" s="506"/>
      <c r="AO82" s="506"/>
      <c r="AP82" s="506"/>
      <c r="AQ82" s="506"/>
      <c r="AR82" s="506"/>
      <c r="AS82" s="506"/>
      <c r="AT82" s="506"/>
      <c r="AU82" s="506"/>
      <c r="AV82" s="506"/>
      <c r="AW82" s="506"/>
      <c r="AX82" s="506"/>
      <c r="AY82" s="506"/>
      <c r="AZ82" s="506"/>
      <c r="BA82" s="506"/>
      <c r="BB82" s="506"/>
      <c r="BC82" s="506"/>
      <c r="BD82" s="506"/>
      <c r="BE82" s="506"/>
      <c r="BF82" s="506"/>
      <c r="BG82" s="506"/>
      <c r="BH82" s="506"/>
      <c r="BI82" s="506"/>
      <c r="BJ82" s="506"/>
      <c r="BK82" s="506"/>
      <c r="BL82" s="506"/>
      <c r="BM82" s="506"/>
      <c r="BN82" s="520"/>
      <c r="BO82" s="573"/>
      <c r="BP82" s="614"/>
      <c r="BQ82" s="615"/>
    </row>
    <row r="83" spans="1:69" ht="46" customHeight="1">
      <c r="A83" s="2862"/>
      <c r="B83" s="2863"/>
      <c r="C83" s="296">
        <f>C81+1</f>
        <v>24</v>
      </c>
      <c r="D83" s="297">
        <f>IF(_xlfn.XLOOKUP(E83,[51]宿泊施設DB!$B$3:$B$206,[51]宿泊施設DB!$A$3:$A$206,"",)=0,"",_xlfn.XLOOKUP(E83,[51]宿泊施設DB!$B$3:$B$206,[51]宿泊施設DB!$A$3:$A$206,"",))</f>
        <v>252</v>
      </c>
      <c r="E83" s="609" t="s">
        <v>2339</v>
      </c>
      <c r="F83" s="2864">
        <f>_xlfn.XLOOKUP($E83,[51]宿泊施設DB!$B$3:$B$206,[51]宿泊施設DB!$D$3:$D$206,"",)</f>
        <v>70</v>
      </c>
      <c r="G83" s="2864">
        <f>_xlfn.XLOOKUP($E83,[51]宿泊施設DB!$B$3:$B$206,[51]宿泊施設DB!$E$3:$E$206,"",)</f>
        <v>227</v>
      </c>
      <c r="H83" s="2865">
        <f>_xlfn.XLOOKUP($E83,[51]宿泊施設DB!$B$3:$B$206,[51]宿泊施設DB!$J$3:$J$206,"",)</f>
        <v>14</v>
      </c>
      <c r="I83" s="2866" t="str">
        <f>_xlfn.XLOOKUP($E83,[51]宿泊施設DB!$B$3:$B$206,[51]宿泊施設DB!$T$3:$T$206,"",)</f>
        <v>中</v>
      </c>
      <c r="J83" s="2866" t="str">
        <f>_xlfn.XLOOKUP($E83,[51]宿泊施設DB!$B$3:$B$206,[51]宿泊施設DB!$R$3:$R$206,"",)</f>
        <v>宿泊施設</v>
      </c>
      <c r="K83" s="2865">
        <f>_xlfn.XLOOKUP($E83,[51]宿泊施設DB!$B$3:$B$206,[51]宿泊施設DB!$S$3:$S$206,"",)</f>
        <v>125</v>
      </c>
      <c r="L83" s="2915" t="str">
        <f>_xlfn.XLOOKUP($E83,[51]宿泊施設DB!$B$3:$B$206,[51]宿泊施設DB!$U$3:$U$206,"",)</f>
        <v>－</v>
      </c>
      <c r="M83" s="2866" t="str">
        <f>_xlfn.XLOOKUP($E83,[51]宿泊施設DB!$B$3:$B$206,[51]宿泊施設DB!$V$3:$V$206,"",)</f>
        <v>○</v>
      </c>
      <c r="N83" s="2866" t="str">
        <f>_xlfn.XLOOKUP($E83,[51]宿泊施設DB!$B$3:$B$206,[51]宿泊施設DB!$W$3:$W$206,"",)</f>
        <v>－</v>
      </c>
      <c r="O83" s="2866" t="str">
        <f>_xlfn.XLOOKUP($E83,[51]宿泊施設DB!$B$3:$B$206,[51]宿泊施設DB!$X$3:$X$206,"",)</f>
        <v>玄関前（屋根付）2台</v>
      </c>
      <c r="P83" s="302" t="str">
        <f t="shared" si="2"/>
        <v>○</v>
      </c>
      <c r="Q83" s="302"/>
      <c r="R83" s="296" t="s">
        <v>2136</v>
      </c>
      <c r="S83" s="486" t="s">
        <v>2479</v>
      </c>
      <c r="T83" s="487" t="str">
        <f>IFERROR(VLOOKUP($S83,'[51]競技情報DB(12,000人ver)'!$A$6:$D$201,2,),"－")</f>
        <v>岡崎／豊橋</v>
      </c>
      <c r="U83" s="488">
        <f>_xlfn.XLOOKUP(S83,'[51]競技情報DB(12,000人ver)'!$A$6:$A$99,'[51]競技情報DB(12,000人ver)'!$D$6:$D$99,"",0,)</f>
        <v>188</v>
      </c>
      <c r="V83" s="657">
        <f>SUM(U83:U83)</f>
        <v>188</v>
      </c>
      <c r="W83" s="489">
        <v>23.3</v>
      </c>
      <c r="X83" s="490">
        <v>39</v>
      </c>
      <c r="Y83" s="318">
        <f>$G83-MAX(AF83:BN83)</f>
        <v>39</v>
      </c>
      <c r="Z83" s="656">
        <f>+Y83/$G83</f>
        <v>0.17180616740088106</v>
      </c>
      <c r="AA83" s="491" t="str">
        <f>E83&amp;"　"&amp;"合計"</f>
        <v>株式会社平野屋　合計</v>
      </c>
      <c r="AB83" s="2950">
        <v>45551</v>
      </c>
      <c r="AC83" s="2950">
        <v>45570</v>
      </c>
      <c r="AD83" s="2943">
        <v>19</v>
      </c>
      <c r="AE83" s="492" t="s">
        <v>2175</v>
      </c>
      <c r="AF83" s="398">
        <f>+_xlfn.XLOOKUP($AA83,'[51]②配宿シュミレーション(12,000人ver)'!$AO$6:$AO$674,'[51]②配宿シュミレーション(12,000人ver)'!AP$6:AP$674,)</f>
        <v>0</v>
      </c>
      <c r="AG83" s="398">
        <f>+_xlfn.XLOOKUP($AA83,'[51]②配宿シュミレーション(12,000人ver)'!$AO$6:$AO$674,'[51]②配宿シュミレーション(12,000人ver)'!AQ$6:AQ$674,)</f>
        <v>0</v>
      </c>
      <c r="AH83" s="398">
        <f>+_xlfn.XLOOKUP($AA83,'[51]②配宿シュミレーション(12,000人ver)'!$AO$6:$AO$674,'[51]②配宿シュミレーション(12,000人ver)'!AR$6:AR$674,)</f>
        <v>0</v>
      </c>
      <c r="AI83" s="398">
        <f>+_xlfn.XLOOKUP($AA83,'[51]②配宿シュミレーション(12,000人ver)'!$AO$6:$AO$674,'[51]②配宿シュミレーション(12,000人ver)'!AS$6:AS$674,)</f>
        <v>0</v>
      </c>
      <c r="AJ83" s="398">
        <f>+_xlfn.XLOOKUP($AA83,'[51]②配宿シュミレーション(12,000人ver)'!$AO$6:$AO$674,'[51]②配宿シュミレーション(12,000人ver)'!AT$6:AT$674,)</f>
        <v>0</v>
      </c>
      <c r="AK83" s="398">
        <f>+_xlfn.XLOOKUP($AA83,'[51]②配宿シュミレーション(12,000人ver)'!$AO$6:$AO$674,'[51]②配宿シュミレーション(12,000人ver)'!AU$6:AU$674,)</f>
        <v>0</v>
      </c>
      <c r="AL83" s="398">
        <f>+_xlfn.XLOOKUP($AA83,'[51]②配宿シュミレーション(12,000人ver)'!$AO$6:$AO$674,'[51]②配宿シュミレーション(12,000人ver)'!AV$6:AV$674,)</f>
        <v>0</v>
      </c>
      <c r="AM83" s="398">
        <f>+_xlfn.XLOOKUP($AA83,'[51]②配宿シュミレーション(12,000人ver)'!$AO$6:$AO$674,'[51]②配宿シュミレーション(12,000人ver)'!AW$6:AW$674,)</f>
        <v>0</v>
      </c>
      <c r="AN83" s="398">
        <f>+_xlfn.XLOOKUP($AA83,'[51]②配宿シュミレーション(12,000人ver)'!$AO$6:$AO$674,'[51]②配宿シュミレーション(12,000人ver)'!AX$6:AX$674,)</f>
        <v>0</v>
      </c>
      <c r="AO83" s="398">
        <f>+_xlfn.XLOOKUP($AA83,'[51]②配宿シュミレーション(12,000人ver)'!$AO$6:$AO$674,'[51]②配宿シュミレーション(12,000人ver)'!AY$6:AY$674,)</f>
        <v>0</v>
      </c>
      <c r="AP83" s="398">
        <f>+_xlfn.XLOOKUP($AA83,'[51]②配宿シュミレーション(12,000人ver)'!$AO$6:$AO$674,'[51]②配宿シュミレーション(12,000人ver)'!AZ$6:AZ$674,)</f>
        <v>0</v>
      </c>
      <c r="AQ83" s="398">
        <f>+_xlfn.XLOOKUP($AA83,'[51]②配宿シュミレーション(12,000人ver)'!$AO$6:$AO$674,'[51]②配宿シュミレーション(12,000人ver)'!BA$6:BA$674,)</f>
        <v>0</v>
      </c>
      <c r="AR83" s="2860" t="s">
        <v>2447</v>
      </c>
      <c r="AS83" s="2860" t="s">
        <v>2447</v>
      </c>
      <c r="AT83" s="2879">
        <f>+_xlfn.XLOOKUP($AA83,'[51]②配宿シュミレーション(12,000人ver)'!$AO$6:$AO$674,'[51]②配宿シュミレーション(12,000人ver)'!BD$6:BD$674,)</f>
        <v>188</v>
      </c>
      <c r="AU83" s="2879">
        <f>+_xlfn.XLOOKUP($AA83,'[51]②配宿シュミレーション(12,000人ver)'!$AO$6:$AO$674,'[51]②配宿シュミレーション(12,000人ver)'!BE$6:BE$674,)</f>
        <v>188</v>
      </c>
      <c r="AV83" s="2879">
        <f>+_xlfn.XLOOKUP($AA83,'[51]②配宿シュミレーション(12,000人ver)'!$AO$6:$AO$674,'[51]②配宿シュミレーション(12,000人ver)'!BF$6:BF$674,)</f>
        <v>188</v>
      </c>
      <c r="AW83" s="2879">
        <f>+_xlfn.XLOOKUP($AA83,'[51]②配宿シュミレーション(12,000人ver)'!$AO$6:$AO$674,'[51]②配宿シュミレーション(12,000人ver)'!BG$6:BG$674,)</f>
        <v>188</v>
      </c>
      <c r="AX83" s="2879">
        <f>+_xlfn.XLOOKUP($AA83,'[51]②配宿シュミレーション(12,000人ver)'!$AO$6:$AO$674,'[51]②配宿シュミレーション(12,000人ver)'!BH$6:BH$674,)</f>
        <v>188</v>
      </c>
      <c r="AY83" s="2879">
        <f>+_xlfn.XLOOKUP($AA83,'[51]②配宿シュミレーション(12,000人ver)'!$AO$6:$AO$674,'[51]②配宿シュミレーション(12,000人ver)'!BI$6:BI$674,)</f>
        <v>188</v>
      </c>
      <c r="AZ83" s="2879">
        <f>+_xlfn.XLOOKUP($AA83,'[51]②配宿シュミレーション(12,000人ver)'!$AO$6:$AO$674,'[51]②配宿シュミレーション(12,000人ver)'!BJ$6:BJ$674,)</f>
        <v>188</v>
      </c>
      <c r="BA83" s="2879">
        <f>+_xlfn.XLOOKUP($AA83,'[51]②配宿シュミレーション(12,000人ver)'!$AO$6:$AO$674,'[51]②配宿シュミレーション(12,000人ver)'!BK$6:BK$674,)</f>
        <v>188</v>
      </c>
      <c r="BB83" s="2879">
        <f>+_xlfn.XLOOKUP($AA83,'[51]②配宿シュミレーション(12,000人ver)'!$AO$6:$AO$674,'[51]②配宿シュミレーション(12,000人ver)'!BL$6:BL$674,)</f>
        <v>188</v>
      </c>
      <c r="BC83" s="2879">
        <f>+_xlfn.XLOOKUP($AA83,'[51]②配宿シュミレーション(12,000人ver)'!$AO$6:$AO$674,'[51]②配宿シュミレーション(12,000人ver)'!BM$6:BM$674,)</f>
        <v>188</v>
      </c>
      <c r="BD83" s="2879">
        <f>+_xlfn.XLOOKUP($AA83,'[51]②配宿シュミレーション(12,000人ver)'!$AO$6:$AO$674,'[51]②配宿シュミレーション(12,000人ver)'!BN$6:BN$674,)</f>
        <v>188</v>
      </c>
      <c r="BE83" s="2879">
        <f>+_xlfn.XLOOKUP($AA83,'[51]②配宿シュミレーション(12,000人ver)'!$AO$6:$AO$674,'[51]②配宿シュミレーション(12,000人ver)'!BO$6:BO$674,)</f>
        <v>188</v>
      </c>
      <c r="BF83" s="2879">
        <f>+_xlfn.XLOOKUP($AA83,'[51]②配宿シュミレーション(12,000人ver)'!$AO$6:$AO$674,'[51]②配宿シュミレーション(12,000人ver)'!BP$6:BP$674,)</f>
        <v>188</v>
      </c>
      <c r="BG83" s="2879">
        <f>+_xlfn.XLOOKUP($AA83,'[51]②配宿シュミレーション(12,000人ver)'!$AO$6:$AO$674,'[51]②配宿シュミレーション(12,000人ver)'!BQ$6:BQ$674,)</f>
        <v>188</v>
      </c>
      <c r="BH83" s="2879">
        <f>+_xlfn.XLOOKUP($AA83,'[51]②配宿シュミレーション(12,000人ver)'!$AO$6:$AO$674,'[51]②配宿シュミレーション(12,000人ver)'!BR$6:BR$674,)</f>
        <v>188</v>
      </c>
      <c r="BI83" s="2879">
        <f>+_xlfn.XLOOKUP($AA83,'[51]②配宿シュミレーション(12,000人ver)'!$AO$6:$AO$674,'[51]②配宿シュミレーション(12,000人ver)'!BS$6:BS$674,)</f>
        <v>188</v>
      </c>
      <c r="BJ83" s="2879">
        <f>+_xlfn.XLOOKUP($AA83,'[51]②配宿シュミレーション(12,000人ver)'!$AO$6:$AO$674,'[51]②配宿シュミレーション(12,000人ver)'!BT$6:BT$674,)</f>
        <v>188</v>
      </c>
      <c r="BK83" s="2861" t="s">
        <v>2448</v>
      </c>
      <c r="BL83" s="398">
        <f>+_xlfn.XLOOKUP($AA83,'[51]②配宿シュミレーション(12,000人ver)'!$AO$6:$AO$674,'[51]②配宿シュミレーション(12,000人ver)'!BV$6:BV$674,)</f>
        <v>0</v>
      </c>
      <c r="BM83" s="398">
        <f>+_xlfn.XLOOKUP($AA83,'[51]②配宿シュミレーション(12,000人ver)'!$AO$6:$AO$674,'[51]②配宿シュミレーション(12,000人ver)'!BW$6:BW$674,)</f>
        <v>0</v>
      </c>
      <c r="BN83" s="472">
        <f>+_xlfn.XLOOKUP($AA83,'[51]②配宿シュミレーション(12,000人ver)'!$AO$6:$AO$674,'[51]②配宿シュミレーション(12,000人ver)'!BX$6:BX$674,)</f>
        <v>0</v>
      </c>
      <c r="BO83" s="573"/>
      <c r="BP83" s="610"/>
      <c r="BQ83" s="611"/>
    </row>
    <row r="84" spans="1:69" s="521" customFormat="1" ht="46" customHeight="1" thickBot="1">
      <c r="A84" s="2862"/>
      <c r="B84" s="2863"/>
      <c r="C84" s="296"/>
      <c r="D84" s="297" t="str">
        <f>IF(_xlfn.XLOOKUP(E84,[51]宿泊施設DB!$B$3:$B$206,[51]宿泊施設DB!$A$3:$A$206,"",)=0,"",_xlfn.XLOOKUP(E84,[51]宿泊施設DB!$B$3:$B$206,[51]宿泊施設DB!$A$3:$A$206,"",))</f>
        <v/>
      </c>
      <c r="E84" s="609"/>
      <c r="F84" s="2864">
        <f>_xlfn.XLOOKUP($E84,[51]宿泊施設DB!$B$3:$B$206,[51]宿泊施設DB!$D$3:$D$206,"",)</f>
        <v>0</v>
      </c>
      <c r="G84" s="2864">
        <f>_xlfn.XLOOKUP($E84,[51]宿泊施設DB!$B$3:$B$206,[51]宿泊施設DB!$E$3:$E$206,"",)</f>
        <v>0</v>
      </c>
      <c r="H84" s="2865">
        <f>_xlfn.XLOOKUP($E84,[51]宿泊施設DB!$B$3:$B$206,[51]宿泊施設DB!$J$3:$J$206,"",)</f>
        <v>0</v>
      </c>
      <c r="I84" s="2866">
        <f>_xlfn.XLOOKUP($E84,[51]宿泊施設DB!$B$3:$B$206,[51]宿泊施設DB!$T$3:$T$206,"",)</f>
        <v>0</v>
      </c>
      <c r="J84" s="2866">
        <f>_xlfn.XLOOKUP($E84,[51]宿泊施設DB!$B$3:$B$206,[51]宿泊施設DB!$R$3:$R$206,"",)</f>
        <v>0</v>
      </c>
      <c r="K84" s="2865">
        <f>_xlfn.XLOOKUP($E84,[51]宿泊施設DB!$B$3:$B$206,[51]宿泊施設DB!$S$3:$S$206,"",)</f>
        <v>0</v>
      </c>
      <c r="L84" s="2915">
        <f>_xlfn.XLOOKUP($E84,[51]宿泊施設DB!$B$3:$B$206,[51]宿泊施設DB!$U$3:$U$206,"",)</f>
        <v>0</v>
      </c>
      <c r="M84" s="2866">
        <f>_xlfn.XLOOKUP($E84,[51]宿泊施設DB!$B$3:$B$206,[51]宿泊施設DB!$V$3:$V$206,"",)</f>
        <v>0</v>
      </c>
      <c r="N84" s="2866">
        <f>_xlfn.XLOOKUP($E84,[51]宿泊施設DB!$B$3:$B$206,[51]宿泊施設DB!$W$3:$W$206,"",)</f>
        <v>0</v>
      </c>
      <c r="O84" s="2866">
        <f>_xlfn.XLOOKUP($E84,[51]宿泊施設DB!$B$3:$B$206,[51]宿泊施設DB!$X$3:$X$206,"",)</f>
        <v>0</v>
      </c>
      <c r="P84" s="302" t="str">
        <f t="shared" si="2"/>
        <v/>
      </c>
      <c r="Q84" s="302"/>
      <c r="R84" s="296"/>
      <c r="S84" s="477"/>
      <c r="T84" s="478" t="str">
        <f>IFERROR(VLOOKUP($S84,'[51]競技情報DB(12,000人ver)'!$A$6:$D$201,2,),"－")</f>
        <v>－</v>
      </c>
      <c r="U84" s="479">
        <f>_xlfn.XLOOKUP(S84,'[51]競技情報DB(12,000人ver)'!$A$6:$A$99,'[51]競技情報DB(12,000人ver)'!$D$6:$D$99,"",0,)</f>
        <v>0</v>
      </c>
      <c r="V84" s="657"/>
      <c r="W84" s="480">
        <v>20.6</v>
      </c>
      <c r="X84" s="481">
        <v>39</v>
      </c>
      <c r="Y84" s="442"/>
      <c r="Z84" s="656"/>
      <c r="AA84" s="319"/>
      <c r="AB84" s="2944"/>
      <c r="AC84" s="2944"/>
      <c r="AD84" s="2945"/>
      <c r="AE84" s="320"/>
      <c r="AF84" s="445"/>
      <c r="AG84" s="445"/>
      <c r="AH84" s="445"/>
      <c r="AI84" s="445"/>
      <c r="AJ84" s="445"/>
      <c r="AK84" s="445"/>
      <c r="AL84" s="445"/>
      <c r="AM84" s="445"/>
      <c r="AN84" s="445"/>
      <c r="AO84" s="445"/>
      <c r="AP84" s="445"/>
      <c r="AQ84" s="445"/>
      <c r="AR84" s="506"/>
      <c r="AS84" s="506"/>
      <c r="AT84" s="506"/>
      <c r="AU84" s="506"/>
      <c r="AV84" s="506"/>
      <c r="AW84" s="506"/>
      <c r="AX84" s="506"/>
      <c r="AY84" s="506"/>
      <c r="AZ84" s="506"/>
      <c r="BA84" s="506"/>
      <c r="BB84" s="506"/>
      <c r="BC84" s="506"/>
      <c r="BD84" s="506"/>
      <c r="BE84" s="506"/>
      <c r="BF84" s="506"/>
      <c r="BG84" s="506"/>
      <c r="BH84" s="506"/>
      <c r="BI84" s="506"/>
      <c r="BJ84" s="506"/>
      <c r="BK84" s="506"/>
      <c r="BL84" s="445"/>
      <c r="BM84" s="445"/>
      <c r="BN84" s="449"/>
      <c r="BO84" s="573"/>
      <c r="BP84" s="610"/>
      <c r="BQ84" s="611"/>
    </row>
    <row r="85" spans="1:69" ht="46" customHeight="1">
      <c r="A85" s="2862"/>
      <c r="B85" s="2863"/>
      <c r="C85" s="372">
        <f>C83+1</f>
        <v>25</v>
      </c>
      <c r="D85" s="2871">
        <f>IF(_xlfn.XLOOKUP(E85,[51]宿泊施設DB!$B$3:$B$206,[51]宿泊施設DB!$A$3:$A$206,"",)=0,"",_xlfn.XLOOKUP(E85,[51]宿泊施設DB!$B$3:$B$206,[51]宿泊施設DB!$A$3:$A$206,"",))</f>
        <v>245</v>
      </c>
      <c r="E85" s="572" t="s">
        <v>2345</v>
      </c>
      <c r="F85" s="2872">
        <f>_xlfn.XLOOKUP($E85,[51]宿泊施設DB!$B$3:$B$206,[51]宿泊施設DB!$D$3:$D$206,"",)</f>
        <v>100</v>
      </c>
      <c r="G85" s="2872">
        <f>_xlfn.XLOOKUP($E85,[51]宿泊施設DB!$B$3:$B$206,[51]宿泊施設DB!$E$3:$E$206,"",)</f>
        <v>200</v>
      </c>
      <c r="H85" s="2873">
        <f>_xlfn.XLOOKUP($E85,[51]宿泊施設DB!$B$3:$B$206,[51]宿泊施設DB!$J$3:$J$206,"",)</f>
        <v>0</v>
      </c>
      <c r="I85" s="2874" t="str">
        <f>_xlfn.XLOOKUP($E85,[51]宿泊施設DB!$B$3:$B$206,[51]宿泊施設DB!$T$3:$T$206,"",)</f>
        <v>中</v>
      </c>
      <c r="J85" s="2874" t="str">
        <f>_xlfn.XLOOKUP($E85,[51]宿泊施設DB!$B$3:$B$206,[51]宿泊施設DB!$R$3:$R$206,"",)</f>
        <v>宿泊施設</v>
      </c>
      <c r="K85" s="2873">
        <f>_xlfn.XLOOKUP($E85,[51]宿泊施設DB!$B$3:$B$206,[51]宿泊施設DB!$S$3:$S$206,"",)</f>
        <v>216</v>
      </c>
      <c r="L85" s="2914" t="str">
        <f>_xlfn.XLOOKUP($E85,[51]宿泊施設DB!$B$3:$B$206,[51]宿泊施設DB!$U$3:$U$206,"",)</f>
        <v>－</v>
      </c>
      <c r="M85" s="2874" t="str">
        <f>_xlfn.XLOOKUP($E85,[51]宿泊施設DB!$B$3:$B$206,[51]宿泊施設DB!$V$3:$V$206,"",)</f>
        <v>－</v>
      </c>
      <c r="N85" s="2874" t="str">
        <f>_xlfn.XLOOKUP($E85,[51]宿泊施設DB!$B$3:$B$206,[51]宿泊施設DB!$W$3:$W$206,"",)</f>
        <v>○</v>
      </c>
      <c r="O85" s="2874" t="str">
        <f>_xlfn.XLOOKUP($E85,[51]宿泊施設DB!$B$3:$B$206,[51]宿泊施設DB!$X$3:$X$206,"",)</f>
        <v>玄関前（屋根無）1台</v>
      </c>
      <c r="P85" s="377" t="str">
        <f t="shared" si="2"/>
        <v>○</v>
      </c>
      <c r="Q85" s="377" t="s">
        <v>2161</v>
      </c>
      <c r="R85" s="372" t="s">
        <v>2136</v>
      </c>
      <c r="S85" s="539" t="s">
        <v>2346</v>
      </c>
      <c r="T85" s="540" t="str">
        <f>IFERROR(VLOOKUP($S85,'[51]競技情報DB(12,000人ver)'!$A$6:$D$201,2,),"－")</f>
        <v>蒲郡市</v>
      </c>
      <c r="U85" s="541">
        <f>_xlfn.XLOOKUP(S85,'[51]競技情報DB(12,000人ver)'!$A$6:$A$99,'[51]競技情報DB(12,000人ver)'!$D$6:$D$99,"",0,)</f>
        <v>187</v>
      </c>
      <c r="V85" s="648">
        <f>SUM(U85:U85)</f>
        <v>187</v>
      </c>
      <c r="W85" s="542">
        <v>1</v>
      </c>
      <c r="X85" s="543">
        <v>1</v>
      </c>
      <c r="Y85" s="318">
        <f>$G85-MAX(AF85:BN85)</f>
        <v>13</v>
      </c>
      <c r="Z85" s="647">
        <f>+Y85/$G85</f>
        <v>6.5000000000000002E-2</v>
      </c>
      <c r="AA85" s="515" t="str">
        <f>E85&amp;"　"&amp;"合計"</f>
        <v>変なホテル　ラグーナテンボス　合計</v>
      </c>
      <c r="AB85" s="2951">
        <v>45556</v>
      </c>
      <c r="AC85" s="2951">
        <v>45570</v>
      </c>
      <c r="AD85" s="2943">
        <v>14</v>
      </c>
      <c r="AE85" s="396" t="s">
        <v>2175</v>
      </c>
      <c r="AF85" s="398">
        <f>+_xlfn.XLOOKUP($AA85,'[51]②配宿シュミレーション(12,000人ver)'!$AO$6:$AO$674,'[51]②配宿シュミレーション(12,000人ver)'!AP$6:AP$674,)</f>
        <v>0</v>
      </c>
      <c r="AG85" s="398">
        <f>+_xlfn.XLOOKUP($AA85,'[51]②配宿シュミレーション(12,000人ver)'!$AO$6:$AO$674,'[51]②配宿シュミレーション(12,000人ver)'!AQ$6:AQ$674,)</f>
        <v>0</v>
      </c>
      <c r="AH85" s="398">
        <f>+_xlfn.XLOOKUP($AA85,'[51]②配宿シュミレーション(12,000人ver)'!$AO$6:$AO$674,'[51]②配宿シュミレーション(12,000人ver)'!AR$6:AR$674,)</f>
        <v>0</v>
      </c>
      <c r="AI85" s="398">
        <f>+_xlfn.XLOOKUP($AA85,'[51]②配宿シュミレーション(12,000人ver)'!$AO$6:$AO$674,'[51]②配宿シュミレーション(12,000人ver)'!AS$6:AS$674,)</f>
        <v>0</v>
      </c>
      <c r="AJ85" s="398">
        <f>+_xlfn.XLOOKUP($AA85,'[51]②配宿シュミレーション(12,000人ver)'!$AO$6:$AO$674,'[51]②配宿シュミレーション(12,000人ver)'!AT$6:AT$674,)</f>
        <v>0</v>
      </c>
      <c r="AK85" s="398">
        <f>+_xlfn.XLOOKUP($AA85,'[51]②配宿シュミレーション(12,000人ver)'!$AO$6:$AO$674,'[51]②配宿シュミレーション(12,000人ver)'!AU$6:AU$674,)</f>
        <v>0</v>
      </c>
      <c r="AL85" s="398">
        <f>+_xlfn.XLOOKUP($AA85,'[51]②配宿シュミレーション(12,000人ver)'!$AO$6:$AO$674,'[51]②配宿シュミレーション(12,000人ver)'!AV$6:AV$674,)</f>
        <v>0</v>
      </c>
      <c r="AM85" s="398">
        <f>+_xlfn.XLOOKUP($AA85,'[51]②配宿シュミレーション(12,000人ver)'!$AO$6:$AO$674,'[51]②配宿シュミレーション(12,000人ver)'!AW$6:AW$674,)</f>
        <v>0</v>
      </c>
      <c r="AN85" s="398">
        <f>+_xlfn.XLOOKUP($AA85,'[51]②配宿シュミレーション(12,000人ver)'!$AO$6:$AO$674,'[51]②配宿シュミレーション(12,000人ver)'!AX$6:AX$674,)</f>
        <v>0</v>
      </c>
      <c r="AO85" s="398">
        <f>+_xlfn.XLOOKUP($AA85,'[51]②配宿シュミレーション(12,000人ver)'!$AO$6:$AO$674,'[51]②配宿シュミレーション(12,000人ver)'!AY$6:AY$674,)</f>
        <v>0</v>
      </c>
      <c r="AP85" s="398">
        <f>+_xlfn.XLOOKUP($AA85,'[51]②配宿シュミレーション(12,000人ver)'!$AO$6:$AO$674,'[51]②配宿シュミレーション(12,000人ver)'!AZ$6:AZ$674,)</f>
        <v>0</v>
      </c>
      <c r="AQ85" s="398">
        <f>+_xlfn.XLOOKUP($AA85,'[51]②配宿シュミレーション(12,000人ver)'!$AO$6:$AO$674,'[51]②配宿シュミレーション(12,000人ver)'!BA$6:BA$674,)</f>
        <v>0</v>
      </c>
      <c r="AR85" s="398">
        <f>+_xlfn.XLOOKUP($AA85,'[51]②配宿シュミレーション(12,000人ver)'!$AO$6:$AO$674,'[51]②配宿シュミレーション(12,000人ver)'!BB$6:BB$674,)</f>
        <v>0</v>
      </c>
      <c r="AS85" s="398">
        <f>+_xlfn.XLOOKUP($AA85,'[51]②配宿シュミレーション(12,000人ver)'!$AO$6:$AO$674,'[51]②配宿シュミレーション(12,000人ver)'!BC$6:BC$674,)</f>
        <v>0</v>
      </c>
      <c r="AT85" s="398">
        <f>+_xlfn.XLOOKUP($AA85,'[51]②配宿シュミレーション(12,000人ver)'!$AO$6:$AO$674,'[51]②配宿シュミレーション(12,000人ver)'!BD$6:BD$674,)</f>
        <v>0</v>
      </c>
      <c r="AU85" s="398">
        <f>+_xlfn.XLOOKUP($AA85,'[51]②配宿シュミレーション(12,000人ver)'!$AO$6:$AO$674,'[51]②配宿シュミレーション(12,000人ver)'!BE$6:BE$674,)</f>
        <v>0</v>
      </c>
      <c r="AV85" s="398">
        <f>+_xlfn.XLOOKUP($AA85,'[51]②配宿シュミレーション(12,000人ver)'!$AO$6:$AO$674,'[51]②配宿シュミレーション(12,000人ver)'!BF$6:BF$674,)</f>
        <v>0</v>
      </c>
      <c r="AW85" s="2880" t="s">
        <v>2447</v>
      </c>
      <c r="AX85" s="2880" t="s">
        <v>2447</v>
      </c>
      <c r="AY85" s="398">
        <f>+_xlfn.XLOOKUP($AA85,'[51]②配宿シュミレーション(12,000人ver)'!$AO$6:$AO$674,'[51]②配宿シュミレーション(12,000人ver)'!BI$6:BI$674,)</f>
        <v>187</v>
      </c>
      <c r="AZ85" s="398">
        <f>+_xlfn.XLOOKUP($AA85,'[51]②配宿シュミレーション(12,000人ver)'!$AO$6:$AO$674,'[51]②配宿シュミレーション(12,000人ver)'!BJ$6:BJ$674,)</f>
        <v>187</v>
      </c>
      <c r="BA85" s="398">
        <f>+_xlfn.XLOOKUP($AA85,'[51]②配宿シュミレーション(12,000人ver)'!$AO$6:$AO$674,'[51]②配宿シュミレーション(12,000人ver)'!BK$6:BK$674,)</f>
        <v>187</v>
      </c>
      <c r="BB85" s="398">
        <f>+_xlfn.XLOOKUP($AA85,'[51]②配宿シュミレーション(12,000人ver)'!$AO$6:$AO$674,'[51]②配宿シュミレーション(12,000人ver)'!BL$6:BL$674,)</f>
        <v>187</v>
      </c>
      <c r="BC85" s="398">
        <f>+_xlfn.XLOOKUP($AA85,'[51]②配宿シュミレーション(12,000人ver)'!$AO$6:$AO$674,'[51]②配宿シュミレーション(12,000人ver)'!BM$6:BM$674,)</f>
        <v>187</v>
      </c>
      <c r="BD85" s="398">
        <f>+_xlfn.XLOOKUP($AA85,'[51]②配宿シュミレーション(12,000人ver)'!$AO$6:$AO$674,'[51]②配宿シュミレーション(12,000人ver)'!BN$6:BN$674,)</f>
        <v>187</v>
      </c>
      <c r="BE85" s="398">
        <f>+_xlfn.XLOOKUP($AA85,'[51]②配宿シュミレーション(12,000人ver)'!$AO$6:$AO$674,'[51]②配宿シュミレーション(12,000人ver)'!BO$6:BO$674,)</f>
        <v>187</v>
      </c>
      <c r="BF85" s="398">
        <f>+_xlfn.XLOOKUP($AA85,'[51]②配宿シュミレーション(12,000人ver)'!$AO$6:$AO$674,'[51]②配宿シュミレーション(12,000人ver)'!BP$6:BP$674,)</f>
        <v>187</v>
      </c>
      <c r="BG85" s="398">
        <f>+_xlfn.XLOOKUP($AA85,'[51]②配宿シュミレーション(12,000人ver)'!$AO$6:$AO$674,'[51]②配宿シュミレーション(12,000人ver)'!BQ$6:BQ$674,)</f>
        <v>187</v>
      </c>
      <c r="BH85" s="398">
        <f>+_xlfn.XLOOKUP($AA85,'[51]②配宿シュミレーション(12,000人ver)'!$AO$6:$AO$674,'[51]②配宿シュミレーション(12,000人ver)'!BR$6:BR$674,)</f>
        <v>187</v>
      </c>
      <c r="BI85" s="398">
        <f>+_xlfn.XLOOKUP($AA85,'[51]②配宿シュミレーション(12,000人ver)'!$AO$6:$AO$674,'[51]②配宿シュミレーション(12,000人ver)'!BS$6:BS$674,)</f>
        <v>187</v>
      </c>
      <c r="BJ85" s="398">
        <f>+_xlfn.XLOOKUP($AA85,'[51]②配宿シュミレーション(12,000人ver)'!$AO$6:$AO$674,'[51]②配宿シュミレーション(12,000人ver)'!BT$6:BT$674,)</f>
        <v>187</v>
      </c>
      <c r="BK85" s="2881" t="s">
        <v>2448</v>
      </c>
      <c r="BL85" s="398">
        <f>+_xlfn.XLOOKUP($AA85,'[51]②配宿シュミレーション(12,000人ver)'!$AO$6:$AO$674,'[51]②配宿シュミレーション(12,000人ver)'!BV$6:BV$674,)</f>
        <v>0</v>
      </c>
      <c r="BM85" s="398">
        <f>+_xlfn.XLOOKUP($AA85,'[51]②配宿シュミレーション(12,000人ver)'!$AO$6:$AO$674,'[51]②配宿シュミレーション(12,000人ver)'!BW$6:BW$674,)</f>
        <v>0</v>
      </c>
      <c r="BN85" s="472">
        <f>+_xlfn.XLOOKUP($AA85,'[51]②配宿シュミレーション(12,000人ver)'!$AO$6:$AO$674,'[51]②配宿シュミレーション(12,000人ver)'!BX$6:BX$674,)</f>
        <v>0</v>
      </c>
      <c r="BO85" s="573"/>
      <c r="BP85" s="574"/>
      <c r="BQ85" s="575"/>
    </row>
    <row r="86" spans="1:69" s="521" customFormat="1" ht="46" customHeight="1" thickBot="1">
      <c r="A86" s="2862"/>
      <c r="B86" s="2863"/>
      <c r="C86" s="420"/>
      <c r="D86" s="421" t="str">
        <f>IF(_xlfn.XLOOKUP(E86,[51]宿泊施設DB!$B$3:$B$206,[51]宿泊施設DB!$A$3:$A$206,"",)=0,"",_xlfn.XLOOKUP(E86,[51]宿泊施設DB!$B$3:$B$206,[51]宿泊施設DB!$A$3:$A$206,"",))</f>
        <v/>
      </c>
      <c r="E86" s="612"/>
      <c r="F86" s="2875">
        <f>_xlfn.XLOOKUP($E86,[51]宿泊施設DB!$B$3:$B$206,[51]宿泊施設DB!$D$3:$D$206,"",)</f>
        <v>0</v>
      </c>
      <c r="G86" s="2875">
        <f>_xlfn.XLOOKUP($E86,[51]宿泊施設DB!$B$3:$B$206,[51]宿泊施設DB!$E$3:$E$206,"",)</f>
        <v>0</v>
      </c>
      <c r="H86" s="2877">
        <f>_xlfn.XLOOKUP($E86,[51]宿泊施設DB!$B$3:$B$206,[51]宿泊施設DB!$J$3:$J$206,"",)</f>
        <v>0</v>
      </c>
      <c r="I86" s="2878">
        <f>_xlfn.XLOOKUP($E86,[51]宿泊施設DB!$B$3:$B$206,[51]宿泊施設DB!$T$3:$T$206,"",)</f>
        <v>0</v>
      </c>
      <c r="J86" s="2878">
        <f>_xlfn.XLOOKUP($E86,[51]宿泊施設DB!$B$3:$B$206,[51]宿泊施設DB!$R$3:$R$206,"",)</f>
        <v>0</v>
      </c>
      <c r="K86" s="2877">
        <f>_xlfn.XLOOKUP($E86,[51]宿泊施設DB!$B$3:$B$206,[51]宿泊施設DB!$S$3:$S$206,"",)</f>
        <v>0</v>
      </c>
      <c r="L86" s="2916">
        <f>_xlfn.XLOOKUP($E86,[51]宿泊施設DB!$B$3:$B$206,[51]宿泊施設DB!$U$3:$U$206,"",)</f>
        <v>0</v>
      </c>
      <c r="M86" s="2878">
        <f>_xlfn.XLOOKUP($E86,[51]宿泊施設DB!$B$3:$B$206,[51]宿泊施設DB!$V$3:$V$206,"",)</f>
        <v>0</v>
      </c>
      <c r="N86" s="2878">
        <f>_xlfn.XLOOKUP($E86,[51]宿泊施設DB!$B$3:$B$206,[51]宿泊施設DB!$W$3:$W$206,"",)</f>
        <v>0</v>
      </c>
      <c r="O86" s="2878">
        <f>_xlfn.XLOOKUP($E86,[51]宿泊施設DB!$B$3:$B$206,[51]宿泊施設DB!$X$3:$X$206,"",)</f>
        <v>0</v>
      </c>
      <c r="P86" s="426" t="str">
        <f t="shared" si="2"/>
        <v/>
      </c>
      <c r="Q86" s="426"/>
      <c r="R86" s="420"/>
      <c r="S86" s="477"/>
      <c r="T86" s="478" t="str">
        <f>IFERROR(VLOOKUP($S86,'[51]競技情報DB(12,000人ver)'!$A$6:$D$201,2,),"－")</f>
        <v>－</v>
      </c>
      <c r="U86" s="479">
        <f>_xlfn.XLOOKUP(S86,'[51]競技情報DB(12,000人ver)'!$A$6:$A$99,'[51]競技情報DB(12,000人ver)'!$D$6:$D$99,"",0,)</f>
        <v>0</v>
      </c>
      <c r="V86" s="653"/>
      <c r="W86" s="480"/>
      <c r="X86" s="481"/>
      <c r="Y86" s="442"/>
      <c r="Z86" s="652"/>
      <c r="AA86" s="517"/>
      <c r="AB86" s="2952"/>
      <c r="AC86" s="2952"/>
      <c r="AD86" s="2953"/>
      <c r="AE86" s="518"/>
      <c r="AF86" s="445"/>
      <c r="AG86" s="445"/>
      <c r="AH86" s="445"/>
      <c r="AI86" s="445"/>
      <c r="AJ86" s="445"/>
      <c r="AK86" s="445"/>
      <c r="AL86" s="445"/>
      <c r="AM86" s="445"/>
      <c r="AN86" s="445"/>
      <c r="AO86" s="445"/>
      <c r="AP86" s="445"/>
      <c r="AQ86" s="445"/>
      <c r="AR86" s="445"/>
      <c r="AS86" s="445"/>
      <c r="AT86" s="445"/>
      <c r="AU86" s="445"/>
      <c r="AV86" s="445"/>
      <c r="AW86" s="445"/>
      <c r="AX86" s="445"/>
      <c r="AY86" s="445"/>
      <c r="AZ86" s="445"/>
      <c r="BA86" s="445"/>
      <c r="BB86" s="445"/>
      <c r="BC86" s="445"/>
      <c r="BD86" s="445"/>
      <c r="BE86" s="445"/>
      <c r="BF86" s="445"/>
      <c r="BG86" s="445"/>
      <c r="BH86" s="445"/>
      <c r="BI86" s="445"/>
      <c r="BJ86" s="445"/>
      <c r="BK86" s="445"/>
      <c r="BL86" s="445"/>
      <c r="BM86" s="445"/>
      <c r="BN86" s="449"/>
      <c r="BO86" s="573"/>
      <c r="BP86" s="614"/>
      <c r="BQ86" s="615"/>
    </row>
    <row r="87" spans="1:69" ht="46" customHeight="1">
      <c r="A87" s="2862"/>
      <c r="B87" s="2863"/>
      <c r="C87" s="296">
        <f>C85+1</f>
        <v>26</v>
      </c>
      <c r="D87" s="297">
        <f>IF(_xlfn.XLOOKUP(E87,[51]宿泊施設DB!$B$3:$B$206,[51]宿泊施設DB!$A$3:$A$206,"",)=0,"",_xlfn.XLOOKUP(E87,[51]宿泊施設DB!$B$3:$B$206,[51]宿泊施設DB!$A$3:$A$206,"",))</f>
        <v>261</v>
      </c>
      <c r="E87" s="609" t="s">
        <v>2349</v>
      </c>
      <c r="F87" s="2864">
        <f>_xlfn.XLOOKUP($E87,[51]宿泊施設DB!$B$3:$B$206,[51]宿泊施設DB!$D$3:$D$206,"",)</f>
        <v>82</v>
      </c>
      <c r="G87" s="2864">
        <f>_xlfn.XLOOKUP($E87,[51]宿泊施設DB!$B$3:$B$206,[51]宿泊施設DB!$E$3:$E$206,"",)</f>
        <v>191</v>
      </c>
      <c r="H87" s="2865">
        <f>_xlfn.XLOOKUP($E87,[51]宿泊施設DB!$B$3:$B$206,[51]宿泊施設DB!$J$3:$J$206,"",)</f>
        <v>18</v>
      </c>
      <c r="I87" s="2866" t="str">
        <f>_xlfn.XLOOKUP($E87,[51]宿泊施設DB!$B$3:$B$206,[51]宿泊施設DB!$T$3:$T$206,"",)</f>
        <v>中</v>
      </c>
      <c r="J87" s="2866" t="str">
        <f>_xlfn.XLOOKUP($E87,[51]宿泊施設DB!$B$3:$B$206,[51]宿泊施設DB!$R$3:$R$206,"",)</f>
        <v>宿泊施設</v>
      </c>
      <c r="K87" s="2865">
        <f>_xlfn.XLOOKUP($E87,[51]宿泊施設DB!$B$3:$B$206,[51]宿泊施設DB!$S$3:$S$206,"",)</f>
        <v>200</v>
      </c>
      <c r="L87" s="2915" t="str">
        <f>_xlfn.XLOOKUP($E87,[51]宿泊施設DB!$B$3:$B$206,[51]宿泊施設DB!$U$3:$U$206,"",)</f>
        <v>－</v>
      </c>
      <c r="M87" s="2866" t="str">
        <f>_xlfn.XLOOKUP($E87,[51]宿泊施設DB!$B$3:$B$206,[51]宿泊施設DB!$V$3:$V$206,"",)</f>
        <v>－</v>
      </c>
      <c r="N87" s="2866" t="str">
        <f>_xlfn.XLOOKUP($E87,[51]宿泊施設DB!$B$3:$B$206,[51]宿泊施設DB!$W$3:$W$206,"",)</f>
        <v>－</v>
      </c>
      <c r="O87" s="2866" t="str">
        <f>_xlfn.XLOOKUP($E87,[51]宿泊施設DB!$B$3:$B$206,[51]宿泊施設DB!$X$3:$X$206,"",)</f>
        <v>玄関前（屋根無）4台</v>
      </c>
      <c r="P87" s="302" t="str">
        <f t="shared" si="2"/>
        <v>○</v>
      </c>
      <c r="Q87" s="302"/>
      <c r="R87" s="296" t="s">
        <v>2136</v>
      </c>
      <c r="S87" s="486" t="s">
        <v>2351</v>
      </c>
      <c r="T87" s="487" t="str">
        <f>IFERROR(VLOOKUP($S87,'[51]競技情報DB(12,000人ver)'!$A$6:$D$201,2,),"－")</f>
        <v>蒲郡市</v>
      </c>
      <c r="U87" s="488">
        <f>_xlfn.XLOOKUP(S87,'[51]競技情報DB(12,000人ver)'!$A$6:$A$99,'[51]競技情報DB(12,000人ver)'!$D$6:$D$99,"",0,)</f>
        <v>83</v>
      </c>
      <c r="V87" s="648">
        <f>SUM(U87:U88)</f>
        <v>145</v>
      </c>
      <c r="W87" s="489"/>
      <c r="X87" s="635"/>
      <c r="Y87" s="318">
        <f>$G87-MAX(AF87:BN87)</f>
        <v>46</v>
      </c>
      <c r="Z87" s="647">
        <f>+Y87/$G87</f>
        <v>0.24083769633507854</v>
      </c>
      <c r="AA87" s="491" t="str">
        <f>E87&amp;"　"&amp;"合計"</f>
        <v>ホテル竹島　合計</v>
      </c>
      <c r="AB87" s="2950">
        <v>45549</v>
      </c>
      <c r="AC87" s="2950">
        <v>45570</v>
      </c>
      <c r="AD87" s="2943">
        <v>21</v>
      </c>
      <c r="AE87" s="492" t="s">
        <v>2175</v>
      </c>
      <c r="AF87" s="2879">
        <f>+_xlfn.XLOOKUP($AA87,'[51]②配宿シュミレーション(12,000人ver)'!$AO$6:$AO$674,'[51]②配宿シュミレーション(12,000人ver)'!AP$6:AP$674,)</f>
        <v>0</v>
      </c>
      <c r="AG87" s="2879">
        <f>+_xlfn.XLOOKUP($AA87,'[51]②配宿シュミレーション(12,000人ver)'!$AO$6:$AO$674,'[51]②配宿シュミレーション(12,000人ver)'!AQ$6:AQ$674,)</f>
        <v>0</v>
      </c>
      <c r="AH87" s="2879">
        <f>+_xlfn.XLOOKUP($AA87,'[51]②配宿シュミレーション(12,000人ver)'!$AO$6:$AO$674,'[51]②配宿シュミレーション(12,000人ver)'!AR$6:AR$674,)</f>
        <v>0</v>
      </c>
      <c r="AI87" s="2879">
        <f>+_xlfn.XLOOKUP($AA87,'[51]②配宿シュミレーション(12,000人ver)'!$AO$6:$AO$674,'[51]②配宿シュミレーション(12,000人ver)'!AS$6:AS$674,)</f>
        <v>0</v>
      </c>
      <c r="AJ87" s="2879">
        <f>+_xlfn.XLOOKUP($AA87,'[51]②配宿シュミレーション(12,000人ver)'!$AO$6:$AO$674,'[51]②配宿シュミレーション(12,000人ver)'!AT$6:AT$674,)</f>
        <v>0</v>
      </c>
      <c r="AK87" s="2879">
        <f>+_xlfn.XLOOKUP($AA87,'[51]②配宿シュミレーション(12,000人ver)'!$AO$6:$AO$674,'[51]②配宿シュミレーション(12,000人ver)'!AU$6:AU$674,)</f>
        <v>0</v>
      </c>
      <c r="AL87" s="2879">
        <f>+_xlfn.XLOOKUP($AA87,'[51]②配宿シュミレーション(12,000人ver)'!$AO$6:$AO$674,'[51]②配宿シュミレーション(12,000人ver)'!AV$6:AV$674,)</f>
        <v>0</v>
      </c>
      <c r="AM87" s="2879">
        <f>+_xlfn.XLOOKUP($AA87,'[51]②配宿シュミレーション(12,000人ver)'!$AO$6:$AO$674,'[51]②配宿シュミレーション(12,000人ver)'!AW$6:AW$674,)</f>
        <v>0</v>
      </c>
      <c r="AN87" s="2879">
        <f>+_xlfn.XLOOKUP($AA87,'[51]②配宿シュミレーション(12,000人ver)'!$AO$6:$AO$674,'[51]②配宿シュミレーション(12,000人ver)'!AX$6:AX$674,)</f>
        <v>0</v>
      </c>
      <c r="AO87" s="2879">
        <f>+_xlfn.XLOOKUP($AA87,'[51]②配宿シュミレーション(12,000人ver)'!$AO$6:$AO$674,'[51]②配宿シュミレーション(12,000人ver)'!AY$6:AY$674,)</f>
        <v>0</v>
      </c>
      <c r="AP87" s="2860" t="s">
        <v>2447</v>
      </c>
      <c r="AQ87" s="2860" t="s">
        <v>2447</v>
      </c>
      <c r="AR87" s="2879">
        <f>+_xlfn.XLOOKUP($AA87,'[51]②配宿シュミレーション(12,000人ver)'!$AO$6:$AO$674,'[51]②配宿シュミレーション(12,000人ver)'!BB$6:BB$674,)</f>
        <v>83</v>
      </c>
      <c r="AS87" s="2879">
        <f>+_xlfn.XLOOKUP($AA87,'[51]②配宿シュミレーション(12,000人ver)'!$AO$6:$AO$674,'[51]②配宿シュミレーション(12,000人ver)'!BC$6:BC$674,)</f>
        <v>83</v>
      </c>
      <c r="AT87" s="2879">
        <f>+_xlfn.XLOOKUP($AA87,'[51]②配宿シュミレーション(12,000人ver)'!$AO$6:$AO$674,'[51]②配宿シュミレーション(12,000人ver)'!BD$6:BD$674,)</f>
        <v>145</v>
      </c>
      <c r="AU87" s="2879">
        <f>+_xlfn.XLOOKUP($AA87,'[51]②配宿シュミレーション(12,000人ver)'!$AO$6:$AO$674,'[51]②配宿シュミレーション(12,000人ver)'!BE$6:BE$674,)</f>
        <v>145</v>
      </c>
      <c r="AV87" s="2879">
        <f>+_xlfn.XLOOKUP($AA87,'[51]②配宿シュミレーション(12,000人ver)'!$AO$6:$AO$674,'[51]②配宿シュミレーション(12,000人ver)'!BF$6:BF$674,)</f>
        <v>145</v>
      </c>
      <c r="AW87" s="2879">
        <f>+_xlfn.XLOOKUP($AA87,'[51]②配宿シュミレーション(12,000人ver)'!$AO$6:$AO$674,'[51]②配宿シュミレーション(12,000人ver)'!BG$6:BG$674,)</f>
        <v>145</v>
      </c>
      <c r="AX87" s="2879">
        <f>+_xlfn.XLOOKUP($AA87,'[51]②配宿シュミレーション(12,000人ver)'!$AO$6:$AO$674,'[51]②配宿シュミレーション(12,000人ver)'!BH$6:BH$674,)</f>
        <v>145</v>
      </c>
      <c r="AY87" s="2879">
        <f>+_xlfn.XLOOKUP($AA87,'[51]②配宿シュミレーション(12,000人ver)'!$AO$6:$AO$674,'[51]②配宿シュミレーション(12,000人ver)'!BI$6:BI$674,)</f>
        <v>145</v>
      </c>
      <c r="AZ87" s="2879">
        <f>+_xlfn.XLOOKUP($AA87,'[51]②配宿シュミレーション(12,000人ver)'!$AO$6:$AO$674,'[51]②配宿シュミレーション(12,000人ver)'!BJ$6:BJ$674,)</f>
        <v>145</v>
      </c>
      <c r="BA87" s="2879">
        <f>+_xlfn.XLOOKUP($AA87,'[51]②配宿シュミレーション(12,000人ver)'!$AO$6:$AO$674,'[51]②配宿シュミレーション(12,000人ver)'!BK$6:BK$674,)</f>
        <v>62</v>
      </c>
      <c r="BB87" s="2879">
        <f>+_xlfn.XLOOKUP($AA87,'[51]②配宿シュミレーション(12,000人ver)'!$AO$6:$AO$674,'[51]②配宿シュミレーション(12,000人ver)'!BL$6:BL$674,)</f>
        <v>62</v>
      </c>
      <c r="BC87" s="2879">
        <f>+_xlfn.XLOOKUP($AA87,'[51]②配宿シュミレーション(12,000人ver)'!$AO$6:$AO$674,'[51]②配宿シュミレーション(12,000人ver)'!BM$6:BM$674,)</f>
        <v>62</v>
      </c>
      <c r="BD87" s="2879">
        <f>+_xlfn.XLOOKUP($AA87,'[51]②配宿シュミレーション(12,000人ver)'!$AO$6:$AO$674,'[51]②配宿シュミレーション(12,000人ver)'!BN$6:BN$674,)</f>
        <v>62</v>
      </c>
      <c r="BE87" s="2879">
        <f>+_xlfn.XLOOKUP($AA87,'[51]②配宿シュミレーション(12,000人ver)'!$AO$6:$AO$674,'[51]②配宿シュミレーション(12,000人ver)'!BO$6:BO$674,)</f>
        <v>62</v>
      </c>
      <c r="BF87" s="2879">
        <f>+_xlfn.XLOOKUP($AA87,'[51]②配宿シュミレーション(12,000人ver)'!$AO$6:$AO$674,'[51]②配宿シュミレーション(12,000人ver)'!BP$6:BP$674,)</f>
        <v>62</v>
      </c>
      <c r="BG87" s="2879">
        <f>+_xlfn.XLOOKUP($AA87,'[51]②配宿シュミレーション(12,000人ver)'!$AO$6:$AO$674,'[51]②配宿シュミレーション(12,000人ver)'!BQ$6:BQ$674,)</f>
        <v>62</v>
      </c>
      <c r="BH87" s="2879">
        <f>+_xlfn.XLOOKUP($AA87,'[51]②配宿シュミレーション(12,000人ver)'!$AO$6:$AO$674,'[51]②配宿シュミレーション(12,000人ver)'!BR$6:BR$674,)</f>
        <v>62</v>
      </c>
      <c r="BI87" s="2879">
        <f>+_xlfn.XLOOKUP($AA87,'[51]②配宿シュミレーション(12,000人ver)'!$AO$6:$AO$674,'[51]②配宿シュミレーション(12,000人ver)'!BS$6:BS$674,)</f>
        <v>62</v>
      </c>
      <c r="BJ87" s="2879">
        <f>+_xlfn.XLOOKUP($AA87,'[51]②配宿シュミレーション(12,000人ver)'!$AO$6:$AO$674,'[51]②配宿シュミレーション(12,000人ver)'!BT$6:BT$674,)</f>
        <v>62</v>
      </c>
      <c r="BK87" s="2861" t="s">
        <v>2448</v>
      </c>
      <c r="BL87" s="2879">
        <f>+_xlfn.XLOOKUP($AA87,'[51]②配宿シュミレーション(12,000人ver)'!$AO$6:$AO$674,'[51]②配宿シュミレーション(12,000人ver)'!BV$6:BV$674,)</f>
        <v>0</v>
      </c>
      <c r="BM87" s="2879">
        <f>+_xlfn.XLOOKUP($AA87,'[51]②配宿シュミレーション(12,000人ver)'!$AO$6:$AO$674,'[51]②配宿シュミレーション(12,000人ver)'!BW$6:BW$674,)</f>
        <v>0</v>
      </c>
      <c r="BN87" s="2918">
        <f>+_xlfn.XLOOKUP($AA87,'[51]②配宿シュミレーション(12,000人ver)'!$AO$6:$AO$674,'[51]②配宿シュミレーション(12,000人ver)'!BX$6:BX$674,)</f>
        <v>0</v>
      </c>
      <c r="BO87" s="573"/>
      <c r="BP87" s="610"/>
      <c r="BQ87" s="611"/>
    </row>
    <row r="88" spans="1:69" s="561" customFormat="1" ht="46" customHeight="1">
      <c r="A88" s="2862"/>
      <c r="B88" s="296"/>
      <c r="C88" s="420"/>
      <c r="D88" s="421" t="str">
        <f>IF(_xlfn.XLOOKUP(E88,[51]宿泊施設DB!$B$3:$B$206,[51]宿泊施設DB!$A$3:$A$206,"",)=0,"",_xlfn.XLOOKUP(E88,[51]宿泊施設DB!$B$3:$B$206,[51]宿泊施設DB!$A$3:$A$206,"",))</f>
        <v/>
      </c>
      <c r="E88" s="612"/>
      <c r="F88" s="2875">
        <f>_xlfn.XLOOKUP($E88,[51]宿泊施設DB!$B$3:$B$206,[51]宿泊施設DB!$D$3:$D$206,"",)</f>
        <v>0</v>
      </c>
      <c r="G88" s="2875">
        <f>_xlfn.XLOOKUP($E88,[51]宿泊施設DB!$B$3:$B$206,[51]宿泊施設DB!$E$3:$E$206,"",)</f>
        <v>0</v>
      </c>
      <c r="H88" s="2877">
        <f>_xlfn.XLOOKUP($E88,[51]宿泊施設DB!$B$3:$B$206,[51]宿泊施設DB!$J$3:$J$206,"",)</f>
        <v>0</v>
      </c>
      <c r="I88" s="2878">
        <f>_xlfn.XLOOKUP($E88,[51]宿泊施設DB!$B$3:$B$206,[51]宿泊施設DB!$T$3:$T$206,"",)</f>
        <v>0</v>
      </c>
      <c r="J88" s="2878">
        <f>_xlfn.XLOOKUP($E88,[51]宿泊施設DB!$B$3:$B$206,[51]宿泊施設DB!$R$3:$R$206,"",)</f>
        <v>0</v>
      </c>
      <c r="K88" s="2877">
        <f>_xlfn.XLOOKUP($E88,[51]宿泊施設DB!$B$3:$B$206,[51]宿泊施設DB!$S$3:$S$206,"",)</f>
        <v>0</v>
      </c>
      <c r="L88" s="2916">
        <f>_xlfn.XLOOKUP($E88,[51]宿泊施設DB!$B$3:$B$206,[51]宿泊施設DB!$U$3:$U$206,"",)</f>
        <v>0</v>
      </c>
      <c r="M88" s="2878">
        <f>_xlfn.XLOOKUP($E88,[51]宿泊施設DB!$B$3:$B$206,[51]宿泊施設DB!$V$3:$V$206,"",)</f>
        <v>0</v>
      </c>
      <c r="N88" s="2878">
        <f>_xlfn.XLOOKUP($E88,[51]宿泊施設DB!$B$3:$B$206,[51]宿泊施設DB!$W$3:$W$206,"",)</f>
        <v>0</v>
      </c>
      <c r="O88" s="2878">
        <f>_xlfn.XLOOKUP($E88,[51]宿泊施設DB!$B$3:$B$206,[51]宿泊施設DB!$X$3:$X$206,"",)</f>
        <v>0</v>
      </c>
      <c r="P88" s="426" t="str">
        <f t="shared" si="2"/>
        <v/>
      </c>
      <c r="Q88" s="426"/>
      <c r="R88" s="420"/>
      <c r="S88" s="477" t="s">
        <v>2480</v>
      </c>
      <c r="T88" s="478" t="str">
        <f>IFERROR(VLOOKUP($S88,'[51]競技情報DB(12,000人ver)'!$A$6:$D$201,2,),"－")</f>
        <v>岡崎／豊橋</v>
      </c>
      <c r="U88" s="479">
        <f>_xlfn.XLOOKUP(S88,'[51]競技情報DB(12,000人ver)'!$A$6:$A$99,'[51]競技情報DB(12,000人ver)'!$D$6:$D$99,"",0,)</f>
        <v>62</v>
      </c>
      <c r="V88" s="653"/>
      <c r="W88" s="480">
        <v>21.6</v>
      </c>
      <c r="X88" s="481">
        <v>37</v>
      </c>
      <c r="Y88" s="2895"/>
      <c r="Z88" s="652"/>
      <c r="AA88" s="517"/>
      <c r="AB88" s="2952"/>
      <c r="AC88" s="2952"/>
      <c r="AD88" s="2953"/>
      <c r="AE88" s="518"/>
      <c r="AF88" s="506"/>
      <c r="AG88" s="506"/>
      <c r="AH88" s="506"/>
      <c r="AI88" s="506"/>
      <c r="AJ88" s="506"/>
      <c r="AK88" s="506"/>
      <c r="AL88" s="506"/>
      <c r="AM88" s="506"/>
      <c r="AN88" s="506"/>
      <c r="AO88" s="506"/>
      <c r="AP88" s="506"/>
      <c r="AQ88" s="506"/>
      <c r="AR88" s="506"/>
      <c r="AS88" s="506"/>
      <c r="AT88" s="506"/>
      <c r="AU88" s="506"/>
      <c r="AV88" s="506"/>
      <c r="AW88" s="506"/>
      <c r="AX88" s="506"/>
      <c r="AY88" s="506"/>
      <c r="AZ88" s="506"/>
      <c r="BA88" s="506"/>
      <c r="BB88" s="506"/>
      <c r="BC88" s="506"/>
      <c r="BD88" s="506"/>
      <c r="BE88" s="506"/>
      <c r="BF88" s="506"/>
      <c r="BG88" s="506"/>
      <c r="BH88" s="506"/>
      <c r="BI88" s="506"/>
      <c r="BJ88" s="506"/>
      <c r="BK88" s="506"/>
      <c r="BL88" s="506"/>
      <c r="BM88" s="506"/>
      <c r="BN88" s="520"/>
      <c r="BO88" s="573"/>
      <c r="BP88" s="614"/>
      <c r="BQ88" s="615"/>
    </row>
    <row r="89" spans="1:69" ht="46" customHeight="1">
      <c r="A89" s="2862"/>
      <c r="B89" s="296"/>
      <c r="C89" s="372">
        <f>C87+1</f>
        <v>27</v>
      </c>
      <c r="D89" s="2871">
        <f>IF(_xlfn.XLOOKUP(E89,[51]宿泊施設DB!$B$3:$B$206,[51]宿泊施設DB!$A$3:$A$206,"",)=0,"",_xlfn.XLOOKUP(E89,[51]宿泊施設DB!$B$3:$B$206,[51]宿泊施設DB!$A$3:$A$206,"",))</f>
        <v>256</v>
      </c>
      <c r="E89" s="572" t="s">
        <v>2481</v>
      </c>
      <c r="F89" s="2872">
        <f>_xlfn.XLOOKUP($E89,[51]宿泊施設DB!$B$3:$B$206,[51]宿泊施設DB!$D$3:$D$206,"",)</f>
        <v>82</v>
      </c>
      <c r="G89" s="2872">
        <f>_xlfn.XLOOKUP($E89,[51]宿泊施設DB!$B$3:$B$206,[51]宿泊施設DB!$E$3:$E$206,"",)</f>
        <v>269</v>
      </c>
      <c r="H89" s="2873">
        <f>_xlfn.XLOOKUP($E89,[51]宿泊施設DB!$B$3:$B$206,[51]宿泊施設DB!$J$3:$J$206,"",)</f>
        <v>16</v>
      </c>
      <c r="I89" s="2874" t="str">
        <f>_xlfn.XLOOKUP($E89,[51]宿泊施設DB!$B$3:$B$206,[51]宿泊施設DB!$T$3:$T$206,"",)</f>
        <v>調査中</v>
      </c>
      <c r="J89" s="2874" t="str">
        <f>_xlfn.XLOOKUP($E89,[51]宿泊施設DB!$B$3:$B$206,[51]宿泊施設DB!$R$3:$R$206,"",)</f>
        <v>宿泊施設</v>
      </c>
      <c r="K89" s="2873">
        <f>_xlfn.XLOOKUP($E89,[51]宿泊施設DB!$B$3:$B$206,[51]宿泊施設DB!$S$3:$S$206,"",)</f>
        <v>120</v>
      </c>
      <c r="L89" s="2914" t="str">
        <f>_xlfn.XLOOKUP($E89,[51]宿泊施設DB!$B$3:$B$206,[51]宿泊施設DB!$U$3:$U$206,"",)</f>
        <v>－</v>
      </c>
      <c r="M89" s="2874" t="str">
        <f>_xlfn.XLOOKUP($E89,[51]宿泊施設DB!$B$3:$B$206,[51]宿泊施設DB!$V$3:$V$206,"",)</f>
        <v>○</v>
      </c>
      <c r="N89" s="2874" t="str">
        <f>_xlfn.XLOOKUP($E89,[51]宿泊施設DB!$B$3:$B$206,[51]宿泊施設DB!$W$3:$W$206,"",)</f>
        <v>調査中</v>
      </c>
      <c r="O89" s="2874" t="str">
        <f>_xlfn.XLOOKUP($E89,[51]宿泊施設DB!$B$3:$B$206,[51]宿泊施設DB!$X$3:$X$206,"",)</f>
        <v>専用乗降場所（屋根無）5台</v>
      </c>
      <c r="P89" s="377" t="str">
        <f t="shared" si="2"/>
        <v>○</v>
      </c>
      <c r="Q89" s="377"/>
      <c r="R89" s="372" t="s">
        <v>2482</v>
      </c>
      <c r="S89" s="539" t="s">
        <v>2326</v>
      </c>
      <c r="T89" s="540" t="str">
        <f>IFERROR(VLOOKUP($S89,'[51]競技情報DB(12,000人ver)'!$A$6:$D$201,2,),"－")</f>
        <v>西尾市</v>
      </c>
      <c r="U89" s="541">
        <f>_xlfn.XLOOKUP(S89,'[51]競技情報DB(12,000人ver)'!$A$6:$A$99,'[51]競技情報DB(12,000人ver)'!$D$6:$D$99,"",0,)</f>
        <v>252</v>
      </c>
      <c r="V89" s="648">
        <f>SUM(U89:U90)</f>
        <v>252</v>
      </c>
      <c r="W89" s="542">
        <v>20.9</v>
      </c>
      <c r="X89" s="571">
        <v>31</v>
      </c>
      <c r="Y89" s="318">
        <f>$G89-MAX(AF89:BN89)</f>
        <v>17</v>
      </c>
      <c r="Z89" s="647">
        <f>+Y89/$G89</f>
        <v>6.3197026022304828E-2</v>
      </c>
      <c r="AA89" s="334" t="str">
        <f>E89&amp;"　"&amp;"合計"</f>
        <v>ホテル東海園　合計</v>
      </c>
      <c r="AB89" s="2939">
        <v>45549</v>
      </c>
      <c r="AC89" s="2939">
        <v>45569</v>
      </c>
      <c r="AD89" s="2943">
        <v>20</v>
      </c>
      <c r="AE89" s="2919" t="s">
        <v>2175</v>
      </c>
      <c r="AF89" s="494">
        <f>+_xlfn.XLOOKUP($AA89,'[51]②配宿シュミレーション(12,000人ver)'!$AO$6:$AO$674,'[51]②配宿シュミレーション(12,000人ver)'!AP$6:AP$674,)</f>
        <v>0</v>
      </c>
      <c r="AG89" s="494">
        <f>+_xlfn.XLOOKUP($AA89,'[51]②配宿シュミレーション(12,000人ver)'!$AO$6:$AO$674,'[51]②配宿シュミレーション(12,000人ver)'!AQ$6:AQ$674,)</f>
        <v>0</v>
      </c>
      <c r="AH89" s="494">
        <f>+_xlfn.XLOOKUP($AA89,'[51]②配宿シュミレーション(12,000人ver)'!$AO$6:$AO$674,'[51]②配宿シュミレーション(12,000人ver)'!AR$6:AR$674,)</f>
        <v>0</v>
      </c>
      <c r="AI89" s="494">
        <f>+_xlfn.XLOOKUP($AA89,'[51]②配宿シュミレーション(12,000人ver)'!$AO$6:$AO$674,'[51]②配宿シュミレーション(12,000人ver)'!AS$6:AS$674,)</f>
        <v>0</v>
      </c>
      <c r="AJ89" s="494">
        <f>+_xlfn.XLOOKUP($AA89,'[51]②配宿シュミレーション(12,000人ver)'!$AO$6:$AO$674,'[51]②配宿シュミレーション(12,000人ver)'!AT$6:AT$674,)</f>
        <v>0</v>
      </c>
      <c r="AK89" s="494">
        <f>+_xlfn.XLOOKUP($AA89,'[51]②配宿シュミレーション(12,000人ver)'!$AO$6:$AO$674,'[51]②配宿シュミレーション(12,000人ver)'!AU$6:AU$674,)</f>
        <v>0</v>
      </c>
      <c r="AL89" s="494">
        <f>+_xlfn.XLOOKUP($AA89,'[51]②配宿シュミレーション(12,000人ver)'!$AO$6:$AO$674,'[51]②配宿シュミレーション(12,000人ver)'!AV$6:AV$674,)</f>
        <v>0</v>
      </c>
      <c r="AM89" s="494">
        <f>+_xlfn.XLOOKUP($AA89,'[51]②配宿シュミレーション(12,000人ver)'!$AO$6:$AO$674,'[51]②配宿シュミレーション(12,000人ver)'!AW$6:AW$674,)</f>
        <v>0</v>
      </c>
      <c r="AN89" s="494">
        <f>+_xlfn.XLOOKUP($AA89,'[51]②配宿シュミレーション(12,000人ver)'!$AO$6:$AO$674,'[51]②配宿シュミレーション(12,000人ver)'!AX$6:AX$674,)</f>
        <v>0</v>
      </c>
      <c r="AO89" s="494">
        <f>+_xlfn.XLOOKUP($AA89,'[51]②配宿シュミレーション(12,000人ver)'!$AO$6:$AO$674,'[51]②配宿シュミレーション(12,000人ver)'!AY$6:AY$674,)</f>
        <v>0</v>
      </c>
      <c r="AP89" s="2880" t="s">
        <v>2447</v>
      </c>
      <c r="AQ89" s="2880" t="s">
        <v>2447</v>
      </c>
      <c r="AR89" s="494">
        <f>+_xlfn.XLOOKUP($AA89,'[51]②配宿シュミレーション(12,000人ver)'!$AO$6:$AO$674,'[51]②配宿シュミレーション(12,000人ver)'!BB$6:BB$674,)</f>
        <v>252</v>
      </c>
      <c r="AS89" s="494">
        <f>+_xlfn.XLOOKUP($AA89,'[51]②配宿シュミレーション(12,000人ver)'!$AO$6:$AO$674,'[51]②配宿シュミレーション(12,000人ver)'!BC$6:BC$674,)</f>
        <v>252</v>
      </c>
      <c r="AT89" s="494">
        <f>+_xlfn.XLOOKUP($AA89,'[51]②配宿シュミレーション(12,000人ver)'!$AO$6:$AO$674,'[51]②配宿シュミレーション(12,000人ver)'!BD$6:BD$674,)</f>
        <v>252</v>
      </c>
      <c r="AU89" s="494">
        <f>+_xlfn.XLOOKUP($AA89,'[51]②配宿シュミレーション(12,000人ver)'!$AO$6:$AO$674,'[51]②配宿シュミレーション(12,000人ver)'!BE$6:BE$674,)</f>
        <v>252</v>
      </c>
      <c r="AV89" s="494">
        <f>+_xlfn.XLOOKUP($AA89,'[51]②配宿シュミレーション(12,000人ver)'!$AO$6:$AO$674,'[51]②配宿シュミレーション(12,000人ver)'!BF$6:BF$674,)</f>
        <v>252</v>
      </c>
      <c r="AW89" s="494">
        <f>+_xlfn.XLOOKUP($AA89,'[51]②配宿シュミレーション(12,000人ver)'!$AO$6:$AO$674,'[51]②配宿シュミレーション(12,000人ver)'!BG$6:BG$674,)</f>
        <v>252</v>
      </c>
      <c r="AX89" s="494">
        <f>+_xlfn.XLOOKUP($AA89,'[51]②配宿シュミレーション(12,000人ver)'!$AO$6:$AO$674,'[51]②配宿シュミレーション(12,000人ver)'!BH$6:BH$674,)</f>
        <v>252</v>
      </c>
      <c r="AY89" s="494">
        <f>+_xlfn.XLOOKUP($AA89,'[51]②配宿シュミレーション(12,000人ver)'!$AO$6:$AO$674,'[51]②配宿シュミレーション(12,000人ver)'!BI$6:BI$674,)</f>
        <v>252</v>
      </c>
      <c r="AZ89" s="494">
        <f>+_xlfn.XLOOKUP($AA89,'[51]②配宿シュミレーション(12,000人ver)'!$AO$6:$AO$674,'[51]②配宿シュミレーション(12,000人ver)'!BJ$6:BJ$674,)</f>
        <v>252</v>
      </c>
      <c r="BA89" s="494">
        <f>+_xlfn.XLOOKUP($AA89,'[51]②配宿シュミレーション(12,000人ver)'!$AO$6:$AO$674,'[51]②配宿シュミレーション(12,000人ver)'!BK$6:BK$674,)</f>
        <v>252</v>
      </c>
      <c r="BB89" s="494">
        <f>+_xlfn.XLOOKUP($AA89,'[51]②配宿シュミレーション(12,000人ver)'!$AO$6:$AO$674,'[51]②配宿シュミレーション(12,000人ver)'!BL$6:BL$674,)</f>
        <v>252</v>
      </c>
      <c r="BC89" s="494">
        <f>+_xlfn.XLOOKUP($AA89,'[51]②配宿シュミレーション(12,000人ver)'!$AO$6:$AO$674,'[51]②配宿シュミレーション(12,000人ver)'!BM$6:BM$674,)</f>
        <v>252</v>
      </c>
      <c r="BD89" s="494">
        <f>+_xlfn.XLOOKUP($AA89,'[51]②配宿シュミレーション(12,000人ver)'!$AO$6:$AO$674,'[51]②配宿シュミレーション(12,000人ver)'!BN$6:BN$674,)</f>
        <v>252</v>
      </c>
      <c r="BE89" s="494">
        <f>+_xlfn.XLOOKUP($AA89,'[51]②配宿シュミレーション(12,000人ver)'!$AO$6:$AO$674,'[51]②配宿シュミレーション(12,000人ver)'!BO$6:BO$674,)</f>
        <v>252</v>
      </c>
      <c r="BF89" s="494">
        <f>+_xlfn.XLOOKUP($AA89,'[51]②配宿シュミレーション(12,000人ver)'!$AO$6:$AO$674,'[51]②配宿シュミレーション(12,000人ver)'!BP$6:BP$674,)</f>
        <v>252</v>
      </c>
      <c r="BG89" s="494">
        <f>+_xlfn.XLOOKUP($AA89,'[51]②配宿シュミレーション(12,000人ver)'!$AO$6:$AO$674,'[51]②配宿シュミレーション(12,000人ver)'!BQ$6:BQ$674,)</f>
        <v>252</v>
      </c>
      <c r="BH89" s="494">
        <f>+_xlfn.XLOOKUP($AA89,'[51]②配宿シュミレーション(12,000人ver)'!$AO$6:$AO$674,'[51]②配宿シュミレーション(12,000人ver)'!BR$6:BR$674,)</f>
        <v>252</v>
      </c>
      <c r="BI89" s="494">
        <f>+_xlfn.XLOOKUP($AA89,'[51]②配宿シュミレーション(12,000人ver)'!$AO$6:$AO$674,'[51]②配宿シュミレーション(12,000人ver)'!BS$6:BS$674,)</f>
        <v>252</v>
      </c>
      <c r="BJ89" s="2881" t="s">
        <v>2448</v>
      </c>
      <c r="BK89" s="494">
        <f>+_xlfn.XLOOKUP($AA89,'[51]②配宿シュミレーション(12,000人ver)'!$AO$6:$AO$674,'[51]②配宿シュミレーション(12,000人ver)'!BU$6:BU$674,)</f>
        <v>0</v>
      </c>
      <c r="BL89" s="494">
        <f>+_xlfn.XLOOKUP($AA89,'[51]②配宿シュミレーション(12,000人ver)'!$AO$6:$AO$674,'[51]②配宿シュミレーション(12,000人ver)'!BV$6:BV$674,)</f>
        <v>0</v>
      </c>
      <c r="BM89" s="494">
        <f>+_xlfn.XLOOKUP($AA89,'[51]②配宿シュミレーション(12,000人ver)'!$AO$6:$AO$674,'[51]②配宿シュミレーション(12,000人ver)'!BW$6:BW$674,)</f>
        <v>0</v>
      </c>
      <c r="BN89" s="499">
        <f>+_xlfn.XLOOKUP($AA89,'[51]②配宿シュミレーション(12,000人ver)'!$AO$6:$AO$674,'[51]②配宿シュミレーション(12,000人ver)'!BX$6:BX$674,)</f>
        <v>0</v>
      </c>
      <c r="BO89" s="573"/>
      <c r="BP89" s="610"/>
      <c r="BQ89" s="611"/>
    </row>
    <row r="90" spans="1:69" ht="46" customHeight="1">
      <c r="A90" s="2862"/>
      <c r="B90" s="2863"/>
      <c r="C90" s="420"/>
      <c r="D90" s="421" t="str">
        <f>IF(_xlfn.XLOOKUP(E90,[51]宿泊施設DB!$B$3:$B$206,[51]宿泊施設DB!$A$3:$A$206,"",)=0,"",_xlfn.XLOOKUP(E90,[51]宿泊施設DB!$B$3:$B$206,[51]宿泊施設DB!$A$3:$A$206,"",))</f>
        <v/>
      </c>
      <c r="E90" s="612"/>
      <c r="F90" s="2875">
        <f>_xlfn.XLOOKUP($E90,[51]宿泊施設DB!$B$3:$B$206,[51]宿泊施設DB!$D$3:$D$206,"",)</f>
        <v>0</v>
      </c>
      <c r="G90" s="2875">
        <f>_xlfn.XLOOKUP($E90,[51]宿泊施設DB!$B$3:$B$206,[51]宿泊施設DB!$E$3:$E$206,"",)</f>
        <v>0</v>
      </c>
      <c r="H90" s="2877">
        <f>_xlfn.XLOOKUP($E90,[51]宿泊施設DB!$B$3:$B$206,[51]宿泊施設DB!$J$3:$J$206,"",)</f>
        <v>0</v>
      </c>
      <c r="I90" s="2878">
        <f>_xlfn.XLOOKUP($E90,[51]宿泊施設DB!$B$3:$B$206,[51]宿泊施設DB!$T$3:$T$206,"",)</f>
        <v>0</v>
      </c>
      <c r="J90" s="2878">
        <f>_xlfn.XLOOKUP($E90,[51]宿泊施設DB!$B$3:$B$206,[51]宿泊施設DB!$R$3:$R$206,"",)</f>
        <v>0</v>
      </c>
      <c r="K90" s="2877">
        <f>_xlfn.XLOOKUP($E90,[51]宿泊施設DB!$B$3:$B$206,[51]宿泊施設DB!$S$3:$S$206,"",)</f>
        <v>0</v>
      </c>
      <c r="L90" s="2916">
        <f>_xlfn.XLOOKUP($E90,[51]宿泊施設DB!$B$3:$B$206,[51]宿泊施設DB!$U$3:$U$206,"",)</f>
        <v>0</v>
      </c>
      <c r="M90" s="2878">
        <f>_xlfn.XLOOKUP($E90,[51]宿泊施設DB!$B$3:$B$206,[51]宿泊施設DB!$V$3:$V$206,"",)</f>
        <v>0</v>
      </c>
      <c r="N90" s="2878">
        <f>_xlfn.XLOOKUP($E90,[51]宿泊施設DB!$B$3:$B$206,[51]宿泊施設DB!$W$3:$W$206,"",)</f>
        <v>0</v>
      </c>
      <c r="O90" s="2878">
        <f>_xlfn.XLOOKUP($E90,[51]宿泊施設DB!$B$3:$B$206,[51]宿泊施設DB!$X$3:$X$206,"",)</f>
        <v>0</v>
      </c>
      <c r="P90" s="426" t="str">
        <f t="shared" si="2"/>
        <v/>
      </c>
      <c r="Q90" s="426"/>
      <c r="R90" s="420"/>
      <c r="S90" s="477"/>
      <c r="T90" s="478" t="str">
        <f>IFERROR(VLOOKUP($S90,'[51]競技情報DB(12,000人ver)'!$A$6:$D$201,2,),"－")</f>
        <v>－</v>
      </c>
      <c r="U90" s="479">
        <f>_xlfn.XLOOKUP(S90,'[51]競技情報DB(12,000人ver)'!$A$6:$A$99,'[51]競技情報DB(12,000人ver)'!$D$6:$D$99,"",0,)</f>
        <v>0</v>
      </c>
      <c r="V90" s="653"/>
      <c r="W90" s="480"/>
      <c r="X90" s="481"/>
      <c r="Y90" s="2895"/>
      <c r="Z90" s="652"/>
      <c r="AA90" s="334"/>
      <c r="AB90" s="2939"/>
      <c r="AC90" s="2939"/>
      <c r="AD90" s="2943"/>
      <c r="AE90" s="444"/>
      <c r="AF90" s="337"/>
      <c r="AG90" s="337"/>
      <c r="AH90" s="337"/>
      <c r="AI90" s="337"/>
      <c r="AJ90" s="337"/>
      <c r="AK90" s="337"/>
      <c r="AL90" s="337"/>
      <c r="AM90" s="337"/>
      <c r="AN90" s="337"/>
      <c r="AO90" s="337"/>
      <c r="AP90" s="337"/>
      <c r="AQ90" s="337"/>
      <c r="AR90" s="337"/>
      <c r="AS90" s="337"/>
      <c r="AT90" s="337"/>
      <c r="AU90" s="337"/>
      <c r="AV90" s="337"/>
      <c r="AW90" s="337"/>
      <c r="AX90" s="337"/>
      <c r="AY90" s="337"/>
      <c r="AZ90" s="337"/>
      <c r="BA90" s="337"/>
      <c r="BB90" s="337"/>
      <c r="BC90" s="337"/>
      <c r="BD90" s="337"/>
      <c r="BE90" s="337"/>
      <c r="BF90" s="337"/>
      <c r="BG90" s="337"/>
      <c r="BH90" s="337"/>
      <c r="BI90" s="337"/>
      <c r="BJ90" s="337"/>
      <c r="BK90" s="337"/>
      <c r="BL90" s="337"/>
      <c r="BM90" s="337"/>
      <c r="BN90" s="340"/>
      <c r="BO90" s="573"/>
      <c r="BP90" s="610"/>
      <c r="BQ90" s="611"/>
    </row>
    <row r="91" spans="1:69" s="564" customFormat="1" ht="46" customHeight="1">
      <c r="A91" s="2862"/>
      <c r="B91" s="2913" t="s">
        <v>2354</v>
      </c>
      <c r="C91" s="372">
        <f>C89+1</f>
        <v>28</v>
      </c>
      <c r="D91" s="2871">
        <f>IF(_xlfn.XLOOKUP(E91,[51]宿泊施設DB!$B$3:$B$206,[51]宿泊施設DB!$A$3:$A$206,"",)=0,"",_xlfn.XLOOKUP(E91,[51]宿泊施設DB!$B$3:$B$206,[51]宿泊施設DB!$A$3:$A$206,"",))</f>
        <v>1003</v>
      </c>
      <c r="E91" s="572" t="s">
        <v>2355</v>
      </c>
      <c r="F91" s="2872">
        <f>_xlfn.XLOOKUP($E91,[51]宿泊施設DB!$B$3:$B$206,[51]宿泊施設DB!$D$3:$D$206,"",)</f>
        <v>184</v>
      </c>
      <c r="G91" s="2872">
        <f>_xlfn.XLOOKUP($E91,[51]宿泊施設DB!$B$3:$B$206,[51]宿泊施設DB!$E$3:$E$206,"",)</f>
        <v>186</v>
      </c>
      <c r="H91" s="2873">
        <f>_xlfn.XLOOKUP($E91,[51]宿泊施設DB!$B$3:$B$206,[51]宿泊施設DB!$J$3:$J$206,"",)</f>
        <v>0</v>
      </c>
      <c r="I91" s="2874" t="str">
        <f>_xlfn.XLOOKUP($E91,[51]宿泊施設DB!$B$3:$B$206,[51]宿泊施設DB!$T$3:$T$206,"",)</f>
        <v>高</v>
      </c>
      <c r="J91" s="2874" t="str">
        <f>_xlfn.XLOOKUP($E91,[51]宿泊施設DB!$B$3:$B$206,[51]宿泊施設DB!$R$3:$R$206,"",)</f>
        <v>宿泊施設</v>
      </c>
      <c r="K91" s="2873">
        <f>_xlfn.XLOOKUP($E91,[51]宿泊施設DB!$B$3:$B$206,[51]宿泊施設DB!$S$3:$S$206,"",)</f>
        <v>92</v>
      </c>
      <c r="L91" s="2914" t="str">
        <f>_xlfn.XLOOKUP($E91,[51]宿泊施設DB!$B$3:$B$206,[51]宿泊施設DB!$U$3:$U$206,"",)</f>
        <v>－</v>
      </c>
      <c r="M91" s="2874" t="str">
        <f>_xlfn.XLOOKUP($E91,[51]宿泊施設DB!$B$3:$B$206,[51]宿泊施設DB!$V$3:$V$206,"",)</f>
        <v>－</v>
      </c>
      <c r="N91" s="2874" t="str">
        <f>_xlfn.XLOOKUP($E91,[51]宿泊施設DB!$B$3:$B$206,[51]宿泊施設DB!$W$3:$W$206,"",)</f>
        <v>○</v>
      </c>
      <c r="O91" s="2874" t="str">
        <f>_xlfn.XLOOKUP($E91,[51]宿泊施設DB!$B$3:$B$206,[51]宿泊施設DB!$X$3:$X$206,"",)</f>
        <v>専用乗降場所（屋根無）3台</v>
      </c>
      <c r="P91" s="377" t="str">
        <f t="shared" si="2"/>
        <v>○</v>
      </c>
      <c r="Q91" s="377"/>
      <c r="R91" s="372" t="s">
        <v>2169</v>
      </c>
      <c r="S91" s="539" t="s">
        <v>2356</v>
      </c>
      <c r="T91" s="540" t="str">
        <f>IFERROR(VLOOKUP($S91,'[51]競技情報DB(12,000人ver)'!$A$6:$D$201,2,),"－")</f>
        <v>新城市</v>
      </c>
      <c r="U91" s="541">
        <f>_xlfn.XLOOKUP(S91,'[51]競技情報DB(12,000人ver)'!$A$6:$A$99,'[51]競技情報DB(12,000人ver)'!$D$6:$D$99,"",0,)</f>
        <v>101</v>
      </c>
      <c r="V91" s="648">
        <f>SUM(U91:U91)</f>
        <v>101</v>
      </c>
      <c r="W91" s="542"/>
      <c r="X91" s="571">
        <v>5</v>
      </c>
      <c r="Y91" s="318">
        <f>$G91-MAX(AF91:BN91)</f>
        <v>85</v>
      </c>
      <c r="Z91" s="656">
        <f>+Y91/$G91</f>
        <v>0.45698924731182794</v>
      </c>
      <c r="AA91" s="515" t="str">
        <f>E91&amp;"　"&amp;"合計"</f>
        <v>ホテルルートイン新城　合計</v>
      </c>
      <c r="AB91" s="2951">
        <v>45548</v>
      </c>
      <c r="AC91" s="2951">
        <v>45560</v>
      </c>
      <c r="AD91" s="2943">
        <v>12</v>
      </c>
      <c r="AE91" s="396" t="s">
        <v>2175</v>
      </c>
      <c r="AF91" s="398">
        <f>+_xlfn.XLOOKUP($AA91,'[51]②配宿シュミレーション(12,000人ver)'!$AO$6:$AO$674,'[51]②配宿シュミレーション(12,000人ver)'!AP$6:AP$674,)</f>
        <v>0</v>
      </c>
      <c r="AG91" s="398">
        <f>+_xlfn.XLOOKUP($AA91,'[51]②配宿シュミレーション(12,000人ver)'!$AO$6:$AO$674,'[51]②配宿シュミレーション(12,000人ver)'!AQ$6:AQ$674,)</f>
        <v>0</v>
      </c>
      <c r="AH91" s="398">
        <f>+_xlfn.XLOOKUP($AA91,'[51]②配宿シュミレーション(12,000人ver)'!$AO$6:$AO$674,'[51]②配宿シュミレーション(12,000人ver)'!AR$6:AR$674,)</f>
        <v>0</v>
      </c>
      <c r="AI91" s="398">
        <f>+_xlfn.XLOOKUP($AA91,'[51]②配宿シュミレーション(12,000人ver)'!$AO$6:$AO$674,'[51]②配宿シュミレーション(12,000人ver)'!AS$6:AS$674,)</f>
        <v>0</v>
      </c>
      <c r="AJ91" s="398">
        <f>+_xlfn.XLOOKUP($AA91,'[51]②配宿シュミレーション(12,000人ver)'!$AO$6:$AO$674,'[51]②配宿シュミレーション(12,000人ver)'!AT$6:AT$674,)</f>
        <v>0</v>
      </c>
      <c r="AK91" s="398">
        <f>+_xlfn.XLOOKUP($AA91,'[51]②配宿シュミレーション(12,000人ver)'!$AO$6:$AO$674,'[51]②配宿シュミレーション(12,000人ver)'!AU$6:AU$674,)</f>
        <v>0</v>
      </c>
      <c r="AL91" s="398">
        <f>+_xlfn.XLOOKUP($AA91,'[51]②配宿シュミレーション(12,000人ver)'!$AO$6:$AO$674,'[51]②配宿シュミレーション(12,000人ver)'!AV$6:AV$674,)</f>
        <v>0</v>
      </c>
      <c r="AM91" s="398">
        <f>+_xlfn.XLOOKUP($AA91,'[51]②配宿シュミレーション(12,000人ver)'!$AO$6:$AO$674,'[51]②配宿シュミレーション(12,000人ver)'!AW$6:AW$674,)</f>
        <v>0</v>
      </c>
      <c r="AN91" s="398">
        <f>+_xlfn.XLOOKUP($AA91,'[51]②配宿シュミレーション(12,000人ver)'!$AO$6:$AO$674,'[51]②配宿シュミレーション(12,000人ver)'!AX$6:AX$674,)</f>
        <v>0</v>
      </c>
      <c r="AO91" s="2860" t="s">
        <v>2447</v>
      </c>
      <c r="AP91" s="2860" t="s">
        <v>2447</v>
      </c>
      <c r="AQ91" s="2879">
        <f>+_xlfn.XLOOKUP($AA91,'[51]②配宿シュミレーション(12,000人ver)'!$AO$6:$AO$674,'[51]②配宿シュミレーション(12,000人ver)'!BA$6:BA$674,)</f>
        <v>101</v>
      </c>
      <c r="AR91" s="2879">
        <f>+_xlfn.XLOOKUP($AA91,'[51]②配宿シュミレーション(12,000人ver)'!$AO$6:$AO$674,'[51]②配宿シュミレーション(12,000人ver)'!BB$6:BB$674,)</f>
        <v>101</v>
      </c>
      <c r="AS91" s="2879">
        <f>+_xlfn.XLOOKUP($AA91,'[51]②配宿シュミレーション(12,000人ver)'!$AO$6:$AO$674,'[51]②配宿シュミレーション(12,000人ver)'!BC$6:BC$674,)</f>
        <v>101</v>
      </c>
      <c r="AT91" s="2879">
        <f>+_xlfn.XLOOKUP($AA91,'[51]②配宿シュミレーション(12,000人ver)'!$AO$6:$AO$674,'[51]②配宿シュミレーション(12,000人ver)'!BD$6:BD$674,)</f>
        <v>101</v>
      </c>
      <c r="AU91" s="2879">
        <f>+_xlfn.XLOOKUP($AA91,'[51]②配宿シュミレーション(12,000人ver)'!$AO$6:$AO$674,'[51]②配宿シュミレーション(12,000人ver)'!BE$6:BE$674,)</f>
        <v>101</v>
      </c>
      <c r="AV91" s="2879">
        <f>+_xlfn.XLOOKUP($AA91,'[51]②配宿シュミレーション(12,000人ver)'!$AO$6:$AO$674,'[51]②配宿シュミレーション(12,000人ver)'!BF$6:BF$674,)</f>
        <v>101</v>
      </c>
      <c r="AW91" s="2879">
        <f>+_xlfn.XLOOKUP($AA91,'[51]②配宿シュミレーション(12,000人ver)'!$AO$6:$AO$674,'[51]②配宿シュミレーション(12,000人ver)'!BG$6:BG$674,)</f>
        <v>101</v>
      </c>
      <c r="AX91" s="2879">
        <f>+_xlfn.XLOOKUP($AA91,'[51]②配宿シュミレーション(12,000人ver)'!$AO$6:$AO$674,'[51]②配宿シュミレーション(12,000人ver)'!BH$6:BH$674,)</f>
        <v>101</v>
      </c>
      <c r="AY91" s="2879">
        <f>+_xlfn.XLOOKUP($AA91,'[51]②配宿シュミレーション(12,000人ver)'!$AO$6:$AO$674,'[51]②配宿シュミレーション(12,000人ver)'!BI$6:BI$674,)</f>
        <v>101</v>
      </c>
      <c r="AZ91" s="2879">
        <f>+_xlfn.XLOOKUP($AA91,'[51]②配宿シュミレーション(12,000人ver)'!$AO$6:$AO$674,'[51]②配宿シュミレーション(12,000人ver)'!BJ$6:BJ$674,)</f>
        <v>101</v>
      </c>
      <c r="BA91" s="2861" t="s">
        <v>2448</v>
      </c>
      <c r="BB91" s="2879">
        <f>+_xlfn.XLOOKUP($AA91,'[51]②配宿シュミレーション(12,000人ver)'!$AO$6:$AO$674,'[51]②配宿シュミレーション(12,000人ver)'!BL$6:BL$674,)</f>
        <v>0</v>
      </c>
      <c r="BC91" s="2879">
        <f>+_xlfn.XLOOKUP($AA91,'[51]②配宿シュミレーション(12,000人ver)'!$AO$6:$AO$674,'[51]②配宿シュミレーション(12,000人ver)'!BM$6:BM$674,)</f>
        <v>0</v>
      </c>
      <c r="BD91" s="2879">
        <f>+_xlfn.XLOOKUP($AA91,'[51]②配宿シュミレーション(12,000人ver)'!$AO$6:$AO$674,'[51]②配宿シュミレーション(12,000人ver)'!BN$6:BN$674,)</f>
        <v>0</v>
      </c>
      <c r="BE91" s="2879">
        <f>+_xlfn.XLOOKUP($AA91,'[51]②配宿シュミレーション(12,000人ver)'!$AO$6:$AO$674,'[51]②配宿シュミレーション(12,000人ver)'!BO$6:BO$674,)</f>
        <v>0</v>
      </c>
      <c r="BF91" s="2879">
        <f>+_xlfn.XLOOKUP($AA91,'[51]②配宿シュミレーション(12,000人ver)'!$AO$6:$AO$674,'[51]②配宿シュミレーション(12,000人ver)'!BP$6:BP$674,)</f>
        <v>0</v>
      </c>
      <c r="BG91" s="2879">
        <f>+_xlfn.XLOOKUP($AA91,'[51]②配宿シュミレーション(12,000人ver)'!$AO$6:$AO$674,'[51]②配宿シュミレーション(12,000人ver)'!BQ$6:BQ$674,)</f>
        <v>0</v>
      </c>
      <c r="BH91" s="398">
        <f>+_xlfn.XLOOKUP($AA91,'[51]②配宿シュミレーション(12,000人ver)'!$AO$6:$AO$674,'[51]②配宿シュミレーション(12,000人ver)'!BR$6:BR$674,)</f>
        <v>0</v>
      </c>
      <c r="BI91" s="398">
        <f>+_xlfn.XLOOKUP($AA91,'[51]②配宿シュミレーション(12,000人ver)'!$AO$6:$AO$674,'[51]②配宿シュミレーション(12,000人ver)'!BS$6:BS$674,)</f>
        <v>0</v>
      </c>
      <c r="BJ91" s="398">
        <f>+_xlfn.XLOOKUP($AA91,'[51]②配宿シュミレーション(12,000人ver)'!$AO$6:$AO$674,'[51]②配宿シュミレーション(12,000人ver)'!BT$6:BT$674,)</f>
        <v>0</v>
      </c>
      <c r="BK91" s="398">
        <f>+_xlfn.XLOOKUP($AA91,'[51]②配宿シュミレーション(12,000人ver)'!$AO$6:$AO$674,'[51]②配宿シュミレーション(12,000人ver)'!BU$6:BU$674,)</f>
        <v>0</v>
      </c>
      <c r="BL91" s="398">
        <f>+_xlfn.XLOOKUP($AA91,'[51]②配宿シュミレーション(12,000人ver)'!$AO$6:$AO$674,'[51]②配宿シュミレーション(12,000人ver)'!BV$6:BV$674,)</f>
        <v>0</v>
      </c>
      <c r="BM91" s="398">
        <f>+_xlfn.XLOOKUP($AA91,'[51]②配宿シュミレーション(12,000人ver)'!$AO$6:$AO$674,'[51]②配宿シュミレーション(12,000人ver)'!BW$6:BW$674,)</f>
        <v>0</v>
      </c>
      <c r="BN91" s="472">
        <f>+_xlfn.XLOOKUP($AA91,'[51]②配宿シュミレーション(12,000人ver)'!$AO$6:$AO$674,'[51]②配宿シュミレーション(12,000人ver)'!BX$6:BX$674,)</f>
        <v>0</v>
      </c>
      <c r="BO91" s="573"/>
      <c r="BP91" s="574"/>
      <c r="BQ91" s="575"/>
    </row>
    <row r="92" spans="1:69" s="521" customFormat="1" ht="46" customHeight="1" thickBot="1">
      <c r="A92" s="2862"/>
      <c r="B92" s="2863"/>
      <c r="C92" s="296"/>
      <c r="D92" s="297" t="str">
        <f>IF(_xlfn.XLOOKUP(E92,[51]宿泊施設DB!$B$3:$B$206,[51]宿泊施設DB!$A$3:$A$206,"",)=0,"",_xlfn.XLOOKUP(E92,[51]宿泊施設DB!$B$3:$B$206,[51]宿泊施設DB!$A$3:$A$206,"",))</f>
        <v/>
      </c>
      <c r="E92" s="609"/>
      <c r="F92" s="2864">
        <f>_xlfn.XLOOKUP($E92,[51]宿泊施設DB!$B$3:$B$206,[51]宿泊施設DB!$D$3:$D$206,"",)</f>
        <v>0</v>
      </c>
      <c r="G92" s="2864">
        <f>_xlfn.XLOOKUP($E92,[51]宿泊施設DB!$B$3:$B$206,[51]宿泊施設DB!$E$3:$E$206,"",)</f>
        <v>0</v>
      </c>
      <c r="H92" s="2865">
        <f>_xlfn.XLOOKUP($E92,[51]宿泊施設DB!$B$3:$B$206,[51]宿泊施設DB!$J$3:$J$206,"",)</f>
        <v>0</v>
      </c>
      <c r="I92" s="2866">
        <f>_xlfn.XLOOKUP($E92,[51]宿泊施設DB!$B$3:$B$206,[51]宿泊施設DB!$T$3:$T$206,"",)</f>
        <v>0</v>
      </c>
      <c r="J92" s="2866">
        <f>_xlfn.XLOOKUP($E92,[51]宿泊施設DB!$B$3:$B$206,[51]宿泊施設DB!$R$3:$R$206,"",)</f>
        <v>0</v>
      </c>
      <c r="K92" s="2865">
        <f>_xlfn.XLOOKUP($E92,[51]宿泊施設DB!$B$3:$B$206,[51]宿泊施設DB!$S$3:$S$206,"",)</f>
        <v>0</v>
      </c>
      <c r="L92" s="2915">
        <f>_xlfn.XLOOKUP($E92,[51]宿泊施設DB!$B$3:$B$206,[51]宿泊施設DB!$U$3:$U$206,"",)</f>
        <v>0</v>
      </c>
      <c r="M92" s="2866">
        <f>_xlfn.XLOOKUP($E92,[51]宿泊施設DB!$B$3:$B$206,[51]宿泊施設DB!$V$3:$V$206,"",)</f>
        <v>0</v>
      </c>
      <c r="N92" s="2866">
        <f>_xlfn.XLOOKUP($E92,[51]宿泊施設DB!$B$3:$B$206,[51]宿泊施設DB!$W$3:$W$206,"",)</f>
        <v>0</v>
      </c>
      <c r="O92" s="2866">
        <f>_xlfn.XLOOKUP($E92,[51]宿泊施設DB!$B$3:$B$206,[51]宿泊施設DB!$X$3:$X$206,"",)</f>
        <v>0</v>
      </c>
      <c r="P92" s="302" t="str">
        <f t="shared" si="2"/>
        <v/>
      </c>
      <c r="Q92" s="302"/>
      <c r="R92" s="296"/>
      <c r="S92" s="477"/>
      <c r="T92" s="478" t="str">
        <f>IFERROR(VLOOKUP($S92,'[51]競技情報DB(12,000人ver)'!$A$6:$D$201,2,),"－")</f>
        <v>－</v>
      </c>
      <c r="U92" s="479">
        <f>_xlfn.XLOOKUP(S92,'[51]競技情報DB(12,000人ver)'!$A$6:$A$99,'[51]競技情報DB(12,000人ver)'!$D$6:$D$99,"",0,)</f>
        <v>0</v>
      </c>
      <c r="V92" s="657"/>
      <c r="W92" s="480"/>
      <c r="X92" s="481"/>
      <c r="Y92" s="442"/>
      <c r="Z92" s="656"/>
      <c r="AA92" s="319"/>
      <c r="AB92" s="2944"/>
      <c r="AC92" s="2944"/>
      <c r="AD92" s="2945"/>
      <c r="AE92" s="320"/>
      <c r="AF92" s="445"/>
      <c r="AG92" s="445"/>
      <c r="AH92" s="445"/>
      <c r="AI92" s="445"/>
      <c r="AJ92" s="445"/>
      <c r="AK92" s="445"/>
      <c r="AL92" s="445"/>
      <c r="AM92" s="445"/>
      <c r="AN92" s="445"/>
      <c r="AO92" s="506"/>
      <c r="AP92" s="506"/>
      <c r="AQ92" s="506"/>
      <c r="AR92" s="506"/>
      <c r="AS92" s="506"/>
      <c r="AT92" s="506"/>
      <c r="AU92" s="506"/>
      <c r="AV92" s="506"/>
      <c r="AW92" s="506"/>
      <c r="AX92" s="506"/>
      <c r="AY92" s="506"/>
      <c r="AZ92" s="506"/>
      <c r="BA92" s="506"/>
      <c r="BB92" s="506"/>
      <c r="BC92" s="506"/>
      <c r="BD92" s="506"/>
      <c r="BE92" s="506"/>
      <c r="BF92" s="506"/>
      <c r="BG92" s="506"/>
      <c r="BH92" s="445"/>
      <c r="BI92" s="445"/>
      <c r="BJ92" s="445"/>
      <c r="BK92" s="445"/>
      <c r="BL92" s="445"/>
      <c r="BM92" s="445"/>
      <c r="BN92" s="449"/>
      <c r="BO92" s="573"/>
      <c r="BP92" s="610"/>
      <c r="BQ92" s="611"/>
    </row>
    <row r="93" spans="1:69" ht="46" customHeight="1">
      <c r="A93" s="2862"/>
      <c r="B93" s="2913" t="s">
        <v>2359</v>
      </c>
      <c r="C93" s="372">
        <f>C91+1</f>
        <v>29</v>
      </c>
      <c r="D93" s="2871">
        <f>IF(_xlfn.XLOOKUP(E93,[51]宿泊施設DB!$B$3:$B$206,[51]宿泊施設DB!$A$3:$A$206,"",)=0,"",_xlfn.XLOOKUP(E93,[51]宿泊施設DB!$B$3:$B$206,[51]宿泊施設DB!$A$3:$A$206,"",))</f>
        <v>1030</v>
      </c>
      <c r="E93" s="572" t="s">
        <v>2360</v>
      </c>
      <c r="F93" s="2872">
        <f>_xlfn.XLOOKUP($E93,[51]宿泊施設DB!$B$3:$B$206,[51]宿泊施設DB!$D$3:$D$206,"",)</f>
        <v>67</v>
      </c>
      <c r="G93" s="2872">
        <f>_xlfn.XLOOKUP($E93,[51]宿泊施設DB!$B$3:$B$206,[51]宿泊施設DB!$E$3:$E$206,"",)</f>
        <v>110</v>
      </c>
      <c r="H93" s="2873">
        <f>_xlfn.XLOOKUP($E93,[51]宿泊施設DB!$B$3:$B$206,[51]宿泊施設DB!$J$3:$J$206,"",)</f>
        <v>9</v>
      </c>
      <c r="I93" s="2874" t="str">
        <f>_xlfn.XLOOKUP($E93,[51]宿泊施設DB!$B$3:$B$206,[51]宿泊施設DB!$T$3:$T$206,"",)</f>
        <v>中</v>
      </c>
      <c r="J93" s="2874" t="str">
        <f>_xlfn.XLOOKUP($E93,[51]宿泊施設DB!$B$3:$B$206,[51]宿泊施設DB!$R$3:$R$206,"",)</f>
        <v>宿泊施設</v>
      </c>
      <c r="K93" s="2873" t="str">
        <f>_xlfn.XLOOKUP($E93,[51]宿泊施設DB!$B$3:$B$206,[51]宿泊施設DB!$S$3:$S$206,"",)</f>
        <v>調査中</v>
      </c>
      <c r="L93" s="2914" t="str">
        <f>_xlfn.XLOOKUP($E93,[51]宿泊施設DB!$B$3:$B$206,[51]宿泊施設DB!$U$3:$U$206,"",)</f>
        <v>－</v>
      </c>
      <c r="M93" s="2874" t="str">
        <f>_xlfn.XLOOKUP($E93,[51]宿泊施設DB!$B$3:$B$206,[51]宿泊施設DB!$V$3:$V$206,"",)</f>
        <v>○</v>
      </c>
      <c r="N93" s="2874" t="str">
        <f>_xlfn.XLOOKUP($E93,[51]宿泊施設DB!$B$3:$B$206,[51]宿泊施設DB!$W$3:$W$206,"",)</f>
        <v>調査中</v>
      </c>
      <c r="O93" s="2874" t="str">
        <f>_xlfn.XLOOKUP($E93,[51]宿泊施設DB!$B$3:$B$206,[51]宿泊施設DB!$X$3:$X$206,"",)</f>
        <v>玄関前（屋根付）3台</v>
      </c>
      <c r="P93" s="377" t="str">
        <f t="shared" si="2"/>
        <v>○</v>
      </c>
      <c r="Q93" s="377"/>
      <c r="R93" s="372" t="s">
        <v>2169</v>
      </c>
      <c r="S93" s="539" t="s">
        <v>2361</v>
      </c>
      <c r="T93" s="540" t="str">
        <f>IFERROR(VLOOKUP($S93,'[51]競技情報DB(12,000人ver)'!$A$6:$D$201,2,),"－")</f>
        <v>田原市</v>
      </c>
      <c r="U93" s="541">
        <f>_xlfn.XLOOKUP(S93,'[51]競技情報DB(12,000人ver)'!$A$6:$A$99,'[51]競技情報DB(12,000人ver)'!$D$6:$D$99,"",0,)</f>
        <v>62</v>
      </c>
      <c r="V93" s="648">
        <f>SUM(U93:U93)</f>
        <v>62</v>
      </c>
      <c r="W93" s="542">
        <v>19.600000000000001</v>
      </c>
      <c r="X93" s="543">
        <v>26</v>
      </c>
      <c r="Y93" s="318">
        <f>$G93-MAX(AF93:BN93)</f>
        <v>48</v>
      </c>
      <c r="Z93" s="647">
        <f>+Y93/$G93</f>
        <v>0.43636363636363634</v>
      </c>
      <c r="AA93" s="515" t="str">
        <f>E93&amp;"　"&amp;"合計"</f>
        <v>伊良湖リゾート＆コンベンションホテル（旧伊良湖シーパーク＆スパ）　合計</v>
      </c>
      <c r="AB93" s="2951">
        <v>45555</v>
      </c>
      <c r="AC93" s="2951">
        <v>45566</v>
      </c>
      <c r="AD93" s="2943">
        <v>11</v>
      </c>
      <c r="AE93" s="396" t="s">
        <v>2175</v>
      </c>
      <c r="AF93" s="398">
        <f>+_xlfn.XLOOKUP($AA93,'[51]②配宿シュミレーション(12,000人ver)'!$AO$6:$AO$674,'[51]②配宿シュミレーション(12,000人ver)'!AP$6:AP$674,)</f>
        <v>0</v>
      </c>
      <c r="AG93" s="398">
        <f>+_xlfn.XLOOKUP($AA93,'[51]②配宿シュミレーション(12,000人ver)'!$AO$6:$AO$674,'[51]②配宿シュミレーション(12,000人ver)'!AQ$6:AQ$674,)</f>
        <v>0</v>
      </c>
      <c r="AH93" s="398">
        <f>+_xlfn.XLOOKUP($AA93,'[51]②配宿シュミレーション(12,000人ver)'!$AO$6:$AO$674,'[51]②配宿シュミレーション(12,000人ver)'!AR$6:AR$674,)</f>
        <v>0</v>
      </c>
      <c r="AI93" s="398">
        <f>+_xlfn.XLOOKUP($AA93,'[51]②配宿シュミレーション(12,000人ver)'!$AO$6:$AO$674,'[51]②配宿シュミレーション(12,000人ver)'!AS$6:AS$674,)</f>
        <v>0</v>
      </c>
      <c r="AJ93" s="398">
        <f>+_xlfn.XLOOKUP($AA93,'[51]②配宿シュミレーション(12,000人ver)'!$AO$6:$AO$674,'[51]②配宿シュミレーション(12,000人ver)'!AT$6:AT$674,)</f>
        <v>0</v>
      </c>
      <c r="AK93" s="398">
        <f>+_xlfn.XLOOKUP($AA93,'[51]②配宿シュミレーション(12,000人ver)'!$AO$6:$AO$674,'[51]②配宿シュミレーション(12,000人ver)'!AU$6:AU$674,)</f>
        <v>0</v>
      </c>
      <c r="AL93" s="398">
        <f>+_xlfn.XLOOKUP($AA93,'[51]②配宿シュミレーション(12,000人ver)'!$AO$6:$AO$674,'[51]②配宿シュミレーション(12,000人ver)'!AV$6:AV$674,)</f>
        <v>0</v>
      </c>
      <c r="AM93" s="398">
        <f>+_xlfn.XLOOKUP($AA93,'[51]②配宿シュミレーション(12,000人ver)'!$AO$6:$AO$674,'[51]②配宿シュミレーション(12,000人ver)'!AW$6:AW$674,)</f>
        <v>0</v>
      </c>
      <c r="AN93" s="398">
        <f>+_xlfn.XLOOKUP($AA93,'[51]②配宿シュミレーション(12,000人ver)'!$AO$6:$AO$674,'[51]②配宿シュミレーション(12,000人ver)'!AX$6:AX$674,)</f>
        <v>0</v>
      </c>
      <c r="AO93" s="398">
        <f>+_xlfn.XLOOKUP($AA93,'[51]②配宿シュミレーション(12,000人ver)'!$AO$6:$AO$674,'[51]②配宿シュミレーション(12,000人ver)'!AY$6:AY$674,)</f>
        <v>0</v>
      </c>
      <c r="AP93" s="398">
        <f>+_xlfn.XLOOKUP($AA93,'[51]②配宿シュミレーション(12,000人ver)'!$AO$6:$AO$674,'[51]②配宿シュミレーション(12,000人ver)'!AZ$6:AZ$674,)</f>
        <v>0</v>
      </c>
      <c r="AQ93" s="398">
        <f>+_xlfn.XLOOKUP($AA93,'[51]②配宿シュミレーション(12,000人ver)'!$AO$6:$AO$674,'[51]②配宿シュミレーション(12,000人ver)'!BA$6:BA$674,)</f>
        <v>0</v>
      </c>
      <c r="AR93" s="398">
        <f>+_xlfn.XLOOKUP($AA93,'[51]②配宿シュミレーション(12,000人ver)'!$AO$6:$AO$674,'[51]②配宿シュミレーション(12,000人ver)'!BB$6:BB$674,)</f>
        <v>0</v>
      </c>
      <c r="AS93" s="398">
        <f>+_xlfn.XLOOKUP($AA93,'[51]②配宿シュミレーション(12,000人ver)'!$AO$6:$AO$674,'[51]②配宿シュミレーション(12,000人ver)'!BC$6:BC$674,)</f>
        <v>0</v>
      </c>
      <c r="AT93" s="398">
        <f>+_xlfn.XLOOKUP($AA93,'[51]②配宿シュミレーション(12,000人ver)'!$AO$6:$AO$674,'[51]②配宿シュミレーション(12,000人ver)'!BD$6:BD$674,)</f>
        <v>0</v>
      </c>
      <c r="AU93" s="398">
        <f>+_xlfn.XLOOKUP($AA93,'[51]②配宿シュミレーション(12,000人ver)'!$AO$6:$AO$674,'[51]②配宿シュミレーション(12,000人ver)'!BE$6:BE$674,)</f>
        <v>0</v>
      </c>
      <c r="AV93" s="2880" t="s">
        <v>2447</v>
      </c>
      <c r="AW93" s="2880" t="s">
        <v>2447</v>
      </c>
      <c r="AX93" s="398">
        <f>+_xlfn.XLOOKUP($AA93,'[51]②配宿シュミレーション(12,000人ver)'!$AO$6:$AO$674,'[51]②配宿シュミレーション(12,000人ver)'!BH$6:BH$674,)</f>
        <v>62</v>
      </c>
      <c r="AY93" s="398">
        <f>+_xlfn.XLOOKUP($AA93,'[51]②配宿シュミレーション(12,000人ver)'!$AO$6:$AO$674,'[51]②配宿シュミレーション(12,000人ver)'!BI$6:BI$674,)</f>
        <v>62</v>
      </c>
      <c r="AZ93" s="398">
        <f>+_xlfn.XLOOKUP($AA93,'[51]②配宿シュミレーション(12,000人ver)'!$AO$6:$AO$674,'[51]②配宿シュミレーション(12,000人ver)'!BJ$6:BJ$674,)</f>
        <v>62</v>
      </c>
      <c r="BA93" s="398">
        <f>+_xlfn.XLOOKUP($AA93,'[51]②配宿シュミレーション(12,000人ver)'!$AO$6:$AO$674,'[51]②配宿シュミレーション(12,000人ver)'!BK$6:BK$674,)</f>
        <v>62</v>
      </c>
      <c r="BB93" s="398">
        <f>+_xlfn.XLOOKUP($AA93,'[51]②配宿シュミレーション(12,000人ver)'!$AO$6:$AO$674,'[51]②配宿シュミレーション(12,000人ver)'!BL$6:BL$674,)</f>
        <v>62</v>
      </c>
      <c r="BC93" s="398">
        <f>+_xlfn.XLOOKUP($AA93,'[51]②配宿シュミレーション(12,000人ver)'!$AO$6:$AO$674,'[51]②配宿シュミレーション(12,000人ver)'!BM$6:BM$674,)</f>
        <v>62</v>
      </c>
      <c r="BD93" s="398">
        <f>+_xlfn.XLOOKUP($AA93,'[51]②配宿シュミレーション(12,000人ver)'!$AO$6:$AO$674,'[51]②配宿シュミレーション(12,000人ver)'!BN$6:BN$674,)</f>
        <v>62</v>
      </c>
      <c r="BE93" s="398">
        <f>+_xlfn.XLOOKUP($AA93,'[51]②配宿シュミレーション(12,000人ver)'!$AO$6:$AO$674,'[51]②配宿シュミレーション(12,000人ver)'!BO$6:BO$674,)</f>
        <v>62</v>
      </c>
      <c r="BF93" s="398">
        <f>+_xlfn.XLOOKUP($AA93,'[51]②配宿シュミレーション(12,000人ver)'!$AO$6:$AO$674,'[51]②配宿シュミレーション(12,000人ver)'!BP$6:BP$674,)</f>
        <v>62</v>
      </c>
      <c r="BG93" s="2881" t="s">
        <v>2448</v>
      </c>
      <c r="BH93" s="398">
        <f>+_xlfn.XLOOKUP($AA93,'[51]②配宿シュミレーション(12,000人ver)'!$AO$6:$AO$674,'[51]②配宿シュミレーション(12,000人ver)'!BR$6:BR$674,)</f>
        <v>0</v>
      </c>
      <c r="BI93" s="398">
        <f>+_xlfn.XLOOKUP($AA93,'[51]②配宿シュミレーション(12,000人ver)'!$AO$6:$AO$674,'[51]②配宿シュミレーション(12,000人ver)'!BS$6:BS$674,)</f>
        <v>0</v>
      </c>
      <c r="BJ93" s="398">
        <f>+_xlfn.XLOOKUP($AA93,'[51]②配宿シュミレーション(12,000人ver)'!$AO$6:$AO$674,'[51]②配宿シュミレーション(12,000人ver)'!BT$6:BT$674,)</f>
        <v>0</v>
      </c>
      <c r="BK93" s="398">
        <f>+_xlfn.XLOOKUP($AA93,'[51]②配宿シュミレーション(12,000人ver)'!$AO$6:$AO$674,'[51]②配宿シュミレーション(12,000人ver)'!BU$6:BU$674,)</f>
        <v>0</v>
      </c>
      <c r="BL93" s="398">
        <f>+_xlfn.XLOOKUP($AA93,'[51]②配宿シュミレーション(12,000人ver)'!$AO$6:$AO$674,'[51]②配宿シュミレーション(12,000人ver)'!BV$6:BV$674,)</f>
        <v>0</v>
      </c>
      <c r="BM93" s="398">
        <f>+_xlfn.XLOOKUP($AA93,'[51]②配宿シュミレーション(12,000人ver)'!$AO$6:$AO$674,'[51]②配宿シュミレーション(12,000人ver)'!BW$6:BW$674,)</f>
        <v>0</v>
      </c>
      <c r="BN93" s="472">
        <f>+_xlfn.XLOOKUP($AA93,'[51]②配宿シュミレーション(12,000人ver)'!$AO$6:$AO$674,'[51]②配宿シュミレーション(12,000人ver)'!BX$6:BX$674,)</f>
        <v>0</v>
      </c>
      <c r="BO93" s="573"/>
      <c r="BP93" s="574"/>
      <c r="BQ93" s="575"/>
    </row>
    <row r="94" spans="1:69" s="521" customFormat="1" ht="46" customHeight="1" thickBot="1">
      <c r="A94" s="2862"/>
      <c r="B94" s="2907"/>
      <c r="C94" s="420"/>
      <c r="D94" s="421" t="str">
        <f>IF(_xlfn.XLOOKUP(E94,[51]宿泊施設DB!$B$3:$B$206,[51]宿泊施設DB!$A$3:$A$206,"",)=0,"",_xlfn.XLOOKUP(E94,[51]宿泊施設DB!$B$3:$B$206,[51]宿泊施設DB!$A$3:$A$206,"",))</f>
        <v/>
      </c>
      <c r="E94" s="612"/>
      <c r="F94" s="2875">
        <f>_xlfn.XLOOKUP($E94,[51]宿泊施設DB!$B$3:$B$206,[51]宿泊施設DB!$D$3:$D$206,"",)</f>
        <v>0</v>
      </c>
      <c r="G94" s="2875">
        <f>_xlfn.XLOOKUP($E94,[51]宿泊施設DB!$B$3:$B$206,[51]宿泊施設DB!$E$3:$E$206,"",)</f>
        <v>0</v>
      </c>
      <c r="H94" s="2877">
        <f>_xlfn.XLOOKUP($E94,[51]宿泊施設DB!$B$3:$B$206,[51]宿泊施設DB!$J$3:$J$206,"",)</f>
        <v>0</v>
      </c>
      <c r="I94" s="2878">
        <f>_xlfn.XLOOKUP($E94,[51]宿泊施設DB!$B$3:$B$206,[51]宿泊施設DB!$T$3:$T$206,"",)</f>
        <v>0</v>
      </c>
      <c r="J94" s="2878">
        <f>_xlfn.XLOOKUP($E94,[51]宿泊施設DB!$B$3:$B$206,[51]宿泊施設DB!$R$3:$R$206,"",)</f>
        <v>0</v>
      </c>
      <c r="K94" s="2877">
        <f>_xlfn.XLOOKUP($E94,[51]宿泊施設DB!$B$3:$B$206,[51]宿泊施設DB!$S$3:$S$206,"",)</f>
        <v>0</v>
      </c>
      <c r="L94" s="2916">
        <f>_xlfn.XLOOKUP($E94,[51]宿泊施設DB!$B$3:$B$206,[51]宿泊施設DB!$U$3:$U$206,"",)</f>
        <v>0</v>
      </c>
      <c r="M94" s="2878">
        <f>_xlfn.XLOOKUP($E94,[51]宿泊施設DB!$B$3:$B$206,[51]宿泊施設DB!$V$3:$V$206,"",)</f>
        <v>0</v>
      </c>
      <c r="N94" s="2878">
        <f>_xlfn.XLOOKUP($E94,[51]宿泊施設DB!$B$3:$B$206,[51]宿泊施設DB!$W$3:$W$206,"",)</f>
        <v>0</v>
      </c>
      <c r="O94" s="2878">
        <f>_xlfn.XLOOKUP($E94,[51]宿泊施設DB!$B$3:$B$206,[51]宿泊施設DB!$X$3:$X$206,"",)</f>
        <v>0</v>
      </c>
      <c r="P94" s="426" t="str">
        <f t="shared" si="2"/>
        <v/>
      </c>
      <c r="Q94" s="426"/>
      <c r="R94" s="420"/>
      <c r="S94" s="477"/>
      <c r="T94" s="478" t="str">
        <f>IFERROR(VLOOKUP($S94,'[51]競技情報DB(12,000人ver)'!$A$6:$D$201,2,),"－")</f>
        <v>－</v>
      </c>
      <c r="U94" s="479">
        <f>_xlfn.XLOOKUP(S94,'[51]競技情報DB(12,000人ver)'!$A$6:$A$99,'[51]競技情報DB(12,000人ver)'!$D$6:$D$99,"",0,)</f>
        <v>0</v>
      </c>
      <c r="V94" s="653"/>
      <c r="W94" s="480"/>
      <c r="X94" s="481"/>
      <c r="Y94" s="442"/>
      <c r="Z94" s="652"/>
      <c r="AA94" s="517"/>
      <c r="AB94" s="2952"/>
      <c r="AC94" s="2952"/>
      <c r="AD94" s="2953"/>
      <c r="AE94" s="518"/>
      <c r="AF94" s="445"/>
      <c r="AG94" s="445"/>
      <c r="AH94" s="445"/>
      <c r="AI94" s="445"/>
      <c r="AJ94" s="445"/>
      <c r="AK94" s="445"/>
      <c r="AL94" s="445"/>
      <c r="AM94" s="445"/>
      <c r="AN94" s="445"/>
      <c r="AO94" s="445"/>
      <c r="AP94" s="445"/>
      <c r="AQ94" s="445"/>
      <c r="AR94" s="445"/>
      <c r="AS94" s="445"/>
      <c r="AT94" s="445"/>
      <c r="AU94" s="445"/>
      <c r="AV94" s="445"/>
      <c r="AW94" s="445"/>
      <c r="AX94" s="445"/>
      <c r="AY94" s="445"/>
      <c r="AZ94" s="445"/>
      <c r="BA94" s="445"/>
      <c r="BB94" s="445"/>
      <c r="BC94" s="445"/>
      <c r="BD94" s="445"/>
      <c r="BE94" s="445"/>
      <c r="BF94" s="445"/>
      <c r="BG94" s="445"/>
      <c r="BH94" s="445"/>
      <c r="BI94" s="445"/>
      <c r="BJ94" s="445"/>
      <c r="BK94" s="445"/>
      <c r="BL94" s="445"/>
      <c r="BM94" s="445"/>
      <c r="BN94" s="449"/>
      <c r="BO94" s="573"/>
      <c r="BP94" s="614"/>
      <c r="BQ94" s="615"/>
    </row>
    <row r="95" spans="1:69" ht="46" customHeight="1">
      <c r="A95" s="2862"/>
      <c r="B95" s="2863" t="s">
        <v>2364</v>
      </c>
      <c r="C95" s="296">
        <f>C93+1</f>
        <v>30</v>
      </c>
      <c r="D95" s="297">
        <f>IF(_xlfn.XLOOKUP(E95,[51]宿泊施設DB!$B$3:$B$206,[51]宿泊施設DB!$A$3:$A$206,"",)=0,"",_xlfn.XLOOKUP(E95,[51]宿泊施設DB!$B$3:$B$206,[51]宿泊施設DB!$A$3:$A$206,"",))</f>
        <v>281</v>
      </c>
      <c r="E95" s="298" t="s">
        <v>2365</v>
      </c>
      <c r="F95" s="2864">
        <f>_xlfn.XLOOKUP($E95,[51]宿泊施設DB!$B$3:$B$206,[51]宿泊施設DB!$D$3:$D$206,"",)</f>
        <v>377</v>
      </c>
      <c r="G95" s="2864">
        <f>_xlfn.XLOOKUP($E95,[51]宿泊施設DB!$B$3:$B$206,[51]宿泊施設DB!$E$3:$E$206,"",)</f>
        <v>643</v>
      </c>
      <c r="H95" s="2865">
        <f>_xlfn.XLOOKUP($E95,[51]宿泊施設DB!$B$3:$B$206,[51]宿泊施設DB!$J$3:$J$206,"",)</f>
        <v>24</v>
      </c>
      <c r="I95" s="2866" t="str">
        <f>_xlfn.XLOOKUP($E95,[51]宿泊施設DB!$B$3:$B$206,[51]宿泊施設DB!$T$3:$T$206,"",)</f>
        <v>低</v>
      </c>
      <c r="J95" s="2866" t="str">
        <f>_xlfn.XLOOKUP($E95,[51]宿泊施設DB!$B$3:$B$206,[51]宿泊施設DB!$R$3:$R$206,"",)</f>
        <v>宿泊施設</v>
      </c>
      <c r="K95" s="2865">
        <f>_xlfn.XLOOKUP($E95,[51]宿泊施設DB!$B$3:$B$206,[51]宿泊施設DB!$S$3:$S$206,"",)</f>
        <v>122</v>
      </c>
      <c r="L95" s="2866" t="str">
        <f>_xlfn.XLOOKUP($E95,[51]宿泊施設DB!$B$3:$B$206,[51]宿泊施設DB!$U$3:$U$206,"",)</f>
        <v>○</v>
      </c>
      <c r="M95" s="2866" t="str">
        <f>_xlfn.XLOOKUP($E95,[51]宿泊施設DB!$B$3:$B$206,[51]宿泊施設DB!$V$3:$V$206,"",)</f>
        <v>○(ｼﾞﾑ内等)</v>
      </c>
      <c r="N95" s="2866" t="str">
        <f>_xlfn.XLOOKUP($E95,[51]宿泊施設DB!$B$3:$B$206,[51]宿泊施設DB!$W$3:$W$206,"",)</f>
        <v>○</v>
      </c>
      <c r="O95" s="2866" t="str">
        <f>_xlfn.XLOOKUP($E95,[51]宿泊施設DB!$B$3:$B$206,[51]宿泊施設DB!$X$3:$X$206,"",)</f>
        <v>玄関前（屋根付）2台</v>
      </c>
      <c r="P95" s="302" t="str">
        <f t="shared" si="2"/>
        <v>○</v>
      </c>
      <c r="Q95" s="302" t="s">
        <v>2161</v>
      </c>
      <c r="R95" s="296" t="s">
        <v>2169</v>
      </c>
      <c r="S95" s="703" t="s">
        <v>2367</v>
      </c>
      <c r="T95" s="528" t="str">
        <f>IFERROR(VLOOKUP($S95,'[51]競技情報DB(12,000人ver)'!$A$6:$D$201,2,),"－")</f>
        <v>豊橋市</v>
      </c>
      <c r="U95" s="529">
        <f>_xlfn.XLOOKUP(S95,'[51]競技情報DB(12,000人ver)'!$A$6:$A$99,'[51]競技情報DB(12,000人ver)'!$D$6:$D$99,"",0,)</f>
        <v>224</v>
      </c>
      <c r="V95" s="315">
        <f>SUM(U95:U97)</f>
        <v>432</v>
      </c>
      <c r="W95" s="704">
        <v>5.8</v>
      </c>
      <c r="X95" s="705">
        <v>13</v>
      </c>
      <c r="Y95" s="318">
        <f>$G95-MAX(AF95:BN95)</f>
        <v>419</v>
      </c>
      <c r="Z95" s="311">
        <f>+Y95/$G95</f>
        <v>0.65163297045101087</v>
      </c>
      <c r="AA95" s="491" t="str">
        <f>E95&amp;"　"&amp;"合計"</f>
        <v>ロワジールホテル豊橋　合計</v>
      </c>
      <c r="AB95" s="2950">
        <v>45549</v>
      </c>
      <c r="AC95" s="2957">
        <v>45570</v>
      </c>
      <c r="AD95" s="2958">
        <v>18</v>
      </c>
      <c r="AE95" s="492" t="s">
        <v>2175</v>
      </c>
      <c r="AF95" s="493">
        <f>+_xlfn.XLOOKUP($AA95,'[51]②配宿シュミレーション(12,000人ver)'!$AO$6:$AO$674,'[51]②配宿シュミレーション(12,000人ver)'!AP$6:AP$674,)</f>
        <v>0</v>
      </c>
      <c r="AG95" s="493">
        <f>+_xlfn.XLOOKUP($AA95,'[51]②配宿シュミレーション(12,000人ver)'!$AO$6:$AO$674,'[51]②配宿シュミレーション(12,000人ver)'!AQ$6:AQ$674,)</f>
        <v>0</v>
      </c>
      <c r="AH95" s="493">
        <f>+_xlfn.XLOOKUP($AA95,'[51]②配宿シュミレーション(12,000人ver)'!$AO$6:$AO$674,'[51]②配宿シュミレーション(12,000人ver)'!AR$6:AR$674,)</f>
        <v>0</v>
      </c>
      <c r="AI95" s="493">
        <f>+_xlfn.XLOOKUP($AA95,'[51]②配宿シュミレーション(12,000人ver)'!$AO$6:$AO$674,'[51]②配宿シュミレーション(12,000人ver)'!AS$6:AS$674,)</f>
        <v>0</v>
      </c>
      <c r="AJ95" s="493">
        <f>+_xlfn.XLOOKUP($AA95,'[51]②配宿シュミレーション(12,000人ver)'!$AO$6:$AO$674,'[51]②配宿シュミレーション(12,000人ver)'!AT$6:AT$674,)</f>
        <v>0</v>
      </c>
      <c r="AK95" s="493">
        <f>+_xlfn.XLOOKUP($AA95,'[51]②配宿シュミレーション(12,000人ver)'!$AO$6:$AO$674,'[51]②配宿シュミレーション(12,000人ver)'!AU$6:AU$674,)</f>
        <v>0</v>
      </c>
      <c r="AL95" s="493">
        <f>+_xlfn.XLOOKUP($AA95,'[51]②配宿シュミレーション(12,000人ver)'!$AO$6:$AO$674,'[51]②配宿シュミレーション(12,000人ver)'!AV$6:AV$674,)</f>
        <v>0</v>
      </c>
      <c r="AM95" s="493">
        <f>+_xlfn.XLOOKUP($AA95,'[51]②配宿シュミレーション(12,000人ver)'!$AO$6:$AO$674,'[51]②配宿シュミレーション(12,000人ver)'!AW$6:AW$674,)</f>
        <v>0</v>
      </c>
      <c r="AN95" s="493">
        <f>+_xlfn.XLOOKUP($AA95,'[51]②配宿シュミレーション(12,000人ver)'!$AO$6:$AO$674,'[51]②配宿シュミレーション(12,000人ver)'!AX$6:AX$674,)</f>
        <v>0</v>
      </c>
      <c r="AO95" s="493">
        <f>+_xlfn.XLOOKUP($AA95,'[51]②配宿シュミレーション(12,000人ver)'!$AO$6:$AO$674,'[51]②配宿シュミレーション(12,000人ver)'!AY$6:AY$674,)</f>
        <v>0</v>
      </c>
      <c r="AP95" s="2860" t="s">
        <v>2447</v>
      </c>
      <c r="AQ95" s="2860" t="s">
        <v>2447</v>
      </c>
      <c r="AR95" s="493">
        <f>+_xlfn.XLOOKUP($AA95,'[51]②配宿シュミレーション(12,000人ver)'!$AO$6:$AO$674,'[51]②配宿シュミレーション(12,000人ver)'!BB$6:BB$674,)</f>
        <v>224</v>
      </c>
      <c r="AS95" s="493">
        <f>+_xlfn.XLOOKUP($AA95,'[51]②配宿シュミレーション(12,000人ver)'!$AO$6:$AO$674,'[51]②配宿シュミレーション(12,000人ver)'!BC$6:BC$674,)</f>
        <v>224</v>
      </c>
      <c r="AT95" s="493">
        <f>+_xlfn.XLOOKUP($AA95,'[51]②配宿シュミレーション(12,000人ver)'!$AO$6:$AO$674,'[51]②配宿シュミレーション(12,000人ver)'!BD$6:BD$674,)</f>
        <v>224</v>
      </c>
      <c r="AU95" s="493">
        <f>+_xlfn.XLOOKUP($AA95,'[51]②配宿シュミレーション(12,000人ver)'!$AO$6:$AO$674,'[51]②配宿シュミレーション(12,000人ver)'!BE$6:BE$674,)</f>
        <v>224</v>
      </c>
      <c r="AV95" s="493">
        <f>+_xlfn.XLOOKUP($AA95,'[51]②配宿シュミレーション(12,000人ver)'!$AO$6:$AO$674,'[51]②配宿シュミレーション(12,000人ver)'!BF$6:BF$674,)</f>
        <v>224</v>
      </c>
      <c r="AW95" s="493">
        <f>+_xlfn.XLOOKUP($AA95,'[51]②配宿シュミレーション(12,000人ver)'!$AO$6:$AO$674,'[51]②配宿シュミレーション(12,000人ver)'!BG$6:BG$674,)</f>
        <v>224</v>
      </c>
      <c r="AX95" s="493">
        <f>+_xlfn.XLOOKUP($AA95,'[51]②配宿シュミレーション(12,000人ver)'!$AO$6:$AO$674,'[51]②配宿シュミレーション(12,000人ver)'!BH$6:BH$674,)</f>
        <v>224</v>
      </c>
      <c r="AY95" s="493">
        <f>+_xlfn.XLOOKUP($AA95,'[51]②配宿シュミレーション(12,000人ver)'!$AO$6:$AO$674,'[51]②配宿シュミレーション(12,000人ver)'!BI$6:BI$674,)</f>
        <v>224</v>
      </c>
      <c r="AZ95" s="493">
        <f>+_xlfn.XLOOKUP($AA95,'[51]②配宿シュミレーション(12,000人ver)'!$AO$6:$AO$674,'[51]②配宿シュミレーション(12,000人ver)'!BJ$6:BJ$674,)</f>
        <v>224</v>
      </c>
      <c r="BA95" s="493">
        <f>+_xlfn.XLOOKUP($AA95,'[51]②配宿シュミレーション(12,000人ver)'!$AO$6:$AO$674,'[51]②配宿シュミレーション(12,000人ver)'!BK$6:BK$674,)</f>
        <v>0</v>
      </c>
      <c r="BB95" s="493">
        <f>+_xlfn.XLOOKUP($AA95,'[51]②配宿シュミレーション(12,000人ver)'!$AO$6:$AO$674,'[51]②配宿シュミレーション(12,000人ver)'!BL$6:BL$674,)</f>
        <v>0</v>
      </c>
      <c r="BC95" s="493">
        <f>+_xlfn.XLOOKUP($AA95,'[51]②配宿シュミレーション(12,000人ver)'!$AO$6:$AO$674,'[51]②配宿シュミレーション(12,000人ver)'!BM$6:BM$674,)</f>
        <v>0</v>
      </c>
      <c r="BD95" s="493">
        <f>+_xlfn.XLOOKUP($AA95,'[51]②配宿シュミレーション(12,000人ver)'!$AO$6:$AO$674,'[51]②配宿シュミレーション(12,000人ver)'!BN$6:BN$674,)</f>
        <v>208</v>
      </c>
      <c r="BE95" s="493">
        <f>+_xlfn.XLOOKUP($AA95,'[51]②配宿シュミレーション(12,000人ver)'!$AO$6:$AO$674,'[51]②配宿シュミレーション(12,000人ver)'!BO$6:BO$674,)</f>
        <v>208</v>
      </c>
      <c r="BF95" s="493">
        <f>+_xlfn.XLOOKUP($AA95,'[51]②配宿シュミレーション(12,000人ver)'!$AO$6:$AO$674,'[51]②配宿シュミレーション(12,000人ver)'!BP$6:BP$674,)</f>
        <v>208</v>
      </c>
      <c r="BG95" s="493">
        <f>+_xlfn.XLOOKUP($AA95,'[51]②配宿シュミレーション(12,000人ver)'!$AO$6:$AO$674,'[51]②配宿シュミレーション(12,000人ver)'!BQ$6:BQ$674,)</f>
        <v>208</v>
      </c>
      <c r="BH95" s="493">
        <f>+_xlfn.XLOOKUP($AA95,'[51]②配宿シュミレーション(12,000人ver)'!$AO$6:$AO$674,'[51]②配宿シュミレーション(12,000人ver)'!BR$6:BR$674,)</f>
        <v>208</v>
      </c>
      <c r="BI95" s="493">
        <f>+_xlfn.XLOOKUP($AA95,'[51]②配宿シュミレーション(12,000人ver)'!$AO$6:$AO$674,'[51]②配宿シュミレーション(12,000人ver)'!BS$6:BS$674,)</f>
        <v>208</v>
      </c>
      <c r="BJ95" s="493">
        <f>+_xlfn.XLOOKUP($AA95,'[51]②配宿シュミレーション(12,000人ver)'!$AO$6:$AO$674,'[51]②配宿シュミレーション(12,000人ver)'!BT$6:BT$674,)</f>
        <v>208</v>
      </c>
      <c r="BK95" s="2861" t="s">
        <v>2448</v>
      </c>
      <c r="BL95" s="493">
        <f>+_xlfn.XLOOKUP($AA95,'[51]②配宿シュミレーション(12,000人ver)'!$AO$6:$AO$674,'[51]②配宿シュミレーション(12,000人ver)'!BV$6:BV$674,)</f>
        <v>0</v>
      </c>
      <c r="BM95" s="493">
        <f>+_xlfn.XLOOKUP($AA95,'[51]②配宿シュミレーション(12,000人ver)'!$AO$6:$AO$674,'[51]②配宿シュミレーション(12,000人ver)'!BW$6:BW$674,)</f>
        <v>0</v>
      </c>
      <c r="BN95" s="499">
        <f>+_xlfn.XLOOKUP($AA95,'[51]②配宿シュミレーション(12,000人ver)'!$AO$6:$AO$674,'[51]②配宿シュミレーション(12,000人ver)'!BX$6:BX$674,)</f>
        <v>0</v>
      </c>
      <c r="BO95" s="290"/>
      <c r="BP95" s="332"/>
      <c r="BQ95" s="333"/>
    </row>
    <row r="96" spans="1:69" ht="46" customHeight="1">
      <c r="A96" s="2862"/>
      <c r="B96" s="2863"/>
      <c r="C96" s="296"/>
      <c r="D96" s="297" t="str">
        <f>IF(_xlfn.XLOOKUP(E96,[51]宿泊施設DB!$B$3:$B$206,[51]宿泊施設DB!$A$3:$A$206,"",)=0,"",_xlfn.XLOOKUP(E96,[51]宿泊施設DB!$B$3:$B$206,[51]宿泊施設DB!$A$3:$A$206,"",))</f>
        <v/>
      </c>
      <c r="E96" s="298"/>
      <c r="F96" s="2864">
        <f>_xlfn.XLOOKUP($E96,[51]宿泊施設DB!$B$3:$B$206,[51]宿泊施設DB!$D$3:$D$206,"",)</f>
        <v>0</v>
      </c>
      <c r="G96" s="2864">
        <f>_xlfn.XLOOKUP($E96,[51]宿泊施設DB!$B$3:$B$206,[51]宿泊施設DB!$E$3:$E$206,"",)</f>
        <v>0</v>
      </c>
      <c r="H96" s="2865">
        <f>_xlfn.XLOOKUP($E96,[51]宿泊施設DB!$B$3:$B$206,[51]宿泊施設DB!$J$3:$J$206,"",)</f>
        <v>0</v>
      </c>
      <c r="I96" s="2866">
        <f>_xlfn.XLOOKUP($E96,[51]宿泊施設DB!$B$3:$B$206,[51]宿泊施設DB!$T$3:$T$206,"",)</f>
        <v>0</v>
      </c>
      <c r="J96" s="2866">
        <f>_xlfn.XLOOKUP($E96,[51]宿泊施設DB!$B$3:$B$206,[51]宿泊施設DB!$R$3:$R$206,"",)</f>
        <v>0</v>
      </c>
      <c r="K96" s="2865">
        <f>_xlfn.XLOOKUP($E96,[51]宿泊施設DB!$B$3:$B$206,[51]宿泊施設DB!$S$3:$S$206,"",)</f>
        <v>0</v>
      </c>
      <c r="L96" s="2866">
        <f>_xlfn.XLOOKUP($E96,[51]宿泊施設DB!$B$3:$B$206,[51]宿泊施設DB!$U$3:$U$206,"",)</f>
        <v>0</v>
      </c>
      <c r="M96" s="2866">
        <f>_xlfn.XLOOKUP($E96,[51]宿泊施設DB!$B$3:$B$206,[51]宿泊施設DB!$V$3:$V$206,"",)</f>
        <v>0</v>
      </c>
      <c r="N96" s="2866">
        <f>_xlfn.XLOOKUP($E96,[51]宿泊施設DB!$B$3:$B$206,[51]宿泊施設DB!$W$3:$W$206,"",)</f>
        <v>0</v>
      </c>
      <c r="O96" s="2866">
        <f>_xlfn.XLOOKUP($E96,[51]宿泊施設DB!$B$3:$B$206,[51]宿泊施設DB!$X$3:$X$206,"",)</f>
        <v>0</v>
      </c>
      <c r="P96" s="302" t="str">
        <f t="shared" si="2"/>
        <v/>
      </c>
      <c r="Q96" s="302"/>
      <c r="R96" s="296"/>
      <c r="S96" s="413" t="s">
        <v>2369</v>
      </c>
      <c r="T96" s="313" t="str">
        <f>IFERROR(VLOOKUP($S96,'[51]競技情報DB(12,000人ver)'!$A$6:$D$201,2,),"－")</f>
        <v>豊橋市</v>
      </c>
      <c r="U96" s="314">
        <f>_xlfn.XLOOKUP(S96,'[51]競技情報DB(12,000人ver)'!$A$6:$A$99,'[51]競技情報DB(12,000人ver)'!$D$6:$D$99,"",0,)</f>
        <v>208</v>
      </c>
      <c r="V96" s="315"/>
      <c r="W96" s="414">
        <v>5.8</v>
      </c>
      <c r="X96" s="706">
        <v>13</v>
      </c>
      <c r="Y96" s="318"/>
      <c r="Z96" s="311"/>
      <c r="AA96" s="565"/>
      <c r="AB96" s="2944"/>
      <c r="AC96" s="2944"/>
      <c r="AD96" s="2945"/>
      <c r="AE96" s="320"/>
      <c r="AF96" s="321"/>
      <c r="AG96" s="321"/>
      <c r="AH96" s="321"/>
      <c r="AI96" s="321"/>
      <c r="AJ96" s="321"/>
      <c r="AK96" s="321"/>
      <c r="AL96" s="321"/>
      <c r="AM96" s="321"/>
      <c r="AN96" s="321"/>
      <c r="AO96" s="321"/>
      <c r="AP96" s="321"/>
      <c r="AQ96" s="321"/>
      <c r="AR96" s="321"/>
      <c r="AS96" s="321"/>
      <c r="AT96" s="321"/>
      <c r="AU96" s="321"/>
      <c r="AV96" s="321"/>
      <c r="AW96" s="321"/>
      <c r="AX96" s="321"/>
      <c r="AY96" s="321"/>
      <c r="AZ96" s="321"/>
      <c r="BA96" s="321"/>
      <c r="BB96" s="321"/>
      <c r="BC96" s="321"/>
      <c r="BD96" s="321"/>
      <c r="BE96" s="321"/>
      <c r="BF96" s="321"/>
      <c r="BG96" s="321"/>
      <c r="BH96" s="321"/>
      <c r="BI96" s="321"/>
      <c r="BJ96" s="321"/>
      <c r="BK96" s="321"/>
      <c r="BL96" s="321"/>
      <c r="BM96" s="321"/>
      <c r="BN96" s="507"/>
      <c r="BO96" s="290"/>
      <c r="BP96" s="332"/>
      <c r="BQ96" s="333"/>
    </row>
    <row r="97" spans="1:69" ht="46" customHeight="1" thickBot="1">
      <c r="A97" s="2862"/>
      <c r="B97" s="2863"/>
      <c r="C97" s="420"/>
      <c r="D97" s="421" t="str">
        <f>IF(_xlfn.XLOOKUP(E97,[51]宿泊施設DB!$B$3:$B$206,[51]宿泊施設DB!$A$3:$A$206,"",)=0,"",_xlfn.XLOOKUP(E97,[51]宿泊施設DB!$B$3:$B$206,[51]宿泊施設DB!$A$3:$A$206,"",))</f>
        <v/>
      </c>
      <c r="E97" s="422"/>
      <c r="F97" s="2875">
        <f>_xlfn.XLOOKUP($E97,[51]宿泊施設DB!$B$3:$B$206,[51]宿泊施設DB!$D$3:$D$206,"",)</f>
        <v>0</v>
      </c>
      <c r="G97" s="2875">
        <f>_xlfn.XLOOKUP($E97,[51]宿泊施設DB!$B$3:$B$206,[51]宿泊施設DB!$E$3:$E$206,"",)</f>
        <v>0</v>
      </c>
      <c r="H97" s="2877">
        <f>_xlfn.XLOOKUP($E97,[51]宿泊施設DB!$B$3:$B$206,[51]宿泊施設DB!$J$3:$J$206,"",)</f>
        <v>0</v>
      </c>
      <c r="I97" s="2878">
        <f>_xlfn.XLOOKUP($E97,[51]宿泊施設DB!$B$3:$B$206,[51]宿泊施設DB!$T$3:$T$206,"",)</f>
        <v>0</v>
      </c>
      <c r="J97" s="2878">
        <f>_xlfn.XLOOKUP($E97,[51]宿泊施設DB!$B$3:$B$206,[51]宿泊施設DB!$R$3:$R$206,"",)</f>
        <v>0</v>
      </c>
      <c r="K97" s="2877">
        <f>_xlfn.XLOOKUP($E97,[51]宿泊施設DB!$B$3:$B$206,[51]宿泊施設DB!$S$3:$S$206,"",)</f>
        <v>0</v>
      </c>
      <c r="L97" s="2878">
        <f>_xlfn.XLOOKUP($E97,[51]宿泊施設DB!$B$3:$B$206,[51]宿泊施設DB!$U$3:$U$206,"",)</f>
        <v>0</v>
      </c>
      <c r="M97" s="2878">
        <f>_xlfn.XLOOKUP($E97,[51]宿泊施設DB!$B$3:$B$206,[51]宿泊施設DB!$V$3:$V$206,"",)</f>
        <v>0</v>
      </c>
      <c r="N97" s="2878">
        <f>_xlfn.XLOOKUP($E97,[51]宿泊施設DB!$B$3:$B$206,[51]宿泊施設DB!$W$3:$W$206,"",)</f>
        <v>0</v>
      </c>
      <c r="O97" s="2878">
        <f>_xlfn.XLOOKUP($E97,[51]宿泊施設DB!$B$3:$B$206,[51]宿泊施設DB!$X$3:$X$206,"",)</f>
        <v>0</v>
      </c>
      <c r="P97" s="426" t="str">
        <f t="shared" si="2"/>
        <v/>
      </c>
      <c r="Q97" s="426"/>
      <c r="R97" s="420"/>
      <c r="S97" s="714"/>
      <c r="T97" s="437" t="str">
        <f>IFERROR(VLOOKUP($S97,'[51]競技情報DB(12,000人ver)'!$A$6:$D$201,2,),"－")</f>
        <v>－</v>
      </c>
      <c r="U97" s="438">
        <f>_xlfn.XLOOKUP(S97,'[51]競技情報DB(12,000人ver)'!$A$6:$A$99,'[51]競技情報DB(12,000人ver)'!$D$6:$D$99,"",0,)</f>
        <v>0</v>
      </c>
      <c r="V97" s="439"/>
      <c r="W97" s="715"/>
      <c r="X97" s="716"/>
      <c r="Y97" s="442"/>
      <c r="Z97" s="435"/>
      <c r="AA97" s="517"/>
      <c r="AB97" s="2948"/>
      <c r="AC97" s="2948"/>
      <c r="AD97" s="2949"/>
      <c r="AE97" s="444"/>
      <c r="AF97" s="445"/>
      <c r="AG97" s="445"/>
      <c r="AH97" s="445"/>
      <c r="AI97" s="445"/>
      <c r="AJ97" s="336"/>
      <c r="AK97" s="336"/>
      <c r="AL97" s="336"/>
      <c r="AM97" s="336"/>
      <c r="AN97" s="336"/>
      <c r="AO97" s="336"/>
      <c r="AP97" s="336"/>
      <c r="AQ97" s="336"/>
      <c r="AR97" s="336"/>
      <c r="AS97" s="336"/>
      <c r="AT97" s="336"/>
      <c r="AU97" s="336"/>
      <c r="AV97" s="336"/>
      <c r="AW97" s="336"/>
      <c r="AX97" s="336"/>
      <c r="AY97" s="336"/>
      <c r="AZ97" s="336"/>
      <c r="BA97" s="336"/>
      <c r="BB97" s="336"/>
      <c r="BC97" s="336"/>
      <c r="BD97" s="336"/>
      <c r="BE97" s="336"/>
      <c r="BF97" s="336"/>
      <c r="BG97" s="336"/>
      <c r="BH97" s="336"/>
      <c r="BI97" s="336"/>
      <c r="BJ97" s="336"/>
      <c r="BK97" s="336"/>
      <c r="BL97" s="445"/>
      <c r="BM97" s="445"/>
      <c r="BN97" s="449"/>
      <c r="BO97" s="290"/>
      <c r="BP97" s="450"/>
      <c r="BQ97" s="451"/>
    </row>
    <row r="98" spans="1:69" ht="46" customHeight="1">
      <c r="A98" s="2903" t="s">
        <v>2377</v>
      </c>
      <c r="B98" s="2852" t="s">
        <v>2378</v>
      </c>
      <c r="C98" s="248">
        <f>C95+1</f>
        <v>31</v>
      </c>
      <c r="D98" s="249">
        <f>IF(_xlfn.XLOOKUP(E98,[51]宿泊施設DB!$B$3:$B$206,[51]宿泊施設DB!$A$3:$A$206,"",)=0,"",_xlfn.XLOOKUP(E98,[51]宿泊施設DB!$B$3:$B$206,[51]宿泊施設DB!$A$3:$A$206,"",))</f>
        <v>2026</v>
      </c>
      <c r="E98" s="250" t="s">
        <v>2379</v>
      </c>
      <c r="F98" s="2854">
        <f>_xlfn.XLOOKUP($E98,[51]宿泊施設DB!$B$3:$B$206,[51]宿泊施設DB!$D$3:$D$206,"",)</f>
        <v>158</v>
      </c>
      <c r="G98" s="2854">
        <f>_xlfn.XLOOKUP($E98,[51]宿泊施設DB!$B$3:$B$206,[51]宿泊施設DB!$E$3:$E$206,"",)</f>
        <v>184</v>
      </c>
      <c r="H98" s="2904">
        <f>_xlfn.XLOOKUP($E98,[51]宿泊施設DB!$B$3:$B$206,[51]宿泊施設DB!$J$3:$J$206,"",)</f>
        <v>14</v>
      </c>
      <c r="I98" s="2857" t="str">
        <f>_xlfn.XLOOKUP($E98,[51]宿泊施設DB!$B$3:$B$206,[51]宿泊施設DB!$T$3:$T$206,"",)</f>
        <v>中</v>
      </c>
      <c r="J98" s="2857" t="str">
        <f>_xlfn.XLOOKUP($E98,[51]宿泊施設DB!$B$3:$B$206,[51]宿泊施設DB!$R$3:$R$206,"",)</f>
        <v>宿泊施設</v>
      </c>
      <c r="K98" s="2904">
        <f>_xlfn.XLOOKUP($E98,[51]宿泊施設DB!$B$3:$B$206,[51]宿泊施設DB!$S$3:$S$206,"",)</f>
        <v>150</v>
      </c>
      <c r="L98" s="2917" t="str">
        <f>_xlfn.XLOOKUP($E98,[51]宿泊施設DB!$B$3:$B$206,[51]宿泊施設DB!$U$3:$U$206,"",)</f>
        <v>－</v>
      </c>
      <c r="M98" s="2857" t="str">
        <f>_xlfn.XLOOKUP($E98,[51]宿泊施設DB!$B$3:$B$206,[51]宿泊施設DB!$V$3:$V$206,"",)</f>
        <v>○</v>
      </c>
      <c r="N98" s="2857" t="str">
        <f>_xlfn.XLOOKUP($E98,[51]宿泊施設DB!$B$3:$B$206,[51]宿泊施設DB!$W$3:$W$206,"",)</f>
        <v>－</v>
      </c>
      <c r="O98" s="2857" t="str">
        <f>_xlfn.XLOOKUP($E98,[51]宿泊施設DB!$B$3:$B$206,[51]宿泊施設DB!$X$3:$X$206,"",)</f>
        <v>玄関前（屋根無）2台</v>
      </c>
      <c r="P98" s="258" t="str">
        <f t="shared" si="2"/>
        <v>○</v>
      </c>
      <c r="Q98" s="258"/>
      <c r="R98" s="248" t="s">
        <v>2169</v>
      </c>
      <c r="S98" s="600" t="s">
        <v>2483</v>
      </c>
      <c r="T98" s="601" t="str">
        <f>IFERROR(VLOOKUP($S98,'[51]競技情報DB(12,000人ver)'!$A$6:$D$201,2,),"－")</f>
        <v>各務原市</v>
      </c>
      <c r="U98" s="602">
        <f>_xlfn.XLOOKUP(S98,'[51]競技情報DB(12,000人ver)'!$A$6:$A$99,'[51]競技情報DB(12,000人ver)'!$D$6:$D$99,"",0,)</f>
        <v>168</v>
      </c>
      <c r="V98" s="271">
        <f>SUM(U98:U99)</f>
        <v>168</v>
      </c>
      <c r="W98" s="603">
        <v>15.9</v>
      </c>
      <c r="X98" s="604">
        <v>23</v>
      </c>
      <c r="Y98" s="274">
        <f>$G98-MAX(AF98:BN98)</f>
        <v>16</v>
      </c>
      <c r="Z98" s="267">
        <f>+Y98/$G98</f>
        <v>8.6956521739130432E-2</v>
      </c>
      <c r="AA98" s="275" t="str">
        <f>E98&amp;"　"&amp;"合計"</f>
        <v>岐阜グランドホテル　合計</v>
      </c>
      <c r="AB98" s="2954">
        <v>45547</v>
      </c>
      <c r="AC98" s="2954">
        <v>45570</v>
      </c>
      <c r="AD98" s="2943">
        <v>23</v>
      </c>
      <c r="AE98" s="276" t="s">
        <v>2175</v>
      </c>
      <c r="AF98" s="280">
        <f>+_xlfn.XLOOKUP($AA98,'[51]②配宿シュミレーション(12,000人ver)'!$AO$6:$AO$674,'[51]②配宿シュミレーション(12,000人ver)'!AP$6:AP$674,)</f>
        <v>0</v>
      </c>
      <c r="AG98" s="280">
        <f>+_xlfn.XLOOKUP($AA98,'[51]②配宿シュミレーション(12,000人ver)'!$AO$6:$AO$674,'[51]②配宿シュミレーション(12,000人ver)'!AQ$6:AQ$674,)</f>
        <v>0</v>
      </c>
      <c r="AH98" s="280">
        <f>+_xlfn.XLOOKUP($AA98,'[51]②配宿シュミレーション(12,000人ver)'!$AO$6:$AO$674,'[51]②配宿シュミレーション(12,000人ver)'!AR$6:AR$674,)</f>
        <v>0</v>
      </c>
      <c r="AI98" s="280">
        <f>+_xlfn.XLOOKUP($AA98,'[51]②配宿シュミレーション(12,000人ver)'!$AO$6:$AO$674,'[51]②配宿シュミレーション(12,000人ver)'!AS$6:AS$674,)</f>
        <v>0</v>
      </c>
      <c r="AJ98" s="280">
        <f>+_xlfn.XLOOKUP($AA98,'[51]②配宿シュミレーション(12,000人ver)'!$AO$6:$AO$674,'[51]②配宿シュミレーション(12,000人ver)'!AT$6:AT$674,)</f>
        <v>0</v>
      </c>
      <c r="AK98" s="280">
        <f>+_xlfn.XLOOKUP($AA98,'[51]②配宿シュミレーション(12,000人ver)'!$AO$6:$AO$674,'[51]②配宿シュミレーション(12,000人ver)'!AU$6:AU$674,)</f>
        <v>0</v>
      </c>
      <c r="AL98" s="280">
        <f>+_xlfn.XLOOKUP($AA98,'[51]②配宿シュミレーション(12,000人ver)'!$AO$6:$AO$674,'[51]②配宿シュミレーション(12,000人ver)'!AV$6:AV$674,)</f>
        <v>0</v>
      </c>
      <c r="AM98" s="280">
        <f>+_xlfn.XLOOKUP($AA98,'[51]②配宿シュミレーション(12,000人ver)'!$AO$6:$AO$674,'[51]②配宿シュミレーション(12,000人ver)'!AW$6:AW$674,)</f>
        <v>0</v>
      </c>
      <c r="AN98" s="2920" t="s">
        <v>2447</v>
      </c>
      <c r="AO98" s="2920" t="s">
        <v>2447</v>
      </c>
      <c r="AP98" s="280">
        <f>+_xlfn.XLOOKUP($AA98,'[51]②配宿シュミレーション(12,000人ver)'!$AO$6:$AO$674,'[51]②配宿シュミレーション(12,000人ver)'!AZ$6:AZ$674,)</f>
        <v>168</v>
      </c>
      <c r="AQ98" s="280">
        <f>+_xlfn.XLOOKUP($AA98,'[51]②配宿シュミレーション(12,000人ver)'!$AO$6:$AO$674,'[51]②配宿シュミレーション(12,000人ver)'!BA$6:BA$674,)</f>
        <v>168</v>
      </c>
      <c r="AR98" s="280">
        <f>+_xlfn.XLOOKUP($AA98,'[51]②配宿シュミレーション(12,000人ver)'!$AO$6:$AO$674,'[51]②配宿シュミレーション(12,000人ver)'!BB$6:BB$674,)</f>
        <v>168</v>
      </c>
      <c r="AS98" s="280">
        <f>+_xlfn.XLOOKUP($AA98,'[51]②配宿シュミレーション(12,000人ver)'!$AO$6:$AO$674,'[51]②配宿シュミレーション(12,000人ver)'!BC$6:BC$674,)</f>
        <v>168</v>
      </c>
      <c r="AT98" s="280">
        <f>+_xlfn.XLOOKUP($AA98,'[51]②配宿シュミレーション(12,000人ver)'!$AO$6:$AO$674,'[51]②配宿シュミレーション(12,000人ver)'!BD$6:BD$674,)</f>
        <v>168</v>
      </c>
      <c r="AU98" s="280">
        <f>+_xlfn.XLOOKUP($AA98,'[51]②配宿シュミレーション(12,000人ver)'!$AO$6:$AO$674,'[51]②配宿シュミレーション(12,000人ver)'!BE$6:BE$674,)</f>
        <v>168</v>
      </c>
      <c r="AV98" s="280">
        <f>+_xlfn.XLOOKUP($AA98,'[51]②配宿シュミレーション(12,000人ver)'!$AO$6:$AO$674,'[51]②配宿シュミレーション(12,000人ver)'!BF$6:BF$674,)</f>
        <v>168</v>
      </c>
      <c r="AW98" s="280">
        <f>+_xlfn.XLOOKUP($AA98,'[51]②配宿シュミレーション(12,000人ver)'!$AO$6:$AO$674,'[51]②配宿シュミレーション(12,000人ver)'!BG$6:BG$674,)</f>
        <v>168</v>
      </c>
      <c r="AX98" s="280">
        <f>+_xlfn.XLOOKUP($AA98,'[51]②配宿シュミレーション(12,000人ver)'!$AO$6:$AO$674,'[51]②配宿シュミレーション(12,000人ver)'!BH$6:BH$674,)</f>
        <v>168</v>
      </c>
      <c r="AY98" s="280">
        <f>+_xlfn.XLOOKUP($AA98,'[51]②配宿シュミレーション(12,000人ver)'!$AO$6:$AO$674,'[51]②配宿シュミレーション(12,000人ver)'!BI$6:BI$674,)</f>
        <v>168</v>
      </c>
      <c r="AZ98" s="280">
        <f>+_xlfn.XLOOKUP($AA98,'[51]②配宿シュミレーション(12,000人ver)'!$AO$6:$AO$674,'[51]②配宿シュミレーション(12,000人ver)'!BJ$6:BJ$674,)</f>
        <v>168</v>
      </c>
      <c r="BA98" s="280">
        <f>+_xlfn.XLOOKUP($AA98,'[51]②配宿シュミレーション(12,000人ver)'!$AO$6:$AO$674,'[51]②配宿シュミレーション(12,000人ver)'!BK$6:BK$674,)</f>
        <v>168</v>
      </c>
      <c r="BB98" s="280">
        <f>+_xlfn.XLOOKUP($AA98,'[51]②配宿シュミレーション(12,000人ver)'!$AO$6:$AO$674,'[51]②配宿シュミレーション(12,000人ver)'!BL$6:BL$674,)</f>
        <v>168</v>
      </c>
      <c r="BC98" s="280">
        <f>+_xlfn.XLOOKUP($AA98,'[51]②配宿シュミレーション(12,000人ver)'!$AO$6:$AO$674,'[51]②配宿シュミレーション(12,000人ver)'!BM$6:BM$674,)</f>
        <v>168</v>
      </c>
      <c r="BD98" s="280">
        <f>+_xlfn.XLOOKUP($AA98,'[51]②配宿シュミレーション(12,000人ver)'!$AO$6:$AO$674,'[51]②配宿シュミレーション(12,000人ver)'!BN$6:BN$674,)</f>
        <v>168</v>
      </c>
      <c r="BE98" s="280">
        <f>+_xlfn.XLOOKUP($AA98,'[51]②配宿シュミレーション(12,000人ver)'!$AO$6:$AO$674,'[51]②配宿シュミレーション(12,000人ver)'!BO$6:BO$674,)</f>
        <v>168</v>
      </c>
      <c r="BF98" s="280">
        <f>+_xlfn.XLOOKUP($AA98,'[51]②配宿シュミレーション(12,000人ver)'!$AO$6:$AO$674,'[51]②配宿シュミレーション(12,000人ver)'!BP$6:BP$674,)</f>
        <v>168</v>
      </c>
      <c r="BG98" s="280">
        <f>+_xlfn.XLOOKUP($AA98,'[51]②配宿シュミレーション(12,000人ver)'!$AO$6:$AO$674,'[51]②配宿シュミレーション(12,000人ver)'!BQ$6:BQ$674,)</f>
        <v>168</v>
      </c>
      <c r="BH98" s="280">
        <f>+_xlfn.XLOOKUP($AA98,'[51]②配宿シュミレーション(12,000人ver)'!$AO$6:$AO$674,'[51]②配宿シュミレーション(12,000人ver)'!BR$6:BR$674,)</f>
        <v>168</v>
      </c>
      <c r="BI98" s="280">
        <f>+_xlfn.XLOOKUP($AA98,'[51]②配宿シュミレーション(12,000人ver)'!$AO$6:$AO$674,'[51]②配宿シュミレーション(12,000人ver)'!BS$6:BS$674,)</f>
        <v>168</v>
      </c>
      <c r="BJ98" s="280">
        <f>+_xlfn.XLOOKUP($AA98,'[51]②配宿シュミレーション(12,000人ver)'!$AO$6:$AO$674,'[51]②配宿シュミレーション(12,000人ver)'!BT$6:BT$674,)</f>
        <v>168</v>
      </c>
      <c r="BK98" s="2921" t="s">
        <v>2448</v>
      </c>
      <c r="BL98" s="280">
        <f>+_xlfn.XLOOKUP($AA98,'[51]②配宿シュミレーション(12,000人ver)'!$AO$6:$AO$674,'[51]②配宿シュミレーション(12,000人ver)'!BV$6:BV$674,)</f>
        <v>0</v>
      </c>
      <c r="BM98" s="280">
        <f>+_xlfn.XLOOKUP($AA98,'[51]②配宿シュミレーション(12,000人ver)'!$AO$6:$AO$674,'[51]②配宿シュミレーション(12,000人ver)'!BW$6:BW$674,)</f>
        <v>0</v>
      </c>
      <c r="BN98" s="606">
        <f>+_xlfn.XLOOKUP($AA98,'[51]②配宿シュミレーション(12,000人ver)'!$AO$6:$AO$674,'[51]②配宿シュミレーション(12,000人ver)'!BX$6:BX$674,)</f>
        <v>0</v>
      </c>
      <c r="BO98" s="573"/>
      <c r="BP98" s="332"/>
      <c r="BQ98" s="333"/>
    </row>
    <row r="99" spans="1:69" s="521" customFormat="1" ht="46" customHeight="1" thickBot="1">
      <c r="A99" s="2862"/>
      <c r="B99" s="2863"/>
      <c r="C99" s="296"/>
      <c r="D99" s="297" t="str">
        <f>IF(_xlfn.XLOOKUP(E99,[51]宿泊施設DB!$B$3:$B$206,[51]宿泊施設DB!$A$3:$A$206,"",)=0,"",_xlfn.XLOOKUP(E99,[51]宿泊施設DB!$B$3:$B$206,[51]宿泊施設DB!$A$3:$A$206,"",))</f>
        <v/>
      </c>
      <c r="E99" s="298"/>
      <c r="F99" s="2864">
        <f>_xlfn.XLOOKUP($E99,[51]宿泊施設DB!$B$3:$B$206,[51]宿泊施設DB!$D$3:$D$206,"",)</f>
        <v>0</v>
      </c>
      <c r="G99" s="2864">
        <f>_xlfn.XLOOKUP($E99,[51]宿泊施設DB!$B$3:$B$206,[51]宿泊施設DB!$E$3:$E$206,"",)</f>
        <v>0</v>
      </c>
      <c r="H99" s="2865">
        <f>_xlfn.XLOOKUP($E99,[51]宿泊施設DB!$B$3:$B$206,[51]宿泊施設DB!$J$3:$J$206,"",)</f>
        <v>0</v>
      </c>
      <c r="I99" s="2866">
        <f>_xlfn.XLOOKUP($E99,[51]宿泊施設DB!$B$3:$B$206,[51]宿泊施設DB!$T$3:$T$206,"",)</f>
        <v>0</v>
      </c>
      <c r="J99" s="2866">
        <f>_xlfn.XLOOKUP($E99,[51]宿泊施設DB!$B$3:$B$206,[51]宿泊施設DB!$R$3:$R$206,"",)</f>
        <v>0</v>
      </c>
      <c r="K99" s="2865">
        <f>_xlfn.XLOOKUP($E99,[51]宿泊施設DB!$B$3:$B$206,[51]宿泊施設DB!$S$3:$S$206,"",)</f>
        <v>0</v>
      </c>
      <c r="L99" s="2915">
        <f>_xlfn.XLOOKUP($E99,[51]宿泊施設DB!$B$3:$B$206,[51]宿泊施設DB!$U$3:$U$206,"",)</f>
        <v>0</v>
      </c>
      <c r="M99" s="2866">
        <f>_xlfn.XLOOKUP($E99,[51]宿泊施設DB!$B$3:$B$206,[51]宿泊施設DB!$V$3:$V$206,"",)</f>
        <v>0</v>
      </c>
      <c r="N99" s="2866">
        <f>_xlfn.XLOOKUP($E99,[51]宿泊施設DB!$B$3:$B$206,[51]宿泊施設DB!$W$3:$W$206,"",)</f>
        <v>0</v>
      </c>
      <c r="O99" s="2866">
        <f>_xlfn.XLOOKUP($E99,[51]宿泊施設DB!$B$3:$B$206,[51]宿泊施設DB!$X$3:$X$206,"",)</f>
        <v>0</v>
      </c>
      <c r="P99" s="302" t="str">
        <f t="shared" si="2"/>
        <v/>
      </c>
      <c r="Q99" s="302"/>
      <c r="R99" s="296" t="s">
        <v>2484</v>
      </c>
      <c r="S99" s="477"/>
      <c r="T99" s="478" t="str">
        <f>IFERROR(VLOOKUP($S99,'[51]競技情報DB(12,000人ver)'!$A$6:$D$201,2,),"－")</f>
        <v>－</v>
      </c>
      <c r="U99" s="479">
        <f>_xlfn.XLOOKUP(S99,'[51]競技情報DB(12,000人ver)'!$A$6:$A$99,'[51]競技情報DB(12,000人ver)'!$D$6:$D$99,"",0,)</f>
        <v>0</v>
      </c>
      <c r="V99" s="315"/>
      <c r="W99" s="480"/>
      <c r="X99" s="654"/>
      <c r="Y99" s="442"/>
      <c r="Z99" s="311"/>
      <c r="AA99" s="319"/>
      <c r="AB99" s="2944"/>
      <c r="AC99" s="2944"/>
      <c r="AD99" s="2945"/>
      <c r="AE99" s="320"/>
      <c r="AF99" s="322"/>
      <c r="AG99" s="322"/>
      <c r="AH99" s="322"/>
      <c r="AI99" s="322"/>
      <c r="AJ99" s="519"/>
      <c r="AK99" s="519"/>
      <c r="AL99" s="519"/>
      <c r="AM99" s="519"/>
      <c r="AN99" s="519"/>
      <c r="AO99" s="519"/>
      <c r="AP99" s="519"/>
      <c r="AQ99" s="519"/>
      <c r="AR99" s="519"/>
      <c r="AS99" s="519"/>
      <c r="AT99" s="519"/>
      <c r="AU99" s="519"/>
      <c r="AV99" s="519"/>
      <c r="AW99" s="519"/>
      <c r="AX99" s="519"/>
      <c r="AY99" s="519"/>
      <c r="AZ99" s="519"/>
      <c r="BA99" s="519"/>
      <c r="BB99" s="519"/>
      <c r="BC99" s="519"/>
      <c r="BD99" s="519"/>
      <c r="BE99" s="519"/>
      <c r="BF99" s="519"/>
      <c r="BG99" s="519"/>
      <c r="BH99" s="519"/>
      <c r="BI99" s="519"/>
      <c r="BJ99" s="519"/>
      <c r="BK99" s="506"/>
      <c r="BL99" s="322"/>
      <c r="BM99" s="322"/>
      <c r="BN99" s="507"/>
      <c r="BO99" s="573"/>
      <c r="BP99" s="332"/>
      <c r="BQ99" s="333"/>
    </row>
    <row r="100" spans="1:69" ht="46" customHeight="1">
      <c r="A100" s="2862"/>
      <c r="B100" s="2863"/>
      <c r="C100" s="372">
        <f>C98+1</f>
        <v>32</v>
      </c>
      <c r="D100" s="2871">
        <f>IF(_xlfn.XLOOKUP(E100,[51]宿泊施設DB!$B$3:$B$206,[51]宿泊施設DB!$A$3:$A$206,"",)=0,"",_xlfn.XLOOKUP(E100,[51]宿泊施設DB!$B$3:$B$206,[51]宿泊施設DB!$A$3:$A$206,"",))</f>
        <v>2027</v>
      </c>
      <c r="E100" s="373" t="s">
        <v>2382</v>
      </c>
      <c r="F100" s="2872">
        <f>_xlfn.XLOOKUP($E100,[51]宿泊施設DB!$B$3:$B$206,[51]宿泊施設DB!$D$3:$D$206,"",)</f>
        <v>192</v>
      </c>
      <c r="G100" s="2872">
        <f>_xlfn.XLOOKUP($E100,[51]宿泊施設DB!$B$3:$B$206,[51]宿泊施設DB!$E$3:$E$206,"",)</f>
        <v>348</v>
      </c>
      <c r="H100" s="2873">
        <f>_xlfn.XLOOKUP($E100,[51]宿泊施設DB!$B$3:$B$206,[51]宿泊施設DB!$J$3:$J$206,"",)</f>
        <v>16</v>
      </c>
      <c r="I100" s="2874" t="str">
        <f>_xlfn.XLOOKUP($E100,[51]宿泊施設DB!$B$3:$B$206,[51]宿泊施設DB!$T$3:$T$206,"",)</f>
        <v>－</v>
      </c>
      <c r="J100" s="2874" t="str">
        <f>_xlfn.XLOOKUP($E100,[51]宿泊施設DB!$B$3:$B$206,[51]宿泊施設DB!$R$3:$R$206,"",)</f>
        <v>宿泊施設</v>
      </c>
      <c r="K100" s="2873">
        <f>_xlfn.XLOOKUP($E100,[51]宿泊施設DB!$B$3:$B$206,[51]宿泊施設DB!$S$3:$S$206,"",)</f>
        <v>142</v>
      </c>
      <c r="L100" s="2874" t="str">
        <f>_xlfn.XLOOKUP($E100,[51]宿泊施設DB!$B$3:$B$206,[51]宿泊施設DB!$U$3:$U$206,"",)</f>
        <v>○</v>
      </c>
      <c r="M100" s="2874" t="str">
        <f>_xlfn.XLOOKUP($E100,[51]宿泊施設DB!$B$3:$B$206,[51]宿泊施設DB!$V$3:$V$206,"",)</f>
        <v>○(ｼﾞﾑ内等)</v>
      </c>
      <c r="N100" s="2874" t="str">
        <f>_xlfn.XLOOKUP($E100,[51]宿泊施設DB!$B$3:$B$206,[51]宿泊施設DB!$W$3:$W$206,"",)</f>
        <v>－</v>
      </c>
      <c r="O100" s="2874" t="str">
        <f>_xlfn.XLOOKUP($E100,[51]宿泊施設DB!$B$3:$B$206,[51]宿泊施設DB!$X$3:$X$206,"",)</f>
        <v>玄関前（屋根付）2台</v>
      </c>
      <c r="P100" s="377" t="str">
        <f t="shared" si="2"/>
        <v>○</v>
      </c>
      <c r="Q100" s="377" t="s">
        <v>2161</v>
      </c>
      <c r="R100" s="372" t="s">
        <v>2169</v>
      </c>
      <c r="S100" s="539" t="s">
        <v>2485</v>
      </c>
      <c r="T100" s="540" t="str">
        <f>IFERROR(VLOOKUP($S100,'[51]競技情報DB(12,000人ver)'!$A$6:$D$201,2,),"－")</f>
        <v>各務原市</v>
      </c>
      <c r="U100" s="541">
        <f>_xlfn.XLOOKUP(S100,'[51]競技情報DB(12,000人ver)'!$A$6:$A$99,'[51]競技情報DB(12,000人ver)'!$D$6:$D$99,"",0,)</f>
        <v>226</v>
      </c>
      <c r="V100" s="648">
        <f>SUM(U100:U101)</f>
        <v>342</v>
      </c>
      <c r="W100" s="542">
        <v>17.399999999999999</v>
      </c>
      <c r="X100" s="543">
        <v>26</v>
      </c>
      <c r="Y100" s="318">
        <f>$G100-MAX(AF100:BN100)</f>
        <v>6</v>
      </c>
      <c r="Z100" s="647">
        <f>+Y100/$G100</f>
        <v>1.7241379310344827E-2</v>
      </c>
      <c r="AA100" s="515" t="str">
        <f>E100&amp;"　"&amp;"合計"</f>
        <v>都ホテル岐阜長良川　合計</v>
      </c>
      <c r="AB100" s="2951">
        <v>45543</v>
      </c>
      <c r="AC100" s="2951">
        <v>45570</v>
      </c>
      <c r="AD100" s="2943">
        <v>27</v>
      </c>
      <c r="AE100" s="396" t="s">
        <v>2175</v>
      </c>
      <c r="AF100" s="398">
        <f>+_xlfn.XLOOKUP($AA100,'[51]②配宿シュミレーション(12,000人ver)'!$AO$6:$AO$674,'[51]②配宿シュミレーション(12,000人ver)'!AP$6:AP$674,)</f>
        <v>0</v>
      </c>
      <c r="AG100" s="398">
        <f>+_xlfn.XLOOKUP($AA100,'[51]②配宿シュミレーション(12,000人ver)'!$AO$6:$AO$674,'[51]②配宿シュミレーション(12,000人ver)'!AQ$6:AQ$674,)</f>
        <v>0</v>
      </c>
      <c r="AH100" s="398">
        <f>+_xlfn.XLOOKUP($AA100,'[51]②配宿シュミレーション(12,000人ver)'!$AO$6:$AO$674,'[51]②配宿シュミレーション(12,000人ver)'!AR$6:AR$674,)</f>
        <v>0</v>
      </c>
      <c r="AI100" s="398">
        <f>+_xlfn.XLOOKUP($AA100,'[51]②配宿シュミレーション(12,000人ver)'!$AO$6:$AO$674,'[51]②配宿シュミレーション(12,000人ver)'!AS$6:AS$674,)</f>
        <v>0</v>
      </c>
      <c r="AJ100" s="2888" t="s">
        <v>2447</v>
      </c>
      <c r="AK100" s="2888" t="s">
        <v>2447</v>
      </c>
      <c r="AL100" s="337">
        <f>+_xlfn.XLOOKUP($AA100,'[51]②配宿シュミレーション(12,000人ver)'!$AO$6:$AO$674,'[51]②配宿シュミレーション(12,000人ver)'!AV$6:AV$674,)</f>
        <v>58</v>
      </c>
      <c r="AM100" s="337">
        <f>+_xlfn.XLOOKUP($AA100,'[51]②配宿シュミレーション(12,000人ver)'!$AO$6:$AO$674,'[51]②配宿シュミレーション(12,000人ver)'!AW$6:AW$674,)</f>
        <v>116</v>
      </c>
      <c r="AN100" s="337">
        <f>+_xlfn.XLOOKUP($AA100,'[51]②配宿シュミレーション(12,000人ver)'!$AO$6:$AO$674,'[51]②配宿シュミレーション(12,000人ver)'!AX$6:AX$674,)</f>
        <v>116</v>
      </c>
      <c r="AO100" s="337">
        <f>+_xlfn.XLOOKUP($AA100,'[51]②配宿シュミレーション(12,000人ver)'!$AO$6:$AO$674,'[51]②配宿シュミレーション(12,000人ver)'!AY$6:AY$674,)</f>
        <v>116</v>
      </c>
      <c r="AP100" s="337">
        <f>+_xlfn.XLOOKUP($AA100,'[51]②配宿シュミレーション(12,000人ver)'!$AO$6:$AO$674,'[51]②配宿シュミレーション(12,000人ver)'!AZ$6:AZ$674,)</f>
        <v>342</v>
      </c>
      <c r="AQ100" s="337">
        <f>+_xlfn.XLOOKUP($AA100,'[51]②配宿シュミレーション(12,000人ver)'!$AO$6:$AO$674,'[51]②配宿シュミレーション(12,000人ver)'!BA$6:BA$674,)</f>
        <v>342</v>
      </c>
      <c r="AR100" s="337">
        <f>+_xlfn.XLOOKUP($AA100,'[51]②配宿シュミレーション(12,000人ver)'!$AO$6:$AO$674,'[51]②配宿シュミレーション(12,000人ver)'!BB$6:BB$674,)</f>
        <v>342</v>
      </c>
      <c r="AS100" s="337">
        <f>+_xlfn.XLOOKUP($AA100,'[51]②配宿シュミレーション(12,000人ver)'!$AO$6:$AO$674,'[51]②配宿シュミレーション(12,000人ver)'!BC$6:BC$674,)</f>
        <v>342</v>
      </c>
      <c r="AT100" s="337">
        <f>+_xlfn.XLOOKUP($AA100,'[51]②配宿シュミレーション(12,000人ver)'!$AO$6:$AO$674,'[51]②配宿シュミレーション(12,000人ver)'!BD$6:BD$674,)</f>
        <v>342</v>
      </c>
      <c r="AU100" s="337">
        <f>+_xlfn.XLOOKUP($AA100,'[51]②配宿シュミレーション(12,000人ver)'!$AO$6:$AO$674,'[51]②配宿シュミレーション(12,000人ver)'!BE$6:BE$674,)</f>
        <v>342</v>
      </c>
      <c r="AV100" s="337">
        <f>+_xlfn.XLOOKUP($AA100,'[51]②配宿シュミレーション(12,000人ver)'!$AO$6:$AO$674,'[51]②配宿シュミレーション(12,000人ver)'!BF$6:BF$674,)</f>
        <v>342</v>
      </c>
      <c r="AW100" s="337">
        <f>+_xlfn.XLOOKUP($AA100,'[51]②配宿シュミレーション(12,000人ver)'!$AO$6:$AO$674,'[51]②配宿シュミレーション(12,000人ver)'!BG$6:BG$674,)</f>
        <v>342</v>
      </c>
      <c r="AX100" s="337">
        <f>+_xlfn.XLOOKUP($AA100,'[51]②配宿シュミレーション(12,000人ver)'!$AO$6:$AO$674,'[51]②配宿シュミレーション(12,000人ver)'!BH$6:BH$674,)</f>
        <v>292</v>
      </c>
      <c r="AY100" s="337">
        <f>+_xlfn.XLOOKUP($AA100,'[51]②配宿シュミレーション(12,000人ver)'!$AO$6:$AO$674,'[51]②配宿シュミレーション(12,000人ver)'!BI$6:BI$674,)</f>
        <v>284</v>
      </c>
      <c r="AZ100" s="337">
        <f>+_xlfn.XLOOKUP($AA100,'[51]②配宿シュミレーション(12,000人ver)'!$AO$6:$AO$674,'[51]②配宿シュミレーション(12,000人ver)'!BJ$6:BJ$674,)</f>
        <v>226</v>
      </c>
      <c r="BA100" s="337">
        <f>+_xlfn.XLOOKUP($AA100,'[51]②配宿シュミレーション(12,000人ver)'!$AO$6:$AO$674,'[51]②配宿シュミレーション(12,000人ver)'!BK$6:BK$674,)</f>
        <v>226</v>
      </c>
      <c r="BB100" s="337">
        <f>+_xlfn.XLOOKUP($AA100,'[51]②配宿シュミレーション(12,000人ver)'!$AO$6:$AO$674,'[51]②配宿シュミレーション(12,000人ver)'!BL$6:BL$674,)</f>
        <v>226</v>
      </c>
      <c r="BC100" s="337">
        <f>+_xlfn.XLOOKUP($AA100,'[51]②配宿シュミレーション(12,000人ver)'!$AO$6:$AO$674,'[51]②配宿シュミレーション(12,000人ver)'!BM$6:BM$674,)</f>
        <v>226</v>
      </c>
      <c r="BD100" s="337">
        <f>+_xlfn.XLOOKUP($AA100,'[51]②配宿シュミレーション(12,000人ver)'!$AO$6:$AO$674,'[51]②配宿シュミレーション(12,000人ver)'!BN$6:BN$674,)</f>
        <v>226</v>
      </c>
      <c r="BE100" s="337">
        <f>+_xlfn.XLOOKUP($AA100,'[51]②配宿シュミレーション(12,000人ver)'!$AO$6:$AO$674,'[51]②配宿シュミレーション(12,000人ver)'!BO$6:BO$674,)</f>
        <v>226</v>
      </c>
      <c r="BF100" s="337">
        <f>+_xlfn.XLOOKUP($AA100,'[51]②配宿シュミレーション(12,000人ver)'!$AO$6:$AO$674,'[51]②配宿シュミレーション(12,000人ver)'!BP$6:BP$674,)</f>
        <v>226</v>
      </c>
      <c r="BG100" s="337">
        <f>+_xlfn.XLOOKUP($AA100,'[51]②配宿シュミレーション(12,000人ver)'!$AO$6:$AO$674,'[51]②配宿シュミレーション(12,000人ver)'!BQ$6:BQ$674,)</f>
        <v>226</v>
      </c>
      <c r="BH100" s="337">
        <f>+_xlfn.XLOOKUP($AA100,'[51]②配宿シュミレーション(12,000人ver)'!$AO$6:$AO$674,'[51]②配宿シュミレーション(12,000人ver)'!BR$6:BR$674,)</f>
        <v>226</v>
      </c>
      <c r="BI100" s="337">
        <f>+_xlfn.XLOOKUP($AA100,'[51]②配宿シュミレーション(12,000人ver)'!$AO$6:$AO$674,'[51]②配宿シュミレーション(12,000人ver)'!BS$6:BS$674,)</f>
        <v>226</v>
      </c>
      <c r="BJ100" s="337">
        <f>+_xlfn.XLOOKUP($AA100,'[51]②配宿シュミレーション(12,000人ver)'!$AO$6:$AO$674,'[51]②配宿シュミレーション(12,000人ver)'!BT$6:BT$674,)</f>
        <v>226</v>
      </c>
      <c r="BK100" s="2889" t="s">
        <v>2448</v>
      </c>
      <c r="BL100" s="398">
        <f>+_xlfn.XLOOKUP($AA100,'[51]②配宿シュミレーション(12,000人ver)'!$AO$6:$AO$674,'[51]②配宿シュミレーション(12,000人ver)'!BV$6:BV$674,)</f>
        <v>0</v>
      </c>
      <c r="BM100" s="398">
        <f>+_xlfn.XLOOKUP($AA100,'[51]②配宿シュミレーション(12,000人ver)'!$AO$6:$AO$674,'[51]②配宿シュミレーション(12,000人ver)'!BW$6:BW$674,)</f>
        <v>0</v>
      </c>
      <c r="BN100" s="472">
        <f>+_xlfn.XLOOKUP($AA100,'[51]②配宿シュミレーション(12,000人ver)'!$AO$6:$AO$674,'[51]②配宿シュミレーション(12,000人ver)'!BX$6:BX$674,)</f>
        <v>0</v>
      </c>
      <c r="BO100" s="290"/>
      <c r="BP100" s="404"/>
      <c r="BQ100" s="405"/>
    </row>
    <row r="101" spans="1:69" s="521" customFormat="1" ht="46" customHeight="1" thickBot="1">
      <c r="A101" s="2862"/>
      <c r="B101" s="2863"/>
      <c r="C101" s="420"/>
      <c r="D101" s="421" t="str">
        <f>IF(_xlfn.XLOOKUP(E101,[51]宿泊施設DB!$B$3:$B$206,[51]宿泊施設DB!$A$3:$A$206,"",)=0,"",_xlfn.XLOOKUP(E101,[51]宿泊施設DB!$B$3:$B$206,[51]宿泊施設DB!$A$3:$A$206,"",))</f>
        <v/>
      </c>
      <c r="E101" s="422"/>
      <c r="F101" s="2875">
        <f>_xlfn.XLOOKUP($E101,[51]宿泊施設DB!$B$3:$B$206,[51]宿泊施設DB!$D$3:$D$206,"",)</f>
        <v>0</v>
      </c>
      <c r="G101" s="2875">
        <f>_xlfn.XLOOKUP($E101,[51]宿泊施設DB!$B$3:$B$206,[51]宿泊施設DB!$E$3:$E$206,"",)</f>
        <v>0</v>
      </c>
      <c r="H101" s="2877">
        <f>_xlfn.XLOOKUP($E101,[51]宿泊施設DB!$B$3:$B$206,[51]宿泊施設DB!$J$3:$J$206,"",)</f>
        <v>0</v>
      </c>
      <c r="I101" s="2878">
        <f>_xlfn.XLOOKUP($E101,[51]宿泊施設DB!$B$3:$B$206,[51]宿泊施設DB!$T$3:$T$206,"",)</f>
        <v>0</v>
      </c>
      <c r="J101" s="2878">
        <f>_xlfn.XLOOKUP($E101,[51]宿泊施設DB!$B$3:$B$206,[51]宿泊施設DB!$R$3:$R$206,"",)</f>
        <v>0</v>
      </c>
      <c r="K101" s="2877">
        <f>_xlfn.XLOOKUP($E101,[51]宿泊施設DB!$B$3:$B$206,[51]宿泊施設DB!$S$3:$S$206,"",)</f>
        <v>0</v>
      </c>
      <c r="L101" s="2878">
        <f>_xlfn.XLOOKUP($E101,[51]宿泊施設DB!$B$3:$B$206,[51]宿泊施設DB!$U$3:$U$206,"",)</f>
        <v>0</v>
      </c>
      <c r="M101" s="2878">
        <f>_xlfn.XLOOKUP($E101,[51]宿泊施設DB!$B$3:$B$206,[51]宿泊施設DB!$V$3:$V$206,"",)</f>
        <v>0</v>
      </c>
      <c r="N101" s="2878">
        <f>_xlfn.XLOOKUP($E101,[51]宿泊施設DB!$B$3:$B$206,[51]宿泊施設DB!$W$3:$W$206,"",)</f>
        <v>0</v>
      </c>
      <c r="O101" s="2878">
        <f>_xlfn.XLOOKUP($E101,[51]宿泊施設DB!$B$3:$B$206,[51]宿泊施設DB!$X$3:$X$206,"",)</f>
        <v>0</v>
      </c>
      <c r="P101" s="426" t="str">
        <f t="shared" si="2"/>
        <v/>
      </c>
      <c r="Q101" s="426"/>
      <c r="R101" s="420"/>
      <c r="S101" s="477" t="s">
        <v>2486</v>
      </c>
      <c r="T101" s="478" t="str">
        <f>IFERROR(VLOOKUP($S101,'[51]競技情報DB(12,000人ver)'!$A$6:$D$201,2,),"－")</f>
        <v>岐阜市</v>
      </c>
      <c r="U101" s="479">
        <f>_xlfn.XLOOKUP(S101,'[51]競技情報DB(12,000人ver)'!$A$6:$A$99,'[51]競技情報DB(12,000人ver)'!$D$6:$D$99,"",0,)</f>
        <v>116</v>
      </c>
      <c r="V101" s="653"/>
      <c r="W101" s="480">
        <v>1</v>
      </c>
      <c r="X101" s="654">
        <v>1</v>
      </c>
      <c r="Y101" s="442"/>
      <c r="Z101" s="652"/>
      <c r="AA101" s="517"/>
      <c r="AB101" s="2952"/>
      <c r="AC101" s="2952"/>
      <c r="AD101" s="2953"/>
      <c r="AE101" s="518"/>
      <c r="AF101" s="445"/>
      <c r="AG101" s="445"/>
      <c r="AH101" s="445"/>
      <c r="AI101" s="445"/>
      <c r="AJ101" s="506"/>
      <c r="AK101" s="506"/>
      <c r="AL101" s="506"/>
      <c r="AM101" s="506"/>
      <c r="AN101" s="506"/>
      <c r="AO101" s="506"/>
      <c r="AP101" s="506"/>
      <c r="AQ101" s="506"/>
      <c r="AR101" s="506"/>
      <c r="AS101" s="506"/>
      <c r="AT101" s="506"/>
      <c r="AU101" s="506"/>
      <c r="AV101" s="506"/>
      <c r="AW101" s="506"/>
      <c r="AX101" s="506"/>
      <c r="AY101" s="506"/>
      <c r="AZ101" s="506"/>
      <c r="BA101" s="506"/>
      <c r="BB101" s="506"/>
      <c r="BC101" s="506"/>
      <c r="BD101" s="506"/>
      <c r="BE101" s="506"/>
      <c r="BF101" s="506"/>
      <c r="BG101" s="506"/>
      <c r="BH101" s="506"/>
      <c r="BI101" s="506"/>
      <c r="BJ101" s="506"/>
      <c r="BK101" s="506"/>
      <c r="BL101" s="445"/>
      <c r="BM101" s="445"/>
      <c r="BN101" s="449"/>
      <c r="BO101" s="290"/>
      <c r="BP101" s="450"/>
      <c r="BQ101" s="451"/>
    </row>
    <row r="102" spans="1:69" ht="46" customHeight="1">
      <c r="A102" s="2862"/>
      <c r="B102" s="2913" t="s">
        <v>2391</v>
      </c>
      <c r="C102" s="296">
        <f>C100+1</f>
        <v>33</v>
      </c>
      <c r="D102" s="297">
        <f>IF(_xlfn.XLOOKUP(E102,[51]宿泊施設DB!$B$3:$B$206,[51]宿泊施設DB!$A$3:$A$206,"",)=0,"",_xlfn.XLOOKUP(E102,[51]宿泊施設DB!$B$3:$B$206,[51]宿泊施設DB!$A$3:$A$206,"",))</f>
        <v>2037</v>
      </c>
      <c r="E102" s="298" t="s">
        <v>2392</v>
      </c>
      <c r="F102" s="2864">
        <f>_xlfn.XLOOKUP($E102,[51]宿泊施設DB!$B$3:$B$206,[51]宿泊施設DB!$D$3:$D$206,"",)</f>
        <v>265</v>
      </c>
      <c r="G102" s="2864">
        <f>_xlfn.XLOOKUP($E102,[51]宿泊施設DB!$B$3:$B$206,[51]宿泊施設DB!$E$3:$E$206,"",)</f>
        <v>297</v>
      </c>
      <c r="H102" s="2865">
        <f>_xlfn.XLOOKUP($E102,[51]宿泊施設DB!$B$3:$B$206,[51]宿泊施設DB!$J$3:$J$206,"",)</f>
        <v>8</v>
      </c>
      <c r="I102" s="2866" t="str">
        <f>_xlfn.XLOOKUP($E102,[51]宿泊施設DB!$B$3:$B$206,[51]宿泊施設DB!$T$3:$T$206,"",)</f>
        <v>中</v>
      </c>
      <c r="J102" s="2866" t="str">
        <f>_xlfn.XLOOKUP($E102,[51]宿泊施設DB!$B$3:$B$206,[51]宿泊施設DB!$R$3:$R$206,"",)</f>
        <v>宿泊施設</v>
      </c>
      <c r="K102" s="2865">
        <f>_xlfn.XLOOKUP($E102,[51]宿泊施設DB!$B$3:$B$206,[51]宿泊施設DB!$S$3:$S$206,"",)</f>
        <v>172</v>
      </c>
      <c r="L102" s="2866" t="str">
        <f>_xlfn.XLOOKUP($E102,[51]宿泊施設DB!$B$3:$B$206,[51]宿泊施設DB!$U$3:$U$206,"",)</f>
        <v>－</v>
      </c>
      <c r="M102" s="2866" t="str">
        <f>_xlfn.XLOOKUP($E102,[51]宿泊施設DB!$B$3:$B$206,[51]宿泊施設DB!$V$3:$V$206,"",)</f>
        <v>－</v>
      </c>
      <c r="N102" s="2866" t="str">
        <f>_xlfn.XLOOKUP($E102,[51]宿泊施設DB!$B$3:$B$206,[51]宿泊施設DB!$W$3:$W$206,"",)</f>
        <v>－</v>
      </c>
      <c r="O102" s="2866" t="str">
        <f>_xlfn.XLOOKUP($E102,[51]宿泊施設DB!$B$3:$B$206,[51]宿泊施設DB!$X$3:$X$206,"",)</f>
        <v>玄関前（屋根付）2台</v>
      </c>
      <c r="P102" s="302" t="str">
        <f t="shared" si="2"/>
        <v>○</v>
      </c>
      <c r="Q102" s="302"/>
      <c r="R102" s="296" t="s">
        <v>2136</v>
      </c>
      <c r="S102" s="486" t="s">
        <v>2487</v>
      </c>
      <c r="T102" s="487" t="str">
        <f>IFERROR(VLOOKUP($S102,'[51]競技情報DB(12,000人ver)'!$A$6:$D$201,2,),"－")</f>
        <v>海津市</v>
      </c>
      <c r="U102" s="488">
        <f>_xlfn.XLOOKUP(S102,'[51]競技情報DB(12,000人ver)'!$A$6:$A$99,'[51]競技情報DB(12,000人ver)'!$D$6:$D$99,"",0,)</f>
        <v>291</v>
      </c>
      <c r="V102" s="315">
        <f>SUM(U102:U103)</f>
        <v>291</v>
      </c>
      <c r="W102" s="489">
        <v>18</v>
      </c>
      <c r="X102" s="490">
        <v>20</v>
      </c>
      <c r="Y102" s="318">
        <f>$G102-MAX(AF102:BN102)</f>
        <v>6</v>
      </c>
      <c r="Z102" s="311">
        <f>+Y102/$G102</f>
        <v>2.0202020202020204E-2</v>
      </c>
      <c r="AA102" s="491" t="str">
        <f>E102&amp;"　"&amp;"合計"</f>
        <v>ホテルコーヨー　合計</v>
      </c>
      <c r="AB102" s="2950">
        <v>45549</v>
      </c>
      <c r="AC102" s="2950">
        <v>45562</v>
      </c>
      <c r="AD102" s="2943">
        <v>13</v>
      </c>
      <c r="AE102" s="492" t="s">
        <v>2175</v>
      </c>
      <c r="AF102" s="398">
        <f>+_xlfn.XLOOKUP($AA102,'[51]②配宿シュミレーション(12,000人ver)'!$AO$6:$AO$674,'[51]②配宿シュミレーション(12,000人ver)'!AP$6:AP$674,)</f>
        <v>0</v>
      </c>
      <c r="AG102" s="398">
        <f>+_xlfn.XLOOKUP($AA102,'[51]②配宿シュミレーション(12,000人ver)'!$AO$6:$AO$674,'[51]②配宿シュミレーション(12,000人ver)'!AQ$6:AQ$674,)</f>
        <v>0</v>
      </c>
      <c r="AH102" s="398">
        <f>+_xlfn.XLOOKUP($AA102,'[51]②配宿シュミレーション(12,000人ver)'!$AO$6:$AO$674,'[51]②配宿シュミレーション(12,000人ver)'!AR$6:AR$674,)</f>
        <v>0</v>
      </c>
      <c r="AI102" s="398">
        <f>+_xlfn.XLOOKUP($AA102,'[51]②配宿シュミレーション(12,000人ver)'!$AO$6:$AO$674,'[51]②配宿シュミレーション(12,000人ver)'!AS$6:AS$674,)</f>
        <v>0</v>
      </c>
      <c r="AJ102" s="398">
        <f>+_xlfn.XLOOKUP($AA102,'[51]②配宿シュミレーション(12,000人ver)'!$AO$6:$AO$674,'[51]②配宿シュミレーション(12,000人ver)'!AT$6:AT$674,)</f>
        <v>0</v>
      </c>
      <c r="AK102" s="398">
        <f>+_xlfn.XLOOKUP($AA102,'[51]②配宿シュミレーション(12,000人ver)'!$AO$6:$AO$674,'[51]②配宿シュミレーション(12,000人ver)'!AU$6:AU$674,)</f>
        <v>0</v>
      </c>
      <c r="AL102" s="398">
        <f>+_xlfn.XLOOKUP($AA102,'[51]②配宿シュミレーション(12,000人ver)'!$AO$6:$AO$674,'[51]②配宿シュミレーション(12,000人ver)'!AV$6:AV$674,)</f>
        <v>0</v>
      </c>
      <c r="AM102" s="398">
        <f>+_xlfn.XLOOKUP($AA102,'[51]②配宿シュミレーション(12,000人ver)'!$AO$6:$AO$674,'[51]②配宿シュミレーション(12,000人ver)'!AW$6:AW$674,)</f>
        <v>0</v>
      </c>
      <c r="AN102" s="398">
        <f>+_xlfn.XLOOKUP($AA102,'[51]②配宿シュミレーション(12,000人ver)'!$AO$6:$AO$674,'[51]②配宿シュミレーション(12,000人ver)'!AX$6:AX$674,)</f>
        <v>0</v>
      </c>
      <c r="AO102" s="398">
        <f>+_xlfn.XLOOKUP($AA102,'[51]②配宿シュミレーション(12,000人ver)'!$AO$6:$AO$674,'[51]②配宿シュミレーション(12,000人ver)'!AY$6:AY$674,)</f>
        <v>0</v>
      </c>
      <c r="AP102" s="2880" t="s">
        <v>2447</v>
      </c>
      <c r="AQ102" s="2880" t="s">
        <v>2447</v>
      </c>
      <c r="AR102" s="398">
        <f>+_xlfn.XLOOKUP($AA102,'[51]②配宿シュミレーション(12,000人ver)'!$AO$6:$AO$674,'[51]②配宿シュミレーション(12,000人ver)'!BB$6:BB$674,)</f>
        <v>291</v>
      </c>
      <c r="AS102" s="398">
        <f>+_xlfn.XLOOKUP($AA102,'[51]②配宿シュミレーション(12,000人ver)'!$AO$6:$AO$674,'[51]②配宿シュミレーション(12,000人ver)'!BC$6:BC$674,)</f>
        <v>291</v>
      </c>
      <c r="AT102" s="398">
        <f>+_xlfn.XLOOKUP($AA102,'[51]②配宿シュミレーション(12,000人ver)'!$AO$6:$AO$674,'[51]②配宿シュミレーション(12,000人ver)'!BD$6:BD$674,)</f>
        <v>291</v>
      </c>
      <c r="AU102" s="398">
        <f>+_xlfn.XLOOKUP($AA102,'[51]②配宿シュミレーション(12,000人ver)'!$AO$6:$AO$674,'[51]②配宿シュミレーション(12,000人ver)'!BE$6:BE$674,)</f>
        <v>291</v>
      </c>
      <c r="AV102" s="398">
        <f>+_xlfn.XLOOKUP($AA102,'[51]②配宿シュミレーション(12,000人ver)'!$AO$6:$AO$674,'[51]②配宿シュミレーション(12,000人ver)'!BF$6:BF$674,)</f>
        <v>291</v>
      </c>
      <c r="AW102" s="398">
        <f>+_xlfn.XLOOKUP($AA102,'[51]②配宿シュミレーション(12,000人ver)'!$AO$6:$AO$674,'[51]②配宿シュミレーション(12,000人ver)'!BG$6:BG$674,)</f>
        <v>291</v>
      </c>
      <c r="AX102" s="398">
        <f>+_xlfn.XLOOKUP($AA102,'[51]②配宿シュミレーション(12,000人ver)'!$AO$6:$AO$674,'[51]②配宿シュミレーション(12,000人ver)'!BH$6:BH$674,)</f>
        <v>291</v>
      </c>
      <c r="AY102" s="398">
        <f>+_xlfn.XLOOKUP($AA102,'[51]②配宿シュミレーション(12,000人ver)'!$AO$6:$AO$674,'[51]②配宿シュミレーション(12,000人ver)'!BI$6:BI$674,)</f>
        <v>291</v>
      </c>
      <c r="AZ102" s="398">
        <f>+_xlfn.XLOOKUP($AA102,'[51]②配宿シュミレーション(12,000人ver)'!$AO$6:$AO$674,'[51]②配宿シュミレーション(12,000人ver)'!BJ$6:BJ$674,)</f>
        <v>291</v>
      </c>
      <c r="BA102" s="398">
        <f>+_xlfn.XLOOKUP($AA102,'[51]②配宿シュミレーション(12,000人ver)'!$AO$6:$AO$674,'[51]②配宿シュミレーション(12,000人ver)'!BK$6:BK$674,)</f>
        <v>291</v>
      </c>
      <c r="BB102" s="398">
        <f>+_xlfn.XLOOKUP($AA102,'[51]②配宿シュミレーション(12,000人ver)'!$AO$6:$AO$674,'[51]②配宿シュミレーション(12,000人ver)'!BL$6:BL$674,)</f>
        <v>291</v>
      </c>
      <c r="BC102" s="2942" t="s">
        <v>2448</v>
      </c>
      <c r="BD102" s="398">
        <f>+_xlfn.XLOOKUP($AA102,'[51]②配宿シュミレーション(12,000人ver)'!$AO$6:$AO$674,'[51]②配宿シュミレーション(12,000人ver)'!BN$6:BN$674,)</f>
        <v>0</v>
      </c>
      <c r="BE102" s="398">
        <f>+_xlfn.XLOOKUP($AA102,'[51]②配宿シュミレーション(12,000人ver)'!$AO$6:$AO$674,'[51]②配宿シュミレーション(12,000人ver)'!BO$6:BO$674,)</f>
        <v>0</v>
      </c>
      <c r="BF102" s="398">
        <f>+_xlfn.XLOOKUP($AA102,'[51]②配宿シュミレーション(12,000人ver)'!$AO$6:$AO$674,'[51]②配宿シュミレーション(12,000人ver)'!BP$6:BP$674,)</f>
        <v>0</v>
      </c>
      <c r="BG102" s="398">
        <f>+_xlfn.XLOOKUP($AA102,'[51]②配宿シュミレーション(12,000人ver)'!$AO$6:$AO$674,'[51]②配宿シュミレーション(12,000人ver)'!BQ$6:BQ$674,)</f>
        <v>0</v>
      </c>
      <c r="BH102" s="398">
        <f>+_xlfn.XLOOKUP($AA102,'[51]②配宿シュミレーション(12,000人ver)'!$AO$6:$AO$674,'[51]②配宿シュミレーション(12,000人ver)'!BR$6:BR$674,)</f>
        <v>0</v>
      </c>
      <c r="BI102" s="398">
        <f>+_xlfn.XLOOKUP($AA102,'[51]②配宿シュミレーション(12,000人ver)'!$AO$6:$AO$674,'[51]②配宿シュミレーション(12,000人ver)'!BS$6:BS$674,)</f>
        <v>0</v>
      </c>
      <c r="BJ102" s="398">
        <f>+_xlfn.XLOOKUP($AA102,'[51]②配宿シュミレーション(12,000人ver)'!$AO$6:$AO$674,'[51]②配宿シュミレーション(12,000人ver)'!BT$6:BT$674,)</f>
        <v>0</v>
      </c>
      <c r="BK102" s="397">
        <f>+_xlfn.XLOOKUP($AA102,'[51]②配宿シュミレーション(12,000人ver)'!$AO$6:$AO$674,'[51]②配宿シュミレーション(12,000人ver)'!BU$6:BU$674,)</f>
        <v>0</v>
      </c>
      <c r="BL102" s="398">
        <f>+_xlfn.XLOOKUP($AA102,'[51]②配宿シュミレーション(12,000人ver)'!$AO$6:$AO$674,'[51]②配宿シュミレーション(12,000人ver)'!BV$6:BV$674,)</f>
        <v>0</v>
      </c>
      <c r="BM102" s="398">
        <f>+_xlfn.XLOOKUP($AA102,'[51]②配宿シュミレーション(12,000人ver)'!$AO$6:$AO$674,'[51]②配宿シュミレーション(12,000人ver)'!BW$6:BW$674,)</f>
        <v>0</v>
      </c>
      <c r="BN102" s="472">
        <f>+_xlfn.XLOOKUP($AA102,'[51]②配宿シュミレーション(12,000人ver)'!$AO$6:$AO$674,'[51]②配宿シュミレーション(12,000人ver)'!BX$6:BX$674,)</f>
        <v>0</v>
      </c>
      <c r="BO102" s="290"/>
      <c r="BP102" s="332"/>
      <c r="BQ102" s="333"/>
    </row>
    <row r="103" spans="1:69" s="521" customFormat="1" ht="46" customHeight="1" thickBot="1">
      <c r="A103" s="2862"/>
      <c r="B103" s="2907"/>
      <c r="C103" s="296"/>
      <c r="D103" s="297" t="str">
        <f>IF(_xlfn.XLOOKUP(E103,[51]宿泊施設DB!$B$3:$B$206,[51]宿泊施設DB!$A$3:$A$206,"",)=0,"",_xlfn.XLOOKUP(E103,[51]宿泊施設DB!$B$3:$B$206,[51]宿泊施設DB!$A$3:$A$206,"",))</f>
        <v/>
      </c>
      <c r="E103" s="298"/>
      <c r="F103" s="2864">
        <f>_xlfn.XLOOKUP($E103,[51]宿泊施設DB!$B$3:$B$206,[51]宿泊施設DB!$D$3:$D$206,"",)</f>
        <v>0</v>
      </c>
      <c r="G103" s="2864">
        <f>_xlfn.XLOOKUP($E103,[51]宿泊施設DB!$B$3:$B$206,[51]宿泊施設DB!$E$3:$E$206,"",)</f>
        <v>0</v>
      </c>
      <c r="H103" s="2865">
        <f>_xlfn.XLOOKUP($E103,[51]宿泊施設DB!$B$3:$B$206,[51]宿泊施設DB!$J$3:$J$206,"",)</f>
        <v>0</v>
      </c>
      <c r="I103" s="2866">
        <f>_xlfn.XLOOKUP($E103,[51]宿泊施設DB!$B$3:$B$206,[51]宿泊施設DB!$T$3:$T$206,"",)</f>
        <v>0</v>
      </c>
      <c r="J103" s="2866">
        <f>_xlfn.XLOOKUP($E103,[51]宿泊施設DB!$B$3:$B$206,[51]宿泊施設DB!$R$3:$R$206,"",)</f>
        <v>0</v>
      </c>
      <c r="K103" s="2865">
        <f>_xlfn.XLOOKUP($E103,[51]宿泊施設DB!$B$3:$B$206,[51]宿泊施設DB!$S$3:$S$206,"",)</f>
        <v>0</v>
      </c>
      <c r="L103" s="2866">
        <f>_xlfn.XLOOKUP($E103,[51]宿泊施設DB!$B$3:$B$206,[51]宿泊施設DB!$U$3:$U$206,"",)</f>
        <v>0</v>
      </c>
      <c r="M103" s="2866">
        <f>_xlfn.XLOOKUP($E103,[51]宿泊施設DB!$B$3:$B$206,[51]宿泊施設DB!$V$3:$V$206,"",)</f>
        <v>0</v>
      </c>
      <c r="N103" s="2866">
        <f>_xlfn.XLOOKUP($E103,[51]宿泊施設DB!$B$3:$B$206,[51]宿泊施設DB!$W$3:$W$206,"",)</f>
        <v>0</v>
      </c>
      <c r="O103" s="2866">
        <f>_xlfn.XLOOKUP($E103,[51]宿泊施設DB!$B$3:$B$206,[51]宿泊施設DB!$X$3:$X$206,"",)</f>
        <v>0</v>
      </c>
      <c r="P103" s="302" t="str">
        <f t="shared" si="2"/>
        <v/>
      </c>
      <c r="Q103" s="302"/>
      <c r="R103" s="296"/>
      <c r="S103" s="477"/>
      <c r="T103" s="478" t="str">
        <f>IFERROR(VLOOKUP($S103,'[51]競技情報DB(12,000人ver)'!$A$6:$D$201,2,),"－")</f>
        <v>－</v>
      </c>
      <c r="U103" s="479">
        <f>_xlfn.XLOOKUP(S103,'[51]競技情報DB(12,000人ver)'!$A$6:$A$99,'[51]競技情報DB(12,000人ver)'!$D$6:$D$99,"",0,)</f>
        <v>0</v>
      </c>
      <c r="V103" s="439"/>
      <c r="W103" s="480"/>
      <c r="X103" s="481"/>
      <c r="Y103" s="442"/>
      <c r="Z103" s="311"/>
      <c r="AA103" s="319"/>
      <c r="AB103" s="2944"/>
      <c r="AC103" s="2944"/>
      <c r="AD103" s="2945"/>
      <c r="AE103" s="320"/>
      <c r="AF103" s="445"/>
      <c r="AG103" s="445"/>
      <c r="AH103" s="445"/>
      <c r="AI103" s="445"/>
      <c r="AJ103" s="445"/>
      <c r="AK103" s="445"/>
      <c r="AL103" s="445"/>
      <c r="AM103" s="445"/>
      <c r="AN103" s="445"/>
      <c r="AO103" s="445"/>
      <c r="AP103" s="445"/>
      <c r="AQ103" s="445"/>
      <c r="AR103" s="445"/>
      <c r="AS103" s="445"/>
      <c r="AT103" s="445"/>
      <c r="AU103" s="445"/>
      <c r="AV103" s="445"/>
      <c r="AW103" s="445"/>
      <c r="AX103" s="445"/>
      <c r="AY103" s="445"/>
      <c r="AZ103" s="445"/>
      <c r="BA103" s="445"/>
      <c r="BB103" s="445"/>
      <c r="BC103" s="445"/>
      <c r="BD103" s="445"/>
      <c r="BE103" s="445"/>
      <c r="BF103" s="445"/>
      <c r="BG103" s="445"/>
      <c r="BH103" s="445"/>
      <c r="BI103" s="445"/>
      <c r="BJ103" s="445"/>
      <c r="BK103" s="445"/>
      <c r="BL103" s="445"/>
      <c r="BM103" s="445"/>
      <c r="BN103" s="449"/>
      <c r="BO103" s="290"/>
      <c r="BP103" s="332"/>
      <c r="BQ103" s="333"/>
    </row>
    <row r="104" spans="1:69" ht="46" customHeight="1">
      <c r="A104" s="2862"/>
      <c r="B104" s="2913" t="s">
        <v>2396</v>
      </c>
      <c r="C104" s="372">
        <f>C102+1</f>
        <v>34</v>
      </c>
      <c r="D104" s="2871">
        <f>IF(_xlfn.XLOOKUP(E104,[51]宿泊施設DB!$B$3:$B$206,[51]宿泊施設DB!$A$3:$A$206,"",)=0,"",_xlfn.XLOOKUP(E104,[51]宿泊施設DB!$B$3:$B$206,[51]宿泊施設DB!$A$3:$A$206,"",))</f>
        <v>2022</v>
      </c>
      <c r="E104" s="572" t="s">
        <v>2397</v>
      </c>
      <c r="F104" s="2872">
        <f>_xlfn.XLOOKUP($E104,[51]宿泊施設DB!$B$3:$B$206,[51]宿泊施設DB!$D$3:$D$206,"",)</f>
        <v>212</v>
      </c>
      <c r="G104" s="2872">
        <f>_xlfn.XLOOKUP($E104,[51]宿泊施設DB!$B$3:$B$206,[51]宿泊施設DB!$E$3:$E$206,"",)</f>
        <v>522</v>
      </c>
      <c r="H104" s="2873">
        <f>_xlfn.XLOOKUP($E104,[51]宿泊施設DB!$B$3:$B$206,[51]宿泊施設DB!$J$3:$J$206,"",)</f>
        <v>12</v>
      </c>
      <c r="I104" s="2874" t="str">
        <f>_xlfn.XLOOKUP($E104,[51]宿泊施設DB!$B$3:$B$206,[51]宿泊施設DB!$T$3:$T$206,"",)</f>
        <v>中</v>
      </c>
      <c r="J104" s="2874" t="str">
        <f>_xlfn.XLOOKUP($E104,[51]宿泊施設DB!$B$3:$B$206,[51]宿泊施設DB!$R$3:$R$206,"",)</f>
        <v>宿泊施設</v>
      </c>
      <c r="K104" s="2873">
        <f>_xlfn.XLOOKUP($E104,[51]宿泊施設DB!$B$3:$B$206,[51]宿泊施設DB!$S$3:$S$206,"",)</f>
        <v>122</v>
      </c>
      <c r="L104" s="2874" t="str">
        <f>_xlfn.XLOOKUP($E104,[51]宿泊施設DB!$B$3:$B$206,[51]宿泊施設DB!$U$3:$U$206,"",)</f>
        <v>－</v>
      </c>
      <c r="M104" s="2874" t="str">
        <f>_xlfn.XLOOKUP($E104,[51]宿泊施設DB!$B$3:$B$206,[51]宿泊施設DB!$V$3:$V$206,"",)</f>
        <v>○</v>
      </c>
      <c r="N104" s="2874" t="str">
        <f>_xlfn.XLOOKUP($E104,[51]宿泊施設DB!$B$3:$B$206,[51]宿泊施設DB!$W$3:$W$206,"",)</f>
        <v>○</v>
      </c>
      <c r="O104" s="2874" t="str">
        <f>_xlfn.XLOOKUP($E104,[51]宿泊施設DB!$B$3:$B$206,[51]宿泊施設DB!$X$3:$X$206,"",)</f>
        <v>専用乗降場所（屋根無）3台</v>
      </c>
      <c r="P104" s="377" t="str">
        <f>IF(AND(E104&lt;&gt;"", S104&lt;&gt;"－"), "○", "")</f>
        <v>○</v>
      </c>
      <c r="Q104" s="377"/>
      <c r="R104" s="372" t="s">
        <v>2169</v>
      </c>
      <c r="S104" s="512" t="s">
        <v>2398</v>
      </c>
      <c r="T104" s="388" t="str">
        <f>IFERROR(VLOOKUP($S104,'[51]競技情報DB(12,000人ver)'!$A$6:$D$201,2,),"－")</f>
        <v>伊豆市</v>
      </c>
      <c r="U104" s="389">
        <f>_xlfn.XLOOKUP(S104,'[51]競技情報DB(12,000人ver)'!$A$6:$A$99,'[51]競技情報DB(12,000人ver)'!$D$6:$D$99,"",0,)</f>
        <v>152</v>
      </c>
      <c r="V104" s="725">
        <f>SUM(U104:U104)</f>
        <v>152</v>
      </c>
      <c r="W104" s="513">
        <v>18.399999999999999</v>
      </c>
      <c r="X104" s="665">
        <v>28</v>
      </c>
      <c r="Y104" s="318">
        <f>$G104-MAX(AF104:BN104)</f>
        <v>370</v>
      </c>
      <c r="Z104" s="647">
        <f>+Y104/$G104</f>
        <v>0.70881226053639845</v>
      </c>
      <c r="AA104" s="515" t="str">
        <f>E104&amp;"　"&amp;"合計"</f>
        <v>ホテルラフォーレ修善寺　合計</v>
      </c>
      <c r="AB104" s="2951">
        <v>45559</v>
      </c>
      <c r="AC104" s="2951">
        <v>45569</v>
      </c>
      <c r="AD104" s="2943">
        <v>10</v>
      </c>
      <c r="AE104" s="396" t="s">
        <v>2175</v>
      </c>
      <c r="AF104" s="398">
        <f>+_xlfn.XLOOKUP($AA104,'[51]②配宿シュミレーション(12,000人ver)'!$AO$6:$AO$674,'[51]②配宿シュミレーション(12,000人ver)'!AP$6:AP$674,)</f>
        <v>0</v>
      </c>
      <c r="AG104" s="398">
        <f>+_xlfn.XLOOKUP($AA104,'[51]②配宿シュミレーション(12,000人ver)'!$AO$6:$AO$674,'[51]②配宿シュミレーション(12,000人ver)'!AQ$6:AQ$674,)</f>
        <v>0</v>
      </c>
      <c r="AH104" s="398">
        <f>+_xlfn.XLOOKUP($AA104,'[51]②配宿シュミレーション(12,000人ver)'!$AO$6:$AO$674,'[51]②配宿シュミレーション(12,000人ver)'!AR$6:AR$674,)</f>
        <v>0</v>
      </c>
      <c r="AI104" s="398">
        <f>+_xlfn.XLOOKUP($AA104,'[51]②配宿シュミレーション(12,000人ver)'!$AO$6:$AO$674,'[51]②配宿シュミレーション(12,000人ver)'!AS$6:AS$674,)</f>
        <v>0</v>
      </c>
      <c r="AJ104" s="398">
        <f>+_xlfn.XLOOKUP($AA104,'[51]②配宿シュミレーション(12,000人ver)'!$AO$6:$AO$674,'[51]②配宿シュミレーション(12,000人ver)'!AT$6:AT$674,)</f>
        <v>0</v>
      </c>
      <c r="AK104" s="2879">
        <f>+_xlfn.XLOOKUP($AA104,'[51]②配宿シュミレーション(12,000人ver)'!$AO$6:$AO$674,'[51]②配宿シュミレーション(12,000人ver)'!AU$6:AU$674,)</f>
        <v>0</v>
      </c>
      <c r="AL104" s="2879">
        <f>+_xlfn.XLOOKUP($AA104,'[51]②配宿シュミレーション(12,000人ver)'!$AO$6:$AO$674,'[51]②配宿シュミレーション(12,000人ver)'!AV$6:AV$674,)</f>
        <v>0</v>
      </c>
      <c r="AM104" s="2879">
        <f>+_xlfn.XLOOKUP($AA104,'[51]②配宿シュミレーション(12,000人ver)'!$AO$6:$AO$674,'[51]②配宿シュミレーション(12,000人ver)'!AW$6:AW$674,)</f>
        <v>0</v>
      </c>
      <c r="AN104" s="2879">
        <f>+_xlfn.XLOOKUP($AA104,'[51]②配宿シュミレーション(12,000人ver)'!$AO$6:$AO$674,'[51]②配宿シュミレーション(12,000人ver)'!AX$6:AX$674,)</f>
        <v>0</v>
      </c>
      <c r="AO104" s="2879">
        <f>+_xlfn.XLOOKUP($AA104,'[51]②配宿シュミレーション(12,000人ver)'!$AO$6:$AO$674,'[51]②配宿シュミレーション(12,000人ver)'!AY$6:AY$674,)</f>
        <v>0</v>
      </c>
      <c r="AP104" s="2879">
        <f>+_xlfn.XLOOKUP($AA104,'[51]②配宿シュミレーション(12,000人ver)'!$AO$6:$AO$674,'[51]②配宿シュミレーション(12,000人ver)'!AZ$6:AZ$674,)</f>
        <v>0</v>
      </c>
      <c r="AQ104" s="2879">
        <f>+_xlfn.XLOOKUP($AA104,'[51]②配宿シュミレーション(12,000人ver)'!$AO$6:$AO$674,'[51]②配宿シュミレーション(12,000人ver)'!BA$6:BA$674,)</f>
        <v>0</v>
      </c>
      <c r="AR104" s="2879">
        <f>+_xlfn.XLOOKUP($AA104,'[51]②配宿シュミレーション(12,000人ver)'!$AO$6:$AO$674,'[51]②配宿シュミレーション(12,000人ver)'!BB$6:BB$674,)</f>
        <v>0</v>
      </c>
      <c r="AS104" s="2879">
        <f>+_xlfn.XLOOKUP($AA104,'[51]②配宿シュミレーション(12,000人ver)'!$AO$6:$AO$674,'[51]②配宿シュミレーション(12,000人ver)'!BC$6:BC$674,)</f>
        <v>0</v>
      </c>
      <c r="AT104" s="2879">
        <f>+_xlfn.XLOOKUP($AA104,'[51]②配宿シュミレーション(12,000人ver)'!$AO$6:$AO$674,'[51]②配宿シュミレーション(12,000人ver)'!BD$6:BD$674,)</f>
        <v>0</v>
      </c>
      <c r="AU104" s="2879">
        <f>+_xlfn.XLOOKUP($AA104,'[51]②配宿シュミレーション(12,000人ver)'!$AO$6:$AO$674,'[51]②配宿シュミレーション(12,000人ver)'!BE$6:BE$674,)</f>
        <v>0</v>
      </c>
      <c r="AV104" s="2879">
        <f>+_xlfn.XLOOKUP($AA104,'[51]②配宿シュミレーション(12,000人ver)'!$AO$6:$AO$674,'[51]②配宿シュミレーション(12,000人ver)'!BF$6:BF$674,)</f>
        <v>0</v>
      </c>
      <c r="AW104" s="2879">
        <f>+_xlfn.XLOOKUP($AA104,'[51]②配宿シュミレーション(12,000人ver)'!$AO$6:$AO$674,'[51]②配宿シュミレーション(12,000人ver)'!BG$6:BG$674,)</f>
        <v>0</v>
      </c>
      <c r="AX104" s="2879">
        <f>+_xlfn.XLOOKUP($AA104,'[51]②配宿シュミレーション(12,000人ver)'!$AO$6:$AO$674,'[51]②配宿シュミレーション(12,000人ver)'!BH$6:BH$674,)</f>
        <v>0</v>
      </c>
      <c r="AY104" s="2879">
        <f>+_xlfn.XLOOKUP($AA104,'[51]②配宿シュミレーション(12,000人ver)'!$AO$6:$AO$674,'[51]②配宿シュミレーション(12,000人ver)'!BI$6:BI$674,)</f>
        <v>0</v>
      </c>
      <c r="AZ104" s="2860" t="s">
        <v>2447</v>
      </c>
      <c r="BA104" s="2860" t="s">
        <v>2447</v>
      </c>
      <c r="BB104" s="2879">
        <f>+_xlfn.XLOOKUP($AA104,'[51]②配宿シュミレーション(12,000人ver)'!$AO$6:$AO$674,'[51]②配宿シュミレーション(12,000人ver)'!BL$6:BL$674,)</f>
        <v>152</v>
      </c>
      <c r="BC104" s="2879">
        <f>+_xlfn.XLOOKUP($AA104,'[51]②配宿シュミレーション(12,000人ver)'!$AO$6:$AO$674,'[51]②配宿シュミレーション(12,000人ver)'!BM$6:BM$674,)</f>
        <v>152</v>
      </c>
      <c r="BD104" s="2879">
        <f>+_xlfn.XLOOKUP($AA104,'[51]②配宿シュミレーション(12,000人ver)'!$AO$6:$AO$674,'[51]②配宿シュミレーション(12,000人ver)'!BN$6:BN$674,)</f>
        <v>152</v>
      </c>
      <c r="BE104" s="2879">
        <f>+_xlfn.XLOOKUP($AA104,'[51]②配宿シュミレーション(12,000人ver)'!$AO$6:$AO$674,'[51]②配宿シュミレーション(12,000人ver)'!BO$6:BO$674,)</f>
        <v>152</v>
      </c>
      <c r="BF104" s="2879">
        <f>+_xlfn.XLOOKUP($AA104,'[51]②配宿シュミレーション(12,000人ver)'!$AO$6:$AO$674,'[51]②配宿シュミレーション(12,000人ver)'!BP$6:BP$674,)</f>
        <v>152</v>
      </c>
      <c r="BG104" s="2879">
        <f>+_xlfn.XLOOKUP($AA104,'[51]②配宿シュミレーション(12,000人ver)'!$AO$6:$AO$674,'[51]②配宿シュミレーション(12,000人ver)'!BQ$6:BQ$674,)</f>
        <v>152</v>
      </c>
      <c r="BH104" s="2879">
        <f>+_xlfn.XLOOKUP($AA104,'[51]②配宿シュミレーション(12,000人ver)'!$AO$6:$AO$674,'[51]②配宿シュミレーション(12,000人ver)'!BR$6:BR$674,)</f>
        <v>152</v>
      </c>
      <c r="BI104" s="2879">
        <f>+_xlfn.XLOOKUP($AA104,'[51]②配宿シュミレーション(12,000人ver)'!$AO$6:$AO$674,'[51]②配宿シュミレーション(12,000人ver)'!BS$6:BS$674,)</f>
        <v>152</v>
      </c>
      <c r="BJ104" s="2861" t="s">
        <v>2448</v>
      </c>
      <c r="BK104" s="2879">
        <f>+_xlfn.XLOOKUP($AA104,'[51]②配宿シュミレーション(12,000人ver)'!$AO$6:$AO$674,'[51]②配宿シュミレーション(12,000人ver)'!BU$6:BU$674,)</f>
        <v>0</v>
      </c>
      <c r="BL104" s="398">
        <f>+_xlfn.XLOOKUP($AA104,'[51]②配宿シュミレーション(12,000人ver)'!$AO$6:$AO$674,'[51]②配宿シュミレーション(12,000人ver)'!BV$6:BV$674,)</f>
        <v>0</v>
      </c>
      <c r="BM104" s="398">
        <f>+_xlfn.XLOOKUP($AA104,'[51]②配宿シュミレーション(12,000人ver)'!$AO$6:$AO$674,'[51]②配宿シュミレーション(12,000人ver)'!BW$6:BW$674,)</f>
        <v>0</v>
      </c>
      <c r="BN104" s="472">
        <f>+_xlfn.XLOOKUP($AA104,'[51]②配宿シュミレーション(12,000人ver)'!$AO$6:$AO$674,'[51]②配宿シュミレーション(12,000人ver)'!BX$6:BX$674,)</f>
        <v>0</v>
      </c>
      <c r="BO104" s="573"/>
      <c r="BP104" s="574"/>
      <c r="BQ104" s="575"/>
    </row>
    <row r="105" spans="1:69" s="521" customFormat="1" ht="46" customHeight="1" thickBot="1">
      <c r="A105" s="2862"/>
      <c r="B105" s="2907"/>
      <c r="C105" s="420"/>
      <c r="D105" s="421" t="str">
        <f>IF(_xlfn.XLOOKUP(E105,[51]宿泊施設DB!$B$3:$B$206,[51]宿泊施設DB!$A$3:$A$206,"",)=0,"",_xlfn.XLOOKUP(E105,[51]宿泊施設DB!$B$3:$B$206,[51]宿泊施設DB!$A$3:$A$206,"",))</f>
        <v/>
      </c>
      <c r="E105" s="612" t="s">
        <v>2488</v>
      </c>
      <c r="F105" s="2875"/>
      <c r="G105" s="2875"/>
      <c r="H105" s="2877"/>
      <c r="I105" s="2878"/>
      <c r="J105" s="2878"/>
      <c r="K105" s="2877"/>
      <c r="L105" s="2916"/>
      <c r="M105" s="2878"/>
      <c r="N105" s="2878"/>
      <c r="O105" s="2878"/>
      <c r="P105" s="426"/>
      <c r="Q105" s="426"/>
      <c r="R105" s="420"/>
      <c r="S105" s="626"/>
      <c r="T105" s="478" t="str">
        <f>IFERROR(VLOOKUP($S105,'[51]競技情報DB(12,000人ver)'!$A$6:$D$201,2,),"－")</f>
        <v>－</v>
      </c>
      <c r="U105" s="479">
        <f>_xlfn.XLOOKUP(S105,'[51]競技情報DB(12,000人ver)'!$A$6:$A$99,'[51]競技情報DB(12,000人ver)'!$D$6:$D$99,"",0,)</f>
        <v>0</v>
      </c>
      <c r="V105" s="653"/>
      <c r="W105" s="480"/>
      <c r="X105" s="481"/>
      <c r="Y105" s="442"/>
      <c r="Z105" s="652"/>
      <c r="AA105" s="517"/>
      <c r="AB105" s="2952"/>
      <c r="AC105" s="2952"/>
      <c r="AD105" s="2953"/>
      <c r="AE105" s="518"/>
      <c r="AF105" s="445"/>
      <c r="AG105" s="445"/>
      <c r="AH105" s="445"/>
      <c r="AI105" s="445"/>
      <c r="AJ105" s="445"/>
      <c r="AK105" s="506"/>
      <c r="AL105" s="506"/>
      <c r="AM105" s="506"/>
      <c r="AN105" s="506"/>
      <c r="AO105" s="506"/>
      <c r="AP105" s="506"/>
      <c r="AQ105" s="506"/>
      <c r="AR105" s="506"/>
      <c r="AS105" s="506"/>
      <c r="AT105" s="506"/>
      <c r="AU105" s="506"/>
      <c r="AV105" s="506"/>
      <c r="AW105" s="506"/>
      <c r="AX105" s="506"/>
      <c r="AY105" s="506"/>
      <c r="AZ105" s="506"/>
      <c r="BA105" s="506"/>
      <c r="BB105" s="506"/>
      <c r="BC105" s="506"/>
      <c r="BD105" s="506"/>
      <c r="BE105" s="506"/>
      <c r="BF105" s="506"/>
      <c r="BG105" s="506"/>
      <c r="BH105" s="506"/>
      <c r="BI105" s="506"/>
      <c r="BJ105" s="506"/>
      <c r="BK105" s="506"/>
      <c r="BL105" s="445"/>
      <c r="BM105" s="445"/>
      <c r="BN105" s="449"/>
      <c r="BO105" s="573"/>
      <c r="BP105" s="614"/>
      <c r="BQ105" s="615"/>
    </row>
    <row r="106" spans="1:69" ht="46" customHeight="1">
      <c r="A106" s="2862"/>
      <c r="B106" s="2863" t="s">
        <v>2402</v>
      </c>
      <c r="C106" s="372">
        <f>C104+1</f>
        <v>35</v>
      </c>
      <c r="D106" s="2871">
        <f>IF(_xlfn.XLOOKUP(E106,[51]宿泊施設DB!$B$3:$B$206,[51]宿泊施設DB!$A$3:$A$206,"",)=0,"",_xlfn.XLOOKUP(E106,[51]宿泊施設DB!$B$3:$B$206,[51]宿泊施設DB!$A$3:$A$206,"",))</f>
        <v>2016</v>
      </c>
      <c r="E106" s="373" t="s">
        <v>2403</v>
      </c>
      <c r="F106" s="2872">
        <f>_xlfn.XLOOKUP($E106,[51]宿泊施設DB!$B$3:$B$206,[51]宿泊施設DB!$D$3:$D$206,"",)</f>
        <v>232</v>
      </c>
      <c r="G106" s="2872">
        <f>_xlfn.XLOOKUP($E106,[51]宿泊施設DB!$B$3:$B$206,[51]宿泊施設DB!$E$3:$E$206,"",)</f>
        <v>718</v>
      </c>
      <c r="H106" s="2873">
        <f>_xlfn.XLOOKUP($E106,[51]宿泊施設DB!$B$3:$B$206,[51]宿泊施設DB!$J$3:$J$206,"",)</f>
        <v>40</v>
      </c>
      <c r="I106" s="2874" t="str">
        <f>_xlfn.XLOOKUP($E106,[51]宿泊施設DB!$B$3:$B$206,[51]宿泊施設DB!$T$3:$T$206,"",)</f>
        <v>中</v>
      </c>
      <c r="J106" s="2874" t="str">
        <f>_xlfn.XLOOKUP($E106,[51]宿泊施設DB!$B$3:$B$206,[51]宿泊施設DB!$R$3:$R$206,"",)</f>
        <v>宿泊施設</v>
      </c>
      <c r="K106" s="2873">
        <f>_xlfn.XLOOKUP($E106,[51]宿泊施設DB!$B$3:$B$206,[51]宿泊施設DB!$S$3:$S$206,"",)</f>
        <v>100</v>
      </c>
      <c r="L106" s="2874" t="str">
        <f>_xlfn.XLOOKUP($E106,[51]宿泊施設DB!$B$3:$B$206,[51]宿泊施設DB!$U$3:$U$206,"",)</f>
        <v>－</v>
      </c>
      <c r="M106" s="2874" t="str">
        <f>_xlfn.XLOOKUP($E106,[51]宿泊施設DB!$B$3:$B$206,[51]宿泊施設DB!$V$3:$V$206,"",)</f>
        <v>○</v>
      </c>
      <c r="N106" s="2874" t="str">
        <f>_xlfn.XLOOKUP($E106,[51]宿泊施設DB!$B$3:$B$206,[51]宿泊施設DB!$W$3:$W$206,"",)</f>
        <v>○</v>
      </c>
      <c r="O106" s="2874" t="str">
        <f>_xlfn.XLOOKUP($E106,[51]宿泊施設DB!$B$3:$B$206,[51]宿泊施設DB!$X$3:$X$206,"",)</f>
        <v>玄関前（屋根付）3台</v>
      </c>
      <c r="P106" s="377" t="str">
        <f t="shared" ref="P106:P114" si="3">IF(AND(E106&lt;&gt;"", S106&lt;&gt;"－"), "○", "")</f>
        <v>○</v>
      </c>
      <c r="Q106" s="377"/>
      <c r="R106" s="372" t="s">
        <v>2169</v>
      </c>
      <c r="S106" s="512" t="s">
        <v>2489</v>
      </c>
      <c r="T106" s="388" t="str">
        <f>IFERROR(VLOOKUP($S106,'[51]競技情報DB(12,000人ver)'!$A$6:$D$201,2,),"－")</f>
        <v>袋井市</v>
      </c>
      <c r="U106" s="389">
        <f>_xlfn.XLOOKUP(S106,'[51]競技情報DB(12,000人ver)'!$A$6:$A$99,'[51]競技情報DB(12,000人ver)'!$D$6:$D$99,"",0,)</f>
        <v>116</v>
      </c>
      <c r="V106" s="648">
        <f>SUM(U106:U107)</f>
        <v>116</v>
      </c>
      <c r="W106" s="513">
        <v>10.6</v>
      </c>
      <c r="X106" s="665">
        <v>16</v>
      </c>
      <c r="Y106" s="318">
        <f>$G106-MAX(AF106:BN106)</f>
        <v>544</v>
      </c>
      <c r="Z106" s="394">
        <f>+Y106/$G106</f>
        <v>0.75766016713091922</v>
      </c>
      <c r="AA106" s="515" t="str">
        <f>E106&amp;"　"&amp;"合計"</f>
        <v>つま恋リゾート　彩の郷　合計</v>
      </c>
      <c r="AB106" s="2951">
        <v>45544</v>
      </c>
      <c r="AC106" s="2951">
        <v>45569</v>
      </c>
      <c r="AD106" s="2943">
        <v>25</v>
      </c>
      <c r="AE106" s="396" t="s">
        <v>2175</v>
      </c>
      <c r="AF106" s="398">
        <f>+_xlfn.XLOOKUP($AA106,'[51]②配宿シュミレーション(12,000人ver)'!$AO$6:$AO$674,'[51]②配宿シュミレーション(12,000人ver)'!AP$6:AP$674,)</f>
        <v>0</v>
      </c>
      <c r="AG106" s="398">
        <f>+_xlfn.XLOOKUP($AA106,'[51]②配宿シュミレーション(12,000人ver)'!$AO$6:$AO$674,'[51]②配宿シュミレーション(12,000人ver)'!AQ$6:AQ$674,)</f>
        <v>0</v>
      </c>
      <c r="AH106" s="398">
        <f>+_xlfn.XLOOKUP($AA106,'[51]②配宿シュミレーション(12,000人ver)'!$AO$6:$AO$674,'[51]②配宿シュミレーション(12,000人ver)'!AR$6:AR$674,)</f>
        <v>0</v>
      </c>
      <c r="AI106" s="398">
        <f>+_xlfn.XLOOKUP($AA106,'[51]②配宿シュミレーション(12,000人ver)'!$AO$6:$AO$674,'[51]②配宿シュミレーション(12,000人ver)'!AS$6:AS$674,)</f>
        <v>0</v>
      </c>
      <c r="AJ106" s="398">
        <f>+_xlfn.XLOOKUP($AA106,'[51]②配宿シュミレーション(12,000人ver)'!$AO$6:$AO$674,'[51]②配宿シュミレーション(12,000人ver)'!AT$6:AT$674,)</f>
        <v>0</v>
      </c>
      <c r="AK106" s="2880" t="s">
        <v>2447</v>
      </c>
      <c r="AL106" s="2880" t="s">
        <v>2447</v>
      </c>
      <c r="AM106" s="398">
        <f>+_xlfn.XLOOKUP($AA106,'[51]②配宿シュミレーション(12,000人ver)'!$AO$6:$AO$674,'[51]②配宿シュミレーション(12,000人ver)'!AW$6:AW$674,)</f>
        <v>116</v>
      </c>
      <c r="AN106" s="398">
        <f>+_xlfn.XLOOKUP($AA106,'[51]②配宿シュミレーション(12,000人ver)'!$AO$6:$AO$674,'[51]②配宿シュミレーション(12,000人ver)'!AX$6:AX$674,)</f>
        <v>116</v>
      </c>
      <c r="AO106" s="398">
        <f>+_xlfn.XLOOKUP($AA106,'[51]②配宿シュミレーション(12,000人ver)'!$AO$6:$AO$674,'[51]②配宿シュミレーション(12,000人ver)'!AY$6:AY$674,)</f>
        <v>116</v>
      </c>
      <c r="AP106" s="398">
        <f>+_xlfn.XLOOKUP($AA106,'[51]②配宿シュミレーション(12,000人ver)'!$AO$6:$AO$674,'[51]②配宿シュミレーション(12,000人ver)'!AZ$6:AZ$674,)</f>
        <v>116</v>
      </c>
      <c r="AQ106" s="398">
        <f>+_xlfn.XLOOKUP($AA106,'[51]②配宿シュミレーション(12,000人ver)'!$AO$6:$AO$674,'[51]②配宿シュミレーション(12,000人ver)'!BA$6:BA$674,)</f>
        <v>116</v>
      </c>
      <c r="AR106" s="398">
        <f>+_xlfn.XLOOKUP($AA106,'[51]②配宿シュミレーション(12,000人ver)'!$AO$6:$AO$674,'[51]②配宿シュミレーション(12,000人ver)'!BB$6:BB$674,)</f>
        <v>116</v>
      </c>
      <c r="AS106" s="398">
        <f>+_xlfn.XLOOKUP($AA106,'[51]②配宿シュミレーション(12,000人ver)'!$AO$6:$AO$674,'[51]②配宿シュミレーション(12,000人ver)'!BC$6:BC$674,)</f>
        <v>116</v>
      </c>
      <c r="AT106" s="398">
        <f>+_xlfn.XLOOKUP($AA106,'[51]②配宿シュミレーション(12,000人ver)'!$AO$6:$AO$674,'[51]②配宿シュミレーション(12,000人ver)'!BD$6:BD$674,)</f>
        <v>116</v>
      </c>
      <c r="AU106" s="398">
        <f>+_xlfn.XLOOKUP($AA106,'[51]②配宿シュミレーション(12,000人ver)'!$AO$6:$AO$674,'[51]②配宿シュミレーション(12,000人ver)'!BE$6:BE$674,)</f>
        <v>116</v>
      </c>
      <c r="AV106" s="398">
        <f>+_xlfn.XLOOKUP($AA106,'[51]②配宿シュミレーション(12,000人ver)'!$AO$6:$AO$674,'[51]②配宿シュミレーション(12,000人ver)'!BF$6:BF$674,)</f>
        <v>116</v>
      </c>
      <c r="AW106" s="398">
        <f>+_xlfn.XLOOKUP($AA106,'[51]②配宿シュミレーション(12,000人ver)'!$AO$6:$AO$674,'[51]②配宿シュミレーション(12,000人ver)'!BG$6:BG$674,)</f>
        <v>116</v>
      </c>
      <c r="AX106" s="398">
        <f>+_xlfn.XLOOKUP($AA106,'[51]②配宿シュミレーション(12,000人ver)'!$AO$6:$AO$674,'[51]②配宿シュミレーション(12,000人ver)'!BH$6:BH$674,)</f>
        <v>174</v>
      </c>
      <c r="AY106" s="398">
        <f>+_xlfn.XLOOKUP($AA106,'[51]②配宿シュミレーション(12,000人ver)'!$AO$6:$AO$674,'[51]②配宿シュミレーション(12,000人ver)'!BI$6:BI$674,)</f>
        <v>116</v>
      </c>
      <c r="AZ106" s="398">
        <f>+_xlfn.XLOOKUP($AA106,'[51]②配宿シュミレーション(12,000人ver)'!$AO$6:$AO$674,'[51]②配宿シュミレーション(12,000人ver)'!BJ$6:BJ$674,)</f>
        <v>116</v>
      </c>
      <c r="BA106" s="398">
        <f>+_xlfn.XLOOKUP($AA106,'[51]②配宿シュミレーション(12,000人ver)'!$AO$6:$AO$674,'[51]②配宿シュミレーション(12,000人ver)'!BK$6:BK$674,)</f>
        <v>116</v>
      </c>
      <c r="BB106" s="398">
        <f>+_xlfn.XLOOKUP($AA106,'[51]②配宿シュミレーション(12,000人ver)'!$AO$6:$AO$674,'[51]②配宿シュミレーション(12,000人ver)'!BL$6:BL$674,)</f>
        <v>116</v>
      </c>
      <c r="BC106" s="398">
        <f>+_xlfn.XLOOKUP($AA106,'[51]②配宿シュミレーション(12,000人ver)'!$AO$6:$AO$674,'[51]②配宿シュミレーション(12,000人ver)'!BM$6:BM$674,)</f>
        <v>116</v>
      </c>
      <c r="BD106" s="398">
        <f>+_xlfn.XLOOKUP($AA106,'[51]②配宿シュミレーション(12,000人ver)'!$AO$6:$AO$674,'[51]②配宿シュミレーション(12,000人ver)'!BN$6:BN$674,)</f>
        <v>116</v>
      </c>
      <c r="BE106" s="398">
        <f>+_xlfn.XLOOKUP($AA106,'[51]②配宿シュミレーション(12,000人ver)'!$AO$6:$AO$674,'[51]②配宿シュミレーション(12,000人ver)'!BO$6:BO$674,)</f>
        <v>116</v>
      </c>
      <c r="BF106" s="398">
        <f>+_xlfn.XLOOKUP($AA106,'[51]②配宿シュミレーション(12,000人ver)'!$AO$6:$AO$674,'[51]②配宿シュミレーション(12,000人ver)'!BP$6:BP$674,)</f>
        <v>116</v>
      </c>
      <c r="BG106" s="398">
        <f>+_xlfn.XLOOKUP($AA106,'[51]②配宿シュミレーション(12,000人ver)'!$AO$6:$AO$674,'[51]②配宿シュミレーション(12,000人ver)'!BQ$6:BQ$674,)</f>
        <v>116</v>
      </c>
      <c r="BH106" s="398">
        <f>+_xlfn.XLOOKUP($AA106,'[51]②配宿シュミレーション(12,000人ver)'!$AO$6:$AO$674,'[51]②配宿シュミレーション(12,000人ver)'!BR$6:BR$674,)</f>
        <v>116</v>
      </c>
      <c r="BI106" s="398">
        <f>+_xlfn.XLOOKUP($AA106,'[51]②配宿シュミレーション(12,000人ver)'!$AO$6:$AO$674,'[51]②配宿シュミレーション(12,000人ver)'!BS$6:BS$674,)</f>
        <v>116</v>
      </c>
      <c r="BJ106" s="2881" t="s">
        <v>2448</v>
      </c>
      <c r="BK106" s="397">
        <f>+_xlfn.XLOOKUP($AA106,'[51]②配宿シュミレーション(12,000人ver)'!$AO$6:$AO$674,'[51]②配宿シュミレーション(12,000人ver)'!BU$6:BU$674,)</f>
        <v>0</v>
      </c>
      <c r="BL106" s="398">
        <f>+_xlfn.XLOOKUP($AA106,'[51]②配宿シュミレーション(12,000人ver)'!$AO$6:$AO$674,'[51]②配宿シュミレーション(12,000人ver)'!BV$6:BV$674,)</f>
        <v>0</v>
      </c>
      <c r="BM106" s="398">
        <f>+_xlfn.XLOOKUP($AA106,'[51]②配宿シュミレーション(12,000人ver)'!$AO$6:$AO$674,'[51]②配宿シュミレーション(12,000人ver)'!BW$6:BW$674,)</f>
        <v>0</v>
      </c>
      <c r="BN106" s="472">
        <f>+_xlfn.XLOOKUP($AA106,'[51]②配宿シュミレーション(12,000人ver)'!$AO$6:$AO$674,'[51]②配宿シュミレーション(12,000人ver)'!BX$6:BX$674,)</f>
        <v>0</v>
      </c>
      <c r="BO106" s="290"/>
      <c r="BP106" s="404"/>
      <c r="BQ106" s="405"/>
    </row>
    <row r="107" spans="1:69" s="521" customFormat="1" ht="46" customHeight="1" thickBot="1">
      <c r="A107" s="2862"/>
      <c r="B107" s="2907"/>
      <c r="C107" s="420"/>
      <c r="D107" s="421" t="str">
        <f>IF(_xlfn.XLOOKUP(E107,[51]宿泊施設DB!$B$3:$B$206,[51]宿泊施設DB!$A$3:$A$206,"",)=0,"",_xlfn.XLOOKUP(E107,[51]宿泊施設DB!$B$3:$B$206,[51]宿泊施設DB!$A$3:$A$206,"",))</f>
        <v/>
      </c>
      <c r="E107" s="422"/>
      <c r="F107" s="2875">
        <f>_xlfn.XLOOKUP($E107,[51]宿泊施設DB!$B$3:$B$206,[51]宿泊施設DB!$D$3:$D$206,"",)</f>
        <v>0</v>
      </c>
      <c r="G107" s="2875">
        <f>_xlfn.XLOOKUP($E107,[51]宿泊施設DB!$B$3:$B$206,[51]宿泊施設DB!$E$3:$E$206,"",)</f>
        <v>0</v>
      </c>
      <c r="H107" s="2877">
        <f>_xlfn.XLOOKUP($E107,[51]宿泊施設DB!$B$3:$B$206,[51]宿泊施設DB!$J$3:$J$206,"",)</f>
        <v>0</v>
      </c>
      <c r="I107" s="2878">
        <f>_xlfn.XLOOKUP($E107,[51]宿泊施設DB!$B$3:$B$206,[51]宿泊施設DB!$T$3:$T$206,"",)</f>
        <v>0</v>
      </c>
      <c r="J107" s="2878">
        <f>_xlfn.XLOOKUP($E107,[51]宿泊施設DB!$B$3:$B$206,[51]宿泊施設DB!$R$3:$R$206,"",)</f>
        <v>0</v>
      </c>
      <c r="K107" s="2877">
        <f>_xlfn.XLOOKUP($E107,[51]宿泊施設DB!$B$3:$B$206,[51]宿泊施設DB!$S$3:$S$206,"",)</f>
        <v>0</v>
      </c>
      <c r="L107" s="2878">
        <f>_xlfn.XLOOKUP($E107,[51]宿泊施設DB!$B$3:$B$206,[51]宿泊施設DB!$U$3:$U$206,"",)</f>
        <v>0</v>
      </c>
      <c r="M107" s="2878">
        <f>_xlfn.XLOOKUP($E107,[51]宿泊施設DB!$B$3:$B$206,[51]宿泊施設DB!$V$3:$V$206,"",)</f>
        <v>0</v>
      </c>
      <c r="N107" s="2878">
        <f>_xlfn.XLOOKUP($E107,[51]宿泊施設DB!$B$3:$B$206,[51]宿泊施設DB!$W$3:$W$206,"",)</f>
        <v>0</v>
      </c>
      <c r="O107" s="2878">
        <f>_xlfn.XLOOKUP($E107,[51]宿泊施設DB!$B$3:$B$206,[51]宿泊施設DB!$X$3:$X$206,"",)</f>
        <v>0</v>
      </c>
      <c r="P107" s="426" t="str">
        <f t="shared" si="3"/>
        <v/>
      </c>
      <c r="Q107" s="426"/>
      <c r="R107" s="420"/>
      <c r="S107" s="436"/>
      <c r="T107" s="437" t="str">
        <f>IFERROR(VLOOKUP($S107,'[51]競技情報DB(12,000人ver)'!$A$6:$D$201,2,),"－")</f>
        <v>－</v>
      </c>
      <c r="U107" s="438">
        <f>_xlfn.XLOOKUP(S107,'[51]競技情報DB(12,000人ver)'!$A$6:$A$99,'[51]競技情報DB(12,000人ver)'!$D$6:$D$99,"",0,)</f>
        <v>0</v>
      </c>
      <c r="V107" s="439"/>
      <c r="W107" s="440"/>
      <c r="X107" s="441"/>
      <c r="Y107" s="442"/>
      <c r="Z107" s="435"/>
      <c r="AA107" s="517"/>
      <c r="AB107" s="2952"/>
      <c r="AC107" s="2952"/>
      <c r="AD107" s="2953"/>
      <c r="AE107" s="518"/>
      <c r="AF107" s="445"/>
      <c r="AG107" s="445"/>
      <c r="AH107" s="445"/>
      <c r="AI107" s="445"/>
      <c r="AJ107" s="445"/>
      <c r="AK107" s="445"/>
      <c r="AL107" s="445"/>
      <c r="AM107" s="445"/>
      <c r="AN107" s="445"/>
      <c r="AO107" s="445"/>
      <c r="AP107" s="445"/>
      <c r="AQ107" s="445"/>
      <c r="AR107" s="445"/>
      <c r="AS107" s="445"/>
      <c r="AT107" s="445"/>
      <c r="AU107" s="445"/>
      <c r="AV107" s="445"/>
      <c r="AW107" s="445"/>
      <c r="AX107" s="445"/>
      <c r="AY107" s="445"/>
      <c r="AZ107" s="445"/>
      <c r="BA107" s="445"/>
      <c r="BB107" s="445"/>
      <c r="BC107" s="445"/>
      <c r="BD107" s="445"/>
      <c r="BE107" s="445"/>
      <c r="BF107" s="445"/>
      <c r="BG107" s="445"/>
      <c r="BH107" s="445"/>
      <c r="BI107" s="445"/>
      <c r="BJ107" s="445"/>
      <c r="BK107" s="445"/>
      <c r="BL107" s="445"/>
      <c r="BM107" s="445"/>
      <c r="BN107" s="449"/>
      <c r="BO107" s="290"/>
      <c r="BP107" s="450"/>
      <c r="BQ107" s="451"/>
    </row>
    <row r="108" spans="1:69" ht="46" customHeight="1">
      <c r="A108" s="2862"/>
      <c r="B108" s="2913" t="s">
        <v>2408</v>
      </c>
      <c r="C108" s="296">
        <f>C106+1</f>
        <v>36</v>
      </c>
      <c r="D108" s="297">
        <f>IF(_xlfn.XLOOKUP(E108,[51]宿泊施設DB!$B$3:$B$206,[51]宿泊施設DB!$A$3:$A$206,"",)=0,"",_xlfn.XLOOKUP(E108,[51]宿泊施設DB!$B$3:$B$206,[51]宿泊施設DB!$A$3:$A$206,"",))</f>
        <v>2041</v>
      </c>
      <c r="E108" s="609" t="s">
        <v>2490</v>
      </c>
      <c r="F108" s="2864">
        <f>_xlfn.XLOOKUP($E108,[51]宿泊施設DB!$B$3:$B$206,[51]宿泊施設DB!$D$3:$D$206,"",)</f>
        <v>232</v>
      </c>
      <c r="G108" s="2864">
        <f>_xlfn.XLOOKUP($E108,[51]宿泊施設DB!$B$3:$B$206,[51]宿泊施設DB!$E$3:$E$206,"",)</f>
        <v>306</v>
      </c>
      <c r="H108" s="2865">
        <f>_xlfn.XLOOKUP($E108,[51]宿泊施設DB!$B$3:$B$206,[51]宿泊施設DB!$J$3:$J$206,"",)</f>
        <v>10</v>
      </c>
      <c r="I108" s="2866" t="str">
        <f>_xlfn.XLOOKUP($E108,[51]宿泊施設DB!$B$3:$B$206,[51]宿泊施設DB!$T$3:$T$206,"",)</f>
        <v>調査中</v>
      </c>
      <c r="J108" s="2866" t="str">
        <f>_xlfn.XLOOKUP($E108,[51]宿泊施設DB!$B$3:$B$206,[51]宿泊施設DB!$R$3:$R$206,"",)</f>
        <v>宿泊施設</v>
      </c>
      <c r="K108" s="2865" t="str">
        <f>_xlfn.XLOOKUP($E108,[51]宿泊施設DB!$B$3:$B$206,[51]宿泊施設DB!$S$3:$S$206,"",)</f>
        <v>調査中</v>
      </c>
      <c r="L108" s="2874" t="str">
        <f>_xlfn.XLOOKUP($E108,[51]宿泊施設DB!$B$3:$B$206,[51]宿泊施設DB!$U$3:$U$206,"",)</f>
        <v>－</v>
      </c>
      <c r="M108" s="2866" t="str">
        <f>_xlfn.XLOOKUP($E108,[51]宿泊施設DB!$B$3:$B$206,[51]宿泊施設DB!$V$3:$V$206,"",)</f>
        <v>－</v>
      </c>
      <c r="N108" s="2866" t="str">
        <f>_xlfn.XLOOKUP($E108,[51]宿泊施設DB!$B$3:$B$206,[51]宿泊施設DB!$W$3:$W$206,"",)</f>
        <v>調査中</v>
      </c>
      <c r="O108" s="2866" t="str">
        <f>_xlfn.XLOOKUP($E108,[51]宿泊施設DB!$B$3:$B$206,[51]宿泊施設DB!$X$3:$X$206,"",)</f>
        <v>玄関前（屋根付）2台</v>
      </c>
      <c r="P108" s="302" t="str">
        <f t="shared" si="3"/>
        <v>○</v>
      </c>
      <c r="Q108" s="302"/>
      <c r="R108" s="296" t="s">
        <v>2169</v>
      </c>
      <c r="S108" s="486" t="s">
        <v>2410</v>
      </c>
      <c r="T108" s="487" t="str">
        <f>IFERROR(VLOOKUP($S108,'[51]競技情報DB(12,000人ver)'!$A$6:$D$201,2,),"－")</f>
        <v>浜松市</v>
      </c>
      <c r="U108" s="488">
        <f>_xlfn.XLOOKUP(S108,'[51]競技情報DB(12,000人ver)'!$A$6:$A$99,'[51]競技情報DB(12,000人ver)'!$D$6:$D$99,"",0,)</f>
        <v>99</v>
      </c>
      <c r="V108" s="648">
        <f>SUM(U108:U109)</f>
        <v>99</v>
      </c>
      <c r="W108" s="489">
        <v>9.3000000000000007</v>
      </c>
      <c r="X108" s="635">
        <v>18</v>
      </c>
      <c r="Y108" s="318">
        <f>$G108-MAX(AF108:BN108)</f>
        <v>207</v>
      </c>
      <c r="Z108" s="656">
        <f>+Y108/$G108</f>
        <v>0.67647058823529416</v>
      </c>
      <c r="AA108" s="491" t="str">
        <f>E108&amp;"　"&amp;"合計"</f>
        <v>ホテルコンコルド浜松　合計</v>
      </c>
      <c r="AB108" s="2950">
        <v>45556</v>
      </c>
      <c r="AC108" s="2950">
        <v>45565</v>
      </c>
      <c r="AD108" s="2943">
        <v>9</v>
      </c>
      <c r="AE108" s="492" t="s">
        <v>2175</v>
      </c>
      <c r="AF108" s="398">
        <f>+_xlfn.XLOOKUP($AA108,'[51]②配宿シュミレーション(12,000人ver)'!$AO$6:$AO$674,'[51]②配宿シュミレーション(12,000人ver)'!AP$6:AP$674,)</f>
        <v>0</v>
      </c>
      <c r="AG108" s="398">
        <f>+_xlfn.XLOOKUP($AA108,'[51]②配宿シュミレーション(12,000人ver)'!$AO$6:$AO$674,'[51]②配宿シュミレーション(12,000人ver)'!AQ$6:AQ$674,)</f>
        <v>0</v>
      </c>
      <c r="AH108" s="398">
        <f>+_xlfn.XLOOKUP($AA108,'[51]②配宿シュミレーション(12,000人ver)'!$AO$6:$AO$674,'[51]②配宿シュミレーション(12,000人ver)'!AR$6:AR$674,)</f>
        <v>0</v>
      </c>
      <c r="AI108" s="398">
        <f>+_xlfn.XLOOKUP($AA108,'[51]②配宿シュミレーション(12,000人ver)'!$AO$6:$AO$674,'[51]②配宿シュミレーション(12,000人ver)'!AS$6:AS$674,)</f>
        <v>0</v>
      </c>
      <c r="AJ108" s="2879">
        <f>+_xlfn.XLOOKUP($AA108,'[51]②配宿シュミレーション(12,000人ver)'!$AO$6:$AO$674,'[51]②配宿シュミレーション(12,000人ver)'!AT$6:AT$674,)</f>
        <v>0</v>
      </c>
      <c r="AK108" s="2879">
        <f>+_xlfn.XLOOKUP($AA108,'[51]②配宿シュミレーション(12,000人ver)'!$AO$6:$AO$674,'[51]②配宿シュミレーション(12,000人ver)'!AU$6:AU$674,)</f>
        <v>0</v>
      </c>
      <c r="AL108" s="2879">
        <f>+_xlfn.XLOOKUP($AA108,'[51]②配宿シュミレーション(12,000人ver)'!$AO$6:$AO$674,'[51]②配宿シュミレーション(12,000人ver)'!AV$6:AV$674,)</f>
        <v>0</v>
      </c>
      <c r="AM108" s="2879">
        <f>+_xlfn.XLOOKUP($AA108,'[51]②配宿シュミレーション(12,000人ver)'!$AO$6:$AO$674,'[51]②配宿シュミレーション(12,000人ver)'!AW$6:AW$674,)</f>
        <v>0</v>
      </c>
      <c r="AN108" s="2879">
        <f>+_xlfn.XLOOKUP($AA108,'[51]②配宿シュミレーション(12,000人ver)'!$AO$6:$AO$674,'[51]②配宿シュミレーション(12,000人ver)'!AX$6:AX$674,)</f>
        <v>0</v>
      </c>
      <c r="AO108" s="2879">
        <f>+_xlfn.XLOOKUP($AA108,'[51]②配宿シュミレーション(12,000人ver)'!$AO$6:$AO$674,'[51]②配宿シュミレーション(12,000人ver)'!AY$6:AY$674,)</f>
        <v>0</v>
      </c>
      <c r="AP108" s="2879">
        <f>+_xlfn.XLOOKUP($AA108,'[51]②配宿シュミレーション(12,000人ver)'!$AO$6:$AO$674,'[51]②配宿シュミレーション(12,000人ver)'!AZ$6:AZ$674,)</f>
        <v>0</v>
      </c>
      <c r="AQ108" s="2879">
        <f>+_xlfn.XLOOKUP($AA108,'[51]②配宿シュミレーション(12,000人ver)'!$AO$6:$AO$674,'[51]②配宿シュミレーション(12,000人ver)'!BA$6:BA$674,)</f>
        <v>0</v>
      </c>
      <c r="AR108" s="2879">
        <f>+_xlfn.XLOOKUP($AA108,'[51]②配宿シュミレーション(12,000人ver)'!$AO$6:$AO$674,'[51]②配宿シュミレーション(12,000人ver)'!BB$6:BB$674,)</f>
        <v>0</v>
      </c>
      <c r="AS108" s="2879">
        <f>+_xlfn.XLOOKUP($AA108,'[51]②配宿シュミレーション(12,000人ver)'!$AO$6:$AO$674,'[51]②配宿シュミレーション(12,000人ver)'!BC$6:BC$674,)</f>
        <v>0</v>
      </c>
      <c r="AT108" s="2879">
        <f>+_xlfn.XLOOKUP($AA108,'[51]②配宿シュミレーション(12,000人ver)'!$AO$6:$AO$674,'[51]②配宿シュミレーション(12,000人ver)'!BD$6:BD$674,)</f>
        <v>0</v>
      </c>
      <c r="AU108" s="2879">
        <f>+_xlfn.XLOOKUP($AA108,'[51]②配宿シュミレーション(12,000人ver)'!$AO$6:$AO$674,'[51]②配宿シュミレーション(12,000人ver)'!BE$6:BE$674,)</f>
        <v>0</v>
      </c>
      <c r="AV108" s="2879">
        <f>+_xlfn.XLOOKUP($AA108,'[51]②配宿シュミレーション(12,000人ver)'!$AO$6:$AO$674,'[51]②配宿シュミレーション(12,000人ver)'!BF$6:BF$674,)</f>
        <v>0</v>
      </c>
      <c r="AW108" s="2860" t="s">
        <v>2447</v>
      </c>
      <c r="AX108" s="2860" t="s">
        <v>2447</v>
      </c>
      <c r="AY108" s="2879">
        <f>+_xlfn.XLOOKUP($AA108,'[51]②配宿シュミレーション(12,000人ver)'!$AO$6:$AO$674,'[51]②配宿シュミレーション(12,000人ver)'!BI$6:BI$674,)</f>
        <v>99</v>
      </c>
      <c r="AZ108" s="2879">
        <f>+_xlfn.XLOOKUP($AA108,'[51]②配宿シュミレーション(12,000人ver)'!$AO$6:$AO$674,'[51]②配宿シュミレーション(12,000人ver)'!BJ$6:BJ$674,)</f>
        <v>99</v>
      </c>
      <c r="BA108" s="2879">
        <f>+_xlfn.XLOOKUP($AA108,'[51]②配宿シュミレーション(12,000人ver)'!$AO$6:$AO$674,'[51]②配宿シュミレーション(12,000人ver)'!BK$6:BK$674,)</f>
        <v>99</v>
      </c>
      <c r="BB108" s="2879">
        <f>+_xlfn.XLOOKUP($AA108,'[51]②配宿シュミレーション(12,000人ver)'!$AO$6:$AO$674,'[51]②配宿シュミレーション(12,000人ver)'!BL$6:BL$674,)</f>
        <v>99</v>
      </c>
      <c r="BC108" s="2879">
        <f>+_xlfn.XLOOKUP($AA108,'[51]②配宿シュミレーション(12,000人ver)'!$AO$6:$AO$674,'[51]②配宿シュミレーション(12,000人ver)'!BM$6:BM$674,)</f>
        <v>99</v>
      </c>
      <c r="BD108" s="2879">
        <f>+_xlfn.XLOOKUP($AA108,'[51]②配宿シュミレーション(12,000人ver)'!$AO$6:$AO$674,'[51]②配宿シュミレーション(12,000人ver)'!BN$6:BN$674,)</f>
        <v>99</v>
      </c>
      <c r="BE108" s="2879">
        <f>+_xlfn.XLOOKUP($AA108,'[51]②配宿シュミレーション(12,000人ver)'!$AO$6:$AO$674,'[51]②配宿シュミレーション(12,000人ver)'!BO$6:BO$674,)</f>
        <v>99</v>
      </c>
      <c r="BF108" s="2861" t="s">
        <v>2448</v>
      </c>
      <c r="BG108" s="2879">
        <f>+_xlfn.XLOOKUP($AA108,'[51]②配宿シュミレーション(12,000人ver)'!$AO$6:$AO$674,'[51]②配宿シュミレーション(12,000人ver)'!BQ$6:BQ$674,)</f>
        <v>0</v>
      </c>
      <c r="BH108" s="398">
        <f>+_xlfn.XLOOKUP($AA108,'[51]②配宿シュミレーション(12,000人ver)'!$AO$6:$AO$674,'[51]②配宿シュミレーション(12,000人ver)'!BR$6:BR$674,)</f>
        <v>0</v>
      </c>
      <c r="BI108" s="398">
        <f>+_xlfn.XLOOKUP($AA108,'[51]②配宿シュミレーション(12,000人ver)'!$AO$6:$AO$674,'[51]②配宿シュミレーション(12,000人ver)'!BS$6:BS$674,)</f>
        <v>0</v>
      </c>
      <c r="BJ108" s="398">
        <f>+_xlfn.XLOOKUP($AA108,'[51]②配宿シュミレーション(12,000人ver)'!$AO$6:$AO$674,'[51]②配宿シュミレーション(12,000人ver)'!BT$6:BT$674,)</f>
        <v>0</v>
      </c>
      <c r="BK108" s="398">
        <f>+_xlfn.XLOOKUP($AA108,'[51]②配宿シュミレーション(12,000人ver)'!$AO$6:$AO$674,'[51]②配宿シュミレーション(12,000人ver)'!BU$6:BU$674,)</f>
        <v>0</v>
      </c>
      <c r="BL108" s="398">
        <f>+_xlfn.XLOOKUP($AA108,'[51]②配宿シュミレーション(12,000人ver)'!$AO$6:$AO$674,'[51]②配宿シュミレーション(12,000人ver)'!BV$6:BV$674,)</f>
        <v>0</v>
      </c>
      <c r="BM108" s="398">
        <f>+_xlfn.XLOOKUP($AA108,'[51]②配宿シュミレーション(12,000人ver)'!$AO$6:$AO$674,'[51]②配宿シュミレーション(12,000人ver)'!BW$6:BW$674,)</f>
        <v>0</v>
      </c>
      <c r="BN108" s="472">
        <f>+_xlfn.XLOOKUP($AA108,'[51]②配宿シュミレーション(12,000人ver)'!$AO$6:$AO$674,'[51]②配宿シュミレーション(12,000人ver)'!BX$6:BX$674,)</f>
        <v>0</v>
      </c>
      <c r="BO108" s="573"/>
      <c r="BP108" s="610"/>
      <c r="BQ108" s="611"/>
    </row>
    <row r="109" spans="1:69" s="561" customFormat="1" ht="46" customHeight="1">
      <c r="A109" s="2911"/>
      <c r="B109" s="2907"/>
      <c r="C109" s="420"/>
      <c r="D109" s="421" t="str">
        <f>IF(_xlfn.XLOOKUP(E109,[51]宿泊施設DB!$B$3:$B$206,[51]宿泊施設DB!$A$3:$A$206,"",)=0,"",_xlfn.XLOOKUP(E109,[51]宿泊施設DB!$B$3:$B$206,[51]宿泊施設DB!$A$3:$A$206,"",))</f>
        <v/>
      </c>
      <c r="E109" s="612"/>
      <c r="F109" s="2875">
        <f>_xlfn.XLOOKUP($E109,[51]宿泊施設DB!$B$3:$B$206,[51]宿泊施設DB!$D$3:$D$206,"",)</f>
        <v>0</v>
      </c>
      <c r="G109" s="2875">
        <f>_xlfn.XLOOKUP($E109,[51]宿泊施設DB!$B$3:$B$206,[51]宿泊施設DB!$E$3:$E$206,"",)</f>
        <v>0</v>
      </c>
      <c r="H109" s="2877">
        <f>_xlfn.XLOOKUP($E109,[51]宿泊施設DB!$B$3:$B$206,[51]宿泊施設DB!$J$3:$J$206,"",)</f>
        <v>0</v>
      </c>
      <c r="I109" s="2878">
        <f>_xlfn.XLOOKUP($E109,[51]宿泊施設DB!$B$3:$B$206,[51]宿泊施設DB!$T$3:$T$206,"",)</f>
        <v>0</v>
      </c>
      <c r="J109" s="2878">
        <f>_xlfn.XLOOKUP($E109,[51]宿泊施設DB!$B$3:$B$206,[51]宿泊施設DB!$R$3:$R$206,"",)</f>
        <v>0</v>
      </c>
      <c r="K109" s="2877">
        <f>_xlfn.XLOOKUP($E109,[51]宿泊施設DB!$B$3:$B$206,[51]宿泊施設DB!$S$3:$S$206,"",)</f>
        <v>0</v>
      </c>
      <c r="L109" s="2916">
        <f>_xlfn.XLOOKUP($E109,[51]宿泊施設DB!$B$3:$B$206,[51]宿泊施設DB!$U$3:$U$206,"",)</f>
        <v>0</v>
      </c>
      <c r="M109" s="2878">
        <f>_xlfn.XLOOKUP($E109,[51]宿泊施設DB!$B$3:$B$206,[51]宿泊施設DB!$V$3:$V$206,"",)</f>
        <v>0</v>
      </c>
      <c r="N109" s="2878">
        <f>_xlfn.XLOOKUP($E109,[51]宿泊施設DB!$B$3:$B$206,[51]宿泊施設DB!$W$3:$W$206,"",)</f>
        <v>0</v>
      </c>
      <c r="O109" s="2878">
        <f>_xlfn.XLOOKUP($E109,[51]宿泊施設DB!$B$3:$B$206,[51]宿泊施設DB!$X$3:$X$206,"",)</f>
        <v>0</v>
      </c>
      <c r="P109" s="426" t="str">
        <f t="shared" si="3"/>
        <v/>
      </c>
      <c r="Q109" s="426"/>
      <c r="R109" s="420"/>
      <c r="S109" s="477"/>
      <c r="T109" s="478" t="str">
        <f>IFERROR(VLOOKUP($S109,'[51]競技情報DB(12,000人ver)'!$A$6:$D$201,2,),"－")</f>
        <v>－</v>
      </c>
      <c r="U109" s="479">
        <f>_xlfn.XLOOKUP(S109,'[51]競技情報DB(12,000人ver)'!$A$6:$A$99,'[51]競技情報DB(12,000人ver)'!$D$6:$D$99,"",0,)</f>
        <v>0</v>
      </c>
      <c r="V109" s="653"/>
      <c r="W109" s="619"/>
      <c r="X109" s="481"/>
      <c r="Y109" s="442"/>
      <c r="Z109" s="652"/>
      <c r="AA109" s="517"/>
      <c r="AB109" s="2952"/>
      <c r="AC109" s="2952"/>
      <c r="AD109" s="2953"/>
      <c r="AE109" s="518"/>
      <c r="AF109" s="445"/>
      <c r="AG109" s="445"/>
      <c r="AH109" s="445"/>
      <c r="AI109" s="445"/>
      <c r="AJ109" s="506"/>
      <c r="AK109" s="506"/>
      <c r="AL109" s="506"/>
      <c r="AM109" s="506"/>
      <c r="AN109" s="506"/>
      <c r="AO109" s="506"/>
      <c r="AP109" s="506"/>
      <c r="AQ109" s="506"/>
      <c r="AR109" s="506"/>
      <c r="AS109" s="506"/>
      <c r="AT109" s="506"/>
      <c r="AU109" s="506"/>
      <c r="AV109" s="506"/>
      <c r="AW109" s="506"/>
      <c r="AX109" s="506"/>
      <c r="AY109" s="506"/>
      <c r="AZ109" s="506"/>
      <c r="BA109" s="506"/>
      <c r="BB109" s="506"/>
      <c r="BC109" s="506"/>
      <c r="BD109" s="506"/>
      <c r="BE109" s="506"/>
      <c r="BF109" s="506"/>
      <c r="BG109" s="506"/>
      <c r="BH109" s="445"/>
      <c r="BI109" s="445"/>
      <c r="BJ109" s="445"/>
      <c r="BK109" s="445"/>
      <c r="BL109" s="445"/>
      <c r="BM109" s="445"/>
      <c r="BN109" s="449"/>
      <c r="BO109" s="573"/>
      <c r="BP109" s="614"/>
      <c r="BQ109" s="615"/>
    </row>
    <row r="110" spans="1:69" s="564" customFormat="1" ht="46" customHeight="1">
      <c r="A110" s="2912"/>
      <c r="B110" s="2913" t="s">
        <v>2413</v>
      </c>
      <c r="C110" s="372">
        <f>C108+1</f>
        <v>37</v>
      </c>
      <c r="D110" s="2871">
        <f>IF(_xlfn.XLOOKUP(E110,[51]宿泊施設DB!$B$3:$B$206,[51]宿泊施設DB!$A$3:$A$206,"",)=0,"",_xlfn.XLOOKUP(E110,[51]宿泊施設DB!$B$3:$B$206,[51]宿泊施設DB!$A$3:$A$206,"",))</f>
        <v>2008</v>
      </c>
      <c r="E110" s="373" t="s">
        <v>2414</v>
      </c>
      <c r="F110" s="2872">
        <f>_xlfn.XLOOKUP($E110,[51]宿泊施設DB!$B$3:$B$206,[51]宿泊施設DB!$D$3:$D$206,"",)</f>
        <v>241</v>
      </c>
      <c r="G110" s="2872">
        <f>_xlfn.XLOOKUP($E110,[51]宿泊施設DB!$B$3:$B$206,[51]宿泊施設DB!$E$3:$E$206,"",)</f>
        <v>456</v>
      </c>
      <c r="H110" s="2873">
        <f>_xlfn.XLOOKUP($E110,[51]宿泊施設DB!$B$3:$B$206,[51]宿泊施設DB!$J$3:$J$206,"",)</f>
        <v>20</v>
      </c>
      <c r="I110" s="2874" t="str">
        <f>_xlfn.XLOOKUP($E110,[51]宿泊施設DB!$B$3:$B$206,[51]宿泊施設DB!$T$3:$T$206,"",)</f>
        <v>低</v>
      </c>
      <c r="J110" s="2874" t="str">
        <f>_xlfn.XLOOKUP($E110,[51]宿泊施設DB!$B$3:$B$206,[51]宿泊施設DB!$R$3:$R$206,"",)</f>
        <v>宿泊施設</v>
      </c>
      <c r="K110" s="2873">
        <f>_xlfn.XLOOKUP($E110,[51]宿泊施設DB!$B$3:$B$206,[51]宿泊施設DB!$S$3:$S$206,"",)</f>
        <v>170</v>
      </c>
      <c r="L110" s="2874" t="str">
        <f>_xlfn.XLOOKUP($E110,[51]宿泊施設DB!$B$3:$B$206,[51]宿泊施設DB!$U$3:$U$206,"",)</f>
        <v>－</v>
      </c>
      <c r="M110" s="2874" t="str">
        <f>_xlfn.XLOOKUP($E110,[51]宿泊施設DB!$B$3:$B$206,[51]宿泊施設DB!$V$3:$V$206,"",)</f>
        <v>－</v>
      </c>
      <c r="N110" s="2874" t="str">
        <f>_xlfn.XLOOKUP($E110,[51]宿泊施設DB!$B$3:$B$206,[51]宿泊施設DB!$W$3:$W$206,"",)</f>
        <v>－</v>
      </c>
      <c r="O110" s="2874" t="str">
        <f>_xlfn.XLOOKUP($E110,[51]宿泊施設DB!$B$3:$B$206,[51]宿泊施設DB!$X$3:$X$206,"",)</f>
        <v>玄関前（屋根付）7台</v>
      </c>
      <c r="P110" s="377" t="str">
        <f t="shared" si="3"/>
        <v>○</v>
      </c>
      <c r="Q110" s="377"/>
      <c r="R110" s="372" t="s">
        <v>2169</v>
      </c>
      <c r="S110" s="539" t="s">
        <v>2491</v>
      </c>
      <c r="T110" s="540" t="str">
        <f>IFERROR(VLOOKUP($S110,'[51]競技情報DB(12,000人ver)'!$A$6:$D$201,2,),"－")</f>
        <v>大阪市</v>
      </c>
      <c r="U110" s="541">
        <f>_xlfn.XLOOKUP(S110,'[51]競技情報DB(12,000人ver)'!$A$6:$A$99,'[51]競技情報DB(12,000人ver)'!$D$6:$D$99,"",0,)</f>
        <v>116</v>
      </c>
      <c r="V110" s="648">
        <f>SUM(U110:U111)</f>
        <v>116</v>
      </c>
      <c r="W110" s="732">
        <v>8.6999999999999993</v>
      </c>
      <c r="X110" s="571">
        <v>24</v>
      </c>
      <c r="Y110" s="318">
        <f>$G110-MAX(AF110:BN110)</f>
        <v>340</v>
      </c>
      <c r="Z110" s="647">
        <f>+Y110/$G110</f>
        <v>0.74561403508771928</v>
      </c>
      <c r="AA110" s="515" t="str">
        <f>E110&amp;"　"&amp;"合計"</f>
        <v>ホテルアゴーラリージェンシー大阪堺　合計</v>
      </c>
      <c r="AB110" s="2951">
        <v>45544</v>
      </c>
      <c r="AC110" s="2951">
        <v>45566</v>
      </c>
      <c r="AD110" s="2943">
        <v>22</v>
      </c>
      <c r="AE110" s="396" t="s">
        <v>2175</v>
      </c>
      <c r="AF110" s="398">
        <f>+_xlfn.XLOOKUP($AA110,'[51]②配宿シュミレーション(12,000人ver)'!$AO$6:$AO$674,'[51]②配宿シュミレーション(12,000人ver)'!AP$6:AP$674,)</f>
        <v>0</v>
      </c>
      <c r="AG110" s="398">
        <f>+_xlfn.XLOOKUP($AA110,'[51]②配宿シュミレーション(12,000人ver)'!$AO$6:$AO$674,'[51]②配宿シュミレーション(12,000人ver)'!AQ$6:AQ$674,)</f>
        <v>0</v>
      </c>
      <c r="AH110" s="398">
        <f>+_xlfn.XLOOKUP($AA110,'[51]②配宿シュミレーション(12,000人ver)'!$AO$6:$AO$674,'[51]②配宿シュミレーション(12,000人ver)'!AR$6:AR$674,)</f>
        <v>0</v>
      </c>
      <c r="AI110" s="398">
        <f>+_xlfn.XLOOKUP($AA110,'[51]②配宿シュミレーション(12,000人ver)'!$AO$6:$AO$674,'[51]②配宿シュミレーション(12,000人ver)'!AS$6:AS$674,)</f>
        <v>0</v>
      </c>
      <c r="AJ110" s="398">
        <f>+_xlfn.XLOOKUP($AA110,'[51]②配宿シュミレーション(12,000人ver)'!$AO$6:$AO$674,'[51]②配宿シュミレーション(12,000人ver)'!AT$6:AT$674,)</f>
        <v>0</v>
      </c>
      <c r="AK110" s="2880" t="s">
        <v>2447</v>
      </c>
      <c r="AL110" s="2880" t="s">
        <v>2447</v>
      </c>
      <c r="AM110" s="398">
        <f>+_xlfn.XLOOKUP($AA110,'[51]②配宿シュミレーション(12,000人ver)'!$AO$6:$AO$674,'[51]②配宿シュミレーション(12,000人ver)'!AW$6:AW$674,)</f>
        <v>116</v>
      </c>
      <c r="AN110" s="398">
        <f>+_xlfn.XLOOKUP($AA110,'[51]②配宿シュミレーション(12,000人ver)'!$AO$6:$AO$674,'[51]②配宿シュミレーション(12,000人ver)'!AX$6:AX$674,)</f>
        <v>116</v>
      </c>
      <c r="AO110" s="398">
        <f>+_xlfn.XLOOKUP($AA110,'[51]②配宿シュミレーション(12,000人ver)'!$AO$6:$AO$674,'[51]②配宿シュミレーション(12,000人ver)'!AY$6:AY$674,)</f>
        <v>116</v>
      </c>
      <c r="AP110" s="398">
        <f>+_xlfn.XLOOKUP($AA110,'[51]②配宿シュミレーション(12,000人ver)'!$AO$6:$AO$674,'[51]②配宿シュミレーション(12,000人ver)'!AZ$6:AZ$674,)</f>
        <v>116</v>
      </c>
      <c r="AQ110" s="398">
        <f>+_xlfn.XLOOKUP($AA110,'[51]②配宿シュミレーション(12,000人ver)'!$AO$6:$AO$674,'[51]②配宿シュミレーション(12,000人ver)'!BA$6:BA$674,)</f>
        <v>116</v>
      </c>
      <c r="AR110" s="398">
        <f>+_xlfn.XLOOKUP($AA110,'[51]②配宿シュミレーション(12,000人ver)'!$AO$6:$AO$674,'[51]②配宿シュミレーション(12,000人ver)'!BB$6:BB$674,)</f>
        <v>116</v>
      </c>
      <c r="AS110" s="398">
        <f>+_xlfn.XLOOKUP($AA110,'[51]②配宿シュミレーション(12,000人ver)'!$AO$6:$AO$674,'[51]②配宿シュミレーション(12,000人ver)'!BC$6:BC$674,)</f>
        <v>116</v>
      </c>
      <c r="AT110" s="398">
        <f>+_xlfn.XLOOKUP($AA110,'[51]②配宿シュミレーション(12,000人ver)'!$AO$6:$AO$674,'[51]②配宿シュミレーション(12,000人ver)'!BD$6:BD$674,)</f>
        <v>116</v>
      </c>
      <c r="AU110" s="398">
        <f>+_xlfn.XLOOKUP($AA110,'[51]②配宿シュミレーション(12,000人ver)'!$AO$6:$AO$674,'[51]②配宿シュミレーション(12,000人ver)'!BE$6:BE$674,)</f>
        <v>116</v>
      </c>
      <c r="AV110" s="398">
        <f>+_xlfn.XLOOKUP($AA110,'[51]②配宿シュミレーション(12,000人ver)'!$AO$6:$AO$674,'[51]②配宿シュミレーション(12,000人ver)'!BF$6:BF$674,)</f>
        <v>116</v>
      </c>
      <c r="AW110" s="398">
        <f>+_xlfn.XLOOKUP($AA110,'[51]②配宿シュミレーション(12,000人ver)'!$AO$6:$AO$674,'[51]②配宿シュミレーション(12,000人ver)'!BG$6:BG$674,)</f>
        <v>116</v>
      </c>
      <c r="AX110" s="398">
        <f>+_xlfn.XLOOKUP($AA110,'[51]②配宿シュミレーション(12,000人ver)'!$AO$6:$AO$674,'[51]②配宿シュミレーション(12,000人ver)'!BH$6:BH$674,)</f>
        <v>116</v>
      </c>
      <c r="AY110" s="398">
        <f>+_xlfn.XLOOKUP($AA110,'[51]②配宿シュミレーション(12,000人ver)'!$AO$6:$AO$674,'[51]②配宿シュミレーション(12,000人ver)'!BI$6:BI$674,)</f>
        <v>116</v>
      </c>
      <c r="AZ110" s="398">
        <f>+_xlfn.XLOOKUP($AA110,'[51]②配宿シュミレーション(12,000人ver)'!$AO$6:$AO$674,'[51]②配宿シュミレーション(12,000人ver)'!BJ$6:BJ$674,)</f>
        <v>116</v>
      </c>
      <c r="BA110" s="398">
        <f>+_xlfn.XLOOKUP($AA110,'[51]②配宿シュミレーション(12,000人ver)'!$AO$6:$AO$674,'[51]②配宿シュミレーション(12,000人ver)'!BK$6:BK$674,)</f>
        <v>116</v>
      </c>
      <c r="BB110" s="398">
        <f>+_xlfn.XLOOKUP($AA110,'[51]②配宿シュミレーション(12,000人ver)'!$AO$6:$AO$674,'[51]②配宿シュミレーション(12,000人ver)'!BL$6:BL$674,)</f>
        <v>116</v>
      </c>
      <c r="BC110" s="398">
        <f>+_xlfn.XLOOKUP($AA110,'[51]②配宿シュミレーション(12,000人ver)'!$AO$6:$AO$674,'[51]②配宿シュミレーション(12,000人ver)'!BM$6:BM$674,)</f>
        <v>116</v>
      </c>
      <c r="BD110" s="398">
        <f>+_xlfn.XLOOKUP($AA110,'[51]②配宿シュミレーション(12,000人ver)'!$AO$6:$AO$674,'[51]②配宿シュミレーション(12,000人ver)'!BN$6:BN$674,)</f>
        <v>116</v>
      </c>
      <c r="BE110" s="398">
        <f>+_xlfn.XLOOKUP($AA110,'[51]②配宿シュミレーション(12,000人ver)'!$AO$6:$AO$674,'[51]②配宿シュミレーション(12,000人ver)'!BO$6:BO$674,)</f>
        <v>116</v>
      </c>
      <c r="BF110" s="398">
        <f>+_xlfn.XLOOKUP($AA110,'[51]②配宿シュミレーション(12,000人ver)'!$AO$6:$AO$674,'[51]②配宿シュミレーション(12,000人ver)'!BP$6:BP$674,)</f>
        <v>116</v>
      </c>
      <c r="BG110" s="2881" t="s">
        <v>2448</v>
      </c>
      <c r="BH110" s="398">
        <f>+_xlfn.XLOOKUP($AA110,'[51]②配宿シュミレーション(12,000人ver)'!$AO$6:$AO$674,'[51]②配宿シュミレーション(12,000人ver)'!BR$6:BR$674,)</f>
        <v>0</v>
      </c>
      <c r="BI110" s="398">
        <f>+_xlfn.XLOOKUP($AA110,'[51]②配宿シュミレーション(12,000人ver)'!$AO$6:$AO$674,'[51]②配宿シュミレーション(12,000人ver)'!BS$6:BS$674,)</f>
        <v>0</v>
      </c>
      <c r="BJ110" s="398">
        <f>+_xlfn.XLOOKUP($AA110,'[51]②配宿シュミレーション(12,000人ver)'!$AO$6:$AO$674,'[51]②配宿シュミレーション(12,000人ver)'!BT$6:BT$674,)</f>
        <v>0</v>
      </c>
      <c r="BK110" s="398">
        <f>+_xlfn.XLOOKUP($AA110,'[51]②配宿シュミレーション(12,000人ver)'!$AO$6:$AO$674,'[51]②配宿シュミレーション(12,000人ver)'!BU$6:BU$674,)</f>
        <v>0</v>
      </c>
      <c r="BL110" s="398">
        <f>+_xlfn.XLOOKUP($AA110,'[51]②配宿シュミレーション(12,000人ver)'!$AO$6:$AO$674,'[51]②配宿シュミレーション(12,000人ver)'!BV$6:BV$674,)</f>
        <v>0</v>
      </c>
      <c r="BM110" s="398">
        <f>+_xlfn.XLOOKUP($AA110,'[51]②配宿シュミレーション(12,000人ver)'!$AO$6:$AO$674,'[51]②配宿シュミレーション(12,000人ver)'!BW$6:BW$674,)</f>
        <v>0</v>
      </c>
      <c r="BN110" s="472">
        <f>+_xlfn.XLOOKUP($AA110,'[51]②配宿シュミレーション(12,000人ver)'!$AO$6:$AO$674,'[51]②配宿シュミレーション(12,000人ver)'!BX$6:BX$674,)</f>
        <v>0</v>
      </c>
      <c r="BO110" s="290"/>
      <c r="BP110" s="404"/>
      <c r="BQ110" s="405"/>
    </row>
    <row r="111" spans="1:69" s="521" customFormat="1" ht="46" customHeight="1" thickBot="1">
      <c r="A111" s="2862"/>
      <c r="B111" s="2907"/>
      <c r="C111" s="420"/>
      <c r="D111" s="421" t="str">
        <f>IF(_xlfn.XLOOKUP(E111,[51]宿泊施設DB!$B$3:$B$206,[51]宿泊施設DB!$A$3:$A$206,"",)=0,"",_xlfn.XLOOKUP(E111,[51]宿泊施設DB!$B$3:$B$206,[51]宿泊施設DB!$A$3:$A$206,"",))</f>
        <v/>
      </c>
      <c r="E111" s="422"/>
      <c r="F111" s="2875">
        <f>_xlfn.XLOOKUP($E111,[51]宿泊施設DB!$B$3:$B$206,[51]宿泊施設DB!$D$3:$D$206,"",)</f>
        <v>0</v>
      </c>
      <c r="G111" s="2875">
        <f>_xlfn.XLOOKUP($E111,[51]宿泊施設DB!$B$3:$B$206,[51]宿泊施設DB!$E$3:$E$206,"",)</f>
        <v>0</v>
      </c>
      <c r="H111" s="2877">
        <f>_xlfn.XLOOKUP($E111,[51]宿泊施設DB!$B$3:$B$206,[51]宿泊施設DB!$J$3:$J$206,"",)</f>
        <v>0</v>
      </c>
      <c r="I111" s="2878">
        <f>_xlfn.XLOOKUP($E111,[51]宿泊施設DB!$B$3:$B$206,[51]宿泊施設DB!$T$3:$T$206,"",)</f>
        <v>0</v>
      </c>
      <c r="J111" s="2878">
        <f>_xlfn.XLOOKUP($E111,[51]宿泊施設DB!$B$3:$B$206,[51]宿泊施設DB!$R$3:$R$206,"",)</f>
        <v>0</v>
      </c>
      <c r="K111" s="2877">
        <f>_xlfn.XLOOKUP($E111,[51]宿泊施設DB!$B$3:$B$206,[51]宿泊施設DB!$S$3:$S$206,"",)</f>
        <v>0</v>
      </c>
      <c r="L111" s="2878">
        <f>_xlfn.XLOOKUP($E111,[51]宿泊施設DB!$B$3:$B$206,[51]宿泊施設DB!$U$3:$U$206,"",)</f>
        <v>0</v>
      </c>
      <c r="M111" s="2878">
        <f>_xlfn.XLOOKUP($E111,[51]宿泊施設DB!$B$3:$B$206,[51]宿泊施設DB!$V$3:$V$206,"",)</f>
        <v>0</v>
      </c>
      <c r="N111" s="2878">
        <f>_xlfn.XLOOKUP($E111,[51]宿泊施設DB!$B$3:$B$206,[51]宿泊施設DB!$W$3:$W$206,"",)</f>
        <v>0</v>
      </c>
      <c r="O111" s="2878">
        <f>_xlfn.XLOOKUP($E111,[51]宿泊施設DB!$B$3:$B$206,[51]宿泊施設DB!$X$3:$X$206,"",)</f>
        <v>0</v>
      </c>
      <c r="P111" s="426" t="str">
        <f t="shared" si="3"/>
        <v/>
      </c>
      <c r="Q111" s="426"/>
      <c r="R111" s="420"/>
      <c r="S111" s="477"/>
      <c r="T111" s="478" t="str">
        <f>IFERROR(VLOOKUP($S111,'[51]競技情報DB(12,000人ver)'!$A$6:$D$201,2,),"－")</f>
        <v>－</v>
      </c>
      <c r="U111" s="479">
        <f>_xlfn.XLOOKUP(S111,'[51]競技情報DB(12,000人ver)'!$A$6:$A$99,'[51]競技情報DB(12,000人ver)'!$D$6:$D$99,"",0,)</f>
        <v>0</v>
      </c>
      <c r="V111" s="653"/>
      <c r="W111" s="619"/>
      <c r="X111" s="481"/>
      <c r="Y111" s="442"/>
      <c r="Z111" s="652"/>
      <c r="AA111" s="517"/>
      <c r="AB111" s="2952"/>
      <c r="AC111" s="2952"/>
      <c r="AD111" s="2953"/>
      <c r="AE111" s="518"/>
      <c r="AF111" s="445"/>
      <c r="AG111" s="445"/>
      <c r="AH111" s="445"/>
      <c r="AI111" s="445"/>
      <c r="AJ111" s="445"/>
      <c r="AK111" s="445"/>
      <c r="AL111" s="445"/>
      <c r="AM111" s="445"/>
      <c r="AN111" s="445"/>
      <c r="AO111" s="445"/>
      <c r="AP111" s="445"/>
      <c r="AQ111" s="445"/>
      <c r="AR111" s="445"/>
      <c r="AS111" s="445"/>
      <c r="AT111" s="445"/>
      <c r="AU111" s="445"/>
      <c r="AV111" s="445"/>
      <c r="AW111" s="445"/>
      <c r="AX111" s="445"/>
      <c r="AY111" s="445"/>
      <c r="AZ111" s="445"/>
      <c r="BA111" s="445"/>
      <c r="BB111" s="445"/>
      <c r="BC111" s="445"/>
      <c r="BD111" s="445"/>
      <c r="BE111" s="445"/>
      <c r="BF111" s="445"/>
      <c r="BG111" s="445"/>
      <c r="BH111" s="445"/>
      <c r="BI111" s="445"/>
      <c r="BJ111" s="445"/>
      <c r="BK111" s="445"/>
      <c r="BL111" s="445"/>
      <c r="BM111" s="445"/>
      <c r="BN111" s="449"/>
      <c r="BO111" s="290"/>
      <c r="BP111" s="450"/>
      <c r="BQ111" s="451"/>
    </row>
    <row r="112" spans="1:69" s="564" customFormat="1" ht="46" customHeight="1">
      <c r="A112" s="2912"/>
      <c r="B112" s="2913" t="s">
        <v>2492</v>
      </c>
      <c r="C112" s="372">
        <f>C110+1</f>
        <v>38</v>
      </c>
      <c r="D112" s="2871">
        <f>IF(_xlfn.XLOOKUP(E112,[51]宿泊施設DB!$B$3:$B$206,[51]宿泊施設DB!$A$3:$A$206,"",)=0,"",_xlfn.XLOOKUP(E112,[51]宿泊施設DB!$B$3:$B$206,[51]宿泊施設DB!$A$3:$A$206,"",))</f>
        <v>2042</v>
      </c>
      <c r="E112" s="373" t="s">
        <v>2493</v>
      </c>
      <c r="F112" s="2872">
        <f>_xlfn.XLOOKUP($E112,[51]宿泊施設DB!$B$3:$B$206,[51]宿泊施設DB!$D$3:$D$206,"",)</f>
        <v>746</v>
      </c>
      <c r="G112" s="2872">
        <f>_xlfn.XLOOKUP($E112,[51]宿泊施設DB!$B$3:$B$206,[51]宿泊施設DB!$E$3:$E$206,"",)</f>
        <v>1320</v>
      </c>
      <c r="H112" s="2873">
        <f>_xlfn.XLOOKUP($E112,[51]宿泊施設DB!$B$3:$B$206,[51]宿泊施設DB!$J$3:$J$206,"",)</f>
        <v>37</v>
      </c>
      <c r="I112" s="2874" t="str">
        <f>_xlfn.XLOOKUP($E112,[51]宿泊施設DB!$B$3:$B$206,[51]宿泊施設DB!$T$3:$T$206,"",)</f>
        <v>－</v>
      </c>
      <c r="J112" s="2874" t="str">
        <f>_xlfn.XLOOKUP($E112,[51]宿泊施設DB!$B$3:$B$206,[51]宿泊施設DB!$R$3:$R$206,"",)</f>
        <v>宿泊施設</v>
      </c>
      <c r="K112" s="2873">
        <f>_xlfn.XLOOKUP($E112,[51]宿泊施設DB!$B$3:$B$206,[51]宿泊施設DB!$S$3:$S$206,"",)</f>
        <v>117</v>
      </c>
      <c r="L112" s="2874" t="str">
        <f>_xlfn.XLOOKUP($E112,[51]宿泊施設DB!$B$3:$B$206,[51]宿泊施設DB!$U$3:$U$206,"",)</f>
        <v>○</v>
      </c>
      <c r="M112" s="2874" t="str">
        <f>_xlfn.XLOOKUP($E112,[51]宿泊施設DB!$B$3:$B$206,[51]宿泊施設DB!$V$3:$V$206,"",)</f>
        <v>○(ｼﾞﾑ内等)</v>
      </c>
      <c r="N112" s="2874" t="str">
        <f>_xlfn.XLOOKUP($E112,[51]宿泊施設DB!$B$3:$B$206,[51]宿泊施設DB!$W$3:$W$206,"",)</f>
        <v>－</v>
      </c>
      <c r="O112" s="2874" t="str">
        <f>_xlfn.XLOOKUP($E112,[51]宿泊施設DB!$B$3:$B$206,[51]宿泊施設DB!$X$3:$X$206,"",)</f>
        <v>専用乗降場所（屋根付）1台</v>
      </c>
      <c r="P112" s="377" t="str">
        <f t="shared" si="3"/>
        <v>○</v>
      </c>
      <c r="Q112" s="377"/>
      <c r="R112" s="372" t="s">
        <v>2169</v>
      </c>
      <c r="S112" s="539" t="s">
        <v>2494</v>
      </c>
      <c r="T112" s="540" t="str">
        <f>IFERROR(VLOOKUP($S112,'[51]競技情報DB(12,000人ver)'!$A$6:$D$201,2,),"－")</f>
        <v>神戸市</v>
      </c>
      <c r="U112" s="541">
        <f>_xlfn.XLOOKUP(S112,'[51]競技情報DB(12,000人ver)'!$A$6:$A$99,'[51]競技情報DB(12,000人ver)'!$D$6:$D$99,"",0,)</f>
        <v>116</v>
      </c>
      <c r="V112" s="648">
        <f>SUM(U112:U113)</f>
        <v>116</v>
      </c>
      <c r="W112" s="732">
        <v>18</v>
      </c>
      <c r="X112" s="571">
        <v>23</v>
      </c>
      <c r="Y112" s="318">
        <f>$G112-MAX(AF112:BN112)</f>
        <v>1204</v>
      </c>
      <c r="Z112" s="647">
        <f>+Y112/$G112</f>
        <v>0.91212121212121211</v>
      </c>
      <c r="AA112" s="515" t="str">
        <f>E112&amp;"　"&amp;"合計"</f>
        <v>神戸ポートピアホテル　合計</v>
      </c>
      <c r="AB112" s="2951">
        <v>45544</v>
      </c>
      <c r="AC112" s="2951">
        <v>45559</v>
      </c>
      <c r="AD112" s="2943">
        <v>15</v>
      </c>
      <c r="AE112" s="396" t="s">
        <v>2175</v>
      </c>
      <c r="AF112" s="398">
        <f>+_xlfn.XLOOKUP($AA112,'[51]②配宿シュミレーション(12,000人ver)'!$AO$6:$AO$674,'[51]②配宿シュミレーション(12,000人ver)'!AP$6:AP$674,)</f>
        <v>0</v>
      </c>
      <c r="AG112" s="398">
        <f>+_xlfn.XLOOKUP($AA112,'[51]②配宿シュミレーション(12,000人ver)'!$AO$6:$AO$674,'[51]②配宿シュミレーション(12,000人ver)'!AQ$6:AQ$674,)</f>
        <v>0</v>
      </c>
      <c r="AH112" s="398">
        <f>+_xlfn.XLOOKUP($AA112,'[51]②配宿シュミレーション(12,000人ver)'!$AO$6:$AO$674,'[51]②配宿シュミレーション(12,000人ver)'!AR$6:AR$674,)</f>
        <v>0</v>
      </c>
      <c r="AI112" s="398">
        <f>+_xlfn.XLOOKUP($AA112,'[51]②配宿シュミレーション(12,000人ver)'!$AO$6:$AO$674,'[51]②配宿シュミレーション(12,000人ver)'!AS$6:AS$674,)</f>
        <v>0</v>
      </c>
      <c r="AJ112" s="398">
        <f>+_xlfn.XLOOKUP($AA112,'[51]②配宿シュミレーション(12,000人ver)'!$AO$6:$AO$674,'[51]②配宿シュミレーション(12,000人ver)'!AT$6:AT$674,)</f>
        <v>0</v>
      </c>
      <c r="AK112" s="2896" t="s">
        <v>2447</v>
      </c>
      <c r="AL112" s="2896" t="s">
        <v>2447</v>
      </c>
      <c r="AM112" s="398">
        <f>+_xlfn.XLOOKUP($AA112,'[51]②配宿シュミレーション(12,000人ver)'!$AO$6:$AO$674,'[51]②配宿シュミレーション(12,000人ver)'!AW$6:AW$674,)</f>
        <v>116</v>
      </c>
      <c r="AN112" s="398">
        <f>+_xlfn.XLOOKUP($AA112,'[51]②配宿シュミレーション(12,000人ver)'!$AO$6:$AO$674,'[51]②配宿シュミレーション(12,000人ver)'!AX$6:AX$674,)</f>
        <v>116</v>
      </c>
      <c r="AO112" s="398">
        <f>+_xlfn.XLOOKUP($AA112,'[51]②配宿シュミレーション(12,000人ver)'!$AO$6:$AO$674,'[51]②配宿シュミレーション(12,000人ver)'!AY$6:AY$674,)</f>
        <v>116</v>
      </c>
      <c r="AP112" s="398">
        <f>+_xlfn.XLOOKUP($AA112,'[51]②配宿シュミレーション(12,000人ver)'!$AO$6:$AO$674,'[51]②配宿シュミレーション(12,000人ver)'!AZ$6:AZ$674,)</f>
        <v>116</v>
      </c>
      <c r="AQ112" s="398">
        <f>+_xlfn.XLOOKUP($AA112,'[51]②配宿シュミレーション(12,000人ver)'!$AO$6:$AO$674,'[51]②配宿シュミレーション(12,000人ver)'!BA$6:BA$674,)</f>
        <v>116</v>
      </c>
      <c r="AR112" s="398">
        <f>+_xlfn.XLOOKUP($AA112,'[51]②配宿シュミレーション(12,000人ver)'!$AO$6:$AO$674,'[51]②配宿シュミレーション(12,000人ver)'!BB$6:BB$674,)</f>
        <v>116</v>
      </c>
      <c r="AS112" s="398">
        <f>+_xlfn.XLOOKUP($AA112,'[51]②配宿シュミレーション(12,000人ver)'!$AO$6:$AO$674,'[51]②配宿シュミレーション(12,000人ver)'!BC$6:BC$674,)</f>
        <v>116</v>
      </c>
      <c r="AT112" s="398">
        <f>+_xlfn.XLOOKUP($AA112,'[51]②配宿シュミレーション(12,000人ver)'!$AO$6:$AO$674,'[51]②配宿シュミレーション(12,000人ver)'!BD$6:BD$674,)</f>
        <v>116</v>
      </c>
      <c r="AU112" s="398">
        <f>+_xlfn.XLOOKUP($AA112,'[51]②配宿シュミレーション(12,000人ver)'!$AO$6:$AO$674,'[51]②配宿シュミレーション(12,000人ver)'!BE$6:BE$674,)</f>
        <v>116</v>
      </c>
      <c r="AV112" s="398">
        <f>+_xlfn.XLOOKUP($AA112,'[51]②配宿シュミレーション(12,000人ver)'!$AO$6:$AO$674,'[51]②配宿シュミレーション(12,000人ver)'!BF$6:BF$674,)</f>
        <v>116</v>
      </c>
      <c r="AW112" s="398">
        <f>+_xlfn.XLOOKUP($AA112,'[51]②配宿シュミレーション(12,000人ver)'!$AO$6:$AO$674,'[51]②配宿シュミレーション(12,000人ver)'!BG$6:BG$674,)</f>
        <v>116</v>
      </c>
      <c r="AX112" s="398">
        <f>+_xlfn.XLOOKUP($AA112,'[51]②配宿シュミレーション(12,000人ver)'!$AO$6:$AO$674,'[51]②配宿シュミレーション(12,000人ver)'!BH$6:BH$674,)</f>
        <v>116</v>
      </c>
      <c r="AY112" s="398">
        <f>+_xlfn.XLOOKUP($AA112,'[51]②配宿シュミレーション(12,000人ver)'!$AO$6:$AO$674,'[51]②配宿シュミレーション(12,000人ver)'!BI$6:BI$674,)</f>
        <v>116</v>
      </c>
      <c r="AZ112" s="2897" t="s">
        <v>2448</v>
      </c>
      <c r="BA112" s="397">
        <f>+_xlfn.XLOOKUP($AA112,'[51]②配宿シュミレーション(12,000人ver)'!$AO$6:$AO$674,'[51]②配宿シュミレーション(12,000人ver)'!BK$6:BK$674,)</f>
        <v>0</v>
      </c>
      <c r="BB112" s="397">
        <f>+_xlfn.XLOOKUP($AA112,'[51]②配宿シュミレーション(12,000人ver)'!$AO$6:$AO$674,'[51]②配宿シュミレーション(12,000人ver)'!BL$6:BL$674,)</f>
        <v>0</v>
      </c>
      <c r="BC112" s="398">
        <f>+_xlfn.XLOOKUP($AA112,'[51]②配宿シュミレーション(12,000人ver)'!$AO$6:$AO$674,'[51]②配宿シュミレーション(12,000人ver)'!BM$6:BM$674,)</f>
        <v>0</v>
      </c>
      <c r="BD112" s="398">
        <f>+_xlfn.XLOOKUP($AA112,'[51]②配宿シュミレーション(12,000人ver)'!$AO$6:$AO$674,'[51]②配宿シュミレーション(12,000人ver)'!BN$6:BN$674,)</f>
        <v>0</v>
      </c>
      <c r="BE112" s="398">
        <f>+_xlfn.XLOOKUP($AA112,'[51]②配宿シュミレーション(12,000人ver)'!$AO$6:$AO$674,'[51]②配宿シュミレーション(12,000人ver)'!BO$6:BO$674,)</f>
        <v>0</v>
      </c>
      <c r="BF112" s="398">
        <f>+_xlfn.XLOOKUP($AA112,'[51]②配宿シュミレーション(12,000人ver)'!$AO$6:$AO$674,'[51]②配宿シュミレーション(12,000人ver)'!BP$6:BP$674,)</f>
        <v>0</v>
      </c>
      <c r="BG112" s="398">
        <f>+_xlfn.XLOOKUP($AA112,'[51]②配宿シュミレーション(12,000人ver)'!$AO$6:$AO$674,'[51]②配宿シュミレーション(12,000人ver)'!BQ$6:BQ$674,)</f>
        <v>0</v>
      </c>
      <c r="BH112" s="398">
        <f>+_xlfn.XLOOKUP($AA112,'[51]②配宿シュミレーション(12,000人ver)'!$AO$6:$AO$674,'[51]②配宿シュミレーション(12,000人ver)'!BR$6:BR$674,)</f>
        <v>0</v>
      </c>
      <c r="BI112" s="398">
        <f>+_xlfn.XLOOKUP($AA112,'[51]②配宿シュミレーション(12,000人ver)'!$AO$6:$AO$674,'[51]②配宿シュミレーション(12,000人ver)'!BS$6:BS$674,)</f>
        <v>0</v>
      </c>
      <c r="BJ112" s="398">
        <f>+_xlfn.XLOOKUP($AA112,'[51]②配宿シュミレーション(12,000人ver)'!$AO$6:$AO$674,'[51]②配宿シュミレーション(12,000人ver)'!BT$6:BT$674,)</f>
        <v>0</v>
      </c>
      <c r="BK112" s="398">
        <f>+_xlfn.XLOOKUP($AA112,'[51]②配宿シュミレーション(12,000人ver)'!$AO$6:$AO$674,'[51]②配宿シュミレーション(12,000人ver)'!BU$6:BU$674,)</f>
        <v>0</v>
      </c>
      <c r="BL112" s="398">
        <f>+_xlfn.XLOOKUP($AA112,'[51]②配宿シュミレーション(12,000人ver)'!$AO$6:$AO$674,'[51]②配宿シュミレーション(12,000人ver)'!BV$6:BV$674,)</f>
        <v>0</v>
      </c>
      <c r="BM112" s="398">
        <f>+_xlfn.XLOOKUP($AA112,'[51]②配宿シュミレーション(12,000人ver)'!$AO$6:$AO$674,'[51]②配宿シュミレーション(12,000人ver)'!BW$6:BW$674,)</f>
        <v>0</v>
      </c>
      <c r="BN112" s="472">
        <f>+_xlfn.XLOOKUP($AA112,'[51]②配宿シュミレーション(12,000人ver)'!$AO$6:$AO$674,'[51]②配宿シュミレーション(12,000人ver)'!BX$6:BX$674,)</f>
        <v>0</v>
      </c>
      <c r="BO112" s="290"/>
      <c r="BP112" s="404"/>
      <c r="BQ112" s="405"/>
    </row>
    <row r="113" spans="1:69" s="521" customFormat="1" ht="46" customHeight="1" thickBot="1">
      <c r="A113" s="2862"/>
      <c r="B113" s="2907"/>
      <c r="C113" s="420"/>
      <c r="D113" s="421" t="str">
        <f>IF(_xlfn.XLOOKUP(E113,[51]宿泊施設DB!$B$3:$B$206,[51]宿泊施設DB!$A$3:$A$206,"",)=0,"",_xlfn.XLOOKUP(E113,[51]宿泊施設DB!$B$3:$B$206,[51]宿泊施設DB!$A$3:$A$206,"",))</f>
        <v/>
      </c>
      <c r="E113" s="422"/>
      <c r="F113" s="2875">
        <f>_xlfn.XLOOKUP($E113,[51]宿泊施設DB!$B$3:$B$206,[51]宿泊施設DB!$D$3:$D$206,"",)</f>
        <v>0</v>
      </c>
      <c r="G113" s="2875">
        <f>_xlfn.XLOOKUP($E113,[51]宿泊施設DB!$B$3:$B$206,[51]宿泊施設DB!$E$3:$E$206,"",)</f>
        <v>0</v>
      </c>
      <c r="H113" s="2877">
        <f>_xlfn.XLOOKUP($E113,[51]宿泊施設DB!$B$3:$B$206,[51]宿泊施設DB!$J$3:$J$206,"",)</f>
        <v>0</v>
      </c>
      <c r="I113" s="2878">
        <f>_xlfn.XLOOKUP($E113,[51]宿泊施設DB!$B$3:$B$206,[51]宿泊施設DB!$T$3:$T$206,"",)</f>
        <v>0</v>
      </c>
      <c r="J113" s="2878">
        <f>_xlfn.XLOOKUP($E113,[51]宿泊施設DB!$B$3:$B$206,[51]宿泊施設DB!$R$3:$R$206,"",)</f>
        <v>0</v>
      </c>
      <c r="K113" s="2877">
        <f>_xlfn.XLOOKUP($E113,[51]宿泊施設DB!$B$3:$B$206,[51]宿泊施設DB!$S$3:$S$206,"",)</f>
        <v>0</v>
      </c>
      <c r="L113" s="2878">
        <f>_xlfn.XLOOKUP($E113,[51]宿泊施設DB!$B$3:$B$206,[51]宿泊施設DB!$U$3:$U$206,"",)</f>
        <v>0</v>
      </c>
      <c r="M113" s="2878">
        <f>_xlfn.XLOOKUP($E113,[51]宿泊施設DB!$B$3:$B$206,[51]宿泊施設DB!$V$3:$V$206,"",)</f>
        <v>0</v>
      </c>
      <c r="N113" s="2878">
        <f>_xlfn.XLOOKUP($E113,[51]宿泊施設DB!$B$3:$B$206,[51]宿泊施設DB!$W$3:$W$206,"",)</f>
        <v>0</v>
      </c>
      <c r="O113" s="2878">
        <f>_xlfn.XLOOKUP($E113,[51]宿泊施設DB!$B$3:$B$206,[51]宿泊施設DB!$X$3:$X$206,"",)</f>
        <v>0</v>
      </c>
      <c r="P113" s="426" t="str">
        <f t="shared" si="3"/>
        <v/>
      </c>
      <c r="Q113" s="426"/>
      <c r="R113" s="420"/>
      <c r="S113" s="477"/>
      <c r="T113" s="478" t="str">
        <f>IFERROR(VLOOKUP($S113,'[51]競技情報DB(12,000人ver)'!$A$6:$D$201,2,),"－")</f>
        <v>－</v>
      </c>
      <c r="U113" s="479">
        <f>_xlfn.XLOOKUP(S113,'[51]競技情報DB(12,000人ver)'!$A$6:$A$99,'[51]競技情報DB(12,000人ver)'!$D$6:$D$99,"",0,)</f>
        <v>0</v>
      </c>
      <c r="V113" s="653"/>
      <c r="W113" s="619"/>
      <c r="X113" s="481"/>
      <c r="Y113" s="442"/>
      <c r="Z113" s="652"/>
      <c r="AA113" s="517"/>
      <c r="AB113" s="2952"/>
      <c r="AC113" s="2952"/>
      <c r="AD113" s="2953"/>
      <c r="AE113" s="518"/>
      <c r="AF113" s="445"/>
      <c r="AG113" s="445"/>
      <c r="AH113" s="445"/>
      <c r="AI113" s="445"/>
      <c r="AJ113" s="445"/>
      <c r="AK113" s="445"/>
      <c r="AL113" s="445"/>
      <c r="AM113" s="445"/>
      <c r="AN113" s="445"/>
      <c r="AO113" s="445"/>
      <c r="AP113" s="445"/>
      <c r="AQ113" s="445"/>
      <c r="AR113" s="445"/>
      <c r="AS113" s="445"/>
      <c r="AT113" s="445"/>
      <c r="AU113" s="445"/>
      <c r="AV113" s="445"/>
      <c r="AW113" s="445"/>
      <c r="AX113" s="445"/>
      <c r="AY113" s="445"/>
      <c r="AZ113" s="445"/>
      <c r="BA113" s="445"/>
      <c r="BB113" s="445"/>
      <c r="BC113" s="445"/>
      <c r="BD113" s="445"/>
      <c r="BE113" s="445"/>
      <c r="BF113" s="445"/>
      <c r="BG113" s="445"/>
      <c r="BH113" s="445"/>
      <c r="BI113" s="445"/>
      <c r="BJ113" s="445"/>
      <c r="BK113" s="445"/>
      <c r="BL113" s="445"/>
      <c r="BM113" s="445"/>
      <c r="BN113" s="449"/>
      <c r="BO113" s="290"/>
      <c r="BP113" s="450"/>
      <c r="BQ113" s="451"/>
    </row>
    <row r="114" spans="1:69" ht="46" customHeight="1">
      <c r="A114" s="2862"/>
      <c r="B114" s="2863" t="s">
        <v>2419</v>
      </c>
      <c r="C114" s="296">
        <v>39</v>
      </c>
      <c r="D114" s="297">
        <v>2051</v>
      </c>
      <c r="E114" s="298" t="s">
        <v>2420</v>
      </c>
      <c r="F114" s="733">
        <f>_xlfn.XLOOKUP($E114,[51]宿泊施設DB!$B$3:$B$206,[51]宿泊施設DB!$D$3:$D$206,"",)</f>
        <v>605</v>
      </c>
      <c r="G114" s="733">
        <f>_xlfn.XLOOKUP($E114,[51]宿泊施設DB!$B$3:$B$206,[51]宿泊施設DB!$E$3:$E$206,"",)</f>
        <v>1210</v>
      </c>
      <c r="H114" s="2873">
        <f>_xlfn.XLOOKUP($E114,[51]宿泊施設DB!$B$3:$B$206,[51]宿泊施設DB!$J$3:$J$206,"",)</f>
        <v>1</v>
      </c>
      <c r="I114" s="2874" t="str">
        <f>_xlfn.XLOOKUP($E114,[51]宿泊施設DB!$B$3:$B$206,[51]宿泊施設DB!$T$3:$T$206,"",)</f>
        <v>調査中</v>
      </c>
      <c r="J114" s="2874" t="str">
        <f>_xlfn.XLOOKUP($E114,[51]宿泊施設DB!$B$3:$B$206,[51]宿泊施設DB!$R$3:$R$206,"",)</f>
        <v>宿泊施設</v>
      </c>
      <c r="K114" s="2873">
        <f>_xlfn.XLOOKUP($E114,[51]宿泊施設DB!$B$3:$B$206,[51]宿泊施設DB!$S$3:$S$206,"",)</f>
        <v>420</v>
      </c>
      <c r="L114" s="2874" t="str">
        <f>_xlfn.XLOOKUP($E114,[51]宿泊施設DB!$B$3:$B$206,[51]宿泊施設DB!$U$3:$U$206,"",)</f>
        <v>○</v>
      </c>
      <c r="M114" s="2874" t="str">
        <f>_xlfn.XLOOKUP($E114,[51]宿泊施設DB!$B$3:$B$206,[51]宿泊施設DB!$V$3:$V$206,"",)</f>
        <v>○</v>
      </c>
      <c r="N114" s="2874" t="str">
        <f>_xlfn.XLOOKUP($E114,[51]宿泊施設DB!$B$3:$B$206,[51]宿泊施設DB!$W$3:$W$206,"",)</f>
        <v>○</v>
      </c>
      <c r="O114" s="2874" t="str">
        <f>_xlfn.XLOOKUP($E114,[51]宿泊施設DB!$B$3:$B$206,[51]宿泊施設DB!$X$3:$X$206,"",)</f>
        <v>玄関前（屋根無）4台</v>
      </c>
      <c r="P114" s="377" t="str">
        <f t="shared" si="3"/>
        <v>○</v>
      </c>
      <c r="Q114" s="377"/>
      <c r="R114" s="372" t="s">
        <v>2136</v>
      </c>
      <c r="S114" s="512" t="s">
        <v>2422</v>
      </c>
      <c r="T114" s="388" t="str">
        <f>IFERROR(VLOOKUP($S114,'[51]競技情報DB(12,000人ver)'!$A$6:$D$201,2,),"－")</f>
        <v>東京都</v>
      </c>
      <c r="U114" s="389">
        <f>_xlfn.XLOOKUP(S114,'[51]競技情報DB(12,000人ver)'!$A$6:$A$99,'[51]競技情報DB(12,000人ver)'!$D$6:$D$99,"",0,)</f>
        <v>430</v>
      </c>
      <c r="V114" s="390">
        <f>SUM(U114:U116)</f>
        <v>647</v>
      </c>
      <c r="W114" s="737">
        <v>1.2</v>
      </c>
      <c r="X114" s="665">
        <v>4</v>
      </c>
      <c r="Y114" s="318">
        <f>$G114-MAX(AF114:BN114)</f>
        <v>563</v>
      </c>
      <c r="Z114" s="394">
        <f>+Y114/$G114</f>
        <v>0.4652892561983471</v>
      </c>
      <c r="AA114" s="515" t="str">
        <f>E114&amp;"　"&amp;"合計"</f>
        <v>東京ベイ潮見プリンスホテル　合計</v>
      </c>
      <c r="AB114" s="2951">
        <v>45547</v>
      </c>
      <c r="AC114" s="2951">
        <v>45569</v>
      </c>
      <c r="AD114" s="2943">
        <v>22</v>
      </c>
      <c r="AE114" s="396" t="s">
        <v>2175</v>
      </c>
      <c r="AF114" s="397">
        <f>+_xlfn.XLOOKUP($AA114,'[51]②配宿シュミレーション(12,000人ver)'!$AO$6:$AO$674,'[51]②配宿シュミレーション(12,000人ver)'!AP$6:AP$674,)</f>
        <v>0</v>
      </c>
      <c r="AG114" s="397">
        <f>+_xlfn.XLOOKUP($AA114,'[51]②配宿シュミレーション(12,000人ver)'!$AO$6:$AO$674,'[51]②配宿シュミレーション(12,000人ver)'!AQ$6:AQ$674,)</f>
        <v>0</v>
      </c>
      <c r="AH114" s="397">
        <f>+_xlfn.XLOOKUP($AA114,'[51]②配宿シュミレーション(12,000人ver)'!$AO$6:$AO$674,'[51]②配宿シュミレーション(12,000人ver)'!AR$6:AR$674,)</f>
        <v>0</v>
      </c>
      <c r="AI114" s="397">
        <f>+_xlfn.XLOOKUP($AA114,'[51]②配宿シュミレーション(12,000人ver)'!$AO$6:$AO$674,'[51]②配宿シュミレーション(12,000人ver)'!AS$6:AS$674,)</f>
        <v>0</v>
      </c>
      <c r="AJ114" s="397">
        <f>+_xlfn.XLOOKUP($AA114,'[51]②配宿シュミレーション(12,000人ver)'!$AO$6:$AO$674,'[51]②配宿シュミレーション(12,000人ver)'!AT$6:AT$674,)</f>
        <v>0</v>
      </c>
      <c r="AK114" s="397">
        <f>+_xlfn.XLOOKUP($AA114,'[51]②配宿シュミレーション(12,000人ver)'!$AO$6:$AO$674,'[51]②配宿シュミレーション(12,000人ver)'!AU$6:AU$674,)</f>
        <v>0</v>
      </c>
      <c r="AL114" s="397">
        <f>+_xlfn.XLOOKUP($AA114,'[51]②配宿シュミレーション(12,000人ver)'!$AO$6:$AO$674,'[51]②配宿シュミレーション(12,000人ver)'!AV$6:AV$674,)</f>
        <v>0</v>
      </c>
      <c r="AM114" s="397">
        <f>+_xlfn.XLOOKUP($AA114,'[51]②配宿シュミレーション(12,000人ver)'!$AO$6:$AO$674,'[51]②配宿シュミレーション(12,000人ver)'!AW$6:AW$674,)</f>
        <v>0</v>
      </c>
      <c r="AN114" s="2860" t="s">
        <v>2447</v>
      </c>
      <c r="AO114" s="2860" t="s">
        <v>2447</v>
      </c>
      <c r="AP114" s="397">
        <f>+_xlfn.XLOOKUP($AA114,'[51]②配宿シュミレーション(12,000人ver)'!$AO$6:$AO$674,'[51]②配宿シュミレーション(12,000人ver)'!AZ$6:AZ$674,)</f>
        <v>138</v>
      </c>
      <c r="AQ114" s="397">
        <f>+_xlfn.XLOOKUP($AA114,'[51]②配宿シュミレーション(12,000人ver)'!$AO$6:$AO$674,'[51]②配宿シュミレーション(12,000人ver)'!BA$6:BA$674,)</f>
        <v>138</v>
      </c>
      <c r="AR114" s="397">
        <f>+_xlfn.XLOOKUP($AA114,'[51]②配宿シュミレーション(12,000人ver)'!$AO$6:$AO$674,'[51]②配宿シュミレーション(12,000人ver)'!BB$6:BB$674,)</f>
        <v>568</v>
      </c>
      <c r="AS114" s="397">
        <f>+_xlfn.XLOOKUP($AA114,'[51]②配宿シュミレーション(12,000人ver)'!$AO$6:$AO$674,'[51]②配宿シュミレーション(12,000人ver)'!BC$6:BC$674,)</f>
        <v>568</v>
      </c>
      <c r="AT114" s="397">
        <f>+_xlfn.XLOOKUP($AA114,'[51]②配宿シュミレーション(12,000人ver)'!$AO$6:$AO$674,'[51]②配宿シュミレーション(12,000人ver)'!BD$6:BD$674,)</f>
        <v>568</v>
      </c>
      <c r="AU114" s="397">
        <f>+_xlfn.XLOOKUP($AA114,'[51]②配宿シュミレーション(12,000人ver)'!$AO$6:$AO$674,'[51]②配宿シュミレーション(12,000人ver)'!BE$6:BE$674,)</f>
        <v>568</v>
      </c>
      <c r="AV114" s="397">
        <f>+_xlfn.XLOOKUP($AA114,'[51]②配宿シュミレーション(12,000人ver)'!$AO$6:$AO$674,'[51]②配宿シュミレーション(12,000人ver)'!BF$6:BF$674,)</f>
        <v>568</v>
      </c>
      <c r="AW114" s="397">
        <f>+_xlfn.XLOOKUP($AA114,'[51]②配宿シュミレーション(12,000人ver)'!$AO$6:$AO$674,'[51]②配宿シュミレーション(12,000人ver)'!BG$6:BG$674,)</f>
        <v>568</v>
      </c>
      <c r="AX114" s="397">
        <f>+_xlfn.XLOOKUP($AA114,'[51]②配宿シュミレーション(12,000人ver)'!$AO$6:$AO$674,'[51]②配宿シュミレーション(12,000人ver)'!BH$6:BH$674,)</f>
        <v>568</v>
      </c>
      <c r="AY114" s="397">
        <f>+_xlfn.XLOOKUP($AA114,'[51]②配宿シュミレーション(12,000人ver)'!$AO$6:$AO$674,'[51]②配宿シュミレーション(12,000人ver)'!BI$6:BI$674,)</f>
        <v>647</v>
      </c>
      <c r="AZ114" s="397">
        <f>+_xlfn.XLOOKUP($AA114,'[51]②配宿シュミレーション(12,000人ver)'!$AO$6:$AO$674,'[51]②配宿シュミレーション(12,000人ver)'!BJ$6:BJ$674,)</f>
        <v>647</v>
      </c>
      <c r="BA114" s="397">
        <f>+_xlfn.XLOOKUP($AA114,'[51]②配宿シュミレーション(12,000人ver)'!$AO$6:$AO$674,'[51]②配宿シュミレーション(12,000人ver)'!BK$6:BK$674,)</f>
        <v>647</v>
      </c>
      <c r="BB114" s="397">
        <f>+_xlfn.XLOOKUP($AA114,'[51]②配宿シュミレーション(12,000人ver)'!$AO$6:$AO$674,'[51]②配宿シュミレーション(12,000人ver)'!BL$6:BL$674,)</f>
        <v>647</v>
      </c>
      <c r="BC114" s="397">
        <f>+_xlfn.XLOOKUP($AA114,'[51]②配宿シュミレーション(12,000人ver)'!$AO$6:$AO$674,'[51]②配宿シュミレーション(12,000人ver)'!BM$6:BM$674,)</f>
        <v>217</v>
      </c>
      <c r="BD114" s="397">
        <f>+_xlfn.XLOOKUP($AA114,'[51]②配宿シュミレーション(12,000人ver)'!$AO$6:$AO$674,'[51]②配宿シュミレーション(12,000人ver)'!BN$6:BN$674,)</f>
        <v>217</v>
      </c>
      <c r="BE114" s="397">
        <f>+_xlfn.XLOOKUP($AA114,'[51]②配宿シュミレーション(12,000人ver)'!$AO$6:$AO$674,'[51]②配宿シュミレーション(12,000人ver)'!BO$6:BO$674,)</f>
        <v>217</v>
      </c>
      <c r="BF114" s="397">
        <f>+_xlfn.XLOOKUP($AA114,'[51]②配宿シュミレーション(12,000人ver)'!$AO$6:$AO$674,'[51]②配宿シュミレーション(12,000人ver)'!BP$6:BP$674,)</f>
        <v>217</v>
      </c>
      <c r="BG114" s="397">
        <f>+_xlfn.XLOOKUP($AA114,'[51]②配宿シュミレーション(12,000人ver)'!$AO$6:$AO$674,'[51]②配宿シュミレーション(12,000人ver)'!BQ$6:BQ$674,)</f>
        <v>217</v>
      </c>
      <c r="BH114" s="397">
        <f>+_xlfn.XLOOKUP($AA114,'[51]②配宿シュミレーション(12,000人ver)'!$AO$6:$AO$674,'[51]②配宿シュミレーション(12,000人ver)'!BR$6:BR$674,)</f>
        <v>217</v>
      </c>
      <c r="BI114" s="397">
        <f>+_xlfn.XLOOKUP($AA114,'[51]②配宿シュミレーション(12,000人ver)'!$AO$6:$AO$674,'[51]②配宿シュミレーション(12,000人ver)'!BS$6:BS$674,)</f>
        <v>138</v>
      </c>
      <c r="BJ114" s="2861" t="s">
        <v>2448</v>
      </c>
      <c r="BK114" s="397">
        <f>+_xlfn.XLOOKUP($AA114,'[51]②配宿シュミレーション(12,000人ver)'!$AO$6:$AO$674,'[51]②配宿シュミレーション(12,000人ver)'!BU$6:BU$674,)</f>
        <v>0</v>
      </c>
      <c r="BL114" s="397">
        <f>+_xlfn.XLOOKUP($AA114,'[51]②配宿シュミレーション(12,000人ver)'!$AO$6:$AO$674,'[51]②配宿シュミレーション(12,000人ver)'!BV$6:BV$674,)</f>
        <v>0</v>
      </c>
      <c r="BM114" s="397">
        <f>+_xlfn.XLOOKUP($AA114,'[51]②配宿シュミレーション(12,000人ver)'!$AO$6:$AO$674,'[51]②配宿シュミレーション(12,000人ver)'!BW$6:BW$674,)</f>
        <v>0</v>
      </c>
      <c r="BN114" s="472">
        <f>+_xlfn.XLOOKUP($AA114,'[51]②配宿シュミレーション(12,000人ver)'!$AO$6:$AO$674,'[51]②配宿シュミレーション(12,000人ver)'!BX$6:BX$674,)</f>
        <v>0</v>
      </c>
      <c r="BO114" s="290"/>
      <c r="BP114" s="332"/>
      <c r="BQ114" s="333"/>
    </row>
    <row r="115" spans="1:69" ht="46" customHeight="1">
      <c r="A115" s="2862"/>
      <c r="B115" s="2863"/>
      <c r="C115" s="296"/>
      <c r="D115" s="297" t="str">
        <f>IF(_xlfn.XLOOKUP(E115,[51]宿泊施設DB!$B$3:$B$206,[51]宿泊施設DB!$A$3:$A$206,"",)=0,"",_xlfn.XLOOKUP(E115,[51]宿泊施設DB!$B$3:$B$206,[51]宿泊施設DB!$A$3:$A$206,"",))</f>
        <v/>
      </c>
      <c r="E115" s="298" t="s">
        <v>2495</v>
      </c>
      <c r="F115" s="2864" t="str">
        <f>_xlfn.XLOOKUP($E115,[51]宿泊施設DB!$B$3:$B$206,[51]宿泊施設DB!$D$3:$D$206,"",)</f>
        <v/>
      </c>
      <c r="G115" s="2864" t="str">
        <f>_xlfn.XLOOKUP($E115,[51]宿泊施設DB!$B$3:$B$206,[51]宿泊施設DB!$E$3:$E$206,"",)</f>
        <v/>
      </c>
      <c r="H115" s="2865" t="str">
        <f>_xlfn.XLOOKUP($E115,[51]宿泊施設DB!$B$3:$B$206,[51]宿泊施設DB!$J$3:$J$206,"",)</f>
        <v/>
      </c>
      <c r="I115" s="2866" t="str">
        <f>_xlfn.XLOOKUP($E115,[51]宿泊施設DB!$B$3:$B$206,[51]宿泊施設DB!$T$3:$T$206,"",)</f>
        <v/>
      </c>
      <c r="J115" s="2866" t="str">
        <f>_xlfn.XLOOKUP($E115,[51]宿泊施設DB!$B$3:$B$206,[51]宿泊施設DB!$R$3:$R$206,"",)</f>
        <v/>
      </c>
      <c r="K115" s="2865" t="str">
        <f>_xlfn.XLOOKUP($E115,[51]宿泊施設DB!$B$3:$B$206,[51]宿泊施設DB!$S$3:$S$206,"",)</f>
        <v/>
      </c>
      <c r="L115" s="2866" t="str">
        <f>_xlfn.XLOOKUP($E115,[51]宿泊施設DB!$B$3:$B$206,[51]宿泊施設DB!$U$3:$U$206,"",)</f>
        <v/>
      </c>
      <c r="M115" s="2866" t="str">
        <f>_xlfn.XLOOKUP($E115,[51]宿泊施設DB!$B$3:$B$206,[51]宿泊施設DB!$V$3:$V$206,"",)</f>
        <v/>
      </c>
      <c r="N115" s="2866" t="str">
        <f>_xlfn.XLOOKUP($E115,[51]宿泊施設DB!$B$3:$B$206,[51]宿泊施設DB!$W$3:$W$206,"",)</f>
        <v/>
      </c>
      <c r="O115" s="2866" t="str">
        <f>_xlfn.XLOOKUP($E115,[51]宿泊施設DB!$B$3:$B$206,[51]宿泊施設DB!$X$3:$X$206,"",)</f>
        <v/>
      </c>
      <c r="P115" s="302"/>
      <c r="Q115" s="302"/>
      <c r="R115" s="296"/>
      <c r="S115" s="312" t="s">
        <v>2425</v>
      </c>
      <c r="T115" s="313" t="str">
        <f>IFERROR(VLOOKUP($S115,'[51]競技情報DB(12,000人ver)'!$A$6:$D$201,2,),"－")</f>
        <v>東京都</v>
      </c>
      <c r="U115" s="314">
        <f>_xlfn.XLOOKUP(S115,'[51]競技情報DB(12,000人ver)'!$A$6:$A$99,'[51]競技情報DB(12,000人ver)'!$D$6:$D$99,"",0,)</f>
        <v>79</v>
      </c>
      <c r="V115" s="315"/>
      <c r="W115" s="741">
        <v>1.2</v>
      </c>
      <c r="X115" s="317">
        <v>4</v>
      </c>
      <c r="Y115" s="318"/>
      <c r="Z115" s="311"/>
      <c r="AA115" s="319"/>
      <c r="AB115" s="2944"/>
      <c r="AC115" s="2944"/>
      <c r="AD115" s="2945"/>
      <c r="AE115" s="320"/>
      <c r="AF115" s="321"/>
      <c r="AG115" s="321"/>
      <c r="AH115" s="321"/>
      <c r="AI115" s="321"/>
      <c r="AJ115" s="321"/>
      <c r="AK115" s="321"/>
      <c r="AL115" s="321"/>
      <c r="AM115" s="321"/>
      <c r="AN115" s="321"/>
      <c r="AO115" s="321"/>
      <c r="AP115" s="321"/>
      <c r="AQ115" s="321"/>
      <c r="AR115" s="321"/>
      <c r="AS115" s="321"/>
      <c r="AT115" s="321"/>
      <c r="AU115" s="321"/>
      <c r="AV115" s="321"/>
      <c r="AW115" s="321"/>
      <c r="AX115" s="321"/>
      <c r="AY115" s="321"/>
      <c r="AZ115" s="321"/>
      <c r="BA115" s="321"/>
      <c r="BB115" s="321"/>
      <c r="BC115" s="321"/>
      <c r="BD115" s="321"/>
      <c r="BE115" s="321"/>
      <c r="BF115" s="321"/>
      <c r="BG115" s="321"/>
      <c r="BH115" s="321"/>
      <c r="BI115" s="321"/>
      <c r="BJ115" s="321"/>
      <c r="BK115" s="321"/>
      <c r="BL115" s="321"/>
      <c r="BM115" s="321"/>
      <c r="BN115" s="507"/>
      <c r="BO115" s="290"/>
      <c r="BP115" s="332"/>
      <c r="BQ115" s="333"/>
    </row>
    <row r="116" spans="1:69" ht="46" customHeight="1" thickBot="1">
      <c r="A116" s="2922"/>
      <c r="B116" s="2923"/>
      <c r="C116" s="744"/>
      <c r="D116" s="745" t="str">
        <f>IF(_xlfn.XLOOKUP(E116,[51]宿泊施設DB!$B$3:$B$206,[51]宿泊施設DB!$A$3:$A$206,"",)=0,"",_xlfn.XLOOKUP(E116,[51]宿泊施設DB!$B$3:$B$206,[51]宿泊施設DB!$A$3:$A$206,"",))</f>
        <v/>
      </c>
      <c r="E116" s="746"/>
      <c r="F116" s="2924">
        <f>_xlfn.XLOOKUP($E116,[51]宿泊施設DB!$B$3:$B$206,[51]宿泊施設DB!$D$3:$D$206,"",)</f>
        <v>0</v>
      </c>
      <c r="G116" s="2924">
        <f>_xlfn.XLOOKUP($E116,[51]宿泊施設DB!$B$3:$B$206,[51]宿泊施設DB!$E$3:$E$206,"",)</f>
        <v>0</v>
      </c>
      <c r="H116" s="2925">
        <f>_xlfn.XLOOKUP($E116,[51]宿泊施設DB!$B$3:$B$206,[51]宿泊施設DB!$J$3:$J$206,"",)</f>
        <v>0</v>
      </c>
      <c r="I116" s="2926">
        <f>_xlfn.XLOOKUP($E116,[51]宿泊施設DB!$B$3:$B$206,[51]宿泊施設DB!$T$3:$T$206,"",)</f>
        <v>0</v>
      </c>
      <c r="J116" s="2926">
        <f>_xlfn.XLOOKUP($E116,[51]宿泊施設DB!$B$3:$B$206,[51]宿泊施設DB!$R$3:$R$206,"",)</f>
        <v>0</v>
      </c>
      <c r="K116" s="2925">
        <f>_xlfn.XLOOKUP($E116,[51]宿泊施設DB!$B$3:$B$206,[51]宿泊施設DB!$S$3:$S$206,"",)</f>
        <v>0</v>
      </c>
      <c r="L116" s="2926">
        <f>_xlfn.XLOOKUP($E116,[51]宿泊施設DB!$B$3:$B$206,[51]宿泊施設DB!$U$3:$U$206,"",)</f>
        <v>0</v>
      </c>
      <c r="M116" s="2926">
        <f>_xlfn.XLOOKUP($E116,[51]宿泊施設DB!$B$3:$B$206,[51]宿泊施設DB!$V$3:$V$206,"",)</f>
        <v>0</v>
      </c>
      <c r="N116" s="2926">
        <f>_xlfn.XLOOKUP($E116,[51]宿泊施設DB!$B$3:$B$206,[51]宿泊施設DB!$W$3:$W$206,"",)</f>
        <v>0</v>
      </c>
      <c r="O116" s="2926">
        <f>_xlfn.XLOOKUP($E116,[51]宿泊施設DB!$B$3:$B$206,[51]宿泊施設DB!$X$3:$X$206,"",)</f>
        <v>0</v>
      </c>
      <c r="P116" s="750" t="str">
        <f>IF(AND(E116&lt;&gt;"", S116&lt;&gt;"－"), "○", "")</f>
        <v/>
      </c>
      <c r="Q116" s="750"/>
      <c r="R116" s="744"/>
      <c r="S116" s="760" t="s">
        <v>2426</v>
      </c>
      <c r="T116" s="761" t="str">
        <f>IFERROR(VLOOKUP($S116,'[51]競技情報DB(12,000人ver)'!$A$6:$D$201,2,),"－")</f>
        <v>東京都</v>
      </c>
      <c r="U116" s="762">
        <f>_xlfn.XLOOKUP(S116,'[51]競技情報DB(12,000人ver)'!$A$6:$A$99,'[51]競技情報DB(12,000人ver)'!$D$6:$D$99,"",0,)</f>
        <v>138</v>
      </c>
      <c r="V116" s="763"/>
      <c r="W116" s="764">
        <v>26.6</v>
      </c>
      <c r="X116" s="765">
        <v>37</v>
      </c>
      <c r="Y116" s="766"/>
      <c r="Z116" s="759"/>
      <c r="AA116" s="767"/>
      <c r="AB116" s="2955"/>
      <c r="AC116" s="2955"/>
      <c r="AD116" s="2956"/>
      <c r="AE116" s="768"/>
      <c r="AF116" s="770"/>
      <c r="AG116" s="770"/>
      <c r="AH116" s="770"/>
      <c r="AI116" s="770"/>
      <c r="AJ116" s="770"/>
      <c r="AK116" s="770"/>
      <c r="AL116" s="770"/>
      <c r="AM116" s="770"/>
      <c r="AN116" s="770"/>
      <c r="AO116" s="770"/>
      <c r="AP116" s="770"/>
      <c r="AQ116" s="770"/>
      <c r="AR116" s="770"/>
      <c r="AS116" s="770"/>
      <c r="AT116" s="770"/>
      <c r="AU116" s="770"/>
      <c r="AV116" s="770"/>
      <c r="AW116" s="770"/>
      <c r="AX116" s="770"/>
      <c r="AY116" s="770"/>
      <c r="AZ116" s="770"/>
      <c r="BA116" s="770"/>
      <c r="BB116" s="770"/>
      <c r="BC116" s="770"/>
      <c r="BD116" s="770"/>
      <c r="BE116" s="770"/>
      <c r="BF116" s="770"/>
      <c r="BG116" s="770"/>
      <c r="BH116" s="770"/>
      <c r="BI116" s="770"/>
      <c r="BJ116" s="770"/>
      <c r="BK116" s="770"/>
      <c r="BL116" s="770"/>
      <c r="BM116" s="770"/>
      <c r="BN116" s="774"/>
      <c r="BO116" s="290"/>
      <c r="BP116" s="370"/>
      <c r="BQ116" s="371"/>
    </row>
    <row r="117" spans="1:69" s="786" customFormat="1" ht="46" customHeight="1" thickTop="1" thickBot="1">
      <c r="A117" s="775"/>
      <c r="B117" s="775"/>
      <c r="C117" s="775"/>
      <c r="D117" s="775"/>
      <c r="E117" s="776"/>
      <c r="F117" s="777"/>
      <c r="G117" s="777"/>
      <c r="H117" s="6457" t="s">
        <v>2427</v>
      </c>
      <c r="I117" s="6457"/>
      <c r="J117" s="6457"/>
      <c r="K117" s="6458"/>
      <c r="L117" s="6398" t="s">
        <v>2428</v>
      </c>
      <c r="M117" s="6399"/>
      <c r="N117" s="6399"/>
      <c r="O117" s="6400"/>
      <c r="P117" s="2927">
        <f>COUNTIF(P$5:P$44,"○")</f>
        <v>8</v>
      </c>
      <c r="Q117" s="779">
        <f>COUNTIF(Q$5:Q$44,"○")</f>
        <v>2</v>
      </c>
      <c r="R117" s="775"/>
      <c r="S117" s="785"/>
      <c r="U117" s="2928" t="s">
        <v>2496</v>
      </c>
      <c r="V117" s="2929">
        <f>SUM(V5:V116)</f>
        <v>12801</v>
      </c>
      <c r="W117" s="782"/>
      <c r="X117" s="782"/>
      <c r="Y117" s="784"/>
      <c r="Z117" s="784"/>
      <c r="AA117" s="787"/>
      <c r="AB117" s="2938"/>
      <c r="AC117" s="2938"/>
      <c r="AD117" s="2930"/>
      <c r="AE117" s="799" t="s">
        <v>2143</v>
      </c>
      <c r="AF117" s="801">
        <f t="shared" ref="AF117:BM117" si="4">SUMIFS(AF5:AF116,$AE$5:$AE$116,"12,000人")</f>
        <v>0</v>
      </c>
      <c r="AG117" s="801">
        <f t="shared" si="4"/>
        <v>0</v>
      </c>
      <c r="AH117" s="801">
        <f t="shared" si="4"/>
        <v>0</v>
      </c>
      <c r="AI117" s="801">
        <f t="shared" si="4"/>
        <v>0</v>
      </c>
      <c r="AJ117" s="801">
        <f t="shared" si="4"/>
        <v>0</v>
      </c>
      <c r="AK117" s="801">
        <f t="shared" si="4"/>
        <v>374</v>
      </c>
      <c r="AL117" s="801">
        <f t="shared" si="4"/>
        <v>606</v>
      </c>
      <c r="AM117" s="801">
        <f t="shared" si="4"/>
        <v>1302</v>
      </c>
      <c r="AN117" s="801">
        <f t="shared" si="4"/>
        <v>1552</v>
      </c>
      <c r="AO117" s="801">
        <f t="shared" si="4"/>
        <v>1588</v>
      </c>
      <c r="AP117" s="801">
        <f t="shared" si="4"/>
        <v>3208</v>
      </c>
      <c r="AQ117" s="801">
        <f t="shared" si="4"/>
        <v>3711</v>
      </c>
      <c r="AR117" s="801">
        <f t="shared" si="4"/>
        <v>7442</v>
      </c>
      <c r="AS117" s="801">
        <f t="shared" si="4"/>
        <v>7442</v>
      </c>
      <c r="AT117" s="801">
        <f t="shared" si="4"/>
        <v>7985</v>
      </c>
      <c r="AU117" s="801">
        <f t="shared" si="4"/>
        <v>7985</v>
      </c>
      <c r="AV117" s="801">
        <f t="shared" si="4"/>
        <v>8698</v>
      </c>
      <c r="AW117" s="801">
        <f t="shared" si="4"/>
        <v>10117</v>
      </c>
      <c r="AX117" s="801">
        <f t="shared" si="4"/>
        <v>10429</v>
      </c>
      <c r="AY117" s="801">
        <f t="shared" si="4"/>
        <v>10929</v>
      </c>
      <c r="AZ117" s="801">
        <f t="shared" si="4"/>
        <v>10837</v>
      </c>
      <c r="BA117" s="801">
        <f t="shared" si="4"/>
        <v>10316</v>
      </c>
      <c r="BB117" s="801">
        <f t="shared" si="4"/>
        <v>10221</v>
      </c>
      <c r="BC117" s="801">
        <f t="shared" si="4"/>
        <v>9759</v>
      </c>
      <c r="BD117" s="801">
        <f t="shared" si="4"/>
        <v>9888</v>
      </c>
      <c r="BE117" s="801">
        <f t="shared" si="4"/>
        <v>8784</v>
      </c>
      <c r="BF117" s="801">
        <f t="shared" si="4"/>
        <v>8792</v>
      </c>
      <c r="BG117" s="801">
        <f t="shared" si="4"/>
        <v>6146</v>
      </c>
      <c r="BH117" s="801">
        <f t="shared" si="4"/>
        <v>5527</v>
      </c>
      <c r="BI117" s="801">
        <f t="shared" si="4"/>
        <v>5062</v>
      </c>
      <c r="BJ117" s="801">
        <f t="shared" si="4"/>
        <v>4314</v>
      </c>
      <c r="BK117" s="801">
        <f t="shared" si="4"/>
        <v>13</v>
      </c>
      <c r="BL117" s="801">
        <f t="shared" si="4"/>
        <v>0</v>
      </c>
      <c r="BM117" s="801">
        <f t="shared" si="4"/>
        <v>0</v>
      </c>
      <c r="BN117" s="805">
        <f>SUMIFS(BN4:BN115,$AE$5:$AE$116,"12,000人")</f>
        <v>0</v>
      </c>
      <c r="BO117" s="782"/>
      <c r="BP117" s="782"/>
      <c r="BQ117" s="782"/>
    </row>
    <row r="118" spans="1:69" s="786" customFormat="1" ht="46" customHeight="1" thickTop="1" thickBot="1">
      <c r="A118" s="775"/>
      <c r="B118" s="775"/>
      <c r="C118" s="775"/>
      <c r="D118" s="775"/>
      <c r="E118" s="776"/>
      <c r="F118" s="776"/>
      <c r="G118" s="776"/>
      <c r="H118" s="6459"/>
      <c r="I118" s="6459"/>
      <c r="J118" s="6459"/>
      <c r="K118" s="6460"/>
      <c r="L118" s="6370" t="s">
        <v>2429</v>
      </c>
      <c r="M118" s="6371"/>
      <c r="N118" s="6371"/>
      <c r="O118" s="6372"/>
      <c r="P118" s="2931">
        <f>COUNTIF(P$48:P$97,"○")</f>
        <v>23</v>
      </c>
      <c r="Q118" s="796">
        <f>COUNTIF(Q$48:Q$97,"○")</f>
        <v>6</v>
      </c>
      <c r="R118" s="775"/>
      <c r="S118" s="785"/>
      <c r="U118" s="782"/>
      <c r="V118" s="783" t="s">
        <v>2497</v>
      </c>
      <c r="W118" s="782"/>
      <c r="X118" s="782"/>
      <c r="Y118" s="784"/>
      <c r="Z118" s="784"/>
      <c r="AA118" s="798"/>
      <c r="AB118" s="2938"/>
      <c r="AC118" s="2938"/>
      <c r="AD118" s="2930"/>
      <c r="AE118" s="809"/>
      <c r="AF118" s="783"/>
      <c r="AG118" s="810"/>
      <c r="AH118" s="810"/>
      <c r="AI118" s="783"/>
      <c r="AJ118" s="783"/>
      <c r="AK118" s="783"/>
      <c r="AL118" s="783"/>
      <c r="AM118" s="783"/>
      <c r="AN118" s="810"/>
      <c r="AO118" s="810"/>
      <c r="AP118" s="783"/>
      <c r="AQ118" s="783"/>
      <c r="AR118" s="783"/>
      <c r="AS118" s="783"/>
      <c r="AT118" s="783"/>
      <c r="AU118" s="810"/>
      <c r="AV118" s="810"/>
      <c r="AW118" s="810"/>
      <c r="AX118" s="783"/>
      <c r="AY118" s="810"/>
      <c r="AZ118" s="783"/>
      <c r="BA118" s="783"/>
      <c r="BB118" s="810"/>
      <c r="BC118" s="810"/>
      <c r="BD118" s="783"/>
      <c r="BE118" s="783"/>
      <c r="BF118" s="783"/>
      <c r="BG118" s="783"/>
      <c r="BH118" s="783"/>
      <c r="BI118" s="810"/>
      <c r="BJ118" s="810"/>
      <c r="BK118" s="783"/>
      <c r="BL118" s="783"/>
      <c r="BM118" s="783"/>
      <c r="BN118" s="811" t="s">
        <v>2431</v>
      </c>
      <c r="BO118" s="782"/>
      <c r="BP118" s="782"/>
      <c r="BQ118" s="782"/>
    </row>
    <row r="119" spans="1:69" s="786" customFormat="1" ht="46" customHeight="1" thickTop="1" thickBot="1">
      <c r="A119" s="775"/>
      <c r="B119" s="775"/>
      <c r="C119" s="775"/>
      <c r="D119" s="775"/>
      <c r="E119" s="776"/>
      <c r="F119" s="776"/>
      <c r="G119" s="776"/>
      <c r="H119" s="6459"/>
      <c r="I119" s="6459"/>
      <c r="J119" s="6459"/>
      <c r="K119" s="6460"/>
      <c r="L119" s="6373" t="s">
        <v>2430</v>
      </c>
      <c r="M119" s="6374"/>
      <c r="N119" s="6374"/>
      <c r="O119" s="6375"/>
      <c r="P119" s="2932">
        <f>COUNTIF(P$98:P$116,"○")</f>
        <v>9</v>
      </c>
      <c r="Q119" s="807">
        <f>COUNTIF(Q$98:Q$116,"○")</f>
        <v>1</v>
      </c>
      <c r="R119" s="775"/>
      <c r="S119" s="785"/>
      <c r="T119" s="781"/>
      <c r="U119" s="782"/>
      <c r="V119" s="783"/>
      <c r="W119" s="782"/>
      <c r="X119" s="782"/>
      <c r="Y119" s="784"/>
      <c r="Z119" s="784"/>
      <c r="AA119" s="785"/>
      <c r="AB119" s="2939"/>
      <c r="AC119" s="2939"/>
      <c r="AD119" s="785"/>
      <c r="AE119" s="809"/>
      <c r="AF119" s="783"/>
      <c r="AG119" s="810"/>
      <c r="AH119" s="810"/>
      <c r="AI119" s="783"/>
      <c r="AJ119" s="783"/>
      <c r="AK119" s="783"/>
      <c r="AL119" s="783"/>
      <c r="AM119" s="783"/>
      <c r="AN119" s="810"/>
      <c r="AO119" s="810"/>
      <c r="AP119" s="783"/>
      <c r="AQ119" s="783"/>
      <c r="AR119" s="783"/>
      <c r="AS119" s="783"/>
      <c r="AT119" s="783"/>
      <c r="AU119" s="810"/>
      <c r="AV119" s="810"/>
      <c r="AW119" s="810"/>
      <c r="AX119" s="783"/>
      <c r="AY119" s="810"/>
      <c r="AZ119" s="783"/>
      <c r="BA119" s="783"/>
      <c r="BB119" s="810"/>
      <c r="BC119" s="810"/>
      <c r="BD119" s="783"/>
      <c r="BE119" s="783"/>
      <c r="BF119" s="783"/>
      <c r="BG119" s="783"/>
      <c r="BH119" s="783"/>
      <c r="BI119" s="810"/>
      <c r="BJ119" s="810"/>
      <c r="BK119" s="783"/>
      <c r="BL119" s="783"/>
      <c r="BM119" s="783"/>
      <c r="BN119" s="811" t="s">
        <v>2431</v>
      </c>
      <c r="BO119" s="812"/>
      <c r="BP119" s="782"/>
      <c r="BQ119" s="782"/>
    </row>
    <row r="120" spans="1:69" s="786" customFormat="1" ht="46" customHeight="1" thickTop="1" thickBot="1">
      <c r="A120" s="775"/>
      <c r="B120" s="775"/>
      <c r="C120" s="775"/>
      <c r="D120" s="775"/>
      <c r="E120" s="776"/>
      <c r="F120" s="776"/>
      <c r="G120" s="776"/>
      <c r="H120" s="6459"/>
      <c r="I120" s="6459"/>
      <c r="J120" s="6459"/>
      <c r="K120" s="6460"/>
      <c r="L120" s="6376" t="s">
        <v>2432</v>
      </c>
      <c r="M120" s="6377"/>
      <c r="N120" s="6377"/>
      <c r="O120" s="6378"/>
      <c r="P120" s="2933">
        <f>SUM(P117:P119)</f>
        <v>40</v>
      </c>
      <c r="Q120" s="814">
        <f>SUM(Q117:Q119)</f>
        <v>9</v>
      </c>
      <c r="R120" s="775"/>
      <c r="S120" s="785"/>
      <c r="T120" s="781"/>
      <c r="U120" s="782"/>
      <c r="V120" s="783"/>
      <c r="W120" s="782"/>
      <c r="X120" s="782"/>
      <c r="Y120" s="784"/>
      <c r="Z120" s="784"/>
      <c r="AA120" s="785"/>
      <c r="AB120" s="2939"/>
      <c r="AC120" s="2939"/>
      <c r="AD120" s="785"/>
      <c r="AE120" s="809"/>
      <c r="AF120" s="783"/>
      <c r="AG120" s="810"/>
      <c r="AH120" s="810"/>
      <c r="AI120" s="783"/>
      <c r="AJ120" s="783"/>
      <c r="AK120" s="783"/>
      <c r="AL120" s="783"/>
      <c r="AM120" s="783"/>
      <c r="AN120" s="810"/>
      <c r="AO120" s="810"/>
      <c r="AP120" s="783"/>
      <c r="AQ120" s="783"/>
      <c r="AR120" s="783"/>
      <c r="AS120" s="783"/>
      <c r="AT120" s="783"/>
      <c r="AU120" s="810"/>
      <c r="AV120" s="810"/>
      <c r="AW120" s="810"/>
      <c r="AX120" s="783"/>
      <c r="AY120" s="810"/>
      <c r="AZ120" s="783"/>
      <c r="BA120" s="783"/>
      <c r="BB120" s="810"/>
      <c r="BC120" s="810"/>
      <c r="BD120" s="783"/>
      <c r="BE120" s="783"/>
      <c r="BF120" s="783"/>
      <c r="BG120" s="783"/>
      <c r="BH120" s="783"/>
      <c r="BI120" s="810"/>
      <c r="BJ120" s="810"/>
      <c r="BK120" s="783"/>
      <c r="BL120" s="783"/>
      <c r="BM120" s="783"/>
      <c r="BN120" s="783"/>
      <c r="BO120" s="782"/>
      <c r="BP120" s="782"/>
      <c r="BQ120" s="782"/>
    </row>
    <row r="121" spans="1:69" s="786" customFormat="1" ht="42" customHeight="1" thickTop="1">
      <c r="A121" s="816"/>
      <c r="B121" s="785"/>
      <c r="C121" s="785"/>
      <c r="D121" s="817"/>
      <c r="E121" s="785"/>
      <c r="F121" s="818"/>
      <c r="G121" s="818"/>
      <c r="H121" s="819"/>
      <c r="I121" s="820"/>
      <c r="J121" s="820"/>
      <c r="K121" s="819"/>
      <c r="L121" s="820"/>
      <c r="M121" s="820"/>
      <c r="N121" s="820"/>
      <c r="O121" s="820"/>
      <c r="P121" s="821"/>
      <c r="Q121" s="821"/>
      <c r="R121" s="822"/>
      <c r="S121" s="827"/>
      <c r="T121" s="828"/>
      <c r="U121" s="829"/>
      <c r="V121" s="830"/>
      <c r="W121" s="829"/>
      <c r="X121" s="829"/>
      <c r="Y121" s="784"/>
      <c r="Z121" s="784"/>
      <c r="AA121" s="831"/>
      <c r="AB121" s="2937"/>
      <c r="AC121" s="2937"/>
      <c r="AD121" s="831"/>
      <c r="AE121" s="832"/>
      <c r="AF121" s="830"/>
      <c r="AG121" s="833"/>
      <c r="AH121" s="833"/>
      <c r="AI121" s="830"/>
      <c r="AJ121" s="830"/>
      <c r="AK121" s="830"/>
      <c r="AL121" s="830"/>
      <c r="AM121" s="830"/>
      <c r="AN121" s="833"/>
      <c r="AO121" s="833"/>
      <c r="AP121" s="830"/>
      <c r="AQ121" s="830"/>
      <c r="AR121" s="830"/>
      <c r="AS121" s="830"/>
      <c r="AT121" s="830"/>
      <c r="AU121" s="833"/>
      <c r="AV121" s="833"/>
      <c r="AW121" s="833"/>
      <c r="AX121" s="830"/>
      <c r="AY121" s="833"/>
      <c r="AZ121" s="830"/>
      <c r="BA121" s="830"/>
      <c r="BB121" s="833"/>
      <c r="BC121" s="833"/>
      <c r="BD121" s="830"/>
      <c r="BE121" s="830"/>
      <c r="BF121" s="830"/>
      <c r="BG121" s="830"/>
      <c r="BH121" s="830"/>
      <c r="BI121" s="833"/>
      <c r="BJ121" s="833"/>
      <c r="BK121" s="830"/>
      <c r="BL121" s="830"/>
      <c r="BM121" s="830"/>
      <c r="BN121" s="830"/>
      <c r="BO121" s="782"/>
      <c r="BP121" s="782"/>
      <c r="BQ121" s="782"/>
    </row>
    <row r="122" spans="1:69" s="786" customFormat="1" ht="42" hidden="1" customHeight="1" thickTop="1">
      <c r="A122" s="816"/>
      <c r="B122" s="782"/>
      <c r="C122" s="834"/>
      <c r="D122" s="817"/>
      <c r="E122" s="782" t="s">
        <v>2433</v>
      </c>
      <c r="F122" s="818"/>
      <c r="G122" s="818"/>
      <c r="H122" s="819"/>
      <c r="I122" s="820"/>
      <c r="J122" s="820"/>
      <c r="K122" s="819"/>
      <c r="L122" s="820"/>
      <c r="M122" s="820"/>
      <c r="N122" s="820"/>
      <c r="O122" s="820"/>
      <c r="P122" s="834">
        <f>COUNTIF(P$5:P$116,"○")-P120</f>
        <v>1</v>
      </c>
      <c r="Q122" s="834">
        <f>COUNTIF(Q$5:Q$116,"○")-Q120</f>
        <v>0</v>
      </c>
      <c r="R122" s="822"/>
      <c r="S122" s="827"/>
      <c r="T122" s="828"/>
      <c r="U122" s="830" t="s">
        <v>2434</v>
      </c>
      <c r="V122" s="826">
        <f>SUM(V5:V116)-'[51]競技情報DB(12,000人ver)'!D100</f>
        <v>0</v>
      </c>
      <c r="W122" s="830"/>
      <c r="X122" s="830"/>
      <c r="Y122" s="835"/>
      <c r="Z122" s="830" t="s">
        <v>2434</v>
      </c>
      <c r="AA122" s="831" t="s">
        <v>2174</v>
      </c>
      <c r="AB122" s="2937"/>
      <c r="AC122" s="2937"/>
      <c r="AD122" s="831"/>
      <c r="AE122" s="832" t="s">
        <v>2174</v>
      </c>
      <c r="AF122" s="836">
        <f>+'[51]競技情報DB(15,000人ver)'!E112-AF117</f>
        <v>0</v>
      </c>
      <c r="AG122" s="837">
        <f>+'[51]競技情報DB(15,000人ver)'!F112-AG117</f>
        <v>0</v>
      </c>
      <c r="AH122" s="837">
        <f>+'[51]競技情報DB(15,000人ver)'!G112-AH117</f>
        <v>0</v>
      </c>
      <c r="AI122" s="836">
        <f>+'[51]競技情報DB(15,000人ver)'!H112-AI117</f>
        <v>0</v>
      </c>
      <c r="AJ122" s="836">
        <f>+'[51]競技情報DB(15,000人ver)'!I112-AJ117</f>
        <v>0</v>
      </c>
      <c r="AK122" s="836">
        <f>+'[51]競技情報DB(15,000人ver)'!J112-AK117</f>
        <v>682</v>
      </c>
      <c r="AL122" s="836">
        <f>+'[51]競技情報DB(15,000人ver)'!K112-AL117</f>
        <v>450</v>
      </c>
      <c r="AM122" s="836">
        <f>+'[51]競技情報DB(15,000人ver)'!L112-AM117</f>
        <v>-246</v>
      </c>
      <c r="AN122" s="837">
        <f>+'[51]競技情報DB(15,000人ver)'!M112-AN117</f>
        <v>242</v>
      </c>
      <c r="AO122" s="837">
        <f>+'[51]競技情報DB(15,000人ver)'!N112-AO117</f>
        <v>278</v>
      </c>
      <c r="AP122" s="836">
        <f>+'[51]競技情報DB(15,000人ver)'!O112-AP117</f>
        <v>-1144</v>
      </c>
      <c r="AQ122" s="836">
        <f>+'[51]競技情報DB(15,000人ver)'!P112-AQ117</f>
        <v>-580</v>
      </c>
      <c r="AR122" s="836">
        <f>+'[51]競技情報DB(15,000人ver)'!Q112-AR117</f>
        <v>-4161</v>
      </c>
      <c r="AS122" s="836">
        <f>+'[51]競技情報DB(15,000人ver)'!R112-AS117</f>
        <v>115</v>
      </c>
      <c r="AT122" s="836">
        <f>+'[51]競技情報DB(15,000人ver)'!S112-AT117</f>
        <v>652</v>
      </c>
      <c r="AU122" s="837">
        <f>+'[51]競技情報DB(15,000人ver)'!T112-AU117</f>
        <v>1563</v>
      </c>
      <c r="AV122" s="837">
        <f>+'[51]競技情報DB(15,000人ver)'!U112-AV117</f>
        <v>1795</v>
      </c>
      <c r="AW122" s="837">
        <f>+'[51]競技情報DB(15,000人ver)'!V112-AW117</f>
        <v>2010</v>
      </c>
      <c r="AX122" s="836">
        <f>+'[51]競技情報DB(15,000人ver)'!W112-AX117</f>
        <v>1802</v>
      </c>
      <c r="AY122" s="837">
        <f>+'[51]競技情報DB(15,000人ver)'!X112-AY117</f>
        <v>2048</v>
      </c>
      <c r="AZ122" s="836">
        <f>+'[51]競技情報DB(15,000人ver)'!Y112-AZ117</f>
        <v>2882</v>
      </c>
      <c r="BA122" s="836">
        <f>+'[51]競技情報DB(15,000人ver)'!Z112-BA117</f>
        <v>2903</v>
      </c>
      <c r="BB122" s="837">
        <f>+'[51]競技情報DB(15,000人ver)'!AA112-BB117</f>
        <v>2764</v>
      </c>
      <c r="BC122" s="837">
        <f>+'[51]競技情報DB(15,000人ver)'!AB112-BC117</f>
        <v>2334</v>
      </c>
      <c r="BD122" s="836">
        <f>+'[51]競技情報DB(15,000人ver)'!AC112-BD117</f>
        <v>2577</v>
      </c>
      <c r="BE122" s="836">
        <f>+'[51]競技情報DB(15,000人ver)'!AD112-BE117</f>
        <v>2553</v>
      </c>
      <c r="BF122" s="836">
        <f>+'[51]競技情報DB(15,000人ver)'!AE112-BF117</f>
        <v>2413</v>
      </c>
      <c r="BG122" s="836">
        <f>+'[51]競技情報DB(15,000人ver)'!AF112-BG117</f>
        <v>1967</v>
      </c>
      <c r="BH122" s="836">
        <f>+'[51]競技情報DB(15,000人ver)'!AG112-BH117</f>
        <v>1773</v>
      </c>
      <c r="BI122" s="837">
        <f>+'[51]競技情報DB(15,000人ver)'!AH112-BI117</f>
        <v>1782</v>
      </c>
      <c r="BJ122" s="837">
        <f>+'[51]競技情報DB(15,000人ver)'!AI112-BJ117</f>
        <v>1631</v>
      </c>
      <c r="BK122" s="836">
        <f>+'[51]競技情報DB(15,000人ver)'!AJ112-BK117</f>
        <v>11</v>
      </c>
      <c r="BL122" s="836">
        <f>+'[51]競技情報DB(15,000人ver)'!AK112-BL117</f>
        <v>0</v>
      </c>
      <c r="BM122" s="836">
        <f>+'[51]競技情報DB(15,000人ver)'!AL112-BM117</f>
        <v>0</v>
      </c>
      <c r="BN122" s="836">
        <f>+'[51]競技情報DB(15,000人ver)'!AM112-BN117</f>
        <v>0</v>
      </c>
      <c r="BO122" s="782"/>
      <c r="BP122" s="782"/>
      <c r="BQ122" s="782"/>
    </row>
    <row r="123" spans="1:69" s="786" customFormat="1" ht="42" customHeight="1">
      <c r="A123" s="816"/>
      <c r="B123" s="785"/>
      <c r="C123" s="785"/>
      <c r="D123" s="817"/>
      <c r="E123" s="785"/>
      <c r="F123" s="818"/>
      <c r="G123" s="818"/>
      <c r="H123" s="819"/>
      <c r="I123" s="820"/>
      <c r="J123" s="820"/>
      <c r="K123" s="819"/>
      <c r="L123" s="820"/>
      <c r="M123" s="820"/>
      <c r="N123" s="820"/>
      <c r="O123" s="820"/>
      <c r="P123" s="821"/>
      <c r="Q123" s="821"/>
      <c r="R123" s="822"/>
      <c r="S123" s="827"/>
      <c r="T123" s="828"/>
      <c r="U123" s="2934" t="s">
        <v>2433</v>
      </c>
      <c r="V123" s="2934">
        <f>SUM(V5:V116)-'[51]競技情報DB(12,000人ver)'!D100</f>
        <v>0</v>
      </c>
      <c r="W123" s="829"/>
      <c r="X123" s="829"/>
      <c r="Y123" s="835"/>
      <c r="Z123" s="835"/>
      <c r="AA123" s="831" t="s">
        <v>2175</v>
      </c>
      <c r="AB123" s="2937"/>
      <c r="AC123" s="2937"/>
      <c r="AD123" s="831"/>
      <c r="AE123" s="832" t="s">
        <v>2175</v>
      </c>
      <c r="AF123" s="837">
        <f>+'[51]競技情報DB(12,000人ver)'!E100-AF117</f>
        <v>0</v>
      </c>
      <c r="AG123" s="837">
        <f>+'[51]競技情報DB(12,000人ver)'!F100-AG117</f>
        <v>0</v>
      </c>
      <c r="AH123" s="837">
        <f>+'[51]競技情報DB(12,000人ver)'!G100-AH117</f>
        <v>0</v>
      </c>
      <c r="AI123" s="837">
        <f>+'[51]競技情報DB(12,000人ver)'!H100-AI117</f>
        <v>0</v>
      </c>
      <c r="AJ123" s="837">
        <f>+'[51]競技情報DB(12,000人ver)'!I100-AJ117</f>
        <v>0</v>
      </c>
      <c r="AK123" s="837">
        <f>+'[51]競技情報DB(12,000人ver)'!J100-AK117</f>
        <v>0</v>
      </c>
      <c r="AL123" s="837">
        <f>+'[51]競技情報DB(12,000人ver)'!K100-AL117</f>
        <v>0</v>
      </c>
      <c r="AM123" s="837">
        <f>+'[51]競技情報DB(12,000人ver)'!L100-AM117</f>
        <v>0</v>
      </c>
      <c r="AN123" s="837">
        <f>+'[51]競技情報DB(12,000人ver)'!M100-AN117</f>
        <v>0</v>
      </c>
      <c r="AO123" s="837">
        <f>+'[51]競技情報DB(12,000人ver)'!N100-AO117</f>
        <v>0</v>
      </c>
      <c r="AP123" s="837">
        <f>+'[51]競技情報DB(12,000人ver)'!O100-AP117</f>
        <v>0</v>
      </c>
      <c r="AQ123" s="837">
        <f>+'[51]競技情報DB(12,000人ver)'!P100-AQ117</f>
        <v>0</v>
      </c>
      <c r="AR123" s="837">
        <f>+'[51]競技情報DB(12,000人ver)'!Q100-AR117</f>
        <v>0</v>
      </c>
      <c r="AS123" s="837">
        <f>+'[51]競技情報DB(12,000人ver)'!R100-AS117</f>
        <v>0</v>
      </c>
      <c r="AT123" s="837">
        <f>+'[51]競技情報DB(12,000人ver)'!S100-AT117</f>
        <v>0</v>
      </c>
      <c r="AU123" s="837">
        <f>+'[51]競技情報DB(12,000人ver)'!T100-AU117</f>
        <v>0</v>
      </c>
      <c r="AV123" s="837">
        <f>+'[51]競技情報DB(12,000人ver)'!U100-AV117</f>
        <v>0</v>
      </c>
      <c r="AW123" s="837">
        <f>+'[51]競技情報DB(12,000人ver)'!V100-AW117</f>
        <v>0</v>
      </c>
      <c r="AX123" s="837">
        <f>+'[51]競技情報DB(12,000人ver)'!W100-AX117</f>
        <v>0</v>
      </c>
      <c r="AY123" s="837">
        <f>+'[51]競技情報DB(12,000人ver)'!X100-AY117</f>
        <v>0</v>
      </c>
      <c r="AZ123" s="837">
        <f>+'[51]競技情報DB(12,000人ver)'!Y100-AZ117</f>
        <v>0</v>
      </c>
      <c r="BA123" s="837">
        <f>+'[51]競技情報DB(12,000人ver)'!Z100-BA117</f>
        <v>0</v>
      </c>
      <c r="BB123" s="837">
        <f>+'[51]競技情報DB(12,000人ver)'!AA100-BB117</f>
        <v>0</v>
      </c>
      <c r="BC123" s="837">
        <f>+'[51]競技情報DB(12,000人ver)'!AB100-BC117</f>
        <v>0</v>
      </c>
      <c r="BD123" s="837">
        <f>+'[51]競技情報DB(12,000人ver)'!AC100-BD117</f>
        <v>0</v>
      </c>
      <c r="BE123" s="837">
        <f>+'[51]競技情報DB(12,000人ver)'!AD100-BE117</f>
        <v>0</v>
      </c>
      <c r="BF123" s="837">
        <f>+'[51]競技情報DB(12,000人ver)'!AE100-BF117</f>
        <v>0</v>
      </c>
      <c r="BG123" s="837">
        <f>+'[51]競技情報DB(12,000人ver)'!AF100-BG117</f>
        <v>0</v>
      </c>
      <c r="BH123" s="837">
        <f>+'[51]競技情報DB(12,000人ver)'!AG100-BH117</f>
        <v>0</v>
      </c>
      <c r="BI123" s="837">
        <f>+'[51]競技情報DB(12,000人ver)'!AH100-BI117</f>
        <v>0</v>
      </c>
      <c r="BJ123" s="837">
        <f>+'[51]競技情報DB(12,000人ver)'!AI100-BJ117</f>
        <v>0</v>
      </c>
      <c r="BK123" s="837">
        <f>+'[51]競技情報DB(12,000人ver)'!AJ100-BK117</f>
        <v>0</v>
      </c>
      <c r="BL123" s="837">
        <f>+'[51]競技情報DB(12,000人ver)'!AK100-BL117</f>
        <v>0</v>
      </c>
      <c r="BM123" s="837">
        <f>+'[51]競技情報DB(12,000人ver)'!AL100-BM117</f>
        <v>0</v>
      </c>
      <c r="BN123" s="837">
        <f>+'[51]競技情報DB(12,000人ver)'!AM100-BN117</f>
        <v>0</v>
      </c>
      <c r="BO123" s="840"/>
      <c r="BP123" s="782"/>
      <c r="BQ123" s="782"/>
    </row>
    <row r="124" spans="1:69" s="786" customFormat="1" ht="42" customHeight="1">
      <c r="A124" s="816"/>
      <c r="B124" s="785"/>
      <c r="C124" s="785"/>
      <c r="D124" s="817"/>
      <c r="E124" s="785"/>
      <c r="F124" s="818"/>
      <c r="G124" s="818"/>
      <c r="H124" s="819"/>
      <c r="I124" s="820"/>
      <c r="J124" s="820"/>
      <c r="K124" s="819"/>
      <c r="L124" s="820"/>
      <c r="M124" s="820"/>
      <c r="N124" s="820"/>
      <c r="O124" s="820"/>
      <c r="P124" s="821"/>
      <c r="Q124" s="821"/>
      <c r="R124" s="822"/>
      <c r="S124" s="827"/>
      <c r="T124" s="828"/>
      <c r="U124" s="829"/>
      <c r="V124" s="836"/>
      <c r="W124" s="829"/>
      <c r="X124" s="829"/>
      <c r="Y124" s="835"/>
      <c r="Z124" s="835"/>
      <c r="AA124" s="831"/>
      <c r="AB124" s="2937"/>
      <c r="AC124" s="2937"/>
      <c r="AD124" s="831"/>
      <c r="AE124" s="832"/>
      <c r="AF124" s="830"/>
      <c r="AG124" s="833"/>
      <c r="AH124" s="833"/>
      <c r="AI124" s="830"/>
      <c r="AJ124" s="830"/>
      <c r="AK124" s="830"/>
      <c r="AL124" s="830"/>
      <c r="AM124" s="830"/>
      <c r="AN124" s="833"/>
      <c r="AO124" s="833"/>
      <c r="AP124" s="830"/>
      <c r="AQ124" s="830"/>
      <c r="AR124" s="830"/>
      <c r="AS124" s="830"/>
      <c r="AT124" s="830"/>
      <c r="AU124" s="833"/>
      <c r="AV124" s="833"/>
      <c r="AW124" s="833"/>
      <c r="AX124" s="830"/>
      <c r="AY124" s="833"/>
      <c r="AZ124" s="830"/>
      <c r="BA124" s="830"/>
      <c r="BB124" s="833"/>
      <c r="BC124" s="833"/>
      <c r="BD124" s="830"/>
      <c r="BE124" s="830"/>
      <c r="BF124" s="830"/>
      <c r="BG124" s="830"/>
      <c r="BH124" s="830"/>
      <c r="BI124" s="833"/>
      <c r="BJ124" s="833"/>
      <c r="BK124" s="830"/>
      <c r="BL124" s="830"/>
      <c r="BM124" s="830"/>
      <c r="BN124" s="830"/>
      <c r="BO124" s="782"/>
      <c r="BP124" s="782"/>
      <c r="BQ124" s="782"/>
    </row>
    <row r="125" spans="1:69" s="786" customFormat="1" ht="42" customHeight="1">
      <c r="A125" s="816"/>
      <c r="B125" s="785"/>
      <c r="C125" s="785"/>
      <c r="D125" s="817"/>
      <c r="E125" s="785"/>
      <c r="F125" s="818"/>
      <c r="G125" s="818"/>
      <c r="H125" s="819"/>
      <c r="I125" s="820"/>
      <c r="J125" s="820"/>
      <c r="K125" s="819"/>
      <c r="L125" s="820"/>
      <c r="M125" s="820"/>
      <c r="N125" s="820"/>
      <c r="O125" s="820"/>
      <c r="P125" s="821"/>
      <c r="Q125" s="821"/>
      <c r="R125" s="822"/>
      <c r="S125" s="827"/>
      <c r="T125" s="828"/>
      <c r="U125" s="829"/>
      <c r="V125" s="830"/>
      <c r="W125" s="829"/>
      <c r="X125" s="829"/>
      <c r="Y125" s="835"/>
      <c r="Z125" s="835"/>
      <c r="AA125" s="831"/>
      <c r="AB125" s="2937"/>
      <c r="AC125" s="2937"/>
      <c r="AD125" s="831"/>
      <c r="AE125" s="832"/>
      <c r="AF125" s="830"/>
      <c r="AG125" s="833"/>
      <c r="AH125" s="833"/>
      <c r="AI125" s="830"/>
      <c r="AJ125" s="830"/>
      <c r="AK125" s="830"/>
      <c r="AL125" s="830"/>
      <c r="AM125" s="830"/>
      <c r="AN125" s="833"/>
      <c r="AO125" s="833"/>
      <c r="AP125" s="830"/>
      <c r="AQ125" s="830"/>
      <c r="AR125" s="830"/>
      <c r="AS125" s="830"/>
      <c r="AT125" s="830"/>
      <c r="AU125" s="833"/>
      <c r="AV125" s="833"/>
      <c r="AW125" s="833"/>
      <c r="AX125" s="830"/>
      <c r="AY125" s="833"/>
      <c r="AZ125" s="830"/>
      <c r="BA125" s="830"/>
      <c r="BB125" s="833"/>
      <c r="BC125" s="833"/>
      <c r="BD125" s="830"/>
      <c r="BE125" s="830"/>
      <c r="BF125" s="830"/>
      <c r="BG125" s="830"/>
      <c r="BH125" s="830"/>
      <c r="BI125" s="833"/>
      <c r="BJ125" s="833"/>
      <c r="BK125" s="830"/>
      <c r="BL125" s="830"/>
      <c r="BM125" s="830"/>
      <c r="BN125" s="830"/>
      <c r="BO125" s="782"/>
      <c r="BP125" s="841"/>
      <c r="BQ125" s="841"/>
    </row>
    <row r="126" spans="1:69" s="786" customFormat="1" ht="42" customHeight="1">
      <c r="A126" s="816"/>
      <c r="B126" s="785"/>
      <c r="C126" s="785"/>
      <c r="D126" s="817"/>
      <c r="E126" s="785"/>
      <c r="F126" s="818"/>
      <c r="G126" s="818"/>
      <c r="H126" s="819"/>
      <c r="I126" s="820"/>
      <c r="J126" s="820"/>
      <c r="K126" s="819"/>
      <c r="L126" s="820"/>
      <c r="M126" s="820"/>
      <c r="N126" s="820"/>
      <c r="O126" s="820"/>
      <c r="P126" s="821"/>
      <c r="Q126" s="821"/>
      <c r="R126" s="822"/>
      <c r="S126" s="827"/>
      <c r="T126" s="828"/>
      <c r="U126" s="829"/>
      <c r="V126" s="830"/>
      <c r="W126" s="829"/>
      <c r="X126" s="829"/>
      <c r="Y126" s="835"/>
      <c r="Z126" s="835"/>
      <c r="AA126" s="831"/>
      <c r="AB126" s="2937"/>
      <c r="AC126" s="2937"/>
      <c r="AD126" s="831"/>
      <c r="AE126" s="832"/>
      <c r="AF126" s="830"/>
      <c r="AG126" s="833"/>
      <c r="AH126" s="833"/>
      <c r="AI126" s="830"/>
      <c r="AJ126" s="830"/>
      <c r="AK126" s="830"/>
      <c r="AL126" s="830"/>
      <c r="AM126" s="830"/>
      <c r="AN126" s="833"/>
      <c r="AO126" s="833"/>
      <c r="AP126" s="830"/>
      <c r="AQ126" s="830"/>
      <c r="AR126" s="830"/>
      <c r="AS126" s="830"/>
      <c r="AT126" s="830"/>
      <c r="AU126" s="833"/>
      <c r="AV126" s="833"/>
      <c r="AW126" s="833"/>
      <c r="AX126" s="830"/>
      <c r="AY126" s="833"/>
      <c r="AZ126" s="830"/>
      <c r="BA126" s="830"/>
      <c r="BB126" s="833"/>
      <c r="BC126" s="833"/>
      <c r="BD126" s="830"/>
      <c r="BE126" s="830"/>
      <c r="BF126" s="830"/>
      <c r="BG126" s="830"/>
      <c r="BH126" s="830"/>
      <c r="BI126" s="833"/>
      <c r="BJ126" s="833"/>
      <c r="BK126" s="830"/>
      <c r="BL126" s="830"/>
      <c r="BM126" s="830"/>
      <c r="BN126" s="830"/>
      <c r="BO126" s="782"/>
      <c r="BP126" s="841"/>
      <c r="BQ126" s="841"/>
    </row>
    <row r="127" spans="1:69" s="786" customFormat="1" ht="20.5" customHeight="1">
      <c r="A127" s="816"/>
      <c r="B127" s="197"/>
      <c r="C127" s="197"/>
      <c r="D127" s="2935"/>
      <c r="E127" s="197"/>
      <c r="F127" s="842"/>
      <c r="G127" s="842"/>
      <c r="H127" s="198"/>
      <c r="I127" s="199"/>
      <c r="J127" s="199"/>
      <c r="K127" s="198"/>
      <c r="L127" s="199"/>
      <c r="M127" s="199"/>
      <c r="N127" s="199"/>
      <c r="O127" s="199"/>
      <c r="P127" s="843"/>
      <c r="Q127" s="843"/>
      <c r="R127" s="844"/>
      <c r="S127" s="197"/>
      <c r="T127" s="202"/>
      <c r="U127" s="200"/>
      <c r="V127" s="848"/>
      <c r="W127" s="200"/>
      <c r="X127" s="200"/>
      <c r="Y127" s="849"/>
      <c r="Z127" s="849"/>
      <c r="AA127" s="850"/>
      <c r="AB127" s="2940"/>
      <c r="AC127" s="2940"/>
      <c r="AD127" s="850"/>
      <c r="AE127" s="843"/>
      <c r="AF127" s="848"/>
      <c r="AG127" s="201"/>
      <c r="AH127" s="201"/>
      <c r="AI127" s="848"/>
      <c r="AJ127" s="848"/>
      <c r="AK127" s="848"/>
      <c r="AL127" s="848"/>
      <c r="AM127" s="848"/>
      <c r="AN127" s="201"/>
      <c r="AO127" s="201"/>
      <c r="AP127" s="848"/>
      <c r="AQ127" s="848"/>
      <c r="AR127" s="848"/>
      <c r="AS127" s="848"/>
      <c r="AT127" s="848"/>
      <c r="AU127" s="201"/>
      <c r="AV127" s="201"/>
      <c r="AW127" s="201"/>
      <c r="AX127" s="848"/>
      <c r="AY127" s="201"/>
      <c r="AZ127" s="848"/>
      <c r="BA127" s="848"/>
      <c r="BB127" s="201"/>
      <c r="BC127" s="201"/>
      <c r="BD127" s="848"/>
      <c r="BE127" s="848"/>
      <c r="BF127" s="848"/>
      <c r="BG127" s="848"/>
      <c r="BH127" s="848"/>
      <c r="BI127" s="201"/>
      <c r="BJ127" s="201"/>
      <c r="BK127" s="848"/>
      <c r="BL127" s="848"/>
      <c r="BM127" s="848"/>
      <c r="BN127" s="848"/>
      <c r="BO127" s="847"/>
      <c r="BP127" s="851"/>
      <c r="BQ127" s="851"/>
    </row>
    <row r="128" spans="1:69" s="786" customFormat="1" ht="20.5" customHeight="1">
      <c r="A128" s="816"/>
      <c r="B128" s="197"/>
      <c r="C128" s="197"/>
      <c r="D128" s="850"/>
      <c r="E128" s="197"/>
      <c r="F128" s="842"/>
      <c r="G128" s="842"/>
      <c r="H128" s="198"/>
      <c r="I128" s="852">
        <f>COUNTIF($I$25:$I$116,"宿泊施設")</f>
        <v>0</v>
      </c>
      <c r="J128" s="852">
        <f>COUNTIF($I$25:$I$116,"宿泊施設")</f>
        <v>0</v>
      </c>
      <c r="K128" s="853">
        <f>COUNTIF($I$25:$I$116,"宿泊施設")</f>
        <v>0</v>
      </c>
      <c r="L128" s="199"/>
      <c r="M128" s="199"/>
      <c r="N128" s="852" t="s">
        <v>2436</v>
      </c>
      <c r="O128" s="199"/>
      <c r="P128" s="846"/>
      <c r="Q128" s="846"/>
      <c r="R128" s="844" t="s">
        <v>2136</v>
      </c>
      <c r="S128" s="197"/>
      <c r="T128" s="202"/>
      <c r="U128" s="200"/>
      <c r="V128" s="848"/>
      <c r="W128" s="200"/>
      <c r="X128" s="200"/>
      <c r="Y128" s="849"/>
      <c r="Z128" s="849"/>
      <c r="AA128" s="850"/>
      <c r="AB128" s="2940"/>
      <c r="AC128" s="2940"/>
      <c r="AD128" s="850"/>
      <c r="AE128" s="843"/>
      <c r="AF128" s="848"/>
      <c r="AG128" s="201"/>
      <c r="AH128" s="201"/>
      <c r="AI128" s="848"/>
      <c r="AJ128" s="848"/>
      <c r="AK128" s="848"/>
      <c r="AL128" s="848"/>
      <c r="AM128" s="848"/>
      <c r="AN128" s="201"/>
      <c r="AO128" s="201"/>
      <c r="AP128" s="848"/>
      <c r="AQ128" s="848"/>
      <c r="AR128" s="848"/>
      <c r="AS128" s="848"/>
      <c r="AT128" s="848"/>
      <c r="AU128" s="201"/>
      <c r="AV128" s="201"/>
      <c r="AW128" s="201"/>
      <c r="AX128" s="848"/>
      <c r="AY128" s="201"/>
      <c r="AZ128" s="848"/>
      <c r="BA128" s="848"/>
      <c r="BB128" s="201"/>
      <c r="BC128" s="201"/>
      <c r="BD128" s="848"/>
      <c r="BE128" s="848"/>
      <c r="BF128" s="848"/>
      <c r="BG128" s="848"/>
      <c r="BH128" s="848"/>
      <c r="BI128" s="201"/>
      <c r="BJ128" s="201"/>
      <c r="BK128" s="848"/>
      <c r="BL128" s="848"/>
      <c r="BM128" s="848"/>
      <c r="BN128" s="848"/>
      <c r="BO128" s="847"/>
      <c r="BP128" s="851"/>
      <c r="BQ128" s="851"/>
    </row>
    <row r="129" spans="1:69" s="786" customFormat="1" ht="20.5" customHeight="1">
      <c r="A129" s="816"/>
      <c r="B129" s="197"/>
      <c r="C129" s="197"/>
      <c r="D129" s="850"/>
      <c r="E129" s="197"/>
      <c r="F129" s="842"/>
      <c r="G129" s="842"/>
      <c r="H129" s="198"/>
      <c r="I129" s="852">
        <f>COUNTIF($I$25:$I$116,"ケータリング")</f>
        <v>0</v>
      </c>
      <c r="J129" s="852">
        <f>COUNTIF($I$25:$I$116,"ケータリング")</f>
        <v>0</v>
      </c>
      <c r="K129" s="853">
        <f>COUNTIF($I$25:$I$116,"ケータリング")</f>
        <v>0</v>
      </c>
      <c r="L129" s="199"/>
      <c r="M129" s="199"/>
      <c r="N129" s="852" t="s">
        <v>2438</v>
      </c>
      <c r="O129" s="199"/>
      <c r="P129" s="846"/>
      <c r="Q129" s="846"/>
      <c r="R129" s="844" t="s">
        <v>2440</v>
      </c>
      <c r="S129" s="197"/>
      <c r="T129" s="202"/>
      <c r="U129" s="200"/>
      <c r="V129" s="848"/>
      <c r="W129" s="200"/>
      <c r="X129" s="200"/>
      <c r="Y129" s="849"/>
      <c r="Z129" s="849"/>
      <c r="AA129" s="850"/>
      <c r="AB129" s="2940"/>
      <c r="AC129" s="2940"/>
      <c r="AD129" s="850"/>
      <c r="AE129" s="843"/>
      <c r="AF129" s="848"/>
      <c r="AG129" s="201"/>
      <c r="AH129" s="201"/>
      <c r="AI129" s="848"/>
      <c r="AJ129" s="848"/>
      <c r="AK129" s="848"/>
      <c r="AL129" s="848"/>
      <c r="AM129" s="848"/>
      <c r="AN129" s="201"/>
      <c r="AO129" s="201"/>
      <c r="AP129" s="848"/>
      <c r="AQ129" s="848"/>
      <c r="AR129" s="848"/>
      <c r="AS129" s="848"/>
      <c r="AT129" s="848"/>
      <c r="AU129" s="201"/>
      <c r="AV129" s="201"/>
      <c r="AW129" s="201"/>
      <c r="AX129" s="848"/>
      <c r="AY129" s="201"/>
      <c r="AZ129" s="848"/>
      <c r="BA129" s="848"/>
      <c r="BB129" s="201"/>
      <c r="BC129" s="201"/>
      <c r="BD129" s="848"/>
      <c r="BE129" s="848"/>
      <c r="BF129" s="848"/>
      <c r="BG129" s="848"/>
      <c r="BH129" s="848"/>
      <c r="BI129" s="201"/>
      <c r="BJ129" s="201"/>
      <c r="BK129" s="848"/>
      <c r="BL129" s="848"/>
      <c r="BM129" s="848"/>
      <c r="BN129" s="848"/>
      <c r="BO129" s="847"/>
      <c r="BP129" s="851"/>
      <c r="BQ129" s="851"/>
    </row>
    <row r="130" spans="1:69" s="786" customFormat="1" ht="20.5" customHeight="1">
      <c r="A130" s="816"/>
      <c r="B130" s="197"/>
      <c r="C130" s="197"/>
      <c r="D130" s="850"/>
      <c r="E130" s="197"/>
      <c r="F130" s="842"/>
      <c r="G130" s="842"/>
      <c r="H130" s="198"/>
      <c r="I130" s="199"/>
      <c r="J130" s="199"/>
      <c r="K130" s="198"/>
      <c r="L130" s="199"/>
      <c r="M130" s="199"/>
      <c r="N130" s="199"/>
      <c r="O130" s="199"/>
      <c r="P130" s="846"/>
      <c r="Q130" s="846"/>
      <c r="R130" s="844" t="s">
        <v>2498</v>
      </c>
      <c r="S130" s="197"/>
      <c r="T130" s="202"/>
      <c r="U130" s="200"/>
      <c r="V130" s="848"/>
      <c r="W130" s="200"/>
      <c r="X130" s="200"/>
      <c r="Y130" s="849"/>
      <c r="Z130" s="849"/>
      <c r="AA130" s="850"/>
      <c r="AB130" s="2940"/>
      <c r="AC130" s="2940"/>
      <c r="AD130" s="850"/>
      <c r="AE130" s="843"/>
      <c r="AF130" s="848"/>
      <c r="AG130" s="201"/>
      <c r="AH130" s="201"/>
      <c r="AI130" s="848"/>
      <c r="AJ130" s="848"/>
      <c r="AK130" s="848"/>
      <c r="AL130" s="848"/>
      <c r="AM130" s="848"/>
      <c r="AN130" s="201"/>
      <c r="AO130" s="201"/>
      <c r="AP130" s="848"/>
      <c r="AQ130" s="848"/>
      <c r="AR130" s="848"/>
      <c r="AS130" s="848"/>
      <c r="AT130" s="848"/>
      <c r="AU130" s="201"/>
      <c r="AV130" s="201"/>
      <c r="AW130" s="201"/>
      <c r="AX130" s="848"/>
      <c r="AY130" s="201"/>
      <c r="AZ130" s="848"/>
      <c r="BA130" s="848"/>
      <c r="BB130" s="201"/>
      <c r="BC130" s="201"/>
      <c r="BD130" s="848"/>
      <c r="BE130" s="848"/>
      <c r="BF130" s="848"/>
      <c r="BG130" s="848"/>
      <c r="BH130" s="848"/>
      <c r="BI130" s="201"/>
      <c r="BJ130" s="201"/>
      <c r="BK130" s="848"/>
      <c r="BL130" s="848"/>
      <c r="BM130" s="848"/>
      <c r="BN130" s="848"/>
      <c r="BO130" s="847"/>
      <c r="BP130" s="851"/>
      <c r="BQ130" s="851"/>
    </row>
    <row r="131" spans="1:69">
      <c r="R131" s="844" t="s">
        <v>2484</v>
      </c>
    </row>
    <row r="143" spans="1:69" s="842" customFormat="1">
      <c r="A143" s="197"/>
      <c r="B143" s="197"/>
      <c r="C143" s="197"/>
      <c r="D143" s="854"/>
      <c r="E143" s="855"/>
      <c r="H143" s="198"/>
      <c r="I143" s="199"/>
      <c r="J143" s="199"/>
      <c r="K143" s="198"/>
      <c r="L143" s="199"/>
      <c r="M143" s="199"/>
      <c r="N143" s="199"/>
      <c r="O143" s="199"/>
      <c r="P143" s="197"/>
      <c r="Q143" s="197"/>
      <c r="R143" s="844"/>
      <c r="S143" s="197"/>
      <c r="T143" s="202"/>
      <c r="U143" s="200"/>
      <c r="V143" s="858"/>
      <c r="W143" s="200"/>
      <c r="X143" s="200"/>
      <c r="Y143" s="859"/>
      <c r="Z143" s="859"/>
      <c r="AA143" s="854"/>
      <c r="AB143" s="2941"/>
      <c r="AC143" s="2941"/>
      <c r="AD143" s="854"/>
      <c r="AE143" s="860"/>
      <c r="AF143" s="858"/>
      <c r="AG143" s="861"/>
      <c r="AH143" s="861"/>
      <c r="AI143" s="858"/>
      <c r="AJ143" s="858"/>
      <c r="AK143" s="858"/>
      <c r="AL143" s="858"/>
      <c r="AM143" s="858"/>
      <c r="AN143" s="861"/>
      <c r="AO143" s="861"/>
      <c r="AP143" s="858"/>
      <c r="AQ143" s="858"/>
      <c r="AR143" s="858"/>
      <c r="AS143" s="858"/>
      <c r="AT143" s="858"/>
      <c r="AU143" s="861"/>
      <c r="AV143" s="861"/>
      <c r="AW143" s="861"/>
      <c r="AX143" s="858"/>
      <c r="AY143" s="861"/>
      <c r="AZ143" s="858"/>
      <c r="BA143" s="858"/>
      <c r="BB143" s="861"/>
      <c r="BC143" s="861"/>
      <c r="BD143" s="858"/>
      <c r="BE143" s="858"/>
      <c r="BF143" s="858"/>
      <c r="BG143" s="858"/>
      <c r="BH143" s="858"/>
      <c r="BI143" s="861"/>
      <c r="BJ143" s="861"/>
      <c r="BK143" s="858"/>
      <c r="BL143" s="858"/>
      <c r="BM143" s="858"/>
      <c r="BN143" s="858"/>
      <c r="BO143" s="200"/>
      <c r="BP143" s="862"/>
      <c r="BQ143" s="862"/>
    </row>
    <row r="147" spans="1:69" s="842" customFormat="1">
      <c r="A147" s="197"/>
      <c r="B147" s="197"/>
      <c r="C147" s="197"/>
      <c r="D147" s="854"/>
      <c r="E147" s="855"/>
      <c r="H147" s="198"/>
      <c r="I147" s="199"/>
      <c r="J147" s="199"/>
      <c r="K147" s="198"/>
      <c r="L147" s="199"/>
      <c r="M147" s="199"/>
      <c r="N147" s="199"/>
      <c r="O147" s="199"/>
      <c r="P147" s="197"/>
      <c r="Q147" s="197"/>
      <c r="R147" s="844"/>
      <c r="S147" s="197"/>
      <c r="T147" s="202"/>
      <c r="U147" s="200"/>
      <c r="V147" s="858"/>
      <c r="W147" s="200"/>
      <c r="X147" s="200"/>
      <c r="Y147" s="859"/>
      <c r="Z147" s="859"/>
      <c r="AA147" s="854"/>
      <c r="AB147" s="2941"/>
      <c r="AC147" s="2941"/>
      <c r="AD147" s="854"/>
      <c r="AE147" s="860"/>
      <c r="AF147" s="858"/>
      <c r="AG147" s="861"/>
      <c r="AH147" s="861"/>
      <c r="AI147" s="858"/>
      <c r="AJ147" s="858"/>
      <c r="AK147" s="858"/>
      <c r="AL147" s="858"/>
      <c r="AM147" s="858"/>
      <c r="AN147" s="861"/>
      <c r="AO147" s="861"/>
      <c r="AP147" s="858"/>
      <c r="AQ147" s="858"/>
      <c r="AR147" s="858"/>
      <c r="AS147" s="858"/>
      <c r="AT147" s="858"/>
      <c r="AU147" s="861"/>
      <c r="AV147" s="861"/>
      <c r="AW147" s="861"/>
      <c r="AX147" s="858"/>
      <c r="AY147" s="861"/>
      <c r="AZ147" s="858"/>
      <c r="BA147" s="858"/>
      <c r="BB147" s="861"/>
      <c r="BC147" s="861"/>
      <c r="BD147" s="858"/>
      <c r="BE147" s="858"/>
      <c r="BF147" s="858"/>
      <c r="BG147" s="858"/>
      <c r="BH147" s="858"/>
      <c r="BI147" s="861"/>
      <c r="BJ147" s="861"/>
      <c r="BK147" s="858"/>
      <c r="BL147" s="858"/>
      <c r="BM147" s="858"/>
      <c r="BN147" s="858"/>
      <c r="BO147" s="200"/>
      <c r="BP147" s="862"/>
      <c r="BQ147" s="862"/>
    </row>
    <row r="157" spans="1:69" s="842" customFormat="1">
      <c r="A157" s="197"/>
      <c r="B157" s="197"/>
      <c r="C157" s="197"/>
      <c r="D157" s="854"/>
      <c r="E157" s="855"/>
      <c r="H157" s="198"/>
      <c r="I157" s="199"/>
      <c r="J157" s="199"/>
      <c r="K157" s="198"/>
      <c r="L157" s="199"/>
      <c r="M157" s="199"/>
      <c r="N157" s="199"/>
      <c r="O157" s="199"/>
      <c r="P157" s="197"/>
      <c r="Q157" s="197"/>
      <c r="R157" s="844"/>
      <c r="S157" s="197"/>
      <c r="T157" s="202"/>
      <c r="U157" s="200"/>
      <c r="V157" s="858"/>
      <c r="W157" s="200"/>
      <c r="X157" s="200"/>
      <c r="Y157" s="859"/>
      <c r="Z157" s="859"/>
      <c r="AA157" s="854"/>
      <c r="AB157" s="2941"/>
      <c r="AC157" s="2941"/>
      <c r="AD157" s="854"/>
      <c r="AE157" s="860"/>
      <c r="AF157" s="858"/>
      <c r="AG157" s="861"/>
      <c r="AH157" s="861"/>
      <c r="AI157" s="858"/>
      <c r="AJ157" s="858"/>
      <c r="AK157" s="858"/>
      <c r="AL157" s="858"/>
      <c r="AM157" s="858"/>
      <c r="AN157" s="861"/>
      <c r="AO157" s="861"/>
      <c r="AP157" s="858"/>
      <c r="AQ157" s="858"/>
      <c r="AR157" s="858"/>
      <c r="AS157" s="858"/>
      <c r="AT157" s="858"/>
      <c r="AU157" s="861"/>
      <c r="AV157" s="861"/>
      <c r="AW157" s="861"/>
      <c r="AX157" s="858"/>
      <c r="AY157" s="861"/>
      <c r="AZ157" s="858"/>
      <c r="BA157" s="858"/>
      <c r="BB157" s="861"/>
      <c r="BC157" s="861"/>
      <c r="BD157" s="858"/>
      <c r="BE157" s="858"/>
      <c r="BF157" s="858"/>
      <c r="BG157" s="858"/>
      <c r="BH157" s="858"/>
      <c r="BI157" s="861"/>
      <c r="BJ157" s="861"/>
      <c r="BK157" s="858"/>
      <c r="BL157" s="858"/>
      <c r="BM157" s="858"/>
      <c r="BN157" s="858"/>
      <c r="BO157" s="200"/>
      <c r="BP157" s="862"/>
      <c r="BQ157" s="862"/>
    </row>
    <row r="161" spans="1:69" s="842" customFormat="1">
      <c r="A161" s="197"/>
      <c r="B161" s="197"/>
      <c r="C161" s="197"/>
      <c r="D161" s="854"/>
      <c r="E161" s="855"/>
      <c r="H161" s="198"/>
      <c r="I161" s="199"/>
      <c r="J161" s="199"/>
      <c r="K161" s="198"/>
      <c r="L161" s="199"/>
      <c r="M161" s="199"/>
      <c r="N161" s="199"/>
      <c r="O161" s="199"/>
      <c r="P161" s="197"/>
      <c r="Q161" s="197"/>
      <c r="R161" s="844"/>
      <c r="S161" s="197"/>
      <c r="T161" s="202"/>
      <c r="U161" s="200"/>
      <c r="V161" s="858"/>
      <c r="W161" s="200"/>
      <c r="X161" s="200"/>
      <c r="Y161" s="859"/>
      <c r="Z161" s="859"/>
      <c r="AA161" s="854"/>
      <c r="AB161" s="2941"/>
      <c r="AC161" s="2941"/>
      <c r="AD161" s="854"/>
      <c r="AE161" s="860"/>
      <c r="AF161" s="858"/>
      <c r="AG161" s="861"/>
      <c r="AH161" s="861"/>
      <c r="AI161" s="858"/>
      <c r="AJ161" s="858"/>
      <c r="AK161" s="858"/>
      <c r="AL161" s="858"/>
      <c r="AM161" s="858"/>
      <c r="AN161" s="861"/>
      <c r="AO161" s="861"/>
      <c r="AP161" s="858"/>
      <c r="AQ161" s="858"/>
      <c r="AR161" s="858"/>
      <c r="AS161" s="858"/>
      <c r="AT161" s="858"/>
      <c r="AU161" s="861"/>
      <c r="AV161" s="861"/>
      <c r="AW161" s="861"/>
      <c r="AX161" s="858"/>
      <c r="AY161" s="861"/>
      <c r="AZ161" s="858"/>
      <c r="BA161" s="858"/>
      <c r="BB161" s="861"/>
      <c r="BC161" s="861"/>
      <c r="BD161" s="858"/>
      <c r="BE161" s="858"/>
      <c r="BF161" s="858"/>
      <c r="BG161" s="858"/>
      <c r="BH161" s="858"/>
      <c r="BI161" s="861"/>
      <c r="BJ161" s="861"/>
      <c r="BK161" s="858"/>
      <c r="BL161" s="858"/>
      <c r="BM161" s="858"/>
      <c r="BN161" s="858"/>
      <c r="BO161" s="200"/>
      <c r="BP161" s="862"/>
      <c r="BQ161" s="862"/>
    </row>
  </sheetData>
  <sheetProtection formatColumns="0"/>
  <autoFilter ref="B1:V130" xr:uid="{9E3A0457-F795-456D-B7A3-66D5D29581B3}"/>
  <mergeCells count="26">
    <mergeCell ref="AC3:AC4"/>
    <mergeCell ref="AD3:AD4"/>
    <mergeCell ref="AE3:AE4"/>
    <mergeCell ref="BP3:BP4"/>
    <mergeCell ref="BQ3:BQ4"/>
    <mergeCell ref="H117:K120"/>
    <mergeCell ref="L117:O117"/>
    <mergeCell ref="L118:O118"/>
    <mergeCell ref="L119:O119"/>
    <mergeCell ref="L120:O120"/>
    <mergeCell ref="AB3:AB4"/>
    <mergeCell ref="BL1:BN1"/>
    <mergeCell ref="A3:B3"/>
    <mergeCell ref="C3:C4"/>
    <mergeCell ref="D3:D4"/>
    <mergeCell ref="F3:G3"/>
    <mergeCell ref="H3:H4"/>
    <mergeCell ref="I3:I4"/>
    <mergeCell ref="J3:J4"/>
    <mergeCell ref="K3:K4"/>
    <mergeCell ref="L3:N3"/>
    <mergeCell ref="P3:Q3"/>
    <mergeCell ref="S3:X3"/>
    <mergeCell ref="Y3:Y4"/>
    <mergeCell ref="Z3:Z4"/>
    <mergeCell ref="AA3:AA4"/>
  </mergeCells>
  <phoneticPr fontId="2"/>
  <conditionalFormatting sqref="A5:C5 B65:C65 B73:C73 B102:C116">
    <cfRule type="containsText" dxfId="1000" priority="8" operator="containsText" text="NGホテル">
      <formula>NOT(ISERROR(SEARCH("NGホテル",A5)))</formula>
    </cfRule>
    <cfRule type="containsText" dxfId="999" priority="9" operator="containsText" text="追加">
      <formula>NOT(ISERROR(SEARCH("追加",A5)))</formula>
    </cfRule>
  </conditionalFormatting>
  <conditionalFormatting sqref="A52:C52">
    <cfRule type="containsText" dxfId="998" priority="3" operator="containsText" text="NGホテル">
      <formula>NOT(ISERROR(SEARCH("NGホテル",A52)))</formula>
    </cfRule>
    <cfRule type="containsText" dxfId="997" priority="4" operator="containsText" text="追加">
      <formula>NOT(ISERROR(SEARCH("追加",A52)))</formula>
    </cfRule>
  </conditionalFormatting>
  <conditionalFormatting sqref="B122">
    <cfRule type="duplicateValues" dxfId="996" priority="5"/>
  </conditionalFormatting>
  <conditionalFormatting sqref="B50:C50 C66 B79:C79 C80 A81:C81 C82 B91:C95 A98:C98 C99">
    <cfRule type="containsText" dxfId="995" priority="13" operator="containsText" text="NGホテル">
      <formula>NOT(ISERROR(SEARCH("NGホテル",A50)))</formula>
    </cfRule>
    <cfRule type="containsText" dxfId="994" priority="14" operator="containsText" text="追加">
      <formula>NOT(ISERROR(SEARCH("追加",A50)))</formula>
    </cfRule>
  </conditionalFormatting>
  <conditionalFormatting sqref="I6:K116">
    <cfRule type="cellIs" dxfId="993" priority="16" operator="equal">
      <formula>"ケータリング"</formula>
    </cfRule>
    <cfRule type="expression" dxfId="992" priority="17">
      <formula>#REF!="ケータリング"</formula>
    </cfRule>
  </conditionalFormatting>
  <conditionalFormatting sqref="L6:N24 L121:O1048576">
    <cfRule type="cellIs" dxfId="991" priority="12" operator="lessThan">
      <formula>0</formula>
    </cfRule>
  </conditionalFormatting>
  <conditionalFormatting sqref="L25:N26 L28:N28 L30:N31 L33:N33 L43:N49 L65:N72 L110:N110">
    <cfRule type="containsText" dxfId="990" priority="11" operator="containsText" text="未調査">
      <formula>NOT(ISERROR(SEARCH("未調査",L25)))</formula>
    </cfRule>
    <cfRule type="containsText" dxfId="989" priority="15" operator="containsText" text="ケータリング">
      <formula>NOT(ISERROR(SEARCH("ケータリング",L25)))</formula>
    </cfRule>
  </conditionalFormatting>
  <conditionalFormatting sqref="L112:N112">
    <cfRule type="containsText" dxfId="988" priority="1" operator="containsText" text="未調査">
      <formula>NOT(ISERROR(SEARCH("未調査",L112)))</formula>
    </cfRule>
    <cfRule type="containsText" dxfId="987" priority="2" operator="containsText" text="ケータリング">
      <formula>NOT(ISERROR(SEARCH("ケータリング",L112)))</formula>
    </cfRule>
  </conditionalFormatting>
  <conditionalFormatting sqref="L1:O2 L3 O3:O4 L77:N94 L98:N99 M104:N104 L105:N105 M108:N108 L109:N109">
    <cfRule type="cellIs" dxfId="986" priority="10" operator="lessThan">
      <formula>0</formula>
    </cfRule>
  </conditionalFormatting>
  <conditionalFormatting sqref="R1:R2">
    <cfRule type="containsText" dxfId="985" priority="7" operator="containsText" text="不可">
      <formula>NOT(ISERROR(SEARCH("不可",R1)))</formula>
    </cfRule>
  </conditionalFormatting>
  <conditionalFormatting sqref="R117:R1048576">
    <cfRule type="containsText" dxfId="984" priority="6" operator="containsText" text="不可">
      <formula>NOT(ISERROR(SEARCH("不可",R117)))</formula>
    </cfRule>
  </conditionalFormatting>
  <dataValidations count="4">
    <dataValidation type="list" allowBlank="1" showInputMessage="1" showErrorMessage="1" sqref="S1:U1 U122 AE118 BO117:BO122 AF124:BO1048576 BP117:BQ1048576 Y119:AE1048576 Y117:Z118 V1:V2 BN120:BN121 W122:X122 Y1:Z2 W1:X1 AF118:BM121 V128:V1048576" xr:uid="{06AC42D1-8922-4822-970D-689F86860D00}">
      <formula1>#REF!</formula1>
    </dataValidation>
    <dataValidation showInputMessage="1" showErrorMessage="1" sqref="AA54:BN54 BO26:BQ27 BO29:BQ29 BO34:BQ34 V5 BH71:BN71 BL43:BN43 W113:X116 BL95:BN95 Y100 Z47:Z50 BJ41:BO41 BE45:BN45 BL52:BO52 BF63:BN63 BH65:BN65 BJ75:BN75 BL81:BN81 BL83:BN83 BL85:BN85 BH93:BN93 BL87:BN87 BL98:BN98 AL100:BJ100 BK104:BN104 BA112:BN112 BL48:BN48 BH67:BN67 BH69:BN69 Y73 BJ77:BN77 BL100:BN100 Y71 BK106:BN106 BL79:BN79 W29:X34 AA37:BN40 BL50:BN50 W49:X49 W94:X97 AA97:BN97 BB91:BN91 AA27:BN27 BG108:BN108 W112:Y112 W93:Y93 Y104 AE47 W48:Y48 Z65:Z73 Y65 BF59:BN59 Y67 Y69 AF117:BN117 Y77 Y79 Y81 Y83 W85:Y85 Y89 Y91 Y95 Z104:Z106 Y102 V106:Y106 V108:Y108 Z43:Z44 AA116:BO116 BO5 BH28:BO28 BL33:BO33 BC31 W50:Y50 Y46:Z46 AE46:BN46 Y43 V110:Y110 Z108:Z114 W111:X111 BH110:BN110 V111:V116 V109:X109 V107:X107 Y25:AD25 W5:X27 W86:X92 Y5:AD5 T5:U116 Y87 Y114 BE25:BO25 V25:V35 W36:X47 W51:X62 BO59:BO73 W64:X74 W76:X84 Z77:Z95 BO75:BO97 V59:V97 V98:X105 BO98:BQ114 Z100:Z102 BL35:BO35 V41:V52 BO43:BO51 AA117:AD117 BL73:BN73 BK114:BN114 AF25:AI25 BD102:BN102 BD30:BO31 AJ31:AK31 AR33:BJ33 AK35:BJ35 AR41:BH41 AQ43:BJ43 AQ45:BC45 AP48:BJ48 AP50:BJ50 AP52:BJ52 AR59:BD59 AR63:BD63 AR65:BF65 AR67:BF67 AR69:BF69 AR71:BF71 AV73:BJ73 AV75:BH75 AV77:BH77 AN79:BJ79 AN81:BJ81 AT83:BJ83 AY85:BJ85 AQ91:AZ91 AR87:BJ87 AX93:BF93 AR95:BJ95 AP98:BJ98 AP114:BI114 BB104:BI104 AM106:BI106 AY108:BE108 AM110:BF110 AM112:AY112 AL25:BC25 AR28:BF28 W28:AO28 AL30:BB31 Y30:AI31 Y33:AO33 W35:AH35 Y41:AO41 AA43:AN43 Y45:AN45 AA48:AM48 AA50:AM50 Y52:AM52 Y59:AO59 W63:AO63 AA65:AO65 AA67:AO67 AA69:AO69 AA71:AO71 AA73:AS73 W75:AS75 AA77:AS77 AA79:AK79 AA81:AK81 AA83:AQ83 AA85:AV85 AD89 AA91:AN91 AA93:AU93 AA95:AO95 Y98:AM98 AA100:AI100 AA102:AO102 AA104:AY104 AA106:AJ106 AA108:AV108 AA110:AJ110 AA112:AJ112 AR102:BB102 AA87:AO87 AA114:AM114" xr:uid="{672184DE-5F4A-4DA7-8499-20A4F9457DF0}"/>
    <dataValidation type="list" allowBlank="1" showInputMessage="1" showErrorMessage="1" sqref="R5:R34 R36:R116" xr:uid="{A334E0FA-BDE5-4527-98A9-1950A5DE19C2}">
      <formula1>$R$128:$R$131</formula1>
    </dataValidation>
    <dataValidation type="list" allowBlank="1" showInputMessage="1" showErrorMessage="1" sqref="R35" xr:uid="{984B3908-B08D-444C-952F-95BFCF6AF72F}">
      <formula1>$R$128:$R$132</formula1>
    </dataValidation>
  </dataValidations>
  <printOptions horizontalCentered="1"/>
  <pageMargins left="0.25" right="0.25" top="0.75" bottom="0.75" header="0.3" footer="0.3"/>
  <pageSetup paperSize="8" scale="32" fitToHeight="0" pageOrder="overThenDown" orientation="landscape" r:id="rId1"/>
  <headerFooter>
    <oddFooter>&amp;C&amp;14&amp;P / &amp;N ページ</oddFooter>
  </headerFooter>
  <rowBreaks count="2" manualBreakCount="2">
    <brk id="47" max="63" man="1"/>
    <brk id="90" max="63" man="1"/>
  </rowBreaks>
  <colBreaks count="2" manualBreakCount="2">
    <brk id="30" max="1048575" man="1"/>
    <brk id="66" max="158" man="1"/>
  </col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4FECB-1ADD-44B8-A913-2A1E7E5971F2}">
  <sheetPr codeName="Sheet284">
    <tabColor rgb="FFFF0000"/>
  </sheetPr>
  <dimension ref="A1:BQ158"/>
  <sheetViews>
    <sheetView view="pageBreakPreview" zoomScale="40" zoomScaleNormal="40" zoomScaleSheetLayoutView="40" workbookViewId="0">
      <pane xSplit="5" ySplit="4" topLeftCell="F5" activePane="bottomRight" state="frozen"/>
      <selection pane="topRight" activeCell="E1" sqref="E1"/>
      <selection pane="bottomLeft" activeCell="A6" sqref="A6"/>
      <selection pane="bottomRight" activeCell="Q1" sqref="Q1"/>
    </sheetView>
  </sheetViews>
  <sheetFormatPr defaultColWidth="9.453125" defaultRowHeight="16" outlineLevelCol="1"/>
  <cols>
    <col min="1" max="1" width="15.1796875" style="197" customWidth="1"/>
    <col min="2" max="2" width="18.26953125" style="197" customWidth="1"/>
    <col min="3" max="3" width="9.81640625" style="197" customWidth="1"/>
    <col min="4" max="4" width="9.81640625" style="854" customWidth="1"/>
    <col min="5" max="5" width="60.1796875" style="197" customWidth="1"/>
    <col min="6" max="7" width="15.54296875" style="842" customWidth="1"/>
    <col min="8" max="8" width="15.54296875" style="198" customWidth="1"/>
    <col min="9" max="9" width="15.54296875" style="199" customWidth="1"/>
    <col min="10" max="10" width="26" style="199" customWidth="1"/>
    <col min="11" max="11" width="11.7265625" style="198" customWidth="1"/>
    <col min="12" max="14" width="18.1796875" style="199" customWidth="1"/>
    <col min="15" max="15" width="40.453125" style="199" customWidth="1"/>
    <col min="16" max="16" width="11" style="197" customWidth="1"/>
    <col min="17" max="17" width="11" style="844" customWidth="1"/>
    <col min="18" max="18" width="49.1796875" style="3287" customWidth="1"/>
    <col min="19" max="19" width="12.54296875" style="202" customWidth="1"/>
    <col min="20" max="20" width="12.54296875" style="200" customWidth="1"/>
    <col min="21" max="21" width="12.54296875" style="858" customWidth="1"/>
    <col min="22" max="22" width="53" style="3485" customWidth="1" outlineLevel="1"/>
    <col min="23" max="24" width="12.54296875" style="3288" customWidth="1"/>
    <col min="25" max="25" width="16.453125" style="859" customWidth="1"/>
    <col min="26" max="26" width="11.81640625" style="859" customWidth="1"/>
    <col min="27" max="27" width="18.1796875" style="854" customWidth="1"/>
    <col min="28" max="29" width="18.1796875" style="2941" customWidth="1"/>
    <col min="30" max="30" width="18.1796875" style="854" customWidth="1"/>
    <col min="31" max="31" width="20.26953125" style="860" customWidth="1"/>
    <col min="32" max="32" width="11.54296875" style="858" customWidth="1"/>
    <col min="33" max="34" width="11.54296875" style="861" customWidth="1"/>
    <col min="35" max="39" width="11.54296875" style="858" customWidth="1"/>
    <col min="40" max="41" width="11.54296875" style="861" customWidth="1"/>
    <col min="42" max="46" width="11.54296875" style="858" customWidth="1"/>
    <col min="47" max="49" width="11.54296875" style="861" customWidth="1"/>
    <col min="50" max="50" width="11.54296875" style="858" customWidth="1"/>
    <col min="51" max="51" width="11.54296875" style="861" customWidth="1"/>
    <col min="52" max="53" width="11.54296875" style="858" customWidth="1"/>
    <col min="54" max="55" width="11.54296875" style="861" customWidth="1"/>
    <col min="56" max="60" width="11.54296875" style="858" customWidth="1"/>
    <col min="61" max="62" width="11.54296875" style="861" customWidth="1"/>
    <col min="63" max="66" width="11.54296875" style="858" customWidth="1"/>
    <col min="67" max="67" width="2.26953125" style="200" customWidth="1"/>
    <col min="68" max="69" width="39.54296875" style="862" customWidth="1"/>
    <col min="70" max="16384" width="9.453125" style="202"/>
  </cols>
  <sheetData>
    <row r="1" spans="1:69" ht="90" customHeight="1" thickTop="1" thickBot="1">
      <c r="A1" s="2829" t="s">
        <v>2499</v>
      </c>
      <c r="D1" s="2830"/>
      <c r="E1" s="2831"/>
      <c r="F1" s="2832"/>
      <c r="G1" s="2832"/>
      <c r="P1" s="2830"/>
      <c r="Q1" s="197"/>
      <c r="R1" s="3284"/>
      <c r="S1" s="2833"/>
      <c r="T1" s="2833"/>
      <c r="U1" s="2833"/>
      <c r="V1" s="3285"/>
      <c r="W1" s="3284"/>
      <c r="X1" s="3284"/>
      <c r="Y1" s="2833"/>
      <c r="Z1" s="2833"/>
      <c r="AA1" s="2834"/>
      <c r="AB1" s="2936"/>
      <c r="AC1" s="2936"/>
      <c r="AD1" s="2834"/>
      <c r="AE1" s="2835"/>
      <c r="AF1" s="2836"/>
      <c r="AG1" s="2837"/>
      <c r="AH1" s="2838"/>
      <c r="AI1" s="2836"/>
      <c r="AJ1" s="2836"/>
      <c r="AK1" s="2836"/>
      <c r="AL1" s="2836"/>
      <c r="AM1" s="2836"/>
      <c r="AN1" s="2837"/>
      <c r="AO1" s="2837"/>
      <c r="AP1" s="2836"/>
      <c r="AQ1" s="2836"/>
      <c r="AR1" s="2839"/>
      <c r="AS1" s="2839"/>
      <c r="AT1" s="2839"/>
      <c r="AU1" s="201"/>
      <c r="AV1" s="201"/>
      <c r="AW1" s="201"/>
      <c r="AX1" s="2839"/>
      <c r="AY1" s="201"/>
      <c r="AZ1" s="2839"/>
      <c r="BA1" s="2839"/>
      <c r="BB1" s="201"/>
      <c r="BC1" s="201"/>
      <c r="BD1" s="2839"/>
      <c r="BE1" s="2839"/>
      <c r="BF1" s="2839"/>
      <c r="BG1" s="2839"/>
      <c r="BH1" s="2839"/>
      <c r="BI1" s="201"/>
      <c r="BJ1" s="201"/>
      <c r="BK1" s="2839"/>
      <c r="BL1" s="6466" t="s">
        <v>2443</v>
      </c>
      <c r="BM1" s="6467"/>
      <c r="BN1" s="6468"/>
      <c r="BO1" s="2840"/>
      <c r="BP1" s="2841"/>
      <c r="BQ1" s="2841"/>
    </row>
    <row r="2" spans="1:69" ht="30.65" customHeight="1" thickTop="1" thickBot="1">
      <c r="A2" s="2842"/>
      <c r="D2" s="2843"/>
      <c r="E2" s="2831"/>
      <c r="F2" s="2832"/>
      <c r="G2" s="2832"/>
      <c r="P2" s="2843"/>
      <c r="Q2" s="3286" t="s">
        <v>2500</v>
      </c>
      <c r="U2" s="2839"/>
      <c r="V2" s="3285"/>
      <c r="Y2" s="2833"/>
      <c r="Z2" s="2833"/>
      <c r="AA2" s="2834"/>
      <c r="AB2" s="2936"/>
      <c r="AC2" s="2936"/>
      <c r="AD2" s="2834"/>
      <c r="AE2" s="2835"/>
      <c r="AF2" s="2836"/>
      <c r="AG2" s="2837"/>
      <c r="AH2" s="2837"/>
      <c r="AI2" s="2836"/>
      <c r="AJ2" s="2836"/>
      <c r="AK2" s="2836"/>
      <c r="AL2" s="2836"/>
      <c r="AM2" s="2836"/>
      <c r="AN2" s="2837"/>
      <c r="AO2" s="2837"/>
      <c r="AP2" s="2836"/>
      <c r="AQ2" s="2836"/>
      <c r="AR2" s="2836"/>
      <c r="AS2" s="2844"/>
      <c r="AT2" s="2844"/>
      <c r="AU2" s="2845" t="s">
        <v>2444</v>
      </c>
      <c r="AV2" s="2846"/>
      <c r="AW2" s="2846"/>
      <c r="AX2" s="2844"/>
      <c r="AY2" s="2846"/>
      <c r="AZ2" s="2844"/>
      <c r="BA2" s="2844"/>
      <c r="BB2" s="2837"/>
      <c r="BC2" s="2837"/>
      <c r="BD2" s="2836"/>
      <c r="BE2" s="2836"/>
      <c r="BF2" s="2836"/>
      <c r="BG2" s="2836"/>
      <c r="BH2" s="2836"/>
      <c r="BI2" s="2837"/>
      <c r="BJ2" s="2847" t="s">
        <v>2445</v>
      </c>
      <c r="BK2" s="2836"/>
      <c r="BL2" s="2836"/>
      <c r="BM2" s="2836"/>
      <c r="BN2" s="2848"/>
      <c r="BO2" s="2840"/>
      <c r="BP2" s="2849"/>
      <c r="BQ2" s="2849"/>
    </row>
    <row r="3" spans="1:69" s="214" customFormat="1" ht="35.15" customHeight="1" thickTop="1" thickBot="1">
      <c r="A3" s="6452" t="s">
        <v>2078</v>
      </c>
      <c r="B3" s="6393"/>
      <c r="C3" s="6395" t="s">
        <v>2079</v>
      </c>
      <c r="D3" s="6396" t="s">
        <v>2080</v>
      </c>
      <c r="E3" s="203" t="s">
        <v>2081</v>
      </c>
      <c r="F3" s="6397" t="s">
        <v>2082</v>
      </c>
      <c r="G3" s="6397"/>
      <c r="H3" s="6408" t="s">
        <v>2083</v>
      </c>
      <c r="I3" s="6408" t="s">
        <v>2084</v>
      </c>
      <c r="J3" s="6408" t="s">
        <v>2085</v>
      </c>
      <c r="K3" s="6408" t="s">
        <v>2086</v>
      </c>
      <c r="L3" s="6409" t="s">
        <v>2087</v>
      </c>
      <c r="M3" s="6410"/>
      <c r="N3" s="6411"/>
      <c r="O3" s="204" t="s">
        <v>2088</v>
      </c>
      <c r="P3" s="3283" t="s">
        <v>2501</v>
      </c>
      <c r="Q3" s="6405" t="s">
        <v>2502</v>
      </c>
      <c r="R3" s="6450" t="s">
        <v>2503</v>
      </c>
      <c r="S3" s="6381"/>
      <c r="T3" s="6381"/>
      <c r="U3" s="6381"/>
      <c r="V3" s="3289"/>
      <c r="W3" s="6382" t="s">
        <v>2504</v>
      </c>
      <c r="X3" s="6383"/>
      <c r="Y3" s="6413" t="s">
        <v>2092</v>
      </c>
      <c r="Z3" s="6414" t="s">
        <v>2093</v>
      </c>
      <c r="AA3" s="6415" t="s">
        <v>2095</v>
      </c>
      <c r="AB3" s="6368" t="s">
        <v>2096</v>
      </c>
      <c r="AC3" s="6368" t="s">
        <v>2097</v>
      </c>
      <c r="AD3" s="6470" t="s">
        <v>2098</v>
      </c>
      <c r="AE3" s="6461" t="s">
        <v>2095</v>
      </c>
      <c r="AF3" s="205">
        <v>46269</v>
      </c>
      <c r="AG3" s="206">
        <v>46270</v>
      </c>
      <c r="AH3" s="206">
        <v>46271</v>
      </c>
      <c r="AI3" s="205">
        <v>46272</v>
      </c>
      <c r="AJ3" s="205">
        <v>46273</v>
      </c>
      <c r="AK3" s="205">
        <v>46274</v>
      </c>
      <c r="AL3" s="205">
        <v>46275</v>
      </c>
      <c r="AM3" s="205">
        <v>46276</v>
      </c>
      <c r="AN3" s="206">
        <v>46277</v>
      </c>
      <c r="AO3" s="206">
        <v>46278</v>
      </c>
      <c r="AP3" s="205">
        <v>46279</v>
      </c>
      <c r="AQ3" s="205">
        <v>46280</v>
      </c>
      <c r="AR3" s="205">
        <v>46281</v>
      </c>
      <c r="AS3" s="205">
        <v>46282</v>
      </c>
      <c r="AT3" s="207">
        <v>46283</v>
      </c>
      <c r="AU3" s="208">
        <v>46284</v>
      </c>
      <c r="AV3" s="209">
        <v>46285</v>
      </c>
      <c r="AW3" s="206">
        <v>46286</v>
      </c>
      <c r="AX3" s="205">
        <v>46287</v>
      </c>
      <c r="AY3" s="206">
        <v>46288</v>
      </c>
      <c r="AZ3" s="205">
        <v>46289</v>
      </c>
      <c r="BA3" s="205">
        <v>46290</v>
      </c>
      <c r="BB3" s="206">
        <v>46291</v>
      </c>
      <c r="BC3" s="206">
        <v>46292</v>
      </c>
      <c r="BD3" s="205">
        <v>46293</v>
      </c>
      <c r="BE3" s="205">
        <v>46294</v>
      </c>
      <c r="BF3" s="205">
        <v>46295</v>
      </c>
      <c r="BG3" s="205">
        <v>46296</v>
      </c>
      <c r="BH3" s="205">
        <v>46297</v>
      </c>
      <c r="BI3" s="210">
        <v>46298</v>
      </c>
      <c r="BJ3" s="208">
        <v>46299</v>
      </c>
      <c r="BK3" s="211">
        <v>46300</v>
      </c>
      <c r="BL3" s="205">
        <v>46301</v>
      </c>
      <c r="BM3" s="205">
        <v>46302</v>
      </c>
      <c r="BN3" s="212">
        <v>46303</v>
      </c>
      <c r="BO3" s="213"/>
      <c r="BP3" s="6387" t="s">
        <v>2099</v>
      </c>
      <c r="BQ3" s="6389" t="s">
        <v>2100</v>
      </c>
    </row>
    <row r="4" spans="1:69" s="245" customFormat="1" ht="50.5" customHeight="1" thickTop="1" thickBot="1">
      <c r="A4" s="215" t="s">
        <v>2101</v>
      </c>
      <c r="B4" s="2850" t="s">
        <v>2102</v>
      </c>
      <c r="C4" s="6395"/>
      <c r="D4" s="6396"/>
      <c r="E4" s="217" t="s">
        <v>2103</v>
      </c>
      <c r="F4" s="218" t="s">
        <v>2104</v>
      </c>
      <c r="G4" s="218" t="s">
        <v>2105</v>
      </c>
      <c r="H4" s="6408"/>
      <c r="I4" s="6408"/>
      <c r="J4" s="6408"/>
      <c r="K4" s="6408"/>
      <c r="L4" s="219" t="s">
        <v>2106</v>
      </c>
      <c r="M4" s="220" t="s">
        <v>2107</v>
      </c>
      <c r="N4" s="221" t="s">
        <v>2108</v>
      </c>
      <c r="O4" s="222" t="s">
        <v>2109</v>
      </c>
      <c r="P4" s="223">
        <v>12000</v>
      </c>
      <c r="Q4" s="6406"/>
      <c r="R4" s="3290" t="s">
        <v>2110</v>
      </c>
      <c r="S4" s="3291" t="s">
        <v>2111</v>
      </c>
      <c r="T4" s="3292" t="s">
        <v>2112</v>
      </c>
      <c r="U4" s="3293" t="s">
        <v>2113</v>
      </c>
      <c r="V4" s="3294" t="s">
        <v>2111</v>
      </c>
      <c r="W4" s="3295" t="s">
        <v>2505</v>
      </c>
      <c r="X4" s="3296" t="s">
        <v>2506</v>
      </c>
      <c r="Y4" s="6413"/>
      <c r="Z4" s="6414"/>
      <c r="AA4" s="6415"/>
      <c r="AB4" s="6369"/>
      <c r="AC4" s="6369"/>
      <c r="AD4" s="6380"/>
      <c r="AE4" s="6461"/>
      <c r="AF4" s="234" t="s">
        <v>2116</v>
      </c>
      <c r="AG4" s="235" t="s">
        <v>2117</v>
      </c>
      <c r="AH4" s="235" t="s">
        <v>2118</v>
      </c>
      <c r="AI4" s="234" t="s">
        <v>2119</v>
      </c>
      <c r="AJ4" s="234" t="s">
        <v>2120</v>
      </c>
      <c r="AK4" s="236" t="s">
        <v>2121</v>
      </c>
      <c r="AL4" s="236" t="s">
        <v>2122</v>
      </c>
      <c r="AM4" s="236" t="s">
        <v>2116</v>
      </c>
      <c r="AN4" s="237" t="s">
        <v>2117</v>
      </c>
      <c r="AO4" s="237" t="s">
        <v>2118</v>
      </c>
      <c r="AP4" s="236" t="s">
        <v>2123</v>
      </c>
      <c r="AQ4" s="236" t="s">
        <v>2124</v>
      </c>
      <c r="AR4" s="236" t="s">
        <v>2125</v>
      </c>
      <c r="AS4" s="236" t="s">
        <v>2126</v>
      </c>
      <c r="AT4" s="238" t="s">
        <v>2116</v>
      </c>
      <c r="AU4" s="239" t="s">
        <v>2117</v>
      </c>
      <c r="AV4" s="240" t="s">
        <v>2118</v>
      </c>
      <c r="AW4" s="237" t="s">
        <v>2123</v>
      </c>
      <c r="AX4" s="236" t="s">
        <v>2124</v>
      </c>
      <c r="AY4" s="237" t="s">
        <v>2125</v>
      </c>
      <c r="AZ4" s="236" t="s">
        <v>2126</v>
      </c>
      <c r="BA4" s="236" t="s">
        <v>2116</v>
      </c>
      <c r="BB4" s="237" t="s">
        <v>2117</v>
      </c>
      <c r="BC4" s="237" t="s">
        <v>2118</v>
      </c>
      <c r="BD4" s="236" t="s">
        <v>2123</v>
      </c>
      <c r="BE4" s="236" t="s">
        <v>2124</v>
      </c>
      <c r="BF4" s="236" t="s">
        <v>2125</v>
      </c>
      <c r="BG4" s="236" t="s">
        <v>2126</v>
      </c>
      <c r="BH4" s="236" t="s">
        <v>2116</v>
      </c>
      <c r="BI4" s="241" t="s">
        <v>2117</v>
      </c>
      <c r="BJ4" s="239" t="s">
        <v>2118</v>
      </c>
      <c r="BK4" s="242" t="s">
        <v>2123</v>
      </c>
      <c r="BL4" s="236" t="s">
        <v>2124</v>
      </c>
      <c r="BM4" s="236" t="s">
        <v>2125</v>
      </c>
      <c r="BN4" s="243" t="s">
        <v>2126</v>
      </c>
      <c r="BO4" s="244"/>
      <c r="BP4" s="6388"/>
      <c r="BQ4" s="6390"/>
    </row>
    <row r="5" spans="1:69" s="293" customFormat="1" ht="46" customHeight="1" thickTop="1">
      <c r="A5" s="2851" t="s">
        <v>2127</v>
      </c>
      <c r="B5" s="2852" t="s">
        <v>2128</v>
      </c>
      <c r="C5" s="248">
        <v>1</v>
      </c>
      <c r="D5" s="249" t="str">
        <f>IF(_xlfn.XLOOKUP(E5,[52]宿泊施設DB!$B$3:$B$207,[52]宿泊施設DB!$A$3:$A$207,"",)=0,"",_xlfn.XLOOKUP(E5,[52]宿泊施設DB!$B$3:$B$207,[52]宿泊施設DB!$A$3:$A$207,"",))</f>
        <v/>
      </c>
      <c r="E5" s="250" t="s">
        <v>2130</v>
      </c>
      <c r="F5" s="2853">
        <f>_xlfn.XLOOKUP($E5,[52]宿泊施設DB!$B$3:$B$207,[52]宿泊施設DB!$D$3:$D$207,"",)</f>
        <v>1500</v>
      </c>
      <c r="G5" s="2853">
        <f>_xlfn.XLOOKUP($E5,[52]宿泊施設DB!$B$3:$B$207,[52]宿泊施設DB!$E$3:$E$207,"",)</f>
        <v>3700</v>
      </c>
      <c r="H5" s="2854" t="str">
        <f>_xlfn.XLOOKUP($E5,[52]宿泊施設DB!$B$3:$B$207,[52]宿泊施設DB!$J$3:$J$207,"",)</f>
        <v>調査中</v>
      </c>
      <c r="I5" s="253" t="str">
        <f>_xlfn.XLOOKUP($E5,[52]宿泊施設DB!$B$3:$B$207,[52]宿泊施設DB!$T$3:$T$207,"",)</f>
        <v>調査中</v>
      </c>
      <c r="J5" s="2855" t="str">
        <f>_xlfn.XLOOKUP($E5,[52]宿泊施設DB!$B$3:$B$207,[52]宿泊施設DB!$R$3:$R$207,"",)</f>
        <v>宿泊施設</v>
      </c>
      <c r="K5" s="255" t="str">
        <f>_xlfn.XLOOKUP($E5,[52]宿泊施設DB!$B$3:$B$207,[52]宿泊施設DB!$S$3:$S$207,"",)</f>
        <v>調査中</v>
      </c>
      <c r="L5" s="2856" t="str">
        <f>_xlfn.XLOOKUP($E5,[52]宿泊施設DB!$B$3:$B$207,[52]宿泊施設DB!$U$3:$U$207,"",)</f>
        <v>○</v>
      </c>
      <c r="M5" s="2856" t="str">
        <f>_xlfn.XLOOKUP($E5,[52]宿泊施設DB!$B$3:$B$207,[52]宿泊施設DB!$V$3:$V$207,"",)</f>
        <v>○</v>
      </c>
      <c r="N5" s="2856" t="str">
        <f>_xlfn.XLOOKUP($E5,[52]宿泊施設DB!$B$3:$B$207,[52]宿泊施設DB!$W$3:$W$207,"",)</f>
        <v>－</v>
      </c>
      <c r="O5" s="2857" t="s">
        <v>2135</v>
      </c>
      <c r="P5" s="2858" t="str">
        <f t="shared" ref="P5:P24" si="0">IF(AND(E5&lt;&gt;"", R5&lt;&gt;"－"), "○", "")</f>
        <v>○</v>
      </c>
      <c r="Q5" s="248" t="s">
        <v>2136</v>
      </c>
      <c r="R5" s="3297" t="s">
        <v>2137</v>
      </c>
      <c r="S5" s="269" t="str">
        <f>IFERROR(VLOOKUP($R5,'[52]競技情報DB(12,600人ver) '!$A$6:$D$203,2,),"－")</f>
        <v>名古屋市</v>
      </c>
      <c r="T5" s="270">
        <f>_xlfn.XLOOKUP(R5,'[52]競技情報DB(12,600人ver) '!$A$6:$A$101,'[52]競技情報DB(12,600人ver) '!$D$6:$D$101,"",0,)</f>
        <v>806</v>
      </c>
      <c r="U5" s="3298">
        <f>SUM(T5:T23)</f>
        <v>3692</v>
      </c>
      <c r="V5" s="3299" t="str">
        <f>IFERROR(VLOOKUP($R5,'[52]競技情報DB(12,600人ver) '!$A$6:$D$203,3,),"－")</f>
        <v>名古屋市瑞穂公園陸上競技場</v>
      </c>
      <c r="W5" s="3300">
        <v>23.1</v>
      </c>
      <c r="X5" s="3301">
        <v>29</v>
      </c>
      <c r="Y5" s="274">
        <f>$G5-MAX(AF5:BN5)</f>
        <v>206</v>
      </c>
      <c r="Z5" s="267">
        <f>+Y5/$G5</f>
        <v>5.5675675675675676E-2</v>
      </c>
      <c r="AA5" s="275" t="str">
        <f>E5&amp;"　"&amp;"合計"</f>
        <v>【ホテルシップ】　合計</v>
      </c>
      <c r="AB5" s="3302">
        <f>IFERROR(INDEX($AF$3:$BN$3, MATCH("準備", AF5:BN5, 0)), "")</f>
        <v>46281</v>
      </c>
      <c r="AC5" s="3302" cm="1">
        <f t="array" ref="AC5">IF(COUNTIF(AF5:BN5,"*撤去*")=0,"",INDEX(AF$3:BN$3,1,MAX(IF(AF5:BN5="撤去",COLUMN(AF5:BN5)-COLUMN(AF5)+1))))</f>
        <v>46301</v>
      </c>
      <c r="AD5" s="3303">
        <f>AC5-AB5</f>
        <v>20</v>
      </c>
      <c r="AE5" s="320" t="str">
        <f>+$AE$114</f>
        <v>12,600人</v>
      </c>
      <c r="AF5" s="321">
        <f>+_xlfn.XLOOKUP($AA5,'[52]②配宿シュミレーション(12,600人ver) '!$AO$6:$AO$707,'[52]②配宿シュミレーション(12,600人ver) '!AP$6:AP$707,)</f>
        <v>0</v>
      </c>
      <c r="AG5" s="321">
        <f>+_xlfn.XLOOKUP($AA5,'[52]②配宿シュミレーション(12,600人ver) '!$AO$6:$AO$707,'[52]②配宿シュミレーション(12,600人ver) '!AQ$6:AQ$707,)</f>
        <v>0</v>
      </c>
      <c r="AH5" s="321">
        <f>+_xlfn.XLOOKUP($AA5,'[52]②配宿シュミレーション(12,600人ver) '!$AO$6:$AO$707,'[52]②配宿シュミレーション(12,600人ver) '!AR$6:AR$707,)</f>
        <v>0</v>
      </c>
      <c r="AI5" s="321">
        <f>+_xlfn.XLOOKUP($AA5,'[52]②配宿シュミレーション(12,600人ver) '!$AO$6:$AO$707,'[52]②配宿シュミレーション(12,600人ver) '!AS$6:AS$707,)</f>
        <v>0</v>
      </c>
      <c r="AJ5" s="321">
        <f>+_xlfn.XLOOKUP($AA5,'[52]②配宿シュミレーション(12,600人ver) '!$AO$6:$AO$707,'[52]②配宿シュミレーション(12,600人ver) '!AT$6:AT$707,)</f>
        <v>0</v>
      </c>
      <c r="AK5" s="321">
        <f>+_xlfn.XLOOKUP($AA5,'[52]②配宿シュミレーション(12,600人ver) '!$AO$6:$AO$707,'[52]②配宿シュミレーション(12,600人ver) '!AU$6:AU$707,)</f>
        <v>0</v>
      </c>
      <c r="AL5" s="321">
        <f>+_xlfn.XLOOKUP($AA5,'[52]②配宿シュミレーション(12,600人ver) '!$AO$6:$AO$707,'[52]②配宿シュミレーション(12,600人ver) '!AV$6:AV$707,)</f>
        <v>0</v>
      </c>
      <c r="AM5" s="321">
        <f>+_xlfn.XLOOKUP($AA5,'[52]②配宿シュミレーション(12,600人ver) '!$AO$6:$AO$707,'[52]②配宿シュミレーション(12,600人ver) '!AW$6:AW$707,)</f>
        <v>0</v>
      </c>
      <c r="AN5" s="321">
        <f>+_xlfn.XLOOKUP($AA5,'[52]②配宿シュミレーション(12,600人ver) '!$AO$6:$AO$707,'[52]②配宿シュミレーション(12,600人ver) '!AX$6:AX$707,)</f>
        <v>0</v>
      </c>
      <c r="AO5" s="321">
        <f>+_xlfn.XLOOKUP($AA5,'[52]②配宿シュミレーション(12,600人ver) '!$AO$6:$AO$707,'[52]②配宿シュミレーション(12,600人ver) '!AY$6:AY$707,)</f>
        <v>0</v>
      </c>
      <c r="AP5" s="321">
        <f>+_xlfn.XLOOKUP($AA5,'[52]②配宿シュミレーション(12,600人ver) '!$AO$6:$AO$707,'[52]②配宿シュミレーション(12,600人ver) '!AZ$6:AZ$707,)</f>
        <v>0</v>
      </c>
      <c r="AQ5" s="321">
        <f>+_xlfn.XLOOKUP($AA5,'[52]②配宿シュミレーション(12,600人ver) '!$AO$6:$AO$707,'[52]②配宿シュミレーション(12,600人ver) '!BA$6:BA$707,)</f>
        <v>0</v>
      </c>
      <c r="AR5" s="3304" t="s">
        <v>2447</v>
      </c>
      <c r="AS5" s="3305">
        <f>+_xlfn.XLOOKUP($AA5,'[52]②配宿シュミレーション(12,600人ver) '!$AO$6:$AO$707,'[52]②配宿シュミレーション(12,600人ver) '!BC$6:BC$707,)</f>
        <v>0</v>
      </c>
      <c r="AT5" s="321">
        <f>+_xlfn.XLOOKUP($AA5,'[52]②配宿シュミレーション(12,600人ver) '!$AO$6:$AO$707,'[52]②配宿シュミレーション(12,600人ver) '!BD$6:BD$707,)</f>
        <v>293</v>
      </c>
      <c r="AU5" s="321">
        <f>+_xlfn.XLOOKUP($AA5,'[52]②配宿シュミレーション(12,600人ver) '!$AO$6:$AO$707,'[52]②配宿シュミレーション(12,600人ver) '!BE$6:BE$707,)</f>
        <v>293</v>
      </c>
      <c r="AV5" s="321">
        <f>+_xlfn.XLOOKUP($AA5,'[52]②配宿シュミレーション(12,600人ver) '!$AO$6:$AO$707,'[52]②配宿シュミレーション(12,600人ver) '!BF$6:BF$707,)</f>
        <v>773</v>
      </c>
      <c r="AW5" s="321">
        <f>+_xlfn.XLOOKUP($AA5,'[52]②配宿シュミレーション(12,600人ver) '!$AO$6:$AO$707,'[52]②配宿シュミレーション(12,600人ver) '!BG$6:BG$707,)</f>
        <v>1862</v>
      </c>
      <c r="AX5" s="321">
        <f>+_xlfn.XLOOKUP($AA5,'[52]②配宿シュミレーション(12,600人ver) '!$AO$6:$AO$707,'[52]②配宿シュミレーション(12,600人ver) '!BH$6:BH$707,)</f>
        <v>2190</v>
      </c>
      <c r="AY5" s="321">
        <f>+_xlfn.XLOOKUP($AA5,'[52]②配宿シュミレーション(12,600人ver) '!$AO$6:$AO$707,'[52]②配宿シュミレーション(12,600人ver) '!BI$6:BI$707,)</f>
        <v>2432</v>
      </c>
      <c r="AZ5" s="321">
        <f>+_xlfn.XLOOKUP($AA5,'[52]②配宿シュミレーション(12,600人ver) '!$AO$6:$AO$707,'[52]②配宿シュミレーション(12,600人ver) '!BJ$6:BJ$707,)</f>
        <v>2697</v>
      </c>
      <c r="BA5" s="321">
        <f>+_xlfn.XLOOKUP($AA5,'[52]②配宿シュミレーション(12,600人ver) '!$AO$6:$AO$707,'[52]②配宿シュミレーション(12,600人ver) '!BK$6:BK$707,)</f>
        <v>2697</v>
      </c>
      <c r="BB5" s="321">
        <f>+_xlfn.XLOOKUP($AA5,'[52]②配宿シュミレーション(12,600人ver) '!$AO$6:$AO$707,'[52]②配宿シュミレーション(12,600人ver) '!BL$6:BL$707,)</f>
        <v>2697</v>
      </c>
      <c r="BC5" s="321">
        <f>+_xlfn.XLOOKUP($AA5,'[52]②配宿シュミレーション(12,600人ver) '!$AO$6:$AO$707,'[52]②配宿シュミレーション(12,600人ver) '!BM$6:BM$707,)</f>
        <v>3291</v>
      </c>
      <c r="BD5" s="321">
        <f>+_xlfn.XLOOKUP($AA5,'[52]②配宿シュミレーション(12,600人ver) '!$AO$6:$AO$707,'[52]②配宿シュミレーション(12,600人ver) '!BN$6:BN$707,)</f>
        <v>3494</v>
      </c>
      <c r="BE5" s="321">
        <f>+_xlfn.XLOOKUP($AA5,'[52]②配宿シュミレーション(12,600人ver) '!$AO$6:$AO$707,'[52]②配宿シュミレーション(12,600人ver) '!BO$6:BO$707,)</f>
        <v>2951</v>
      </c>
      <c r="BF5" s="321">
        <f>+_xlfn.XLOOKUP($AA5,'[52]②配宿シュミレーション(12,600人ver) '!$AO$6:$AO$707,'[52]②配宿シュミレーション(12,600人ver) '!BP$6:BP$707,)</f>
        <v>3045</v>
      </c>
      <c r="BG5" s="321">
        <f>+_xlfn.XLOOKUP($AA5,'[52]②配宿シュミレーション(12,600人ver) '!$AO$6:$AO$707,'[52]②配宿シュミレーション(12,600人ver) '!BQ$6:BQ$707,)</f>
        <v>1918</v>
      </c>
      <c r="BH5" s="321">
        <f>+_xlfn.XLOOKUP($AA5,'[52]②配宿シュミレーション(12,600人ver) '!$AO$6:$AO$707,'[52]②配宿シュミレーション(12,600人ver) '!BR$6:BR$707,)</f>
        <v>1918</v>
      </c>
      <c r="BI5" s="321">
        <f>+_xlfn.XLOOKUP($AA5,'[52]②配宿シュミレーション(12,600人ver) '!$AO$6:$AO$707,'[52]②配宿シュミレーション(12,600人ver) '!BS$6:BS$707,)</f>
        <v>1698</v>
      </c>
      <c r="BJ5" s="321">
        <f>+_xlfn.XLOOKUP($AA5,'[52]②配宿シュミレーション(12,600人ver) '!$AO$6:$AO$707,'[52]②配宿シュミレーション(12,600人ver) '!BT$6:BT$707,)</f>
        <v>1608</v>
      </c>
      <c r="BK5" s="321">
        <f>+_xlfn.XLOOKUP($AA5,'[52]②配宿シュミレーション(12,600人ver) '!$AO$6:$AO$707,'[52]②配宿シュミレーション(12,600人ver) '!BU$6:BU$707,)</f>
        <v>125</v>
      </c>
      <c r="BL5" s="3306" t="s">
        <v>2448</v>
      </c>
      <c r="BM5" s="321">
        <f>+_xlfn.XLOOKUP($AA5,'[52]②配宿シュミレーション(12,600人ver) '!$AO$6:$AO$707,'[52]②配宿シュミレーション(12,600人ver) '!BW$6:BW$707,)</f>
        <v>0</v>
      </c>
      <c r="BN5" s="507">
        <f>+_xlfn.XLOOKUP($AA5,'[52]②配宿シュミレーション(12,600人ver) '!$AO$6:$AO$707,'[52]②配宿シュミレーション(12,600人ver) '!BX$6:BX$707,)</f>
        <v>0</v>
      </c>
      <c r="BO5" s="290"/>
      <c r="BP5" s="291"/>
      <c r="BQ5" s="292"/>
    </row>
    <row r="6" spans="1:69" ht="46" customHeight="1">
      <c r="A6" s="2862"/>
      <c r="B6" s="2863"/>
      <c r="C6" s="296"/>
      <c r="D6" s="297" t="str">
        <f>IF(_xlfn.XLOOKUP(E6,[52]宿泊施設DB!$B$3:$B$207,[52]宿泊施設DB!$A$3:$A$207,"",)=0,"",_xlfn.XLOOKUP(E6,[52]宿泊施設DB!$B$3:$B$207,[52]宿泊施設DB!$A$3:$A$207,"",))</f>
        <v/>
      </c>
      <c r="E6" s="298"/>
      <c r="F6" s="2864">
        <f>_xlfn.XLOOKUP($E6,[52]宿泊施設DB!$B$3:$B$207,[52]宿泊施設DB!$D$3:$D$207,"",)</f>
        <v>0</v>
      </c>
      <c r="G6" s="2864">
        <f>_xlfn.XLOOKUP($E6,[52]宿泊施設DB!$B$3:$B$207,[52]宿泊施設DB!$E$3:$E$207,"",)</f>
        <v>0</v>
      </c>
      <c r="H6" s="2865">
        <f>_xlfn.XLOOKUP($E6,[52]宿泊施設DB!$B$3:$B$207,[52]宿泊施設DB!$J$3:$J$207,"",)</f>
        <v>0</v>
      </c>
      <c r="I6" s="2866">
        <f>_xlfn.XLOOKUP($E6,[52]宿泊施設DB!$B$3:$B$207,[52]宿泊施設DB!$T$3:$T$207,"",)</f>
        <v>0</v>
      </c>
      <c r="J6" s="2866">
        <f>_xlfn.XLOOKUP($E6,[52]宿泊施設DB!$B$3:$B$207,[52]宿泊施設DB!$R$3:$R$207,"",)</f>
        <v>0</v>
      </c>
      <c r="K6" s="2865">
        <f>_xlfn.XLOOKUP($E6,[52]宿泊施設DB!$B$3:$B$207,[52]宿泊施設DB!$S$3:$S$207,"",)</f>
        <v>0</v>
      </c>
      <c r="L6" s="2866">
        <f>_xlfn.XLOOKUP($E6,[52]宿泊施設DB!$B$3:$B$207,[52]宿泊施設DB!$U$3:$U$207,"",)</f>
        <v>0</v>
      </c>
      <c r="M6" s="2866">
        <f>_xlfn.XLOOKUP($E6,[52]宿泊施設DB!$B$3:$B$207,[52]宿泊施設DB!$V$3:$V$207,"",)</f>
        <v>0</v>
      </c>
      <c r="N6" s="2866">
        <f>_xlfn.XLOOKUP($E6,[52]宿泊施設DB!$B$3:$B$207,[52]宿泊施設DB!$W$3:$W$207,"",)</f>
        <v>0</v>
      </c>
      <c r="O6" s="2866" t="str">
        <f>IFERROR(VLOOKUP(E6,#REF!,3,),"")</f>
        <v/>
      </c>
      <c r="P6" s="302" t="str">
        <f t="shared" si="0"/>
        <v/>
      </c>
      <c r="Q6" s="296"/>
      <c r="R6" s="413" t="s">
        <v>2141</v>
      </c>
      <c r="S6" s="313" t="str">
        <f>IFERROR(VLOOKUP($R6,'[52]競技情報DB(12,600人ver) '!$A$6:$D$203,2,),"－")</f>
        <v>三好市</v>
      </c>
      <c r="T6" s="314">
        <f>_xlfn.XLOOKUP(R6,'[52]競技情報DB(12,600人ver) '!$A$6:$A$101,'[52]競技情報DB(12,600人ver) '!$D$6:$D$101,"",0,)</f>
        <v>225</v>
      </c>
      <c r="U6" s="3307"/>
      <c r="V6" s="3308" t="str">
        <f>IFERROR(VLOOKUP($R6,'[52]競技情報DB(12,600人ver) '!$A$6:$D$203,3,),"－")</f>
        <v>三好池</v>
      </c>
      <c r="W6" s="3309">
        <v>31.4</v>
      </c>
      <c r="X6" s="3310">
        <v>40</v>
      </c>
      <c r="Y6" s="318"/>
      <c r="Z6" s="311"/>
      <c r="AA6" s="319"/>
      <c r="AB6" s="3311"/>
      <c r="AC6" s="3311"/>
      <c r="AD6" s="3312"/>
      <c r="AE6" s="320"/>
      <c r="AF6" s="321"/>
      <c r="AG6" s="321"/>
      <c r="AH6" s="321"/>
      <c r="AI6" s="321"/>
      <c r="AJ6" s="321"/>
      <c r="AK6" s="321"/>
      <c r="AL6" s="321"/>
      <c r="AM6" s="321"/>
      <c r="AN6" s="321"/>
      <c r="AO6" s="321"/>
      <c r="AP6" s="321"/>
      <c r="AQ6" s="321"/>
      <c r="AR6" s="3313"/>
      <c r="AS6" s="321"/>
      <c r="AT6" s="321"/>
      <c r="AU6" s="321"/>
      <c r="AV6" s="321"/>
      <c r="AW6" s="321"/>
      <c r="AX6" s="321"/>
      <c r="AY6" s="321"/>
      <c r="AZ6" s="321"/>
      <c r="BA6" s="321"/>
      <c r="BB6" s="321"/>
      <c r="BC6" s="321"/>
      <c r="BD6" s="321"/>
      <c r="BE6" s="321"/>
      <c r="BF6" s="321"/>
      <c r="BG6" s="321"/>
      <c r="BH6" s="321"/>
      <c r="BI6" s="321"/>
      <c r="BJ6" s="321"/>
      <c r="BK6" s="321"/>
      <c r="BL6" s="321"/>
      <c r="BM6" s="321"/>
      <c r="BN6" s="507"/>
      <c r="BO6" s="290"/>
      <c r="BP6" s="332"/>
      <c r="BQ6" s="333"/>
    </row>
    <row r="7" spans="1:69" ht="46" customHeight="1">
      <c r="A7" s="2862"/>
      <c r="B7" s="2863"/>
      <c r="C7" s="296"/>
      <c r="D7" s="297" t="str">
        <f>IF(_xlfn.XLOOKUP(E7,[52]宿泊施設DB!$B$3:$B$207,[52]宿泊施設DB!$A$3:$A$207,"",)=0,"",_xlfn.XLOOKUP(E7,[52]宿泊施設DB!$B$3:$B$207,[52]宿泊施設DB!$A$3:$A$207,"",))</f>
        <v/>
      </c>
      <c r="E7" s="298"/>
      <c r="F7" s="2864">
        <f>_xlfn.XLOOKUP($E7,[52]宿泊施設DB!$B$3:$B$207,[52]宿泊施設DB!$D$3:$D$207,"",)</f>
        <v>0</v>
      </c>
      <c r="G7" s="2864">
        <f>_xlfn.XLOOKUP($E7,[52]宿泊施設DB!$B$3:$B$207,[52]宿泊施設DB!$E$3:$E$207,"",)</f>
        <v>0</v>
      </c>
      <c r="H7" s="2865">
        <f>_xlfn.XLOOKUP($E7,[52]宿泊施設DB!$B$3:$B$207,[52]宿泊施設DB!$J$3:$J$207,"",)</f>
        <v>0</v>
      </c>
      <c r="I7" s="2866">
        <f>_xlfn.XLOOKUP($E7,[52]宿泊施設DB!$B$3:$B$207,[52]宿泊施設DB!$T$3:$T$207,"",)</f>
        <v>0</v>
      </c>
      <c r="J7" s="2866">
        <f>_xlfn.XLOOKUP($E7,[52]宿泊施設DB!$B$3:$B$207,[52]宿泊施設DB!$R$3:$R$207,"",)</f>
        <v>0</v>
      </c>
      <c r="K7" s="2865">
        <f>_xlfn.XLOOKUP($E7,[52]宿泊施設DB!$B$3:$B$207,[52]宿泊施設DB!$S$3:$S$207,"",)</f>
        <v>0</v>
      </c>
      <c r="L7" s="2866">
        <f>_xlfn.XLOOKUP($E7,[52]宿泊施設DB!$B$3:$B$207,[52]宿泊施設DB!$U$3:$U$207,"",)</f>
        <v>0</v>
      </c>
      <c r="M7" s="2866">
        <f>_xlfn.XLOOKUP($E7,[52]宿泊施設DB!$B$3:$B$207,[52]宿泊施設DB!$V$3:$V$207,"",)</f>
        <v>0</v>
      </c>
      <c r="N7" s="2866">
        <f>_xlfn.XLOOKUP($E7,[52]宿泊施設DB!$B$3:$B$207,[52]宿泊施設DB!$W$3:$W$207,"",)</f>
        <v>0</v>
      </c>
      <c r="O7" s="2866" t="str">
        <f>IFERROR(VLOOKUP(E7,#REF!,3,),"")</f>
        <v/>
      </c>
      <c r="P7" s="302" t="str">
        <f t="shared" si="0"/>
        <v/>
      </c>
      <c r="Q7" s="296"/>
      <c r="R7" s="413" t="s">
        <v>2156</v>
      </c>
      <c r="S7" s="313" t="str">
        <f>IFERROR(VLOOKUP($R7,'[52]競技情報DB(12,600人ver) '!$A$6:$D$203,2,),"－")</f>
        <v>名古屋市</v>
      </c>
      <c r="T7" s="314">
        <f>_xlfn.XLOOKUP(R7,'[52]競技情報DB(12,600人ver) '!$A$6:$A$101,'[52]競技情報DB(12,600人ver) '!$D$6:$D$101,"",0,)</f>
        <v>39</v>
      </c>
      <c r="U7" s="3307"/>
      <c r="V7" s="3308" t="str">
        <f>IFERROR(VLOOKUP($R7,'[52]競技情報DB(12,600人ver) '!$A$6:$D$203,3,),"－")</f>
        <v>小幡緑地</v>
      </c>
      <c r="W7" s="3309">
        <v>32.700000000000003</v>
      </c>
      <c r="X7" s="3310">
        <v>30</v>
      </c>
      <c r="Y7" s="318"/>
      <c r="Z7" s="311"/>
      <c r="AA7" s="334"/>
      <c r="AB7" s="3302"/>
      <c r="AC7" s="3302"/>
      <c r="AD7" s="3303"/>
      <c r="AE7" s="335"/>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6"/>
      <c r="BK7" s="336"/>
      <c r="BL7" s="336"/>
      <c r="BM7" s="336"/>
      <c r="BN7" s="340"/>
      <c r="BO7" s="290"/>
      <c r="BP7" s="332"/>
      <c r="BQ7" s="333"/>
    </row>
    <row r="8" spans="1:69" ht="46" customHeight="1" thickBot="1">
      <c r="A8" s="2862"/>
      <c r="B8" s="2863"/>
      <c r="C8" s="296"/>
      <c r="D8" s="297" t="str">
        <f>IF(_xlfn.XLOOKUP(E8,[52]宿泊施設DB!$B$3:$B$207,[52]宿泊施設DB!$A$3:$A$207,"",)=0,"",_xlfn.XLOOKUP(E8,[52]宿泊施設DB!$B$3:$B$207,[52]宿泊施設DB!$A$3:$A$207,"",))</f>
        <v/>
      </c>
      <c r="E8" s="298"/>
      <c r="F8" s="2864">
        <f>_xlfn.XLOOKUP($E8,[52]宿泊施設DB!$B$3:$B$207,[52]宿泊施設DB!$D$3:$D$207,"",)</f>
        <v>0</v>
      </c>
      <c r="G8" s="2864">
        <f>_xlfn.XLOOKUP($E8,[52]宿泊施設DB!$B$3:$B$207,[52]宿泊施設DB!$E$3:$E$207,"",)</f>
        <v>0</v>
      </c>
      <c r="H8" s="2865">
        <f>_xlfn.XLOOKUP($E8,[52]宿泊施設DB!$B$3:$B$207,[52]宿泊施設DB!$J$3:$J$207,"",)</f>
        <v>0</v>
      </c>
      <c r="I8" s="2866">
        <f>_xlfn.XLOOKUP($E8,[52]宿泊施設DB!$B$3:$B$207,[52]宿泊施設DB!$T$3:$T$207,"",)</f>
        <v>0</v>
      </c>
      <c r="J8" s="2866">
        <f>_xlfn.XLOOKUP($E8,[52]宿泊施設DB!$B$3:$B$207,[52]宿泊施設DB!$R$3:$R$207,"",)</f>
        <v>0</v>
      </c>
      <c r="K8" s="2865">
        <f>_xlfn.XLOOKUP($E8,[52]宿泊施設DB!$B$3:$B$207,[52]宿泊施設DB!$S$3:$S$207,"",)</f>
        <v>0</v>
      </c>
      <c r="L8" s="2866">
        <f>_xlfn.XLOOKUP($E8,[52]宿泊施設DB!$B$3:$B$207,[52]宿泊施設DB!$U$3:$U$207,"",)</f>
        <v>0</v>
      </c>
      <c r="M8" s="2866">
        <f>_xlfn.XLOOKUP($E8,[52]宿泊施設DB!$B$3:$B$207,[52]宿泊施設DB!$V$3:$V$207,"",)</f>
        <v>0</v>
      </c>
      <c r="N8" s="2866">
        <f>_xlfn.XLOOKUP($E8,[52]宿泊施設DB!$B$3:$B$207,[52]宿泊施設DB!$W$3:$W$207,"",)</f>
        <v>0</v>
      </c>
      <c r="O8" s="2866" t="str">
        <f>IFERROR(VLOOKUP(E8,#REF!,3,),"")</f>
        <v/>
      </c>
      <c r="P8" s="302" t="str">
        <f t="shared" si="0"/>
        <v/>
      </c>
      <c r="Q8" s="296"/>
      <c r="R8" s="413" t="s">
        <v>2155</v>
      </c>
      <c r="S8" s="313" t="str">
        <f>IFERROR(VLOOKUP($R8,'[52]競技情報DB(12,600人ver) '!$A$6:$D$203,2,),"－")</f>
        <v>名古屋市</v>
      </c>
      <c r="T8" s="314">
        <f>_xlfn.XLOOKUP(R8,'[52]競技情報DB(12,600人ver) '!$A$6:$A$101,'[52]競技情報DB(12,600人ver) '!$D$6:$D$101,"",0,)</f>
        <v>22</v>
      </c>
      <c r="U8" s="3307"/>
      <c r="V8" s="3308" t="str">
        <f>IFERROR(VLOOKUP($R8,'[52]競技情報DB(12,600人ver) '!$A$6:$D$203,3,),"－")</f>
        <v>名古屋市競輪場BMXレースコース</v>
      </c>
      <c r="W8" s="3309">
        <v>21.89</v>
      </c>
      <c r="X8" s="3310">
        <v>28</v>
      </c>
      <c r="Y8" s="318"/>
      <c r="Z8" s="311"/>
      <c r="AA8" s="334"/>
      <c r="AB8" s="3302"/>
      <c r="AC8" s="3302"/>
      <c r="AD8" s="3303"/>
      <c r="AE8" s="335"/>
      <c r="AF8" s="336"/>
      <c r="AG8" s="336"/>
      <c r="AH8" s="336"/>
      <c r="AI8" s="336"/>
      <c r="AJ8" s="336"/>
      <c r="AK8" s="336"/>
      <c r="AL8" s="336"/>
      <c r="AM8" s="336"/>
      <c r="AN8" s="336"/>
      <c r="AO8" s="336"/>
      <c r="AP8" s="336"/>
      <c r="AQ8" s="336"/>
      <c r="AR8" s="336"/>
      <c r="AS8" s="336"/>
      <c r="AT8" s="336"/>
      <c r="AU8" s="336"/>
      <c r="AV8" s="336"/>
      <c r="AW8" s="336"/>
      <c r="AX8" s="336"/>
      <c r="AY8" s="336"/>
      <c r="AZ8" s="336"/>
      <c r="BA8" s="336"/>
      <c r="BB8" s="336"/>
      <c r="BC8" s="336"/>
      <c r="BD8" s="336"/>
      <c r="BE8" s="336"/>
      <c r="BF8" s="336"/>
      <c r="BG8" s="336"/>
      <c r="BH8" s="336"/>
      <c r="BI8" s="336"/>
      <c r="BJ8" s="336"/>
      <c r="BK8" s="336"/>
      <c r="BL8" s="336"/>
      <c r="BM8" s="336"/>
      <c r="BN8" s="340"/>
      <c r="BO8" s="290"/>
      <c r="BP8" s="332"/>
      <c r="BQ8" s="333"/>
    </row>
    <row r="9" spans="1:69" s="341" customFormat="1" ht="46" customHeight="1">
      <c r="A9" s="2862"/>
      <c r="B9" s="2863"/>
      <c r="C9" s="296"/>
      <c r="D9" s="297" t="str">
        <f>IF(_xlfn.XLOOKUP(E9,[52]宿泊施設DB!$B$3:$B$207,[52]宿泊施設DB!$A$3:$A$207,"",)=0,"",_xlfn.XLOOKUP(E9,[52]宿泊施設DB!$B$3:$B$207,[52]宿泊施設DB!$A$3:$A$207,"",))</f>
        <v/>
      </c>
      <c r="E9" s="298"/>
      <c r="F9" s="2864">
        <f>_xlfn.XLOOKUP($E9,[52]宿泊施設DB!$B$3:$B$207,[52]宿泊施設DB!$D$3:$D$207,"",)</f>
        <v>0</v>
      </c>
      <c r="G9" s="2864">
        <f>_xlfn.XLOOKUP($E9,[52]宿泊施設DB!$B$3:$B$207,[52]宿泊施設DB!$E$3:$E$207,"",)</f>
        <v>0</v>
      </c>
      <c r="H9" s="2865">
        <f>_xlfn.XLOOKUP($E9,[52]宿泊施設DB!$B$3:$B$207,[52]宿泊施設DB!$J$3:$J$207,"",)</f>
        <v>0</v>
      </c>
      <c r="I9" s="2866">
        <f>_xlfn.XLOOKUP($E9,[52]宿泊施設DB!$B$3:$B$207,[52]宿泊施設DB!$T$3:$T$207,"",)</f>
        <v>0</v>
      </c>
      <c r="J9" s="2866">
        <f>_xlfn.XLOOKUP($E9,[52]宿泊施設DB!$B$3:$B$207,[52]宿泊施設DB!$R$3:$R$207,"",)</f>
        <v>0</v>
      </c>
      <c r="K9" s="2865">
        <f>_xlfn.XLOOKUP($E9,[52]宿泊施設DB!$B$3:$B$207,[52]宿泊施設DB!$S$3:$S$207,"",)</f>
        <v>0</v>
      </c>
      <c r="L9" s="2866">
        <f>_xlfn.XLOOKUP($E9,[52]宿泊施設DB!$B$3:$B$207,[52]宿泊施設DB!$U$3:$U$207,"",)</f>
        <v>0</v>
      </c>
      <c r="M9" s="2866">
        <f>_xlfn.XLOOKUP($E9,[52]宿泊施設DB!$B$3:$B$207,[52]宿泊施設DB!$V$3:$V$207,"",)</f>
        <v>0</v>
      </c>
      <c r="N9" s="2866">
        <f>_xlfn.XLOOKUP($E9,[52]宿泊施設DB!$B$3:$B$207,[52]宿泊施設DB!$W$3:$W$207,"",)</f>
        <v>0</v>
      </c>
      <c r="O9" s="2866"/>
      <c r="P9" s="302" t="str">
        <f t="shared" si="0"/>
        <v/>
      </c>
      <c r="Q9" s="296"/>
      <c r="R9" s="413" t="s">
        <v>2507</v>
      </c>
      <c r="S9" s="313" t="str">
        <f>IFERROR(VLOOKUP($R9,'[52]競技情報DB(12,600人ver) '!$A$6:$D$203,2,),"－")</f>
        <v>名古屋市</v>
      </c>
      <c r="T9" s="314">
        <f>_xlfn.XLOOKUP(R9,'[52]競技情報DB(12,600人ver) '!$A$6:$A$101,'[52]競技情報DB(12,600人ver) '!$D$6:$D$101,"",0,)</f>
        <v>283</v>
      </c>
      <c r="U9" s="3307"/>
      <c r="V9" s="3308" t="str">
        <f>IFERROR(VLOOKUP($R9,'[52]競技情報DB(12,600人ver) '!$A$6:$D$203,3,),"－")</f>
        <v>愛知国際アリーナ</v>
      </c>
      <c r="W9" s="3309">
        <v>12.9</v>
      </c>
      <c r="X9" s="3310">
        <v>21</v>
      </c>
      <c r="Y9" s="318"/>
      <c r="Z9" s="311"/>
      <c r="AA9" s="334"/>
      <c r="AB9" s="3302"/>
      <c r="AC9" s="3302"/>
      <c r="AD9" s="3303"/>
      <c r="AE9" s="335"/>
      <c r="AF9" s="336"/>
      <c r="AG9" s="336"/>
      <c r="AH9" s="336"/>
      <c r="AI9" s="336"/>
      <c r="AJ9" s="336"/>
      <c r="AK9" s="336"/>
      <c r="AL9" s="336"/>
      <c r="AM9" s="336"/>
      <c r="AN9" s="336"/>
      <c r="AO9" s="336"/>
      <c r="AP9" s="336"/>
      <c r="AQ9" s="336"/>
      <c r="AR9" s="336"/>
      <c r="AS9" s="336"/>
      <c r="AT9" s="336"/>
      <c r="AU9" s="336"/>
      <c r="AV9" s="336"/>
      <c r="AW9" s="336"/>
      <c r="AX9" s="336"/>
      <c r="AY9" s="336"/>
      <c r="AZ9" s="336"/>
      <c r="BA9" s="336"/>
      <c r="BB9" s="336"/>
      <c r="BC9" s="336"/>
      <c r="BD9" s="336"/>
      <c r="BE9" s="336"/>
      <c r="BF9" s="336"/>
      <c r="BG9" s="336"/>
      <c r="BH9" s="336"/>
      <c r="BI9" s="336"/>
      <c r="BJ9" s="336"/>
      <c r="BK9" s="336"/>
      <c r="BL9" s="336"/>
      <c r="BM9" s="336"/>
      <c r="BN9" s="340"/>
      <c r="BO9" s="290"/>
      <c r="BP9" s="332"/>
      <c r="BQ9" s="333"/>
    </row>
    <row r="10" spans="1:69" ht="46" customHeight="1">
      <c r="A10" s="2862"/>
      <c r="B10" s="2863"/>
      <c r="C10" s="296"/>
      <c r="D10" s="297" t="str">
        <f>IF(_xlfn.XLOOKUP(E10,[52]宿泊施設DB!$B$3:$B$207,[52]宿泊施設DB!$A$3:$A$207,"",)=0,"",_xlfn.XLOOKUP(E10,[52]宿泊施設DB!$B$3:$B$207,[52]宿泊施設DB!$A$3:$A$207,"",))</f>
        <v/>
      </c>
      <c r="E10" s="298"/>
      <c r="F10" s="2864">
        <f>_xlfn.XLOOKUP($E10,[52]宿泊施設DB!$B$3:$B$207,[52]宿泊施設DB!$D$3:$D$207,"",)</f>
        <v>0</v>
      </c>
      <c r="G10" s="2864">
        <f>_xlfn.XLOOKUP($E10,[52]宿泊施設DB!$B$3:$B$207,[52]宿泊施設DB!$E$3:$E$207,"",)</f>
        <v>0</v>
      </c>
      <c r="H10" s="2865">
        <f>_xlfn.XLOOKUP($E10,[52]宿泊施設DB!$B$3:$B$207,[52]宿泊施設DB!$J$3:$J$207,"",)</f>
        <v>0</v>
      </c>
      <c r="I10" s="2866">
        <f>_xlfn.XLOOKUP($E10,[52]宿泊施設DB!$B$3:$B$207,[52]宿泊施設DB!$T$3:$T$207,"",)</f>
        <v>0</v>
      </c>
      <c r="J10" s="2866">
        <f>_xlfn.XLOOKUP($E10,[52]宿泊施設DB!$B$3:$B$207,[52]宿泊施設DB!$R$3:$R$207,"",)</f>
        <v>0</v>
      </c>
      <c r="K10" s="2865">
        <f>_xlfn.XLOOKUP($E10,[52]宿泊施設DB!$B$3:$B$207,[52]宿泊施設DB!$S$3:$S$207,"",)</f>
        <v>0</v>
      </c>
      <c r="L10" s="2866">
        <f>_xlfn.XLOOKUP($E10,[52]宿泊施設DB!$B$3:$B$207,[52]宿泊施設DB!$U$3:$U$207,"",)</f>
        <v>0</v>
      </c>
      <c r="M10" s="2866">
        <f>_xlfn.XLOOKUP($E10,[52]宿泊施設DB!$B$3:$B$207,[52]宿泊施設DB!$V$3:$V$207,"",)</f>
        <v>0</v>
      </c>
      <c r="N10" s="2866">
        <f>_xlfn.XLOOKUP($E10,[52]宿泊施設DB!$B$3:$B$207,[52]宿泊施設DB!$W$3:$W$207,"",)</f>
        <v>0</v>
      </c>
      <c r="O10" s="2866"/>
      <c r="P10" s="302" t="str">
        <f t="shared" si="0"/>
        <v/>
      </c>
      <c r="Q10" s="296"/>
      <c r="R10" s="413" t="s">
        <v>2450</v>
      </c>
      <c r="S10" s="313" t="str">
        <f>IFERROR(VLOOKUP($R10,'[52]競技情報DB(12,600人ver) '!$A$6:$D$203,2,),"－")</f>
        <v>名古屋市</v>
      </c>
      <c r="T10" s="314">
        <f>_xlfn.XLOOKUP(R10,'[52]競技情報DB(12,600人ver) '!$A$6:$A$101,'[52]競技情報DB(12,600人ver) '!$D$6:$D$101,"",0,)</f>
        <v>187</v>
      </c>
      <c r="U10" s="3307"/>
      <c r="V10" s="3308" t="str">
        <f>IFERROR(VLOOKUP($R10,'[52]競技情報DB(12,600人ver) '!$A$6:$D$203,3,),"－")</f>
        <v>名古屋市瑞穂公園ラグビー場</v>
      </c>
      <c r="W10" s="3309">
        <v>28.1</v>
      </c>
      <c r="X10" s="3310">
        <v>28</v>
      </c>
      <c r="Y10" s="318"/>
      <c r="Z10" s="311"/>
      <c r="AA10" s="334"/>
      <c r="AB10" s="3302"/>
      <c r="AC10" s="3302"/>
      <c r="AD10" s="3303"/>
      <c r="AE10" s="335"/>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40"/>
      <c r="BO10" s="290"/>
      <c r="BP10" s="332"/>
      <c r="BQ10" s="333"/>
    </row>
    <row r="11" spans="1:69" ht="46" customHeight="1">
      <c r="A11" s="2862"/>
      <c r="B11" s="2863"/>
      <c r="C11" s="296"/>
      <c r="D11" s="297"/>
      <c r="E11" s="298"/>
      <c r="F11" s="2864"/>
      <c r="G11" s="2864"/>
      <c r="H11" s="2865"/>
      <c r="I11" s="2866"/>
      <c r="J11" s="2866"/>
      <c r="K11" s="2865"/>
      <c r="L11" s="2866"/>
      <c r="M11" s="2866"/>
      <c r="N11" s="2866"/>
      <c r="O11" s="2866"/>
      <c r="P11" s="302" t="str">
        <f t="shared" si="0"/>
        <v/>
      </c>
      <c r="Q11" s="296"/>
      <c r="R11" s="413" t="s">
        <v>2451</v>
      </c>
      <c r="S11" s="313" t="str">
        <f>IFERROR(VLOOKUP($R11,'[52]競技情報DB(12,600人ver) '!$A$6:$D$203,2,),"－")</f>
        <v>名古屋市</v>
      </c>
      <c r="T11" s="314">
        <f>_xlfn.XLOOKUP(R11,'[52]競技情報DB(12,600人ver) '!$A$6:$A$101,'[52]競技情報DB(12,600人ver) '!$D$6:$D$101,"",0,)</f>
        <v>125</v>
      </c>
      <c r="U11" s="3307"/>
      <c r="V11" s="3308" t="str">
        <f>IFERROR(VLOOKUP($R11,'[52]競技情報DB(12,600人ver) '!$A$6:$D$203,3,),"－")</f>
        <v>名古屋市瑞穂公園ラグビー場</v>
      </c>
      <c r="W11" s="3309">
        <v>22.7</v>
      </c>
      <c r="X11" s="3310">
        <v>27</v>
      </c>
      <c r="Y11" s="318"/>
      <c r="Z11" s="311"/>
      <c r="AA11" s="334"/>
      <c r="AB11" s="3302"/>
      <c r="AC11" s="3302"/>
      <c r="AD11" s="3303"/>
      <c r="AE11" s="335"/>
      <c r="AF11" s="33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336"/>
      <c r="BE11" s="336"/>
      <c r="BF11" s="336"/>
      <c r="BG11" s="336"/>
      <c r="BH11" s="336"/>
      <c r="BI11" s="336"/>
      <c r="BJ11" s="336"/>
      <c r="BK11" s="336"/>
      <c r="BL11" s="336"/>
      <c r="BM11" s="336"/>
      <c r="BN11" s="340"/>
      <c r="BO11" s="290"/>
      <c r="BP11" s="332"/>
      <c r="BQ11" s="333"/>
    </row>
    <row r="12" spans="1:69" ht="46" customHeight="1">
      <c r="A12" s="2862"/>
      <c r="B12" s="2863"/>
      <c r="C12" s="296"/>
      <c r="D12" s="297" t="str">
        <f>IF(_xlfn.XLOOKUP(E12,[52]宿泊施設DB!$B$3:$B$207,[52]宿泊施設DB!$A$3:$A$207,"",)=0,"",_xlfn.XLOOKUP(E12,[52]宿泊施設DB!$B$3:$B$207,[52]宿泊施設DB!$A$3:$A$207,"",))</f>
        <v/>
      </c>
      <c r="E12" s="298"/>
      <c r="F12" s="2864">
        <f>_xlfn.XLOOKUP($E12,[52]宿泊施設DB!$B$3:$B$207,[52]宿泊施設DB!$D$3:$D$207,"",)</f>
        <v>0</v>
      </c>
      <c r="G12" s="2864">
        <f>_xlfn.XLOOKUP($E12,[52]宿泊施設DB!$B$3:$B$207,[52]宿泊施設DB!$E$3:$E$207,"",)</f>
        <v>0</v>
      </c>
      <c r="H12" s="2865">
        <f>_xlfn.XLOOKUP($E12,[52]宿泊施設DB!$B$3:$B$207,[52]宿泊施設DB!$J$3:$J$207,"",)</f>
        <v>0</v>
      </c>
      <c r="I12" s="2866">
        <f>_xlfn.XLOOKUP($E12,[52]宿泊施設DB!$B$3:$B$207,[52]宿泊施設DB!$T$3:$T$207,"",)</f>
        <v>0</v>
      </c>
      <c r="J12" s="2866">
        <f>_xlfn.XLOOKUP($E12,[52]宿泊施設DB!$B$3:$B$207,[52]宿泊施設DB!$R$3:$R$207,"",)</f>
        <v>0</v>
      </c>
      <c r="K12" s="2865">
        <f>_xlfn.XLOOKUP($E12,[52]宿泊施設DB!$B$3:$B$207,[52]宿泊施設DB!$S$3:$S$207,"",)</f>
        <v>0</v>
      </c>
      <c r="L12" s="2866">
        <f>_xlfn.XLOOKUP($E12,[52]宿泊施設DB!$B$3:$B$207,[52]宿泊施設DB!$U$3:$U$207,"",)</f>
        <v>0</v>
      </c>
      <c r="M12" s="2866">
        <f>_xlfn.XLOOKUP($E12,[52]宿泊施設DB!$B$3:$B$207,[52]宿泊施設DB!$V$3:$V$207,"",)</f>
        <v>0</v>
      </c>
      <c r="N12" s="2866">
        <f>_xlfn.XLOOKUP($E12,[52]宿泊施設DB!$B$3:$B$207,[52]宿泊施設DB!$W$3:$W$207,"",)</f>
        <v>0</v>
      </c>
      <c r="O12" s="2866"/>
      <c r="P12" s="302" t="str">
        <f t="shared" si="0"/>
        <v/>
      </c>
      <c r="Q12" s="296"/>
      <c r="R12" s="413" t="s">
        <v>2198</v>
      </c>
      <c r="S12" s="313" t="str">
        <f>IFERROR(VLOOKUP($R12,'[52]競技情報DB(12,600人ver) '!$A$6:$D$203,2,),"－")</f>
        <v>名古屋市</v>
      </c>
      <c r="T12" s="314">
        <f>_xlfn.XLOOKUP(R12,'[52]競技情報DB(12,600人ver) '!$A$6:$A$101,'[52]競技情報DB(12,600人ver) '!$D$6:$D$101,"",0,)</f>
        <v>199</v>
      </c>
      <c r="U12" s="3307"/>
      <c r="V12" s="3308" t="str">
        <f>IFERROR(VLOOKUP($R12,'[52]競技情報DB(12,600人ver) '!$A$6:$D$203,3,),"－")</f>
        <v>名古屋市東山公園テニスセンター</v>
      </c>
      <c r="W12" s="3309">
        <v>22.7</v>
      </c>
      <c r="X12" s="3310">
        <v>27</v>
      </c>
      <c r="Y12" s="318"/>
      <c r="Z12" s="311"/>
      <c r="AA12" s="334"/>
      <c r="AB12" s="3302"/>
      <c r="AC12" s="3302"/>
      <c r="AD12" s="3303"/>
      <c r="AE12" s="335"/>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36"/>
      <c r="BJ12" s="336"/>
      <c r="BK12" s="336"/>
      <c r="BL12" s="336"/>
      <c r="BM12" s="336"/>
      <c r="BN12" s="340"/>
      <c r="BO12" s="290"/>
      <c r="BP12" s="332"/>
      <c r="BQ12" s="333"/>
    </row>
    <row r="13" spans="1:69" ht="46" customHeight="1" thickBot="1">
      <c r="A13" s="2862"/>
      <c r="B13" s="2863"/>
      <c r="C13" s="296"/>
      <c r="D13" s="297"/>
      <c r="E13" s="298"/>
      <c r="F13" s="2864"/>
      <c r="G13" s="2864"/>
      <c r="H13" s="2865"/>
      <c r="I13" s="2865"/>
      <c r="J13" s="2866"/>
      <c r="K13" s="2865"/>
      <c r="L13" s="2866"/>
      <c r="M13" s="2866"/>
      <c r="N13" s="2866"/>
      <c r="O13" s="2866"/>
      <c r="P13" s="302" t="str">
        <f t="shared" si="0"/>
        <v/>
      </c>
      <c r="Q13" s="296"/>
      <c r="R13" s="413" t="s">
        <v>2508</v>
      </c>
      <c r="S13" s="313" t="str">
        <f>IFERROR(VLOOKUP($R13,'[52]競技情報DB(12,600人ver) '!$A$6:$D$203,2,),"－")</f>
        <v>名古屋市</v>
      </c>
      <c r="T13" s="314">
        <f>_xlfn.XLOOKUP(R13,'[52]競技情報DB(12,600人ver) '!$A$6:$A$101,'[52]競技情報DB(12,600人ver) '!$D$6:$D$101,"",0,)</f>
        <v>203</v>
      </c>
      <c r="U13" s="3307"/>
      <c r="V13" s="3308" t="str">
        <f>IFERROR(VLOOKUP($R13,'[52]競技情報DB(12,600人ver) '!$A$6:$D$203,3,),"－")</f>
        <v>名古屋市中小企業振興会館</v>
      </c>
      <c r="W13" s="3309">
        <v>24</v>
      </c>
      <c r="X13" s="3310">
        <v>22</v>
      </c>
      <c r="Y13" s="318"/>
      <c r="Z13" s="311"/>
      <c r="AA13" s="334"/>
      <c r="AB13" s="3302"/>
      <c r="AC13" s="3302"/>
      <c r="AD13" s="3303"/>
      <c r="AE13" s="335"/>
      <c r="AF13" s="33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336"/>
      <c r="BE13" s="336"/>
      <c r="BF13" s="336"/>
      <c r="BG13" s="336"/>
      <c r="BH13" s="336"/>
      <c r="BI13" s="336"/>
      <c r="BJ13" s="336"/>
      <c r="BK13" s="336"/>
      <c r="BL13" s="336"/>
      <c r="BM13" s="336"/>
      <c r="BN13" s="340"/>
      <c r="BO13" s="290"/>
      <c r="BP13" s="332"/>
      <c r="BQ13" s="333"/>
    </row>
    <row r="14" spans="1:69" s="341" customFormat="1" ht="46" customHeight="1">
      <c r="A14" s="2862"/>
      <c r="B14" s="2863"/>
      <c r="C14" s="296"/>
      <c r="D14" s="297" t="str">
        <f>IF(_xlfn.XLOOKUP(E14,[52]宿泊施設DB!$B$3:$B$207,[52]宿泊施設DB!$A$3:$A$207,"",)=0,"",_xlfn.XLOOKUP(E14,[52]宿泊施設DB!$B$3:$B$207,[52]宿泊施設DB!$A$3:$A$207,"",))</f>
        <v/>
      </c>
      <c r="E14" s="298"/>
      <c r="F14" s="2864">
        <f>_xlfn.XLOOKUP($E14,[52]宿泊施設DB!$B$3:$B$207,[52]宿泊施設DB!$D$3:$D$207,"",)</f>
        <v>0</v>
      </c>
      <c r="G14" s="2864">
        <f>_xlfn.XLOOKUP($E14,[52]宿泊施設DB!$B$3:$B$207,[52]宿泊施設DB!$E$3:$E$207,"",)</f>
        <v>0</v>
      </c>
      <c r="H14" s="2865">
        <f>_xlfn.XLOOKUP($E14,[52]宿泊施設DB!$B$3:$B$207,[52]宿泊施設DB!$J$3:$J$207,"",)</f>
        <v>0</v>
      </c>
      <c r="I14" s="2866">
        <f>_xlfn.XLOOKUP($E14,[52]宿泊施設DB!$B$3:$B$207,[52]宿泊施設DB!$T$3:$T$207,"",)</f>
        <v>0</v>
      </c>
      <c r="J14" s="2866">
        <f>_xlfn.XLOOKUP($E14,[52]宿泊施設DB!$B$3:$B$207,[52]宿泊施設DB!$R$3:$R$207,"",)</f>
        <v>0</v>
      </c>
      <c r="K14" s="2865">
        <f>_xlfn.XLOOKUP($E14,[52]宿泊施設DB!$B$3:$B$207,[52]宿泊施設DB!$S$3:$S$207,"",)</f>
        <v>0</v>
      </c>
      <c r="L14" s="2866">
        <f>_xlfn.XLOOKUP($E14,[52]宿泊施設DB!$B$3:$B$207,[52]宿泊施設DB!$U$3:$U$207,"",)</f>
        <v>0</v>
      </c>
      <c r="M14" s="2866">
        <f>_xlfn.XLOOKUP($E14,[52]宿泊施設DB!$B$3:$B$207,[52]宿泊施設DB!$V$3:$V$207,"",)</f>
        <v>0</v>
      </c>
      <c r="N14" s="2866">
        <f>_xlfn.XLOOKUP($E14,[52]宿泊施設DB!$B$3:$B$207,[52]宿泊施設DB!$W$3:$W$207,"",)</f>
        <v>0</v>
      </c>
      <c r="O14" s="2866"/>
      <c r="P14" s="302" t="str">
        <f t="shared" si="0"/>
        <v/>
      </c>
      <c r="Q14" s="296"/>
      <c r="R14" s="413" t="s">
        <v>2509</v>
      </c>
      <c r="S14" s="313" t="str">
        <f>IFERROR(VLOOKUP($R14,'[52]競技情報DB(12,600人ver) '!$A$6:$D$203,2,),"－")</f>
        <v>名古屋市</v>
      </c>
      <c r="T14" s="314">
        <f>_xlfn.XLOOKUP(R14,'[52]競技情報DB(12,600人ver) '!$A$6:$A$101,'[52]競技情報DB(12,600人ver) '!$D$6:$D$101,"",0,)</f>
        <v>321</v>
      </c>
      <c r="U14" s="3307"/>
      <c r="V14" s="3308" t="str">
        <f>IFERROR(VLOOKUP($R14,'[52]競技情報DB(12,600人ver) '!$A$6:$D$203,3,),"－")</f>
        <v>愛知国際アリーナ</v>
      </c>
      <c r="W14" s="3309">
        <v>28</v>
      </c>
      <c r="X14" s="3310">
        <v>30</v>
      </c>
      <c r="Y14" s="318"/>
      <c r="Z14" s="311"/>
      <c r="AA14" s="334"/>
      <c r="AB14" s="3302"/>
      <c r="AC14" s="3302"/>
      <c r="AD14" s="3303"/>
      <c r="AE14" s="335"/>
      <c r="AF14" s="33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336"/>
      <c r="BE14" s="336"/>
      <c r="BF14" s="336"/>
      <c r="BG14" s="336"/>
      <c r="BH14" s="336"/>
      <c r="BI14" s="336"/>
      <c r="BJ14" s="336"/>
      <c r="BK14" s="336"/>
      <c r="BL14" s="336"/>
      <c r="BM14" s="336"/>
      <c r="BN14" s="340"/>
      <c r="BO14" s="290"/>
      <c r="BP14" s="332"/>
      <c r="BQ14" s="333"/>
    </row>
    <row r="15" spans="1:69" ht="46" customHeight="1">
      <c r="A15" s="2862"/>
      <c r="B15" s="2863"/>
      <c r="C15" s="296"/>
      <c r="D15" s="297" t="str">
        <f>IF(_xlfn.XLOOKUP(E15,[52]宿泊施設DB!$B$3:$B$207,[52]宿泊施設DB!$A$3:$A$207,"",)=0,"",_xlfn.XLOOKUP(E15,[52]宿泊施設DB!$B$3:$B$207,[52]宿泊施設DB!$A$3:$A$207,"",))</f>
        <v/>
      </c>
      <c r="E15" s="298"/>
      <c r="F15" s="2864">
        <f>_xlfn.XLOOKUP($E15,[52]宿泊施設DB!$B$3:$B$207,[52]宿泊施設DB!$D$3:$D$207,"",)</f>
        <v>0</v>
      </c>
      <c r="G15" s="2864">
        <f>_xlfn.XLOOKUP($E15,[52]宿泊施設DB!$B$3:$B$207,[52]宿泊施設DB!$E$3:$E$207,"",)</f>
        <v>0</v>
      </c>
      <c r="H15" s="2865">
        <f>_xlfn.XLOOKUP($E15,[52]宿泊施設DB!$B$3:$B$207,[52]宿泊施設DB!$J$3:$J$207,"",)</f>
        <v>0</v>
      </c>
      <c r="I15" s="2866">
        <f>_xlfn.XLOOKUP($E15,[52]宿泊施設DB!$B$3:$B$207,[52]宿泊施設DB!$T$3:$T$207,"",)</f>
        <v>0</v>
      </c>
      <c r="J15" s="2866">
        <f>_xlfn.XLOOKUP($E15,[52]宿泊施設DB!$B$3:$B$207,[52]宿泊施設DB!$R$3:$R$207,"",)</f>
        <v>0</v>
      </c>
      <c r="K15" s="2865">
        <f>_xlfn.XLOOKUP($E15,[52]宿泊施設DB!$B$3:$B$207,[52]宿泊施設DB!$S$3:$S$207,"",)</f>
        <v>0</v>
      </c>
      <c r="L15" s="2866">
        <f>_xlfn.XLOOKUP($E15,[52]宿泊施設DB!$B$3:$B$207,[52]宿泊施設DB!$U$3:$U$207,"",)</f>
        <v>0</v>
      </c>
      <c r="M15" s="2866">
        <f>_xlfn.XLOOKUP($E15,[52]宿泊施設DB!$B$3:$B$207,[52]宿泊施設DB!$V$3:$V$207,"",)</f>
        <v>0</v>
      </c>
      <c r="N15" s="2866">
        <f>_xlfn.XLOOKUP($E15,[52]宿泊施設DB!$B$3:$B$207,[52]宿泊施設DB!$W$3:$W$207,"",)</f>
        <v>0</v>
      </c>
      <c r="O15" s="2866"/>
      <c r="P15" s="302" t="str">
        <f t="shared" si="0"/>
        <v/>
      </c>
      <c r="Q15" s="296"/>
      <c r="R15" s="413" t="s">
        <v>2152</v>
      </c>
      <c r="S15" s="313" t="str">
        <f>IFERROR(VLOOKUP($R15,'[52]競技情報DB(12,600人ver) '!$A$6:$D$203,2,),"－")</f>
        <v>名古屋市</v>
      </c>
      <c r="T15" s="314">
        <f>_xlfn.XLOOKUP(R15,'[52]競技情報DB(12,600人ver) '!$A$6:$A$101,'[52]競技情報DB(12,600人ver) '!$D$6:$D$101,"",0,)</f>
        <v>125</v>
      </c>
      <c r="U15" s="3307"/>
      <c r="V15" s="3308" t="str">
        <f>IFERROR(VLOOKUP($R15,'[52]競技情報DB(12,600人ver) '!$A$6:$D$203,3,),"－")</f>
        <v>名古屋市国際展示場［ポートメッセなごや］</v>
      </c>
      <c r="W15" s="3309">
        <v>28.1</v>
      </c>
      <c r="X15" s="3310">
        <v>28</v>
      </c>
      <c r="Y15" s="318"/>
      <c r="Z15" s="311"/>
      <c r="AA15" s="334"/>
      <c r="AB15" s="3302"/>
      <c r="AC15" s="3302"/>
      <c r="AD15" s="3303"/>
      <c r="AE15" s="335"/>
      <c r="AF15" s="33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336"/>
      <c r="BE15" s="336"/>
      <c r="BF15" s="336"/>
      <c r="BG15" s="336"/>
      <c r="BH15" s="336"/>
      <c r="BI15" s="336"/>
      <c r="BJ15" s="336"/>
      <c r="BK15" s="336"/>
      <c r="BL15" s="336"/>
      <c r="BM15" s="336"/>
      <c r="BN15" s="340"/>
      <c r="BO15" s="290"/>
      <c r="BP15" s="332"/>
      <c r="BQ15" s="333"/>
    </row>
    <row r="16" spans="1:69" ht="46" customHeight="1">
      <c r="A16" s="2862"/>
      <c r="B16" s="2863"/>
      <c r="C16" s="296"/>
      <c r="D16" s="297" t="str">
        <f>IF(_xlfn.XLOOKUP(E16,[52]宿泊施設DB!$B$3:$B$207,[52]宿泊施設DB!$A$3:$A$207,"",)=0,"",_xlfn.XLOOKUP(E16,[52]宿泊施設DB!$B$3:$B$207,[52]宿泊施設DB!$A$3:$A$207,"",))</f>
        <v/>
      </c>
      <c r="E16" s="298"/>
      <c r="F16" s="2864">
        <f>_xlfn.XLOOKUP($E16,[52]宿泊施設DB!$B$3:$B$207,[52]宿泊施設DB!$D$3:$D$207,"",)</f>
        <v>0</v>
      </c>
      <c r="G16" s="2864">
        <f>_xlfn.XLOOKUP($E16,[52]宿泊施設DB!$B$3:$B$207,[52]宿泊施設DB!$E$3:$E$207,"",)</f>
        <v>0</v>
      </c>
      <c r="H16" s="2865">
        <f>_xlfn.XLOOKUP($E16,[52]宿泊施設DB!$B$3:$B$207,[52]宿泊施設DB!$J$3:$J$207,"",)</f>
        <v>0</v>
      </c>
      <c r="I16" s="2866">
        <f>_xlfn.XLOOKUP($E16,[52]宿泊施設DB!$B$3:$B$207,[52]宿泊施設DB!$T$3:$T$207,"",)</f>
        <v>0</v>
      </c>
      <c r="J16" s="2866">
        <f>_xlfn.XLOOKUP($E16,[52]宿泊施設DB!$B$3:$B$207,[52]宿泊施設DB!$R$3:$R$207,"",)</f>
        <v>0</v>
      </c>
      <c r="K16" s="2865">
        <f>_xlfn.XLOOKUP($E16,[52]宿泊施設DB!$B$3:$B$207,[52]宿泊施設DB!$S$3:$S$207,"",)</f>
        <v>0</v>
      </c>
      <c r="L16" s="2866">
        <f>_xlfn.XLOOKUP($E16,[52]宿泊施設DB!$B$3:$B$207,[52]宿泊施設DB!$U$3:$U$207,"",)</f>
        <v>0</v>
      </c>
      <c r="M16" s="2866">
        <f>_xlfn.XLOOKUP($E16,[52]宿泊施設DB!$B$3:$B$207,[52]宿泊施設DB!$V$3:$V$207,"",)</f>
        <v>0</v>
      </c>
      <c r="N16" s="2866">
        <f>_xlfn.XLOOKUP($E16,[52]宿泊施設DB!$B$3:$B$207,[52]宿泊施設DB!$W$3:$W$207,"",)</f>
        <v>0</v>
      </c>
      <c r="O16" s="2866"/>
      <c r="P16" s="302" t="str">
        <f t="shared" si="0"/>
        <v/>
      </c>
      <c r="Q16" s="296"/>
      <c r="R16" s="413" t="s">
        <v>2510</v>
      </c>
      <c r="S16" s="313" t="str">
        <f>IFERROR(VLOOKUP($R16,'[52]競技情報DB(12,600人ver) '!$A$6:$D$203,2,),"－")</f>
        <v>豊田市</v>
      </c>
      <c r="T16" s="314">
        <f>_xlfn.XLOOKUP(R16,'[52]競技情報DB(12,600人ver) '!$A$6:$A$101,'[52]競技情報DB(12,600人ver) '!$D$6:$D$101,"",0,)</f>
        <v>220</v>
      </c>
      <c r="U16" s="3307"/>
      <c r="V16" s="3308" t="str">
        <f>IFERROR(VLOOKUP($R16,'[52]競技情報DB(12,600人ver) '!$A$6:$D$203,3,),"－")</f>
        <v>スカイホール豊田</v>
      </c>
      <c r="W16" s="3309">
        <v>42</v>
      </c>
      <c r="X16" s="3310">
        <v>42</v>
      </c>
      <c r="Y16" s="318"/>
      <c r="Z16" s="311"/>
      <c r="AA16" s="334"/>
      <c r="AB16" s="3302"/>
      <c r="AC16" s="3302"/>
      <c r="AD16" s="3303"/>
      <c r="AE16" s="335"/>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336"/>
      <c r="BE16" s="336"/>
      <c r="BF16" s="336"/>
      <c r="BG16" s="336"/>
      <c r="BH16" s="336"/>
      <c r="BI16" s="336"/>
      <c r="BJ16" s="336"/>
      <c r="BK16" s="336"/>
      <c r="BL16" s="336"/>
      <c r="BM16" s="336"/>
      <c r="BN16" s="340"/>
      <c r="BO16" s="290"/>
      <c r="BP16" s="332"/>
      <c r="BQ16" s="333"/>
    </row>
    <row r="17" spans="1:69" ht="46" customHeight="1">
      <c r="A17" s="2862"/>
      <c r="B17" s="2863"/>
      <c r="C17" s="296"/>
      <c r="D17" s="297" t="str">
        <f>IF(_xlfn.XLOOKUP(E17,[52]宿泊施設DB!$B$3:$B$207,[52]宿泊施設DB!$A$3:$A$207,"",)=0,"",_xlfn.XLOOKUP(E17,[52]宿泊施設DB!$B$3:$B$207,[52]宿泊施設DB!$A$3:$A$207,"",))</f>
        <v/>
      </c>
      <c r="E17" s="298"/>
      <c r="F17" s="2864">
        <f>_xlfn.XLOOKUP($E17,[52]宿泊施設DB!$B$3:$B$207,[52]宿泊施設DB!$D$3:$D$207,"",)</f>
        <v>0</v>
      </c>
      <c r="G17" s="2864">
        <f>_xlfn.XLOOKUP($E17,[52]宿泊施設DB!$B$3:$B$207,[52]宿泊施設DB!$E$3:$E$207,"",)</f>
        <v>0</v>
      </c>
      <c r="H17" s="2865">
        <f>_xlfn.XLOOKUP($E17,[52]宿泊施設DB!$B$3:$B$207,[52]宿泊施設DB!$J$3:$J$207,"",)</f>
        <v>0</v>
      </c>
      <c r="I17" s="2866">
        <f>_xlfn.XLOOKUP($E17,[52]宿泊施設DB!$B$3:$B$207,[52]宿泊施設DB!$T$3:$T$207,"",)</f>
        <v>0</v>
      </c>
      <c r="J17" s="2866">
        <f>_xlfn.XLOOKUP($E17,[52]宿泊施設DB!$B$3:$B$207,[52]宿泊施設DB!$R$3:$R$207,"",)</f>
        <v>0</v>
      </c>
      <c r="K17" s="2865">
        <f>_xlfn.XLOOKUP($E17,[52]宿泊施設DB!$B$3:$B$207,[52]宿泊施設DB!$S$3:$S$207,"",)</f>
        <v>0</v>
      </c>
      <c r="L17" s="2866">
        <f>_xlfn.XLOOKUP($E17,[52]宿泊施設DB!$B$3:$B$207,[52]宿泊施設DB!$U$3:$U$207,"",)</f>
        <v>0</v>
      </c>
      <c r="M17" s="2866">
        <f>_xlfn.XLOOKUP($E17,[52]宿泊施設DB!$B$3:$B$207,[52]宿泊施設DB!$V$3:$V$207,"",)</f>
        <v>0</v>
      </c>
      <c r="N17" s="2866">
        <f>_xlfn.XLOOKUP($E17,[52]宿泊施設DB!$B$3:$B$207,[52]宿泊施設DB!$W$3:$W$207,"",)</f>
        <v>0</v>
      </c>
      <c r="O17" s="2866"/>
      <c r="P17" s="302" t="str">
        <f t="shared" si="0"/>
        <v/>
      </c>
      <c r="Q17" s="296"/>
      <c r="R17" s="413" t="s">
        <v>2164</v>
      </c>
      <c r="S17" s="313" t="str">
        <f>IFERROR(VLOOKUP($R17,'[52]競技情報DB(12,600人ver) '!$A$6:$D$203,2,),"－")</f>
        <v>名古屋市</v>
      </c>
      <c r="T17" s="314">
        <f>_xlfn.XLOOKUP(R17,'[52]競技情報DB(12,600人ver) '!$A$6:$A$101,'[52]競技情報DB(12,600人ver) '!$D$6:$D$101,"",0,)</f>
        <v>246</v>
      </c>
      <c r="U17" s="3307"/>
      <c r="V17" s="3308" t="str">
        <f>IFERROR(VLOOKUP($R17,'[52]競技情報DB(12,600人ver) '!$A$6:$D$203,3,),"－")</f>
        <v>愛知県武道館</v>
      </c>
      <c r="W17" s="3309">
        <v>31.3</v>
      </c>
      <c r="X17" s="3310">
        <v>36</v>
      </c>
      <c r="Y17" s="318"/>
      <c r="Z17" s="311"/>
      <c r="AA17" s="334"/>
      <c r="AB17" s="3302"/>
      <c r="AC17" s="3302"/>
      <c r="AD17" s="3303"/>
      <c r="AE17" s="335"/>
      <c r="AF17" s="33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336"/>
      <c r="BE17" s="336"/>
      <c r="BF17" s="336"/>
      <c r="BG17" s="336"/>
      <c r="BH17" s="336"/>
      <c r="BI17" s="336"/>
      <c r="BJ17" s="336"/>
      <c r="BK17" s="336"/>
      <c r="BL17" s="336"/>
      <c r="BM17" s="336"/>
      <c r="BN17" s="340"/>
      <c r="BO17" s="290"/>
      <c r="BP17" s="332"/>
      <c r="BQ17" s="333"/>
    </row>
    <row r="18" spans="1:69" ht="46" customHeight="1">
      <c r="A18" s="2862"/>
      <c r="B18" s="2863"/>
      <c r="C18" s="296"/>
      <c r="D18" s="297" t="str">
        <f>IF(_xlfn.XLOOKUP(E18,[52]宿泊施設DB!$B$3:$B$207,[52]宿泊施設DB!$A$3:$A$207,"",)=0,"",_xlfn.XLOOKUP(E18,[52]宿泊施設DB!$B$3:$B$207,[52]宿泊施設DB!$A$3:$A$207,"",))</f>
        <v/>
      </c>
      <c r="E18" s="298"/>
      <c r="F18" s="2864">
        <f>_xlfn.XLOOKUP($E18,[52]宿泊施設DB!$B$3:$B$207,[52]宿泊施設DB!$D$3:$D$207,"",)</f>
        <v>0</v>
      </c>
      <c r="G18" s="2864">
        <f>_xlfn.XLOOKUP($E18,[52]宿泊施設DB!$B$3:$B$207,[52]宿泊施設DB!$E$3:$E$207,"",)</f>
        <v>0</v>
      </c>
      <c r="H18" s="2865">
        <f>_xlfn.XLOOKUP($E18,[52]宿泊施設DB!$B$3:$B$207,[52]宿泊施設DB!$J$3:$J$207,"",)</f>
        <v>0</v>
      </c>
      <c r="I18" s="2866">
        <f>_xlfn.XLOOKUP($E18,[52]宿泊施設DB!$B$3:$B$207,[52]宿泊施設DB!$T$3:$T$207,"",)</f>
        <v>0</v>
      </c>
      <c r="J18" s="2866">
        <f>_xlfn.XLOOKUP($E18,[52]宿泊施設DB!$B$3:$B$207,[52]宿泊施設DB!$R$3:$R$207,"",)</f>
        <v>0</v>
      </c>
      <c r="K18" s="2865">
        <f>_xlfn.XLOOKUP($E18,[52]宿泊施設DB!$B$3:$B$207,[52]宿泊施設DB!$S$3:$S$207,"",)</f>
        <v>0</v>
      </c>
      <c r="L18" s="2866">
        <f>_xlfn.XLOOKUP($E18,[52]宿泊施設DB!$B$3:$B$207,[52]宿泊施設DB!$U$3:$U$207,"",)</f>
        <v>0</v>
      </c>
      <c r="M18" s="2866">
        <f>_xlfn.XLOOKUP($E18,[52]宿泊施設DB!$B$3:$B$207,[52]宿泊施設DB!$V$3:$V$207,"",)</f>
        <v>0</v>
      </c>
      <c r="N18" s="2866">
        <f>_xlfn.XLOOKUP($E18,[52]宿泊施設DB!$B$3:$B$207,[52]宿泊施設DB!$W$3:$W$207,"",)</f>
        <v>0</v>
      </c>
      <c r="O18" s="2866"/>
      <c r="P18" s="302" t="str">
        <f t="shared" si="0"/>
        <v/>
      </c>
      <c r="Q18" s="296"/>
      <c r="R18" s="413" t="s">
        <v>2148</v>
      </c>
      <c r="S18" s="313" t="str">
        <f>IFERROR(VLOOKUP($R18,'[52]競技情報DB(12,600人ver) '!$A$6:$D$203,2,),"－")</f>
        <v>名古屋市</v>
      </c>
      <c r="T18" s="314">
        <f>_xlfn.XLOOKUP(R18,'[52]競技情報DB(12,600人ver) '!$A$6:$A$101,'[52]競技情報DB(12,600人ver) '!$D$6:$D$101,"",0,)</f>
        <v>118</v>
      </c>
      <c r="U18" s="3307"/>
      <c r="V18" s="3308" t="str">
        <f>IFERROR(VLOOKUP($R18,'[52]競技情報DB(12,600人ver) '!$A$6:$D$203,3,),"－")</f>
        <v>愛知県武道館</v>
      </c>
      <c r="W18" s="3309">
        <v>9.5</v>
      </c>
      <c r="X18" s="3310">
        <v>17</v>
      </c>
      <c r="Y18" s="318"/>
      <c r="Z18" s="311"/>
      <c r="AA18" s="334"/>
      <c r="AB18" s="3302"/>
      <c r="AC18" s="3302"/>
      <c r="AD18" s="3303"/>
      <c r="AE18" s="335"/>
      <c r="AF18" s="336"/>
      <c r="AG18" s="336"/>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336"/>
      <c r="BE18" s="336"/>
      <c r="BF18" s="336"/>
      <c r="BG18" s="336"/>
      <c r="BH18" s="336"/>
      <c r="BI18" s="336"/>
      <c r="BJ18" s="336"/>
      <c r="BK18" s="336"/>
      <c r="BL18" s="336"/>
      <c r="BM18" s="336"/>
      <c r="BN18" s="340"/>
      <c r="BO18" s="290"/>
      <c r="BP18" s="332"/>
      <c r="BQ18" s="333"/>
    </row>
    <row r="19" spans="1:69" ht="46" customHeight="1">
      <c r="A19" s="2862"/>
      <c r="B19" s="2863"/>
      <c r="C19" s="296"/>
      <c r="D19" s="297" t="str">
        <f>IF(_xlfn.XLOOKUP(E19,[52]宿泊施設DB!$B$3:$B$207,[52]宿泊施設DB!$A$3:$A$207,"",)=0,"",_xlfn.XLOOKUP(E19,[52]宿泊施設DB!$B$3:$B$207,[52]宿泊施設DB!$A$3:$A$207,"",))</f>
        <v/>
      </c>
      <c r="E19" s="298"/>
      <c r="F19" s="2864">
        <f>_xlfn.XLOOKUP($E19,[52]宿泊施設DB!$B$3:$B$207,[52]宿泊施設DB!$D$3:$D$207,"",)</f>
        <v>0</v>
      </c>
      <c r="G19" s="2864">
        <f>_xlfn.XLOOKUP($E19,[52]宿泊施設DB!$B$3:$B$207,[52]宿泊施設DB!$E$3:$E$207,"",)</f>
        <v>0</v>
      </c>
      <c r="H19" s="2865">
        <f>_xlfn.XLOOKUP($E19,[52]宿泊施設DB!$B$3:$B$207,[52]宿泊施設DB!$J$3:$J$207,"",)</f>
        <v>0</v>
      </c>
      <c r="I19" s="2866">
        <f>_xlfn.XLOOKUP($E19,[52]宿泊施設DB!$B$3:$B$207,[52]宿泊施設DB!$T$3:$T$207,"",)</f>
        <v>0</v>
      </c>
      <c r="J19" s="2866">
        <f>_xlfn.XLOOKUP($E19,[52]宿泊施設DB!$B$3:$B$207,[52]宿泊施設DB!$R$3:$R$207,"",)</f>
        <v>0</v>
      </c>
      <c r="K19" s="2865">
        <f>_xlfn.XLOOKUP($E19,[52]宿泊施設DB!$B$3:$B$207,[52]宿泊施設DB!$S$3:$S$207,"",)</f>
        <v>0</v>
      </c>
      <c r="L19" s="2866">
        <f>_xlfn.XLOOKUP($E19,[52]宿泊施設DB!$B$3:$B$207,[52]宿泊施設DB!$U$3:$U$207,"",)</f>
        <v>0</v>
      </c>
      <c r="M19" s="2866">
        <f>_xlfn.XLOOKUP($E19,[52]宿泊施設DB!$B$3:$B$207,[52]宿泊施設DB!$V$3:$V$207,"",)</f>
        <v>0</v>
      </c>
      <c r="N19" s="2866">
        <f>_xlfn.XLOOKUP($E19,[52]宿泊施設DB!$B$3:$B$207,[52]宿泊施設DB!$W$3:$W$207,"",)</f>
        <v>0</v>
      </c>
      <c r="O19" s="2866"/>
      <c r="P19" s="302" t="str">
        <f t="shared" si="0"/>
        <v/>
      </c>
      <c r="Q19" s="296"/>
      <c r="R19" s="413" t="s">
        <v>2453</v>
      </c>
      <c r="S19" s="313" t="str">
        <f>IFERROR(VLOOKUP($R19,'[52]競技情報DB(12,600人ver) '!$A$6:$D$203,2,),"－")</f>
        <v>岡崎市</v>
      </c>
      <c r="T19" s="314">
        <f>_xlfn.XLOOKUP(R19,'[52]競技情報DB(12,600人ver) '!$A$6:$A$101,'[52]競技情報DB(12,600人ver) '!$D$6:$D$101,"",0,)</f>
        <v>289</v>
      </c>
      <c r="U19" s="3307"/>
      <c r="V19" s="3308" t="str">
        <f>IFERROR(VLOOKUP($R19,'[52]競技情報DB(12,600人ver) '!$A$6:$D$203,3,),"－")</f>
        <v>岡崎中央総合公園多目的広場</v>
      </c>
      <c r="W19" s="3309">
        <v>9.5</v>
      </c>
      <c r="X19" s="3310">
        <v>17</v>
      </c>
      <c r="Y19" s="318"/>
      <c r="Z19" s="311"/>
      <c r="AA19" s="334"/>
      <c r="AB19" s="3302"/>
      <c r="AC19" s="3302"/>
      <c r="AD19" s="3303"/>
      <c r="AE19" s="335"/>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36"/>
      <c r="BK19" s="336"/>
      <c r="BL19" s="336"/>
      <c r="BM19" s="336"/>
      <c r="BN19" s="340"/>
      <c r="BO19" s="290"/>
      <c r="BP19" s="332"/>
      <c r="BQ19" s="333"/>
    </row>
    <row r="20" spans="1:69" ht="46" customHeight="1">
      <c r="A20" s="2862"/>
      <c r="B20" s="2863"/>
      <c r="C20" s="296"/>
      <c r="D20" s="297"/>
      <c r="E20" s="298"/>
      <c r="F20" s="2864"/>
      <c r="G20" s="2864"/>
      <c r="H20" s="2865"/>
      <c r="I20" s="2866"/>
      <c r="J20" s="2866"/>
      <c r="K20" s="2865"/>
      <c r="L20" s="2866"/>
      <c r="M20" s="2866"/>
      <c r="N20" s="2866"/>
      <c r="O20" s="2866"/>
      <c r="P20" s="302" t="str">
        <f t="shared" si="0"/>
        <v/>
      </c>
      <c r="Q20" s="296"/>
      <c r="R20" s="413" t="s">
        <v>2153</v>
      </c>
      <c r="S20" s="313" t="str">
        <f>IFERROR(VLOOKUP($R20,'[52]競技情報DB(12,600人ver) '!$A$6:$D$203,2,),"－")</f>
        <v>名古屋市</v>
      </c>
      <c r="T20" s="314">
        <f>_xlfn.XLOOKUP(R20,'[52]競技情報DB(12,600人ver) '!$A$6:$A$101,'[52]競技情報DB(12,600人ver) '!$D$6:$D$101,"",0,)</f>
        <v>90</v>
      </c>
      <c r="U20" s="3307"/>
      <c r="V20" s="3308" t="str">
        <f>IFERROR(VLOOKUP($R20,'[52]競技情報DB(12,600人ver) '!$A$6:$D$203,3,),"－")</f>
        <v>名古屋市金城ふ頭アリーナ</v>
      </c>
      <c r="W20" s="3309">
        <v>12.9</v>
      </c>
      <c r="X20" s="3310">
        <v>21</v>
      </c>
      <c r="Y20" s="318"/>
      <c r="Z20" s="311"/>
      <c r="AA20" s="334"/>
      <c r="AB20" s="3302"/>
      <c r="AC20" s="3302"/>
      <c r="AD20" s="3303"/>
      <c r="AE20" s="335"/>
      <c r="AF20" s="336"/>
      <c r="AG20" s="336"/>
      <c r="AH20" s="336"/>
      <c r="AI20" s="336"/>
      <c r="AJ20" s="336"/>
      <c r="AK20" s="336"/>
      <c r="AL20" s="336"/>
      <c r="AM20" s="336"/>
      <c r="AN20" s="336"/>
      <c r="AO20" s="336"/>
      <c r="AP20" s="336"/>
      <c r="AQ20" s="336"/>
      <c r="AR20" s="336"/>
      <c r="AS20" s="336"/>
      <c r="AT20" s="336"/>
      <c r="AU20" s="336"/>
      <c r="AV20" s="336"/>
      <c r="AW20" s="336"/>
      <c r="AX20" s="336"/>
      <c r="AY20" s="336"/>
      <c r="AZ20" s="336"/>
      <c r="BA20" s="336"/>
      <c r="BB20" s="336"/>
      <c r="BC20" s="336"/>
      <c r="BD20" s="336"/>
      <c r="BE20" s="336"/>
      <c r="BF20" s="336"/>
      <c r="BG20" s="336"/>
      <c r="BH20" s="336"/>
      <c r="BI20" s="336"/>
      <c r="BJ20" s="336"/>
      <c r="BK20" s="336"/>
      <c r="BL20" s="336"/>
      <c r="BM20" s="336"/>
      <c r="BN20" s="340"/>
      <c r="BO20" s="290"/>
      <c r="BP20" s="332"/>
      <c r="BQ20" s="333"/>
    </row>
    <row r="21" spans="1:69" ht="46" customHeight="1">
      <c r="A21" s="2862"/>
      <c r="B21" s="2863"/>
      <c r="C21" s="296"/>
      <c r="D21" s="297" t="str">
        <f>IF(_xlfn.XLOOKUP(E21,[52]宿泊施設DB!$B$3:$B$207,[52]宿泊施設DB!$A$3:$A$207,"",)=0,"",_xlfn.XLOOKUP(E21,[52]宿泊施設DB!$B$3:$B$207,[52]宿泊施設DB!$A$3:$A$207,"",))</f>
        <v/>
      </c>
      <c r="E21" s="298"/>
      <c r="F21" s="2864">
        <f>_xlfn.XLOOKUP($E21,[52]宿泊施設DB!$B$3:$B$207,[52]宿泊施設DB!$D$3:$D$207,"",)</f>
        <v>0</v>
      </c>
      <c r="G21" s="717">
        <f>_xlfn.XLOOKUP($E21,[52]宿泊施設DB!$B$3:$B$207,[52]宿泊施設DB!$E$3:$E$207,"",)</f>
        <v>0</v>
      </c>
      <c r="H21" s="2865">
        <f>_xlfn.XLOOKUP($E21,[52]宿泊施設DB!$B$3:$B$207,[52]宿泊施設DB!$J$3:$J$207,"",)</f>
        <v>0</v>
      </c>
      <c r="I21" s="2866">
        <f>_xlfn.XLOOKUP($E21,[52]宿泊施設DB!$B$3:$B$207,[52]宿泊施設DB!$T$3:$T$207,"",)</f>
        <v>0</v>
      </c>
      <c r="J21" s="2866">
        <f>_xlfn.XLOOKUP($E21,[52]宿泊施設DB!$B$3:$B$207,[52]宿泊施設DB!$R$3:$R$207,"",)</f>
        <v>0</v>
      </c>
      <c r="K21" s="2865">
        <f>_xlfn.XLOOKUP($E21,[52]宿泊施設DB!$B$3:$B$207,[52]宿泊施設DB!$S$3:$S$207,"",)</f>
        <v>0</v>
      </c>
      <c r="L21" s="2866">
        <f>_xlfn.XLOOKUP($E21,[52]宿泊施設DB!$B$3:$B$207,[52]宿泊施設DB!$U$3:$U$207,"",)</f>
        <v>0</v>
      </c>
      <c r="M21" s="2866">
        <f>_xlfn.XLOOKUP($E21,[52]宿泊施設DB!$B$3:$B$207,[52]宿泊施設DB!$V$3:$V$207,"",)</f>
        <v>0</v>
      </c>
      <c r="N21" s="2866">
        <f>_xlfn.XLOOKUP($E21,[52]宿泊施設DB!$B$3:$B$207,[52]宿泊施設DB!$W$3:$W$207,"",)</f>
        <v>0</v>
      </c>
      <c r="O21" s="2866"/>
      <c r="P21" s="302" t="str">
        <f t="shared" si="0"/>
        <v/>
      </c>
      <c r="Q21" s="296"/>
      <c r="R21" s="413" t="s">
        <v>2511</v>
      </c>
      <c r="S21" s="313" t="str">
        <f>IFERROR(VLOOKUP($R21,'[52]競技情報DB(12,600人ver) '!$A$6:$D$203,2,),"－")</f>
        <v>豊田市</v>
      </c>
      <c r="T21" s="314">
        <f>_xlfn.XLOOKUP(R21,'[52]競技情報DB(12,600人ver) '!$A$6:$A$101,'[52]競技情報DB(12,600人ver) '!$D$6:$D$101,"",0,)</f>
        <v>116</v>
      </c>
      <c r="U21" s="3307"/>
      <c r="V21" s="3308" t="str">
        <f>IFERROR(VLOOKUP($R21,'[52]競技情報DB(12,600人ver) '!$A$6:$D$203,3,),"－")</f>
        <v>豊田スタジアム</v>
      </c>
      <c r="W21" s="3309">
        <v>46.7</v>
      </c>
      <c r="X21" s="3310">
        <v>40</v>
      </c>
      <c r="Y21" s="318"/>
      <c r="Z21" s="311"/>
      <c r="AA21" s="334"/>
      <c r="AB21" s="3302"/>
      <c r="AC21" s="3302"/>
      <c r="AD21" s="3303"/>
      <c r="AE21" s="335"/>
      <c r="AF21" s="33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336"/>
      <c r="BE21" s="336"/>
      <c r="BF21" s="336"/>
      <c r="BG21" s="336"/>
      <c r="BH21" s="336"/>
      <c r="BI21" s="336"/>
      <c r="BJ21" s="336"/>
      <c r="BK21" s="336"/>
      <c r="BL21" s="336"/>
      <c r="BM21" s="336"/>
      <c r="BN21" s="340"/>
      <c r="BO21" s="290"/>
      <c r="BP21" s="332"/>
      <c r="BQ21" s="333"/>
    </row>
    <row r="22" spans="1:69" ht="46" customHeight="1">
      <c r="A22" s="2862"/>
      <c r="B22" s="2863"/>
      <c r="C22" s="296"/>
      <c r="D22" s="297"/>
      <c r="E22" s="298"/>
      <c r="F22" s="2864"/>
      <c r="G22" s="717"/>
      <c r="H22" s="2865"/>
      <c r="I22" s="2866"/>
      <c r="J22" s="2866"/>
      <c r="K22" s="2865"/>
      <c r="L22" s="2866"/>
      <c r="M22" s="2866"/>
      <c r="N22" s="2866"/>
      <c r="O22" s="2866"/>
      <c r="P22" s="302" t="str">
        <f t="shared" si="0"/>
        <v/>
      </c>
      <c r="Q22" s="296"/>
      <c r="R22" s="413" t="s">
        <v>2512</v>
      </c>
      <c r="S22" s="313" t="str">
        <f>IFERROR(VLOOKUP($R22,'[52]競技情報DB(12,600人ver) '!$A$6:$D$203,2,),"－")</f>
        <v>名古屋市</v>
      </c>
      <c r="T22" s="314">
        <f>_xlfn.XLOOKUP(R22,'[52]競技情報DB(12,600人ver) '!$A$6:$A$101,'[52]競技情報DB(12,600人ver) '!$D$6:$D$101,"",0,)</f>
        <v>43</v>
      </c>
      <c r="U22" s="3307"/>
      <c r="V22" s="3308" t="str">
        <f>IFERROR(VLOOKUP($R22,'[52]競技情報DB(12,600人ver) '!$A$6:$D$203,3,),"－")</f>
        <v>名古屋市瑞穂公園陸上競技場（都心コース）</v>
      </c>
      <c r="W22" s="3309">
        <v>23</v>
      </c>
      <c r="X22" s="3310">
        <v>31</v>
      </c>
      <c r="Y22" s="318"/>
      <c r="Z22" s="311"/>
      <c r="AA22" s="334"/>
      <c r="AB22" s="3302"/>
      <c r="AC22" s="3302"/>
      <c r="AD22" s="3303"/>
      <c r="AE22" s="335"/>
      <c r="AF22" s="336"/>
      <c r="AG22" s="336"/>
      <c r="AH22" s="336"/>
      <c r="AI22" s="336"/>
      <c r="AJ22" s="336"/>
      <c r="AK22" s="336"/>
      <c r="AL22" s="336"/>
      <c r="AM22" s="336"/>
      <c r="AN22" s="336"/>
      <c r="AO22" s="336"/>
      <c r="AP22" s="336"/>
      <c r="AQ22" s="336"/>
      <c r="AR22" s="336"/>
      <c r="AS22" s="336"/>
      <c r="AT22" s="336"/>
      <c r="AU22" s="336"/>
      <c r="AV22" s="336"/>
      <c r="AW22" s="336"/>
      <c r="AX22" s="336"/>
      <c r="AY22" s="336"/>
      <c r="AZ22" s="336"/>
      <c r="BA22" s="336"/>
      <c r="BB22" s="336"/>
      <c r="BC22" s="336"/>
      <c r="BD22" s="336"/>
      <c r="BE22" s="336"/>
      <c r="BF22" s="336"/>
      <c r="BG22" s="336"/>
      <c r="BH22" s="336"/>
      <c r="BI22" s="336"/>
      <c r="BJ22" s="336"/>
      <c r="BK22" s="336"/>
      <c r="BL22" s="336"/>
      <c r="BM22" s="336"/>
      <c r="BN22" s="340"/>
      <c r="BO22" s="290"/>
      <c r="BP22" s="332"/>
      <c r="BQ22" s="333"/>
    </row>
    <row r="23" spans="1:69" ht="46" customHeight="1">
      <c r="A23" s="2862"/>
      <c r="B23" s="2863"/>
      <c r="C23" s="296"/>
      <c r="D23" s="297" t="str">
        <f>IF(_xlfn.XLOOKUP(E23,[52]宿泊施設DB!$B$3:$B$207,[52]宿泊施設DB!$A$3:$A$207,"",)=0,"",_xlfn.XLOOKUP(E23,[52]宿泊施設DB!$B$3:$B$207,[52]宿泊施設DB!$A$3:$A$207,"",))</f>
        <v/>
      </c>
      <c r="E23" s="298"/>
      <c r="F23" s="2864">
        <f>_xlfn.XLOOKUP($E23,[52]宿泊施設DB!$B$3:$B$207,[52]宿泊施設DB!$D$3:$D$207,"",)</f>
        <v>0</v>
      </c>
      <c r="G23" s="717">
        <f>_xlfn.XLOOKUP($E23,[52]宿泊施設DB!$B$3:$B$207,[52]宿泊施設DB!$E$3:$E$207,"",)</f>
        <v>0</v>
      </c>
      <c r="H23" s="2865">
        <f>_xlfn.XLOOKUP($E23,[52]宿泊施設DB!$B$3:$B$207,[52]宿泊施設DB!$J$3:$J$207,"",)</f>
        <v>0</v>
      </c>
      <c r="I23" s="2866">
        <f>_xlfn.XLOOKUP($E23,[52]宿泊施設DB!$B$3:$B$207,[52]宿泊施設DB!$T$3:$T$207,"",)</f>
        <v>0</v>
      </c>
      <c r="J23" s="2866">
        <f>_xlfn.XLOOKUP($E23,[52]宿泊施設DB!$B$3:$B$207,[52]宿泊施設DB!$R$3:$R$207,"",)</f>
        <v>0</v>
      </c>
      <c r="K23" s="2865">
        <f>_xlfn.XLOOKUP($E23,[52]宿泊施設DB!$B$3:$B$207,[52]宿泊施設DB!$S$3:$S$207,"",)</f>
        <v>0</v>
      </c>
      <c r="L23" s="2866">
        <f>_xlfn.XLOOKUP($E23,[52]宿泊施設DB!$B$3:$B$207,[52]宿泊施設DB!$U$3:$U$207,"",)</f>
        <v>0</v>
      </c>
      <c r="M23" s="2866">
        <f>_xlfn.XLOOKUP($E23,[52]宿泊施設DB!$B$3:$B$207,[52]宿泊施設DB!$V$3:$V$207,"",)</f>
        <v>0</v>
      </c>
      <c r="N23" s="2866">
        <f>_xlfn.XLOOKUP($E23,[52]宿泊施設DB!$B$3:$B$207,[52]宿泊施設DB!$W$3:$W$207,"",)</f>
        <v>0</v>
      </c>
      <c r="O23" s="2866"/>
      <c r="P23" s="302" t="str">
        <f t="shared" si="0"/>
        <v/>
      </c>
      <c r="Q23" s="296"/>
      <c r="R23" s="3314" t="s">
        <v>2513</v>
      </c>
      <c r="S23" s="459" t="str">
        <f>IFERROR(VLOOKUP($R23,'[52]競技情報DB(12,600人ver) '!$A$6:$D$203,2,),"－")</f>
        <v>名古屋市</v>
      </c>
      <c r="T23" s="460">
        <f>_xlfn.XLOOKUP(R23,'[52]競技情報DB(12,600人ver) '!$A$6:$A$101,'[52]競技情報DB(12,600人ver) '!$D$6:$D$101,"",0,)</f>
        <v>35</v>
      </c>
      <c r="U23" s="3307"/>
      <c r="V23" s="3315" t="str">
        <f>IFERROR(VLOOKUP($R23,'[52]競技情報DB(12,600人ver) '!$A$6:$D$203,3,),"－")</f>
        <v>愛知県庁・名古屋市役所周辺コース</v>
      </c>
      <c r="W23" s="3316">
        <v>24</v>
      </c>
      <c r="X23" s="3317">
        <v>28</v>
      </c>
      <c r="Y23" s="434"/>
      <c r="Z23" s="435"/>
      <c r="AA23" s="534"/>
      <c r="AB23" s="3318"/>
      <c r="AC23" s="3318"/>
      <c r="AD23" s="3319"/>
      <c r="AE23" s="444"/>
      <c r="AF23" s="336"/>
      <c r="AG23" s="336"/>
      <c r="AH23" s="336"/>
      <c r="AI23" s="336"/>
      <c r="AJ23" s="336"/>
      <c r="AK23" s="336"/>
      <c r="AL23" s="336"/>
      <c r="AM23" s="336"/>
      <c r="AN23" s="336"/>
      <c r="AO23" s="336"/>
      <c r="AP23" s="336"/>
      <c r="AQ23" s="336"/>
      <c r="AR23" s="336"/>
      <c r="AS23" s="336"/>
      <c r="AT23" s="336"/>
      <c r="AU23" s="336"/>
      <c r="AV23" s="336"/>
      <c r="AW23" s="336"/>
      <c r="AX23" s="336"/>
      <c r="AY23" s="336"/>
      <c r="AZ23" s="336"/>
      <c r="BA23" s="336"/>
      <c r="BB23" s="336"/>
      <c r="BC23" s="336"/>
      <c r="BD23" s="336"/>
      <c r="BE23" s="336"/>
      <c r="BF23" s="336"/>
      <c r="BG23" s="336"/>
      <c r="BH23" s="336"/>
      <c r="BI23" s="336"/>
      <c r="BJ23" s="336"/>
      <c r="BK23" s="336"/>
      <c r="BL23" s="336"/>
      <c r="BM23" s="336"/>
      <c r="BN23" s="340"/>
      <c r="BO23" s="290"/>
      <c r="BP23" s="332"/>
      <c r="BQ23" s="333"/>
    </row>
    <row r="24" spans="1:69" ht="46" customHeight="1">
      <c r="A24" s="2862"/>
      <c r="B24" s="372" t="s">
        <v>2138</v>
      </c>
      <c r="C24" s="372">
        <f>C5+1</f>
        <v>2</v>
      </c>
      <c r="D24" s="2871" t="str">
        <f>IF(_xlfn.XLOOKUP(E24,[52]宿泊施設DB!$B$3:$B$207,[52]宿泊施設DB!$A$3:$A$207,"",)=0,"",_xlfn.XLOOKUP(E24,[52]宿泊施設DB!$B$3:$B$207,[52]宿泊施設DB!$A$3:$A$207,"",))</f>
        <v/>
      </c>
      <c r="E24" s="373" t="s">
        <v>2514</v>
      </c>
      <c r="F24" s="2872">
        <f>_xlfn.XLOOKUP($E24,[52]宿泊施設DB!$B$3:$B$207,[52]宿泊施設DB!$D$3:$D$207,"",)</f>
        <v>285</v>
      </c>
      <c r="G24" s="733">
        <f>_xlfn.XLOOKUP($E24,[52]宿泊施設DB!$B$3:$B$207,[52]宿泊施設DB!$E$3:$E$207,"",)</f>
        <v>1140</v>
      </c>
      <c r="H24" s="2873" t="str">
        <f>_xlfn.XLOOKUP($E24,[52]宿泊施設DB!$B$3:$B$207,[52]宿泊施設DB!$J$3:$J$207,"",)</f>
        <v>調査中</v>
      </c>
      <c r="I24" s="2874" t="str">
        <f>_xlfn.XLOOKUP($E24,[52]宿泊施設DB!$B$3:$B$207,[52]宿泊施設DB!$T$3:$T$207,"",)</f>
        <v>調査中</v>
      </c>
      <c r="J24" s="2874">
        <f>_xlfn.XLOOKUP($E24,[52]宿泊施設DB!$B$3:$B$207,[52]宿泊施設DB!$R$3:$R$207,"",)</f>
        <v>0</v>
      </c>
      <c r="K24" s="2873" t="str">
        <f>_xlfn.XLOOKUP($E24,[52]宿泊施設DB!$B$3:$B$207,[52]宿泊施設DB!$S$3:$S$207,"",)</f>
        <v>調査中</v>
      </c>
      <c r="L24" s="2874" t="str">
        <f>_xlfn.XLOOKUP($E24,[52]宿泊施設DB!$B$3:$B$207,[52]宿泊施設DB!$U$3:$U$207,"",)</f>
        <v>調査中</v>
      </c>
      <c r="M24" s="2874" t="str">
        <f>_xlfn.XLOOKUP($E24,[52]宿泊施設DB!$B$3:$B$207,[52]宿泊施設DB!$V$3:$V$207,"",)</f>
        <v>調査中</v>
      </c>
      <c r="N24" s="2874" t="str">
        <f>_xlfn.XLOOKUP($E24,[52]宿泊施設DB!$B$3:$B$207,[52]宿泊施設DB!$W$3:$W$207,"",)</f>
        <v>調査中</v>
      </c>
      <c r="O24" s="2874" t="str">
        <f>_xlfn.XLOOKUP($E24,[52]宿泊施設DB!$B$3:$B$207,[52]宿泊施設DB!$X$3:$X$207,"",)</f>
        <v>調査中</v>
      </c>
      <c r="P24" s="377" t="str">
        <f t="shared" si="0"/>
        <v>○</v>
      </c>
      <c r="Q24" s="372" t="s">
        <v>2136</v>
      </c>
      <c r="R24" s="3320" t="s">
        <v>2213</v>
      </c>
      <c r="S24" s="388" t="str">
        <f>IFERROR(VLOOKUP($R24,'[52]競技情報DB(12,600人ver) '!$A$6:$D$203,2,),"－")</f>
        <v>春日井市</v>
      </c>
      <c r="T24" s="389">
        <f>_xlfn.XLOOKUP(R24,'[52]競技情報DB(12,600人ver) '!$A$6:$A$101,'[52]競技情報DB(12,600人ver) '!$D$6:$D$101,"",0,)</f>
        <v>250</v>
      </c>
      <c r="U24" s="3321">
        <f>SUM(T24:T28)</f>
        <v>1002</v>
      </c>
      <c r="V24" s="3322" t="str">
        <f>IFERROR(VLOOKUP($R24,'[52]競技情報DB(12,600人ver) '!$A$6:$D$203,3,),"－")</f>
        <v>春日井市総合体育館</v>
      </c>
      <c r="W24" s="3323"/>
      <c r="X24" s="3324"/>
      <c r="Y24" s="318">
        <f>$G24-MAX(AF24:BN24)</f>
        <v>138</v>
      </c>
      <c r="Z24" s="311">
        <f>+Y24/$G24</f>
        <v>0.12105263157894737</v>
      </c>
      <c r="AA24" s="491" t="str">
        <f>E24&amp;"　"&amp;"合計"</f>
        <v>コンテナハウス　合計</v>
      </c>
      <c r="AB24" s="3325">
        <f>IFERROR(INDEX($AF$3:$BN$3, MATCH("準備", AF24:BN24, 0)), "")</f>
        <v>46273</v>
      </c>
      <c r="AC24" s="3325" cm="1">
        <f t="array" ref="AC24">IF(COUNTIF(AF24:BN24,"*撤去*")=0,"",INDEX(AF$3:BN$3,1,MAX(IF(AF24:BN24="撤去",COLUMN(AF24:BN24)-COLUMN(AF24)+1))))</f>
        <v>46300</v>
      </c>
      <c r="AD24" s="3326">
        <f>AC24-AB24</f>
        <v>27</v>
      </c>
      <c r="AE24" s="492" t="str">
        <f>+$AE$114</f>
        <v>12,600人</v>
      </c>
      <c r="AF24" s="398">
        <f>+_xlfn.XLOOKUP($AA24,'[52]②配宿シュミレーション(12,600人ver) '!$AO$6:$AO$707,'[52]②配宿シュミレーション(12,600人ver) '!AP$6:AP$707,)</f>
        <v>0</v>
      </c>
      <c r="AG24" s="398">
        <f>+_xlfn.XLOOKUP($AA24,'[52]②配宿シュミレーション(12,600人ver) '!$AO$6:$AO$707,'[52]②配宿シュミレーション(12,600人ver) '!AQ$6:AQ$707,)</f>
        <v>0</v>
      </c>
      <c r="AH24" s="398">
        <f>+_xlfn.XLOOKUP($AA24,'[52]②配宿シュミレーション(12,600人ver) '!$AO$6:$AO$707,'[52]②配宿シュミレーション(12,600人ver) '!AR$6:AR$707,)</f>
        <v>0</v>
      </c>
      <c r="AI24" s="398">
        <f>+_xlfn.XLOOKUP($AA24,'[52]②配宿シュミレーション(12,600人ver) '!$AO$6:$AO$707,'[52]②配宿シュミレーション(12,600人ver) '!AS$6:AS$707,)</f>
        <v>0</v>
      </c>
      <c r="AJ24" s="3327" t="s">
        <v>2447</v>
      </c>
      <c r="AK24" s="3327">
        <f>+_xlfn.XLOOKUP($AA24,'[52]②配宿シュミレーション(12,600人ver) '!$AO$6:$AO$707,'[52]②配宿シュミレーション(12,600人ver) '!AU$6:AU$707,)</f>
        <v>0</v>
      </c>
      <c r="AL24" s="398">
        <f>+_xlfn.XLOOKUP($AA24,'[52]②配宿シュミレーション(12,600人ver) '!$AO$6:$AO$707,'[52]②配宿シュミレーション(12,600人ver) '!AV$6:AV$707,)</f>
        <v>116</v>
      </c>
      <c r="AM24" s="398">
        <f>+_xlfn.XLOOKUP($AA24,'[52]②配宿シュミレーション(12,600人ver) '!$AO$6:$AO$707,'[52]②配宿シュミレーション(12,600人ver) '!AW$6:AW$707,)</f>
        <v>232</v>
      </c>
      <c r="AN24" s="398">
        <f>+_xlfn.XLOOKUP($AA24,'[52]②配宿シュミレーション(12,600人ver) '!$AO$6:$AO$707,'[52]②配宿シュミレーション(12,600人ver) '!AX$6:AX$707,)</f>
        <v>232</v>
      </c>
      <c r="AO24" s="398">
        <f>+_xlfn.XLOOKUP($AA24,'[52]②配宿シュミレーション(12,600人ver) '!$AO$6:$AO$707,'[52]②配宿シュミレーション(12,600人ver) '!AY$6:AY$707,)</f>
        <v>232</v>
      </c>
      <c r="AP24" s="398">
        <f>+_xlfn.XLOOKUP($AA24,'[52]②配宿シュミレーション(12,600人ver) '!$AO$6:$AO$707,'[52]②配宿シュミレーション(12,600人ver) '!AZ$6:AZ$707,)</f>
        <v>232</v>
      </c>
      <c r="AQ24" s="398">
        <f>+_xlfn.XLOOKUP($AA24,'[52]②配宿シュミレーション(12,600人ver) '!$AO$6:$AO$707,'[52]②配宿シュミレーション(12,600人ver) '!BA$6:BA$707,)</f>
        <v>232</v>
      </c>
      <c r="AR24" s="398">
        <f>+_xlfn.XLOOKUP($AA24,'[52]②配宿シュミレーション(12,600人ver) '!$AO$6:$AO$707,'[52]②配宿シュミレーション(12,600人ver) '!BB$6:BB$707,)</f>
        <v>1002</v>
      </c>
      <c r="AS24" s="398">
        <f>+_xlfn.XLOOKUP($AA24,'[52]②配宿シュミレーション(12,600人ver) '!$AO$6:$AO$707,'[52]②配宿シュミレーション(12,600人ver) '!BC$6:BC$707,)</f>
        <v>1002</v>
      </c>
      <c r="AT24" s="398">
        <f>+_xlfn.XLOOKUP($AA24,'[52]②配宿シュミレーション(12,600人ver) '!$AO$6:$AO$707,'[52]②配宿シュミレーション(12,600人ver) '!BD$6:BD$707,)</f>
        <v>1002</v>
      </c>
      <c r="AU24" s="398">
        <f>+_xlfn.XLOOKUP($AA24,'[52]②配宿シュミレーション(12,600人ver) '!$AO$6:$AO$707,'[52]②配宿シュミレーション(12,600人ver) '!BE$6:BE$707,)</f>
        <v>1002</v>
      </c>
      <c r="AV24" s="398">
        <f>+_xlfn.XLOOKUP($AA24,'[52]②配宿シュミレーション(12,600人ver) '!$AO$6:$AO$707,'[52]②配宿シュミレーション(12,600人ver) '!BF$6:BF$707,)</f>
        <v>1002</v>
      </c>
      <c r="AW24" s="398">
        <f>+_xlfn.XLOOKUP($AA24,'[52]②配宿シュミレーション(12,600人ver) '!$AO$6:$AO$707,'[52]②配宿シュミレーション(12,600人ver) '!BG$6:BG$707,)</f>
        <v>1002</v>
      </c>
      <c r="AX24" s="398">
        <f>+_xlfn.XLOOKUP($AA24,'[52]②配宿シュミレーション(12,600人ver) '!$AO$6:$AO$707,'[52]②配宿シュミレーション(12,600人ver) '!BH$6:BH$707,)</f>
        <v>952</v>
      </c>
      <c r="AY24" s="398">
        <f>+_xlfn.XLOOKUP($AA24,'[52]②配宿シュミレーション(12,600人ver) '!$AO$6:$AO$707,'[52]②配宿シュミレーション(12,600人ver) '!BI$6:BI$707,)</f>
        <v>886</v>
      </c>
      <c r="AZ24" s="398">
        <f>+_xlfn.XLOOKUP($AA24,'[52]②配宿シュミレーション(12,600人ver) '!$AO$6:$AO$707,'[52]②配宿シュミレーション(12,600人ver) '!BJ$6:BJ$707,)</f>
        <v>828</v>
      </c>
      <c r="BA24" s="398">
        <f>+_xlfn.XLOOKUP($AA24,'[52]②配宿シュミレーション(12,600人ver) '!$AO$6:$AO$707,'[52]②配宿シュミレーション(12,600人ver) '!BK$6:BK$707,)</f>
        <v>828</v>
      </c>
      <c r="BB24" s="398">
        <f>+_xlfn.XLOOKUP($AA24,'[52]②配宿シュミレーション(12,600人ver) '!$AO$6:$AO$707,'[52]②配宿シュミレーション(12,600人ver) '!BL$6:BL$707,)</f>
        <v>581</v>
      </c>
      <c r="BC24" s="398">
        <f>+_xlfn.XLOOKUP($AA24,'[52]②配宿シュミレーション(12,600人ver) '!$AO$6:$AO$707,'[52]②配宿シュミレーション(12,600人ver) '!BM$6:BM$707,)</f>
        <v>523</v>
      </c>
      <c r="BD24" s="398">
        <f>+_xlfn.XLOOKUP($AA24,'[52]②配宿シュミレーション(12,600人ver) '!$AO$6:$AO$707,'[52]②配宿シュミレーション(12,600人ver) '!BN$6:BN$707,)</f>
        <v>523</v>
      </c>
      <c r="BE24" s="398">
        <f>+_xlfn.XLOOKUP($AA24,'[52]②配宿シュミレーション(12,600人ver) '!$AO$6:$AO$707,'[52]②配宿シュミレーション(12,600人ver) '!BO$6:BO$707,)</f>
        <v>523</v>
      </c>
      <c r="BF24" s="398">
        <f>+_xlfn.XLOOKUP($AA24,'[52]②配宿シュミレーション(12,600人ver) '!$AO$6:$AO$707,'[52]②配宿シュミレーション(12,600人ver) '!BP$6:BP$707,)</f>
        <v>523</v>
      </c>
      <c r="BG24" s="398">
        <f>+_xlfn.XLOOKUP($AA24,'[52]②配宿シュミレーション(12,600人ver) '!$AO$6:$AO$707,'[52]②配宿シュミレーション(12,600人ver) '!BQ$6:BQ$707,)</f>
        <v>250</v>
      </c>
      <c r="BH24" s="398">
        <f>+_xlfn.XLOOKUP($AA24,'[52]②配宿シュミレーション(12,600人ver) '!$AO$6:$AO$707,'[52]②配宿シュミレーション(12,600人ver) '!BR$6:BR$707,)</f>
        <v>0</v>
      </c>
      <c r="BI24" s="398">
        <f>+_xlfn.XLOOKUP($AA24,'[52]②配宿シュミレーション(12,600人ver) '!$AO$6:$AO$707,'[52]②配宿シュミレーション(12,600人ver) '!BS$6:BS$707,)</f>
        <v>0</v>
      </c>
      <c r="BJ24" s="398">
        <f>+_xlfn.XLOOKUP($AA24,'[52]②配宿シュミレーション(12,600人ver) '!$AO$6:$AO$707,'[52]②配宿シュミレーション(12,600人ver) '!BT$6:BT$707,)</f>
        <v>0</v>
      </c>
      <c r="BK24" s="3306" t="s">
        <v>2448</v>
      </c>
      <c r="BL24" s="398">
        <f>+_xlfn.XLOOKUP($AA24,'[52]②配宿シュミレーション(12,600人ver) '!$AO$6:$AO$707,'[52]②配宿シュミレーション(12,600人ver) '!BV$6:BV$707,)</f>
        <v>0</v>
      </c>
      <c r="BM24" s="398">
        <f>+_xlfn.XLOOKUP($AA24,'[52]②配宿シュミレーション(12,600人ver) '!$AO$6:$AO$707,'[52]②配宿シュミレーション(12,600人ver) '!BW$6:BW$707,)</f>
        <v>0</v>
      </c>
      <c r="BN24" s="472">
        <f>+_xlfn.XLOOKUP($AA24,'[52]②配宿シュミレーション(12,600人ver) '!$AO$6:$AO$707,'[52]②配宿シュミレーション(12,600人ver) '!BX$6:BX$707,)</f>
        <v>0</v>
      </c>
      <c r="BO24" s="290"/>
      <c r="BP24" s="332"/>
      <c r="BQ24" s="333"/>
    </row>
    <row r="25" spans="1:69" ht="46" customHeight="1">
      <c r="A25" s="2862"/>
      <c r="B25" s="2863"/>
      <c r="C25" s="296"/>
      <c r="D25" s="297"/>
      <c r="E25" s="298"/>
      <c r="F25" s="2864"/>
      <c r="G25" s="717"/>
      <c r="H25" s="2865"/>
      <c r="I25" s="2866"/>
      <c r="J25" s="2866"/>
      <c r="K25" s="2865"/>
      <c r="L25" s="2866"/>
      <c r="M25" s="2866"/>
      <c r="N25" s="2866"/>
      <c r="O25" s="2866"/>
      <c r="P25" s="302"/>
      <c r="Q25" s="296"/>
      <c r="R25" s="3328" t="s">
        <v>2162</v>
      </c>
      <c r="S25" s="313" t="str">
        <f>IFERROR(VLOOKUP($R25,'[52]競技情報DB(12,600人ver) '!$A$6:$D$203,2,),"－")</f>
        <v>名古屋市</v>
      </c>
      <c r="T25" s="314">
        <f>_xlfn.XLOOKUP(R25,'[52]競技情報DB(12,600人ver) '!$A$6:$A$101,'[52]競技情報DB(12,600人ver) '!$D$6:$D$101,"",0,)</f>
        <v>247</v>
      </c>
      <c r="U25" s="3307"/>
      <c r="V25" s="3308" t="str">
        <f>IFERROR(VLOOKUP($R25,'[52]競技情報DB(12,600人ver) '!$A$6:$D$203,3,),"－")</f>
        <v>愛知県武道館</v>
      </c>
      <c r="W25" s="3309"/>
      <c r="X25" s="3310"/>
      <c r="Y25" s="318">
        <f>$G25-MAX(AF25:BN25)</f>
        <v>0</v>
      </c>
      <c r="Z25" s="394" t="e">
        <f>+Y25/$G25</f>
        <v>#DIV/0!</v>
      </c>
      <c r="AA25" s="515" t="str">
        <f>E25&amp;"　"&amp;"合計"</f>
        <v>　合計</v>
      </c>
      <c r="AB25" s="3302"/>
      <c r="AC25" s="3302"/>
      <c r="AD25" s="3303"/>
      <c r="AE25" s="335"/>
      <c r="AF25" s="336"/>
      <c r="AG25" s="336"/>
      <c r="AH25" s="336"/>
      <c r="AI25" s="336"/>
      <c r="AJ25" s="336"/>
      <c r="AK25" s="336"/>
      <c r="AL25" s="336"/>
      <c r="AM25" s="336"/>
      <c r="AN25" s="336"/>
      <c r="AO25" s="336"/>
      <c r="AP25" s="336"/>
      <c r="AQ25" s="336"/>
      <c r="AR25" s="336"/>
      <c r="AS25" s="336"/>
      <c r="AT25" s="336"/>
      <c r="AU25" s="336"/>
      <c r="AV25" s="336"/>
      <c r="AW25" s="336"/>
      <c r="AX25" s="336"/>
      <c r="AY25" s="336"/>
      <c r="AZ25" s="336"/>
      <c r="BA25" s="336"/>
      <c r="BB25" s="336"/>
      <c r="BC25" s="336"/>
      <c r="BD25" s="336"/>
      <c r="BE25" s="336"/>
      <c r="BF25" s="336"/>
      <c r="BG25" s="336"/>
      <c r="BH25" s="336"/>
      <c r="BI25" s="336"/>
      <c r="BJ25" s="336"/>
      <c r="BK25" s="336"/>
      <c r="BL25" s="336"/>
      <c r="BM25" s="336"/>
      <c r="BN25" s="340"/>
      <c r="BO25" s="290"/>
      <c r="BP25" s="404"/>
      <c r="BQ25" s="405"/>
    </row>
    <row r="26" spans="1:69" ht="46" customHeight="1">
      <c r="A26" s="2862"/>
      <c r="B26" s="2863"/>
      <c r="C26" s="296"/>
      <c r="D26" s="297"/>
      <c r="E26" s="298"/>
      <c r="F26" s="2864"/>
      <c r="G26" s="717"/>
      <c r="H26" s="2865"/>
      <c r="I26" s="2866"/>
      <c r="J26" s="2866"/>
      <c r="K26" s="2865"/>
      <c r="L26" s="2866"/>
      <c r="M26" s="2866"/>
      <c r="N26" s="2866"/>
      <c r="O26" s="2866"/>
      <c r="P26" s="302"/>
      <c r="Q26" s="296"/>
      <c r="R26" s="413" t="s">
        <v>2515</v>
      </c>
      <c r="S26" s="313" t="str">
        <f>IFERROR(VLOOKUP($R26,'[52]競技情報DB(12,600人ver) '!$A$6:$D$203,2,),"－")</f>
        <v>一宮市</v>
      </c>
      <c r="T26" s="314">
        <f>_xlfn.XLOOKUP(R26,'[52]競技情報DB(12,600人ver) '!$A$6:$A$101,'[52]競技情報DB(12,600人ver) '!$D$6:$D$101,"",0,)</f>
        <v>273</v>
      </c>
      <c r="U26" s="3307"/>
      <c r="V26" s="3308" t="str">
        <f>IFERROR(VLOOKUP($R26,'[52]競技情報DB(12,600人ver) '!$A$6:$D$203,3,),"－")</f>
        <v>一宮市総合体育館</v>
      </c>
      <c r="W26" s="3309"/>
      <c r="X26" s="3310"/>
      <c r="Y26" s="318"/>
      <c r="Z26" s="311"/>
      <c r="AA26" s="334"/>
      <c r="AB26" s="3302"/>
      <c r="AC26" s="3302"/>
      <c r="AD26" s="3303"/>
      <c r="AE26" s="335"/>
      <c r="AF26" s="336"/>
      <c r="AG26" s="336"/>
      <c r="AH26" s="336"/>
      <c r="AI26" s="336"/>
      <c r="AJ26" s="336"/>
      <c r="AK26" s="336"/>
      <c r="AL26" s="336"/>
      <c r="AM26" s="336"/>
      <c r="AN26" s="336"/>
      <c r="AO26" s="336"/>
      <c r="AP26" s="336"/>
      <c r="AQ26" s="336"/>
      <c r="AR26" s="336"/>
      <c r="AS26" s="336"/>
      <c r="AT26" s="336"/>
      <c r="AU26" s="336"/>
      <c r="AV26" s="336"/>
      <c r="AW26" s="336"/>
      <c r="AX26" s="336"/>
      <c r="AY26" s="336"/>
      <c r="AZ26" s="336"/>
      <c r="BA26" s="336"/>
      <c r="BB26" s="336"/>
      <c r="BC26" s="336"/>
      <c r="BD26" s="336"/>
      <c r="BE26" s="336"/>
      <c r="BF26" s="336"/>
      <c r="BG26" s="336"/>
      <c r="BH26" s="336"/>
      <c r="BI26" s="336"/>
      <c r="BJ26" s="336"/>
      <c r="BK26" s="336"/>
      <c r="BL26" s="336"/>
      <c r="BM26" s="336"/>
      <c r="BN26" s="340"/>
      <c r="BO26" s="290"/>
      <c r="BP26" s="332"/>
      <c r="BQ26" s="333"/>
    </row>
    <row r="27" spans="1:69" ht="46" customHeight="1">
      <c r="A27" s="2862"/>
      <c r="B27" s="2863"/>
      <c r="C27" s="296"/>
      <c r="D27" s="297"/>
      <c r="E27" s="298"/>
      <c r="F27" s="2864"/>
      <c r="G27" s="717"/>
      <c r="H27" s="2865"/>
      <c r="I27" s="2866"/>
      <c r="J27" s="2866"/>
      <c r="K27" s="2865"/>
      <c r="L27" s="2866"/>
      <c r="M27" s="2866"/>
      <c r="N27" s="2866"/>
      <c r="O27" s="2866"/>
      <c r="P27" s="302"/>
      <c r="Q27" s="296"/>
      <c r="R27" s="413" t="s">
        <v>2458</v>
      </c>
      <c r="S27" s="313" t="str">
        <f>IFERROR(VLOOKUP($R27,'[52]競技情報DB(12,600人ver) '!$A$6:$D$203,2,),"－")</f>
        <v>名古屋市</v>
      </c>
      <c r="T27" s="314">
        <f>_xlfn.XLOOKUP(R27,'[52]競技情報DB(12,600人ver) '!$A$6:$A$101,'[52]競技情報DB(12,600人ver) '!$D$6:$D$101,"",0,)</f>
        <v>116</v>
      </c>
      <c r="U27" s="3307"/>
      <c r="V27" s="3308" t="str">
        <f>IFERROR(VLOOKUP($R27,'[52]競技情報DB(12,600人ver) '!$A$6:$D$203,3,),"－")</f>
        <v>名古屋市瑞穂公園ラグビー場</v>
      </c>
      <c r="W27" s="3309"/>
      <c r="X27" s="3310"/>
      <c r="Y27" s="393">
        <f>$G27-MAX(AF27:BN27)</f>
        <v>0</v>
      </c>
      <c r="Z27" s="394" t="e">
        <f>+Y27/$G27</f>
        <v>#DIV/0!</v>
      </c>
      <c r="AA27" s="515" t="str">
        <f>E27&amp;"　"&amp;"合計"</f>
        <v>　合計</v>
      </c>
      <c r="AB27" s="3302"/>
      <c r="AC27" s="3302"/>
      <c r="AD27" s="3303"/>
      <c r="AE27" s="335"/>
      <c r="AF27" s="336"/>
      <c r="AG27" s="336"/>
      <c r="AH27" s="336"/>
      <c r="AI27" s="336"/>
      <c r="AJ27" s="336"/>
      <c r="AK27" s="336"/>
      <c r="AL27" s="336"/>
      <c r="AM27" s="336"/>
      <c r="AN27" s="336"/>
      <c r="AO27" s="336"/>
      <c r="AP27" s="336"/>
      <c r="AQ27" s="336"/>
      <c r="AR27" s="336"/>
      <c r="AS27" s="336"/>
      <c r="AT27" s="336"/>
      <c r="AU27" s="336"/>
      <c r="AV27" s="336"/>
      <c r="AW27" s="336"/>
      <c r="AX27" s="336"/>
      <c r="AY27" s="336"/>
      <c r="AZ27" s="336"/>
      <c r="BA27" s="336"/>
      <c r="BB27" s="336"/>
      <c r="BC27" s="336"/>
      <c r="BD27" s="336"/>
      <c r="BE27" s="336"/>
      <c r="BF27" s="336"/>
      <c r="BG27" s="336"/>
      <c r="BH27" s="336"/>
      <c r="BI27" s="336"/>
      <c r="BJ27" s="336"/>
      <c r="BK27" s="336"/>
      <c r="BL27" s="336"/>
      <c r="BM27" s="336"/>
      <c r="BN27" s="340"/>
      <c r="BO27" s="290"/>
      <c r="BP27" s="332"/>
      <c r="BQ27" s="333"/>
    </row>
    <row r="28" spans="1:69" ht="46" customHeight="1">
      <c r="A28" s="2862"/>
      <c r="B28" s="2863"/>
      <c r="C28" s="296"/>
      <c r="D28" s="297"/>
      <c r="E28" s="298"/>
      <c r="F28" s="2864"/>
      <c r="G28" s="717"/>
      <c r="H28" s="2865"/>
      <c r="I28" s="2866"/>
      <c r="J28" s="2866">
        <f>_xlfn.XLOOKUP($E28,[52]宿泊施設DB!$B$3:$B$207,[52]宿泊施設DB!$R$3:$R$207,"",)</f>
        <v>0</v>
      </c>
      <c r="K28" s="2865"/>
      <c r="L28" s="2866"/>
      <c r="M28" s="2866"/>
      <c r="N28" s="2866"/>
      <c r="O28" s="2866"/>
      <c r="P28" s="302"/>
      <c r="Q28" s="296"/>
      <c r="R28" s="3314" t="s">
        <v>2455</v>
      </c>
      <c r="S28" s="459" t="str">
        <f>IFERROR(VLOOKUP($R28,'[52]競技情報DB(12,600人ver) '!$A$6:$D$203,2,),"－")</f>
        <v>名古屋市</v>
      </c>
      <c r="T28" s="460">
        <f>_xlfn.XLOOKUP(R28,'[52]競技情報DB(12,600人ver) '!$A$6:$A$101,'[52]競技情報DB(12,600人ver) '!$D$6:$D$101,"",0,)</f>
        <v>116</v>
      </c>
      <c r="U28" s="3307"/>
      <c r="V28" s="3315" t="str">
        <f>IFERROR(VLOOKUP($R28,'[52]競技情報DB(12,600人ver) '!$A$6:$D$203,3,),"－")</f>
        <v>名古屋市港サッカー場</v>
      </c>
      <c r="W28" s="3316"/>
      <c r="X28" s="3317"/>
      <c r="Y28" s="318"/>
      <c r="Z28" s="311"/>
      <c r="AA28" s="319"/>
      <c r="AB28" s="3302"/>
      <c r="AC28" s="3302"/>
      <c r="AD28" s="3303"/>
      <c r="AE28" s="335"/>
      <c r="AF28" s="336"/>
      <c r="AG28" s="336"/>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6"/>
      <c r="BD28" s="336"/>
      <c r="BE28" s="336"/>
      <c r="BF28" s="336"/>
      <c r="BG28" s="336"/>
      <c r="BH28" s="336"/>
      <c r="BI28" s="336"/>
      <c r="BJ28" s="336"/>
      <c r="BK28" s="336"/>
      <c r="BL28" s="336"/>
      <c r="BM28" s="336"/>
      <c r="BN28" s="340"/>
      <c r="BO28" s="290"/>
      <c r="BP28" s="332"/>
      <c r="BQ28" s="333"/>
    </row>
    <row r="29" spans="1:69" ht="46" customHeight="1">
      <c r="A29" s="2862"/>
      <c r="B29" s="2863"/>
      <c r="C29" s="372">
        <f>C24+1</f>
        <v>3</v>
      </c>
      <c r="D29" s="2871">
        <f>IF(_xlfn.XLOOKUP(E29,[52]宿泊施設DB!$B$3:$B$207,[52]宿泊施設DB!$A$3:$A$207,"",)=0,"",_xlfn.XLOOKUP(E29,[52]宿泊施設DB!$B$3:$B$207,[52]宿泊施設DB!$A$3:$A$207,"",))</f>
        <v>24</v>
      </c>
      <c r="E29" s="373" t="s">
        <v>2516</v>
      </c>
      <c r="F29" s="2872">
        <f>_xlfn.XLOOKUP($E29,[52]宿泊施設DB!$B$3:$B$207,[52]宿泊施設DB!$D$3:$D$207,"",)</f>
        <v>243</v>
      </c>
      <c r="G29" s="3329">
        <f>_xlfn.XLOOKUP($E29,[52]宿泊施設DB!$B$3:$B$207,[52]宿泊施設DB!$E$3:$E$207,"",)</f>
        <v>322</v>
      </c>
      <c r="H29" s="2873">
        <f>_xlfn.XLOOKUP($E29,[52]宿泊施設DB!$B$3:$B$207,[52]宿泊施設DB!$J$3:$J$207,"",)</f>
        <v>16</v>
      </c>
      <c r="I29" s="2874" t="str">
        <f>_xlfn.XLOOKUP($E29,[52]宿泊施設DB!$B$3:$B$207,[52]宿泊施設DB!$T$3:$T$207,"",)</f>
        <v>低</v>
      </c>
      <c r="J29" s="2874" t="str">
        <f>_xlfn.XLOOKUP($E29,[52]宿泊施設DB!$B$3:$B$207,[52]宿泊施設DB!$R$3:$R$207,"",)</f>
        <v>宿泊施設</v>
      </c>
      <c r="K29" s="2873">
        <f>_xlfn.XLOOKUP($E29,[52]宿泊施設DB!$B$3:$B$207,[52]宿泊施設DB!$S$3:$S$207,"",)</f>
        <v>122</v>
      </c>
      <c r="L29" s="2874" t="str">
        <f>_xlfn.XLOOKUP($E29,[52]宿泊施設DB!$B$3:$B$207,[52]宿泊施設DB!$U$3:$U$207,"",)</f>
        <v>－</v>
      </c>
      <c r="M29" s="2874" t="str">
        <f>_xlfn.XLOOKUP($E29,[52]宿泊施設DB!$B$3:$B$207,[52]宿泊施設DB!$V$3:$V$207,"",)</f>
        <v>－</v>
      </c>
      <c r="N29" s="2874" t="str">
        <f>_xlfn.XLOOKUP($E29,[52]宿泊施設DB!$B$3:$B$207,[52]宿泊施設DB!$W$3:$W$207,"",)</f>
        <v>－</v>
      </c>
      <c r="O29" s="2874" t="str">
        <f>_xlfn.XLOOKUP($E29,[52]宿泊施設DB!$B$3:$B$207,[52]宿泊施設DB!$X$3:$X$207,"",)</f>
        <v>玄関前（屋根付）3台</v>
      </c>
      <c r="P29" s="377" t="str">
        <f t="shared" ref="P29:P47" si="1">IF(AND(E29&lt;&gt;"", R29&lt;&gt;"－"), "○", "")</f>
        <v>○</v>
      </c>
      <c r="Q29" s="372" t="s">
        <v>2136</v>
      </c>
      <c r="R29" s="387" t="s">
        <v>2217</v>
      </c>
      <c r="S29" s="540" t="str">
        <f>IFERROR(VLOOKUP($R29,'[52]競技情報DB(12,600人ver) '!$A$6:$D$203,2,),"－")</f>
        <v>稲沢市</v>
      </c>
      <c r="T29" s="541">
        <f>_xlfn.XLOOKUP(R29,'[52]競技情報DB(12,600人ver) '!$A$6:$A$101,'[52]競技情報DB(12,600人ver) '!$D$6:$D$101,"",0,)</f>
        <v>166</v>
      </c>
      <c r="U29" s="3321">
        <f>SUM(T29:T30)</f>
        <v>166</v>
      </c>
      <c r="V29" s="3322" t="str">
        <f>IFERROR(VLOOKUP($R29,'[52]競技情報DB(12,600人ver) '!$A$6:$D$203,3,),"－")</f>
        <v>豊田合成記念体育館［エントリオ］</v>
      </c>
      <c r="W29" s="3323"/>
      <c r="X29" s="3324"/>
      <c r="Y29" s="393">
        <f>$G29-MAX(AF29:BN29)</f>
        <v>156</v>
      </c>
      <c r="Z29" s="394">
        <f>+Y29/$G29</f>
        <v>0.48447204968944102</v>
      </c>
      <c r="AA29" s="515" t="str">
        <f>E29&amp;"　"&amp;"合計"</f>
        <v>ホテルメルパルク名古屋　合計</v>
      </c>
      <c r="AB29" s="3325">
        <f>IFERROR(INDEX($AF$3:$BN$3, MATCH("準備", AF29:BN29, 0)), "")</f>
        <v>46279</v>
      </c>
      <c r="AC29" s="3325" cm="1">
        <f t="array" ref="AC29">IF(COUNTIF(AF29:BN29,"*撤去*")=0,"",INDEX(AF$3:BN$3,1,MAX(IF(AF29:BN29="撤去",COLUMN(AF29:BN29)-COLUMN(AF29)+1))))</f>
        <v>46300</v>
      </c>
      <c r="AD29" s="3326">
        <f>AC29-AB29</f>
        <v>21</v>
      </c>
      <c r="AE29" s="396" t="str">
        <f>+$AE$114</f>
        <v>12,600人</v>
      </c>
      <c r="AF29" s="397">
        <f>+_xlfn.XLOOKUP($AA29,'[52]②配宿シュミレーション(12,600人ver) '!$AO$6:$AO$707,'[52]②配宿シュミレーション(12,600人ver) '!AP$6:AP$707,)</f>
        <v>0</v>
      </c>
      <c r="AG29" s="397">
        <f>+_xlfn.XLOOKUP($AA29,'[52]②配宿シュミレーション(12,600人ver) '!$AO$6:$AO$707,'[52]②配宿シュミレーション(12,600人ver) '!AQ$6:AQ$707,)</f>
        <v>0</v>
      </c>
      <c r="AH29" s="397">
        <f>+_xlfn.XLOOKUP($AA29,'[52]②配宿シュミレーション(12,600人ver) '!$AO$6:$AO$707,'[52]②配宿シュミレーション(12,600人ver) '!AR$6:AR$707,)</f>
        <v>0</v>
      </c>
      <c r="AI29" s="397">
        <f>+_xlfn.XLOOKUP($AA29,'[52]②配宿シュミレーション(12,600人ver) '!$AO$6:$AO$707,'[52]②配宿シュミレーション(12,600人ver) '!AS$6:AS$707,)</f>
        <v>0</v>
      </c>
      <c r="AJ29" s="397">
        <f>+_xlfn.XLOOKUP($AA29,'[52]②配宿シュミレーション(12,600人ver) '!$AO$6:$AO$707,'[52]②配宿シュミレーション(12,600人ver) '!AT$6:AT$707,)</f>
        <v>0</v>
      </c>
      <c r="AK29" s="397">
        <f>+_xlfn.XLOOKUP($AA29,'[52]②配宿シュミレーション(12,600人ver) '!$AO$6:$AO$707,'[52]②配宿シュミレーション(12,600人ver) '!AU$6:AU$707,)</f>
        <v>0</v>
      </c>
      <c r="AL29" s="397">
        <f>+_xlfn.XLOOKUP($AA29,'[52]②配宿シュミレーション(12,600人ver) '!$AO$6:$AO$707,'[52]②配宿シュミレーション(12,600人ver) '!AV$6:AV$707,)</f>
        <v>0</v>
      </c>
      <c r="AM29" s="397">
        <f>+_xlfn.XLOOKUP($AA29,'[52]②配宿シュミレーション(12,600人ver) '!$AO$6:$AO$707,'[52]②配宿シュミレーション(12,600人ver) '!AW$6:AW$707,)</f>
        <v>0</v>
      </c>
      <c r="AN29" s="397">
        <f>+_xlfn.XLOOKUP($AA29,'[52]②配宿シュミレーション(12,600人ver) '!$AO$6:$AO$707,'[52]②配宿シュミレーション(12,600人ver) '!AX$6:AX$707,)</f>
        <v>0</v>
      </c>
      <c r="AO29" s="397">
        <f>+_xlfn.XLOOKUP($AA29,'[52]②配宿シュミレーション(12,600人ver) '!$AO$6:$AO$707,'[52]②配宿シュミレーション(12,600人ver) '!AY$6:AY$707,)</f>
        <v>0</v>
      </c>
      <c r="AP29" s="3327" t="s">
        <v>2447</v>
      </c>
      <c r="AQ29" s="3327">
        <f>+_xlfn.XLOOKUP($AA29,'[52]②配宿シュミレーション(12,600人ver) '!$AO$6:$AO$707,'[52]②配宿シュミレーション(12,600人ver) '!BA$6:BA$707,)</f>
        <v>0</v>
      </c>
      <c r="AR29" s="397">
        <f>+_xlfn.XLOOKUP($AA29,'[52]②配宿シュミレーション(12,600人ver) '!$AO$6:$AO$707,'[52]②配宿シュミレーション(12,600人ver) '!BB$6:BB$707,)</f>
        <v>166</v>
      </c>
      <c r="AS29" s="397">
        <f>+_xlfn.XLOOKUP($AA29,'[52]②配宿シュミレーション(12,600人ver) '!$AO$6:$AO$707,'[52]②配宿シュミレーション(12,600人ver) '!BC$6:BC$707,)</f>
        <v>166</v>
      </c>
      <c r="AT29" s="397">
        <f>+_xlfn.XLOOKUP($AA29,'[52]②配宿シュミレーション(12,600人ver) '!$AO$6:$AO$707,'[52]②配宿シュミレーション(12,600人ver) '!BD$6:BD$707,)</f>
        <v>166</v>
      </c>
      <c r="AU29" s="397">
        <f>+_xlfn.XLOOKUP($AA29,'[52]②配宿シュミレーション(12,600人ver) '!$AO$6:$AO$707,'[52]②配宿シュミレーション(12,600人ver) '!BE$6:BE$707,)</f>
        <v>166</v>
      </c>
      <c r="AV29" s="397">
        <f>+_xlfn.XLOOKUP($AA29,'[52]②配宿シュミレーション(12,600人ver) '!$AO$6:$AO$707,'[52]②配宿シュミレーション(12,600人ver) '!BF$6:BF$707,)</f>
        <v>166</v>
      </c>
      <c r="AW29" s="397">
        <f>+_xlfn.XLOOKUP($AA29,'[52]②配宿シュミレーション(12,600人ver) '!$AO$6:$AO$707,'[52]②配宿シュミレーション(12,600人ver) '!BG$6:BG$707,)</f>
        <v>166</v>
      </c>
      <c r="AX29" s="397">
        <f>+_xlfn.XLOOKUP($AA29,'[52]②配宿シュミレーション(12,600人ver) '!$AO$6:$AO$707,'[52]②配宿シュミレーション(12,600人ver) '!BH$6:BH$707,)</f>
        <v>166</v>
      </c>
      <c r="AY29" s="397">
        <f>+_xlfn.XLOOKUP($AA29,'[52]②配宿シュミレーション(12,600人ver) '!$AO$6:$AO$707,'[52]②配宿シュミレーション(12,600人ver) '!BI$6:BI$707,)</f>
        <v>166</v>
      </c>
      <c r="AZ29" s="397">
        <f>+_xlfn.XLOOKUP($AA29,'[52]②配宿シュミレーション(12,600人ver) '!$AO$6:$AO$707,'[52]②配宿シュミレーション(12,600人ver) '!BJ$6:BJ$707,)</f>
        <v>166</v>
      </c>
      <c r="BA29" s="397">
        <f>+_xlfn.XLOOKUP($AA29,'[52]②配宿シュミレーション(12,600人ver) '!$AO$6:$AO$707,'[52]②配宿シュミレーション(12,600人ver) '!BK$6:BK$707,)</f>
        <v>166</v>
      </c>
      <c r="BB29" s="397">
        <f>+_xlfn.XLOOKUP($AA29,'[52]②配宿シュミレーション(12,600人ver) '!$AO$6:$AO$707,'[52]②配宿シュミレーション(12,600人ver) '!BL$6:BL$707,)</f>
        <v>166</v>
      </c>
      <c r="BC29" s="397">
        <f>+_xlfn.XLOOKUP($AA29,'[52]②配宿シュミレーション(12,600人ver) '!$AO$6:$AO$707,'[52]②配宿シュミレーション(12,600人ver) '!BM$6:BM$707,)</f>
        <v>166</v>
      </c>
      <c r="BD29" s="397">
        <f>+_xlfn.XLOOKUP($AA29,'[52]②配宿シュミレーション(12,600人ver) '!$AO$6:$AO$707,'[52]②配宿シュミレーション(12,600人ver) '!BN$6:BN$707,)</f>
        <v>166</v>
      </c>
      <c r="BE29" s="397">
        <f>+_xlfn.XLOOKUP($AA29,'[52]②配宿シュミレーション(12,600人ver) '!$AO$6:$AO$707,'[52]②配宿シュミレーション(12,600人ver) '!BO$6:BO$707,)</f>
        <v>166</v>
      </c>
      <c r="BF29" s="397">
        <f>+_xlfn.XLOOKUP($AA29,'[52]②配宿シュミレーション(12,600人ver) '!$AO$6:$AO$707,'[52]②配宿シュミレーション(12,600人ver) '!BP$6:BP$707,)</f>
        <v>166</v>
      </c>
      <c r="BG29" s="397">
        <f>+_xlfn.XLOOKUP($AA29,'[52]②配宿シュミレーション(12,600人ver) '!$AO$6:$AO$707,'[52]②配宿シュミレーション(12,600人ver) '!BQ$6:BQ$707,)</f>
        <v>166</v>
      </c>
      <c r="BH29" s="397">
        <f>+_xlfn.XLOOKUP($AA29,'[52]②配宿シュミレーション(12,600人ver) '!$AO$6:$AO$707,'[52]②配宿シュミレーション(12,600人ver) '!BR$6:BR$707,)</f>
        <v>166</v>
      </c>
      <c r="BI29" s="397">
        <f>+_xlfn.XLOOKUP($AA29,'[52]②配宿シュミレーション(12,600人ver) '!$AO$6:$AO$707,'[52]②配宿シュミレーション(12,600人ver) '!BS$6:BS$707,)</f>
        <v>166</v>
      </c>
      <c r="BJ29" s="397">
        <f>+_xlfn.XLOOKUP($AA29,'[52]②配宿シュミレーション(12,600人ver) '!$AO$6:$AO$707,'[52]②配宿シュミレーション(12,600人ver) '!BT$6:BT$707,)</f>
        <v>166</v>
      </c>
      <c r="BK29" s="3306" t="s">
        <v>2448</v>
      </c>
      <c r="BL29" s="397">
        <f>+_xlfn.XLOOKUP($AA29,'[52]②配宿シュミレーション(12,600人ver) '!$AO$6:$AO$707,'[52]②配宿シュミレーション(12,600人ver) '!BV$6:BV$707,)</f>
        <v>0</v>
      </c>
      <c r="BM29" s="397">
        <f>+_xlfn.XLOOKUP($AA29,'[52]②配宿シュミレーション(12,600人ver) '!$AO$6:$AO$707,'[52]②配宿シュミレーション(12,600人ver) '!BW$6:BW$707,)</f>
        <v>0</v>
      </c>
      <c r="BN29" s="472">
        <f>+_xlfn.XLOOKUP($AA29,'[52]②配宿シュミレーション(12,600人ver) '!$AO$6:$AO$707,'[52]②配宿シュミレーション(12,600人ver) '!BX$6:BX$707,)</f>
        <v>0</v>
      </c>
      <c r="BO29" s="290"/>
      <c r="BP29" s="332"/>
      <c r="BQ29" s="333"/>
    </row>
    <row r="30" spans="1:69" s="521" customFormat="1" ht="46" customHeight="1" thickBot="1">
      <c r="A30" s="2862"/>
      <c r="B30" s="2863"/>
      <c r="C30" s="343"/>
      <c r="D30" s="344" t="str">
        <f>IF(_xlfn.XLOOKUP(E30,[52]宿泊施設DB!$B$3:$B$207,[52]宿泊施設DB!$A$3:$A$207,"",)=0,"",_xlfn.XLOOKUP(E30,[52]宿泊施設DB!$B$3:$B$207,[52]宿泊施設DB!$A$3:$A$207,"",))</f>
        <v/>
      </c>
      <c r="E30" s="345"/>
      <c r="F30" s="2868">
        <f>_xlfn.XLOOKUP($E30,[52]宿泊施設DB!$B$3:$B$207,[52]宿泊施設DB!$D$3:$D$207,"",)</f>
        <v>0</v>
      </c>
      <c r="G30" s="2868">
        <f>_xlfn.XLOOKUP($E30,[52]宿泊施設DB!$B$3:$B$207,[52]宿泊施設DB!$E$3:$E$207,"",)</f>
        <v>0</v>
      </c>
      <c r="H30" s="2869">
        <f>_xlfn.XLOOKUP($E30,[52]宿泊施設DB!$B$3:$B$207,[52]宿泊施設DB!$J$3:$J$207,"",)</f>
        <v>0</v>
      </c>
      <c r="I30" s="2870">
        <f>_xlfn.XLOOKUP($E30,[52]宿泊施設DB!$B$3:$B$207,[52]宿泊施設DB!$T$3:$T$207,"",)</f>
        <v>0</v>
      </c>
      <c r="J30" s="2870"/>
      <c r="K30" s="2869">
        <f>_xlfn.XLOOKUP($E30,[52]宿泊施設DB!$B$3:$B$207,[52]宿泊施設DB!$S$3:$S$207,"",)</f>
        <v>0</v>
      </c>
      <c r="L30" s="2870">
        <f>_xlfn.XLOOKUP($E30,[52]宿泊施設DB!$B$3:$B$207,[52]宿泊施設DB!$U$3:$U$207,"",)</f>
        <v>0</v>
      </c>
      <c r="M30" s="2870">
        <f>_xlfn.XLOOKUP($E30,[52]宿泊施設DB!$B$3:$B$207,[52]宿泊施設DB!$V$3:$V$207,"",)</f>
        <v>0</v>
      </c>
      <c r="N30" s="2870">
        <f>_xlfn.XLOOKUP($E30,[52]宿泊施設DB!$B$3:$B$207,[52]宿泊施設DB!$W$3:$W$207,"",)</f>
        <v>0</v>
      </c>
      <c r="O30" s="2870">
        <f>_xlfn.XLOOKUP($E30,[52]宿泊施設DB!$B$3:$B$207,[52]宿泊施設DB!$X$3:$X$207,"",)</f>
        <v>0</v>
      </c>
      <c r="P30" s="349" t="str">
        <f t="shared" si="1"/>
        <v/>
      </c>
      <c r="Q30" s="343"/>
      <c r="R30" s="3330"/>
      <c r="S30" s="3331" t="str">
        <f>IFERROR(VLOOKUP($R30,'[52]競技情報DB(12,600人ver) '!$A$6:$D$203,2,),"－")</f>
        <v>－</v>
      </c>
      <c r="T30" s="361">
        <f>_xlfn.XLOOKUP(R30,'[52]競技情報DB(12,600人ver) '!$A$6:$A$101,'[52]競技情報DB(12,600人ver) '!$D$6:$D$101,"",0,)</f>
        <v>0</v>
      </c>
      <c r="U30" s="3332"/>
      <c r="V30" s="3333" t="str">
        <f>IFERROR(VLOOKUP($R30,'[52]競技情報DB(12,600人ver) '!$A$6:$D$203,3,),"－")</f>
        <v>－</v>
      </c>
      <c r="W30" s="3334"/>
      <c r="X30" s="3335"/>
      <c r="Y30" s="365"/>
      <c r="Z30" s="358"/>
      <c r="AA30" s="587"/>
      <c r="AB30" s="3336"/>
      <c r="AC30" s="3336"/>
      <c r="AD30" s="3337"/>
      <c r="AE30" s="588"/>
      <c r="AF30" s="589"/>
      <c r="AG30" s="589"/>
      <c r="AH30" s="589"/>
      <c r="AI30" s="589"/>
      <c r="AJ30" s="589"/>
      <c r="AK30" s="589"/>
      <c r="AL30" s="589"/>
      <c r="AM30" s="589"/>
      <c r="AN30" s="589"/>
      <c r="AO30" s="589"/>
      <c r="AP30" s="589"/>
      <c r="AQ30" s="589"/>
      <c r="AR30" s="589"/>
      <c r="AS30" s="589"/>
      <c r="AT30" s="589"/>
      <c r="AU30" s="589"/>
      <c r="AV30" s="589"/>
      <c r="AW30" s="589"/>
      <c r="AX30" s="589"/>
      <c r="AY30" s="589"/>
      <c r="AZ30" s="589"/>
      <c r="BA30" s="589"/>
      <c r="BB30" s="589"/>
      <c r="BC30" s="589"/>
      <c r="BD30" s="589"/>
      <c r="BE30" s="589"/>
      <c r="BF30" s="589"/>
      <c r="BG30" s="589"/>
      <c r="BH30" s="589"/>
      <c r="BI30" s="589"/>
      <c r="BJ30" s="589"/>
      <c r="BK30" s="589"/>
      <c r="BL30" s="589"/>
      <c r="BM30" s="589"/>
      <c r="BN30" s="590"/>
      <c r="BO30" s="290"/>
      <c r="BP30" s="332"/>
      <c r="BQ30" s="333"/>
    </row>
    <row r="31" spans="1:69" ht="46" customHeight="1">
      <c r="A31" s="2903" t="s">
        <v>2466</v>
      </c>
      <c r="B31" s="2852" t="s">
        <v>17</v>
      </c>
      <c r="C31" s="248">
        <f>C29+1</f>
        <v>4</v>
      </c>
      <c r="D31" s="249">
        <f>IF(_xlfn.XLOOKUP(E31,[52]宿泊施設DB!$B$3:$B$207,[52]宿泊施設DB!$A$3:$A$207,"",)=0,"",_xlfn.XLOOKUP(E31,[52]宿泊施設DB!$B$3:$B$207,[52]宿泊施設DB!$A$3:$A$207,"",))</f>
        <v>1007</v>
      </c>
      <c r="E31" s="593" t="s">
        <v>2239</v>
      </c>
      <c r="F31" s="2854">
        <f>_xlfn.XLOOKUP($E31,[52]宿泊施設DB!$B$3:$B$207,[52]宿泊施設DB!$D$3:$D$207,"",)</f>
        <v>118</v>
      </c>
      <c r="G31" s="2854">
        <f>_xlfn.XLOOKUP($E31,[52]宿泊施設DB!$B$3:$B$207,[52]宿泊施設DB!$E$3:$E$207,"",)</f>
        <v>192</v>
      </c>
      <c r="H31" s="2904">
        <f>_xlfn.XLOOKUP($E31,[52]宿泊施設DB!$B$3:$B$207,[52]宿泊施設DB!$J$3:$J$207,"",)</f>
        <v>1</v>
      </c>
      <c r="I31" s="2857" t="str">
        <f>_xlfn.XLOOKUP($E31,[52]宿泊施設DB!$B$3:$B$207,[52]宿泊施設DB!$T$3:$T$207,"",)</f>
        <v>中</v>
      </c>
      <c r="J31" s="3338" t="str">
        <f>_xlfn.XLOOKUP($E31,[52]宿泊施設DB!$B$3:$B$207,[52]宿泊施設DB!$R$3:$R$207,"",)</f>
        <v>宿泊施設</v>
      </c>
      <c r="K31" s="2904">
        <f>_xlfn.XLOOKUP($E31,[52]宿泊施設DB!$B$3:$B$207,[52]宿泊施設DB!$S$3:$S$207,"",)</f>
        <v>72</v>
      </c>
      <c r="L31" s="2857" t="str">
        <f>_xlfn.XLOOKUP($E31,[52]宿泊施設DB!$B$3:$B$207,[52]宿泊施設DB!$U$3:$U$207,"",)</f>
        <v>－</v>
      </c>
      <c r="M31" s="2857" t="str">
        <f>_xlfn.XLOOKUP($E31,[52]宿泊施設DB!$B$3:$B$207,[52]宿泊施設DB!$V$3:$V$207,"",)</f>
        <v>○</v>
      </c>
      <c r="N31" s="2857" t="str">
        <f>_xlfn.XLOOKUP($E31,[52]宿泊施設DB!$B$3:$B$207,[52]宿泊施設DB!$W$3:$W$207,"",)</f>
        <v>○</v>
      </c>
      <c r="O31" s="2857" t="str">
        <f>_xlfn.XLOOKUP($E31,[52]宿泊施設DB!$B$3:$B$207,[52]宿泊施設DB!$X$3:$X$207,"",)</f>
        <v>玄関前（屋根無）1台</v>
      </c>
      <c r="P31" s="258" t="str">
        <f t="shared" si="1"/>
        <v>○</v>
      </c>
      <c r="Q31" s="248" t="s">
        <v>2136</v>
      </c>
      <c r="R31" s="3297" t="s">
        <v>2467</v>
      </c>
      <c r="S31" s="269" t="str">
        <f>IFERROR(VLOOKUP($R31,'[52]競技情報DB(12,600人ver) '!$A$6:$D$203,2,),"－")</f>
        <v>各務原市</v>
      </c>
      <c r="T31" s="270">
        <f>_xlfn.XLOOKUP(R31,'[52]競技情報DB(12,600人ver) '!$A$6:$A$101,'[52]競技情報DB(12,600人ver) '!$D$6:$D$101,"",0,)</f>
        <v>168</v>
      </c>
      <c r="U31" s="3298">
        <f>SUM(T31:T31)</f>
        <v>168</v>
      </c>
      <c r="V31" s="3299" t="str">
        <f>IFERROR(VLOOKUP($R31,'[52]競技情報DB(12,600人ver) '!$A$6:$D$203,3,),"－")</f>
        <v>岐阜県グリーンスタジアム</v>
      </c>
      <c r="W31" s="3300">
        <v>10</v>
      </c>
      <c r="X31" s="3301">
        <v>18</v>
      </c>
      <c r="Y31" s="274">
        <f>$G31-MAX(AF31:BN31)</f>
        <v>24</v>
      </c>
      <c r="Z31" s="267">
        <f>+Y31/$G31</f>
        <v>0.125</v>
      </c>
      <c r="AA31" s="275" t="str">
        <f>E31&amp;"　"&amp;"合計"</f>
        <v>ホテルミュースタイル犬山エクスペリエンス　合計</v>
      </c>
      <c r="AB31" s="3325">
        <f>IFERROR(INDEX($AF$3:$BN$3, MATCH("準備", AF31:BN31, 0)), "")</f>
        <v>46277</v>
      </c>
      <c r="AC31" s="3325" cm="1">
        <f t="array" ref="AC31">IF(COUNTIF(AF31:BN31,"*撤去*")=0,"",INDEX(AF$3:BN$3,1,MAX(IF(AF31:BN31="撤去",COLUMN(AF31:BN31)-COLUMN(AF31)+1))))</f>
        <v>46300</v>
      </c>
      <c r="AD31" s="3326">
        <f>AC31-AB31</f>
        <v>23</v>
      </c>
      <c r="AE31" s="276" t="str">
        <f>+$AE$114</f>
        <v>12,600人</v>
      </c>
      <c r="AF31" s="280">
        <f>+_xlfn.XLOOKUP($AA31,'[52]②配宿シュミレーション(12,600人ver) '!$AO$6:$AO$707,'[52]②配宿シュミレーション(12,600人ver) '!AP$6:AP$707,)</f>
        <v>0</v>
      </c>
      <c r="AG31" s="280">
        <f>+_xlfn.XLOOKUP($AA31,'[52]②配宿シュミレーション(12,600人ver) '!$AO$6:$AO$707,'[52]②配宿シュミレーション(12,600人ver) '!AQ$6:AQ$707,)</f>
        <v>0</v>
      </c>
      <c r="AH31" s="280">
        <f>+_xlfn.XLOOKUP($AA31,'[52]②配宿シュミレーション(12,600人ver) '!$AO$6:$AO$707,'[52]②配宿シュミレーション(12,600人ver) '!AR$6:AR$707,)</f>
        <v>0</v>
      </c>
      <c r="AI31" s="280">
        <f>+_xlfn.XLOOKUP($AA31,'[52]②配宿シュミレーション(12,600人ver) '!$AO$6:$AO$707,'[52]②配宿シュミレーション(12,600人ver) '!AS$6:AS$707,)</f>
        <v>0</v>
      </c>
      <c r="AJ31" s="280">
        <f>+_xlfn.XLOOKUP($AA31,'[52]②配宿シュミレーション(12,600人ver) '!$AO$6:$AO$707,'[52]②配宿シュミレーション(12,600人ver) '!AT$6:AT$707,)</f>
        <v>0</v>
      </c>
      <c r="AK31" s="280">
        <f>+_xlfn.XLOOKUP($AA31,'[52]②配宿シュミレーション(12,600人ver) '!$AO$6:$AO$707,'[52]②配宿シュミレーション(12,600人ver) '!AU$6:AU$707,)</f>
        <v>0</v>
      </c>
      <c r="AL31" s="280">
        <f>+_xlfn.XLOOKUP($AA31,'[52]②配宿シュミレーション(12,600人ver) '!$AO$6:$AO$707,'[52]②配宿シュミレーション(12,600人ver) '!AV$6:AV$707,)</f>
        <v>0</v>
      </c>
      <c r="AM31" s="280">
        <f>+_xlfn.XLOOKUP($AA31,'[52]②配宿シュミレーション(12,600人ver) '!$AO$6:$AO$707,'[52]②配宿シュミレーション(12,600人ver) '!AW$6:AW$707,)</f>
        <v>0</v>
      </c>
      <c r="AN31" s="3327" t="s">
        <v>2447</v>
      </c>
      <c r="AO31" s="3339">
        <f>+_xlfn.XLOOKUP($AA31,'[52]②配宿シュミレーション(12,600人ver) '!$AO$6:$AO$707,'[52]②配宿シュミレーション(12,600人ver) '!AY$6:AY$707,)</f>
        <v>0</v>
      </c>
      <c r="AP31" s="280">
        <f>+_xlfn.XLOOKUP($AA31,'[52]②配宿シュミレーション(12,600人ver) '!$AO$6:$AO$707,'[52]②配宿シュミレーション(12,600人ver) '!AZ$6:AZ$707,)</f>
        <v>168</v>
      </c>
      <c r="AQ31" s="280">
        <f>+_xlfn.XLOOKUP($AA31,'[52]②配宿シュミレーション(12,600人ver) '!$AO$6:$AO$707,'[52]②配宿シュミレーション(12,600人ver) '!BA$6:BA$707,)</f>
        <v>168</v>
      </c>
      <c r="AR31" s="280">
        <f>+_xlfn.XLOOKUP($AA31,'[52]②配宿シュミレーション(12,600人ver) '!$AO$6:$AO$707,'[52]②配宿シュミレーション(12,600人ver) '!BB$6:BB$707,)</f>
        <v>168</v>
      </c>
      <c r="AS31" s="280">
        <f>+_xlfn.XLOOKUP($AA31,'[52]②配宿シュミレーション(12,600人ver) '!$AO$6:$AO$707,'[52]②配宿シュミレーション(12,600人ver) '!BC$6:BC$707,)</f>
        <v>168</v>
      </c>
      <c r="AT31" s="280">
        <f>+_xlfn.XLOOKUP($AA31,'[52]②配宿シュミレーション(12,600人ver) '!$AO$6:$AO$707,'[52]②配宿シュミレーション(12,600人ver) '!BD$6:BD$707,)</f>
        <v>168</v>
      </c>
      <c r="AU31" s="280">
        <f>+_xlfn.XLOOKUP($AA31,'[52]②配宿シュミレーション(12,600人ver) '!$AO$6:$AO$707,'[52]②配宿シュミレーション(12,600人ver) '!BE$6:BE$707,)</f>
        <v>168</v>
      </c>
      <c r="AV31" s="280">
        <f>+_xlfn.XLOOKUP($AA31,'[52]②配宿シュミレーション(12,600人ver) '!$AO$6:$AO$707,'[52]②配宿シュミレーション(12,600人ver) '!BF$6:BF$707,)</f>
        <v>168</v>
      </c>
      <c r="AW31" s="280">
        <f>+_xlfn.XLOOKUP($AA31,'[52]②配宿シュミレーション(12,600人ver) '!$AO$6:$AO$707,'[52]②配宿シュミレーション(12,600人ver) '!BG$6:BG$707,)</f>
        <v>168</v>
      </c>
      <c r="AX31" s="280">
        <f>+_xlfn.XLOOKUP($AA31,'[52]②配宿シュミレーション(12,600人ver) '!$AO$6:$AO$707,'[52]②配宿シュミレーション(12,600人ver) '!BH$6:BH$707,)</f>
        <v>168</v>
      </c>
      <c r="AY31" s="280">
        <f>+_xlfn.XLOOKUP($AA31,'[52]②配宿シュミレーション(12,600人ver) '!$AO$6:$AO$707,'[52]②配宿シュミレーション(12,600人ver) '!BI$6:BI$707,)</f>
        <v>168</v>
      </c>
      <c r="AZ31" s="280">
        <f>+_xlfn.XLOOKUP($AA31,'[52]②配宿シュミレーション(12,600人ver) '!$AO$6:$AO$707,'[52]②配宿シュミレーション(12,600人ver) '!BJ$6:BJ$707,)</f>
        <v>168</v>
      </c>
      <c r="BA31" s="280">
        <f>+_xlfn.XLOOKUP($AA31,'[52]②配宿シュミレーション(12,600人ver) '!$AO$6:$AO$707,'[52]②配宿シュミレーション(12,600人ver) '!BK$6:BK$707,)</f>
        <v>168</v>
      </c>
      <c r="BB31" s="280">
        <f>+_xlfn.XLOOKUP($AA31,'[52]②配宿シュミレーション(12,600人ver) '!$AO$6:$AO$707,'[52]②配宿シュミレーション(12,600人ver) '!BL$6:BL$707,)</f>
        <v>168</v>
      </c>
      <c r="BC31" s="280">
        <f>+_xlfn.XLOOKUP($AA31,'[52]②配宿シュミレーション(12,600人ver) '!$AO$6:$AO$707,'[52]②配宿シュミレーション(12,600人ver) '!BM$6:BM$707,)</f>
        <v>168</v>
      </c>
      <c r="BD31" s="280">
        <f>+_xlfn.XLOOKUP($AA31,'[52]②配宿シュミレーション(12,600人ver) '!$AO$6:$AO$707,'[52]②配宿シュミレーション(12,600人ver) '!BN$6:BN$707,)</f>
        <v>168</v>
      </c>
      <c r="BE31" s="280">
        <f>+_xlfn.XLOOKUP($AA31,'[52]②配宿シュミレーション(12,600人ver) '!$AO$6:$AO$707,'[52]②配宿シュミレーション(12,600人ver) '!BO$6:BO$707,)</f>
        <v>168</v>
      </c>
      <c r="BF31" s="280">
        <f>+_xlfn.XLOOKUP($AA31,'[52]②配宿シュミレーション(12,600人ver) '!$AO$6:$AO$707,'[52]②配宿シュミレーション(12,600人ver) '!BP$6:BP$707,)</f>
        <v>168</v>
      </c>
      <c r="BG31" s="280">
        <f>+_xlfn.XLOOKUP($AA31,'[52]②配宿シュミレーション(12,600人ver) '!$AO$6:$AO$707,'[52]②配宿シュミレーション(12,600人ver) '!BQ$6:BQ$707,)</f>
        <v>168</v>
      </c>
      <c r="BH31" s="280">
        <f>+_xlfn.XLOOKUP($AA31,'[52]②配宿シュミレーション(12,600人ver) '!$AO$6:$AO$707,'[52]②配宿シュミレーション(12,600人ver) '!BR$6:BR$707,)</f>
        <v>168</v>
      </c>
      <c r="BI31" s="280">
        <f>+_xlfn.XLOOKUP($AA31,'[52]②配宿シュミレーション(12,600人ver) '!$AO$6:$AO$707,'[52]②配宿シュミレーション(12,600人ver) '!BS$6:BS$707,)</f>
        <v>168</v>
      </c>
      <c r="BJ31" s="280">
        <f>+_xlfn.XLOOKUP($AA31,'[52]②配宿シュミレーション(12,600人ver) '!$AO$6:$AO$707,'[52]②配宿シュミレーション(12,600人ver) '!BT$6:BT$707,)</f>
        <v>168</v>
      </c>
      <c r="BK31" s="3306" t="s">
        <v>2448</v>
      </c>
      <c r="BL31" s="280">
        <f>+_xlfn.XLOOKUP($AA31,'[52]②配宿シュミレーション(12,600人ver) '!$AO$6:$AO$707,'[52]②配宿シュミレーション(12,600人ver) '!BV$6:BV$707,)</f>
        <v>0</v>
      </c>
      <c r="BM31" s="280">
        <f>+_xlfn.XLOOKUP($AA31,'[52]②配宿シュミレーション(12,600人ver) '!$AO$6:$AO$707,'[52]②配宿シュミレーション(12,600人ver) '!BW$6:BW$707,)</f>
        <v>0</v>
      </c>
      <c r="BN31" s="606">
        <f>+_xlfn.XLOOKUP($AA31,'[52]②配宿シュミレーション(12,600人ver) '!$AO$6:$AO$707,'[52]②配宿シュミレーション(12,600人ver) '!BX$6:BX$707,)</f>
        <v>0</v>
      </c>
      <c r="BO31" s="2906"/>
      <c r="BP31" s="574"/>
      <c r="BQ31" s="575"/>
    </row>
    <row r="32" spans="1:69" s="521" customFormat="1" ht="46" customHeight="1" thickBot="1">
      <c r="A32" s="2862"/>
      <c r="B32" s="2907"/>
      <c r="C32" s="420"/>
      <c r="D32" s="421" t="str">
        <f>IF(_xlfn.XLOOKUP(E32,[52]宿泊施設DB!$B$3:$B$207,[52]宿泊施設DB!$A$3:$A$207,"",)=0,"",_xlfn.XLOOKUP(E32,[52]宿泊施設DB!$B$3:$B$207,[52]宿泊施設DB!$A$3:$A$207,"",))</f>
        <v/>
      </c>
      <c r="E32" s="612"/>
      <c r="F32" s="2875">
        <f>_xlfn.XLOOKUP($E32,[52]宿泊施設DB!$B$3:$B$207,[52]宿泊施設DB!$D$3:$D$207,"",)</f>
        <v>0</v>
      </c>
      <c r="G32" s="2875">
        <f>_xlfn.XLOOKUP($E32,[52]宿泊施設DB!$B$3:$B$207,[52]宿泊施設DB!$E$3:$E$207,"",)</f>
        <v>0</v>
      </c>
      <c r="H32" s="2877">
        <f>_xlfn.XLOOKUP($E32,[52]宿泊施設DB!$B$3:$B$207,[52]宿泊施設DB!$J$3:$J$207,"",)</f>
        <v>0</v>
      </c>
      <c r="I32" s="2878">
        <f>_xlfn.XLOOKUP($E32,[52]宿泊施設DB!$B$3:$B$207,[52]宿泊施設DB!$T$3:$T$207,"",)</f>
        <v>0</v>
      </c>
      <c r="J32" s="3340" t="s">
        <v>2517</v>
      </c>
      <c r="K32" s="2877">
        <f>_xlfn.XLOOKUP($E32,[52]宿泊施設DB!$B$3:$B$207,[52]宿泊施設DB!$S$3:$S$207,"",)</f>
        <v>0</v>
      </c>
      <c r="L32" s="2878">
        <f>_xlfn.XLOOKUP($E32,[52]宿泊施設DB!$B$3:$B$207,[52]宿泊施設DB!$U$3:$U$207,"",)</f>
        <v>0</v>
      </c>
      <c r="M32" s="2878">
        <f>_xlfn.XLOOKUP($E32,[52]宿泊施設DB!$B$3:$B$207,[52]宿泊施設DB!$V$3:$V$207,"",)</f>
        <v>0</v>
      </c>
      <c r="N32" s="2878">
        <f>_xlfn.XLOOKUP($E32,[52]宿泊施設DB!$B$3:$B$207,[52]宿泊施設DB!$W$3:$W$207,"",)</f>
        <v>0</v>
      </c>
      <c r="O32" s="2878">
        <f>_xlfn.XLOOKUP($E32,[52]宿泊施設DB!$B$3:$B$207,[52]宿泊施設DB!$X$3:$X$207,"",)</f>
        <v>0</v>
      </c>
      <c r="P32" s="426" t="str">
        <f t="shared" si="1"/>
        <v/>
      </c>
      <c r="Q32" s="420"/>
      <c r="R32" s="3341"/>
      <c r="S32" s="478" t="str">
        <f>IFERROR(VLOOKUP($R32,'[52]競技情報DB(12,600人ver) '!$A$6:$D$203,2,),"－")</f>
        <v>－</v>
      </c>
      <c r="T32" s="479">
        <f>_xlfn.XLOOKUP(R32,'[52]競技情報DB(12,600人ver) '!$A$6:$A$101,'[52]競技情報DB(12,600人ver) '!$D$6:$D$101,"",0,)</f>
        <v>0</v>
      </c>
      <c r="U32" s="3342"/>
      <c r="V32" s="3343" t="str">
        <f>IFERROR(VLOOKUP($R32,'[52]競技情報DB(12,600人ver) '!$A$6:$D$203,3,),"－")</f>
        <v>－</v>
      </c>
      <c r="W32" s="3344"/>
      <c r="X32" s="3345"/>
      <c r="Y32" s="442"/>
      <c r="Z32" s="435"/>
      <c r="AA32" s="517"/>
      <c r="AB32" s="3346"/>
      <c r="AC32" s="3346"/>
      <c r="AD32" s="3347"/>
      <c r="AE32" s="518"/>
      <c r="AF32" s="445"/>
      <c r="AG32" s="445"/>
      <c r="AH32" s="445"/>
      <c r="AI32" s="445"/>
      <c r="AJ32" s="445"/>
      <c r="AK32" s="445"/>
      <c r="AL32" s="445"/>
      <c r="AM32" s="445"/>
      <c r="AN32" s="445"/>
      <c r="AO32" s="445"/>
      <c r="AP32" s="445"/>
      <c r="AQ32" s="445"/>
      <c r="AR32" s="445"/>
      <c r="AS32" s="445"/>
      <c r="AT32" s="445"/>
      <c r="AU32" s="445"/>
      <c r="AV32" s="445"/>
      <c r="AW32" s="445"/>
      <c r="AX32" s="445"/>
      <c r="AY32" s="445"/>
      <c r="AZ32" s="445"/>
      <c r="BA32" s="445"/>
      <c r="BB32" s="445"/>
      <c r="BC32" s="445"/>
      <c r="BD32" s="445"/>
      <c r="BE32" s="445"/>
      <c r="BF32" s="445"/>
      <c r="BG32" s="445"/>
      <c r="BH32" s="445"/>
      <c r="BI32" s="445"/>
      <c r="BJ32" s="445"/>
      <c r="BK32" s="336"/>
      <c r="BL32" s="445"/>
      <c r="BM32" s="445"/>
      <c r="BN32" s="449"/>
      <c r="BO32" s="573"/>
      <c r="BP32" s="614"/>
      <c r="BQ32" s="615"/>
    </row>
    <row r="33" spans="1:69" ht="46" customHeight="1">
      <c r="A33" s="2862"/>
      <c r="B33" s="2863" t="s">
        <v>2243</v>
      </c>
      <c r="C33" s="296">
        <f>C31+1</f>
        <v>5</v>
      </c>
      <c r="D33" s="297">
        <f>IF(_xlfn.XLOOKUP(E33,[52]宿泊施設DB!$B$3:$B$207,[52]宿泊施設DB!$A$3:$A$207,"",)=0,"",_xlfn.XLOOKUP(E33,[52]宿泊施設DB!$B$3:$B$207,[52]宿泊施設DB!$A$3:$A$207,"",))</f>
        <v>12</v>
      </c>
      <c r="E33" s="298" t="s">
        <v>2244</v>
      </c>
      <c r="F33" s="2864">
        <f>_xlfn.XLOOKUP($E33,[52]宿泊施設DB!$B$3:$B$207,[52]宿泊施設DB!$D$3:$D$207,"",)</f>
        <v>224</v>
      </c>
      <c r="G33" s="2864">
        <f>_xlfn.XLOOKUP($E33,[52]宿泊施設DB!$B$3:$B$207,[52]宿泊施設DB!$E$3:$E$207,"",)</f>
        <v>241</v>
      </c>
      <c r="H33" s="2865">
        <f>_xlfn.XLOOKUP($E33,[52]宿泊施設DB!$B$3:$B$207,[52]宿泊施設DB!$J$3:$J$207,"",)</f>
        <v>11</v>
      </c>
      <c r="I33" s="2866" t="str">
        <f>_xlfn.XLOOKUP($E33,[52]宿泊施設DB!$B$3:$B$207,[52]宿泊施設DB!$T$3:$T$207,"",)</f>
        <v>高</v>
      </c>
      <c r="J33" s="2866" t="str">
        <f>_xlfn.XLOOKUP($E33,[52]宿泊施設DB!$B$3:$B$207,[52]宿泊施設DB!$R$3:$R$207,"",)</f>
        <v>宿泊施設</v>
      </c>
      <c r="K33" s="2865">
        <f>_xlfn.XLOOKUP($E33,[52]宿泊施設DB!$B$3:$B$207,[52]宿泊施設DB!$S$3:$S$207,"",)</f>
        <v>82</v>
      </c>
      <c r="L33" s="2866" t="str">
        <f>_xlfn.XLOOKUP($E33,[52]宿泊施設DB!$B$3:$B$207,[52]宿泊施設DB!$U$3:$U$207,"",)</f>
        <v>○</v>
      </c>
      <c r="M33" s="2866" t="str">
        <f>_xlfn.XLOOKUP($E33,[52]宿泊施設DB!$B$3:$B$207,[52]宿泊施設DB!$V$3:$V$207,"",)</f>
        <v>○(ｼﾞﾑ内等)</v>
      </c>
      <c r="N33" s="2866" t="str">
        <f>_xlfn.XLOOKUP($E33,[52]宿泊施設DB!$B$3:$B$207,[52]宿泊施設DB!$W$3:$W$207,"",)</f>
        <v>○</v>
      </c>
      <c r="O33" s="2866" t="str">
        <f>_xlfn.XLOOKUP($E33,[52]宿泊施設DB!$B$3:$B$207,[52]宿泊施設DB!$X$3:$X$207,"",)</f>
        <v>玄関前（屋根無）1台</v>
      </c>
      <c r="P33" s="302" t="str">
        <f t="shared" si="1"/>
        <v>○</v>
      </c>
      <c r="Q33" s="296" t="s">
        <v>2136</v>
      </c>
      <c r="R33" s="387" t="s">
        <v>2247</v>
      </c>
      <c r="S33" s="388" t="str">
        <f>IFERROR(VLOOKUP($R33,'[52]競技情報DB(12,600人ver) '!$A$6:$D$203,2,),"－")</f>
        <v>小牧市</v>
      </c>
      <c r="T33" s="389">
        <f>_xlfn.XLOOKUP(R33,'[52]競技情報DB(12,600人ver) '!$A$6:$A$101,'[52]競技情報DB(12,600人ver) '!$D$6:$D$101,"",0,)</f>
        <v>187</v>
      </c>
      <c r="U33" s="3307">
        <f>SUM(T33:T34)</f>
        <v>187</v>
      </c>
      <c r="V33" s="3322" t="str">
        <f>IFERROR(VLOOKUP($R33,'[52]競技情報DB(12,600人ver) '!$A$6:$D$203,3,),"－")</f>
        <v>小牧市スポーツ公園総合体育館</v>
      </c>
      <c r="W33" s="3323">
        <v>4.3</v>
      </c>
      <c r="X33" s="3324">
        <v>11</v>
      </c>
      <c r="Y33" s="318">
        <f>$G33-MAX(AF33:BN33)</f>
        <v>54</v>
      </c>
      <c r="Z33" s="311">
        <f>+Y33/$G33</f>
        <v>0.22406639004149378</v>
      </c>
      <c r="AA33" s="491" t="str">
        <f>E33&amp;"　"&amp;"合計"</f>
        <v>ルートイングランティア小牧　合計</v>
      </c>
      <c r="AB33" s="3325">
        <f>IFERROR(INDEX($AF$3:$BN$3, MATCH("準備", AF33:BN33, 0)), "")</f>
        <v>46277</v>
      </c>
      <c r="AC33" s="3325" cm="1">
        <f t="array" ref="AC33">IF(COUNTIF(AF33:BN33,"*撤去*")=0,"",INDEX(AF$3:BN$3,1,MAX(IF(AF33:BN33="撤去",COLUMN(AF33:BN33)-COLUMN(AF33)+1))))</f>
        <v>46300</v>
      </c>
      <c r="AD33" s="3326">
        <f>AC33-AB33</f>
        <v>23</v>
      </c>
      <c r="AE33" s="492" t="str">
        <f>+$AE$114</f>
        <v>12,600人</v>
      </c>
      <c r="AF33" s="398">
        <f>+_xlfn.XLOOKUP($AA33,'[52]②配宿シュミレーション(12,600人ver) '!$AO$6:$AO$707,'[52]②配宿シュミレーション(12,600人ver) '!AP$6:AP$707,)</f>
        <v>0</v>
      </c>
      <c r="AG33" s="398">
        <f>+_xlfn.XLOOKUP($AA33,'[52]②配宿シュミレーション(12,600人ver) '!$AO$6:$AO$707,'[52]②配宿シュミレーション(12,600人ver) '!AQ$6:AQ$707,)</f>
        <v>0</v>
      </c>
      <c r="AH33" s="398">
        <f>+_xlfn.XLOOKUP($AA33,'[52]②配宿シュミレーション(12,600人ver) '!$AO$6:$AO$707,'[52]②配宿シュミレーション(12,600人ver) '!AR$6:AR$707,)</f>
        <v>0</v>
      </c>
      <c r="AI33" s="398">
        <f>+_xlfn.XLOOKUP($AA33,'[52]②配宿シュミレーション(12,600人ver) '!$AO$6:$AO$707,'[52]②配宿シュミレーション(12,600人ver) '!AS$6:AS$707,)</f>
        <v>0</v>
      </c>
      <c r="AJ33" s="398">
        <f>+_xlfn.XLOOKUP($AA33,'[52]②配宿シュミレーション(12,600人ver) '!$AO$6:$AO$707,'[52]②配宿シュミレーション(12,600人ver) '!AT$6:AT$707,)</f>
        <v>0</v>
      </c>
      <c r="AK33" s="398">
        <f>+_xlfn.XLOOKUP($AA33,'[52]②配宿シュミレーション(12,600人ver) '!$AO$6:$AO$707,'[52]②配宿シュミレーション(12,600人ver) '!AU$6:AU$707,)</f>
        <v>0</v>
      </c>
      <c r="AL33" s="398">
        <f>+_xlfn.XLOOKUP($AA33,'[52]②配宿シュミレーション(12,600人ver) '!$AO$6:$AO$707,'[52]②配宿シュミレーション(12,600人ver) '!AV$6:AV$707,)</f>
        <v>0</v>
      </c>
      <c r="AM33" s="398">
        <f>+_xlfn.XLOOKUP($AA33,'[52]②配宿シュミレーション(12,600人ver) '!$AO$6:$AO$707,'[52]②配宿シュミレーション(12,600人ver) '!AW$6:AW$707,)</f>
        <v>0</v>
      </c>
      <c r="AN33" s="3327" t="s">
        <v>2447</v>
      </c>
      <c r="AO33" s="3327">
        <f>+_xlfn.XLOOKUP($AA33,'[52]②配宿シュミレーション(12,600人ver) '!$AO$6:$AO$707,'[52]②配宿シュミレーション(12,600人ver) '!AY$6:AY$707,)</f>
        <v>0</v>
      </c>
      <c r="AP33" s="398">
        <f>+_xlfn.XLOOKUP($AA33,'[52]②配宿シュミレーション(12,600人ver) '!$AO$6:$AO$707,'[52]②配宿シュミレーション(12,600人ver) '!AZ$6:AZ$707,)</f>
        <v>187</v>
      </c>
      <c r="AQ33" s="398">
        <f>+_xlfn.XLOOKUP($AA33,'[52]②配宿シュミレーション(12,600人ver) '!$AO$6:$AO$707,'[52]②配宿シュミレーション(12,600人ver) '!BA$6:BA$707,)</f>
        <v>187</v>
      </c>
      <c r="AR33" s="398">
        <f>+_xlfn.XLOOKUP($AA33,'[52]②配宿シュミレーション(12,600人ver) '!$AO$6:$AO$707,'[52]②配宿シュミレーション(12,600人ver) '!BB$6:BB$707,)</f>
        <v>187</v>
      </c>
      <c r="AS33" s="398">
        <f>+_xlfn.XLOOKUP($AA33,'[52]②配宿シュミレーション(12,600人ver) '!$AO$6:$AO$707,'[52]②配宿シュミレーション(12,600人ver) '!BC$6:BC$707,)</f>
        <v>187</v>
      </c>
      <c r="AT33" s="398">
        <f>+_xlfn.XLOOKUP($AA33,'[52]②配宿シュミレーション(12,600人ver) '!$AO$6:$AO$707,'[52]②配宿シュミレーション(12,600人ver) '!BD$6:BD$707,)</f>
        <v>187</v>
      </c>
      <c r="AU33" s="398">
        <f>+_xlfn.XLOOKUP($AA33,'[52]②配宿シュミレーション(12,600人ver) '!$AO$6:$AO$707,'[52]②配宿シュミレーション(12,600人ver) '!BE$6:BE$707,)</f>
        <v>187</v>
      </c>
      <c r="AV33" s="398">
        <f>+_xlfn.XLOOKUP($AA33,'[52]②配宿シュミレーション(12,600人ver) '!$AO$6:$AO$707,'[52]②配宿シュミレーション(12,600人ver) '!BF$6:BF$707,)</f>
        <v>187</v>
      </c>
      <c r="AW33" s="398">
        <f>+_xlfn.XLOOKUP($AA33,'[52]②配宿シュミレーション(12,600人ver) '!$AO$6:$AO$707,'[52]②配宿シュミレーション(12,600人ver) '!BG$6:BG$707,)</f>
        <v>187</v>
      </c>
      <c r="AX33" s="398">
        <f>+_xlfn.XLOOKUP($AA33,'[52]②配宿シュミレーション(12,600人ver) '!$AO$6:$AO$707,'[52]②配宿シュミレーション(12,600人ver) '!BH$6:BH$707,)</f>
        <v>187</v>
      </c>
      <c r="AY33" s="398">
        <f>+_xlfn.XLOOKUP($AA33,'[52]②配宿シュミレーション(12,600人ver) '!$AO$6:$AO$707,'[52]②配宿シュミレーション(12,600人ver) '!BI$6:BI$707,)</f>
        <v>187</v>
      </c>
      <c r="AZ33" s="398">
        <f>+_xlfn.XLOOKUP($AA33,'[52]②配宿シュミレーション(12,600人ver) '!$AO$6:$AO$707,'[52]②配宿シュミレーション(12,600人ver) '!BJ$6:BJ$707,)</f>
        <v>187</v>
      </c>
      <c r="BA33" s="398">
        <f>+_xlfn.XLOOKUP($AA33,'[52]②配宿シュミレーション(12,600人ver) '!$AO$6:$AO$707,'[52]②配宿シュミレーション(12,600人ver) '!BK$6:BK$707,)</f>
        <v>187</v>
      </c>
      <c r="BB33" s="398">
        <f>+_xlfn.XLOOKUP($AA33,'[52]②配宿シュミレーション(12,600人ver) '!$AO$6:$AO$707,'[52]②配宿シュミレーション(12,600人ver) '!BL$6:BL$707,)</f>
        <v>187</v>
      </c>
      <c r="BC33" s="398">
        <f>+_xlfn.XLOOKUP($AA33,'[52]②配宿シュミレーション(12,600人ver) '!$AO$6:$AO$707,'[52]②配宿シュミレーション(12,600人ver) '!BM$6:BM$707,)</f>
        <v>187</v>
      </c>
      <c r="BD33" s="398">
        <f>+_xlfn.XLOOKUP($AA33,'[52]②配宿シュミレーション(12,600人ver) '!$AO$6:$AO$707,'[52]②配宿シュミレーション(12,600人ver) '!BN$6:BN$707,)</f>
        <v>187</v>
      </c>
      <c r="BE33" s="398">
        <f>+_xlfn.XLOOKUP($AA33,'[52]②配宿シュミレーション(12,600人ver) '!$AO$6:$AO$707,'[52]②配宿シュミレーション(12,600人ver) '!BO$6:BO$707,)</f>
        <v>187</v>
      </c>
      <c r="BF33" s="398">
        <f>+_xlfn.XLOOKUP($AA33,'[52]②配宿シュミレーション(12,600人ver) '!$AO$6:$AO$707,'[52]②配宿シュミレーション(12,600人ver) '!BP$6:BP$707,)</f>
        <v>187</v>
      </c>
      <c r="BG33" s="398">
        <f>+_xlfn.XLOOKUP($AA33,'[52]②配宿シュミレーション(12,600人ver) '!$AO$6:$AO$707,'[52]②配宿シュミレーション(12,600人ver) '!BQ$6:BQ$707,)</f>
        <v>187</v>
      </c>
      <c r="BH33" s="398">
        <f>+_xlfn.XLOOKUP($AA33,'[52]②配宿シュミレーション(12,600人ver) '!$AO$6:$AO$707,'[52]②配宿シュミレーション(12,600人ver) '!BR$6:BR$707,)</f>
        <v>187</v>
      </c>
      <c r="BI33" s="398">
        <f>+_xlfn.XLOOKUP($AA33,'[52]②配宿シュミレーション(12,600人ver) '!$AO$6:$AO$707,'[52]②配宿シュミレーション(12,600人ver) '!BS$6:BS$707,)</f>
        <v>187</v>
      </c>
      <c r="BJ33" s="398">
        <f>+_xlfn.XLOOKUP($AA33,'[52]②配宿シュミレーション(12,600人ver) '!$AO$6:$AO$707,'[52]②配宿シュミレーション(12,600人ver) '!BT$6:BT$707,)</f>
        <v>187</v>
      </c>
      <c r="BK33" s="3306" t="s">
        <v>2448</v>
      </c>
      <c r="BL33" s="398">
        <f>+_xlfn.XLOOKUP($AA33,'[52]②配宿シュミレーション(12,600人ver) '!$AO$6:$AO$707,'[52]②配宿シュミレーション(12,600人ver) '!BV$6:BV$707,)</f>
        <v>0</v>
      </c>
      <c r="BM33" s="398">
        <f>+_xlfn.XLOOKUP($AA33,'[52]②配宿シュミレーション(12,600人ver) '!$AO$6:$AO$707,'[52]②配宿シュミレーション(12,600人ver) '!BW$6:BW$707,)</f>
        <v>0</v>
      </c>
      <c r="BN33" s="472">
        <f>+_xlfn.XLOOKUP($AA33,'[52]②配宿シュミレーション(12,600人ver) '!$AO$6:$AO$707,'[52]②配宿シュミレーション(12,600人ver) '!BX$6:BX$707,)</f>
        <v>0</v>
      </c>
      <c r="BO33" s="290"/>
      <c r="BP33" s="332"/>
      <c r="BQ33" s="333"/>
    </row>
    <row r="34" spans="1:69" s="521" customFormat="1" ht="46" customHeight="1" thickBot="1">
      <c r="A34" s="2862"/>
      <c r="B34" s="2863"/>
      <c r="C34" s="296"/>
      <c r="D34" s="297" t="str">
        <f>IF(_xlfn.XLOOKUP(E34,[52]宿泊施設DB!$B$3:$B$207,[52]宿泊施設DB!$A$3:$A$207,"",)=0,"",_xlfn.XLOOKUP(E34,[52]宿泊施設DB!$B$3:$B$207,[52]宿泊施設DB!$A$3:$A$207,"",))</f>
        <v/>
      </c>
      <c r="E34" s="298"/>
      <c r="F34" s="2864">
        <f>_xlfn.XLOOKUP($E34,[52]宿泊施設DB!$B$3:$B$207,[52]宿泊施設DB!$D$3:$D$207,"",)</f>
        <v>0</v>
      </c>
      <c r="G34" s="2864">
        <f>_xlfn.XLOOKUP($E34,[52]宿泊施設DB!$B$3:$B$207,[52]宿泊施設DB!$E$3:$E$207,"",)</f>
        <v>0</v>
      </c>
      <c r="H34" s="2865">
        <f>_xlfn.XLOOKUP($E34,[52]宿泊施設DB!$B$3:$B$207,[52]宿泊施設DB!$J$3:$J$207,"",)</f>
        <v>0</v>
      </c>
      <c r="I34" s="2866">
        <f>_xlfn.XLOOKUP($E34,[52]宿泊施設DB!$B$3:$B$207,[52]宿泊施設DB!$T$3:$T$207,"",)</f>
        <v>0</v>
      </c>
      <c r="J34" s="2866">
        <f>_xlfn.XLOOKUP($E34,[52]宿泊施設DB!$B$3:$B$207,[52]宿泊施設DB!$R$3:$R$207,"",)</f>
        <v>0</v>
      </c>
      <c r="K34" s="2865">
        <f>_xlfn.XLOOKUP($E34,[52]宿泊施設DB!$B$3:$B$207,[52]宿泊施設DB!$S$3:$S$207,"",)</f>
        <v>0</v>
      </c>
      <c r="L34" s="2866">
        <f>_xlfn.XLOOKUP($E34,[52]宿泊施設DB!$B$3:$B$207,[52]宿泊施設DB!$U$3:$U$207,"",)</f>
        <v>0</v>
      </c>
      <c r="M34" s="2866">
        <f>_xlfn.XLOOKUP($E34,[52]宿泊施設DB!$B$3:$B$207,[52]宿泊施設DB!$V$3:$V$207,"",)</f>
        <v>0</v>
      </c>
      <c r="N34" s="2866">
        <f>_xlfn.XLOOKUP($E34,[52]宿泊施設DB!$B$3:$B$207,[52]宿泊施設DB!$W$3:$W$207,"",)</f>
        <v>0</v>
      </c>
      <c r="O34" s="2866">
        <f>_xlfn.XLOOKUP($E34,[52]宿泊施設DB!$B$3:$B$207,[52]宿泊施設DB!$X$3:$X$207,"",)</f>
        <v>0</v>
      </c>
      <c r="P34" s="302" t="str">
        <f t="shared" si="1"/>
        <v/>
      </c>
      <c r="Q34" s="296"/>
      <c r="R34" s="3341"/>
      <c r="S34" s="478" t="str">
        <f>IFERROR(VLOOKUP($R34,'[52]競技情報DB(12,600人ver) '!$A$6:$D$203,2,),"－")</f>
        <v>－</v>
      </c>
      <c r="T34" s="479">
        <f>_xlfn.XLOOKUP(R34,'[52]競技情報DB(12,600人ver) '!$A$6:$A$101,'[52]競技情報DB(12,600人ver) '!$D$6:$D$101,"",0,)</f>
        <v>0</v>
      </c>
      <c r="U34" s="3342"/>
      <c r="V34" s="3343" t="str">
        <f>IFERROR(VLOOKUP($R34,'[52]競技情報DB(12,600人ver) '!$A$6:$D$203,3,),"－")</f>
        <v>－</v>
      </c>
      <c r="W34" s="3344"/>
      <c r="X34" s="3345"/>
      <c r="Y34" s="442"/>
      <c r="Z34" s="311"/>
      <c r="AA34" s="319"/>
      <c r="AB34" s="3311"/>
      <c r="AC34" s="3311"/>
      <c r="AD34" s="3312"/>
      <c r="AE34" s="320"/>
      <c r="AF34" s="445"/>
      <c r="AG34" s="445"/>
      <c r="AH34" s="445"/>
      <c r="AI34" s="445"/>
      <c r="AJ34" s="445"/>
      <c r="AK34" s="445"/>
      <c r="AL34" s="445"/>
      <c r="AM34" s="445"/>
      <c r="AN34" s="336"/>
      <c r="AO34" s="336"/>
      <c r="AP34" s="445"/>
      <c r="AQ34" s="445"/>
      <c r="AR34" s="445"/>
      <c r="AS34" s="445"/>
      <c r="AT34" s="445"/>
      <c r="AU34" s="445"/>
      <c r="AV34" s="445"/>
      <c r="AW34" s="445"/>
      <c r="AX34" s="445"/>
      <c r="AY34" s="445"/>
      <c r="AZ34" s="445"/>
      <c r="BA34" s="445"/>
      <c r="BB34" s="445"/>
      <c r="BC34" s="445"/>
      <c r="BD34" s="445"/>
      <c r="BE34" s="445"/>
      <c r="BF34" s="445"/>
      <c r="BG34" s="445"/>
      <c r="BH34" s="445"/>
      <c r="BI34" s="445"/>
      <c r="BJ34" s="445"/>
      <c r="BK34" s="589"/>
      <c r="BL34" s="445"/>
      <c r="BM34" s="445"/>
      <c r="BN34" s="449"/>
      <c r="BO34" s="290"/>
      <c r="BP34" s="332"/>
      <c r="BQ34" s="333"/>
    </row>
    <row r="35" spans="1:69" ht="46" customHeight="1">
      <c r="A35" s="2903" t="s">
        <v>2260</v>
      </c>
      <c r="B35" s="2852" t="s">
        <v>2261</v>
      </c>
      <c r="C35" s="248">
        <f>C33+1</f>
        <v>6</v>
      </c>
      <c r="D35" s="249">
        <f>IF(_xlfn.XLOOKUP(E35,[52]宿泊施設DB!$B$3:$B$207,[52]宿泊施設DB!$A$3:$A$207,"",)=0,"",_xlfn.XLOOKUP(E35,[52]宿泊施設DB!$B$3:$B$207,[52]宿泊施設DB!$A$3:$A$207,"",))</f>
        <v>299</v>
      </c>
      <c r="E35" s="250" t="s">
        <v>2262</v>
      </c>
      <c r="F35" s="2853">
        <f>_xlfn.XLOOKUP($E35,[52]宿泊施設DB!$B$3:$B$207,[52]宿泊施設DB!$D$3:$D$207,"",)</f>
        <v>1286</v>
      </c>
      <c r="G35" s="2853">
        <f>_xlfn.XLOOKUP($E35,[52]宿泊施設DB!$B$3:$B$207,[52]宿泊施設DB!$E$3:$E$207,"",)</f>
        <v>1287</v>
      </c>
      <c r="H35" s="2904">
        <f>_xlfn.XLOOKUP($E35,[52]宿泊施設DB!$B$3:$B$207,[52]宿泊施設DB!$J$3:$J$207,"",)</f>
        <v>0</v>
      </c>
      <c r="I35" s="2857" t="str">
        <f>_xlfn.XLOOKUP($E35,[52]宿泊施設DB!$B$3:$B$207,[52]宿泊施設DB!$T$3:$T$207,"",)</f>
        <v>高</v>
      </c>
      <c r="J35" s="2857" t="str">
        <f>_xlfn.XLOOKUP($E35,[52]宿泊施設DB!$B$3:$B$207,[52]宿泊施設DB!$R$3:$R$207,"",)</f>
        <v>ケータリング</v>
      </c>
      <c r="K35" s="2904">
        <f>_xlfn.XLOOKUP($E35,[52]宿泊施設DB!$B$3:$B$207,[52]宿泊施設DB!$S$3:$S$207,"",)</f>
        <v>380</v>
      </c>
      <c r="L35" s="2857" t="str">
        <f>_xlfn.XLOOKUP($E35,[52]宿泊施設DB!$B$3:$B$207,[52]宿泊施設DB!$U$3:$U$207,"",)</f>
        <v>－</v>
      </c>
      <c r="M35" s="2857" t="str">
        <f>_xlfn.XLOOKUP($E35,[52]宿泊施設DB!$B$3:$B$207,[52]宿泊施設DB!$V$3:$V$207,"",)</f>
        <v>－</v>
      </c>
      <c r="N35" s="2857" t="str">
        <f>_xlfn.XLOOKUP($E35,[52]宿泊施設DB!$B$3:$B$207,[52]宿泊施設DB!$W$3:$W$207,"",)</f>
        <v>○</v>
      </c>
      <c r="O35" s="2857" t="str">
        <f>_xlfn.XLOOKUP($E35,[52]宿泊施設DB!$B$3:$B$207,[52]宿泊施設DB!$X$3:$X$207,"",)</f>
        <v>路上2台</v>
      </c>
      <c r="P35" s="258" t="str">
        <f t="shared" si="1"/>
        <v>○</v>
      </c>
      <c r="Q35" s="248" t="s">
        <v>2136</v>
      </c>
      <c r="R35" s="3348" t="s">
        <v>2461</v>
      </c>
      <c r="S35" s="313" t="str">
        <f>IFERROR(VLOOKUP($R35,'[52]競技情報DB(12,600人ver) '!$A$6:$D$203,2,),"－")</f>
        <v>名古屋市</v>
      </c>
      <c r="T35" s="314">
        <f>_xlfn.XLOOKUP(R35,'[52]競技情報DB(12,600人ver) '!$A$6:$A$101,'[52]競技情報DB(12,600人ver) '!$D$6:$D$101,"",0,)</f>
        <v>135</v>
      </c>
      <c r="U35" s="3307">
        <f>SUM(T35:T44)</f>
        <v>1176</v>
      </c>
      <c r="V35" s="3308" t="str">
        <f>IFERROR(VLOOKUP($R35,'[52]競技情報DB(12,600人ver) '!$A$6:$D$203,3,),"－")</f>
        <v>名古屋市総合体育館［レインボープール］</v>
      </c>
      <c r="W35" s="3300">
        <v>34</v>
      </c>
      <c r="X35" s="3301">
        <v>34</v>
      </c>
      <c r="Y35" s="318">
        <f>$G35-MAX(AF35:BN35)</f>
        <v>124</v>
      </c>
      <c r="Z35" s="267">
        <f>+Y35/$G35</f>
        <v>9.6348096348096351E-2</v>
      </c>
      <c r="AA35" s="275" t="str">
        <f>E35&amp;"　"&amp;"合計"</f>
        <v>東横INN中部国際空港２　合計</v>
      </c>
      <c r="AB35" s="3325">
        <f>IFERROR(INDEX($AF$3:$BN$3, MATCH("準備", AF35:BN35, 0)), "")</f>
        <v>46272</v>
      </c>
      <c r="AC35" s="3325" cm="1">
        <f t="array" ref="AC35">IF(COUNTIF(AF35:BN35,"*撤去*")=0,"",INDEX(AF$3:BN$3,1,MAX(IF(AF35:BN35="撤去",COLUMN(AF35:BN35)-COLUMN(AF35)+1))))</f>
        <v>46301</v>
      </c>
      <c r="AD35" s="3326">
        <f>AC35-AB35</f>
        <v>29</v>
      </c>
      <c r="AE35" s="276" t="str">
        <f>+$AE$114</f>
        <v>12,600人</v>
      </c>
      <c r="AF35" s="279">
        <f>+_xlfn.XLOOKUP($AA35,'[52]②配宿シュミレーション(12,600人ver) '!$AO$6:$AO$707,'[52]②配宿シュミレーション(12,600人ver) '!AP$6:AP$707,)</f>
        <v>0</v>
      </c>
      <c r="AG35" s="279">
        <f>+_xlfn.XLOOKUP($AA35,'[52]②配宿シュミレーション(12,600人ver) '!$AO$6:$AO$707,'[52]②配宿シュミレーション(12,600人ver) '!AQ$6:AQ$707,)</f>
        <v>0</v>
      </c>
      <c r="AH35" s="279">
        <f>+_xlfn.XLOOKUP($AA35,'[52]②配宿シュミレーション(12,600人ver) '!$AO$6:$AO$707,'[52]②配宿シュミレーション(12,600人ver) '!AR$6:AR$707,)</f>
        <v>0</v>
      </c>
      <c r="AI35" s="3327" t="s">
        <v>2447</v>
      </c>
      <c r="AJ35" s="3339">
        <f>+_xlfn.XLOOKUP($AA35,'[52]②配宿シュミレーション(12,600人ver) '!$AO$6:$AO$707,'[52]②配宿シュミレーション(12,600人ver) '!AT$6:AT$707,)</f>
        <v>0</v>
      </c>
      <c r="AK35" s="279">
        <f>+_xlfn.XLOOKUP($AA35,'[52]②配宿シュミレーション(12,600人ver) '!$AO$6:$AO$707,'[52]②配宿シュミレーション(12,600人ver) '!AU$6:AU$707,)</f>
        <v>374</v>
      </c>
      <c r="AL35" s="279">
        <f>+_xlfn.XLOOKUP($AA35,'[52]②配宿シュミレーション(12,600人ver) '!$AO$6:$AO$707,'[52]②配宿シュミレーション(12,600人ver) '!AV$6:AV$707,)</f>
        <v>374</v>
      </c>
      <c r="AM35" s="279">
        <f>+_xlfn.XLOOKUP($AA35,'[52]②配宿シュミレーション(12,600人ver) '!$AO$6:$AO$707,'[52]②配宿シュミレーション(12,600人ver) '!AW$6:AW$707,)</f>
        <v>374</v>
      </c>
      <c r="AN35" s="279">
        <f>+_xlfn.XLOOKUP($AA35,'[52]②配宿シュミレーション(12,600人ver) '!$AO$6:$AO$707,'[52]②配宿シュミレーション(12,600人ver) '!AX$6:AX$707,)</f>
        <v>374</v>
      </c>
      <c r="AO35" s="279">
        <f>+_xlfn.XLOOKUP($AA35,'[52]②配宿シュミレーション(12,600人ver) '!$AO$6:$AO$707,'[52]②配宿シュミレーション(12,600人ver) '!AY$6:AY$707,)</f>
        <v>374</v>
      </c>
      <c r="AP35" s="279">
        <f>+_xlfn.XLOOKUP($AA35,'[52]②配宿シュミレーション(12,600人ver) '!$AO$6:$AO$707,'[52]②配宿シュミレーション(12,600人ver) '!AZ$6:AZ$707,)</f>
        <v>374</v>
      </c>
      <c r="AQ35" s="279">
        <f>+_xlfn.XLOOKUP($AA35,'[52]②配宿シュミレーション(12,600人ver) '!$AO$6:$AO$707,'[52]②配宿シュミレーション(12,600人ver) '!BA$6:BA$707,)</f>
        <v>724</v>
      </c>
      <c r="AR35" s="279">
        <f>+_xlfn.XLOOKUP($AA35,'[52]②配宿シュミレーション(12,600人ver) '!$AO$6:$AO$707,'[52]②配宿シュミレーション(12,600人ver) '!BB$6:BB$707,)</f>
        <v>1029</v>
      </c>
      <c r="AS35" s="279">
        <f>+_xlfn.XLOOKUP($AA35,'[52]②配宿シュミレーション(12,600人ver) '!$AO$6:$AO$707,'[52]②配宿シュミレーション(12,600人ver) '!BC$6:BC$707,)</f>
        <v>1029</v>
      </c>
      <c r="AT35" s="279">
        <f>+_xlfn.XLOOKUP($AA35,'[52]②配宿シュミレーション(12,600人ver) '!$AO$6:$AO$707,'[52]②配宿シュミレーション(12,600人ver) '!BD$6:BD$707,)</f>
        <v>1029</v>
      </c>
      <c r="AU35" s="279">
        <f>+_xlfn.XLOOKUP($AA35,'[52]②配宿シュミレーション(12,600人ver) '!$AO$6:$AO$707,'[52]②配宿シュミレーション(12,600人ver) '!BE$6:BE$707,)</f>
        <v>1029</v>
      </c>
      <c r="AV35" s="279">
        <f>+_xlfn.XLOOKUP($AA35,'[52]②配宿シュミレーション(12,600人ver) '!$AO$6:$AO$707,'[52]②配宿シュミレーション(12,600人ver) '!BF$6:BF$707,)</f>
        <v>1029</v>
      </c>
      <c r="AW35" s="279">
        <f>+_xlfn.XLOOKUP($AA35,'[52]②配宿シュミレーション(12,600人ver) '!$AO$6:$AO$707,'[52]②配宿シュミレーション(12,600人ver) '!BG$6:BG$707,)</f>
        <v>1163</v>
      </c>
      <c r="AX35" s="279">
        <f>+_xlfn.XLOOKUP($AA35,'[52]②配宿シュミレーション(12,600人ver) '!$AO$6:$AO$707,'[52]②配宿シュミレーション(12,600人ver) '!BH$6:BH$707,)</f>
        <v>1163</v>
      </c>
      <c r="AY35" s="279">
        <f>+_xlfn.XLOOKUP($AA35,'[52]②配宿シュミレーション(12,600人ver) '!$AO$6:$AO$707,'[52]②配宿シュミレーション(12,600人ver) '!BI$6:BI$707,)</f>
        <v>1127</v>
      </c>
      <c r="AZ35" s="279">
        <f>+_xlfn.XLOOKUP($AA35,'[52]②配宿シュミレーション(12,600人ver) '!$AO$6:$AO$707,'[52]②配宿シュミレーション(12,600人ver) '!BJ$6:BJ$707,)</f>
        <v>1127</v>
      </c>
      <c r="BA35" s="279">
        <f>+_xlfn.XLOOKUP($AA35,'[52]②配宿シュミレーション(12,600人ver) '!$AO$6:$AO$707,'[52]②配宿シュミレーション(12,600人ver) '!BK$6:BK$707,)</f>
        <v>1127</v>
      </c>
      <c r="BB35" s="279">
        <f>+_xlfn.XLOOKUP($AA35,'[52]②配宿シュミレーション(12,600人ver) '!$AO$6:$AO$707,'[52]②配宿シュミレーション(12,600人ver) '!BL$6:BL$707,)</f>
        <v>1127</v>
      </c>
      <c r="BC35" s="279">
        <f>+_xlfn.XLOOKUP($AA35,'[52]②配宿シュミレーション(12,600人ver) '!$AO$6:$AO$707,'[52]②配宿シュミレーション(12,600人ver) '!BM$6:BM$707,)</f>
        <v>1127</v>
      </c>
      <c r="BD35" s="279">
        <f>+_xlfn.XLOOKUP($AA35,'[52]②配宿シュミレーション(12,600人ver) '!$AO$6:$AO$707,'[52]②配宿シュミレーション(12,600人ver) '!BN$6:BN$707,)</f>
        <v>1127</v>
      </c>
      <c r="BE35" s="279">
        <f>+_xlfn.XLOOKUP($AA35,'[52]②配宿シュミレーション(12,600人ver) '!$AO$6:$AO$707,'[52]②配宿シュミレーション(12,600人ver) '!BO$6:BO$707,)</f>
        <v>1127</v>
      </c>
      <c r="BF35" s="279">
        <f>+_xlfn.XLOOKUP($AA35,'[52]②配宿シュミレーション(12,600人ver) '!$AO$6:$AO$707,'[52]②配宿シュミレーション(12,600人ver) '!BP$6:BP$707,)</f>
        <v>1140</v>
      </c>
      <c r="BG35" s="279">
        <f>+_xlfn.XLOOKUP($AA35,'[52]②配宿シュミレーション(12,600人ver) '!$AO$6:$AO$707,'[52]②配宿シュミレーション(12,600人ver) '!BQ$6:BQ$707,)</f>
        <v>1006</v>
      </c>
      <c r="BH35" s="279">
        <f>+_xlfn.XLOOKUP($AA35,'[52]②配宿シュミレーション(12,600人ver) '!$AO$6:$AO$707,'[52]②配宿シュミレーション(12,600人ver) '!BR$6:BR$707,)</f>
        <v>1006</v>
      </c>
      <c r="BI35" s="279">
        <f>+_xlfn.XLOOKUP($AA35,'[52]②配宿シュミレーション(12,600人ver) '!$AO$6:$AO$707,'[52]②配宿シュミレーション(12,600人ver) '!BS$6:BS$707,)</f>
        <v>1006</v>
      </c>
      <c r="BJ35" s="279">
        <f>+_xlfn.XLOOKUP($AA35,'[52]②配宿シュミレーション(12,600人ver) '!$AO$6:$AO$707,'[52]②配宿シュミレーション(12,600人ver) '!BT$6:BT$707,)</f>
        <v>1006</v>
      </c>
      <c r="BK35" s="279">
        <f>+_xlfn.XLOOKUP($AA35,'[52]②配宿シュミレーション(12,600人ver) '!$AO$6:$AO$707,'[52]②配宿シュミレーション(12,600人ver) '!BU$6:BU$707,)</f>
        <v>13</v>
      </c>
      <c r="BL35" s="3306" t="s">
        <v>2448</v>
      </c>
      <c r="BM35" s="279">
        <f>+_xlfn.XLOOKUP($AA35,'[52]②配宿シュミレーション(12,600人ver) '!$AO$6:$AO$707,'[52]②配宿シュミレーション(12,600人ver) '!BW$6:BW$707,)</f>
        <v>0</v>
      </c>
      <c r="BN35" s="606">
        <f>+_xlfn.XLOOKUP($AA35,'[52]②配宿シュミレーション(12,600人ver) '!$AO$6:$AO$707,'[52]②配宿シュミレーション(12,600人ver) '!BX$6:BX$707,)</f>
        <v>0</v>
      </c>
      <c r="BO35" s="290"/>
      <c r="BP35" s="291"/>
      <c r="BQ35" s="292"/>
    </row>
    <row r="36" spans="1:69" ht="46" customHeight="1">
      <c r="A36" s="2862"/>
      <c r="B36" s="2863"/>
      <c r="C36" s="296"/>
      <c r="D36" s="297" t="str">
        <f>IF(_xlfn.XLOOKUP(E36,[52]宿泊施設DB!$B$3:$B$207,[52]宿泊施設DB!$A$3:$A$207,"",)=0,"",_xlfn.XLOOKUP(E36,[52]宿泊施設DB!$B$3:$B$207,[52]宿泊施設DB!$A$3:$A$207,"",))</f>
        <v/>
      </c>
      <c r="E36" s="298"/>
      <c r="F36" s="2864">
        <f>_xlfn.XLOOKUP($E36,[52]宿泊施設DB!$B$3:$B$207,[52]宿泊施設DB!$D$3:$D$207,"",)</f>
        <v>0</v>
      </c>
      <c r="G36" s="2864">
        <f>_xlfn.XLOOKUP($E36,[52]宿泊施設DB!$B$3:$B$207,[52]宿泊施設DB!$E$3:$E$207,"",)</f>
        <v>0</v>
      </c>
      <c r="H36" s="2865">
        <f>_xlfn.XLOOKUP($E36,[52]宿泊施設DB!$B$3:$B$207,[52]宿泊施設DB!$J$3:$J$207,"",)</f>
        <v>0</v>
      </c>
      <c r="I36" s="2866">
        <f>_xlfn.XLOOKUP($E36,[52]宿泊施設DB!$B$3:$B$207,[52]宿泊施設DB!$T$3:$T$207,"",)</f>
        <v>0</v>
      </c>
      <c r="J36" s="2866" t="s">
        <v>2265</v>
      </c>
      <c r="K36" s="2865">
        <f>_xlfn.XLOOKUP($E36,[52]宿泊施設DB!$B$3:$B$207,[52]宿泊施設DB!$S$3:$S$207,"",)</f>
        <v>0</v>
      </c>
      <c r="L36" s="2866">
        <f>_xlfn.XLOOKUP($E36,[52]宿泊施設DB!$B$3:$B$207,[52]宿泊施設DB!$U$3:$U$207,"",)</f>
        <v>0</v>
      </c>
      <c r="M36" s="2866">
        <f>_xlfn.XLOOKUP($E36,[52]宿泊施設DB!$B$3:$B$207,[52]宿泊施設DB!$V$3:$V$207,"",)</f>
        <v>0</v>
      </c>
      <c r="N36" s="2866">
        <f>_xlfn.XLOOKUP($E36,[52]宿泊施設DB!$B$3:$B$207,[52]宿泊施設DB!$W$3:$W$207,"",)</f>
        <v>0</v>
      </c>
      <c r="O36" s="2866">
        <f>_xlfn.XLOOKUP($E36,[52]宿泊施設DB!$B$3:$B$207,[52]宿泊施設DB!$X$3:$X$207,"",)</f>
        <v>0</v>
      </c>
      <c r="P36" s="302" t="str">
        <f t="shared" si="1"/>
        <v/>
      </c>
      <c r="Q36" s="296"/>
      <c r="R36" s="3328" t="s">
        <v>2462</v>
      </c>
      <c r="S36" s="313" t="str">
        <f>IFERROR(VLOOKUP($R36,'[52]競技情報DB(12,600人ver) '!$A$6:$D$203,2,),"－")</f>
        <v>名古屋市</v>
      </c>
      <c r="T36" s="314">
        <f>_xlfn.XLOOKUP(R36,'[52]競技情報DB(12,600人ver) '!$A$6:$A$101,'[52]競技情報DB(12,600人ver) '!$D$6:$D$101,"",0,)</f>
        <v>101</v>
      </c>
      <c r="U36" s="3307"/>
      <c r="V36" s="3308" t="str">
        <f>IFERROR(VLOOKUP($R36,'[52]競技情報DB(12,600人ver) '!$A$6:$D$203,3,),"－")</f>
        <v>名古屋市総合体育館［レインボープール］</v>
      </c>
      <c r="W36" s="3309">
        <v>34</v>
      </c>
      <c r="X36" s="3310">
        <v>34</v>
      </c>
      <c r="Y36" s="318"/>
      <c r="Z36" s="311"/>
      <c r="AA36" s="319"/>
      <c r="AB36" s="3311"/>
      <c r="AC36" s="3311"/>
      <c r="AD36" s="3312"/>
      <c r="AE36" s="320"/>
      <c r="AF36" s="321"/>
      <c r="AG36" s="321"/>
      <c r="AH36" s="321"/>
      <c r="AI36" s="321"/>
      <c r="AJ36" s="321"/>
      <c r="AK36" s="321"/>
      <c r="AL36" s="321"/>
      <c r="AM36" s="321"/>
      <c r="AN36" s="321"/>
      <c r="AO36" s="321"/>
      <c r="AP36" s="321"/>
      <c r="AQ36" s="321"/>
      <c r="AR36" s="321"/>
      <c r="AS36" s="321"/>
      <c r="AT36" s="321"/>
      <c r="AU36" s="321"/>
      <c r="AV36" s="321"/>
      <c r="AW36" s="321"/>
      <c r="AX36" s="321"/>
      <c r="AY36" s="321"/>
      <c r="AZ36" s="321"/>
      <c r="BA36" s="321"/>
      <c r="BB36" s="321"/>
      <c r="BC36" s="321"/>
      <c r="BD36" s="321"/>
      <c r="BE36" s="321"/>
      <c r="BF36" s="321"/>
      <c r="BG36" s="321"/>
      <c r="BH36" s="321"/>
      <c r="BI36" s="321"/>
      <c r="BJ36" s="321"/>
      <c r="BK36" s="321"/>
      <c r="BL36" s="321"/>
      <c r="BM36" s="321"/>
      <c r="BN36" s="507"/>
      <c r="BO36" s="290"/>
      <c r="BP36" s="332"/>
      <c r="BQ36" s="333"/>
    </row>
    <row r="37" spans="1:69" ht="46" customHeight="1">
      <c r="A37" s="2862"/>
      <c r="B37" s="2863"/>
      <c r="C37" s="296"/>
      <c r="D37" s="297"/>
      <c r="E37" s="298"/>
      <c r="F37" s="2864"/>
      <c r="G37" s="2864"/>
      <c r="H37" s="2865"/>
      <c r="I37" s="2866"/>
      <c r="J37" s="2866"/>
      <c r="K37" s="2865"/>
      <c r="L37" s="2866"/>
      <c r="M37" s="2866"/>
      <c r="N37" s="2866"/>
      <c r="O37" s="2866"/>
      <c r="P37" s="302" t="str">
        <f t="shared" si="1"/>
        <v/>
      </c>
      <c r="Q37" s="296"/>
      <c r="R37" s="413" t="s">
        <v>2518</v>
      </c>
      <c r="S37" s="313" t="str">
        <f>IFERROR(VLOOKUP($R37,'[52]競技情報DB(12,600人ver) '!$A$6:$D$203,2,),"－")</f>
        <v>－</v>
      </c>
      <c r="T37" s="314">
        <f>_xlfn.XLOOKUP(R37,'[52]競技情報DB(12,600人ver) '!$A$6:$A$101,'[52]競技情報DB(12,600人ver) '!$D$6:$D$101,"",0,)</f>
        <v>187</v>
      </c>
      <c r="U37" s="3307"/>
      <c r="V37" s="3308" t="str">
        <f>IFERROR(VLOOKUP($R37,'[52]競技情報DB(12,600人ver) '!$A$6:$D$203,3,),"－")</f>
        <v>－</v>
      </c>
      <c r="W37" s="3309">
        <v>39</v>
      </c>
      <c r="X37" s="3310">
        <v>35</v>
      </c>
      <c r="Y37" s="318"/>
      <c r="Z37" s="311"/>
      <c r="AA37" s="334"/>
      <c r="AB37" s="3302"/>
      <c r="AC37" s="3302"/>
      <c r="AD37" s="3303"/>
      <c r="AE37" s="335"/>
      <c r="AF37" s="33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336"/>
      <c r="BE37" s="336"/>
      <c r="BF37" s="336"/>
      <c r="BG37" s="336"/>
      <c r="BH37" s="336"/>
      <c r="BI37" s="336"/>
      <c r="BJ37" s="336"/>
      <c r="BK37" s="336"/>
      <c r="BL37" s="336"/>
      <c r="BM37" s="336"/>
      <c r="BN37" s="340"/>
      <c r="BO37" s="290"/>
      <c r="BP37" s="332"/>
      <c r="BQ37" s="333"/>
    </row>
    <row r="38" spans="1:69" ht="46" customHeight="1">
      <c r="A38" s="2862"/>
      <c r="B38" s="2863"/>
      <c r="C38" s="296"/>
      <c r="D38" s="297"/>
      <c r="E38" s="298"/>
      <c r="F38" s="2864"/>
      <c r="G38" s="2864"/>
      <c r="H38" s="2865"/>
      <c r="I38" s="2866"/>
      <c r="J38" s="2866"/>
      <c r="K38" s="2865"/>
      <c r="L38" s="2866"/>
      <c r="M38" s="2866"/>
      <c r="N38" s="2866"/>
      <c r="O38" s="2866"/>
      <c r="P38" s="302" t="str">
        <f t="shared" si="1"/>
        <v/>
      </c>
      <c r="Q38" s="296"/>
      <c r="R38" s="3314" t="s">
        <v>2519</v>
      </c>
      <c r="S38" s="459" t="str">
        <f>IFERROR(VLOOKUP($R38,'[52]競技情報DB(12,600人ver) '!$A$6:$D$203,2,),"－")</f>
        <v>－</v>
      </c>
      <c r="T38" s="460">
        <f>_xlfn.XLOOKUP(R38,'[52]競技情報DB(12,600人ver) '!$A$6:$A$101,'[52]競技情報DB(12,600人ver) '!$D$6:$D$101,"",0,)</f>
        <v>187</v>
      </c>
      <c r="U38" s="3307"/>
      <c r="V38" s="3315" t="str">
        <f>IFERROR(VLOOKUP($R38,'[52]競技情報DB(12,600人ver) '!$A$6:$D$203,3,),"－")</f>
        <v>－</v>
      </c>
      <c r="W38" s="3316">
        <v>39</v>
      </c>
      <c r="X38" s="3317">
        <v>35</v>
      </c>
      <c r="Y38" s="318"/>
      <c r="Z38" s="311"/>
      <c r="AA38" s="334"/>
      <c r="AB38" s="3302"/>
      <c r="AC38" s="3302"/>
      <c r="AD38" s="3303"/>
      <c r="AE38" s="335"/>
      <c r="AF38" s="33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336"/>
      <c r="BE38" s="336"/>
      <c r="BF38" s="336"/>
      <c r="BG38" s="336"/>
      <c r="BH38" s="336"/>
      <c r="BI38" s="336"/>
      <c r="BJ38" s="336"/>
      <c r="BK38" s="336"/>
      <c r="BL38" s="336"/>
      <c r="BM38" s="336"/>
      <c r="BN38" s="340"/>
      <c r="BO38" s="290"/>
      <c r="BP38" s="332"/>
      <c r="BQ38" s="333"/>
    </row>
    <row r="39" spans="1:69" ht="46" customHeight="1">
      <c r="A39" s="2862"/>
      <c r="B39" s="2863"/>
      <c r="C39" s="296"/>
      <c r="D39" s="297"/>
      <c r="E39" s="298"/>
      <c r="F39" s="2864"/>
      <c r="G39" s="2864"/>
      <c r="H39" s="2865"/>
      <c r="I39" s="2866"/>
      <c r="J39" s="2866"/>
      <c r="K39" s="2865"/>
      <c r="L39" s="2866"/>
      <c r="M39" s="2866"/>
      <c r="N39" s="2866"/>
      <c r="O39" s="2866"/>
      <c r="P39" s="302" t="str">
        <f t="shared" si="1"/>
        <v/>
      </c>
      <c r="Q39" s="296"/>
      <c r="R39" s="413" t="s">
        <v>2188</v>
      </c>
      <c r="S39" s="313" t="str">
        <f>IFERROR(VLOOKUP($R39,'[52]競技情報DB(12,600人ver) '!$A$6:$D$203,2,),"－")</f>
        <v>名古屋市</v>
      </c>
      <c r="T39" s="314">
        <f>_xlfn.XLOOKUP(R39,'[52]競技情報DB(12,600人ver) '!$A$6:$A$101,'[52]競技情報DB(12,600人ver) '!$D$6:$D$101,"",0,)</f>
        <v>134</v>
      </c>
      <c r="U39" s="3307"/>
      <c r="V39" s="3308" t="str">
        <f>IFERROR(VLOOKUP($R39,'[52]競技情報DB(12,600人ver) '!$A$6:$D$203,3,),"－")</f>
        <v>名古屋市総合体育館［レインボーホール］</v>
      </c>
      <c r="W39" s="3309">
        <v>33</v>
      </c>
      <c r="X39" s="3310">
        <v>31</v>
      </c>
      <c r="Y39" s="318"/>
      <c r="Z39" s="311"/>
      <c r="AA39" s="334"/>
      <c r="AB39" s="3302"/>
      <c r="AC39" s="3302"/>
      <c r="AD39" s="3303"/>
      <c r="AE39" s="335"/>
      <c r="AF39" s="33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336"/>
      <c r="BE39" s="336"/>
      <c r="BF39" s="336"/>
      <c r="BG39" s="336"/>
      <c r="BH39" s="336"/>
      <c r="BI39" s="336"/>
      <c r="BJ39" s="336"/>
      <c r="BK39" s="336"/>
      <c r="BL39" s="336"/>
      <c r="BM39" s="336"/>
      <c r="BN39" s="340"/>
      <c r="BO39" s="290"/>
      <c r="BP39" s="332"/>
      <c r="BQ39" s="333"/>
    </row>
    <row r="40" spans="1:69" ht="46" customHeight="1">
      <c r="A40" s="2862"/>
      <c r="B40" s="2863"/>
      <c r="C40" s="296"/>
      <c r="D40" s="297"/>
      <c r="E40" s="298"/>
      <c r="F40" s="2864"/>
      <c r="G40" s="2864"/>
      <c r="H40" s="2865"/>
      <c r="I40" s="2866"/>
      <c r="J40" s="2866"/>
      <c r="K40" s="2865"/>
      <c r="L40" s="2866"/>
      <c r="M40" s="2866"/>
      <c r="N40" s="2866"/>
      <c r="O40" s="2866"/>
      <c r="P40" s="302" t="str">
        <f t="shared" si="1"/>
        <v/>
      </c>
      <c r="Q40" s="296"/>
      <c r="R40" s="413" t="s">
        <v>2192</v>
      </c>
      <c r="S40" s="313" t="str">
        <f>IFERROR(VLOOKUP($R40,'[52]競技情報DB(12,600人ver) '!$A$6:$D$203,2,),"－")</f>
        <v>名古屋市</v>
      </c>
      <c r="T40" s="314">
        <f>_xlfn.XLOOKUP(R40,'[52]競技情報DB(12,600人ver) '!$A$6:$A$101,'[52]競技情報DB(12,600人ver) '!$D$6:$D$101,"",0,)</f>
        <v>36</v>
      </c>
      <c r="U40" s="3307"/>
      <c r="V40" s="3308" t="str">
        <f>IFERROR(VLOOKUP($R40,'[52]競技情報DB(12,600人ver) '!$A$6:$D$203,3,),"－")</f>
        <v>名古屋市総合体育館［レインボーホール］</v>
      </c>
      <c r="W40" s="3309">
        <v>33</v>
      </c>
      <c r="X40" s="3310">
        <v>31</v>
      </c>
      <c r="Y40" s="318"/>
      <c r="Z40" s="311"/>
      <c r="AA40" s="334"/>
      <c r="AB40" s="3302"/>
      <c r="AC40" s="3302"/>
      <c r="AD40" s="3303"/>
      <c r="AE40" s="335"/>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336"/>
      <c r="BE40" s="336"/>
      <c r="BF40" s="336"/>
      <c r="BG40" s="336"/>
      <c r="BH40" s="336"/>
      <c r="BI40" s="336"/>
      <c r="BJ40" s="336"/>
      <c r="BK40" s="336"/>
      <c r="BL40" s="336"/>
      <c r="BM40" s="336"/>
      <c r="BN40" s="340"/>
      <c r="BO40" s="290"/>
      <c r="BP40" s="332"/>
      <c r="BQ40" s="333"/>
    </row>
    <row r="41" spans="1:69" ht="46" customHeight="1">
      <c r="A41" s="2862"/>
      <c r="B41" s="2863"/>
      <c r="C41" s="296"/>
      <c r="D41" s="297"/>
      <c r="E41" s="298"/>
      <c r="F41" s="2864"/>
      <c r="G41" s="2864"/>
      <c r="H41" s="2865"/>
      <c r="I41" s="2866"/>
      <c r="J41" s="2866"/>
      <c r="K41" s="2865"/>
      <c r="L41" s="2866"/>
      <c r="M41" s="2866"/>
      <c r="N41" s="2866"/>
      <c r="O41" s="2866"/>
      <c r="P41" s="302" t="str">
        <f t="shared" si="1"/>
        <v/>
      </c>
      <c r="Q41" s="296"/>
      <c r="R41" s="413" t="s">
        <v>2520</v>
      </c>
      <c r="S41" s="313" t="str">
        <f>IFERROR(VLOOKUP($R41,'[52]競技情報DB(12,600人ver) '!$A$6:$D$203,2,),"－")</f>
        <v>名古屋市</v>
      </c>
      <c r="T41" s="314">
        <f>_xlfn.XLOOKUP(R41,'[52]競技情報DB(12,600人ver) '!$A$6:$A$101,'[52]競技情報DB(12,600人ver) '!$D$6:$D$101,"",0,)</f>
        <v>13</v>
      </c>
      <c r="U41" s="3307"/>
      <c r="V41" s="3308" t="str">
        <f>IFERROR(VLOOKUP($R41,'[52]競技情報DB(12,600人ver) '!$A$6:$D$203,3,),"－")</f>
        <v>名古屋市総合体育館［レインボーホール］</v>
      </c>
      <c r="W41" s="3309">
        <v>33</v>
      </c>
      <c r="X41" s="3310">
        <v>31</v>
      </c>
      <c r="Y41" s="318"/>
      <c r="Z41" s="311"/>
      <c r="AA41" s="334"/>
      <c r="AB41" s="3302"/>
      <c r="AC41" s="3302"/>
      <c r="AD41" s="3303"/>
      <c r="AE41" s="335"/>
      <c r="AF41" s="336"/>
      <c r="AG41" s="336"/>
      <c r="AH41" s="336"/>
      <c r="AI41" s="336"/>
      <c r="AJ41" s="336"/>
      <c r="AK41" s="336"/>
      <c r="AL41" s="336"/>
      <c r="AM41" s="336"/>
      <c r="AN41" s="336"/>
      <c r="AO41" s="336"/>
      <c r="AP41" s="336"/>
      <c r="AQ41" s="336"/>
      <c r="AR41" s="336"/>
      <c r="AS41" s="336"/>
      <c r="AT41" s="336"/>
      <c r="AU41" s="336"/>
      <c r="AV41" s="336"/>
      <c r="AW41" s="336"/>
      <c r="AX41" s="336"/>
      <c r="AY41" s="336"/>
      <c r="AZ41" s="336"/>
      <c r="BA41" s="336"/>
      <c r="BB41" s="336"/>
      <c r="BC41" s="336"/>
      <c r="BD41" s="336"/>
      <c r="BE41" s="336"/>
      <c r="BF41" s="336"/>
      <c r="BG41" s="336"/>
      <c r="BH41" s="336"/>
      <c r="BI41" s="336"/>
      <c r="BJ41" s="336"/>
      <c r="BK41" s="336"/>
      <c r="BL41" s="336"/>
      <c r="BM41" s="336"/>
      <c r="BN41" s="340"/>
      <c r="BO41" s="290"/>
      <c r="BP41" s="332"/>
      <c r="BQ41" s="333"/>
    </row>
    <row r="42" spans="1:69" ht="46" customHeight="1">
      <c r="A42" s="2862"/>
      <c r="B42" s="2863"/>
      <c r="C42" s="296"/>
      <c r="D42" s="297"/>
      <c r="E42" s="298"/>
      <c r="F42" s="2864"/>
      <c r="G42" s="2864"/>
      <c r="H42" s="2865"/>
      <c r="I42" s="2866"/>
      <c r="J42" s="2866"/>
      <c r="K42" s="2865"/>
      <c r="L42" s="2866"/>
      <c r="M42" s="2866"/>
      <c r="N42" s="2866"/>
      <c r="O42" s="2866"/>
      <c r="P42" s="302" t="str">
        <f t="shared" si="1"/>
        <v/>
      </c>
      <c r="Q42" s="296"/>
      <c r="R42" s="3349" t="s">
        <v>2189</v>
      </c>
      <c r="S42" s="528" t="str">
        <f>IFERROR(VLOOKUP($R42,'[52]競技情報DB(12,600人ver) '!$A$6:$D$203,2,),"－")</f>
        <v>名古屋市</v>
      </c>
      <c r="T42" s="529">
        <f>_xlfn.XLOOKUP(R42,'[52]競技情報DB(12,600人ver) '!$A$6:$A$101,'[52]競技情報DB(12,600人ver) '!$D$6:$D$101,"",0,)</f>
        <v>269</v>
      </c>
      <c r="U42" s="3307"/>
      <c r="V42" s="3350" t="str">
        <f>IFERROR(VLOOKUP($R42,'[52]競技情報DB(12,600人ver) '!$A$6:$D$203,3,),"－")</f>
        <v>名古屋市瑞穂公園体育館</v>
      </c>
      <c r="W42" s="3351">
        <v>41</v>
      </c>
      <c r="X42" s="3352">
        <v>41</v>
      </c>
      <c r="Y42" s="318"/>
      <c r="Z42" s="311"/>
      <c r="AA42" s="334"/>
      <c r="AB42" s="3302"/>
      <c r="AC42" s="3302"/>
      <c r="AD42" s="3303"/>
      <c r="AE42" s="335"/>
      <c r="AF42" s="336"/>
      <c r="AG42" s="336"/>
      <c r="AH42" s="336"/>
      <c r="AI42" s="336"/>
      <c r="AJ42" s="336"/>
      <c r="AK42" s="336"/>
      <c r="AL42" s="336"/>
      <c r="AM42" s="336"/>
      <c r="AN42" s="336"/>
      <c r="AO42" s="336"/>
      <c r="AP42" s="336"/>
      <c r="AQ42" s="336"/>
      <c r="AR42" s="336"/>
      <c r="AS42" s="336"/>
      <c r="AT42" s="336"/>
      <c r="AU42" s="336"/>
      <c r="AV42" s="336"/>
      <c r="AW42" s="336"/>
      <c r="AX42" s="336"/>
      <c r="AY42" s="336"/>
      <c r="AZ42" s="336"/>
      <c r="BA42" s="336"/>
      <c r="BB42" s="336"/>
      <c r="BC42" s="336"/>
      <c r="BD42" s="336"/>
      <c r="BE42" s="336"/>
      <c r="BF42" s="336"/>
      <c r="BG42" s="336"/>
      <c r="BH42" s="336"/>
      <c r="BI42" s="336"/>
      <c r="BJ42" s="336"/>
      <c r="BK42" s="336"/>
      <c r="BL42" s="336"/>
      <c r="BM42" s="336"/>
      <c r="BN42" s="340"/>
      <c r="BO42" s="290"/>
      <c r="BP42" s="332"/>
      <c r="BQ42" s="333"/>
    </row>
    <row r="43" spans="1:69" ht="46" customHeight="1">
      <c r="A43" s="2862"/>
      <c r="B43" s="2863"/>
      <c r="C43" s="296"/>
      <c r="D43" s="297" t="str">
        <f>IF(_xlfn.XLOOKUP(E43,[52]宿泊施設DB!$B$3:$B$207,[52]宿泊施設DB!$A$3:$A$207,"",)=0,"",_xlfn.XLOOKUP(E43,[52]宿泊施設DB!$B$3:$B$207,[52]宿泊施設DB!$A$3:$A$207,"",))</f>
        <v/>
      </c>
      <c r="E43" s="298"/>
      <c r="F43" s="2864">
        <f>_xlfn.XLOOKUP($E43,[52]宿泊施設DB!$B$3:$B$207,[52]宿泊施設DB!$D$3:$D$207,"",)</f>
        <v>0</v>
      </c>
      <c r="G43" s="2864">
        <f>_xlfn.XLOOKUP($E43,[52]宿泊施設DB!$B$3:$B$207,[52]宿泊施設DB!$E$3:$E$207,"",)</f>
        <v>0</v>
      </c>
      <c r="H43" s="2865">
        <f>_xlfn.XLOOKUP($E43,[52]宿泊施設DB!$B$3:$B$207,[52]宿泊施設DB!$J$3:$J$207,"",)</f>
        <v>0</v>
      </c>
      <c r="I43" s="2866">
        <f>_xlfn.XLOOKUP($E43,[52]宿泊施設DB!$B$3:$B$207,[52]宿泊施設DB!$T$3:$T$207,"",)</f>
        <v>0</v>
      </c>
      <c r="J43" s="2866">
        <f>_xlfn.XLOOKUP($E43,[52]宿泊施設DB!$B$3:$B$207,[52]宿泊施設DB!$R$3:$R$207,"",)</f>
        <v>0</v>
      </c>
      <c r="K43" s="2865">
        <f>_xlfn.XLOOKUP($E43,[52]宿泊施設DB!$B$3:$B$207,[52]宿泊施設DB!$S$3:$S$207,"",)</f>
        <v>0</v>
      </c>
      <c r="L43" s="2866">
        <f>_xlfn.XLOOKUP($E43,[52]宿泊施設DB!$B$3:$B$207,[52]宿泊施設DB!$U$3:$U$207,"",)</f>
        <v>0</v>
      </c>
      <c r="M43" s="2866">
        <f>_xlfn.XLOOKUP($E43,[52]宿泊施設DB!$B$3:$B$207,[52]宿泊施設DB!$V$3:$V$207,"",)</f>
        <v>0</v>
      </c>
      <c r="N43" s="2866">
        <f>_xlfn.XLOOKUP($E43,[52]宿泊施設DB!$B$3:$B$207,[52]宿泊施設DB!$W$3:$W$207,"",)</f>
        <v>0</v>
      </c>
      <c r="O43" s="2866">
        <f>_xlfn.XLOOKUP($E43,[52]宿泊施設DB!$B$3:$B$207,[52]宿泊施設DB!$X$3:$X$207,"",)</f>
        <v>0</v>
      </c>
      <c r="P43" s="302" t="str">
        <f t="shared" si="1"/>
        <v/>
      </c>
      <c r="Q43" s="296"/>
      <c r="R43" s="413" t="s">
        <v>2468</v>
      </c>
      <c r="S43" s="313" t="str">
        <f>IFERROR(VLOOKUP($R43,'[52]競技情報DB(12,600人ver) '!$A$6:$D$203,2,),"－")</f>
        <v>碧南市</v>
      </c>
      <c r="T43" s="314">
        <f>_xlfn.XLOOKUP(R43,'[52]競技情報DB(12,600人ver) '!$A$6:$A$101,'[52]競技情報DB(12,600人ver) '!$D$6:$D$101,"",0,)</f>
        <v>62</v>
      </c>
      <c r="U43" s="3307"/>
      <c r="V43" s="3308" t="str">
        <f>IFERROR(VLOOKUP($R43,'[52]競技情報DB(12,600人ver) '!$A$6:$D$203,3,),"－")</f>
        <v>碧南緑地ビーチコート</v>
      </c>
      <c r="W43" s="3309">
        <v>22</v>
      </c>
      <c r="X43" s="3310">
        <v>29</v>
      </c>
      <c r="Y43" s="318"/>
      <c r="Z43" s="311"/>
      <c r="AA43" s="334"/>
      <c r="AB43" s="3302"/>
      <c r="AC43" s="3302"/>
      <c r="AD43" s="3303"/>
      <c r="AE43" s="335"/>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36"/>
      <c r="BH43" s="336"/>
      <c r="BI43" s="336"/>
      <c r="BJ43" s="336"/>
      <c r="BK43" s="336"/>
      <c r="BL43" s="336"/>
      <c r="BM43" s="336"/>
      <c r="BN43" s="340"/>
      <c r="BO43" s="290"/>
      <c r="BP43" s="332"/>
      <c r="BQ43" s="333"/>
    </row>
    <row r="44" spans="1:69" ht="46" customHeight="1">
      <c r="A44" s="2862"/>
      <c r="B44" s="2863"/>
      <c r="C44" s="420"/>
      <c r="D44" s="421" t="str">
        <f>IF(_xlfn.XLOOKUP(E44,[52]宿泊施設DB!$B$3:$B$207,[52]宿泊施設DB!$A$3:$A$207,"",)=0,"",_xlfn.XLOOKUP(E44,[52]宿泊施設DB!$B$3:$B$207,[52]宿泊施設DB!$A$3:$A$207,"",))</f>
        <v/>
      </c>
      <c r="E44" s="422"/>
      <c r="F44" s="2875">
        <f>_xlfn.XLOOKUP($E44,[52]宿泊施設DB!$B$3:$B$207,[52]宿泊施設DB!$D$3:$D$207,"",)</f>
        <v>0</v>
      </c>
      <c r="G44" s="2875">
        <f>_xlfn.XLOOKUP($E44,[52]宿泊施設DB!$B$3:$B$207,[52]宿泊施設DB!$E$3:$E$207,"",)</f>
        <v>0</v>
      </c>
      <c r="H44" s="2877">
        <f>_xlfn.XLOOKUP($E44,[52]宿泊施設DB!$B$3:$B$207,[52]宿泊施設DB!$J$3:$J$207,"",)</f>
        <v>0</v>
      </c>
      <c r="I44" s="2878">
        <f>_xlfn.XLOOKUP($E44,[52]宿泊施設DB!$B$3:$B$207,[52]宿泊施設DB!$T$3:$T$207,"",)</f>
        <v>0</v>
      </c>
      <c r="J44" s="2878">
        <f>_xlfn.XLOOKUP($E44,[52]宿泊施設DB!$B$3:$B$207,[52]宿泊施設DB!$R$3:$R$207,"",)</f>
        <v>0</v>
      </c>
      <c r="K44" s="2877">
        <f>_xlfn.XLOOKUP($E44,[52]宿泊施設DB!$B$3:$B$207,[52]宿泊施設DB!$S$3:$S$207,"",)</f>
        <v>0</v>
      </c>
      <c r="L44" s="2878">
        <f>_xlfn.XLOOKUP($E44,[52]宿泊施設DB!$B$3:$B$207,[52]宿泊施設DB!$U$3:$U$207,"",)</f>
        <v>0</v>
      </c>
      <c r="M44" s="2878">
        <f>_xlfn.XLOOKUP($E44,[52]宿泊施設DB!$B$3:$B$207,[52]宿泊施設DB!$V$3:$V$207,"",)</f>
        <v>0</v>
      </c>
      <c r="N44" s="2878">
        <f>_xlfn.XLOOKUP($E44,[52]宿泊施設DB!$B$3:$B$207,[52]宿泊施設DB!$W$3:$W$207,"",)</f>
        <v>0</v>
      </c>
      <c r="O44" s="2878">
        <f>_xlfn.XLOOKUP($E44,[52]宿泊施設DB!$B$3:$B$207,[52]宿泊施設DB!$X$3:$X$207,"",)</f>
        <v>0</v>
      </c>
      <c r="P44" s="426" t="str">
        <f t="shared" si="1"/>
        <v/>
      </c>
      <c r="Q44" s="420"/>
      <c r="R44" s="714" t="s">
        <v>2469</v>
      </c>
      <c r="S44" s="437" t="str">
        <f>IFERROR(VLOOKUP($R44,'[52]競技情報DB(12,600人ver) '!$A$6:$D$203,2,),"－")</f>
        <v>碧南市</v>
      </c>
      <c r="T44" s="438">
        <f>_xlfn.XLOOKUP(R44,'[52]競技情報DB(12,600人ver) '!$A$6:$A$101,'[52]競技情報DB(12,600人ver) '!$D$6:$D$101,"",0,)</f>
        <v>52</v>
      </c>
      <c r="U44" s="3342"/>
      <c r="V44" s="3353" t="str">
        <f>IFERROR(VLOOKUP($R44,'[52]競技情報DB(12,600人ver) '!$A$6:$D$203,3,),"－")</f>
        <v>碧南緑地ビーチコート</v>
      </c>
      <c r="W44" s="3354">
        <v>22</v>
      </c>
      <c r="X44" s="3355">
        <v>29</v>
      </c>
      <c r="Y44" s="442"/>
      <c r="Z44" s="435"/>
      <c r="AA44" s="534"/>
      <c r="AB44" s="3318"/>
      <c r="AC44" s="3318"/>
      <c r="AD44" s="3319"/>
      <c r="AE44" s="444"/>
      <c r="AF44" s="445"/>
      <c r="AG44" s="445"/>
      <c r="AH44" s="445"/>
      <c r="AI44" s="445"/>
      <c r="AJ44" s="445"/>
      <c r="AK44" s="445"/>
      <c r="AL44" s="445"/>
      <c r="AM44" s="445"/>
      <c r="AN44" s="445"/>
      <c r="AO44" s="445"/>
      <c r="AP44" s="445"/>
      <c r="AQ44" s="445"/>
      <c r="AR44" s="445"/>
      <c r="AS44" s="445"/>
      <c r="AT44" s="445"/>
      <c r="AU44" s="445"/>
      <c r="AV44" s="445"/>
      <c r="AW44" s="445"/>
      <c r="AX44" s="445"/>
      <c r="AY44" s="445"/>
      <c r="AZ44" s="445"/>
      <c r="BA44" s="445"/>
      <c r="BB44" s="445"/>
      <c r="BC44" s="445"/>
      <c r="BD44" s="445"/>
      <c r="BE44" s="445"/>
      <c r="BF44" s="445"/>
      <c r="BG44" s="445"/>
      <c r="BH44" s="445"/>
      <c r="BI44" s="445"/>
      <c r="BJ44" s="445"/>
      <c r="BK44" s="445"/>
      <c r="BL44" s="445"/>
      <c r="BM44" s="445"/>
      <c r="BN44" s="449"/>
      <c r="BO44" s="290"/>
      <c r="BP44" s="450"/>
      <c r="BQ44" s="451"/>
    </row>
    <row r="45" spans="1:69" ht="46" customHeight="1">
      <c r="A45" s="2862"/>
      <c r="B45" s="2863"/>
      <c r="C45" s="296">
        <f>C35+1</f>
        <v>7</v>
      </c>
      <c r="D45" s="297">
        <f>IF(_xlfn.XLOOKUP(E45,[52]宿泊施設DB!$B$3:$B$207,[52]宿泊施設DB!$A$3:$A$207,"",)=0,"",_xlfn.XLOOKUP(E45,[52]宿泊施設DB!$B$3:$B$207,[52]宿泊施設DB!$A$3:$A$207,"",))</f>
        <v>300</v>
      </c>
      <c r="E45" s="298" t="s">
        <v>2270</v>
      </c>
      <c r="F45" s="2864">
        <f>_xlfn.XLOOKUP($E45,[52]宿泊施設DB!$B$3:$B$207,[52]宿泊施設DB!$D$3:$D$207,"",)</f>
        <v>988</v>
      </c>
      <c r="G45" s="2908">
        <f>_xlfn.XLOOKUP($E45,[52]宿泊施設DB!$B$3:$B$207,[52]宿泊施設DB!$E$3:$E$207,"",)</f>
        <v>1014</v>
      </c>
      <c r="H45" s="2865">
        <f>_xlfn.XLOOKUP($E45,[52]宿泊施設DB!$B$3:$B$207,[52]宿泊施設DB!$J$3:$J$207,"",)</f>
        <v>1</v>
      </c>
      <c r="I45" s="2866" t="str">
        <f>_xlfn.XLOOKUP($E45,[52]宿泊施設DB!$B$3:$B$207,[52]宿泊施設DB!$T$3:$T$207,"",)</f>
        <v>高</v>
      </c>
      <c r="J45" s="2866" t="str">
        <f>_xlfn.XLOOKUP($E45,[52]宿泊施設DB!$B$3:$B$207,[52]宿泊施設DB!$R$3:$R$207,"",)</f>
        <v>ケータリング</v>
      </c>
      <c r="K45" s="2865">
        <f>_xlfn.XLOOKUP($E45,[52]宿泊施設DB!$B$3:$B$207,[52]宿泊施設DB!$S$3:$S$207,"",)</f>
        <v>180</v>
      </c>
      <c r="L45" s="2866" t="str">
        <f>_xlfn.XLOOKUP($E45,[52]宿泊施設DB!$B$3:$B$207,[52]宿泊施設DB!$U$3:$U$207,"",)</f>
        <v>－</v>
      </c>
      <c r="M45" s="2866" t="str">
        <f>_xlfn.XLOOKUP($E45,[52]宿泊施設DB!$B$3:$B$207,[52]宿泊施設DB!$V$3:$V$207,"",)</f>
        <v>－</v>
      </c>
      <c r="N45" s="2866" t="str">
        <f>_xlfn.XLOOKUP($E45,[52]宿泊施設DB!$B$3:$B$207,[52]宿泊施設DB!$W$3:$W$207,"",)</f>
        <v>○</v>
      </c>
      <c r="O45" s="2866" t="str">
        <f>_xlfn.XLOOKUP($E45,[52]宿泊施設DB!$B$3:$B$207,[52]宿泊施設DB!$X$3:$X$207,"",)</f>
        <v>玄関前（屋根無）1台</v>
      </c>
      <c r="P45" s="302" t="str">
        <f t="shared" si="1"/>
        <v>○</v>
      </c>
      <c r="Q45" s="296" t="s">
        <v>2136</v>
      </c>
      <c r="R45" s="703" t="s">
        <v>2471</v>
      </c>
      <c r="S45" s="487" t="str">
        <f>IFERROR(VLOOKUP($R45,'[52]競技情報DB(12,600人ver) '!$A$6:$D$203,2,),"－")</f>
        <v>東海市</v>
      </c>
      <c r="T45" s="488">
        <f>_xlfn.XLOOKUP(R45,'[52]競技情報DB(12,600人ver) '!$A$6:$A$101,'[52]競技情報DB(12,600人ver) '!$D$6:$D$101,"",0,)</f>
        <v>125</v>
      </c>
      <c r="U45" s="3307">
        <f>SUM(T45:T48)</f>
        <v>951</v>
      </c>
      <c r="V45" s="3350" t="str">
        <f>IFERROR(VLOOKUP($R45,'[52]競技情報DB(12,600人ver) '!$A$6:$D$203,3,),"－")</f>
        <v>東海市民体育館</v>
      </c>
      <c r="W45" s="3351">
        <v>22.4</v>
      </c>
      <c r="X45" s="3352">
        <v>29</v>
      </c>
      <c r="Y45" s="318">
        <f>$G45-MAX(AF45:BN45)</f>
        <v>63</v>
      </c>
      <c r="Z45" s="311">
        <f>+Y45/$G45</f>
        <v>6.2130177514792898E-2</v>
      </c>
      <c r="AA45" s="491" t="str">
        <f>E45&amp;"　"&amp;"合計"</f>
        <v>東横INN中部国際空港1　合計</v>
      </c>
      <c r="AB45" s="3325">
        <f>IFERROR(INDEX($AF$3:$BN$3, MATCH("準備", AF45:BN45, 0)), "")</f>
        <v>46277</v>
      </c>
      <c r="AC45" s="3325" cm="1">
        <f t="array" ref="AC45">IF(COUNTIF(AF45:BN45,"*撤去*")=0,"",INDEX(AF$3:BN$3,1,MAX(IF(AF45:BN45="撤去",COLUMN(AF45:BN45)-COLUMN(AF45)+1))))</f>
        <v>46297</v>
      </c>
      <c r="AD45" s="3326">
        <f>AC45-AB45</f>
        <v>20</v>
      </c>
      <c r="AE45" s="492" t="str">
        <f>+$AE$114</f>
        <v>12,600人</v>
      </c>
      <c r="AF45" s="493">
        <f>+_xlfn.XLOOKUP($AA45,'[52]②配宿シュミレーション(12,600人ver) '!$AO$6:$AO$707,'[52]②配宿シュミレーション(12,600人ver) '!AP$6:AP$707,)</f>
        <v>0</v>
      </c>
      <c r="AG45" s="493">
        <f>+_xlfn.XLOOKUP($AA45,'[52]②配宿シュミレーション(12,600人ver) '!$AO$6:$AO$707,'[52]②配宿シュミレーション(12,600人ver) '!AQ$6:AQ$707,)</f>
        <v>0</v>
      </c>
      <c r="AH45" s="493">
        <f>+_xlfn.XLOOKUP($AA45,'[52]②配宿シュミレーション(12,600人ver) '!$AO$6:$AO$707,'[52]②配宿シュミレーション(12,600人ver) '!AR$6:AR$707,)</f>
        <v>0</v>
      </c>
      <c r="AI45" s="493">
        <f>+_xlfn.XLOOKUP($AA45,'[52]②配宿シュミレーション(12,600人ver) '!$AO$6:$AO$707,'[52]②配宿シュミレーション(12,600人ver) '!AS$6:AS$707,)</f>
        <v>0</v>
      </c>
      <c r="AJ45" s="493">
        <f>+_xlfn.XLOOKUP($AA45,'[52]②配宿シュミレーション(12,600人ver) '!$AO$6:$AO$707,'[52]②配宿シュミレーション(12,600人ver) '!AT$6:AT$707,)</f>
        <v>0</v>
      </c>
      <c r="AK45" s="493">
        <f>+_xlfn.XLOOKUP($AA45,'[52]②配宿シュミレーション(12,600人ver) '!$AO$6:$AO$707,'[52]②配宿シュミレーション(12,600人ver) '!AU$6:AU$707,)</f>
        <v>0</v>
      </c>
      <c r="AL45" s="493">
        <f>+_xlfn.XLOOKUP($AA45,'[52]②配宿シュミレーション(12,600人ver) '!$AO$6:$AO$707,'[52]②配宿シュミレーション(12,600人ver) '!AV$6:AV$707,)</f>
        <v>0</v>
      </c>
      <c r="AM45" s="493">
        <f>+_xlfn.XLOOKUP($AA45,'[52]②配宿シュミレーション(12,600人ver) '!$AO$6:$AO$707,'[52]②配宿シュミレーション(12,600人ver) '!AW$6:AW$707,)</f>
        <v>0</v>
      </c>
      <c r="AN45" s="3327" t="s">
        <v>2447</v>
      </c>
      <c r="AO45" s="3327">
        <f>+_xlfn.XLOOKUP($AA45,'[52]②配宿シュミレーション(12,600人ver) '!$AO$6:$AO$707,'[52]②配宿シュミレーション(12,600人ver) '!AY$6:AY$707,)</f>
        <v>0</v>
      </c>
      <c r="AP45" s="493">
        <f>+_xlfn.XLOOKUP($AA45,'[52]②配宿シュミレーション(12,600人ver) '!$AO$6:$AO$707,'[52]②配宿シュミレーション(12,600人ver) '!AZ$6:AZ$707,)</f>
        <v>619</v>
      </c>
      <c r="AQ45" s="493">
        <f>+_xlfn.XLOOKUP($AA45,'[52]②配宿シュミレーション(12,600人ver) '!$AO$6:$AO$707,'[52]②配宿シュミレーション(12,600人ver) '!BA$6:BA$707,)</f>
        <v>619</v>
      </c>
      <c r="AR45" s="493">
        <f>+_xlfn.XLOOKUP($AA45,'[52]②配宿シュミレーション(12,600人ver) '!$AO$6:$AO$707,'[52]②配宿シュミレーション(12,600人ver) '!BB$6:BB$707,)</f>
        <v>951</v>
      </c>
      <c r="AS45" s="493">
        <f>+_xlfn.XLOOKUP($AA45,'[52]②配宿シュミレーション(12,600人ver) '!$AO$6:$AO$707,'[52]②配宿シュミレーション(12,600人ver) '!BC$6:BC$707,)</f>
        <v>951</v>
      </c>
      <c r="AT45" s="493">
        <f>+_xlfn.XLOOKUP($AA45,'[52]②配宿シュミレーション(12,600人ver) '!$AO$6:$AO$707,'[52]②配宿シュミレーション(12,600人ver) '!BD$6:BD$707,)</f>
        <v>951</v>
      </c>
      <c r="AU45" s="493">
        <f>+_xlfn.XLOOKUP($AA45,'[52]②配宿シュミレーション(12,600人ver) '!$AO$6:$AO$707,'[52]②配宿シュミレーション(12,600人ver) '!BE$6:BE$707,)</f>
        <v>951</v>
      </c>
      <c r="AV45" s="493">
        <f>+_xlfn.XLOOKUP($AA45,'[52]②配宿シュミレーション(12,600人ver) '!$AO$6:$AO$707,'[52]②配宿シュミレーション(12,600人ver) '!BF$6:BF$707,)</f>
        <v>951</v>
      </c>
      <c r="AW45" s="493">
        <f>+_xlfn.XLOOKUP($AA45,'[52]②配宿シュミレーション(12,600人ver) '!$AO$6:$AO$707,'[52]②配宿シュミレーション(12,600人ver) '!BG$6:BG$707,)</f>
        <v>951</v>
      </c>
      <c r="AX45" s="493">
        <f>+_xlfn.XLOOKUP($AA45,'[52]②配宿シュミレーション(12,600人ver) '!$AO$6:$AO$707,'[52]②配宿シュミレーション(12,600人ver) '!BH$6:BH$707,)</f>
        <v>951</v>
      </c>
      <c r="AY45" s="493">
        <f>+_xlfn.XLOOKUP($AA45,'[52]②配宿シュミレーション(12,600人ver) '!$AO$6:$AO$707,'[52]②配宿シュミレーション(12,600人ver) '!BI$6:BI$707,)</f>
        <v>951</v>
      </c>
      <c r="AZ45" s="493">
        <f>+_xlfn.XLOOKUP($AA45,'[52]②配宿シュミレーション(12,600人ver) '!$AO$6:$AO$707,'[52]②配宿シュミレーション(12,600人ver) '!BJ$6:BJ$707,)</f>
        <v>951</v>
      </c>
      <c r="BA45" s="493">
        <f>+_xlfn.XLOOKUP($AA45,'[52]②配宿シュミレーション(12,600人ver) '!$AO$6:$AO$707,'[52]②配宿シュミレーション(12,600人ver) '!BK$6:BK$707,)</f>
        <v>838</v>
      </c>
      <c r="BB45" s="493">
        <f>+_xlfn.XLOOKUP($AA45,'[52]②配宿シュミレーション(12,600人ver) '!$AO$6:$AO$707,'[52]②配宿シュミレーション(12,600人ver) '!BL$6:BL$707,)</f>
        <v>838</v>
      </c>
      <c r="BC45" s="493">
        <f>+_xlfn.XLOOKUP($AA45,'[52]②配宿シュミレーション(12,600人ver) '!$AO$6:$AO$707,'[52]②配宿シュミレーション(12,600人ver) '!BM$6:BM$707,)</f>
        <v>619</v>
      </c>
      <c r="BD45" s="493">
        <f>+_xlfn.XLOOKUP($AA45,'[52]②配宿シュミレーション(12,600人ver) '!$AO$6:$AO$707,'[52]②配宿シュミレーション(12,600人ver) '!BN$6:BN$707,)</f>
        <v>619</v>
      </c>
      <c r="BE45" s="493">
        <f>+_xlfn.XLOOKUP($AA45,'[52]②配宿シュミレーション(12,600人ver) '!$AO$6:$AO$707,'[52]②配宿シュミレーション(12,600人ver) '!BO$6:BO$707,)</f>
        <v>619</v>
      </c>
      <c r="BF45" s="493">
        <f>+_xlfn.XLOOKUP($AA45,'[52]②配宿シュミレーション(12,600人ver) '!$AO$6:$AO$707,'[52]②配宿シュミレーション(12,600人ver) '!BP$6:BP$707,)</f>
        <v>619</v>
      </c>
      <c r="BG45" s="493">
        <f>+_xlfn.XLOOKUP($AA45,'[52]②配宿シュミレーション(12,600人ver) '!$AO$6:$AO$707,'[52]②配宿シュミレーション(12,600人ver) '!BQ$6:BQ$707,)</f>
        <v>619</v>
      </c>
      <c r="BH45" s="3306" t="s">
        <v>2448</v>
      </c>
      <c r="BI45" s="493">
        <f>+_xlfn.XLOOKUP($AA45,'[52]②配宿シュミレーション(12,600人ver) '!$AO$6:$AO$707,'[52]②配宿シュミレーション(12,600人ver) '!BS$6:BS$707,)</f>
        <v>0</v>
      </c>
      <c r="BJ45" s="493">
        <f>+_xlfn.XLOOKUP($AA45,'[52]②配宿シュミレーション(12,600人ver) '!$AO$6:$AO$707,'[52]②配宿シュミレーション(12,600人ver) '!BT$6:BT$707,)</f>
        <v>0</v>
      </c>
      <c r="BK45" s="493">
        <f>+_xlfn.XLOOKUP($AA45,'[52]②配宿シュミレーション(12,600人ver) '!$AO$6:$AO$707,'[52]②配宿シュミレーション(12,600人ver) '!BU$6:BU$707,)</f>
        <v>0</v>
      </c>
      <c r="BL45" s="493">
        <f>+_xlfn.XLOOKUP($AA45,'[52]②配宿シュミレーション(12,600人ver) '!$AO$6:$AO$707,'[52]②配宿シュミレーション(12,600人ver) '!BV$6:BV$707,)</f>
        <v>0</v>
      </c>
      <c r="BM45" s="493">
        <f>+_xlfn.XLOOKUP($AA45,'[52]②配宿シュミレーション(12,600人ver) '!$AO$6:$AO$707,'[52]②配宿シュミレーション(12,600人ver) '!BW$6:BW$707,)</f>
        <v>0</v>
      </c>
      <c r="BN45" s="499">
        <f>+_xlfn.XLOOKUP($AA45,'[52]②配宿シュミレーション(12,600人ver) '!$AO$6:$AO$707,'[52]②配宿シュミレーション(12,600人ver) '!BX$6:BX$707,)</f>
        <v>0</v>
      </c>
      <c r="BO45" s="290"/>
      <c r="BP45" s="332"/>
      <c r="BQ45" s="333"/>
    </row>
    <row r="46" spans="1:69" s="521" customFormat="1" ht="46" customHeight="1" thickBot="1">
      <c r="A46" s="2862"/>
      <c r="B46" s="2863"/>
      <c r="C46" s="296"/>
      <c r="D46" s="297" t="str">
        <f>IF(_xlfn.XLOOKUP(E46,[52]宿泊施設DB!$B$3:$B$207,[52]宿泊施設DB!$A$3:$A$207,"",)=0,"",_xlfn.XLOOKUP(E46,[52]宿泊施設DB!$B$3:$B$207,[52]宿泊施設DB!$A$3:$A$207,"",))</f>
        <v/>
      </c>
      <c r="E46" s="298"/>
      <c r="F46" s="2864">
        <f>_xlfn.XLOOKUP($E46,[52]宿泊施設DB!$B$3:$B$207,[52]宿泊施設DB!$D$3:$D$207,"",)</f>
        <v>0</v>
      </c>
      <c r="G46" s="2864">
        <f>_xlfn.XLOOKUP($E46,[52]宿泊施設DB!$B$3:$B$207,[52]宿泊施設DB!$E$3:$E$207,"",)</f>
        <v>0</v>
      </c>
      <c r="H46" s="2865">
        <f>_xlfn.XLOOKUP($E46,[52]宿泊施設DB!$B$3:$B$207,[52]宿泊施設DB!$J$3:$J$207,"",)</f>
        <v>0</v>
      </c>
      <c r="I46" s="2866">
        <f>_xlfn.XLOOKUP($E46,[52]宿泊施設DB!$B$3:$B$207,[52]宿泊施設DB!$T$3:$T$207,"",)</f>
        <v>0</v>
      </c>
      <c r="J46" s="2866" t="s">
        <v>2265</v>
      </c>
      <c r="K46" s="2865">
        <f>_xlfn.XLOOKUP($E46,[52]宿泊施設DB!$B$3:$B$207,[52]宿泊施設DB!$S$3:$S$207,"",)</f>
        <v>0</v>
      </c>
      <c r="L46" s="2866">
        <f>_xlfn.XLOOKUP($E46,[52]宿泊施設DB!$B$3:$B$207,[52]宿泊施設DB!$U$3:$U$207,"",)</f>
        <v>0</v>
      </c>
      <c r="M46" s="2866">
        <f>_xlfn.XLOOKUP($E46,[52]宿泊施設DB!$B$3:$B$207,[52]宿泊施設DB!$V$3:$V$207,"",)</f>
        <v>0</v>
      </c>
      <c r="N46" s="2866">
        <f>_xlfn.XLOOKUP($E46,[52]宿泊施設DB!$B$3:$B$207,[52]宿泊施設DB!$W$3:$W$207,"",)</f>
        <v>0</v>
      </c>
      <c r="O46" s="2866">
        <f>_xlfn.XLOOKUP($E46,[52]宿泊施設DB!$B$3:$B$207,[52]宿泊施設DB!$X$3:$X$207,"",)</f>
        <v>0</v>
      </c>
      <c r="P46" s="302" t="str">
        <f t="shared" si="1"/>
        <v/>
      </c>
      <c r="Q46" s="296"/>
      <c r="R46" s="413" t="s">
        <v>2472</v>
      </c>
      <c r="S46" s="313" t="str">
        <f>IFERROR(VLOOKUP($R46,'[52]競技情報DB(12,600人ver) '!$A$6:$D$203,2,),"－")</f>
        <v>東海市</v>
      </c>
      <c r="T46" s="314">
        <f>_xlfn.XLOOKUP(R46,'[52]競技情報DB(12,600人ver) '!$A$6:$A$101,'[52]競技情報DB(12,600人ver) '!$D$6:$D$101,"",0,)</f>
        <v>94</v>
      </c>
      <c r="U46" s="3307"/>
      <c r="V46" s="3308" t="str">
        <f>IFERROR(VLOOKUP($R46,'[52]競技情報DB(12,600人ver) '!$A$6:$D$203,3,),"－")</f>
        <v>東海市民体育館</v>
      </c>
      <c r="W46" s="3309">
        <v>22.4</v>
      </c>
      <c r="X46" s="3310">
        <v>29</v>
      </c>
      <c r="Y46" s="318"/>
      <c r="Z46" s="311"/>
      <c r="AA46" s="319"/>
      <c r="AB46" s="3311"/>
      <c r="AC46" s="3311"/>
      <c r="AD46" s="3312"/>
      <c r="AE46" s="320"/>
      <c r="AF46" s="321"/>
      <c r="AG46" s="321"/>
      <c r="AH46" s="321"/>
      <c r="AI46" s="321"/>
      <c r="AJ46" s="321"/>
      <c r="AK46" s="321"/>
      <c r="AL46" s="321"/>
      <c r="AM46" s="321"/>
      <c r="AN46" s="321"/>
      <c r="AO46" s="321"/>
      <c r="AP46" s="321"/>
      <c r="AQ46" s="321"/>
      <c r="AR46" s="321"/>
      <c r="AS46" s="321"/>
      <c r="AT46" s="321"/>
      <c r="AU46" s="321"/>
      <c r="AV46" s="321"/>
      <c r="AW46" s="321"/>
      <c r="AX46" s="321"/>
      <c r="AY46" s="321"/>
      <c r="AZ46" s="321"/>
      <c r="BA46" s="321"/>
      <c r="BB46" s="321"/>
      <c r="BC46" s="321"/>
      <c r="BD46" s="321"/>
      <c r="BE46" s="321"/>
      <c r="BF46" s="321"/>
      <c r="BG46" s="321"/>
      <c r="BH46" s="321"/>
      <c r="BI46" s="321"/>
      <c r="BJ46" s="321"/>
      <c r="BK46" s="321"/>
      <c r="BL46" s="321"/>
      <c r="BM46" s="321"/>
      <c r="BN46" s="507"/>
      <c r="BO46" s="290"/>
      <c r="BP46" s="332"/>
      <c r="BQ46" s="333"/>
    </row>
    <row r="47" spans="1:69" ht="46" customHeight="1">
      <c r="A47" s="2862"/>
      <c r="B47" s="2863"/>
      <c r="C47" s="296"/>
      <c r="D47" s="297"/>
      <c r="E47" s="298"/>
      <c r="F47" s="2864"/>
      <c r="G47" s="2864"/>
      <c r="H47" s="2865"/>
      <c r="I47" s="2866"/>
      <c r="J47" s="2866"/>
      <c r="K47" s="2865"/>
      <c r="L47" s="2866"/>
      <c r="M47" s="2866"/>
      <c r="N47" s="2866"/>
      <c r="O47" s="2866"/>
      <c r="P47" s="302" t="str">
        <f t="shared" si="1"/>
        <v/>
      </c>
      <c r="Q47" s="296"/>
      <c r="R47" s="3314" t="s">
        <v>2202</v>
      </c>
      <c r="S47" s="459" t="str">
        <f>IFERROR(VLOOKUP($R47,'[52]競技情報DB(12,600人ver) '!$A$6:$D$203,2,),"－")</f>
        <v>名古屋市</v>
      </c>
      <c r="T47" s="460">
        <f>_xlfn.XLOOKUP(R47,'[52]競技情報DB(12,600人ver) '!$A$6:$A$101,'[52]競技情報DB(12,600人ver) '!$D$6:$D$101,"",0,)</f>
        <v>113</v>
      </c>
      <c r="U47" s="3307"/>
      <c r="V47" s="3315" t="str">
        <f>IFERROR(VLOOKUP($R47,'[52]競技情報DB(12,600人ver) '!$A$6:$D$203,3,),"－")</f>
        <v>名古屋市東山公園テニスセンター</v>
      </c>
      <c r="W47" s="3316">
        <v>43</v>
      </c>
      <c r="X47" s="3317">
        <v>38</v>
      </c>
      <c r="Y47" s="318"/>
      <c r="Z47" s="311"/>
      <c r="AA47" s="334"/>
      <c r="AB47" s="3302"/>
      <c r="AC47" s="3302"/>
      <c r="AD47" s="3303"/>
      <c r="AE47" s="335"/>
      <c r="AF47" s="336"/>
      <c r="AG47" s="336"/>
      <c r="AH47" s="336"/>
      <c r="AI47" s="336"/>
      <c r="AJ47" s="336"/>
      <c r="AK47" s="336"/>
      <c r="AL47" s="336"/>
      <c r="AM47" s="336"/>
      <c r="AN47" s="336"/>
      <c r="AO47" s="336"/>
      <c r="AP47" s="336"/>
      <c r="AQ47" s="336"/>
      <c r="AR47" s="336"/>
      <c r="AS47" s="336"/>
      <c r="AT47" s="336"/>
      <c r="AU47" s="336"/>
      <c r="AV47" s="336"/>
      <c r="AW47" s="336"/>
      <c r="AX47" s="336"/>
      <c r="AY47" s="336"/>
      <c r="AZ47" s="336"/>
      <c r="BA47" s="336"/>
      <c r="BB47" s="336"/>
      <c r="BC47" s="336"/>
      <c r="BD47" s="336"/>
      <c r="BE47" s="336"/>
      <c r="BF47" s="336"/>
      <c r="BG47" s="336"/>
      <c r="BH47" s="336"/>
      <c r="BI47" s="336"/>
      <c r="BJ47" s="336"/>
      <c r="BK47" s="336"/>
      <c r="BL47" s="336"/>
      <c r="BM47" s="336"/>
      <c r="BN47" s="340"/>
      <c r="BO47" s="290"/>
      <c r="BP47" s="332"/>
      <c r="BQ47" s="333"/>
    </row>
    <row r="48" spans="1:69" ht="46" customHeight="1">
      <c r="A48" s="2862"/>
      <c r="B48" s="2863"/>
      <c r="C48" s="296"/>
      <c r="D48" s="297"/>
      <c r="E48" s="298"/>
      <c r="F48" s="2864"/>
      <c r="G48" s="2864"/>
      <c r="H48" s="2865"/>
      <c r="I48" s="2866"/>
      <c r="J48" s="2866"/>
      <c r="K48" s="2865"/>
      <c r="L48" s="2866"/>
      <c r="M48" s="2866"/>
      <c r="N48" s="2866"/>
      <c r="O48" s="2866"/>
      <c r="P48" s="302"/>
      <c r="Q48" s="296"/>
      <c r="R48" s="714" t="s">
        <v>2266</v>
      </c>
      <c r="S48" s="437" t="str">
        <f>IFERROR(VLOOKUP($R48,'[52]競技情報DB(12,600人ver) '!$A$6:$D$203,2,),"－")</f>
        <v>常滑市</v>
      </c>
      <c r="T48" s="438">
        <f>_xlfn.XLOOKUP(R48,'[52]競技情報DB(12,600人ver) '!$A$6:$A$101,'[52]競技情報DB(12,600人ver) '!$D$6:$D$101,"",0,)</f>
        <v>619</v>
      </c>
      <c r="U48" s="3356"/>
      <c r="V48" s="3353" t="str">
        <f>IFERROR(VLOOKUP($R48,'[52]競技情報DB(12,600人ver) '!$A$6:$D$203,3,),"－")</f>
        <v>愛知県国際展示場［Aichi Sky Expo］</v>
      </c>
      <c r="W48" s="3354">
        <v>1</v>
      </c>
      <c r="X48" s="3355">
        <v>2</v>
      </c>
      <c r="Y48" s="318"/>
      <c r="Z48" s="311"/>
      <c r="AA48" s="334"/>
      <c r="AB48" s="3302"/>
      <c r="AC48" s="3302"/>
      <c r="AD48" s="3303"/>
      <c r="AE48" s="335"/>
      <c r="AF48" s="336"/>
      <c r="AG48" s="336"/>
      <c r="AH48" s="336"/>
      <c r="AI48" s="336"/>
      <c r="AJ48" s="336"/>
      <c r="AK48" s="336"/>
      <c r="AL48" s="336"/>
      <c r="AM48" s="336"/>
      <c r="AN48" s="336"/>
      <c r="AO48" s="336"/>
      <c r="AP48" s="336"/>
      <c r="AQ48" s="336"/>
      <c r="AR48" s="336"/>
      <c r="AS48" s="336"/>
      <c r="AT48" s="336"/>
      <c r="AU48" s="336"/>
      <c r="AV48" s="336"/>
      <c r="AW48" s="336"/>
      <c r="AX48" s="336"/>
      <c r="AY48" s="336"/>
      <c r="AZ48" s="336"/>
      <c r="BA48" s="336"/>
      <c r="BB48" s="336"/>
      <c r="BC48" s="336"/>
      <c r="BD48" s="336"/>
      <c r="BE48" s="336"/>
      <c r="BF48" s="336"/>
      <c r="BG48" s="336"/>
      <c r="BH48" s="336"/>
      <c r="BI48" s="336"/>
      <c r="BJ48" s="336"/>
      <c r="BK48" s="336"/>
      <c r="BL48" s="336"/>
      <c r="BM48" s="336"/>
      <c r="BN48" s="340"/>
      <c r="BO48" s="290"/>
      <c r="BP48" s="332"/>
      <c r="BQ48" s="333"/>
    </row>
    <row r="49" spans="1:69" ht="46" customHeight="1">
      <c r="A49" s="2862"/>
      <c r="B49" s="2863"/>
      <c r="C49" s="372">
        <f>C45+1</f>
        <v>8</v>
      </c>
      <c r="D49" s="2871">
        <f>IF(_xlfn.XLOOKUP(E49,[52]宿泊施設DB!$B$3:$B$207,[52]宿泊施設DB!$A$3:$A$207,"",)=0,"",_xlfn.XLOOKUP(E49,[52]宿泊施設DB!$B$3:$B$207,[52]宿泊施設DB!$A$3:$A$207,"",))</f>
        <v>301</v>
      </c>
      <c r="E49" s="373" t="s">
        <v>2521</v>
      </c>
      <c r="F49" s="2872">
        <f>_xlfn.XLOOKUP($E49,[52]宿泊施設DB!$B$3:$B$207,[52]宿泊施設DB!$D$3:$D$207,"",)</f>
        <v>347</v>
      </c>
      <c r="G49" s="3329">
        <f>_xlfn.XLOOKUP($E49,[52]宿泊施設DB!$B$3:$B$207,[52]宿泊施設DB!$E$3:$E$207,"",)</f>
        <v>505</v>
      </c>
      <c r="H49" s="2873">
        <f>_xlfn.XLOOKUP($E49,[52]宿泊施設DB!$B$3:$B$207,[52]宿泊施設DB!$J$3:$J$207,"",)</f>
        <v>0</v>
      </c>
      <c r="I49" s="2874" t="str">
        <f>_xlfn.XLOOKUP($E49,[52]宿泊施設DB!$B$3:$B$207,[52]宿泊施設DB!$T$3:$T$207,"",)</f>
        <v>高</v>
      </c>
      <c r="J49" s="2874" t="str">
        <f>_xlfn.XLOOKUP($E49,[52]宿泊施設DB!$B$3:$B$207,[52]宿泊施設DB!$R$3:$R$207,"",)</f>
        <v>ケータリング</v>
      </c>
      <c r="K49" s="2873">
        <f>_xlfn.XLOOKUP($E49,[52]宿泊施設DB!$B$3:$B$207,[52]宿泊施設DB!$S$3:$S$207,"",)</f>
        <v>100</v>
      </c>
      <c r="L49" s="2874" t="str">
        <f>_xlfn.XLOOKUP($E49,[52]宿泊施設DB!$B$3:$B$207,[52]宿泊施設DB!$U$3:$U$207,"",)</f>
        <v>○</v>
      </c>
      <c r="M49" s="2874" t="str">
        <f>_xlfn.XLOOKUP($E49,[52]宿泊施設DB!$B$3:$B$207,[52]宿泊施設DB!$V$3:$V$207,"",)</f>
        <v>－</v>
      </c>
      <c r="N49" s="2874" t="str">
        <f>_xlfn.XLOOKUP($E49,[52]宿泊施設DB!$B$3:$B$207,[52]宿泊施設DB!$W$3:$W$207,"",)</f>
        <v>○</v>
      </c>
      <c r="O49" s="2874" t="str">
        <f>_xlfn.XLOOKUP($E49,[52]宿泊施設DB!$B$3:$B$207,[52]宿泊施設DB!$X$3:$X$207,"",)</f>
        <v>路上2台</v>
      </c>
      <c r="P49" s="377" t="str">
        <f t="shared" ref="P49:P67" si="2">IF(AND(E49&lt;&gt;"", R49&lt;&gt;"－"), "○", "")</f>
        <v>○</v>
      </c>
      <c r="Q49" s="372" t="s">
        <v>2136</v>
      </c>
      <c r="R49" s="3349" t="s">
        <v>2522</v>
      </c>
      <c r="S49" s="528" t="str">
        <f>IFERROR(VLOOKUP($R49,'[52]競技情報DB(12,600人ver) '!$A$6:$D$203,2,),"－")</f>
        <v>常滑市</v>
      </c>
      <c r="T49" s="529">
        <f>_xlfn.XLOOKUP(R49,'[52]競技情報DB(12,600人ver) '!$A$6:$A$101,'[52]競技情報DB(12,600人ver) '!$D$6:$D$101,"",0,)</f>
        <v>49</v>
      </c>
      <c r="U49" s="3307">
        <f>SUM(T49:T52)</f>
        <v>409</v>
      </c>
      <c r="V49" s="3350" t="str">
        <f>IFERROR(VLOOKUP($R49,'[52]競技情報DB(12,600人ver) '!$A$6:$D$203,3,),"－")</f>
        <v>愛知県国際展示場［Aichi Sky Expo］</v>
      </c>
      <c r="W49" s="3351">
        <v>1</v>
      </c>
      <c r="X49" s="3352">
        <v>2</v>
      </c>
      <c r="Y49" s="393">
        <f>$G49-MAX(AF49:BN49)</f>
        <v>96</v>
      </c>
      <c r="Z49" s="394">
        <f>+Y49/$G49</f>
        <v>0.1900990099009901</v>
      </c>
      <c r="AA49" s="515" t="str">
        <f>E49&amp;"　"&amp;"合計"</f>
        <v>コンフォートホテル中部国際空港　合計</v>
      </c>
      <c r="AB49" s="3325">
        <f>IFERROR(INDEX($AF$3:$BN$3, MATCH("準備", AF49:BN49, 0)), "")</f>
        <v>46276</v>
      </c>
      <c r="AC49" s="3325" cm="1">
        <f t="array" ref="AC49">IF(COUNTIF(AF49:BN49,"*撤去*")=0,"",INDEX(AF$3:BN$3,1,MAX(IF(AF49:BN49="撤去",COLUMN(AF49:BN49)-COLUMN(AF49)+1))))</f>
        <v>46296</v>
      </c>
      <c r="AD49" s="3326">
        <f>AC49-AB49</f>
        <v>20</v>
      </c>
      <c r="AE49" s="396" t="str">
        <f>+$AE$114</f>
        <v>12,600人</v>
      </c>
      <c r="AF49" s="397">
        <f>+_xlfn.XLOOKUP($AA49,'[52]②配宿シュミレーション(12,600人ver) '!$AO$6:$AO$707,'[52]②配宿シュミレーション(12,600人ver) '!AP$6:AP$707,)</f>
        <v>0</v>
      </c>
      <c r="AG49" s="397">
        <f>+_xlfn.XLOOKUP($AA49,'[52]②配宿シュミレーション(12,600人ver) '!$AO$6:$AO$707,'[52]②配宿シュミレーション(12,600人ver) '!AQ$6:AQ$707,)</f>
        <v>0</v>
      </c>
      <c r="AH49" s="397">
        <f>+_xlfn.XLOOKUP($AA49,'[52]②配宿シュミレーション(12,600人ver) '!$AO$6:$AO$707,'[52]②配宿シュミレーション(12,600人ver) '!AR$6:AR$707,)</f>
        <v>0</v>
      </c>
      <c r="AI49" s="397">
        <f>+_xlfn.XLOOKUP($AA49,'[52]②配宿シュミレーション(12,600人ver) '!$AO$6:$AO$707,'[52]②配宿シュミレーション(12,600人ver) '!AS$6:AS$707,)</f>
        <v>0</v>
      </c>
      <c r="AJ49" s="397">
        <f>+_xlfn.XLOOKUP($AA49,'[52]②配宿シュミレーション(12,600人ver) '!$AO$6:$AO$707,'[52]②配宿シュミレーション(12,600人ver) '!AT$6:AT$707,)</f>
        <v>0</v>
      </c>
      <c r="AK49" s="397">
        <f>+_xlfn.XLOOKUP($AA49,'[52]②配宿シュミレーション(12,600人ver) '!$AO$6:$AO$707,'[52]②配宿シュミレーション(12,600人ver) '!AU$6:AU$707,)</f>
        <v>0</v>
      </c>
      <c r="AL49" s="397">
        <f>+_xlfn.XLOOKUP($AA49,'[52]②配宿シュミレーション(12,600人ver) '!$AO$6:$AO$707,'[52]②配宿シュミレーション(12,600人ver) '!AV$6:AV$707,)</f>
        <v>0</v>
      </c>
      <c r="AM49" s="3327" t="s">
        <v>2447</v>
      </c>
      <c r="AN49" s="3327">
        <f>+_xlfn.XLOOKUP($AA49,'[52]②配宿シュミレーション(12,600人ver) '!$AO$6:$AO$707,'[52]②配宿シュミレーション(12,600人ver) '!AX$6:AX$707,)</f>
        <v>0</v>
      </c>
      <c r="AO49" s="397">
        <f>+_xlfn.XLOOKUP($AA49,'[52]②配宿シュミレーション(12,600人ver) '!$AO$6:$AO$707,'[52]②配宿シュミレーション(12,600人ver) '!AY$6:AY$707,)</f>
        <v>36</v>
      </c>
      <c r="AP49" s="397">
        <f>+_xlfn.XLOOKUP($AA49,'[52]②配宿シュミレーション(12,600人ver) '!$AO$6:$AO$707,'[52]②配宿シュミレーション(12,600人ver) '!AZ$6:AZ$707,)</f>
        <v>36</v>
      </c>
      <c r="AQ49" s="397">
        <f>+_xlfn.XLOOKUP($AA49,'[52]②配宿シュミレーション(12,600人ver) '!$AO$6:$AO$707,'[52]②配宿シュミレーション(12,600人ver) '!BA$6:BA$707,)</f>
        <v>36</v>
      </c>
      <c r="AR49" s="397">
        <f>+_xlfn.XLOOKUP($AA49,'[52]②配宿シュミレーション(12,600人ver) '!$AO$6:$AO$707,'[52]②配宿シュミレーション(12,600人ver) '!BB$6:BB$707,)</f>
        <v>36</v>
      </c>
      <c r="AS49" s="397">
        <f>+_xlfn.XLOOKUP($AA49,'[52]②配宿シュミレーション(12,600人ver) '!$AO$6:$AO$707,'[52]②配宿シュミレーション(12,600人ver) '!BC$6:BC$707,)</f>
        <v>36</v>
      </c>
      <c r="AT49" s="397">
        <f>+_xlfn.XLOOKUP($AA49,'[52]②配宿シュミレーション(12,600人ver) '!$AO$6:$AO$707,'[52]②配宿シュミレーション(12,600人ver) '!BD$6:BD$707,)</f>
        <v>36</v>
      </c>
      <c r="AU49" s="397">
        <f>+_xlfn.XLOOKUP($AA49,'[52]②配宿シュミレーション(12,600人ver) '!$AO$6:$AO$707,'[52]②配宿シュミレーション(12,600人ver) '!BE$6:BE$707,)</f>
        <v>36</v>
      </c>
      <c r="AV49" s="397">
        <f>+_xlfn.XLOOKUP($AA49,'[52]②配宿シュミレーション(12,600人ver) '!$AO$6:$AO$707,'[52]②配宿シュミレーション(12,600人ver) '!BF$6:BF$707,)</f>
        <v>213</v>
      </c>
      <c r="AW49" s="397">
        <f>+_xlfn.XLOOKUP($AA49,'[52]②配宿シュミレーション(12,600人ver) '!$AO$6:$AO$707,'[52]②配宿シュミレーション(12,600人ver) '!BG$6:BG$707,)</f>
        <v>409</v>
      </c>
      <c r="AX49" s="397">
        <f>+_xlfn.XLOOKUP($AA49,'[52]②配宿シュミレーション(12,600人ver) '!$AO$6:$AO$707,'[52]②配宿シュミレーション(12,600人ver) '!BH$6:BH$707,)</f>
        <v>373</v>
      </c>
      <c r="AY49" s="397">
        <f>+_xlfn.XLOOKUP($AA49,'[52]②配宿シュミレーション(12,600人ver) '!$AO$6:$AO$707,'[52]②配宿シュミレーション(12,600人ver) '!BI$6:BI$707,)</f>
        <v>373</v>
      </c>
      <c r="AZ49" s="397">
        <f>+_xlfn.XLOOKUP($AA49,'[52]②配宿シュミレーション(12,600人ver) '!$AO$6:$AO$707,'[52]②配宿シュミレーション(12,600人ver) '!BJ$6:BJ$707,)</f>
        <v>373</v>
      </c>
      <c r="BA49" s="397">
        <f>+_xlfn.XLOOKUP($AA49,'[52]②配宿シュミレーション(12,600人ver) '!$AO$6:$AO$707,'[52]②配宿シュミレーション(12,600人ver) '!BK$6:BK$707,)</f>
        <v>373</v>
      </c>
      <c r="BB49" s="397">
        <f>+_xlfn.XLOOKUP($AA49,'[52]②配宿シュミレーション(12,600人ver) '!$AO$6:$AO$707,'[52]②配宿シュミレーション(12,600人ver) '!BL$6:BL$707,)</f>
        <v>373</v>
      </c>
      <c r="BC49" s="397">
        <f>+_xlfn.XLOOKUP($AA49,'[52]②配宿シュミレーション(12,600人ver) '!$AO$6:$AO$707,'[52]②配宿シュミレーション(12,600人ver) '!BM$6:BM$707,)</f>
        <v>373</v>
      </c>
      <c r="BD49" s="397">
        <f>+_xlfn.XLOOKUP($AA49,'[52]②配宿シュミレーション(12,600人ver) '!$AO$6:$AO$707,'[52]②配宿シュミレーション(12,600人ver) '!BN$6:BN$707,)</f>
        <v>373</v>
      </c>
      <c r="BE49" s="397">
        <f>+_xlfn.XLOOKUP($AA49,'[52]②配宿シュミレーション(12,600人ver) '!$AO$6:$AO$707,'[52]②配宿シュミレーション(12,600人ver) '!BO$6:BO$707,)</f>
        <v>177</v>
      </c>
      <c r="BF49" s="397">
        <f>+_xlfn.XLOOKUP($AA49,'[52]②配宿シュミレーション(12,600人ver) '!$AO$6:$AO$707,'[52]②配宿シュミレーション(12,600人ver) '!BP$6:BP$707,)</f>
        <v>177</v>
      </c>
      <c r="BG49" s="3306" t="s">
        <v>2448</v>
      </c>
      <c r="BH49" s="397">
        <f>+_xlfn.XLOOKUP($AA49,'[52]②配宿シュミレーション(12,600人ver) '!$AO$6:$AO$707,'[52]②配宿シュミレーション(12,600人ver) '!BR$6:BR$707,)</f>
        <v>0</v>
      </c>
      <c r="BI49" s="397">
        <f>+_xlfn.XLOOKUP($AA49,'[52]②配宿シュミレーション(12,600人ver) '!$AO$6:$AO$707,'[52]②配宿シュミレーション(12,600人ver) '!BS$6:BS$707,)</f>
        <v>0</v>
      </c>
      <c r="BJ49" s="397">
        <f>+_xlfn.XLOOKUP($AA49,'[52]②配宿シュミレーション(12,600人ver) '!$AO$6:$AO$707,'[52]②配宿シュミレーション(12,600人ver) '!BT$6:BT$707,)</f>
        <v>0</v>
      </c>
      <c r="BK49" s="397">
        <f>+_xlfn.XLOOKUP($AA49,'[52]②配宿シュミレーション(12,600人ver) '!$AO$6:$AO$707,'[52]②配宿シュミレーション(12,600人ver) '!BU$6:BU$707,)</f>
        <v>0</v>
      </c>
      <c r="BL49" s="397">
        <f>+_xlfn.XLOOKUP($AA49,'[52]②配宿シュミレーション(12,600人ver) '!$AO$6:$AO$707,'[52]②配宿シュミレーション(12,600人ver) '!BV$6:BV$707,)</f>
        <v>0</v>
      </c>
      <c r="BM49" s="397">
        <f>+_xlfn.XLOOKUP($AA49,'[52]②配宿シュミレーション(12,600人ver) '!$AO$6:$AO$707,'[52]②配宿シュミレーション(12,600人ver) '!BW$6:BW$707,)</f>
        <v>0</v>
      </c>
      <c r="BN49" s="472">
        <f>+_xlfn.XLOOKUP($AA49,'[52]②配宿シュミレーション(12,600人ver) '!$AO$6:$AO$707,'[52]②配宿シュミレーション(12,600人ver) '!BX$6:BX$707,)</f>
        <v>0</v>
      </c>
      <c r="BO49" s="290"/>
      <c r="BP49" s="332"/>
      <c r="BQ49" s="333"/>
    </row>
    <row r="50" spans="1:69" s="521" customFormat="1" ht="46" customHeight="1" thickBot="1">
      <c r="A50" s="2862"/>
      <c r="B50" s="2863"/>
      <c r="C50" s="296"/>
      <c r="D50" s="297" t="str">
        <f>IF(_xlfn.XLOOKUP(E50,[52]宿泊施設DB!$B$3:$B$207,[52]宿泊施設DB!$A$3:$A$207,"",)=0,"",_xlfn.XLOOKUP(E50,[52]宿泊施設DB!$B$3:$B$207,[52]宿泊施設DB!$A$3:$A$207,"",))</f>
        <v/>
      </c>
      <c r="E50" s="298"/>
      <c r="F50" s="2864">
        <f>_xlfn.XLOOKUP($E50,[52]宿泊施設DB!$B$3:$B$207,[52]宿泊施設DB!$D$3:$D$207,"",)</f>
        <v>0</v>
      </c>
      <c r="G50" s="2864">
        <f>_xlfn.XLOOKUP($E50,[52]宿泊施設DB!$B$3:$B$207,[52]宿泊施設DB!$E$3:$E$207,"",)</f>
        <v>0</v>
      </c>
      <c r="H50" s="2865">
        <f>_xlfn.XLOOKUP($E50,[52]宿泊施設DB!$B$3:$B$207,[52]宿泊施設DB!$J$3:$J$207,"",)</f>
        <v>0</v>
      </c>
      <c r="I50" s="2866">
        <f>_xlfn.XLOOKUP($E50,[52]宿泊施設DB!$B$3:$B$207,[52]宿泊施設DB!$T$3:$T$207,"",)</f>
        <v>0</v>
      </c>
      <c r="J50" s="2866" t="s">
        <v>2265</v>
      </c>
      <c r="K50" s="2865">
        <f>_xlfn.XLOOKUP($E50,[52]宿泊施設DB!$B$3:$B$207,[52]宿泊施設DB!$S$3:$S$207,"",)</f>
        <v>0</v>
      </c>
      <c r="L50" s="2866">
        <f>_xlfn.XLOOKUP($E50,[52]宿泊施設DB!$B$3:$B$207,[52]宿泊施設DB!$U$3:$U$207,"",)</f>
        <v>0</v>
      </c>
      <c r="M50" s="2866">
        <f>_xlfn.XLOOKUP($E50,[52]宿泊施設DB!$B$3:$B$207,[52]宿泊施設DB!$V$3:$V$207,"",)</f>
        <v>0</v>
      </c>
      <c r="N50" s="2866">
        <f>_xlfn.XLOOKUP($E50,[52]宿泊施設DB!$B$3:$B$207,[52]宿泊施設DB!$W$3:$W$207,"",)</f>
        <v>0</v>
      </c>
      <c r="O50" s="2866">
        <f>_xlfn.XLOOKUP($E50,[52]宿泊施設DB!$B$3:$B$207,[52]宿泊施設DB!$X$3:$X$207,"",)</f>
        <v>0</v>
      </c>
      <c r="P50" s="302" t="str">
        <f t="shared" si="2"/>
        <v/>
      </c>
      <c r="Q50" s="296"/>
      <c r="R50" s="3328" t="s">
        <v>2523</v>
      </c>
      <c r="S50" s="313" t="str">
        <f>IFERROR(VLOOKUP($R50,'[52]競技情報DB(12,600人ver) '!$A$6:$D$203,2,),"－")</f>
        <v>名古屋市</v>
      </c>
      <c r="T50" s="314">
        <f>_xlfn.XLOOKUP(R50,'[52]競技情報DB(12,600人ver) '!$A$6:$A$101,'[52]競技情報DB(12,600人ver) '!$D$6:$D$101,"",0,)</f>
        <v>147</v>
      </c>
      <c r="U50" s="3307"/>
      <c r="V50" s="3308" t="str">
        <f>IFERROR(VLOOKUP($R50,'[52]競技情報DB(12,600人ver) '!$A$6:$D$203,3,),"－")</f>
        <v>愛知カンツリー俱楽部東山コース</v>
      </c>
      <c r="W50" s="3309">
        <v>45</v>
      </c>
      <c r="X50" s="3310">
        <v>45</v>
      </c>
      <c r="Y50" s="318"/>
      <c r="Z50" s="311"/>
      <c r="AA50" s="319"/>
      <c r="AB50" s="3311"/>
      <c r="AC50" s="3311"/>
      <c r="AD50" s="3312"/>
      <c r="AE50" s="320"/>
      <c r="AF50" s="321"/>
      <c r="AG50" s="321"/>
      <c r="AH50" s="321"/>
      <c r="AI50" s="321"/>
      <c r="AJ50" s="321"/>
      <c r="AK50" s="321"/>
      <c r="AL50" s="321"/>
      <c r="AM50" s="321"/>
      <c r="AN50" s="321"/>
      <c r="AO50" s="321"/>
      <c r="AP50" s="321"/>
      <c r="AQ50" s="321"/>
      <c r="AR50" s="321"/>
      <c r="AS50" s="321"/>
      <c r="AT50" s="321"/>
      <c r="AU50" s="321"/>
      <c r="AV50" s="321"/>
      <c r="AW50" s="321"/>
      <c r="AX50" s="321"/>
      <c r="AY50" s="321"/>
      <c r="AZ50" s="321"/>
      <c r="BA50" s="321"/>
      <c r="BB50" s="321"/>
      <c r="BC50" s="321"/>
      <c r="BD50" s="321"/>
      <c r="BE50" s="321"/>
      <c r="BF50" s="321"/>
      <c r="BG50" s="321"/>
      <c r="BH50" s="321"/>
      <c r="BI50" s="321"/>
      <c r="BJ50" s="321"/>
      <c r="BK50" s="321"/>
      <c r="BL50" s="321"/>
      <c r="BM50" s="321"/>
      <c r="BN50" s="507"/>
      <c r="BO50" s="290"/>
      <c r="BP50" s="332"/>
      <c r="BQ50" s="333"/>
    </row>
    <row r="51" spans="1:69" ht="46" customHeight="1">
      <c r="A51" s="2862"/>
      <c r="B51" s="2863"/>
      <c r="C51" s="296"/>
      <c r="D51" s="297"/>
      <c r="E51" s="298"/>
      <c r="F51" s="2864"/>
      <c r="G51" s="2864"/>
      <c r="H51" s="2865"/>
      <c r="I51" s="2866"/>
      <c r="J51" s="2866"/>
      <c r="K51" s="2865"/>
      <c r="L51" s="2866"/>
      <c r="M51" s="2866"/>
      <c r="N51" s="2866"/>
      <c r="O51" s="2866"/>
      <c r="P51" s="302" t="str">
        <f t="shared" si="2"/>
        <v/>
      </c>
      <c r="Q51" s="296"/>
      <c r="R51" s="3357" t="s">
        <v>2524</v>
      </c>
      <c r="S51" s="459" t="str">
        <f>IFERROR(VLOOKUP($R51,'[52]競技情報DB(12,600人ver) '!$A$6:$D$203,2,),"－")</f>
        <v>安城市</v>
      </c>
      <c r="T51" s="460">
        <f>_xlfn.XLOOKUP(R51,'[52]競技情報DB(12,600人ver) '!$A$6:$A$101,'[52]競技情報DB(12,600人ver) '!$D$6:$D$101,"",0,)</f>
        <v>177</v>
      </c>
      <c r="U51" s="3307"/>
      <c r="V51" s="3315" t="str">
        <f>IFERROR(VLOOKUP($R51,'[52]競技情報DB(12,600人ver) '!$A$6:$D$203,3,),"－")</f>
        <v>安城市総合公園ソフトボール場</v>
      </c>
      <c r="W51" s="3316">
        <v>34</v>
      </c>
      <c r="X51" s="3317">
        <v>37</v>
      </c>
      <c r="Y51" s="318"/>
      <c r="Z51" s="311"/>
      <c r="AA51" s="334"/>
      <c r="AB51" s="3302"/>
      <c r="AC51" s="3302"/>
      <c r="AD51" s="3303"/>
      <c r="AE51" s="335"/>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336"/>
      <c r="BC51" s="336"/>
      <c r="BD51" s="336"/>
      <c r="BE51" s="336"/>
      <c r="BF51" s="336"/>
      <c r="BG51" s="336"/>
      <c r="BH51" s="336"/>
      <c r="BI51" s="336"/>
      <c r="BJ51" s="336"/>
      <c r="BK51" s="336"/>
      <c r="BL51" s="336"/>
      <c r="BM51" s="336"/>
      <c r="BN51" s="340"/>
      <c r="BO51" s="290"/>
      <c r="BP51" s="332"/>
      <c r="BQ51" s="333"/>
    </row>
    <row r="52" spans="1:69" s="521" customFormat="1" ht="46" customHeight="1" thickBot="1">
      <c r="A52" s="2862"/>
      <c r="B52" s="2863"/>
      <c r="C52" s="296"/>
      <c r="D52" s="297" t="str">
        <f>IF(_xlfn.XLOOKUP(E52,[52]宿泊施設DB!$B$3:$B$207,[52]宿泊施設DB!$A$3:$A$207,"",)=0,"",_xlfn.XLOOKUP(E52,[52]宿泊施設DB!$B$3:$B$207,[52]宿泊施設DB!$A$3:$A$207,"",))</f>
        <v/>
      </c>
      <c r="E52" s="298"/>
      <c r="F52" s="2864">
        <f>_xlfn.XLOOKUP($E52,[52]宿泊施設DB!$B$3:$B$207,[52]宿泊施設DB!$D$3:$D$207,"",)</f>
        <v>0</v>
      </c>
      <c r="G52" s="2864">
        <f>_xlfn.XLOOKUP($E52,[52]宿泊施設DB!$B$3:$B$207,[52]宿泊施設DB!$E$3:$E$207,"",)</f>
        <v>0</v>
      </c>
      <c r="H52" s="2865">
        <f>_xlfn.XLOOKUP($E52,[52]宿泊施設DB!$B$3:$B$207,[52]宿泊施設DB!$J$3:$J$207,"",)</f>
        <v>0</v>
      </c>
      <c r="I52" s="2866">
        <f>_xlfn.XLOOKUP($E52,[52]宿泊施設DB!$B$3:$B$207,[52]宿泊施設DB!$T$3:$T$207,"",)</f>
        <v>0</v>
      </c>
      <c r="J52" s="2866" t="s">
        <v>2265</v>
      </c>
      <c r="K52" s="2865">
        <f>_xlfn.XLOOKUP($E52,[52]宿泊施設DB!$B$3:$B$207,[52]宿泊施設DB!$S$3:$S$207,"",)</f>
        <v>0</v>
      </c>
      <c r="L52" s="2866">
        <f>_xlfn.XLOOKUP($E52,[52]宿泊施設DB!$B$3:$B$207,[52]宿泊施設DB!$U$3:$U$207,"",)</f>
        <v>0</v>
      </c>
      <c r="M52" s="2866">
        <f>_xlfn.XLOOKUP($E52,[52]宿泊施設DB!$B$3:$B$207,[52]宿泊施設DB!$V$3:$V$207,"",)</f>
        <v>0</v>
      </c>
      <c r="N52" s="2866">
        <f>_xlfn.XLOOKUP($E52,[52]宿泊施設DB!$B$3:$B$207,[52]宿泊施設DB!$W$3:$W$207,"",)</f>
        <v>0</v>
      </c>
      <c r="O52" s="2866">
        <f>_xlfn.XLOOKUP($E52,[52]宿泊施設DB!$B$3:$B$207,[52]宿泊施設DB!$X$3:$X$207,"",)</f>
        <v>0</v>
      </c>
      <c r="P52" s="302" t="str">
        <f t="shared" si="2"/>
        <v/>
      </c>
      <c r="Q52" s="296"/>
      <c r="R52" s="3328" t="s">
        <v>2525</v>
      </c>
      <c r="S52" s="313" t="str">
        <f>IFERROR(VLOOKUP($R52,'[52]競技情報DB(12,600人ver) '!$A$6:$D$203,2,),"－")</f>
        <v>安城市</v>
      </c>
      <c r="T52" s="314">
        <f>_xlfn.XLOOKUP(R52,'[52]競技情報DB(12,600人ver) '!$A$6:$A$101,'[52]競技情報DB(12,600人ver) '!$D$6:$D$101,"",0,)</f>
        <v>36</v>
      </c>
      <c r="U52" s="3307"/>
      <c r="V52" s="3308" t="str">
        <f>IFERROR(VLOOKUP($R52,'[52]競技情報DB(12,600人ver) '!$A$6:$D$203,3,),"－")</f>
        <v>安城市総合運動公園陸上競技場他</v>
      </c>
      <c r="W52" s="3309">
        <v>34</v>
      </c>
      <c r="X52" s="3310">
        <v>37</v>
      </c>
      <c r="Y52" s="318"/>
      <c r="Z52" s="311"/>
      <c r="AA52" s="319"/>
      <c r="AB52" s="3311"/>
      <c r="AC52" s="3311"/>
      <c r="AD52" s="3312"/>
      <c r="AE52" s="320"/>
      <c r="AF52" s="321"/>
      <c r="AG52" s="321"/>
      <c r="AH52" s="321"/>
      <c r="AI52" s="321"/>
      <c r="AJ52" s="321"/>
      <c r="AK52" s="321"/>
      <c r="AL52" s="321"/>
      <c r="AM52" s="321"/>
      <c r="AN52" s="321"/>
      <c r="AO52" s="321"/>
      <c r="AP52" s="321"/>
      <c r="AQ52" s="321"/>
      <c r="AR52" s="321"/>
      <c r="AS52" s="321"/>
      <c r="AT52" s="321"/>
      <c r="AU52" s="321"/>
      <c r="AV52" s="321"/>
      <c r="AW52" s="321"/>
      <c r="AX52" s="321"/>
      <c r="AY52" s="321"/>
      <c r="AZ52" s="321"/>
      <c r="BA52" s="321"/>
      <c r="BB52" s="321"/>
      <c r="BC52" s="321"/>
      <c r="BD52" s="321"/>
      <c r="BE52" s="321"/>
      <c r="BF52" s="321"/>
      <c r="BG52" s="321"/>
      <c r="BH52" s="321"/>
      <c r="BI52" s="321"/>
      <c r="BJ52" s="321"/>
      <c r="BK52" s="321"/>
      <c r="BL52" s="321"/>
      <c r="BM52" s="321"/>
      <c r="BN52" s="507"/>
      <c r="BO52" s="290"/>
      <c r="BP52" s="332"/>
      <c r="BQ52" s="333"/>
    </row>
    <row r="53" spans="1:69" ht="46" customHeight="1">
      <c r="A53" s="2862"/>
      <c r="B53" s="2863"/>
      <c r="C53" s="372">
        <f>C49+1</f>
        <v>9</v>
      </c>
      <c r="D53" s="2871">
        <f>IF(_xlfn.XLOOKUP(E53,[52]宿泊施設DB!$B$3:$B$207,[52]宿泊施設DB!$A$3:$A$207,"",)=0,"",_xlfn.XLOOKUP(E53,[52]宿泊施設DB!$B$3:$B$207,[52]宿泊施設DB!$A$3:$A$207,"",))</f>
        <v>298</v>
      </c>
      <c r="E53" s="373" t="s">
        <v>2273</v>
      </c>
      <c r="F53" s="2872">
        <f>_xlfn.XLOOKUP($E53,[52]宿泊施設DB!$B$3:$B$207,[52]宿泊施設DB!$D$3:$D$207,"",)</f>
        <v>319</v>
      </c>
      <c r="G53" s="2872">
        <f>_xlfn.XLOOKUP($E53,[52]宿泊施設DB!$B$3:$B$207,[52]宿泊施設DB!$E$3:$E$207,"",)</f>
        <v>427</v>
      </c>
      <c r="H53" s="2873">
        <f>_xlfn.XLOOKUP($E53,[52]宿泊施設DB!$B$3:$B$207,[52]宿泊施設DB!$J$3:$J$207,"",)</f>
        <v>1</v>
      </c>
      <c r="I53" s="2874" t="str">
        <f>_xlfn.XLOOKUP($E53,[52]宿泊施設DB!$B$3:$B$207,[52]宿泊施設DB!$T$3:$T$207,"",)</f>
        <v>中</v>
      </c>
      <c r="J53" s="2874" t="str">
        <f>_xlfn.XLOOKUP($E53,[52]宿泊施設DB!$B$3:$B$207,[52]宿泊施設DB!$R$3:$R$207,"",)</f>
        <v>宿泊施設</v>
      </c>
      <c r="K53" s="2873">
        <f>_xlfn.XLOOKUP($E53,[52]宿泊施設DB!$B$3:$B$207,[52]宿泊施設DB!$S$3:$S$207,"",)</f>
        <v>140</v>
      </c>
      <c r="L53" s="2874" t="str">
        <f>_xlfn.XLOOKUP($E53,[52]宿泊施設DB!$B$3:$B$207,[52]宿泊施設DB!$U$3:$U$207,"",)</f>
        <v>○</v>
      </c>
      <c r="M53" s="2874" t="str">
        <f>_xlfn.XLOOKUP($E53,[52]宿泊施設DB!$B$3:$B$207,[52]宿泊施設DB!$V$3:$V$207,"",)</f>
        <v>－</v>
      </c>
      <c r="N53" s="2874" t="str">
        <f>_xlfn.XLOOKUP($E53,[52]宿泊施設DB!$B$3:$B$207,[52]宿泊施設DB!$W$3:$W$207,"",)</f>
        <v>－</v>
      </c>
      <c r="O53" s="2874" t="str">
        <f>_xlfn.XLOOKUP($E53,[52]宿泊施設DB!$B$3:$B$207,[52]宿泊施設DB!$X$3:$X$207,"",)</f>
        <v>専用乗降場所（屋根無）2台</v>
      </c>
      <c r="P53" s="377" t="str">
        <f t="shared" si="2"/>
        <v>○</v>
      </c>
      <c r="Q53" s="372" t="s">
        <v>2136</v>
      </c>
      <c r="R53" s="387" t="s">
        <v>2275</v>
      </c>
      <c r="S53" s="388" t="str">
        <f>IFERROR(VLOOKUP($R53,'[52]競技情報DB(12,600人ver) '!$A$6:$D$203,2,),"－")</f>
        <v>常滑市</v>
      </c>
      <c r="T53" s="389">
        <f>_xlfn.XLOOKUP(R53,'[52]競技情報DB(12,600人ver) '!$A$6:$A$101,'[52]競技情報DB(12,600人ver) '!$D$6:$D$101,"",0,)</f>
        <v>311</v>
      </c>
      <c r="U53" s="3321">
        <f>SUM(T53:T56)</f>
        <v>425</v>
      </c>
      <c r="V53" s="3322" t="str">
        <f>IFERROR(VLOOKUP($R53,'[52]競技情報DB(12,600人ver) '!$A$6:$D$203,3,),"－")</f>
        <v>愛知県国際展示場［Aichi Sky Expo］</v>
      </c>
      <c r="W53" s="3323">
        <v>1</v>
      </c>
      <c r="X53" s="3324">
        <v>2</v>
      </c>
      <c r="Y53" s="2887">
        <f>$G53-MAX(AF53:BN53)</f>
        <v>56</v>
      </c>
      <c r="Z53" s="394">
        <f>+Y53/$G53</f>
        <v>0.13114754098360656</v>
      </c>
      <c r="AA53" s="515" t="str">
        <f>E53&amp;"　"&amp;"合計"</f>
        <v>フォーポイント　バイ　シェラトン名古屋　中部国際空港　合計</v>
      </c>
      <c r="AB53" s="3325">
        <f>IFERROR(INDEX($AF$3:$BN$3, MATCH("準備", AF53:BN53, 0)), "")</f>
        <v>46279</v>
      </c>
      <c r="AC53" s="3325" cm="1">
        <f t="array" ref="AC53">IF(COUNTIF(AF53:BN53,"*撤去*")=0,"",INDEX(AF$3:BN$3,1,MAX(IF(AF53:BN53="撤去",COLUMN(AF53:BN53)-COLUMN(AF53)+1))))</f>
        <v>46294</v>
      </c>
      <c r="AD53" s="3326">
        <f>AC53-AB53</f>
        <v>15</v>
      </c>
      <c r="AE53" s="396" t="str">
        <f>+$AE$114</f>
        <v>12,600人</v>
      </c>
      <c r="AF53" s="398">
        <f>+_xlfn.XLOOKUP($AA53,'[52]②配宿シュミレーション(12,600人ver) '!$AO$6:$AO$707,'[52]②配宿シュミレーション(12,600人ver) '!AP$6:AP$707,)</f>
        <v>0</v>
      </c>
      <c r="AG53" s="398">
        <f>+_xlfn.XLOOKUP($AA53,'[52]②配宿シュミレーション(12,600人ver) '!$AO$6:$AO$707,'[52]②配宿シュミレーション(12,600人ver) '!AQ$6:AQ$707,)</f>
        <v>0</v>
      </c>
      <c r="AH53" s="398">
        <f>+_xlfn.XLOOKUP($AA53,'[52]②配宿シュミレーション(12,600人ver) '!$AO$6:$AO$707,'[52]②配宿シュミレーション(12,600人ver) '!AR$6:AR$707,)</f>
        <v>0</v>
      </c>
      <c r="AI53" s="398">
        <f>+_xlfn.XLOOKUP($AA53,'[52]②配宿シュミレーション(12,600人ver) '!$AO$6:$AO$707,'[52]②配宿シュミレーション(12,600人ver) '!AS$6:AS$707,)</f>
        <v>0</v>
      </c>
      <c r="AJ53" s="398">
        <f>+_xlfn.XLOOKUP($AA53,'[52]②配宿シュミレーション(12,600人ver) '!$AO$6:$AO$707,'[52]②配宿シュミレーション(12,600人ver) '!AT$6:AT$707,)</f>
        <v>0</v>
      </c>
      <c r="AK53" s="398">
        <f>+_xlfn.XLOOKUP($AA53,'[52]②配宿シュミレーション(12,600人ver) '!$AO$6:$AO$707,'[52]②配宿シュミレーション(12,600人ver) '!AU$6:AU$707,)</f>
        <v>0</v>
      </c>
      <c r="AL53" s="398">
        <f>+_xlfn.XLOOKUP($AA53,'[52]②配宿シュミレーション(12,600人ver) '!$AO$6:$AO$707,'[52]②配宿シュミレーション(12,600人ver) '!AV$6:AV$707,)</f>
        <v>0</v>
      </c>
      <c r="AM53" s="398">
        <f>+_xlfn.XLOOKUP($AA53,'[52]②配宿シュミレーション(12,600人ver) '!$AO$6:$AO$707,'[52]②配宿シュミレーション(12,600人ver) '!AW$6:AW$707,)</f>
        <v>0</v>
      </c>
      <c r="AN53" s="398">
        <f>+_xlfn.XLOOKUP($AA53,'[52]②配宿シュミレーション(12,600人ver) '!$AO$6:$AO$707,'[52]②配宿シュミレーション(12,600人ver) '!AX$6:AX$707,)</f>
        <v>0</v>
      </c>
      <c r="AO53" s="398">
        <f>+_xlfn.XLOOKUP($AA53,'[52]②配宿シュミレーション(12,600人ver) '!$AO$6:$AO$707,'[52]②配宿シュミレーション(12,600人ver) '!AY$6:AY$707,)</f>
        <v>0</v>
      </c>
      <c r="AP53" s="3327" t="s">
        <v>2447</v>
      </c>
      <c r="AQ53" s="3327">
        <f>+_xlfn.XLOOKUP($AA53,'[52]②配宿シュミレーション(12,600人ver) '!$AO$6:$AO$707,'[52]②配宿シュミレーション(12,600人ver) '!BA$6:BA$707,)</f>
        <v>0</v>
      </c>
      <c r="AR53" s="398">
        <f>+_xlfn.XLOOKUP($AA53,'[52]②配宿シュミレーション(12,600人ver) '!$AO$6:$AO$707,'[52]②配宿シュミレーション(12,600人ver) '!BB$6:BB$707,)</f>
        <v>60</v>
      </c>
      <c r="AS53" s="398">
        <f>+_xlfn.XLOOKUP($AA53,'[52]②配宿シュミレーション(12,600人ver) '!$AO$6:$AO$707,'[52]②配宿シュミレーション(12,600人ver) '!BC$6:BC$707,)</f>
        <v>371</v>
      </c>
      <c r="AT53" s="398">
        <f>+_xlfn.XLOOKUP($AA53,'[52]②配宿シュミレーション(12,600人ver) '!$AO$6:$AO$707,'[52]②配宿シュミレーション(12,600人ver) '!BD$6:BD$707,)</f>
        <v>371</v>
      </c>
      <c r="AU53" s="398">
        <f>+_xlfn.XLOOKUP($AA53,'[52]②配宿シュミレーション(12,600人ver) '!$AO$6:$AO$707,'[52]②配宿シュミレーション(12,600人ver) '!BE$6:BE$707,)</f>
        <v>371</v>
      </c>
      <c r="AV53" s="398">
        <f>+_xlfn.XLOOKUP($AA53,'[52]②配宿シュミレーション(12,600人ver) '!$AO$6:$AO$707,'[52]②配宿シュミレーション(12,600人ver) '!BF$6:BF$707,)</f>
        <v>371</v>
      </c>
      <c r="AW53" s="398">
        <f>+_xlfn.XLOOKUP($AA53,'[52]②配宿シュミレーション(12,600人ver) '!$AO$6:$AO$707,'[52]②配宿シュミレーション(12,600人ver) '!BG$6:BG$707,)</f>
        <v>371</v>
      </c>
      <c r="AX53" s="398">
        <f>+_xlfn.XLOOKUP($AA53,'[52]②配宿シュミレーション(12,600人ver) '!$AO$6:$AO$707,'[52]②配宿シュミレーション(12,600人ver) '!BH$6:BH$707,)</f>
        <v>371</v>
      </c>
      <c r="AY53" s="398">
        <f>+_xlfn.XLOOKUP($AA53,'[52]②配宿シュミレーション(12,600人ver) '!$AO$6:$AO$707,'[52]②配宿シュミレーション(12,600人ver) '!BI$6:BI$707,)</f>
        <v>365</v>
      </c>
      <c r="AZ53" s="398">
        <f>+_xlfn.XLOOKUP($AA53,'[52]②配宿シュミレーション(12,600人ver) '!$AO$6:$AO$707,'[52]②配宿シュミレーション(12,600人ver) '!BJ$6:BJ$707,)</f>
        <v>365</v>
      </c>
      <c r="BA53" s="398">
        <f>+_xlfn.XLOOKUP($AA53,'[52]②配宿シュミレーション(12,600人ver) '!$AO$6:$AO$707,'[52]②配宿シュミレーション(12,600人ver) '!BK$6:BK$707,)</f>
        <v>365</v>
      </c>
      <c r="BB53" s="398">
        <f>+_xlfn.XLOOKUP($AA53,'[52]②配宿シュミレーション(12,600人ver) '!$AO$6:$AO$707,'[52]②配宿シュミレーション(12,600人ver) '!BL$6:BL$707,)</f>
        <v>365</v>
      </c>
      <c r="BC53" s="398">
        <f>+_xlfn.XLOOKUP($AA53,'[52]②配宿シュミレーション(12,600人ver) '!$AO$6:$AO$707,'[52]②配宿シュミレーション(12,600人ver) '!BM$6:BM$707,)</f>
        <v>365</v>
      </c>
      <c r="BD53" s="398">
        <f>+_xlfn.XLOOKUP($AA53,'[52]②配宿シュミレーション(12,600人ver) '!$AO$6:$AO$707,'[52]②配宿シュミレーション(12,600人ver) '!BN$6:BN$707,)</f>
        <v>365</v>
      </c>
      <c r="BE53" s="3306" t="s">
        <v>2448</v>
      </c>
      <c r="BF53" s="398">
        <f>+_xlfn.XLOOKUP($AA53,'[52]②配宿シュミレーション(12,600人ver) '!$AO$6:$AO$707,'[52]②配宿シュミレーション(12,600人ver) '!BP$6:BP$707,)</f>
        <v>0</v>
      </c>
      <c r="BG53" s="398">
        <f>+_xlfn.XLOOKUP($AA53,'[52]②配宿シュミレーション(12,600人ver) '!$AO$6:$AO$707,'[52]②配宿シュミレーション(12,600人ver) '!BQ$6:BQ$707,)</f>
        <v>0</v>
      </c>
      <c r="BH53" s="398">
        <f>+_xlfn.XLOOKUP($AA53,'[52]②配宿シュミレーション(12,600人ver) '!$AO$6:$AO$707,'[52]②配宿シュミレーション(12,600人ver) '!BR$6:BR$707,)</f>
        <v>0</v>
      </c>
      <c r="BI53" s="398">
        <f>+_xlfn.XLOOKUP($AA53,'[52]②配宿シュミレーション(12,600人ver) '!$AO$6:$AO$707,'[52]②配宿シュミレーション(12,600人ver) '!BS$6:BS$707,)</f>
        <v>0</v>
      </c>
      <c r="BJ53" s="398">
        <f>+_xlfn.XLOOKUP($AA53,'[52]②配宿シュミレーション(12,600人ver) '!$AO$6:$AO$707,'[52]②配宿シュミレーション(12,600人ver) '!BT$6:BT$707,)</f>
        <v>0</v>
      </c>
      <c r="BK53" s="398">
        <f>+_xlfn.XLOOKUP($AA53,'[52]②配宿シュミレーション(12,600人ver) '!$AO$6:$AO$707,'[52]②配宿シュミレーション(12,600人ver) '!BU$6:BU$707,)</f>
        <v>0</v>
      </c>
      <c r="BL53" s="398">
        <f>+_xlfn.XLOOKUP($AA53,'[52]②配宿シュミレーション(12,600人ver) '!$AO$6:$AO$707,'[52]②配宿シュミレーション(12,600人ver) '!BV$6:BV$707,)</f>
        <v>0</v>
      </c>
      <c r="BM53" s="398">
        <f>+_xlfn.XLOOKUP($AA53,'[52]②配宿シュミレーション(12,600人ver) '!$AO$6:$AO$707,'[52]②配宿シュミレーション(12,600人ver) '!BW$6:BW$707,)</f>
        <v>0</v>
      </c>
      <c r="BN53" s="472">
        <f>+_xlfn.XLOOKUP($AA53,'[52]②配宿シュミレーション(12,600人ver) '!$AO$6:$AO$707,'[52]②配宿シュミレーション(12,600人ver) '!BX$6:BX$707,)</f>
        <v>0</v>
      </c>
      <c r="BO53" s="290"/>
      <c r="BP53" s="404"/>
      <c r="BQ53" s="405"/>
    </row>
    <row r="54" spans="1:69" ht="46" customHeight="1">
      <c r="A54" s="2862"/>
      <c r="B54" s="2863"/>
      <c r="C54" s="296"/>
      <c r="D54" s="297"/>
      <c r="E54" s="298"/>
      <c r="F54" s="2864"/>
      <c r="G54" s="2864"/>
      <c r="H54" s="2865"/>
      <c r="I54" s="2866"/>
      <c r="J54" s="2866"/>
      <c r="K54" s="2865"/>
      <c r="L54" s="2866"/>
      <c r="M54" s="2866"/>
      <c r="N54" s="2866"/>
      <c r="O54" s="2866"/>
      <c r="P54" s="302" t="str">
        <f t="shared" si="2"/>
        <v/>
      </c>
      <c r="Q54" s="296"/>
      <c r="R54" s="413" t="s">
        <v>2526</v>
      </c>
      <c r="S54" s="313" t="str">
        <f>IFERROR(VLOOKUP($R54,'[52]競技情報DB(12,600人ver) '!$A$6:$D$203,2,),"－")</f>
        <v>常滑市</v>
      </c>
      <c r="T54" s="314">
        <f>_xlfn.XLOOKUP(R54,'[52]競技情報DB(12,600人ver) '!$A$6:$A$101,'[52]競技情報DB(12,600人ver) '!$D$6:$D$101,"",0,)</f>
        <v>16</v>
      </c>
      <c r="U54" s="3307"/>
      <c r="V54" s="3308" t="str">
        <f>IFERROR(VLOOKUP($R54,'[52]競技情報DB(12,600人ver) '!$A$6:$D$203,3,),"－")</f>
        <v>愛知県国際展示場［Aichi Sky Expo］</v>
      </c>
      <c r="W54" s="3309">
        <v>1</v>
      </c>
      <c r="X54" s="3324">
        <v>2</v>
      </c>
      <c r="Y54" s="318"/>
      <c r="Z54" s="311"/>
      <c r="AA54" s="334"/>
      <c r="AB54" s="3302"/>
      <c r="AC54" s="3302"/>
      <c r="AD54" s="3303"/>
      <c r="AE54" s="335"/>
      <c r="AF54" s="336"/>
      <c r="AG54" s="336"/>
      <c r="AH54" s="336"/>
      <c r="AI54" s="336"/>
      <c r="AJ54" s="336"/>
      <c r="AK54" s="336"/>
      <c r="AL54" s="336"/>
      <c r="AM54" s="336"/>
      <c r="AN54" s="336"/>
      <c r="AO54" s="336"/>
      <c r="AP54" s="336"/>
      <c r="AQ54" s="336"/>
      <c r="AR54" s="336"/>
      <c r="AS54" s="336"/>
      <c r="AT54" s="336"/>
      <c r="AU54" s="336"/>
      <c r="AV54" s="336"/>
      <c r="AW54" s="336"/>
      <c r="AX54" s="336"/>
      <c r="AY54" s="336"/>
      <c r="AZ54" s="336"/>
      <c r="BA54" s="336"/>
      <c r="BB54" s="336"/>
      <c r="BC54" s="336"/>
      <c r="BD54" s="336"/>
      <c r="BE54" s="336"/>
      <c r="BF54" s="336"/>
      <c r="BG54" s="336"/>
      <c r="BH54" s="336"/>
      <c r="BI54" s="336"/>
      <c r="BJ54" s="336"/>
      <c r="BK54" s="336"/>
      <c r="BL54" s="336"/>
      <c r="BM54" s="336"/>
      <c r="BN54" s="340"/>
      <c r="BO54" s="290"/>
      <c r="BP54" s="332"/>
      <c r="BQ54" s="333"/>
    </row>
    <row r="55" spans="1:69" ht="46" customHeight="1">
      <c r="A55" s="2862"/>
      <c r="B55" s="2863"/>
      <c r="C55" s="296"/>
      <c r="D55" s="297"/>
      <c r="E55" s="298"/>
      <c r="F55" s="2864"/>
      <c r="G55" s="2864"/>
      <c r="H55" s="2865"/>
      <c r="I55" s="2866"/>
      <c r="J55" s="2866"/>
      <c r="K55" s="2865"/>
      <c r="L55" s="2866"/>
      <c r="M55" s="2866"/>
      <c r="N55" s="2866"/>
      <c r="O55" s="2866"/>
      <c r="P55" s="302" t="str">
        <f t="shared" si="2"/>
        <v/>
      </c>
      <c r="Q55" s="296"/>
      <c r="R55" s="413" t="s">
        <v>2527</v>
      </c>
      <c r="S55" s="313" t="str">
        <f>IFERROR(VLOOKUP($R55,'[52]競技情報DB(12,600人ver) '!$A$6:$D$203,2,),"－")</f>
        <v>常滑市</v>
      </c>
      <c r="T55" s="314">
        <f>_xlfn.XLOOKUP(R55,'[52]競技情報DB(12,600人ver) '!$A$6:$A$101,'[52]競技情報DB(12,600人ver) '!$D$6:$D$101,"",0,)</f>
        <v>38</v>
      </c>
      <c r="U55" s="3307"/>
      <c r="V55" s="3308" t="str">
        <f>IFERROR(VLOOKUP($R55,'[52]競技情報DB(12,600人ver) '!$A$6:$D$203,3,),"－")</f>
        <v>新舞子マリンパーク</v>
      </c>
      <c r="W55" s="3309">
        <v>11</v>
      </c>
      <c r="X55" s="3310">
        <v>21</v>
      </c>
      <c r="Y55" s="318"/>
      <c r="Z55" s="311"/>
      <c r="AA55" s="334"/>
      <c r="AB55" s="3302"/>
      <c r="AC55" s="3302"/>
      <c r="AD55" s="3303"/>
      <c r="AE55" s="335"/>
      <c r="AF55" s="336"/>
      <c r="AG55" s="336"/>
      <c r="AH55" s="336"/>
      <c r="AI55" s="336"/>
      <c r="AJ55" s="336"/>
      <c r="AK55" s="336"/>
      <c r="AL55" s="336"/>
      <c r="AM55" s="336"/>
      <c r="AN55" s="336"/>
      <c r="AO55" s="336"/>
      <c r="AP55" s="336"/>
      <c r="AQ55" s="336"/>
      <c r="AR55" s="336"/>
      <c r="AS55" s="336"/>
      <c r="AT55" s="336"/>
      <c r="AU55" s="336"/>
      <c r="AV55" s="336"/>
      <c r="AW55" s="336"/>
      <c r="AX55" s="336"/>
      <c r="AY55" s="336"/>
      <c r="AZ55" s="336"/>
      <c r="BA55" s="336"/>
      <c r="BB55" s="336"/>
      <c r="BC55" s="336"/>
      <c r="BD55" s="336"/>
      <c r="BE55" s="336"/>
      <c r="BF55" s="336"/>
      <c r="BG55" s="336"/>
      <c r="BH55" s="336"/>
      <c r="BI55" s="336"/>
      <c r="BJ55" s="336"/>
      <c r="BK55" s="336"/>
      <c r="BL55" s="336"/>
      <c r="BM55" s="336"/>
      <c r="BN55" s="340"/>
      <c r="BO55" s="290"/>
      <c r="BP55" s="332"/>
      <c r="BQ55" s="333"/>
    </row>
    <row r="56" spans="1:69" ht="46" customHeight="1">
      <c r="A56" s="2862"/>
      <c r="B56" s="2863"/>
      <c r="C56" s="420"/>
      <c r="D56" s="421" t="str">
        <f>IF(_xlfn.XLOOKUP(E56,[52]宿泊施設DB!$B$3:$B$207,[52]宿泊施設DB!$A$3:$A$207,"",)=0,"",_xlfn.XLOOKUP(E56,[52]宿泊施設DB!$B$3:$B$207,[52]宿泊施設DB!$A$3:$A$207,"",))</f>
        <v/>
      </c>
      <c r="E56" s="422"/>
      <c r="F56" s="2875">
        <f>_xlfn.XLOOKUP($E56,[52]宿泊施設DB!$B$3:$B$207,[52]宿泊施設DB!$D$3:$D$207,"",)</f>
        <v>0</v>
      </c>
      <c r="G56" s="2864">
        <f>_xlfn.XLOOKUP($E56,[52]宿泊施設DB!$B$3:$B$207,[52]宿泊施設DB!$E$3:$E$207,"",)</f>
        <v>0</v>
      </c>
      <c r="H56" s="2865">
        <f>_xlfn.XLOOKUP($E56,[52]宿泊施設DB!$B$3:$B$207,[52]宿泊施設DB!$J$3:$J$207,"",)</f>
        <v>0</v>
      </c>
      <c r="I56" s="2866">
        <f>_xlfn.XLOOKUP($E56,[52]宿泊施設DB!$B$3:$B$207,[52]宿泊施設DB!$T$3:$T$207,"",)</f>
        <v>0</v>
      </c>
      <c r="J56" s="2866"/>
      <c r="K56" s="2865">
        <f>_xlfn.XLOOKUP($E56,[52]宿泊施設DB!$B$3:$B$207,[52]宿泊施設DB!$S$3:$S$207,"",)</f>
        <v>0</v>
      </c>
      <c r="L56" s="2866">
        <f>_xlfn.XLOOKUP($E56,[52]宿泊施設DB!$B$3:$B$207,[52]宿泊施設DB!$U$3:$U$207,"",)</f>
        <v>0</v>
      </c>
      <c r="M56" s="2866">
        <f>_xlfn.XLOOKUP($E56,[52]宿泊施設DB!$B$3:$B$207,[52]宿泊施設DB!$V$3:$V$207,"",)</f>
        <v>0</v>
      </c>
      <c r="N56" s="2866">
        <f>_xlfn.XLOOKUP($E56,[52]宿泊施設DB!$B$3:$B$207,[52]宿泊施設DB!$W$3:$W$207,"",)</f>
        <v>0</v>
      </c>
      <c r="O56" s="2866">
        <f>_xlfn.XLOOKUP($E56,[52]宿泊施設DB!$B$3:$B$207,[52]宿泊施設DB!$X$3:$X$207,"",)</f>
        <v>0</v>
      </c>
      <c r="P56" s="302" t="str">
        <f t="shared" si="2"/>
        <v/>
      </c>
      <c r="Q56" s="296"/>
      <c r="R56" s="3314" t="s">
        <v>2528</v>
      </c>
      <c r="S56" s="459" t="str">
        <f>IFERROR(VLOOKUP($R56,'[52]競技情報DB(12,600人ver) '!$A$6:$D$203,2,),"－")</f>
        <v>名古屋市</v>
      </c>
      <c r="T56" s="460">
        <f>_xlfn.XLOOKUP(R56,'[52]競技情報DB(12,600人ver) '!$A$6:$A$101,'[52]競技情報DB(12,600人ver) '!$D$6:$D$101,"",0,)</f>
        <v>60</v>
      </c>
      <c r="U56" s="3307"/>
      <c r="V56" s="3315" t="str">
        <f>IFERROR(VLOOKUP($R56,'[52]競技情報DB(12,600人ver) '!$A$6:$D$203,3,),"－")</f>
        <v>（愛知県体育館）</v>
      </c>
      <c r="W56" s="3316"/>
      <c r="X56" s="3317"/>
      <c r="Y56" s="2894"/>
      <c r="Z56" s="311"/>
      <c r="AA56" s="319"/>
      <c r="AB56" s="3311"/>
      <c r="AC56" s="3311"/>
      <c r="AD56" s="3312"/>
      <c r="AE56" s="320"/>
      <c r="AF56" s="336"/>
      <c r="AG56" s="336"/>
      <c r="AH56" s="336"/>
      <c r="AI56" s="336"/>
      <c r="AJ56" s="336"/>
      <c r="AK56" s="336"/>
      <c r="AL56" s="336"/>
      <c r="AM56" s="336"/>
      <c r="AN56" s="445"/>
      <c r="AO56" s="445"/>
      <c r="AP56" s="336"/>
      <c r="AQ56" s="336"/>
      <c r="AR56" s="445"/>
      <c r="AS56" s="445"/>
      <c r="AT56" s="445"/>
      <c r="AU56" s="445"/>
      <c r="AV56" s="445"/>
      <c r="AW56" s="445"/>
      <c r="AX56" s="445"/>
      <c r="AY56" s="445"/>
      <c r="AZ56" s="445"/>
      <c r="BA56" s="445"/>
      <c r="BB56" s="445"/>
      <c r="BC56" s="445"/>
      <c r="BD56" s="445"/>
      <c r="BE56" s="445"/>
      <c r="BF56" s="445"/>
      <c r="BG56" s="336"/>
      <c r="BH56" s="445"/>
      <c r="BI56" s="445"/>
      <c r="BJ56" s="445"/>
      <c r="BK56" s="336"/>
      <c r="BL56" s="445"/>
      <c r="BM56" s="445"/>
      <c r="BN56" s="449"/>
      <c r="BO56" s="290"/>
      <c r="BP56" s="450"/>
      <c r="BQ56" s="451"/>
    </row>
    <row r="57" spans="1:69" ht="46" customHeight="1">
      <c r="A57" s="2862"/>
      <c r="B57" s="2863"/>
      <c r="C57" s="372">
        <f>C53+1</f>
        <v>10</v>
      </c>
      <c r="D57" s="2871">
        <f>IF(_xlfn.XLOOKUP(E57,[52]宿泊施設DB!$B$3:$B$207,[52]宿泊施設DB!$A$3:$A$207,"",)=0,"",_xlfn.XLOOKUP(E57,[52]宿泊施設DB!$B$3:$B$207,[52]宿泊施設DB!$A$3:$A$207,"",))</f>
        <v>304</v>
      </c>
      <c r="E57" s="373" t="s">
        <v>2529</v>
      </c>
      <c r="F57" s="2872">
        <f>_xlfn.XLOOKUP($E57,[52]宿泊施設DB!$B$3:$B$207,[52]宿泊施設DB!$D$3:$D$207,"",)</f>
        <v>180</v>
      </c>
      <c r="G57" s="3329">
        <f>_xlfn.XLOOKUP($E57,[52]宿泊施設DB!$B$3:$B$207,[52]宿泊施設DB!$E$3:$E$207,"",)</f>
        <v>246</v>
      </c>
      <c r="H57" s="2873">
        <f>_xlfn.XLOOKUP($E57,[52]宿泊施設DB!$B$3:$B$207,[52]宿泊施設DB!$J$3:$J$207,"",)</f>
        <v>3</v>
      </c>
      <c r="I57" s="2874" t="str">
        <f>_xlfn.XLOOKUP($E57,[52]宿泊施設DB!$B$3:$B$207,[52]宿泊施設DB!$T$3:$T$207,"",)</f>
        <v>中</v>
      </c>
      <c r="J57" s="2874" t="str">
        <f>_xlfn.XLOOKUP($E57,[52]宿泊施設DB!$B$3:$B$207,[52]宿泊施設DB!$R$3:$R$207,"",)</f>
        <v>宿泊施設</v>
      </c>
      <c r="K57" s="2873">
        <f>_xlfn.XLOOKUP($E57,[52]宿泊施設DB!$B$3:$B$207,[52]宿泊施設DB!$S$3:$S$207,"",)</f>
        <v>80</v>
      </c>
      <c r="L57" s="2874" t="str">
        <f>_xlfn.XLOOKUP($E57,[52]宿泊施設DB!$B$3:$B$207,[52]宿泊施設DB!$U$3:$U$207,"",)</f>
        <v>－</v>
      </c>
      <c r="M57" s="2874" t="str">
        <f>_xlfn.XLOOKUP($E57,[52]宿泊施設DB!$B$3:$B$207,[52]宿泊施設DB!$V$3:$V$207,"",)</f>
        <v>○(ｼﾞﾑ内等)</v>
      </c>
      <c r="N57" s="2874" t="str">
        <f>_xlfn.XLOOKUP($E57,[52]宿泊施設DB!$B$3:$B$207,[52]宿泊施設DB!$W$3:$W$207,"",)</f>
        <v>○</v>
      </c>
      <c r="O57" s="2874" t="str">
        <f>_xlfn.XLOOKUP($E57,[52]宿泊施設DB!$B$3:$B$207,[52]宿泊施設DB!$X$3:$X$207,"",)</f>
        <v>付近に乗降場無し（りんくう駅前ロータリー）</v>
      </c>
      <c r="P57" s="377" t="str">
        <f t="shared" si="2"/>
        <v>○</v>
      </c>
      <c r="Q57" s="372" t="s">
        <v>2136</v>
      </c>
      <c r="R57" s="387" t="s">
        <v>2464</v>
      </c>
      <c r="S57" s="540" t="str">
        <f>IFERROR(VLOOKUP($R57,'[52]競技情報DB(12,600人ver) '!$A$6:$D$203,2,),"－")</f>
        <v>名古屋市</v>
      </c>
      <c r="T57" s="541">
        <f>_xlfn.XLOOKUP(R57,'[52]競技情報DB(12,600人ver) '!$A$6:$A$101,'[52]競技情報DB(12,600人ver) '!$D$6:$D$101,"",0,)</f>
        <v>83</v>
      </c>
      <c r="U57" s="3321">
        <f>SUM(T57:T58)</f>
        <v>166</v>
      </c>
      <c r="V57" s="3322" t="str">
        <f>IFERROR(VLOOKUP($R57,'[52]競技情報DB(12,600人ver) '!$A$6:$D$203,3,),"－")</f>
        <v>金城ふ頭駅前特設コート</v>
      </c>
      <c r="W57" s="3323"/>
      <c r="X57" s="3324"/>
      <c r="Y57" s="393">
        <f>$G57-MAX(AF57:BN57)</f>
        <v>80</v>
      </c>
      <c r="Z57" s="394">
        <f>+Y57/$G57</f>
        <v>0.32520325203252032</v>
      </c>
      <c r="AA57" s="515" t="str">
        <f>E57&amp;"　"&amp;"合計"</f>
        <v>J・ホテルりんくう　合計</v>
      </c>
      <c r="AB57" s="3325">
        <f>IFERROR(INDEX($AF$3:$BN$3, MATCH("準備", AF57:BN57, 0)), "")</f>
        <v>46279</v>
      </c>
      <c r="AC57" s="3325" cm="1">
        <f t="array" ref="AC57">IF(COUNTIF(AF57:BN57,"*撤去*")=0,"",INDEX(AF$3:BN$3,1,MAX(IF(AF57:BN57="撤去",COLUMN(AF57:BN57)-COLUMN(AF57)+1))))</f>
        <v>46293</v>
      </c>
      <c r="AD57" s="3326">
        <f>AC57-AB57</f>
        <v>14</v>
      </c>
      <c r="AE57" s="396" t="str">
        <f>+$AE$114</f>
        <v>12,600人</v>
      </c>
      <c r="AF57" s="397">
        <f>+_xlfn.XLOOKUP($AA57,'[52]②配宿シュミレーション(12,600人ver) '!$AO$6:$AO$707,'[52]②配宿シュミレーション(12,600人ver) '!AP$6:AP$707,)</f>
        <v>0</v>
      </c>
      <c r="AG57" s="397">
        <f>+_xlfn.XLOOKUP($AA57,'[52]②配宿シュミレーション(12,600人ver) '!$AO$6:$AO$707,'[52]②配宿シュミレーション(12,600人ver) '!AQ$6:AQ$707,)</f>
        <v>0</v>
      </c>
      <c r="AH57" s="397">
        <f>+_xlfn.XLOOKUP($AA57,'[52]②配宿シュミレーション(12,600人ver) '!$AO$6:$AO$707,'[52]②配宿シュミレーション(12,600人ver) '!AR$6:AR$707,)</f>
        <v>0</v>
      </c>
      <c r="AI57" s="397">
        <f>+_xlfn.XLOOKUP($AA57,'[52]②配宿シュミレーション(12,600人ver) '!$AO$6:$AO$707,'[52]②配宿シュミレーション(12,600人ver) '!AS$6:AS$707,)</f>
        <v>0</v>
      </c>
      <c r="AJ57" s="397">
        <f>+_xlfn.XLOOKUP($AA57,'[52]②配宿シュミレーション(12,600人ver) '!$AO$6:$AO$707,'[52]②配宿シュミレーション(12,600人ver) '!AT$6:AT$707,)</f>
        <v>0</v>
      </c>
      <c r="AK57" s="397">
        <f>+_xlfn.XLOOKUP($AA57,'[52]②配宿シュミレーション(12,600人ver) '!$AO$6:$AO$707,'[52]②配宿シュミレーション(12,600人ver) '!AU$6:AU$707,)</f>
        <v>0</v>
      </c>
      <c r="AL57" s="397">
        <f>+_xlfn.XLOOKUP($AA57,'[52]②配宿シュミレーション(12,600人ver) '!$AO$6:$AO$707,'[52]②配宿シュミレーション(12,600人ver) '!AV$6:AV$707,)</f>
        <v>0</v>
      </c>
      <c r="AM57" s="397">
        <f>+_xlfn.XLOOKUP($AA57,'[52]②配宿シュミレーション(12,600人ver) '!$AO$6:$AO$707,'[52]②配宿シュミレーション(12,600人ver) '!AW$6:AW$707,)</f>
        <v>0</v>
      </c>
      <c r="AN57" s="397">
        <f>+_xlfn.XLOOKUP($AA57,'[52]②配宿シュミレーション(12,600人ver) '!$AO$6:$AO$707,'[52]②配宿シュミレーション(12,600人ver) '!AX$6:AX$707,)</f>
        <v>0</v>
      </c>
      <c r="AO57" s="397">
        <f>+_xlfn.XLOOKUP($AA57,'[52]②配宿シュミレーション(12,600人ver) '!$AO$6:$AO$707,'[52]②配宿シュミレーション(12,600人ver) '!AY$6:AY$707,)</f>
        <v>0</v>
      </c>
      <c r="AP57" s="3327" t="s">
        <v>2447</v>
      </c>
      <c r="AQ57" s="3327">
        <f>+_xlfn.XLOOKUP($AA57,'[52]②配宿シュミレーション(12,600人ver) '!$AO$6:$AO$707,'[52]②配宿シュミレーション(12,600人ver) '!BA$6:BA$707,)</f>
        <v>0</v>
      </c>
      <c r="AR57" s="397">
        <f>+_xlfn.XLOOKUP($AA57,'[52]②配宿シュミレーション(12,600人ver) '!$AO$6:$AO$707,'[52]②配宿シュミレーション(12,600人ver) '!BB$6:BB$707,)</f>
        <v>166</v>
      </c>
      <c r="AS57" s="397">
        <f>+_xlfn.XLOOKUP($AA57,'[52]②配宿シュミレーション(12,600人ver) '!$AO$6:$AO$707,'[52]②配宿シュミレーション(12,600人ver) '!BC$6:BC$707,)</f>
        <v>166</v>
      </c>
      <c r="AT57" s="397">
        <f>+_xlfn.XLOOKUP($AA57,'[52]②配宿シュミレーション(12,600人ver) '!$AO$6:$AO$707,'[52]②配宿シュミレーション(12,600人ver) '!BD$6:BD$707,)</f>
        <v>166</v>
      </c>
      <c r="AU57" s="397">
        <f>+_xlfn.XLOOKUP($AA57,'[52]②配宿シュミレーション(12,600人ver) '!$AO$6:$AO$707,'[52]②配宿シュミレーション(12,600人ver) '!BE$6:BE$707,)</f>
        <v>166</v>
      </c>
      <c r="AV57" s="397">
        <f>+_xlfn.XLOOKUP($AA57,'[52]②配宿シュミレーション(12,600人ver) '!$AO$6:$AO$707,'[52]②配宿シュミレーション(12,600人ver) '!BF$6:BF$707,)</f>
        <v>166</v>
      </c>
      <c r="AW57" s="397">
        <f>+_xlfn.XLOOKUP($AA57,'[52]②配宿シュミレーション(12,600人ver) '!$AO$6:$AO$707,'[52]②配宿シュミレーション(12,600人ver) '!BG$6:BG$707,)</f>
        <v>166</v>
      </c>
      <c r="AX57" s="397">
        <f>+_xlfn.XLOOKUP($AA57,'[52]②配宿シュミレーション(12,600人ver) '!$AO$6:$AO$707,'[52]②配宿シュミレーション(12,600人ver) '!BH$6:BH$707,)</f>
        <v>166</v>
      </c>
      <c r="AY57" s="397">
        <f>+_xlfn.XLOOKUP($AA57,'[52]②配宿シュミレーション(12,600人ver) '!$AO$6:$AO$707,'[52]②配宿シュミレーション(12,600人ver) '!BI$6:BI$707,)</f>
        <v>166</v>
      </c>
      <c r="AZ57" s="397">
        <f>+_xlfn.XLOOKUP($AA57,'[52]②配宿シュミレーション(12,600人ver) '!$AO$6:$AO$707,'[52]②配宿シュミレーション(12,600人ver) '!BJ$6:BJ$707,)</f>
        <v>166</v>
      </c>
      <c r="BA57" s="397">
        <f>+_xlfn.XLOOKUP($AA57,'[52]②配宿シュミレーション(12,600人ver) '!$AO$6:$AO$707,'[52]②配宿シュミレーション(12,600人ver) '!BK$6:BK$707,)</f>
        <v>166</v>
      </c>
      <c r="BB57" s="397">
        <f>+_xlfn.XLOOKUP($AA57,'[52]②配宿シュミレーション(12,600人ver) '!$AO$6:$AO$707,'[52]②配宿シュミレーション(12,600人ver) '!BL$6:BL$707,)</f>
        <v>166</v>
      </c>
      <c r="BC57" s="397">
        <f>+_xlfn.XLOOKUP($AA57,'[52]②配宿シュミレーション(12,600人ver) '!$AO$6:$AO$707,'[52]②配宿シュミレーション(12,600人ver) '!BM$6:BM$707,)</f>
        <v>166</v>
      </c>
      <c r="BD57" s="3306" t="s">
        <v>2448</v>
      </c>
      <c r="BE57" s="397">
        <f>+_xlfn.XLOOKUP($AA57,'[52]②配宿シュミレーション(12,600人ver) '!$AO$6:$AO$707,'[52]②配宿シュミレーション(12,600人ver) '!BO$6:BO$707,)</f>
        <v>0</v>
      </c>
      <c r="BF57" s="397">
        <f>+_xlfn.XLOOKUP($AA57,'[52]②配宿シュミレーション(12,600人ver) '!$AO$6:$AO$707,'[52]②配宿シュミレーション(12,600人ver) '!BP$6:BP$707,)</f>
        <v>0</v>
      </c>
      <c r="BG57" s="397">
        <f>+_xlfn.XLOOKUP($AA57,'[52]②配宿シュミレーション(12,600人ver) '!$AO$6:$AO$707,'[52]②配宿シュミレーション(12,600人ver) '!BQ$6:BQ$707,)</f>
        <v>0</v>
      </c>
      <c r="BH57" s="397">
        <f>+_xlfn.XLOOKUP($AA57,'[52]②配宿シュミレーション(12,600人ver) '!$AO$6:$AO$707,'[52]②配宿シュミレーション(12,600人ver) '!BR$6:BR$707,)</f>
        <v>0</v>
      </c>
      <c r="BI57" s="397">
        <f>+_xlfn.XLOOKUP($AA57,'[52]②配宿シュミレーション(12,600人ver) '!$AO$6:$AO$707,'[52]②配宿シュミレーション(12,600人ver) '!BS$6:BS$707,)</f>
        <v>0</v>
      </c>
      <c r="BJ57" s="397">
        <f>+_xlfn.XLOOKUP($AA57,'[52]②配宿シュミレーション(12,600人ver) '!$AO$6:$AO$707,'[52]②配宿シュミレーション(12,600人ver) '!BT$6:BT$707,)</f>
        <v>0</v>
      </c>
      <c r="BK57" s="397">
        <f>+_xlfn.XLOOKUP($AA57,'[52]②配宿シュミレーション(12,600人ver) '!$AO$6:$AO$707,'[52]②配宿シュミレーション(12,600人ver) '!BU$6:BU$707,)</f>
        <v>0</v>
      </c>
      <c r="BL57" s="397">
        <f>+_xlfn.XLOOKUP($AA57,'[52]②配宿シュミレーション(12,600人ver) '!$AO$6:$AO$707,'[52]②配宿シュミレーション(12,600人ver) '!BV$6:BV$707,)</f>
        <v>0</v>
      </c>
      <c r="BM57" s="397">
        <f>+_xlfn.XLOOKUP($AA57,'[52]②配宿シュミレーション(12,600人ver) '!$AO$6:$AO$707,'[52]②配宿シュミレーション(12,600人ver) '!BW$6:BW$707,)</f>
        <v>0</v>
      </c>
      <c r="BN57" s="472">
        <f>+_xlfn.XLOOKUP($AA57,'[52]②配宿シュミレーション(12,600人ver) '!$AO$6:$AO$707,'[52]②配宿シュミレーション(12,600人ver) '!BX$6:BX$707,)</f>
        <v>0</v>
      </c>
      <c r="BO57" s="290"/>
      <c r="BP57" s="332"/>
      <c r="BQ57" s="333"/>
    </row>
    <row r="58" spans="1:69" s="521" customFormat="1" ht="46" customHeight="1" thickBot="1">
      <c r="A58" s="2862"/>
      <c r="B58" s="2863"/>
      <c r="C58" s="343"/>
      <c r="D58" s="344" t="str">
        <f>IF(_xlfn.XLOOKUP(E58,[52]宿泊施設DB!$B$3:$B$207,[52]宿泊施設DB!$A$3:$A$207,"",)=0,"",_xlfn.XLOOKUP(E58,[52]宿泊施設DB!$B$3:$B$207,[52]宿泊施設DB!$A$3:$A$207,"",))</f>
        <v/>
      </c>
      <c r="E58" s="345"/>
      <c r="F58" s="2868">
        <f>_xlfn.XLOOKUP($E58,[52]宿泊施設DB!$B$3:$B$207,[52]宿泊施設DB!$D$3:$D$207,"",)</f>
        <v>0</v>
      </c>
      <c r="G58" s="2868">
        <f>_xlfn.XLOOKUP($E58,[52]宿泊施設DB!$B$3:$B$207,[52]宿泊施設DB!$E$3:$E$207,"",)</f>
        <v>0</v>
      </c>
      <c r="H58" s="2869">
        <f>_xlfn.XLOOKUP($E58,[52]宿泊施設DB!$B$3:$B$207,[52]宿泊施設DB!$J$3:$J$207,"",)</f>
        <v>0</v>
      </c>
      <c r="I58" s="2870">
        <f>_xlfn.XLOOKUP($E58,[52]宿泊施設DB!$B$3:$B$207,[52]宿泊施設DB!$T$3:$T$207,"",)</f>
        <v>0</v>
      </c>
      <c r="J58" s="2870"/>
      <c r="K58" s="2869">
        <f>_xlfn.XLOOKUP($E58,[52]宿泊施設DB!$B$3:$B$207,[52]宿泊施設DB!$S$3:$S$207,"",)</f>
        <v>0</v>
      </c>
      <c r="L58" s="2870">
        <f>_xlfn.XLOOKUP($E58,[52]宿泊施設DB!$B$3:$B$207,[52]宿泊施設DB!$U$3:$U$207,"",)</f>
        <v>0</v>
      </c>
      <c r="M58" s="2870">
        <f>_xlfn.XLOOKUP($E58,[52]宿泊施設DB!$B$3:$B$207,[52]宿泊施設DB!$V$3:$V$207,"",)</f>
        <v>0</v>
      </c>
      <c r="N58" s="2870">
        <f>_xlfn.XLOOKUP($E58,[52]宿泊施設DB!$B$3:$B$207,[52]宿泊施設DB!$W$3:$W$207,"",)</f>
        <v>0</v>
      </c>
      <c r="O58" s="2870">
        <f>_xlfn.XLOOKUP($E58,[52]宿泊施設DB!$B$3:$B$207,[52]宿泊施設DB!$X$3:$X$207,"",)</f>
        <v>0</v>
      </c>
      <c r="P58" s="349" t="str">
        <f t="shared" si="2"/>
        <v/>
      </c>
      <c r="Q58" s="343"/>
      <c r="R58" s="3330" t="s">
        <v>2530</v>
      </c>
      <c r="S58" s="3331" t="str">
        <f>IFERROR(VLOOKUP($R58,'[52]競技情報DB(12,600人ver) '!$A$6:$D$203,2,),"－")</f>
        <v>－</v>
      </c>
      <c r="T58" s="361">
        <f>_xlfn.XLOOKUP(R58,'[52]競技情報DB(12,600人ver) '!$A$6:$A$101,'[52]競技情報DB(12,600人ver) '!$D$6:$D$101,"",0,)</f>
        <v>83</v>
      </c>
      <c r="U58" s="3332"/>
      <c r="V58" s="3333" t="str">
        <f>IFERROR(VLOOKUP($R58,'[52]競技情報DB(12,600人ver) '!$A$6:$D$203,3,),"－")</f>
        <v>－</v>
      </c>
      <c r="W58" s="3334"/>
      <c r="X58" s="3335"/>
      <c r="Y58" s="365"/>
      <c r="Z58" s="358"/>
      <c r="AA58" s="587"/>
      <c r="AB58" s="3336"/>
      <c r="AC58" s="3336"/>
      <c r="AD58" s="3337"/>
      <c r="AE58" s="588"/>
      <c r="AF58" s="589"/>
      <c r="AG58" s="589"/>
      <c r="AH58" s="589"/>
      <c r="AI58" s="589"/>
      <c r="AJ58" s="589"/>
      <c r="AK58" s="589"/>
      <c r="AL58" s="589"/>
      <c r="AM58" s="589"/>
      <c r="AN58" s="589"/>
      <c r="AO58" s="589"/>
      <c r="AP58" s="589"/>
      <c r="AQ58" s="589"/>
      <c r="AR58" s="589"/>
      <c r="AS58" s="589"/>
      <c r="AT58" s="589"/>
      <c r="AU58" s="589"/>
      <c r="AV58" s="589"/>
      <c r="AW58" s="589"/>
      <c r="AX58" s="589"/>
      <c r="AY58" s="589"/>
      <c r="AZ58" s="589"/>
      <c r="BA58" s="589"/>
      <c r="BB58" s="589"/>
      <c r="BC58" s="589"/>
      <c r="BD58" s="589"/>
      <c r="BE58" s="589"/>
      <c r="BF58" s="589"/>
      <c r="BG58" s="589"/>
      <c r="BH58" s="589"/>
      <c r="BI58" s="589"/>
      <c r="BJ58" s="589"/>
      <c r="BK58" s="589"/>
      <c r="BL58" s="589"/>
      <c r="BM58" s="589"/>
      <c r="BN58" s="590"/>
      <c r="BO58" s="290"/>
      <c r="BP58" s="332"/>
      <c r="BQ58" s="333"/>
    </row>
    <row r="59" spans="1:69" ht="46" customHeight="1">
      <c r="A59" s="2903" t="s">
        <v>2474</v>
      </c>
      <c r="B59" s="2852" t="s">
        <v>2158</v>
      </c>
      <c r="C59" s="248">
        <f>C57+1</f>
        <v>11</v>
      </c>
      <c r="D59" s="249">
        <f>IF(_xlfn.XLOOKUP(E59,[52]宿泊施設DB!$B$3:$B$207,[52]宿泊施設DB!$A$3:$A$207,"",)=0,"",_xlfn.XLOOKUP(E59,[52]宿泊施設DB!$B$3:$B$207,[52]宿泊施設DB!$A$3:$A$207,"",))</f>
        <v>221</v>
      </c>
      <c r="E59" s="593" t="s">
        <v>2287</v>
      </c>
      <c r="F59" s="2854">
        <f>_xlfn.XLOOKUP($E59,[52]宿泊施設DB!$B$3:$B$207,[52]宿泊施設DB!$D$3:$D$207,"",)</f>
        <v>108</v>
      </c>
      <c r="G59" s="2854">
        <f>_xlfn.XLOOKUP($E59,[52]宿泊施設DB!$B$3:$B$207,[52]宿泊施設DB!$E$3:$E$207,"",)</f>
        <v>162</v>
      </c>
      <c r="H59" s="2904">
        <f>_xlfn.XLOOKUP($E59,[52]宿泊施設DB!$B$3:$B$207,[52]宿泊施設DB!$J$3:$J$207,"",)</f>
        <v>11</v>
      </c>
      <c r="I59" s="2857" t="str">
        <f>_xlfn.XLOOKUP($E59,[52]宿泊施設DB!$B$3:$B$207,[52]宿泊施設DB!$T$3:$T$207,"",)</f>
        <v>中</v>
      </c>
      <c r="J59" s="2866" t="str">
        <f>_xlfn.XLOOKUP($E59,[52]宿泊施設DB!$B$3:$B$207,[52]宿泊施設DB!$R$3:$R$207,"",)</f>
        <v>宿泊施設</v>
      </c>
      <c r="K59" s="2865">
        <f>_xlfn.XLOOKUP($E59,[52]宿泊施設DB!$B$3:$B$207,[52]宿泊施設DB!$S$3:$S$207,"",)</f>
        <v>40</v>
      </c>
      <c r="L59" s="2866" t="str">
        <f>_xlfn.XLOOKUP($E59,[52]宿泊施設DB!$B$3:$B$207,[52]宿泊施設DB!$U$3:$U$207,"",)</f>
        <v>－</v>
      </c>
      <c r="M59" s="2866" t="str">
        <f>_xlfn.XLOOKUP($E59,[52]宿泊施設DB!$B$3:$B$207,[52]宿泊施設DB!$V$3:$V$207,"",)</f>
        <v>○</v>
      </c>
      <c r="N59" s="2866" t="str">
        <f>_xlfn.XLOOKUP($E59,[52]宿泊施設DB!$B$3:$B$207,[52]宿泊施設DB!$W$3:$W$207,"",)</f>
        <v>○</v>
      </c>
      <c r="O59" s="2866" t="str">
        <f>_xlfn.XLOOKUP($E59,[52]宿泊施設DB!$B$3:$B$207,[52]宿泊施設DB!$X$3:$X$207,"",)</f>
        <v>玄関前（屋根無）2台</v>
      </c>
      <c r="P59" s="302" t="str">
        <f t="shared" si="2"/>
        <v>○</v>
      </c>
      <c r="Q59" s="296" t="s">
        <v>2136</v>
      </c>
      <c r="R59" s="3349" t="s">
        <v>2289</v>
      </c>
      <c r="S59" s="601" t="str">
        <f>IFERROR(VLOOKUP($R59,'[52]競技情報DB(12,600人ver) '!$A$6:$D$203,2,),"－")</f>
        <v>豊田市</v>
      </c>
      <c r="T59" s="602">
        <f>_xlfn.XLOOKUP(R59,'[52]競技情報DB(12,600人ver) '!$A$6:$A$101,'[52]競技情報DB(12,600人ver) '!$D$6:$D$101,"",0,)</f>
        <v>140</v>
      </c>
      <c r="U59" s="3358">
        <f>SUM(T59:T59)</f>
        <v>140</v>
      </c>
      <c r="V59" s="3299" t="str">
        <f>IFERROR(VLOOKUP($R59,'[52]競技情報DB(12,600人ver) '!$A$6:$D$203,3,),"－")</f>
        <v>愛知県総合射撃場</v>
      </c>
      <c r="W59" s="3300">
        <v>19</v>
      </c>
      <c r="X59" s="3301">
        <v>41</v>
      </c>
      <c r="Y59" s="274">
        <f>$G59-MAX(AF59:BN59)</f>
        <v>22</v>
      </c>
      <c r="Z59" s="680">
        <f>+Y59/$G59</f>
        <v>0.13580246913580246</v>
      </c>
      <c r="AA59" s="275" t="str">
        <f>E59&amp;"　"&amp;"合計"</f>
        <v>ホテルグランドティアラ南名古屋　合計</v>
      </c>
      <c r="AB59" s="3359">
        <f>IFERROR(INDEX($AF$3:$BN$3, MATCH("準備", AF59:BN59, 0)), "")</f>
        <v>46279</v>
      </c>
      <c r="AC59" s="3359" cm="1">
        <f t="array" ref="AC59">IF(COUNTIF(AF59:BN59,"*撤去*")=0,"",INDEX(AF$3:BN$3,1,MAX(IF(AF59:BN59="撤去",COLUMN(AF59:BN59)-COLUMN(AF59)+1))))</f>
        <v>46296</v>
      </c>
      <c r="AD59" s="3360">
        <f>AC59-AB59</f>
        <v>17</v>
      </c>
      <c r="AE59" s="276" t="str">
        <f>+$AE$114</f>
        <v>12,600人</v>
      </c>
      <c r="AF59" s="280">
        <f>+_xlfn.XLOOKUP($AA59,'[52]②配宿シュミレーション(12,600人ver) '!$AO$6:$AO$707,'[52]②配宿シュミレーション(12,600人ver) '!AP$6:AP$707,)</f>
        <v>0</v>
      </c>
      <c r="AG59" s="280">
        <f>+_xlfn.XLOOKUP($AA59,'[52]②配宿シュミレーション(12,600人ver) '!$AO$6:$AO$707,'[52]②配宿シュミレーション(12,600人ver) '!AQ$6:AQ$707,)</f>
        <v>0</v>
      </c>
      <c r="AH59" s="280">
        <f>+_xlfn.XLOOKUP($AA59,'[52]②配宿シュミレーション(12,600人ver) '!$AO$6:$AO$707,'[52]②配宿シュミレーション(12,600人ver) '!AR$6:AR$707,)</f>
        <v>0</v>
      </c>
      <c r="AI59" s="280">
        <f>+_xlfn.XLOOKUP($AA59,'[52]②配宿シュミレーション(12,600人ver) '!$AO$6:$AO$707,'[52]②配宿シュミレーション(12,600人ver) '!AS$6:AS$707,)</f>
        <v>0</v>
      </c>
      <c r="AJ59" s="280">
        <f>+_xlfn.XLOOKUP($AA59,'[52]②配宿シュミレーション(12,600人ver) '!$AO$6:$AO$707,'[52]②配宿シュミレーション(12,600人ver) '!AT$6:AT$707,)</f>
        <v>0</v>
      </c>
      <c r="AK59" s="280">
        <f>+_xlfn.XLOOKUP($AA59,'[52]②配宿シュミレーション(12,600人ver) '!$AO$6:$AO$707,'[52]②配宿シュミレーション(12,600人ver) '!AU$6:AU$707,)</f>
        <v>0</v>
      </c>
      <c r="AL59" s="280">
        <f>+_xlfn.XLOOKUP($AA59,'[52]②配宿シュミレーション(12,600人ver) '!$AO$6:$AO$707,'[52]②配宿シュミレーション(12,600人ver) '!AV$6:AV$707,)</f>
        <v>0</v>
      </c>
      <c r="AM59" s="280">
        <f>+_xlfn.XLOOKUP($AA59,'[52]②配宿シュミレーション(12,600人ver) '!$AO$6:$AO$707,'[52]②配宿シュミレーション(12,600人ver) '!AW$6:AW$707,)</f>
        <v>0</v>
      </c>
      <c r="AN59" s="280">
        <f>+_xlfn.XLOOKUP($AA59,'[52]②配宿シュミレーション(12,600人ver) '!$AO$6:$AO$707,'[52]②配宿シュミレーション(12,600人ver) '!AX$6:AX$707,)</f>
        <v>0</v>
      </c>
      <c r="AO59" s="280">
        <f>+_xlfn.XLOOKUP($AA59,'[52]②配宿シュミレーション(12,600人ver) '!$AO$6:$AO$707,'[52]②配宿シュミレーション(12,600人ver) '!AY$6:AY$707,)</f>
        <v>0</v>
      </c>
      <c r="AP59" s="3327" t="s">
        <v>2447</v>
      </c>
      <c r="AQ59" s="3339">
        <f>+_xlfn.XLOOKUP($AA59,'[52]②配宿シュミレーション(12,600人ver) '!$AO$6:$AO$707,'[52]②配宿シュミレーション(12,600人ver) '!BA$6:BA$707,)</f>
        <v>0</v>
      </c>
      <c r="AR59" s="280">
        <f>+_xlfn.XLOOKUP($AA59,'[52]②配宿シュミレーション(12,600人ver) '!$AO$6:$AO$707,'[52]②配宿シュミレーション(12,600人ver) '!BB$6:BB$707,)</f>
        <v>140</v>
      </c>
      <c r="AS59" s="280">
        <f>+_xlfn.XLOOKUP($AA59,'[52]②配宿シュミレーション(12,600人ver) '!$AO$6:$AO$707,'[52]②配宿シュミレーション(12,600人ver) '!BC$6:BC$707,)</f>
        <v>140</v>
      </c>
      <c r="AT59" s="280">
        <f>+_xlfn.XLOOKUP($AA59,'[52]②配宿シュミレーション(12,600人ver) '!$AO$6:$AO$707,'[52]②配宿シュミレーション(12,600人ver) '!BD$6:BD$707,)</f>
        <v>140</v>
      </c>
      <c r="AU59" s="280">
        <f>+_xlfn.XLOOKUP($AA59,'[52]②配宿シュミレーション(12,600人ver) '!$AO$6:$AO$707,'[52]②配宿シュミレーション(12,600人ver) '!BE$6:BE$707,)</f>
        <v>140</v>
      </c>
      <c r="AV59" s="280">
        <f>+_xlfn.XLOOKUP($AA59,'[52]②配宿シュミレーション(12,600人ver) '!$AO$6:$AO$707,'[52]②配宿シュミレーション(12,600人ver) '!BF$6:BF$707,)</f>
        <v>140</v>
      </c>
      <c r="AW59" s="280">
        <f>+_xlfn.XLOOKUP($AA59,'[52]②配宿シュミレーション(12,600人ver) '!$AO$6:$AO$707,'[52]②配宿シュミレーション(12,600人ver) '!BG$6:BG$707,)</f>
        <v>140</v>
      </c>
      <c r="AX59" s="280">
        <f>+_xlfn.XLOOKUP($AA59,'[52]②配宿シュミレーション(12,600人ver) '!$AO$6:$AO$707,'[52]②配宿シュミレーション(12,600人ver) '!BH$6:BH$707,)</f>
        <v>140</v>
      </c>
      <c r="AY59" s="280">
        <f>+_xlfn.XLOOKUP($AA59,'[52]②配宿シュミレーション(12,600人ver) '!$AO$6:$AO$707,'[52]②配宿シュミレーション(12,600人ver) '!BI$6:BI$707,)</f>
        <v>140</v>
      </c>
      <c r="AZ59" s="280">
        <f>+_xlfn.XLOOKUP($AA59,'[52]②配宿シュミレーション(12,600人ver) '!$AO$6:$AO$707,'[52]②配宿シュミレーション(12,600人ver) '!BJ$6:BJ$707,)</f>
        <v>140</v>
      </c>
      <c r="BA59" s="280">
        <f>+_xlfn.XLOOKUP($AA59,'[52]②配宿シュミレーション(12,600人ver) '!$AO$6:$AO$707,'[52]②配宿シュミレーション(12,600人ver) '!BK$6:BK$707,)</f>
        <v>140</v>
      </c>
      <c r="BB59" s="280">
        <f>+_xlfn.XLOOKUP($AA59,'[52]②配宿シュミレーション(12,600人ver) '!$AO$6:$AO$707,'[52]②配宿シュミレーション(12,600人ver) '!BL$6:BL$707,)</f>
        <v>140</v>
      </c>
      <c r="BC59" s="280">
        <f>+_xlfn.XLOOKUP($AA59,'[52]②配宿シュミレーション(12,600人ver) '!$AO$6:$AO$707,'[52]②配宿シュミレーション(12,600人ver) '!BM$6:BM$707,)</f>
        <v>140</v>
      </c>
      <c r="BD59" s="280">
        <f>+_xlfn.XLOOKUP($AA59,'[52]②配宿シュミレーション(12,600人ver) '!$AO$6:$AO$707,'[52]②配宿シュミレーション(12,600人ver) '!BN$6:BN$707,)</f>
        <v>140</v>
      </c>
      <c r="BE59" s="280">
        <f>+_xlfn.XLOOKUP($AA59,'[52]②配宿シュミレーション(12,600人ver) '!$AO$6:$AO$707,'[52]②配宿シュミレーション(12,600人ver) '!BO$6:BO$707,)</f>
        <v>140</v>
      </c>
      <c r="BF59" s="280">
        <f>+_xlfn.XLOOKUP($AA59,'[52]②配宿シュミレーション(12,600人ver) '!$AO$6:$AO$707,'[52]②配宿シュミレーション(12,600人ver) '!BP$6:BP$707,)</f>
        <v>140</v>
      </c>
      <c r="BG59" s="3306" t="s">
        <v>2448</v>
      </c>
      <c r="BH59" s="280">
        <f>+_xlfn.XLOOKUP($AA59,'[52]②配宿シュミレーション(12,600人ver) '!$AO$6:$AO$707,'[52]②配宿シュミレーション(12,600人ver) '!BR$6:BR$707,)</f>
        <v>0</v>
      </c>
      <c r="BI59" s="280">
        <f>+_xlfn.XLOOKUP($AA59,'[52]②配宿シュミレーション(12,600人ver) '!$AO$6:$AO$707,'[52]②配宿シュミレーション(12,600人ver) '!BS$6:BS$707,)</f>
        <v>0</v>
      </c>
      <c r="BJ59" s="280">
        <f>+_xlfn.XLOOKUP($AA59,'[52]②配宿シュミレーション(12,600人ver) '!$AO$6:$AO$707,'[52]②配宿シュミレーション(12,600人ver) '!BT$6:BT$707,)</f>
        <v>0</v>
      </c>
      <c r="BK59" s="280">
        <f>+_xlfn.XLOOKUP($AA59,'[52]②配宿シュミレーション(12,600人ver) '!$AO$6:$AO$707,'[52]②配宿シュミレーション(12,600人ver) '!BU$6:BU$707,)</f>
        <v>0</v>
      </c>
      <c r="BL59" s="280">
        <f>+_xlfn.XLOOKUP($AA59,'[52]②配宿シュミレーション(12,600人ver) '!$AO$6:$AO$707,'[52]②配宿シュミレーション(12,600人ver) '!BV$6:BV$707,)</f>
        <v>0</v>
      </c>
      <c r="BM59" s="280">
        <f>+_xlfn.XLOOKUP($AA59,'[52]②配宿シュミレーション(12,600人ver) '!$AO$6:$AO$707,'[52]②配宿シュミレーション(12,600人ver) '!BW$6:BW$707,)</f>
        <v>0</v>
      </c>
      <c r="BN59" s="606">
        <f>+_xlfn.XLOOKUP($AA59,'[52]②配宿シュミレーション(12,600人ver) '!$AO$6:$AO$707,'[52]②配宿シュミレーション(12,600人ver) '!BX$6:BX$707,)</f>
        <v>0</v>
      </c>
      <c r="BO59" s="573"/>
      <c r="BP59" s="574"/>
      <c r="BQ59" s="575"/>
    </row>
    <row r="60" spans="1:69" s="521" customFormat="1" ht="46" customHeight="1" thickBot="1">
      <c r="A60" s="2862"/>
      <c r="B60" s="2863"/>
      <c r="C60" s="420"/>
      <c r="D60" s="421" t="str">
        <f>IF(_xlfn.XLOOKUP(E60,[52]宿泊施設DB!$B$3:$B$207,[52]宿泊施設DB!$A$3:$A$207,"",)=0,"",_xlfn.XLOOKUP(E60,[52]宿泊施設DB!$B$3:$B$207,[52]宿泊施設DB!$A$3:$A$207,"",))</f>
        <v/>
      </c>
      <c r="E60" s="612"/>
      <c r="F60" s="2875">
        <f>_xlfn.XLOOKUP($E60,[52]宿泊施設DB!$B$3:$B$207,[52]宿泊施設DB!$D$3:$D$207,"",)</f>
        <v>0</v>
      </c>
      <c r="G60" s="2875">
        <f>_xlfn.XLOOKUP($E60,[52]宿泊施設DB!$B$3:$B$207,[52]宿泊施設DB!$E$3:$E$207,"",)</f>
        <v>0</v>
      </c>
      <c r="H60" s="2877">
        <f>_xlfn.XLOOKUP($E60,[52]宿泊施設DB!$B$3:$B$207,[52]宿泊施設DB!$J$3:$J$207,"",)</f>
        <v>0</v>
      </c>
      <c r="I60" s="2878">
        <f>_xlfn.XLOOKUP($E60,[52]宿泊施設DB!$B$3:$B$207,[52]宿泊施設DB!$T$3:$T$207,"",)</f>
        <v>0</v>
      </c>
      <c r="J60" s="2878">
        <f>_xlfn.XLOOKUP($E60,[52]宿泊施設DB!$B$3:$B$207,[52]宿泊施設DB!$R$3:$R$207,"",)</f>
        <v>0</v>
      </c>
      <c r="K60" s="2877">
        <f>_xlfn.XLOOKUP($E60,[52]宿泊施設DB!$B$3:$B$207,[52]宿泊施設DB!$S$3:$S$207,"",)</f>
        <v>0</v>
      </c>
      <c r="L60" s="2878">
        <f>_xlfn.XLOOKUP($E60,[52]宿泊施設DB!$B$3:$B$207,[52]宿泊施設DB!$U$3:$U$207,"",)</f>
        <v>0</v>
      </c>
      <c r="M60" s="2878">
        <f>_xlfn.XLOOKUP($E60,[52]宿泊施設DB!$B$3:$B$207,[52]宿泊施設DB!$V$3:$V$207,"",)</f>
        <v>0</v>
      </c>
      <c r="N60" s="2878">
        <f>_xlfn.XLOOKUP($E60,[52]宿泊施設DB!$B$3:$B$207,[52]宿泊施設DB!$W$3:$W$207,"",)</f>
        <v>0</v>
      </c>
      <c r="O60" s="2878">
        <f>_xlfn.XLOOKUP($E60,[52]宿泊施設DB!$B$3:$B$207,[52]宿泊施設DB!$X$3:$X$207,"",)</f>
        <v>0</v>
      </c>
      <c r="P60" s="426" t="str">
        <f t="shared" si="2"/>
        <v/>
      </c>
      <c r="Q60" s="3361"/>
      <c r="R60" s="714"/>
      <c r="S60" s="437" t="str">
        <f>IFERROR(VLOOKUP($R60,'[52]競技情報DB(12,600人ver) '!$A$6:$D$203,2,),"－")</f>
        <v>－</v>
      </c>
      <c r="T60" s="438">
        <f>_xlfn.XLOOKUP(R60,'[52]競技情報DB(12,600人ver) '!$A$6:$A$101,'[52]競技情報DB(12,600人ver) '!$D$6:$D$101,"",0,)</f>
        <v>0</v>
      </c>
      <c r="U60" s="3362"/>
      <c r="V60" s="3343" t="str">
        <f>IFERROR(VLOOKUP($R60,'[52]競技情報DB(12,600人ver) '!$A$6:$D$203,3,),"－")</f>
        <v>－</v>
      </c>
      <c r="W60" s="3344"/>
      <c r="X60" s="3345"/>
      <c r="Y60" s="442"/>
      <c r="Z60" s="652"/>
      <c r="AA60" s="517"/>
      <c r="AB60" s="3346"/>
      <c r="AC60" s="3346"/>
      <c r="AD60" s="3347"/>
      <c r="AE60" s="518"/>
      <c r="AF60" s="445"/>
      <c r="AG60" s="445"/>
      <c r="AH60" s="445"/>
      <c r="AI60" s="445"/>
      <c r="AJ60" s="445"/>
      <c r="AK60" s="445"/>
      <c r="AL60" s="445"/>
      <c r="AM60" s="445"/>
      <c r="AN60" s="445"/>
      <c r="AO60" s="445"/>
      <c r="AP60" s="445"/>
      <c r="AQ60" s="445"/>
      <c r="AR60" s="445"/>
      <c r="AS60" s="445"/>
      <c r="AT60" s="445"/>
      <c r="AU60" s="445"/>
      <c r="AV60" s="445"/>
      <c r="AW60" s="445"/>
      <c r="AX60" s="445"/>
      <c r="AY60" s="445"/>
      <c r="AZ60" s="445"/>
      <c r="BA60" s="445"/>
      <c r="BB60" s="445"/>
      <c r="BC60" s="445"/>
      <c r="BD60" s="445"/>
      <c r="BE60" s="445"/>
      <c r="BF60" s="445"/>
      <c r="BG60" s="336"/>
      <c r="BH60" s="445"/>
      <c r="BI60" s="445"/>
      <c r="BJ60" s="445"/>
      <c r="BK60" s="445"/>
      <c r="BL60" s="445"/>
      <c r="BM60" s="445"/>
      <c r="BN60" s="449"/>
      <c r="BO60" s="573"/>
      <c r="BP60" s="614"/>
      <c r="BQ60" s="615"/>
    </row>
    <row r="61" spans="1:69" ht="46" customHeight="1">
      <c r="A61" s="2862"/>
      <c r="B61" s="296"/>
      <c r="C61" s="296">
        <f>C59+1</f>
        <v>12</v>
      </c>
      <c r="D61" s="297">
        <f>IF(_xlfn.XLOOKUP(E61,[52]宿泊施設DB!$B$3:$B$207,[52]宿泊施設DB!$A$3:$A$207,"",)=0,"",_xlfn.XLOOKUP(E61,[52]宿泊施設DB!$B$3:$B$207,[52]宿泊施設DB!$A$3:$A$207,"",))</f>
        <v>219</v>
      </c>
      <c r="E61" s="609" t="s">
        <v>2291</v>
      </c>
      <c r="F61" s="2864">
        <f>_xlfn.XLOOKUP($E61,[52]宿泊施設DB!$B$3:$B$207,[52]宿泊施設DB!$D$3:$D$207,"",)</f>
        <v>246</v>
      </c>
      <c r="G61" s="2864">
        <f>_xlfn.XLOOKUP($E61,[52]宿泊施設DB!$B$3:$B$207,[52]宿泊施設DB!$E$3:$E$207,"",)</f>
        <v>247</v>
      </c>
      <c r="H61" s="2865">
        <f>_xlfn.XLOOKUP($E61,[52]宿泊施設DB!$B$3:$B$207,[52]宿泊施設DB!$J$3:$J$207,"",)</f>
        <v>0</v>
      </c>
      <c r="I61" s="2866" t="str">
        <f>_xlfn.XLOOKUP($E61,[52]宿泊施設DB!$B$3:$B$207,[52]宿泊施設DB!$T$3:$T$207,"",)</f>
        <v>高</v>
      </c>
      <c r="J61" s="2866" t="str">
        <f>_xlfn.XLOOKUP($E61,[52]宿泊施設DB!$B$3:$B$207,[52]宿泊施設DB!$R$3:$R$207,"",)</f>
        <v>ケータリング</v>
      </c>
      <c r="K61" s="2865">
        <f>_xlfn.XLOOKUP($E61,[52]宿泊施設DB!$B$3:$B$207,[52]宿泊施設DB!$S$3:$S$207,"",)</f>
        <v>40</v>
      </c>
      <c r="L61" s="2866" t="str">
        <f>_xlfn.XLOOKUP($E61,[52]宿泊施設DB!$B$3:$B$207,[52]宿泊施設DB!$U$3:$U$207,"",)</f>
        <v>－</v>
      </c>
      <c r="M61" s="2866" t="str">
        <f>_xlfn.XLOOKUP($E61,[52]宿泊施設DB!$B$3:$B$207,[52]宿泊施設DB!$V$3:$V$207,"",)</f>
        <v>－</v>
      </c>
      <c r="N61" s="2866" t="str">
        <f>_xlfn.XLOOKUP($E61,[52]宿泊施設DB!$B$3:$B$207,[52]宿泊施設DB!$W$3:$W$207,"",)</f>
        <v>○</v>
      </c>
      <c r="O61" s="2866" t="str">
        <f>_xlfn.XLOOKUP($E61,[52]宿泊施設DB!$B$3:$B$207,[52]宿泊施設DB!$X$3:$X$207,"",)</f>
        <v>路上1台</v>
      </c>
      <c r="P61" s="302" t="str">
        <f t="shared" si="2"/>
        <v>○</v>
      </c>
      <c r="Q61" s="296" t="s">
        <v>2169</v>
      </c>
      <c r="R61" s="703" t="s">
        <v>2292</v>
      </c>
      <c r="S61" s="528" t="str">
        <f>IFERROR(VLOOKUP($R61,'[52]競技情報DB(12,600人ver) '!$A$6:$D$203,2,),"－")</f>
        <v>豊田市</v>
      </c>
      <c r="T61" s="529">
        <f>_xlfn.XLOOKUP(R61,'[52]競技情報DB(12,600人ver) '!$A$6:$A$101,'[52]競技情報DB(12,600人ver) '!$D$6:$D$101,"",0,)</f>
        <v>215</v>
      </c>
      <c r="U61" s="3363">
        <f>SUM(T61:T62)</f>
        <v>215</v>
      </c>
      <c r="V61" s="3350" t="str">
        <f>IFERROR(VLOOKUP($R61,'[52]競技情報DB(12,600人ver) '!$A$6:$D$203,3,),"－")</f>
        <v>愛知県総合射撃場</v>
      </c>
      <c r="W61" s="3351">
        <v>3.5</v>
      </c>
      <c r="X61" s="3352">
        <v>9</v>
      </c>
      <c r="Y61" s="318">
        <f>$G61-MAX(AF61:BN61)</f>
        <v>32</v>
      </c>
      <c r="Z61" s="656">
        <f>+Y61/$G61</f>
        <v>0.12955465587044535</v>
      </c>
      <c r="AA61" s="491" t="str">
        <f>E61&amp;"　"&amp;"合計"</f>
        <v>東横INN三河安城駅新幹線南口２　合計</v>
      </c>
      <c r="AB61" s="3325">
        <f>IFERROR(INDEX($AF$3:$BN$3, MATCH("準備", AF61:BN61, 0)), "")</f>
        <v>46279</v>
      </c>
      <c r="AC61" s="3325" cm="1">
        <f t="array" ref="AC61">IF(COUNTIF(AF61:BN61,"*撤去*")=0,"",INDEX(AF$3:BN$3,1,MAX(IF(AF61:BN61="撤去",COLUMN(AF61:BN61)-COLUMN(AF61)+1))))</f>
        <v>46296</v>
      </c>
      <c r="AD61" s="3326">
        <f>AC61-AB61</f>
        <v>17</v>
      </c>
      <c r="AE61" s="492" t="str">
        <f>+$AE$114</f>
        <v>12,600人</v>
      </c>
      <c r="AF61" s="398">
        <f>+_xlfn.XLOOKUP($AA61,'[52]②配宿シュミレーション(12,600人ver) '!$AO$6:$AO$707,'[52]②配宿シュミレーション(12,600人ver) '!AP$6:AP$707,)</f>
        <v>0</v>
      </c>
      <c r="AG61" s="398">
        <f>+_xlfn.XLOOKUP($AA61,'[52]②配宿シュミレーション(12,600人ver) '!$AO$6:$AO$707,'[52]②配宿シュミレーション(12,600人ver) '!AQ$6:AQ$707,)</f>
        <v>0</v>
      </c>
      <c r="AH61" s="398">
        <f>+_xlfn.XLOOKUP($AA61,'[52]②配宿シュミレーション(12,600人ver) '!$AO$6:$AO$707,'[52]②配宿シュミレーション(12,600人ver) '!AR$6:AR$707,)</f>
        <v>0</v>
      </c>
      <c r="AI61" s="398">
        <f>+_xlfn.XLOOKUP($AA61,'[52]②配宿シュミレーション(12,600人ver) '!$AO$6:$AO$707,'[52]②配宿シュミレーション(12,600人ver) '!AS$6:AS$707,)</f>
        <v>0</v>
      </c>
      <c r="AJ61" s="398">
        <f>+_xlfn.XLOOKUP($AA61,'[52]②配宿シュミレーション(12,600人ver) '!$AO$6:$AO$707,'[52]②配宿シュミレーション(12,600人ver) '!AT$6:AT$707,)</f>
        <v>0</v>
      </c>
      <c r="AK61" s="398">
        <f>+_xlfn.XLOOKUP($AA61,'[52]②配宿シュミレーション(12,600人ver) '!$AO$6:$AO$707,'[52]②配宿シュミレーション(12,600人ver) '!AU$6:AU$707,)</f>
        <v>0</v>
      </c>
      <c r="AL61" s="398">
        <f>+_xlfn.XLOOKUP($AA61,'[52]②配宿シュミレーション(12,600人ver) '!$AO$6:$AO$707,'[52]②配宿シュミレーション(12,600人ver) '!AV$6:AV$707,)</f>
        <v>0</v>
      </c>
      <c r="AM61" s="398">
        <f>+_xlfn.XLOOKUP($AA61,'[52]②配宿シュミレーション(12,600人ver) '!$AO$6:$AO$707,'[52]②配宿シュミレーション(12,600人ver) '!AW$6:AW$707,)</f>
        <v>0</v>
      </c>
      <c r="AN61" s="398">
        <f>+_xlfn.XLOOKUP($AA61,'[52]②配宿シュミレーション(12,600人ver) '!$AO$6:$AO$707,'[52]②配宿シュミレーション(12,600人ver) '!AX$6:AX$707,)</f>
        <v>0</v>
      </c>
      <c r="AO61" s="398">
        <f>+_xlfn.XLOOKUP($AA61,'[52]②配宿シュミレーション(12,600人ver) '!$AO$6:$AO$707,'[52]②配宿シュミレーション(12,600人ver) '!AY$6:AY$707,)</f>
        <v>0</v>
      </c>
      <c r="AP61" s="3327" t="s">
        <v>2447</v>
      </c>
      <c r="AQ61" s="3364">
        <f>+_xlfn.XLOOKUP($AA61,'[52]②配宿シュミレーション(12,600人ver) '!$AO$6:$AO$707,'[52]②配宿シュミレーション(12,600人ver) '!BA$6:BA$707,)</f>
        <v>0</v>
      </c>
      <c r="AR61" s="398">
        <f>+_xlfn.XLOOKUP($AA61,'[52]②配宿シュミレーション(12,600人ver) '!$AO$6:$AO$707,'[52]②配宿シュミレーション(12,600人ver) '!BB$6:BB$707,)</f>
        <v>215</v>
      </c>
      <c r="AS61" s="398">
        <f>+_xlfn.XLOOKUP($AA61,'[52]②配宿シュミレーション(12,600人ver) '!$AO$6:$AO$707,'[52]②配宿シュミレーション(12,600人ver) '!BC$6:BC$707,)</f>
        <v>215</v>
      </c>
      <c r="AT61" s="398">
        <f>+_xlfn.XLOOKUP($AA61,'[52]②配宿シュミレーション(12,600人ver) '!$AO$6:$AO$707,'[52]②配宿シュミレーション(12,600人ver) '!BD$6:BD$707,)</f>
        <v>215</v>
      </c>
      <c r="AU61" s="398">
        <f>+_xlfn.XLOOKUP($AA61,'[52]②配宿シュミレーション(12,600人ver) '!$AO$6:$AO$707,'[52]②配宿シュミレーション(12,600人ver) '!BE$6:BE$707,)</f>
        <v>215</v>
      </c>
      <c r="AV61" s="398">
        <f>+_xlfn.XLOOKUP($AA61,'[52]②配宿シュミレーション(12,600人ver) '!$AO$6:$AO$707,'[52]②配宿シュミレーション(12,600人ver) '!BF$6:BF$707,)</f>
        <v>215</v>
      </c>
      <c r="AW61" s="398">
        <f>+_xlfn.XLOOKUP($AA61,'[52]②配宿シュミレーション(12,600人ver) '!$AO$6:$AO$707,'[52]②配宿シュミレーション(12,600人ver) '!BG$6:BG$707,)</f>
        <v>215</v>
      </c>
      <c r="AX61" s="398">
        <f>+_xlfn.XLOOKUP($AA61,'[52]②配宿シュミレーション(12,600人ver) '!$AO$6:$AO$707,'[52]②配宿シュミレーション(12,600人ver) '!BH$6:BH$707,)</f>
        <v>215</v>
      </c>
      <c r="AY61" s="398">
        <f>+_xlfn.XLOOKUP($AA61,'[52]②配宿シュミレーション(12,600人ver) '!$AO$6:$AO$707,'[52]②配宿シュミレーション(12,600人ver) '!BI$6:BI$707,)</f>
        <v>215</v>
      </c>
      <c r="AZ61" s="398">
        <f>+_xlfn.XLOOKUP($AA61,'[52]②配宿シュミレーション(12,600人ver) '!$AO$6:$AO$707,'[52]②配宿シュミレーション(12,600人ver) '!BJ$6:BJ$707,)</f>
        <v>215</v>
      </c>
      <c r="BA61" s="398">
        <f>+_xlfn.XLOOKUP($AA61,'[52]②配宿シュミレーション(12,600人ver) '!$AO$6:$AO$707,'[52]②配宿シュミレーション(12,600人ver) '!BK$6:BK$707,)</f>
        <v>215</v>
      </c>
      <c r="BB61" s="398">
        <f>+_xlfn.XLOOKUP($AA61,'[52]②配宿シュミレーション(12,600人ver) '!$AO$6:$AO$707,'[52]②配宿シュミレーション(12,600人ver) '!BL$6:BL$707,)</f>
        <v>215</v>
      </c>
      <c r="BC61" s="398">
        <f>+_xlfn.XLOOKUP($AA61,'[52]②配宿シュミレーション(12,600人ver) '!$AO$6:$AO$707,'[52]②配宿シュミレーション(12,600人ver) '!BM$6:BM$707,)</f>
        <v>215</v>
      </c>
      <c r="BD61" s="398">
        <f>+_xlfn.XLOOKUP($AA61,'[52]②配宿シュミレーション(12,600人ver) '!$AO$6:$AO$707,'[52]②配宿シュミレーション(12,600人ver) '!BN$6:BN$707,)</f>
        <v>215</v>
      </c>
      <c r="BE61" s="398">
        <f>+_xlfn.XLOOKUP($AA61,'[52]②配宿シュミレーション(12,600人ver) '!$AO$6:$AO$707,'[52]②配宿シュミレーション(12,600人ver) '!BO$6:BO$707,)</f>
        <v>215</v>
      </c>
      <c r="BF61" s="398">
        <f>+_xlfn.XLOOKUP($AA61,'[52]②配宿シュミレーション(12,600人ver) '!$AO$6:$AO$707,'[52]②配宿シュミレーション(12,600人ver) '!BP$6:BP$707,)</f>
        <v>215</v>
      </c>
      <c r="BG61" s="3306" t="s">
        <v>2448</v>
      </c>
      <c r="BH61" s="398">
        <f>+_xlfn.XLOOKUP($AA61,'[52]②配宿シュミレーション(12,600人ver) '!$AO$6:$AO$707,'[52]②配宿シュミレーション(12,600人ver) '!BR$6:BR$707,)</f>
        <v>0</v>
      </c>
      <c r="BI61" s="398">
        <f>+_xlfn.XLOOKUP($AA61,'[52]②配宿シュミレーション(12,600人ver) '!$AO$6:$AO$707,'[52]②配宿シュミレーション(12,600人ver) '!BS$6:BS$707,)</f>
        <v>0</v>
      </c>
      <c r="BJ61" s="398">
        <f>+_xlfn.XLOOKUP($AA61,'[52]②配宿シュミレーション(12,600人ver) '!$AO$6:$AO$707,'[52]②配宿シュミレーション(12,600人ver) '!BT$6:BT$707,)</f>
        <v>0</v>
      </c>
      <c r="BK61" s="398">
        <f>+_xlfn.XLOOKUP($AA61,'[52]②配宿シュミレーション(12,600人ver) '!$AO$6:$AO$707,'[52]②配宿シュミレーション(12,600人ver) '!BU$6:BU$707,)</f>
        <v>0</v>
      </c>
      <c r="BL61" s="398">
        <f>+_xlfn.XLOOKUP($AA61,'[52]②配宿シュミレーション(12,600人ver) '!$AO$6:$AO$707,'[52]②配宿シュミレーション(12,600人ver) '!BV$6:BV$707,)</f>
        <v>0</v>
      </c>
      <c r="BM61" s="398">
        <f>+_xlfn.XLOOKUP($AA61,'[52]②配宿シュミレーション(12,600人ver) '!$AO$6:$AO$707,'[52]②配宿シュミレーション(12,600人ver) '!BW$6:BW$707,)</f>
        <v>0</v>
      </c>
      <c r="BN61" s="472">
        <f>+_xlfn.XLOOKUP($AA61,'[52]②配宿シュミレーション(12,600人ver) '!$AO$6:$AO$707,'[52]②配宿シュミレーション(12,600人ver) '!BX$6:BX$707,)</f>
        <v>0</v>
      </c>
      <c r="BO61" s="573"/>
      <c r="BP61" s="610"/>
      <c r="BQ61" s="611"/>
    </row>
    <row r="62" spans="1:69" s="521" customFormat="1" ht="46" customHeight="1" thickBot="1">
      <c r="A62" s="2862"/>
      <c r="B62" s="296"/>
      <c r="C62" s="420"/>
      <c r="D62" s="421" t="str">
        <f>IF(_xlfn.XLOOKUP(E62,[52]宿泊施設DB!$B$3:$B$207,[52]宿泊施設DB!$A$3:$A$207,"",)=0,"",_xlfn.XLOOKUP(E62,[52]宿泊施設DB!$B$3:$B$207,[52]宿泊施設DB!$A$3:$A$207,"",))</f>
        <v/>
      </c>
      <c r="E62" s="612"/>
      <c r="F62" s="2875">
        <f>_xlfn.XLOOKUP($E62,[52]宿泊施設DB!$B$3:$B$207,[52]宿泊施設DB!$D$3:$D$207,"",)</f>
        <v>0</v>
      </c>
      <c r="G62" s="2875">
        <f>_xlfn.XLOOKUP($E62,[52]宿泊施設DB!$B$3:$B$207,[52]宿泊施設DB!$E$3:$E$207,"",)</f>
        <v>0</v>
      </c>
      <c r="H62" s="2877">
        <f>_xlfn.XLOOKUP($E62,[52]宿泊施設DB!$B$3:$B$207,[52]宿泊施設DB!$J$3:$J$207,"",)</f>
        <v>0</v>
      </c>
      <c r="I62" s="2878">
        <f>_xlfn.XLOOKUP($E62,[52]宿泊施設DB!$B$3:$B$207,[52]宿泊施設DB!$T$3:$T$207,"",)</f>
        <v>0</v>
      </c>
      <c r="J62" s="2878" t="s">
        <v>2294</v>
      </c>
      <c r="K62" s="2877">
        <f>_xlfn.XLOOKUP($E62,[52]宿泊施設DB!$B$3:$B$207,[52]宿泊施設DB!$S$3:$S$207,"",)</f>
        <v>0</v>
      </c>
      <c r="L62" s="2878">
        <f>_xlfn.XLOOKUP($E62,[52]宿泊施設DB!$B$3:$B$207,[52]宿泊施設DB!$U$3:$U$207,"",)</f>
        <v>0</v>
      </c>
      <c r="M62" s="2878">
        <f>_xlfn.XLOOKUP($E62,[52]宿泊施設DB!$B$3:$B$207,[52]宿泊施設DB!$V$3:$V$207,"",)</f>
        <v>0</v>
      </c>
      <c r="N62" s="2878">
        <f>_xlfn.XLOOKUP($E62,[52]宿泊施設DB!$B$3:$B$207,[52]宿泊施設DB!$W$3:$W$207,"",)</f>
        <v>0</v>
      </c>
      <c r="O62" s="2878">
        <f>_xlfn.XLOOKUP($E62,[52]宿泊施設DB!$B$3:$B$207,[52]宿泊施設DB!$X$3:$X$207,"",)</f>
        <v>0</v>
      </c>
      <c r="P62" s="426" t="str">
        <f t="shared" si="2"/>
        <v/>
      </c>
      <c r="Q62" s="420"/>
      <c r="R62" s="3341"/>
      <c r="S62" s="478" t="str">
        <f>IFERROR(VLOOKUP($R62,'[52]競技情報DB(12,600人ver) '!$A$6:$D$203,2,),"－")</f>
        <v>－</v>
      </c>
      <c r="T62" s="479">
        <f>_xlfn.XLOOKUP(R62,'[52]競技情報DB(12,600人ver) '!$A$6:$A$101,'[52]競技情報DB(12,600人ver) '!$D$6:$D$101,"",0,)</f>
        <v>0</v>
      </c>
      <c r="U62" s="3365"/>
      <c r="V62" s="3343" t="str">
        <f>IFERROR(VLOOKUP($R62,'[52]競技情報DB(12,600人ver) '!$A$6:$D$203,3,),"－")</f>
        <v>－</v>
      </c>
      <c r="W62" s="3366">
        <v>3.5</v>
      </c>
      <c r="X62" s="3367">
        <v>9</v>
      </c>
      <c r="Y62" s="442"/>
      <c r="Z62" s="652"/>
      <c r="AA62" s="517"/>
      <c r="AB62" s="3346"/>
      <c r="AC62" s="3346"/>
      <c r="AD62" s="3347"/>
      <c r="AE62" s="518"/>
      <c r="AF62" s="445"/>
      <c r="AG62" s="445"/>
      <c r="AH62" s="445"/>
      <c r="AI62" s="445"/>
      <c r="AJ62" s="445"/>
      <c r="AK62" s="445"/>
      <c r="AL62" s="445"/>
      <c r="AM62" s="445"/>
      <c r="AN62" s="445"/>
      <c r="AO62" s="445"/>
      <c r="AP62" s="506"/>
      <c r="AQ62" s="506"/>
      <c r="AR62" s="445"/>
      <c r="AS62" s="445"/>
      <c r="AT62" s="445"/>
      <c r="AU62" s="445"/>
      <c r="AV62" s="445"/>
      <c r="AW62" s="445"/>
      <c r="AX62" s="445"/>
      <c r="AY62" s="445"/>
      <c r="AZ62" s="445"/>
      <c r="BA62" s="445"/>
      <c r="BB62" s="445"/>
      <c r="BC62" s="445"/>
      <c r="BD62" s="445"/>
      <c r="BE62" s="445"/>
      <c r="BF62" s="445"/>
      <c r="BG62" s="445"/>
      <c r="BH62" s="445"/>
      <c r="BI62" s="445"/>
      <c r="BJ62" s="445"/>
      <c r="BK62" s="445"/>
      <c r="BL62" s="445"/>
      <c r="BM62" s="445"/>
      <c r="BN62" s="449"/>
      <c r="BO62" s="573"/>
      <c r="BP62" s="610"/>
      <c r="BQ62" s="611"/>
    </row>
    <row r="63" spans="1:69" ht="46" customHeight="1">
      <c r="A63" s="2862"/>
      <c r="B63" s="296"/>
      <c r="C63" s="296">
        <f>C61+1</f>
        <v>13</v>
      </c>
      <c r="D63" s="297">
        <f>IF(_xlfn.XLOOKUP(E63,[52]宿泊施設DB!$B$3:$B$207,[52]宿泊施設DB!$A$3:$A$207,"",)=0,"",_xlfn.XLOOKUP(E63,[52]宿泊施設DB!$B$3:$B$207,[52]宿泊施設DB!$A$3:$A$207,"",))</f>
        <v>220</v>
      </c>
      <c r="E63" s="609" t="s">
        <v>2295</v>
      </c>
      <c r="F63" s="2864">
        <f>_xlfn.XLOOKUP($E63,[52]宿泊施設DB!$B$3:$B$207,[52]宿泊施設DB!$D$3:$D$207,"",)</f>
        <v>143</v>
      </c>
      <c r="G63" s="2864">
        <f>_xlfn.XLOOKUP($E63,[52]宿泊施設DB!$B$3:$B$207,[52]宿泊施設DB!$E$3:$E$207,"",)</f>
        <v>144</v>
      </c>
      <c r="H63" s="2865">
        <f>_xlfn.XLOOKUP($E63,[52]宿泊施設DB!$B$3:$B$207,[52]宿泊施設DB!$J$3:$J$207,"",)</f>
        <v>0</v>
      </c>
      <c r="I63" s="2866" t="str">
        <f>_xlfn.XLOOKUP($E63,[52]宿泊施設DB!$B$3:$B$207,[52]宿泊施設DB!$T$3:$T$207,"",)</f>
        <v>高</v>
      </c>
      <c r="J63" s="2866" t="str">
        <f>_xlfn.XLOOKUP($E63,[52]宿泊施設DB!$B$3:$B$207,[52]宿泊施設DB!$R$3:$R$207,"",)</f>
        <v>ケータリング</v>
      </c>
      <c r="K63" s="2865">
        <f>_xlfn.XLOOKUP($E63,[52]宿泊施設DB!$B$3:$B$207,[52]宿泊施設DB!$S$3:$S$207,"",)</f>
        <v>16</v>
      </c>
      <c r="L63" s="2866" t="str">
        <f>_xlfn.XLOOKUP($E63,[52]宿泊施設DB!$B$3:$B$207,[52]宿泊施設DB!$U$3:$U$207,"",)</f>
        <v>－</v>
      </c>
      <c r="M63" s="2866" t="str">
        <f>_xlfn.XLOOKUP($E63,[52]宿泊施設DB!$B$3:$B$207,[52]宿泊施設DB!$V$3:$V$207,"",)</f>
        <v>－</v>
      </c>
      <c r="N63" s="2866" t="str">
        <f>_xlfn.XLOOKUP($E63,[52]宿泊施設DB!$B$3:$B$207,[52]宿泊施設DB!$W$3:$W$207,"",)</f>
        <v>○</v>
      </c>
      <c r="O63" s="2866" t="str">
        <f>_xlfn.XLOOKUP($E63,[52]宿泊施設DB!$B$3:$B$207,[52]宿泊施設DB!$X$3:$X$207,"",)</f>
        <v>路上1台</v>
      </c>
      <c r="P63" s="302" t="str">
        <f t="shared" si="2"/>
        <v>○</v>
      </c>
      <c r="Q63" s="296" t="s">
        <v>2169</v>
      </c>
      <c r="R63" s="703" t="s">
        <v>2296</v>
      </c>
      <c r="S63" s="528" t="str">
        <f>IFERROR(VLOOKUP($R63,'[52]競技情報DB(12,600人ver) '!$A$6:$D$203,2,),"－")</f>
        <v>豊田市</v>
      </c>
      <c r="T63" s="529">
        <f>_xlfn.XLOOKUP(R63,'[52]競技情報DB(12,600人ver) '!$A$6:$A$101,'[52]競技情報DB(12,600人ver) '!$D$6:$D$101,"",0,)</f>
        <v>90</v>
      </c>
      <c r="U63" s="3363">
        <f>SUM(T63:T64)</f>
        <v>90</v>
      </c>
      <c r="V63" s="3350" t="str">
        <f>IFERROR(VLOOKUP($R63,'[52]競技情報DB(12,600人ver) '!$A$6:$D$203,3,),"－")</f>
        <v>愛知県総合射撃場</v>
      </c>
      <c r="W63" s="3351">
        <v>3.5</v>
      </c>
      <c r="X63" s="3352">
        <v>9</v>
      </c>
      <c r="Y63" s="318">
        <f>$G63-MAX(AF63:BN63)</f>
        <v>54</v>
      </c>
      <c r="Z63" s="656">
        <f>+Y63/$G63</f>
        <v>0.375</v>
      </c>
      <c r="AA63" s="491" t="str">
        <f>E63&amp;"　"&amp;"合計"</f>
        <v>東横INN三河安城駅新幹線南口１　合計</v>
      </c>
      <c r="AB63" s="3325">
        <f>IFERROR(INDEX($AF$3:$BN$3, MATCH("準備", AF63:BN63, 0)), "")</f>
        <v>46279</v>
      </c>
      <c r="AC63" s="3325" cm="1">
        <f t="array" ref="AC63">IF(COUNTIF(AF63:BN63,"*撤去*")=0,"",INDEX(AF$3:BN$3,1,MAX(IF(AF63:BN63="撤去",COLUMN(AF63:BN63)-COLUMN(AF63)+1))))</f>
        <v>46296</v>
      </c>
      <c r="AD63" s="3326">
        <f>AC63-AB63</f>
        <v>17</v>
      </c>
      <c r="AE63" s="492" t="str">
        <f>+$AE$114</f>
        <v>12,600人</v>
      </c>
      <c r="AF63" s="398">
        <f>+_xlfn.XLOOKUP($AA63,'[52]②配宿シュミレーション(12,600人ver) '!$AO$6:$AO$707,'[52]②配宿シュミレーション(12,600人ver) '!AP$6:AP$707,)</f>
        <v>0</v>
      </c>
      <c r="AG63" s="398">
        <f>+_xlfn.XLOOKUP($AA63,'[52]②配宿シュミレーション(12,600人ver) '!$AO$6:$AO$707,'[52]②配宿シュミレーション(12,600人ver) '!AQ$6:AQ$707,)</f>
        <v>0</v>
      </c>
      <c r="AH63" s="398">
        <f>+_xlfn.XLOOKUP($AA63,'[52]②配宿シュミレーション(12,600人ver) '!$AO$6:$AO$707,'[52]②配宿シュミレーション(12,600人ver) '!AR$6:AR$707,)</f>
        <v>0</v>
      </c>
      <c r="AI63" s="398">
        <f>+_xlfn.XLOOKUP($AA63,'[52]②配宿シュミレーション(12,600人ver) '!$AO$6:$AO$707,'[52]②配宿シュミレーション(12,600人ver) '!AS$6:AS$707,)</f>
        <v>0</v>
      </c>
      <c r="AJ63" s="398">
        <f>+_xlfn.XLOOKUP($AA63,'[52]②配宿シュミレーション(12,600人ver) '!$AO$6:$AO$707,'[52]②配宿シュミレーション(12,600人ver) '!AT$6:AT$707,)</f>
        <v>0</v>
      </c>
      <c r="AK63" s="398">
        <f>+_xlfn.XLOOKUP($AA63,'[52]②配宿シュミレーション(12,600人ver) '!$AO$6:$AO$707,'[52]②配宿シュミレーション(12,600人ver) '!AU$6:AU$707,)</f>
        <v>0</v>
      </c>
      <c r="AL63" s="398">
        <f>+_xlfn.XLOOKUP($AA63,'[52]②配宿シュミレーション(12,600人ver) '!$AO$6:$AO$707,'[52]②配宿シュミレーション(12,600人ver) '!AV$6:AV$707,)</f>
        <v>0</v>
      </c>
      <c r="AM63" s="398">
        <f>+_xlfn.XLOOKUP($AA63,'[52]②配宿シュミレーション(12,600人ver) '!$AO$6:$AO$707,'[52]②配宿シュミレーション(12,600人ver) '!AW$6:AW$707,)</f>
        <v>0</v>
      </c>
      <c r="AN63" s="398">
        <f>+_xlfn.XLOOKUP($AA63,'[52]②配宿シュミレーション(12,600人ver) '!$AO$6:$AO$707,'[52]②配宿シュミレーション(12,600人ver) '!AX$6:AX$707,)</f>
        <v>0</v>
      </c>
      <c r="AO63" s="398">
        <f>+_xlfn.XLOOKUP($AA63,'[52]②配宿シュミレーション(12,600人ver) '!$AO$6:$AO$707,'[52]②配宿シュミレーション(12,600人ver) '!AY$6:AY$707,)</f>
        <v>0</v>
      </c>
      <c r="AP63" s="3327" t="s">
        <v>2447</v>
      </c>
      <c r="AQ63" s="3364">
        <f>+_xlfn.XLOOKUP($AA63,'[52]②配宿シュミレーション(12,600人ver) '!$AO$6:$AO$707,'[52]②配宿シュミレーション(12,600人ver) '!BA$6:BA$707,)</f>
        <v>0</v>
      </c>
      <c r="AR63" s="398">
        <f>+_xlfn.XLOOKUP($AA63,'[52]②配宿シュミレーション(12,600人ver) '!$AO$6:$AO$707,'[52]②配宿シュミレーション(12,600人ver) '!BB$6:BB$707,)</f>
        <v>90</v>
      </c>
      <c r="AS63" s="398">
        <f>+_xlfn.XLOOKUP($AA63,'[52]②配宿シュミレーション(12,600人ver) '!$AO$6:$AO$707,'[52]②配宿シュミレーション(12,600人ver) '!BC$6:BC$707,)</f>
        <v>90</v>
      </c>
      <c r="AT63" s="398">
        <f>+_xlfn.XLOOKUP($AA63,'[52]②配宿シュミレーション(12,600人ver) '!$AO$6:$AO$707,'[52]②配宿シュミレーション(12,600人ver) '!BD$6:BD$707,)</f>
        <v>90</v>
      </c>
      <c r="AU63" s="398">
        <f>+_xlfn.XLOOKUP($AA63,'[52]②配宿シュミレーション(12,600人ver) '!$AO$6:$AO$707,'[52]②配宿シュミレーション(12,600人ver) '!BE$6:BE$707,)</f>
        <v>90</v>
      </c>
      <c r="AV63" s="398">
        <f>+_xlfn.XLOOKUP($AA63,'[52]②配宿シュミレーション(12,600人ver) '!$AO$6:$AO$707,'[52]②配宿シュミレーション(12,600人ver) '!BF$6:BF$707,)</f>
        <v>90</v>
      </c>
      <c r="AW63" s="398">
        <f>+_xlfn.XLOOKUP($AA63,'[52]②配宿シュミレーション(12,600人ver) '!$AO$6:$AO$707,'[52]②配宿シュミレーション(12,600人ver) '!BG$6:BG$707,)</f>
        <v>90</v>
      </c>
      <c r="AX63" s="398">
        <f>+_xlfn.XLOOKUP($AA63,'[52]②配宿シュミレーション(12,600人ver) '!$AO$6:$AO$707,'[52]②配宿シュミレーション(12,600人ver) '!BH$6:BH$707,)</f>
        <v>90</v>
      </c>
      <c r="AY63" s="398">
        <f>+_xlfn.XLOOKUP($AA63,'[52]②配宿シュミレーション(12,600人ver) '!$AO$6:$AO$707,'[52]②配宿シュミレーション(12,600人ver) '!BI$6:BI$707,)</f>
        <v>90</v>
      </c>
      <c r="AZ63" s="398">
        <f>+_xlfn.XLOOKUP($AA63,'[52]②配宿シュミレーション(12,600人ver) '!$AO$6:$AO$707,'[52]②配宿シュミレーション(12,600人ver) '!BJ$6:BJ$707,)</f>
        <v>90</v>
      </c>
      <c r="BA63" s="398">
        <f>+_xlfn.XLOOKUP($AA63,'[52]②配宿シュミレーション(12,600人ver) '!$AO$6:$AO$707,'[52]②配宿シュミレーション(12,600人ver) '!BK$6:BK$707,)</f>
        <v>90</v>
      </c>
      <c r="BB63" s="398">
        <f>+_xlfn.XLOOKUP($AA63,'[52]②配宿シュミレーション(12,600人ver) '!$AO$6:$AO$707,'[52]②配宿シュミレーション(12,600人ver) '!BL$6:BL$707,)</f>
        <v>90</v>
      </c>
      <c r="BC63" s="398">
        <f>+_xlfn.XLOOKUP($AA63,'[52]②配宿シュミレーション(12,600人ver) '!$AO$6:$AO$707,'[52]②配宿シュミレーション(12,600人ver) '!BM$6:BM$707,)</f>
        <v>90</v>
      </c>
      <c r="BD63" s="398">
        <f>+_xlfn.XLOOKUP($AA63,'[52]②配宿シュミレーション(12,600人ver) '!$AO$6:$AO$707,'[52]②配宿シュミレーション(12,600人ver) '!BN$6:BN$707,)</f>
        <v>90</v>
      </c>
      <c r="BE63" s="398">
        <f>+_xlfn.XLOOKUP($AA63,'[52]②配宿シュミレーション(12,600人ver) '!$AO$6:$AO$707,'[52]②配宿シュミレーション(12,600人ver) '!BO$6:BO$707,)</f>
        <v>90</v>
      </c>
      <c r="BF63" s="398">
        <f>+_xlfn.XLOOKUP($AA63,'[52]②配宿シュミレーション(12,600人ver) '!$AO$6:$AO$707,'[52]②配宿シュミレーション(12,600人ver) '!BP$6:BP$707,)</f>
        <v>90</v>
      </c>
      <c r="BG63" s="3306" t="s">
        <v>2448</v>
      </c>
      <c r="BH63" s="398">
        <f>+_xlfn.XLOOKUP($AA63,'[52]②配宿シュミレーション(12,600人ver) '!$AO$6:$AO$707,'[52]②配宿シュミレーション(12,600人ver) '!BR$6:BR$707,)</f>
        <v>0</v>
      </c>
      <c r="BI63" s="398">
        <f>+_xlfn.XLOOKUP($AA63,'[52]②配宿シュミレーション(12,600人ver) '!$AO$6:$AO$707,'[52]②配宿シュミレーション(12,600人ver) '!BS$6:BS$707,)</f>
        <v>0</v>
      </c>
      <c r="BJ63" s="398">
        <f>+_xlfn.XLOOKUP($AA63,'[52]②配宿シュミレーション(12,600人ver) '!$AO$6:$AO$707,'[52]②配宿シュミレーション(12,600人ver) '!BT$6:BT$707,)</f>
        <v>0</v>
      </c>
      <c r="BK63" s="398">
        <f>+_xlfn.XLOOKUP($AA63,'[52]②配宿シュミレーション(12,600人ver) '!$AO$6:$AO$707,'[52]②配宿シュミレーション(12,600人ver) '!BU$6:BU$707,)</f>
        <v>0</v>
      </c>
      <c r="BL63" s="398">
        <f>+_xlfn.XLOOKUP($AA63,'[52]②配宿シュミレーション(12,600人ver) '!$AO$6:$AO$707,'[52]②配宿シュミレーション(12,600人ver) '!BV$6:BV$707,)</f>
        <v>0</v>
      </c>
      <c r="BM63" s="398">
        <f>+_xlfn.XLOOKUP($AA63,'[52]②配宿シュミレーション(12,600人ver) '!$AO$6:$AO$707,'[52]②配宿シュミレーション(12,600人ver) '!BW$6:BW$707,)</f>
        <v>0</v>
      </c>
      <c r="BN63" s="472">
        <f>+_xlfn.XLOOKUP($AA63,'[52]②配宿シュミレーション(12,600人ver) '!$AO$6:$AO$707,'[52]②配宿シュミレーション(12,600人ver) '!BX$6:BX$707,)</f>
        <v>0</v>
      </c>
      <c r="BO63" s="573"/>
      <c r="BP63" s="610"/>
      <c r="BQ63" s="611"/>
    </row>
    <row r="64" spans="1:69" s="521" customFormat="1" ht="46" customHeight="1" thickBot="1">
      <c r="A64" s="2862"/>
      <c r="B64" s="296"/>
      <c r="C64" s="420"/>
      <c r="D64" s="421" t="str">
        <f>IF(_xlfn.XLOOKUP(E64,[52]宿泊施設DB!$B$3:$B$207,[52]宿泊施設DB!$A$3:$A$207,"",)=0,"",_xlfn.XLOOKUP(E64,[52]宿泊施設DB!$B$3:$B$207,[52]宿泊施設DB!$A$3:$A$207,"",))</f>
        <v/>
      </c>
      <c r="E64" s="612"/>
      <c r="F64" s="2875">
        <f>_xlfn.XLOOKUP($E64,[52]宿泊施設DB!$B$3:$B$207,[52]宿泊施設DB!$D$3:$D$207,"",)</f>
        <v>0</v>
      </c>
      <c r="G64" s="2875">
        <f>_xlfn.XLOOKUP($E64,[52]宿泊施設DB!$B$3:$B$207,[52]宿泊施設DB!$E$3:$E$207,"",)</f>
        <v>0</v>
      </c>
      <c r="H64" s="2877">
        <f>_xlfn.XLOOKUP($E64,[52]宿泊施設DB!$B$3:$B$207,[52]宿泊施設DB!$J$3:$J$207,"",)</f>
        <v>0</v>
      </c>
      <c r="I64" s="2878">
        <f>_xlfn.XLOOKUP($E64,[52]宿泊施設DB!$B$3:$B$207,[52]宿泊施設DB!$T$3:$T$207,"",)</f>
        <v>0</v>
      </c>
      <c r="J64" s="2878" t="s">
        <v>2294</v>
      </c>
      <c r="K64" s="2877">
        <f>_xlfn.XLOOKUP($E64,[52]宿泊施設DB!$B$3:$B$207,[52]宿泊施設DB!$S$3:$S$207,"",)</f>
        <v>0</v>
      </c>
      <c r="L64" s="2878">
        <f>_xlfn.XLOOKUP($E64,[52]宿泊施設DB!$B$3:$B$207,[52]宿泊施設DB!$U$3:$U$207,"",)</f>
        <v>0</v>
      </c>
      <c r="M64" s="2878">
        <f>_xlfn.XLOOKUP($E64,[52]宿泊施設DB!$B$3:$B$207,[52]宿泊施設DB!$V$3:$V$207,"",)</f>
        <v>0</v>
      </c>
      <c r="N64" s="2878">
        <f>_xlfn.XLOOKUP($E64,[52]宿泊施設DB!$B$3:$B$207,[52]宿泊施設DB!$W$3:$W$207,"",)</f>
        <v>0</v>
      </c>
      <c r="O64" s="2878">
        <f>_xlfn.XLOOKUP($E64,[52]宿泊施設DB!$B$3:$B$207,[52]宿泊施設DB!$X$3:$X$207,"",)</f>
        <v>0</v>
      </c>
      <c r="P64" s="426" t="str">
        <f t="shared" si="2"/>
        <v/>
      </c>
      <c r="Q64" s="420"/>
      <c r="R64" s="3341"/>
      <c r="S64" s="478" t="str">
        <f>IFERROR(VLOOKUP($R64,'[52]競技情報DB(12,600人ver) '!$A$6:$D$203,2,),"－")</f>
        <v>－</v>
      </c>
      <c r="T64" s="479">
        <f>_xlfn.XLOOKUP(R64,'[52]競技情報DB(12,600人ver) '!$A$6:$A$101,'[52]競技情報DB(12,600人ver) '!$D$6:$D$101,"",0,)</f>
        <v>0</v>
      </c>
      <c r="U64" s="3365"/>
      <c r="V64" s="3343" t="str">
        <f>IFERROR(VLOOKUP($R64,'[52]競技情報DB(12,600人ver) '!$A$6:$D$203,3,),"－")</f>
        <v>－</v>
      </c>
      <c r="W64" s="3366">
        <v>3.5</v>
      </c>
      <c r="X64" s="3367">
        <v>9</v>
      </c>
      <c r="Y64" s="442"/>
      <c r="Z64" s="652"/>
      <c r="AA64" s="517"/>
      <c r="AB64" s="3346"/>
      <c r="AC64" s="3346"/>
      <c r="AD64" s="3347"/>
      <c r="AE64" s="518"/>
      <c r="AF64" s="445"/>
      <c r="AG64" s="445"/>
      <c r="AH64" s="445"/>
      <c r="AI64" s="445"/>
      <c r="AJ64" s="445"/>
      <c r="AK64" s="445"/>
      <c r="AL64" s="445"/>
      <c r="AM64" s="445"/>
      <c r="AN64" s="445"/>
      <c r="AO64" s="445"/>
      <c r="AP64" s="506"/>
      <c r="AQ64" s="506"/>
      <c r="AR64" s="445"/>
      <c r="AS64" s="445"/>
      <c r="AT64" s="445"/>
      <c r="AU64" s="445"/>
      <c r="AV64" s="445"/>
      <c r="AW64" s="445"/>
      <c r="AX64" s="445"/>
      <c r="AY64" s="445"/>
      <c r="AZ64" s="445"/>
      <c r="BA64" s="445"/>
      <c r="BB64" s="445"/>
      <c r="BC64" s="445"/>
      <c r="BD64" s="445"/>
      <c r="BE64" s="445"/>
      <c r="BF64" s="445"/>
      <c r="BG64" s="445"/>
      <c r="BH64" s="445"/>
      <c r="BI64" s="445"/>
      <c r="BJ64" s="445"/>
      <c r="BK64" s="445"/>
      <c r="BL64" s="445"/>
      <c r="BM64" s="445"/>
      <c r="BN64" s="449"/>
      <c r="BO64" s="573"/>
      <c r="BP64" s="610"/>
      <c r="BQ64" s="611"/>
    </row>
    <row r="65" spans="1:69" ht="46" customHeight="1">
      <c r="A65" s="2862"/>
      <c r="B65" s="296"/>
      <c r="C65" s="296">
        <f>C63+1</f>
        <v>14</v>
      </c>
      <c r="D65" s="3488">
        <v>222</v>
      </c>
      <c r="E65" s="609" t="s">
        <v>2531</v>
      </c>
      <c r="F65" s="2864">
        <f>_xlfn.XLOOKUP($E65,[52]宿泊施設DB!$B$3:$B$207,[52]宿泊施設DB!$D$3:$D$207,"",)</f>
        <v>128</v>
      </c>
      <c r="G65" s="2864">
        <f>_xlfn.XLOOKUP($E65,[52]宿泊施設DB!$B$3:$B$207,[52]宿泊施設DB!$E$3:$E$207,"",)</f>
        <v>142</v>
      </c>
      <c r="H65" s="2865">
        <f>_xlfn.XLOOKUP($E65,[52]宿泊施設DB!$B$3:$B$207,[52]宿泊施設DB!$J$3:$J$207,"",)</f>
        <v>0</v>
      </c>
      <c r="I65" s="2866" t="str">
        <f>_xlfn.XLOOKUP($E65,[52]宿泊施設DB!$B$3:$B$207,[52]宿泊施設DB!$T$3:$T$207,"",)</f>
        <v>調査中</v>
      </c>
      <c r="J65" s="2866" t="str">
        <f>_xlfn.XLOOKUP($E65,[52]宿泊施設DB!$B$3:$B$207,[52]宿泊施設DB!$R$3:$R$207,"",)</f>
        <v>ケータリング</v>
      </c>
      <c r="K65" s="2865">
        <f>_xlfn.XLOOKUP($E65,[52]宿泊施設DB!$B$3:$B$207,[52]宿泊施設DB!$S$3:$S$207,"",)</f>
        <v>40</v>
      </c>
      <c r="L65" s="2866" t="str">
        <f>_xlfn.XLOOKUP($E65,[52]宿泊施設DB!$B$3:$B$207,[52]宿泊施設DB!$U$3:$U$207,"",)</f>
        <v>－</v>
      </c>
      <c r="M65" s="2866" t="str">
        <f>_xlfn.XLOOKUP($E65,[52]宿泊施設DB!$B$3:$B$207,[52]宿泊施設DB!$V$3:$V$207,"",)</f>
        <v>○</v>
      </c>
      <c r="N65" s="2866" t="str">
        <f>_xlfn.XLOOKUP($E65,[52]宿泊施設DB!$B$3:$B$207,[52]宿泊施設DB!$W$3:$W$207,"",)</f>
        <v>○</v>
      </c>
      <c r="O65" s="2866" t="str">
        <f>_xlfn.XLOOKUP($E65,[52]宿泊施設DB!$B$3:$B$207,[52]宿泊施設DB!$X$3:$X$207,"",)</f>
        <v>専用乗降場所（屋根無）1台</v>
      </c>
      <c r="P65" s="302" t="str">
        <f t="shared" si="2"/>
        <v>○</v>
      </c>
      <c r="Q65" s="296" t="s">
        <v>2169</v>
      </c>
      <c r="R65" s="703" t="s">
        <v>2300</v>
      </c>
      <c r="S65" s="528" t="str">
        <f>IFERROR(VLOOKUP($R65,'[52]競技情報DB(12,600人ver) '!$A$6:$D$203,2,),"－")</f>
        <v>豊田市</v>
      </c>
      <c r="T65" s="529">
        <f>_xlfn.XLOOKUP(R65,'[52]競技情報DB(12,600人ver) '!$A$6:$A$101,'[52]競技情報DB(12,600人ver) '!$D$6:$D$101,"",0,)</f>
        <v>62</v>
      </c>
      <c r="U65" s="3363">
        <f>SUM(T65:T66)</f>
        <v>62</v>
      </c>
      <c r="V65" s="3350" t="str">
        <f>IFERROR(VLOOKUP($R65,'[52]競技情報DB(12,600人ver) '!$A$6:$D$203,3,),"－")</f>
        <v>愛知県総合射撃場</v>
      </c>
      <c r="W65" s="3351">
        <v>3.5</v>
      </c>
      <c r="X65" s="3352">
        <v>9</v>
      </c>
      <c r="Y65" s="318">
        <f>$G65-MAX(AF65:BN65)</f>
        <v>80</v>
      </c>
      <c r="Z65" s="656">
        <f>+Y65/$G65</f>
        <v>0.56338028169014087</v>
      </c>
      <c r="AA65" s="491" t="str">
        <f>E65&amp;"　"&amp;"合計"</f>
        <v>天然温泉　三州の湯　ドーミーイン　EXPRESS　三河安城　合計</v>
      </c>
      <c r="AB65" s="3325">
        <f>IFERROR(INDEX($AF$3:$BN$3, MATCH("準備", AF65:BN65, 0)), "")</f>
        <v>46279</v>
      </c>
      <c r="AC65" s="3325" cm="1">
        <f t="array" ref="AC65">IF(COUNTIF(AF65:BN65,"*撤去*")=0,"",INDEX(AF$3:BN$3,1,MAX(IF(AF65:BN65="撤去",COLUMN(AF65:BN65)-COLUMN(AF65)+1))))</f>
        <v>46296</v>
      </c>
      <c r="AD65" s="3326">
        <f>AC65-AB65</f>
        <v>17</v>
      </c>
      <c r="AE65" s="492" t="str">
        <f>+$AE$114</f>
        <v>12,600人</v>
      </c>
      <c r="AF65" s="398">
        <f>+_xlfn.XLOOKUP($AA65,'[52]②配宿シュミレーション(12,600人ver) '!$AO$6:$AO$707,'[52]②配宿シュミレーション(12,600人ver) '!AP$6:AP$707,)</f>
        <v>0</v>
      </c>
      <c r="AG65" s="398">
        <f>+_xlfn.XLOOKUP($AA65,'[52]②配宿シュミレーション(12,600人ver) '!$AO$6:$AO$707,'[52]②配宿シュミレーション(12,600人ver) '!AQ$6:AQ$707,)</f>
        <v>0</v>
      </c>
      <c r="AH65" s="398">
        <f>+_xlfn.XLOOKUP($AA65,'[52]②配宿シュミレーション(12,600人ver) '!$AO$6:$AO$707,'[52]②配宿シュミレーション(12,600人ver) '!AR$6:AR$707,)</f>
        <v>0</v>
      </c>
      <c r="AI65" s="398">
        <f>+_xlfn.XLOOKUP($AA65,'[52]②配宿シュミレーション(12,600人ver) '!$AO$6:$AO$707,'[52]②配宿シュミレーション(12,600人ver) '!AS$6:AS$707,)</f>
        <v>0</v>
      </c>
      <c r="AJ65" s="398">
        <f>+_xlfn.XLOOKUP($AA65,'[52]②配宿シュミレーション(12,600人ver) '!$AO$6:$AO$707,'[52]②配宿シュミレーション(12,600人ver) '!AT$6:AT$707,)</f>
        <v>0</v>
      </c>
      <c r="AK65" s="398">
        <f>+_xlfn.XLOOKUP($AA65,'[52]②配宿シュミレーション(12,600人ver) '!$AO$6:$AO$707,'[52]②配宿シュミレーション(12,600人ver) '!AU$6:AU$707,)</f>
        <v>0</v>
      </c>
      <c r="AL65" s="398">
        <f>+_xlfn.XLOOKUP($AA65,'[52]②配宿シュミレーション(12,600人ver) '!$AO$6:$AO$707,'[52]②配宿シュミレーション(12,600人ver) '!AV$6:AV$707,)</f>
        <v>0</v>
      </c>
      <c r="AM65" s="398">
        <f>+_xlfn.XLOOKUP($AA65,'[52]②配宿シュミレーション(12,600人ver) '!$AO$6:$AO$707,'[52]②配宿シュミレーション(12,600人ver) '!AW$6:AW$707,)</f>
        <v>0</v>
      </c>
      <c r="AN65" s="398">
        <f>+_xlfn.XLOOKUP($AA65,'[52]②配宿シュミレーション(12,600人ver) '!$AO$6:$AO$707,'[52]②配宿シュミレーション(12,600人ver) '!AX$6:AX$707,)</f>
        <v>0</v>
      </c>
      <c r="AO65" s="398">
        <f>+_xlfn.XLOOKUP($AA65,'[52]②配宿シュミレーション(12,600人ver) '!$AO$6:$AO$707,'[52]②配宿シュミレーション(12,600人ver) '!AY$6:AY$707,)</f>
        <v>0</v>
      </c>
      <c r="AP65" s="3327" t="s">
        <v>2447</v>
      </c>
      <c r="AQ65" s="3364">
        <f>+_xlfn.XLOOKUP($AA65,'[52]②配宿シュミレーション(12,600人ver) '!$AO$6:$AO$707,'[52]②配宿シュミレーション(12,600人ver) '!BA$6:BA$707,)</f>
        <v>0</v>
      </c>
      <c r="AR65" s="398">
        <f>+_xlfn.XLOOKUP($AA65,'[52]②配宿シュミレーション(12,600人ver) '!$AO$6:$AO$707,'[52]②配宿シュミレーション(12,600人ver) '!BB$6:BB$707,)</f>
        <v>62</v>
      </c>
      <c r="AS65" s="398">
        <f>+_xlfn.XLOOKUP($AA65,'[52]②配宿シュミレーション(12,600人ver) '!$AO$6:$AO$707,'[52]②配宿シュミレーション(12,600人ver) '!BC$6:BC$707,)</f>
        <v>62</v>
      </c>
      <c r="AT65" s="398">
        <f>+_xlfn.XLOOKUP($AA65,'[52]②配宿シュミレーション(12,600人ver) '!$AO$6:$AO$707,'[52]②配宿シュミレーション(12,600人ver) '!BD$6:BD$707,)</f>
        <v>62</v>
      </c>
      <c r="AU65" s="398">
        <f>+_xlfn.XLOOKUP($AA65,'[52]②配宿シュミレーション(12,600人ver) '!$AO$6:$AO$707,'[52]②配宿シュミレーション(12,600人ver) '!BE$6:BE$707,)</f>
        <v>62</v>
      </c>
      <c r="AV65" s="398">
        <f>+_xlfn.XLOOKUP($AA65,'[52]②配宿シュミレーション(12,600人ver) '!$AO$6:$AO$707,'[52]②配宿シュミレーション(12,600人ver) '!BF$6:BF$707,)</f>
        <v>62</v>
      </c>
      <c r="AW65" s="398">
        <f>+_xlfn.XLOOKUP($AA65,'[52]②配宿シュミレーション(12,600人ver) '!$AO$6:$AO$707,'[52]②配宿シュミレーション(12,600人ver) '!BG$6:BG$707,)</f>
        <v>62</v>
      </c>
      <c r="AX65" s="398">
        <f>+_xlfn.XLOOKUP($AA65,'[52]②配宿シュミレーション(12,600人ver) '!$AO$6:$AO$707,'[52]②配宿シュミレーション(12,600人ver) '!BH$6:BH$707,)</f>
        <v>62</v>
      </c>
      <c r="AY65" s="398">
        <f>+_xlfn.XLOOKUP($AA65,'[52]②配宿シュミレーション(12,600人ver) '!$AO$6:$AO$707,'[52]②配宿シュミレーション(12,600人ver) '!BI$6:BI$707,)</f>
        <v>62</v>
      </c>
      <c r="AZ65" s="398">
        <f>+_xlfn.XLOOKUP($AA65,'[52]②配宿シュミレーション(12,600人ver) '!$AO$6:$AO$707,'[52]②配宿シュミレーション(12,600人ver) '!BJ$6:BJ$707,)</f>
        <v>62</v>
      </c>
      <c r="BA65" s="398">
        <f>+_xlfn.XLOOKUP($AA65,'[52]②配宿シュミレーション(12,600人ver) '!$AO$6:$AO$707,'[52]②配宿シュミレーション(12,600人ver) '!BK$6:BK$707,)</f>
        <v>62</v>
      </c>
      <c r="BB65" s="398">
        <f>+_xlfn.XLOOKUP($AA65,'[52]②配宿シュミレーション(12,600人ver) '!$AO$6:$AO$707,'[52]②配宿シュミレーション(12,600人ver) '!BL$6:BL$707,)</f>
        <v>62</v>
      </c>
      <c r="BC65" s="398">
        <f>+_xlfn.XLOOKUP($AA65,'[52]②配宿シュミレーション(12,600人ver) '!$AO$6:$AO$707,'[52]②配宿シュミレーション(12,600人ver) '!BM$6:BM$707,)</f>
        <v>62</v>
      </c>
      <c r="BD65" s="398">
        <f>+_xlfn.XLOOKUP($AA65,'[52]②配宿シュミレーション(12,600人ver) '!$AO$6:$AO$707,'[52]②配宿シュミレーション(12,600人ver) '!BN$6:BN$707,)</f>
        <v>62</v>
      </c>
      <c r="BE65" s="398">
        <f>+_xlfn.XLOOKUP($AA65,'[52]②配宿シュミレーション(12,600人ver) '!$AO$6:$AO$707,'[52]②配宿シュミレーション(12,600人ver) '!BO$6:BO$707,)</f>
        <v>62</v>
      </c>
      <c r="BF65" s="398">
        <f>+_xlfn.XLOOKUP($AA65,'[52]②配宿シュミレーション(12,600人ver) '!$AO$6:$AO$707,'[52]②配宿シュミレーション(12,600人ver) '!BP$6:BP$707,)</f>
        <v>62</v>
      </c>
      <c r="BG65" s="3306" t="s">
        <v>2448</v>
      </c>
      <c r="BH65" s="398">
        <f>+_xlfn.XLOOKUP($AA65,'[52]②配宿シュミレーション(12,600人ver) '!$AO$6:$AO$707,'[52]②配宿シュミレーション(12,600人ver) '!BR$6:BR$707,)</f>
        <v>0</v>
      </c>
      <c r="BI65" s="398">
        <f>+_xlfn.XLOOKUP($AA65,'[52]②配宿シュミレーション(12,600人ver) '!$AO$6:$AO$707,'[52]②配宿シュミレーション(12,600人ver) '!BS$6:BS$707,)</f>
        <v>0</v>
      </c>
      <c r="BJ65" s="398">
        <f>+_xlfn.XLOOKUP($AA65,'[52]②配宿シュミレーション(12,600人ver) '!$AO$6:$AO$707,'[52]②配宿シュミレーション(12,600人ver) '!BT$6:BT$707,)</f>
        <v>0</v>
      </c>
      <c r="BK65" s="398">
        <f>+_xlfn.XLOOKUP($AA65,'[52]②配宿シュミレーション(12,600人ver) '!$AO$6:$AO$707,'[52]②配宿シュミレーション(12,600人ver) '!BU$6:BU$707,)</f>
        <v>0</v>
      </c>
      <c r="BL65" s="398">
        <f>+_xlfn.XLOOKUP($AA65,'[52]②配宿シュミレーション(12,600人ver) '!$AO$6:$AO$707,'[52]②配宿シュミレーション(12,600人ver) '!BV$6:BV$707,)</f>
        <v>0</v>
      </c>
      <c r="BM65" s="398">
        <f>+_xlfn.XLOOKUP($AA65,'[52]②配宿シュミレーション(12,600人ver) '!$AO$6:$AO$707,'[52]②配宿シュミレーション(12,600人ver) '!BW$6:BW$707,)</f>
        <v>0</v>
      </c>
      <c r="BN65" s="472">
        <f>+_xlfn.XLOOKUP($AA65,'[52]②配宿シュミレーション(12,600人ver) '!$AO$6:$AO$707,'[52]②配宿シュミレーション(12,600人ver) '!BX$6:BX$707,)</f>
        <v>0</v>
      </c>
      <c r="BO65" s="573"/>
      <c r="BP65" s="610"/>
      <c r="BQ65" s="611"/>
    </row>
    <row r="66" spans="1:69" s="521" customFormat="1" ht="46" customHeight="1" thickBot="1">
      <c r="A66" s="2862"/>
      <c r="B66" s="420"/>
      <c r="C66" s="420"/>
      <c r="D66" s="421" t="str">
        <f>IF(_xlfn.XLOOKUP(E66,[52]宿泊施設DB!$B$3:$B$207,[52]宿泊施設DB!$A$3:$A$207,"",)=0,"",_xlfn.XLOOKUP(E66,[52]宿泊施設DB!$B$3:$B$207,[52]宿泊施設DB!$A$3:$A$207,"",))</f>
        <v/>
      </c>
      <c r="E66" s="3487" t="s">
        <v>2532</v>
      </c>
      <c r="F66" s="2875" t="str">
        <f>_xlfn.XLOOKUP($E66,[52]宿泊施設DB!$B$3:$B$207,[52]宿泊施設DB!$D$3:$D$207,"",)</f>
        <v/>
      </c>
      <c r="G66" s="2875" t="str">
        <f>_xlfn.XLOOKUP($E66,[52]宿泊施設DB!$B$3:$B$207,[52]宿泊施設DB!$E$3:$E$207,"",)</f>
        <v/>
      </c>
      <c r="H66" s="2877" t="str">
        <f>_xlfn.XLOOKUP($E66,[52]宿泊施設DB!$B$3:$B$207,[52]宿泊施設DB!$J$3:$J$207,"",)</f>
        <v/>
      </c>
      <c r="I66" s="2878" t="str">
        <f>_xlfn.XLOOKUP($E66,[52]宿泊施設DB!$B$3:$B$207,[52]宿泊施設DB!$T$3:$T$207,"",)</f>
        <v/>
      </c>
      <c r="J66" s="2878" t="s">
        <v>2294</v>
      </c>
      <c r="K66" s="2877" t="str">
        <f>_xlfn.XLOOKUP($E66,[52]宿泊施設DB!$B$3:$B$207,[52]宿泊施設DB!$S$3:$S$207,"",)</f>
        <v/>
      </c>
      <c r="L66" s="2878" t="str">
        <f>_xlfn.XLOOKUP($E66,[52]宿泊施設DB!$B$3:$B$207,[52]宿泊施設DB!$U$3:$U$207,"",)</f>
        <v/>
      </c>
      <c r="M66" s="2878" t="str">
        <f>_xlfn.XLOOKUP($E66,[52]宿泊施設DB!$B$3:$B$207,[52]宿泊施設DB!$V$3:$V$207,"",)</f>
        <v/>
      </c>
      <c r="N66" s="2878" t="str">
        <f>_xlfn.XLOOKUP($E66,[52]宿泊施設DB!$B$3:$B$207,[52]宿泊施設DB!$W$3:$W$207,"",)</f>
        <v/>
      </c>
      <c r="O66" s="2878" t="str">
        <f>_xlfn.XLOOKUP($E66,[52]宿泊施設DB!$B$3:$B$207,[52]宿泊施設DB!$X$3:$X$207,"",)</f>
        <v/>
      </c>
      <c r="P66" s="426" t="str">
        <f t="shared" si="2"/>
        <v>○</v>
      </c>
      <c r="Q66" s="420"/>
      <c r="R66" s="3341"/>
      <c r="S66" s="478" t="str">
        <f>IFERROR(VLOOKUP($R66,'[52]競技情報DB(12,600人ver) '!$A$6:$D$203,2,),"－")</f>
        <v>－</v>
      </c>
      <c r="T66" s="479">
        <f>_xlfn.XLOOKUP(R66,'[52]競技情報DB(12,600人ver) '!$A$6:$A$101,'[52]競技情報DB(12,600人ver) '!$D$6:$D$101,"",0,)</f>
        <v>0</v>
      </c>
      <c r="U66" s="3365"/>
      <c r="V66" s="3343" t="str">
        <f>IFERROR(VLOOKUP($R66,'[52]競技情報DB(12,600人ver) '!$A$6:$D$203,3,),"－")</f>
        <v>－</v>
      </c>
      <c r="W66" s="3366">
        <v>3.5</v>
      </c>
      <c r="X66" s="3367">
        <v>9</v>
      </c>
      <c r="Y66" s="442"/>
      <c r="Z66" s="652"/>
      <c r="AA66" s="517"/>
      <c r="AB66" s="3346"/>
      <c r="AC66" s="3346"/>
      <c r="AD66" s="3347"/>
      <c r="AE66" s="518"/>
      <c r="AF66" s="445"/>
      <c r="AG66" s="445"/>
      <c r="AH66" s="445"/>
      <c r="AI66" s="445"/>
      <c r="AJ66" s="445"/>
      <c r="AK66" s="445"/>
      <c r="AL66" s="445"/>
      <c r="AM66" s="445"/>
      <c r="AN66" s="445"/>
      <c r="AO66" s="445"/>
      <c r="AP66" s="506"/>
      <c r="AQ66" s="506"/>
      <c r="AR66" s="445"/>
      <c r="AS66" s="445"/>
      <c r="AT66" s="445"/>
      <c r="AU66" s="445"/>
      <c r="AV66" s="445"/>
      <c r="AW66" s="445"/>
      <c r="AX66" s="445"/>
      <c r="AY66" s="445"/>
      <c r="AZ66" s="445"/>
      <c r="BA66" s="445"/>
      <c r="BB66" s="445"/>
      <c r="BC66" s="445"/>
      <c r="BD66" s="445"/>
      <c r="BE66" s="445"/>
      <c r="BF66" s="445"/>
      <c r="BG66" s="445"/>
      <c r="BH66" s="445"/>
      <c r="BI66" s="445"/>
      <c r="BJ66" s="445"/>
      <c r="BK66" s="445"/>
      <c r="BL66" s="445"/>
      <c r="BM66" s="445"/>
      <c r="BN66" s="449"/>
      <c r="BO66" s="573"/>
      <c r="BP66" s="610"/>
      <c r="BQ66" s="611"/>
    </row>
    <row r="67" spans="1:69" ht="46" customHeight="1">
      <c r="A67" s="2862"/>
      <c r="B67" s="2863" t="s">
        <v>2256</v>
      </c>
      <c r="C67" s="296">
        <f>C65+1</f>
        <v>15</v>
      </c>
      <c r="D67" s="297">
        <f>IF(_xlfn.XLOOKUP(E67,[52]宿泊施設DB!$B$3:$B$207,[52]宿泊施設DB!$A$3:$A$207,"",)=0,"",_xlfn.XLOOKUP(E67,[52]宿泊施設DB!$B$3:$B$207,[52]宿泊施設DB!$A$3:$A$207,"",))</f>
        <v>201</v>
      </c>
      <c r="E67" s="298" t="s">
        <v>2302</v>
      </c>
      <c r="F67" s="2864">
        <f>_xlfn.XLOOKUP($E67,[52]宿泊施設DB!$B$3:$B$207,[52]宿泊施設DB!$D$3:$D$207,"",)</f>
        <v>69</v>
      </c>
      <c r="G67" s="2864">
        <f>_xlfn.XLOOKUP($E67,[52]宿泊施設DB!$B$3:$B$207,[52]宿泊施設DB!$E$3:$E$207,"",)</f>
        <v>106</v>
      </c>
      <c r="H67" s="2865">
        <f>_xlfn.XLOOKUP($E67,[52]宿泊施設DB!$B$3:$B$207,[52]宿泊施設DB!$J$3:$J$207,"",)</f>
        <v>19</v>
      </c>
      <c r="I67" s="2866" t="str">
        <f>_xlfn.XLOOKUP($E67,[52]宿泊施設DB!$B$3:$B$207,[52]宿泊施設DB!$T$3:$T$207,"",)</f>
        <v>調査中</v>
      </c>
      <c r="J67" s="2866" t="str">
        <f>_xlfn.XLOOKUP($E67,[52]宿泊施設DB!$B$3:$B$207,[52]宿泊施設DB!$R$3:$R$207,"",)</f>
        <v>宿泊施設</v>
      </c>
      <c r="K67" s="2865">
        <f>_xlfn.XLOOKUP($E67,[52]宿泊施設DB!$B$3:$B$207,[52]宿泊施設DB!$S$3:$S$207,"",)</f>
        <v>106</v>
      </c>
      <c r="L67" s="2866" t="str">
        <f>_xlfn.XLOOKUP($E67,[52]宿泊施設DB!$B$3:$B$207,[52]宿泊施設DB!$U$3:$U$207,"",)</f>
        <v>－</v>
      </c>
      <c r="M67" s="2866" t="str">
        <f>_xlfn.XLOOKUP($E67,[52]宿泊施設DB!$B$3:$B$207,[52]宿泊施設DB!$V$3:$V$207,"",)</f>
        <v>○</v>
      </c>
      <c r="N67" s="2866" t="str">
        <f>_xlfn.XLOOKUP($E67,[52]宿泊施設DB!$B$3:$B$207,[52]宿泊施設DB!$W$3:$W$207,"",)</f>
        <v>○</v>
      </c>
      <c r="O67" s="2866" t="str">
        <f>_xlfn.XLOOKUP($E67,[52]宿泊施設DB!$B$3:$B$207,[52]宿泊施設DB!$X$3:$X$207,"",)</f>
        <v>玄関前（屋根付）3台</v>
      </c>
      <c r="P67" s="302" t="str">
        <f t="shared" si="2"/>
        <v>○</v>
      </c>
      <c r="Q67" s="296" t="s">
        <v>2136</v>
      </c>
      <c r="R67" s="703" t="s">
        <v>2303</v>
      </c>
      <c r="S67" s="528" t="str">
        <f>IFERROR(VLOOKUP($R67,'[52]競技情報DB(12,600人ver) '!$A$6:$D$203,2,),"－")</f>
        <v>豊田市</v>
      </c>
      <c r="T67" s="529">
        <f>_xlfn.XLOOKUP(R67,'[52]競技情報DB(12,600人ver) '!$A$6:$A$101,'[52]競技情報DB(12,600人ver) '!$D$6:$D$101,"",0,)</f>
        <v>56</v>
      </c>
      <c r="U67" s="3307">
        <f>SUM(T67:T68)</f>
        <v>56</v>
      </c>
      <c r="V67" s="3350" t="str">
        <f>IFERROR(VLOOKUP($R67,'[52]競技情報DB(12,600人ver) '!$A$6:$D$203,3,),"－")</f>
        <v>矢作川カヌースラロームコース</v>
      </c>
      <c r="W67" s="3351">
        <v>15.7</v>
      </c>
      <c r="X67" s="3352">
        <v>21</v>
      </c>
      <c r="Y67" s="318">
        <f>$G67-MAX(AF67:BN67)</f>
        <v>50</v>
      </c>
      <c r="Z67" s="311">
        <f>+Y67/$G67</f>
        <v>0.47169811320754718</v>
      </c>
      <c r="AA67" s="491" t="str">
        <f>E67&amp;"　"&amp;"合計"</f>
        <v>全トヨタ労連研修センター　つどいの丘　合計</v>
      </c>
      <c r="AB67" s="3325">
        <f>IFERROR(INDEX($AF$3:$BN$3, MATCH("準備", AF67:BN67, 0)), "")</f>
        <v>46283</v>
      </c>
      <c r="AC67" s="3325" cm="1">
        <f t="array" ref="AC67">IF(COUNTIF(AF67:BN67,"*撤去*")=0,"",INDEX(AF$3:BN$3,1,MAX(IF(AF67:BN67="撤去",COLUMN(AF67:BN67)-COLUMN(AF67)+1))))</f>
        <v>46300</v>
      </c>
      <c r="AD67" s="3326">
        <f>AC67-AB67</f>
        <v>17</v>
      </c>
      <c r="AE67" s="492" t="str">
        <f>+$AE$114</f>
        <v>12,600人</v>
      </c>
      <c r="AF67" s="496">
        <f>+_xlfn.XLOOKUP($AA67,'[52]②配宿シュミレーション(12,600人ver) '!$AO$6:$AO$707,'[52]②配宿シュミレーション(12,600人ver) '!AP$6:AP$707,)</f>
        <v>0</v>
      </c>
      <c r="AG67" s="494">
        <f>+_xlfn.XLOOKUP($AA67,'[52]②配宿シュミレーション(12,600人ver) '!$AO$6:$AO$707,'[52]②配宿シュミレーション(12,600人ver) '!AQ$6:AQ$707,)</f>
        <v>0</v>
      </c>
      <c r="AH67" s="494">
        <f>+_xlfn.XLOOKUP($AA67,'[52]②配宿シュミレーション(12,600人ver) '!$AO$6:$AO$707,'[52]②配宿シュミレーション(12,600人ver) '!AR$6:AR$707,)</f>
        <v>0</v>
      </c>
      <c r="AI67" s="494">
        <f>+_xlfn.XLOOKUP($AA67,'[52]②配宿シュミレーション(12,600人ver) '!$AO$6:$AO$707,'[52]②配宿シュミレーション(12,600人ver) '!AS$6:AS$707,)</f>
        <v>0</v>
      </c>
      <c r="AJ67" s="494">
        <f>+_xlfn.XLOOKUP($AA67,'[52]②配宿シュミレーション(12,600人ver) '!$AO$6:$AO$707,'[52]②配宿シュミレーション(12,600人ver) '!AT$6:AT$707,)</f>
        <v>0</v>
      </c>
      <c r="AK67" s="494">
        <f>+_xlfn.XLOOKUP($AA67,'[52]②配宿シュミレーション(12,600人ver) '!$AO$6:$AO$707,'[52]②配宿シュミレーション(12,600人ver) '!AU$6:AU$707,)</f>
        <v>0</v>
      </c>
      <c r="AL67" s="494">
        <f>+_xlfn.XLOOKUP($AA67,'[52]②配宿シュミレーション(12,600人ver) '!$AO$6:$AO$707,'[52]②配宿シュミレーション(12,600人ver) '!AV$6:AV$707,)</f>
        <v>0</v>
      </c>
      <c r="AM67" s="494">
        <f>+_xlfn.XLOOKUP($AA67,'[52]②配宿シュミレーション(12,600人ver) '!$AO$6:$AO$707,'[52]②配宿シュミレーション(12,600人ver) '!AW$6:AW$707,)</f>
        <v>0</v>
      </c>
      <c r="AN67" s="494">
        <f>+_xlfn.XLOOKUP($AA67,'[52]②配宿シュミレーション(12,600人ver) '!$AO$6:$AO$707,'[52]②配宿シュミレーション(12,600人ver) '!AX$6:AX$707,)</f>
        <v>0</v>
      </c>
      <c r="AO67" s="494">
        <f>+_xlfn.XLOOKUP($AA67,'[52]②配宿シュミレーション(12,600人ver) '!$AO$6:$AO$707,'[52]②配宿シュミレーション(12,600人ver) '!AY$6:AY$707,)</f>
        <v>0</v>
      </c>
      <c r="AP67" s="494">
        <f>+_xlfn.XLOOKUP($AA67,'[52]②配宿シュミレーション(12,600人ver) '!$AO$6:$AO$707,'[52]②配宿シュミレーション(12,600人ver) '!AZ$6:AZ$707,)</f>
        <v>0</v>
      </c>
      <c r="AQ67" s="494">
        <f>+_xlfn.XLOOKUP($AA67,'[52]②配宿シュミレーション(12,600人ver) '!$AO$6:$AO$707,'[52]②配宿シュミレーション(12,600人ver) '!BA$6:BA$707,)</f>
        <v>0</v>
      </c>
      <c r="AR67" s="494">
        <f>+_xlfn.XLOOKUP($AA67,'[52]②配宿シュミレーション(12,600人ver) '!$AO$6:$AO$707,'[52]②配宿シュミレーション(12,600人ver) '!BB$6:BB$707,)</f>
        <v>0</v>
      </c>
      <c r="AS67" s="494">
        <f>+_xlfn.XLOOKUP($AA67,'[52]②配宿シュミレーション(12,600人ver) '!$AO$6:$AO$707,'[52]②配宿シュミレーション(12,600人ver) '!BC$6:BC$707,)</f>
        <v>0</v>
      </c>
      <c r="AT67" s="3327" t="s">
        <v>2447</v>
      </c>
      <c r="AU67" s="3364">
        <f>+_xlfn.XLOOKUP($AA67,'[52]②配宿シュミレーション(12,600人ver) '!$AO$6:$AO$707,'[52]②配宿シュミレーション(12,600人ver) '!BE$6:BE$707,)</f>
        <v>0</v>
      </c>
      <c r="AV67" s="494">
        <f>+_xlfn.XLOOKUP($AA67,'[52]②配宿シュミレーション(12,600人ver) '!$AO$6:$AO$707,'[52]②配宿シュミレーション(12,600人ver) '!BF$6:BF$707,)</f>
        <v>56</v>
      </c>
      <c r="AW67" s="494">
        <f>+_xlfn.XLOOKUP($AA67,'[52]②配宿シュミレーション(12,600人ver) '!$AO$6:$AO$707,'[52]②配宿シュミレーション(12,600人ver) '!BG$6:BG$707,)</f>
        <v>56</v>
      </c>
      <c r="AX67" s="494">
        <f>+_xlfn.XLOOKUP($AA67,'[52]②配宿シュミレーション(12,600人ver) '!$AO$6:$AO$707,'[52]②配宿シュミレーション(12,600人ver) '!BH$6:BH$707,)</f>
        <v>56</v>
      </c>
      <c r="AY67" s="494">
        <f>+_xlfn.XLOOKUP($AA67,'[52]②配宿シュミレーション(12,600人ver) '!$AO$6:$AO$707,'[52]②配宿シュミレーション(12,600人ver) '!BI$6:BI$707,)</f>
        <v>56</v>
      </c>
      <c r="AZ67" s="494">
        <f>+_xlfn.XLOOKUP($AA67,'[52]②配宿シュミレーション(12,600人ver) '!$AO$6:$AO$707,'[52]②配宿シュミレーション(12,600人ver) '!BJ$6:BJ$707,)</f>
        <v>56</v>
      </c>
      <c r="BA67" s="494">
        <f>+_xlfn.XLOOKUP($AA67,'[52]②配宿シュミレーション(12,600人ver) '!$AO$6:$AO$707,'[52]②配宿シュミレーション(12,600人ver) '!BK$6:BK$707,)</f>
        <v>56</v>
      </c>
      <c r="BB67" s="494">
        <f>+_xlfn.XLOOKUP($AA67,'[52]②配宿シュミレーション(12,600人ver) '!$AO$6:$AO$707,'[52]②配宿シュミレーション(12,600人ver) '!BL$6:BL$707,)</f>
        <v>56</v>
      </c>
      <c r="BC67" s="494">
        <f>+_xlfn.XLOOKUP($AA67,'[52]②配宿シュミレーション(12,600人ver) '!$AO$6:$AO$707,'[52]②配宿シュミレーション(12,600人ver) '!BM$6:BM$707,)</f>
        <v>56</v>
      </c>
      <c r="BD67" s="494">
        <f>+_xlfn.XLOOKUP($AA67,'[52]②配宿シュミレーション(12,600人ver) '!$AO$6:$AO$707,'[52]②配宿シュミレーション(12,600人ver) '!BN$6:BN$707,)</f>
        <v>56</v>
      </c>
      <c r="BE67" s="494">
        <f>+_xlfn.XLOOKUP($AA67,'[52]②配宿シュミレーション(12,600人ver) '!$AO$6:$AO$707,'[52]②配宿シュミレーション(12,600人ver) '!BO$6:BO$707,)</f>
        <v>56</v>
      </c>
      <c r="BF67" s="494">
        <f>+_xlfn.XLOOKUP($AA67,'[52]②配宿シュミレーション(12,600人ver) '!$AO$6:$AO$707,'[52]②配宿シュミレーション(12,600人ver) '!BP$6:BP$707,)</f>
        <v>56</v>
      </c>
      <c r="BG67" s="494">
        <f>+_xlfn.XLOOKUP($AA67,'[52]②配宿シュミレーション(12,600人ver) '!$AO$6:$AO$707,'[52]②配宿シュミレーション(12,600人ver) '!BQ$6:BQ$707,)</f>
        <v>56</v>
      </c>
      <c r="BH67" s="494">
        <f>+_xlfn.XLOOKUP($AA67,'[52]②配宿シュミレーション(12,600人ver) '!$AO$6:$AO$707,'[52]②配宿シュミレーション(12,600人ver) '!BR$6:BR$707,)</f>
        <v>56</v>
      </c>
      <c r="BI67" s="494">
        <f>+_xlfn.XLOOKUP($AA67,'[52]②配宿シュミレーション(12,600人ver) '!$AO$6:$AO$707,'[52]②配宿シュミレーション(12,600人ver) '!BS$6:BS$707,)</f>
        <v>56</v>
      </c>
      <c r="BJ67" s="494">
        <f>+_xlfn.XLOOKUP($AA67,'[52]②配宿シュミレーション(12,600人ver) '!$AO$6:$AO$707,'[52]②配宿シュミレーション(12,600人ver) '!BT$6:BT$707,)</f>
        <v>56</v>
      </c>
      <c r="BK67" s="3306" t="s">
        <v>2448</v>
      </c>
      <c r="BL67" s="494">
        <f>+_xlfn.XLOOKUP($AA67,'[52]②配宿シュミレーション(12,600人ver) '!$AO$6:$AO$707,'[52]②配宿シュミレーション(12,600人ver) '!BV$6:BV$707,)</f>
        <v>0</v>
      </c>
      <c r="BM67" s="494">
        <f>+_xlfn.XLOOKUP($AA67,'[52]②配宿シュミレーション(12,600人ver) '!$AO$6:$AO$707,'[52]②配宿シュミレーション(12,600人ver) '!BW$6:BW$707,)</f>
        <v>0</v>
      </c>
      <c r="BN67" s="499">
        <f>+_xlfn.XLOOKUP($AA67,'[52]②配宿シュミレーション(12,600人ver) '!$AO$6:$AO$707,'[52]②配宿シュミレーション(12,600人ver) '!BX$6:BX$707,)</f>
        <v>0</v>
      </c>
      <c r="BO67" s="290"/>
      <c r="BP67" s="332"/>
      <c r="BQ67" s="333"/>
    </row>
    <row r="68" spans="1:69" ht="46" customHeight="1">
      <c r="A68" s="2862"/>
      <c r="B68" s="2863"/>
      <c r="C68" s="420"/>
      <c r="D68" s="297" t="str">
        <f>IF(_xlfn.XLOOKUP(E68,[52]宿泊施設DB!$B$3:$B$207,[52]宿泊施設DB!$A$3:$A$207,"",)=0,"",_xlfn.XLOOKUP(E68,[52]宿泊施設DB!$B$3:$B$207,[52]宿泊施設DB!$A$3:$A$207,"",))</f>
        <v/>
      </c>
      <c r="E68" s="298" t="s">
        <v>2533</v>
      </c>
      <c r="F68" s="2864" t="str">
        <f>_xlfn.XLOOKUP($E68,[52]宿泊施設DB!$B$3:$B$207,[52]宿泊施設DB!$D$3:$D$207,"",)</f>
        <v/>
      </c>
      <c r="G68" s="2864" t="str">
        <f>_xlfn.XLOOKUP($E68,[52]宿泊施設DB!$B$3:$B$207,[52]宿泊施設DB!$E$3:$E$207,"",)</f>
        <v/>
      </c>
      <c r="H68" s="2865" t="str">
        <f>_xlfn.XLOOKUP($E68,[52]宿泊施設DB!$B$3:$B$207,[52]宿泊施設DB!$J$3:$J$207,"",)</f>
        <v/>
      </c>
      <c r="I68" s="2866" t="str">
        <f>_xlfn.XLOOKUP($E68,[52]宿泊施設DB!$B$3:$B$207,[52]宿泊施設DB!$T$3:$T$207,"",)</f>
        <v/>
      </c>
      <c r="J68" s="2866" t="str">
        <f>_xlfn.XLOOKUP($E68,[52]宿泊施設DB!$B$3:$B$207,[52]宿泊施設DB!$R$3:$R$207,"",)</f>
        <v/>
      </c>
      <c r="K68" s="2865" t="str">
        <f>_xlfn.XLOOKUP($E68,[52]宿泊施設DB!$B$3:$B$207,[52]宿泊施設DB!$S$3:$S$207,"",)</f>
        <v/>
      </c>
      <c r="L68" s="2866" t="str">
        <f>_xlfn.XLOOKUP($E68,[52]宿泊施設DB!$B$3:$B$207,[52]宿泊施設DB!$U$3:$U$207,"",)</f>
        <v/>
      </c>
      <c r="M68" s="2866" t="str">
        <f>_xlfn.XLOOKUP($E68,[52]宿泊施設DB!$B$3:$B$207,[52]宿泊施設DB!$V$3:$V$207,"",)</f>
        <v/>
      </c>
      <c r="N68" s="2866" t="str">
        <f>_xlfn.XLOOKUP($E68,[52]宿泊施設DB!$B$3:$B$207,[52]宿泊施設DB!$W$3:$W$207,"",)</f>
        <v/>
      </c>
      <c r="O68" s="2866" t="str">
        <f>_xlfn.XLOOKUP($E68,[52]宿泊施設DB!$B$3:$B$207,[52]宿泊施設DB!$X$3:$X$207,"",)</f>
        <v/>
      </c>
      <c r="P68" s="302"/>
      <c r="Q68" s="296"/>
      <c r="R68" s="3341"/>
      <c r="S68" s="478" t="str">
        <f>IFERROR(VLOOKUP($R68,'[52]競技情報DB(12,600人ver) '!$A$6:$D$203,2,),"－")</f>
        <v>－</v>
      </c>
      <c r="T68" s="479">
        <f>_xlfn.XLOOKUP(R68,'[52]競技情報DB(12,600人ver) '!$A$6:$A$101,'[52]競技情報DB(12,600人ver) '!$D$6:$D$101,"",0,)</f>
        <v>0</v>
      </c>
      <c r="U68" s="3342"/>
      <c r="V68" s="3343" t="str">
        <f>IFERROR(VLOOKUP($R68,'[52]競技情報DB(12,600人ver) '!$A$6:$D$203,3,),"－")</f>
        <v>－</v>
      </c>
      <c r="W68" s="3344"/>
      <c r="X68" s="3345"/>
      <c r="Y68" s="442"/>
      <c r="Z68" s="311"/>
      <c r="AA68" s="565"/>
      <c r="AB68" s="3311"/>
      <c r="AC68" s="3311"/>
      <c r="AD68" s="3312"/>
      <c r="AE68" s="518"/>
      <c r="AF68" s="448"/>
      <c r="AG68" s="445"/>
      <c r="AH68" s="445"/>
      <c r="AI68" s="445"/>
      <c r="AJ68" s="445"/>
      <c r="AK68" s="445"/>
      <c r="AL68" s="445"/>
      <c r="AM68" s="445"/>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336"/>
      <c r="BJ68" s="445"/>
      <c r="BK68" s="445"/>
      <c r="BL68" s="445"/>
      <c r="BM68" s="445"/>
      <c r="BN68" s="449"/>
      <c r="BO68" s="290"/>
      <c r="BP68" s="332"/>
      <c r="BQ68" s="333"/>
    </row>
    <row r="69" spans="1:69" ht="46" customHeight="1">
      <c r="A69" s="2862"/>
      <c r="B69" s="2863"/>
      <c r="C69" s="372">
        <f>C67+1</f>
        <v>16</v>
      </c>
      <c r="D69" s="2871">
        <f>IF(_xlfn.XLOOKUP(E69,[52]宿泊施設DB!$B$3:$B$207,[52]宿泊施設DB!$A$3:$A$207,"",)=0,"",_xlfn.XLOOKUP(E69,[52]宿泊施設DB!$B$3:$B$207,[52]宿泊施設DB!$A$3:$A$207,"",))</f>
        <v>206</v>
      </c>
      <c r="E69" s="373" t="s">
        <v>2306</v>
      </c>
      <c r="F69" s="2872">
        <f>_xlfn.XLOOKUP($E69,[52]宿泊施設DB!$B$3:$B$207,[52]宿泊施設DB!$D$3:$D$207,"",)</f>
        <v>151</v>
      </c>
      <c r="G69" s="2872">
        <f>_xlfn.XLOOKUP($E69,[52]宿泊施設DB!$B$3:$B$207,[52]宿泊施設DB!$E$3:$E$207,"",)</f>
        <v>191</v>
      </c>
      <c r="H69" s="2873">
        <f>_xlfn.XLOOKUP($E69,[52]宿泊施設DB!$B$3:$B$207,[52]宿泊施設DB!$J$3:$J$207,"",)</f>
        <v>6</v>
      </c>
      <c r="I69" s="2874" t="str">
        <f>_xlfn.XLOOKUP($E69,[52]宿泊施設DB!$B$3:$B$207,[52]宿泊施設DB!$T$3:$T$207,"",)</f>
        <v>－</v>
      </c>
      <c r="J69" s="2874" t="str">
        <f>_xlfn.XLOOKUP($E69,[52]宿泊施設DB!$B$3:$B$207,[52]宿泊施設DB!$R$3:$R$207,"",)</f>
        <v>宿泊施設</v>
      </c>
      <c r="K69" s="2873">
        <f>_xlfn.XLOOKUP($E69,[52]宿泊施設DB!$B$3:$B$207,[52]宿泊施設DB!$S$3:$S$207,"",)</f>
        <v>60</v>
      </c>
      <c r="L69" s="2874" t="str">
        <f>_xlfn.XLOOKUP($E69,[52]宿泊施設DB!$B$3:$B$207,[52]宿泊施設DB!$U$3:$U$207,"",)</f>
        <v>○</v>
      </c>
      <c r="M69" s="2874" t="str">
        <f>_xlfn.XLOOKUP($E69,[52]宿泊施設DB!$B$3:$B$207,[52]宿泊施設DB!$V$3:$V$207,"",)</f>
        <v>－</v>
      </c>
      <c r="N69" s="2874" t="str">
        <f>_xlfn.XLOOKUP($E69,[52]宿泊施設DB!$B$3:$B$207,[52]宿泊施設DB!$W$3:$W$207,"",)</f>
        <v>－</v>
      </c>
      <c r="O69" s="2874" t="str">
        <f>_xlfn.XLOOKUP($E69,[52]宿泊施設DB!$B$3:$B$207,[52]宿泊施設DB!$X$3:$X$207,"",)</f>
        <v>玄関前（屋根付）1台</v>
      </c>
      <c r="P69" s="377" t="str">
        <f t="shared" ref="P69:P75" si="3">IF(AND(E69&lt;&gt;"", R69&lt;&gt;"－"), "○", "")</f>
        <v>○</v>
      </c>
      <c r="Q69" s="372" t="s">
        <v>2136</v>
      </c>
      <c r="R69" s="387" t="s">
        <v>2478</v>
      </c>
      <c r="S69" s="388" t="str">
        <f>IFERROR(VLOOKUP($R69,'[52]競技情報DB(12,600人ver) '!$A$6:$D$203,2,),"－")</f>
        <v>岡崎市</v>
      </c>
      <c r="T69" s="389">
        <f>_xlfn.XLOOKUP(R69,'[52]競技情報DB(12,600人ver) '!$A$6:$A$101,'[52]競技情報DB(12,600人ver) '!$D$6:$D$101,"",0,)</f>
        <v>140</v>
      </c>
      <c r="U69" s="3321">
        <f>SUM(T69:T70)</f>
        <v>140</v>
      </c>
      <c r="V69" s="3322" t="str">
        <f>IFERROR(VLOOKUP($R69,'[52]競技情報DB(12,600人ver) '!$A$6:$D$203,3,),"－")</f>
        <v>岡崎市中央総合公園総合体育館</v>
      </c>
      <c r="W69" s="3323">
        <v>32.299999999999997</v>
      </c>
      <c r="X69" s="3324">
        <v>52</v>
      </c>
      <c r="Y69" s="318">
        <f>$G69-MAX(AF69:BN69)</f>
        <v>51</v>
      </c>
      <c r="Z69" s="394">
        <f>+Y69/$G69</f>
        <v>0.26701570680628273</v>
      </c>
      <c r="AA69" s="515" t="str">
        <f>E69&amp;"　"&amp;"合計"</f>
        <v>ホテルトヨタキャッスル　合計</v>
      </c>
      <c r="AB69" s="3325">
        <f>IFERROR(INDEX($AF$3:$BN$3, MATCH("準備", AF69:BN69, 0)), "")</f>
        <v>46275</v>
      </c>
      <c r="AC69" s="3325" cm="1">
        <f t="array" ref="AC69">IF(COUNTIF(AF69:BN69,"*撤去*")=0,"",INDEX(AF$3:BN$3,1,MAX(IF(AF69:BN69="撤去",COLUMN(AF69:BN69)-COLUMN(AF69)+1))))</f>
        <v>46300</v>
      </c>
      <c r="AD69" s="3326">
        <f>AC69-AB69</f>
        <v>25</v>
      </c>
      <c r="AE69" s="492" t="str">
        <f>+$AE$114</f>
        <v>12,600人</v>
      </c>
      <c r="AF69" s="398">
        <f>+_xlfn.XLOOKUP($AA69,'[52]②配宿シュミレーション(12,600人ver) '!$AO$6:$AO$707,'[52]②配宿シュミレーション(12,600人ver) '!AP$6:AP$707,)</f>
        <v>0</v>
      </c>
      <c r="AG69" s="398">
        <f>+_xlfn.XLOOKUP($AA69,'[52]②配宿シュミレーション(12,600人ver) '!$AO$6:$AO$707,'[52]②配宿シュミレーション(12,600人ver) '!AQ$6:AQ$707,)</f>
        <v>0</v>
      </c>
      <c r="AH69" s="398">
        <f>+_xlfn.XLOOKUP($AA69,'[52]②配宿シュミレーション(12,600人ver) '!$AO$6:$AO$707,'[52]②配宿シュミレーション(12,600人ver) '!AR$6:AR$707,)</f>
        <v>0</v>
      </c>
      <c r="AI69" s="398">
        <f>+_xlfn.XLOOKUP($AA69,'[52]②配宿シュミレーション(12,600人ver) '!$AO$6:$AO$707,'[52]②配宿シュミレーション(12,600人ver) '!AS$6:AS$707,)</f>
        <v>0</v>
      </c>
      <c r="AJ69" s="398">
        <f>+_xlfn.XLOOKUP($AA69,'[52]②配宿シュミレーション(12,600人ver) '!$AO$6:$AO$707,'[52]②配宿シュミレーション(12,600人ver) '!AT$6:AT$707,)</f>
        <v>0</v>
      </c>
      <c r="AK69" s="398">
        <f>+_xlfn.XLOOKUP($AA69,'[52]②配宿シュミレーション(12,600人ver) '!$AO$6:$AO$707,'[52]②配宿シュミレーション(12,600人ver) '!AU$6:AU$707,)</f>
        <v>0</v>
      </c>
      <c r="AL69" s="3327" t="s">
        <v>2447</v>
      </c>
      <c r="AM69" s="3327">
        <f>+_xlfn.XLOOKUP($AA69,'[52]②配宿シュミレーション(12,600人ver) '!$AO$6:$AO$707,'[52]②配宿シュミレーション(12,600人ver) '!AW$6:AW$707,)</f>
        <v>0</v>
      </c>
      <c r="AN69" s="398">
        <f>+_xlfn.XLOOKUP($AA69,'[52]②配宿シュミレーション(12,600人ver) '!$AO$6:$AO$707,'[52]②配宿シュミレーション(12,600人ver) '!AX$6:AX$707,)</f>
        <v>140</v>
      </c>
      <c r="AO69" s="398">
        <f>+_xlfn.XLOOKUP($AA69,'[52]②配宿シュミレーション(12,600人ver) '!$AO$6:$AO$707,'[52]②配宿シュミレーション(12,600人ver) '!AY$6:AY$707,)</f>
        <v>140</v>
      </c>
      <c r="AP69" s="398">
        <f>+_xlfn.XLOOKUP($AA69,'[52]②配宿シュミレーション(12,600人ver) '!$AO$6:$AO$707,'[52]②配宿シュミレーション(12,600人ver) '!AZ$6:AZ$707,)</f>
        <v>140</v>
      </c>
      <c r="AQ69" s="398">
        <f>+_xlfn.XLOOKUP($AA69,'[52]②配宿シュミレーション(12,600人ver) '!$AO$6:$AO$707,'[52]②配宿シュミレーション(12,600人ver) '!BA$6:BA$707,)</f>
        <v>140</v>
      </c>
      <c r="AR69" s="398">
        <f>+_xlfn.XLOOKUP($AA69,'[52]②配宿シュミレーション(12,600人ver) '!$AO$6:$AO$707,'[52]②配宿シュミレーション(12,600人ver) '!BB$6:BB$707,)</f>
        <v>140</v>
      </c>
      <c r="AS69" s="398">
        <f>+_xlfn.XLOOKUP($AA69,'[52]②配宿シュミレーション(12,600人ver) '!$AO$6:$AO$707,'[52]②配宿シュミレーション(12,600人ver) '!BC$6:BC$707,)</f>
        <v>140</v>
      </c>
      <c r="AT69" s="398">
        <f>+_xlfn.XLOOKUP($AA69,'[52]②配宿シュミレーション(12,600人ver) '!$AO$6:$AO$707,'[52]②配宿シュミレーション(12,600人ver) '!BD$6:BD$707,)</f>
        <v>140</v>
      </c>
      <c r="AU69" s="398">
        <f>+_xlfn.XLOOKUP($AA69,'[52]②配宿シュミレーション(12,600人ver) '!$AO$6:$AO$707,'[52]②配宿シュミレーション(12,600人ver) '!BE$6:BE$707,)</f>
        <v>140</v>
      </c>
      <c r="AV69" s="398">
        <f>+_xlfn.XLOOKUP($AA69,'[52]②配宿シュミレーション(12,600人ver) '!$AO$6:$AO$707,'[52]②配宿シュミレーション(12,600人ver) '!BF$6:BF$707,)</f>
        <v>140</v>
      </c>
      <c r="AW69" s="398">
        <f>+_xlfn.XLOOKUP($AA69,'[52]②配宿シュミレーション(12,600人ver) '!$AO$6:$AO$707,'[52]②配宿シュミレーション(12,600人ver) '!BG$6:BG$707,)</f>
        <v>140</v>
      </c>
      <c r="AX69" s="398">
        <f>+_xlfn.XLOOKUP($AA69,'[52]②配宿シュミレーション(12,600人ver) '!$AO$6:$AO$707,'[52]②配宿シュミレーション(12,600人ver) '!BH$6:BH$707,)</f>
        <v>140</v>
      </c>
      <c r="AY69" s="398">
        <f>+_xlfn.XLOOKUP($AA69,'[52]②配宿シュミレーション(12,600人ver) '!$AO$6:$AO$707,'[52]②配宿シュミレーション(12,600人ver) '!BI$6:BI$707,)</f>
        <v>140</v>
      </c>
      <c r="AZ69" s="398">
        <f>+_xlfn.XLOOKUP($AA69,'[52]②配宿シュミレーション(12,600人ver) '!$AO$6:$AO$707,'[52]②配宿シュミレーション(12,600人ver) '!BJ$6:BJ$707,)</f>
        <v>140</v>
      </c>
      <c r="BA69" s="398">
        <f>+_xlfn.XLOOKUP($AA69,'[52]②配宿シュミレーション(12,600人ver) '!$AO$6:$AO$707,'[52]②配宿シュミレーション(12,600人ver) '!BK$6:BK$707,)</f>
        <v>140</v>
      </c>
      <c r="BB69" s="398">
        <f>+_xlfn.XLOOKUP($AA69,'[52]②配宿シュミレーション(12,600人ver) '!$AO$6:$AO$707,'[52]②配宿シュミレーション(12,600人ver) '!BL$6:BL$707,)</f>
        <v>140</v>
      </c>
      <c r="BC69" s="398">
        <f>+_xlfn.XLOOKUP($AA69,'[52]②配宿シュミレーション(12,600人ver) '!$AO$6:$AO$707,'[52]②配宿シュミレーション(12,600人ver) '!BM$6:BM$707,)</f>
        <v>140</v>
      </c>
      <c r="BD69" s="398">
        <f>+_xlfn.XLOOKUP($AA69,'[52]②配宿シュミレーション(12,600人ver) '!$AO$6:$AO$707,'[52]②配宿シュミレーション(12,600人ver) '!BN$6:BN$707,)</f>
        <v>140</v>
      </c>
      <c r="BE69" s="398">
        <f>+_xlfn.XLOOKUP($AA69,'[52]②配宿シュミレーション(12,600人ver) '!$AO$6:$AO$707,'[52]②配宿シュミレーション(12,600人ver) '!BO$6:BO$707,)</f>
        <v>140</v>
      </c>
      <c r="BF69" s="398">
        <f>+_xlfn.XLOOKUP($AA69,'[52]②配宿シュミレーション(12,600人ver) '!$AO$6:$AO$707,'[52]②配宿シュミレーション(12,600人ver) '!BP$6:BP$707,)</f>
        <v>140</v>
      </c>
      <c r="BG69" s="398">
        <f>+_xlfn.XLOOKUP($AA69,'[52]②配宿シュミレーション(12,600人ver) '!$AO$6:$AO$707,'[52]②配宿シュミレーション(12,600人ver) '!BQ$6:BQ$707,)</f>
        <v>140</v>
      </c>
      <c r="BH69" s="398">
        <f>+_xlfn.XLOOKUP($AA69,'[52]②配宿シュミレーション(12,600人ver) '!$AO$6:$AO$707,'[52]②配宿シュミレーション(12,600人ver) '!BR$6:BR$707,)</f>
        <v>140</v>
      </c>
      <c r="BI69" s="398">
        <f>+_xlfn.XLOOKUP($AA69,'[52]②配宿シュミレーション(12,600人ver) '!$AO$6:$AO$707,'[52]②配宿シュミレーション(12,600人ver) '!BS$6:BS$707,)</f>
        <v>140</v>
      </c>
      <c r="BJ69" s="398">
        <f>+_xlfn.XLOOKUP($AA69,'[52]②配宿シュミレーション(12,600人ver) '!$AO$6:$AO$707,'[52]②配宿シュミレーション(12,600人ver) '!BT$6:BT$707,)</f>
        <v>140</v>
      </c>
      <c r="BK69" s="3306" t="s">
        <v>2448</v>
      </c>
      <c r="BL69" s="398">
        <f>+_xlfn.XLOOKUP($AA69,'[52]②配宿シュミレーション(12,600人ver) '!$AO$6:$AO$707,'[52]②配宿シュミレーション(12,600人ver) '!BV$6:BV$707,)</f>
        <v>0</v>
      </c>
      <c r="BM69" s="398">
        <f>+_xlfn.XLOOKUP($AA69,'[52]②配宿シュミレーション(12,600人ver) '!$AO$6:$AO$707,'[52]②配宿シュミレーション(12,600人ver) '!BW$6:BW$707,)</f>
        <v>0</v>
      </c>
      <c r="BN69" s="472">
        <f>+_xlfn.XLOOKUP($AA69,'[52]②配宿シュミレーション(12,600人ver) '!$AO$6:$AO$707,'[52]②配宿シュミレーション(12,600人ver) '!BX$6:BX$707,)</f>
        <v>0</v>
      </c>
      <c r="BO69" s="290"/>
      <c r="BP69" s="404"/>
      <c r="BQ69" s="405"/>
    </row>
    <row r="70" spans="1:69" s="561" customFormat="1" ht="46" customHeight="1">
      <c r="A70" s="2862"/>
      <c r="B70" s="3368"/>
      <c r="C70" s="420"/>
      <c r="D70" s="421" t="str">
        <f>IF(_xlfn.XLOOKUP(E70,[52]宿泊施設DB!$B$3:$B$207,[52]宿泊施設DB!$A$3:$A$207,"",)=0,"",_xlfn.XLOOKUP(E70,[52]宿泊施設DB!$B$3:$B$207,[52]宿泊施設DB!$A$3:$A$207,"",))</f>
        <v/>
      </c>
      <c r="E70" s="422"/>
      <c r="F70" s="2875">
        <f>_xlfn.XLOOKUP($E70,[52]宿泊施設DB!$B$3:$B$207,[52]宿泊施設DB!$D$3:$D$207,"",)</f>
        <v>0</v>
      </c>
      <c r="G70" s="2875">
        <f>_xlfn.XLOOKUP($E70,[52]宿泊施設DB!$B$3:$B$207,[52]宿泊施設DB!$E$3:$E$207,"",)</f>
        <v>0</v>
      </c>
      <c r="H70" s="2877">
        <f>_xlfn.XLOOKUP($E70,[52]宿泊施設DB!$B$3:$B$207,[52]宿泊施設DB!$J$3:$J$207,"",)</f>
        <v>0</v>
      </c>
      <c r="I70" s="2878">
        <f>_xlfn.XLOOKUP($E70,[52]宿泊施設DB!$B$3:$B$207,[52]宿泊施設DB!$T$3:$T$207,"",)</f>
        <v>0</v>
      </c>
      <c r="J70" s="2878">
        <f>_xlfn.XLOOKUP($E70,[52]宿泊施設DB!$B$3:$B$207,[52]宿泊施設DB!$R$3:$R$207,"",)</f>
        <v>0</v>
      </c>
      <c r="K70" s="2877">
        <f>_xlfn.XLOOKUP($E70,[52]宿泊施設DB!$B$3:$B$207,[52]宿泊施設DB!$S$3:$S$207,"",)</f>
        <v>0</v>
      </c>
      <c r="L70" s="2878">
        <f>_xlfn.XLOOKUP($E70,[52]宿泊施設DB!$B$3:$B$207,[52]宿泊施設DB!$U$3:$U$207,"",)</f>
        <v>0</v>
      </c>
      <c r="M70" s="2878">
        <f>_xlfn.XLOOKUP($E70,[52]宿泊施設DB!$B$3:$B$207,[52]宿泊施設DB!$V$3:$V$207,"",)</f>
        <v>0</v>
      </c>
      <c r="N70" s="2878">
        <f>_xlfn.XLOOKUP($E70,[52]宿泊施設DB!$B$3:$B$207,[52]宿泊施設DB!$W$3:$W$207,"",)</f>
        <v>0</v>
      </c>
      <c r="O70" s="2878">
        <f>_xlfn.XLOOKUP($E70,[52]宿泊施設DB!$B$3:$B$207,[52]宿泊施設DB!$X$3:$X$207,"",)</f>
        <v>0</v>
      </c>
      <c r="P70" s="426" t="str">
        <f t="shared" si="3"/>
        <v/>
      </c>
      <c r="Q70" s="420"/>
      <c r="R70" s="714"/>
      <c r="S70" s="437" t="str">
        <f>IFERROR(VLOOKUP($R70,'[52]競技情報DB(12,600人ver) '!$A$6:$D$203,2,),"－")</f>
        <v>－</v>
      </c>
      <c r="T70" s="438">
        <f>_xlfn.XLOOKUP(R70,'[52]競技情報DB(12,600人ver) '!$A$6:$A$101,'[52]競技情報DB(12,600人ver) '!$D$6:$D$101,"",0,)</f>
        <v>0</v>
      </c>
      <c r="U70" s="3342"/>
      <c r="V70" s="3353" t="str">
        <f>IFERROR(VLOOKUP($R70,'[52]競技情報DB(12,600人ver) '!$A$6:$D$203,3,),"－")</f>
        <v>－</v>
      </c>
      <c r="W70" s="3344"/>
      <c r="X70" s="3345"/>
      <c r="Y70" s="442"/>
      <c r="Z70" s="435"/>
      <c r="AA70" s="517"/>
      <c r="AB70" s="3346"/>
      <c r="AC70" s="3346"/>
      <c r="AD70" s="3347"/>
      <c r="AE70" s="518"/>
      <c r="AF70" s="445"/>
      <c r="AG70" s="445"/>
      <c r="AH70" s="445"/>
      <c r="AI70" s="445"/>
      <c r="AJ70" s="445"/>
      <c r="AK70" s="445"/>
      <c r="AL70" s="445"/>
      <c r="AM70" s="445"/>
      <c r="AN70" s="445"/>
      <c r="AO70" s="445"/>
      <c r="AP70" s="445"/>
      <c r="AQ70" s="445"/>
      <c r="AR70" s="445"/>
      <c r="AS70" s="445"/>
      <c r="AT70" s="445"/>
      <c r="AU70" s="445"/>
      <c r="AV70" s="445"/>
      <c r="AW70" s="445"/>
      <c r="AX70" s="445"/>
      <c r="AY70" s="445"/>
      <c r="AZ70" s="445"/>
      <c r="BA70" s="445"/>
      <c r="BB70" s="445"/>
      <c r="BC70" s="445"/>
      <c r="BD70" s="445"/>
      <c r="BE70" s="445"/>
      <c r="BF70" s="445"/>
      <c r="BG70" s="336"/>
      <c r="BH70" s="445"/>
      <c r="BI70" s="445"/>
      <c r="BJ70" s="445"/>
      <c r="BK70" s="445"/>
      <c r="BL70" s="445"/>
      <c r="BM70" s="445"/>
      <c r="BN70" s="449"/>
      <c r="BO70" s="290"/>
      <c r="BP70" s="450"/>
      <c r="BQ70" s="451"/>
    </row>
    <row r="71" spans="1:69" s="564" customFormat="1" ht="46" customHeight="1">
      <c r="A71" s="2862"/>
      <c r="B71" s="2863"/>
      <c r="C71" s="372">
        <f>C69+1</f>
        <v>17</v>
      </c>
      <c r="D71" s="2871">
        <f>IF(_xlfn.XLOOKUP(E71,[52]宿泊施設DB!$B$3:$B$207,[52]宿泊施設DB!$A$3:$A$207,"",)=0,"",_xlfn.XLOOKUP(E71,[52]宿泊施設DB!$B$3:$B$207,[52]宿泊施設DB!$A$3:$A$207,"",))</f>
        <v>210</v>
      </c>
      <c r="E71" s="572" t="s">
        <v>2312</v>
      </c>
      <c r="F71" s="2872">
        <f>_xlfn.XLOOKUP($E71,[52]宿泊施設DB!$B$3:$B$207,[52]宿泊施設DB!$D$3:$D$207,"",)</f>
        <v>99</v>
      </c>
      <c r="G71" s="2872">
        <f>_xlfn.XLOOKUP($E71,[52]宿泊施設DB!$B$3:$B$207,[52]宿泊施設DB!$E$3:$E$207,"",)</f>
        <v>128</v>
      </c>
      <c r="H71" s="2873">
        <f>_xlfn.XLOOKUP($E71,[52]宿泊施設DB!$B$3:$B$207,[52]宿泊施設DB!$J$3:$J$207,"",)</f>
        <v>6</v>
      </c>
      <c r="I71" s="2874" t="str">
        <f>_xlfn.XLOOKUP($E71,[52]宿泊施設DB!$B$3:$B$207,[52]宿泊施設DB!$T$3:$T$207,"",)</f>
        <v>－</v>
      </c>
      <c r="J71" s="2874" t="str">
        <f>_xlfn.XLOOKUP($E71,[52]宿泊施設DB!$B$3:$B$207,[52]宿泊施設DB!$R$3:$R$207,"",)</f>
        <v>宿泊施設</v>
      </c>
      <c r="K71" s="2873">
        <f>_xlfn.XLOOKUP($E71,[52]宿泊施設DB!$B$3:$B$207,[52]宿泊施設DB!$S$3:$S$207,"",)</f>
        <v>76</v>
      </c>
      <c r="L71" s="2914" t="str">
        <f>_xlfn.XLOOKUP($E71,[52]宿泊施設DB!$B$3:$B$207,[52]宿泊施設DB!$U$3:$U$207,"",)</f>
        <v>－</v>
      </c>
      <c r="M71" s="2874" t="str">
        <f>_xlfn.XLOOKUP($E71,[52]宿泊施設DB!$B$3:$B$207,[52]宿泊施設DB!$V$3:$V$207,"",)</f>
        <v>－</v>
      </c>
      <c r="N71" s="2874" t="str">
        <f>_xlfn.XLOOKUP($E71,[52]宿泊施設DB!$B$3:$B$207,[52]宿泊施設DB!$W$3:$W$207,"",)</f>
        <v>－</v>
      </c>
      <c r="O71" s="2874" t="str">
        <f>_xlfn.XLOOKUP($E71,[52]宿泊施設DB!$B$3:$B$207,[52]宿泊施設DB!$X$3:$X$207,"",)</f>
        <v>玄関前（屋根無）2台</v>
      </c>
      <c r="P71" s="377" t="str">
        <f t="shared" si="3"/>
        <v>○</v>
      </c>
      <c r="Q71" s="372" t="s">
        <v>2136</v>
      </c>
      <c r="R71" s="387" t="s">
        <v>2456</v>
      </c>
      <c r="S71" s="388" t="str">
        <f>IFERROR(VLOOKUP($R71,'[52]競技情報DB(12,600人ver) '!$A$6:$D$203,2,),"－")</f>
        <v>豊田市</v>
      </c>
      <c r="T71" s="389">
        <f>_xlfn.XLOOKUP(R71,'[52]競技情報DB(12,600人ver) '!$A$6:$A$101,'[52]競技情報DB(12,600人ver) '!$D$6:$D$101,"",0,)</f>
        <v>116</v>
      </c>
      <c r="U71" s="3369">
        <f>SUM(T71:T71)</f>
        <v>116</v>
      </c>
      <c r="V71" s="3322" t="str">
        <f>IFERROR(VLOOKUP($R71,'[52]競技情報DB(12,600人ver) '!$A$6:$D$203,3,),"－")</f>
        <v>豊田スタジアム</v>
      </c>
      <c r="W71" s="3323">
        <v>32.9</v>
      </c>
      <c r="X71" s="3324">
        <v>52</v>
      </c>
      <c r="Y71" s="318">
        <f>$G71-MAX(AF71:BN71)</f>
        <v>12</v>
      </c>
      <c r="Z71" s="647">
        <f>+Y71/$G71</f>
        <v>9.375E-2</v>
      </c>
      <c r="AA71" s="515" t="str">
        <f>E71&amp;"　"&amp;"合計"</f>
        <v>名鉄トヨタホテル　合計</v>
      </c>
      <c r="AB71" s="3325">
        <f>IFERROR(INDEX($AF$3:$BN$3, MATCH("準備", AF71:BN71, 0)), "")</f>
        <v>46274</v>
      </c>
      <c r="AC71" s="3325" cm="1">
        <f t="array" ref="AC71">IF(COUNTIF(AF71:BN71,"*撤去*")=0,"",INDEX(AF$3:BN$3,1,MAX(IF(AF71:BN71="撤去",COLUMN(AF71:BN71)-COLUMN(AF71)+1))))</f>
        <v>46293</v>
      </c>
      <c r="AD71" s="3326">
        <f>AC71-AB71</f>
        <v>19</v>
      </c>
      <c r="AE71" s="396" t="str">
        <f>+$AE$114</f>
        <v>12,600人</v>
      </c>
      <c r="AF71" s="398">
        <f>+_xlfn.XLOOKUP($AA71,'[52]②配宿シュミレーション(12,600人ver) '!$AO$6:$AO$707,'[52]②配宿シュミレーション(12,600人ver) '!AP$6:AP$707,)</f>
        <v>0</v>
      </c>
      <c r="AG71" s="398">
        <f>+_xlfn.XLOOKUP($AA71,'[52]②配宿シュミレーション(12,600人ver) '!$AO$6:$AO$707,'[52]②配宿シュミレーション(12,600人ver) '!AQ$6:AQ$707,)</f>
        <v>0</v>
      </c>
      <c r="AH71" s="398">
        <f>+_xlfn.XLOOKUP($AA71,'[52]②配宿シュミレーション(12,600人ver) '!$AO$6:$AO$707,'[52]②配宿シュミレーション(12,600人ver) '!AR$6:AR$707,)</f>
        <v>0</v>
      </c>
      <c r="AI71" s="398">
        <f>+_xlfn.XLOOKUP($AA71,'[52]②配宿シュミレーション(12,600人ver) '!$AO$6:$AO$707,'[52]②配宿シュミレーション(12,600人ver) '!AS$6:AS$707,)</f>
        <v>0</v>
      </c>
      <c r="AJ71" s="398">
        <f>+_xlfn.XLOOKUP($AA71,'[52]②配宿シュミレーション(12,600人ver) '!$AO$6:$AO$707,'[52]②配宿シュミレーション(12,600人ver) '!AT$6:AT$707,)</f>
        <v>0</v>
      </c>
      <c r="AK71" s="3327" t="s">
        <v>2447</v>
      </c>
      <c r="AL71" s="3327">
        <f>+_xlfn.XLOOKUP($AA71,'[52]②配宿シュミレーション(12,600人ver) '!$AO$6:$AO$707,'[52]②配宿シュミレーション(12,600人ver) '!AV$6:AV$707,)</f>
        <v>0</v>
      </c>
      <c r="AM71" s="398">
        <f>+_xlfn.XLOOKUP($AA71,'[52]②配宿シュミレーション(12,600人ver) '!$AO$6:$AO$707,'[52]②配宿シュミレーション(12,600人ver) '!AW$6:AW$707,)</f>
        <v>116</v>
      </c>
      <c r="AN71" s="398">
        <f>+_xlfn.XLOOKUP($AA71,'[52]②配宿シュミレーション(12,600人ver) '!$AO$6:$AO$707,'[52]②配宿シュミレーション(12,600人ver) '!AX$6:AX$707,)</f>
        <v>116</v>
      </c>
      <c r="AO71" s="398">
        <f>+_xlfn.XLOOKUP($AA71,'[52]②配宿シュミレーション(12,600人ver) '!$AO$6:$AO$707,'[52]②配宿シュミレーション(12,600人ver) '!AY$6:AY$707,)</f>
        <v>116</v>
      </c>
      <c r="AP71" s="398">
        <f>+_xlfn.XLOOKUP($AA71,'[52]②配宿シュミレーション(12,600人ver) '!$AO$6:$AO$707,'[52]②配宿シュミレーション(12,600人ver) '!AZ$6:AZ$707,)</f>
        <v>116</v>
      </c>
      <c r="AQ71" s="398">
        <f>+_xlfn.XLOOKUP($AA71,'[52]②配宿シュミレーション(12,600人ver) '!$AO$6:$AO$707,'[52]②配宿シュミレーション(12,600人ver) '!BA$6:BA$707,)</f>
        <v>116</v>
      </c>
      <c r="AR71" s="398">
        <f>+_xlfn.XLOOKUP($AA71,'[52]②配宿シュミレーション(12,600人ver) '!$AO$6:$AO$707,'[52]②配宿シュミレーション(12,600人ver) '!BB$6:BB$707,)</f>
        <v>116</v>
      </c>
      <c r="AS71" s="398">
        <f>+_xlfn.XLOOKUP($AA71,'[52]②配宿シュミレーション(12,600人ver) '!$AO$6:$AO$707,'[52]②配宿シュミレーション(12,600人ver) '!BC$6:BC$707,)</f>
        <v>116</v>
      </c>
      <c r="AT71" s="398">
        <f>+_xlfn.XLOOKUP($AA71,'[52]②配宿シュミレーション(12,600人ver) '!$AO$6:$AO$707,'[52]②配宿シュミレーション(12,600人ver) '!BD$6:BD$707,)</f>
        <v>116</v>
      </c>
      <c r="AU71" s="398">
        <f>+_xlfn.XLOOKUP($AA71,'[52]②配宿シュミレーション(12,600人ver) '!$AO$6:$AO$707,'[52]②配宿シュミレーション(12,600人ver) '!BE$6:BE$707,)</f>
        <v>116</v>
      </c>
      <c r="AV71" s="398">
        <f>+_xlfn.XLOOKUP($AA71,'[52]②配宿シュミレーション(12,600人ver) '!$AO$6:$AO$707,'[52]②配宿シュミレーション(12,600人ver) '!BF$6:BF$707,)</f>
        <v>116</v>
      </c>
      <c r="AW71" s="398">
        <f>+_xlfn.XLOOKUP($AA71,'[52]②配宿シュミレーション(12,600人ver) '!$AO$6:$AO$707,'[52]②配宿シュミレーション(12,600人ver) '!BG$6:BG$707,)</f>
        <v>116</v>
      </c>
      <c r="AX71" s="398">
        <f>+_xlfn.XLOOKUP($AA71,'[52]②配宿シュミレーション(12,600人ver) '!$AO$6:$AO$707,'[52]②配宿シュミレーション(12,600人ver) '!BH$6:BH$707,)</f>
        <v>116</v>
      </c>
      <c r="AY71" s="398">
        <f>+_xlfn.XLOOKUP($AA71,'[52]②配宿シュミレーション(12,600人ver) '!$AO$6:$AO$707,'[52]②配宿シュミレーション(12,600人ver) '!BI$6:BI$707,)</f>
        <v>116</v>
      </c>
      <c r="AZ71" s="398">
        <f>+_xlfn.XLOOKUP($AA71,'[52]②配宿シュミレーション(12,600人ver) '!$AO$6:$AO$707,'[52]②配宿シュミレーション(12,600人ver) '!BJ$6:BJ$707,)</f>
        <v>116</v>
      </c>
      <c r="BA71" s="398">
        <f>+_xlfn.XLOOKUP($AA71,'[52]②配宿シュミレーション(12,600人ver) '!$AO$6:$AO$707,'[52]②配宿シュミレーション(12,600人ver) '!BK$6:BK$707,)</f>
        <v>116</v>
      </c>
      <c r="BB71" s="398">
        <f>+_xlfn.XLOOKUP($AA71,'[52]②配宿シュミレーション(12,600人ver) '!$AO$6:$AO$707,'[52]②配宿シュミレーション(12,600人ver) '!BL$6:BL$707,)</f>
        <v>116</v>
      </c>
      <c r="BC71" s="398">
        <f>+_xlfn.XLOOKUP($AA71,'[52]②配宿シュミレーション(12,600人ver) '!$AO$6:$AO$707,'[52]②配宿シュミレーション(12,600人ver) '!BM$6:BM$707,)</f>
        <v>116</v>
      </c>
      <c r="BD71" s="3306" t="s">
        <v>2448</v>
      </c>
      <c r="BE71" s="398">
        <f>+_xlfn.XLOOKUP($AA71,'[52]②配宿シュミレーション(12,600人ver) '!$AO$6:$AO$707,'[52]②配宿シュミレーション(12,600人ver) '!BO$6:BO$707,)</f>
        <v>0</v>
      </c>
      <c r="BF71" s="398">
        <f>+_xlfn.XLOOKUP($AA71,'[52]②配宿シュミレーション(12,600人ver) '!$AO$6:$AO$707,'[52]②配宿シュミレーション(12,600人ver) '!BP$6:BP$707,)</f>
        <v>0</v>
      </c>
      <c r="BG71" s="398">
        <f>+_xlfn.XLOOKUP($AA71,'[52]②配宿シュミレーション(12,600人ver) '!$AO$6:$AO$707,'[52]②配宿シュミレーション(12,600人ver) '!BQ$6:BQ$707,)</f>
        <v>0</v>
      </c>
      <c r="BH71" s="398">
        <f>+_xlfn.XLOOKUP($AA71,'[52]②配宿シュミレーション(12,600人ver) '!$AO$6:$AO$707,'[52]②配宿シュミレーション(12,600人ver) '!BR$6:BR$707,)</f>
        <v>0</v>
      </c>
      <c r="BI71" s="398">
        <f>+_xlfn.XLOOKUP($AA71,'[52]②配宿シュミレーション(12,600人ver) '!$AO$6:$AO$707,'[52]②配宿シュミレーション(12,600人ver) '!BS$6:BS$707,)</f>
        <v>0</v>
      </c>
      <c r="BJ71" s="398">
        <f>+_xlfn.XLOOKUP($AA71,'[52]②配宿シュミレーション(12,600人ver) '!$AO$6:$AO$707,'[52]②配宿シュミレーション(12,600人ver) '!BT$6:BT$707,)</f>
        <v>0</v>
      </c>
      <c r="BK71" s="398">
        <f>+_xlfn.XLOOKUP($AA71,'[52]②配宿シュミレーション(12,600人ver) '!$AO$6:$AO$707,'[52]②配宿シュミレーション(12,600人ver) '!BU$6:BU$707,)</f>
        <v>0</v>
      </c>
      <c r="BL71" s="398">
        <f>+_xlfn.XLOOKUP($AA71,'[52]②配宿シュミレーション(12,600人ver) '!$AO$6:$AO$707,'[52]②配宿シュミレーション(12,600人ver) '!BV$6:BV$707,)</f>
        <v>0</v>
      </c>
      <c r="BM71" s="398">
        <f>+_xlfn.XLOOKUP($AA71,'[52]②配宿シュミレーション(12,600人ver) '!$AO$6:$AO$707,'[52]②配宿シュミレーション(12,600人ver) '!BW$6:BW$707,)</f>
        <v>0</v>
      </c>
      <c r="BN71" s="472">
        <f>+_xlfn.XLOOKUP($AA71,'[52]②配宿シュミレーション(12,600人ver) '!$AO$6:$AO$707,'[52]②配宿シュミレーション(12,600人ver) '!BX$6:BX$707,)</f>
        <v>0</v>
      </c>
      <c r="BO71" s="573"/>
      <c r="BP71" s="574"/>
      <c r="BQ71" s="575"/>
    </row>
    <row r="72" spans="1:69" s="521" customFormat="1" ht="46" customHeight="1" thickBot="1">
      <c r="A72" s="2862"/>
      <c r="B72" s="2863"/>
      <c r="C72" s="420"/>
      <c r="D72" s="297" t="str">
        <f>IF(_xlfn.XLOOKUP(E72,[52]宿泊施設DB!$B$3:$B$207,[52]宿泊施設DB!$A$3:$A$207,"",)=0,"",_xlfn.XLOOKUP(E72,[52]宿泊施設DB!$B$3:$B$207,[52]宿泊施設DB!$A$3:$A$207,"",))</f>
        <v/>
      </c>
      <c r="E72" s="609"/>
      <c r="F72" s="2864">
        <f>_xlfn.XLOOKUP($E72,[52]宿泊施設DB!$B$3:$B$207,[52]宿泊施設DB!$D$3:$D$207,"",)</f>
        <v>0</v>
      </c>
      <c r="G72" s="2864">
        <f>_xlfn.XLOOKUP($E72,[52]宿泊施設DB!$B$3:$B$207,[52]宿泊施設DB!$E$3:$E$207,"",)</f>
        <v>0</v>
      </c>
      <c r="H72" s="2865">
        <f>_xlfn.XLOOKUP($E72,[52]宿泊施設DB!$B$3:$B$207,[52]宿泊施設DB!$J$3:$J$207,"",)</f>
        <v>0</v>
      </c>
      <c r="I72" s="2866">
        <f>_xlfn.XLOOKUP($E72,[52]宿泊施設DB!$B$3:$B$207,[52]宿泊施設DB!$T$3:$T$207,"",)</f>
        <v>0</v>
      </c>
      <c r="J72" s="2866">
        <f>_xlfn.XLOOKUP($E72,[52]宿泊施設DB!$B$3:$B$207,[52]宿泊施設DB!$R$3:$R$207,"",)</f>
        <v>0</v>
      </c>
      <c r="K72" s="2865">
        <f>_xlfn.XLOOKUP($E72,[52]宿泊施設DB!$B$3:$B$207,[52]宿泊施設DB!$S$3:$S$207,"",)</f>
        <v>0</v>
      </c>
      <c r="L72" s="2915">
        <f>_xlfn.XLOOKUP($E72,[52]宿泊施設DB!$B$3:$B$207,[52]宿泊施設DB!$U$3:$U$207,"",)</f>
        <v>0</v>
      </c>
      <c r="M72" s="2866">
        <f>_xlfn.XLOOKUP($E72,[52]宿泊施設DB!$B$3:$B$207,[52]宿泊施設DB!$V$3:$V$207,"",)</f>
        <v>0</v>
      </c>
      <c r="N72" s="2866">
        <f>_xlfn.XLOOKUP($E72,[52]宿泊施設DB!$B$3:$B$207,[52]宿泊施設DB!$W$3:$W$207,"",)</f>
        <v>0</v>
      </c>
      <c r="O72" s="2866">
        <f>_xlfn.XLOOKUP($E72,[52]宿泊施設DB!$B$3:$B$207,[52]宿泊施設DB!$X$3:$X$207,"",)</f>
        <v>0</v>
      </c>
      <c r="P72" s="302" t="str">
        <f t="shared" si="3"/>
        <v/>
      </c>
      <c r="Q72" s="296"/>
      <c r="R72" s="3341"/>
      <c r="S72" s="478" t="str">
        <f>IFERROR(VLOOKUP($R72,'[52]競技情報DB(12,600人ver) '!$A$6:$D$203,2,),"－")</f>
        <v>－</v>
      </c>
      <c r="T72" s="479">
        <f>_xlfn.XLOOKUP(R72,'[52]競技情報DB(12,600人ver) '!$A$6:$A$101,'[52]競技情報DB(12,600人ver) '!$D$6:$D$101,"",0,)</f>
        <v>0</v>
      </c>
      <c r="U72" s="3363"/>
      <c r="V72" s="3343" t="str">
        <f>IFERROR(VLOOKUP($R72,'[52]競技情報DB(12,600人ver) '!$A$6:$D$203,3,),"－")</f>
        <v>－</v>
      </c>
      <c r="W72" s="3344"/>
      <c r="X72" s="3345"/>
      <c r="Y72" s="442"/>
      <c r="Z72" s="656"/>
      <c r="AA72" s="319"/>
      <c r="AB72" s="3311"/>
      <c r="AC72" s="3311"/>
      <c r="AD72" s="3312"/>
      <c r="AE72" s="320"/>
      <c r="AF72" s="445"/>
      <c r="AG72" s="445"/>
      <c r="AH72" s="445"/>
      <c r="AI72" s="445"/>
      <c r="AJ72" s="445"/>
      <c r="AK72" s="445"/>
      <c r="AL72" s="445"/>
      <c r="AM72" s="445"/>
      <c r="AN72" s="445"/>
      <c r="AO72" s="445"/>
      <c r="AP72" s="445"/>
      <c r="AQ72" s="445"/>
      <c r="AR72" s="445"/>
      <c r="AS72" s="445"/>
      <c r="AT72" s="445"/>
      <c r="AU72" s="445"/>
      <c r="AV72" s="445"/>
      <c r="AW72" s="445"/>
      <c r="AX72" s="445"/>
      <c r="AY72" s="445"/>
      <c r="AZ72" s="445"/>
      <c r="BA72" s="445"/>
      <c r="BB72" s="445"/>
      <c r="BC72" s="445"/>
      <c r="BD72" s="445"/>
      <c r="BE72" s="445"/>
      <c r="BF72" s="445"/>
      <c r="BG72" s="445"/>
      <c r="BH72" s="445"/>
      <c r="BI72" s="445"/>
      <c r="BJ72" s="445"/>
      <c r="BK72" s="336"/>
      <c r="BL72" s="445"/>
      <c r="BM72" s="445"/>
      <c r="BN72" s="449"/>
      <c r="BO72" s="573"/>
      <c r="BP72" s="610"/>
      <c r="BQ72" s="611"/>
    </row>
    <row r="73" spans="1:69" ht="46" customHeight="1">
      <c r="A73" s="2862"/>
      <c r="B73" s="2863"/>
      <c r="C73" s="372">
        <f>C71+1</f>
        <v>18</v>
      </c>
      <c r="D73" s="3486">
        <f>IF(_xlfn.XLOOKUP(E73,[52]宿泊施設DB!$B$3:$B$207,[52]宿泊施設DB!$A$3:$A$207,"",)=0,"",_xlfn.XLOOKUP(E73,[52]宿泊施設DB!$B$3:$B$207,[52]宿泊施設DB!$A$3:$A$207,"",))</f>
        <v>195</v>
      </c>
      <c r="E73" s="373" t="s">
        <v>2534</v>
      </c>
      <c r="F73" s="2872">
        <f>_xlfn.XLOOKUP($E73,[52]宿泊施設DB!$B$3:$B$207,[52]宿泊施設DB!$D$3:$D$207,"",)</f>
        <v>159</v>
      </c>
      <c r="G73" s="2872">
        <f>_xlfn.XLOOKUP($E73,[52]宿泊施設DB!$B$3:$B$207,[52]宿泊施設DB!$E$3:$E$207,"",)</f>
        <v>216</v>
      </c>
      <c r="H73" s="2873">
        <f>_xlfn.XLOOKUP($E73,[52]宿泊施設DB!$B$3:$B$207,[52]宿泊施設DB!$J$3:$J$207,"",)</f>
        <v>8</v>
      </c>
      <c r="I73" s="2874" t="str">
        <f>_xlfn.XLOOKUP($E73,[52]宿泊施設DB!$B$3:$B$207,[52]宿泊施設DB!$T$3:$T$207,"",)</f>
        <v>調査中</v>
      </c>
      <c r="J73" s="2874" t="str">
        <f>_xlfn.XLOOKUP($E73,[52]宿泊施設DB!$B$3:$B$207,[52]宿泊施設DB!$R$3:$R$207,"",)</f>
        <v>宿泊施設</v>
      </c>
      <c r="K73" s="2873">
        <f>_xlfn.XLOOKUP($E73,[52]宿泊施設DB!$B$3:$B$207,[52]宿泊施設DB!$S$3:$S$207,"",)</f>
        <v>40</v>
      </c>
      <c r="L73" s="2874" t="str">
        <f>_xlfn.XLOOKUP($E73,[52]宿泊施設DB!$B$3:$B$207,[52]宿泊施設DB!$U$3:$U$207,"",)</f>
        <v>－</v>
      </c>
      <c r="M73" s="2874" t="str">
        <f>_xlfn.XLOOKUP($E73,[52]宿泊施設DB!$B$3:$B$207,[52]宿泊施設DB!$V$3:$V$207,"",)</f>
        <v>－</v>
      </c>
      <c r="N73" s="2874" t="str">
        <f>_xlfn.XLOOKUP($E73,[52]宿泊施設DB!$B$3:$B$207,[52]宿泊施設DB!$W$3:$W$207,"",)</f>
        <v>調査中</v>
      </c>
      <c r="O73" s="2874" t="str">
        <f>_xlfn.XLOOKUP($E73,[52]宿泊施設DB!$B$3:$B$207,[52]宿泊施設DB!$X$3:$X$207,"",)</f>
        <v>玄関前（屋根無）1台</v>
      </c>
      <c r="P73" s="377" t="str">
        <f t="shared" si="3"/>
        <v>○</v>
      </c>
      <c r="Q73" s="372" t="s">
        <v>2136</v>
      </c>
      <c r="R73" s="387" t="s">
        <v>2457</v>
      </c>
      <c r="S73" s="388" t="str">
        <f>IFERROR(VLOOKUP($R73,'[52]競技情報DB(12,600人ver) '!$A$6:$D$203,2,),"－")</f>
        <v>刈谷市</v>
      </c>
      <c r="T73" s="389">
        <f>_xlfn.XLOOKUP(R73,'[52]競技情報DB(12,600人ver) '!$A$6:$A$101,'[52]競技情報DB(12,600人ver) '!$D$6:$D$101,"",0,)</f>
        <v>116</v>
      </c>
      <c r="U73" s="3321">
        <f>SUM(T73:T74)</f>
        <v>116</v>
      </c>
      <c r="V73" s="3322" t="str">
        <f>IFERROR(VLOOKUP($R73,'[52]競技情報DB(12,600人ver) '!$A$6:$D$203,3,),"－")</f>
        <v>ウェーブスタジアム刈谷</v>
      </c>
      <c r="W73" s="3323">
        <v>44.3</v>
      </c>
      <c r="X73" s="3324">
        <v>55</v>
      </c>
      <c r="Y73" s="318">
        <f>$G73-MAX(AF73:BN73)</f>
        <v>100</v>
      </c>
      <c r="Z73" s="394">
        <f>+Y73/$G73</f>
        <v>0.46296296296296297</v>
      </c>
      <c r="AA73" s="515" t="str">
        <f>E73&amp;"　"&amp;"合計"</f>
        <v>ロイヤルホテルうお八　合計</v>
      </c>
      <c r="AB73" s="3325">
        <f>IFERROR(INDEX($AF$3:$BN$3, MATCH("準備", AF73:BN73, 0)), "")</f>
        <v>46273</v>
      </c>
      <c r="AC73" s="3325" cm="1">
        <f t="array" ref="AC73">IF(COUNTIF(AF73:BN73,"*撤去*")=0,"",INDEX(AF$3:BN$3,1,MAX(IF(AF73:BN73="撤去",COLUMN(AF73:BN73)-COLUMN(AF73)+1))))</f>
        <v>46292</v>
      </c>
      <c r="AD73" s="3326">
        <f>AC73-AB73</f>
        <v>19</v>
      </c>
      <c r="AE73" s="492" t="str">
        <f>+$AE$114</f>
        <v>12,600人</v>
      </c>
      <c r="AF73" s="398">
        <f>+_xlfn.XLOOKUP($AA73,'[52]②配宿シュミレーション(12,600人ver) '!$AO$6:$AO$707,'[52]②配宿シュミレーション(12,600人ver) '!AP$6:AP$707,)</f>
        <v>0</v>
      </c>
      <c r="AG73" s="398">
        <f>+_xlfn.XLOOKUP($AA73,'[52]②配宿シュミレーション(12,600人ver) '!$AO$6:$AO$707,'[52]②配宿シュミレーション(12,600人ver) '!AQ$6:AQ$707,)</f>
        <v>0</v>
      </c>
      <c r="AH73" s="398">
        <f>+_xlfn.XLOOKUP($AA73,'[52]②配宿シュミレーション(12,600人ver) '!$AO$6:$AO$707,'[52]②配宿シュミレーション(12,600人ver) '!AR$6:AR$707,)</f>
        <v>0</v>
      </c>
      <c r="AI73" s="398">
        <f>+_xlfn.XLOOKUP($AA73,'[52]②配宿シュミレーション(12,600人ver) '!$AO$6:$AO$707,'[52]②配宿シュミレーション(12,600人ver) '!AS$6:AS$707,)</f>
        <v>0</v>
      </c>
      <c r="AJ73" s="3327" t="s">
        <v>2447</v>
      </c>
      <c r="AK73" s="3327">
        <f>+_xlfn.XLOOKUP($AA73,'[52]②配宿シュミレーション(12,600人ver) '!$AO$6:$AO$707,'[52]②配宿シュミレーション(12,600人ver) '!AU$6:AU$707,)</f>
        <v>0</v>
      </c>
      <c r="AL73" s="398">
        <f>+_xlfn.XLOOKUP($AA73,'[52]②配宿シュミレーション(12,600人ver) '!$AO$6:$AO$707,'[52]②配宿シュミレーション(12,600人ver) '!AV$6:AV$707,)</f>
        <v>58</v>
      </c>
      <c r="AM73" s="398">
        <f>+_xlfn.XLOOKUP($AA73,'[52]②配宿シュミレーション(12,600人ver) '!$AO$6:$AO$707,'[52]②配宿シュミレーション(12,600人ver) '!AW$6:AW$707,)</f>
        <v>116</v>
      </c>
      <c r="AN73" s="398">
        <f>+_xlfn.XLOOKUP($AA73,'[52]②配宿シュミレーション(12,600人ver) '!$AO$6:$AO$707,'[52]②配宿シュミレーション(12,600人ver) '!AX$6:AX$707,)</f>
        <v>116</v>
      </c>
      <c r="AO73" s="398">
        <f>+_xlfn.XLOOKUP($AA73,'[52]②配宿シュミレーション(12,600人ver) '!$AO$6:$AO$707,'[52]②配宿シュミレーション(12,600人ver) '!AY$6:AY$707,)</f>
        <v>116</v>
      </c>
      <c r="AP73" s="398">
        <f>+_xlfn.XLOOKUP($AA73,'[52]②配宿シュミレーション(12,600人ver) '!$AO$6:$AO$707,'[52]②配宿シュミレーション(12,600人ver) '!AZ$6:AZ$707,)</f>
        <v>116</v>
      </c>
      <c r="AQ73" s="398">
        <f>+_xlfn.XLOOKUP($AA73,'[52]②配宿シュミレーション(12,600人ver) '!$AO$6:$AO$707,'[52]②配宿シュミレーション(12,600人ver) '!BA$6:BA$707,)</f>
        <v>116</v>
      </c>
      <c r="AR73" s="398">
        <f>+_xlfn.XLOOKUP($AA73,'[52]②配宿シュミレーション(12,600人ver) '!$AO$6:$AO$707,'[52]②配宿シュミレーション(12,600人ver) '!BB$6:BB$707,)</f>
        <v>116</v>
      </c>
      <c r="AS73" s="398">
        <f>+_xlfn.XLOOKUP($AA73,'[52]②配宿シュミレーション(12,600人ver) '!$AO$6:$AO$707,'[52]②配宿シュミレーション(12,600人ver) '!BC$6:BC$707,)</f>
        <v>116</v>
      </c>
      <c r="AT73" s="398">
        <f>+_xlfn.XLOOKUP($AA73,'[52]②配宿シュミレーション(12,600人ver) '!$AO$6:$AO$707,'[52]②配宿シュミレーション(12,600人ver) '!BD$6:BD$707,)</f>
        <v>116</v>
      </c>
      <c r="AU73" s="398">
        <f>+_xlfn.XLOOKUP($AA73,'[52]②配宿シュミレーション(12,600人ver) '!$AO$6:$AO$707,'[52]②配宿シュミレーション(12,600人ver) '!BE$6:BE$707,)</f>
        <v>116</v>
      </c>
      <c r="AV73" s="398">
        <f>+_xlfn.XLOOKUP($AA73,'[52]②配宿シュミレーション(12,600人ver) '!$AO$6:$AO$707,'[52]②配宿シュミレーション(12,600人ver) '!BF$6:BF$707,)</f>
        <v>116</v>
      </c>
      <c r="AW73" s="398">
        <f>+_xlfn.XLOOKUP($AA73,'[52]②配宿シュミレーション(12,600人ver) '!$AO$6:$AO$707,'[52]②配宿シュミレーション(12,600人ver) '!BG$6:BG$707,)</f>
        <v>116</v>
      </c>
      <c r="AX73" s="398">
        <f>+_xlfn.XLOOKUP($AA73,'[52]②配宿シュミレーション(12,600人ver) '!$AO$6:$AO$707,'[52]②配宿シュミレーション(12,600人ver) '!BH$6:BH$707,)</f>
        <v>116</v>
      </c>
      <c r="AY73" s="398">
        <f>+_xlfn.XLOOKUP($AA73,'[52]②配宿シュミレーション(12,600人ver) '!$AO$6:$AO$707,'[52]②配宿シュミレーション(12,600人ver) '!BI$6:BI$707,)</f>
        <v>58</v>
      </c>
      <c r="AZ73" s="398">
        <f>+_xlfn.XLOOKUP($AA73,'[52]②配宿シュミレーション(12,600人ver) '!$AO$6:$AO$707,'[52]②配宿シュミレーション(12,600人ver) '!BJ$6:BJ$707,)</f>
        <v>58</v>
      </c>
      <c r="BA73" s="398">
        <f>+_xlfn.XLOOKUP($AA73,'[52]②配宿シュミレーション(12,600人ver) '!$AO$6:$AO$707,'[52]②配宿シュミレーション(12,600人ver) '!BK$6:BK$707,)</f>
        <v>58</v>
      </c>
      <c r="BB73" s="398">
        <f>+_xlfn.XLOOKUP($AA73,'[52]②配宿シュミレーション(12,600人ver) '!$AO$6:$AO$707,'[52]②配宿シュミレーション(12,600人ver) '!BL$6:BL$707,)</f>
        <v>58</v>
      </c>
      <c r="BC73" s="3306" t="s">
        <v>2448</v>
      </c>
      <c r="BD73" s="398">
        <f>+_xlfn.XLOOKUP($AA73,'[52]②配宿シュミレーション(12,600人ver) '!$AO$6:$AO$707,'[52]②配宿シュミレーション(12,600人ver) '!BN$6:BN$707,)</f>
        <v>0</v>
      </c>
      <c r="BE73" s="398">
        <f>+_xlfn.XLOOKUP($AA73,'[52]②配宿シュミレーション(12,600人ver) '!$AO$6:$AO$707,'[52]②配宿シュミレーション(12,600人ver) '!BO$6:BO$707,)</f>
        <v>0</v>
      </c>
      <c r="BF73" s="398">
        <f>+_xlfn.XLOOKUP($AA73,'[52]②配宿シュミレーション(12,600人ver) '!$AO$6:$AO$707,'[52]②配宿シュミレーション(12,600人ver) '!BP$6:BP$707,)</f>
        <v>0</v>
      </c>
      <c r="BG73" s="398">
        <f>+_xlfn.XLOOKUP($AA73,'[52]②配宿シュミレーション(12,600人ver) '!$AO$6:$AO$707,'[52]②配宿シュミレーション(12,600人ver) '!BQ$6:BQ$707,)</f>
        <v>0</v>
      </c>
      <c r="BH73" s="398">
        <f>+_xlfn.XLOOKUP($AA73,'[52]②配宿シュミレーション(12,600人ver) '!$AO$6:$AO$707,'[52]②配宿シュミレーション(12,600人ver) '!BR$6:BR$707,)</f>
        <v>0</v>
      </c>
      <c r="BI73" s="398">
        <f>+_xlfn.XLOOKUP($AA73,'[52]②配宿シュミレーション(12,600人ver) '!$AO$6:$AO$707,'[52]②配宿シュミレーション(12,600人ver) '!BS$6:BS$707,)</f>
        <v>0</v>
      </c>
      <c r="BJ73" s="398">
        <f>+_xlfn.XLOOKUP($AA73,'[52]②配宿シュミレーション(12,600人ver) '!$AO$6:$AO$707,'[52]②配宿シュミレーション(12,600人ver) '!BT$6:BT$707,)</f>
        <v>0</v>
      </c>
      <c r="BK73" s="398">
        <f>+_xlfn.XLOOKUP($AA73,'[52]②配宿シュミレーション(12,600人ver) '!$AO$6:$AO$707,'[52]②配宿シュミレーション(12,600人ver) '!BU$6:BU$707,)</f>
        <v>0</v>
      </c>
      <c r="BL73" s="398">
        <f>+_xlfn.XLOOKUP($AA73,'[52]②配宿シュミレーション(12,600人ver) '!$AO$6:$AO$707,'[52]②配宿シュミレーション(12,600人ver) '!BV$6:BV$707,)</f>
        <v>0</v>
      </c>
      <c r="BM73" s="398">
        <f>+_xlfn.XLOOKUP($AA73,'[52]②配宿シュミレーション(12,600人ver) '!$AO$6:$AO$707,'[52]②配宿シュミレーション(12,600人ver) '!BW$6:BW$707,)</f>
        <v>0</v>
      </c>
      <c r="BN73" s="472">
        <f>+_xlfn.XLOOKUP($AA73,'[52]②配宿シュミレーション(12,600人ver) '!$AO$6:$AO$707,'[52]②配宿シュミレーション(12,600人ver) '!BX$6:BX$707,)</f>
        <v>0</v>
      </c>
      <c r="BO73" s="290"/>
      <c r="BP73" s="404"/>
      <c r="BQ73" s="405"/>
    </row>
    <row r="74" spans="1:69" s="561" customFormat="1" ht="46" customHeight="1">
      <c r="A74" s="2862"/>
      <c r="B74" s="3368"/>
      <c r="C74" s="420"/>
      <c r="D74" s="421" t="str">
        <f>IF(_xlfn.XLOOKUP(E74,[52]宿泊施設DB!$B$3:$B$207,[52]宿泊施設DB!$A$3:$A$207,"",)=0,"",_xlfn.XLOOKUP(E74,[52]宿泊施設DB!$B$3:$B$207,[52]宿泊施設DB!$A$3:$A$207,"",))</f>
        <v/>
      </c>
      <c r="E74" s="422"/>
      <c r="F74" s="2875">
        <f>_xlfn.XLOOKUP($E74,[52]宿泊施設DB!$B$3:$B$207,[52]宿泊施設DB!$D$3:$D$207,"",)</f>
        <v>0</v>
      </c>
      <c r="G74" s="2875">
        <f>_xlfn.XLOOKUP($E74,[52]宿泊施設DB!$B$3:$B$207,[52]宿泊施設DB!$E$3:$E$207,"",)</f>
        <v>0</v>
      </c>
      <c r="H74" s="2877">
        <f>_xlfn.XLOOKUP($E74,[52]宿泊施設DB!$B$3:$B$207,[52]宿泊施設DB!$J$3:$J$207,"",)</f>
        <v>0</v>
      </c>
      <c r="I74" s="2878">
        <f>_xlfn.XLOOKUP($E74,[52]宿泊施設DB!$B$3:$B$207,[52]宿泊施設DB!$T$3:$T$207,"",)</f>
        <v>0</v>
      </c>
      <c r="J74" s="2878">
        <f>_xlfn.XLOOKUP($E74,[52]宿泊施設DB!$B$3:$B$207,[52]宿泊施設DB!$R$3:$R$207,"",)</f>
        <v>0</v>
      </c>
      <c r="K74" s="2877">
        <f>_xlfn.XLOOKUP($E74,[52]宿泊施設DB!$B$3:$B$207,[52]宿泊施設DB!$S$3:$S$207,"",)</f>
        <v>0</v>
      </c>
      <c r="L74" s="2878">
        <f>_xlfn.XLOOKUP($E74,[52]宿泊施設DB!$B$3:$B$207,[52]宿泊施設DB!$U$3:$U$207,"",)</f>
        <v>0</v>
      </c>
      <c r="M74" s="2878">
        <f>_xlfn.XLOOKUP($E74,[52]宿泊施設DB!$B$3:$B$207,[52]宿泊施設DB!$V$3:$V$207,"",)</f>
        <v>0</v>
      </c>
      <c r="N74" s="2878">
        <f>_xlfn.XLOOKUP($E74,[52]宿泊施設DB!$B$3:$B$207,[52]宿泊施設DB!$W$3:$W$207,"",)</f>
        <v>0</v>
      </c>
      <c r="O74" s="2878">
        <f>_xlfn.XLOOKUP($E74,[52]宿泊施設DB!$B$3:$B$207,[52]宿泊施設DB!$X$3:$X$207,"",)</f>
        <v>0</v>
      </c>
      <c r="P74" s="426" t="str">
        <f t="shared" si="3"/>
        <v/>
      </c>
      <c r="Q74" s="420"/>
      <c r="R74" s="714"/>
      <c r="S74" s="437" t="str">
        <f>IFERROR(VLOOKUP($R74,'[52]競技情報DB(12,600人ver) '!$A$6:$D$203,2,),"－")</f>
        <v>－</v>
      </c>
      <c r="T74" s="438">
        <f>_xlfn.XLOOKUP(R74,'[52]競技情報DB(12,600人ver) '!$A$6:$A$101,'[52]競技情報DB(12,600人ver) '!$D$6:$D$101,"",0,)</f>
        <v>0</v>
      </c>
      <c r="U74" s="3342"/>
      <c r="V74" s="3353" t="str">
        <f>IFERROR(VLOOKUP($R74,'[52]競技情報DB(12,600人ver) '!$A$6:$D$203,3,),"－")</f>
        <v>－</v>
      </c>
      <c r="W74" s="3344"/>
      <c r="X74" s="3345"/>
      <c r="Y74" s="442"/>
      <c r="Z74" s="435"/>
      <c r="AA74" s="517"/>
      <c r="AB74" s="3346"/>
      <c r="AC74" s="3346"/>
      <c r="AD74" s="3347"/>
      <c r="AE74" s="518"/>
      <c r="AF74" s="445"/>
      <c r="AG74" s="445"/>
      <c r="AH74" s="445"/>
      <c r="AI74" s="445"/>
      <c r="AJ74" s="445"/>
      <c r="AK74" s="445"/>
      <c r="AL74" s="445"/>
      <c r="AM74" s="445"/>
      <c r="AN74" s="445"/>
      <c r="AO74" s="445"/>
      <c r="AP74" s="445"/>
      <c r="AQ74" s="445"/>
      <c r="AR74" s="445"/>
      <c r="AS74" s="445"/>
      <c r="AT74" s="445"/>
      <c r="AU74" s="445"/>
      <c r="AV74" s="445"/>
      <c r="AW74" s="445"/>
      <c r="AX74" s="445"/>
      <c r="AY74" s="445"/>
      <c r="AZ74" s="445"/>
      <c r="BA74" s="445"/>
      <c r="BB74" s="445"/>
      <c r="BC74" s="445"/>
      <c r="BD74" s="445"/>
      <c r="BE74" s="445"/>
      <c r="BF74" s="445"/>
      <c r="BG74" s="445"/>
      <c r="BH74" s="445"/>
      <c r="BI74" s="445"/>
      <c r="BJ74" s="445"/>
      <c r="BK74" s="445"/>
      <c r="BL74" s="445"/>
      <c r="BM74" s="445"/>
      <c r="BN74" s="449"/>
      <c r="BO74" s="290"/>
      <c r="BP74" s="450"/>
      <c r="BQ74" s="451"/>
    </row>
    <row r="75" spans="1:69" ht="46" customHeight="1">
      <c r="A75" s="2862"/>
      <c r="B75" s="2913" t="s">
        <v>2315</v>
      </c>
      <c r="C75" s="372">
        <f>C73+1</f>
        <v>19</v>
      </c>
      <c r="D75" s="3486">
        <v>3025</v>
      </c>
      <c r="E75" s="3370" t="s">
        <v>2535</v>
      </c>
      <c r="F75" s="2872">
        <f>_xlfn.XLOOKUP($E75,[52]宿泊施設DB!$B$3:$B$207,[52]宿泊施設DB!$D$3:$D$207,"",)</f>
        <v>42</v>
      </c>
      <c r="G75" s="2872">
        <f>_xlfn.XLOOKUP($E75,[52]宿泊施設DB!$B$3:$B$207,[52]宿泊施設DB!$E$3:$E$207,"",)</f>
        <v>126</v>
      </c>
      <c r="H75" s="2873">
        <f>_xlfn.XLOOKUP($E75,[52]宿泊施設DB!$B$3:$B$207,[52]宿泊施設DB!$J$3:$J$207,"",)</f>
        <v>13</v>
      </c>
      <c r="I75" s="2874" t="str">
        <f>_xlfn.XLOOKUP($E75,[52]宿泊施設DB!$B$3:$B$207,[52]宿泊施設DB!$T$3:$T$207,"",)</f>
        <v>調査中</v>
      </c>
      <c r="J75" s="3371" t="str">
        <f>_xlfn.XLOOKUP($E75,[52]宿泊施設DB!$B$3:$B$207,[52]宿泊施設DB!$R$3:$R$207,"",)</f>
        <v>調査中</v>
      </c>
      <c r="K75" s="2873" t="str">
        <f>_xlfn.XLOOKUP($E75,[52]宿泊施設DB!$B$3:$B$207,[52]宿泊施設DB!$S$3:$S$207,"",)</f>
        <v>調査中</v>
      </c>
      <c r="L75" s="2914" t="str">
        <f>_xlfn.XLOOKUP($E75,[52]宿泊施設DB!$B$3:$B$207,[52]宿泊施設DB!$U$3:$U$207,"",)</f>
        <v>調査中</v>
      </c>
      <c r="M75" s="2874" t="str">
        <f>_xlfn.XLOOKUP($E75,[52]宿泊施設DB!$B$3:$B$207,[52]宿泊施設DB!$V$3:$V$207,"",)</f>
        <v>調査中</v>
      </c>
      <c r="N75" s="2874" t="str">
        <f>_xlfn.XLOOKUP($E75,[52]宿泊施設DB!$B$3:$B$207,[52]宿泊施設DB!$W$3:$W$207,"",)</f>
        <v>調査中</v>
      </c>
      <c r="O75" s="2874" t="str">
        <f>_xlfn.XLOOKUP($E75,[52]宿泊施設DB!$B$3:$B$207,[52]宿泊施設DB!$X$3:$X$207,"",)</f>
        <v>調査中</v>
      </c>
      <c r="P75" s="377" t="str">
        <f t="shared" si="3"/>
        <v>○</v>
      </c>
      <c r="Q75" s="372" t="s">
        <v>2136</v>
      </c>
      <c r="R75" s="387" t="s">
        <v>2477</v>
      </c>
      <c r="S75" s="388" t="str">
        <f>IFERROR(VLOOKUP($R75,'[52]競技情報DB(12,600人ver) '!$A$6:$D$203,2,),"－")</f>
        <v>岡崎市</v>
      </c>
      <c r="T75" s="389">
        <f>_xlfn.XLOOKUP(R75,'[52]競技情報DB(12,600人ver) '!$A$6:$A$101,'[52]競技情報DB(12,600人ver) '!$D$6:$D$101,"",0,)</f>
        <v>110</v>
      </c>
      <c r="U75" s="3369">
        <f>SUM(T75:T75)</f>
        <v>110</v>
      </c>
      <c r="V75" s="3322" t="str">
        <f>IFERROR(VLOOKUP($R75,'[52]競技情報DB(12,600人ver) '!$A$6:$D$203,3,),"－")</f>
        <v>岡崎市中央総合公園総合体育館</v>
      </c>
      <c r="W75" s="3323">
        <v>32.299999999999997</v>
      </c>
      <c r="X75" s="3324">
        <v>36</v>
      </c>
      <c r="Y75" s="318">
        <f>$G75-MAX(AF75:BN75)</f>
        <v>16</v>
      </c>
      <c r="Z75" s="647">
        <f>+Y75/$G75</f>
        <v>0.12698412698412698</v>
      </c>
      <c r="AA75" s="515" t="str">
        <f>E75&amp;"　"&amp;"合計"</f>
        <v>トヨタスポーツセンター　合計</v>
      </c>
      <c r="AB75" s="3325">
        <f>IFERROR(INDEX($AF$3:$BN$3, MATCH("準備", AF75:BN75, 0)), "")</f>
        <v>46275</v>
      </c>
      <c r="AC75" s="3325" cm="1">
        <f t="array" ref="AC75">IF(COUNTIF(AF75:BN75,"*撤去*")=0,"",INDEX(AF$3:BN$3,1,MAX(IF(AF75:BN75="撤去",COLUMN(AF75:BN75)-COLUMN(AF75)+1))))</f>
        <v>46300</v>
      </c>
      <c r="AD75" s="3326">
        <f>AC75-AB75</f>
        <v>25</v>
      </c>
      <c r="AE75" s="396" t="str">
        <f>+$AE$114</f>
        <v>12,600人</v>
      </c>
      <c r="AF75" s="398">
        <f>+_xlfn.XLOOKUP($AA75,'[52]②配宿シュミレーション(12,600人ver) '!$AO$6:$AO$707,'[52]②配宿シュミレーション(12,600人ver) '!AP$6:AP$707,)</f>
        <v>0</v>
      </c>
      <c r="AG75" s="398">
        <f>+_xlfn.XLOOKUP($AA75,'[52]②配宿シュミレーション(12,600人ver) '!$AO$6:$AO$707,'[52]②配宿シュミレーション(12,600人ver) '!AQ$6:AQ$707,)</f>
        <v>0</v>
      </c>
      <c r="AH75" s="398">
        <f>+_xlfn.XLOOKUP($AA75,'[52]②配宿シュミレーション(12,600人ver) '!$AO$6:$AO$707,'[52]②配宿シュミレーション(12,600人ver) '!AR$6:AR$707,)</f>
        <v>0</v>
      </c>
      <c r="AI75" s="398">
        <f>+_xlfn.XLOOKUP($AA75,'[52]②配宿シュミレーション(12,600人ver) '!$AO$6:$AO$707,'[52]②配宿シュミレーション(12,600人ver) '!AS$6:AS$707,)</f>
        <v>0</v>
      </c>
      <c r="AJ75" s="398">
        <f>+_xlfn.XLOOKUP($AA75,'[52]②配宿シュミレーション(12,600人ver) '!$AO$6:$AO$707,'[52]②配宿シュミレーション(12,600人ver) '!AT$6:AT$707,)</f>
        <v>0</v>
      </c>
      <c r="AK75" s="398">
        <f>+_xlfn.XLOOKUP($AA75,'[52]②配宿シュミレーション(12,600人ver) '!$AO$6:$AO$707,'[52]②配宿シュミレーション(12,600人ver) '!AU$6:AU$707,)</f>
        <v>0</v>
      </c>
      <c r="AL75" s="3327" t="s">
        <v>2447</v>
      </c>
      <c r="AM75" s="3327">
        <f>+_xlfn.XLOOKUP($AA75,'[52]②配宿シュミレーション(12,600人ver) '!$AO$6:$AO$707,'[52]②配宿シュミレーション(12,600人ver) '!AW$6:AW$707,)</f>
        <v>0</v>
      </c>
      <c r="AN75" s="398">
        <f>+_xlfn.XLOOKUP($AA75,'[52]②配宿シュミレーション(12,600人ver) '!$AO$6:$AO$707,'[52]②配宿シュミレーション(12,600人ver) '!AX$6:AX$707,)</f>
        <v>110</v>
      </c>
      <c r="AO75" s="398">
        <f>+_xlfn.XLOOKUP($AA75,'[52]②配宿シュミレーション(12,600人ver) '!$AO$6:$AO$707,'[52]②配宿シュミレーション(12,600人ver) '!AY$6:AY$707,)</f>
        <v>110</v>
      </c>
      <c r="AP75" s="398">
        <f>+_xlfn.XLOOKUP($AA75,'[52]②配宿シュミレーション(12,600人ver) '!$AO$6:$AO$707,'[52]②配宿シュミレーション(12,600人ver) '!AZ$6:AZ$707,)</f>
        <v>110</v>
      </c>
      <c r="AQ75" s="398">
        <f>+_xlfn.XLOOKUP($AA75,'[52]②配宿シュミレーション(12,600人ver) '!$AO$6:$AO$707,'[52]②配宿シュミレーション(12,600人ver) '!BA$6:BA$707,)</f>
        <v>110</v>
      </c>
      <c r="AR75" s="398">
        <f>+_xlfn.XLOOKUP($AA75,'[52]②配宿シュミレーション(12,600人ver) '!$AO$6:$AO$707,'[52]②配宿シュミレーション(12,600人ver) '!BB$6:BB$707,)</f>
        <v>110</v>
      </c>
      <c r="AS75" s="398">
        <f>+_xlfn.XLOOKUP($AA75,'[52]②配宿シュミレーション(12,600人ver) '!$AO$6:$AO$707,'[52]②配宿シュミレーション(12,600人ver) '!BC$6:BC$707,)</f>
        <v>110</v>
      </c>
      <c r="AT75" s="398">
        <f>+_xlfn.XLOOKUP($AA75,'[52]②配宿シュミレーション(12,600人ver) '!$AO$6:$AO$707,'[52]②配宿シュミレーション(12,600人ver) '!BD$6:BD$707,)</f>
        <v>110</v>
      </c>
      <c r="AU75" s="398">
        <f>+_xlfn.XLOOKUP($AA75,'[52]②配宿シュミレーション(12,600人ver) '!$AO$6:$AO$707,'[52]②配宿シュミレーション(12,600人ver) '!BE$6:BE$707,)</f>
        <v>110</v>
      </c>
      <c r="AV75" s="398">
        <f>+_xlfn.XLOOKUP($AA75,'[52]②配宿シュミレーション(12,600人ver) '!$AO$6:$AO$707,'[52]②配宿シュミレーション(12,600人ver) '!BF$6:BF$707,)</f>
        <v>110</v>
      </c>
      <c r="AW75" s="398">
        <f>+_xlfn.XLOOKUP($AA75,'[52]②配宿シュミレーション(12,600人ver) '!$AO$6:$AO$707,'[52]②配宿シュミレーション(12,600人ver) '!BG$6:BG$707,)</f>
        <v>110</v>
      </c>
      <c r="AX75" s="398">
        <f>+_xlfn.XLOOKUP($AA75,'[52]②配宿シュミレーション(12,600人ver) '!$AO$6:$AO$707,'[52]②配宿シュミレーション(12,600人ver) '!BH$6:BH$707,)</f>
        <v>110</v>
      </c>
      <c r="AY75" s="398">
        <f>+_xlfn.XLOOKUP($AA75,'[52]②配宿シュミレーション(12,600人ver) '!$AO$6:$AO$707,'[52]②配宿シュミレーション(12,600人ver) '!BI$6:BI$707,)</f>
        <v>110</v>
      </c>
      <c r="AZ75" s="398">
        <f>+_xlfn.XLOOKUP($AA75,'[52]②配宿シュミレーション(12,600人ver) '!$AO$6:$AO$707,'[52]②配宿シュミレーション(12,600人ver) '!BJ$6:BJ$707,)</f>
        <v>110</v>
      </c>
      <c r="BA75" s="398">
        <f>+_xlfn.XLOOKUP($AA75,'[52]②配宿シュミレーション(12,600人ver) '!$AO$6:$AO$707,'[52]②配宿シュミレーション(12,600人ver) '!BK$6:BK$707,)</f>
        <v>110</v>
      </c>
      <c r="BB75" s="398">
        <f>+_xlfn.XLOOKUP($AA75,'[52]②配宿シュミレーション(12,600人ver) '!$AO$6:$AO$707,'[52]②配宿シュミレーション(12,600人ver) '!BL$6:BL$707,)</f>
        <v>110</v>
      </c>
      <c r="BC75" s="398">
        <f>+_xlfn.XLOOKUP($AA75,'[52]②配宿シュミレーション(12,600人ver) '!$AO$6:$AO$707,'[52]②配宿シュミレーション(12,600人ver) '!BM$6:BM$707,)</f>
        <v>110</v>
      </c>
      <c r="BD75" s="398">
        <f>+_xlfn.XLOOKUP($AA75,'[52]②配宿シュミレーション(12,600人ver) '!$AO$6:$AO$707,'[52]②配宿シュミレーション(12,600人ver) '!BN$6:BN$707,)</f>
        <v>110</v>
      </c>
      <c r="BE75" s="398">
        <f>+_xlfn.XLOOKUP($AA75,'[52]②配宿シュミレーション(12,600人ver) '!$AO$6:$AO$707,'[52]②配宿シュミレーション(12,600人ver) '!BO$6:BO$707,)</f>
        <v>110</v>
      </c>
      <c r="BF75" s="398">
        <f>+_xlfn.XLOOKUP($AA75,'[52]②配宿シュミレーション(12,600人ver) '!$AO$6:$AO$707,'[52]②配宿シュミレーション(12,600人ver) '!BP$6:BP$707,)</f>
        <v>110</v>
      </c>
      <c r="BG75" s="398">
        <f>+_xlfn.XLOOKUP($AA75,'[52]②配宿シュミレーション(12,600人ver) '!$AO$6:$AO$707,'[52]②配宿シュミレーション(12,600人ver) '!BQ$6:BQ$707,)</f>
        <v>110</v>
      </c>
      <c r="BH75" s="398">
        <f>+_xlfn.XLOOKUP($AA75,'[52]②配宿シュミレーション(12,600人ver) '!$AO$6:$AO$707,'[52]②配宿シュミレーション(12,600人ver) '!BR$6:BR$707,)</f>
        <v>110</v>
      </c>
      <c r="BI75" s="398">
        <f>+_xlfn.XLOOKUP($AA75,'[52]②配宿シュミレーション(12,600人ver) '!$AO$6:$AO$707,'[52]②配宿シュミレーション(12,600人ver) '!BS$6:BS$707,)</f>
        <v>110</v>
      </c>
      <c r="BJ75" s="398">
        <f>+_xlfn.XLOOKUP($AA75,'[52]②配宿シュミレーション(12,600人ver) '!$AO$6:$AO$707,'[52]②配宿シュミレーション(12,600人ver) '!BT$6:BT$707,)</f>
        <v>110</v>
      </c>
      <c r="BK75" s="3306" t="s">
        <v>2448</v>
      </c>
      <c r="BL75" s="398">
        <f>+_xlfn.XLOOKUP($AA75,'[52]②配宿シュミレーション(12,600人ver) '!$AO$6:$AO$707,'[52]②配宿シュミレーション(12,600人ver) '!BV$6:BV$707,)</f>
        <v>0</v>
      </c>
      <c r="BM75" s="398">
        <f>+_xlfn.XLOOKUP($AA75,'[52]②配宿シュミレーション(12,600人ver) '!$AO$6:$AO$707,'[52]②配宿シュミレーション(12,600人ver) '!BW$6:BW$707,)</f>
        <v>0</v>
      </c>
      <c r="BN75" s="472">
        <f>+_xlfn.XLOOKUP($AA75,'[52]②配宿シュミレーション(12,600人ver) '!$AO$6:$AO$707,'[52]②配宿シュミレーション(12,600人ver) '!BX$6:BX$707,)</f>
        <v>0</v>
      </c>
      <c r="BO75" s="573"/>
      <c r="BP75" s="574"/>
      <c r="BQ75" s="575"/>
    </row>
    <row r="76" spans="1:69" s="521" customFormat="1" ht="46" customHeight="1" thickBot="1">
      <c r="A76" s="2862"/>
      <c r="B76" s="3368"/>
      <c r="C76" s="296"/>
      <c r="D76" s="297" t="str">
        <f>IF(_xlfn.XLOOKUP(E76,[52]宿泊施設DB!$B$3:$B$207,[52]宿泊施設DB!$A$3:$A$207,"",)=0,"",_xlfn.XLOOKUP(E76,[52]宿泊施設DB!$B$3:$B$207,[52]宿泊施設DB!$A$3:$A$207,"",))</f>
        <v/>
      </c>
      <c r="E76" s="3372"/>
      <c r="F76" s="2864">
        <f>_xlfn.XLOOKUP($E76,[52]宿泊施設DB!$B$3:$B$207,[52]宿泊施設DB!$D$3:$D$207,"",)</f>
        <v>0</v>
      </c>
      <c r="G76" s="2864">
        <f>_xlfn.XLOOKUP($E76,[52]宿泊施設DB!$B$3:$B$207,[52]宿泊施設DB!$E$3:$E$207,"",)</f>
        <v>0</v>
      </c>
      <c r="H76" s="2865">
        <f>_xlfn.XLOOKUP($E76,[52]宿泊施設DB!$B$3:$B$207,[52]宿泊施設DB!$J$3:$J$207,"",)</f>
        <v>0</v>
      </c>
      <c r="I76" s="2866">
        <f>_xlfn.XLOOKUP($E76,[52]宿泊施設DB!$B$3:$B$207,[52]宿泊施設DB!$T$3:$T$207,"",)</f>
        <v>0</v>
      </c>
      <c r="J76" s="3373" t="s">
        <v>2231</v>
      </c>
      <c r="K76" s="2865"/>
      <c r="L76" s="2915"/>
      <c r="M76" s="2866"/>
      <c r="N76" s="2866"/>
      <c r="O76" s="2866"/>
      <c r="P76" s="302"/>
      <c r="Q76" s="296"/>
      <c r="R76" s="3349"/>
      <c r="S76" s="487" t="str">
        <f>IFERROR(VLOOKUP($R76,'[52]競技情報DB(12,600人ver) '!$A$6:$D$203,2,),"－")</f>
        <v>－</v>
      </c>
      <c r="T76" s="488">
        <f>_xlfn.XLOOKUP(R76,'[52]競技情報DB(12,600人ver) '!$A$6:$A$101,'[52]競技情報DB(12,600人ver) '!$D$6:$D$101,"",0,)</f>
        <v>0</v>
      </c>
      <c r="U76" s="3363"/>
      <c r="V76" s="3374" t="str">
        <f>IFERROR(VLOOKUP($R76,'[52]競技情報DB(12,600人ver) '!$A$6:$D$203,3,),"－")</f>
        <v>－</v>
      </c>
      <c r="W76" s="3375"/>
      <c r="X76" s="3376"/>
      <c r="Y76" s="318"/>
      <c r="Z76" s="656"/>
      <c r="AA76" s="319"/>
      <c r="AB76" s="3311"/>
      <c r="AC76" s="3311"/>
      <c r="AD76" s="3312"/>
      <c r="AE76" s="320"/>
      <c r="AF76" s="336"/>
      <c r="AG76" s="336"/>
      <c r="AH76" s="336"/>
      <c r="AI76" s="336"/>
      <c r="AJ76" s="336"/>
      <c r="AK76" s="336"/>
      <c r="AL76" s="336"/>
      <c r="AM76" s="336"/>
      <c r="AN76" s="336"/>
      <c r="AO76" s="336"/>
      <c r="AP76" s="336"/>
      <c r="AQ76" s="336"/>
      <c r="AR76" s="336"/>
      <c r="AS76" s="336"/>
      <c r="AT76" s="336"/>
      <c r="AU76" s="336"/>
      <c r="AV76" s="336"/>
      <c r="AW76" s="336"/>
      <c r="AX76" s="336"/>
      <c r="AY76" s="336"/>
      <c r="AZ76" s="336"/>
      <c r="BA76" s="336"/>
      <c r="BB76" s="336"/>
      <c r="BC76" s="336"/>
      <c r="BD76" s="336"/>
      <c r="BE76" s="336"/>
      <c r="BF76" s="336"/>
      <c r="BG76" s="336"/>
      <c r="BH76" s="336"/>
      <c r="BI76" s="336"/>
      <c r="BJ76" s="336"/>
      <c r="BK76" s="336"/>
      <c r="BL76" s="336"/>
      <c r="BM76" s="336"/>
      <c r="BN76" s="340"/>
      <c r="BO76" s="573"/>
      <c r="BP76" s="614"/>
      <c r="BQ76" s="615"/>
    </row>
    <row r="77" spans="1:69" ht="46" customHeight="1" thickTop="1">
      <c r="A77" s="3377" t="s">
        <v>2330</v>
      </c>
      <c r="B77" s="3378" t="s">
        <v>2331</v>
      </c>
      <c r="C77" s="3379">
        <f>C75+1</f>
        <v>20</v>
      </c>
      <c r="D77" s="3380">
        <f>IF(_xlfn.XLOOKUP(E77,[52]宿泊施設DB!$B$3:$B$207,[52]宿泊施設DB!$A$3:$A$207,"",)=0,"",_xlfn.XLOOKUP(E77,[52]宿泊施設DB!$B$3:$B$207,[52]宿泊施設DB!$A$3:$A$207,"",))</f>
        <v>252</v>
      </c>
      <c r="E77" s="3381" t="s">
        <v>2339</v>
      </c>
      <c r="F77" s="3382">
        <f>_xlfn.XLOOKUP($E77,[52]宿泊施設DB!$B$3:$B$207,[52]宿泊施設DB!$D$3:$D$207,"",)</f>
        <v>70</v>
      </c>
      <c r="G77" s="3382">
        <f>_xlfn.XLOOKUP($E77,[52]宿泊施設DB!$B$3:$B$207,[52]宿泊施設DB!$E$3:$E$207,"",)</f>
        <v>227</v>
      </c>
      <c r="H77" s="3383">
        <f>_xlfn.XLOOKUP($E77,[52]宿泊施設DB!$B$3:$B$207,[52]宿泊施設DB!$J$3:$J$207,"",)</f>
        <v>14</v>
      </c>
      <c r="I77" s="3384" t="str">
        <f>_xlfn.XLOOKUP($E77,[52]宿泊施設DB!$B$3:$B$207,[52]宿泊施設DB!$T$3:$T$207,"",)</f>
        <v>中</v>
      </c>
      <c r="J77" s="3384" t="str">
        <f>_xlfn.XLOOKUP($E77,[52]宿泊施設DB!$B$3:$B$207,[52]宿泊施設DB!$R$3:$R$207,"",)</f>
        <v>宿泊施設</v>
      </c>
      <c r="K77" s="3383">
        <f>_xlfn.XLOOKUP($E77,[52]宿泊施設DB!$B$3:$B$207,[52]宿泊施設DB!$S$3:$S$207,"",)</f>
        <v>125</v>
      </c>
      <c r="L77" s="3385" t="str">
        <f>_xlfn.XLOOKUP($E77,[52]宿泊施設DB!$B$3:$B$207,[52]宿泊施設DB!$U$3:$U$207,"",)</f>
        <v>－</v>
      </c>
      <c r="M77" s="3384" t="str">
        <f>_xlfn.XLOOKUP($E77,[52]宿泊施設DB!$B$3:$B$207,[52]宿泊施設DB!$V$3:$V$207,"",)</f>
        <v>○</v>
      </c>
      <c r="N77" s="3384" t="str">
        <f>_xlfn.XLOOKUP($E77,[52]宿泊施設DB!$B$3:$B$207,[52]宿泊施設DB!$W$3:$W$207,"",)</f>
        <v>－</v>
      </c>
      <c r="O77" s="3384" t="str">
        <f>_xlfn.XLOOKUP($E77,[52]宿泊施設DB!$B$3:$B$207,[52]宿泊施設DB!$X$3:$X$207,"",)</f>
        <v>玄関前（屋根付）2台</v>
      </c>
      <c r="P77" s="3386" t="str">
        <f>IF(AND(E77&lt;&gt;"", R77&lt;&gt;"－"), "○", "")</f>
        <v>○</v>
      </c>
      <c r="Q77" s="3379" t="s">
        <v>2136</v>
      </c>
      <c r="R77" s="3387" t="s">
        <v>2479</v>
      </c>
      <c r="S77" s="3388" t="str">
        <f>IFERROR(VLOOKUP($R77,'[52]競技情報DB(12,600人ver) '!$A$6:$D$203,2,),"－")</f>
        <v>岡崎／豊橋</v>
      </c>
      <c r="T77" s="3389">
        <f>_xlfn.XLOOKUP(R77,'[52]競技情報DB(12,600人ver) '!$A$6:$A$101,'[52]競技情報DB(12,600人ver) '!$D$6:$D$101,"",0,)</f>
        <v>188</v>
      </c>
      <c r="U77" s="3390">
        <f>SUM(T77:T77)</f>
        <v>188</v>
      </c>
      <c r="V77" s="3391" t="str">
        <f>IFERROR(VLOOKUP($R77,'[52]競技情報DB(12,600人ver) '!$A$6:$D$203,3,),"－")</f>
        <v>岡崎市中央総合公園／豊橋市民球場</v>
      </c>
      <c r="W77" s="3392">
        <v>23.3</v>
      </c>
      <c r="X77" s="3393">
        <v>39</v>
      </c>
      <c r="Y77" s="3394">
        <f>$G77-MAX(AF77:BN77)</f>
        <v>39</v>
      </c>
      <c r="Z77" s="3395">
        <f>+Y77/$G77</f>
        <v>0.17180616740088106</v>
      </c>
      <c r="AA77" s="3396" t="str">
        <f>E77&amp;"　"&amp;"合計"</f>
        <v>株式会社平野屋　合計</v>
      </c>
      <c r="AB77" s="3397">
        <f>IFERROR(INDEX($AF$3:$BN$3, MATCH("準備", AF77:BN77, 0)), "")</f>
        <v>46281</v>
      </c>
      <c r="AC77" s="3397" cm="1">
        <f t="array" ref="AC77">IF(COUNTIF(AF77:BN77,"*撤去*")=0,"",INDEX(AF$3:BN$3,1,MAX(IF(AF77:BN77="撤去",COLUMN(AF77:BN77)-COLUMN(AF77)+1))))</f>
        <v>46300</v>
      </c>
      <c r="AD77" s="3398">
        <f>AC77-AB77</f>
        <v>19</v>
      </c>
      <c r="AE77" s="3399" t="str">
        <f>+$AE$114</f>
        <v>12,600人</v>
      </c>
      <c r="AF77" s="3400">
        <f>+_xlfn.XLOOKUP($AA77,'[52]②配宿シュミレーション(12,600人ver) '!$AO$6:$AO$707,'[52]②配宿シュミレーション(12,600人ver) '!AP$6:AP$707,)</f>
        <v>0</v>
      </c>
      <c r="AG77" s="3400">
        <f>+_xlfn.XLOOKUP($AA77,'[52]②配宿シュミレーション(12,600人ver) '!$AO$6:$AO$707,'[52]②配宿シュミレーション(12,600人ver) '!AQ$6:AQ$707,)</f>
        <v>0</v>
      </c>
      <c r="AH77" s="3400">
        <f>+_xlfn.XLOOKUP($AA77,'[52]②配宿シュミレーション(12,600人ver) '!$AO$6:$AO$707,'[52]②配宿シュミレーション(12,600人ver) '!AR$6:AR$707,)</f>
        <v>0</v>
      </c>
      <c r="AI77" s="3400">
        <f>+_xlfn.XLOOKUP($AA77,'[52]②配宿シュミレーション(12,600人ver) '!$AO$6:$AO$707,'[52]②配宿シュミレーション(12,600人ver) '!AS$6:AS$707,)</f>
        <v>0</v>
      </c>
      <c r="AJ77" s="3400">
        <f>+_xlfn.XLOOKUP($AA77,'[52]②配宿シュミレーション(12,600人ver) '!$AO$6:$AO$707,'[52]②配宿シュミレーション(12,600人ver) '!AT$6:AT$707,)</f>
        <v>0</v>
      </c>
      <c r="AK77" s="3400">
        <f>+_xlfn.XLOOKUP($AA77,'[52]②配宿シュミレーション(12,600人ver) '!$AO$6:$AO$707,'[52]②配宿シュミレーション(12,600人ver) '!AU$6:AU$707,)</f>
        <v>0</v>
      </c>
      <c r="AL77" s="3400">
        <f>+_xlfn.XLOOKUP($AA77,'[52]②配宿シュミレーション(12,600人ver) '!$AO$6:$AO$707,'[52]②配宿シュミレーション(12,600人ver) '!AV$6:AV$707,)</f>
        <v>0</v>
      </c>
      <c r="AM77" s="3400">
        <f>+_xlfn.XLOOKUP($AA77,'[52]②配宿シュミレーション(12,600人ver) '!$AO$6:$AO$707,'[52]②配宿シュミレーション(12,600人ver) '!AW$6:AW$707,)</f>
        <v>0</v>
      </c>
      <c r="AN77" s="3400">
        <f>+_xlfn.XLOOKUP($AA77,'[52]②配宿シュミレーション(12,600人ver) '!$AO$6:$AO$707,'[52]②配宿シュミレーション(12,600人ver) '!AX$6:AX$707,)</f>
        <v>0</v>
      </c>
      <c r="AO77" s="3400">
        <f>+_xlfn.XLOOKUP($AA77,'[52]②配宿シュミレーション(12,600人ver) '!$AO$6:$AO$707,'[52]②配宿シュミレーション(12,600人ver) '!AY$6:AY$707,)</f>
        <v>0</v>
      </c>
      <c r="AP77" s="3400">
        <f>+_xlfn.XLOOKUP($AA77,'[52]②配宿シュミレーション(12,600人ver) '!$AO$6:$AO$707,'[52]②配宿シュミレーション(12,600人ver) '!AZ$6:AZ$707,)</f>
        <v>0</v>
      </c>
      <c r="AQ77" s="3400">
        <f>+_xlfn.XLOOKUP($AA77,'[52]②配宿シュミレーション(12,600人ver) '!$AO$6:$AO$707,'[52]②配宿シュミレーション(12,600人ver) '!BA$6:BA$707,)</f>
        <v>0</v>
      </c>
      <c r="AR77" s="3327" t="s">
        <v>2447</v>
      </c>
      <c r="AS77" s="3401">
        <f>+_xlfn.XLOOKUP($AA77,'[52]②配宿シュミレーション(12,600人ver) '!$AO$6:$AO$707,'[52]②配宿シュミレーション(12,600人ver) '!BC$6:BC$707,)</f>
        <v>0</v>
      </c>
      <c r="AT77" s="3400">
        <f>+_xlfn.XLOOKUP($AA77,'[52]②配宿シュミレーション(12,600人ver) '!$AO$6:$AO$707,'[52]②配宿シュミレーション(12,600人ver) '!BD$6:BD$707,)</f>
        <v>188</v>
      </c>
      <c r="AU77" s="3400">
        <f>+_xlfn.XLOOKUP($AA77,'[52]②配宿シュミレーション(12,600人ver) '!$AO$6:$AO$707,'[52]②配宿シュミレーション(12,600人ver) '!BE$6:BE$707,)</f>
        <v>188</v>
      </c>
      <c r="AV77" s="3400">
        <f>+_xlfn.XLOOKUP($AA77,'[52]②配宿シュミレーション(12,600人ver) '!$AO$6:$AO$707,'[52]②配宿シュミレーション(12,600人ver) '!BF$6:BF$707,)</f>
        <v>188</v>
      </c>
      <c r="AW77" s="3400">
        <f>+_xlfn.XLOOKUP($AA77,'[52]②配宿シュミレーション(12,600人ver) '!$AO$6:$AO$707,'[52]②配宿シュミレーション(12,600人ver) '!BG$6:BG$707,)</f>
        <v>188</v>
      </c>
      <c r="AX77" s="3400">
        <f>+_xlfn.XLOOKUP($AA77,'[52]②配宿シュミレーション(12,600人ver) '!$AO$6:$AO$707,'[52]②配宿シュミレーション(12,600人ver) '!BH$6:BH$707,)</f>
        <v>188</v>
      </c>
      <c r="AY77" s="3400">
        <f>+_xlfn.XLOOKUP($AA77,'[52]②配宿シュミレーション(12,600人ver) '!$AO$6:$AO$707,'[52]②配宿シュミレーション(12,600人ver) '!BI$6:BI$707,)</f>
        <v>188</v>
      </c>
      <c r="AZ77" s="3400">
        <f>+_xlfn.XLOOKUP($AA77,'[52]②配宿シュミレーション(12,600人ver) '!$AO$6:$AO$707,'[52]②配宿シュミレーション(12,600人ver) '!BJ$6:BJ$707,)</f>
        <v>188</v>
      </c>
      <c r="BA77" s="3400">
        <f>+_xlfn.XLOOKUP($AA77,'[52]②配宿シュミレーション(12,600人ver) '!$AO$6:$AO$707,'[52]②配宿シュミレーション(12,600人ver) '!BK$6:BK$707,)</f>
        <v>188</v>
      </c>
      <c r="BB77" s="3400">
        <f>+_xlfn.XLOOKUP($AA77,'[52]②配宿シュミレーション(12,600人ver) '!$AO$6:$AO$707,'[52]②配宿シュミレーション(12,600人ver) '!BL$6:BL$707,)</f>
        <v>188</v>
      </c>
      <c r="BC77" s="3400">
        <f>+_xlfn.XLOOKUP($AA77,'[52]②配宿シュミレーション(12,600人ver) '!$AO$6:$AO$707,'[52]②配宿シュミレーション(12,600人ver) '!BM$6:BM$707,)</f>
        <v>188</v>
      </c>
      <c r="BD77" s="3400">
        <f>+_xlfn.XLOOKUP($AA77,'[52]②配宿シュミレーション(12,600人ver) '!$AO$6:$AO$707,'[52]②配宿シュミレーション(12,600人ver) '!BN$6:BN$707,)</f>
        <v>188</v>
      </c>
      <c r="BE77" s="3400">
        <f>+_xlfn.XLOOKUP($AA77,'[52]②配宿シュミレーション(12,600人ver) '!$AO$6:$AO$707,'[52]②配宿シュミレーション(12,600人ver) '!BO$6:BO$707,)</f>
        <v>188</v>
      </c>
      <c r="BF77" s="3400">
        <f>+_xlfn.XLOOKUP($AA77,'[52]②配宿シュミレーション(12,600人ver) '!$AO$6:$AO$707,'[52]②配宿シュミレーション(12,600人ver) '!BP$6:BP$707,)</f>
        <v>188</v>
      </c>
      <c r="BG77" s="3400">
        <f>+_xlfn.XLOOKUP($AA77,'[52]②配宿シュミレーション(12,600人ver) '!$AO$6:$AO$707,'[52]②配宿シュミレーション(12,600人ver) '!BQ$6:BQ$707,)</f>
        <v>188</v>
      </c>
      <c r="BH77" s="3400">
        <f>+_xlfn.XLOOKUP($AA77,'[52]②配宿シュミレーション(12,600人ver) '!$AO$6:$AO$707,'[52]②配宿シュミレーション(12,600人ver) '!BR$6:BR$707,)</f>
        <v>188</v>
      </c>
      <c r="BI77" s="3400">
        <f>+_xlfn.XLOOKUP($AA77,'[52]②配宿シュミレーション(12,600人ver) '!$AO$6:$AO$707,'[52]②配宿シュミレーション(12,600人ver) '!BS$6:BS$707,)</f>
        <v>188</v>
      </c>
      <c r="BJ77" s="3400">
        <f>+_xlfn.XLOOKUP($AA77,'[52]②配宿シュミレーション(12,600人ver) '!$AO$6:$AO$707,'[52]②配宿シュミレーション(12,600人ver) '!BT$6:BT$707,)</f>
        <v>188</v>
      </c>
      <c r="BK77" s="3306" t="s">
        <v>2448</v>
      </c>
      <c r="BL77" s="3400">
        <f>+_xlfn.XLOOKUP($AA77,'[52]②配宿シュミレーション(12,600人ver) '!$AO$6:$AO$707,'[52]②配宿シュミレーション(12,600人ver) '!BV$6:BV$707,)</f>
        <v>0</v>
      </c>
      <c r="BM77" s="3400">
        <f>+_xlfn.XLOOKUP($AA77,'[52]②配宿シュミレーション(12,600人ver) '!$AO$6:$AO$707,'[52]②配宿シュミレーション(12,600人ver) '!BW$6:BW$707,)</f>
        <v>0</v>
      </c>
      <c r="BN77" s="3402">
        <f>+_xlfn.XLOOKUP($AA77,'[52]②配宿シュミレーション(12,600人ver) '!$AO$6:$AO$707,'[52]②配宿シュミレーション(12,600人ver) '!BX$6:BX$707,)</f>
        <v>0</v>
      </c>
      <c r="BO77" s="573"/>
      <c r="BP77" s="610"/>
      <c r="BQ77" s="611"/>
    </row>
    <row r="78" spans="1:69" s="521" customFormat="1" ht="46" customHeight="1" thickBot="1">
      <c r="A78" s="2862"/>
      <c r="B78" s="2863"/>
      <c r="C78" s="296"/>
      <c r="D78" s="297" t="str">
        <f>IF(_xlfn.XLOOKUP(E78,[52]宿泊施設DB!$B$3:$B$207,[52]宿泊施設DB!$A$3:$A$207,"",)=0,"",_xlfn.XLOOKUP(E78,[52]宿泊施設DB!$B$3:$B$207,[52]宿泊施設DB!$A$3:$A$207,"",))</f>
        <v/>
      </c>
      <c r="E78" s="609"/>
      <c r="F78" s="2864">
        <f>_xlfn.XLOOKUP($E78,[52]宿泊施設DB!$B$3:$B$207,[52]宿泊施設DB!$D$3:$D$207,"",)</f>
        <v>0</v>
      </c>
      <c r="G78" s="2864">
        <f>_xlfn.XLOOKUP($E78,[52]宿泊施設DB!$B$3:$B$207,[52]宿泊施設DB!$E$3:$E$207,"",)</f>
        <v>0</v>
      </c>
      <c r="H78" s="2865">
        <f>_xlfn.XLOOKUP($E78,[52]宿泊施設DB!$B$3:$B$207,[52]宿泊施設DB!$J$3:$J$207,"",)</f>
        <v>0</v>
      </c>
      <c r="I78" s="2866">
        <f>_xlfn.XLOOKUP($E78,[52]宿泊施設DB!$B$3:$B$207,[52]宿泊施設DB!$T$3:$T$207,"",)</f>
        <v>0</v>
      </c>
      <c r="J78" s="2866">
        <f>_xlfn.XLOOKUP($E78,[52]宿泊施設DB!$B$3:$B$207,[52]宿泊施設DB!$R$3:$R$207,"",)</f>
        <v>0</v>
      </c>
      <c r="K78" s="2865">
        <f>_xlfn.XLOOKUP($E78,[52]宿泊施設DB!$B$3:$B$207,[52]宿泊施設DB!$S$3:$S$207,"",)</f>
        <v>0</v>
      </c>
      <c r="L78" s="2915">
        <f>_xlfn.XLOOKUP($E78,[52]宿泊施設DB!$B$3:$B$207,[52]宿泊施設DB!$U$3:$U$207,"",)</f>
        <v>0</v>
      </c>
      <c r="M78" s="2866">
        <f>_xlfn.XLOOKUP($E78,[52]宿泊施設DB!$B$3:$B$207,[52]宿泊施設DB!$V$3:$V$207,"",)</f>
        <v>0</v>
      </c>
      <c r="N78" s="2866">
        <f>_xlfn.XLOOKUP($E78,[52]宿泊施設DB!$B$3:$B$207,[52]宿泊施設DB!$W$3:$W$207,"",)</f>
        <v>0</v>
      </c>
      <c r="O78" s="2866">
        <f>_xlfn.XLOOKUP($E78,[52]宿泊施設DB!$B$3:$B$207,[52]宿泊施設DB!$X$3:$X$207,"",)</f>
        <v>0</v>
      </c>
      <c r="P78" s="302" t="str">
        <f>IF(AND(E78&lt;&gt;"", R78&lt;&gt;"－"), "○", "")</f>
        <v/>
      </c>
      <c r="Q78" s="296"/>
      <c r="R78" s="3341"/>
      <c r="S78" s="478" t="str">
        <f>IFERROR(VLOOKUP($R78,'[52]競技情報DB(12,600人ver) '!$A$6:$D$203,2,),"－")</f>
        <v>－</v>
      </c>
      <c r="T78" s="479">
        <f>_xlfn.XLOOKUP(R78,'[52]競技情報DB(12,600人ver) '!$A$6:$A$101,'[52]競技情報DB(12,600人ver) '!$D$6:$D$101,"",0,)</f>
        <v>0</v>
      </c>
      <c r="U78" s="3363"/>
      <c r="V78" s="3343" t="str">
        <f>IFERROR(VLOOKUP($R78,'[52]競技情報DB(12,600人ver) '!$A$6:$D$203,3,),"－")</f>
        <v>－</v>
      </c>
      <c r="W78" s="3344"/>
      <c r="X78" s="3345"/>
      <c r="Y78" s="442"/>
      <c r="Z78" s="656"/>
      <c r="AA78" s="319"/>
      <c r="AB78" s="3311"/>
      <c r="AC78" s="3311"/>
      <c r="AD78" s="3312"/>
      <c r="AE78" s="320"/>
      <c r="AF78" s="445"/>
      <c r="AG78" s="445"/>
      <c r="AH78" s="445"/>
      <c r="AI78" s="445"/>
      <c r="AJ78" s="445"/>
      <c r="AK78" s="445"/>
      <c r="AL78" s="445"/>
      <c r="AM78" s="445"/>
      <c r="AN78" s="445"/>
      <c r="AO78" s="445"/>
      <c r="AP78" s="445"/>
      <c r="AQ78" s="445"/>
      <c r="AR78" s="445"/>
      <c r="AS78" s="445"/>
      <c r="AT78" s="445"/>
      <c r="AU78" s="445"/>
      <c r="AV78" s="445"/>
      <c r="AW78" s="445"/>
      <c r="AX78" s="445"/>
      <c r="AY78" s="445"/>
      <c r="AZ78" s="445"/>
      <c r="BA78" s="445"/>
      <c r="BB78" s="445"/>
      <c r="BC78" s="445"/>
      <c r="BD78" s="445"/>
      <c r="BE78" s="445"/>
      <c r="BF78" s="445"/>
      <c r="BG78" s="445"/>
      <c r="BH78" s="445"/>
      <c r="BI78" s="445"/>
      <c r="BJ78" s="445"/>
      <c r="BK78" s="336"/>
      <c r="BL78" s="445"/>
      <c r="BM78" s="445"/>
      <c r="BN78" s="449"/>
      <c r="BO78" s="573"/>
      <c r="BP78" s="610"/>
      <c r="BQ78" s="611"/>
    </row>
    <row r="79" spans="1:69" ht="46" customHeight="1">
      <c r="A79" s="2862"/>
      <c r="B79" s="2863"/>
      <c r="C79" s="372">
        <f>C77+1</f>
        <v>21</v>
      </c>
      <c r="D79" s="2871">
        <f>IF(_xlfn.XLOOKUP(E79,[52]宿泊施設DB!$B$3:$B$207,[52]宿泊施設DB!$A$3:$A$207,"",)=0,"",_xlfn.XLOOKUP(E79,[52]宿泊施設DB!$B$3:$B$207,[52]宿泊施設DB!$A$3:$A$207,"",))</f>
        <v>245</v>
      </c>
      <c r="E79" s="572" t="s">
        <v>2345</v>
      </c>
      <c r="F79" s="2872">
        <f>_xlfn.XLOOKUP($E79,[52]宿泊施設DB!$B$3:$B$207,[52]宿泊施設DB!$D$3:$D$207,"",)</f>
        <v>100</v>
      </c>
      <c r="G79" s="2872">
        <f>_xlfn.XLOOKUP($E79,[52]宿泊施設DB!$B$3:$B$207,[52]宿泊施設DB!$E$3:$E$207,"",)</f>
        <v>200</v>
      </c>
      <c r="H79" s="2873">
        <f>_xlfn.XLOOKUP($E79,[52]宿泊施設DB!$B$3:$B$207,[52]宿泊施設DB!$J$3:$J$207,"",)</f>
        <v>0</v>
      </c>
      <c r="I79" s="2874" t="str">
        <f>_xlfn.XLOOKUP($E79,[52]宿泊施設DB!$B$3:$B$207,[52]宿泊施設DB!$T$3:$T$207,"",)</f>
        <v>中</v>
      </c>
      <c r="J79" s="2874" t="str">
        <f>_xlfn.XLOOKUP($E79,[52]宿泊施設DB!$B$3:$B$207,[52]宿泊施設DB!$R$3:$R$207,"",)</f>
        <v>宿泊施設</v>
      </c>
      <c r="K79" s="2873">
        <f>_xlfn.XLOOKUP($E79,[52]宿泊施設DB!$B$3:$B$207,[52]宿泊施設DB!$S$3:$S$207,"",)</f>
        <v>216</v>
      </c>
      <c r="L79" s="2914" t="str">
        <f>_xlfn.XLOOKUP($E79,[52]宿泊施設DB!$B$3:$B$207,[52]宿泊施設DB!$U$3:$U$207,"",)</f>
        <v>－</v>
      </c>
      <c r="M79" s="2874" t="str">
        <f>_xlfn.XLOOKUP($E79,[52]宿泊施設DB!$B$3:$B$207,[52]宿泊施設DB!$V$3:$V$207,"",)</f>
        <v>－</v>
      </c>
      <c r="N79" s="2874" t="str">
        <f>_xlfn.XLOOKUP($E79,[52]宿泊施設DB!$B$3:$B$207,[52]宿泊施設DB!$W$3:$W$207,"",)</f>
        <v>○</v>
      </c>
      <c r="O79" s="2874" t="str">
        <f>_xlfn.XLOOKUP($E79,[52]宿泊施設DB!$B$3:$B$207,[52]宿泊施設DB!$X$3:$X$207,"",)</f>
        <v>玄関前（屋根無）1台</v>
      </c>
      <c r="P79" s="377" t="str">
        <f>IF(AND(E79&lt;&gt;"", R79&lt;&gt;"－"), "○", "")</f>
        <v>○</v>
      </c>
      <c r="Q79" s="372" t="s">
        <v>2136</v>
      </c>
      <c r="R79" s="387" t="s">
        <v>2346</v>
      </c>
      <c r="S79" s="388" t="str">
        <f>IFERROR(VLOOKUP($R79,'[52]競技情報DB(12,600人ver) '!$A$6:$D$203,2,),"－")</f>
        <v>蒲郡市</v>
      </c>
      <c r="T79" s="389">
        <f>_xlfn.XLOOKUP(R79,'[52]競技情報DB(12,600人ver) '!$A$6:$A$101,'[52]競技情報DB(12,600人ver) '!$D$6:$D$101,"",0,)</f>
        <v>187</v>
      </c>
      <c r="U79" s="3369">
        <f>SUM(T79:T79)</f>
        <v>187</v>
      </c>
      <c r="V79" s="3322" t="str">
        <f>IFERROR(VLOOKUP($R79,'[52]競技情報DB(12,600人ver) '!$A$6:$D$203,3,),"－")</f>
        <v>海陽ヨットハーバー</v>
      </c>
      <c r="W79" s="3323">
        <v>1</v>
      </c>
      <c r="X79" s="3324">
        <v>1</v>
      </c>
      <c r="Y79" s="318">
        <f>$G79-MAX(AF79:BN79)</f>
        <v>13</v>
      </c>
      <c r="Z79" s="647">
        <f>+Y79/$G79</f>
        <v>6.5000000000000002E-2</v>
      </c>
      <c r="AA79" s="515" t="str">
        <f>E79&amp;"　"&amp;"合計"</f>
        <v>変なホテル　ラグーナテンボス　合計</v>
      </c>
      <c r="AB79" s="3325">
        <f>IFERROR(INDEX($AF$3:$BN$3, MATCH("準備", AF79:BN79, 0)), "")</f>
        <v>46286</v>
      </c>
      <c r="AC79" s="3325" cm="1">
        <f t="array" ref="AC79">IF(COUNTIF(AF79:BN79,"*撤去*")=0,"",INDEX(AF$3:BN$3,1,MAX(IF(AF79:BN79="撤去",COLUMN(AF79:BN79)-COLUMN(AF79)+1))))</f>
        <v>46300</v>
      </c>
      <c r="AD79" s="3326">
        <f>AC79-AB79</f>
        <v>14</v>
      </c>
      <c r="AE79" s="396" t="str">
        <f>+$AE$114</f>
        <v>12,600人</v>
      </c>
      <c r="AF79" s="398">
        <f>+_xlfn.XLOOKUP($AA79,'[52]②配宿シュミレーション(12,600人ver) '!$AO$6:$AO$707,'[52]②配宿シュミレーション(12,600人ver) '!AP$6:AP$707,)</f>
        <v>0</v>
      </c>
      <c r="AG79" s="398">
        <f>+_xlfn.XLOOKUP($AA79,'[52]②配宿シュミレーション(12,600人ver) '!$AO$6:$AO$707,'[52]②配宿シュミレーション(12,600人ver) '!AQ$6:AQ$707,)</f>
        <v>0</v>
      </c>
      <c r="AH79" s="398">
        <f>+_xlfn.XLOOKUP($AA79,'[52]②配宿シュミレーション(12,600人ver) '!$AO$6:$AO$707,'[52]②配宿シュミレーション(12,600人ver) '!AR$6:AR$707,)</f>
        <v>0</v>
      </c>
      <c r="AI79" s="398">
        <f>+_xlfn.XLOOKUP($AA79,'[52]②配宿シュミレーション(12,600人ver) '!$AO$6:$AO$707,'[52]②配宿シュミレーション(12,600人ver) '!AS$6:AS$707,)</f>
        <v>0</v>
      </c>
      <c r="AJ79" s="398">
        <f>+_xlfn.XLOOKUP($AA79,'[52]②配宿シュミレーション(12,600人ver) '!$AO$6:$AO$707,'[52]②配宿シュミレーション(12,600人ver) '!AT$6:AT$707,)</f>
        <v>0</v>
      </c>
      <c r="AK79" s="398">
        <f>+_xlfn.XLOOKUP($AA79,'[52]②配宿シュミレーション(12,600人ver) '!$AO$6:$AO$707,'[52]②配宿シュミレーション(12,600人ver) '!AU$6:AU$707,)</f>
        <v>0</v>
      </c>
      <c r="AL79" s="398">
        <f>+_xlfn.XLOOKUP($AA79,'[52]②配宿シュミレーション(12,600人ver) '!$AO$6:$AO$707,'[52]②配宿シュミレーション(12,600人ver) '!AV$6:AV$707,)</f>
        <v>0</v>
      </c>
      <c r="AM79" s="398">
        <f>+_xlfn.XLOOKUP($AA79,'[52]②配宿シュミレーション(12,600人ver) '!$AO$6:$AO$707,'[52]②配宿シュミレーション(12,600人ver) '!AW$6:AW$707,)</f>
        <v>0</v>
      </c>
      <c r="AN79" s="398">
        <f>+_xlfn.XLOOKUP($AA79,'[52]②配宿シュミレーション(12,600人ver) '!$AO$6:$AO$707,'[52]②配宿シュミレーション(12,600人ver) '!AX$6:AX$707,)</f>
        <v>0</v>
      </c>
      <c r="AO79" s="398">
        <f>+_xlfn.XLOOKUP($AA79,'[52]②配宿シュミレーション(12,600人ver) '!$AO$6:$AO$707,'[52]②配宿シュミレーション(12,600人ver) '!AY$6:AY$707,)</f>
        <v>0</v>
      </c>
      <c r="AP79" s="398">
        <f>+_xlfn.XLOOKUP($AA79,'[52]②配宿シュミレーション(12,600人ver) '!$AO$6:$AO$707,'[52]②配宿シュミレーション(12,600人ver) '!AZ$6:AZ$707,)</f>
        <v>0</v>
      </c>
      <c r="AQ79" s="398">
        <f>+_xlfn.XLOOKUP($AA79,'[52]②配宿シュミレーション(12,600人ver) '!$AO$6:$AO$707,'[52]②配宿シュミレーション(12,600人ver) '!BA$6:BA$707,)</f>
        <v>0</v>
      </c>
      <c r="AR79" s="398">
        <f>+_xlfn.XLOOKUP($AA79,'[52]②配宿シュミレーション(12,600人ver) '!$AO$6:$AO$707,'[52]②配宿シュミレーション(12,600人ver) '!BB$6:BB$707,)</f>
        <v>0</v>
      </c>
      <c r="AS79" s="398">
        <f>+_xlfn.XLOOKUP($AA79,'[52]②配宿シュミレーション(12,600人ver) '!$AO$6:$AO$707,'[52]②配宿シュミレーション(12,600人ver) '!BC$6:BC$707,)</f>
        <v>0</v>
      </c>
      <c r="AT79" s="398">
        <f>+_xlfn.XLOOKUP($AA79,'[52]②配宿シュミレーション(12,600人ver) '!$AO$6:$AO$707,'[52]②配宿シュミレーション(12,600人ver) '!BD$6:BD$707,)</f>
        <v>0</v>
      </c>
      <c r="AU79" s="398">
        <f>+_xlfn.XLOOKUP($AA79,'[52]②配宿シュミレーション(12,600人ver) '!$AO$6:$AO$707,'[52]②配宿シュミレーション(12,600人ver) '!BE$6:BE$707,)</f>
        <v>0</v>
      </c>
      <c r="AV79" s="398">
        <f>+_xlfn.XLOOKUP($AA79,'[52]②配宿シュミレーション(12,600人ver) '!$AO$6:$AO$707,'[52]②配宿シュミレーション(12,600人ver) '!BF$6:BF$707,)</f>
        <v>0</v>
      </c>
      <c r="AW79" s="3327" t="s">
        <v>2447</v>
      </c>
      <c r="AX79" s="3327">
        <f>+_xlfn.XLOOKUP($AA79,'[52]②配宿シュミレーション(12,600人ver) '!$AO$6:$AO$707,'[52]②配宿シュミレーション(12,600人ver) '!BH$6:BH$707,)</f>
        <v>0</v>
      </c>
      <c r="AY79" s="398">
        <f>+_xlfn.XLOOKUP($AA79,'[52]②配宿シュミレーション(12,600人ver) '!$AO$6:$AO$707,'[52]②配宿シュミレーション(12,600人ver) '!BI$6:BI$707,)</f>
        <v>187</v>
      </c>
      <c r="AZ79" s="398">
        <f>+_xlfn.XLOOKUP($AA79,'[52]②配宿シュミレーション(12,600人ver) '!$AO$6:$AO$707,'[52]②配宿シュミレーション(12,600人ver) '!BJ$6:BJ$707,)</f>
        <v>187</v>
      </c>
      <c r="BA79" s="398">
        <f>+_xlfn.XLOOKUP($AA79,'[52]②配宿シュミレーション(12,600人ver) '!$AO$6:$AO$707,'[52]②配宿シュミレーション(12,600人ver) '!BK$6:BK$707,)</f>
        <v>187</v>
      </c>
      <c r="BB79" s="398">
        <f>+_xlfn.XLOOKUP($AA79,'[52]②配宿シュミレーション(12,600人ver) '!$AO$6:$AO$707,'[52]②配宿シュミレーション(12,600人ver) '!BL$6:BL$707,)</f>
        <v>187</v>
      </c>
      <c r="BC79" s="398">
        <f>+_xlfn.XLOOKUP($AA79,'[52]②配宿シュミレーション(12,600人ver) '!$AO$6:$AO$707,'[52]②配宿シュミレーション(12,600人ver) '!BM$6:BM$707,)</f>
        <v>187</v>
      </c>
      <c r="BD79" s="398">
        <f>+_xlfn.XLOOKUP($AA79,'[52]②配宿シュミレーション(12,600人ver) '!$AO$6:$AO$707,'[52]②配宿シュミレーション(12,600人ver) '!BN$6:BN$707,)</f>
        <v>187</v>
      </c>
      <c r="BE79" s="398">
        <f>+_xlfn.XLOOKUP($AA79,'[52]②配宿シュミレーション(12,600人ver) '!$AO$6:$AO$707,'[52]②配宿シュミレーション(12,600人ver) '!BO$6:BO$707,)</f>
        <v>187</v>
      </c>
      <c r="BF79" s="398">
        <f>+_xlfn.XLOOKUP($AA79,'[52]②配宿シュミレーション(12,600人ver) '!$AO$6:$AO$707,'[52]②配宿シュミレーション(12,600人ver) '!BP$6:BP$707,)</f>
        <v>187</v>
      </c>
      <c r="BG79" s="398">
        <f>+_xlfn.XLOOKUP($AA79,'[52]②配宿シュミレーション(12,600人ver) '!$AO$6:$AO$707,'[52]②配宿シュミレーション(12,600人ver) '!BQ$6:BQ$707,)</f>
        <v>187</v>
      </c>
      <c r="BH79" s="398">
        <f>+_xlfn.XLOOKUP($AA79,'[52]②配宿シュミレーション(12,600人ver) '!$AO$6:$AO$707,'[52]②配宿シュミレーション(12,600人ver) '!BR$6:BR$707,)</f>
        <v>187</v>
      </c>
      <c r="BI79" s="398">
        <f>+_xlfn.XLOOKUP($AA79,'[52]②配宿シュミレーション(12,600人ver) '!$AO$6:$AO$707,'[52]②配宿シュミレーション(12,600人ver) '!BS$6:BS$707,)</f>
        <v>187</v>
      </c>
      <c r="BJ79" s="398">
        <f>+_xlfn.XLOOKUP($AA79,'[52]②配宿シュミレーション(12,600人ver) '!$AO$6:$AO$707,'[52]②配宿シュミレーション(12,600人ver) '!BT$6:BT$707,)</f>
        <v>187</v>
      </c>
      <c r="BK79" s="3306" t="s">
        <v>2448</v>
      </c>
      <c r="BL79" s="398">
        <f>+_xlfn.XLOOKUP($AA79,'[52]②配宿シュミレーション(12,600人ver) '!$AO$6:$AO$707,'[52]②配宿シュミレーション(12,600人ver) '!BV$6:BV$707,)</f>
        <v>0</v>
      </c>
      <c r="BM79" s="398">
        <f>+_xlfn.XLOOKUP($AA79,'[52]②配宿シュミレーション(12,600人ver) '!$AO$6:$AO$707,'[52]②配宿シュミレーション(12,600人ver) '!BW$6:BW$707,)</f>
        <v>0</v>
      </c>
      <c r="BN79" s="472">
        <f>+_xlfn.XLOOKUP($AA79,'[52]②配宿シュミレーション(12,600人ver) '!$AO$6:$AO$707,'[52]②配宿シュミレーション(12,600人ver) '!BX$6:BX$707,)</f>
        <v>0</v>
      </c>
      <c r="BO79" s="573"/>
      <c r="BP79" s="574"/>
      <c r="BQ79" s="575"/>
    </row>
    <row r="80" spans="1:69" s="521" customFormat="1" ht="46" customHeight="1" thickBot="1">
      <c r="A80" s="2862"/>
      <c r="B80" s="2863"/>
      <c r="C80" s="420"/>
      <c r="D80" s="421" t="str">
        <f>IF(_xlfn.XLOOKUP(E80,[52]宿泊施設DB!$B$3:$B$207,[52]宿泊施設DB!$A$3:$A$207,"",)=0,"",_xlfn.XLOOKUP(E80,[52]宿泊施設DB!$B$3:$B$207,[52]宿泊施設DB!$A$3:$A$207,"",))</f>
        <v/>
      </c>
      <c r="E80" s="612"/>
      <c r="F80" s="2875">
        <f>_xlfn.XLOOKUP($E80,[52]宿泊施設DB!$B$3:$B$207,[52]宿泊施設DB!$D$3:$D$207,"",)</f>
        <v>0</v>
      </c>
      <c r="G80" s="2875">
        <f>_xlfn.XLOOKUP($E80,[52]宿泊施設DB!$B$3:$B$207,[52]宿泊施設DB!$E$3:$E$207,"",)</f>
        <v>0</v>
      </c>
      <c r="H80" s="2877">
        <f>_xlfn.XLOOKUP($E80,[52]宿泊施設DB!$B$3:$B$207,[52]宿泊施設DB!$J$3:$J$207,"",)</f>
        <v>0</v>
      </c>
      <c r="I80" s="2878">
        <f>_xlfn.XLOOKUP($E80,[52]宿泊施設DB!$B$3:$B$207,[52]宿泊施設DB!$T$3:$T$207,"",)</f>
        <v>0</v>
      </c>
      <c r="J80" s="2878">
        <f>_xlfn.XLOOKUP($E80,[52]宿泊施設DB!$B$3:$B$207,[52]宿泊施設DB!$R$3:$R$207,"",)</f>
        <v>0</v>
      </c>
      <c r="K80" s="2877">
        <f>_xlfn.XLOOKUP($E80,[52]宿泊施設DB!$B$3:$B$207,[52]宿泊施設DB!$S$3:$S$207,"",)</f>
        <v>0</v>
      </c>
      <c r="L80" s="2916">
        <f>_xlfn.XLOOKUP($E80,[52]宿泊施設DB!$B$3:$B$207,[52]宿泊施設DB!$U$3:$U$207,"",)</f>
        <v>0</v>
      </c>
      <c r="M80" s="2878">
        <f>_xlfn.XLOOKUP($E80,[52]宿泊施設DB!$B$3:$B$207,[52]宿泊施設DB!$V$3:$V$207,"",)</f>
        <v>0</v>
      </c>
      <c r="N80" s="2878">
        <f>_xlfn.XLOOKUP($E80,[52]宿泊施設DB!$B$3:$B$207,[52]宿泊施設DB!$W$3:$W$207,"",)</f>
        <v>0</v>
      </c>
      <c r="O80" s="2878">
        <f>_xlfn.XLOOKUP($E80,[52]宿泊施設DB!$B$3:$B$207,[52]宿泊施設DB!$X$3:$X$207,"",)</f>
        <v>0</v>
      </c>
      <c r="P80" s="426" t="str">
        <f>IF(AND(E80&lt;&gt;"", R80&lt;&gt;"－"), "○", "")</f>
        <v/>
      </c>
      <c r="Q80" s="420"/>
      <c r="R80" s="3341"/>
      <c r="S80" s="478" t="str">
        <f>IFERROR(VLOOKUP($R80,'[52]競技情報DB(12,600人ver) '!$A$6:$D$203,2,),"－")</f>
        <v>－</v>
      </c>
      <c r="T80" s="479">
        <f>_xlfn.XLOOKUP(R80,'[52]競技情報DB(12,600人ver) '!$A$6:$A$101,'[52]競技情報DB(12,600人ver) '!$D$6:$D$101,"",0,)</f>
        <v>0</v>
      </c>
      <c r="U80" s="3365"/>
      <c r="V80" s="3343" t="str">
        <f>IFERROR(VLOOKUP($R80,'[52]競技情報DB(12,600人ver) '!$A$6:$D$203,3,),"－")</f>
        <v>－</v>
      </c>
      <c r="W80" s="3344"/>
      <c r="X80" s="3345"/>
      <c r="Y80" s="442"/>
      <c r="Z80" s="652"/>
      <c r="AA80" s="517"/>
      <c r="AB80" s="3346"/>
      <c r="AC80" s="3346"/>
      <c r="AD80" s="3347"/>
      <c r="AE80" s="518"/>
      <c r="AF80" s="445"/>
      <c r="AG80" s="445"/>
      <c r="AH80" s="445"/>
      <c r="AI80" s="445"/>
      <c r="AJ80" s="445"/>
      <c r="AK80" s="445"/>
      <c r="AL80" s="445"/>
      <c r="AM80" s="445"/>
      <c r="AN80" s="445"/>
      <c r="AO80" s="445"/>
      <c r="AP80" s="445"/>
      <c r="AQ80" s="445"/>
      <c r="AR80" s="445"/>
      <c r="AS80" s="445"/>
      <c r="AT80" s="445"/>
      <c r="AU80" s="445"/>
      <c r="AV80" s="445"/>
      <c r="AW80" s="445"/>
      <c r="AX80" s="445"/>
      <c r="AY80" s="445"/>
      <c r="AZ80" s="445"/>
      <c r="BA80" s="445"/>
      <c r="BB80" s="445"/>
      <c r="BC80" s="445"/>
      <c r="BD80" s="445"/>
      <c r="BE80" s="445"/>
      <c r="BF80" s="445"/>
      <c r="BG80" s="445"/>
      <c r="BH80" s="445"/>
      <c r="BI80" s="445"/>
      <c r="BJ80" s="445"/>
      <c r="BK80" s="336"/>
      <c r="BL80" s="445"/>
      <c r="BM80" s="445"/>
      <c r="BN80" s="449"/>
      <c r="BO80" s="573"/>
      <c r="BP80" s="614"/>
      <c r="BQ80" s="615"/>
    </row>
    <row r="81" spans="1:69" ht="46" customHeight="1">
      <c r="A81" s="2862"/>
      <c r="B81" s="2863"/>
      <c r="C81" s="296">
        <f>C79+1</f>
        <v>22</v>
      </c>
      <c r="D81" s="297">
        <f>IF(_xlfn.XLOOKUP(E81,[52]宿泊施設DB!$B$3:$B$207,[52]宿泊施設DB!$A$3:$A$207,"",)=0,"",_xlfn.XLOOKUP(E81,[52]宿泊施設DB!$B$3:$B$207,[52]宿泊施設DB!$A$3:$A$207,"",))</f>
        <v>261</v>
      </c>
      <c r="E81" s="609" t="s">
        <v>2349</v>
      </c>
      <c r="F81" s="2864">
        <f>_xlfn.XLOOKUP($E81,[52]宿泊施設DB!$B$3:$B$207,[52]宿泊施設DB!$D$3:$D$207,"",)</f>
        <v>82</v>
      </c>
      <c r="G81" s="2864">
        <f>_xlfn.XLOOKUP($E81,[52]宿泊施設DB!$B$3:$B$207,[52]宿泊施設DB!$E$3:$E$207,"",)</f>
        <v>191</v>
      </c>
      <c r="H81" s="2865">
        <f>_xlfn.XLOOKUP($E81,[52]宿泊施設DB!$B$3:$B$207,[52]宿泊施設DB!$J$3:$J$207,"",)</f>
        <v>18</v>
      </c>
      <c r="I81" s="2866" t="str">
        <f>_xlfn.XLOOKUP($E81,[52]宿泊施設DB!$B$3:$B$207,[52]宿泊施設DB!$T$3:$T$207,"",)</f>
        <v>中</v>
      </c>
      <c r="J81" s="2866" t="str">
        <f>_xlfn.XLOOKUP($E81,[52]宿泊施設DB!$B$3:$B$207,[52]宿泊施設DB!$R$3:$R$207,"",)</f>
        <v>宿泊施設</v>
      </c>
      <c r="K81" s="2865">
        <f>_xlfn.XLOOKUP($E81,[52]宿泊施設DB!$B$3:$B$207,[52]宿泊施設DB!$S$3:$S$207,"",)</f>
        <v>200</v>
      </c>
      <c r="L81" s="2915" t="str">
        <f>_xlfn.XLOOKUP($E81,[52]宿泊施設DB!$B$3:$B$207,[52]宿泊施設DB!$U$3:$U$207,"",)</f>
        <v>－</v>
      </c>
      <c r="M81" s="2866" t="str">
        <f>_xlfn.XLOOKUP($E81,[52]宿泊施設DB!$B$3:$B$207,[52]宿泊施設DB!$V$3:$V$207,"",)</f>
        <v>－</v>
      </c>
      <c r="N81" s="2866" t="str">
        <f>_xlfn.XLOOKUP($E81,[52]宿泊施設DB!$B$3:$B$207,[52]宿泊施設DB!$W$3:$W$207,"",)</f>
        <v>－</v>
      </c>
      <c r="O81" s="2866" t="str">
        <f>_xlfn.XLOOKUP($E81,[52]宿泊施設DB!$B$3:$B$207,[52]宿泊施設DB!$X$3:$X$207,"",)</f>
        <v>玄関前（屋根無）4台</v>
      </c>
      <c r="P81" s="302" t="str">
        <f>IF(AND(E81&lt;&gt;"", R81&lt;&gt;"－"), "○", "")</f>
        <v>○</v>
      </c>
      <c r="Q81" s="296" t="s">
        <v>2136</v>
      </c>
      <c r="R81" s="387" t="s">
        <v>2351</v>
      </c>
      <c r="S81" s="388" t="str">
        <f>IFERROR(VLOOKUP($R81,'[52]競技情報DB(12,600人ver) '!$A$6:$D$203,2,),"－")</f>
        <v>蒲郡市</v>
      </c>
      <c r="T81" s="389">
        <f>_xlfn.XLOOKUP(R81,'[52]競技情報DB(12,600人ver) '!$A$6:$A$101,'[52]競技情報DB(12,600人ver) '!$D$6:$D$101,"",0,)</f>
        <v>83</v>
      </c>
      <c r="U81" s="3369">
        <f>SUM(T81:T82)</f>
        <v>145</v>
      </c>
      <c r="V81" s="3322" t="str">
        <f>IFERROR(VLOOKUP($R81,'[52]競技情報DB(12,600人ver) '!$A$6:$D$203,3,),"－")</f>
        <v>蒲郡市内特設コース</v>
      </c>
      <c r="W81" s="3323">
        <v>1.1000000000000001</v>
      </c>
      <c r="X81" s="3324">
        <v>3</v>
      </c>
      <c r="Y81" s="3403">
        <f>$G81-MAX(AF81:BN81)</f>
        <v>46</v>
      </c>
      <c r="Z81" s="724">
        <f>+Y81/$G81</f>
        <v>0.24083769633507854</v>
      </c>
      <c r="AA81" s="491" t="str">
        <f>E81&amp;"　"&amp;"合計"</f>
        <v>ホテル竹島　合計</v>
      </c>
      <c r="AB81" s="3325">
        <f>IFERROR(INDEX($AF$3:$BN$3, MATCH("準備", AF81:BN81, 0)), "")</f>
        <v>46279</v>
      </c>
      <c r="AC81" s="3325" cm="1">
        <f t="array" ref="AC81">IF(COUNTIF(AF81:BN81,"*撤去*")=0,"",INDEX(AF$3:BN$3,1,MAX(IF(AF81:BN81="撤去",COLUMN(AF81:BN81)-COLUMN(AF81)+1))))</f>
        <v>46300</v>
      </c>
      <c r="AD81" s="3326">
        <f>AC81-AB81</f>
        <v>21</v>
      </c>
      <c r="AE81" s="492" t="str">
        <f>+$AE$114</f>
        <v>12,600人</v>
      </c>
      <c r="AF81" s="398">
        <f>+_xlfn.XLOOKUP($AA81,'[52]②配宿シュミレーション(12,600人ver) '!$AO$6:$AO$707,'[52]②配宿シュミレーション(12,600人ver) '!AP$6:AP$707,)</f>
        <v>0</v>
      </c>
      <c r="AG81" s="398">
        <f>+_xlfn.XLOOKUP($AA81,'[52]②配宿シュミレーション(12,600人ver) '!$AO$6:$AO$707,'[52]②配宿シュミレーション(12,600人ver) '!AQ$6:AQ$707,)</f>
        <v>0</v>
      </c>
      <c r="AH81" s="398">
        <f>+_xlfn.XLOOKUP($AA81,'[52]②配宿シュミレーション(12,600人ver) '!$AO$6:$AO$707,'[52]②配宿シュミレーション(12,600人ver) '!AR$6:AR$707,)</f>
        <v>0</v>
      </c>
      <c r="AI81" s="398">
        <f>+_xlfn.XLOOKUP($AA81,'[52]②配宿シュミレーション(12,600人ver) '!$AO$6:$AO$707,'[52]②配宿シュミレーション(12,600人ver) '!AS$6:AS$707,)</f>
        <v>0</v>
      </c>
      <c r="AJ81" s="398">
        <f>+_xlfn.XLOOKUP($AA81,'[52]②配宿シュミレーション(12,600人ver) '!$AO$6:$AO$707,'[52]②配宿シュミレーション(12,600人ver) '!AT$6:AT$707,)</f>
        <v>0</v>
      </c>
      <c r="AK81" s="398">
        <f>+_xlfn.XLOOKUP($AA81,'[52]②配宿シュミレーション(12,600人ver) '!$AO$6:$AO$707,'[52]②配宿シュミレーション(12,600人ver) '!AU$6:AU$707,)</f>
        <v>0</v>
      </c>
      <c r="AL81" s="398">
        <f>+_xlfn.XLOOKUP($AA81,'[52]②配宿シュミレーション(12,600人ver) '!$AO$6:$AO$707,'[52]②配宿シュミレーション(12,600人ver) '!AV$6:AV$707,)</f>
        <v>0</v>
      </c>
      <c r="AM81" s="398">
        <f>+_xlfn.XLOOKUP($AA81,'[52]②配宿シュミレーション(12,600人ver) '!$AO$6:$AO$707,'[52]②配宿シュミレーション(12,600人ver) '!AW$6:AW$707,)</f>
        <v>0</v>
      </c>
      <c r="AN81" s="398">
        <f>+_xlfn.XLOOKUP($AA81,'[52]②配宿シュミレーション(12,600人ver) '!$AO$6:$AO$707,'[52]②配宿シュミレーション(12,600人ver) '!AX$6:AX$707,)</f>
        <v>0</v>
      </c>
      <c r="AO81" s="398">
        <f>+_xlfn.XLOOKUP($AA81,'[52]②配宿シュミレーション(12,600人ver) '!$AO$6:$AO$707,'[52]②配宿シュミレーション(12,600人ver) '!AY$6:AY$707,)</f>
        <v>0</v>
      </c>
      <c r="AP81" s="3327" t="s">
        <v>2447</v>
      </c>
      <c r="AQ81" s="3305">
        <f>+_xlfn.XLOOKUP($AA81,'[52]②配宿シュミレーション(12,600人ver) '!$AO$6:$AO$707,'[52]②配宿シュミレーション(12,600人ver) '!BA$6:BA$707,)</f>
        <v>0</v>
      </c>
      <c r="AR81" s="398">
        <f>+_xlfn.XLOOKUP($AA81,'[52]②配宿シュミレーション(12,600人ver) '!$AO$6:$AO$707,'[52]②配宿シュミレーション(12,600人ver) '!BB$6:BB$707,)</f>
        <v>83</v>
      </c>
      <c r="AS81" s="398">
        <f>+_xlfn.XLOOKUP($AA81,'[52]②配宿シュミレーション(12,600人ver) '!$AO$6:$AO$707,'[52]②配宿シュミレーション(12,600人ver) '!BC$6:BC$707,)</f>
        <v>83</v>
      </c>
      <c r="AT81" s="398">
        <f>+_xlfn.XLOOKUP($AA81,'[52]②配宿シュミレーション(12,600人ver) '!$AO$6:$AO$707,'[52]②配宿シュミレーション(12,600人ver) '!BD$6:BD$707,)</f>
        <v>145</v>
      </c>
      <c r="AU81" s="398">
        <f>+_xlfn.XLOOKUP($AA81,'[52]②配宿シュミレーション(12,600人ver) '!$AO$6:$AO$707,'[52]②配宿シュミレーション(12,600人ver) '!BE$6:BE$707,)</f>
        <v>145</v>
      </c>
      <c r="AV81" s="398">
        <f>+_xlfn.XLOOKUP($AA81,'[52]②配宿シュミレーション(12,600人ver) '!$AO$6:$AO$707,'[52]②配宿シュミレーション(12,600人ver) '!BF$6:BF$707,)</f>
        <v>145</v>
      </c>
      <c r="AW81" s="398">
        <f>+_xlfn.XLOOKUP($AA81,'[52]②配宿シュミレーション(12,600人ver) '!$AO$6:$AO$707,'[52]②配宿シュミレーション(12,600人ver) '!BG$6:BG$707,)</f>
        <v>145</v>
      </c>
      <c r="AX81" s="398">
        <f>+_xlfn.XLOOKUP($AA81,'[52]②配宿シュミレーション(12,600人ver) '!$AO$6:$AO$707,'[52]②配宿シュミレーション(12,600人ver) '!BH$6:BH$707,)</f>
        <v>145</v>
      </c>
      <c r="AY81" s="398">
        <f>+_xlfn.XLOOKUP($AA81,'[52]②配宿シュミレーション(12,600人ver) '!$AO$6:$AO$707,'[52]②配宿シュミレーション(12,600人ver) '!BI$6:BI$707,)</f>
        <v>145</v>
      </c>
      <c r="AZ81" s="398">
        <f>+_xlfn.XLOOKUP($AA81,'[52]②配宿シュミレーション(12,600人ver) '!$AO$6:$AO$707,'[52]②配宿シュミレーション(12,600人ver) '!BJ$6:BJ$707,)</f>
        <v>145</v>
      </c>
      <c r="BA81" s="398">
        <f>+_xlfn.XLOOKUP($AA81,'[52]②配宿シュミレーション(12,600人ver) '!$AO$6:$AO$707,'[52]②配宿シュミレーション(12,600人ver) '!BK$6:BK$707,)</f>
        <v>62</v>
      </c>
      <c r="BB81" s="398">
        <f>+_xlfn.XLOOKUP($AA81,'[52]②配宿シュミレーション(12,600人ver) '!$AO$6:$AO$707,'[52]②配宿シュミレーション(12,600人ver) '!BL$6:BL$707,)</f>
        <v>62</v>
      </c>
      <c r="BC81" s="398">
        <f>+_xlfn.XLOOKUP($AA81,'[52]②配宿シュミレーション(12,600人ver) '!$AO$6:$AO$707,'[52]②配宿シュミレーション(12,600人ver) '!BM$6:BM$707,)</f>
        <v>62</v>
      </c>
      <c r="BD81" s="398">
        <f>+_xlfn.XLOOKUP($AA81,'[52]②配宿シュミレーション(12,600人ver) '!$AO$6:$AO$707,'[52]②配宿シュミレーション(12,600人ver) '!BN$6:BN$707,)</f>
        <v>62</v>
      </c>
      <c r="BE81" s="398">
        <f>+_xlfn.XLOOKUP($AA81,'[52]②配宿シュミレーション(12,600人ver) '!$AO$6:$AO$707,'[52]②配宿シュミレーション(12,600人ver) '!BO$6:BO$707,)</f>
        <v>62</v>
      </c>
      <c r="BF81" s="398">
        <f>+_xlfn.XLOOKUP($AA81,'[52]②配宿シュミレーション(12,600人ver) '!$AO$6:$AO$707,'[52]②配宿シュミレーション(12,600人ver) '!BP$6:BP$707,)</f>
        <v>62</v>
      </c>
      <c r="BG81" s="398">
        <f>+_xlfn.XLOOKUP($AA81,'[52]②配宿シュミレーション(12,600人ver) '!$AO$6:$AO$707,'[52]②配宿シュミレーション(12,600人ver) '!BQ$6:BQ$707,)</f>
        <v>62</v>
      </c>
      <c r="BH81" s="398">
        <f>+_xlfn.XLOOKUP($AA81,'[52]②配宿シュミレーション(12,600人ver) '!$AO$6:$AO$707,'[52]②配宿シュミレーション(12,600人ver) '!BR$6:BR$707,)</f>
        <v>62</v>
      </c>
      <c r="BI81" s="398">
        <f>+_xlfn.XLOOKUP($AA81,'[52]②配宿シュミレーション(12,600人ver) '!$AO$6:$AO$707,'[52]②配宿シュミレーション(12,600人ver) '!BS$6:BS$707,)</f>
        <v>62</v>
      </c>
      <c r="BJ81" s="398">
        <f>+_xlfn.XLOOKUP($AA81,'[52]②配宿シュミレーション(12,600人ver) '!$AO$6:$AO$707,'[52]②配宿シュミレーション(12,600人ver) '!BT$6:BT$707,)</f>
        <v>62</v>
      </c>
      <c r="BK81" s="3306" t="s">
        <v>2448</v>
      </c>
      <c r="BL81" s="398">
        <f>+_xlfn.XLOOKUP($AA81,'[52]②配宿シュミレーション(12,600人ver) '!$AO$6:$AO$707,'[52]②配宿シュミレーション(12,600人ver) '!BV$6:BV$707,)</f>
        <v>0</v>
      </c>
      <c r="BM81" s="398">
        <f>+_xlfn.XLOOKUP($AA81,'[52]②配宿シュミレーション(12,600人ver) '!$AO$6:$AO$707,'[52]②配宿シュミレーション(12,600人ver) '!BW$6:BW$707,)</f>
        <v>0</v>
      </c>
      <c r="BN81" s="472">
        <f>+_xlfn.XLOOKUP($AA81,'[52]②配宿シュミレーション(12,600人ver) '!$AO$6:$AO$707,'[52]②配宿シュミレーション(12,600人ver) '!BX$6:BX$707,)</f>
        <v>0</v>
      </c>
      <c r="BO81" s="573"/>
      <c r="BP81" s="610"/>
      <c r="BQ81" s="611"/>
    </row>
    <row r="82" spans="1:69" s="561" customFormat="1" ht="46" customHeight="1">
      <c r="A82" s="2862"/>
      <c r="B82" s="296"/>
      <c r="C82" s="420"/>
      <c r="D82" s="421" t="str">
        <f>IF(_xlfn.XLOOKUP(E82,[52]宿泊施設DB!$B$3:$B$207,[52]宿泊施設DB!$A$3:$A$207,"",)=0,"",_xlfn.XLOOKUP(E82,[52]宿泊施設DB!$B$3:$B$207,[52]宿泊施設DB!$A$3:$A$207,"",))</f>
        <v/>
      </c>
      <c r="E82" s="3404" t="s">
        <v>2536</v>
      </c>
      <c r="F82" s="2875" t="str">
        <f>_xlfn.XLOOKUP($E82,[52]宿泊施設DB!$B$3:$B$207,[52]宿泊施設DB!$D$3:$D$207,"",)</f>
        <v/>
      </c>
      <c r="G82" s="2875" t="str">
        <f>_xlfn.XLOOKUP($E82,[52]宿泊施設DB!$B$3:$B$207,[52]宿泊施設DB!$E$3:$E$207,"",)</f>
        <v/>
      </c>
      <c r="H82" s="2877" t="str">
        <f>_xlfn.XLOOKUP($E82,[52]宿泊施設DB!$B$3:$B$207,[52]宿泊施設DB!$J$3:$J$207,"",)</f>
        <v/>
      </c>
      <c r="I82" s="2878" t="str">
        <f>_xlfn.XLOOKUP($E82,[52]宿泊施設DB!$B$3:$B$207,[52]宿泊施設DB!$T$3:$T$207,"",)</f>
        <v/>
      </c>
      <c r="J82" s="2878" t="str">
        <f>_xlfn.XLOOKUP($E82,[52]宿泊施設DB!$B$3:$B$207,[52]宿泊施設DB!$R$3:$R$207,"",)</f>
        <v/>
      </c>
      <c r="K82" s="2877" t="str">
        <f>_xlfn.XLOOKUP($E82,[52]宿泊施設DB!$B$3:$B$207,[52]宿泊施設DB!$S$3:$S$207,"",)</f>
        <v/>
      </c>
      <c r="L82" s="2916" t="str">
        <f>_xlfn.XLOOKUP($E82,[52]宿泊施設DB!$B$3:$B$207,[52]宿泊施設DB!$U$3:$U$207,"",)</f>
        <v/>
      </c>
      <c r="M82" s="2878" t="str">
        <f>_xlfn.XLOOKUP($E82,[52]宿泊施設DB!$B$3:$B$207,[52]宿泊施設DB!$V$3:$V$207,"",)</f>
        <v/>
      </c>
      <c r="N82" s="2878" t="str">
        <f>_xlfn.XLOOKUP($E82,[52]宿泊施設DB!$B$3:$B$207,[52]宿泊施設DB!$W$3:$W$207,"",)</f>
        <v/>
      </c>
      <c r="O82" s="2878" t="str">
        <f>_xlfn.XLOOKUP($E82,[52]宿泊施設DB!$B$3:$B$207,[52]宿泊施設DB!$X$3:$X$207,"",)</f>
        <v/>
      </c>
      <c r="P82" s="426"/>
      <c r="Q82" s="420"/>
      <c r="R82" s="3341" t="s">
        <v>2480</v>
      </c>
      <c r="S82" s="478" t="str">
        <f>IFERROR(VLOOKUP($R82,'[52]競技情報DB(12,600人ver) '!$A$6:$D$203,2,),"－")</f>
        <v>岡崎／豊橋</v>
      </c>
      <c r="T82" s="479">
        <f>_xlfn.XLOOKUP(R82,'[52]競技情報DB(12,600人ver) '!$A$6:$A$101,'[52]競技情報DB(12,600人ver) '!$D$6:$D$101,"",0,)</f>
        <v>62</v>
      </c>
      <c r="U82" s="3365"/>
      <c r="V82" s="3343" t="str">
        <f>IFERROR(VLOOKUP($R82,'[52]競技情報DB(12,600人ver) '!$A$6:$D$203,3,),"－")</f>
        <v>岡崎市中央総合公園／豊橋市民球場</v>
      </c>
      <c r="W82" s="3366">
        <v>21.6</v>
      </c>
      <c r="X82" s="3367">
        <v>37</v>
      </c>
      <c r="Y82" s="2895"/>
      <c r="Z82" s="652"/>
      <c r="AA82" s="517"/>
      <c r="AB82" s="3346"/>
      <c r="AC82" s="3346"/>
      <c r="AD82" s="3347"/>
      <c r="AE82" s="518"/>
      <c r="AF82" s="445"/>
      <c r="AG82" s="445"/>
      <c r="AH82" s="445"/>
      <c r="AI82" s="445"/>
      <c r="AJ82" s="445"/>
      <c r="AK82" s="445"/>
      <c r="AL82" s="445"/>
      <c r="AM82" s="445"/>
      <c r="AN82" s="445"/>
      <c r="AO82" s="445"/>
      <c r="AP82" s="506"/>
      <c r="AQ82" s="506"/>
      <c r="AR82" s="445"/>
      <c r="AS82" s="445"/>
      <c r="AT82" s="445"/>
      <c r="AU82" s="445"/>
      <c r="AV82" s="445"/>
      <c r="AW82" s="445"/>
      <c r="AX82" s="445"/>
      <c r="AY82" s="445"/>
      <c r="AZ82" s="445"/>
      <c r="BA82" s="445"/>
      <c r="BB82" s="445"/>
      <c r="BC82" s="445"/>
      <c r="BD82" s="445"/>
      <c r="BE82" s="445"/>
      <c r="BF82" s="445"/>
      <c r="BG82" s="445"/>
      <c r="BH82" s="445"/>
      <c r="BI82" s="445"/>
      <c r="BJ82" s="336"/>
      <c r="BK82" s="445"/>
      <c r="BL82" s="445"/>
      <c r="BM82" s="445"/>
      <c r="BN82" s="449"/>
      <c r="BO82" s="573"/>
      <c r="BP82" s="614"/>
      <c r="BQ82" s="615"/>
    </row>
    <row r="83" spans="1:69" ht="46" customHeight="1">
      <c r="A83" s="2862"/>
      <c r="B83" s="296"/>
      <c r="C83" s="372">
        <f>C81+1</f>
        <v>23</v>
      </c>
      <c r="D83" s="2871">
        <f>IF(_xlfn.XLOOKUP(E83,[52]宿泊施設DB!$B$3:$B$207,[52]宿泊施設DB!$A$3:$A$207,"",)=0,"",_xlfn.XLOOKUP(E83,[52]宿泊施設DB!$B$3:$B$207,[52]宿泊施設DB!$A$3:$A$207,"",))</f>
        <v>256</v>
      </c>
      <c r="E83" s="572" t="s">
        <v>2481</v>
      </c>
      <c r="F83" s="2872">
        <f>_xlfn.XLOOKUP($E83,[52]宿泊施設DB!$B$3:$B$207,[52]宿泊施設DB!$D$3:$D$207,"",)</f>
        <v>82</v>
      </c>
      <c r="G83" s="2872">
        <f>_xlfn.XLOOKUP($E83,[52]宿泊施設DB!$B$3:$B$207,[52]宿泊施設DB!$E$3:$E$207,"",)</f>
        <v>269</v>
      </c>
      <c r="H83" s="2873">
        <f>_xlfn.XLOOKUP($E83,[52]宿泊施設DB!$B$3:$B$207,[52]宿泊施設DB!$J$3:$J$207,"",)</f>
        <v>16</v>
      </c>
      <c r="I83" s="2874" t="str">
        <f>_xlfn.XLOOKUP($E83,[52]宿泊施設DB!$B$3:$B$207,[52]宿泊施設DB!$T$3:$T$207,"",)</f>
        <v>調査中</v>
      </c>
      <c r="J83" s="2874" t="str">
        <f>_xlfn.XLOOKUP($E83,[52]宿泊施設DB!$B$3:$B$207,[52]宿泊施設DB!$R$3:$R$207,"",)</f>
        <v>宿泊施設</v>
      </c>
      <c r="K83" s="2873">
        <f>_xlfn.XLOOKUP($E83,[52]宿泊施設DB!$B$3:$B$207,[52]宿泊施設DB!$S$3:$S$207,"",)</f>
        <v>120</v>
      </c>
      <c r="L83" s="2914" t="str">
        <f>_xlfn.XLOOKUP($E83,[52]宿泊施設DB!$B$3:$B$207,[52]宿泊施設DB!$U$3:$U$207,"",)</f>
        <v>－</v>
      </c>
      <c r="M83" s="2874" t="str">
        <f>_xlfn.XLOOKUP($E83,[52]宿泊施設DB!$B$3:$B$207,[52]宿泊施設DB!$V$3:$V$207,"",)</f>
        <v>○</v>
      </c>
      <c r="N83" s="2874" t="str">
        <f>_xlfn.XLOOKUP($E83,[52]宿泊施設DB!$B$3:$B$207,[52]宿泊施設DB!$W$3:$W$207,"",)</f>
        <v>調査中</v>
      </c>
      <c r="O83" s="2874" t="str">
        <f>_xlfn.XLOOKUP($E83,[52]宿泊施設DB!$B$3:$B$207,[52]宿泊施設DB!$X$3:$X$207,"",)</f>
        <v>専用乗降場所（屋根無）5台</v>
      </c>
      <c r="P83" s="377" t="str">
        <f>IF(AND(E83&lt;&gt;"", R83&lt;&gt;"－"), "○", "")</f>
        <v>○</v>
      </c>
      <c r="Q83" s="372" t="s">
        <v>2482</v>
      </c>
      <c r="R83" s="387" t="s">
        <v>2326</v>
      </c>
      <c r="S83" s="388" t="str">
        <f>IFERROR(VLOOKUP($R83,'[52]競技情報DB(12,600人ver) '!$A$6:$D$203,2,),"－")</f>
        <v>西尾市</v>
      </c>
      <c r="T83" s="389">
        <f>_xlfn.XLOOKUP(R83,'[52]競技情報DB(12,600人ver) '!$A$6:$A$101,'[52]競技情報DB(12,600人ver) '!$D$6:$D$101,"",0,)</f>
        <v>252</v>
      </c>
      <c r="U83" s="3369">
        <f>SUM(T83:T84)</f>
        <v>252</v>
      </c>
      <c r="V83" s="3322" t="str">
        <f>IFERROR(VLOOKUP($R83,'[52]競技情報DB(12,600人ver) '!$A$6:$D$203,3,),"－")</f>
        <v>西尾市総合体育館</v>
      </c>
      <c r="W83" s="3323">
        <v>20.9</v>
      </c>
      <c r="X83" s="3324">
        <v>31</v>
      </c>
      <c r="Y83" s="318">
        <f>$G83-MAX(AF83:BN83)</f>
        <v>17</v>
      </c>
      <c r="Z83" s="647">
        <f>+Y83/$G83</f>
        <v>6.3197026022304828E-2</v>
      </c>
      <c r="AA83" s="334" t="str">
        <f>E83&amp;"　"&amp;"合計"</f>
        <v>ホテル東海園　合計</v>
      </c>
      <c r="AB83" s="3325">
        <f>IFERROR(INDEX($AF$3:$BN$3, MATCH("準備", AF83:BN83, 0)), "")</f>
        <v>46278</v>
      </c>
      <c r="AC83" s="3325" cm="1">
        <f t="array" ref="AC83">IF(COUNTIF(AF83:BN83,"*撤去*")=0,"",INDEX(AF$3:BN$3,1,MAX(IF(AF83:BN83="撤去",COLUMN(AF83:BN83)-COLUMN(AF83)+1))))</f>
        <v>46299</v>
      </c>
      <c r="AD83" s="3326">
        <f>AC83-AB83</f>
        <v>21</v>
      </c>
      <c r="AE83" s="396" t="str">
        <f>+$AE$114</f>
        <v>12,600人</v>
      </c>
      <c r="AF83" s="398">
        <f>+_xlfn.XLOOKUP($AA83,'[52]②配宿シュミレーション(12,600人ver) '!$AO$6:$AO$707,'[52]②配宿シュミレーション(12,600人ver) '!AP$6:AP$707,)</f>
        <v>0</v>
      </c>
      <c r="AG83" s="398">
        <f>+_xlfn.XLOOKUP($AA83,'[52]②配宿シュミレーション(12,600人ver) '!$AO$6:$AO$707,'[52]②配宿シュミレーション(12,600人ver) '!AQ$6:AQ$707,)</f>
        <v>0</v>
      </c>
      <c r="AH83" s="398">
        <f>+_xlfn.XLOOKUP($AA83,'[52]②配宿シュミレーション(12,600人ver) '!$AO$6:$AO$707,'[52]②配宿シュミレーション(12,600人ver) '!AR$6:AR$707,)</f>
        <v>0</v>
      </c>
      <c r="AI83" s="398">
        <f>+_xlfn.XLOOKUP($AA83,'[52]②配宿シュミレーション(12,600人ver) '!$AO$6:$AO$707,'[52]②配宿シュミレーション(12,600人ver) '!AS$6:AS$707,)</f>
        <v>0</v>
      </c>
      <c r="AJ83" s="398">
        <f>+_xlfn.XLOOKUP($AA83,'[52]②配宿シュミレーション(12,600人ver) '!$AO$6:$AO$707,'[52]②配宿シュミレーション(12,600人ver) '!AT$6:AT$707,)</f>
        <v>0</v>
      </c>
      <c r="AK83" s="398">
        <f>+_xlfn.XLOOKUP($AA83,'[52]②配宿シュミレーション(12,600人ver) '!$AO$6:$AO$707,'[52]②配宿シュミレーション(12,600人ver) '!AU$6:AU$707,)</f>
        <v>0</v>
      </c>
      <c r="AL83" s="398">
        <f>+_xlfn.XLOOKUP($AA83,'[52]②配宿シュミレーション(12,600人ver) '!$AO$6:$AO$707,'[52]②配宿シュミレーション(12,600人ver) '!AV$6:AV$707,)</f>
        <v>0</v>
      </c>
      <c r="AM83" s="398">
        <f>+_xlfn.XLOOKUP($AA83,'[52]②配宿シュミレーション(12,600人ver) '!$AO$6:$AO$707,'[52]②配宿シュミレーション(12,600人ver) '!AW$6:AW$707,)</f>
        <v>0</v>
      </c>
      <c r="AN83" s="398">
        <f>+_xlfn.XLOOKUP($AA83,'[52]②配宿シュミレーション(12,600人ver) '!$AO$6:$AO$707,'[52]②配宿シュミレーション(12,600人ver) '!AX$6:AX$707,)</f>
        <v>0</v>
      </c>
      <c r="AO83" s="3327" t="s">
        <v>2447</v>
      </c>
      <c r="AP83" s="3327">
        <f>+_xlfn.XLOOKUP($AA83,'[52]②配宿シュミレーション(12,600人ver) '!$AO$6:$AO$707,'[52]②配宿シュミレーション(12,600人ver) '!AZ$6:AZ$707,)</f>
        <v>0</v>
      </c>
      <c r="AQ83" s="398">
        <f>+_xlfn.XLOOKUP($AA83,'[52]②配宿シュミレーション(12,600人ver) '!$AO$6:$AO$707,'[52]②配宿シュミレーション(12,600人ver) '!BA$6:BA$707,)</f>
        <v>252</v>
      </c>
      <c r="AR83" s="398">
        <f>+_xlfn.XLOOKUP($AA83,'[52]②配宿シュミレーション(12,600人ver) '!$AO$6:$AO$707,'[52]②配宿シュミレーション(12,600人ver) '!BB$6:BB$707,)</f>
        <v>252</v>
      </c>
      <c r="AS83" s="398">
        <f>+_xlfn.XLOOKUP($AA83,'[52]②配宿シュミレーション(12,600人ver) '!$AO$6:$AO$707,'[52]②配宿シュミレーション(12,600人ver) '!BC$6:BC$707,)</f>
        <v>252</v>
      </c>
      <c r="AT83" s="398">
        <f>+_xlfn.XLOOKUP($AA83,'[52]②配宿シュミレーション(12,600人ver) '!$AO$6:$AO$707,'[52]②配宿シュミレーション(12,600人ver) '!BD$6:BD$707,)</f>
        <v>252</v>
      </c>
      <c r="AU83" s="398">
        <f>+_xlfn.XLOOKUP($AA83,'[52]②配宿シュミレーション(12,600人ver) '!$AO$6:$AO$707,'[52]②配宿シュミレーション(12,600人ver) '!BE$6:BE$707,)</f>
        <v>252</v>
      </c>
      <c r="AV83" s="398">
        <f>+_xlfn.XLOOKUP($AA83,'[52]②配宿シュミレーション(12,600人ver) '!$AO$6:$AO$707,'[52]②配宿シュミレーション(12,600人ver) '!BF$6:BF$707,)</f>
        <v>252</v>
      </c>
      <c r="AW83" s="398">
        <f>+_xlfn.XLOOKUP($AA83,'[52]②配宿シュミレーション(12,600人ver) '!$AO$6:$AO$707,'[52]②配宿シュミレーション(12,600人ver) '!BG$6:BG$707,)</f>
        <v>252</v>
      </c>
      <c r="AX83" s="398">
        <f>+_xlfn.XLOOKUP($AA83,'[52]②配宿シュミレーション(12,600人ver) '!$AO$6:$AO$707,'[52]②配宿シュミレーション(12,600人ver) '!BH$6:BH$707,)</f>
        <v>252</v>
      </c>
      <c r="AY83" s="398">
        <f>+_xlfn.XLOOKUP($AA83,'[52]②配宿シュミレーション(12,600人ver) '!$AO$6:$AO$707,'[52]②配宿シュミレーション(12,600人ver) '!BI$6:BI$707,)</f>
        <v>252</v>
      </c>
      <c r="AZ83" s="398">
        <f>+_xlfn.XLOOKUP($AA83,'[52]②配宿シュミレーション(12,600人ver) '!$AO$6:$AO$707,'[52]②配宿シュミレーション(12,600人ver) '!BJ$6:BJ$707,)</f>
        <v>252</v>
      </c>
      <c r="BA83" s="398">
        <f>+_xlfn.XLOOKUP($AA83,'[52]②配宿シュミレーション(12,600人ver) '!$AO$6:$AO$707,'[52]②配宿シュミレーション(12,600人ver) '!BK$6:BK$707,)</f>
        <v>252</v>
      </c>
      <c r="BB83" s="398">
        <f>+_xlfn.XLOOKUP($AA83,'[52]②配宿シュミレーション(12,600人ver) '!$AO$6:$AO$707,'[52]②配宿シュミレーション(12,600人ver) '!BL$6:BL$707,)</f>
        <v>252</v>
      </c>
      <c r="BC83" s="398">
        <f>+_xlfn.XLOOKUP($AA83,'[52]②配宿シュミレーション(12,600人ver) '!$AO$6:$AO$707,'[52]②配宿シュミレーション(12,600人ver) '!BM$6:BM$707,)</f>
        <v>252</v>
      </c>
      <c r="BD83" s="398">
        <f>+_xlfn.XLOOKUP($AA83,'[52]②配宿シュミレーション(12,600人ver) '!$AO$6:$AO$707,'[52]②配宿シュミレーション(12,600人ver) '!BN$6:BN$707,)</f>
        <v>252</v>
      </c>
      <c r="BE83" s="398">
        <f>+_xlfn.XLOOKUP($AA83,'[52]②配宿シュミレーション(12,600人ver) '!$AO$6:$AO$707,'[52]②配宿シュミレーション(12,600人ver) '!BO$6:BO$707,)</f>
        <v>252</v>
      </c>
      <c r="BF83" s="398">
        <f>+_xlfn.XLOOKUP($AA83,'[52]②配宿シュミレーション(12,600人ver) '!$AO$6:$AO$707,'[52]②配宿シュミレーション(12,600人ver) '!BP$6:BP$707,)</f>
        <v>252</v>
      </c>
      <c r="BG83" s="398">
        <f>+_xlfn.XLOOKUP($AA83,'[52]②配宿シュミレーション(12,600人ver) '!$AO$6:$AO$707,'[52]②配宿シュミレーション(12,600人ver) '!BQ$6:BQ$707,)</f>
        <v>252</v>
      </c>
      <c r="BH83" s="398">
        <f>+_xlfn.XLOOKUP($AA83,'[52]②配宿シュミレーション(12,600人ver) '!$AO$6:$AO$707,'[52]②配宿シュミレーション(12,600人ver) '!BR$6:BR$707,)</f>
        <v>252</v>
      </c>
      <c r="BI83" s="398">
        <f>+_xlfn.XLOOKUP($AA83,'[52]②配宿シュミレーション(12,600人ver) '!$AO$6:$AO$707,'[52]②配宿シュミレーション(12,600人ver) '!BS$6:BS$707,)</f>
        <v>252</v>
      </c>
      <c r="BJ83" s="3306" t="s">
        <v>2448</v>
      </c>
      <c r="BK83" s="398">
        <f>+_xlfn.XLOOKUP($AA83,'[52]②配宿シュミレーション(12,600人ver) '!$AO$6:$AO$707,'[52]②配宿シュミレーション(12,600人ver) '!BU$6:BU$707,)</f>
        <v>0</v>
      </c>
      <c r="BL83" s="398">
        <f>+_xlfn.XLOOKUP($AA83,'[52]②配宿シュミレーション(12,600人ver) '!$AO$6:$AO$707,'[52]②配宿シュミレーション(12,600人ver) '!BV$6:BV$707,)</f>
        <v>0</v>
      </c>
      <c r="BM83" s="398">
        <f>+_xlfn.XLOOKUP($AA83,'[52]②配宿シュミレーション(12,600人ver) '!$AO$6:$AO$707,'[52]②配宿シュミレーション(12,600人ver) '!BW$6:BW$707,)</f>
        <v>0</v>
      </c>
      <c r="BN83" s="472">
        <f>+_xlfn.XLOOKUP($AA83,'[52]②配宿シュミレーション(12,600人ver) '!$AO$6:$AO$707,'[52]②配宿シュミレーション(12,600人ver) '!BX$6:BX$707,)</f>
        <v>0</v>
      </c>
      <c r="BO83" s="573"/>
      <c r="BP83" s="610"/>
      <c r="BQ83" s="611"/>
    </row>
    <row r="84" spans="1:69" ht="46" customHeight="1">
      <c r="A84" s="2862"/>
      <c r="B84" s="2863"/>
      <c r="C84" s="420"/>
      <c r="D84" s="421" t="str">
        <f>IF(_xlfn.XLOOKUP(E84,[52]宿泊施設DB!$B$3:$B$207,[52]宿泊施設DB!$A$3:$A$207,"",)=0,"",_xlfn.XLOOKUP(E84,[52]宿泊施設DB!$B$3:$B$207,[52]宿泊施設DB!$A$3:$A$207,"",))</f>
        <v/>
      </c>
      <c r="E84" s="612"/>
      <c r="F84" s="2875">
        <f>_xlfn.XLOOKUP($E84,[52]宿泊施設DB!$B$3:$B$207,[52]宿泊施設DB!$D$3:$D$207,"",)</f>
        <v>0</v>
      </c>
      <c r="G84" s="2875">
        <f>_xlfn.XLOOKUP($E84,[52]宿泊施設DB!$B$3:$B$207,[52]宿泊施設DB!$E$3:$E$207,"",)</f>
        <v>0</v>
      </c>
      <c r="H84" s="2877">
        <f>_xlfn.XLOOKUP($E84,[52]宿泊施設DB!$B$3:$B$207,[52]宿泊施設DB!$J$3:$J$207,"",)</f>
        <v>0</v>
      </c>
      <c r="I84" s="2878">
        <f>_xlfn.XLOOKUP($E84,[52]宿泊施設DB!$B$3:$B$207,[52]宿泊施設DB!$T$3:$T$207,"",)</f>
        <v>0</v>
      </c>
      <c r="J84" s="2878">
        <f>_xlfn.XLOOKUP($E84,[52]宿泊施設DB!$B$3:$B$207,[52]宿泊施設DB!$R$3:$R$207,"",)</f>
        <v>0</v>
      </c>
      <c r="K84" s="2877">
        <f>_xlfn.XLOOKUP($E84,[52]宿泊施設DB!$B$3:$B$207,[52]宿泊施設DB!$S$3:$S$207,"",)</f>
        <v>0</v>
      </c>
      <c r="L84" s="2916">
        <f>_xlfn.XLOOKUP($E84,[52]宿泊施設DB!$B$3:$B$207,[52]宿泊施設DB!$U$3:$U$207,"",)</f>
        <v>0</v>
      </c>
      <c r="M84" s="2878">
        <f>_xlfn.XLOOKUP($E84,[52]宿泊施設DB!$B$3:$B$207,[52]宿泊施設DB!$V$3:$V$207,"",)</f>
        <v>0</v>
      </c>
      <c r="N84" s="2878">
        <f>_xlfn.XLOOKUP($E84,[52]宿泊施設DB!$B$3:$B$207,[52]宿泊施設DB!$W$3:$W$207,"",)</f>
        <v>0</v>
      </c>
      <c r="O84" s="2878">
        <f>_xlfn.XLOOKUP($E84,[52]宿泊施設DB!$B$3:$B$207,[52]宿泊施設DB!$X$3:$X$207,"",)</f>
        <v>0</v>
      </c>
      <c r="P84" s="426" t="str">
        <f>IF(AND(E84&lt;&gt;"", R84&lt;&gt;"－"), "○", "")</f>
        <v/>
      </c>
      <c r="Q84" s="420"/>
      <c r="R84" s="3341"/>
      <c r="S84" s="478" t="str">
        <f>IFERROR(VLOOKUP($R84,'[52]競技情報DB(12,600人ver) '!$A$6:$D$203,2,),"－")</f>
        <v>－</v>
      </c>
      <c r="T84" s="479">
        <f>_xlfn.XLOOKUP(R84,'[52]競技情報DB(12,600人ver) '!$A$6:$A$101,'[52]競技情報DB(12,600人ver) '!$D$6:$D$101,"",0,)</f>
        <v>0</v>
      </c>
      <c r="U84" s="3365"/>
      <c r="V84" s="3343" t="str">
        <f>IFERROR(VLOOKUP($R84,'[52]競技情報DB(12,600人ver) '!$A$6:$D$203,3,),"－")</f>
        <v>－</v>
      </c>
      <c r="W84" s="3344"/>
      <c r="X84" s="3345"/>
      <c r="Y84" s="2895"/>
      <c r="Z84" s="652"/>
      <c r="AA84" s="334"/>
      <c r="AB84" s="3302"/>
      <c r="AC84" s="3302"/>
      <c r="AD84" s="3303"/>
      <c r="AE84" s="444"/>
      <c r="AF84" s="337"/>
      <c r="AG84" s="337"/>
      <c r="AH84" s="337"/>
      <c r="AI84" s="337"/>
      <c r="AJ84" s="337"/>
      <c r="AK84" s="337"/>
      <c r="AL84" s="337"/>
      <c r="AM84" s="337"/>
      <c r="AN84" s="337"/>
      <c r="AO84" s="337"/>
      <c r="AP84" s="337"/>
      <c r="AQ84" s="337"/>
      <c r="AR84" s="337"/>
      <c r="AS84" s="337"/>
      <c r="AT84" s="337"/>
      <c r="AU84" s="337"/>
      <c r="AV84" s="337"/>
      <c r="AW84" s="337"/>
      <c r="AX84" s="337"/>
      <c r="AY84" s="337"/>
      <c r="AZ84" s="337"/>
      <c r="BA84" s="337"/>
      <c r="BB84" s="337"/>
      <c r="BC84" s="337"/>
      <c r="BD84" s="337"/>
      <c r="BE84" s="337"/>
      <c r="BF84" s="337"/>
      <c r="BG84" s="337"/>
      <c r="BH84" s="337"/>
      <c r="BI84" s="337"/>
      <c r="BJ84" s="337"/>
      <c r="BK84" s="337"/>
      <c r="BL84" s="337"/>
      <c r="BM84" s="337"/>
      <c r="BN84" s="340"/>
      <c r="BO84" s="573"/>
      <c r="BP84" s="610"/>
      <c r="BQ84" s="611"/>
    </row>
    <row r="85" spans="1:69" s="564" customFormat="1" ht="46" customHeight="1">
      <c r="A85" s="2862"/>
      <c r="B85" s="2913" t="s">
        <v>2354</v>
      </c>
      <c r="C85" s="372">
        <f>C83+1</f>
        <v>24</v>
      </c>
      <c r="D85" s="2871">
        <f>IF(_xlfn.XLOOKUP(E85,[52]宿泊施設DB!$B$3:$B$207,[52]宿泊施設DB!$A$3:$A$207,"",)=0,"",_xlfn.XLOOKUP(E85,[52]宿泊施設DB!$B$3:$B$207,[52]宿泊施設DB!$A$3:$A$207,"",))</f>
        <v>1003</v>
      </c>
      <c r="E85" s="572" t="s">
        <v>2355</v>
      </c>
      <c r="F85" s="2872">
        <f>_xlfn.XLOOKUP($E85,[52]宿泊施設DB!$B$3:$B$207,[52]宿泊施設DB!$D$3:$D$207,"",)</f>
        <v>184</v>
      </c>
      <c r="G85" s="2872">
        <f>_xlfn.XLOOKUP($E85,[52]宿泊施設DB!$B$3:$B$207,[52]宿泊施設DB!$E$3:$E$207,"",)</f>
        <v>186</v>
      </c>
      <c r="H85" s="2873">
        <f>_xlfn.XLOOKUP($E85,[52]宿泊施設DB!$B$3:$B$207,[52]宿泊施設DB!$J$3:$J$207,"",)</f>
        <v>0</v>
      </c>
      <c r="I85" s="2874" t="str">
        <f>_xlfn.XLOOKUP($E85,[52]宿泊施設DB!$B$3:$B$207,[52]宿泊施設DB!$T$3:$T$207,"",)</f>
        <v>高</v>
      </c>
      <c r="J85" s="2874" t="str">
        <f>_xlfn.XLOOKUP($E85,[52]宿泊施設DB!$B$3:$B$207,[52]宿泊施設DB!$R$3:$R$207,"",)</f>
        <v>宿泊施設</v>
      </c>
      <c r="K85" s="2873">
        <f>_xlfn.XLOOKUP($E85,[52]宿泊施設DB!$B$3:$B$207,[52]宿泊施設DB!$S$3:$S$207,"",)</f>
        <v>92</v>
      </c>
      <c r="L85" s="2914" t="str">
        <f>_xlfn.XLOOKUP($E85,[52]宿泊施設DB!$B$3:$B$207,[52]宿泊施設DB!$U$3:$U$207,"",)</f>
        <v>－</v>
      </c>
      <c r="M85" s="2874" t="str">
        <f>_xlfn.XLOOKUP($E85,[52]宿泊施設DB!$B$3:$B$207,[52]宿泊施設DB!$V$3:$V$207,"",)</f>
        <v>－</v>
      </c>
      <c r="N85" s="2874" t="str">
        <f>_xlfn.XLOOKUP($E85,[52]宿泊施設DB!$B$3:$B$207,[52]宿泊施設DB!$W$3:$W$207,"",)</f>
        <v>○</v>
      </c>
      <c r="O85" s="2874" t="str">
        <f>_xlfn.XLOOKUP($E85,[52]宿泊施設DB!$B$3:$B$207,[52]宿泊施設DB!$X$3:$X$207,"",)</f>
        <v>専用乗降場所（屋根無）3台</v>
      </c>
      <c r="P85" s="377" t="str">
        <f>IF(AND(E85&lt;&gt;"", R85&lt;&gt;"－"), "○", "")</f>
        <v>○</v>
      </c>
      <c r="Q85" s="372" t="s">
        <v>2136</v>
      </c>
      <c r="R85" s="387" t="s">
        <v>2356</v>
      </c>
      <c r="S85" s="388" t="str">
        <f>IFERROR(VLOOKUP($R85,'[52]競技情報DB(12,600人ver) '!$A$6:$D$203,2,),"－")</f>
        <v>新城市</v>
      </c>
      <c r="T85" s="389">
        <f>_xlfn.XLOOKUP(R85,'[52]競技情報DB(12,600人ver) '!$A$6:$A$101,'[52]競技情報DB(12,600人ver) '!$D$6:$D$101,"",0,)</f>
        <v>101</v>
      </c>
      <c r="U85" s="3369">
        <f>SUM(T85:T85)</f>
        <v>101</v>
      </c>
      <c r="V85" s="3322" t="str">
        <f>IFERROR(VLOOKUP($R85,'[52]競技情報DB(12,600人ver) '!$A$6:$D$203,3,),"－")</f>
        <v>新城市内発着コース</v>
      </c>
      <c r="W85" s="3323">
        <v>3</v>
      </c>
      <c r="X85" s="3324">
        <v>7</v>
      </c>
      <c r="Y85" s="318">
        <f>$G85-MAX(AF85:BN85)</f>
        <v>85</v>
      </c>
      <c r="Z85" s="656">
        <f>+Y85/$G85</f>
        <v>0.45698924731182794</v>
      </c>
      <c r="AA85" s="515" t="str">
        <f>E85&amp;"　"&amp;"合計"</f>
        <v>ホテルルートイン新城　合計</v>
      </c>
      <c r="AB85" s="3325">
        <f>IFERROR(INDEX($AF$3:$BN$3, MATCH("準備", AF85:BN85, 0)), "")</f>
        <v>46278</v>
      </c>
      <c r="AC85" s="3325" cm="1">
        <f t="array" ref="AC85">IF(COUNTIF(AF85:BN85,"*撤去*")=0,"",INDEX(AF$3:BN$3,1,MAX(IF(AF85:BN85="撤去",COLUMN(AF85:BN85)-COLUMN(AF85)+1))))</f>
        <v>46290</v>
      </c>
      <c r="AD85" s="3326">
        <f>AC85-AB85</f>
        <v>12</v>
      </c>
      <c r="AE85" s="396" t="str">
        <f>+$AE$114</f>
        <v>12,600人</v>
      </c>
      <c r="AF85" s="398">
        <f>+_xlfn.XLOOKUP($AA85,'[52]②配宿シュミレーション(12,600人ver) '!$AO$6:$AO$707,'[52]②配宿シュミレーション(12,600人ver) '!AP$6:AP$707,)</f>
        <v>0</v>
      </c>
      <c r="AG85" s="398">
        <f>+_xlfn.XLOOKUP($AA85,'[52]②配宿シュミレーション(12,600人ver) '!$AO$6:$AO$707,'[52]②配宿シュミレーション(12,600人ver) '!AQ$6:AQ$707,)</f>
        <v>0</v>
      </c>
      <c r="AH85" s="398">
        <f>+_xlfn.XLOOKUP($AA85,'[52]②配宿シュミレーション(12,600人ver) '!$AO$6:$AO$707,'[52]②配宿シュミレーション(12,600人ver) '!AR$6:AR$707,)</f>
        <v>0</v>
      </c>
      <c r="AI85" s="398">
        <f>+_xlfn.XLOOKUP($AA85,'[52]②配宿シュミレーション(12,600人ver) '!$AO$6:$AO$707,'[52]②配宿シュミレーション(12,600人ver) '!AS$6:AS$707,)</f>
        <v>0</v>
      </c>
      <c r="AJ85" s="398">
        <f>+_xlfn.XLOOKUP($AA85,'[52]②配宿シュミレーション(12,600人ver) '!$AO$6:$AO$707,'[52]②配宿シュミレーション(12,600人ver) '!AT$6:AT$707,)</f>
        <v>0</v>
      </c>
      <c r="AK85" s="398">
        <f>+_xlfn.XLOOKUP($AA85,'[52]②配宿シュミレーション(12,600人ver) '!$AO$6:$AO$707,'[52]②配宿シュミレーション(12,600人ver) '!AU$6:AU$707,)</f>
        <v>0</v>
      </c>
      <c r="AL85" s="398">
        <f>+_xlfn.XLOOKUP($AA85,'[52]②配宿シュミレーション(12,600人ver) '!$AO$6:$AO$707,'[52]②配宿シュミレーション(12,600人ver) '!AV$6:AV$707,)</f>
        <v>0</v>
      </c>
      <c r="AM85" s="398">
        <f>+_xlfn.XLOOKUP($AA85,'[52]②配宿シュミレーション(12,600人ver) '!$AO$6:$AO$707,'[52]②配宿シュミレーション(12,600人ver) '!AW$6:AW$707,)</f>
        <v>0</v>
      </c>
      <c r="AN85" s="398">
        <f>+_xlfn.XLOOKUP($AA85,'[52]②配宿シュミレーション(12,600人ver) '!$AO$6:$AO$707,'[52]②配宿シュミレーション(12,600人ver) '!AX$6:AX$707,)</f>
        <v>0</v>
      </c>
      <c r="AO85" s="3327" t="s">
        <v>2447</v>
      </c>
      <c r="AP85" s="3405">
        <f>+_xlfn.XLOOKUP($AA85,'[52]②配宿シュミレーション(12,600人ver) '!$AO$6:$AO$707,'[52]②配宿シュミレーション(12,600人ver) '!AZ$6:AZ$707,)</f>
        <v>0</v>
      </c>
      <c r="AQ85" s="398">
        <f>+_xlfn.XLOOKUP($AA85,'[52]②配宿シュミレーション(12,600人ver) '!$AO$6:$AO$707,'[52]②配宿シュミレーション(12,600人ver) '!BA$6:BA$707,)</f>
        <v>101</v>
      </c>
      <c r="AR85" s="398">
        <f>+_xlfn.XLOOKUP($AA85,'[52]②配宿シュミレーション(12,600人ver) '!$AO$6:$AO$707,'[52]②配宿シュミレーション(12,600人ver) '!BB$6:BB$707,)</f>
        <v>101</v>
      </c>
      <c r="AS85" s="398">
        <f>+_xlfn.XLOOKUP($AA85,'[52]②配宿シュミレーション(12,600人ver) '!$AO$6:$AO$707,'[52]②配宿シュミレーション(12,600人ver) '!BC$6:BC$707,)</f>
        <v>101</v>
      </c>
      <c r="AT85" s="398">
        <f>+_xlfn.XLOOKUP($AA85,'[52]②配宿シュミレーション(12,600人ver) '!$AO$6:$AO$707,'[52]②配宿シュミレーション(12,600人ver) '!BD$6:BD$707,)</f>
        <v>101</v>
      </c>
      <c r="AU85" s="398">
        <f>+_xlfn.XLOOKUP($AA85,'[52]②配宿シュミレーション(12,600人ver) '!$AO$6:$AO$707,'[52]②配宿シュミレーション(12,600人ver) '!BE$6:BE$707,)</f>
        <v>101</v>
      </c>
      <c r="AV85" s="398">
        <f>+_xlfn.XLOOKUP($AA85,'[52]②配宿シュミレーション(12,600人ver) '!$AO$6:$AO$707,'[52]②配宿シュミレーション(12,600人ver) '!BF$6:BF$707,)</f>
        <v>101</v>
      </c>
      <c r="AW85" s="398">
        <f>+_xlfn.XLOOKUP($AA85,'[52]②配宿シュミレーション(12,600人ver) '!$AO$6:$AO$707,'[52]②配宿シュミレーション(12,600人ver) '!BG$6:BG$707,)</f>
        <v>101</v>
      </c>
      <c r="AX85" s="398">
        <f>+_xlfn.XLOOKUP($AA85,'[52]②配宿シュミレーション(12,600人ver) '!$AO$6:$AO$707,'[52]②配宿シュミレーション(12,600人ver) '!BH$6:BH$707,)</f>
        <v>101</v>
      </c>
      <c r="AY85" s="398">
        <f>+_xlfn.XLOOKUP($AA85,'[52]②配宿シュミレーション(12,600人ver) '!$AO$6:$AO$707,'[52]②配宿シュミレーション(12,600人ver) '!BI$6:BI$707,)</f>
        <v>101</v>
      </c>
      <c r="AZ85" s="398">
        <f>+_xlfn.XLOOKUP($AA85,'[52]②配宿シュミレーション(12,600人ver) '!$AO$6:$AO$707,'[52]②配宿シュミレーション(12,600人ver) '!BJ$6:BJ$707,)</f>
        <v>101</v>
      </c>
      <c r="BA85" s="3306" t="s">
        <v>2448</v>
      </c>
      <c r="BB85" s="398">
        <f>+_xlfn.XLOOKUP($AA85,'[52]②配宿シュミレーション(12,600人ver) '!$AO$6:$AO$707,'[52]②配宿シュミレーション(12,600人ver) '!BL$6:BL$707,)</f>
        <v>0</v>
      </c>
      <c r="BC85" s="398">
        <f>+_xlfn.XLOOKUP($AA85,'[52]②配宿シュミレーション(12,600人ver) '!$AO$6:$AO$707,'[52]②配宿シュミレーション(12,600人ver) '!BM$6:BM$707,)</f>
        <v>0</v>
      </c>
      <c r="BD85" s="398">
        <f>+_xlfn.XLOOKUP($AA85,'[52]②配宿シュミレーション(12,600人ver) '!$AO$6:$AO$707,'[52]②配宿シュミレーション(12,600人ver) '!BN$6:BN$707,)</f>
        <v>0</v>
      </c>
      <c r="BE85" s="398">
        <f>+_xlfn.XLOOKUP($AA85,'[52]②配宿シュミレーション(12,600人ver) '!$AO$6:$AO$707,'[52]②配宿シュミレーション(12,600人ver) '!BO$6:BO$707,)</f>
        <v>0</v>
      </c>
      <c r="BF85" s="398">
        <f>+_xlfn.XLOOKUP($AA85,'[52]②配宿シュミレーション(12,600人ver) '!$AO$6:$AO$707,'[52]②配宿シュミレーション(12,600人ver) '!BP$6:BP$707,)</f>
        <v>0</v>
      </c>
      <c r="BG85" s="398">
        <f>+_xlfn.XLOOKUP($AA85,'[52]②配宿シュミレーション(12,600人ver) '!$AO$6:$AO$707,'[52]②配宿シュミレーション(12,600人ver) '!BQ$6:BQ$707,)</f>
        <v>0</v>
      </c>
      <c r="BH85" s="398">
        <f>+_xlfn.XLOOKUP($AA85,'[52]②配宿シュミレーション(12,600人ver) '!$AO$6:$AO$707,'[52]②配宿シュミレーション(12,600人ver) '!BR$6:BR$707,)</f>
        <v>0</v>
      </c>
      <c r="BI85" s="398">
        <f>+_xlfn.XLOOKUP($AA85,'[52]②配宿シュミレーション(12,600人ver) '!$AO$6:$AO$707,'[52]②配宿シュミレーション(12,600人ver) '!BS$6:BS$707,)</f>
        <v>0</v>
      </c>
      <c r="BJ85" s="398">
        <f>+_xlfn.XLOOKUP($AA85,'[52]②配宿シュミレーション(12,600人ver) '!$AO$6:$AO$707,'[52]②配宿シュミレーション(12,600人ver) '!BT$6:BT$707,)</f>
        <v>0</v>
      </c>
      <c r="BK85" s="398">
        <f>+_xlfn.XLOOKUP($AA85,'[52]②配宿シュミレーション(12,600人ver) '!$AO$6:$AO$707,'[52]②配宿シュミレーション(12,600人ver) '!BU$6:BU$707,)</f>
        <v>0</v>
      </c>
      <c r="BL85" s="398">
        <f>+_xlfn.XLOOKUP($AA85,'[52]②配宿シュミレーション(12,600人ver) '!$AO$6:$AO$707,'[52]②配宿シュミレーション(12,600人ver) '!BV$6:BV$707,)</f>
        <v>0</v>
      </c>
      <c r="BM85" s="398">
        <f>+_xlfn.XLOOKUP($AA85,'[52]②配宿シュミレーション(12,600人ver) '!$AO$6:$AO$707,'[52]②配宿シュミレーション(12,600人ver) '!BW$6:BW$707,)</f>
        <v>0</v>
      </c>
      <c r="BN85" s="472">
        <f>+_xlfn.XLOOKUP($AA85,'[52]②配宿シュミレーション(12,600人ver) '!$AO$6:$AO$707,'[52]②配宿シュミレーション(12,600人ver) '!BX$6:BX$707,)</f>
        <v>0</v>
      </c>
      <c r="BO85" s="573"/>
      <c r="BP85" s="574"/>
      <c r="BQ85" s="575"/>
    </row>
    <row r="86" spans="1:69" s="521" customFormat="1" ht="46" customHeight="1" thickBot="1">
      <c r="A86" s="2862"/>
      <c r="B86" s="2863"/>
      <c r="C86" s="296"/>
      <c r="D86" s="297" t="str">
        <f>IF(_xlfn.XLOOKUP(E86,[52]宿泊施設DB!$B$3:$B$207,[52]宿泊施設DB!$A$3:$A$207,"",)=0,"",_xlfn.XLOOKUP(E86,[52]宿泊施設DB!$B$3:$B$207,[52]宿泊施設DB!$A$3:$A$207,"",))</f>
        <v/>
      </c>
      <c r="E86" s="3404" t="s">
        <v>2537</v>
      </c>
      <c r="F86" s="2864" t="str">
        <f>_xlfn.XLOOKUP($E86,[52]宿泊施設DB!$B$3:$B$207,[52]宿泊施設DB!$D$3:$D$207,"",)</f>
        <v/>
      </c>
      <c r="G86" s="2864" t="str">
        <f>_xlfn.XLOOKUP($E86,[52]宿泊施設DB!$B$3:$B$207,[52]宿泊施設DB!$E$3:$E$207,"",)</f>
        <v/>
      </c>
      <c r="H86" s="2865" t="str">
        <f>_xlfn.XLOOKUP($E86,[52]宿泊施設DB!$B$3:$B$207,[52]宿泊施設DB!$J$3:$J$207,"",)</f>
        <v/>
      </c>
      <c r="I86" s="2866" t="str">
        <f>_xlfn.XLOOKUP($E86,[52]宿泊施設DB!$B$3:$B$207,[52]宿泊施設DB!$T$3:$T$207,"",)</f>
        <v/>
      </c>
      <c r="J86" s="2866" t="str">
        <f>_xlfn.XLOOKUP($E86,[52]宿泊施設DB!$B$3:$B$207,[52]宿泊施設DB!$R$3:$R$207,"",)</f>
        <v/>
      </c>
      <c r="K86" s="2865" t="str">
        <f>_xlfn.XLOOKUP($E86,[52]宿泊施設DB!$B$3:$B$207,[52]宿泊施設DB!$S$3:$S$207,"",)</f>
        <v/>
      </c>
      <c r="L86" s="2915" t="str">
        <f>_xlfn.XLOOKUP($E86,[52]宿泊施設DB!$B$3:$B$207,[52]宿泊施設DB!$U$3:$U$207,"",)</f>
        <v/>
      </c>
      <c r="M86" s="2866" t="str">
        <f>_xlfn.XLOOKUP($E86,[52]宿泊施設DB!$B$3:$B$207,[52]宿泊施設DB!$V$3:$V$207,"",)</f>
        <v/>
      </c>
      <c r="N86" s="2866" t="str">
        <f>_xlfn.XLOOKUP($E86,[52]宿泊施設DB!$B$3:$B$207,[52]宿泊施設DB!$W$3:$W$207,"",)</f>
        <v/>
      </c>
      <c r="O86" s="2866" t="str">
        <f>_xlfn.XLOOKUP($E86,[52]宿泊施設DB!$B$3:$B$207,[52]宿泊施設DB!$X$3:$X$207,"",)</f>
        <v/>
      </c>
      <c r="P86" s="302"/>
      <c r="Q86" s="296"/>
      <c r="R86" s="3341"/>
      <c r="S86" s="478" t="str">
        <f>IFERROR(VLOOKUP($R86,'[52]競技情報DB(12,600人ver) '!$A$6:$D$203,2,),"－")</f>
        <v>－</v>
      </c>
      <c r="T86" s="479">
        <f>_xlfn.XLOOKUP(R86,'[52]競技情報DB(12,600人ver) '!$A$6:$A$101,'[52]競技情報DB(12,600人ver) '!$D$6:$D$101,"",0,)</f>
        <v>0</v>
      </c>
      <c r="U86" s="3363"/>
      <c r="V86" s="3343" t="str">
        <f>IFERROR(VLOOKUP($R86,'[52]競技情報DB(12,600人ver) '!$A$6:$D$203,3,),"－")</f>
        <v>－</v>
      </c>
      <c r="W86" s="3344"/>
      <c r="X86" s="3345"/>
      <c r="Y86" s="442"/>
      <c r="Z86" s="656"/>
      <c r="AA86" s="319"/>
      <c r="AB86" s="3311"/>
      <c r="AC86" s="3311"/>
      <c r="AD86" s="3312"/>
      <c r="AE86" s="320"/>
      <c r="AF86" s="445"/>
      <c r="AG86" s="445"/>
      <c r="AH86" s="445"/>
      <c r="AI86" s="445"/>
      <c r="AJ86" s="445"/>
      <c r="AK86" s="445"/>
      <c r="AL86" s="445"/>
      <c r="AM86" s="445"/>
      <c r="AN86" s="445"/>
      <c r="AO86" s="445"/>
      <c r="AP86" s="445"/>
      <c r="AQ86" s="445"/>
      <c r="AR86" s="445"/>
      <c r="AS86" s="445"/>
      <c r="AT86" s="445"/>
      <c r="AU86" s="445"/>
      <c r="AV86" s="445"/>
      <c r="AW86" s="445"/>
      <c r="AX86" s="445"/>
      <c r="AY86" s="445"/>
      <c r="AZ86" s="445"/>
      <c r="BA86" s="445"/>
      <c r="BB86" s="445"/>
      <c r="BC86" s="445"/>
      <c r="BD86" s="445"/>
      <c r="BE86" s="445"/>
      <c r="BF86" s="445"/>
      <c r="BG86" s="336"/>
      <c r="BH86" s="445"/>
      <c r="BI86" s="445"/>
      <c r="BJ86" s="445"/>
      <c r="BK86" s="445"/>
      <c r="BL86" s="445"/>
      <c r="BM86" s="445"/>
      <c r="BN86" s="449"/>
      <c r="BO86" s="573"/>
      <c r="BP86" s="610"/>
      <c r="BQ86" s="611"/>
    </row>
    <row r="87" spans="1:69" ht="46" customHeight="1">
      <c r="A87" s="2862"/>
      <c r="B87" s="2913" t="s">
        <v>2359</v>
      </c>
      <c r="C87" s="372">
        <f>C85+1</f>
        <v>25</v>
      </c>
      <c r="D87" s="2871">
        <f>IF(_xlfn.XLOOKUP(E87,[52]宿泊施設DB!$B$3:$B$207,[52]宿泊施設DB!$A$3:$A$207,"",)=0,"",_xlfn.XLOOKUP(E87,[52]宿泊施設DB!$B$3:$B$207,[52]宿泊施設DB!$A$3:$A$207,"",))</f>
        <v>1030</v>
      </c>
      <c r="E87" s="572" t="s">
        <v>2360</v>
      </c>
      <c r="F87" s="2872">
        <f>_xlfn.XLOOKUP($E87,[52]宿泊施設DB!$B$3:$B$207,[52]宿泊施設DB!$D$3:$D$207,"",)</f>
        <v>67</v>
      </c>
      <c r="G87" s="2872">
        <f>_xlfn.XLOOKUP($E87,[52]宿泊施設DB!$B$3:$B$207,[52]宿泊施設DB!$E$3:$E$207,"",)</f>
        <v>110</v>
      </c>
      <c r="H87" s="2873">
        <f>_xlfn.XLOOKUP($E87,[52]宿泊施設DB!$B$3:$B$207,[52]宿泊施設DB!$J$3:$J$207,"",)</f>
        <v>9</v>
      </c>
      <c r="I87" s="2874" t="str">
        <f>_xlfn.XLOOKUP($E87,[52]宿泊施設DB!$B$3:$B$207,[52]宿泊施設DB!$T$3:$T$207,"",)</f>
        <v>中</v>
      </c>
      <c r="J87" s="2874" t="str">
        <f>_xlfn.XLOOKUP($E87,[52]宿泊施設DB!$B$3:$B$207,[52]宿泊施設DB!$R$3:$R$207,"",)</f>
        <v>宿泊施設</v>
      </c>
      <c r="K87" s="2873" t="str">
        <f>_xlfn.XLOOKUP($E87,[52]宿泊施設DB!$B$3:$B$207,[52]宿泊施設DB!$S$3:$S$207,"",)</f>
        <v>調査中</v>
      </c>
      <c r="L87" s="2914" t="str">
        <f>_xlfn.XLOOKUP($E87,[52]宿泊施設DB!$B$3:$B$207,[52]宿泊施設DB!$U$3:$U$207,"",)</f>
        <v>－</v>
      </c>
      <c r="M87" s="2874" t="str">
        <f>_xlfn.XLOOKUP($E87,[52]宿泊施設DB!$B$3:$B$207,[52]宿泊施設DB!$V$3:$V$207,"",)</f>
        <v>○</v>
      </c>
      <c r="N87" s="2874" t="str">
        <f>_xlfn.XLOOKUP($E87,[52]宿泊施設DB!$B$3:$B$207,[52]宿泊施設DB!$W$3:$W$207,"",)</f>
        <v>調査中</v>
      </c>
      <c r="O87" s="2874" t="str">
        <f>_xlfn.XLOOKUP($E87,[52]宿泊施設DB!$B$3:$B$207,[52]宿泊施設DB!$X$3:$X$207,"",)</f>
        <v>玄関前（屋根付）3台</v>
      </c>
      <c r="P87" s="377" t="str">
        <f>IF(AND(E87&lt;&gt;"", R87&lt;&gt;"－"), "○", "")</f>
        <v>○</v>
      </c>
      <c r="Q87" s="372" t="s">
        <v>2136</v>
      </c>
      <c r="R87" s="387" t="s">
        <v>2361</v>
      </c>
      <c r="S87" s="388" t="str">
        <f>IFERROR(VLOOKUP($R87,'[52]競技情報DB(12,600人ver) '!$A$6:$D$203,2,),"－")</f>
        <v>田原市</v>
      </c>
      <c r="T87" s="389">
        <f>_xlfn.XLOOKUP(R87,'[52]競技情報DB(12,600人ver) '!$A$6:$A$101,'[52]競技情報DB(12,600人ver) '!$D$6:$D$101,"",0,)</f>
        <v>62</v>
      </c>
      <c r="U87" s="3369">
        <f>SUM(T87:T87)</f>
        <v>62</v>
      </c>
      <c r="V87" s="3322" t="str">
        <f>IFERROR(VLOOKUP($R87,'[52]競技情報DB(12,600人ver) '!$A$6:$D$203,3,),"－")</f>
        <v>田原市赤羽根町大石河岸（ロングビーチ）他</v>
      </c>
      <c r="W87" s="3323">
        <v>19.600000000000001</v>
      </c>
      <c r="X87" s="3324">
        <v>26</v>
      </c>
      <c r="Y87" s="318">
        <f>$G87-MAX(AF87:BN87)</f>
        <v>48</v>
      </c>
      <c r="Z87" s="647">
        <f>+Y87/$G87</f>
        <v>0.43636363636363634</v>
      </c>
      <c r="AA87" s="515" t="str">
        <f>E87&amp;"　"&amp;"合計"</f>
        <v>伊良湖リゾート＆コンベンションホテル（旧伊良湖シーパーク＆スパ）　合計</v>
      </c>
      <c r="AB87" s="3325">
        <f>IFERROR(INDEX($AF$3:$BN$3, MATCH("準備", AF87:BN87, 0)), "")</f>
        <v>46285</v>
      </c>
      <c r="AC87" s="3325" cm="1">
        <f t="array" ref="AC87">IF(COUNTIF(AF87:BN87,"*撤去*")=0,"",INDEX(AF$3:BN$3,1,MAX(IF(AF87:BN87="撤去",COLUMN(AF87:BN87)-COLUMN(AF87)+1))))</f>
        <v>46296</v>
      </c>
      <c r="AD87" s="3326">
        <f>AC87-AB87</f>
        <v>11</v>
      </c>
      <c r="AE87" s="396" t="str">
        <f>+$AE$114</f>
        <v>12,600人</v>
      </c>
      <c r="AF87" s="398">
        <f>+_xlfn.XLOOKUP($AA87,'[52]②配宿シュミレーション(12,600人ver) '!$AO$6:$AO$707,'[52]②配宿シュミレーション(12,600人ver) '!AP$6:AP$707,)</f>
        <v>0</v>
      </c>
      <c r="AG87" s="398">
        <f>+_xlfn.XLOOKUP($AA87,'[52]②配宿シュミレーション(12,600人ver) '!$AO$6:$AO$707,'[52]②配宿シュミレーション(12,600人ver) '!AQ$6:AQ$707,)</f>
        <v>0</v>
      </c>
      <c r="AH87" s="398">
        <f>+_xlfn.XLOOKUP($AA87,'[52]②配宿シュミレーション(12,600人ver) '!$AO$6:$AO$707,'[52]②配宿シュミレーション(12,600人ver) '!AR$6:AR$707,)</f>
        <v>0</v>
      </c>
      <c r="AI87" s="398">
        <f>+_xlfn.XLOOKUP($AA87,'[52]②配宿シュミレーション(12,600人ver) '!$AO$6:$AO$707,'[52]②配宿シュミレーション(12,600人ver) '!AS$6:AS$707,)</f>
        <v>0</v>
      </c>
      <c r="AJ87" s="398">
        <f>+_xlfn.XLOOKUP($AA87,'[52]②配宿シュミレーション(12,600人ver) '!$AO$6:$AO$707,'[52]②配宿シュミレーション(12,600人ver) '!AT$6:AT$707,)</f>
        <v>0</v>
      </c>
      <c r="AK87" s="398">
        <f>+_xlfn.XLOOKUP($AA87,'[52]②配宿シュミレーション(12,600人ver) '!$AO$6:$AO$707,'[52]②配宿シュミレーション(12,600人ver) '!AU$6:AU$707,)</f>
        <v>0</v>
      </c>
      <c r="AL87" s="398">
        <f>+_xlfn.XLOOKUP($AA87,'[52]②配宿シュミレーション(12,600人ver) '!$AO$6:$AO$707,'[52]②配宿シュミレーション(12,600人ver) '!AV$6:AV$707,)</f>
        <v>0</v>
      </c>
      <c r="AM87" s="398">
        <f>+_xlfn.XLOOKUP($AA87,'[52]②配宿シュミレーション(12,600人ver) '!$AO$6:$AO$707,'[52]②配宿シュミレーション(12,600人ver) '!AW$6:AW$707,)</f>
        <v>0</v>
      </c>
      <c r="AN87" s="398">
        <f>+_xlfn.XLOOKUP($AA87,'[52]②配宿シュミレーション(12,600人ver) '!$AO$6:$AO$707,'[52]②配宿シュミレーション(12,600人ver) '!AX$6:AX$707,)</f>
        <v>0</v>
      </c>
      <c r="AO87" s="398">
        <f>+_xlfn.XLOOKUP($AA87,'[52]②配宿シュミレーション(12,600人ver) '!$AO$6:$AO$707,'[52]②配宿シュミレーション(12,600人ver) '!AY$6:AY$707,)</f>
        <v>0</v>
      </c>
      <c r="AP87" s="398">
        <f>+_xlfn.XLOOKUP($AA87,'[52]②配宿シュミレーション(12,600人ver) '!$AO$6:$AO$707,'[52]②配宿シュミレーション(12,600人ver) '!AZ$6:AZ$707,)</f>
        <v>0</v>
      </c>
      <c r="AQ87" s="398">
        <f>+_xlfn.XLOOKUP($AA87,'[52]②配宿シュミレーション(12,600人ver) '!$AO$6:$AO$707,'[52]②配宿シュミレーション(12,600人ver) '!BA$6:BA$707,)</f>
        <v>0</v>
      </c>
      <c r="AR87" s="398">
        <f>+_xlfn.XLOOKUP($AA87,'[52]②配宿シュミレーション(12,600人ver) '!$AO$6:$AO$707,'[52]②配宿シュミレーション(12,600人ver) '!BB$6:BB$707,)</f>
        <v>0</v>
      </c>
      <c r="AS87" s="398">
        <f>+_xlfn.XLOOKUP($AA87,'[52]②配宿シュミレーション(12,600人ver) '!$AO$6:$AO$707,'[52]②配宿シュミレーション(12,600人ver) '!BC$6:BC$707,)</f>
        <v>0</v>
      </c>
      <c r="AT87" s="398">
        <f>+_xlfn.XLOOKUP($AA87,'[52]②配宿シュミレーション(12,600人ver) '!$AO$6:$AO$707,'[52]②配宿シュミレーション(12,600人ver) '!BD$6:BD$707,)</f>
        <v>0</v>
      </c>
      <c r="AU87" s="398">
        <f>+_xlfn.XLOOKUP($AA87,'[52]②配宿シュミレーション(12,600人ver) '!$AO$6:$AO$707,'[52]②配宿シュミレーション(12,600人ver) '!BE$6:BE$707,)</f>
        <v>0</v>
      </c>
      <c r="AV87" s="3327" t="s">
        <v>2447</v>
      </c>
      <c r="AW87" s="3327">
        <f>+_xlfn.XLOOKUP($AA87,'[52]②配宿シュミレーション(12,600人ver) '!$AO$6:$AO$707,'[52]②配宿シュミレーション(12,600人ver) '!BG$6:BG$707,)</f>
        <v>0</v>
      </c>
      <c r="AX87" s="398">
        <f>+_xlfn.XLOOKUP($AA87,'[52]②配宿シュミレーション(12,600人ver) '!$AO$6:$AO$707,'[52]②配宿シュミレーション(12,600人ver) '!BH$6:BH$707,)</f>
        <v>62</v>
      </c>
      <c r="AY87" s="398">
        <f>+_xlfn.XLOOKUP($AA87,'[52]②配宿シュミレーション(12,600人ver) '!$AO$6:$AO$707,'[52]②配宿シュミレーション(12,600人ver) '!BI$6:BI$707,)</f>
        <v>62</v>
      </c>
      <c r="AZ87" s="398">
        <f>+_xlfn.XLOOKUP($AA87,'[52]②配宿シュミレーション(12,600人ver) '!$AO$6:$AO$707,'[52]②配宿シュミレーション(12,600人ver) '!BJ$6:BJ$707,)</f>
        <v>62</v>
      </c>
      <c r="BA87" s="398">
        <f>+_xlfn.XLOOKUP($AA87,'[52]②配宿シュミレーション(12,600人ver) '!$AO$6:$AO$707,'[52]②配宿シュミレーション(12,600人ver) '!BK$6:BK$707,)</f>
        <v>62</v>
      </c>
      <c r="BB87" s="398">
        <f>+_xlfn.XLOOKUP($AA87,'[52]②配宿シュミレーション(12,600人ver) '!$AO$6:$AO$707,'[52]②配宿シュミレーション(12,600人ver) '!BL$6:BL$707,)</f>
        <v>62</v>
      </c>
      <c r="BC87" s="398">
        <f>+_xlfn.XLOOKUP($AA87,'[52]②配宿シュミレーション(12,600人ver) '!$AO$6:$AO$707,'[52]②配宿シュミレーション(12,600人ver) '!BM$6:BM$707,)</f>
        <v>62</v>
      </c>
      <c r="BD87" s="398">
        <f>+_xlfn.XLOOKUP($AA87,'[52]②配宿シュミレーション(12,600人ver) '!$AO$6:$AO$707,'[52]②配宿シュミレーション(12,600人ver) '!BN$6:BN$707,)</f>
        <v>62</v>
      </c>
      <c r="BE87" s="398">
        <f>+_xlfn.XLOOKUP($AA87,'[52]②配宿シュミレーション(12,600人ver) '!$AO$6:$AO$707,'[52]②配宿シュミレーション(12,600人ver) '!BO$6:BO$707,)</f>
        <v>62</v>
      </c>
      <c r="BF87" s="398">
        <f>+_xlfn.XLOOKUP($AA87,'[52]②配宿シュミレーション(12,600人ver) '!$AO$6:$AO$707,'[52]②配宿シュミレーション(12,600人ver) '!BP$6:BP$707,)</f>
        <v>62</v>
      </c>
      <c r="BG87" s="3306" t="s">
        <v>2448</v>
      </c>
      <c r="BH87" s="398">
        <f>+_xlfn.XLOOKUP($AA87,'[52]②配宿シュミレーション(12,600人ver) '!$AO$6:$AO$707,'[52]②配宿シュミレーション(12,600人ver) '!BR$6:BR$707,)</f>
        <v>0</v>
      </c>
      <c r="BI87" s="398">
        <f>+_xlfn.XLOOKUP($AA87,'[52]②配宿シュミレーション(12,600人ver) '!$AO$6:$AO$707,'[52]②配宿シュミレーション(12,600人ver) '!BS$6:BS$707,)</f>
        <v>0</v>
      </c>
      <c r="BJ87" s="398">
        <f>+_xlfn.XLOOKUP($AA87,'[52]②配宿シュミレーション(12,600人ver) '!$AO$6:$AO$707,'[52]②配宿シュミレーション(12,600人ver) '!BT$6:BT$707,)</f>
        <v>0</v>
      </c>
      <c r="BK87" s="398">
        <f>+_xlfn.XLOOKUP($AA87,'[52]②配宿シュミレーション(12,600人ver) '!$AO$6:$AO$707,'[52]②配宿シュミレーション(12,600人ver) '!BU$6:BU$707,)</f>
        <v>0</v>
      </c>
      <c r="BL87" s="398">
        <f>+_xlfn.XLOOKUP($AA87,'[52]②配宿シュミレーション(12,600人ver) '!$AO$6:$AO$707,'[52]②配宿シュミレーション(12,600人ver) '!BV$6:BV$707,)</f>
        <v>0</v>
      </c>
      <c r="BM87" s="398">
        <f>+_xlfn.XLOOKUP($AA87,'[52]②配宿シュミレーション(12,600人ver) '!$AO$6:$AO$707,'[52]②配宿シュミレーション(12,600人ver) '!BW$6:BW$707,)</f>
        <v>0</v>
      </c>
      <c r="BN87" s="472">
        <f>+_xlfn.XLOOKUP($AA87,'[52]②配宿シュミレーション(12,600人ver) '!$AO$6:$AO$707,'[52]②配宿シュミレーション(12,600人ver) '!BX$6:BX$707,)</f>
        <v>0</v>
      </c>
      <c r="BO87" s="573"/>
      <c r="BP87" s="574"/>
      <c r="BQ87" s="575"/>
    </row>
    <row r="88" spans="1:69" s="521" customFormat="1" ht="46" customHeight="1" thickBot="1">
      <c r="A88" s="2862"/>
      <c r="B88" s="2907"/>
      <c r="C88" s="420"/>
      <c r="D88" s="421" t="str">
        <f>IF(_xlfn.XLOOKUP(E88,[52]宿泊施設DB!$B$3:$B$207,[52]宿泊施設DB!$A$3:$A$207,"",)=0,"",_xlfn.XLOOKUP(E88,[52]宿泊施設DB!$B$3:$B$207,[52]宿泊施設DB!$A$3:$A$207,"",))</f>
        <v/>
      </c>
      <c r="E88" s="3404" t="s">
        <v>2538</v>
      </c>
      <c r="F88" s="2875" t="str">
        <f>_xlfn.XLOOKUP($E88,[52]宿泊施設DB!$B$3:$B$207,[52]宿泊施設DB!$D$3:$D$207,"",)</f>
        <v/>
      </c>
      <c r="G88" s="2875" t="str">
        <f>_xlfn.XLOOKUP($E88,[52]宿泊施設DB!$B$3:$B$207,[52]宿泊施設DB!$E$3:$E$207,"",)</f>
        <v/>
      </c>
      <c r="H88" s="2877" t="str">
        <f>_xlfn.XLOOKUP($E88,[52]宿泊施設DB!$B$3:$B$207,[52]宿泊施設DB!$J$3:$J$207,"",)</f>
        <v/>
      </c>
      <c r="I88" s="2878" t="str">
        <f>_xlfn.XLOOKUP($E88,[52]宿泊施設DB!$B$3:$B$207,[52]宿泊施設DB!$T$3:$T$207,"",)</f>
        <v/>
      </c>
      <c r="J88" s="2878" t="str">
        <f>_xlfn.XLOOKUP($E88,[52]宿泊施設DB!$B$3:$B$207,[52]宿泊施設DB!$R$3:$R$207,"",)</f>
        <v/>
      </c>
      <c r="K88" s="2877" t="str">
        <f>_xlfn.XLOOKUP($E88,[52]宿泊施設DB!$B$3:$B$207,[52]宿泊施設DB!$S$3:$S$207,"",)</f>
        <v/>
      </c>
      <c r="L88" s="2916" t="str">
        <f>_xlfn.XLOOKUP($E88,[52]宿泊施設DB!$B$3:$B$207,[52]宿泊施設DB!$U$3:$U$207,"",)</f>
        <v/>
      </c>
      <c r="M88" s="2878" t="str">
        <f>_xlfn.XLOOKUP($E88,[52]宿泊施設DB!$B$3:$B$207,[52]宿泊施設DB!$V$3:$V$207,"",)</f>
        <v/>
      </c>
      <c r="N88" s="2878" t="str">
        <f>_xlfn.XLOOKUP($E88,[52]宿泊施設DB!$B$3:$B$207,[52]宿泊施設DB!$W$3:$W$207,"",)</f>
        <v/>
      </c>
      <c r="O88" s="2878" t="str">
        <f>_xlfn.XLOOKUP($E88,[52]宿泊施設DB!$B$3:$B$207,[52]宿泊施設DB!$X$3:$X$207,"",)</f>
        <v/>
      </c>
      <c r="P88" s="426"/>
      <c r="Q88" s="420"/>
      <c r="R88" s="3341"/>
      <c r="S88" s="478" t="str">
        <f>IFERROR(VLOOKUP($R88,'[52]競技情報DB(12,600人ver) '!$A$6:$D$203,2,),"－")</f>
        <v>－</v>
      </c>
      <c r="T88" s="479">
        <f>_xlfn.XLOOKUP(R88,'[52]競技情報DB(12,600人ver) '!$A$6:$A$101,'[52]競技情報DB(12,600人ver) '!$D$6:$D$101,"",0,)</f>
        <v>0</v>
      </c>
      <c r="U88" s="3365"/>
      <c r="V88" s="3343" t="str">
        <f>IFERROR(VLOOKUP($R88,'[52]競技情報DB(12,600人ver) '!$A$6:$D$203,3,),"－")</f>
        <v>－</v>
      </c>
      <c r="W88" s="3344"/>
      <c r="X88" s="3345"/>
      <c r="Y88" s="442"/>
      <c r="Z88" s="652"/>
      <c r="AA88" s="517"/>
      <c r="AB88" s="3346"/>
      <c r="AC88" s="3346"/>
      <c r="AD88" s="3347"/>
      <c r="AE88" s="518"/>
      <c r="AF88" s="445"/>
      <c r="AG88" s="445"/>
      <c r="AH88" s="445"/>
      <c r="AI88" s="445"/>
      <c r="AJ88" s="445"/>
      <c r="AK88" s="445"/>
      <c r="AL88" s="445"/>
      <c r="AM88" s="445"/>
      <c r="AN88" s="445"/>
      <c r="AO88" s="445"/>
      <c r="AP88" s="445"/>
      <c r="AQ88" s="445"/>
      <c r="AR88" s="445"/>
      <c r="AS88" s="445"/>
      <c r="AT88" s="445"/>
      <c r="AU88" s="445"/>
      <c r="AV88" s="445"/>
      <c r="AW88" s="445"/>
      <c r="AX88" s="445"/>
      <c r="AY88" s="445"/>
      <c r="AZ88" s="445"/>
      <c r="BA88" s="445"/>
      <c r="BB88" s="445"/>
      <c r="BC88" s="445"/>
      <c r="BD88" s="445"/>
      <c r="BE88" s="445"/>
      <c r="BF88" s="445"/>
      <c r="BG88" s="445"/>
      <c r="BH88" s="445"/>
      <c r="BI88" s="445"/>
      <c r="BJ88" s="445"/>
      <c r="BK88" s="445"/>
      <c r="BL88" s="445"/>
      <c r="BM88" s="445"/>
      <c r="BN88" s="449"/>
      <c r="BO88" s="573"/>
      <c r="BP88" s="614"/>
      <c r="BQ88" s="615"/>
    </row>
    <row r="89" spans="1:69" ht="46" customHeight="1">
      <c r="A89" s="2862"/>
      <c r="B89" s="2863" t="s">
        <v>2364</v>
      </c>
      <c r="C89" s="296">
        <f>C87+1</f>
        <v>26</v>
      </c>
      <c r="D89" s="297">
        <f>IF(_xlfn.XLOOKUP(E89,[52]宿泊施設DB!$B$3:$B$207,[52]宿泊施設DB!$A$3:$A$207,"",)=0,"",_xlfn.XLOOKUP(E89,[52]宿泊施設DB!$B$3:$B$207,[52]宿泊施設DB!$A$3:$A$207,"",))</f>
        <v>281</v>
      </c>
      <c r="E89" s="298" t="s">
        <v>2365</v>
      </c>
      <c r="F89" s="2864">
        <f>_xlfn.XLOOKUP($E89,[52]宿泊施設DB!$B$3:$B$207,[52]宿泊施設DB!$D$3:$D$207,"",)</f>
        <v>377</v>
      </c>
      <c r="G89" s="2864">
        <f>_xlfn.XLOOKUP($E89,[52]宿泊施設DB!$B$3:$B$207,[52]宿泊施設DB!$E$3:$E$207,"",)</f>
        <v>643</v>
      </c>
      <c r="H89" s="2865">
        <f>_xlfn.XLOOKUP($E89,[52]宿泊施設DB!$B$3:$B$207,[52]宿泊施設DB!$J$3:$J$207,"",)</f>
        <v>24</v>
      </c>
      <c r="I89" s="2866" t="str">
        <f>_xlfn.XLOOKUP($E89,[52]宿泊施設DB!$B$3:$B$207,[52]宿泊施設DB!$T$3:$T$207,"",)</f>
        <v>低</v>
      </c>
      <c r="J89" s="2866" t="str">
        <f>_xlfn.XLOOKUP($E89,[52]宿泊施設DB!$B$3:$B$207,[52]宿泊施設DB!$R$3:$R$207,"",)</f>
        <v>宿泊施設</v>
      </c>
      <c r="K89" s="2865">
        <f>_xlfn.XLOOKUP($E89,[52]宿泊施設DB!$B$3:$B$207,[52]宿泊施設DB!$S$3:$S$207,"",)</f>
        <v>122</v>
      </c>
      <c r="L89" s="2866" t="str">
        <f>_xlfn.XLOOKUP($E89,[52]宿泊施設DB!$B$3:$B$207,[52]宿泊施設DB!$U$3:$U$207,"",)</f>
        <v>○</v>
      </c>
      <c r="M89" s="2866" t="str">
        <f>_xlfn.XLOOKUP($E89,[52]宿泊施設DB!$B$3:$B$207,[52]宿泊施設DB!$V$3:$V$207,"",)</f>
        <v>○(ｼﾞﾑ内等)</v>
      </c>
      <c r="N89" s="2866" t="str">
        <f>_xlfn.XLOOKUP($E89,[52]宿泊施設DB!$B$3:$B$207,[52]宿泊施設DB!$W$3:$W$207,"",)</f>
        <v>○</v>
      </c>
      <c r="O89" s="2866" t="str">
        <f>_xlfn.XLOOKUP($E89,[52]宿泊施設DB!$B$3:$B$207,[52]宿泊施設DB!$X$3:$X$207,"",)</f>
        <v>玄関前（屋根付）2台</v>
      </c>
      <c r="P89" s="302" t="str">
        <f t="shared" ref="P89:P101" si="4">IF(AND(E89&lt;&gt;"", R89&lt;&gt;"－"), "○", "")</f>
        <v>○</v>
      </c>
      <c r="Q89" s="296" t="s">
        <v>2136</v>
      </c>
      <c r="R89" s="703" t="s">
        <v>2367</v>
      </c>
      <c r="S89" s="528" t="str">
        <f>IFERROR(VLOOKUP($R89,'[52]競技情報DB(12,600人ver) '!$A$6:$D$203,2,),"－")</f>
        <v>豊橋市</v>
      </c>
      <c r="T89" s="529">
        <f>_xlfn.XLOOKUP(R89,'[52]競技情報DB(12,600人ver) '!$A$6:$A$101,'[52]競技情報DB(12,600人ver) '!$D$6:$D$101,"",0,)</f>
        <v>224</v>
      </c>
      <c r="U89" s="3307">
        <f>SUM(T89:T90)</f>
        <v>432</v>
      </c>
      <c r="V89" s="3350" t="str">
        <f>IFERROR(VLOOKUP($R89,'[52]競技情報DB(12,600人ver) '!$A$6:$D$203,3,),"－")</f>
        <v>豊橋市総合体育館</v>
      </c>
      <c r="W89" s="3351">
        <v>5.8</v>
      </c>
      <c r="X89" s="3352">
        <v>13</v>
      </c>
      <c r="Y89" s="318">
        <f>$G89-MAX(AF89:BN89)</f>
        <v>419</v>
      </c>
      <c r="Z89" s="311">
        <f>+Y89/$G89</f>
        <v>0.65163297045101087</v>
      </c>
      <c r="AA89" s="491" t="str">
        <f>E89&amp;"　"&amp;"合計"</f>
        <v>ロワジールホテル豊橋　合計</v>
      </c>
      <c r="AB89" s="3325">
        <f>IFERROR(INDEX($AF$3:$BN$3, MATCH("準備", AF89:BN89, 0)), "")</f>
        <v>46279</v>
      </c>
      <c r="AC89" s="3325" cm="1">
        <f t="array" ref="AC89">IF(COUNTIF(AF89:BN89,"*撤去*")=0,"",INDEX(AF$3:BN$3,1,MAX(IF(AF89:BN89="撤去",COLUMN(AF89:BN89)-COLUMN(AF89)+1))))</f>
        <v>46300</v>
      </c>
      <c r="AD89" s="3326">
        <f>AC89-AB89</f>
        <v>21</v>
      </c>
      <c r="AE89" s="492" t="str">
        <f>+$AE$114</f>
        <v>12,600人</v>
      </c>
      <c r="AF89" s="493">
        <f>+_xlfn.XLOOKUP($AA89,'[52]②配宿シュミレーション(12,600人ver) '!$AO$6:$AO$707,'[52]②配宿シュミレーション(12,600人ver) '!AP$6:AP$707,)</f>
        <v>0</v>
      </c>
      <c r="AG89" s="493">
        <f>+_xlfn.XLOOKUP($AA89,'[52]②配宿シュミレーション(12,600人ver) '!$AO$6:$AO$707,'[52]②配宿シュミレーション(12,600人ver) '!AQ$6:AQ$707,)</f>
        <v>0</v>
      </c>
      <c r="AH89" s="493">
        <f>+_xlfn.XLOOKUP($AA89,'[52]②配宿シュミレーション(12,600人ver) '!$AO$6:$AO$707,'[52]②配宿シュミレーション(12,600人ver) '!AR$6:AR$707,)</f>
        <v>0</v>
      </c>
      <c r="AI89" s="493">
        <f>+_xlfn.XLOOKUP($AA89,'[52]②配宿シュミレーション(12,600人ver) '!$AO$6:$AO$707,'[52]②配宿シュミレーション(12,600人ver) '!AS$6:AS$707,)</f>
        <v>0</v>
      </c>
      <c r="AJ89" s="493">
        <f>+_xlfn.XLOOKUP($AA89,'[52]②配宿シュミレーション(12,600人ver) '!$AO$6:$AO$707,'[52]②配宿シュミレーション(12,600人ver) '!AT$6:AT$707,)</f>
        <v>0</v>
      </c>
      <c r="AK89" s="493">
        <f>+_xlfn.XLOOKUP($AA89,'[52]②配宿シュミレーション(12,600人ver) '!$AO$6:$AO$707,'[52]②配宿シュミレーション(12,600人ver) '!AU$6:AU$707,)</f>
        <v>0</v>
      </c>
      <c r="AL89" s="493">
        <f>+_xlfn.XLOOKUP($AA89,'[52]②配宿シュミレーション(12,600人ver) '!$AO$6:$AO$707,'[52]②配宿シュミレーション(12,600人ver) '!AV$6:AV$707,)</f>
        <v>0</v>
      </c>
      <c r="AM89" s="493">
        <f>+_xlfn.XLOOKUP($AA89,'[52]②配宿シュミレーション(12,600人ver) '!$AO$6:$AO$707,'[52]②配宿シュミレーション(12,600人ver) '!AW$6:AW$707,)</f>
        <v>0</v>
      </c>
      <c r="AN89" s="493">
        <f>+_xlfn.XLOOKUP($AA89,'[52]②配宿シュミレーション(12,600人ver) '!$AO$6:$AO$707,'[52]②配宿シュミレーション(12,600人ver) '!AX$6:AX$707,)</f>
        <v>0</v>
      </c>
      <c r="AO89" s="493">
        <f>+_xlfn.XLOOKUP($AA89,'[52]②配宿シュミレーション(12,600人ver) '!$AO$6:$AO$707,'[52]②配宿シュミレーション(12,600人ver) '!AY$6:AY$707,)</f>
        <v>0</v>
      </c>
      <c r="AP89" s="3327" t="s">
        <v>2447</v>
      </c>
      <c r="AQ89" s="3305">
        <f>+_xlfn.XLOOKUP($AA89,'[52]②配宿シュミレーション(12,600人ver) '!$AO$6:$AO$707,'[52]②配宿シュミレーション(12,600人ver) '!BA$6:BA$707,)</f>
        <v>0</v>
      </c>
      <c r="AR89" s="493">
        <f>+_xlfn.XLOOKUP($AA89,'[52]②配宿シュミレーション(12,600人ver) '!$AO$6:$AO$707,'[52]②配宿シュミレーション(12,600人ver) '!BB$6:BB$707,)</f>
        <v>224</v>
      </c>
      <c r="AS89" s="493">
        <f>+_xlfn.XLOOKUP($AA89,'[52]②配宿シュミレーション(12,600人ver) '!$AO$6:$AO$707,'[52]②配宿シュミレーション(12,600人ver) '!BC$6:BC$707,)</f>
        <v>224</v>
      </c>
      <c r="AT89" s="493">
        <f>+_xlfn.XLOOKUP($AA89,'[52]②配宿シュミレーション(12,600人ver) '!$AO$6:$AO$707,'[52]②配宿シュミレーション(12,600人ver) '!BD$6:BD$707,)</f>
        <v>224</v>
      </c>
      <c r="AU89" s="493">
        <f>+_xlfn.XLOOKUP($AA89,'[52]②配宿シュミレーション(12,600人ver) '!$AO$6:$AO$707,'[52]②配宿シュミレーション(12,600人ver) '!BE$6:BE$707,)</f>
        <v>224</v>
      </c>
      <c r="AV89" s="493">
        <f>+_xlfn.XLOOKUP($AA89,'[52]②配宿シュミレーション(12,600人ver) '!$AO$6:$AO$707,'[52]②配宿シュミレーション(12,600人ver) '!BF$6:BF$707,)</f>
        <v>224</v>
      </c>
      <c r="AW89" s="493">
        <f>+_xlfn.XLOOKUP($AA89,'[52]②配宿シュミレーション(12,600人ver) '!$AO$6:$AO$707,'[52]②配宿シュミレーション(12,600人ver) '!BG$6:BG$707,)</f>
        <v>224</v>
      </c>
      <c r="AX89" s="493">
        <f>+_xlfn.XLOOKUP($AA89,'[52]②配宿シュミレーション(12,600人ver) '!$AO$6:$AO$707,'[52]②配宿シュミレーション(12,600人ver) '!BH$6:BH$707,)</f>
        <v>224</v>
      </c>
      <c r="AY89" s="493">
        <f>+_xlfn.XLOOKUP($AA89,'[52]②配宿シュミレーション(12,600人ver) '!$AO$6:$AO$707,'[52]②配宿シュミレーション(12,600人ver) '!BI$6:BI$707,)</f>
        <v>224</v>
      </c>
      <c r="AZ89" s="493">
        <f>+_xlfn.XLOOKUP($AA89,'[52]②配宿シュミレーション(12,600人ver) '!$AO$6:$AO$707,'[52]②配宿シュミレーション(12,600人ver) '!BJ$6:BJ$707,)</f>
        <v>224</v>
      </c>
      <c r="BA89" s="493">
        <f>+_xlfn.XLOOKUP($AA89,'[52]②配宿シュミレーション(12,600人ver) '!$AO$6:$AO$707,'[52]②配宿シュミレーション(12,600人ver) '!BK$6:BK$707,)</f>
        <v>0</v>
      </c>
      <c r="BB89" s="493">
        <f>+_xlfn.XLOOKUP($AA89,'[52]②配宿シュミレーション(12,600人ver) '!$AO$6:$AO$707,'[52]②配宿シュミレーション(12,600人ver) '!BL$6:BL$707,)</f>
        <v>0</v>
      </c>
      <c r="BC89" s="493">
        <f>+_xlfn.XLOOKUP($AA89,'[52]②配宿シュミレーション(12,600人ver) '!$AO$6:$AO$707,'[52]②配宿シュミレーション(12,600人ver) '!BM$6:BM$707,)</f>
        <v>0</v>
      </c>
      <c r="BD89" s="493">
        <f>+_xlfn.XLOOKUP($AA89,'[52]②配宿シュミレーション(12,600人ver) '!$AO$6:$AO$707,'[52]②配宿シュミレーション(12,600人ver) '!BN$6:BN$707,)</f>
        <v>208</v>
      </c>
      <c r="BE89" s="493">
        <f>+_xlfn.XLOOKUP($AA89,'[52]②配宿シュミレーション(12,600人ver) '!$AO$6:$AO$707,'[52]②配宿シュミレーション(12,600人ver) '!BO$6:BO$707,)</f>
        <v>208</v>
      </c>
      <c r="BF89" s="493">
        <f>+_xlfn.XLOOKUP($AA89,'[52]②配宿シュミレーション(12,600人ver) '!$AO$6:$AO$707,'[52]②配宿シュミレーション(12,600人ver) '!BP$6:BP$707,)</f>
        <v>208</v>
      </c>
      <c r="BG89" s="493">
        <f>+_xlfn.XLOOKUP($AA89,'[52]②配宿シュミレーション(12,600人ver) '!$AO$6:$AO$707,'[52]②配宿シュミレーション(12,600人ver) '!BQ$6:BQ$707,)</f>
        <v>208</v>
      </c>
      <c r="BH89" s="493">
        <f>+_xlfn.XLOOKUP($AA89,'[52]②配宿シュミレーション(12,600人ver) '!$AO$6:$AO$707,'[52]②配宿シュミレーション(12,600人ver) '!BR$6:BR$707,)</f>
        <v>208</v>
      </c>
      <c r="BI89" s="493">
        <f>+_xlfn.XLOOKUP($AA89,'[52]②配宿シュミレーション(12,600人ver) '!$AO$6:$AO$707,'[52]②配宿シュミレーション(12,600人ver) '!BS$6:BS$707,)</f>
        <v>208</v>
      </c>
      <c r="BJ89" s="493">
        <f>+_xlfn.XLOOKUP($AA89,'[52]②配宿シュミレーション(12,600人ver) '!$AO$6:$AO$707,'[52]②配宿シュミレーション(12,600人ver) '!BT$6:BT$707,)</f>
        <v>208</v>
      </c>
      <c r="BK89" s="3306" t="s">
        <v>2448</v>
      </c>
      <c r="BL89" s="493">
        <f>+_xlfn.XLOOKUP($AA89,'[52]②配宿シュミレーション(12,600人ver) '!$AO$6:$AO$707,'[52]②配宿シュミレーション(12,600人ver) '!BV$6:BV$707,)</f>
        <v>0</v>
      </c>
      <c r="BM89" s="493">
        <f>+_xlfn.XLOOKUP($AA89,'[52]②配宿シュミレーション(12,600人ver) '!$AO$6:$AO$707,'[52]②配宿シュミレーション(12,600人ver) '!BW$6:BW$707,)</f>
        <v>0</v>
      </c>
      <c r="BN89" s="499">
        <f>+_xlfn.XLOOKUP($AA89,'[52]②配宿シュミレーション(12,600人ver) '!$AO$6:$AO$707,'[52]②配宿シュミレーション(12,600人ver) '!BX$6:BX$707,)</f>
        <v>0</v>
      </c>
      <c r="BO89" s="290"/>
      <c r="BP89" s="332"/>
      <c r="BQ89" s="333"/>
    </row>
    <row r="90" spans="1:69" ht="46" customHeight="1" thickBot="1">
      <c r="A90" s="2922"/>
      <c r="B90" s="2923"/>
      <c r="C90" s="744"/>
      <c r="D90" s="745" t="str">
        <f>IF(_xlfn.XLOOKUP(E90,[52]宿泊施設DB!$B$3:$B$207,[52]宿泊施設DB!$A$3:$A$207,"",)=0,"",_xlfn.XLOOKUP(E90,[52]宿泊施設DB!$B$3:$B$207,[52]宿泊施設DB!$A$3:$A$207,"",))</f>
        <v/>
      </c>
      <c r="E90" s="746"/>
      <c r="F90" s="2924">
        <f>_xlfn.XLOOKUP($E90,[52]宿泊施設DB!$B$3:$B$207,[52]宿泊施設DB!$D$3:$D$207,"",)</f>
        <v>0</v>
      </c>
      <c r="G90" s="2924">
        <f>_xlfn.XLOOKUP($E90,[52]宿泊施設DB!$B$3:$B$207,[52]宿泊施設DB!$E$3:$E$207,"",)</f>
        <v>0</v>
      </c>
      <c r="H90" s="2925">
        <f>_xlfn.XLOOKUP($E90,[52]宿泊施設DB!$B$3:$B$207,[52]宿泊施設DB!$J$3:$J$207,"",)</f>
        <v>0</v>
      </c>
      <c r="I90" s="2926">
        <f>_xlfn.XLOOKUP($E90,[52]宿泊施設DB!$B$3:$B$207,[52]宿泊施設DB!$T$3:$T$207,"",)</f>
        <v>0</v>
      </c>
      <c r="J90" s="2926">
        <f>_xlfn.XLOOKUP($E90,[52]宿泊施設DB!$B$3:$B$207,[52]宿泊施設DB!$R$3:$R$207,"",)</f>
        <v>0</v>
      </c>
      <c r="K90" s="2925">
        <f>_xlfn.XLOOKUP($E90,[52]宿泊施設DB!$B$3:$B$207,[52]宿泊施設DB!$S$3:$S$207,"",)</f>
        <v>0</v>
      </c>
      <c r="L90" s="2926">
        <f>_xlfn.XLOOKUP($E90,[52]宿泊施設DB!$B$3:$B$207,[52]宿泊施設DB!$U$3:$U$207,"",)</f>
        <v>0</v>
      </c>
      <c r="M90" s="2926">
        <f>_xlfn.XLOOKUP($E90,[52]宿泊施設DB!$B$3:$B$207,[52]宿泊施設DB!$V$3:$V$207,"",)</f>
        <v>0</v>
      </c>
      <c r="N90" s="2926">
        <f>_xlfn.XLOOKUP($E90,[52]宿泊施設DB!$B$3:$B$207,[52]宿泊施設DB!$W$3:$W$207,"",)</f>
        <v>0</v>
      </c>
      <c r="O90" s="2926">
        <f>_xlfn.XLOOKUP($E90,[52]宿泊施設DB!$B$3:$B$207,[52]宿泊施設DB!$X$3:$X$207,"",)</f>
        <v>0</v>
      </c>
      <c r="P90" s="750" t="str">
        <f t="shared" si="4"/>
        <v/>
      </c>
      <c r="Q90" s="744"/>
      <c r="R90" s="3406" t="s">
        <v>2369</v>
      </c>
      <c r="S90" s="761" t="str">
        <f>IFERROR(VLOOKUP($R90,'[52]競技情報DB(12,600人ver) '!$A$6:$D$203,2,),"－")</f>
        <v>豊橋市</v>
      </c>
      <c r="T90" s="762">
        <f>_xlfn.XLOOKUP(R90,'[52]競技情報DB(12,600人ver) '!$A$6:$A$101,'[52]競技情報DB(12,600人ver) '!$D$6:$D$101,"",0,)</f>
        <v>208</v>
      </c>
      <c r="U90" s="3407"/>
      <c r="V90" s="3408" t="str">
        <f>IFERROR(VLOOKUP($R90,'[52]競技情報DB(12,600人ver) '!$A$6:$D$203,3,),"－")</f>
        <v>豊橋市総合体育館</v>
      </c>
      <c r="W90" s="3409">
        <v>5.8</v>
      </c>
      <c r="X90" s="3410">
        <v>13</v>
      </c>
      <c r="Y90" s="766"/>
      <c r="Z90" s="759"/>
      <c r="AA90" s="3411"/>
      <c r="AB90" s="3412"/>
      <c r="AC90" s="3412"/>
      <c r="AD90" s="3413"/>
      <c r="AE90" s="3414"/>
      <c r="AF90" s="3415"/>
      <c r="AG90" s="3415"/>
      <c r="AH90" s="3415"/>
      <c r="AI90" s="3415"/>
      <c r="AJ90" s="3415"/>
      <c r="AK90" s="3415"/>
      <c r="AL90" s="3415"/>
      <c r="AM90" s="3415"/>
      <c r="AN90" s="3415"/>
      <c r="AO90" s="3415"/>
      <c r="AP90" s="3415"/>
      <c r="AQ90" s="3415"/>
      <c r="AR90" s="3415"/>
      <c r="AS90" s="3415"/>
      <c r="AT90" s="3415"/>
      <c r="AU90" s="3415"/>
      <c r="AV90" s="3415"/>
      <c r="AW90" s="3415"/>
      <c r="AX90" s="3415"/>
      <c r="AY90" s="3415"/>
      <c r="AZ90" s="3415"/>
      <c r="BA90" s="3415"/>
      <c r="BB90" s="3415"/>
      <c r="BC90" s="3415"/>
      <c r="BD90" s="3415"/>
      <c r="BE90" s="3415"/>
      <c r="BF90" s="3415"/>
      <c r="BG90" s="3415"/>
      <c r="BH90" s="3415"/>
      <c r="BI90" s="3415"/>
      <c r="BJ90" s="3415"/>
      <c r="BK90" s="3415"/>
      <c r="BL90" s="3415"/>
      <c r="BM90" s="3415"/>
      <c r="BN90" s="3416"/>
      <c r="BO90" s="290"/>
      <c r="BP90" s="332"/>
      <c r="BQ90" s="333"/>
    </row>
    <row r="91" spans="1:69" ht="46" customHeight="1" thickTop="1">
      <c r="A91" s="2862" t="s">
        <v>2377</v>
      </c>
      <c r="B91" s="2863" t="s">
        <v>2378</v>
      </c>
      <c r="C91" s="296">
        <f>C89+1</f>
        <v>27</v>
      </c>
      <c r="D91" s="297">
        <f>IF(_xlfn.XLOOKUP(E91,[52]宿泊施設DB!$B$3:$B$207,[52]宿泊施設DB!$A$3:$A$207,"",)=0,"",_xlfn.XLOOKUP(E91,[52]宿泊施設DB!$B$3:$B$207,[52]宿泊施設DB!$A$3:$A$207,"",))</f>
        <v>2026</v>
      </c>
      <c r="E91" s="298" t="s">
        <v>2379</v>
      </c>
      <c r="F91" s="2864">
        <f>_xlfn.XLOOKUP($E91,[52]宿泊施設DB!$B$3:$B$207,[52]宿泊施設DB!$D$3:$D$207,"",)</f>
        <v>158</v>
      </c>
      <c r="G91" s="2864">
        <f>_xlfn.XLOOKUP($E91,[52]宿泊施設DB!$B$3:$B$207,[52]宿泊施設DB!$E$3:$E$207,"",)</f>
        <v>184</v>
      </c>
      <c r="H91" s="2865">
        <f>_xlfn.XLOOKUP($E91,[52]宿泊施設DB!$B$3:$B$207,[52]宿泊施設DB!$J$3:$J$207,"",)</f>
        <v>14</v>
      </c>
      <c r="I91" s="2866" t="str">
        <f>_xlfn.XLOOKUP($E91,[52]宿泊施設DB!$B$3:$B$207,[52]宿泊施設DB!$T$3:$T$207,"",)</f>
        <v>中</v>
      </c>
      <c r="J91" s="2866" t="str">
        <f>_xlfn.XLOOKUP($E91,[52]宿泊施設DB!$B$3:$B$207,[52]宿泊施設DB!$R$3:$R$207,"",)</f>
        <v>宿泊施設</v>
      </c>
      <c r="K91" s="2865">
        <f>_xlfn.XLOOKUP($E91,[52]宿泊施設DB!$B$3:$B$207,[52]宿泊施設DB!$S$3:$S$207,"",)</f>
        <v>150</v>
      </c>
      <c r="L91" s="2915" t="str">
        <f>_xlfn.XLOOKUP($E91,[52]宿泊施設DB!$B$3:$B$207,[52]宿泊施設DB!$U$3:$U$207,"",)</f>
        <v>－</v>
      </c>
      <c r="M91" s="2866" t="str">
        <f>_xlfn.XLOOKUP($E91,[52]宿泊施設DB!$B$3:$B$207,[52]宿泊施設DB!$V$3:$V$207,"",)</f>
        <v>○</v>
      </c>
      <c r="N91" s="2866" t="str">
        <f>_xlfn.XLOOKUP($E91,[52]宿泊施設DB!$B$3:$B$207,[52]宿泊施設DB!$W$3:$W$207,"",)</f>
        <v>－</v>
      </c>
      <c r="O91" s="2866" t="str">
        <f>_xlfn.XLOOKUP($E91,[52]宿泊施設DB!$B$3:$B$207,[52]宿泊施設DB!$X$3:$X$207,"",)</f>
        <v>玄関前（屋根無）2台</v>
      </c>
      <c r="P91" s="302" t="str">
        <f t="shared" si="4"/>
        <v>○</v>
      </c>
      <c r="Q91" s="296" t="s">
        <v>2136</v>
      </c>
      <c r="R91" s="703" t="s">
        <v>2483</v>
      </c>
      <c r="S91" s="528" t="str">
        <f>IFERROR(VLOOKUP($R91,'[52]競技情報DB(12,600人ver) '!$A$6:$D$203,2,),"－")</f>
        <v>各務原市</v>
      </c>
      <c r="T91" s="529">
        <f>_xlfn.XLOOKUP(R91,'[52]競技情報DB(12,600人ver) '!$A$6:$A$101,'[52]競技情報DB(12,600人ver) '!$D$6:$D$101,"",0,)</f>
        <v>168</v>
      </c>
      <c r="U91" s="3307">
        <f>SUM(T91:T92)</f>
        <v>168</v>
      </c>
      <c r="V91" s="3350" t="str">
        <f>IFERROR(VLOOKUP($R91,'[52]競技情報DB(12,600人ver) '!$A$6:$D$203,3,),"－")</f>
        <v>岐阜県グリーンスタジアム</v>
      </c>
      <c r="W91" s="3351">
        <v>15.9</v>
      </c>
      <c r="X91" s="3352">
        <v>23</v>
      </c>
      <c r="Y91" s="318">
        <f>$G91-MAX(AF91:BN91)</f>
        <v>16</v>
      </c>
      <c r="Z91" s="311">
        <f>+Y91/$G91</f>
        <v>8.6956521739130432E-2</v>
      </c>
      <c r="AA91" s="491" t="str">
        <f>E91&amp;"　"&amp;"合計"</f>
        <v>岐阜グランドホテル　合計</v>
      </c>
      <c r="AB91" s="3325">
        <f>IFERROR(INDEX($AF$3:$BN$3, MATCH("準備", AF91:BN91, 0)), "")</f>
        <v>46277</v>
      </c>
      <c r="AC91" s="3325" cm="1">
        <f t="array" ref="AC91">IF(COUNTIF(AF91:BN91,"*撤去*")=0,"",INDEX(AF$3:BN$3,1,MAX(IF(AF91:BN91="撤去",COLUMN(AF91:BN91)-COLUMN(AF91)+1))))</f>
        <v>46300</v>
      </c>
      <c r="AD91" s="3326">
        <f>AC91-AB91</f>
        <v>23</v>
      </c>
      <c r="AE91" s="492" t="str">
        <f>+$AE$114</f>
        <v>12,600人</v>
      </c>
      <c r="AF91" s="494">
        <f>+_xlfn.XLOOKUP($AA91,'[52]②配宿シュミレーション(12,600人ver) '!$AO$6:$AO$707,'[52]②配宿シュミレーション(12,600人ver) '!AP$6:AP$707,)</f>
        <v>0</v>
      </c>
      <c r="AG91" s="494">
        <f>+_xlfn.XLOOKUP($AA91,'[52]②配宿シュミレーション(12,600人ver) '!$AO$6:$AO$707,'[52]②配宿シュミレーション(12,600人ver) '!AQ$6:AQ$707,)</f>
        <v>0</v>
      </c>
      <c r="AH91" s="494">
        <f>+_xlfn.XLOOKUP($AA91,'[52]②配宿シュミレーション(12,600人ver) '!$AO$6:$AO$707,'[52]②配宿シュミレーション(12,600人ver) '!AR$6:AR$707,)</f>
        <v>0</v>
      </c>
      <c r="AI91" s="494">
        <f>+_xlfn.XLOOKUP($AA91,'[52]②配宿シュミレーション(12,600人ver) '!$AO$6:$AO$707,'[52]②配宿シュミレーション(12,600人ver) '!AS$6:AS$707,)</f>
        <v>0</v>
      </c>
      <c r="AJ91" s="494">
        <f>+_xlfn.XLOOKUP($AA91,'[52]②配宿シュミレーション(12,600人ver) '!$AO$6:$AO$707,'[52]②配宿シュミレーション(12,600人ver) '!AT$6:AT$707,)</f>
        <v>0</v>
      </c>
      <c r="AK91" s="494">
        <f>+_xlfn.XLOOKUP($AA91,'[52]②配宿シュミレーション(12,600人ver) '!$AO$6:$AO$707,'[52]②配宿シュミレーション(12,600人ver) '!AU$6:AU$707,)</f>
        <v>0</v>
      </c>
      <c r="AL91" s="494">
        <f>+_xlfn.XLOOKUP($AA91,'[52]②配宿シュミレーション(12,600人ver) '!$AO$6:$AO$707,'[52]②配宿シュミレーション(12,600人ver) '!AV$6:AV$707,)</f>
        <v>0</v>
      </c>
      <c r="AM91" s="494">
        <f>+_xlfn.XLOOKUP($AA91,'[52]②配宿シュミレーション(12,600人ver) '!$AO$6:$AO$707,'[52]②配宿シュミレーション(12,600人ver) '!AW$6:AW$707,)</f>
        <v>0</v>
      </c>
      <c r="AN91" s="3327" t="s">
        <v>2447</v>
      </c>
      <c r="AO91" s="3364">
        <f>+_xlfn.XLOOKUP($AA91,'[52]②配宿シュミレーション(12,600人ver) '!$AO$6:$AO$707,'[52]②配宿シュミレーション(12,600人ver) '!AY$6:AY$707,)</f>
        <v>0</v>
      </c>
      <c r="AP91" s="494">
        <f>+_xlfn.XLOOKUP($AA91,'[52]②配宿シュミレーション(12,600人ver) '!$AO$6:$AO$707,'[52]②配宿シュミレーション(12,600人ver) '!AZ$6:AZ$707,)</f>
        <v>168</v>
      </c>
      <c r="AQ91" s="494">
        <f>+_xlfn.XLOOKUP($AA91,'[52]②配宿シュミレーション(12,600人ver) '!$AO$6:$AO$707,'[52]②配宿シュミレーション(12,600人ver) '!BA$6:BA$707,)</f>
        <v>168</v>
      </c>
      <c r="AR91" s="494">
        <f>+_xlfn.XLOOKUP($AA91,'[52]②配宿シュミレーション(12,600人ver) '!$AO$6:$AO$707,'[52]②配宿シュミレーション(12,600人ver) '!BB$6:BB$707,)</f>
        <v>168</v>
      </c>
      <c r="AS91" s="494">
        <f>+_xlfn.XLOOKUP($AA91,'[52]②配宿シュミレーション(12,600人ver) '!$AO$6:$AO$707,'[52]②配宿シュミレーション(12,600人ver) '!BC$6:BC$707,)</f>
        <v>168</v>
      </c>
      <c r="AT91" s="494">
        <f>+_xlfn.XLOOKUP($AA91,'[52]②配宿シュミレーション(12,600人ver) '!$AO$6:$AO$707,'[52]②配宿シュミレーション(12,600人ver) '!BD$6:BD$707,)</f>
        <v>168</v>
      </c>
      <c r="AU91" s="494">
        <f>+_xlfn.XLOOKUP($AA91,'[52]②配宿シュミレーション(12,600人ver) '!$AO$6:$AO$707,'[52]②配宿シュミレーション(12,600人ver) '!BE$6:BE$707,)</f>
        <v>168</v>
      </c>
      <c r="AV91" s="494">
        <f>+_xlfn.XLOOKUP($AA91,'[52]②配宿シュミレーション(12,600人ver) '!$AO$6:$AO$707,'[52]②配宿シュミレーション(12,600人ver) '!BF$6:BF$707,)</f>
        <v>168</v>
      </c>
      <c r="AW91" s="494">
        <f>+_xlfn.XLOOKUP($AA91,'[52]②配宿シュミレーション(12,600人ver) '!$AO$6:$AO$707,'[52]②配宿シュミレーション(12,600人ver) '!BG$6:BG$707,)</f>
        <v>168</v>
      </c>
      <c r="AX91" s="494">
        <f>+_xlfn.XLOOKUP($AA91,'[52]②配宿シュミレーション(12,600人ver) '!$AO$6:$AO$707,'[52]②配宿シュミレーション(12,600人ver) '!BH$6:BH$707,)</f>
        <v>168</v>
      </c>
      <c r="AY91" s="494">
        <f>+_xlfn.XLOOKUP($AA91,'[52]②配宿シュミレーション(12,600人ver) '!$AO$6:$AO$707,'[52]②配宿シュミレーション(12,600人ver) '!BI$6:BI$707,)</f>
        <v>168</v>
      </c>
      <c r="AZ91" s="494">
        <f>+_xlfn.XLOOKUP($AA91,'[52]②配宿シュミレーション(12,600人ver) '!$AO$6:$AO$707,'[52]②配宿シュミレーション(12,600人ver) '!BJ$6:BJ$707,)</f>
        <v>168</v>
      </c>
      <c r="BA91" s="494">
        <f>+_xlfn.XLOOKUP($AA91,'[52]②配宿シュミレーション(12,600人ver) '!$AO$6:$AO$707,'[52]②配宿シュミレーション(12,600人ver) '!BK$6:BK$707,)</f>
        <v>168</v>
      </c>
      <c r="BB91" s="494">
        <f>+_xlfn.XLOOKUP($AA91,'[52]②配宿シュミレーション(12,600人ver) '!$AO$6:$AO$707,'[52]②配宿シュミレーション(12,600人ver) '!BL$6:BL$707,)</f>
        <v>168</v>
      </c>
      <c r="BC91" s="494">
        <f>+_xlfn.XLOOKUP($AA91,'[52]②配宿シュミレーション(12,600人ver) '!$AO$6:$AO$707,'[52]②配宿シュミレーション(12,600人ver) '!BM$6:BM$707,)</f>
        <v>168</v>
      </c>
      <c r="BD91" s="494">
        <f>+_xlfn.XLOOKUP($AA91,'[52]②配宿シュミレーション(12,600人ver) '!$AO$6:$AO$707,'[52]②配宿シュミレーション(12,600人ver) '!BN$6:BN$707,)</f>
        <v>168</v>
      </c>
      <c r="BE91" s="494">
        <f>+_xlfn.XLOOKUP($AA91,'[52]②配宿シュミレーション(12,600人ver) '!$AO$6:$AO$707,'[52]②配宿シュミレーション(12,600人ver) '!BO$6:BO$707,)</f>
        <v>168</v>
      </c>
      <c r="BF91" s="494">
        <f>+_xlfn.XLOOKUP($AA91,'[52]②配宿シュミレーション(12,600人ver) '!$AO$6:$AO$707,'[52]②配宿シュミレーション(12,600人ver) '!BP$6:BP$707,)</f>
        <v>168</v>
      </c>
      <c r="BG91" s="494">
        <f>+_xlfn.XLOOKUP($AA91,'[52]②配宿シュミレーション(12,600人ver) '!$AO$6:$AO$707,'[52]②配宿シュミレーション(12,600人ver) '!BQ$6:BQ$707,)</f>
        <v>168</v>
      </c>
      <c r="BH91" s="494">
        <f>+_xlfn.XLOOKUP($AA91,'[52]②配宿シュミレーション(12,600人ver) '!$AO$6:$AO$707,'[52]②配宿シュミレーション(12,600人ver) '!BR$6:BR$707,)</f>
        <v>168</v>
      </c>
      <c r="BI91" s="494">
        <f>+_xlfn.XLOOKUP($AA91,'[52]②配宿シュミレーション(12,600人ver) '!$AO$6:$AO$707,'[52]②配宿シュミレーション(12,600人ver) '!BS$6:BS$707,)</f>
        <v>168</v>
      </c>
      <c r="BJ91" s="494">
        <f>+_xlfn.XLOOKUP($AA91,'[52]②配宿シュミレーション(12,600人ver) '!$AO$6:$AO$707,'[52]②配宿シュミレーション(12,600人ver) '!BT$6:BT$707,)</f>
        <v>168</v>
      </c>
      <c r="BK91" s="3306" t="s">
        <v>2448</v>
      </c>
      <c r="BL91" s="494">
        <f>+_xlfn.XLOOKUP($AA91,'[52]②配宿シュミレーション(12,600人ver) '!$AO$6:$AO$707,'[52]②配宿シュミレーション(12,600人ver) '!BV$6:BV$707,)</f>
        <v>0</v>
      </c>
      <c r="BM91" s="494">
        <f>+_xlfn.XLOOKUP($AA91,'[52]②配宿シュミレーション(12,600人ver) '!$AO$6:$AO$707,'[52]②配宿シュミレーション(12,600人ver) '!BW$6:BW$707,)</f>
        <v>0</v>
      </c>
      <c r="BN91" s="499">
        <f>+_xlfn.XLOOKUP($AA91,'[52]②配宿シュミレーション(12,600人ver) '!$AO$6:$AO$707,'[52]②配宿シュミレーション(12,600人ver) '!BX$6:BX$707,)</f>
        <v>0</v>
      </c>
      <c r="BO91" s="573"/>
      <c r="BP91" s="332"/>
      <c r="BQ91" s="333"/>
    </row>
    <row r="92" spans="1:69" s="521" customFormat="1" ht="46" customHeight="1" thickBot="1">
      <c r="A92" s="2862"/>
      <c r="B92" s="2863"/>
      <c r="C92" s="296"/>
      <c r="D92" s="297" t="str">
        <f>IF(_xlfn.XLOOKUP(E92,[52]宿泊施設DB!$B$3:$B$207,[52]宿泊施設DB!$A$3:$A$207,"",)=0,"",_xlfn.XLOOKUP(E92,[52]宿泊施設DB!$B$3:$B$207,[52]宿泊施設DB!$A$3:$A$207,"",))</f>
        <v/>
      </c>
      <c r="E92" s="298"/>
      <c r="F92" s="2864">
        <f>_xlfn.XLOOKUP($E92,[52]宿泊施設DB!$B$3:$B$207,[52]宿泊施設DB!$D$3:$D$207,"",)</f>
        <v>0</v>
      </c>
      <c r="G92" s="2864">
        <f>_xlfn.XLOOKUP($E92,[52]宿泊施設DB!$B$3:$B$207,[52]宿泊施設DB!$E$3:$E$207,"",)</f>
        <v>0</v>
      </c>
      <c r="H92" s="2865">
        <f>_xlfn.XLOOKUP($E92,[52]宿泊施設DB!$B$3:$B$207,[52]宿泊施設DB!$J$3:$J$207,"",)</f>
        <v>0</v>
      </c>
      <c r="I92" s="2866">
        <f>_xlfn.XLOOKUP($E92,[52]宿泊施設DB!$B$3:$B$207,[52]宿泊施設DB!$T$3:$T$207,"",)</f>
        <v>0</v>
      </c>
      <c r="J92" s="2866">
        <f>_xlfn.XLOOKUP($E92,[52]宿泊施設DB!$B$3:$B$207,[52]宿泊施設DB!$R$3:$R$207,"",)</f>
        <v>0</v>
      </c>
      <c r="K92" s="2865">
        <f>_xlfn.XLOOKUP($E92,[52]宿泊施設DB!$B$3:$B$207,[52]宿泊施設DB!$S$3:$S$207,"",)</f>
        <v>0</v>
      </c>
      <c r="L92" s="2915">
        <f>_xlfn.XLOOKUP($E92,[52]宿泊施設DB!$B$3:$B$207,[52]宿泊施設DB!$U$3:$U$207,"",)</f>
        <v>0</v>
      </c>
      <c r="M92" s="2866">
        <f>_xlfn.XLOOKUP($E92,[52]宿泊施設DB!$B$3:$B$207,[52]宿泊施設DB!$V$3:$V$207,"",)</f>
        <v>0</v>
      </c>
      <c r="N92" s="2866">
        <f>_xlfn.XLOOKUP($E92,[52]宿泊施設DB!$B$3:$B$207,[52]宿泊施設DB!$W$3:$W$207,"",)</f>
        <v>0</v>
      </c>
      <c r="O92" s="2866">
        <f>_xlfn.XLOOKUP($E92,[52]宿泊施設DB!$B$3:$B$207,[52]宿泊施設DB!$X$3:$X$207,"",)</f>
        <v>0</v>
      </c>
      <c r="P92" s="302" t="str">
        <f t="shared" si="4"/>
        <v/>
      </c>
      <c r="Q92" s="296"/>
      <c r="R92" s="3341"/>
      <c r="S92" s="478" t="str">
        <f>IFERROR(VLOOKUP($R92,'[52]競技情報DB(12,600人ver) '!$A$6:$D$203,2,),"－")</f>
        <v>－</v>
      </c>
      <c r="T92" s="479">
        <f>_xlfn.XLOOKUP(R92,'[52]競技情報DB(12,600人ver) '!$A$6:$A$101,'[52]競技情報DB(12,600人ver) '!$D$6:$D$101,"",0,)</f>
        <v>0</v>
      </c>
      <c r="U92" s="3307"/>
      <c r="V92" s="3343" t="str">
        <f>IFERROR(VLOOKUP($R92,'[52]競技情報DB(12,600人ver) '!$A$6:$D$203,3,),"－")</f>
        <v>－</v>
      </c>
      <c r="W92" s="3344"/>
      <c r="X92" s="3345"/>
      <c r="Y92" s="442"/>
      <c r="Z92" s="311"/>
      <c r="AA92" s="319"/>
      <c r="AB92" s="3311"/>
      <c r="AC92" s="3311"/>
      <c r="AD92" s="3312"/>
      <c r="AE92" s="320"/>
      <c r="AF92" s="322"/>
      <c r="AG92" s="322"/>
      <c r="AH92" s="322"/>
      <c r="AI92" s="322"/>
      <c r="AJ92" s="322"/>
      <c r="AK92" s="322"/>
      <c r="AL92" s="322"/>
      <c r="AM92" s="322"/>
      <c r="AN92" s="322"/>
      <c r="AO92" s="322"/>
      <c r="AP92" s="322"/>
      <c r="AQ92" s="322"/>
      <c r="AR92" s="322"/>
      <c r="AS92" s="322"/>
      <c r="AT92" s="322"/>
      <c r="AU92" s="322"/>
      <c r="AV92" s="322"/>
      <c r="AW92" s="322"/>
      <c r="AX92" s="322"/>
      <c r="AY92" s="322"/>
      <c r="AZ92" s="322"/>
      <c r="BA92" s="322"/>
      <c r="BB92" s="322"/>
      <c r="BC92" s="322"/>
      <c r="BD92" s="322"/>
      <c r="BE92" s="322"/>
      <c r="BF92" s="322"/>
      <c r="BG92" s="322"/>
      <c r="BH92" s="322"/>
      <c r="BI92" s="322"/>
      <c r="BJ92" s="322"/>
      <c r="BK92" s="337"/>
      <c r="BL92" s="322"/>
      <c r="BM92" s="322"/>
      <c r="BN92" s="507"/>
      <c r="BO92" s="573"/>
      <c r="BP92" s="332"/>
      <c r="BQ92" s="333"/>
    </row>
    <row r="93" spans="1:69" ht="46" customHeight="1">
      <c r="A93" s="2862"/>
      <c r="B93" s="2863"/>
      <c r="C93" s="372">
        <f>C91+1</f>
        <v>28</v>
      </c>
      <c r="D93" s="2871">
        <f>IF(_xlfn.XLOOKUP(E93,[52]宿泊施設DB!$B$3:$B$207,[52]宿泊施設DB!$A$3:$A$207,"",)=0,"",_xlfn.XLOOKUP(E93,[52]宿泊施設DB!$B$3:$B$207,[52]宿泊施設DB!$A$3:$A$207,"",))</f>
        <v>2027</v>
      </c>
      <c r="E93" s="373" t="s">
        <v>2382</v>
      </c>
      <c r="F93" s="2872">
        <f>_xlfn.XLOOKUP($E93,[52]宿泊施設DB!$B$3:$B$207,[52]宿泊施設DB!$D$3:$D$207,"",)</f>
        <v>192</v>
      </c>
      <c r="G93" s="2872">
        <f>_xlfn.XLOOKUP($E93,[52]宿泊施設DB!$B$3:$B$207,[52]宿泊施設DB!$E$3:$E$207,"",)</f>
        <v>348</v>
      </c>
      <c r="H93" s="2873">
        <f>_xlfn.XLOOKUP($E93,[52]宿泊施設DB!$B$3:$B$207,[52]宿泊施設DB!$J$3:$J$207,"",)</f>
        <v>16</v>
      </c>
      <c r="I93" s="2874" t="str">
        <f>_xlfn.XLOOKUP($E93,[52]宿泊施設DB!$B$3:$B$207,[52]宿泊施設DB!$T$3:$T$207,"",)</f>
        <v>－</v>
      </c>
      <c r="J93" s="2874" t="str">
        <f>_xlfn.XLOOKUP($E93,[52]宿泊施設DB!$B$3:$B$207,[52]宿泊施設DB!$R$3:$R$207,"",)</f>
        <v>宿泊施設</v>
      </c>
      <c r="K93" s="2873">
        <f>_xlfn.XLOOKUP($E93,[52]宿泊施設DB!$B$3:$B$207,[52]宿泊施設DB!$S$3:$S$207,"",)</f>
        <v>142</v>
      </c>
      <c r="L93" s="2874" t="str">
        <f>_xlfn.XLOOKUP($E93,[52]宿泊施設DB!$B$3:$B$207,[52]宿泊施設DB!$U$3:$U$207,"",)</f>
        <v>○</v>
      </c>
      <c r="M93" s="2874" t="str">
        <f>_xlfn.XLOOKUP($E93,[52]宿泊施設DB!$B$3:$B$207,[52]宿泊施設DB!$V$3:$V$207,"",)</f>
        <v>○(ｼﾞﾑ内等)</v>
      </c>
      <c r="N93" s="2874" t="str">
        <f>_xlfn.XLOOKUP($E93,[52]宿泊施設DB!$B$3:$B$207,[52]宿泊施設DB!$W$3:$W$207,"",)</f>
        <v>－</v>
      </c>
      <c r="O93" s="2874" t="str">
        <f>_xlfn.XLOOKUP($E93,[52]宿泊施設DB!$B$3:$B$207,[52]宿泊施設DB!$X$3:$X$207,"",)</f>
        <v>玄関前（屋根付）2台</v>
      </c>
      <c r="P93" s="377" t="str">
        <f t="shared" si="4"/>
        <v>○</v>
      </c>
      <c r="Q93" s="372" t="s">
        <v>2136</v>
      </c>
      <c r="R93" s="387" t="s">
        <v>2485</v>
      </c>
      <c r="S93" s="388" t="str">
        <f>IFERROR(VLOOKUP($R93,'[52]競技情報DB(12,600人ver) '!$A$6:$D$203,2,),"－")</f>
        <v>各務原市</v>
      </c>
      <c r="T93" s="389">
        <f>_xlfn.XLOOKUP(R93,'[52]競技情報DB(12,600人ver) '!$A$6:$A$101,'[52]競技情報DB(12,600人ver) '!$D$6:$D$101,"",0,)</f>
        <v>226</v>
      </c>
      <c r="U93" s="3369">
        <f>SUM(T93:T94)</f>
        <v>342</v>
      </c>
      <c r="V93" s="3322" t="str">
        <f>IFERROR(VLOOKUP($R93,'[52]競技情報DB(12,600人ver) '!$A$6:$D$203,3,),"－")</f>
        <v>岐阜県グリーンスタジアム</v>
      </c>
      <c r="W93" s="3323">
        <v>17.399999999999999</v>
      </c>
      <c r="X93" s="3324">
        <v>26</v>
      </c>
      <c r="Y93" s="318">
        <f>$G93-MAX(AF93:BN93)</f>
        <v>6</v>
      </c>
      <c r="Z93" s="647">
        <f>+Y93/$G93</f>
        <v>1.7241379310344827E-2</v>
      </c>
      <c r="AA93" s="515" t="str">
        <f>E93&amp;"　"&amp;"合計"</f>
        <v>都ホテル岐阜長良川　合計</v>
      </c>
      <c r="AB93" s="3325">
        <f>IFERROR(INDEX($AF$3:$BN$3, MATCH("準備", AF93:BN93, 0)), "")</f>
        <v>46273</v>
      </c>
      <c r="AC93" s="3325" cm="1">
        <f t="array" ref="AC93">IF(COUNTIF(AF93:BN93,"*撤去*")=0,"",INDEX(AF$3:BN$3,1,MAX(IF(AF93:BN93="撤去",COLUMN(AF93:BN93)-COLUMN(AF93)+1))))</f>
        <v>46300</v>
      </c>
      <c r="AD93" s="3326">
        <f>AC93-AB93</f>
        <v>27</v>
      </c>
      <c r="AE93" s="396" t="str">
        <f>+$AE$114</f>
        <v>12,600人</v>
      </c>
      <c r="AF93" s="398">
        <f>+_xlfn.XLOOKUP($AA93,'[52]②配宿シュミレーション(12,600人ver) '!$AO$6:$AO$707,'[52]②配宿シュミレーション(12,600人ver) '!AP$6:AP$707,)</f>
        <v>0</v>
      </c>
      <c r="AG93" s="398">
        <f>+_xlfn.XLOOKUP($AA93,'[52]②配宿シュミレーション(12,600人ver) '!$AO$6:$AO$707,'[52]②配宿シュミレーション(12,600人ver) '!AQ$6:AQ$707,)</f>
        <v>0</v>
      </c>
      <c r="AH93" s="398">
        <f>+_xlfn.XLOOKUP($AA93,'[52]②配宿シュミレーション(12,600人ver) '!$AO$6:$AO$707,'[52]②配宿シュミレーション(12,600人ver) '!AR$6:AR$707,)</f>
        <v>0</v>
      </c>
      <c r="AI93" s="398">
        <f>+_xlfn.XLOOKUP($AA93,'[52]②配宿シュミレーション(12,600人ver) '!$AO$6:$AO$707,'[52]②配宿シュミレーション(12,600人ver) '!AS$6:AS$707,)</f>
        <v>0</v>
      </c>
      <c r="AJ93" s="3327" t="s">
        <v>2447</v>
      </c>
      <c r="AK93" s="3327">
        <f>+_xlfn.XLOOKUP($AA93,'[52]②配宿シュミレーション(12,600人ver) '!$AO$6:$AO$707,'[52]②配宿シュミレーション(12,600人ver) '!AU$6:AU$707,)</f>
        <v>0</v>
      </c>
      <c r="AL93" s="398">
        <f>+_xlfn.XLOOKUP($AA93,'[52]②配宿シュミレーション(12,600人ver) '!$AO$6:$AO$707,'[52]②配宿シュミレーション(12,600人ver) '!AV$6:AV$707,)</f>
        <v>58</v>
      </c>
      <c r="AM93" s="398">
        <f>+_xlfn.XLOOKUP($AA93,'[52]②配宿シュミレーション(12,600人ver) '!$AO$6:$AO$707,'[52]②配宿シュミレーション(12,600人ver) '!AW$6:AW$707,)</f>
        <v>116</v>
      </c>
      <c r="AN93" s="398">
        <f>+_xlfn.XLOOKUP($AA93,'[52]②配宿シュミレーション(12,600人ver) '!$AO$6:$AO$707,'[52]②配宿シュミレーション(12,600人ver) '!AX$6:AX$707,)</f>
        <v>116</v>
      </c>
      <c r="AO93" s="398">
        <f>+_xlfn.XLOOKUP($AA93,'[52]②配宿シュミレーション(12,600人ver) '!$AO$6:$AO$707,'[52]②配宿シュミレーション(12,600人ver) '!AY$6:AY$707,)</f>
        <v>116</v>
      </c>
      <c r="AP93" s="398">
        <f>+_xlfn.XLOOKUP($AA93,'[52]②配宿シュミレーション(12,600人ver) '!$AO$6:$AO$707,'[52]②配宿シュミレーション(12,600人ver) '!AZ$6:AZ$707,)</f>
        <v>342</v>
      </c>
      <c r="AQ93" s="398">
        <f>+_xlfn.XLOOKUP($AA93,'[52]②配宿シュミレーション(12,600人ver) '!$AO$6:$AO$707,'[52]②配宿シュミレーション(12,600人ver) '!BA$6:BA$707,)</f>
        <v>342</v>
      </c>
      <c r="AR93" s="398">
        <f>+_xlfn.XLOOKUP($AA93,'[52]②配宿シュミレーション(12,600人ver) '!$AO$6:$AO$707,'[52]②配宿シュミレーション(12,600人ver) '!BB$6:BB$707,)</f>
        <v>342</v>
      </c>
      <c r="AS93" s="398">
        <f>+_xlfn.XLOOKUP($AA93,'[52]②配宿シュミレーション(12,600人ver) '!$AO$6:$AO$707,'[52]②配宿シュミレーション(12,600人ver) '!BC$6:BC$707,)</f>
        <v>342</v>
      </c>
      <c r="AT93" s="398">
        <f>+_xlfn.XLOOKUP($AA93,'[52]②配宿シュミレーション(12,600人ver) '!$AO$6:$AO$707,'[52]②配宿シュミレーション(12,600人ver) '!BD$6:BD$707,)</f>
        <v>342</v>
      </c>
      <c r="AU93" s="398">
        <f>+_xlfn.XLOOKUP($AA93,'[52]②配宿シュミレーション(12,600人ver) '!$AO$6:$AO$707,'[52]②配宿シュミレーション(12,600人ver) '!BE$6:BE$707,)</f>
        <v>342</v>
      </c>
      <c r="AV93" s="398">
        <f>+_xlfn.XLOOKUP($AA93,'[52]②配宿シュミレーション(12,600人ver) '!$AO$6:$AO$707,'[52]②配宿シュミレーション(12,600人ver) '!BF$6:BF$707,)</f>
        <v>342</v>
      </c>
      <c r="AW93" s="398">
        <f>+_xlfn.XLOOKUP($AA93,'[52]②配宿シュミレーション(12,600人ver) '!$AO$6:$AO$707,'[52]②配宿シュミレーション(12,600人ver) '!BG$6:BG$707,)</f>
        <v>342</v>
      </c>
      <c r="AX93" s="398">
        <f>+_xlfn.XLOOKUP($AA93,'[52]②配宿シュミレーション(12,600人ver) '!$AO$6:$AO$707,'[52]②配宿シュミレーション(12,600人ver) '!BH$6:BH$707,)</f>
        <v>292</v>
      </c>
      <c r="AY93" s="398">
        <f>+_xlfn.XLOOKUP($AA93,'[52]②配宿シュミレーション(12,600人ver) '!$AO$6:$AO$707,'[52]②配宿シュミレーション(12,600人ver) '!BI$6:BI$707,)</f>
        <v>284</v>
      </c>
      <c r="AZ93" s="398">
        <f>+_xlfn.XLOOKUP($AA93,'[52]②配宿シュミレーション(12,600人ver) '!$AO$6:$AO$707,'[52]②配宿シュミレーション(12,600人ver) '!BJ$6:BJ$707,)</f>
        <v>226</v>
      </c>
      <c r="BA93" s="398">
        <f>+_xlfn.XLOOKUP($AA93,'[52]②配宿シュミレーション(12,600人ver) '!$AO$6:$AO$707,'[52]②配宿シュミレーション(12,600人ver) '!BK$6:BK$707,)</f>
        <v>226</v>
      </c>
      <c r="BB93" s="398">
        <f>+_xlfn.XLOOKUP($AA93,'[52]②配宿シュミレーション(12,600人ver) '!$AO$6:$AO$707,'[52]②配宿シュミレーション(12,600人ver) '!BL$6:BL$707,)</f>
        <v>226</v>
      </c>
      <c r="BC93" s="398">
        <f>+_xlfn.XLOOKUP($AA93,'[52]②配宿シュミレーション(12,600人ver) '!$AO$6:$AO$707,'[52]②配宿シュミレーション(12,600人ver) '!BM$6:BM$707,)</f>
        <v>226</v>
      </c>
      <c r="BD93" s="398">
        <f>+_xlfn.XLOOKUP($AA93,'[52]②配宿シュミレーション(12,600人ver) '!$AO$6:$AO$707,'[52]②配宿シュミレーション(12,600人ver) '!BN$6:BN$707,)</f>
        <v>226</v>
      </c>
      <c r="BE93" s="398">
        <f>+_xlfn.XLOOKUP($AA93,'[52]②配宿シュミレーション(12,600人ver) '!$AO$6:$AO$707,'[52]②配宿シュミレーション(12,600人ver) '!BO$6:BO$707,)</f>
        <v>226</v>
      </c>
      <c r="BF93" s="398">
        <f>+_xlfn.XLOOKUP($AA93,'[52]②配宿シュミレーション(12,600人ver) '!$AO$6:$AO$707,'[52]②配宿シュミレーション(12,600人ver) '!BP$6:BP$707,)</f>
        <v>226</v>
      </c>
      <c r="BG93" s="398">
        <f>+_xlfn.XLOOKUP($AA93,'[52]②配宿シュミレーション(12,600人ver) '!$AO$6:$AO$707,'[52]②配宿シュミレーション(12,600人ver) '!BQ$6:BQ$707,)</f>
        <v>226</v>
      </c>
      <c r="BH93" s="398">
        <f>+_xlfn.XLOOKUP($AA93,'[52]②配宿シュミレーション(12,600人ver) '!$AO$6:$AO$707,'[52]②配宿シュミレーション(12,600人ver) '!BR$6:BR$707,)</f>
        <v>226</v>
      </c>
      <c r="BI93" s="398">
        <f>+_xlfn.XLOOKUP($AA93,'[52]②配宿シュミレーション(12,600人ver) '!$AO$6:$AO$707,'[52]②配宿シュミレーション(12,600人ver) '!BS$6:BS$707,)</f>
        <v>226</v>
      </c>
      <c r="BJ93" s="398">
        <f>+_xlfn.XLOOKUP($AA93,'[52]②配宿シュミレーション(12,600人ver) '!$AO$6:$AO$707,'[52]②配宿シュミレーション(12,600人ver) '!BT$6:BT$707,)</f>
        <v>226</v>
      </c>
      <c r="BK93" s="3306" t="s">
        <v>2448</v>
      </c>
      <c r="BL93" s="398">
        <f>+_xlfn.XLOOKUP($AA93,'[52]②配宿シュミレーション(12,600人ver) '!$AO$6:$AO$707,'[52]②配宿シュミレーション(12,600人ver) '!BV$6:BV$707,)</f>
        <v>0</v>
      </c>
      <c r="BM93" s="398">
        <f>+_xlfn.XLOOKUP($AA93,'[52]②配宿シュミレーション(12,600人ver) '!$AO$6:$AO$707,'[52]②配宿シュミレーション(12,600人ver) '!BW$6:BW$707,)</f>
        <v>0</v>
      </c>
      <c r="BN93" s="472">
        <f>+_xlfn.XLOOKUP($AA93,'[52]②配宿シュミレーション(12,600人ver) '!$AO$6:$AO$707,'[52]②配宿シュミレーション(12,600人ver) '!BX$6:BX$707,)</f>
        <v>0</v>
      </c>
      <c r="BO93" s="290"/>
      <c r="BP93" s="404"/>
      <c r="BQ93" s="405"/>
    </row>
    <row r="94" spans="1:69" s="521" customFormat="1" ht="46" customHeight="1" thickBot="1">
      <c r="A94" s="2862"/>
      <c r="B94" s="2863"/>
      <c r="C94" s="420"/>
      <c r="D94" s="421" t="str">
        <f>IF(_xlfn.XLOOKUP(E94,[52]宿泊施設DB!$B$3:$B$207,[52]宿泊施設DB!$A$3:$A$207,"",)=0,"",_xlfn.XLOOKUP(E94,[52]宿泊施設DB!$B$3:$B$207,[52]宿泊施設DB!$A$3:$A$207,"",))</f>
        <v/>
      </c>
      <c r="E94" s="422"/>
      <c r="F94" s="2875">
        <f>_xlfn.XLOOKUP($E94,[52]宿泊施設DB!$B$3:$B$207,[52]宿泊施設DB!$D$3:$D$207,"",)</f>
        <v>0</v>
      </c>
      <c r="G94" s="2875">
        <f>_xlfn.XLOOKUP($E94,[52]宿泊施設DB!$B$3:$B$207,[52]宿泊施設DB!$E$3:$E$207,"",)</f>
        <v>0</v>
      </c>
      <c r="H94" s="2877">
        <f>_xlfn.XLOOKUP($E94,[52]宿泊施設DB!$B$3:$B$207,[52]宿泊施設DB!$J$3:$J$207,"",)</f>
        <v>0</v>
      </c>
      <c r="I94" s="2878">
        <f>_xlfn.XLOOKUP($E94,[52]宿泊施設DB!$B$3:$B$207,[52]宿泊施設DB!$T$3:$T$207,"",)</f>
        <v>0</v>
      </c>
      <c r="J94" s="2878">
        <f>_xlfn.XLOOKUP($E94,[52]宿泊施設DB!$B$3:$B$207,[52]宿泊施設DB!$R$3:$R$207,"",)</f>
        <v>0</v>
      </c>
      <c r="K94" s="2877">
        <f>_xlfn.XLOOKUP($E94,[52]宿泊施設DB!$B$3:$B$207,[52]宿泊施設DB!$S$3:$S$207,"",)</f>
        <v>0</v>
      </c>
      <c r="L94" s="2878">
        <f>_xlfn.XLOOKUP($E94,[52]宿泊施設DB!$B$3:$B$207,[52]宿泊施設DB!$U$3:$U$207,"",)</f>
        <v>0</v>
      </c>
      <c r="M94" s="2878">
        <f>_xlfn.XLOOKUP($E94,[52]宿泊施設DB!$B$3:$B$207,[52]宿泊施設DB!$V$3:$V$207,"",)</f>
        <v>0</v>
      </c>
      <c r="N94" s="2878">
        <f>_xlfn.XLOOKUP($E94,[52]宿泊施設DB!$B$3:$B$207,[52]宿泊施設DB!$W$3:$W$207,"",)</f>
        <v>0</v>
      </c>
      <c r="O94" s="2878">
        <f>_xlfn.XLOOKUP($E94,[52]宿泊施設DB!$B$3:$B$207,[52]宿泊施設DB!$X$3:$X$207,"",)</f>
        <v>0</v>
      </c>
      <c r="P94" s="426" t="str">
        <f t="shared" si="4"/>
        <v/>
      </c>
      <c r="Q94" s="420"/>
      <c r="R94" s="3341" t="s">
        <v>2486</v>
      </c>
      <c r="S94" s="478" t="str">
        <f>IFERROR(VLOOKUP($R94,'[52]競技情報DB(12,600人ver) '!$A$6:$D$203,2,),"－")</f>
        <v>岐阜市</v>
      </c>
      <c r="T94" s="479">
        <f>_xlfn.XLOOKUP(R94,'[52]競技情報DB(12,600人ver) '!$A$6:$A$101,'[52]競技情報DB(12,600人ver) '!$D$6:$D$101,"",0,)</f>
        <v>116</v>
      </c>
      <c r="U94" s="3365"/>
      <c r="V94" s="3343" t="str">
        <f>IFERROR(VLOOKUP($R94,'[52]競技情報DB(12,600人ver) '!$A$6:$D$203,3,),"－")</f>
        <v>長良川競技場</v>
      </c>
      <c r="W94" s="3366">
        <v>1</v>
      </c>
      <c r="X94" s="3367">
        <v>1</v>
      </c>
      <c r="Y94" s="442"/>
      <c r="Z94" s="652"/>
      <c r="AA94" s="517"/>
      <c r="AB94" s="3346"/>
      <c r="AC94" s="3346"/>
      <c r="AD94" s="3347"/>
      <c r="AE94" s="518"/>
      <c r="AF94" s="445"/>
      <c r="AG94" s="445"/>
      <c r="AH94" s="445"/>
      <c r="AI94" s="445"/>
      <c r="AJ94" s="445"/>
      <c r="AK94" s="445"/>
      <c r="AL94" s="445"/>
      <c r="AM94" s="445"/>
      <c r="AN94" s="445"/>
      <c r="AO94" s="445"/>
      <c r="AP94" s="445"/>
      <c r="AQ94" s="445"/>
      <c r="AR94" s="445"/>
      <c r="AS94" s="445"/>
      <c r="AT94" s="445"/>
      <c r="AU94" s="445"/>
      <c r="AV94" s="445"/>
      <c r="AW94" s="445"/>
      <c r="AX94" s="445"/>
      <c r="AY94" s="445"/>
      <c r="AZ94" s="445"/>
      <c r="BA94" s="445"/>
      <c r="BB94" s="445"/>
      <c r="BC94" s="336"/>
      <c r="BD94" s="445"/>
      <c r="BE94" s="445"/>
      <c r="BF94" s="445"/>
      <c r="BG94" s="445"/>
      <c r="BH94" s="445"/>
      <c r="BI94" s="445"/>
      <c r="BJ94" s="445"/>
      <c r="BK94" s="445"/>
      <c r="BL94" s="445"/>
      <c r="BM94" s="445"/>
      <c r="BN94" s="449"/>
      <c r="BO94" s="290"/>
      <c r="BP94" s="450"/>
      <c r="BQ94" s="451"/>
    </row>
    <row r="95" spans="1:69" ht="46" customHeight="1">
      <c r="A95" s="2862"/>
      <c r="B95" s="3417" t="s">
        <v>2391</v>
      </c>
      <c r="C95" s="372">
        <f>C93+1</f>
        <v>29</v>
      </c>
      <c r="D95" s="2871">
        <f>IF(_xlfn.XLOOKUP(E95,[52]宿泊施設DB!$B$3:$B$207,[52]宿泊施設DB!$A$3:$A$207,"",)=0,"",_xlfn.XLOOKUP(E95,[52]宿泊施設DB!$B$3:$B$207,[52]宿泊施設DB!$A$3:$A$207,"",))</f>
        <v>2037</v>
      </c>
      <c r="E95" s="373" t="s">
        <v>2392</v>
      </c>
      <c r="F95" s="2872">
        <f>_xlfn.XLOOKUP($E95,[52]宿泊施設DB!$B$3:$B$207,[52]宿泊施設DB!$D$3:$D$207,"",)</f>
        <v>265</v>
      </c>
      <c r="G95" s="2872">
        <f>_xlfn.XLOOKUP($E95,[52]宿泊施設DB!$B$3:$B$207,[52]宿泊施設DB!$E$3:$E$207,"",)</f>
        <v>297</v>
      </c>
      <c r="H95" s="2873">
        <f>_xlfn.XLOOKUP($E95,[52]宿泊施設DB!$B$3:$B$207,[52]宿泊施設DB!$J$3:$J$207,"",)</f>
        <v>8</v>
      </c>
      <c r="I95" s="2874" t="str">
        <f>_xlfn.XLOOKUP($E95,[52]宿泊施設DB!$B$3:$B$207,[52]宿泊施設DB!$T$3:$T$207,"",)</f>
        <v>中</v>
      </c>
      <c r="J95" s="2874" t="str">
        <f>_xlfn.XLOOKUP($E95,[52]宿泊施設DB!$B$3:$B$207,[52]宿泊施設DB!$R$3:$R$207,"",)</f>
        <v>宿泊施設</v>
      </c>
      <c r="K95" s="2873">
        <f>_xlfn.XLOOKUP($E95,[52]宿泊施設DB!$B$3:$B$207,[52]宿泊施設DB!$S$3:$S$207,"",)</f>
        <v>172</v>
      </c>
      <c r="L95" s="2874" t="str">
        <f>_xlfn.XLOOKUP($E95,[52]宿泊施設DB!$B$3:$B$207,[52]宿泊施設DB!$U$3:$U$207,"",)</f>
        <v>－</v>
      </c>
      <c r="M95" s="2874" t="str">
        <f>_xlfn.XLOOKUP($E95,[52]宿泊施設DB!$B$3:$B$207,[52]宿泊施設DB!$V$3:$V$207,"",)</f>
        <v>－</v>
      </c>
      <c r="N95" s="2874" t="str">
        <f>_xlfn.XLOOKUP($E95,[52]宿泊施設DB!$B$3:$B$207,[52]宿泊施設DB!$W$3:$W$207,"",)</f>
        <v>－</v>
      </c>
      <c r="O95" s="2874" t="str">
        <f>_xlfn.XLOOKUP($E95,[52]宿泊施設DB!$B$3:$B$207,[52]宿泊施設DB!$X$3:$X$207,"",)</f>
        <v>玄関前（屋根付）2台</v>
      </c>
      <c r="P95" s="377" t="str">
        <f t="shared" si="4"/>
        <v>○</v>
      </c>
      <c r="Q95" s="372" t="s">
        <v>2136</v>
      </c>
      <c r="R95" s="3418" t="s">
        <v>2389</v>
      </c>
      <c r="S95" s="388" t="str">
        <f>IFERROR(VLOOKUP($R95,'[52]競技情報DB(12,600人ver) '!$A$6:$D$203,2,),"－")</f>
        <v>海津市</v>
      </c>
      <c r="T95" s="389">
        <f>_xlfn.XLOOKUP(R95,'[52]競技情報DB(12,600人ver) '!$A$6:$A$101,'[52]競技情報DB(12,600人ver) '!$D$6:$D$101,"",0,)</f>
        <v>91</v>
      </c>
      <c r="U95" s="3321">
        <f>SUM(T95:T96)</f>
        <v>91</v>
      </c>
      <c r="V95" s="3322" t="str">
        <f>IFERROR(VLOOKUP($R95,'[52]競技情報DB(12,600人ver) '!$A$6:$D$203,3,),"－")</f>
        <v>長良川国際レガッタコース</v>
      </c>
      <c r="W95" s="3323">
        <v>18</v>
      </c>
      <c r="X95" s="3324">
        <v>20</v>
      </c>
      <c r="Y95" s="393">
        <f>$G95-MAX(AF95:BN95)</f>
        <v>206</v>
      </c>
      <c r="Z95" s="394">
        <f>+Y95/$G95</f>
        <v>0.69360269360269355</v>
      </c>
      <c r="AA95" s="515" t="str">
        <f>E95&amp;"　"&amp;"合計"</f>
        <v>ホテルコーヨー　合計</v>
      </c>
      <c r="AB95" s="3325">
        <f>IFERROR(INDEX($AF$3:$BN$3, MATCH("準備", AF95:BN95, 0)), "")</f>
        <v>46279</v>
      </c>
      <c r="AC95" s="3325" cm="1">
        <f t="array" ref="AC95">IF(COUNTIF(AF95:BN95,"*撤去*")=0,"",INDEX(AF$3:BN$3,1,MAX(IF(AF95:BN95="撤去",COLUMN(AF95:BN95)-COLUMN(AF95)+1))))</f>
        <v>46292</v>
      </c>
      <c r="AD95" s="3326">
        <f>AC95-AB95</f>
        <v>13</v>
      </c>
      <c r="AE95" s="492" t="str">
        <f>+$AE$114</f>
        <v>12,600人</v>
      </c>
      <c r="AF95" s="398">
        <f>+_xlfn.XLOOKUP($AA95,'[52]②配宿シュミレーション(12,600人ver) '!$AO$6:$AO$707,'[52]②配宿シュミレーション(12,600人ver) '!AP$6:AP$707,)</f>
        <v>0</v>
      </c>
      <c r="AG95" s="398">
        <f>+_xlfn.XLOOKUP($AA95,'[52]②配宿シュミレーション(12,600人ver) '!$AO$6:$AO$707,'[52]②配宿シュミレーション(12,600人ver) '!AQ$6:AQ$707,)</f>
        <v>0</v>
      </c>
      <c r="AH95" s="398">
        <f>+_xlfn.XLOOKUP($AA95,'[52]②配宿シュミレーション(12,600人ver) '!$AO$6:$AO$707,'[52]②配宿シュミレーション(12,600人ver) '!AR$6:AR$707,)</f>
        <v>0</v>
      </c>
      <c r="AI95" s="398">
        <f>+_xlfn.XLOOKUP($AA95,'[52]②配宿シュミレーション(12,600人ver) '!$AO$6:$AO$707,'[52]②配宿シュミレーション(12,600人ver) '!AS$6:AS$707,)</f>
        <v>0</v>
      </c>
      <c r="AJ95" s="398">
        <f>+_xlfn.XLOOKUP($AA95,'[52]②配宿シュミレーション(12,600人ver) '!$AO$6:$AO$707,'[52]②配宿シュミレーション(12,600人ver) '!AT$6:AT$707,)</f>
        <v>0</v>
      </c>
      <c r="AK95" s="398">
        <f>+_xlfn.XLOOKUP($AA95,'[52]②配宿シュミレーション(12,600人ver) '!$AO$6:$AO$707,'[52]②配宿シュミレーション(12,600人ver) '!AU$6:AU$707,)</f>
        <v>0</v>
      </c>
      <c r="AL95" s="398">
        <f>+_xlfn.XLOOKUP($AA95,'[52]②配宿シュミレーション(12,600人ver) '!$AO$6:$AO$707,'[52]②配宿シュミレーション(12,600人ver) '!AV$6:AV$707,)</f>
        <v>0</v>
      </c>
      <c r="AM95" s="398">
        <f>+_xlfn.XLOOKUP($AA95,'[52]②配宿シュミレーション(12,600人ver) '!$AO$6:$AO$707,'[52]②配宿シュミレーション(12,600人ver) '!AW$6:AW$707,)</f>
        <v>0</v>
      </c>
      <c r="AN95" s="398">
        <f>+_xlfn.XLOOKUP($AA95,'[52]②配宿シュミレーション(12,600人ver) '!$AO$6:$AO$707,'[52]②配宿シュミレーション(12,600人ver) '!AX$6:AX$707,)</f>
        <v>0</v>
      </c>
      <c r="AO95" s="398">
        <f>+_xlfn.XLOOKUP($AA95,'[52]②配宿シュミレーション(12,600人ver) '!$AO$6:$AO$707,'[52]②配宿シュミレーション(12,600人ver) '!AY$6:AY$707,)</f>
        <v>0</v>
      </c>
      <c r="AP95" s="3327" t="s">
        <v>2447</v>
      </c>
      <c r="AQ95" s="3327">
        <f>+_xlfn.XLOOKUP($AA95,'[52]②配宿シュミレーション(12,600人ver) '!$AO$6:$AO$707,'[52]②配宿シュミレーション(12,600人ver) '!BA$6:BA$707,)</f>
        <v>0</v>
      </c>
      <c r="AR95" s="398">
        <f>+_xlfn.XLOOKUP($AA95,'[52]②配宿シュミレーション(12,600人ver) '!$AO$6:$AO$707,'[52]②配宿シュミレーション(12,600人ver) '!BB$6:BB$707,)</f>
        <v>91</v>
      </c>
      <c r="AS95" s="398">
        <f>+_xlfn.XLOOKUP($AA95,'[52]②配宿シュミレーション(12,600人ver) '!$AO$6:$AO$707,'[52]②配宿シュミレーション(12,600人ver) '!BC$6:BC$707,)</f>
        <v>91</v>
      </c>
      <c r="AT95" s="398">
        <f>+_xlfn.XLOOKUP($AA95,'[52]②配宿シュミレーション(12,600人ver) '!$AO$6:$AO$707,'[52]②配宿シュミレーション(12,600人ver) '!BD$6:BD$707,)</f>
        <v>91</v>
      </c>
      <c r="AU95" s="398">
        <f>+_xlfn.XLOOKUP($AA95,'[52]②配宿シュミレーション(12,600人ver) '!$AO$6:$AO$707,'[52]②配宿シュミレーション(12,600人ver) '!BE$6:BE$707,)</f>
        <v>91</v>
      </c>
      <c r="AV95" s="398">
        <f>+_xlfn.XLOOKUP($AA95,'[52]②配宿シュミレーション(12,600人ver) '!$AO$6:$AO$707,'[52]②配宿シュミレーション(12,600人ver) '!BF$6:BF$707,)</f>
        <v>91</v>
      </c>
      <c r="AW95" s="398">
        <f>+_xlfn.XLOOKUP($AA95,'[52]②配宿シュミレーション(12,600人ver) '!$AO$6:$AO$707,'[52]②配宿シュミレーション(12,600人ver) '!BG$6:BG$707,)</f>
        <v>91</v>
      </c>
      <c r="AX95" s="398">
        <f>+_xlfn.XLOOKUP($AA95,'[52]②配宿シュミレーション(12,600人ver) '!$AO$6:$AO$707,'[52]②配宿シュミレーション(12,600人ver) '!BH$6:BH$707,)</f>
        <v>91</v>
      </c>
      <c r="AY95" s="398">
        <f>+_xlfn.XLOOKUP($AA95,'[52]②配宿シュミレーション(12,600人ver) '!$AO$6:$AO$707,'[52]②配宿シュミレーション(12,600人ver) '!BI$6:BI$707,)</f>
        <v>91</v>
      </c>
      <c r="AZ95" s="398">
        <f>+_xlfn.XLOOKUP($AA95,'[52]②配宿シュミレーション(12,600人ver) '!$AO$6:$AO$707,'[52]②配宿シュミレーション(12,600人ver) '!BJ$6:BJ$707,)</f>
        <v>91</v>
      </c>
      <c r="BA95" s="398">
        <f>+_xlfn.XLOOKUP($AA95,'[52]②配宿シュミレーション(12,600人ver) '!$AO$6:$AO$707,'[52]②配宿シュミレーション(12,600人ver) '!BK$6:BK$707,)</f>
        <v>91</v>
      </c>
      <c r="BB95" s="398">
        <f>+_xlfn.XLOOKUP($AA95,'[52]②配宿シュミレーション(12,600人ver) '!$AO$6:$AO$707,'[52]②配宿シュミレーション(12,600人ver) '!BL$6:BL$707,)</f>
        <v>91</v>
      </c>
      <c r="BC95" s="3306" t="s">
        <v>2448</v>
      </c>
      <c r="BD95" s="398">
        <f>+_xlfn.XLOOKUP($AA95,'[52]②配宿シュミレーション(12,600人ver) '!$AO$6:$AO$707,'[52]②配宿シュミレーション(12,600人ver) '!BN$6:BN$707,)</f>
        <v>0</v>
      </c>
      <c r="BE95" s="398">
        <f>+_xlfn.XLOOKUP($AA95,'[52]②配宿シュミレーション(12,600人ver) '!$AO$6:$AO$707,'[52]②配宿シュミレーション(12,600人ver) '!BO$6:BO$707,)</f>
        <v>0</v>
      </c>
      <c r="BF95" s="398">
        <f>+_xlfn.XLOOKUP($AA95,'[52]②配宿シュミレーション(12,600人ver) '!$AO$6:$AO$707,'[52]②配宿シュミレーション(12,600人ver) '!BP$6:BP$707,)</f>
        <v>0</v>
      </c>
      <c r="BG95" s="398">
        <f>+_xlfn.XLOOKUP($AA95,'[52]②配宿シュミレーション(12,600人ver) '!$AO$6:$AO$707,'[52]②配宿シュミレーション(12,600人ver) '!BQ$6:BQ$707,)</f>
        <v>0</v>
      </c>
      <c r="BH95" s="398">
        <f>+_xlfn.XLOOKUP($AA95,'[52]②配宿シュミレーション(12,600人ver) '!$AO$6:$AO$707,'[52]②配宿シュミレーション(12,600人ver) '!BR$6:BR$707,)</f>
        <v>0</v>
      </c>
      <c r="BI95" s="398">
        <f>+_xlfn.XLOOKUP($AA95,'[52]②配宿シュミレーション(12,600人ver) '!$AO$6:$AO$707,'[52]②配宿シュミレーション(12,600人ver) '!BS$6:BS$707,)</f>
        <v>0</v>
      </c>
      <c r="BJ95" s="398">
        <f>+_xlfn.XLOOKUP($AA95,'[52]②配宿シュミレーション(12,600人ver) '!$AO$6:$AO$707,'[52]②配宿シュミレーション(12,600人ver) '!BT$6:BT$707,)</f>
        <v>0</v>
      </c>
      <c r="BK95" s="398">
        <f>+_xlfn.XLOOKUP($AA95,'[52]②配宿シュミレーション(12,600人ver) '!$AO$6:$AO$707,'[52]②配宿シュミレーション(12,600人ver) '!BU$6:BU$707,)</f>
        <v>0</v>
      </c>
      <c r="BL95" s="398">
        <f>+_xlfn.XLOOKUP($AA95,'[52]②配宿シュミレーション(12,600人ver) '!$AO$6:$AO$707,'[52]②配宿シュミレーション(12,600人ver) '!BV$6:BV$707,)</f>
        <v>0</v>
      </c>
      <c r="BM95" s="398">
        <f>+_xlfn.XLOOKUP($AA95,'[52]②配宿シュミレーション(12,600人ver) '!$AO$6:$AO$707,'[52]②配宿シュミレーション(12,600人ver) '!BW$6:BW$707,)</f>
        <v>0</v>
      </c>
      <c r="BN95" s="472">
        <f>+_xlfn.XLOOKUP($AA95,'[52]②配宿シュミレーション(12,600人ver) '!$AO$6:$AO$707,'[52]②配宿シュミレーション(12,600人ver) '!BX$6:BX$707,)</f>
        <v>0</v>
      </c>
      <c r="BO95" s="290"/>
      <c r="BP95" s="332"/>
      <c r="BQ95" s="333"/>
    </row>
    <row r="96" spans="1:69" s="521" customFormat="1" ht="46" customHeight="1" thickBot="1">
      <c r="A96" s="294"/>
      <c r="B96" s="3361"/>
      <c r="C96" s="420"/>
      <c r="D96" s="421" t="str">
        <f>IF(_xlfn.XLOOKUP(E96,[52]宿泊施設DB!$B$3:$B$207,[52]宿泊施設DB!$A$3:$A$207,"",)=0,"",_xlfn.XLOOKUP(E96,[52]宿泊施設DB!$B$3:$B$207,[52]宿泊施設DB!$A$3:$A$207,"",))</f>
        <v/>
      </c>
      <c r="E96" s="422"/>
      <c r="F96" s="2875">
        <f>_xlfn.XLOOKUP($E96,[52]宿泊施設DB!$B$3:$B$207,[52]宿泊施設DB!$D$3:$D$207,"",)</f>
        <v>0</v>
      </c>
      <c r="G96" s="2875">
        <f>_xlfn.XLOOKUP($E96,[52]宿泊施設DB!$B$3:$B$207,[52]宿泊施設DB!$E$3:$E$207,"",)</f>
        <v>0</v>
      </c>
      <c r="H96" s="2877">
        <f>_xlfn.XLOOKUP($E96,[52]宿泊施設DB!$B$3:$B$207,[52]宿泊施設DB!$J$3:$J$207,"",)</f>
        <v>0</v>
      </c>
      <c r="I96" s="2878">
        <f>_xlfn.XLOOKUP($E96,[52]宿泊施設DB!$B$3:$B$207,[52]宿泊施設DB!$T$3:$T$207,"",)</f>
        <v>0</v>
      </c>
      <c r="J96" s="2878">
        <f>_xlfn.XLOOKUP($E96,[52]宿泊施設DB!$B$3:$B$207,[52]宿泊施設DB!$R$3:$R$207,"",)</f>
        <v>0</v>
      </c>
      <c r="K96" s="2877">
        <f>_xlfn.XLOOKUP($E96,[52]宿泊施設DB!$B$3:$B$207,[52]宿泊施設DB!$S$3:$S$207,"",)</f>
        <v>0</v>
      </c>
      <c r="L96" s="2878">
        <f>_xlfn.XLOOKUP($E96,[52]宿泊施設DB!$B$3:$B$207,[52]宿泊施設DB!$U$3:$U$207,"",)</f>
        <v>0</v>
      </c>
      <c r="M96" s="2878">
        <f>_xlfn.XLOOKUP($E96,[52]宿泊施設DB!$B$3:$B$207,[52]宿泊施設DB!$V$3:$V$207,"",)</f>
        <v>0</v>
      </c>
      <c r="N96" s="2878">
        <f>_xlfn.XLOOKUP($E96,[52]宿泊施設DB!$B$3:$B$207,[52]宿泊施設DB!$W$3:$W$207,"",)</f>
        <v>0</v>
      </c>
      <c r="O96" s="2878">
        <f>_xlfn.XLOOKUP($E96,[52]宿泊施設DB!$B$3:$B$207,[52]宿泊施設DB!$X$3:$X$207,"",)</f>
        <v>0</v>
      </c>
      <c r="P96" s="426" t="str">
        <f t="shared" si="4"/>
        <v/>
      </c>
      <c r="Q96" s="3361"/>
      <c r="R96" s="3314"/>
      <c r="S96" s="3419" t="str">
        <f>IFERROR(VLOOKUP($R96,'[52]競技情報DB(12,600人ver) '!$A$6:$D$203,2,),"－")</f>
        <v>－</v>
      </c>
      <c r="T96" s="479">
        <f>_xlfn.XLOOKUP(R96,'[52]競技情報DB(12,600人ver) '!$A$6:$A$101,'[52]競技情報DB(12,600人ver) '!$D$6:$D$101,"",0,)</f>
        <v>0</v>
      </c>
      <c r="U96" s="3342"/>
      <c r="V96" s="3343" t="str">
        <f>IFERROR(VLOOKUP($R96,'[52]競技情報DB(12,600人ver) '!$A$6:$D$203,3,),"－")</f>
        <v>－</v>
      </c>
      <c r="W96" s="3344"/>
      <c r="X96" s="3345"/>
      <c r="Y96" s="3420"/>
      <c r="Z96" s="435"/>
      <c r="AA96" s="517"/>
      <c r="AB96" s="3346"/>
      <c r="AC96" s="3346"/>
      <c r="AD96" s="3347"/>
      <c r="AE96" s="518"/>
      <c r="AF96" s="448"/>
      <c r="AG96" s="445"/>
      <c r="AH96" s="445"/>
      <c r="AI96" s="445"/>
      <c r="AJ96" s="445"/>
      <c r="AK96" s="445"/>
      <c r="AL96" s="445"/>
      <c r="AM96" s="445"/>
      <c r="AN96" s="445"/>
      <c r="AO96" s="445"/>
      <c r="AP96" s="445"/>
      <c r="AQ96" s="445"/>
      <c r="AR96" s="445"/>
      <c r="AS96" s="445"/>
      <c r="AT96" s="445"/>
      <c r="AU96" s="445"/>
      <c r="AV96" s="445"/>
      <c r="AW96" s="445"/>
      <c r="AX96" s="445"/>
      <c r="AY96" s="445"/>
      <c r="AZ96" s="445"/>
      <c r="BA96" s="445"/>
      <c r="BB96" s="445"/>
      <c r="BC96" s="445"/>
      <c r="BD96" s="445"/>
      <c r="BE96" s="445"/>
      <c r="BF96" s="445"/>
      <c r="BG96" s="445"/>
      <c r="BH96" s="445"/>
      <c r="BI96" s="445"/>
      <c r="BJ96" s="336"/>
      <c r="BK96" s="445"/>
      <c r="BL96" s="445"/>
      <c r="BM96" s="445"/>
      <c r="BN96" s="449"/>
      <c r="BO96" s="290"/>
      <c r="BP96" s="332"/>
      <c r="BQ96" s="333"/>
    </row>
    <row r="97" spans="1:69" s="3441" customFormat="1" ht="46" customHeight="1">
      <c r="A97" s="3421"/>
      <c r="B97" s="3422" t="s">
        <v>2539</v>
      </c>
      <c r="C97" s="304">
        <f>C95+1</f>
        <v>30</v>
      </c>
      <c r="D97" s="3423">
        <f>IF(_xlfn.XLOOKUP(E97,[52]宿泊施設DB!$B$3:$B$207,[52]宿泊施設DB!$A$3:$A$207,"",)=0,"",_xlfn.XLOOKUP(E97,[52]宿泊施設DB!$B$3:$B$207,[52]宿泊施設DB!$A$3:$A$207,"",))</f>
        <v>2032</v>
      </c>
      <c r="E97" s="3424" t="s">
        <v>2386</v>
      </c>
      <c r="F97" s="299">
        <f>_xlfn.XLOOKUP($E97,[52]宿泊施設DB!$B$3:$B$207,[52]宿泊施設DB!$D$3:$D$207,"",)</f>
        <v>70</v>
      </c>
      <c r="G97" s="299">
        <f>_xlfn.XLOOKUP($E97,[52]宿泊施設DB!$B$3:$B$207,[52]宿泊施設DB!$E$3:$E$207,"",)</f>
        <v>132</v>
      </c>
      <c r="H97" s="300">
        <f>_xlfn.XLOOKUP($E97,[52]宿泊施設DB!$B$3:$B$207,[52]宿泊施設DB!$J$3:$J$207,"",)</f>
        <v>23</v>
      </c>
      <c r="I97" s="301" t="str">
        <f>_xlfn.XLOOKUP($E97,[52]宿泊施設DB!$B$3:$B$207,[52]宿泊施設DB!$T$3:$T$207,"",)</f>
        <v>中</v>
      </c>
      <c r="J97" s="301" t="str">
        <f>_xlfn.XLOOKUP($E97,[52]宿泊施設DB!$B$3:$B$207,[52]宿泊施設DB!$R$3:$R$207,"",)</f>
        <v>宿泊施設</v>
      </c>
      <c r="K97" s="300">
        <f>_xlfn.XLOOKUP($E97,[52]宿泊施設DB!$B$3:$B$207,[52]宿泊施設DB!$S$3:$S$207,"",)</f>
        <v>100</v>
      </c>
      <c r="L97" s="301" t="str">
        <f>_xlfn.XLOOKUP($E97,[52]宿泊施設DB!$B$3:$B$207,[52]宿泊施設DB!$U$3:$U$207,"",)</f>
        <v>－</v>
      </c>
      <c r="M97" s="301" t="str">
        <f>_xlfn.XLOOKUP($E97,[52]宿泊施設DB!$B$3:$B$207,[52]宿泊施設DB!$V$3:$V$207,"",)</f>
        <v>－</v>
      </c>
      <c r="N97" s="301" t="str">
        <f>_xlfn.XLOOKUP($E97,[52]宿泊施設DB!$B$3:$B$207,[52]宿泊施設DB!$W$3:$W$207,"",)</f>
        <v>○</v>
      </c>
      <c r="O97" s="301" t="str">
        <f>_xlfn.XLOOKUP($E97,[52]宿泊施設DB!$B$3:$B$207,[52]宿泊施設DB!$X$3:$X$207,"",)</f>
        <v>玄関前（屋根付）3台</v>
      </c>
      <c r="P97" s="3425" t="str">
        <f t="shared" si="4"/>
        <v>○</v>
      </c>
      <c r="Q97" s="3426" t="s">
        <v>2136</v>
      </c>
      <c r="R97" s="3418" t="s">
        <v>2394</v>
      </c>
      <c r="S97" s="3427" t="str">
        <f>IFERROR(VLOOKUP($R97,'[52]競技情報DB(12,600人ver) '!$A$6:$D$203,2,),"－")</f>
        <v>海津市</v>
      </c>
      <c r="T97" s="3428">
        <f>_xlfn.XLOOKUP(R97,'[52]競技情報DB(12,600人ver) '!$A$6:$A$101,'[52]競技情報DB(12,600人ver) '!$D$6:$D$101,"",0,)</f>
        <v>100</v>
      </c>
      <c r="U97" s="3429">
        <f>SUM(T97:T98)</f>
        <v>100</v>
      </c>
      <c r="V97" s="3350" t="str">
        <f>IFERROR(VLOOKUP($R97,'[52]競技情報DB(12,600人ver) '!$A$6:$D$203,3,),"－")</f>
        <v>長良川国際レガッタコース</v>
      </c>
      <c r="W97" s="3351">
        <v>25</v>
      </c>
      <c r="X97" s="3352">
        <v>31</v>
      </c>
      <c r="Y97" s="3430">
        <f>$G97-MAX(AF97:BN97)</f>
        <v>32</v>
      </c>
      <c r="Z97" s="3431">
        <f>+Y97/$G97</f>
        <v>0.24242424242424243</v>
      </c>
      <c r="AA97" s="3432" t="str">
        <f>E97&amp;"　"&amp;"合計"</f>
        <v>大垣フォーラムホテル　合計</v>
      </c>
      <c r="AB97" s="3325">
        <f>IFERROR(INDEX($AF$3:$BN$3, MATCH("準備", AF97:BN97, 0)), "")</f>
        <v>46279</v>
      </c>
      <c r="AC97" s="3325" cm="1">
        <f t="array" ref="AC97">IF(COUNTIF(AF97:BN97,"*撤去*")=0,"",INDEX(AF$3:BN$3,1,MAX(IF(AF97:BN97="撤去",COLUMN(AF97:BN97)-COLUMN(AF97)+1))))</f>
        <v>46292</v>
      </c>
      <c r="AD97" s="3326">
        <f>AC97-AB97</f>
        <v>13</v>
      </c>
      <c r="AE97" s="3433" t="str">
        <f>+$AE$114</f>
        <v>12,600人</v>
      </c>
      <c r="AF97" s="3434">
        <f>+_xlfn.XLOOKUP($AA97,'[52]②配宿シュミレーション(12,600人ver) '!$AO$6:$AO$707,'[52]②配宿シュミレーション(12,600人ver) '!AP$6:AP$707,)</f>
        <v>0</v>
      </c>
      <c r="AG97" s="3435">
        <f>+_xlfn.XLOOKUP($AA97,'[52]②配宿シュミレーション(12,600人ver) '!$AO$6:$AO$707,'[52]②配宿シュミレーション(12,600人ver) '!AQ$6:AQ$707,)</f>
        <v>0</v>
      </c>
      <c r="AH97" s="3435">
        <f>+_xlfn.XLOOKUP($AA97,'[52]②配宿シュミレーション(12,600人ver) '!$AO$6:$AO$707,'[52]②配宿シュミレーション(12,600人ver) '!AR$6:AR$707,)</f>
        <v>0</v>
      </c>
      <c r="AI97" s="3435">
        <f>+_xlfn.XLOOKUP($AA97,'[52]②配宿シュミレーション(12,600人ver) '!$AO$6:$AO$707,'[52]②配宿シュミレーション(12,600人ver) '!AS$6:AS$707,)</f>
        <v>0</v>
      </c>
      <c r="AJ97" s="3435">
        <f>+_xlfn.XLOOKUP($AA97,'[52]②配宿シュミレーション(12,600人ver) '!$AO$6:$AO$707,'[52]②配宿シュミレーション(12,600人ver) '!AT$6:AT$707,)</f>
        <v>0</v>
      </c>
      <c r="AK97" s="3435">
        <f>+_xlfn.XLOOKUP($AA97,'[52]②配宿シュミレーション(12,600人ver) '!$AO$6:$AO$707,'[52]②配宿シュミレーション(12,600人ver) '!AU$6:AU$707,)</f>
        <v>0</v>
      </c>
      <c r="AL97" s="3435">
        <f>+_xlfn.XLOOKUP($AA97,'[52]②配宿シュミレーション(12,600人ver) '!$AO$6:$AO$707,'[52]②配宿シュミレーション(12,600人ver) '!AV$6:AV$707,)</f>
        <v>0</v>
      </c>
      <c r="AM97" s="3435">
        <f>+_xlfn.XLOOKUP($AA97,'[52]②配宿シュミレーション(12,600人ver) '!$AO$6:$AO$707,'[52]②配宿シュミレーション(12,600人ver) '!AW$6:AW$707,)</f>
        <v>0</v>
      </c>
      <c r="AN97" s="3435">
        <f>+_xlfn.XLOOKUP($AA97,'[52]②配宿シュミレーション(12,600人ver) '!$AO$6:$AO$707,'[52]②配宿シュミレーション(12,600人ver) '!AX$6:AX$707,)</f>
        <v>0</v>
      </c>
      <c r="AO97" s="3435">
        <f>+_xlfn.XLOOKUP($AA97,'[52]②配宿シュミレーション(12,600人ver) '!$AO$6:$AO$707,'[52]②配宿シュミレーション(12,600人ver) '!AY$6:AY$707,)</f>
        <v>0</v>
      </c>
      <c r="AP97" s="3327" t="s">
        <v>2447</v>
      </c>
      <c r="AQ97" s="3436">
        <f>+_xlfn.XLOOKUP($AA97,'[52]②配宿シュミレーション(12,600人ver) '!$AO$6:$AO$707,'[52]②配宿シュミレーション(12,600人ver) '!BA$6:BA$707,)</f>
        <v>0</v>
      </c>
      <c r="AR97" s="3435">
        <f>+_xlfn.XLOOKUP($AA97,'[52]②配宿シュミレーション(12,600人ver) '!$AO$6:$AO$707,'[52]②配宿シュミレーション(12,600人ver) '!BB$6:BB$707,)</f>
        <v>100</v>
      </c>
      <c r="AS97" s="3435">
        <f>+_xlfn.XLOOKUP($AA97,'[52]②配宿シュミレーション(12,600人ver) '!$AO$6:$AO$707,'[52]②配宿シュミレーション(12,600人ver) '!BC$6:BC$707,)</f>
        <v>100</v>
      </c>
      <c r="AT97" s="3435">
        <f>+_xlfn.XLOOKUP($AA97,'[52]②配宿シュミレーション(12,600人ver) '!$AO$6:$AO$707,'[52]②配宿シュミレーション(12,600人ver) '!BD$6:BD$707,)</f>
        <v>100</v>
      </c>
      <c r="AU97" s="3435">
        <f>+_xlfn.XLOOKUP($AA97,'[52]②配宿シュミレーション(12,600人ver) '!$AO$6:$AO$707,'[52]②配宿シュミレーション(12,600人ver) '!BE$6:BE$707,)</f>
        <v>100</v>
      </c>
      <c r="AV97" s="3435">
        <f>+_xlfn.XLOOKUP($AA97,'[52]②配宿シュミレーション(12,600人ver) '!$AO$6:$AO$707,'[52]②配宿シュミレーション(12,600人ver) '!BF$6:BF$707,)</f>
        <v>100</v>
      </c>
      <c r="AW97" s="3435">
        <f>+_xlfn.XLOOKUP($AA97,'[52]②配宿シュミレーション(12,600人ver) '!$AO$6:$AO$707,'[52]②配宿シュミレーション(12,600人ver) '!BG$6:BG$707,)</f>
        <v>100</v>
      </c>
      <c r="AX97" s="3435">
        <f>+_xlfn.XLOOKUP($AA97,'[52]②配宿シュミレーション(12,600人ver) '!$AO$6:$AO$707,'[52]②配宿シュミレーション(12,600人ver) '!BH$6:BH$707,)</f>
        <v>100</v>
      </c>
      <c r="AY97" s="3435">
        <f>+_xlfn.XLOOKUP($AA97,'[52]②配宿シュミレーション(12,600人ver) '!$AO$6:$AO$707,'[52]②配宿シュミレーション(12,600人ver) '!BI$6:BI$707,)</f>
        <v>100</v>
      </c>
      <c r="AZ97" s="3435">
        <f>+_xlfn.XLOOKUP($AA97,'[52]②配宿シュミレーション(12,600人ver) '!$AO$6:$AO$707,'[52]②配宿シュミレーション(12,600人ver) '!BJ$6:BJ$707,)</f>
        <v>100</v>
      </c>
      <c r="BA97" s="3435">
        <f>+_xlfn.XLOOKUP($AA97,'[52]②配宿シュミレーション(12,600人ver) '!$AO$6:$AO$707,'[52]②配宿シュミレーション(12,600人ver) '!BK$6:BK$707,)</f>
        <v>100</v>
      </c>
      <c r="BB97" s="3435">
        <f>+_xlfn.XLOOKUP($AA97,'[52]②配宿シュミレーション(12,600人ver) '!$AO$6:$AO$707,'[52]②配宿シュミレーション(12,600人ver) '!BL$6:BL$707,)</f>
        <v>100</v>
      </c>
      <c r="BC97" s="3306" t="s">
        <v>2448</v>
      </c>
      <c r="BD97" s="3435">
        <f>+_xlfn.XLOOKUP($AA97,'[52]②配宿シュミレーション(12,600人ver) '!$AO$6:$AO$707,'[52]②配宿シュミレーション(12,600人ver) '!BN$6:BN$707,)</f>
        <v>0</v>
      </c>
      <c r="BE97" s="3435">
        <f>+_xlfn.XLOOKUP($AA97,'[52]②配宿シュミレーション(12,600人ver) '!$AO$6:$AO$707,'[52]②配宿シュミレーション(12,600人ver) '!BO$6:BO$707,)</f>
        <v>0</v>
      </c>
      <c r="BF97" s="3435">
        <f>+_xlfn.XLOOKUP($AA97,'[52]②配宿シュミレーション(12,600人ver) '!$AO$6:$AO$707,'[52]②配宿シュミレーション(12,600人ver) '!BP$6:BP$707,)</f>
        <v>0</v>
      </c>
      <c r="BG97" s="3435">
        <f>+_xlfn.XLOOKUP($AA97,'[52]②配宿シュミレーション(12,600人ver) '!$AO$6:$AO$707,'[52]②配宿シュミレーション(12,600人ver) '!BQ$6:BQ$707,)</f>
        <v>0</v>
      </c>
      <c r="BH97" s="3435">
        <f>+_xlfn.XLOOKUP($AA97,'[52]②配宿シュミレーション(12,600人ver) '!$AO$6:$AO$707,'[52]②配宿シュミレーション(12,600人ver) '!BR$6:BR$707,)</f>
        <v>0</v>
      </c>
      <c r="BI97" s="3435">
        <f>+_xlfn.XLOOKUP($AA97,'[52]②配宿シュミレーション(12,600人ver) '!$AO$6:$AO$707,'[52]②配宿シュミレーション(12,600人ver) '!BS$6:BS$707,)</f>
        <v>0</v>
      </c>
      <c r="BJ97" s="3435">
        <f>+_xlfn.XLOOKUP($AA97,'[52]②配宿シュミレーション(12,600人ver) '!$AO$6:$AO$707,'[52]②配宿シュミレーション(12,600人ver) '!BT$6:BT$707,)</f>
        <v>0</v>
      </c>
      <c r="BK97" s="3435">
        <f>+_xlfn.XLOOKUP($AA97,'[52]②配宿シュミレーション(12,600人ver) '!$AO$6:$AO$707,'[52]②配宿シュミレーション(12,600人ver) '!BU$6:BU$707,)</f>
        <v>0</v>
      </c>
      <c r="BL97" s="3435">
        <f>+_xlfn.XLOOKUP($AA97,'[52]②配宿シュミレーション(12,600人ver) '!$AO$6:$AO$707,'[52]②配宿シュミレーション(12,600人ver) '!BV$6:BV$707,)</f>
        <v>0</v>
      </c>
      <c r="BM97" s="3435">
        <f>+_xlfn.XLOOKUP($AA97,'[52]②配宿シュミレーション(12,600人ver) '!$AO$6:$AO$707,'[52]②配宿シュミレーション(12,600人ver) '!BW$6:BW$707,)</f>
        <v>0</v>
      </c>
      <c r="BN97" s="3437">
        <f>+_xlfn.XLOOKUP($AA97,'[52]②配宿シュミレーション(12,600人ver) '!$AO$6:$AO$707,'[52]②配宿シュミレーション(12,600人ver) '!BX$6:BX$707,)</f>
        <v>0</v>
      </c>
      <c r="BO97" s="3438"/>
      <c r="BP97" s="3439"/>
      <c r="BQ97" s="3440"/>
    </row>
    <row r="98" spans="1:69" s="3456" customFormat="1" ht="46" customHeight="1" thickBot="1">
      <c r="A98" s="3421"/>
      <c r="B98" s="3422"/>
      <c r="C98" s="428"/>
      <c r="D98" s="3442" t="str">
        <f>IF(_xlfn.XLOOKUP(E98,[52]宿泊施設DB!$B$3:$B$207,[52]宿泊施設DB!$A$3:$A$207,"",)=0,"",_xlfn.XLOOKUP(E98,[52]宿泊施設DB!$B$3:$B$207,[52]宿泊施設DB!$A$3:$A$207,"",))</f>
        <v/>
      </c>
      <c r="E98" s="3443"/>
      <c r="F98" s="423">
        <f>_xlfn.XLOOKUP($E98,[52]宿泊施設DB!$B$3:$B$207,[52]宿泊施設DB!$D$3:$D$207,"",)</f>
        <v>0</v>
      </c>
      <c r="G98" s="423">
        <f>_xlfn.XLOOKUP($E98,[52]宿泊施設DB!$B$3:$B$207,[52]宿泊施設DB!$E$3:$E$207,"",)</f>
        <v>0</v>
      </c>
      <c r="H98" s="424">
        <f>_xlfn.XLOOKUP($E98,[52]宿泊施設DB!$B$3:$B$207,[52]宿泊施設DB!$J$3:$J$207,"",)</f>
        <v>0</v>
      </c>
      <c r="I98" s="425">
        <f>_xlfn.XLOOKUP($E98,[52]宿泊施設DB!$B$3:$B$207,[52]宿泊施設DB!$T$3:$T$207,"",)</f>
        <v>0</v>
      </c>
      <c r="J98" s="425">
        <f>_xlfn.XLOOKUP($E98,[52]宿泊施設DB!$B$3:$B$207,[52]宿泊施設DB!$R$3:$R$207,"",)</f>
        <v>0</v>
      </c>
      <c r="K98" s="424">
        <f>_xlfn.XLOOKUP($E98,[52]宿泊施設DB!$B$3:$B$207,[52]宿泊施設DB!$S$3:$S$207,"",)</f>
        <v>0</v>
      </c>
      <c r="L98" s="425">
        <f>_xlfn.XLOOKUP($E98,[52]宿泊施設DB!$B$3:$B$207,[52]宿泊施設DB!$U$3:$U$207,"",)</f>
        <v>0</v>
      </c>
      <c r="M98" s="425">
        <f>_xlfn.XLOOKUP($E98,[52]宿泊施設DB!$B$3:$B$207,[52]宿泊施設DB!$V$3:$V$207,"",)</f>
        <v>0</v>
      </c>
      <c r="N98" s="425">
        <f>_xlfn.XLOOKUP($E98,[52]宿泊施設DB!$B$3:$B$207,[52]宿泊施設DB!$W$3:$W$207,"",)</f>
        <v>0</v>
      </c>
      <c r="O98" s="425">
        <f>_xlfn.XLOOKUP($E98,[52]宿泊施設DB!$B$3:$B$207,[52]宿泊施設DB!$X$3:$X$207,"",)</f>
        <v>0</v>
      </c>
      <c r="P98" s="3444" t="str">
        <f t="shared" si="4"/>
        <v/>
      </c>
      <c r="Q98" s="3445"/>
      <c r="R98" s="714"/>
      <c r="S98" s="3446" t="str">
        <f>IFERROR(VLOOKUP($R98,'[52]競技情報DB(12,600人ver) '!$A$6:$D$203,2,),"－")</f>
        <v>－</v>
      </c>
      <c r="T98" s="3447">
        <f>_xlfn.XLOOKUP(R98,'[52]競技情報DB(12,600人ver) '!$A$6:$A$101,'[52]競技情報DB(12,600人ver) '!$D$6:$D$101,"",0,)</f>
        <v>0</v>
      </c>
      <c r="U98" s="3448"/>
      <c r="V98" s="3343" t="str">
        <f>IFERROR(VLOOKUP($R98,'[52]競技情報DB(12,600人ver) '!$A$6:$D$203,3,),"－")</f>
        <v>－</v>
      </c>
      <c r="W98" s="3344"/>
      <c r="X98" s="3345"/>
      <c r="Y98" s="3449"/>
      <c r="Z98" s="3450"/>
      <c r="AA98" s="3451"/>
      <c r="AB98" s="3452"/>
      <c r="AC98" s="3452"/>
      <c r="AD98" s="3453"/>
      <c r="AE98" s="3454"/>
      <c r="AF98" s="3455"/>
      <c r="AG98" s="2206"/>
      <c r="AH98" s="2206"/>
      <c r="AI98" s="2206"/>
      <c r="AJ98" s="2206"/>
      <c r="AK98" s="2206"/>
      <c r="AL98" s="2206"/>
      <c r="AM98" s="2206"/>
      <c r="AN98" s="2206"/>
      <c r="AO98" s="2206"/>
      <c r="AP98" s="2206"/>
      <c r="AQ98" s="2206"/>
      <c r="AR98" s="2206"/>
      <c r="AS98" s="2206"/>
      <c r="AT98" s="2206"/>
      <c r="AU98" s="2206"/>
      <c r="AV98" s="2206"/>
      <c r="AW98" s="2206"/>
      <c r="AX98" s="2206"/>
      <c r="AY98" s="2206"/>
      <c r="AZ98" s="2206"/>
      <c r="BA98" s="2206"/>
      <c r="BB98" s="2206"/>
      <c r="BC98" s="2206"/>
      <c r="BD98" s="2206"/>
      <c r="BE98" s="2206"/>
      <c r="BF98" s="2206"/>
      <c r="BG98" s="2206"/>
      <c r="BH98" s="2206"/>
      <c r="BI98" s="2206"/>
      <c r="BJ98" s="2205"/>
      <c r="BK98" s="2206"/>
      <c r="BL98" s="2206"/>
      <c r="BM98" s="2206"/>
      <c r="BN98" s="2201"/>
      <c r="BO98" s="3438"/>
      <c r="BP98" s="3439"/>
      <c r="BQ98" s="3440"/>
    </row>
    <row r="99" spans="1:69" s="3441" customFormat="1" ht="46" customHeight="1">
      <c r="A99" s="641"/>
      <c r="B99" s="304"/>
      <c r="C99" s="304">
        <f>C97+1</f>
        <v>31</v>
      </c>
      <c r="D99" s="3423">
        <f>IF(_xlfn.XLOOKUP(E99,[52]宿泊施設DB!$B$3:$B$207,[52]宿泊施設DB!$A$3:$A$207,"",)=0,"",_xlfn.XLOOKUP(E99,[52]宿泊施設DB!$B$3:$B$207,[52]宿泊施設DB!$A$3:$A$207,"",))</f>
        <v>2045</v>
      </c>
      <c r="E99" s="3457" t="s">
        <v>2540</v>
      </c>
      <c r="F99" s="299">
        <f>_xlfn.XLOOKUP($E99,[52]宿泊施設DB!$B$3:$B$207,[52]宿泊施設DB!$D$3:$D$207,"",)</f>
        <v>98</v>
      </c>
      <c r="G99" s="299">
        <f>_xlfn.XLOOKUP($E99,[52]宿泊施設DB!$B$3:$B$207,[52]宿泊施設DB!$E$3:$E$207,"",)</f>
        <v>119</v>
      </c>
      <c r="H99" s="300">
        <f>_xlfn.XLOOKUP($E99,[52]宿泊施設DB!$B$3:$B$207,[52]宿泊施設DB!$J$3:$J$207,"",)</f>
        <v>7</v>
      </c>
      <c r="I99" s="301" t="str">
        <f>_xlfn.XLOOKUP($E99,[52]宿泊施設DB!$B$3:$B$207,[52]宿泊施設DB!$T$3:$T$207,"",)</f>
        <v>中</v>
      </c>
      <c r="J99" s="301" t="str">
        <f>_xlfn.XLOOKUP($E99,[52]宿泊施設DB!$B$3:$B$207,[52]宿泊施設DB!$R$3:$R$207,"",)</f>
        <v>宿泊施設</v>
      </c>
      <c r="K99" s="300">
        <f>_xlfn.XLOOKUP($E99,[52]宿泊施設DB!$B$3:$B$207,[52]宿泊施設DB!$S$3:$S$207,"",)</f>
        <v>30</v>
      </c>
      <c r="L99" s="301" t="str">
        <f>_xlfn.XLOOKUP($E99,[52]宿泊施設DB!$B$3:$B$207,[52]宿泊施設DB!$U$3:$U$207,"",)</f>
        <v>－</v>
      </c>
      <c r="M99" s="301" t="str">
        <f>_xlfn.XLOOKUP($E99,[52]宿泊施設DB!$B$3:$B$207,[52]宿泊施設DB!$V$3:$V$207,"",)</f>
        <v>－</v>
      </c>
      <c r="N99" s="301" t="str">
        <f>_xlfn.XLOOKUP($E99,[52]宿泊施設DB!$B$3:$B$207,[52]宿泊施設DB!$W$3:$W$207,"",)</f>
        <v>○</v>
      </c>
      <c r="O99" s="301" t="str">
        <f>_xlfn.XLOOKUP($E99,[52]宿泊施設DB!$B$3:$B$207,[52]宿泊施設DB!$X$3:$X$207,"",)</f>
        <v>路上2台</v>
      </c>
      <c r="P99" s="3425" t="str">
        <f t="shared" si="4"/>
        <v>○</v>
      </c>
      <c r="Q99" s="304" t="s">
        <v>2136</v>
      </c>
      <c r="R99" s="703" t="s">
        <v>2541</v>
      </c>
      <c r="S99" s="3458" t="str">
        <f>IFERROR(VLOOKUP($R99,'[52]競技情報DB(12,600人ver) '!$A$6:$D$203,2,),"－")</f>
        <v>海津市</v>
      </c>
      <c r="T99" s="3459">
        <f>_xlfn.XLOOKUP(R99,'[52]競技情報DB(12,600人ver) '!$A$6:$A$101,'[52]競技情報DB(12,600人ver) '!$D$6:$D$101,"",0,)</f>
        <v>100</v>
      </c>
      <c r="U99" s="3429">
        <f>SUM(T99:T100)</f>
        <v>100</v>
      </c>
      <c r="V99" s="3350" t="str">
        <f>IFERROR(VLOOKUP($R99,'[52]競技情報DB(12,600人ver) '!$A$6:$D$203,3,),"－")</f>
        <v>長良川国際レガッタコース</v>
      </c>
      <c r="W99" s="3351">
        <v>25</v>
      </c>
      <c r="X99" s="3352">
        <v>31</v>
      </c>
      <c r="Y99" s="3430">
        <f>$G99-MAX(AF99:BN99)</f>
        <v>19</v>
      </c>
      <c r="Z99" s="3431">
        <f>+Y99/$G99</f>
        <v>0.15966386554621848</v>
      </c>
      <c r="AA99" s="3432" t="str">
        <f>E99&amp;"　"&amp;"合計"</f>
        <v>クインテッサホテル 大垣　合計</v>
      </c>
      <c r="AB99" s="3325">
        <f>IFERROR(INDEX($AF$3:$BN$3, MATCH("準備", AF99:BN99, 0)), "")</f>
        <v>46279</v>
      </c>
      <c r="AC99" s="3325" cm="1">
        <f t="array" ref="AC99">IF(COUNTIF(AF99:BN99,"*撤去*")=0,"",INDEX(AF$3:BN$3,1,MAX(IF(AF99:BN99="撤去",COLUMN(AF99:BN99)-COLUMN(AF99)+1))))</f>
        <v>46292</v>
      </c>
      <c r="AD99" s="3326">
        <f>AC99-AB99</f>
        <v>13</v>
      </c>
      <c r="AE99" s="3433" t="str">
        <f>+$AE$114</f>
        <v>12,600人</v>
      </c>
      <c r="AF99" s="3435">
        <f>+_xlfn.XLOOKUP($AA99,'[52]②配宿シュミレーション(12,600人ver) '!$AO$6:$AO$707,'[52]②配宿シュミレーション(12,600人ver) '!AP$6:AP$707,)</f>
        <v>0</v>
      </c>
      <c r="AG99" s="3435">
        <f>+_xlfn.XLOOKUP($AA99,'[52]②配宿シュミレーション(12,600人ver) '!$AO$6:$AO$707,'[52]②配宿シュミレーション(12,600人ver) '!AQ$6:AQ$707,)</f>
        <v>0</v>
      </c>
      <c r="AH99" s="3435">
        <f>+_xlfn.XLOOKUP($AA99,'[52]②配宿シュミレーション(12,600人ver) '!$AO$6:$AO$707,'[52]②配宿シュミレーション(12,600人ver) '!AR$6:AR$707,)</f>
        <v>0</v>
      </c>
      <c r="AI99" s="3435">
        <f>+_xlfn.XLOOKUP($AA99,'[52]②配宿シュミレーション(12,600人ver) '!$AO$6:$AO$707,'[52]②配宿シュミレーション(12,600人ver) '!AS$6:AS$707,)</f>
        <v>0</v>
      </c>
      <c r="AJ99" s="3435">
        <f>+_xlfn.XLOOKUP($AA99,'[52]②配宿シュミレーション(12,600人ver) '!$AO$6:$AO$707,'[52]②配宿シュミレーション(12,600人ver) '!AT$6:AT$707,)</f>
        <v>0</v>
      </c>
      <c r="AK99" s="3435">
        <f>+_xlfn.XLOOKUP($AA99,'[52]②配宿シュミレーション(12,600人ver) '!$AO$6:$AO$707,'[52]②配宿シュミレーション(12,600人ver) '!AU$6:AU$707,)</f>
        <v>0</v>
      </c>
      <c r="AL99" s="3435">
        <f>+_xlfn.XLOOKUP($AA99,'[52]②配宿シュミレーション(12,600人ver) '!$AO$6:$AO$707,'[52]②配宿シュミレーション(12,600人ver) '!AV$6:AV$707,)</f>
        <v>0</v>
      </c>
      <c r="AM99" s="3435">
        <f>+_xlfn.XLOOKUP($AA99,'[52]②配宿シュミレーション(12,600人ver) '!$AO$6:$AO$707,'[52]②配宿シュミレーション(12,600人ver) '!AW$6:AW$707,)</f>
        <v>0</v>
      </c>
      <c r="AN99" s="3435">
        <f>+_xlfn.XLOOKUP($AA99,'[52]②配宿シュミレーション(12,600人ver) '!$AO$6:$AO$707,'[52]②配宿シュミレーション(12,600人ver) '!AX$6:AX$707,)</f>
        <v>0</v>
      </c>
      <c r="AO99" s="3435">
        <f>+_xlfn.XLOOKUP($AA99,'[52]②配宿シュミレーション(12,600人ver) '!$AO$6:$AO$707,'[52]②配宿シュミレーション(12,600人ver) '!AY$6:AY$707,)</f>
        <v>0</v>
      </c>
      <c r="AP99" s="3327" t="s">
        <v>2447</v>
      </c>
      <c r="AQ99" s="3436">
        <f>+_xlfn.XLOOKUP($AA99,'[52]②配宿シュミレーション(12,600人ver) '!$AO$6:$AO$707,'[52]②配宿シュミレーション(12,600人ver) '!BA$6:BA$707,)</f>
        <v>0</v>
      </c>
      <c r="AR99" s="3435">
        <f>+_xlfn.XLOOKUP($AA99,'[52]②配宿シュミレーション(12,600人ver) '!$AO$6:$AO$707,'[52]②配宿シュミレーション(12,600人ver) '!BB$6:BB$707,)</f>
        <v>100</v>
      </c>
      <c r="AS99" s="3435">
        <f>+_xlfn.XLOOKUP($AA99,'[52]②配宿シュミレーション(12,600人ver) '!$AO$6:$AO$707,'[52]②配宿シュミレーション(12,600人ver) '!BC$6:BC$707,)</f>
        <v>100</v>
      </c>
      <c r="AT99" s="3435">
        <f>+_xlfn.XLOOKUP($AA99,'[52]②配宿シュミレーション(12,600人ver) '!$AO$6:$AO$707,'[52]②配宿シュミレーション(12,600人ver) '!BD$6:BD$707,)</f>
        <v>100</v>
      </c>
      <c r="AU99" s="3435">
        <f>+_xlfn.XLOOKUP($AA99,'[52]②配宿シュミレーション(12,600人ver) '!$AO$6:$AO$707,'[52]②配宿シュミレーション(12,600人ver) '!BE$6:BE$707,)</f>
        <v>100</v>
      </c>
      <c r="AV99" s="3435">
        <f>+_xlfn.XLOOKUP($AA99,'[52]②配宿シュミレーション(12,600人ver) '!$AO$6:$AO$707,'[52]②配宿シュミレーション(12,600人ver) '!BF$6:BF$707,)</f>
        <v>100</v>
      </c>
      <c r="AW99" s="3435">
        <f>+_xlfn.XLOOKUP($AA99,'[52]②配宿シュミレーション(12,600人ver) '!$AO$6:$AO$707,'[52]②配宿シュミレーション(12,600人ver) '!BG$6:BG$707,)</f>
        <v>100</v>
      </c>
      <c r="AX99" s="3435">
        <f>+_xlfn.XLOOKUP($AA99,'[52]②配宿シュミレーション(12,600人ver) '!$AO$6:$AO$707,'[52]②配宿シュミレーション(12,600人ver) '!BH$6:BH$707,)</f>
        <v>100</v>
      </c>
      <c r="AY99" s="3435">
        <f>+_xlfn.XLOOKUP($AA99,'[52]②配宿シュミレーション(12,600人ver) '!$AO$6:$AO$707,'[52]②配宿シュミレーション(12,600人ver) '!BI$6:BI$707,)</f>
        <v>100</v>
      </c>
      <c r="AZ99" s="3435">
        <f>+_xlfn.XLOOKUP($AA99,'[52]②配宿シュミレーション(12,600人ver) '!$AO$6:$AO$707,'[52]②配宿シュミレーション(12,600人ver) '!BJ$6:BJ$707,)</f>
        <v>100</v>
      </c>
      <c r="BA99" s="3435">
        <f>+_xlfn.XLOOKUP($AA99,'[52]②配宿シュミレーション(12,600人ver) '!$AO$6:$AO$707,'[52]②配宿シュミレーション(12,600人ver) '!BK$6:BK$707,)</f>
        <v>100</v>
      </c>
      <c r="BB99" s="3435">
        <f>+_xlfn.XLOOKUP($AA99,'[52]②配宿シュミレーション(12,600人ver) '!$AO$6:$AO$707,'[52]②配宿シュミレーション(12,600人ver) '!BL$6:BL$707,)</f>
        <v>100</v>
      </c>
      <c r="BC99" s="3306" t="s">
        <v>2448</v>
      </c>
      <c r="BD99" s="3435">
        <f>+_xlfn.XLOOKUP($AA99,'[52]②配宿シュミレーション(12,600人ver) '!$AO$6:$AO$707,'[52]②配宿シュミレーション(12,600人ver) '!BN$6:BN$707,)</f>
        <v>0</v>
      </c>
      <c r="BE99" s="3435">
        <f>+_xlfn.XLOOKUP($AA99,'[52]②配宿シュミレーション(12,600人ver) '!$AO$6:$AO$707,'[52]②配宿シュミレーション(12,600人ver) '!BO$6:BO$707,)</f>
        <v>0</v>
      </c>
      <c r="BF99" s="3435">
        <f>+_xlfn.XLOOKUP($AA99,'[52]②配宿シュミレーション(12,600人ver) '!$AO$6:$AO$707,'[52]②配宿シュミレーション(12,600人ver) '!BP$6:BP$707,)</f>
        <v>0</v>
      </c>
      <c r="BG99" s="3435">
        <f>+_xlfn.XLOOKUP($AA99,'[52]②配宿シュミレーション(12,600人ver) '!$AO$6:$AO$707,'[52]②配宿シュミレーション(12,600人ver) '!BQ$6:BQ$707,)</f>
        <v>0</v>
      </c>
      <c r="BH99" s="3435">
        <f>+_xlfn.XLOOKUP($AA99,'[52]②配宿シュミレーション(12,600人ver) '!$AO$6:$AO$707,'[52]②配宿シュミレーション(12,600人ver) '!BR$6:BR$707,)</f>
        <v>0</v>
      </c>
      <c r="BI99" s="3435">
        <f>+_xlfn.XLOOKUP($AA99,'[52]②配宿シュミレーション(12,600人ver) '!$AO$6:$AO$707,'[52]②配宿シュミレーション(12,600人ver) '!BS$6:BS$707,)</f>
        <v>0</v>
      </c>
      <c r="BJ99" s="3435">
        <f>+_xlfn.XLOOKUP($AA99,'[52]②配宿シュミレーション(12,600人ver) '!$AO$6:$AO$707,'[52]②配宿シュミレーション(12,600人ver) '!BT$6:BT$707,)</f>
        <v>0</v>
      </c>
      <c r="BK99" s="3435">
        <f>+_xlfn.XLOOKUP($AA99,'[52]②配宿シュミレーション(12,600人ver) '!$AO$6:$AO$707,'[52]②配宿シュミレーション(12,600人ver) '!BU$6:BU$707,)</f>
        <v>0</v>
      </c>
      <c r="BL99" s="3435">
        <f>+_xlfn.XLOOKUP($AA99,'[52]②配宿シュミレーション(12,600人ver) '!$AO$6:$AO$707,'[52]②配宿シュミレーション(12,600人ver) '!BV$6:BV$707,)</f>
        <v>0</v>
      </c>
      <c r="BM99" s="3435">
        <f>+_xlfn.XLOOKUP($AA99,'[52]②配宿シュミレーション(12,600人ver) '!$AO$6:$AO$707,'[52]②配宿シュミレーション(12,600人ver) '!BW$6:BW$707,)</f>
        <v>0</v>
      </c>
      <c r="BN99" s="3437">
        <f>+_xlfn.XLOOKUP($AA99,'[52]②配宿シュミレーション(12,600人ver) '!$AO$6:$AO$707,'[52]②配宿シュミレーション(12,600人ver) '!BX$6:BX$707,)</f>
        <v>0</v>
      </c>
      <c r="BO99" s="3438"/>
      <c r="BP99" s="3439"/>
      <c r="BQ99" s="3440"/>
    </row>
    <row r="100" spans="1:69" s="3456" customFormat="1" ht="46" customHeight="1" thickBot="1">
      <c r="A100" s="3421"/>
      <c r="B100" s="3460"/>
      <c r="C100" s="304"/>
      <c r="D100" s="3423" t="str">
        <f>IF(_xlfn.XLOOKUP(E100,[52]宿泊施設DB!$B$3:$B$207,[52]宿泊施設DB!$A$3:$A$207,"",)=0,"",_xlfn.XLOOKUP(E100,[52]宿泊施設DB!$B$3:$B$207,[52]宿泊施設DB!$A$3:$A$207,"",))</f>
        <v/>
      </c>
      <c r="E100" s="3461"/>
      <c r="F100" s="299">
        <f>_xlfn.XLOOKUP($E100,[52]宿泊施設DB!$B$3:$B$207,[52]宿泊施設DB!$D$3:$D$207,"",)</f>
        <v>0</v>
      </c>
      <c r="G100" s="299">
        <f>_xlfn.XLOOKUP($E100,[52]宿泊施設DB!$B$3:$B$207,[52]宿泊施設DB!$E$3:$E$207,"",)</f>
        <v>0</v>
      </c>
      <c r="H100" s="300">
        <f>_xlfn.XLOOKUP($E100,[52]宿泊施設DB!$B$3:$B$207,[52]宿泊施設DB!$J$3:$J$207,"",)</f>
        <v>0</v>
      </c>
      <c r="I100" s="301">
        <f>_xlfn.XLOOKUP($E100,[52]宿泊施設DB!$B$3:$B$207,[52]宿泊施設DB!$T$3:$T$207,"",)</f>
        <v>0</v>
      </c>
      <c r="J100" s="301">
        <f>_xlfn.XLOOKUP($E100,[52]宿泊施設DB!$B$3:$B$207,[52]宿泊施設DB!$R$3:$R$207,"",)</f>
        <v>0</v>
      </c>
      <c r="K100" s="300">
        <f>_xlfn.XLOOKUP($E100,[52]宿泊施設DB!$B$3:$B$207,[52]宿泊施設DB!$S$3:$S$207,"",)</f>
        <v>0</v>
      </c>
      <c r="L100" s="301">
        <f>_xlfn.XLOOKUP($E100,[52]宿泊施設DB!$B$3:$B$207,[52]宿泊施設DB!$U$3:$U$207,"",)</f>
        <v>0</v>
      </c>
      <c r="M100" s="301">
        <f>_xlfn.XLOOKUP($E100,[52]宿泊施設DB!$B$3:$B$207,[52]宿泊施設DB!$V$3:$V$207,"",)</f>
        <v>0</v>
      </c>
      <c r="N100" s="301">
        <f>_xlfn.XLOOKUP($E100,[52]宿泊施設DB!$B$3:$B$207,[52]宿泊施設DB!$W$3:$W$207,"",)</f>
        <v>0</v>
      </c>
      <c r="O100" s="301">
        <f>_xlfn.XLOOKUP($E100,[52]宿泊施設DB!$B$3:$B$207,[52]宿泊施設DB!$X$3:$X$207,"",)</f>
        <v>0</v>
      </c>
      <c r="P100" s="3425" t="str">
        <f t="shared" si="4"/>
        <v/>
      </c>
      <c r="Q100" s="304"/>
      <c r="R100" s="3341"/>
      <c r="S100" s="3446" t="str">
        <f>IFERROR(VLOOKUP($R100,'[52]競技情報DB(12,600人ver) '!$A$6:$D$203,2,),"－")</f>
        <v>－</v>
      </c>
      <c r="T100" s="3447">
        <f>_xlfn.XLOOKUP(R100,'[52]競技情報DB(12,600人ver) '!$A$6:$A$101,'[52]競技情報DB(12,600人ver) '!$D$6:$D$101,"",0,)</f>
        <v>0</v>
      </c>
      <c r="U100" s="3448"/>
      <c r="V100" s="3343" t="str">
        <f>IFERROR(VLOOKUP($R100,'[52]競技情報DB(12,600人ver) '!$A$6:$D$203,3,),"－")</f>
        <v>－</v>
      </c>
      <c r="W100" s="3344"/>
      <c r="X100" s="3345"/>
      <c r="Y100" s="3449"/>
      <c r="Z100" s="3431"/>
      <c r="AA100" s="3462"/>
      <c r="AB100" s="3463"/>
      <c r="AC100" s="3463"/>
      <c r="AD100" s="3464"/>
      <c r="AE100" s="3465"/>
      <c r="AF100" s="2206"/>
      <c r="AG100" s="2206"/>
      <c r="AH100" s="2206"/>
      <c r="AI100" s="2206"/>
      <c r="AJ100" s="2206"/>
      <c r="AK100" s="2206"/>
      <c r="AL100" s="2206"/>
      <c r="AM100" s="2206"/>
      <c r="AN100" s="2206"/>
      <c r="AO100" s="2206"/>
      <c r="AP100" s="2206"/>
      <c r="AQ100" s="2206"/>
      <c r="AR100" s="2206"/>
      <c r="AS100" s="2206"/>
      <c r="AT100" s="2206"/>
      <c r="AU100" s="2206"/>
      <c r="AV100" s="2206"/>
      <c r="AW100" s="2206"/>
      <c r="AX100" s="2206"/>
      <c r="AY100" s="2206"/>
      <c r="AZ100" s="2206"/>
      <c r="BA100" s="2206"/>
      <c r="BB100" s="2206"/>
      <c r="BC100" s="2206"/>
      <c r="BD100" s="2206"/>
      <c r="BE100" s="2206"/>
      <c r="BF100" s="2206"/>
      <c r="BG100" s="2206"/>
      <c r="BH100" s="2206"/>
      <c r="BI100" s="2206"/>
      <c r="BJ100" s="2205"/>
      <c r="BK100" s="2206"/>
      <c r="BL100" s="2206"/>
      <c r="BM100" s="2206"/>
      <c r="BN100" s="2201"/>
      <c r="BO100" s="3438"/>
      <c r="BP100" s="3439"/>
      <c r="BQ100" s="3440"/>
    </row>
    <row r="101" spans="1:69" ht="46" customHeight="1">
      <c r="A101" s="2862"/>
      <c r="B101" s="2913" t="s">
        <v>2396</v>
      </c>
      <c r="C101" s="372">
        <f>C99+1</f>
        <v>32</v>
      </c>
      <c r="D101" s="2871">
        <f>IF(_xlfn.XLOOKUP(E101,[52]宿泊施設DB!$B$3:$B$207,[52]宿泊施設DB!$A$3:$A$207,"",)=0,"",_xlfn.XLOOKUP(E101,[52]宿泊施設DB!$B$3:$B$207,[52]宿泊施設DB!$A$3:$A$207,"",))</f>
        <v>2022</v>
      </c>
      <c r="E101" s="572" t="s">
        <v>2397</v>
      </c>
      <c r="F101" s="2872">
        <f>_xlfn.XLOOKUP($E101,[52]宿泊施設DB!$B$3:$B$207,[52]宿泊施設DB!$D$3:$D$207,"",)</f>
        <v>212</v>
      </c>
      <c r="G101" s="2872">
        <f>_xlfn.XLOOKUP($E101,[52]宿泊施設DB!$B$3:$B$207,[52]宿泊施設DB!$E$3:$E$207,"",)</f>
        <v>522</v>
      </c>
      <c r="H101" s="2873">
        <f>_xlfn.XLOOKUP($E101,[52]宿泊施設DB!$B$3:$B$207,[52]宿泊施設DB!$J$3:$J$207,"",)</f>
        <v>12</v>
      </c>
      <c r="I101" s="2874" t="str">
        <f>_xlfn.XLOOKUP($E101,[52]宿泊施設DB!$B$3:$B$207,[52]宿泊施設DB!$T$3:$T$207,"",)</f>
        <v>中</v>
      </c>
      <c r="J101" s="2874" t="str">
        <f>_xlfn.XLOOKUP($E101,[52]宿泊施設DB!$B$3:$B$207,[52]宿泊施設DB!$R$3:$R$207,"",)</f>
        <v>宿泊施設</v>
      </c>
      <c r="K101" s="2873">
        <f>_xlfn.XLOOKUP($E101,[52]宿泊施設DB!$B$3:$B$207,[52]宿泊施設DB!$S$3:$S$207,"",)</f>
        <v>122</v>
      </c>
      <c r="L101" s="2874" t="str">
        <f>_xlfn.XLOOKUP($E101,[52]宿泊施設DB!$B$3:$B$207,[52]宿泊施設DB!$U$3:$U$207,"",)</f>
        <v>－</v>
      </c>
      <c r="M101" s="2874" t="str">
        <f>_xlfn.XLOOKUP($E101,[52]宿泊施設DB!$B$3:$B$207,[52]宿泊施設DB!$V$3:$V$207,"",)</f>
        <v>○</v>
      </c>
      <c r="N101" s="2874" t="str">
        <f>_xlfn.XLOOKUP($E101,[52]宿泊施設DB!$B$3:$B$207,[52]宿泊施設DB!$W$3:$W$207,"",)</f>
        <v>○</v>
      </c>
      <c r="O101" s="2874" t="str">
        <f>_xlfn.XLOOKUP($E101,[52]宿泊施設DB!$B$3:$B$207,[52]宿泊施設DB!$X$3:$X$207,"",)</f>
        <v>専用乗降場所（屋根無）3台</v>
      </c>
      <c r="P101" s="377" t="str">
        <f t="shared" si="4"/>
        <v>○</v>
      </c>
      <c r="Q101" s="372" t="s">
        <v>2169</v>
      </c>
      <c r="R101" s="387" t="s">
        <v>2398</v>
      </c>
      <c r="S101" s="388" t="str">
        <f>IFERROR(VLOOKUP($R101,'[52]競技情報DB(12,600人ver) '!$A$6:$D$203,2,),"－")</f>
        <v>伊豆市</v>
      </c>
      <c r="T101" s="389">
        <f>_xlfn.XLOOKUP(R101,'[52]競技情報DB(12,600人ver) '!$A$6:$A$101,'[52]競技情報DB(12,600人ver) '!$D$6:$D$101,"",0,)</f>
        <v>152</v>
      </c>
      <c r="U101" s="3466">
        <f>SUM(T101:T101)</f>
        <v>152</v>
      </c>
      <c r="V101" s="3322" t="str">
        <f>IFERROR(VLOOKUP($R101,'[52]競技情報DB(12,600人ver) '!$A$6:$D$203,3,),"－")</f>
        <v>伊豆ベロドローム</v>
      </c>
      <c r="W101" s="3323">
        <v>18.399999999999999</v>
      </c>
      <c r="X101" s="3324">
        <v>28</v>
      </c>
      <c r="Y101" s="318">
        <f>$G101-MAX(AF101:BN101)</f>
        <v>370</v>
      </c>
      <c r="Z101" s="647">
        <f>+Y101/$G101</f>
        <v>0.70881226053639845</v>
      </c>
      <c r="AA101" s="515" t="str">
        <f>E101&amp;"　"&amp;"合計"</f>
        <v>ホテルラフォーレ修善寺　合計</v>
      </c>
      <c r="AB101" s="3325">
        <f>IFERROR(INDEX($AF$3:$BN$3, MATCH("準備", AF101:BN101, 0)), "")</f>
        <v>46289</v>
      </c>
      <c r="AC101" s="3325" cm="1">
        <f t="array" ref="AC101">IF(COUNTIF(AF101:BN101,"*撤去*")=0,"",INDEX(AF$3:BN$3,1,MAX(IF(AF101:BN101="撤去",COLUMN(AF101:BN101)-COLUMN(AF101)+1))))</f>
        <v>46299</v>
      </c>
      <c r="AD101" s="3326">
        <f>AC101-AB101</f>
        <v>10</v>
      </c>
      <c r="AE101" s="396" t="str">
        <f>+$AE$114</f>
        <v>12,600人</v>
      </c>
      <c r="AF101" s="398">
        <f>+_xlfn.XLOOKUP($AA101,'[52]②配宿シュミレーション(12,600人ver) '!$AO$6:$AO$707,'[52]②配宿シュミレーション(12,600人ver) '!AP$6:AP$707,)</f>
        <v>0</v>
      </c>
      <c r="AG101" s="398">
        <f>+_xlfn.XLOOKUP($AA101,'[52]②配宿シュミレーション(12,600人ver) '!$AO$6:$AO$707,'[52]②配宿シュミレーション(12,600人ver) '!AQ$6:AQ$707,)</f>
        <v>0</v>
      </c>
      <c r="AH101" s="398">
        <f>+_xlfn.XLOOKUP($AA101,'[52]②配宿シュミレーション(12,600人ver) '!$AO$6:$AO$707,'[52]②配宿シュミレーション(12,600人ver) '!AR$6:AR$707,)</f>
        <v>0</v>
      </c>
      <c r="AI101" s="398">
        <f>+_xlfn.XLOOKUP($AA101,'[52]②配宿シュミレーション(12,600人ver) '!$AO$6:$AO$707,'[52]②配宿シュミレーション(12,600人ver) '!AS$6:AS$707,)</f>
        <v>0</v>
      </c>
      <c r="AJ101" s="398">
        <f>+_xlfn.XLOOKUP($AA101,'[52]②配宿シュミレーション(12,600人ver) '!$AO$6:$AO$707,'[52]②配宿シュミレーション(12,600人ver) '!AT$6:AT$707,)</f>
        <v>0</v>
      </c>
      <c r="AK101" s="398">
        <f>+_xlfn.XLOOKUP($AA101,'[52]②配宿シュミレーション(12,600人ver) '!$AO$6:$AO$707,'[52]②配宿シュミレーション(12,600人ver) '!AU$6:AU$707,)</f>
        <v>0</v>
      </c>
      <c r="AL101" s="398">
        <f>+_xlfn.XLOOKUP($AA101,'[52]②配宿シュミレーション(12,600人ver) '!$AO$6:$AO$707,'[52]②配宿シュミレーション(12,600人ver) '!AV$6:AV$707,)</f>
        <v>0</v>
      </c>
      <c r="AM101" s="398">
        <f>+_xlfn.XLOOKUP($AA101,'[52]②配宿シュミレーション(12,600人ver) '!$AO$6:$AO$707,'[52]②配宿シュミレーション(12,600人ver) '!AW$6:AW$707,)</f>
        <v>0</v>
      </c>
      <c r="AN101" s="398">
        <f>+_xlfn.XLOOKUP($AA101,'[52]②配宿シュミレーション(12,600人ver) '!$AO$6:$AO$707,'[52]②配宿シュミレーション(12,600人ver) '!AX$6:AX$707,)</f>
        <v>0</v>
      </c>
      <c r="AO101" s="398">
        <f>+_xlfn.XLOOKUP($AA101,'[52]②配宿シュミレーション(12,600人ver) '!$AO$6:$AO$707,'[52]②配宿シュミレーション(12,600人ver) '!AY$6:AY$707,)</f>
        <v>0</v>
      </c>
      <c r="AP101" s="398">
        <f>+_xlfn.XLOOKUP($AA101,'[52]②配宿シュミレーション(12,600人ver) '!$AO$6:$AO$707,'[52]②配宿シュミレーション(12,600人ver) '!AZ$6:AZ$707,)</f>
        <v>0</v>
      </c>
      <c r="AQ101" s="398">
        <f>+_xlfn.XLOOKUP($AA101,'[52]②配宿シュミレーション(12,600人ver) '!$AO$6:$AO$707,'[52]②配宿シュミレーション(12,600人ver) '!BA$6:BA$707,)</f>
        <v>0</v>
      </c>
      <c r="AR101" s="398">
        <f>+_xlfn.XLOOKUP($AA101,'[52]②配宿シュミレーション(12,600人ver) '!$AO$6:$AO$707,'[52]②配宿シュミレーション(12,600人ver) '!BB$6:BB$707,)</f>
        <v>0</v>
      </c>
      <c r="AS101" s="398">
        <f>+_xlfn.XLOOKUP($AA101,'[52]②配宿シュミレーション(12,600人ver) '!$AO$6:$AO$707,'[52]②配宿シュミレーション(12,600人ver) '!BC$6:BC$707,)</f>
        <v>0</v>
      </c>
      <c r="AT101" s="398">
        <f>+_xlfn.XLOOKUP($AA101,'[52]②配宿シュミレーション(12,600人ver) '!$AO$6:$AO$707,'[52]②配宿シュミレーション(12,600人ver) '!BD$6:BD$707,)</f>
        <v>0</v>
      </c>
      <c r="AU101" s="398">
        <f>+_xlfn.XLOOKUP($AA101,'[52]②配宿シュミレーション(12,600人ver) '!$AO$6:$AO$707,'[52]②配宿シュミレーション(12,600人ver) '!BE$6:BE$707,)</f>
        <v>0</v>
      </c>
      <c r="AV101" s="398">
        <f>+_xlfn.XLOOKUP($AA101,'[52]②配宿シュミレーション(12,600人ver) '!$AO$6:$AO$707,'[52]②配宿シュミレーション(12,600人ver) '!BF$6:BF$707,)</f>
        <v>0</v>
      </c>
      <c r="AW101" s="398">
        <f>+_xlfn.XLOOKUP($AA101,'[52]②配宿シュミレーション(12,600人ver) '!$AO$6:$AO$707,'[52]②配宿シュミレーション(12,600人ver) '!BG$6:BG$707,)</f>
        <v>0</v>
      </c>
      <c r="AX101" s="398">
        <f>+_xlfn.XLOOKUP($AA101,'[52]②配宿シュミレーション(12,600人ver) '!$AO$6:$AO$707,'[52]②配宿シュミレーション(12,600人ver) '!BH$6:BH$707,)</f>
        <v>0</v>
      </c>
      <c r="AY101" s="398">
        <f>+_xlfn.XLOOKUP($AA101,'[52]②配宿シュミレーション(12,600人ver) '!$AO$6:$AO$707,'[52]②配宿シュミレーション(12,600人ver) '!BI$6:BI$707,)</f>
        <v>0</v>
      </c>
      <c r="AZ101" s="3327" t="s">
        <v>2447</v>
      </c>
      <c r="BA101" s="3327">
        <f>+_xlfn.XLOOKUP($AA101,'[52]②配宿シュミレーション(12,600人ver) '!$AO$6:$AO$707,'[52]②配宿シュミレーション(12,600人ver) '!BK$6:BK$707,)</f>
        <v>0</v>
      </c>
      <c r="BB101" s="398">
        <f>+_xlfn.XLOOKUP($AA101,'[52]②配宿シュミレーション(12,600人ver) '!$AO$6:$AO$707,'[52]②配宿シュミレーション(12,600人ver) '!BL$6:BL$707,)</f>
        <v>152</v>
      </c>
      <c r="BC101" s="398">
        <f>+_xlfn.XLOOKUP($AA101,'[52]②配宿シュミレーション(12,600人ver) '!$AO$6:$AO$707,'[52]②配宿シュミレーション(12,600人ver) '!BM$6:BM$707,)</f>
        <v>152</v>
      </c>
      <c r="BD101" s="398">
        <f>+_xlfn.XLOOKUP($AA101,'[52]②配宿シュミレーション(12,600人ver) '!$AO$6:$AO$707,'[52]②配宿シュミレーション(12,600人ver) '!BN$6:BN$707,)</f>
        <v>152</v>
      </c>
      <c r="BE101" s="398">
        <f>+_xlfn.XLOOKUP($AA101,'[52]②配宿シュミレーション(12,600人ver) '!$AO$6:$AO$707,'[52]②配宿シュミレーション(12,600人ver) '!BO$6:BO$707,)</f>
        <v>152</v>
      </c>
      <c r="BF101" s="398">
        <f>+_xlfn.XLOOKUP($AA101,'[52]②配宿シュミレーション(12,600人ver) '!$AO$6:$AO$707,'[52]②配宿シュミレーション(12,600人ver) '!BP$6:BP$707,)</f>
        <v>152</v>
      </c>
      <c r="BG101" s="398">
        <f>+_xlfn.XLOOKUP($AA101,'[52]②配宿シュミレーション(12,600人ver) '!$AO$6:$AO$707,'[52]②配宿シュミレーション(12,600人ver) '!BQ$6:BQ$707,)</f>
        <v>152</v>
      </c>
      <c r="BH101" s="398">
        <f>+_xlfn.XLOOKUP($AA101,'[52]②配宿シュミレーション(12,600人ver) '!$AO$6:$AO$707,'[52]②配宿シュミレーション(12,600人ver) '!BR$6:BR$707,)</f>
        <v>152</v>
      </c>
      <c r="BI101" s="398">
        <f>+_xlfn.XLOOKUP($AA101,'[52]②配宿シュミレーション(12,600人ver) '!$AO$6:$AO$707,'[52]②配宿シュミレーション(12,600人ver) '!BS$6:BS$707,)</f>
        <v>152</v>
      </c>
      <c r="BJ101" s="3306" t="s">
        <v>2448</v>
      </c>
      <c r="BK101" s="398">
        <f>+_xlfn.XLOOKUP($AA101,'[52]②配宿シュミレーション(12,600人ver) '!$AO$6:$AO$707,'[52]②配宿シュミレーション(12,600人ver) '!BU$6:BU$707,)</f>
        <v>0</v>
      </c>
      <c r="BL101" s="398">
        <f>+_xlfn.XLOOKUP($AA101,'[52]②配宿シュミレーション(12,600人ver) '!$AO$6:$AO$707,'[52]②配宿シュミレーション(12,600人ver) '!BV$6:BV$707,)</f>
        <v>0</v>
      </c>
      <c r="BM101" s="398">
        <f>+_xlfn.XLOOKUP($AA101,'[52]②配宿シュミレーション(12,600人ver) '!$AO$6:$AO$707,'[52]②配宿シュミレーション(12,600人ver) '!BW$6:BW$707,)</f>
        <v>0</v>
      </c>
      <c r="BN101" s="472">
        <f>+_xlfn.XLOOKUP($AA101,'[52]②配宿シュミレーション(12,600人ver) '!$AO$6:$AO$707,'[52]②配宿シュミレーション(12,600人ver) '!BX$6:BX$707,)</f>
        <v>0</v>
      </c>
      <c r="BO101" s="573"/>
      <c r="BP101" s="574"/>
      <c r="BQ101" s="575"/>
    </row>
    <row r="102" spans="1:69" s="521" customFormat="1" ht="46" customHeight="1" thickBot="1">
      <c r="A102" s="2862"/>
      <c r="B102" s="2907"/>
      <c r="C102" s="420"/>
      <c r="D102" s="421" t="str">
        <f>IF(_xlfn.XLOOKUP(E102,[52]宿泊施設DB!$B$3:$B$207,[52]宿泊施設DB!$A$3:$A$207,"",)=0,"",_xlfn.XLOOKUP(E102,[52]宿泊施設DB!$B$3:$B$207,[52]宿泊施設DB!$A$3:$A$207,"",))</f>
        <v/>
      </c>
      <c r="E102" s="612" t="s">
        <v>2401</v>
      </c>
      <c r="F102" s="2875"/>
      <c r="G102" s="2875"/>
      <c r="H102" s="2877"/>
      <c r="I102" s="2878"/>
      <c r="J102" s="2878"/>
      <c r="K102" s="2877"/>
      <c r="L102" s="2916"/>
      <c r="M102" s="2878"/>
      <c r="N102" s="2878"/>
      <c r="O102" s="2878"/>
      <c r="P102" s="426"/>
      <c r="Q102" s="420"/>
      <c r="R102" s="3467"/>
      <c r="S102" s="478" t="str">
        <f>IFERROR(VLOOKUP($R102,'[52]競技情報DB(12,600人ver) '!$A$6:$D$203,2,),"－")</f>
        <v>－</v>
      </c>
      <c r="T102" s="479">
        <f>_xlfn.XLOOKUP(R102,'[52]競技情報DB(12,600人ver) '!$A$6:$A$101,'[52]競技情報DB(12,600人ver) '!$D$6:$D$101,"",0,)</f>
        <v>0</v>
      </c>
      <c r="U102" s="3365"/>
      <c r="V102" s="3468" t="str">
        <f>IFERROR(VLOOKUP($R102,'[52]競技情報DB(12,600人ver) '!$A$6:$D$203,3,),"－")</f>
        <v>－</v>
      </c>
      <c r="W102" s="3344"/>
      <c r="X102" s="3376"/>
      <c r="Y102" s="442"/>
      <c r="Z102" s="652"/>
      <c r="AA102" s="517"/>
      <c r="AB102" s="3346"/>
      <c r="AC102" s="3346"/>
      <c r="AD102" s="3347"/>
      <c r="AE102" s="518"/>
      <c r="AF102" s="445"/>
      <c r="AG102" s="445"/>
      <c r="AH102" s="445"/>
      <c r="AI102" s="445"/>
      <c r="AJ102" s="445"/>
      <c r="AK102" s="445"/>
      <c r="AL102" s="445"/>
      <c r="AM102" s="445"/>
      <c r="AN102" s="445"/>
      <c r="AO102" s="445"/>
      <c r="AP102" s="445"/>
      <c r="AQ102" s="445"/>
      <c r="AR102" s="445"/>
      <c r="AS102" s="445"/>
      <c r="AT102" s="445"/>
      <c r="AU102" s="445"/>
      <c r="AV102" s="445"/>
      <c r="AW102" s="445"/>
      <c r="AX102" s="445"/>
      <c r="AY102" s="445"/>
      <c r="AZ102" s="445"/>
      <c r="BA102" s="445"/>
      <c r="BB102" s="445"/>
      <c r="BC102" s="445"/>
      <c r="BD102" s="445"/>
      <c r="BE102" s="445"/>
      <c r="BF102" s="445"/>
      <c r="BG102" s="445"/>
      <c r="BH102" s="445"/>
      <c r="BI102" s="445"/>
      <c r="BJ102" s="336"/>
      <c r="BK102" s="445"/>
      <c r="BL102" s="445"/>
      <c r="BM102" s="445"/>
      <c r="BN102" s="449"/>
      <c r="BO102" s="573"/>
      <c r="BP102" s="614"/>
      <c r="BQ102" s="615"/>
    </row>
    <row r="103" spans="1:69" ht="46" customHeight="1">
      <c r="A103" s="2862"/>
      <c r="B103" s="2863" t="s">
        <v>2402</v>
      </c>
      <c r="C103" s="372">
        <f>C101+1</f>
        <v>33</v>
      </c>
      <c r="D103" s="2871">
        <f>IF(_xlfn.XLOOKUP(E103,[52]宿泊施設DB!$B$3:$B$207,[52]宿泊施設DB!$A$3:$A$207,"",)=0,"",_xlfn.XLOOKUP(E103,[52]宿泊施設DB!$B$3:$B$207,[52]宿泊施設DB!$A$3:$A$207,"",))</f>
        <v>2016</v>
      </c>
      <c r="E103" s="373" t="s">
        <v>2403</v>
      </c>
      <c r="F103" s="2872">
        <f>_xlfn.XLOOKUP($E103,[52]宿泊施設DB!$B$3:$B$207,[52]宿泊施設DB!$D$3:$D$207,"",)</f>
        <v>232</v>
      </c>
      <c r="G103" s="2872">
        <f>_xlfn.XLOOKUP($E103,[52]宿泊施設DB!$B$3:$B$207,[52]宿泊施設DB!$E$3:$E$207,"",)</f>
        <v>718</v>
      </c>
      <c r="H103" s="2873">
        <f>_xlfn.XLOOKUP($E103,[52]宿泊施設DB!$B$3:$B$207,[52]宿泊施設DB!$J$3:$J$207,"",)</f>
        <v>40</v>
      </c>
      <c r="I103" s="2874" t="str">
        <f>_xlfn.XLOOKUP($E103,[52]宿泊施設DB!$B$3:$B$207,[52]宿泊施設DB!$T$3:$T$207,"",)</f>
        <v>中</v>
      </c>
      <c r="J103" s="2874" t="str">
        <f>_xlfn.XLOOKUP($E103,[52]宿泊施設DB!$B$3:$B$207,[52]宿泊施設DB!$R$3:$R$207,"",)</f>
        <v>宿泊施設</v>
      </c>
      <c r="K103" s="2873">
        <f>_xlfn.XLOOKUP($E103,[52]宿泊施設DB!$B$3:$B$207,[52]宿泊施設DB!$S$3:$S$207,"",)</f>
        <v>100</v>
      </c>
      <c r="L103" s="2874" t="str">
        <f>_xlfn.XLOOKUP($E103,[52]宿泊施設DB!$B$3:$B$207,[52]宿泊施設DB!$U$3:$U$207,"",)</f>
        <v>－</v>
      </c>
      <c r="M103" s="2874" t="str">
        <f>_xlfn.XLOOKUP($E103,[52]宿泊施設DB!$B$3:$B$207,[52]宿泊施設DB!$V$3:$V$207,"",)</f>
        <v>○</v>
      </c>
      <c r="N103" s="2874" t="str">
        <f>_xlfn.XLOOKUP($E103,[52]宿泊施設DB!$B$3:$B$207,[52]宿泊施設DB!$W$3:$W$207,"",)</f>
        <v>○</v>
      </c>
      <c r="O103" s="2874" t="str">
        <f>_xlfn.XLOOKUP($E103,[52]宿泊施設DB!$B$3:$B$207,[52]宿泊施設DB!$X$3:$X$207,"",)</f>
        <v>玄関前（屋根付）3台</v>
      </c>
      <c r="P103" s="377" t="str">
        <f t="shared" ref="P103:P111" si="5">IF(AND(E103&lt;&gt;"", R103&lt;&gt;"－"), "○", "")</f>
        <v>○</v>
      </c>
      <c r="Q103" s="3417" t="s">
        <v>2169</v>
      </c>
      <c r="R103" s="387" t="s">
        <v>2489</v>
      </c>
      <c r="S103" s="388" t="str">
        <f>IFERROR(VLOOKUP($R103,'[52]競技情報DB(12,600人ver) '!$A$6:$D$203,2,),"－")</f>
        <v>袋井市</v>
      </c>
      <c r="T103" s="389">
        <f>_xlfn.XLOOKUP(R103,'[52]競技情報DB(12,600人ver) '!$A$6:$A$101,'[52]競技情報DB(12,600人ver) '!$D$6:$D$101,"",0,)</f>
        <v>116</v>
      </c>
      <c r="U103" s="648">
        <f>SUM(T103:T104)</f>
        <v>116</v>
      </c>
      <c r="V103" s="3469" t="str">
        <f>IFERROR(VLOOKUP($R103,'[52]競技情報DB(12,600人ver) '!$A$6:$D$203,3,),"－")</f>
        <v>小笠山総合運動公園エコパスタジアム</v>
      </c>
      <c r="W103" s="3323">
        <v>10.6</v>
      </c>
      <c r="X103" s="3324">
        <v>16</v>
      </c>
      <c r="Y103" s="318">
        <f>$G103-MAX(AF103:BN103)</f>
        <v>544</v>
      </c>
      <c r="Z103" s="394">
        <f>+Y103/$G103</f>
        <v>0.75766016713091922</v>
      </c>
      <c r="AA103" s="515" t="str">
        <f>E103&amp;"　"&amp;"合計"</f>
        <v>つま恋リゾート　彩の郷　合計</v>
      </c>
      <c r="AB103" s="3325">
        <f>IFERROR(INDEX($AF$3:$BN$3, MATCH("準備", AF103:BN103, 0)), "")</f>
        <v>46274</v>
      </c>
      <c r="AC103" s="3325" cm="1">
        <f t="array" ref="AC103">IF(COUNTIF(AF103:BN103,"*撤去*")=0,"",INDEX(AF$3:BN$3,1,MAX(IF(AF103:BN103="撤去",COLUMN(AF103:BN103)-COLUMN(AF103)+1))))</f>
        <v>46299</v>
      </c>
      <c r="AD103" s="3326">
        <f>AC103-AB103</f>
        <v>25</v>
      </c>
      <c r="AE103" s="396" t="str">
        <f>+$AE$114</f>
        <v>12,600人</v>
      </c>
      <c r="AF103" s="398">
        <f>+_xlfn.XLOOKUP($AA103,'[52]②配宿シュミレーション(12,600人ver) '!$AO$6:$AO$707,'[52]②配宿シュミレーション(12,600人ver) '!AP$6:AP$707,)</f>
        <v>0</v>
      </c>
      <c r="AG103" s="398">
        <f>+_xlfn.XLOOKUP($AA103,'[52]②配宿シュミレーション(12,600人ver) '!$AO$6:$AO$707,'[52]②配宿シュミレーション(12,600人ver) '!AQ$6:AQ$707,)</f>
        <v>0</v>
      </c>
      <c r="AH103" s="398">
        <f>+_xlfn.XLOOKUP($AA103,'[52]②配宿シュミレーション(12,600人ver) '!$AO$6:$AO$707,'[52]②配宿シュミレーション(12,600人ver) '!AR$6:AR$707,)</f>
        <v>0</v>
      </c>
      <c r="AI103" s="398">
        <f>+_xlfn.XLOOKUP($AA103,'[52]②配宿シュミレーション(12,600人ver) '!$AO$6:$AO$707,'[52]②配宿シュミレーション(12,600人ver) '!AS$6:AS$707,)</f>
        <v>0</v>
      </c>
      <c r="AJ103" s="398">
        <f>+_xlfn.XLOOKUP($AA103,'[52]②配宿シュミレーション(12,600人ver) '!$AO$6:$AO$707,'[52]②配宿シュミレーション(12,600人ver) '!AT$6:AT$707,)</f>
        <v>0</v>
      </c>
      <c r="AK103" s="3327" t="s">
        <v>2447</v>
      </c>
      <c r="AL103" s="3327">
        <f>+_xlfn.XLOOKUP($AA103,'[52]②配宿シュミレーション(12,600人ver) '!$AO$6:$AO$707,'[52]②配宿シュミレーション(12,600人ver) '!AV$6:AV$707,)</f>
        <v>0</v>
      </c>
      <c r="AM103" s="398">
        <f>+_xlfn.XLOOKUP($AA103,'[52]②配宿シュミレーション(12,600人ver) '!$AO$6:$AO$707,'[52]②配宿シュミレーション(12,600人ver) '!AW$6:AW$707,)</f>
        <v>116</v>
      </c>
      <c r="AN103" s="398">
        <f>+_xlfn.XLOOKUP($AA103,'[52]②配宿シュミレーション(12,600人ver) '!$AO$6:$AO$707,'[52]②配宿シュミレーション(12,600人ver) '!AX$6:AX$707,)</f>
        <v>116</v>
      </c>
      <c r="AO103" s="398">
        <f>+_xlfn.XLOOKUP($AA103,'[52]②配宿シュミレーション(12,600人ver) '!$AO$6:$AO$707,'[52]②配宿シュミレーション(12,600人ver) '!AY$6:AY$707,)</f>
        <v>116</v>
      </c>
      <c r="AP103" s="398">
        <f>+_xlfn.XLOOKUP($AA103,'[52]②配宿シュミレーション(12,600人ver) '!$AO$6:$AO$707,'[52]②配宿シュミレーション(12,600人ver) '!AZ$6:AZ$707,)</f>
        <v>116</v>
      </c>
      <c r="AQ103" s="398">
        <f>+_xlfn.XLOOKUP($AA103,'[52]②配宿シュミレーション(12,600人ver) '!$AO$6:$AO$707,'[52]②配宿シュミレーション(12,600人ver) '!BA$6:BA$707,)</f>
        <v>116</v>
      </c>
      <c r="AR103" s="398">
        <f>+_xlfn.XLOOKUP($AA103,'[52]②配宿シュミレーション(12,600人ver) '!$AO$6:$AO$707,'[52]②配宿シュミレーション(12,600人ver) '!BB$6:BB$707,)</f>
        <v>116</v>
      </c>
      <c r="AS103" s="398">
        <f>+_xlfn.XLOOKUP($AA103,'[52]②配宿シュミレーション(12,600人ver) '!$AO$6:$AO$707,'[52]②配宿シュミレーション(12,600人ver) '!BC$6:BC$707,)</f>
        <v>116</v>
      </c>
      <c r="AT103" s="398">
        <f>+_xlfn.XLOOKUP($AA103,'[52]②配宿シュミレーション(12,600人ver) '!$AO$6:$AO$707,'[52]②配宿シュミレーション(12,600人ver) '!BD$6:BD$707,)</f>
        <v>116</v>
      </c>
      <c r="AU103" s="398">
        <f>+_xlfn.XLOOKUP($AA103,'[52]②配宿シュミレーション(12,600人ver) '!$AO$6:$AO$707,'[52]②配宿シュミレーション(12,600人ver) '!BE$6:BE$707,)</f>
        <v>116</v>
      </c>
      <c r="AV103" s="398">
        <f>+_xlfn.XLOOKUP($AA103,'[52]②配宿シュミレーション(12,600人ver) '!$AO$6:$AO$707,'[52]②配宿シュミレーション(12,600人ver) '!BF$6:BF$707,)</f>
        <v>116</v>
      </c>
      <c r="AW103" s="398">
        <f>+_xlfn.XLOOKUP($AA103,'[52]②配宿シュミレーション(12,600人ver) '!$AO$6:$AO$707,'[52]②配宿シュミレーション(12,600人ver) '!BG$6:BG$707,)</f>
        <v>116</v>
      </c>
      <c r="AX103" s="398">
        <f>+_xlfn.XLOOKUP($AA103,'[52]②配宿シュミレーション(12,600人ver) '!$AO$6:$AO$707,'[52]②配宿シュミレーション(12,600人ver) '!BH$6:BH$707,)</f>
        <v>174</v>
      </c>
      <c r="AY103" s="398">
        <f>+_xlfn.XLOOKUP($AA103,'[52]②配宿シュミレーション(12,600人ver) '!$AO$6:$AO$707,'[52]②配宿シュミレーション(12,600人ver) '!BI$6:BI$707,)</f>
        <v>116</v>
      </c>
      <c r="AZ103" s="398">
        <f>+_xlfn.XLOOKUP($AA103,'[52]②配宿シュミレーション(12,600人ver) '!$AO$6:$AO$707,'[52]②配宿シュミレーション(12,600人ver) '!BJ$6:BJ$707,)</f>
        <v>116</v>
      </c>
      <c r="BA103" s="398">
        <f>+_xlfn.XLOOKUP($AA103,'[52]②配宿シュミレーション(12,600人ver) '!$AO$6:$AO$707,'[52]②配宿シュミレーション(12,600人ver) '!BK$6:BK$707,)</f>
        <v>116</v>
      </c>
      <c r="BB103" s="398">
        <f>+_xlfn.XLOOKUP($AA103,'[52]②配宿シュミレーション(12,600人ver) '!$AO$6:$AO$707,'[52]②配宿シュミレーション(12,600人ver) '!BL$6:BL$707,)</f>
        <v>116</v>
      </c>
      <c r="BC103" s="398">
        <f>+_xlfn.XLOOKUP($AA103,'[52]②配宿シュミレーション(12,600人ver) '!$AO$6:$AO$707,'[52]②配宿シュミレーション(12,600人ver) '!BM$6:BM$707,)</f>
        <v>116</v>
      </c>
      <c r="BD103" s="398">
        <f>+_xlfn.XLOOKUP($AA103,'[52]②配宿シュミレーション(12,600人ver) '!$AO$6:$AO$707,'[52]②配宿シュミレーション(12,600人ver) '!BN$6:BN$707,)</f>
        <v>116</v>
      </c>
      <c r="BE103" s="398">
        <f>+_xlfn.XLOOKUP($AA103,'[52]②配宿シュミレーション(12,600人ver) '!$AO$6:$AO$707,'[52]②配宿シュミレーション(12,600人ver) '!BO$6:BO$707,)</f>
        <v>116</v>
      </c>
      <c r="BF103" s="398">
        <f>+_xlfn.XLOOKUP($AA103,'[52]②配宿シュミレーション(12,600人ver) '!$AO$6:$AO$707,'[52]②配宿シュミレーション(12,600人ver) '!BP$6:BP$707,)</f>
        <v>116</v>
      </c>
      <c r="BG103" s="398">
        <f>+_xlfn.XLOOKUP($AA103,'[52]②配宿シュミレーション(12,600人ver) '!$AO$6:$AO$707,'[52]②配宿シュミレーション(12,600人ver) '!BQ$6:BQ$707,)</f>
        <v>116</v>
      </c>
      <c r="BH103" s="398">
        <f>+_xlfn.XLOOKUP($AA103,'[52]②配宿シュミレーション(12,600人ver) '!$AO$6:$AO$707,'[52]②配宿シュミレーション(12,600人ver) '!BR$6:BR$707,)</f>
        <v>116</v>
      </c>
      <c r="BI103" s="398">
        <f>+_xlfn.XLOOKUP($AA103,'[52]②配宿シュミレーション(12,600人ver) '!$AO$6:$AO$707,'[52]②配宿シュミレーション(12,600人ver) '!BS$6:BS$707,)</f>
        <v>116</v>
      </c>
      <c r="BJ103" s="3306" t="s">
        <v>2448</v>
      </c>
      <c r="BK103" s="398">
        <f>+_xlfn.XLOOKUP($AA103,'[52]②配宿シュミレーション(12,600人ver) '!$AO$6:$AO$707,'[52]②配宿シュミレーション(12,600人ver) '!BU$6:BU$707,)</f>
        <v>0</v>
      </c>
      <c r="BL103" s="398">
        <f>+_xlfn.XLOOKUP($AA103,'[52]②配宿シュミレーション(12,600人ver) '!$AO$6:$AO$707,'[52]②配宿シュミレーション(12,600人ver) '!BV$6:BV$707,)</f>
        <v>0</v>
      </c>
      <c r="BM103" s="398">
        <f>+_xlfn.XLOOKUP($AA103,'[52]②配宿シュミレーション(12,600人ver) '!$AO$6:$AO$707,'[52]②配宿シュミレーション(12,600人ver) '!BW$6:BW$707,)</f>
        <v>0</v>
      </c>
      <c r="BN103" s="472">
        <f>+_xlfn.XLOOKUP($AA103,'[52]②配宿シュミレーション(12,600人ver) '!$AO$6:$AO$707,'[52]②配宿シュミレーション(12,600人ver) '!BX$6:BX$707,)</f>
        <v>0</v>
      </c>
      <c r="BO103" s="290"/>
      <c r="BP103" s="404"/>
      <c r="BQ103" s="405"/>
    </row>
    <row r="104" spans="1:69" s="521" customFormat="1" ht="46" customHeight="1" thickBot="1">
      <c r="A104" s="2862"/>
      <c r="B104" s="2907"/>
      <c r="C104" s="420"/>
      <c r="D104" s="421" t="str">
        <f>IF(_xlfn.XLOOKUP(E104,[52]宿泊施設DB!$B$3:$B$207,[52]宿泊施設DB!$A$3:$A$207,"",)=0,"",_xlfn.XLOOKUP(E104,[52]宿泊施設DB!$B$3:$B$207,[52]宿泊施設DB!$A$3:$A$207,"",))</f>
        <v/>
      </c>
      <c r="E104" s="422"/>
      <c r="F104" s="2875">
        <f>_xlfn.XLOOKUP($E104,[52]宿泊施設DB!$B$3:$B$207,[52]宿泊施設DB!$D$3:$D$207,"",)</f>
        <v>0</v>
      </c>
      <c r="G104" s="2875">
        <f>_xlfn.XLOOKUP($E104,[52]宿泊施設DB!$B$3:$B$207,[52]宿泊施設DB!$E$3:$E$207,"",)</f>
        <v>0</v>
      </c>
      <c r="H104" s="2877">
        <f>_xlfn.XLOOKUP($E104,[52]宿泊施設DB!$B$3:$B$207,[52]宿泊施設DB!$J$3:$J$207,"",)</f>
        <v>0</v>
      </c>
      <c r="I104" s="2878">
        <f>_xlfn.XLOOKUP($E104,[52]宿泊施設DB!$B$3:$B$207,[52]宿泊施設DB!$T$3:$T$207,"",)</f>
        <v>0</v>
      </c>
      <c r="J104" s="2878">
        <f>_xlfn.XLOOKUP($E104,[52]宿泊施設DB!$B$3:$B$207,[52]宿泊施設DB!$R$3:$R$207,"",)</f>
        <v>0</v>
      </c>
      <c r="K104" s="2877">
        <f>_xlfn.XLOOKUP($E104,[52]宿泊施設DB!$B$3:$B$207,[52]宿泊施設DB!$S$3:$S$207,"",)</f>
        <v>0</v>
      </c>
      <c r="L104" s="2878">
        <f>_xlfn.XLOOKUP($E104,[52]宿泊施設DB!$B$3:$B$207,[52]宿泊施設DB!$U$3:$U$207,"",)</f>
        <v>0</v>
      </c>
      <c r="M104" s="2878">
        <f>_xlfn.XLOOKUP($E104,[52]宿泊施設DB!$B$3:$B$207,[52]宿泊施設DB!$V$3:$V$207,"",)</f>
        <v>0</v>
      </c>
      <c r="N104" s="2878">
        <f>_xlfn.XLOOKUP($E104,[52]宿泊施設DB!$B$3:$B$207,[52]宿泊施設DB!$W$3:$W$207,"",)</f>
        <v>0</v>
      </c>
      <c r="O104" s="2878">
        <f>_xlfn.XLOOKUP($E104,[52]宿泊施設DB!$B$3:$B$207,[52]宿泊施設DB!$X$3:$X$207,"",)</f>
        <v>0</v>
      </c>
      <c r="P104" s="426" t="str">
        <f t="shared" si="5"/>
        <v/>
      </c>
      <c r="Q104" s="3361"/>
      <c r="R104" s="714"/>
      <c r="S104" s="437" t="str">
        <f>IFERROR(VLOOKUP($R104,'[52]競技情報DB(12,600人ver) '!$A$6:$D$203,2,),"－")</f>
        <v>－</v>
      </c>
      <c r="T104" s="438">
        <f>_xlfn.XLOOKUP(R104,'[52]競技情報DB(12,600人ver) '!$A$6:$A$101,'[52]競技情報DB(12,600人ver) '!$D$6:$D$101,"",0,)</f>
        <v>0</v>
      </c>
      <c r="U104" s="439"/>
      <c r="V104" s="3470" t="str">
        <f>IFERROR(VLOOKUP($R104,'[52]競技情報DB(12,600人ver) '!$A$6:$D$203,3,),"－")</f>
        <v>－</v>
      </c>
      <c r="W104" s="3344"/>
      <c r="X104" s="3345"/>
      <c r="Y104" s="442"/>
      <c r="Z104" s="435"/>
      <c r="AA104" s="517"/>
      <c r="AB104" s="3346"/>
      <c r="AC104" s="3346"/>
      <c r="AD104" s="3347"/>
      <c r="AE104" s="518"/>
      <c r="AF104" s="445"/>
      <c r="AG104" s="445"/>
      <c r="AH104" s="445"/>
      <c r="AI104" s="445"/>
      <c r="AJ104" s="445"/>
      <c r="AK104" s="445"/>
      <c r="AL104" s="445"/>
      <c r="AM104" s="445"/>
      <c r="AN104" s="445"/>
      <c r="AO104" s="445"/>
      <c r="AP104" s="445"/>
      <c r="AQ104" s="445"/>
      <c r="AR104" s="445"/>
      <c r="AS104" s="445"/>
      <c r="AT104" s="445"/>
      <c r="AU104" s="445"/>
      <c r="AV104" s="445"/>
      <c r="AW104" s="445"/>
      <c r="AX104" s="445"/>
      <c r="AY104" s="445"/>
      <c r="AZ104" s="445"/>
      <c r="BA104" s="445"/>
      <c r="BB104" s="445"/>
      <c r="BC104" s="445"/>
      <c r="BD104" s="445"/>
      <c r="BE104" s="445"/>
      <c r="BF104" s="336"/>
      <c r="BG104" s="445"/>
      <c r="BH104" s="445"/>
      <c r="BI104" s="445"/>
      <c r="BJ104" s="445"/>
      <c r="BK104" s="445"/>
      <c r="BL104" s="445"/>
      <c r="BM104" s="445"/>
      <c r="BN104" s="449"/>
      <c r="BO104" s="290"/>
      <c r="BP104" s="450"/>
      <c r="BQ104" s="451"/>
    </row>
    <row r="105" spans="1:69" ht="46" customHeight="1">
      <c r="A105" s="2862"/>
      <c r="B105" s="2913" t="s">
        <v>2408</v>
      </c>
      <c r="C105" s="296">
        <f>C103+1</f>
        <v>34</v>
      </c>
      <c r="D105" s="297">
        <f>IF(_xlfn.XLOOKUP(E105,[52]宿泊施設DB!$B$3:$B$207,[52]宿泊施設DB!$A$3:$A$207,"",)=0,"",_xlfn.XLOOKUP(E105,[52]宿泊施設DB!$B$3:$B$207,[52]宿泊施設DB!$A$3:$A$207,"",))</f>
        <v>2041</v>
      </c>
      <c r="E105" s="609" t="s">
        <v>2490</v>
      </c>
      <c r="F105" s="2864">
        <f>_xlfn.XLOOKUP($E105,[52]宿泊施設DB!$B$3:$B$207,[52]宿泊施設DB!$D$3:$D$207,"",)</f>
        <v>232</v>
      </c>
      <c r="G105" s="2864">
        <f>_xlfn.XLOOKUP($E105,[52]宿泊施設DB!$B$3:$B$207,[52]宿泊施設DB!$E$3:$E$207,"",)</f>
        <v>306</v>
      </c>
      <c r="H105" s="2865">
        <f>_xlfn.XLOOKUP($E105,[52]宿泊施設DB!$B$3:$B$207,[52]宿泊施設DB!$J$3:$J$207,"",)</f>
        <v>10</v>
      </c>
      <c r="I105" s="2866" t="str">
        <f>_xlfn.XLOOKUP($E105,[52]宿泊施設DB!$B$3:$B$207,[52]宿泊施設DB!$T$3:$T$207,"",)</f>
        <v>調査中</v>
      </c>
      <c r="J105" s="2866" t="str">
        <f>_xlfn.XLOOKUP($E105,[52]宿泊施設DB!$B$3:$B$207,[52]宿泊施設DB!$R$3:$R$207,"",)</f>
        <v>宿泊施設</v>
      </c>
      <c r="K105" s="2865" t="str">
        <f>_xlfn.XLOOKUP($E105,[52]宿泊施設DB!$B$3:$B$207,[52]宿泊施設DB!$S$3:$S$207,"",)</f>
        <v>調査中</v>
      </c>
      <c r="L105" s="2874" t="str">
        <f>_xlfn.XLOOKUP($E105,[52]宿泊施設DB!$B$3:$B$207,[52]宿泊施設DB!$U$3:$U$207,"",)</f>
        <v>－</v>
      </c>
      <c r="M105" s="2866" t="str">
        <f>_xlfn.XLOOKUP($E105,[52]宿泊施設DB!$B$3:$B$207,[52]宿泊施設DB!$V$3:$V$207,"",)</f>
        <v>－</v>
      </c>
      <c r="N105" s="2866" t="str">
        <f>_xlfn.XLOOKUP($E105,[52]宿泊施設DB!$B$3:$B$207,[52]宿泊施設DB!$W$3:$W$207,"",)</f>
        <v>調査中</v>
      </c>
      <c r="O105" s="2866" t="str">
        <f>_xlfn.XLOOKUP($E105,[52]宿泊施設DB!$B$3:$B$207,[52]宿泊施設DB!$X$3:$X$207,"",)</f>
        <v>玄関前（屋根付）2台</v>
      </c>
      <c r="P105" s="302" t="str">
        <f t="shared" si="5"/>
        <v>○</v>
      </c>
      <c r="Q105" s="296" t="s">
        <v>2169</v>
      </c>
      <c r="R105" s="703" t="s">
        <v>2410</v>
      </c>
      <c r="S105" s="528" t="str">
        <f>IFERROR(VLOOKUP($R105,'[52]競技情報DB(12,600人ver) '!$A$6:$D$203,2,),"－")</f>
        <v>浜松市</v>
      </c>
      <c r="T105" s="529">
        <f>_xlfn.XLOOKUP(R105,'[52]競技情報DB(12,600人ver) '!$A$6:$A$101,'[52]競技情報DB(12,600人ver) '!$D$6:$D$101,"",0,)</f>
        <v>99</v>
      </c>
      <c r="U105" s="3363">
        <f>SUM(T105:T106)</f>
        <v>99</v>
      </c>
      <c r="V105" s="3350" t="str">
        <f>IFERROR(VLOOKUP($R105,'[52]競技情報DB(12,600人ver) '!$A$6:$D$203,3,),"－")</f>
        <v>古橋廣之進記念浜松市総合水泳場［ToBiO］</v>
      </c>
      <c r="W105" s="3351">
        <v>9.3000000000000007</v>
      </c>
      <c r="X105" s="3352">
        <v>18</v>
      </c>
      <c r="Y105" s="318">
        <f>$G105-MAX(AF105:BN105)</f>
        <v>207</v>
      </c>
      <c r="Z105" s="656">
        <f>+Y105/$G105</f>
        <v>0.67647058823529416</v>
      </c>
      <c r="AA105" s="491" t="str">
        <f>E105&amp;"　"&amp;"合計"</f>
        <v>ホテルコンコルド浜松　合計</v>
      </c>
      <c r="AB105" s="3325">
        <f>IFERROR(INDEX($AF$3:$BN$3, MATCH("準備", AF105:BN105, 0)), "")</f>
        <v>46286</v>
      </c>
      <c r="AC105" s="3325" cm="1">
        <f t="array" ref="AC105">IF(COUNTIF(AF105:BN105,"*撤去*")=0,"",INDEX(AF$3:BN$3,1,MAX(IF(AF105:BN105="撤去",COLUMN(AF105:BN105)-COLUMN(AF105)+1))))</f>
        <v>46295</v>
      </c>
      <c r="AD105" s="3326">
        <f>AC105-AB105</f>
        <v>9</v>
      </c>
      <c r="AE105" s="492" t="str">
        <f>+$AE$114</f>
        <v>12,600人</v>
      </c>
      <c r="AF105" s="398">
        <f>+_xlfn.XLOOKUP($AA105,'[52]②配宿シュミレーション(12,600人ver) '!$AO$6:$AO$707,'[52]②配宿シュミレーション(12,600人ver) '!AP$6:AP$707,)</f>
        <v>0</v>
      </c>
      <c r="AG105" s="398">
        <f>+_xlfn.XLOOKUP($AA105,'[52]②配宿シュミレーション(12,600人ver) '!$AO$6:$AO$707,'[52]②配宿シュミレーション(12,600人ver) '!AQ$6:AQ$707,)</f>
        <v>0</v>
      </c>
      <c r="AH105" s="398">
        <f>+_xlfn.XLOOKUP($AA105,'[52]②配宿シュミレーション(12,600人ver) '!$AO$6:$AO$707,'[52]②配宿シュミレーション(12,600人ver) '!AR$6:AR$707,)</f>
        <v>0</v>
      </c>
      <c r="AI105" s="398">
        <f>+_xlfn.XLOOKUP($AA105,'[52]②配宿シュミレーション(12,600人ver) '!$AO$6:$AO$707,'[52]②配宿シュミレーション(12,600人ver) '!AS$6:AS$707,)</f>
        <v>0</v>
      </c>
      <c r="AJ105" s="398">
        <f>+_xlfn.XLOOKUP($AA105,'[52]②配宿シュミレーション(12,600人ver) '!$AO$6:$AO$707,'[52]②配宿シュミレーション(12,600人ver) '!AT$6:AT$707,)</f>
        <v>0</v>
      </c>
      <c r="AK105" s="398">
        <f>+_xlfn.XLOOKUP($AA105,'[52]②配宿シュミレーション(12,600人ver) '!$AO$6:$AO$707,'[52]②配宿シュミレーション(12,600人ver) '!AU$6:AU$707,)</f>
        <v>0</v>
      </c>
      <c r="AL105" s="398">
        <f>+_xlfn.XLOOKUP($AA105,'[52]②配宿シュミレーション(12,600人ver) '!$AO$6:$AO$707,'[52]②配宿シュミレーション(12,600人ver) '!AV$6:AV$707,)</f>
        <v>0</v>
      </c>
      <c r="AM105" s="398">
        <f>+_xlfn.XLOOKUP($AA105,'[52]②配宿シュミレーション(12,600人ver) '!$AO$6:$AO$707,'[52]②配宿シュミレーション(12,600人ver) '!AW$6:AW$707,)</f>
        <v>0</v>
      </c>
      <c r="AN105" s="398">
        <f>+_xlfn.XLOOKUP($AA105,'[52]②配宿シュミレーション(12,600人ver) '!$AO$6:$AO$707,'[52]②配宿シュミレーション(12,600人ver) '!AX$6:AX$707,)</f>
        <v>0</v>
      </c>
      <c r="AO105" s="398">
        <f>+_xlfn.XLOOKUP($AA105,'[52]②配宿シュミレーション(12,600人ver) '!$AO$6:$AO$707,'[52]②配宿シュミレーション(12,600人ver) '!AY$6:AY$707,)</f>
        <v>0</v>
      </c>
      <c r="AP105" s="398">
        <f>+_xlfn.XLOOKUP($AA105,'[52]②配宿シュミレーション(12,600人ver) '!$AO$6:$AO$707,'[52]②配宿シュミレーション(12,600人ver) '!AZ$6:AZ$707,)</f>
        <v>0</v>
      </c>
      <c r="AQ105" s="398">
        <f>+_xlfn.XLOOKUP($AA105,'[52]②配宿シュミレーション(12,600人ver) '!$AO$6:$AO$707,'[52]②配宿シュミレーション(12,600人ver) '!BA$6:BA$707,)</f>
        <v>0</v>
      </c>
      <c r="AR105" s="398">
        <f>+_xlfn.XLOOKUP($AA105,'[52]②配宿シュミレーション(12,600人ver) '!$AO$6:$AO$707,'[52]②配宿シュミレーション(12,600人ver) '!BB$6:BB$707,)</f>
        <v>0</v>
      </c>
      <c r="AS105" s="398">
        <f>+_xlfn.XLOOKUP($AA105,'[52]②配宿シュミレーション(12,600人ver) '!$AO$6:$AO$707,'[52]②配宿シュミレーション(12,600人ver) '!BC$6:BC$707,)</f>
        <v>0</v>
      </c>
      <c r="AT105" s="398">
        <f>+_xlfn.XLOOKUP($AA105,'[52]②配宿シュミレーション(12,600人ver) '!$AO$6:$AO$707,'[52]②配宿シュミレーション(12,600人ver) '!BD$6:BD$707,)</f>
        <v>0</v>
      </c>
      <c r="AU105" s="398">
        <f>+_xlfn.XLOOKUP($AA105,'[52]②配宿シュミレーション(12,600人ver) '!$AO$6:$AO$707,'[52]②配宿シュミレーション(12,600人ver) '!BE$6:BE$707,)</f>
        <v>0</v>
      </c>
      <c r="AV105" s="398">
        <f>+_xlfn.XLOOKUP($AA105,'[52]②配宿シュミレーション(12,600人ver) '!$AO$6:$AO$707,'[52]②配宿シュミレーション(12,600人ver) '!BF$6:BF$707,)</f>
        <v>0</v>
      </c>
      <c r="AW105" s="3327" t="s">
        <v>2447</v>
      </c>
      <c r="AX105" s="3327">
        <f>+_xlfn.XLOOKUP($AA105,'[52]②配宿シュミレーション(12,600人ver) '!$AO$6:$AO$707,'[52]②配宿シュミレーション(12,600人ver) '!BH$6:BH$707,)</f>
        <v>0</v>
      </c>
      <c r="AY105" s="398">
        <f>+_xlfn.XLOOKUP($AA105,'[52]②配宿シュミレーション(12,600人ver) '!$AO$6:$AO$707,'[52]②配宿シュミレーション(12,600人ver) '!BI$6:BI$707,)</f>
        <v>99</v>
      </c>
      <c r="AZ105" s="398">
        <f>+_xlfn.XLOOKUP($AA105,'[52]②配宿シュミレーション(12,600人ver) '!$AO$6:$AO$707,'[52]②配宿シュミレーション(12,600人ver) '!BJ$6:BJ$707,)</f>
        <v>99</v>
      </c>
      <c r="BA105" s="398">
        <f>+_xlfn.XLOOKUP($AA105,'[52]②配宿シュミレーション(12,600人ver) '!$AO$6:$AO$707,'[52]②配宿シュミレーション(12,600人ver) '!BK$6:BK$707,)</f>
        <v>99</v>
      </c>
      <c r="BB105" s="398">
        <f>+_xlfn.XLOOKUP($AA105,'[52]②配宿シュミレーション(12,600人ver) '!$AO$6:$AO$707,'[52]②配宿シュミレーション(12,600人ver) '!BL$6:BL$707,)</f>
        <v>99</v>
      </c>
      <c r="BC105" s="398">
        <f>+_xlfn.XLOOKUP($AA105,'[52]②配宿シュミレーション(12,600人ver) '!$AO$6:$AO$707,'[52]②配宿シュミレーション(12,600人ver) '!BM$6:BM$707,)</f>
        <v>99</v>
      </c>
      <c r="BD105" s="398">
        <f>+_xlfn.XLOOKUP($AA105,'[52]②配宿シュミレーション(12,600人ver) '!$AO$6:$AO$707,'[52]②配宿シュミレーション(12,600人ver) '!BN$6:BN$707,)</f>
        <v>99</v>
      </c>
      <c r="BE105" s="398">
        <f>+_xlfn.XLOOKUP($AA105,'[52]②配宿シュミレーション(12,600人ver) '!$AO$6:$AO$707,'[52]②配宿シュミレーション(12,600人ver) '!BO$6:BO$707,)</f>
        <v>99</v>
      </c>
      <c r="BF105" s="3306" t="s">
        <v>2448</v>
      </c>
      <c r="BG105" s="398">
        <f>+_xlfn.XLOOKUP($AA105,'[52]②配宿シュミレーション(12,600人ver) '!$AO$6:$AO$707,'[52]②配宿シュミレーション(12,600人ver) '!BQ$6:BQ$707,)</f>
        <v>0</v>
      </c>
      <c r="BH105" s="398">
        <f>+_xlfn.XLOOKUP($AA105,'[52]②配宿シュミレーション(12,600人ver) '!$AO$6:$AO$707,'[52]②配宿シュミレーション(12,600人ver) '!BR$6:BR$707,)</f>
        <v>0</v>
      </c>
      <c r="BI105" s="398">
        <f>+_xlfn.XLOOKUP($AA105,'[52]②配宿シュミレーション(12,600人ver) '!$AO$6:$AO$707,'[52]②配宿シュミレーション(12,600人ver) '!BS$6:BS$707,)</f>
        <v>0</v>
      </c>
      <c r="BJ105" s="398">
        <f>+_xlfn.XLOOKUP($AA105,'[52]②配宿シュミレーション(12,600人ver) '!$AO$6:$AO$707,'[52]②配宿シュミレーション(12,600人ver) '!BT$6:BT$707,)</f>
        <v>0</v>
      </c>
      <c r="BK105" s="398">
        <f>+_xlfn.XLOOKUP($AA105,'[52]②配宿シュミレーション(12,600人ver) '!$AO$6:$AO$707,'[52]②配宿シュミレーション(12,600人ver) '!BU$6:BU$707,)</f>
        <v>0</v>
      </c>
      <c r="BL105" s="398">
        <f>+_xlfn.XLOOKUP($AA105,'[52]②配宿シュミレーション(12,600人ver) '!$AO$6:$AO$707,'[52]②配宿シュミレーション(12,600人ver) '!BV$6:BV$707,)</f>
        <v>0</v>
      </c>
      <c r="BM105" s="398">
        <f>+_xlfn.XLOOKUP($AA105,'[52]②配宿シュミレーション(12,600人ver) '!$AO$6:$AO$707,'[52]②配宿シュミレーション(12,600人ver) '!BW$6:BW$707,)</f>
        <v>0</v>
      </c>
      <c r="BN105" s="472">
        <f>+_xlfn.XLOOKUP($AA105,'[52]②配宿シュミレーション(12,600人ver) '!$AO$6:$AO$707,'[52]②配宿シュミレーション(12,600人ver) '!BX$6:BX$707,)</f>
        <v>0</v>
      </c>
      <c r="BO105" s="573"/>
      <c r="BP105" s="610"/>
      <c r="BQ105" s="611"/>
    </row>
    <row r="106" spans="1:69" s="561" customFormat="1" ht="46" customHeight="1">
      <c r="A106" s="2862"/>
      <c r="B106" s="2907"/>
      <c r="C106" s="420"/>
      <c r="D106" s="421" t="str">
        <f>IF(_xlfn.XLOOKUP(E106,[52]宿泊施設DB!$B$3:$B$207,[52]宿泊施設DB!$A$3:$A$207,"",)=0,"",_xlfn.XLOOKUP(E106,[52]宿泊施設DB!$B$3:$B$207,[52]宿泊施設DB!$A$3:$A$207,"",))</f>
        <v/>
      </c>
      <c r="E106" s="612"/>
      <c r="F106" s="2875">
        <f>_xlfn.XLOOKUP($E106,[52]宿泊施設DB!$B$3:$B$207,[52]宿泊施設DB!$D$3:$D$207,"",)</f>
        <v>0</v>
      </c>
      <c r="G106" s="2875">
        <f>_xlfn.XLOOKUP($E106,[52]宿泊施設DB!$B$3:$B$207,[52]宿泊施設DB!$E$3:$E$207,"",)</f>
        <v>0</v>
      </c>
      <c r="H106" s="2877">
        <f>_xlfn.XLOOKUP($E106,[52]宿泊施設DB!$B$3:$B$207,[52]宿泊施設DB!$J$3:$J$207,"",)</f>
        <v>0</v>
      </c>
      <c r="I106" s="2878">
        <f>_xlfn.XLOOKUP($E106,[52]宿泊施設DB!$B$3:$B$207,[52]宿泊施設DB!$T$3:$T$207,"",)</f>
        <v>0</v>
      </c>
      <c r="J106" s="2878">
        <f>_xlfn.XLOOKUP($E106,[52]宿泊施設DB!$B$3:$B$207,[52]宿泊施設DB!$R$3:$R$207,"",)</f>
        <v>0</v>
      </c>
      <c r="K106" s="2877">
        <f>_xlfn.XLOOKUP($E106,[52]宿泊施設DB!$B$3:$B$207,[52]宿泊施設DB!$S$3:$S$207,"",)</f>
        <v>0</v>
      </c>
      <c r="L106" s="2916">
        <f>_xlfn.XLOOKUP($E106,[52]宿泊施設DB!$B$3:$B$207,[52]宿泊施設DB!$U$3:$U$207,"",)</f>
        <v>0</v>
      </c>
      <c r="M106" s="2878">
        <f>_xlfn.XLOOKUP($E106,[52]宿泊施設DB!$B$3:$B$207,[52]宿泊施設DB!$V$3:$V$207,"",)</f>
        <v>0</v>
      </c>
      <c r="N106" s="2878">
        <f>_xlfn.XLOOKUP($E106,[52]宿泊施設DB!$B$3:$B$207,[52]宿泊施設DB!$W$3:$W$207,"",)</f>
        <v>0</v>
      </c>
      <c r="O106" s="2878">
        <f>_xlfn.XLOOKUP($E106,[52]宿泊施設DB!$B$3:$B$207,[52]宿泊施設DB!$X$3:$X$207,"",)</f>
        <v>0</v>
      </c>
      <c r="P106" s="426" t="str">
        <f t="shared" si="5"/>
        <v/>
      </c>
      <c r="Q106" s="420"/>
      <c r="R106" s="3341"/>
      <c r="S106" s="478" t="str">
        <f>IFERROR(VLOOKUP($R106,'[52]競技情報DB(12,600人ver) '!$A$6:$D$203,2,),"－")</f>
        <v>－</v>
      </c>
      <c r="T106" s="479">
        <f>_xlfn.XLOOKUP(R106,'[52]競技情報DB(12,600人ver) '!$A$6:$A$101,'[52]競技情報DB(12,600人ver) '!$D$6:$D$101,"",0,)</f>
        <v>0</v>
      </c>
      <c r="U106" s="3365"/>
      <c r="V106" s="3343" t="str">
        <f>IFERROR(VLOOKUP($R106,'[52]競技情報DB(12,600人ver) '!$A$6:$D$203,3,),"－")</f>
        <v>－</v>
      </c>
      <c r="W106" s="3344"/>
      <c r="X106" s="3345"/>
      <c r="Y106" s="442"/>
      <c r="Z106" s="652"/>
      <c r="AA106" s="517"/>
      <c r="AB106" s="3346"/>
      <c r="AC106" s="3346"/>
      <c r="AD106" s="3347"/>
      <c r="AE106" s="518"/>
      <c r="AF106" s="445"/>
      <c r="AG106" s="445"/>
      <c r="AH106" s="445"/>
      <c r="AI106" s="445"/>
      <c r="AJ106" s="445"/>
      <c r="AK106" s="445"/>
      <c r="AL106" s="445"/>
      <c r="AM106" s="445"/>
      <c r="AN106" s="445"/>
      <c r="AO106" s="445"/>
      <c r="AP106" s="445"/>
      <c r="AQ106" s="445"/>
      <c r="AR106" s="445"/>
      <c r="AS106" s="445"/>
      <c r="AT106" s="445"/>
      <c r="AU106" s="445"/>
      <c r="AV106" s="445"/>
      <c r="AW106" s="445"/>
      <c r="AX106" s="445"/>
      <c r="AY106" s="445"/>
      <c r="AZ106" s="445"/>
      <c r="BA106" s="445"/>
      <c r="BB106" s="445"/>
      <c r="BC106" s="445"/>
      <c r="BD106" s="445"/>
      <c r="BE106" s="445"/>
      <c r="BF106" s="445"/>
      <c r="BG106" s="336"/>
      <c r="BH106" s="445"/>
      <c r="BI106" s="445"/>
      <c r="BJ106" s="445"/>
      <c r="BK106" s="445"/>
      <c r="BL106" s="445"/>
      <c r="BM106" s="445"/>
      <c r="BN106" s="449"/>
      <c r="BO106" s="573"/>
      <c r="BP106" s="614"/>
      <c r="BQ106" s="615"/>
    </row>
    <row r="107" spans="1:69" s="564" customFormat="1" ht="46" customHeight="1">
      <c r="A107" s="2862"/>
      <c r="B107" s="2913" t="s">
        <v>2413</v>
      </c>
      <c r="C107" s="372">
        <f>C105+1</f>
        <v>35</v>
      </c>
      <c r="D107" s="2871">
        <f>IF(_xlfn.XLOOKUP(E107,[52]宿泊施設DB!$B$3:$B$207,[52]宿泊施設DB!$A$3:$A$207,"",)=0,"",_xlfn.XLOOKUP(E107,[52]宿泊施設DB!$B$3:$B$207,[52]宿泊施設DB!$A$3:$A$207,"",))</f>
        <v>2008</v>
      </c>
      <c r="E107" s="373" t="s">
        <v>2414</v>
      </c>
      <c r="F107" s="2872">
        <f>_xlfn.XLOOKUP($E107,[52]宿泊施設DB!$B$3:$B$207,[52]宿泊施設DB!$D$3:$D$207,"",)</f>
        <v>241</v>
      </c>
      <c r="G107" s="2872">
        <f>_xlfn.XLOOKUP($E107,[52]宿泊施設DB!$B$3:$B$207,[52]宿泊施設DB!$E$3:$E$207,"",)</f>
        <v>456</v>
      </c>
      <c r="H107" s="2873">
        <f>_xlfn.XLOOKUP($E107,[52]宿泊施設DB!$B$3:$B$207,[52]宿泊施設DB!$J$3:$J$207,"",)</f>
        <v>20</v>
      </c>
      <c r="I107" s="2874" t="str">
        <f>_xlfn.XLOOKUP($E107,[52]宿泊施設DB!$B$3:$B$207,[52]宿泊施設DB!$T$3:$T$207,"",)</f>
        <v>低</v>
      </c>
      <c r="J107" s="2874" t="str">
        <f>_xlfn.XLOOKUP($E107,[52]宿泊施設DB!$B$3:$B$207,[52]宿泊施設DB!$R$3:$R$207,"",)</f>
        <v>宿泊施設</v>
      </c>
      <c r="K107" s="2873">
        <f>_xlfn.XLOOKUP($E107,[52]宿泊施設DB!$B$3:$B$207,[52]宿泊施設DB!$S$3:$S$207,"",)</f>
        <v>170</v>
      </c>
      <c r="L107" s="2874" t="str">
        <f>_xlfn.XLOOKUP($E107,[52]宿泊施設DB!$B$3:$B$207,[52]宿泊施設DB!$U$3:$U$207,"",)</f>
        <v>－</v>
      </c>
      <c r="M107" s="2874" t="str">
        <f>_xlfn.XLOOKUP($E107,[52]宿泊施設DB!$B$3:$B$207,[52]宿泊施設DB!$V$3:$V$207,"",)</f>
        <v>－</v>
      </c>
      <c r="N107" s="2874" t="str">
        <f>_xlfn.XLOOKUP($E107,[52]宿泊施設DB!$B$3:$B$207,[52]宿泊施設DB!$W$3:$W$207,"",)</f>
        <v>－</v>
      </c>
      <c r="O107" s="2874" t="str">
        <f>_xlfn.XLOOKUP($E107,[52]宿泊施設DB!$B$3:$B$207,[52]宿泊施設DB!$X$3:$X$207,"",)</f>
        <v>玄関前（屋根付）7台</v>
      </c>
      <c r="P107" s="377" t="str">
        <f t="shared" si="5"/>
        <v>○</v>
      </c>
      <c r="Q107" s="372" t="s">
        <v>2169</v>
      </c>
      <c r="R107" s="387" t="s">
        <v>2491</v>
      </c>
      <c r="S107" s="388" t="str">
        <f>IFERROR(VLOOKUP($R107,'[52]競技情報DB(12,600人ver) '!$A$6:$D$203,2,),"－")</f>
        <v>大阪市</v>
      </c>
      <c r="T107" s="389">
        <f>_xlfn.XLOOKUP(R107,'[52]競技情報DB(12,600人ver) '!$A$6:$A$101,'[52]競技情報DB(12,600人ver) '!$D$6:$D$101,"",0,)</f>
        <v>116</v>
      </c>
      <c r="U107" s="3369">
        <f>SUM(T107:T108)</f>
        <v>116</v>
      </c>
      <c r="V107" s="3322" t="str">
        <f>IFERROR(VLOOKUP($R107,'[52]競技情報DB(12,600人ver) '!$A$6:$D$203,3,),"－")</f>
        <v>長居陸上競技場</v>
      </c>
      <c r="W107" s="3323">
        <v>8.6999999999999993</v>
      </c>
      <c r="X107" s="3324">
        <v>24</v>
      </c>
      <c r="Y107" s="318">
        <f>$G107-MAX(AF107:BN107)</f>
        <v>340</v>
      </c>
      <c r="Z107" s="647">
        <f>+Y107/$G107</f>
        <v>0.74561403508771928</v>
      </c>
      <c r="AA107" s="515" t="str">
        <f>E107&amp;"　"&amp;"合計"</f>
        <v>ホテルアゴーラリージェンシー大阪堺　合計</v>
      </c>
      <c r="AB107" s="3325">
        <f>IFERROR(INDEX($AF$3:$BN$3, MATCH("準備", AF107:BN107, 0)), "")</f>
        <v>46274</v>
      </c>
      <c r="AC107" s="3325" cm="1">
        <f t="array" ref="AC107">IF(COUNTIF(AF107:BN107,"*撤去*")=0,"",INDEX(AF$3:BN$3,1,MAX(IF(AF107:BN107="撤去",COLUMN(AF107:BN107)-COLUMN(AF107)+1))))</f>
        <v>46296</v>
      </c>
      <c r="AD107" s="3326">
        <f>AC107-AB107</f>
        <v>22</v>
      </c>
      <c r="AE107" s="396" t="str">
        <f>+$AE$114</f>
        <v>12,600人</v>
      </c>
      <c r="AF107" s="398">
        <f>+_xlfn.XLOOKUP($AA107,'[52]②配宿シュミレーション(12,600人ver) '!$AO$6:$AO$707,'[52]②配宿シュミレーション(12,600人ver) '!AP$6:AP$707,)</f>
        <v>0</v>
      </c>
      <c r="AG107" s="398">
        <f>+_xlfn.XLOOKUP($AA107,'[52]②配宿シュミレーション(12,600人ver) '!$AO$6:$AO$707,'[52]②配宿シュミレーション(12,600人ver) '!AQ$6:AQ$707,)</f>
        <v>0</v>
      </c>
      <c r="AH107" s="398">
        <f>+_xlfn.XLOOKUP($AA107,'[52]②配宿シュミレーション(12,600人ver) '!$AO$6:$AO$707,'[52]②配宿シュミレーション(12,600人ver) '!AR$6:AR$707,)</f>
        <v>0</v>
      </c>
      <c r="AI107" s="398">
        <f>+_xlfn.XLOOKUP($AA107,'[52]②配宿シュミレーション(12,600人ver) '!$AO$6:$AO$707,'[52]②配宿シュミレーション(12,600人ver) '!AS$6:AS$707,)</f>
        <v>0</v>
      </c>
      <c r="AJ107" s="398">
        <f>+_xlfn.XLOOKUP($AA107,'[52]②配宿シュミレーション(12,600人ver) '!$AO$6:$AO$707,'[52]②配宿シュミレーション(12,600人ver) '!AT$6:AT$707,)</f>
        <v>0</v>
      </c>
      <c r="AK107" s="3327" t="s">
        <v>2447</v>
      </c>
      <c r="AL107" s="3327">
        <f>+_xlfn.XLOOKUP($AA107,'[52]②配宿シュミレーション(12,600人ver) '!$AO$6:$AO$707,'[52]②配宿シュミレーション(12,600人ver) '!AV$6:AV$707,)</f>
        <v>0</v>
      </c>
      <c r="AM107" s="398">
        <f>+_xlfn.XLOOKUP($AA107,'[52]②配宿シュミレーション(12,600人ver) '!$AO$6:$AO$707,'[52]②配宿シュミレーション(12,600人ver) '!AW$6:AW$707,)</f>
        <v>116</v>
      </c>
      <c r="AN107" s="398">
        <f>+_xlfn.XLOOKUP($AA107,'[52]②配宿シュミレーション(12,600人ver) '!$AO$6:$AO$707,'[52]②配宿シュミレーション(12,600人ver) '!AX$6:AX$707,)</f>
        <v>116</v>
      </c>
      <c r="AO107" s="398">
        <f>+_xlfn.XLOOKUP($AA107,'[52]②配宿シュミレーション(12,600人ver) '!$AO$6:$AO$707,'[52]②配宿シュミレーション(12,600人ver) '!AY$6:AY$707,)</f>
        <v>116</v>
      </c>
      <c r="AP107" s="398">
        <f>+_xlfn.XLOOKUP($AA107,'[52]②配宿シュミレーション(12,600人ver) '!$AO$6:$AO$707,'[52]②配宿シュミレーション(12,600人ver) '!AZ$6:AZ$707,)</f>
        <v>116</v>
      </c>
      <c r="AQ107" s="398">
        <f>+_xlfn.XLOOKUP($AA107,'[52]②配宿シュミレーション(12,600人ver) '!$AO$6:$AO$707,'[52]②配宿シュミレーション(12,600人ver) '!BA$6:BA$707,)</f>
        <v>116</v>
      </c>
      <c r="AR107" s="398">
        <f>+_xlfn.XLOOKUP($AA107,'[52]②配宿シュミレーション(12,600人ver) '!$AO$6:$AO$707,'[52]②配宿シュミレーション(12,600人ver) '!BB$6:BB$707,)</f>
        <v>116</v>
      </c>
      <c r="AS107" s="398">
        <f>+_xlfn.XLOOKUP($AA107,'[52]②配宿シュミレーション(12,600人ver) '!$AO$6:$AO$707,'[52]②配宿シュミレーション(12,600人ver) '!BC$6:BC$707,)</f>
        <v>116</v>
      </c>
      <c r="AT107" s="398">
        <f>+_xlfn.XLOOKUP($AA107,'[52]②配宿シュミレーション(12,600人ver) '!$AO$6:$AO$707,'[52]②配宿シュミレーション(12,600人ver) '!BD$6:BD$707,)</f>
        <v>116</v>
      </c>
      <c r="AU107" s="398">
        <f>+_xlfn.XLOOKUP($AA107,'[52]②配宿シュミレーション(12,600人ver) '!$AO$6:$AO$707,'[52]②配宿シュミレーション(12,600人ver) '!BE$6:BE$707,)</f>
        <v>116</v>
      </c>
      <c r="AV107" s="398">
        <f>+_xlfn.XLOOKUP($AA107,'[52]②配宿シュミレーション(12,600人ver) '!$AO$6:$AO$707,'[52]②配宿シュミレーション(12,600人ver) '!BF$6:BF$707,)</f>
        <v>116</v>
      </c>
      <c r="AW107" s="398">
        <f>+_xlfn.XLOOKUP($AA107,'[52]②配宿シュミレーション(12,600人ver) '!$AO$6:$AO$707,'[52]②配宿シュミレーション(12,600人ver) '!BG$6:BG$707,)</f>
        <v>116</v>
      </c>
      <c r="AX107" s="398">
        <f>+_xlfn.XLOOKUP($AA107,'[52]②配宿シュミレーション(12,600人ver) '!$AO$6:$AO$707,'[52]②配宿シュミレーション(12,600人ver) '!BH$6:BH$707,)</f>
        <v>116</v>
      </c>
      <c r="AY107" s="398">
        <f>+_xlfn.XLOOKUP($AA107,'[52]②配宿シュミレーション(12,600人ver) '!$AO$6:$AO$707,'[52]②配宿シュミレーション(12,600人ver) '!BI$6:BI$707,)</f>
        <v>116</v>
      </c>
      <c r="AZ107" s="398">
        <f>+_xlfn.XLOOKUP($AA107,'[52]②配宿シュミレーション(12,600人ver) '!$AO$6:$AO$707,'[52]②配宿シュミレーション(12,600人ver) '!BJ$6:BJ$707,)</f>
        <v>116</v>
      </c>
      <c r="BA107" s="398">
        <f>+_xlfn.XLOOKUP($AA107,'[52]②配宿シュミレーション(12,600人ver) '!$AO$6:$AO$707,'[52]②配宿シュミレーション(12,600人ver) '!BK$6:BK$707,)</f>
        <v>116</v>
      </c>
      <c r="BB107" s="398">
        <f>+_xlfn.XLOOKUP($AA107,'[52]②配宿シュミレーション(12,600人ver) '!$AO$6:$AO$707,'[52]②配宿シュミレーション(12,600人ver) '!BL$6:BL$707,)</f>
        <v>116</v>
      </c>
      <c r="BC107" s="398">
        <f>+_xlfn.XLOOKUP($AA107,'[52]②配宿シュミレーション(12,600人ver) '!$AO$6:$AO$707,'[52]②配宿シュミレーション(12,600人ver) '!BM$6:BM$707,)</f>
        <v>116</v>
      </c>
      <c r="BD107" s="398">
        <f>+_xlfn.XLOOKUP($AA107,'[52]②配宿シュミレーション(12,600人ver) '!$AO$6:$AO$707,'[52]②配宿シュミレーション(12,600人ver) '!BN$6:BN$707,)</f>
        <v>116</v>
      </c>
      <c r="BE107" s="398">
        <f>+_xlfn.XLOOKUP($AA107,'[52]②配宿シュミレーション(12,600人ver) '!$AO$6:$AO$707,'[52]②配宿シュミレーション(12,600人ver) '!BO$6:BO$707,)</f>
        <v>116</v>
      </c>
      <c r="BF107" s="398">
        <f>+_xlfn.XLOOKUP($AA107,'[52]②配宿シュミレーション(12,600人ver) '!$AO$6:$AO$707,'[52]②配宿シュミレーション(12,600人ver) '!BP$6:BP$707,)</f>
        <v>116</v>
      </c>
      <c r="BG107" s="3306" t="s">
        <v>2448</v>
      </c>
      <c r="BH107" s="398">
        <f>+_xlfn.XLOOKUP($AA107,'[52]②配宿シュミレーション(12,600人ver) '!$AO$6:$AO$707,'[52]②配宿シュミレーション(12,600人ver) '!BR$6:BR$707,)</f>
        <v>0</v>
      </c>
      <c r="BI107" s="398">
        <f>+_xlfn.XLOOKUP($AA107,'[52]②配宿シュミレーション(12,600人ver) '!$AO$6:$AO$707,'[52]②配宿シュミレーション(12,600人ver) '!BS$6:BS$707,)</f>
        <v>0</v>
      </c>
      <c r="BJ107" s="398">
        <f>+_xlfn.XLOOKUP($AA107,'[52]②配宿シュミレーション(12,600人ver) '!$AO$6:$AO$707,'[52]②配宿シュミレーション(12,600人ver) '!BT$6:BT$707,)</f>
        <v>0</v>
      </c>
      <c r="BK107" s="398">
        <f>+_xlfn.XLOOKUP($AA107,'[52]②配宿シュミレーション(12,600人ver) '!$AO$6:$AO$707,'[52]②配宿シュミレーション(12,600人ver) '!BU$6:BU$707,)</f>
        <v>0</v>
      </c>
      <c r="BL107" s="398">
        <f>+_xlfn.XLOOKUP($AA107,'[52]②配宿シュミレーション(12,600人ver) '!$AO$6:$AO$707,'[52]②配宿シュミレーション(12,600人ver) '!BV$6:BV$707,)</f>
        <v>0</v>
      </c>
      <c r="BM107" s="398">
        <f>+_xlfn.XLOOKUP($AA107,'[52]②配宿シュミレーション(12,600人ver) '!$AO$6:$AO$707,'[52]②配宿シュミレーション(12,600人ver) '!BW$6:BW$707,)</f>
        <v>0</v>
      </c>
      <c r="BN107" s="472">
        <f>+_xlfn.XLOOKUP($AA107,'[52]②配宿シュミレーション(12,600人ver) '!$AO$6:$AO$707,'[52]②配宿シュミレーション(12,600人ver) '!BX$6:BX$707,)</f>
        <v>0</v>
      </c>
      <c r="BO107" s="290"/>
      <c r="BP107" s="404"/>
      <c r="BQ107" s="405"/>
    </row>
    <row r="108" spans="1:69" s="521" customFormat="1" ht="46" customHeight="1" thickBot="1">
      <c r="A108" s="2862"/>
      <c r="B108" s="2907"/>
      <c r="C108" s="420"/>
      <c r="D108" s="421" t="str">
        <f>IF(_xlfn.XLOOKUP(E108,[52]宿泊施設DB!$B$3:$B$207,[52]宿泊施設DB!$A$3:$A$207,"",)=0,"",_xlfn.XLOOKUP(E108,[52]宿泊施設DB!$B$3:$B$207,[52]宿泊施設DB!$A$3:$A$207,"",))</f>
        <v/>
      </c>
      <c r="E108" s="422"/>
      <c r="F108" s="2875">
        <f>_xlfn.XLOOKUP($E108,[52]宿泊施設DB!$B$3:$B$207,[52]宿泊施設DB!$D$3:$D$207,"",)</f>
        <v>0</v>
      </c>
      <c r="G108" s="2875">
        <f>_xlfn.XLOOKUP($E108,[52]宿泊施設DB!$B$3:$B$207,[52]宿泊施設DB!$E$3:$E$207,"",)</f>
        <v>0</v>
      </c>
      <c r="H108" s="2877">
        <f>_xlfn.XLOOKUP($E108,[52]宿泊施設DB!$B$3:$B$207,[52]宿泊施設DB!$J$3:$J$207,"",)</f>
        <v>0</v>
      </c>
      <c r="I108" s="2878">
        <f>_xlfn.XLOOKUP($E108,[52]宿泊施設DB!$B$3:$B$207,[52]宿泊施設DB!$T$3:$T$207,"",)</f>
        <v>0</v>
      </c>
      <c r="J108" s="2878">
        <f>_xlfn.XLOOKUP($E108,[52]宿泊施設DB!$B$3:$B$207,[52]宿泊施設DB!$R$3:$R$207,"",)</f>
        <v>0</v>
      </c>
      <c r="K108" s="2877">
        <f>_xlfn.XLOOKUP($E108,[52]宿泊施設DB!$B$3:$B$207,[52]宿泊施設DB!$S$3:$S$207,"",)</f>
        <v>0</v>
      </c>
      <c r="L108" s="2878">
        <f>_xlfn.XLOOKUP($E108,[52]宿泊施設DB!$B$3:$B$207,[52]宿泊施設DB!$U$3:$U$207,"",)</f>
        <v>0</v>
      </c>
      <c r="M108" s="2878">
        <f>_xlfn.XLOOKUP($E108,[52]宿泊施設DB!$B$3:$B$207,[52]宿泊施設DB!$V$3:$V$207,"",)</f>
        <v>0</v>
      </c>
      <c r="N108" s="2878">
        <f>_xlfn.XLOOKUP($E108,[52]宿泊施設DB!$B$3:$B$207,[52]宿泊施設DB!$W$3:$W$207,"",)</f>
        <v>0</v>
      </c>
      <c r="O108" s="2878">
        <f>_xlfn.XLOOKUP($E108,[52]宿泊施設DB!$B$3:$B$207,[52]宿泊施設DB!$X$3:$X$207,"",)</f>
        <v>0</v>
      </c>
      <c r="P108" s="426" t="str">
        <f t="shared" si="5"/>
        <v/>
      </c>
      <c r="Q108" s="420"/>
      <c r="R108" s="3341"/>
      <c r="S108" s="478" t="str">
        <f>IFERROR(VLOOKUP($R108,'[52]競技情報DB(12,600人ver) '!$A$6:$D$203,2,),"－")</f>
        <v>－</v>
      </c>
      <c r="T108" s="479">
        <f>_xlfn.XLOOKUP(R108,'[52]競技情報DB(12,600人ver) '!$A$6:$A$101,'[52]競技情報DB(12,600人ver) '!$D$6:$D$101,"",0,)</f>
        <v>0</v>
      </c>
      <c r="U108" s="3365"/>
      <c r="V108" s="3343" t="str">
        <f>IFERROR(VLOOKUP($R108,'[52]競技情報DB(12,600人ver) '!$A$6:$D$203,3,),"－")</f>
        <v>－</v>
      </c>
      <c r="W108" s="3344"/>
      <c r="X108" s="3345"/>
      <c r="Y108" s="442"/>
      <c r="Z108" s="652"/>
      <c r="AA108" s="517"/>
      <c r="AB108" s="3346"/>
      <c r="AC108" s="3346"/>
      <c r="AD108" s="3347"/>
      <c r="AE108" s="518"/>
      <c r="AF108" s="445"/>
      <c r="AG108" s="445"/>
      <c r="AH108" s="445"/>
      <c r="AI108" s="445"/>
      <c r="AJ108" s="445"/>
      <c r="AK108" s="445"/>
      <c r="AL108" s="445"/>
      <c r="AM108" s="445"/>
      <c r="AN108" s="445"/>
      <c r="AO108" s="445"/>
      <c r="AP108" s="445"/>
      <c r="AQ108" s="445"/>
      <c r="AR108" s="445"/>
      <c r="AS108" s="445"/>
      <c r="AT108" s="445"/>
      <c r="AU108" s="445"/>
      <c r="AV108" s="445"/>
      <c r="AW108" s="445"/>
      <c r="AX108" s="445"/>
      <c r="AY108" s="445"/>
      <c r="AZ108" s="336"/>
      <c r="BA108" s="445"/>
      <c r="BB108" s="445"/>
      <c r="BC108" s="445"/>
      <c r="BD108" s="445"/>
      <c r="BE108" s="445"/>
      <c r="BF108" s="445"/>
      <c r="BG108" s="445"/>
      <c r="BH108" s="445"/>
      <c r="BI108" s="445"/>
      <c r="BJ108" s="445"/>
      <c r="BK108" s="445"/>
      <c r="BL108" s="445"/>
      <c r="BM108" s="445"/>
      <c r="BN108" s="449"/>
      <c r="BO108" s="290"/>
      <c r="BP108" s="450"/>
      <c r="BQ108" s="451"/>
    </row>
    <row r="109" spans="1:69" s="564" customFormat="1" ht="46" customHeight="1">
      <c r="A109" s="2862"/>
      <c r="B109" s="2913" t="s">
        <v>2492</v>
      </c>
      <c r="C109" s="372">
        <f>C107+1</f>
        <v>36</v>
      </c>
      <c r="D109" s="2871">
        <f>IF(_xlfn.XLOOKUP(E109,[52]宿泊施設DB!$B$3:$B$207,[52]宿泊施設DB!$A$3:$A$207,"",)=0,"",_xlfn.XLOOKUP(E109,[52]宿泊施設DB!$B$3:$B$207,[52]宿泊施設DB!$A$3:$A$207,"",))</f>
        <v>2042</v>
      </c>
      <c r="E109" s="373" t="s">
        <v>2542</v>
      </c>
      <c r="F109" s="2872">
        <f>_xlfn.XLOOKUP($E109,[52]宿泊施設DB!$B$3:$B$207,[52]宿泊施設DB!$D$3:$D$207,"",)</f>
        <v>746</v>
      </c>
      <c r="G109" s="2872">
        <f>_xlfn.XLOOKUP($E109,[52]宿泊施設DB!$B$3:$B$207,[52]宿泊施設DB!$E$3:$E$207,"",)</f>
        <v>1320</v>
      </c>
      <c r="H109" s="2873">
        <f>_xlfn.XLOOKUP($E109,[52]宿泊施設DB!$B$3:$B$207,[52]宿泊施設DB!$J$3:$J$207,"",)</f>
        <v>37</v>
      </c>
      <c r="I109" s="2874" t="str">
        <f>_xlfn.XLOOKUP($E109,[52]宿泊施設DB!$B$3:$B$207,[52]宿泊施設DB!$T$3:$T$207,"",)</f>
        <v>－</v>
      </c>
      <c r="J109" s="2874" t="str">
        <f>_xlfn.XLOOKUP($E109,[52]宿泊施設DB!$B$3:$B$207,[52]宿泊施設DB!$R$3:$R$207,"",)</f>
        <v>宿泊施設</v>
      </c>
      <c r="K109" s="2873">
        <f>_xlfn.XLOOKUP($E109,[52]宿泊施設DB!$B$3:$B$207,[52]宿泊施設DB!$S$3:$S$207,"",)</f>
        <v>117</v>
      </c>
      <c r="L109" s="2874" t="str">
        <f>_xlfn.XLOOKUP($E109,[52]宿泊施設DB!$B$3:$B$207,[52]宿泊施設DB!$U$3:$U$207,"",)</f>
        <v>○</v>
      </c>
      <c r="M109" s="2874" t="str">
        <f>_xlfn.XLOOKUP($E109,[52]宿泊施設DB!$B$3:$B$207,[52]宿泊施設DB!$V$3:$V$207,"",)</f>
        <v>○(ｼﾞﾑ内等)</v>
      </c>
      <c r="N109" s="2874" t="str">
        <f>_xlfn.XLOOKUP($E109,[52]宿泊施設DB!$B$3:$B$207,[52]宿泊施設DB!$W$3:$W$207,"",)</f>
        <v>－</v>
      </c>
      <c r="O109" s="2874" t="str">
        <f>_xlfn.XLOOKUP($E109,[52]宿泊施設DB!$B$3:$B$207,[52]宿泊施設DB!$X$3:$X$207,"",)</f>
        <v>専用乗降場所（屋根付）1台</v>
      </c>
      <c r="P109" s="377" t="str">
        <f t="shared" si="5"/>
        <v>○</v>
      </c>
      <c r="Q109" s="372" t="s">
        <v>2169</v>
      </c>
      <c r="R109" s="387" t="s">
        <v>2494</v>
      </c>
      <c r="S109" s="388" t="str">
        <f>IFERROR(VLOOKUP($R109,'[52]競技情報DB(12,600人ver) '!$A$6:$D$203,2,),"－")</f>
        <v>神戸市</v>
      </c>
      <c r="T109" s="389">
        <f>_xlfn.XLOOKUP(R109,'[52]競技情報DB(12,600人ver) '!$A$6:$A$101,'[52]競技情報DB(12,600人ver) '!$D$6:$D$101,"",0,)</f>
        <v>116</v>
      </c>
      <c r="U109" s="3369">
        <f>SUM(T109:T110)</f>
        <v>116</v>
      </c>
      <c r="V109" s="3322" t="str">
        <f>IFERROR(VLOOKUP($R109,'[52]競技情報DB(12,600人ver) '!$A$6:$D$203,3,),"－")</f>
        <v>ユニバー記念競技場</v>
      </c>
      <c r="W109" s="3323">
        <v>18</v>
      </c>
      <c r="X109" s="3324">
        <v>23</v>
      </c>
      <c r="Y109" s="318">
        <f>$G109-MAX(AF109:BN109)</f>
        <v>1204</v>
      </c>
      <c r="Z109" s="647">
        <f>+Y109/$G109</f>
        <v>0.91212121212121211</v>
      </c>
      <c r="AA109" s="515" t="str">
        <f>E109&amp;"　"&amp;"合計"</f>
        <v>神戸ポートピアホテル　合計</v>
      </c>
      <c r="AB109" s="3325">
        <f>IFERROR(INDEX($AF$3:$BN$3, MATCH("準備", AF109:BN109, 0)), "")</f>
        <v>46274</v>
      </c>
      <c r="AC109" s="3325" cm="1">
        <f t="array" ref="AC109">IF(COUNTIF(AF109:BN109,"*撤去*")=0,"",INDEX(AF$3:BN$3,1,MAX(IF(AF109:BN109="撤去",COLUMN(AF109:BN109)-COLUMN(AF109)+1))))</f>
        <v>46289</v>
      </c>
      <c r="AD109" s="3326">
        <f>AC109-AB109</f>
        <v>15</v>
      </c>
      <c r="AE109" s="396" t="str">
        <f>+$AE$114</f>
        <v>12,600人</v>
      </c>
      <c r="AF109" s="398">
        <f>+_xlfn.XLOOKUP($AA109,'[52]②配宿シュミレーション(12,600人ver) '!$AO$6:$AO$707,'[52]②配宿シュミレーション(12,600人ver) '!AP$6:AP$707,)</f>
        <v>0</v>
      </c>
      <c r="AG109" s="398">
        <f>+_xlfn.XLOOKUP($AA109,'[52]②配宿シュミレーション(12,600人ver) '!$AO$6:$AO$707,'[52]②配宿シュミレーション(12,600人ver) '!AQ$6:AQ$707,)</f>
        <v>0</v>
      </c>
      <c r="AH109" s="398">
        <f>+_xlfn.XLOOKUP($AA109,'[52]②配宿シュミレーション(12,600人ver) '!$AO$6:$AO$707,'[52]②配宿シュミレーション(12,600人ver) '!AR$6:AR$707,)</f>
        <v>0</v>
      </c>
      <c r="AI109" s="398">
        <f>+_xlfn.XLOOKUP($AA109,'[52]②配宿シュミレーション(12,600人ver) '!$AO$6:$AO$707,'[52]②配宿シュミレーション(12,600人ver) '!AS$6:AS$707,)</f>
        <v>0</v>
      </c>
      <c r="AJ109" s="398">
        <f>+_xlfn.XLOOKUP($AA109,'[52]②配宿シュミレーション(12,600人ver) '!$AO$6:$AO$707,'[52]②配宿シュミレーション(12,600人ver) '!AT$6:AT$707,)</f>
        <v>0</v>
      </c>
      <c r="AK109" s="3327" t="s">
        <v>2447</v>
      </c>
      <c r="AL109" s="3327">
        <f>+_xlfn.XLOOKUP($AA109,'[52]②配宿シュミレーション(12,600人ver) '!$AO$6:$AO$707,'[52]②配宿シュミレーション(12,600人ver) '!AV$6:AV$707,)</f>
        <v>0</v>
      </c>
      <c r="AM109" s="398">
        <f>+_xlfn.XLOOKUP($AA109,'[52]②配宿シュミレーション(12,600人ver) '!$AO$6:$AO$707,'[52]②配宿シュミレーション(12,600人ver) '!AW$6:AW$707,)</f>
        <v>116</v>
      </c>
      <c r="AN109" s="398">
        <f>+_xlfn.XLOOKUP($AA109,'[52]②配宿シュミレーション(12,600人ver) '!$AO$6:$AO$707,'[52]②配宿シュミレーション(12,600人ver) '!AX$6:AX$707,)</f>
        <v>116</v>
      </c>
      <c r="AO109" s="398">
        <f>+_xlfn.XLOOKUP($AA109,'[52]②配宿シュミレーション(12,600人ver) '!$AO$6:$AO$707,'[52]②配宿シュミレーション(12,600人ver) '!AY$6:AY$707,)</f>
        <v>116</v>
      </c>
      <c r="AP109" s="398">
        <f>+_xlfn.XLOOKUP($AA109,'[52]②配宿シュミレーション(12,600人ver) '!$AO$6:$AO$707,'[52]②配宿シュミレーション(12,600人ver) '!AZ$6:AZ$707,)</f>
        <v>116</v>
      </c>
      <c r="AQ109" s="398">
        <f>+_xlfn.XLOOKUP($AA109,'[52]②配宿シュミレーション(12,600人ver) '!$AO$6:$AO$707,'[52]②配宿シュミレーション(12,600人ver) '!BA$6:BA$707,)</f>
        <v>116</v>
      </c>
      <c r="AR109" s="398">
        <f>+_xlfn.XLOOKUP($AA109,'[52]②配宿シュミレーション(12,600人ver) '!$AO$6:$AO$707,'[52]②配宿シュミレーション(12,600人ver) '!BB$6:BB$707,)</f>
        <v>116</v>
      </c>
      <c r="AS109" s="398">
        <f>+_xlfn.XLOOKUP($AA109,'[52]②配宿シュミレーション(12,600人ver) '!$AO$6:$AO$707,'[52]②配宿シュミレーション(12,600人ver) '!BC$6:BC$707,)</f>
        <v>116</v>
      </c>
      <c r="AT109" s="398">
        <f>+_xlfn.XLOOKUP($AA109,'[52]②配宿シュミレーション(12,600人ver) '!$AO$6:$AO$707,'[52]②配宿シュミレーション(12,600人ver) '!BD$6:BD$707,)</f>
        <v>116</v>
      </c>
      <c r="AU109" s="398">
        <f>+_xlfn.XLOOKUP($AA109,'[52]②配宿シュミレーション(12,600人ver) '!$AO$6:$AO$707,'[52]②配宿シュミレーション(12,600人ver) '!BE$6:BE$707,)</f>
        <v>116</v>
      </c>
      <c r="AV109" s="398">
        <f>+_xlfn.XLOOKUP($AA109,'[52]②配宿シュミレーション(12,600人ver) '!$AO$6:$AO$707,'[52]②配宿シュミレーション(12,600人ver) '!BF$6:BF$707,)</f>
        <v>116</v>
      </c>
      <c r="AW109" s="398">
        <f>+_xlfn.XLOOKUP($AA109,'[52]②配宿シュミレーション(12,600人ver) '!$AO$6:$AO$707,'[52]②配宿シュミレーション(12,600人ver) '!BG$6:BG$707,)</f>
        <v>116</v>
      </c>
      <c r="AX109" s="398">
        <f>+_xlfn.XLOOKUP($AA109,'[52]②配宿シュミレーション(12,600人ver) '!$AO$6:$AO$707,'[52]②配宿シュミレーション(12,600人ver) '!BH$6:BH$707,)</f>
        <v>116</v>
      </c>
      <c r="AY109" s="398">
        <f>+_xlfn.XLOOKUP($AA109,'[52]②配宿シュミレーション(12,600人ver) '!$AO$6:$AO$707,'[52]②配宿シュミレーション(12,600人ver) '!BI$6:BI$707,)</f>
        <v>116</v>
      </c>
      <c r="AZ109" s="3306" t="s">
        <v>2448</v>
      </c>
      <c r="BA109" s="398">
        <f>+_xlfn.XLOOKUP($AA109,'[52]②配宿シュミレーション(12,600人ver) '!$AO$6:$AO$707,'[52]②配宿シュミレーション(12,600人ver) '!BK$6:BK$707,)</f>
        <v>0</v>
      </c>
      <c r="BB109" s="398">
        <f>+_xlfn.XLOOKUP($AA109,'[52]②配宿シュミレーション(12,600人ver) '!$AO$6:$AO$707,'[52]②配宿シュミレーション(12,600人ver) '!BL$6:BL$707,)</f>
        <v>0</v>
      </c>
      <c r="BC109" s="398">
        <f>+_xlfn.XLOOKUP($AA109,'[52]②配宿シュミレーション(12,600人ver) '!$AO$6:$AO$707,'[52]②配宿シュミレーション(12,600人ver) '!BM$6:BM$707,)</f>
        <v>0</v>
      </c>
      <c r="BD109" s="398">
        <f>+_xlfn.XLOOKUP($AA109,'[52]②配宿シュミレーション(12,600人ver) '!$AO$6:$AO$707,'[52]②配宿シュミレーション(12,600人ver) '!BN$6:BN$707,)</f>
        <v>0</v>
      </c>
      <c r="BE109" s="398">
        <f>+_xlfn.XLOOKUP($AA109,'[52]②配宿シュミレーション(12,600人ver) '!$AO$6:$AO$707,'[52]②配宿シュミレーション(12,600人ver) '!BO$6:BO$707,)</f>
        <v>0</v>
      </c>
      <c r="BF109" s="398">
        <f>+_xlfn.XLOOKUP($AA109,'[52]②配宿シュミレーション(12,600人ver) '!$AO$6:$AO$707,'[52]②配宿シュミレーション(12,600人ver) '!BP$6:BP$707,)</f>
        <v>0</v>
      </c>
      <c r="BG109" s="398">
        <f>+_xlfn.XLOOKUP($AA109,'[52]②配宿シュミレーション(12,600人ver) '!$AO$6:$AO$707,'[52]②配宿シュミレーション(12,600人ver) '!BQ$6:BQ$707,)</f>
        <v>0</v>
      </c>
      <c r="BH109" s="398">
        <f>+_xlfn.XLOOKUP($AA109,'[52]②配宿シュミレーション(12,600人ver) '!$AO$6:$AO$707,'[52]②配宿シュミレーション(12,600人ver) '!BR$6:BR$707,)</f>
        <v>0</v>
      </c>
      <c r="BI109" s="398">
        <f>+_xlfn.XLOOKUP($AA109,'[52]②配宿シュミレーション(12,600人ver) '!$AO$6:$AO$707,'[52]②配宿シュミレーション(12,600人ver) '!BS$6:BS$707,)</f>
        <v>0</v>
      </c>
      <c r="BJ109" s="398">
        <f>+_xlfn.XLOOKUP($AA109,'[52]②配宿シュミレーション(12,600人ver) '!$AO$6:$AO$707,'[52]②配宿シュミレーション(12,600人ver) '!BT$6:BT$707,)</f>
        <v>0</v>
      </c>
      <c r="BK109" s="398">
        <f>+_xlfn.XLOOKUP($AA109,'[52]②配宿シュミレーション(12,600人ver) '!$AO$6:$AO$707,'[52]②配宿シュミレーション(12,600人ver) '!BU$6:BU$707,)</f>
        <v>0</v>
      </c>
      <c r="BL109" s="398">
        <f>+_xlfn.XLOOKUP($AA109,'[52]②配宿シュミレーション(12,600人ver) '!$AO$6:$AO$707,'[52]②配宿シュミレーション(12,600人ver) '!BV$6:BV$707,)</f>
        <v>0</v>
      </c>
      <c r="BM109" s="398">
        <f>+_xlfn.XLOOKUP($AA109,'[52]②配宿シュミレーション(12,600人ver) '!$AO$6:$AO$707,'[52]②配宿シュミレーション(12,600人ver) '!BW$6:BW$707,)</f>
        <v>0</v>
      </c>
      <c r="BN109" s="472">
        <f>+_xlfn.XLOOKUP($AA109,'[52]②配宿シュミレーション(12,600人ver) '!$AO$6:$AO$707,'[52]②配宿シュミレーション(12,600人ver) '!BX$6:BX$707,)</f>
        <v>0</v>
      </c>
      <c r="BO109" s="290"/>
      <c r="BP109" s="404"/>
      <c r="BQ109" s="405"/>
    </row>
    <row r="110" spans="1:69" s="521" customFormat="1" ht="46" customHeight="1" thickBot="1">
      <c r="A110" s="2862"/>
      <c r="B110" s="2907"/>
      <c r="C110" s="420"/>
      <c r="D110" s="421" t="str">
        <f>IF(_xlfn.XLOOKUP(E110,[52]宿泊施設DB!$B$3:$B$207,[52]宿泊施設DB!$A$3:$A$207,"",)=0,"",_xlfn.XLOOKUP(E110,[52]宿泊施設DB!$B$3:$B$207,[52]宿泊施設DB!$A$3:$A$207,"",))</f>
        <v/>
      </c>
      <c r="E110" s="422"/>
      <c r="F110" s="2875">
        <f>_xlfn.XLOOKUP($E110,[52]宿泊施設DB!$B$3:$B$207,[52]宿泊施設DB!$D$3:$D$207,"",)</f>
        <v>0</v>
      </c>
      <c r="G110" s="2875">
        <f>_xlfn.XLOOKUP($E110,[52]宿泊施設DB!$B$3:$B$207,[52]宿泊施設DB!$E$3:$E$207,"",)</f>
        <v>0</v>
      </c>
      <c r="H110" s="2877">
        <f>_xlfn.XLOOKUP($E110,[52]宿泊施設DB!$B$3:$B$207,[52]宿泊施設DB!$J$3:$J$207,"",)</f>
        <v>0</v>
      </c>
      <c r="I110" s="2878">
        <f>_xlfn.XLOOKUP($E110,[52]宿泊施設DB!$B$3:$B$207,[52]宿泊施設DB!$T$3:$T$207,"",)</f>
        <v>0</v>
      </c>
      <c r="J110" s="2878">
        <f>_xlfn.XLOOKUP($E110,[52]宿泊施設DB!$B$3:$B$207,[52]宿泊施設DB!$R$3:$R$207,"",)</f>
        <v>0</v>
      </c>
      <c r="K110" s="2877">
        <f>_xlfn.XLOOKUP($E110,[52]宿泊施設DB!$B$3:$B$207,[52]宿泊施設DB!$S$3:$S$207,"",)</f>
        <v>0</v>
      </c>
      <c r="L110" s="2878">
        <f>_xlfn.XLOOKUP($E110,[52]宿泊施設DB!$B$3:$B$207,[52]宿泊施設DB!$U$3:$U$207,"",)</f>
        <v>0</v>
      </c>
      <c r="M110" s="2878">
        <f>_xlfn.XLOOKUP($E110,[52]宿泊施設DB!$B$3:$B$207,[52]宿泊施設DB!$V$3:$V$207,"",)</f>
        <v>0</v>
      </c>
      <c r="N110" s="2878">
        <f>_xlfn.XLOOKUP($E110,[52]宿泊施設DB!$B$3:$B$207,[52]宿泊施設DB!$W$3:$W$207,"",)</f>
        <v>0</v>
      </c>
      <c r="O110" s="2878">
        <f>_xlfn.XLOOKUP($E110,[52]宿泊施設DB!$B$3:$B$207,[52]宿泊施設DB!$X$3:$X$207,"",)</f>
        <v>0</v>
      </c>
      <c r="P110" s="426" t="str">
        <f t="shared" si="5"/>
        <v/>
      </c>
      <c r="Q110" s="420"/>
      <c r="R110" s="3341"/>
      <c r="S110" s="478" t="str">
        <f>IFERROR(VLOOKUP($R110,'[52]競技情報DB(12,600人ver) '!$A$6:$D$203,2,),"－")</f>
        <v>－</v>
      </c>
      <c r="T110" s="479">
        <f>_xlfn.XLOOKUP(R110,'[52]競技情報DB(12,600人ver) '!$A$6:$A$101,'[52]競技情報DB(12,600人ver) '!$D$6:$D$101,"",0,)</f>
        <v>0</v>
      </c>
      <c r="U110" s="3365"/>
      <c r="V110" s="3343" t="str">
        <f>IFERROR(VLOOKUP($R110,'[52]競技情報DB(12,600人ver) '!$A$6:$D$203,3,),"－")</f>
        <v>－</v>
      </c>
      <c r="W110" s="3344"/>
      <c r="X110" s="3345"/>
      <c r="Y110" s="442"/>
      <c r="Z110" s="652"/>
      <c r="AA110" s="517"/>
      <c r="AB110" s="3346"/>
      <c r="AC110" s="3346"/>
      <c r="AD110" s="3347"/>
      <c r="AE110" s="518"/>
      <c r="AF110" s="445"/>
      <c r="AG110" s="445"/>
      <c r="AH110" s="445"/>
      <c r="AI110" s="445"/>
      <c r="AJ110" s="445"/>
      <c r="AK110" s="445"/>
      <c r="AL110" s="445"/>
      <c r="AM110" s="445"/>
      <c r="AN110" s="445"/>
      <c r="AO110" s="445"/>
      <c r="AP110" s="445"/>
      <c r="AQ110" s="445"/>
      <c r="AR110" s="445"/>
      <c r="AS110" s="445"/>
      <c r="AT110" s="445"/>
      <c r="AU110" s="445"/>
      <c r="AV110" s="445"/>
      <c r="AW110" s="445"/>
      <c r="AX110" s="445"/>
      <c r="AY110" s="445"/>
      <c r="AZ110" s="445"/>
      <c r="BA110" s="445"/>
      <c r="BB110" s="445"/>
      <c r="BC110" s="445"/>
      <c r="BD110" s="445"/>
      <c r="BE110" s="445"/>
      <c r="BF110" s="445"/>
      <c r="BG110" s="445"/>
      <c r="BH110" s="445"/>
      <c r="BI110" s="445"/>
      <c r="BJ110" s="445"/>
      <c r="BK110" s="445"/>
      <c r="BL110" s="445"/>
      <c r="BM110" s="445"/>
      <c r="BN110" s="449"/>
      <c r="BO110" s="290"/>
      <c r="BP110" s="450"/>
      <c r="BQ110" s="451"/>
    </row>
    <row r="111" spans="1:69" ht="46" customHeight="1">
      <c r="A111" s="2862"/>
      <c r="B111" s="2863" t="s">
        <v>2419</v>
      </c>
      <c r="C111" s="296">
        <f>C109+1</f>
        <v>37</v>
      </c>
      <c r="D111" s="297">
        <v>2051</v>
      </c>
      <c r="E111" s="298" t="s">
        <v>2420</v>
      </c>
      <c r="F111" s="733">
        <f>_xlfn.XLOOKUP($E111,[52]宿泊施設DB!$B$3:$B$207,[52]宿泊施設DB!$D$3:$D$207,"",)</f>
        <v>605</v>
      </c>
      <c r="G111" s="733">
        <f>_xlfn.XLOOKUP($E111,[52]宿泊施設DB!$B$3:$B$207,[52]宿泊施設DB!$E$3:$E$207,"",)</f>
        <v>1210</v>
      </c>
      <c r="H111" s="2873">
        <f>_xlfn.XLOOKUP($E111,[52]宿泊施設DB!$B$3:$B$207,[52]宿泊施設DB!$J$3:$J$207,"",)</f>
        <v>1</v>
      </c>
      <c r="I111" s="2874" t="str">
        <f>_xlfn.XLOOKUP($E111,[52]宿泊施設DB!$B$3:$B$207,[52]宿泊施設DB!$T$3:$T$207,"",)</f>
        <v>調査中</v>
      </c>
      <c r="J111" s="2874" t="str">
        <f>_xlfn.XLOOKUP($E111,[52]宿泊施設DB!$B$3:$B$207,[52]宿泊施設DB!$R$3:$R$207,"",)</f>
        <v>宿泊施設</v>
      </c>
      <c r="K111" s="2873">
        <f>_xlfn.XLOOKUP($E111,[52]宿泊施設DB!$B$3:$B$207,[52]宿泊施設DB!$S$3:$S$207,"",)</f>
        <v>420</v>
      </c>
      <c r="L111" s="2874" t="str">
        <f>_xlfn.XLOOKUP($E111,[52]宿泊施設DB!$B$3:$B$207,[52]宿泊施設DB!$U$3:$U$207,"",)</f>
        <v>○</v>
      </c>
      <c r="M111" s="2874" t="str">
        <f>_xlfn.XLOOKUP($E111,[52]宿泊施設DB!$B$3:$B$207,[52]宿泊施設DB!$V$3:$V$207,"",)</f>
        <v>○</v>
      </c>
      <c r="N111" s="2874" t="str">
        <f>_xlfn.XLOOKUP($E111,[52]宿泊施設DB!$B$3:$B$207,[52]宿泊施設DB!$W$3:$W$207,"",)</f>
        <v>○</v>
      </c>
      <c r="O111" s="2874" t="str">
        <f>_xlfn.XLOOKUP($E111,[52]宿泊施設DB!$B$3:$B$207,[52]宿泊施設DB!$X$3:$X$207,"",)</f>
        <v>玄関前（屋根無）4台</v>
      </c>
      <c r="P111" s="377" t="str">
        <f t="shared" si="5"/>
        <v>○</v>
      </c>
      <c r="Q111" s="372" t="s">
        <v>2136</v>
      </c>
      <c r="R111" s="387" t="s">
        <v>2422</v>
      </c>
      <c r="S111" s="388" t="str">
        <f>IFERROR(VLOOKUP($R111,'[52]競技情報DB(12,600人ver) '!$A$6:$D$203,2,),"－")</f>
        <v>東京都</v>
      </c>
      <c r="T111" s="389">
        <f>_xlfn.XLOOKUP(R111,'[52]競技情報DB(12,600人ver) '!$A$6:$A$101,'[52]競技情報DB(12,600人ver) '!$D$6:$D$101,"",0,)</f>
        <v>430</v>
      </c>
      <c r="U111" s="3321">
        <f>SUM(T111:T113)</f>
        <v>647</v>
      </c>
      <c r="V111" s="3322" t="str">
        <f>IFERROR(VLOOKUP($R111,'[52]競技情報DB(12,600人ver) '!$A$6:$D$203,3,),"－")</f>
        <v>東京アクアティクスセンター</v>
      </c>
      <c r="W111" s="3323">
        <v>1.2</v>
      </c>
      <c r="X111" s="3324">
        <v>4</v>
      </c>
      <c r="Y111" s="318">
        <f>$G111-MAX(AF111:BN111)</f>
        <v>563</v>
      </c>
      <c r="Z111" s="394">
        <f>+Y111/$G111</f>
        <v>0.4652892561983471</v>
      </c>
      <c r="AA111" s="515" t="str">
        <f>E111&amp;"　"&amp;"合計"</f>
        <v>東京ベイ潮見プリンスホテル　合計</v>
      </c>
      <c r="AB111" s="3325">
        <f>IFERROR(INDEX($AF$3:$BN$3, MATCH("準備", AF111:BN111, 0)), "")</f>
        <v>46277</v>
      </c>
      <c r="AC111" s="3325" cm="1">
        <f t="array" ref="AC111">IF(COUNTIF(AF111:BN111,"*撤去*")=0,"",INDEX(AF$3:BN$3,1,MAX(IF(AF111:BN111="撤去",COLUMN(AF111:BN111)-COLUMN(AF111)+1))))</f>
        <v>46299</v>
      </c>
      <c r="AD111" s="3326">
        <f>AC111-AB111</f>
        <v>22</v>
      </c>
      <c r="AE111" s="320" t="str">
        <f>+$AE$114</f>
        <v>12,600人</v>
      </c>
      <c r="AF111" s="397">
        <f>+_xlfn.XLOOKUP($AA111,'[52]②配宿シュミレーション(12,600人ver) '!$AO$6:$AO$707,'[52]②配宿シュミレーション(12,600人ver) '!AP$6:AP$707,)</f>
        <v>0</v>
      </c>
      <c r="AG111" s="397">
        <f>+_xlfn.XLOOKUP($AA111,'[52]②配宿シュミレーション(12,600人ver) '!$AO$6:$AO$707,'[52]②配宿シュミレーション(12,600人ver) '!AQ$6:AQ$707,)</f>
        <v>0</v>
      </c>
      <c r="AH111" s="397">
        <f>+_xlfn.XLOOKUP($AA111,'[52]②配宿シュミレーション(12,600人ver) '!$AO$6:$AO$707,'[52]②配宿シュミレーション(12,600人ver) '!AR$6:AR$707,)</f>
        <v>0</v>
      </c>
      <c r="AI111" s="397">
        <f>+_xlfn.XLOOKUP($AA111,'[52]②配宿シュミレーション(12,600人ver) '!$AO$6:$AO$707,'[52]②配宿シュミレーション(12,600人ver) '!AS$6:AS$707,)</f>
        <v>0</v>
      </c>
      <c r="AJ111" s="397">
        <f>+_xlfn.XLOOKUP($AA111,'[52]②配宿シュミレーション(12,600人ver) '!$AO$6:$AO$707,'[52]②配宿シュミレーション(12,600人ver) '!AT$6:AT$707,)</f>
        <v>0</v>
      </c>
      <c r="AK111" s="397">
        <f>+_xlfn.XLOOKUP($AA111,'[52]②配宿シュミレーション(12,600人ver) '!$AO$6:$AO$707,'[52]②配宿シュミレーション(12,600人ver) '!AU$6:AU$707,)</f>
        <v>0</v>
      </c>
      <c r="AL111" s="397">
        <f>+_xlfn.XLOOKUP($AA111,'[52]②配宿シュミレーション(12,600人ver) '!$AO$6:$AO$707,'[52]②配宿シュミレーション(12,600人ver) '!AV$6:AV$707,)</f>
        <v>0</v>
      </c>
      <c r="AM111" s="397">
        <f>+_xlfn.XLOOKUP($AA111,'[52]②配宿シュミレーション(12,600人ver) '!$AO$6:$AO$707,'[52]②配宿シュミレーション(12,600人ver) '!AW$6:AW$707,)</f>
        <v>0</v>
      </c>
      <c r="AN111" s="3327" t="s">
        <v>2447</v>
      </c>
      <c r="AO111" s="3327">
        <f>+_xlfn.XLOOKUP($AA111,'[52]②配宿シュミレーション(12,600人ver) '!$AO$6:$AO$707,'[52]②配宿シュミレーション(12,600人ver) '!AY$6:AY$707,)</f>
        <v>0</v>
      </c>
      <c r="AP111" s="397">
        <f>+_xlfn.XLOOKUP($AA111,'[52]②配宿シュミレーション(12,600人ver) '!$AO$6:$AO$707,'[52]②配宿シュミレーション(12,600人ver) '!AZ$6:AZ$707,)</f>
        <v>138</v>
      </c>
      <c r="AQ111" s="397">
        <f>+_xlfn.XLOOKUP($AA111,'[52]②配宿シュミレーション(12,600人ver) '!$AO$6:$AO$707,'[52]②配宿シュミレーション(12,600人ver) '!BA$6:BA$707,)</f>
        <v>138</v>
      </c>
      <c r="AR111" s="397">
        <f>+_xlfn.XLOOKUP($AA111,'[52]②配宿シュミレーション(12,600人ver) '!$AO$6:$AO$707,'[52]②配宿シュミレーション(12,600人ver) '!BB$6:BB$707,)</f>
        <v>568</v>
      </c>
      <c r="AS111" s="397">
        <f>+_xlfn.XLOOKUP($AA111,'[52]②配宿シュミレーション(12,600人ver) '!$AO$6:$AO$707,'[52]②配宿シュミレーション(12,600人ver) '!BC$6:BC$707,)</f>
        <v>568</v>
      </c>
      <c r="AT111" s="397">
        <f>+_xlfn.XLOOKUP($AA111,'[52]②配宿シュミレーション(12,600人ver) '!$AO$6:$AO$707,'[52]②配宿シュミレーション(12,600人ver) '!BD$6:BD$707,)</f>
        <v>568</v>
      </c>
      <c r="AU111" s="397">
        <f>+_xlfn.XLOOKUP($AA111,'[52]②配宿シュミレーション(12,600人ver) '!$AO$6:$AO$707,'[52]②配宿シュミレーション(12,600人ver) '!BE$6:BE$707,)</f>
        <v>568</v>
      </c>
      <c r="AV111" s="397">
        <f>+_xlfn.XLOOKUP($AA111,'[52]②配宿シュミレーション(12,600人ver) '!$AO$6:$AO$707,'[52]②配宿シュミレーション(12,600人ver) '!BF$6:BF$707,)</f>
        <v>568</v>
      </c>
      <c r="AW111" s="397">
        <f>+_xlfn.XLOOKUP($AA111,'[52]②配宿シュミレーション(12,600人ver) '!$AO$6:$AO$707,'[52]②配宿シュミレーション(12,600人ver) '!BG$6:BG$707,)</f>
        <v>568</v>
      </c>
      <c r="AX111" s="397">
        <f>+_xlfn.XLOOKUP($AA111,'[52]②配宿シュミレーション(12,600人ver) '!$AO$6:$AO$707,'[52]②配宿シュミレーション(12,600人ver) '!BH$6:BH$707,)</f>
        <v>647</v>
      </c>
      <c r="AY111" s="397">
        <f>+_xlfn.XLOOKUP($AA111,'[52]②配宿シュミレーション(12,600人ver) '!$AO$6:$AO$707,'[52]②配宿シュミレーション(12,600人ver) '!BI$6:BI$707,)</f>
        <v>647</v>
      </c>
      <c r="AZ111" s="397">
        <f>+_xlfn.XLOOKUP($AA111,'[52]②配宿シュミレーション(12,600人ver) '!$AO$6:$AO$707,'[52]②配宿シュミレーション(12,600人ver) '!BJ$6:BJ$707,)</f>
        <v>647</v>
      </c>
      <c r="BA111" s="397">
        <f>+_xlfn.XLOOKUP($AA111,'[52]②配宿シュミレーション(12,600人ver) '!$AO$6:$AO$707,'[52]②配宿シュミレーション(12,600人ver) '!BK$6:BK$707,)</f>
        <v>647</v>
      </c>
      <c r="BB111" s="397">
        <f>+_xlfn.XLOOKUP($AA111,'[52]②配宿シュミレーション(12,600人ver) '!$AO$6:$AO$707,'[52]②配宿シュミレーション(12,600人ver) '!BL$6:BL$707,)</f>
        <v>647</v>
      </c>
      <c r="BC111" s="397">
        <f>+_xlfn.XLOOKUP($AA111,'[52]②配宿シュミレーション(12,600人ver) '!$AO$6:$AO$707,'[52]②配宿シュミレーション(12,600人ver) '!BM$6:BM$707,)</f>
        <v>217</v>
      </c>
      <c r="BD111" s="397">
        <f>+_xlfn.XLOOKUP($AA111,'[52]②配宿シュミレーション(12,600人ver) '!$AO$6:$AO$707,'[52]②配宿シュミレーション(12,600人ver) '!BN$6:BN$707,)</f>
        <v>217</v>
      </c>
      <c r="BE111" s="397">
        <f>+_xlfn.XLOOKUP($AA111,'[52]②配宿シュミレーション(12,600人ver) '!$AO$6:$AO$707,'[52]②配宿シュミレーション(12,600人ver) '!BO$6:BO$707,)</f>
        <v>217</v>
      </c>
      <c r="BF111" s="397">
        <f>+_xlfn.XLOOKUP($AA111,'[52]②配宿シュミレーション(12,600人ver) '!$AO$6:$AO$707,'[52]②配宿シュミレーション(12,600人ver) '!BP$6:BP$707,)</f>
        <v>217</v>
      </c>
      <c r="BG111" s="397">
        <f>+_xlfn.XLOOKUP($AA111,'[52]②配宿シュミレーション(12,600人ver) '!$AO$6:$AO$707,'[52]②配宿シュミレーション(12,600人ver) '!BQ$6:BQ$707,)</f>
        <v>217</v>
      </c>
      <c r="BH111" s="397">
        <f>+_xlfn.XLOOKUP($AA111,'[52]②配宿シュミレーション(12,600人ver) '!$AO$6:$AO$707,'[52]②配宿シュミレーション(12,600人ver) '!BR$6:BR$707,)</f>
        <v>138</v>
      </c>
      <c r="BI111" s="397">
        <f>+_xlfn.XLOOKUP($AA111,'[52]②配宿シュミレーション(12,600人ver) '!$AO$6:$AO$707,'[52]②配宿シュミレーション(12,600人ver) '!BS$6:BS$707,)</f>
        <v>138</v>
      </c>
      <c r="BJ111" s="3306" t="s">
        <v>2448</v>
      </c>
      <c r="BK111" s="397">
        <f>+_xlfn.XLOOKUP($AA111,'[52]②配宿シュミレーション(12,600人ver) '!$AO$6:$AO$707,'[52]②配宿シュミレーション(12,600人ver) '!BU$6:BU$707,)</f>
        <v>0</v>
      </c>
      <c r="BL111" s="397">
        <f>+_xlfn.XLOOKUP($AA111,'[52]②配宿シュミレーション(12,600人ver) '!$AO$6:$AO$707,'[52]②配宿シュミレーション(12,600人ver) '!BV$6:BV$707,)</f>
        <v>0</v>
      </c>
      <c r="BM111" s="397">
        <f>+_xlfn.XLOOKUP($AA111,'[52]②配宿シュミレーション(12,600人ver) '!$AO$6:$AO$707,'[52]②配宿シュミレーション(12,600人ver) '!BW$6:BW$707,)</f>
        <v>0</v>
      </c>
      <c r="BN111" s="472">
        <f>+_xlfn.XLOOKUP($AA111,'[52]②配宿シュミレーション(12,600人ver) '!$AO$6:$AO$707,'[52]②配宿シュミレーション(12,600人ver) '!BX$6:BX$707,)</f>
        <v>0</v>
      </c>
      <c r="BO111" s="290"/>
      <c r="BP111" s="332"/>
      <c r="BQ111" s="333"/>
    </row>
    <row r="112" spans="1:69" ht="46" customHeight="1">
      <c r="A112" s="2862"/>
      <c r="B112" s="2863"/>
      <c r="C112" s="296"/>
      <c r="D112" s="297" t="str">
        <f>IF(_xlfn.XLOOKUP(E112,[52]宿泊施設DB!$B$3:$B$207,[52]宿泊施設DB!$A$3:$A$207,"",)=0,"",_xlfn.XLOOKUP(E112,[52]宿泊施設DB!$B$3:$B$207,[52]宿泊施設DB!$A$3:$A$207,"",))</f>
        <v/>
      </c>
      <c r="E112" s="3471" t="s">
        <v>2543</v>
      </c>
      <c r="F112" s="2864" t="str">
        <f>_xlfn.XLOOKUP($E112,[52]宿泊施設DB!$B$3:$B$207,[52]宿泊施設DB!$D$3:$D$207,"",)</f>
        <v/>
      </c>
      <c r="G112" s="2864" t="str">
        <f>_xlfn.XLOOKUP($E112,[52]宿泊施設DB!$B$3:$B$207,[52]宿泊施設DB!$E$3:$E$207,"",)</f>
        <v/>
      </c>
      <c r="H112" s="2865" t="str">
        <f>_xlfn.XLOOKUP($E112,[52]宿泊施設DB!$B$3:$B$207,[52]宿泊施設DB!$J$3:$J$207,"",)</f>
        <v/>
      </c>
      <c r="I112" s="2866" t="str">
        <f>_xlfn.XLOOKUP($E112,[52]宿泊施設DB!$B$3:$B$207,[52]宿泊施設DB!$T$3:$T$207,"",)</f>
        <v/>
      </c>
      <c r="J112" s="2866" t="str">
        <f>_xlfn.XLOOKUP($E112,[52]宿泊施設DB!$B$3:$B$207,[52]宿泊施設DB!$R$3:$R$207,"",)</f>
        <v/>
      </c>
      <c r="K112" s="2865" t="str">
        <f>_xlfn.XLOOKUP($E112,[52]宿泊施設DB!$B$3:$B$207,[52]宿泊施設DB!$S$3:$S$207,"",)</f>
        <v/>
      </c>
      <c r="L112" s="2866" t="str">
        <f>_xlfn.XLOOKUP($E112,[52]宿泊施設DB!$B$3:$B$207,[52]宿泊施設DB!$U$3:$U$207,"",)</f>
        <v/>
      </c>
      <c r="M112" s="2866" t="str">
        <f>_xlfn.XLOOKUP($E112,[52]宿泊施設DB!$B$3:$B$207,[52]宿泊施設DB!$V$3:$V$207,"",)</f>
        <v/>
      </c>
      <c r="N112" s="2866" t="str">
        <f>_xlfn.XLOOKUP($E112,[52]宿泊施設DB!$B$3:$B$207,[52]宿泊施設DB!$W$3:$W$207,"",)</f>
        <v/>
      </c>
      <c r="O112" s="2866" t="str">
        <f>_xlfn.XLOOKUP($E112,[52]宿泊施設DB!$B$3:$B$207,[52]宿泊施設DB!$X$3:$X$207,"",)</f>
        <v/>
      </c>
      <c r="P112" s="302"/>
      <c r="Q112" s="296"/>
      <c r="R112" s="413" t="s">
        <v>2425</v>
      </c>
      <c r="S112" s="313" t="str">
        <f>IFERROR(VLOOKUP($R112,'[52]競技情報DB(12,600人ver) '!$A$6:$D$203,2,),"－")</f>
        <v>東京都</v>
      </c>
      <c r="T112" s="314">
        <f>_xlfn.XLOOKUP(R112,'[52]競技情報DB(12,600人ver) '!$A$6:$A$101,'[52]競技情報DB(12,600人ver) '!$D$6:$D$101,"",0,)</f>
        <v>79</v>
      </c>
      <c r="U112" s="3307"/>
      <c r="V112" s="3308" t="str">
        <f>IFERROR(VLOOKUP($R112,'[52]競技情報DB(12,600人ver) '!$A$6:$D$203,3,),"－")</f>
        <v>東京アクアティクスセンター</v>
      </c>
      <c r="W112" s="3309">
        <v>1.2</v>
      </c>
      <c r="X112" s="3310">
        <v>4</v>
      </c>
      <c r="Y112" s="318"/>
      <c r="Z112" s="311"/>
      <c r="AA112" s="319"/>
      <c r="AB112" s="3311"/>
      <c r="AC112" s="3311"/>
      <c r="AD112" s="3312"/>
      <c r="AE112" s="320"/>
      <c r="AF112" s="321"/>
      <c r="AG112" s="321"/>
      <c r="AH112" s="321"/>
      <c r="AI112" s="321"/>
      <c r="AJ112" s="321"/>
      <c r="AK112" s="321"/>
      <c r="AL112" s="321"/>
      <c r="AM112" s="321"/>
      <c r="AN112" s="336"/>
      <c r="AO112" s="336"/>
      <c r="AP112" s="321"/>
      <c r="AQ112" s="321"/>
      <c r="AR112" s="321"/>
      <c r="AS112" s="321"/>
      <c r="AT112" s="321"/>
      <c r="AU112" s="321"/>
      <c r="AV112" s="321"/>
      <c r="AW112" s="321"/>
      <c r="AX112" s="321"/>
      <c r="AY112" s="321"/>
      <c r="AZ112" s="321"/>
      <c r="BA112" s="321"/>
      <c r="BB112" s="321"/>
      <c r="BC112" s="321"/>
      <c r="BD112" s="321"/>
      <c r="BE112" s="321"/>
      <c r="BF112" s="321"/>
      <c r="BG112" s="321"/>
      <c r="BH112" s="321"/>
      <c r="BI112" s="321"/>
      <c r="BJ112" s="321"/>
      <c r="BK112" s="321"/>
      <c r="BL112" s="321"/>
      <c r="BM112" s="321"/>
      <c r="BN112" s="507"/>
      <c r="BO112" s="290"/>
      <c r="BP112" s="332"/>
      <c r="BQ112" s="333"/>
    </row>
    <row r="113" spans="1:69" ht="46" customHeight="1" thickBot="1">
      <c r="A113" s="2922"/>
      <c r="B113" s="2923"/>
      <c r="C113" s="744"/>
      <c r="D113" s="745" t="str">
        <f>IF(_xlfn.XLOOKUP(E113,[52]宿泊施設DB!$B$3:$B$207,[52]宿泊施設DB!$A$3:$A$207,"",)=0,"",_xlfn.XLOOKUP(E113,[52]宿泊施設DB!$B$3:$B$207,[52]宿泊施設DB!$A$3:$A$207,"",))</f>
        <v/>
      </c>
      <c r="E113" s="746"/>
      <c r="F113" s="2924">
        <f>_xlfn.XLOOKUP($E113,[52]宿泊施設DB!$B$3:$B$207,[52]宿泊施設DB!$D$3:$D$207,"",)</f>
        <v>0</v>
      </c>
      <c r="G113" s="2924">
        <f>_xlfn.XLOOKUP($E113,[52]宿泊施設DB!$B$3:$B$207,[52]宿泊施設DB!$E$3:$E$207,"",)</f>
        <v>0</v>
      </c>
      <c r="H113" s="2925">
        <f>_xlfn.XLOOKUP($E113,[52]宿泊施設DB!$B$3:$B$207,[52]宿泊施設DB!$J$3:$J$207,"",)</f>
        <v>0</v>
      </c>
      <c r="I113" s="2926">
        <f>_xlfn.XLOOKUP($E113,[52]宿泊施設DB!$B$3:$B$207,[52]宿泊施設DB!$T$3:$T$207,"",)</f>
        <v>0</v>
      </c>
      <c r="J113" s="2926">
        <f>_xlfn.XLOOKUP($E113,[52]宿泊施設DB!$B$3:$B$207,[52]宿泊施設DB!$R$3:$R$207,"",)</f>
        <v>0</v>
      </c>
      <c r="K113" s="2925">
        <f>_xlfn.XLOOKUP($E113,[52]宿泊施設DB!$B$3:$B$207,[52]宿泊施設DB!$S$3:$S$207,"",)</f>
        <v>0</v>
      </c>
      <c r="L113" s="2926">
        <f>_xlfn.XLOOKUP($E113,[52]宿泊施設DB!$B$3:$B$207,[52]宿泊施設DB!$U$3:$U$207,"",)</f>
        <v>0</v>
      </c>
      <c r="M113" s="2926">
        <f>_xlfn.XLOOKUP($E113,[52]宿泊施設DB!$B$3:$B$207,[52]宿泊施設DB!$V$3:$V$207,"",)</f>
        <v>0</v>
      </c>
      <c r="N113" s="2926">
        <f>_xlfn.XLOOKUP($E113,[52]宿泊施設DB!$B$3:$B$207,[52]宿泊施設DB!$W$3:$W$207,"",)</f>
        <v>0</v>
      </c>
      <c r="O113" s="2926">
        <f>_xlfn.XLOOKUP($E113,[52]宿泊施設DB!$B$3:$B$207,[52]宿泊施設DB!$X$3:$X$207,"",)</f>
        <v>0</v>
      </c>
      <c r="P113" s="750" t="str">
        <f>IF(AND(E113&lt;&gt;"", R113&lt;&gt;"－"), "○", "")</f>
        <v/>
      </c>
      <c r="Q113" s="744"/>
      <c r="R113" s="3406" t="s">
        <v>2426</v>
      </c>
      <c r="S113" s="761" t="str">
        <f>IFERROR(VLOOKUP($R113,'[52]競技情報DB(12,600人ver) '!$A$6:$D$203,2,),"－")</f>
        <v>東京都</v>
      </c>
      <c r="T113" s="762">
        <f>_xlfn.XLOOKUP(R113,'[52]競技情報DB(12,600人ver) '!$A$6:$A$101,'[52]競技情報DB(12,600人ver) '!$D$6:$D$101,"",0,)</f>
        <v>138</v>
      </c>
      <c r="U113" s="3407"/>
      <c r="V113" s="3408" t="str">
        <f>IFERROR(VLOOKUP($R113,'[52]競技情報DB(12,600人ver) '!$A$6:$D$203,3,),"－")</f>
        <v>JRA馬事公苑</v>
      </c>
      <c r="W113" s="3409">
        <v>26.6</v>
      </c>
      <c r="X113" s="3410">
        <v>37</v>
      </c>
      <c r="Y113" s="766"/>
      <c r="Z113" s="759"/>
      <c r="AA113" s="767"/>
      <c r="AB113" s="3472"/>
      <c r="AC113" s="3472"/>
      <c r="AD113" s="3473"/>
      <c r="AE113" s="768"/>
      <c r="AF113" s="770"/>
      <c r="AG113" s="770"/>
      <c r="AH113" s="770"/>
      <c r="AI113" s="770"/>
      <c r="AJ113" s="770"/>
      <c r="AK113" s="770"/>
      <c r="AL113" s="770"/>
      <c r="AM113" s="770"/>
      <c r="AN113" s="770"/>
      <c r="AO113" s="770"/>
      <c r="AP113" s="770"/>
      <c r="AQ113" s="770"/>
      <c r="AR113" s="770"/>
      <c r="AS113" s="770"/>
      <c r="AT113" s="770"/>
      <c r="AU113" s="770"/>
      <c r="AV113" s="770"/>
      <c r="AW113" s="770"/>
      <c r="AX113" s="770"/>
      <c r="AY113" s="770"/>
      <c r="AZ113" s="770"/>
      <c r="BA113" s="770"/>
      <c r="BB113" s="770"/>
      <c r="BC113" s="770"/>
      <c r="BD113" s="770"/>
      <c r="BE113" s="770"/>
      <c r="BF113" s="770"/>
      <c r="BG113" s="770"/>
      <c r="BH113" s="770"/>
      <c r="BI113" s="770"/>
      <c r="BJ113" s="770"/>
      <c r="BK113" s="770"/>
      <c r="BL113" s="770"/>
      <c r="BM113" s="770"/>
      <c r="BN113" s="774"/>
      <c r="BO113" s="290"/>
      <c r="BP113" s="370"/>
      <c r="BQ113" s="371"/>
    </row>
    <row r="114" spans="1:69" s="786" customFormat="1" ht="46" customHeight="1" thickTop="1" thickBot="1">
      <c r="A114" s="775"/>
      <c r="B114" s="775"/>
      <c r="C114" s="775"/>
      <c r="D114" s="775"/>
      <c r="E114" s="776"/>
      <c r="F114" s="6457" t="s">
        <v>2427</v>
      </c>
      <c r="G114" s="6457"/>
      <c r="H114" s="6457"/>
      <c r="I114" s="6457"/>
      <c r="J114" s="6457"/>
      <c r="K114" s="6458"/>
      <c r="L114" s="6398" t="s">
        <v>2428</v>
      </c>
      <c r="M114" s="6399"/>
      <c r="N114" s="6399"/>
      <c r="O114" s="6400"/>
      <c r="P114" s="3474">
        <f>COUNTIF(P$5:P$30,"○")</f>
        <v>3</v>
      </c>
      <c r="Q114" s="775"/>
      <c r="R114" s="3475"/>
      <c r="T114" s="782"/>
      <c r="U114" s="783"/>
      <c r="V114" s="3476"/>
      <c r="W114" s="3477"/>
      <c r="X114" s="3477"/>
      <c r="Y114" s="784"/>
      <c r="Z114" s="784"/>
      <c r="AA114" s="785"/>
      <c r="AB114" s="2939"/>
      <c r="AC114" s="2939"/>
      <c r="AD114" s="785"/>
      <c r="AE114" s="799" t="s">
        <v>2544</v>
      </c>
      <c r="AF114" s="801">
        <f t="shared" ref="AF114:BN114" si="6">SUMIFS(AF5:AF113,$AE$5:$AE$113,"12,600人")</f>
        <v>0</v>
      </c>
      <c r="AG114" s="801">
        <f t="shared" si="6"/>
        <v>0</v>
      </c>
      <c r="AH114" s="801">
        <f t="shared" si="6"/>
        <v>0</v>
      </c>
      <c r="AI114" s="801">
        <f t="shared" si="6"/>
        <v>0</v>
      </c>
      <c r="AJ114" s="801">
        <f t="shared" si="6"/>
        <v>0</v>
      </c>
      <c r="AK114" s="801">
        <f t="shared" si="6"/>
        <v>374</v>
      </c>
      <c r="AL114" s="801">
        <f t="shared" si="6"/>
        <v>606</v>
      </c>
      <c r="AM114" s="801">
        <f t="shared" si="6"/>
        <v>1302</v>
      </c>
      <c r="AN114" s="801">
        <f t="shared" si="6"/>
        <v>1552</v>
      </c>
      <c r="AO114" s="801">
        <f t="shared" si="6"/>
        <v>1588</v>
      </c>
      <c r="AP114" s="801">
        <f t="shared" si="6"/>
        <v>3094</v>
      </c>
      <c r="AQ114" s="801">
        <f t="shared" si="6"/>
        <v>3797</v>
      </c>
      <c r="AR114" s="801">
        <f t="shared" si="6"/>
        <v>7131</v>
      </c>
      <c r="AS114" s="801">
        <f t="shared" si="6"/>
        <v>7442</v>
      </c>
      <c r="AT114" s="801">
        <f t="shared" si="6"/>
        <v>7985</v>
      </c>
      <c r="AU114" s="801">
        <f t="shared" si="6"/>
        <v>7985</v>
      </c>
      <c r="AV114" s="801">
        <f t="shared" si="6"/>
        <v>8698</v>
      </c>
      <c r="AW114" s="801">
        <f t="shared" si="6"/>
        <v>10117</v>
      </c>
      <c r="AX114" s="801">
        <f t="shared" si="6"/>
        <v>10508</v>
      </c>
      <c r="AY114" s="801">
        <f t="shared" si="6"/>
        <v>10804</v>
      </c>
      <c r="AZ114" s="801">
        <f t="shared" si="6"/>
        <v>10837</v>
      </c>
      <c r="BA114" s="801">
        <f t="shared" si="6"/>
        <v>10316</v>
      </c>
      <c r="BB114" s="801">
        <f t="shared" si="6"/>
        <v>10221</v>
      </c>
      <c r="BC114" s="801">
        <f t="shared" si="6"/>
        <v>9759</v>
      </c>
      <c r="BD114" s="801">
        <f t="shared" si="6"/>
        <v>9888</v>
      </c>
      <c r="BE114" s="801">
        <f t="shared" si="6"/>
        <v>8784</v>
      </c>
      <c r="BF114" s="801">
        <f t="shared" si="6"/>
        <v>8792</v>
      </c>
      <c r="BG114" s="801">
        <f t="shared" si="6"/>
        <v>6396</v>
      </c>
      <c r="BH114" s="801">
        <f t="shared" si="6"/>
        <v>5448</v>
      </c>
      <c r="BI114" s="801">
        <f t="shared" si="6"/>
        <v>5228</v>
      </c>
      <c r="BJ114" s="801">
        <f t="shared" si="6"/>
        <v>4480</v>
      </c>
      <c r="BK114" s="801">
        <f t="shared" si="6"/>
        <v>138</v>
      </c>
      <c r="BL114" s="801">
        <f t="shared" si="6"/>
        <v>0</v>
      </c>
      <c r="BM114" s="801">
        <f t="shared" si="6"/>
        <v>0</v>
      </c>
      <c r="BN114" s="805">
        <f t="shared" si="6"/>
        <v>0</v>
      </c>
      <c r="BO114" s="782"/>
      <c r="BP114" s="782"/>
      <c r="BQ114" s="782"/>
    </row>
    <row r="115" spans="1:69" s="786" customFormat="1" ht="46" customHeight="1" thickTop="1">
      <c r="A115" s="775"/>
      <c r="B115" s="775"/>
      <c r="C115" s="775"/>
      <c r="D115" s="775"/>
      <c r="E115" s="776"/>
      <c r="F115" s="6459"/>
      <c r="G115" s="6459"/>
      <c r="H115" s="6459"/>
      <c r="I115" s="6459"/>
      <c r="J115" s="6459"/>
      <c r="K115" s="6460"/>
      <c r="L115" s="6370" t="s">
        <v>2429</v>
      </c>
      <c r="M115" s="6371"/>
      <c r="N115" s="6371"/>
      <c r="O115" s="6372"/>
      <c r="P115" s="3478">
        <f>COUNTIF(P$31:P$90,"○")</f>
        <v>24</v>
      </c>
      <c r="Q115" s="775"/>
      <c r="R115" s="3475"/>
      <c r="T115" s="782"/>
      <c r="U115" s="783"/>
      <c r="V115" s="3476"/>
      <c r="W115" s="3477"/>
      <c r="X115" s="3477"/>
      <c r="Y115" s="784"/>
      <c r="Z115" s="784"/>
      <c r="AA115" s="785"/>
      <c r="AB115" s="2939"/>
      <c r="AC115" s="2939"/>
      <c r="AD115" s="785"/>
      <c r="AE115" s="809"/>
      <c r="AF115" s="783"/>
      <c r="AG115" s="810"/>
      <c r="AH115" s="810"/>
      <c r="AI115" s="783"/>
      <c r="AJ115" s="783"/>
      <c r="AK115" s="783"/>
      <c r="AL115" s="783"/>
      <c r="AM115" s="783"/>
      <c r="AN115" s="810"/>
      <c r="AO115" s="810"/>
      <c r="AP115" s="783"/>
      <c r="AQ115" s="783"/>
      <c r="AR115" s="783"/>
      <c r="AS115" s="783"/>
      <c r="AT115" s="783"/>
      <c r="AU115" s="810"/>
      <c r="AV115" s="810"/>
      <c r="AW115" s="810"/>
      <c r="AX115" s="783"/>
      <c r="AY115" s="810"/>
      <c r="AZ115" s="783"/>
      <c r="BA115" s="783"/>
      <c r="BB115" s="810"/>
      <c r="BC115" s="810"/>
      <c r="BD115" s="783"/>
      <c r="BE115" s="783"/>
      <c r="BF115" s="783"/>
      <c r="BG115" s="783"/>
      <c r="BH115" s="783"/>
      <c r="BI115" s="810"/>
      <c r="BJ115" s="810"/>
      <c r="BK115" s="783"/>
      <c r="BL115" s="783"/>
      <c r="BM115" s="783"/>
      <c r="BN115" s="811"/>
      <c r="BO115" s="782"/>
      <c r="BP115" s="782"/>
      <c r="BQ115" s="782"/>
    </row>
    <row r="116" spans="1:69" s="786" customFormat="1" ht="46" customHeight="1" thickBot="1">
      <c r="A116" s="775"/>
      <c r="B116" s="775"/>
      <c r="C116" s="775"/>
      <c r="D116" s="775"/>
      <c r="E116" s="776"/>
      <c r="F116" s="6459"/>
      <c r="G116" s="6459"/>
      <c r="H116" s="6459"/>
      <c r="I116" s="6459"/>
      <c r="J116" s="6459"/>
      <c r="K116" s="6460"/>
      <c r="L116" s="6373" t="s">
        <v>2430</v>
      </c>
      <c r="M116" s="6374"/>
      <c r="N116" s="6374"/>
      <c r="O116" s="6375"/>
      <c r="P116" s="3479">
        <f>COUNTIF(P$91:P$113,"○")</f>
        <v>11</v>
      </c>
      <c r="Q116" s="775"/>
      <c r="R116" s="3475"/>
      <c r="S116" s="781"/>
      <c r="T116" s="782"/>
      <c r="U116" s="783"/>
      <c r="V116" s="3476"/>
      <c r="W116" s="3477"/>
      <c r="X116" s="3477"/>
      <c r="Y116" s="784"/>
      <c r="Z116" s="784"/>
      <c r="AA116" s="785"/>
      <c r="AB116" s="2939"/>
      <c r="AC116" s="2939"/>
      <c r="AD116" s="785"/>
      <c r="AE116" s="809"/>
      <c r="AF116" s="783"/>
      <c r="AG116" s="810"/>
      <c r="AH116" s="810"/>
      <c r="AI116" s="783"/>
      <c r="AJ116" s="783"/>
      <c r="AK116" s="783"/>
      <c r="AL116" s="783"/>
      <c r="AM116" s="783"/>
      <c r="AN116" s="810"/>
      <c r="AO116" s="810"/>
      <c r="AP116" s="783"/>
      <c r="AQ116" s="783"/>
      <c r="AR116" s="783"/>
      <c r="AS116" s="783"/>
      <c r="AT116" s="783"/>
      <c r="AU116" s="810"/>
      <c r="AV116" s="810"/>
      <c r="AW116" s="810"/>
      <c r="AX116" s="783"/>
      <c r="AY116" s="810"/>
      <c r="AZ116" s="783"/>
      <c r="BA116" s="783"/>
      <c r="BB116" s="810"/>
      <c r="BC116" s="810"/>
      <c r="BD116" s="783"/>
      <c r="BE116" s="783"/>
      <c r="BF116" s="783"/>
      <c r="BG116" s="783"/>
      <c r="BH116" s="783"/>
      <c r="BI116" s="810"/>
      <c r="BJ116" s="810"/>
      <c r="BK116" s="783"/>
      <c r="BL116" s="783"/>
      <c r="BM116" s="783"/>
      <c r="BN116" s="811"/>
      <c r="BO116" s="812"/>
      <c r="BP116" s="782"/>
      <c r="BQ116" s="782"/>
    </row>
    <row r="117" spans="1:69" s="786" customFormat="1" ht="46" customHeight="1" thickTop="1" thickBot="1">
      <c r="A117" s="775"/>
      <c r="B117" s="775"/>
      <c r="C117" s="775"/>
      <c r="D117" s="775"/>
      <c r="E117" s="776"/>
      <c r="F117" s="6459"/>
      <c r="G117" s="6459"/>
      <c r="H117" s="6459"/>
      <c r="I117" s="6459"/>
      <c r="J117" s="6459"/>
      <c r="K117" s="6460"/>
      <c r="L117" s="6376" t="s">
        <v>2432</v>
      </c>
      <c r="M117" s="6377"/>
      <c r="N117" s="6377"/>
      <c r="O117" s="6378"/>
      <c r="P117" s="3480">
        <f>SUM(P114:P116)</f>
        <v>38</v>
      </c>
      <c r="Q117" s="775"/>
      <c r="R117" s="3475"/>
      <c r="S117" s="781"/>
      <c r="T117" s="782"/>
      <c r="U117" s="783"/>
      <c r="V117" s="3476"/>
      <c r="W117" s="3477"/>
      <c r="X117" s="3477"/>
      <c r="Y117" s="784"/>
      <c r="Z117" s="784"/>
      <c r="AA117" s="785"/>
      <c r="AB117" s="2939"/>
      <c r="AC117" s="2939"/>
      <c r="AD117" s="785"/>
      <c r="AE117" s="809"/>
      <c r="AF117" s="783"/>
      <c r="AG117" s="810"/>
      <c r="AH117" s="810"/>
      <c r="AI117" s="783"/>
      <c r="AJ117" s="783"/>
      <c r="AK117" s="783"/>
      <c r="AL117" s="783"/>
      <c r="AM117" s="783"/>
      <c r="AN117" s="810"/>
      <c r="AO117" s="810"/>
      <c r="AP117" s="783"/>
      <c r="AQ117" s="783"/>
      <c r="AR117" s="783"/>
      <c r="AS117" s="783"/>
      <c r="AT117" s="783"/>
      <c r="AU117" s="810"/>
      <c r="AV117" s="810"/>
      <c r="AW117" s="810"/>
      <c r="AX117" s="783"/>
      <c r="AY117" s="810"/>
      <c r="AZ117" s="783"/>
      <c r="BA117" s="783"/>
      <c r="BB117" s="810"/>
      <c r="BC117" s="810"/>
      <c r="BD117" s="783"/>
      <c r="BE117" s="783"/>
      <c r="BF117" s="783"/>
      <c r="BG117" s="783"/>
      <c r="BH117" s="783"/>
      <c r="BI117" s="810"/>
      <c r="BJ117" s="810"/>
      <c r="BK117" s="783"/>
      <c r="BL117" s="783"/>
      <c r="BM117" s="783"/>
      <c r="BN117" s="783"/>
      <c r="BO117" s="782"/>
      <c r="BP117" s="782"/>
      <c r="BQ117" s="782"/>
    </row>
    <row r="118" spans="1:69" s="786" customFormat="1" ht="42" customHeight="1" thickTop="1">
      <c r="A118" s="816"/>
      <c r="B118" s="785"/>
      <c r="C118" s="785"/>
      <c r="D118" s="817"/>
      <c r="E118" s="785"/>
      <c r="F118" s="818"/>
      <c r="G118" s="818"/>
      <c r="H118" s="819"/>
      <c r="I118" s="820"/>
      <c r="J118" s="820"/>
      <c r="K118" s="819"/>
      <c r="L118" s="820"/>
      <c r="M118" s="820"/>
      <c r="N118" s="820"/>
      <c r="O118" s="820"/>
      <c r="P118" s="821"/>
      <c r="Q118" s="822"/>
      <c r="R118" s="3481"/>
      <c r="S118" s="828"/>
      <c r="T118" s="829"/>
      <c r="U118" s="830"/>
      <c r="V118" s="3476"/>
      <c r="W118" s="3482"/>
      <c r="X118" s="3482"/>
      <c r="Y118" s="784"/>
      <c r="Z118" s="784"/>
      <c r="AA118" s="831"/>
      <c r="AB118" s="2937"/>
      <c r="AC118" s="2937"/>
      <c r="AD118" s="831"/>
      <c r="AE118" s="832"/>
      <c r="AF118" s="830"/>
      <c r="AG118" s="833"/>
      <c r="AH118" s="833"/>
      <c r="AI118" s="830"/>
      <c r="AJ118" s="830"/>
      <c r="AK118" s="830"/>
      <c r="AL118" s="830"/>
      <c r="AM118" s="830"/>
      <c r="AN118" s="833"/>
      <c r="AO118" s="833"/>
      <c r="AP118" s="830"/>
      <c r="AQ118" s="830"/>
      <c r="AR118" s="830"/>
      <c r="AS118" s="830"/>
      <c r="AT118" s="830"/>
      <c r="AU118" s="833"/>
      <c r="AV118" s="833"/>
      <c r="AW118" s="833"/>
      <c r="AX118" s="830"/>
      <c r="AY118" s="833"/>
      <c r="AZ118" s="830"/>
      <c r="BA118" s="830"/>
      <c r="BB118" s="833"/>
      <c r="BC118" s="833"/>
      <c r="BD118" s="830"/>
      <c r="BE118" s="830"/>
      <c r="BF118" s="830"/>
      <c r="BG118" s="830"/>
      <c r="BH118" s="830"/>
      <c r="BI118" s="833"/>
      <c r="BJ118" s="833"/>
      <c r="BK118" s="830"/>
      <c r="BL118" s="830"/>
      <c r="BM118" s="830"/>
      <c r="BN118" s="830"/>
      <c r="BO118" s="782"/>
      <c r="BP118" s="782"/>
      <c r="BQ118" s="782"/>
    </row>
    <row r="119" spans="1:69" s="786" customFormat="1" ht="42" hidden="1" customHeight="1" thickTop="1">
      <c r="A119" s="816"/>
      <c r="B119" s="782"/>
      <c r="C119" s="834"/>
      <c r="D119" s="817"/>
      <c r="E119" s="782" t="s">
        <v>2433</v>
      </c>
      <c r="F119" s="818"/>
      <c r="G119" s="818"/>
      <c r="H119" s="819"/>
      <c r="I119" s="820"/>
      <c r="J119" s="820"/>
      <c r="K119" s="819"/>
      <c r="L119" s="820"/>
      <c r="M119" s="820"/>
      <c r="N119" s="820"/>
      <c r="O119" s="820"/>
      <c r="P119" s="834">
        <f>COUNTIF(P$5:P$113,"○")-P117</f>
        <v>0</v>
      </c>
      <c r="Q119" s="822"/>
      <c r="R119" s="3481"/>
      <c r="S119" s="828"/>
      <c r="T119" s="830" t="s">
        <v>2434</v>
      </c>
      <c r="U119" s="826">
        <f>SUM(U5:U113)-'[52]競技情報DB(12,600人ver) '!D102</f>
        <v>0</v>
      </c>
      <c r="V119" s="3483"/>
      <c r="W119" s="3484"/>
      <c r="X119" s="3484"/>
      <c r="Y119" s="835"/>
      <c r="Z119" s="830" t="s">
        <v>2434</v>
      </c>
      <c r="AA119" s="831" t="s">
        <v>2174</v>
      </c>
      <c r="AB119" s="2937"/>
      <c r="AC119" s="2937"/>
      <c r="AD119" s="831"/>
      <c r="AE119" s="832" t="s">
        <v>2174</v>
      </c>
      <c r="AF119" s="836">
        <f>+'[52]競技情報DB(15,000人ver)'!E112-AF114</f>
        <v>0</v>
      </c>
      <c r="AG119" s="837">
        <f>+'[52]競技情報DB(15,000人ver)'!F112-AG114</f>
        <v>0</v>
      </c>
      <c r="AH119" s="837">
        <f>+'[52]競技情報DB(15,000人ver)'!G112-AH114</f>
        <v>0</v>
      </c>
      <c r="AI119" s="836">
        <f>+'[52]競技情報DB(15,000人ver)'!H112-AI114</f>
        <v>0</v>
      </c>
      <c r="AJ119" s="836">
        <f>+'[52]競技情報DB(15,000人ver)'!I112-AJ114</f>
        <v>0</v>
      </c>
      <c r="AK119" s="836">
        <f>+'[52]競技情報DB(15,000人ver)'!J112-AK114</f>
        <v>-374</v>
      </c>
      <c r="AL119" s="836">
        <f>+'[52]競技情報DB(15,000人ver)'!K112-AL114</f>
        <v>-606</v>
      </c>
      <c r="AM119" s="836">
        <f>+'[52]競技情報DB(15,000人ver)'!L112-AM114</f>
        <v>-1302</v>
      </c>
      <c r="AN119" s="837">
        <f>+'[52]競技情報DB(15,000人ver)'!M112-AN114</f>
        <v>-1552</v>
      </c>
      <c r="AO119" s="837">
        <f>+'[52]競技情報DB(15,000人ver)'!N112-AO114</f>
        <v>-1588</v>
      </c>
      <c r="AP119" s="836">
        <f>+'[52]競技情報DB(15,000人ver)'!O112-AP114</f>
        <v>-3094</v>
      </c>
      <c r="AQ119" s="836">
        <f>+'[52]競技情報DB(15,000人ver)'!P112-AQ114</f>
        <v>-3518</v>
      </c>
      <c r="AR119" s="836">
        <f>+'[52]競技情報DB(15,000人ver)'!Q112-AR114</f>
        <v>-6852</v>
      </c>
      <c r="AS119" s="836">
        <f>+'[52]競技情報DB(15,000人ver)'!R112-AS114</f>
        <v>-7163</v>
      </c>
      <c r="AT119" s="836">
        <f>+'[52]競技情報DB(15,000人ver)'!S112-AT114</f>
        <v>-7706</v>
      </c>
      <c r="AU119" s="837">
        <f>+'[52]競技情報DB(15,000人ver)'!T112-AU114</f>
        <v>-7706</v>
      </c>
      <c r="AV119" s="837">
        <f>+'[52]競技情報DB(15,000人ver)'!U112-AV114</f>
        <v>-8419</v>
      </c>
      <c r="AW119" s="837">
        <f>+'[52]競技情報DB(15,000人ver)'!V112-AW114</f>
        <v>-9838</v>
      </c>
      <c r="AX119" s="836">
        <f>+'[52]競技情報DB(15,000人ver)'!W112-AX114</f>
        <v>-10229</v>
      </c>
      <c r="AY119" s="837">
        <f>+'[52]競技情報DB(15,000人ver)'!X112-AY114</f>
        <v>-10525</v>
      </c>
      <c r="AZ119" s="836">
        <f>+'[52]競技情報DB(15,000人ver)'!Y112-AZ114</f>
        <v>-10558</v>
      </c>
      <c r="BA119" s="836">
        <f>+'[52]競技情報DB(15,000人ver)'!Z112-BA114</f>
        <v>-10037</v>
      </c>
      <c r="BB119" s="837">
        <f>+'[52]競技情報DB(15,000人ver)'!AA112-BB114</f>
        <v>-10221</v>
      </c>
      <c r="BC119" s="837">
        <f>+'[52]競技情報DB(15,000人ver)'!AB112-BC114</f>
        <v>-9759</v>
      </c>
      <c r="BD119" s="836">
        <f>+'[52]競技情報DB(15,000人ver)'!AC112-BD114</f>
        <v>-9888</v>
      </c>
      <c r="BE119" s="836">
        <f>+'[52]競技情報DB(15,000人ver)'!AD112-BE114</f>
        <v>-8784</v>
      </c>
      <c r="BF119" s="836">
        <f>+'[52]競技情報DB(15,000人ver)'!AE112-BF114</f>
        <v>-8792</v>
      </c>
      <c r="BG119" s="836">
        <f>+'[52]競技情報DB(15,000人ver)'!AF112-BG114</f>
        <v>-6396</v>
      </c>
      <c r="BH119" s="836">
        <f>+'[52]競技情報DB(15,000人ver)'!AG112-BH114</f>
        <v>-5448</v>
      </c>
      <c r="BI119" s="837">
        <f>+'[52]競技情報DB(15,000人ver)'!AH112-BI114</f>
        <v>-5228</v>
      </c>
      <c r="BJ119" s="837">
        <f>+'[52]競技情報DB(15,000人ver)'!AI112-BJ114</f>
        <v>-4480</v>
      </c>
      <c r="BK119" s="836">
        <f>+'[52]競技情報DB(15,000人ver)'!AJ112-BK114</f>
        <v>-138</v>
      </c>
      <c r="BL119" s="836">
        <f>+'[52]競技情報DB(15,000人ver)'!AK112-BL114</f>
        <v>0</v>
      </c>
      <c r="BM119" s="836">
        <f>+'[52]競技情報DB(15,000人ver)'!AL112-BM114</f>
        <v>0</v>
      </c>
      <c r="BN119" s="836">
        <f>+'[52]競技情報DB(15,000人ver)'!AM112-BN114</f>
        <v>0</v>
      </c>
      <c r="BO119" s="782"/>
      <c r="BP119" s="782"/>
      <c r="BQ119" s="782"/>
    </row>
    <row r="120" spans="1:69" s="786" customFormat="1" ht="42" customHeight="1">
      <c r="A120" s="816"/>
      <c r="B120" s="785"/>
      <c r="C120" s="785"/>
      <c r="D120" s="817"/>
      <c r="E120" s="785"/>
      <c r="F120" s="818"/>
      <c r="G120" s="818"/>
      <c r="H120" s="819"/>
      <c r="I120" s="820"/>
      <c r="J120" s="820"/>
      <c r="K120" s="819"/>
      <c r="L120" s="820"/>
      <c r="M120" s="820"/>
      <c r="N120" s="820"/>
      <c r="O120" s="820"/>
      <c r="P120" s="821"/>
      <c r="Q120" s="822"/>
      <c r="R120" s="3481"/>
      <c r="S120" s="828"/>
      <c r="T120" s="2934" t="s">
        <v>2433</v>
      </c>
      <c r="U120" s="2934">
        <f>SUM(U5:U113)-'[52]競技情報DB(12,600人ver) '!D102</f>
        <v>0</v>
      </c>
      <c r="V120" s="3483"/>
      <c r="W120" s="3482"/>
      <c r="X120" s="3482"/>
      <c r="Y120" s="835"/>
      <c r="Z120" s="835"/>
      <c r="AA120" s="831" t="s">
        <v>2175</v>
      </c>
      <c r="AB120" s="2937"/>
      <c r="AC120" s="2937"/>
      <c r="AD120" s="831"/>
      <c r="AE120" s="832" t="s">
        <v>2544</v>
      </c>
      <c r="AF120" s="837">
        <f>+'[52]競技情報DB(12,600人ver) '!E102-AF114</f>
        <v>0</v>
      </c>
      <c r="AG120" s="837">
        <f>+'[52]競技情報DB(12,600人ver) '!F102-AG114</f>
        <v>0</v>
      </c>
      <c r="AH120" s="837">
        <f>+'[52]競技情報DB(12,600人ver) '!G102-AH114</f>
        <v>0</v>
      </c>
      <c r="AI120" s="837">
        <f>+'[52]競技情報DB(12,600人ver) '!H102-AI114</f>
        <v>0</v>
      </c>
      <c r="AJ120" s="837">
        <f>+'[52]競技情報DB(12,600人ver) '!I102-AJ114</f>
        <v>0</v>
      </c>
      <c r="AK120" s="837">
        <f>+'[52]競技情報DB(12,600人ver) '!J102-AK114</f>
        <v>0</v>
      </c>
      <c r="AL120" s="837">
        <f>+'[52]競技情報DB(12,600人ver) '!K102-AL114</f>
        <v>0</v>
      </c>
      <c r="AM120" s="837">
        <f>+'[52]競技情報DB(12,600人ver) '!L102-AM114</f>
        <v>0</v>
      </c>
      <c r="AN120" s="837">
        <f>+'[52]競技情報DB(12,600人ver) '!M102-AN114</f>
        <v>0</v>
      </c>
      <c r="AO120" s="837">
        <f>+'[52]競技情報DB(12,600人ver) '!N102-AO114</f>
        <v>0</v>
      </c>
      <c r="AP120" s="837">
        <f>+'[52]競技情報DB(12,600人ver) '!O102-AP114</f>
        <v>0</v>
      </c>
      <c r="AQ120" s="837">
        <f>+'[52]競技情報DB(12,600人ver) '!P102-AQ114</f>
        <v>0</v>
      </c>
      <c r="AR120" s="837">
        <f>+'[52]競技情報DB(12,600人ver) '!Q102-AR114</f>
        <v>0</v>
      </c>
      <c r="AS120" s="837">
        <f>+'[52]競技情報DB(12,600人ver) '!R102-AS114</f>
        <v>0</v>
      </c>
      <c r="AT120" s="837">
        <f>+'[52]競技情報DB(12,600人ver) '!S102-AT114</f>
        <v>0</v>
      </c>
      <c r="AU120" s="837">
        <f>+'[52]競技情報DB(12,600人ver) '!T102-AU114</f>
        <v>0</v>
      </c>
      <c r="AV120" s="837">
        <f>+'[52]競技情報DB(12,600人ver) '!U102-AV114</f>
        <v>0</v>
      </c>
      <c r="AW120" s="837">
        <f>+'[52]競技情報DB(12,600人ver) '!V102-AW114</f>
        <v>0</v>
      </c>
      <c r="AX120" s="837">
        <f>+'[52]競技情報DB(12,600人ver) '!W102-AX114</f>
        <v>0</v>
      </c>
      <c r="AY120" s="837">
        <f>+'[52]競技情報DB(12,600人ver) '!X102-AY114</f>
        <v>0</v>
      </c>
      <c r="AZ120" s="837">
        <f>+'[52]競技情報DB(12,600人ver) '!Y102-AZ114</f>
        <v>0</v>
      </c>
      <c r="BA120" s="837">
        <f>+'[52]競技情報DB(12,600人ver) '!Z102-BA114</f>
        <v>0</v>
      </c>
      <c r="BB120" s="837">
        <f>+'[52]競技情報DB(12,600人ver) '!AA102-BB114</f>
        <v>0</v>
      </c>
      <c r="BC120" s="837">
        <f>+'[52]競技情報DB(12,600人ver) '!AB102-BC114</f>
        <v>0</v>
      </c>
      <c r="BD120" s="837">
        <f>+'[52]競技情報DB(12,600人ver) '!AC102-BD114</f>
        <v>0</v>
      </c>
      <c r="BE120" s="837">
        <f>+'[52]競技情報DB(12,600人ver) '!AD102-BE114</f>
        <v>0</v>
      </c>
      <c r="BF120" s="837">
        <f>+'[52]競技情報DB(12,600人ver) '!AE102-BF114</f>
        <v>0</v>
      </c>
      <c r="BG120" s="837">
        <f>+'[52]競技情報DB(12,600人ver) '!AF102-BG114</f>
        <v>0</v>
      </c>
      <c r="BH120" s="837">
        <f>+'[52]競技情報DB(12,600人ver) '!AG102-BH114</f>
        <v>0</v>
      </c>
      <c r="BI120" s="837">
        <f>+'[52]競技情報DB(12,600人ver) '!AH102-BI114</f>
        <v>0</v>
      </c>
      <c r="BJ120" s="837">
        <f>+'[52]競技情報DB(12,600人ver) '!AI102-BJ114</f>
        <v>0</v>
      </c>
      <c r="BK120" s="837">
        <f>+'[52]競技情報DB(12,600人ver) '!AJ102-BK114</f>
        <v>0</v>
      </c>
      <c r="BL120" s="837">
        <f>+'[52]競技情報DB(12,600人ver) '!AK102-BL114</f>
        <v>0</v>
      </c>
      <c r="BM120" s="837">
        <f>+'[52]競技情報DB(12,600人ver) '!AL102-BM114</f>
        <v>0</v>
      </c>
      <c r="BN120" s="837">
        <f>+'[52]競技情報DB(12,600人ver) '!AM102-BN114</f>
        <v>0</v>
      </c>
      <c r="BO120" s="840"/>
      <c r="BP120" s="782"/>
      <c r="BQ120" s="782"/>
    </row>
    <row r="121" spans="1:69" s="786" customFormat="1" ht="42" customHeight="1">
      <c r="A121" s="816"/>
      <c r="B121" s="785"/>
      <c r="C121" s="785"/>
      <c r="D121" s="817"/>
      <c r="E121" s="785"/>
      <c r="F121" s="818"/>
      <c r="G121" s="818"/>
      <c r="H121" s="819"/>
      <c r="I121" s="820"/>
      <c r="J121" s="820"/>
      <c r="K121" s="819"/>
      <c r="L121" s="820"/>
      <c r="M121" s="820"/>
      <c r="N121" s="820"/>
      <c r="O121" s="820"/>
      <c r="P121" s="821"/>
      <c r="Q121" s="822"/>
      <c r="R121" s="3481"/>
      <c r="S121" s="828"/>
      <c r="T121" s="829"/>
      <c r="U121" s="836"/>
      <c r="V121" s="3483"/>
      <c r="W121" s="3482"/>
      <c r="X121" s="3482"/>
      <c r="Y121" s="835"/>
      <c r="Z121" s="835"/>
      <c r="AA121" s="831"/>
      <c r="AB121" s="2937"/>
      <c r="AC121" s="2937"/>
      <c r="AD121" s="831"/>
      <c r="AE121" s="832"/>
      <c r="AF121" s="830"/>
      <c r="AG121" s="833"/>
      <c r="AH121" s="833"/>
      <c r="AI121" s="830"/>
      <c r="AJ121" s="830"/>
      <c r="AK121" s="830"/>
      <c r="AL121" s="830"/>
      <c r="AM121" s="830"/>
      <c r="AN121" s="833"/>
      <c r="AO121" s="833"/>
      <c r="AP121" s="830"/>
      <c r="AQ121" s="830"/>
      <c r="AR121" s="830"/>
      <c r="AS121" s="830"/>
      <c r="AT121" s="830"/>
      <c r="AU121" s="833"/>
      <c r="AV121" s="833"/>
      <c r="AW121" s="833"/>
      <c r="AX121" s="830"/>
      <c r="AY121" s="833"/>
      <c r="AZ121" s="830"/>
      <c r="BA121" s="830"/>
      <c r="BB121" s="833"/>
      <c r="BC121" s="833"/>
      <c r="BD121" s="830"/>
      <c r="BE121" s="830"/>
      <c r="BF121" s="830"/>
      <c r="BG121" s="830"/>
      <c r="BH121" s="830"/>
      <c r="BI121" s="833"/>
      <c r="BJ121" s="833"/>
      <c r="BK121" s="830"/>
      <c r="BL121" s="830"/>
      <c r="BM121" s="830"/>
      <c r="BN121" s="830"/>
      <c r="BO121" s="782"/>
      <c r="BP121" s="782"/>
      <c r="BQ121" s="782"/>
    </row>
    <row r="122" spans="1:69" s="786" customFormat="1" ht="42" customHeight="1">
      <c r="A122" s="816"/>
      <c r="B122" s="785"/>
      <c r="C122" s="785"/>
      <c r="D122" s="817"/>
      <c r="E122" s="785"/>
      <c r="F122" s="818"/>
      <c r="G122" s="818"/>
      <c r="H122" s="819"/>
      <c r="I122" s="820"/>
      <c r="J122" s="820"/>
      <c r="K122" s="819"/>
      <c r="L122" s="820"/>
      <c r="M122" s="820"/>
      <c r="N122" s="820"/>
      <c r="O122" s="820"/>
      <c r="P122" s="821"/>
      <c r="Q122" s="822"/>
      <c r="R122" s="3481"/>
      <c r="S122" s="828"/>
      <c r="T122" s="829"/>
      <c r="U122" s="830"/>
      <c r="V122" s="3483"/>
      <c r="W122" s="3482"/>
      <c r="X122" s="3482"/>
      <c r="Y122" s="835"/>
      <c r="Z122" s="835"/>
      <c r="AA122" s="831"/>
      <c r="AB122" s="2937"/>
      <c r="AC122" s="2937"/>
      <c r="AD122" s="831"/>
      <c r="AE122" s="832"/>
      <c r="AF122" s="830"/>
      <c r="AG122" s="833"/>
      <c r="AH122" s="833"/>
      <c r="AI122" s="830"/>
      <c r="AJ122" s="830"/>
      <c r="AK122" s="830"/>
      <c r="AL122" s="830"/>
      <c r="AM122" s="830"/>
      <c r="AN122" s="833"/>
      <c r="AO122" s="833"/>
      <c r="AP122" s="830"/>
      <c r="AQ122" s="830"/>
      <c r="AR122" s="830"/>
      <c r="AS122" s="830"/>
      <c r="AT122" s="830"/>
      <c r="AU122" s="833"/>
      <c r="AV122" s="833"/>
      <c r="AW122" s="833"/>
      <c r="AX122" s="830"/>
      <c r="AY122" s="833"/>
      <c r="AZ122" s="830"/>
      <c r="BA122" s="830"/>
      <c r="BB122" s="833"/>
      <c r="BC122" s="833"/>
      <c r="BD122" s="830"/>
      <c r="BE122" s="830"/>
      <c r="BF122" s="830"/>
      <c r="BG122" s="830"/>
      <c r="BH122" s="830"/>
      <c r="BI122" s="833"/>
      <c r="BJ122" s="833"/>
      <c r="BK122" s="830"/>
      <c r="BL122" s="830"/>
      <c r="BM122" s="830"/>
      <c r="BN122" s="830"/>
      <c r="BO122" s="782"/>
      <c r="BP122" s="841"/>
      <c r="BQ122" s="841"/>
    </row>
    <row r="123" spans="1:69" s="786" customFormat="1" ht="42" customHeight="1">
      <c r="A123" s="816"/>
      <c r="B123" s="785"/>
      <c r="C123" s="785"/>
      <c r="D123" s="817"/>
      <c r="E123" s="785"/>
      <c r="F123" s="818"/>
      <c r="G123" s="818"/>
      <c r="H123" s="819"/>
      <c r="I123" s="820"/>
      <c r="J123" s="820"/>
      <c r="K123" s="819"/>
      <c r="L123" s="820"/>
      <c r="M123" s="820"/>
      <c r="N123" s="820"/>
      <c r="O123" s="820"/>
      <c r="P123" s="821"/>
      <c r="Q123" s="822"/>
      <c r="R123" s="3481"/>
      <c r="S123" s="828"/>
      <c r="T123" s="829"/>
      <c r="U123" s="830"/>
      <c r="V123" s="3483"/>
      <c r="W123" s="3482"/>
      <c r="X123" s="3482"/>
      <c r="Y123" s="835"/>
      <c r="Z123" s="835"/>
      <c r="AA123" s="831"/>
      <c r="AB123" s="2937"/>
      <c r="AC123" s="2937"/>
      <c r="AD123" s="831"/>
      <c r="AE123" s="832"/>
      <c r="AF123" s="830"/>
      <c r="AG123" s="833"/>
      <c r="AH123" s="833"/>
      <c r="AI123" s="830"/>
      <c r="AJ123" s="830"/>
      <c r="AK123" s="830"/>
      <c r="AL123" s="830"/>
      <c r="AM123" s="830"/>
      <c r="AN123" s="833"/>
      <c r="AO123" s="833"/>
      <c r="AP123" s="830"/>
      <c r="AQ123" s="830"/>
      <c r="AR123" s="830"/>
      <c r="AS123" s="830"/>
      <c r="AT123" s="830"/>
      <c r="AU123" s="833"/>
      <c r="AV123" s="833"/>
      <c r="AW123" s="833"/>
      <c r="AX123" s="830"/>
      <c r="AY123" s="833"/>
      <c r="AZ123" s="830"/>
      <c r="BA123" s="830"/>
      <c r="BB123" s="833"/>
      <c r="BC123" s="833"/>
      <c r="BD123" s="830"/>
      <c r="BE123" s="830"/>
      <c r="BF123" s="830"/>
      <c r="BG123" s="830"/>
      <c r="BH123" s="830"/>
      <c r="BI123" s="833"/>
      <c r="BJ123" s="833"/>
      <c r="BK123" s="830"/>
      <c r="BL123" s="830"/>
      <c r="BM123" s="830"/>
      <c r="BN123" s="830"/>
      <c r="BO123" s="782"/>
      <c r="BP123" s="841"/>
      <c r="BQ123" s="841"/>
    </row>
    <row r="124" spans="1:69" s="786" customFormat="1" ht="20.5" customHeight="1">
      <c r="A124" s="816"/>
      <c r="B124" s="197"/>
      <c r="C124" s="197"/>
      <c r="D124" s="2935"/>
      <c r="E124" s="197"/>
      <c r="F124" s="842"/>
      <c r="G124" s="842"/>
      <c r="H124" s="198"/>
      <c r="I124" s="199"/>
      <c r="J124" s="199"/>
      <c r="K124" s="198"/>
      <c r="L124" s="199"/>
      <c r="M124" s="199"/>
      <c r="N124" s="199"/>
      <c r="O124" s="199"/>
      <c r="P124" s="843"/>
      <c r="Q124" s="844"/>
      <c r="R124" s="3287"/>
      <c r="S124" s="202"/>
      <c r="T124" s="200"/>
      <c r="U124" s="848"/>
      <c r="V124" s="3485"/>
      <c r="W124" s="3288"/>
      <c r="X124" s="3288"/>
      <c r="Y124" s="849"/>
      <c r="Z124" s="849"/>
      <c r="AA124" s="850"/>
      <c r="AB124" s="2940"/>
      <c r="AC124" s="2940"/>
      <c r="AD124" s="850"/>
      <c r="AE124" s="843"/>
      <c r="AF124" s="848"/>
      <c r="AG124" s="201"/>
      <c r="AH124" s="201"/>
      <c r="AI124" s="848"/>
      <c r="AJ124" s="848"/>
      <c r="AK124" s="848"/>
      <c r="AL124" s="848"/>
      <c r="AM124" s="848"/>
      <c r="AN124" s="201"/>
      <c r="AO124" s="201"/>
      <c r="AP124" s="848"/>
      <c r="AQ124" s="848"/>
      <c r="AR124" s="848"/>
      <c r="AS124" s="848"/>
      <c r="AT124" s="848"/>
      <c r="AU124" s="201"/>
      <c r="AV124" s="201"/>
      <c r="AW124" s="201"/>
      <c r="AX124" s="848"/>
      <c r="AY124" s="201"/>
      <c r="AZ124" s="848"/>
      <c r="BA124" s="848"/>
      <c r="BB124" s="201"/>
      <c r="BC124" s="201"/>
      <c r="BD124" s="848"/>
      <c r="BE124" s="848"/>
      <c r="BF124" s="848"/>
      <c r="BG124" s="848"/>
      <c r="BH124" s="848"/>
      <c r="BI124" s="201"/>
      <c r="BJ124" s="201"/>
      <c r="BK124" s="848"/>
      <c r="BL124" s="848"/>
      <c r="BM124" s="848"/>
      <c r="BN124" s="848"/>
      <c r="BO124" s="847"/>
      <c r="BP124" s="851"/>
      <c r="BQ124" s="851"/>
    </row>
    <row r="125" spans="1:69" s="786" customFormat="1" ht="20.5" customHeight="1">
      <c r="A125" s="816"/>
      <c r="B125" s="197"/>
      <c r="C125" s="197"/>
      <c r="D125" s="850"/>
      <c r="E125" s="197"/>
      <c r="F125" s="842"/>
      <c r="G125" s="842"/>
      <c r="H125" s="198"/>
      <c r="I125" s="852">
        <f>COUNTIF($I$24:$I$113,"宿泊施設")</f>
        <v>0</v>
      </c>
      <c r="J125" s="852">
        <f>COUNTIF($I$24:$I$113,"宿泊施設")</f>
        <v>0</v>
      </c>
      <c r="K125" s="853">
        <f>COUNTIF($I$24:$I$113,"宿泊施設")</f>
        <v>0</v>
      </c>
      <c r="L125" s="199"/>
      <c r="M125" s="199"/>
      <c r="N125" s="852" t="s">
        <v>2436</v>
      </c>
      <c r="O125" s="199"/>
      <c r="P125" s="846"/>
      <c r="Q125" s="844" t="s">
        <v>2136</v>
      </c>
      <c r="R125" s="3287"/>
      <c r="S125" s="202"/>
      <c r="T125" s="200"/>
      <c r="U125" s="848"/>
      <c r="V125" s="3485"/>
      <c r="W125" s="3288"/>
      <c r="X125" s="3288"/>
      <c r="Y125" s="849"/>
      <c r="Z125" s="849"/>
      <c r="AA125" s="850"/>
      <c r="AB125" s="2940"/>
      <c r="AC125" s="2940"/>
      <c r="AD125" s="850"/>
      <c r="AE125" s="843"/>
      <c r="AF125" s="848"/>
      <c r="AG125" s="201"/>
      <c r="AH125" s="201"/>
      <c r="AI125" s="848"/>
      <c r="AJ125" s="848"/>
      <c r="AK125" s="848"/>
      <c r="AL125" s="848"/>
      <c r="AM125" s="848"/>
      <c r="AN125" s="201"/>
      <c r="AO125" s="201"/>
      <c r="AP125" s="848"/>
      <c r="AQ125" s="848"/>
      <c r="AR125" s="848"/>
      <c r="AS125" s="848"/>
      <c r="AT125" s="848"/>
      <c r="AU125" s="201"/>
      <c r="AV125" s="201"/>
      <c r="AW125" s="201"/>
      <c r="AX125" s="848"/>
      <c r="AY125" s="201"/>
      <c r="AZ125" s="848"/>
      <c r="BA125" s="848"/>
      <c r="BB125" s="201"/>
      <c r="BC125" s="201"/>
      <c r="BD125" s="848"/>
      <c r="BE125" s="848"/>
      <c r="BF125" s="848"/>
      <c r="BG125" s="848"/>
      <c r="BH125" s="848"/>
      <c r="BI125" s="201"/>
      <c r="BJ125" s="201"/>
      <c r="BK125" s="848"/>
      <c r="BL125" s="848"/>
      <c r="BM125" s="848"/>
      <c r="BN125" s="848"/>
      <c r="BO125" s="847"/>
      <c r="BP125" s="851"/>
      <c r="BQ125" s="851"/>
    </row>
    <row r="126" spans="1:69" s="786" customFormat="1" ht="20.5" customHeight="1">
      <c r="A126" s="816"/>
      <c r="B126" s="197"/>
      <c r="C126" s="197"/>
      <c r="D126" s="850"/>
      <c r="E126" s="197"/>
      <c r="F126" s="842"/>
      <c r="G126" s="842"/>
      <c r="H126" s="198"/>
      <c r="I126" s="852">
        <f>COUNTIF($I$24:$I$113,"ケータリング")</f>
        <v>0</v>
      </c>
      <c r="J126" s="852">
        <f>COUNTIF($I$24:$I$113,"ケータリング")</f>
        <v>0</v>
      </c>
      <c r="K126" s="853">
        <f>COUNTIF($I$24:$I$113,"ケータリング")</f>
        <v>0</v>
      </c>
      <c r="L126" s="199"/>
      <c r="M126" s="199"/>
      <c r="N126" s="852" t="s">
        <v>2438</v>
      </c>
      <c r="O126" s="199"/>
      <c r="P126" s="846"/>
      <c r="Q126" s="844" t="s">
        <v>2440</v>
      </c>
      <c r="R126" s="3287"/>
      <c r="S126" s="202"/>
      <c r="T126" s="200"/>
      <c r="U126" s="848"/>
      <c r="V126" s="3485"/>
      <c r="W126" s="3288"/>
      <c r="X126" s="3288"/>
      <c r="Y126" s="849"/>
      <c r="Z126" s="849"/>
      <c r="AA126" s="850"/>
      <c r="AB126" s="2940"/>
      <c r="AC126" s="2940"/>
      <c r="AD126" s="850"/>
      <c r="AE126" s="843"/>
      <c r="AF126" s="848"/>
      <c r="AG126" s="201"/>
      <c r="AH126" s="201"/>
      <c r="AI126" s="848"/>
      <c r="AJ126" s="848"/>
      <c r="AK126" s="848"/>
      <c r="AL126" s="848"/>
      <c r="AM126" s="848"/>
      <c r="AN126" s="201"/>
      <c r="AO126" s="201"/>
      <c r="AP126" s="848"/>
      <c r="AQ126" s="848"/>
      <c r="AR126" s="848"/>
      <c r="AS126" s="848"/>
      <c r="AT126" s="848"/>
      <c r="AU126" s="201"/>
      <c r="AV126" s="201"/>
      <c r="AW126" s="201"/>
      <c r="AX126" s="848"/>
      <c r="AY126" s="201"/>
      <c r="AZ126" s="848"/>
      <c r="BA126" s="848"/>
      <c r="BB126" s="201"/>
      <c r="BC126" s="201"/>
      <c r="BD126" s="848"/>
      <c r="BE126" s="848"/>
      <c r="BF126" s="848"/>
      <c r="BG126" s="848"/>
      <c r="BH126" s="848"/>
      <c r="BI126" s="201"/>
      <c r="BJ126" s="201"/>
      <c r="BK126" s="848"/>
      <c r="BL126" s="848"/>
      <c r="BM126" s="848"/>
      <c r="BN126" s="848"/>
      <c r="BO126" s="847"/>
      <c r="BP126" s="851"/>
      <c r="BQ126" s="851"/>
    </row>
    <row r="127" spans="1:69" s="786" customFormat="1" ht="20.5" customHeight="1">
      <c r="A127" s="816"/>
      <c r="B127" s="197"/>
      <c r="C127" s="197"/>
      <c r="D127" s="850"/>
      <c r="E127" s="197"/>
      <c r="F127" s="842"/>
      <c r="G127" s="842"/>
      <c r="H127" s="198"/>
      <c r="I127" s="199"/>
      <c r="J127" s="199"/>
      <c r="K127" s="198"/>
      <c r="L127" s="199"/>
      <c r="M127" s="199"/>
      <c r="N127" s="199"/>
      <c r="O127" s="199"/>
      <c r="P127" s="846"/>
      <c r="Q127" s="844" t="s">
        <v>2498</v>
      </c>
      <c r="R127" s="3287"/>
      <c r="S127" s="202"/>
      <c r="T127" s="200"/>
      <c r="U127" s="848"/>
      <c r="V127" s="3485"/>
      <c r="W127" s="3288"/>
      <c r="X127" s="3288"/>
      <c r="Y127" s="849"/>
      <c r="Z127" s="849"/>
      <c r="AA127" s="850"/>
      <c r="AB127" s="2940"/>
      <c r="AC127" s="2940"/>
      <c r="AD127" s="850"/>
      <c r="AE127" s="843"/>
      <c r="AF127" s="848"/>
      <c r="AG127" s="201"/>
      <c r="AH127" s="201"/>
      <c r="AI127" s="848"/>
      <c r="AJ127" s="848"/>
      <c r="AK127" s="848"/>
      <c r="AL127" s="848"/>
      <c r="AM127" s="848"/>
      <c r="AN127" s="201"/>
      <c r="AO127" s="201"/>
      <c r="AP127" s="848"/>
      <c r="AQ127" s="848"/>
      <c r="AR127" s="848"/>
      <c r="AS127" s="848"/>
      <c r="AT127" s="848"/>
      <c r="AU127" s="201"/>
      <c r="AV127" s="201"/>
      <c r="AW127" s="201"/>
      <c r="AX127" s="848"/>
      <c r="AY127" s="201"/>
      <c r="AZ127" s="848"/>
      <c r="BA127" s="848"/>
      <c r="BB127" s="201"/>
      <c r="BC127" s="201"/>
      <c r="BD127" s="848"/>
      <c r="BE127" s="848"/>
      <c r="BF127" s="848"/>
      <c r="BG127" s="848"/>
      <c r="BH127" s="848"/>
      <c r="BI127" s="201"/>
      <c r="BJ127" s="201"/>
      <c r="BK127" s="848"/>
      <c r="BL127" s="848"/>
      <c r="BM127" s="848"/>
      <c r="BN127" s="848"/>
      <c r="BO127" s="847"/>
      <c r="BP127" s="851"/>
      <c r="BQ127" s="851"/>
    </row>
    <row r="140" spans="1:69" s="842" customFormat="1">
      <c r="A140" s="197"/>
      <c r="B140" s="197"/>
      <c r="C140" s="197"/>
      <c r="D140" s="854"/>
      <c r="E140" s="855"/>
      <c r="H140" s="198"/>
      <c r="I140" s="199"/>
      <c r="J140" s="199"/>
      <c r="K140" s="198"/>
      <c r="L140" s="199"/>
      <c r="M140" s="199"/>
      <c r="N140" s="199"/>
      <c r="O140" s="199"/>
      <c r="P140" s="197"/>
      <c r="Q140" s="844"/>
      <c r="R140" s="3287"/>
      <c r="S140" s="202"/>
      <c r="T140" s="200"/>
      <c r="U140" s="858"/>
      <c r="V140" s="3485"/>
      <c r="W140" s="3288"/>
      <c r="X140" s="3288"/>
      <c r="Y140" s="859"/>
      <c r="Z140" s="859"/>
      <c r="AA140" s="854"/>
      <c r="AB140" s="2941"/>
      <c r="AC140" s="2941"/>
      <c r="AD140" s="854"/>
      <c r="AE140" s="860"/>
      <c r="AF140" s="858"/>
      <c r="AG140" s="861"/>
      <c r="AH140" s="861"/>
      <c r="AI140" s="858"/>
      <c r="AJ140" s="858"/>
      <c r="AK140" s="858"/>
      <c r="AL140" s="858"/>
      <c r="AM140" s="858"/>
      <c r="AN140" s="861"/>
      <c r="AO140" s="861"/>
      <c r="AP140" s="858"/>
      <c r="AQ140" s="858"/>
      <c r="AR140" s="858"/>
      <c r="AS140" s="858"/>
      <c r="AT140" s="858"/>
      <c r="AU140" s="861"/>
      <c r="AV140" s="861"/>
      <c r="AW140" s="861"/>
      <c r="AX140" s="858"/>
      <c r="AY140" s="861"/>
      <c r="AZ140" s="858"/>
      <c r="BA140" s="858"/>
      <c r="BB140" s="861"/>
      <c r="BC140" s="861"/>
      <c r="BD140" s="858"/>
      <c r="BE140" s="858"/>
      <c r="BF140" s="858"/>
      <c r="BG140" s="858"/>
      <c r="BH140" s="858"/>
      <c r="BI140" s="861"/>
      <c r="BJ140" s="861"/>
      <c r="BK140" s="858"/>
      <c r="BL140" s="858"/>
      <c r="BM140" s="858"/>
      <c r="BN140" s="858"/>
      <c r="BO140" s="200"/>
      <c r="BP140" s="862"/>
      <c r="BQ140" s="862"/>
    </row>
    <row r="144" spans="1:69" s="842" customFormat="1">
      <c r="A144" s="197"/>
      <c r="B144" s="197"/>
      <c r="C144" s="197"/>
      <c r="D144" s="854"/>
      <c r="E144" s="855"/>
      <c r="H144" s="198"/>
      <c r="I144" s="199"/>
      <c r="J144" s="199"/>
      <c r="K144" s="198"/>
      <c r="L144" s="199"/>
      <c r="M144" s="199"/>
      <c r="N144" s="199"/>
      <c r="O144" s="199"/>
      <c r="P144" s="197"/>
      <c r="Q144" s="844"/>
      <c r="R144" s="3287"/>
      <c r="S144" s="202"/>
      <c r="T144" s="200"/>
      <c r="U144" s="858"/>
      <c r="V144" s="3485"/>
      <c r="W144" s="3288"/>
      <c r="X144" s="3288"/>
      <c r="Y144" s="859"/>
      <c r="Z144" s="859"/>
      <c r="AA144" s="854"/>
      <c r="AB144" s="2941"/>
      <c r="AC144" s="2941"/>
      <c r="AD144" s="854"/>
      <c r="AE144" s="860"/>
      <c r="AF144" s="858"/>
      <c r="AG144" s="861"/>
      <c r="AH144" s="861"/>
      <c r="AI144" s="858"/>
      <c r="AJ144" s="858"/>
      <c r="AK144" s="858"/>
      <c r="AL144" s="858"/>
      <c r="AM144" s="858"/>
      <c r="AN144" s="861"/>
      <c r="AO144" s="861"/>
      <c r="AP144" s="858"/>
      <c r="AQ144" s="858"/>
      <c r="AR144" s="858"/>
      <c r="AS144" s="858"/>
      <c r="AT144" s="858"/>
      <c r="AU144" s="861"/>
      <c r="AV144" s="861"/>
      <c r="AW144" s="861"/>
      <c r="AX144" s="858"/>
      <c r="AY144" s="861"/>
      <c r="AZ144" s="858"/>
      <c r="BA144" s="858"/>
      <c r="BB144" s="861"/>
      <c r="BC144" s="861"/>
      <c r="BD144" s="858"/>
      <c r="BE144" s="858"/>
      <c r="BF144" s="858"/>
      <c r="BG144" s="858"/>
      <c r="BH144" s="858"/>
      <c r="BI144" s="861"/>
      <c r="BJ144" s="861"/>
      <c r="BK144" s="858"/>
      <c r="BL144" s="858"/>
      <c r="BM144" s="858"/>
      <c r="BN144" s="858"/>
      <c r="BO144" s="200"/>
      <c r="BP144" s="862"/>
      <c r="BQ144" s="862"/>
    </row>
    <row r="154" spans="1:69" s="842" customFormat="1">
      <c r="A154" s="197"/>
      <c r="B154" s="197"/>
      <c r="C154" s="197"/>
      <c r="D154" s="854"/>
      <c r="E154" s="855"/>
      <c r="H154" s="198"/>
      <c r="I154" s="199"/>
      <c r="J154" s="199"/>
      <c r="K154" s="198"/>
      <c r="L154" s="199"/>
      <c r="M154" s="199"/>
      <c r="N154" s="199"/>
      <c r="O154" s="199"/>
      <c r="P154" s="197"/>
      <c r="Q154" s="844"/>
      <c r="R154" s="3287"/>
      <c r="S154" s="202"/>
      <c r="T154" s="200"/>
      <c r="U154" s="858"/>
      <c r="V154" s="3485"/>
      <c r="W154" s="3288"/>
      <c r="X154" s="3288"/>
      <c r="Y154" s="859"/>
      <c r="Z154" s="859"/>
      <c r="AA154" s="854"/>
      <c r="AB154" s="2941"/>
      <c r="AC154" s="2941"/>
      <c r="AD154" s="854"/>
      <c r="AE154" s="860"/>
      <c r="AF154" s="858"/>
      <c r="AG154" s="861"/>
      <c r="AH154" s="861"/>
      <c r="AI154" s="858"/>
      <c r="AJ154" s="858"/>
      <c r="AK154" s="858"/>
      <c r="AL154" s="858"/>
      <c r="AM154" s="858"/>
      <c r="AN154" s="861"/>
      <c r="AO154" s="861"/>
      <c r="AP154" s="858"/>
      <c r="AQ154" s="858"/>
      <c r="AR154" s="858"/>
      <c r="AS154" s="858"/>
      <c r="AT154" s="858"/>
      <c r="AU154" s="861"/>
      <c r="AV154" s="861"/>
      <c r="AW154" s="861"/>
      <c r="AX154" s="858"/>
      <c r="AY154" s="861"/>
      <c r="AZ154" s="858"/>
      <c r="BA154" s="858"/>
      <c r="BB154" s="861"/>
      <c r="BC154" s="861"/>
      <c r="BD154" s="858"/>
      <c r="BE154" s="858"/>
      <c r="BF154" s="858"/>
      <c r="BG154" s="858"/>
      <c r="BH154" s="858"/>
      <c r="BI154" s="861"/>
      <c r="BJ154" s="861"/>
      <c r="BK154" s="858"/>
      <c r="BL154" s="858"/>
      <c r="BM154" s="858"/>
      <c r="BN154" s="858"/>
      <c r="BO154" s="200"/>
      <c r="BP154" s="862"/>
      <c r="BQ154" s="862"/>
    </row>
    <row r="158" spans="1:69" s="842" customFormat="1">
      <c r="A158" s="197"/>
      <c r="B158" s="197"/>
      <c r="C158" s="197"/>
      <c r="D158" s="854"/>
      <c r="E158" s="855"/>
      <c r="H158" s="198"/>
      <c r="I158" s="199"/>
      <c r="J158" s="199"/>
      <c r="K158" s="198"/>
      <c r="L158" s="199"/>
      <c r="M158" s="199"/>
      <c r="N158" s="199"/>
      <c r="O158" s="199"/>
      <c r="P158" s="197"/>
      <c r="Q158" s="844"/>
      <c r="R158" s="3287"/>
      <c r="S158" s="202"/>
      <c r="T158" s="200"/>
      <c r="U158" s="858"/>
      <c r="V158" s="3485"/>
      <c r="W158" s="3288"/>
      <c r="X158" s="3288"/>
      <c r="Y158" s="859"/>
      <c r="Z158" s="859"/>
      <c r="AA158" s="854"/>
      <c r="AB158" s="2941"/>
      <c r="AC158" s="2941"/>
      <c r="AD158" s="854"/>
      <c r="AE158" s="860"/>
      <c r="AF158" s="858"/>
      <c r="AG158" s="861"/>
      <c r="AH158" s="861"/>
      <c r="AI158" s="858"/>
      <c r="AJ158" s="858"/>
      <c r="AK158" s="858"/>
      <c r="AL158" s="858"/>
      <c r="AM158" s="858"/>
      <c r="AN158" s="861"/>
      <c r="AO158" s="861"/>
      <c r="AP158" s="858"/>
      <c r="AQ158" s="858"/>
      <c r="AR158" s="858"/>
      <c r="AS158" s="858"/>
      <c r="AT158" s="858"/>
      <c r="AU158" s="861"/>
      <c r="AV158" s="861"/>
      <c r="AW158" s="861"/>
      <c r="AX158" s="858"/>
      <c r="AY158" s="861"/>
      <c r="AZ158" s="858"/>
      <c r="BA158" s="858"/>
      <c r="BB158" s="861"/>
      <c r="BC158" s="861"/>
      <c r="BD158" s="858"/>
      <c r="BE158" s="858"/>
      <c r="BF158" s="858"/>
      <c r="BG158" s="858"/>
      <c r="BH158" s="858"/>
      <c r="BI158" s="861"/>
      <c r="BJ158" s="861"/>
      <c r="BK158" s="858"/>
      <c r="BL158" s="858"/>
      <c r="BM158" s="858"/>
      <c r="BN158" s="858"/>
      <c r="BO158" s="200"/>
      <c r="BP158" s="862"/>
      <c r="BQ158" s="862"/>
    </row>
  </sheetData>
  <sheetProtection formatColumns="0"/>
  <autoFilter ref="B1:U127" xr:uid="{9E3A0457-F795-456D-B7A3-66D5D29581B3}"/>
  <mergeCells count="27">
    <mergeCell ref="F114:K117"/>
    <mergeCell ref="L114:O114"/>
    <mergeCell ref="L115:O115"/>
    <mergeCell ref="L116:O116"/>
    <mergeCell ref="L117:O117"/>
    <mergeCell ref="BQ3:BQ4"/>
    <mergeCell ref="Q3:Q4"/>
    <mergeCell ref="R3:U3"/>
    <mergeCell ref="W3:X3"/>
    <mergeCell ref="Y3:Y4"/>
    <mergeCell ref="Z3:Z4"/>
    <mergeCell ref="AA3:AA4"/>
    <mergeCell ref="AB3:AB4"/>
    <mergeCell ref="AC3:AC4"/>
    <mergeCell ref="AD3:AD4"/>
    <mergeCell ref="AE3:AE4"/>
    <mergeCell ref="BP3:BP4"/>
    <mergeCell ref="BL1:BN1"/>
    <mergeCell ref="A3:B3"/>
    <mergeCell ref="C3:C4"/>
    <mergeCell ref="D3:D4"/>
    <mergeCell ref="F3:G3"/>
    <mergeCell ref="H3:H4"/>
    <mergeCell ref="I3:I4"/>
    <mergeCell ref="J3:J4"/>
    <mergeCell ref="K3:K4"/>
    <mergeCell ref="L3:N3"/>
  </mergeCells>
  <phoneticPr fontId="2"/>
  <conditionalFormatting sqref="A77:B77">
    <cfRule type="containsText" dxfId="983" priority="2" operator="containsText" text="NGホテル">
      <formula>NOT(ISERROR(SEARCH("NGホテル",A77)))</formula>
    </cfRule>
    <cfRule type="containsText" dxfId="982" priority="3" operator="containsText" text="追加">
      <formula>NOT(ISERROR(SEARCH("追加",A77)))</formula>
    </cfRule>
  </conditionalFormatting>
  <conditionalFormatting sqref="A5:C5 B59:C59 B67 B95:C113">
    <cfRule type="containsText" dxfId="981" priority="10" operator="containsText" text="NGホテル">
      <formula>NOT(ISERROR(SEARCH("NGホテル",A5)))</formula>
    </cfRule>
    <cfRule type="containsText" dxfId="980" priority="11" operator="containsText" text="追加">
      <formula>NOT(ISERROR(SEARCH("追加",A5)))</formula>
    </cfRule>
  </conditionalFormatting>
  <conditionalFormatting sqref="A35:C35">
    <cfRule type="containsText" dxfId="979" priority="6" operator="containsText" text="NGホテル">
      <formula>NOT(ISERROR(SEARCH("NGホテル",A35)))</formula>
    </cfRule>
    <cfRule type="containsText" dxfId="978" priority="7" operator="containsText" text="追加">
      <formula>NOT(ISERROR(SEARCH("追加",A35)))</formula>
    </cfRule>
  </conditionalFormatting>
  <conditionalFormatting sqref="B119">
    <cfRule type="duplicateValues" dxfId="977" priority="8"/>
  </conditionalFormatting>
  <conditionalFormatting sqref="B33:C33 C60 B75:C75 C76 B85:C89 A91:C91 C92">
    <cfRule type="containsText" dxfId="976" priority="15" operator="containsText" text="NGホテル">
      <formula>NOT(ISERROR(SEARCH("NGホテル",A33)))</formula>
    </cfRule>
    <cfRule type="containsText" dxfId="975" priority="16" operator="containsText" text="追加">
      <formula>NOT(ISERROR(SEARCH("追加",A33)))</formula>
    </cfRule>
  </conditionalFormatting>
  <conditionalFormatting sqref="I6:K113">
    <cfRule type="cellIs" dxfId="974" priority="18" operator="equal">
      <formula>"ケータリング"</formula>
    </cfRule>
    <cfRule type="expression" dxfId="973" priority="19">
      <formula>#REF!="ケータリング"</formula>
    </cfRule>
  </conditionalFormatting>
  <conditionalFormatting sqref="L6:N23 L75:N88 L118:O1048576">
    <cfRule type="cellIs" dxfId="972" priority="14" operator="lessThan">
      <formula>0</formula>
    </cfRule>
  </conditionalFormatting>
  <conditionalFormatting sqref="L24:N27 L31:N32 L59:N66 L107:N107">
    <cfRule type="containsText" dxfId="971" priority="13" operator="containsText" text="未調査">
      <formula>NOT(ISERROR(SEARCH("未調査",L24)))</formula>
    </cfRule>
    <cfRule type="containsText" dxfId="970" priority="17" operator="containsText" text="ケータリング">
      <formula>NOT(ISERROR(SEARCH("ケータリング",L24)))</formula>
    </cfRule>
  </conditionalFormatting>
  <conditionalFormatting sqref="L109:N109">
    <cfRule type="containsText" dxfId="969" priority="4" operator="containsText" text="未調査">
      <formula>NOT(ISERROR(SEARCH("未調査",L109)))</formula>
    </cfRule>
    <cfRule type="containsText" dxfId="968" priority="5" operator="containsText" text="ケータリング">
      <formula>NOT(ISERROR(SEARCH("ケータリング",L109)))</formula>
    </cfRule>
  </conditionalFormatting>
  <conditionalFormatting sqref="L1:O2 L3 O3:O4 L71:N72 L91:N92 M101:N101 L102:N102 M105:N105 L106:N106">
    <cfRule type="cellIs" dxfId="967" priority="12" operator="lessThan">
      <formula>0</formula>
    </cfRule>
  </conditionalFormatting>
  <conditionalFormatting sqref="Q1:Q3 Q114:Q1048576">
    <cfRule type="containsText" dxfId="966" priority="9" operator="containsText" text="不可">
      <formula>NOT(ISERROR(SEARCH("不可",Q1)))</formula>
    </cfRule>
  </conditionalFormatting>
  <dataValidations count="3">
    <dataValidation showInputMessage="1" showErrorMessage="1" sqref="AA43:BN43 BO28:BQ28 V109:Y109 BH63:BN63 BH87:BN87 Y93 BK25:BK27 BH49:BN49 BD73:BN73 BL75:BN75 BL77:BN77 AO83 BL81:BN81 BL89:BN89 BL91:BN91 BD99:BN99 AF114:BN114 BL29:BN29 Y67 BE71:BN71 BD97:BN97 BK101:BN101 V31:Y31 BK103:BN103 BL31:BN31 Y101 V79:Y79 V105:Y105 Y61 Y71 Y75 Y77 Y83 Y85 Y89 Z101:Z103 Y95 AA113:BO113 BO5 Z105:Z111 BG105:BN105 Y5:AD5 Y81 Y111 Z93:Z95 BH107:BN107 BL93:BN93 W5:X23 BO91:BQ111 BD95:BN95 V103:Y103 Z71:Z72 AA109:AY109 BB85:BN85 V101 V61 V71 V75 V77 V83 V85 V89 V95 V25:V27 V81 V111 V97 V99 W108:X108 BO69:BO90 Z75:Z89 U5:V5 W106:X106 W80:X86 W70:X72 V33:Y33 V91 V93 V45 V67 BI45:BN45 V73:BB73 W74:X78 BH61:BN61 W32:X32 W104:X104 V69:BJ69 V24:X24 V107:Y107 V87:Y87 W110:X113 W88:X102 V59 U45:U46 BO41 BH65:BN65 S48:V48 S53:BD53 S42:U42 S37:U38 S52:T52 S43:T46 S39:T41 S54:T55 BH59:BN59 S47:U47 BL33:BN33 S49:U51 W34:X52 Z31:Z33 BA109:BN109 V29 U24:U35 S5:T36 BM35:BO35 W25:X30 BO29:BO34 V57 BF53:BN53 BE57:BN57 Y65 V65 Z59:Z67 W54:X68 BO45:BO67 S56:U113 Y63 V63 BL67:BN67 BL69:BN69 BL79:BN79 Y24:BJ27 BL24:BO27 BK111:BN111 Y29:BJ29 AA31:BJ31 AA33:BJ33 Y35:BK35 Y45:BG45 Y49:BF49 AA59:BF59 Y57:BC57 AA61:BF61 AA63:BF63 AA65:BF65 AA67:BJ67 AA71:BC71 AA77:BJ77 AA75:BJ75 AA79:BJ79 AB83:AD83 AA85:AZ85 AA87:BF87 Y91:BJ91 AA89:BJ89 AA93:BJ93 AA95:BB95 Y97:BB97 Y99:BB99 AA101:BI101 AA103:BI103 AA105:BE105 AA107:BF107 AF111:BI111 AA81:BJ81 AA111:AD111 Y59" xr:uid="{AD218295-4D46-44DC-973C-9AF9EB9B9552}"/>
    <dataValidation type="list" allowBlank="1" showInputMessage="1" showErrorMessage="1" sqref="Q5:Q113" xr:uid="{D8A390D5-A28A-4281-9906-73BA365FFF7C}">
      <formula1>$Q$125:$Q$127</formula1>
    </dataValidation>
    <dataValidation type="list" allowBlank="1" showInputMessage="1" showErrorMessage="1" sqref="R1:T1 T119 U125:U1048576 BO114:BO119 AF121:BO1048576 BP114:BQ1048576 Y114:Y115 Z115:AE115 U114 BN117:BN118 Y1:Z2 AF115:BM118 Z114:AD114 Y116:AE1048576 U1:V2 W1:X1 V114:V1048576 W119:X119" xr:uid="{1FE310F1-AF17-4B1B-8C94-1DE8C908D7F6}">
      <formula1>#REF!</formula1>
    </dataValidation>
  </dataValidations>
  <printOptions horizontalCentered="1"/>
  <pageMargins left="0.23622047244094491" right="0.23622047244094491" top="0.74803149606299213" bottom="0.74803149606299213" header="0.31496062992125984" footer="0.31496062992125984"/>
  <pageSetup paperSize="8" scale="32" fitToWidth="3" fitToHeight="2" pageOrder="overThenDown" orientation="landscape" r:id="rId1"/>
  <headerFooter>
    <oddFooter>&amp;C&amp;14&amp;P / &amp;N ページ</oddFooter>
  </headerFooter>
  <rowBreaks count="2" manualBreakCount="2">
    <brk id="34" max="75" man="1"/>
    <brk id="76" max="75" man="1"/>
  </rowBreaks>
  <colBreaks count="1" manualBreakCount="1">
    <brk id="30" max="114"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FCB4-E202-404F-A0E7-1E5A3ED9E1AE}">
  <sheetPr codeName="Sheet237">
    <tabColor rgb="FFFFC000"/>
    <pageSetUpPr fitToPage="1"/>
  </sheetPr>
  <dimension ref="A1:CE46"/>
  <sheetViews>
    <sheetView topLeftCell="AR20" zoomScale="85" zoomScaleNormal="85" workbookViewId="0">
      <selection activeCell="AO8" sqref="AO8"/>
    </sheetView>
  </sheetViews>
  <sheetFormatPr defaultColWidth="9.453125" defaultRowHeight="13" outlineLevelCol="1"/>
  <cols>
    <col min="2" max="2" width="7.7265625" style="1866" customWidth="1"/>
    <col min="3" max="3" width="37.7265625" bestFit="1" customWidth="1"/>
    <col min="4" max="4" width="6.1796875" customWidth="1"/>
    <col min="5" max="20" width="6.453125" hidden="1" customWidth="1" outlineLevel="1"/>
    <col min="21" max="21" width="5.453125" customWidth="1" collapsed="1"/>
    <col min="22" max="22" width="5.453125" customWidth="1"/>
    <col min="23" max="38" width="6.453125" hidden="1" customWidth="1" outlineLevel="1"/>
    <col min="39" max="39" width="5.453125" style="2705" customWidth="1" collapsed="1"/>
    <col min="40" max="40" width="5.453125" customWidth="1"/>
    <col min="41" max="41" width="4.453125" customWidth="1"/>
    <col min="42" max="48" width="3.453125" customWidth="1"/>
    <col min="49" max="49" width="5.453125" customWidth="1"/>
    <col min="50" max="50" width="3.453125" customWidth="1"/>
    <col min="51" max="51" width="5.81640625" customWidth="1"/>
    <col min="52" max="56" width="3.453125" customWidth="1"/>
    <col min="57" max="57" width="13.7265625" style="1866" customWidth="1"/>
    <col min="58" max="58" width="31.1796875" bestFit="1" customWidth="1"/>
    <col min="59" max="59" width="5.26953125" customWidth="1"/>
    <col min="60" max="62" width="9.81640625" customWidth="1"/>
    <col min="63" max="63" width="9.81640625" style="1866" customWidth="1"/>
    <col min="64" max="64" width="70.1796875" customWidth="1"/>
    <col min="66" max="66" width="8.81640625" customWidth="1"/>
    <col min="67" max="72" width="4.453125" customWidth="1"/>
    <col min="73" max="73" width="8.81640625" customWidth="1"/>
    <col min="74" max="77" width="4.453125" customWidth="1"/>
    <col min="78" max="79" width="12.54296875" customWidth="1"/>
    <col min="80" max="80" width="29" customWidth="1"/>
    <col min="81" max="81" width="7.1796875" customWidth="1"/>
  </cols>
  <sheetData>
    <row r="1" spans="1:83" ht="24.5">
      <c r="B1" s="1852" t="s">
        <v>2545</v>
      </c>
      <c r="BL1" s="890" t="s">
        <v>2546</v>
      </c>
    </row>
    <row r="2" spans="1:83" ht="24.5">
      <c r="B2" s="1852"/>
      <c r="BI2" s="1866" t="s">
        <v>2547</v>
      </c>
      <c r="BK2" s="1866" t="s">
        <v>2547</v>
      </c>
      <c r="BL2" s="890"/>
    </row>
    <row r="3" spans="1:83" s="895" customFormat="1" ht="15.65" customHeight="1">
      <c r="B3" s="6475"/>
      <c r="C3" s="6476"/>
      <c r="D3" s="6476"/>
      <c r="E3" s="6476"/>
      <c r="F3" s="6476"/>
      <c r="G3" s="6476"/>
      <c r="H3" s="6476"/>
      <c r="I3" s="6476"/>
      <c r="J3" s="6476"/>
      <c r="K3" s="6476"/>
      <c r="L3" s="6476"/>
      <c r="M3" s="6476"/>
      <c r="N3" s="6476"/>
      <c r="O3" s="6476"/>
      <c r="P3" s="6476"/>
      <c r="Q3" s="6476"/>
      <c r="R3" s="6476"/>
      <c r="S3" s="6476"/>
      <c r="T3" s="6476"/>
      <c r="U3" s="6476"/>
      <c r="V3" s="6476"/>
      <c r="W3" s="6476"/>
      <c r="X3" s="6476"/>
      <c r="Y3" s="6476"/>
      <c r="Z3" s="6476"/>
      <c r="AA3" s="6476"/>
      <c r="AB3" s="6476"/>
      <c r="AC3" s="6476"/>
      <c r="AD3" s="6476"/>
      <c r="AE3" s="6476"/>
      <c r="AF3" s="6476"/>
      <c r="AG3" s="6476"/>
      <c r="AH3" s="6476"/>
      <c r="AI3" s="6476"/>
      <c r="AJ3" s="6476"/>
      <c r="AK3" s="6476"/>
      <c r="AL3" s="6476"/>
      <c r="AM3" s="6476"/>
      <c r="AN3" s="6476"/>
      <c r="AO3" s="6476"/>
      <c r="AP3" s="6476"/>
      <c r="AQ3" s="6476"/>
      <c r="AR3" s="6476"/>
      <c r="AS3" s="6476"/>
      <c r="AT3" s="6476"/>
      <c r="AU3" s="6476"/>
      <c r="AV3" s="6476"/>
      <c r="AW3" s="6476"/>
      <c r="AX3" s="6476"/>
      <c r="AY3" s="6476"/>
      <c r="AZ3" s="6476"/>
      <c r="BA3" s="6476"/>
      <c r="BB3" s="6476"/>
      <c r="BC3" s="6476"/>
      <c r="BD3" s="6477"/>
      <c r="BE3" s="1867"/>
      <c r="BF3" s="1738" t="s">
        <v>2548</v>
      </c>
      <c r="BG3" s="1739"/>
      <c r="BH3" s="6488" t="s">
        <v>2549</v>
      </c>
      <c r="BI3" s="6489"/>
      <c r="BJ3" s="6501" t="s">
        <v>2550</v>
      </c>
      <c r="BK3" s="6505" t="s">
        <v>2551</v>
      </c>
      <c r="BL3" s="1899"/>
      <c r="BM3" s="899"/>
      <c r="BN3" s="899"/>
      <c r="BO3" s="899"/>
      <c r="BP3" s="899"/>
      <c r="BQ3" s="899"/>
      <c r="BR3" s="899"/>
      <c r="BS3" s="899"/>
      <c r="BT3" s="899"/>
      <c r="BU3" s="899"/>
      <c r="BV3" s="899"/>
      <c r="BW3" s="899"/>
      <c r="BX3" s="899"/>
      <c r="BY3" s="1549"/>
      <c r="BZ3" s="1549"/>
      <c r="CA3" s="1549"/>
      <c r="CB3" s="1549"/>
      <c r="CC3" s="1549"/>
    </row>
    <row r="4" spans="1:83" s="895" customFormat="1" ht="15.65" customHeight="1">
      <c r="B4" s="1853" t="s">
        <v>2552</v>
      </c>
      <c r="C4" s="902"/>
      <c r="D4" s="903" t="s">
        <v>2553</v>
      </c>
      <c r="E4" s="6478" t="s">
        <v>2554</v>
      </c>
      <c r="F4" s="6478"/>
      <c r="G4" s="6478"/>
      <c r="H4" s="6478"/>
      <c r="I4" s="6478"/>
      <c r="J4" s="6478"/>
      <c r="K4" s="6478"/>
      <c r="L4" s="6478"/>
      <c r="M4" s="6478"/>
      <c r="N4" s="6478"/>
      <c r="O4" s="6478"/>
      <c r="P4" s="6478"/>
      <c r="Q4" s="6478"/>
      <c r="R4" s="6478"/>
      <c r="S4" s="6478"/>
      <c r="T4" s="6478"/>
      <c r="U4" s="6478"/>
      <c r="V4" s="6478"/>
      <c r="W4" s="6479" t="s">
        <v>2555</v>
      </c>
      <c r="X4" s="6480"/>
      <c r="Y4" s="6480"/>
      <c r="Z4" s="6480"/>
      <c r="AA4" s="6480"/>
      <c r="AB4" s="6480"/>
      <c r="AC4" s="6480"/>
      <c r="AD4" s="6480"/>
      <c r="AE4" s="6480"/>
      <c r="AF4" s="6480"/>
      <c r="AG4" s="6480"/>
      <c r="AH4" s="6480"/>
      <c r="AI4" s="6480"/>
      <c r="AJ4" s="6480"/>
      <c r="AK4" s="6480"/>
      <c r="AL4" s="6480"/>
      <c r="AM4" s="6480"/>
      <c r="AN4" s="6480"/>
      <c r="AO4" s="6480"/>
      <c r="AP4" s="6479" t="s">
        <v>2556</v>
      </c>
      <c r="AQ4" s="6481"/>
      <c r="AR4" s="6480" t="s">
        <v>2557</v>
      </c>
      <c r="AS4" s="6480"/>
      <c r="AT4" s="6479" t="s">
        <v>2558</v>
      </c>
      <c r="AU4" s="6480"/>
      <c r="AV4" s="6481"/>
      <c r="AW4" s="904" t="s">
        <v>2088</v>
      </c>
      <c r="AX4" s="904" t="s">
        <v>2559</v>
      </c>
      <c r="AY4" s="905" t="s">
        <v>2560</v>
      </c>
      <c r="AZ4" s="6482" t="s">
        <v>2561</v>
      </c>
      <c r="BA4" s="6471" t="s">
        <v>2562</v>
      </c>
      <c r="BB4" s="6471" t="s">
        <v>2563</v>
      </c>
      <c r="BC4" s="6471" t="s">
        <v>2564</v>
      </c>
      <c r="BD4" s="6473" t="s">
        <v>2565</v>
      </c>
      <c r="BE4" s="1868" t="s">
        <v>2566</v>
      </c>
      <c r="BF4" s="1740"/>
      <c r="BG4" s="1741"/>
      <c r="BH4" s="6490"/>
      <c r="BI4" s="6491"/>
      <c r="BJ4" s="6502"/>
      <c r="BK4" s="6506"/>
      <c r="BL4" s="1900"/>
      <c r="BM4" s="899"/>
      <c r="BN4" s="899"/>
      <c r="BO4" s="899"/>
      <c r="BP4" s="899"/>
      <c r="BQ4" s="899"/>
      <c r="BR4" s="899"/>
      <c r="BS4" s="899"/>
      <c r="BT4" s="899"/>
      <c r="BU4" s="899"/>
      <c r="BV4" s="899"/>
      <c r="BW4" s="899"/>
      <c r="BX4" s="899"/>
      <c r="BY4" s="899"/>
      <c r="BZ4" s="899"/>
      <c r="CA4" s="899"/>
      <c r="CB4" s="899"/>
      <c r="CC4" s="899"/>
      <c r="CD4" s="899"/>
    </row>
    <row r="5" spans="1:83" s="895" customFormat="1" ht="20.149999999999999" customHeight="1" thickBot="1">
      <c r="B5" s="1854" t="s">
        <v>2567</v>
      </c>
      <c r="C5" s="909" t="s">
        <v>2568</v>
      </c>
      <c r="D5" s="910" t="s">
        <v>2101</v>
      </c>
      <c r="E5" s="911" t="s">
        <v>2569</v>
      </c>
      <c r="F5" s="912" t="s">
        <v>2570</v>
      </c>
      <c r="G5" s="912" t="s">
        <v>2571</v>
      </c>
      <c r="H5" s="912" t="s">
        <v>2572</v>
      </c>
      <c r="I5" s="912" t="s">
        <v>2573</v>
      </c>
      <c r="J5" s="912" t="s">
        <v>2574</v>
      </c>
      <c r="K5" s="912" t="s">
        <v>2575</v>
      </c>
      <c r="L5" s="913" t="s">
        <v>2576</v>
      </c>
      <c r="M5" s="913" t="s">
        <v>2577</v>
      </c>
      <c r="N5" s="913" t="s">
        <v>2578</v>
      </c>
      <c r="O5" s="913" t="s">
        <v>2579</v>
      </c>
      <c r="P5" s="912" t="s">
        <v>2580</v>
      </c>
      <c r="Q5" s="912" t="s">
        <v>2581</v>
      </c>
      <c r="R5" s="912" t="s">
        <v>2582</v>
      </c>
      <c r="S5" s="912" t="s">
        <v>2583</v>
      </c>
      <c r="T5" s="914" t="s">
        <v>2584</v>
      </c>
      <c r="U5" s="905" t="s">
        <v>2104</v>
      </c>
      <c r="V5" s="915" t="s">
        <v>2585</v>
      </c>
      <c r="W5" s="911" t="s">
        <v>2569</v>
      </c>
      <c r="X5" s="912" t="s">
        <v>2570</v>
      </c>
      <c r="Y5" s="912" t="s">
        <v>2571</v>
      </c>
      <c r="Z5" s="912" t="s">
        <v>2572</v>
      </c>
      <c r="AA5" s="912" t="s">
        <v>2573</v>
      </c>
      <c r="AB5" s="912" t="s">
        <v>2574</v>
      </c>
      <c r="AC5" s="912" t="s">
        <v>2575</v>
      </c>
      <c r="AD5" s="913" t="s">
        <v>2576</v>
      </c>
      <c r="AE5" s="913" t="s">
        <v>2577</v>
      </c>
      <c r="AF5" s="913" t="s">
        <v>2578</v>
      </c>
      <c r="AG5" s="913" t="s">
        <v>2579</v>
      </c>
      <c r="AH5" s="912" t="s">
        <v>2580</v>
      </c>
      <c r="AI5" s="912" t="s">
        <v>2581</v>
      </c>
      <c r="AJ5" s="912" t="s">
        <v>2582</v>
      </c>
      <c r="AK5" s="912" t="s">
        <v>2583</v>
      </c>
      <c r="AL5" s="914" t="s">
        <v>2584</v>
      </c>
      <c r="AM5" s="2100" t="s">
        <v>2586</v>
      </c>
      <c r="AN5" s="915" t="s">
        <v>2587</v>
      </c>
      <c r="AO5" s="916" t="s">
        <v>2588</v>
      </c>
      <c r="AP5" s="905" t="s">
        <v>2589</v>
      </c>
      <c r="AQ5" s="915" t="s">
        <v>2590</v>
      </c>
      <c r="AR5" s="917" t="s">
        <v>2591</v>
      </c>
      <c r="AS5" s="917" t="s">
        <v>2592</v>
      </c>
      <c r="AT5" s="905" t="s">
        <v>2593</v>
      </c>
      <c r="AU5" s="917" t="s">
        <v>2594</v>
      </c>
      <c r="AV5" s="915" t="s">
        <v>2595</v>
      </c>
      <c r="AW5" s="903" t="s">
        <v>2109</v>
      </c>
      <c r="AX5" s="918" t="s">
        <v>2596</v>
      </c>
      <c r="AY5" s="919" t="s">
        <v>2597</v>
      </c>
      <c r="AZ5" s="6483"/>
      <c r="BA5" s="6472"/>
      <c r="BB5" s="6472"/>
      <c r="BC5" s="6472"/>
      <c r="BD5" s="6474"/>
      <c r="BE5" s="1869" t="s">
        <v>2598</v>
      </c>
      <c r="BF5" s="1740"/>
      <c r="BG5" s="1741"/>
      <c r="BH5" s="907" t="s">
        <v>2599</v>
      </c>
      <c r="BI5" s="900" t="s">
        <v>127</v>
      </c>
      <c r="BJ5" s="6503"/>
      <c r="BK5" s="6507"/>
      <c r="BL5" s="1901" t="s">
        <v>2600</v>
      </c>
      <c r="BM5" s="899"/>
      <c r="BN5" s="899"/>
      <c r="BO5" s="899"/>
      <c r="BP5" s="899"/>
      <c r="BQ5" s="899"/>
      <c r="BR5" s="899"/>
      <c r="BS5" s="899"/>
      <c r="BT5" s="899"/>
      <c r="BU5" s="899"/>
      <c r="BV5" s="899"/>
      <c r="BW5" s="899"/>
      <c r="BX5" s="899"/>
      <c r="BY5" s="899"/>
      <c r="BZ5" s="899"/>
      <c r="CA5" s="899"/>
      <c r="CB5" s="899"/>
      <c r="CC5" s="899"/>
      <c r="CD5" s="899"/>
    </row>
    <row r="6" spans="1:83" s="1078" customFormat="1" ht="23.15" customHeight="1" thickTop="1">
      <c r="A6" s="1078">
        <v>94</v>
      </c>
      <c r="B6" s="1855">
        <v>94</v>
      </c>
      <c r="C6" s="1742" t="s">
        <v>2601</v>
      </c>
      <c r="D6" s="1743" t="s">
        <v>2138</v>
      </c>
      <c r="E6" s="1744" t="s">
        <v>2602</v>
      </c>
      <c r="F6" s="1745" t="s">
        <v>2603</v>
      </c>
      <c r="G6" s="1745" t="s">
        <v>2602</v>
      </c>
      <c r="H6" s="1745" t="s">
        <v>2604</v>
      </c>
      <c r="I6" s="1745" t="s">
        <v>2602</v>
      </c>
      <c r="J6" s="1745" t="s">
        <v>2602</v>
      </c>
      <c r="K6" s="1745" t="s">
        <v>2602</v>
      </c>
      <c r="L6" s="1746" t="s">
        <v>2602</v>
      </c>
      <c r="M6" s="1746" t="s">
        <v>2602</v>
      </c>
      <c r="N6" s="1746" t="s">
        <v>2602</v>
      </c>
      <c r="O6" s="1746" t="s">
        <v>2602</v>
      </c>
      <c r="P6" s="1745" t="s">
        <v>2602</v>
      </c>
      <c r="Q6" s="1745" t="s">
        <v>2602</v>
      </c>
      <c r="R6" s="1745" t="s">
        <v>2602</v>
      </c>
      <c r="S6" s="1745" t="s">
        <v>2605</v>
      </c>
      <c r="T6" s="1747" t="s">
        <v>2602</v>
      </c>
      <c r="U6" s="1586">
        <v>460</v>
      </c>
      <c r="V6" s="1748">
        <v>678</v>
      </c>
      <c r="W6" s="1744" t="s">
        <v>2602</v>
      </c>
      <c r="X6" s="1745" t="s">
        <v>2606</v>
      </c>
      <c r="Y6" s="1745" t="s">
        <v>2602</v>
      </c>
      <c r="Z6" s="1745" t="s">
        <v>2607</v>
      </c>
      <c r="AA6" s="1745" t="s">
        <v>2602</v>
      </c>
      <c r="AB6" s="1745" t="s">
        <v>2602</v>
      </c>
      <c r="AC6" s="1745" t="s">
        <v>2602</v>
      </c>
      <c r="AD6" s="1746" t="s">
        <v>2602</v>
      </c>
      <c r="AE6" s="1746" t="s">
        <v>2602</v>
      </c>
      <c r="AF6" s="1746" t="s">
        <v>2602</v>
      </c>
      <c r="AG6" s="1746" t="s">
        <v>2602</v>
      </c>
      <c r="AH6" s="1745" t="s">
        <v>2602</v>
      </c>
      <c r="AI6" s="1745" t="s">
        <v>2602</v>
      </c>
      <c r="AJ6" s="1745" t="s">
        <v>2602</v>
      </c>
      <c r="AK6" s="1745" t="s">
        <v>2608</v>
      </c>
      <c r="AL6" s="1749" t="s">
        <v>2602</v>
      </c>
      <c r="AM6" s="2072">
        <v>370</v>
      </c>
      <c r="AN6" s="1750">
        <v>539</v>
      </c>
      <c r="AO6" s="1751">
        <v>0.80434782608695654</v>
      </c>
      <c r="AP6" s="1752" t="s">
        <v>2609</v>
      </c>
      <c r="AQ6" s="1748" t="s">
        <v>2610</v>
      </c>
      <c r="AR6" s="1753">
        <v>16</v>
      </c>
      <c r="AS6" s="1753">
        <v>16</v>
      </c>
      <c r="AT6" s="1752" t="s">
        <v>2133</v>
      </c>
      <c r="AU6" s="1753" t="s">
        <v>2133</v>
      </c>
      <c r="AV6" s="1748" t="s">
        <v>2133</v>
      </c>
      <c r="AW6" s="1743" t="s">
        <v>2611</v>
      </c>
      <c r="AX6" s="1743" t="s">
        <v>2612</v>
      </c>
      <c r="AY6" s="1753" t="s">
        <v>2613</v>
      </c>
      <c r="AZ6" s="1754" t="s">
        <v>2129</v>
      </c>
      <c r="BA6" s="1755" t="s">
        <v>2129</v>
      </c>
      <c r="BB6" s="1755" t="s">
        <v>2612</v>
      </c>
      <c r="BC6" s="1755" t="s">
        <v>2133</v>
      </c>
      <c r="BD6" s="1756" t="s">
        <v>2129</v>
      </c>
      <c r="BE6" s="1870" t="s">
        <v>2614</v>
      </c>
      <c r="BF6" s="1757" t="s">
        <v>2615</v>
      </c>
      <c r="BG6" s="1758" t="s">
        <v>2616</v>
      </c>
      <c r="BH6" s="2478">
        <v>370</v>
      </c>
      <c r="BI6" s="1735">
        <v>370</v>
      </c>
      <c r="BJ6" s="6492">
        <v>730</v>
      </c>
      <c r="BK6" s="1887">
        <v>23</v>
      </c>
      <c r="BL6" s="1759" t="s">
        <v>2617</v>
      </c>
      <c r="BM6" s="1550"/>
      <c r="BN6" s="1550"/>
      <c r="BO6" s="1550"/>
      <c r="BP6" s="1550"/>
      <c r="BQ6" s="1550"/>
      <c r="BR6" s="1550"/>
      <c r="BS6" s="1550"/>
      <c r="BT6" s="1550"/>
      <c r="BU6" s="1550"/>
      <c r="BV6" s="1550"/>
      <c r="BW6" s="1550"/>
      <c r="BX6" s="1550"/>
      <c r="BY6" s="1550"/>
      <c r="BZ6" s="1550"/>
      <c r="CA6" s="1550"/>
      <c r="CB6" s="1550"/>
      <c r="CC6" s="1550"/>
      <c r="CD6" s="1550"/>
      <c r="CE6" s="1550"/>
    </row>
    <row r="7" spans="1:83" s="1078" customFormat="1" ht="23.15" customHeight="1">
      <c r="A7" s="1078">
        <v>1021</v>
      </c>
      <c r="B7" s="1856">
        <v>1021</v>
      </c>
      <c r="C7" s="1760" t="s">
        <v>2618</v>
      </c>
      <c r="D7" s="1761" t="s">
        <v>2138</v>
      </c>
      <c r="E7" s="1762">
        <v>28</v>
      </c>
      <c r="F7" s="1763">
        <v>233</v>
      </c>
      <c r="G7" s="1764"/>
      <c r="H7" s="1765">
        <v>0.21016949152542372</v>
      </c>
      <c r="I7" s="1766" t="s">
        <v>2602</v>
      </c>
      <c r="J7" s="1767" t="s">
        <v>2619</v>
      </c>
      <c r="K7" s="1767" t="s">
        <v>2602</v>
      </c>
      <c r="L7" s="1767" t="s">
        <v>2620</v>
      </c>
      <c r="M7" s="1767" t="s">
        <v>2602</v>
      </c>
      <c r="N7" s="1767" t="s">
        <v>2602</v>
      </c>
      <c r="O7" s="1767" t="s">
        <v>2602</v>
      </c>
      <c r="P7" s="1768" t="s">
        <v>2602</v>
      </c>
      <c r="Q7" s="1768" t="s">
        <v>2602</v>
      </c>
      <c r="R7" s="1768" t="s">
        <v>2602</v>
      </c>
      <c r="S7" s="1768" t="s">
        <v>2602</v>
      </c>
      <c r="T7" s="1769" t="s">
        <v>2602</v>
      </c>
      <c r="U7" s="2996">
        <v>360</v>
      </c>
      <c r="V7" s="1770">
        <v>500</v>
      </c>
      <c r="W7" s="1766" t="s">
        <v>2602</v>
      </c>
      <c r="X7" s="1767" t="s">
        <v>2621</v>
      </c>
      <c r="Y7" s="1767" t="s">
        <v>2602</v>
      </c>
      <c r="Z7" s="1767" t="s">
        <v>2622</v>
      </c>
      <c r="AA7" s="1767" t="s">
        <v>2602</v>
      </c>
      <c r="AB7" s="1767" t="s">
        <v>2602</v>
      </c>
      <c r="AC7" s="1767" t="s">
        <v>2602</v>
      </c>
      <c r="AD7" s="1768" t="s">
        <v>2602</v>
      </c>
      <c r="AE7" s="1768" t="s">
        <v>2602</v>
      </c>
      <c r="AF7" s="1768" t="s">
        <v>2602</v>
      </c>
      <c r="AG7" s="1768" t="s">
        <v>2602</v>
      </c>
      <c r="AH7" s="1767" t="s">
        <v>2602</v>
      </c>
      <c r="AI7" s="1767" t="s">
        <v>2602</v>
      </c>
      <c r="AJ7" s="1767" t="s">
        <v>2602</v>
      </c>
      <c r="AK7" s="1767" t="s">
        <v>2602</v>
      </c>
      <c r="AL7" s="1771" t="s">
        <v>2623</v>
      </c>
      <c r="AM7" s="2073">
        <v>215</v>
      </c>
      <c r="AN7" s="1772">
        <v>295</v>
      </c>
      <c r="AO7" s="1773">
        <v>0.59722222222222221</v>
      </c>
      <c r="AP7" s="1762" t="s">
        <v>2609</v>
      </c>
      <c r="AQ7" s="1774" t="s">
        <v>2610</v>
      </c>
      <c r="AR7" s="1775">
        <v>7</v>
      </c>
      <c r="AS7" s="1775">
        <v>7</v>
      </c>
      <c r="AT7" s="1762" t="s">
        <v>2133</v>
      </c>
      <c r="AU7" s="1775" t="s">
        <v>2133</v>
      </c>
      <c r="AV7" s="1774" t="s">
        <v>2133</v>
      </c>
      <c r="AW7" s="1761" t="s">
        <v>2624</v>
      </c>
      <c r="AX7" s="1761" t="s">
        <v>2612</v>
      </c>
      <c r="AY7" s="1775" t="s">
        <v>2133</v>
      </c>
      <c r="AZ7" s="1776" t="s">
        <v>2129</v>
      </c>
      <c r="BA7" s="1777" t="s">
        <v>2129</v>
      </c>
      <c r="BB7" s="1777" t="s">
        <v>2129</v>
      </c>
      <c r="BC7" s="1777" t="s">
        <v>2133</v>
      </c>
      <c r="BD7" s="1778" t="s">
        <v>2129</v>
      </c>
      <c r="BE7" s="1871" t="s">
        <v>2614</v>
      </c>
      <c r="BF7" s="1779" t="s">
        <v>2625</v>
      </c>
      <c r="BG7" s="1061" t="s">
        <v>2626</v>
      </c>
      <c r="BH7" s="2636">
        <v>360</v>
      </c>
      <c r="BI7" s="1791">
        <v>360</v>
      </c>
      <c r="BJ7" s="6493"/>
      <c r="BK7" s="1888">
        <v>20</v>
      </c>
      <c r="BL7" s="1780" t="s">
        <v>2627</v>
      </c>
      <c r="BM7" s="1550"/>
      <c r="BN7" s="1550"/>
      <c r="BO7" s="1550"/>
      <c r="BP7" s="1550"/>
      <c r="BQ7" s="1550"/>
      <c r="BR7" s="1550"/>
      <c r="BS7" s="1550"/>
      <c r="BT7" s="1550"/>
      <c r="BU7" s="1550"/>
      <c r="BV7" s="1550"/>
      <c r="BW7" s="1550"/>
      <c r="BX7" s="1550"/>
      <c r="BY7" s="1550"/>
      <c r="BZ7" s="1550"/>
      <c r="CA7" s="1550"/>
      <c r="CB7" s="1550"/>
      <c r="CC7" s="1550"/>
      <c r="CD7" s="1550"/>
      <c r="CE7" s="1550"/>
    </row>
    <row r="8" spans="1:83" s="1078" customFormat="1" ht="23.15" customHeight="1">
      <c r="A8" s="1078">
        <v>90</v>
      </c>
      <c r="B8" s="1865">
        <v>90</v>
      </c>
      <c r="C8" s="1098" t="s">
        <v>2628</v>
      </c>
      <c r="D8" s="1099"/>
      <c r="E8" s="1100"/>
      <c r="F8" s="2429"/>
      <c r="G8" s="2429"/>
      <c r="H8" s="1635"/>
      <c r="I8" s="3017"/>
      <c r="J8" s="1637"/>
      <c r="K8" s="1637"/>
      <c r="L8" s="1637"/>
      <c r="M8" s="1637"/>
      <c r="N8" s="1637"/>
      <c r="O8" s="1637"/>
      <c r="P8" s="1638"/>
      <c r="Q8" s="1638"/>
      <c r="R8" s="1638"/>
      <c r="S8" s="1638"/>
      <c r="T8" s="3018"/>
      <c r="U8" s="1133"/>
      <c r="V8" s="3019"/>
      <c r="W8" s="1636"/>
      <c r="X8" s="1637"/>
      <c r="Y8" s="1637"/>
      <c r="Z8" s="1637"/>
      <c r="AA8" s="1637"/>
      <c r="AB8" s="1637"/>
      <c r="AC8" s="1637"/>
      <c r="AD8" s="1638"/>
      <c r="AE8" s="1638"/>
      <c r="AF8" s="1638"/>
      <c r="AG8" s="1638"/>
      <c r="AH8" s="1637"/>
      <c r="AI8" s="1637"/>
      <c r="AJ8" s="1637"/>
      <c r="AK8" s="1637"/>
      <c r="AL8" s="3018"/>
      <c r="AM8" s="3020"/>
      <c r="AN8" s="3019"/>
      <c r="AO8" s="1635"/>
      <c r="AP8" s="1100"/>
      <c r="AQ8" s="1641"/>
      <c r="AR8" s="1133"/>
      <c r="AS8" s="1133"/>
      <c r="AT8" s="1100"/>
      <c r="AU8" s="1133"/>
      <c r="AV8" s="1641"/>
      <c r="AW8" s="1099"/>
      <c r="AX8" s="1099"/>
      <c r="AY8" s="1133"/>
      <c r="AZ8" s="1643"/>
      <c r="BA8" s="1644"/>
      <c r="BB8" s="1644"/>
      <c r="BC8" s="1644"/>
      <c r="BD8" s="1645"/>
      <c r="BE8" s="1881"/>
      <c r="BF8" s="1787"/>
      <c r="BG8" s="1027"/>
      <c r="BH8" s="1791">
        <v>170</v>
      </c>
      <c r="BI8" s="1791">
        <v>170</v>
      </c>
      <c r="BJ8" s="1791">
        <v>170</v>
      </c>
      <c r="BK8" s="1888">
        <v>20</v>
      </c>
      <c r="BL8" s="3021" t="s">
        <v>2629</v>
      </c>
      <c r="BM8" s="1550"/>
      <c r="BN8" s="1550"/>
      <c r="BO8" s="1550"/>
      <c r="BP8" s="1550"/>
      <c r="BQ8" s="1550"/>
      <c r="BR8" s="1550"/>
      <c r="BS8" s="1550"/>
      <c r="BT8" s="1550"/>
      <c r="BU8" s="1550"/>
      <c r="BV8" s="1550"/>
      <c r="BW8" s="1550"/>
      <c r="BX8" s="1550"/>
      <c r="BY8" s="1550"/>
      <c r="BZ8" s="1550"/>
      <c r="CA8" s="1550"/>
      <c r="CB8" s="1550"/>
      <c r="CC8" s="1550"/>
      <c r="CD8" s="1550"/>
      <c r="CE8" s="1550"/>
    </row>
    <row r="9" spans="1:83" s="1078" customFormat="1" ht="23.15" customHeight="1" thickBot="1">
      <c r="A9" s="1078">
        <v>40</v>
      </c>
      <c r="B9" s="2997">
        <v>40</v>
      </c>
      <c r="C9" s="2998" t="s">
        <v>2630</v>
      </c>
      <c r="D9" s="2999" t="s">
        <v>2138</v>
      </c>
      <c r="E9" s="3000" t="s">
        <v>2602</v>
      </c>
      <c r="F9" s="3001" t="s">
        <v>2631</v>
      </c>
      <c r="G9" s="3001" t="s">
        <v>2602</v>
      </c>
      <c r="H9" s="3001" t="s">
        <v>2632</v>
      </c>
      <c r="I9" s="3001" t="s">
        <v>2602</v>
      </c>
      <c r="J9" s="3001" t="s">
        <v>2633</v>
      </c>
      <c r="K9" s="3001" t="s">
        <v>2634</v>
      </c>
      <c r="L9" s="3002" t="s">
        <v>2602</v>
      </c>
      <c r="M9" s="3002" t="s">
        <v>2602</v>
      </c>
      <c r="N9" s="3002" t="s">
        <v>2602</v>
      </c>
      <c r="O9" s="3002" t="s">
        <v>2635</v>
      </c>
      <c r="P9" s="3001" t="s">
        <v>2602</v>
      </c>
      <c r="Q9" s="3001" t="s">
        <v>2602</v>
      </c>
      <c r="R9" s="3001" t="s">
        <v>2636</v>
      </c>
      <c r="S9" s="3001" t="s">
        <v>2605</v>
      </c>
      <c r="T9" s="3003" t="s">
        <v>2602</v>
      </c>
      <c r="U9" s="1551">
        <v>774</v>
      </c>
      <c r="V9" s="3004">
        <v>1123</v>
      </c>
      <c r="W9" s="3000" t="s">
        <v>2602</v>
      </c>
      <c r="X9" s="3001" t="s">
        <v>2637</v>
      </c>
      <c r="Y9" s="3001" t="s">
        <v>2602</v>
      </c>
      <c r="Z9" s="3001" t="s">
        <v>2638</v>
      </c>
      <c r="AA9" s="3001" t="s">
        <v>2602</v>
      </c>
      <c r="AB9" s="3001" t="s">
        <v>2602</v>
      </c>
      <c r="AC9" s="3001" t="s">
        <v>2602</v>
      </c>
      <c r="AD9" s="3002" t="s">
        <v>2602</v>
      </c>
      <c r="AE9" s="3002" t="s">
        <v>2602</v>
      </c>
      <c r="AF9" s="3002" t="s">
        <v>2602</v>
      </c>
      <c r="AG9" s="3002" t="s">
        <v>2602</v>
      </c>
      <c r="AH9" s="3001" t="s">
        <v>2602</v>
      </c>
      <c r="AI9" s="3001" t="s">
        <v>2602</v>
      </c>
      <c r="AJ9" s="3001" t="s">
        <v>2602</v>
      </c>
      <c r="AK9" s="3001" t="s">
        <v>2605</v>
      </c>
      <c r="AL9" s="3005" t="s">
        <v>2602</v>
      </c>
      <c r="AM9" s="3006">
        <v>500</v>
      </c>
      <c r="AN9" s="3004">
        <v>710</v>
      </c>
      <c r="AO9" s="3007">
        <v>0.64599483204134367</v>
      </c>
      <c r="AP9" s="3008" t="s">
        <v>2609</v>
      </c>
      <c r="AQ9" s="3004" t="s">
        <v>2610</v>
      </c>
      <c r="AR9" s="3009">
        <v>25</v>
      </c>
      <c r="AS9" s="3009">
        <v>25</v>
      </c>
      <c r="AT9" s="3008" t="s">
        <v>2133</v>
      </c>
      <c r="AU9" s="3009" t="s">
        <v>2133</v>
      </c>
      <c r="AV9" s="3004" t="s">
        <v>2133</v>
      </c>
      <c r="AW9" s="2999" t="s">
        <v>2639</v>
      </c>
      <c r="AX9" s="2999" t="s">
        <v>2612</v>
      </c>
      <c r="AY9" s="3009" t="s">
        <v>2613</v>
      </c>
      <c r="AZ9" s="3010" t="s">
        <v>2129</v>
      </c>
      <c r="BA9" s="3011" t="s">
        <v>2133</v>
      </c>
      <c r="BB9" s="3011" t="s">
        <v>2133</v>
      </c>
      <c r="BC9" s="3011" t="s">
        <v>2133</v>
      </c>
      <c r="BD9" s="3012" t="s">
        <v>2129</v>
      </c>
      <c r="BE9" s="3013" t="s">
        <v>2614</v>
      </c>
      <c r="BF9" s="3014" t="s">
        <v>2640</v>
      </c>
      <c r="BG9" s="3015" t="s">
        <v>2641</v>
      </c>
      <c r="BH9" s="3022">
        <v>110</v>
      </c>
      <c r="BI9" s="1791">
        <v>400</v>
      </c>
      <c r="BJ9" s="6494">
        <v>400</v>
      </c>
      <c r="BK9" s="1888">
        <v>20</v>
      </c>
      <c r="BL9" s="3016" t="s">
        <v>2642</v>
      </c>
      <c r="BM9" s="1550"/>
      <c r="BN9" s="1550"/>
      <c r="BO9" s="1550"/>
      <c r="BP9" s="1550"/>
      <c r="BQ9" s="1550"/>
      <c r="BR9" s="1550"/>
      <c r="BS9" s="1550"/>
      <c r="BT9" s="1550"/>
      <c r="BU9" s="1550"/>
      <c r="BV9" s="1550"/>
      <c r="BW9" s="1550"/>
      <c r="BX9" s="1550"/>
      <c r="BY9" s="1550"/>
      <c r="BZ9" s="1550"/>
      <c r="CA9" s="1550"/>
      <c r="CB9" s="1550"/>
      <c r="CC9" s="1550"/>
      <c r="CD9" s="1550"/>
      <c r="CE9" s="1550"/>
    </row>
    <row r="10" spans="1:83" s="1078" customFormat="1" ht="23.15" customHeight="1" thickTop="1">
      <c r="A10" s="1078">
        <v>40</v>
      </c>
      <c r="B10" s="2246"/>
      <c r="C10" s="2247" t="s">
        <v>2630</v>
      </c>
      <c r="D10" s="1554"/>
      <c r="E10" s="1555"/>
      <c r="F10" s="1556"/>
      <c r="G10" s="1556"/>
      <c r="H10" s="1556"/>
      <c r="I10" s="1556"/>
      <c r="J10" s="1556"/>
      <c r="K10" s="1556"/>
      <c r="L10" s="1557"/>
      <c r="M10" s="1557"/>
      <c r="N10" s="1557"/>
      <c r="O10" s="1557"/>
      <c r="P10" s="1556"/>
      <c r="Q10" s="1556"/>
      <c r="R10" s="1556"/>
      <c r="S10" s="1556"/>
      <c r="T10" s="1558"/>
      <c r="U10" s="1559"/>
      <c r="V10" s="1560"/>
      <c r="W10" s="1555"/>
      <c r="X10" s="1556"/>
      <c r="Y10" s="1556"/>
      <c r="Z10" s="1556"/>
      <c r="AA10" s="1556"/>
      <c r="AB10" s="1556"/>
      <c r="AC10" s="1556"/>
      <c r="AD10" s="1557"/>
      <c r="AE10" s="1557"/>
      <c r="AF10" s="1557"/>
      <c r="AG10" s="1557"/>
      <c r="AH10" s="1556"/>
      <c r="AI10" s="1556"/>
      <c r="AJ10" s="1556"/>
      <c r="AK10" s="1556"/>
      <c r="AL10" s="1561"/>
      <c r="AM10" s="2075"/>
      <c r="AN10" s="1560"/>
      <c r="AO10" s="1562"/>
      <c r="AP10" s="1563"/>
      <c r="AQ10" s="1560"/>
      <c r="AR10" s="1564"/>
      <c r="AS10" s="1564"/>
      <c r="AT10" s="1563"/>
      <c r="AU10" s="1564"/>
      <c r="AV10" s="1560"/>
      <c r="AW10" s="1554"/>
      <c r="AX10" s="1554"/>
      <c r="AY10" s="1564"/>
      <c r="AZ10" s="1565"/>
      <c r="BA10" s="1566"/>
      <c r="BB10" s="1566"/>
      <c r="BC10" s="1566"/>
      <c r="BD10" s="1567"/>
      <c r="BE10" s="1872" t="s">
        <v>2614</v>
      </c>
      <c r="BF10" s="1552" t="s">
        <v>2643</v>
      </c>
      <c r="BG10" s="1553" t="s">
        <v>2641</v>
      </c>
      <c r="BH10" s="2637">
        <v>166</v>
      </c>
      <c r="BI10" s="1736"/>
      <c r="BJ10" s="6493"/>
      <c r="BK10" s="1889"/>
      <c r="BL10" s="1568"/>
      <c r="BM10" s="1550"/>
      <c r="BN10" s="1550"/>
      <c r="BO10" s="1550"/>
      <c r="BP10" s="1550"/>
      <c r="BQ10" s="1550"/>
      <c r="BR10" s="1550"/>
      <c r="BS10" s="1550"/>
      <c r="BT10" s="1550"/>
      <c r="BU10" s="1550"/>
      <c r="BV10" s="1550"/>
      <c r="BW10" s="1550"/>
      <c r="BX10" s="1550"/>
      <c r="BY10" s="1550"/>
      <c r="BZ10" s="1550"/>
      <c r="CA10" s="1550"/>
      <c r="CB10" s="1550"/>
      <c r="CC10" s="1550"/>
      <c r="CD10" s="1550"/>
      <c r="CE10" s="1550"/>
    </row>
    <row r="11" spans="1:83" s="1078" customFormat="1" ht="23.15" customHeight="1">
      <c r="A11" s="1078">
        <v>40</v>
      </c>
      <c r="B11" s="2246"/>
      <c r="C11" s="2247" t="s">
        <v>2630</v>
      </c>
      <c r="D11" s="1554"/>
      <c r="E11" s="1555"/>
      <c r="F11" s="1556"/>
      <c r="G11" s="1556"/>
      <c r="H11" s="1556"/>
      <c r="I11" s="1556"/>
      <c r="J11" s="1556"/>
      <c r="K11" s="1556"/>
      <c r="L11" s="1557"/>
      <c r="M11" s="1557"/>
      <c r="N11" s="1557"/>
      <c r="O11" s="1557"/>
      <c r="P11" s="1556"/>
      <c r="Q11" s="1556"/>
      <c r="R11" s="1556"/>
      <c r="S11" s="1556"/>
      <c r="T11" s="1561"/>
      <c r="U11" s="1559"/>
      <c r="V11" s="1560"/>
      <c r="W11" s="1555"/>
      <c r="X11" s="1556"/>
      <c r="Y11" s="1556"/>
      <c r="Z11" s="1556"/>
      <c r="AA11" s="1556"/>
      <c r="AB11" s="1556"/>
      <c r="AC11" s="1556"/>
      <c r="AD11" s="1557"/>
      <c r="AE11" s="1557"/>
      <c r="AF11" s="1557"/>
      <c r="AG11" s="1557"/>
      <c r="AH11" s="1556"/>
      <c r="AI11" s="1556"/>
      <c r="AJ11" s="1556"/>
      <c r="AK11" s="1556"/>
      <c r="AL11" s="1558"/>
      <c r="AM11" s="2076"/>
      <c r="AN11" s="1560"/>
      <c r="AO11" s="1562"/>
      <c r="AP11" s="1563"/>
      <c r="AQ11" s="1560"/>
      <c r="AR11" s="1564"/>
      <c r="AS11" s="1564"/>
      <c r="AT11" s="1563"/>
      <c r="AU11" s="1564"/>
      <c r="AV11" s="1560"/>
      <c r="AW11" s="1554"/>
      <c r="AX11" s="1554"/>
      <c r="AY11" s="1564"/>
      <c r="AZ11" s="1565"/>
      <c r="BA11" s="1566"/>
      <c r="BB11" s="1566"/>
      <c r="BC11" s="1566"/>
      <c r="BD11" s="1567"/>
      <c r="BE11" s="1872" t="s">
        <v>2614</v>
      </c>
      <c r="BF11" s="1552" t="s">
        <v>2644</v>
      </c>
      <c r="BG11" s="1553" t="s">
        <v>2641</v>
      </c>
      <c r="BH11" s="2637">
        <v>43</v>
      </c>
      <c r="BI11" s="1736"/>
      <c r="BJ11" s="6493"/>
      <c r="BK11" s="1889"/>
      <c r="BL11" s="1568" t="s">
        <v>2645</v>
      </c>
      <c r="BM11" s="1550"/>
      <c r="BN11" s="1550"/>
      <c r="BO11" s="1550"/>
      <c r="BP11" s="1550"/>
      <c r="BQ11" s="1550"/>
      <c r="BR11" s="1550"/>
      <c r="BS11" s="1550"/>
      <c r="BT11" s="1550"/>
      <c r="BU11" s="1550"/>
      <c r="BV11" s="1550"/>
      <c r="BW11" s="1550"/>
      <c r="BX11" s="1550"/>
      <c r="BY11" s="1550"/>
      <c r="BZ11" s="1550"/>
      <c r="CA11" s="1550"/>
      <c r="CB11" s="1550"/>
      <c r="CC11" s="1550"/>
      <c r="CD11" s="1550"/>
      <c r="CE11" s="1550"/>
    </row>
    <row r="12" spans="1:83" s="1078" customFormat="1" ht="23.15" customHeight="1" thickBot="1">
      <c r="A12" s="1078">
        <v>40</v>
      </c>
      <c r="B12" s="2248"/>
      <c r="C12" s="2249" t="s">
        <v>2630</v>
      </c>
      <c r="D12" s="1571"/>
      <c r="E12" s="1572"/>
      <c r="F12" s="1573"/>
      <c r="G12" s="1573"/>
      <c r="H12" s="1573"/>
      <c r="I12" s="1573"/>
      <c r="J12" s="1573"/>
      <c r="K12" s="1573"/>
      <c r="L12" s="1574"/>
      <c r="M12" s="1574"/>
      <c r="N12" s="1574"/>
      <c r="O12" s="1574"/>
      <c r="P12" s="1573"/>
      <c r="Q12" s="1573"/>
      <c r="R12" s="1573"/>
      <c r="S12" s="1573"/>
      <c r="T12" s="1575"/>
      <c r="U12" s="1576"/>
      <c r="V12" s="1577"/>
      <c r="W12" s="1572"/>
      <c r="X12" s="1573"/>
      <c r="Y12" s="1573"/>
      <c r="Z12" s="1573"/>
      <c r="AA12" s="1573"/>
      <c r="AB12" s="1573"/>
      <c r="AC12" s="1573"/>
      <c r="AD12" s="1574"/>
      <c r="AE12" s="1574"/>
      <c r="AF12" s="1574"/>
      <c r="AG12" s="1574"/>
      <c r="AH12" s="1573"/>
      <c r="AI12" s="1573"/>
      <c r="AJ12" s="1573"/>
      <c r="AK12" s="1573"/>
      <c r="AL12" s="1578"/>
      <c r="AM12" s="2077"/>
      <c r="AN12" s="1577"/>
      <c r="AO12" s="1579"/>
      <c r="AP12" s="1580"/>
      <c r="AQ12" s="1577"/>
      <c r="AR12" s="1581"/>
      <c r="AS12" s="1581"/>
      <c r="AT12" s="1580"/>
      <c r="AU12" s="1581"/>
      <c r="AV12" s="1577"/>
      <c r="AW12" s="1571"/>
      <c r="AX12" s="1571"/>
      <c r="AY12" s="1581"/>
      <c r="AZ12" s="1582"/>
      <c r="BA12" s="1583"/>
      <c r="BB12" s="1583"/>
      <c r="BC12" s="1583"/>
      <c r="BD12" s="1584"/>
      <c r="BE12" s="1873" t="s">
        <v>2614</v>
      </c>
      <c r="BF12" s="1569" t="s">
        <v>2646</v>
      </c>
      <c r="BG12" s="1570" t="s">
        <v>2641</v>
      </c>
      <c r="BH12" s="2638">
        <v>181</v>
      </c>
      <c r="BI12" s="1792"/>
      <c r="BJ12" s="6495"/>
      <c r="BK12" s="1890"/>
      <c r="BL12" s="1585"/>
      <c r="BM12" s="1550"/>
      <c r="BN12" s="1550"/>
      <c r="BO12" s="1550"/>
      <c r="BP12" s="1550"/>
      <c r="BQ12" s="1550"/>
      <c r="BR12" s="1550"/>
      <c r="BS12" s="1550"/>
      <c r="BT12" s="1550"/>
      <c r="BU12" s="1550"/>
      <c r="BV12" s="1550"/>
      <c r="BW12" s="1550"/>
      <c r="BX12" s="1550"/>
      <c r="BY12" s="1550"/>
      <c r="BZ12" s="1550"/>
      <c r="CA12" s="1550"/>
      <c r="CB12" s="1550"/>
      <c r="CC12" s="1550"/>
      <c r="CD12" s="1550"/>
      <c r="CE12" s="1550"/>
    </row>
    <row r="13" spans="1:83" s="1078" customFormat="1" ht="23.15" customHeight="1" thickTop="1">
      <c r="A13" s="1078" t="s">
        <v>2647</v>
      </c>
      <c r="B13" s="2994"/>
      <c r="C13" s="3224"/>
      <c r="D13" s="1650" t="s">
        <v>2138</v>
      </c>
      <c r="E13" s="1670" t="s">
        <v>2602</v>
      </c>
      <c r="F13" s="1671" t="s">
        <v>2602</v>
      </c>
      <c r="G13" s="1671" t="s">
        <v>2602</v>
      </c>
      <c r="H13" s="1671" t="s">
        <v>2602</v>
      </c>
      <c r="I13" s="1671" t="s">
        <v>2602</v>
      </c>
      <c r="J13" s="1671" t="s">
        <v>2602</v>
      </c>
      <c r="K13" s="1671" t="s">
        <v>2602</v>
      </c>
      <c r="L13" s="1672" t="s">
        <v>2602</v>
      </c>
      <c r="M13" s="1672" t="s">
        <v>2602</v>
      </c>
      <c r="N13" s="1672" t="s">
        <v>2602</v>
      </c>
      <c r="O13" s="1672" t="s">
        <v>2602</v>
      </c>
      <c r="P13" s="1671" t="s">
        <v>2602</v>
      </c>
      <c r="Q13" s="1671" t="s">
        <v>2602</v>
      </c>
      <c r="R13" s="1671" t="s">
        <v>2602</v>
      </c>
      <c r="S13" s="1671" t="s">
        <v>2602</v>
      </c>
      <c r="T13" s="1676" t="s">
        <v>2602</v>
      </c>
      <c r="U13" s="1781">
        <v>250</v>
      </c>
      <c r="V13" s="1675" t="s">
        <v>2648</v>
      </c>
      <c r="W13" s="1670" t="s">
        <v>2602</v>
      </c>
      <c r="X13" s="1671" t="s">
        <v>2602</v>
      </c>
      <c r="Y13" s="1671" t="s">
        <v>2602</v>
      </c>
      <c r="Z13" s="1671" t="s">
        <v>2602</v>
      </c>
      <c r="AA13" s="1671" t="s">
        <v>2602</v>
      </c>
      <c r="AB13" s="1671" t="s">
        <v>2602</v>
      </c>
      <c r="AC13" s="1671" t="s">
        <v>2602</v>
      </c>
      <c r="AD13" s="1672" t="s">
        <v>2602</v>
      </c>
      <c r="AE13" s="1672" t="s">
        <v>2602</v>
      </c>
      <c r="AF13" s="1672" t="s">
        <v>2602</v>
      </c>
      <c r="AG13" s="1672" t="s">
        <v>2602</v>
      </c>
      <c r="AH13" s="1671" t="s">
        <v>2602</v>
      </c>
      <c r="AI13" s="1671" t="s">
        <v>2602</v>
      </c>
      <c r="AJ13" s="1671" t="s">
        <v>2602</v>
      </c>
      <c r="AK13" s="1671" t="s">
        <v>2602</v>
      </c>
      <c r="AL13" s="1673" t="s">
        <v>2602</v>
      </c>
      <c r="AM13" s="2078">
        <v>100</v>
      </c>
      <c r="AN13" s="1675" t="s">
        <v>2648</v>
      </c>
      <c r="AO13" s="1677">
        <v>1</v>
      </c>
      <c r="AP13" s="1678" t="s">
        <v>2648</v>
      </c>
      <c r="AQ13" s="1675" t="s">
        <v>2648</v>
      </c>
      <c r="AR13" s="1679" t="s">
        <v>2648</v>
      </c>
      <c r="AS13" s="1679" t="s">
        <v>2648</v>
      </c>
      <c r="AT13" s="1678" t="s">
        <v>2648</v>
      </c>
      <c r="AU13" s="1679" t="s">
        <v>2648</v>
      </c>
      <c r="AV13" s="1675" t="s">
        <v>2648</v>
      </c>
      <c r="AW13" s="1650" t="s">
        <v>2648</v>
      </c>
      <c r="AX13" s="1650" t="s">
        <v>2648</v>
      </c>
      <c r="AY13" s="1679" t="s">
        <v>2613</v>
      </c>
      <c r="AZ13" s="1680" t="s">
        <v>2129</v>
      </c>
      <c r="BA13" s="1681" t="s">
        <v>2129</v>
      </c>
      <c r="BB13" s="1681" t="s">
        <v>2129</v>
      </c>
      <c r="BC13" s="1681" t="s">
        <v>2129</v>
      </c>
      <c r="BD13" s="1682" t="s">
        <v>2129</v>
      </c>
      <c r="BE13" s="1874" t="s">
        <v>2614</v>
      </c>
      <c r="BF13" s="1782" t="s">
        <v>2646</v>
      </c>
      <c r="BG13" s="1783" t="s">
        <v>2649</v>
      </c>
      <c r="BH13" s="2639">
        <v>225</v>
      </c>
      <c r="BI13" s="1793">
        <v>0</v>
      </c>
      <c r="BJ13" s="6492">
        <v>0</v>
      </c>
      <c r="BK13" s="1891">
        <v>20</v>
      </c>
      <c r="BL13" s="1683" t="s">
        <v>2650</v>
      </c>
      <c r="BM13" s="1550"/>
      <c r="BN13" s="1550"/>
      <c r="BO13" s="1550"/>
      <c r="BP13" s="1550"/>
      <c r="BQ13" s="1550"/>
      <c r="BR13" s="1550"/>
      <c r="BS13" s="1550"/>
      <c r="BT13" s="1550"/>
      <c r="BU13" s="1550"/>
      <c r="BV13" s="1550"/>
      <c r="BW13" s="1550"/>
      <c r="BX13" s="1550"/>
      <c r="BY13" s="1550"/>
      <c r="BZ13" s="1550"/>
      <c r="CA13" s="1550"/>
      <c r="CB13" s="1550"/>
      <c r="CC13" s="1550"/>
      <c r="CD13" s="1550"/>
      <c r="CE13" s="1550"/>
    </row>
    <row r="14" spans="1:83" s="1078" customFormat="1" ht="23.15" customHeight="1" thickBot="1">
      <c r="A14" s="1078" t="s">
        <v>2647</v>
      </c>
      <c r="B14" s="2995"/>
      <c r="C14" s="3225"/>
      <c r="D14" s="1665" t="s">
        <v>2138</v>
      </c>
      <c r="E14" s="1655" t="s">
        <v>2602</v>
      </c>
      <c r="F14" s="1656" t="s">
        <v>2602</v>
      </c>
      <c r="G14" s="1656" t="s">
        <v>2602</v>
      </c>
      <c r="H14" s="1656" t="s">
        <v>2602</v>
      </c>
      <c r="I14" s="1656" t="s">
        <v>2602</v>
      </c>
      <c r="J14" s="1656" t="s">
        <v>2602</v>
      </c>
      <c r="K14" s="1656" t="s">
        <v>2602</v>
      </c>
      <c r="L14" s="1657" t="s">
        <v>2602</v>
      </c>
      <c r="M14" s="1657" t="s">
        <v>2602</v>
      </c>
      <c r="N14" s="1657" t="s">
        <v>2602</v>
      </c>
      <c r="O14" s="1657" t="s">
        <v>2602</v>
      </c>
      <c r="P14" s="1656" t="s">
        <v>2602</v>
      </c>
      <c r="Q14" s="1656" t="s">
        <v>2602</v>
      </c>
      <c r="R14" s="1656" t="s">
        <v>2602</v>
      </c>
      <c r="S14" s="1656" t="s">
        <v>2602</v>
      </c>
      <c r="T14" s="1661" t="s">
        <v>2602</v>
      </c>
      <c r="U14" s="1784">
        <v>170</v>
      </c>
      <c r="V14" s="1660" t="s">
        <v>2648</v>
      </c>
      <c r="W14" s="1655" t="s">
        <v>2602</v>
      </c>
      <c r="X14" s="1656" t="s">
        <v>2602</v>
      </c>
      <c r="Y14" s="1656" t="s">
        <v>2602</v>
      </c>
      <c r="Z14" s="1656" t="s">
        <v>2602</v>
      </c>
      <c r="AA14" s="1656" t="s">
        <v>2602</v>
      </c>
      <c r="AB14" s="1656" t="s">
        <v>2602</v>
      </c>
      <c r="AC14" s="1656" t="s">
        <v>2602</v>
      </c>
      <c r="AD14" s="1657" t="s">
        <v>2602</v>
      </c>
      <c r="AE14" s="1657" t="s">
        <v>2602</v>
      </c>
      <c r="AF14" s="1657" t="s">
        <v>2602</v>
      </c>
      <c r="AG14" s="1657" t="s">
        <v>2602</v>
      </c>
      <c r="AH14" s="1656" t="s">
        <v>2602</v>
      </c>
      <c r="AI14" s="1656" t="s">
        <v>2602</v>
      </c>
      <c r="AJ14" s="1656" t="s">
        <v>2602</v>
      </c>
      <c r="AK14" s="1656" t="s">
        <v>2602</v>
      </c>
      <c r="AL14" s="1658" t="s">
        <v>2602</v>
      </c>
      <c r="AM14" s="2079">
        <v>100</v>
      </c>
      <c r="AN14" s="1660" t="s">
        <v>2648</v>
      </c>
      <c r="AO14" s="1663">
        <v>0.58823529411764708</v>
      </c>
      <c r="AP14" s="1651" t="s">
        <v>2648</v>
      </c>
      <c r="AQ14" s="1660" t="s">
        <v>2648</v>
      </c>
      <c r="AR14" s="1664" t="s">
        <v>2648</v>
      </c>
      <c r="AS14" s="1664" t="s">
        <v>2648</v>
      </c>
      <c r="AT14" s="1651" t="s">
        <v>2648</v>
      </c>
      <c r="AU14" s="1664" t="s">
        <v>2648</v>
      </c>
      <c r="AV14" s="1660" t="s">
        <v>2648</v>
      </c>
      <c r="AW14" s="1665" t="s">
        <v>2648</v>
      </c>
      <c r="AX14" s="1665" t="s">
        <v>2648</v>
      </c>
      <c r="AY14" s="1664" t="s">
        <v>2613</v>
      </c>
      <c r="AZ14" s="1666" t="s">
        <v>2129</v>
      </c>
      <c r="BA14" s="1667" t="s">
        <v>2129</v>
      </c>
      <c r="BB14" s="1667" t="s">
        <v>2129</v>
      </c>
      <c r="BC14" s="1667" t="s">
        <v>2129</v>
      </c>
      <c r="BD14" s="1668" t="s">
        <v>2129</v>
      </c>
      <c r="BE14" s="1875" t="s">
        <v>2614</v>
      </c>
      <c r="BF14" s="1648" t="s">
        <v>2646</v>
      </c>
      <c r="BG14" s="1785" t="s">
        <v>2651</v>
      </c>
      <c r="BH14" s="2640">
        <v>100</v>
      </c>
      <c r="BI14" s="1794">
        <v>0</v>
      </c>
      <c r="BJ14" s="6495"/>
      <c r="BK14" s="1892">
        <v>20</v>
      </c>
      <c r="BL14" s="1786"/>
      <c r="BM14" s="1550"/>
      <c r="BN14" s="1550"/>
      <c r="BO14" s="1550"/>
      <c r="BP14" s="1550"/>
      <c r="BQ14" s="1550"/>
      <c r="BR14" s="1550"/>
      <c r="BS14" s="1550"/>
      <c r="BT14" s="1550"/>
      <c r="BU14" s="1550"/>
      <c r="BV14" s="1550"/>
      <c r="BW14" s="1550"/>
      <c r="BX14" s="1550"/>
      <c r="BY14" s="1550"/>
      <c r="BZ14" s="1550"/>
      <c r="CA14" s="1550"/>
      <c r="CB14" s="1550"/>
      <c r="CC14" s="1550"/>
      <c r="CD14" s="1550"/>
      <c r="CE14" s="1550"/>
    </row>
    <row r="15" spans="1:83" s="1078" customFormat="1" ht="23.15" customHeight="1" thickTop="1">
      <c r="A15" s="1078">
        <v>3001</v>
      </c>
      <c r="B15" s="1859">
        <v>3001</v>
      </c>
      <c r="C15" s="2692" t="s">
        <v>2652</v>
      </c>
      <c r="D15" s="1587" t="s">
        <v>2653</v>
      </c>
      <c r="E15" s="1588"/>
      <c r="F15" s="1589"/>
      <c r="G15" s="1589"/>
      <c r="H15" s="1590"/>
      <c r="I15" s="1591"/>
      <c r="J15" s="1592"/>
      <c r="K15" s="1592"/>
      <c r="L15" s="1593"/>
      <c r="M15" s="1593"/>
      <c r="N15" s="1593"/>
      <c r="O15" s="1593"/>
      <c r="P15" s="1592"/>
      <c r="Q15" s="1592"/>
      <c r="R15" s="1592"/>
      <c r="S15" s="1592"/>
      <c r="T15" s="1594"/>
      <c r="U15" s="1595"/>
      <c r="V15" s="1596"/>
      <c r="W15" s="1591"/>
      <c r="X15" s="1592"/>
      <c r="Y15" s="1592"/>
      <c r="Z15" s="1592"/>
      <c r="AA15" s="1592"/>
      <c r="AB15" s="1592"/>
      <c r="AC15" s="1592"/>
      <c r="AD15" s="1593"/>
      <c r="AE15" s="1593"/>
      <c r="AF15" s="1593"/>
      <c r="AG15" s="1593"/>
      <c r="AH15" s="1592"/>
      <c r="AI15" s="1592"/>
      <c r="AJ15" s="1592"/>
      <c r="AK15" s="1592"/>
      <c r="AL15" s="1594"/>
      <c r="AM15" s="2080"/>
      <c r="AN15" s="1596"/>
      <c r="AO15" s="1597"/>
      <c r="AP15" s="1598"/>
      <c r="AQ15" s="1596"/>
      <c r="AR15" s="1598"/>
      <c r="AS15" s="1598"/>
      <c r="AT15" s="1588"/>
      <c r="AU15" s="1598"/>
      <c r="AV15" s="1596"/>
      <c r="AW15" s="1587"/>
      <c r="AX15" s="1587"/>
      <c r="AY15" s="1598"/>
      <c r="AZ15" s="1599"/>
      <c r="BA15" s="1600"/>
      <c r="BB15" s="1600"/>
      <c r="BC15" s="1600"/>
      <c r="BD15" s="1601"/>
      <c r="BE15" s="1876" t="s">
        <v>2614</v>
      </c>
      <c r="BF15" s="1731" t="s">
        <v>2654</v>
      </c>
      <c r="BG15" s="1732"/>
      <c r="BH15" s="2479">
        <v>60</v>
      </c>
      <c r="BI15" s="1735">
        <v>60</v>
      </c>
      <c r="BJ15" s="6492">
        <v>60</v>
      </c>
      <c r="BK15" s="1887">
        <v>20</v>
      </c>
      <c r="BL15" s="2693" t="s">
        <v>2655</v>
      </c>
      <c r="BM15" s="1550"/>
      <c r="BN15" s="1550"/>
      <c r="BO15" s="1550"/>
      <c r="BP15" s="1550"/>
      <c r="BQ15" s="1550"/>
      <c r="BR15" s="1550"/>
      <c r="BS15" s="1550"/>
      <c r="BT15" s="1550"/>
      <c r="BU15" s="1550"/>
      <c r="BV15" s="1550"/>
      <c r="BW15" s="1550"/>
      <c r="BX15" s="1550"/>
      <c r="BY15" s="1550"/>
      <c r="BZ15" s="1550"/>
      <c r="CA15" s="1550"/>
    </row>
    <row r="16" spans="1:83" s="1078" customFormat="1" ht="23.15" customHeight="1">
      <c r="A16" s="1078" t="s">
        <v>2647</v>
      </c>
      <c r="B16" s="1860"/>
      <c r="C16" s="1602" t="s">
        <v>2656</v>
      </c>
      <c r="D16" s="1603" t="s">
        <v>2653</v>
      </c>
      <c r="E16" s="1604"/>
      <c r="F16" s="1605"/>
      <c r="G16" s="1605"/>
      <c r="H16" s="1606"/>
      <c r="I16" s="1607"/>
      <c r="J16" s="1608"/>
      <c r="K16" s="1608"/>
      <c r="L16" s="1609"/>
      <c r="M16" s="1609"/>
      <c r="N16" s="1609"/>
      <c r="O16" s="1609"/>
      <c r="P16" s="1608"/>
      <c r="Q16" s="1608"/>
      <c r="R16" s="1608"/>
      <c r="S16" s="1608"/>
      <c r="T16" s="1610"/>
      <c r="U16" s="1611"/>
      <c r="V16" s="1612"/>
      <c r="W16" s="1607"/>
      <c r="X16" s="1608"/>
      <c r="Y16" s="1608"/>
      <c r="Z16" s="1608"/>
      <c r="AA16" s="1608"/>
      <c r="AB16" s="1608"/>
      <c r="AC16" s="1608"/>
      <c r="AD16" s="1609"/>
      <c r="AE16" s="1609"/>
      <c r="AF16" s="1609"/>
      <c r="AG16" s="1609"/>
      <c r="AH16" s="1608"/>
      <c r="AI16" s="1608"/>
      <c r="AJ16" s="1608"/>
      <c r="AK16" s="1608"/>
      <c r="AL16" s="1610"/>
      <c r="AM16" s="2081"/>
      <c r="AN16" s="1612"/>
      <c r="AO16" s="1613"/>
      <c r="AP16" s="1614"/>
      <c r="AQ16" s="1612"/>
      <c r="AR16" s="1614"/>
      <c r="AS16" s="1614"/>
      <c r="AT16" s="1604"/>
      <c r="AU16" s="1614"/>
      <c r="AV16" s="1612"/>
      <c r="AW16" s="1603"/>
      <c r="AX16" s="1603"/>
      <c r="AY16" s="1614"/>
      <c r="AZ16" s="1615"/>
      <c r="BA16" s="1616"/>
      <c r="BB16" s="1616"/>
      <c r="BC16" s="1616"/>
      <c r="BD16" s="1617"/>
      <c r="BE16" s="1877" t="s">
        <v>2614</v>
      </c>
      <c r="BF16" s="1731" t="s">
        <v>2654</v>
      </c>
      <c r="BG16" s="1732"/>
      <c r="BH16" s="2479" t="s">
        <v>2657</v>
      </c>
      <c r="BI16" s="1736"/>
      <c r="BJ16" s="6493"/>
      <c r="BK16" s="1889"/>
      <c r="BL16" s="1902" t="s">
        <v>2658</v>
      </c>
      <c r="BM16" s="1550"/>
      <c r="BN16" s="1550"/>
      <c r="BO16" s="1550"/>
      <c r="BP16" s="1550"/>
      <c r="BQ16" s="1550"/>
      <c r="BR16" s="1550"/>
      <c r="BS16" s="1550"/>
      <c r="BT16" s="1550"/>
      <c r="BU16" s="1550"/>
      <c r="BV16" s="1550"/>
      <c r="BW16" s="1550"/>
      <c r="BX16" s="1550"/>
      <c r="BY16" s="1550"/>
      <c r="BZ16" s="1550"/>
      <c r="CA16" s="1550"/>
    </row>
    <row r="17" spans="1:83" s="1078" customFormat="1" ht="23.15" customHeight="1">
      <c r="A17" s="1078" t="s">
        <v>2647</v>
      </c>
      <c r="B17" s="1861"/>
      <c r="C17" s="1618" t="s">
        <v>2659</v>
      </c>
      <c r="D17" s="1619" t="s">
        <v>2653</v>
      </c>
      <c r="E17" s="1620"/>
      <c r="F17" s="1621"/>
      <c r="G17" s="1621"/>
      <c r="H17" s="1622"/>
      <c r="I17" s="1623"/>
      <c r="J17" s="1624"/>
      <c r="K17" s="1624"/>
      <c r="L17" s="1625"/>
      <c r="M17" s="1625"/>
      <c r="N17" s="1625"/>
      <c r="O17" s="1625"/>
      <c r="P17" s="1624"/>
      <c r="Q17" s="1624"/>
      <c r="R17" s="1624"/>
      <c r="S17" s="1624"/>
      <c r="T17" s="1626"/>
      <c r="U17" s="1627"/>
      <c r="V17" s="1628"/>
      <c r="W17" s="1623"/>
      <c r="X17" s="1624"/>
      <c r="Y17" s="1624"/>
      <c r="Z17" s="1624"/>
      <c r="AA17" s="1624"/>
      <c r="AB17" s="1624"/>
      <c r="AC17" s="1624"/>
      <c r="AD17" s="1625"/>
      <c r="AE17" s="1625"/>
      <c r="AF17" s="1625"/>
      <c r="AG17" s="1625"/>
      <c r="AH17" s="1624"/>
      <c r="AI17" s="1624"/>
      <c r="AJ17" s="1624"/>
      <c r="AK17" s="1624"/>
      <c r="AL17" s="1626"/>
      <c r="AM17" s="2082"/>
      <c r="AN17" s="1628"/>
      <c r="AO17" s="1629"/>
      <c r="AP17" s="1630"/>
      <c r="AQ17" s="1628"/>
      <c r="AR17" s="1630"/>
      <c r="AS17" s="1630"/>
      <c r="AT17" s="1620"/>
      <c r="AU17" s="1630"/>
      <c r="AV17" s="1628"/>
      <c r="AW17" s="1619"/>
      <c r="AX17" s="1619"/>
      <c r="AY17" s="1630"/>
      <c r="AZ17" s="1631"/>
      <c r="BA17" s="1632"/>
      <c r="BB17" s="1632"/>
      <c r="BC17" s="1632"/>
      <c r="BD17" s="1633"/>
      <c r="BE17" s="1878" t="s">
        <v>2614</v>
      </c>
      <c r="BF17" s="1731" t="s">
        <v>2654</v>
      </c>
      <c r="BG17" s="1733"/>
      <c r="BH17" s="2480" t="s">
        <v>2657</v>
      </c>
      <c r="BI17" s="1737"/>
      <c r="BJ17" s="6496"/>
      <c r="BK17" s="1893"/>
      <c r="BL17" s="1903" t="s">
        <v>2660</v>
      </c>
      <c r="BM17" s="1550"/>
      <c r="BN17" s="1550"/>
      <c r="BO17" s="1550"/>
      <c r="BP17" s="1550"/>
      <c r="BQ17" s="1550"/>
      <c r="BR17" s="1550"/>
      <c r="BS17" s="1550"/>
      <c r="BT17" s="1550"/>
      <c r="BU17" s="1550"/>
      <c r="BV17" s="1550"/>
      <c r="BW17" s="1550"/>
      <c r="BX17" s="1550"/>
      <c r="BY17" s="1550"/>
      <c r="BZ17" s="1550"/>
      <c r="CA17" s="1550"/>
    </row>
    <row r="18" spans="1:83" s="1078" customFormat="1" ht="23.15" customHeight="1">
      <c r="A18" s="1078" t="s">
        <v>2647</v>
      </c>
      <c r="B18" s="2993"/>
      <c r="C18" s="3023"/>
      <c r="D18" s="1099" t="s">
        <v>2661</v>
      </c>
      <c r="E18" s="1100" t="s">
        <v>2602</v>
      </c>
      <c r="F18" s="1634" t="s">
        <v>2662</v>
      </c>
      <c r="G18" s="1634" t="s">
        <v>2602</v>
      </c>
      <c r="H18" s="1635" t="s">
        <v>2663</v>
      </c>
      <c r="I18" s="1636" t="s">
        <v>2602</v>
      </c>
      <c r="J18" s="1637" t="s">
        <v>2602</v>
      </c>
      <c r="K18" s="1637" t="s">
        <v>2602</v>
      </c>
      <c r="L18" s="1638" t="s">
        <v>2602</v>
      </c>
      <c r="M18" s="1638" t="s">
        <v>2602</v>
      </c>
      <c r="N18" s="1638" t="s">
        <v>2602</v>
      </c>
      <c r="O18" s="1638" t="s">
        <v>2664</v>
      </c>
      <c r="P18" s="1637" t="s">
        <v>2602</v>
      </c>
      <c r="Q18" s="1637" t="s">
        <v>2665</v>
      </c>
      <c r="R18" s="1637" t="s">
        <v>2666</v>
      </c>
      <c r="S18" s="1637" t="s">
        <v>2636</v>
      </c>
      <c r="T18" s="1639" t="s">
        <v>2602</v>
      </c>
      <c r="U18" s="1640">
        <v>165</v>
      </c>
      <c r="V18" s="1641">
        <v>307</v>
      </c>
      <c r="W18" s="1636" t="s">
        <v>2602</v>
      </c>
      <c r="X18" s="1637" t="s">
        <v>2667</v>
      </c>
      <c r="Y18" s="1637" t="s">
        <v>2602</v>
      </c>
      <c r="Z18" s="1637" t="s">
        <v>2668</v>
      </c>
      <c r="AA18" s="1637" t="s">
        <v>2602</v>
      </c>
      <c r="AB18" s="1637" t="s">
        <v>2602</v>
      </c>
      <c r="AC18" s="1637" t="s">
        <v>2602</v>
      </c>
      <c r="AD18" s="1638" t="s">
        <v>2602</v>
      </c>
      <c r="AE18" s="1638" t="s">
        <v>2602</v>
      </c>
      <c r="AF18" s="1638" t="s">
        <v>2602</v>
      </c>
      <c r="AG18" s="1638" t="s">
        <v>2602</v>
      </c>
      <c r="AH18" s="1637" t="s">
        <v>2602</v>
      </c>
      <c r="AI18" s="1637" t="s">
        <v>2666</v>
      </c>
      <c r="AJ18" s="1637" t="s">
        <v>2602</v>
      </c>
      <c r="AK18" s="1637" t="s">
        <v>2602</v>
      </c>
      <c r="AL18" s="1639" t="s">
        <v>2602</v>
      </c>
      <c r="AM18" s="2083">
        <v>100</v>
      </c>
      <c r="AN18" s="1641">
        <v>165</v>
      </c>
      <c r="AO18" s="1642">
        <v>0.60606060606060608</v>
      </c>
      <c r="AP18" s="1133" t="s">
        <v>2609</v>
      </c>
      <c r="AQ18" s="1641" t="s">
        <v>2610</v>
      </c>
      <c r="AR18" s="1133" t="s">
        <v>2669</v>
      </c>
      <c r="AS18" s="1133" t="s">
        <v>2669</v>
      </c>
      <c r="AT18" s="1100" t="s">
        <v>2133</v>
      </c>
      <c r="AU18" s="1133" t="s">
        <v>2133</v>
      </c>
      <c r="AV18" s="1641" t="s">
        <v>2133</v>
      </c>
      <c r="AW18" s="1099" t="s">
        <v>2168</v>
      </c>
      <c r="AX18" s="1099" t="s">
        <v>2612</v>
      </c>
      <c r="AY18" s="1133" t="s">
        <v>2670</v>
      </c>
      <c r="AZ18" s="1643" t="s">
        <v>2129</v>
      </c>
      <c r="BA18" s="1644" t="s">
        <v>2129</v>
      </c>
      <c r="BB18" s="1644" t="s">
        <v>2129</v>
      </c>
      <c r="BC18" s="1644" t="s">
        <v>2129</v>
      </c>
      <c r="BD18" s="1645" t="s">
        <v>2129</v>
      </c>
      <c r="BE18" s="1879" t="s">
        <v>2614</v>
      </c>
      <c r="BF18" s="6486" t="s">
        <v>2671</v>
      </c>
      <c r="BG18" s="6487"/>
      <c r="BH18" s="2480">
        <v>30</v>
      </c>
      <c r="BI18" s="1737">
        <v>0</v>
      </c>
      <c r="BJ18" s="1734">
        <v>0</v>
      </c>
      <c r="BK18" s="1894">
        <v>20</v>
      </c>
      <c r="BL18" s="1646"/>
      <c r="BM18" s="1550"/>
      <c r="BN18" s="1550"/>
      <c r="BO18" s="1550"/>
      <c r="BP18" s="1550"/>
      <c r="BQ18" s="1550"/>
      <c r="BR18" s="1550"/>
      <c r="BS18" s="1550"/>
      <c r="BT18" s="1550"/>
      <c r="BU18" s="1550"/>
      <c r="BV18" s="1550"/>
      <c r="BW18" s="1550"/>
      <c r="BX18" s="1550"/>
      <c r="BY18" s="1550"/>
      <c r="BZ18" s="1550"/>
      <c r="CA18" s="1550"/>
    </row>
    <row r="19" spans="1:83" s="897" customFormat="1" ht="19.399999999999999" customHeight="1" thickBot="1">
      <c r="B19" s="1862"/>
      <c r="E19" s="886"/>
      <c r="F19" s="886"/>
      <c r="G19" s="886"/>
      <c r="H19" s="886"/>
      <c r="I19" s="886"/>
      <c r="J19" s="886"/>
      <c r="K19" s="886"/>
      <c r="L19" s="886"/>
      <c r="M19" s="886"/>
      <c r="N19" s="886"/>
      <c r="O19" s="886"/>
      <c r="P19" s="886"/>
      <c r="Q19" s="886"/>
      <c r="R19" s="886"/>
      <c r="S19" s="886"/>
      <c r="T19" s="886"/>
      <c r="U19" s="1055"/>
      <c r="V19" s="1056"/>
      <c r="W19" s="1057"/>
      <c r="X19" s="1057"/>
      <c r="Y19" s="1057"/>
      <c r="Z19" s="1057"/>
      <c r="AA19" s="1057"/>
      <c r="AB19" s="1057"/>
      <c r="AC19" s="1057"/>
      <c r="AD19" s="1057"/>
      <c r="AE19" s="1057"/>
      <c r="AF19" s="1057"/>
      <c r="AG19" s="1057"/>
      <c r="AH19" s="1057"/>
      <c r="AI19" s="1057"/>
      <c r="AJ19" s="1057"/>
      <c r="AK19" s="1057"/>
      <c r="AL19" s="1055"/>
      <c r="AM19" s="2084"/>
      <c r="AN19" s="1056"/>
      <c r="AO19" s="1129"/>
      <c r="AP19" s="887"/>
      <c r="AQ19" s="887"/>
      <c r="AR19" s="887"/>
      <c r="AS19" s="887"/>
      <c r="AT19" s="887"/>
      <c r="AU19" s="887"/>
      <c r="AV19" s="887"/>
      <c r="AW19" s="887"/>
      <c r="AX19" s="887"/>
      <c r="AY19" s="887"/>
      <c r="AZ19" s="889"/>
      <c r="BA19" s="889"/>
      <c r="BB19" s="889"/>
      <c r="BC19" s="889"/>
      <c r="BD19" s="889"/>
      <c r="BE19" s="1880"/>
      <c r="BF19" s="887"/>
      <c r="BG19" s="1647"/>
      <c r="BH19" s="2633"/>
      <c r="BI19" s="2633"/>
      <c r="BJ19" s="1122"/>
      <c r="BK19" s="1895"/>
      <c r="BL19" s="1058"/>
      <c r="BM19" s="899"/>
      <c r="BN19" s="899"/>
      <c r="BO19" s="899"/>
      <c r="BP19" s="899"/>
      <c r="BQ19" s="899"/>
      <c r="BR19" s="899"/>
      <c r="BS19" s="899"/>
      <c r="BT19" s="899"/>
      <c r="BU19" s="899"/>
      <c r="BV19" s="899"/>
      <c r="BW19" s="899"/>
      <c r="BX19" s="899"/>
      <c r="BY19" s="899"/>
      <c r="BZ19" s="899"/>
      <c r="CA19" s="899"/>
      <c r="CB19" s="899"/>
      <c r="CC19" s="899"/>
      <c r="CD19" s="899"/>
    </row>
    <row r="20" spans="1:83" s="1078" customFormat="1" ht="23.15" customHeight="1" thickTop="1" thickBot="1">
      <c r="A20" s="1078">
        <v>64</v>
      </c>
      <c r="B20" s="1858">
        <v>64</v>
      </c>
      <c r="C20" s="1649" t="s">
        <v>2672</v>
      </c>
      <c r="D20" s="1650" t="s">
        <v>2138</v>
      </c>
      <c r="E20" s="1651"/>
      <c r="F20" s="1652"/>
      <c r="G20" s="1653"/>
      <c r="H20" s="1654"/>
      <c r="I20" s="1655"/>
      <c r="J20" s="1656"/>
      <c r="K20" s="1656"/>
      <c r="L20" s="1656"/>
      <c r="M20" s="1656"/>
      <c r="N20" s="1656"/>
      <c r="O20" s="1656"/>
      <c r="P20" s="1657"/>
      <c r="Q20" s="1657"/>
      <c r="R20" s="1657"/>
      <c r="S20" s="1657"/>
      <c r="T20" s="1658"/>
      <c r="U20" s="1659">
        <v>170</v>
      </c>
      <c r="V20" s="1660">
        <v>265</v>
      </c>
      <c r="W20" s="1655"/>
      <c r="X20" s="1656"/>
      <c r="Y20" s="1656"/>
      <c r="Z20" s="1656"/>
      <c r="AA20" s="1656"/>
      <c r="AB20" s="1656"/>
      <c r="AC20" s="1656"/>
      <c r="AD20" s="1657"/>
      <c r="AE20" s="1657"/>
      <c r="AF20" s="1657"/>
      <c r="AG20" s="1657"/>
      <c r="AH20" s="1656"/>
      <c r="AI20" s="1656"/>
      <c r="AJ20" s="1656"/>
      <c r="AK20" s="1656"/>
      <c r="AL20" s="1661"/>
      <c r="AM20" s="2085">
        <v>170</v>
      </c>
      <c r="AN20" s="1662">
        <v>265</v>
      </c>
      <c r="AO20" s="1663"/>
      <c r="AP20" s="1651"/>
      <c r="AQ20" s="1660"/>
      <c r="AR20" s="1664"/>
      <c r="AS20" s="1664"/>
      <c r="AT20" s="1651"/>
      <c r="AU20" s="1664"/>
      <c r="AV20" s="1660"/>
      <c r="AW20" s="1665"/>
      <c r="AX20" s="1665"/>
      <c r="AY20" s="1664"/>
      <c r="AZ20" s="1666"/>
      <c r="BA20" s="1667"/>
      <c r="BB20" s="1667"/>
      <c r="BC20" s="1667"/>
      <c r="BD20" s="1668"/>
      <c r="BE20" s="1874" t="s">
        <v>2673</v>
      </c>
      <c r="BF20" s="1787" t="s">
        <v>2674</v>
      </c>
      <c r="BG20" s="1788" t="s">
        <v>2625</v>
      </c>
      <c r="BH20" s="2634">
        <v>170</v>
      </c>
      <c r="BI20" s="1795">
        <v>170</v>
      </c>
      <c r="BJ20" s="6497">
        <v>286</v>
      </c>
      <c r="BK20" s="1896">
        <v>36</v>
      </c>
      <c r="BL20" s="1789"/>
      <c r="BM20" s="1550"/>
      <c r="BN20" s="1550"/>
      <c r="BO20" s="1550"/>
      <c r="BP20" s="1550"/>
      <c r="BQ20" s="1550"/>
      <c r="BR20" s="1550"/>
      <c r="BS20" s="1550"/>
      <c r="BT20" s="1550"/>
      <c r="BU20" s="1550"/>
      <c r="BV20" s="1550"/>
      <c r="BW20" s="1550"/>
      <c r="BX20" s="1550"/>
      <c r="BY20" s="1550"/>
      <c r="BZ20" s="1550"/>
      <c r="CA20" s="1550"/>
      <c r="CB20" s="1550"/>
      <c r="CC20" s="1550"/>
      <c r="CD20" s="1550"/>
      <c r="CE20" s="1550"/>
    </row>
    <row r="21" spans="1:83" s="1078" customFormat="1" ht="23.15" customHeight="1" thickTop="1" thickBot="1">
      <c r="A21" s="1078">
        <v>56</v>
      </c>
      <c r="B21" s="1857">
        <v>56</v>
      </c>
      <c r="C21" s="1669" t="s">
        <v>2675</v>
      </c>
      <c r="D21" s="1650" t="s">
        <v>2138</v>
      </c>
      <c r="E21" s="1670" t="s">
        <v>2602</v>
      </c>
      <c r="F21" s="1671" t="s">
        <v>2662</v>
      </c>
      <c r="G21" s="1671" t="s">
        <v>2676</v>
      </c>
      <c r="H21" s="1671" t="s">
        <v>2677</v>
      </c>
      <c r="I21" s="1671" t="s">
        <v>2602</v>
      </c>
      <c r="J21" s="1671" t="s">
        <v>2602</v>
      </c>
      <c r="K21" s="1671" t="s">
        <v>2602</v>
      </c>
      <c r="L21" s="1672" t="s">
        <v>2602</v>
      </c>
      <c r="M21" s="1672" t="s">
        <v>2602</v>
      </c>
      <c r="N21" s="1672" t="s">
        <v>2602</v>
      </c>
      <c r="O21" s="1672" t="s">
        <v>2602</v>
      </c>
      <c r="P21" s="1671" t="s">
        <v>2602</v>
      </c>
      <c r="Q21" s="1671" t="s">
        <v>2602</v>
      </c>
      <c r="R21" s="1671" t="s">
        <v>2602</v>
      </c>
      <c r="S21" s="1671" t="s">
        <v>2666</v>
      </c>
      <c r="T21" s="1673" t="s">
        <v>2602</v>
      </c>
      <c r="U21" s="1674">
        <v>126</v>
      </c>
      <c r="V21" s="1675">
        <v>199</v>
      </c>
      <c r="W21" s="1670" t="s">
        <v>2602</v>
      </c>
      <c r="X21" s="1671" t="s">
        <v>2662</v>
      </c>
      <c r="Y21" s="1671" t="s">
        <v>2676</v>
      </c>
      <c r="Z21" s="1671" t="s">
        <v>2678</v>
      </c>
      <c r="AA21" s="1671" t="s">
        <v>2602</v>
      </c>
      <c r="AB21" s="1671" t="s">
        <v>2602</v>
      </c>
      <c r="AC21" s="1671" t="s">
        <v>2602</v>
      </c>
      <c r="AD21" s="1672" t="s">
        <v>2602</v>
      </c>
      <c r="AE21" s="1672" t="s">
        <v>2602</v>
      </c>
      <c r="AF21" s="1672" t="s">
        <v>2602</v>
      </c>
      <c r="AG21" s="1672" t="s">
        <v>2602</v>
      </c>
      <c r="AH21" s="1671" t="s">
        <v>2602</v>
      </c>
      <c r="AI21" s="1671" t="s">
        <v>2602</v>
      </c>
      <c r="AJ21" s="1671" t="s">
        <v>2602</v>
      </c>
      <c r="AK21" s="1671" t="s">
        <v>2666</v>
      </c>
      <c r="AL21" s="1676" t="s">
        <v>2602</v>
      </c>
      <c r="AM21" s="2074">
        <v>116</v>
      </c>
      <c r="AN21" s="1675">
        <v>179</v>
      </c>
      <c r="AO21" s="1677">
        <v>0.92063492063492058</v>
      </c>
      <c r="AP21" s="1678" t="s">
        <v>2609</v>
      </c>
      <c r="AQ21" s="1675" t="s">
        <v>2610</v>
      </c>
      <c r="AR21" s="1679">
        <v>7</v>
      </c>
      <c r="AS21" s="1679">
        <v>7</v>
      </c>
      <c r="AT21" s="1678" t="s">
        <v>2133</v>
      </c>
      <c r="AU21" s="1679" t="s">
        <v>2133</v>
      </c>
      <c r="AV21" s="1675" t="s">
        <v>2133</v>
      </c>
      <c r="AW21" s="1650" t="s">
        <v>2679</v>
      </c>
      <c r="AX21" s="1650" t="s">
        <v>2612</v>
      </c>
      <c r="AY21" s="1679" t="s">
        <v>2613</v>
      </c>
      <c r="AZ21" s="1680" t="s">
        <v>2129</v>
      </c>
      <c r="BA21" s="1681" t="s">
        <v>2133</v>
      </c>
      <c r="BB21" s="1681" t="s">
        <v>2133</v>
      </c>
      <c r="BC21" s="1681" t="s">
        <v>2129</v>
      </c>
      <c r="BD21" s="1682" t="s">
        <v>2129</v>
      </c>
      <c r="BE21" s="1881" t="s">
        <v>2673</v>
      </c>
      <c r="BF21" s="1648" t="s">
        <v>2674</v>
      </c>
      <c r="BG21" s="1790" t="s">
        <v>2625</v>
      </c>
      <c r="BH21" s="2634">
        <v>116</v>
      </c>
      <c r="BI21" s="1795">
        <v>116</v>
      </c>
      <c r="BJ21" s="6498"/>
      <c r="BK21" s="1896">
        <v>36</v>
      </c>
      <c r="BL21" s="1789"/>
      <c r="BM21" s="1550"/>
      <c r="BN21" s="1550"/>
      <c r="BO21" s="1550"/>
      <c r="BP21" s="1550"/>
      <c r="BQ21" s="1550"/>
      <c r="BR21" s="1550"/>
      <c r="BS21" s="1550"/>
      <c r="BT21" s="1550"/>
      <c r="BU21" s="1550"/>
      <c r="BV21" s="1550"/>
      <c r="BW21" s="1550"/>
      <c r="BX21" s="1550"/>
      <c r="BY21" s="1550"/>
      <c r="BZ21" s="1550"/>
      <c r="CA21" s="1550"/>
      <c r="CB21" s="1550"/>
      <c r="CC21" s="1550"/>
      <c r="CD21" s="1550"/>
      <c r="CE21" s="1550"/>
    </row>
    <row r="22" spans="1:83" s="897" customFormat="1" ht="23.15" customHeight="1" thickTop="1">
      <c r="B22" s="1863"/>
      <c r="C22" s="1124"/>
      <c r="D22" s="1125"/>
      <c r="E22" s="1125"/>
      <c r="F22" s="1128"/>
      <c r="G22" s="1128"/>
      <c r="H22" s="1129"/>
      <c r="I22" s="1118"/>
      <c r="J22" s="1118"/>
      <c r="K22" s="1118"/>
      <c r="L22" s="1118"/>
      <c r="M22" s="1118"/>
      <c r="N22" s="1118"/>
      <c r="O22" s="1118"/>
      <c r="P22" s="1130"/>
      <c r="Q22" s="1130"/>
      <c r="R22" s="1130"/>
      <c r="S22" s="1130"/>
      <c r="T22" s="1118"/>
      <c r="U22" s="1055"/>
      <c r="V22" s="1055"/>
      <c r="W22" s="1055"/>
      <c r="X22" s="1055"/>
      <c r="Y22" s="1055"/>
      <c r="Z22" s="1055"/>
      <c r="AA22" s="1055"/>
      <c r="AB22" s="1055"/>
      <c r="AC22" s="1055"/>
      <c r="AD22" s="1055"/>
      <c r="AE22" s="1055"/>
      <c r="AF22" s="1055"/>
      <c r="AG22" s="1055"/>
      <c r="AH22" s="1055"/>
      <c r="AI22" s="1055"/>
      <c r="AJ22" s="1055"/>
      <c r="AK22" s="1055"/>
      <c r="AL22" s="1055"/>
      <c r="AM22" s="2084"/>
      <c r="AN22" s="1055"/>
      <c r="AO22" s="1055"/>
      <c r="AP22" s="1055"/>
      <c r="AQ22" s="1055"/>
      <c r="AR22" s="1055"/>
      <c r="AS22" s="1055"/>
      <c r="AT22" s="1055"/>
      <c r="AU22" s="1055"/>
      <c r="AV22" s="1055"/>
      <c r="AW22" s="1055"/>
      <c r="AX22" s="1055"/>
      <c r="AY22" s="1055"/>
      <c r="AZ22" s="1119"/>
      <c r="BA22" s="1119"/>
      <c r="BB22" s="1119"/>
      <c r="BC22" s="1119"/>
      <c r="BD22" s="1119"/>
      <c r="BE22" s="1882"/>
      <c r="BF22" s="1684"/>
      <c r="BG22" s="1126"/>
      <c r="BH22" s="1685"/>
      <c r="BI22" s="1685"/>
      <c r="BJ22" s="1685"/>
      <c r="BK22" s="1886"/>
      <c r="BL22" s="1686"/>
      <c r="BM22" s="899"/>
      <c r="BN22" s="899"/>
      <c r="BO22" s="899"/>
      <c r="BP22" s="899"/>
      <c r="BQ22" s="899"/>
      <c r="BR22" s="899"/>
      <c r="BS22" s="899"/>
      <c r="BT22" s="899"/>
      <c r="BU22" s="899"/>
      <c r="BV22" s="899"/>
      <c r="BW22" s="899"/>
      <c r="BX22" s="899"/>
      <c r="BY22" s="899"/>
      <c r="BZ22" s="899"/>
      <c r="CA22" s="899"/>
      <c r="CB22" s="899"/>
      <c r="CC22" s="899"/>
      <c r="CD22" s="899"/>
      <c r="CE22" s="899"/>
    </row>
    <row r="23" spans="1:83" s="897" customFormat="1" ht="11.15" customHeight="1">
      <c r="B23" s="1864"/>
      <c r="C23" s="1689"/>
      <c r="D23" s="1689"/>
      <c r="E23" s="886"/>
      <c r="F23" s="886"/>
      <c r="G23" s="886"/>
      <c r="H23" s="886"/>
      <c r="I23" s="886"/>
      <c r="J23" s="886"/>
      <c r="K23" s="886"/>
      <c r="L23" s="886"/>
      <c r="M23" s="886"/>
      <c r="N23" s="886"/>
      <c r="O23" s="886"/>
      <c r="P23" s="886"/>
      <c r="Q23" s="886"/>
      <c r="R23" s="886"/>
      <c r="S23" s="886"/>
      <c r="T23" s="886"/>
      <c r="U23" s="1055"/>
      <c r="V23" s="1056"/>
      <c r="W23" s="1057"/>
      <c r="X23" s="1057"/>
      <c r="Y23" s="1057"/>
      <c r="Z23" s="1057"/>
      <c r="AA23" s="1057"/>
      <c r="AB23" s="1057"/>
      <c r="AC23" s="1057"/>
      <c r="AD23" s="1057"/>
      <c r="AE23" s="1057"/>
      <c r="AF23" s="1057"/>
      <c r="AG23" s="1057"/>
      <c r="AH23" s="1057"/>
      <c r="AI23" s="1057"/>
      <c r="AJ23" s="1057"/>
      <c r="AK23" s="1057"/>
      <c r="AL23" s="1055"/>
      <c r="AM23" s="2084"/>
      <c r="AN23" s="1056"/>
      <c r="AO23" s="1129"/>
      <c r="AP23" s="887"/>
      <c r="AQ23" s="887"/>
      <c r="AR23" s="887"/>
      <c r="AS23" s="887"/>
      <c r="AT23" s="887"/>
      <c r="AU23" s="887"/>
      <c r="AV23" s="887"/>
      <c r="AW23" s="887"/>
      <c r="AX23" s="887"/>
      <c r="AY23" s="887"/>
      <c r="AZ23" s="889"/>
      <c r="BA23" s="889"/>
      <c r="BB23" s="889"/>
      <c r="BC23" s="889"/>
      <c r="BD23" s="889"/>
      <c r="BE23" s="1864"/>
      <c r="BF23" s="887"/>
      <c r="BG23" s="1687"/>
      <c r="BH23" s="2635"/>
      <c r="BI23" s="1688" t="s">
        <v>2547</v>
      </c>
      <c r="BJ23" s="893"/>
      <c r="BK23" s="1895" t="s">
        <v>2547</v>
      </c>
      <c r="BL23" s="1058"/>
      <c r="BM23" s="899"/>
      <c r="BN23" s="899"/>
      <c r="BO23" s="899"/>
      <c r="BP23" s="899"/>
      <c r="BQ23" s="899"/>
      <c r="BR23" s="899"/>
      <c r="BS23" s="899"/>
      <c r="BT23" s="899"/>
      <c r="BU23" s="899"/>
      <c r="BV23" s="899"/>
      <c r="BW23" s="899"/>
      <c r="BX23" s="899"/>
      <c r="BY23" s="899"/>
      <c r="BZ23" s="899"/>
      <c r="CA23" s="899"/>
      <c r="CB23" s="899"/>
      <c r="CC23" s="899"/>
      <c r="CD23" s="899"/>
    </row>
    <row r="24" spans="1:83" s="895" customFormat="1" ht="15.65" customHeight="1">
      <c r="B24" s="6475"/>
      <c r="C24" s="6476"/>
      <c r="D24" s="6476"/>
      <c r="E24" s="6476"/>
      <c r="F24" s="6476"/>
      <c r="G24" s="6476"/>
      <c r="H24" s="6476"/>
      <c r="I24" s="6476"/>
      <c r="J24" s="6476"/>
      <c r="K24" s="6476"/>
      <c r="L24" s="6476"/>
      <c r="M24" s="6476"/>
      <c r="N24" s="6476"/>
      <c r="O24" s="6476"/>
      <c r="P24" s="6476"/>
      <c r="Q24" s="6476"/>
      <c r="R24" s="6476"/>
      <c r="S24" s="6476"/>
      <c r="T24" s="6476"/>
      <c r="U24" s="6476"/>
      <c r="V24" s="6476"/>
      <c r="W24" s="6476"/>
      <c r="X24" s="6476"/>
      <c r="Y24" s="6476"/>
      <c r="Z24" s="6476"/>
      <c r="AA24" s="6476"/>
      <c r="AB24" s="6476"/>
      <c r="AC24" s="6476"/>
      <c r="AD24" s="6476"/>
      <c r="AE24" s="6476"/>
      <c r="AF24" s="6476"/>
      <c r="AG24" s="6476"/>
      <c r="AH24" s="6476"/>
      <c r="AI24" s="6476"/>
      <c r="AJ24" s="6476"/>
      <c r="AK24" s="6476"/>
      <c r="AL24" s="6476"/>
      <c r="AM24" s="6476"/>
      <c r="AN24" s="6476"/>
      <c r="AO24" s="6476"/>
      <c r="AP24" s="6476"/>
      <c r="AQ24" s="6476"/>
      <c r="AR24" s="6476"/>
      <c r="AS24" s="6476"/>
      <c r="AT24" s="6476"/>
      <c r="AU24" s="6476"/>
      <c r="AV24" s="6476"/>
      <c r="AW24" s="6476"/>
      <c r="AX24" s="6476"/>
      <c r="AY24" s="6476"/>
      <c r="AZ24" s="6476"/>
      <c r="BA24" s="6476"/>
      <c r="BB24" s="6476"/>
      <c r="BC24" s="6476"/>
      <c r="BD24" s="6476"/>
      <c r="BE24" s="1883"/>
      <c r="BF24" s="1083"/>
      <c r="BG24" s="1083"/>
      <c r="BH24" s="6488" t="s">
        <v>2549</v>
      </c>
      <c r="BI24" s="6489"/>
      <c r="BJ24" s="6501" t="s">
        <v>2680</v>
      </c>
      <c r="BK24" s="6508" t="s">
        <v>2551</v>
      </c>
      <c r="BL24" s="1899"/>
      <c r="BM24" s="899"/>
      <c r="BN24" s="899"/>
      <c r="BO24" s="899"/>
      <c r="BP24" s="899"/>
      <c r="BQ24" s="899"/>
      <c r="BR24" s="899"/>
      <c r="BS24" s="899"/>
      <c r="BT24" s="899"/>
      <c r="BU24" s="899"/>
      <c r="BV24" s="899"/>
      <c r="BW24" s="899"/>
      <c r="BX24" s="899"/>
      <c r="BY24" s="899"/>
      <c r="BZ24" s="899"/>
      <c r="CA24" s="899"/>
      <c r="CB24" s="899"/>
      <c r="CC24" s="899"/>
      <c r="CD24" s="899"/>
    </row>
    <row r="25" spans="1:83" s="895" customFormat="1" ht="15.65" customHeight="1">
      <c r="B25" s="1853" t="s">
        <v>2552</v>
      </c>
      <c r="C25" s="902"/>
      <c r="D25" s="903" t="s">
        <v>2553</v>
      </c>
      <c r="E25" s="6478" t="s">
        <v>2554</v>
      </c>
      <c r="F25" s="6478"/>
      <c r="G25" s="6478"/>
      <c r="H25" s="6478"/>
      <c r="I25" s="6478"/>
      <c r="J25" s="6478"/>
      <c r="K25" s="6478"/>
      <c r="L25" s="6478"/>
      <c r="M25" s="6478"/>
      <c r="N25" s="6478"/>
      <c r="O25" s="6478"/>
      <c r="P25" s="6478"/>
      <c r="Q25" s="6478"/>
      <c r="R25" s="6478"/>
      <c r="S25" s="6478"/>
      <c r="T25" s="6478"/>
      <c r="U25" s="6478"/>
      <c r="V25" s="6478"/>
      <c r="W25" s="6479" t="s">
        <v>2555</v>
      </c>
      <c r="X25" s="6480"/>
      <c r="Y25" s="6480"/>
      <c r="Z25" s="6480"/>
      <c r="AA25" s="6480"/>
      <c r="AB25" s="6480"/>
      <c r="AC25" s="6480"/>
      <c r="AD25" s="6480"/>
      <c r="AE25" s="6480"/>
      <c r="AF25" s="6480"/>
      <c r="AG25" s="6480"/>
      <c r="AH25" s="6480"/>
      <c r="AI25" s="6480"/>
      <c r="AJ25" s="6480"/>
      <c r="AK25" s="6480"/>
      <c r="AL25" s="6480"/>
      <c r="AM25" s="6480"/>
      <c r="AN25" s="6480"/>
      <c r="AO25" s="6480"/>
      <c r="AP25" s="6479" t="s">
        <v>2556</v>
      </c>
      <c r="AQ25" s="6481"/>
      <c r="AR25" s="6480" t="s">
        <v>2557</v>
      </c>
      <c r="AS25" s="6480"/>
      <c r="AT25" s="6479" t="s">
        <v>2558</v>
      </c>
      <c r="AU25" s="6480"/>
      <c r="AV25" s="6481"/>
      <c r="AW25" s="904" t="s">
        <v>2088</v>
      </c>
      <c r="AX25" s="904" t="s">
        <v>2559</v>
      </c>
      <c r="AY25" s="905" t="s">
        <v>2560</v>
      </c>
      <c r="AZ25" s="6482" t="s">
        <v>2561</v>
      </c>
      <c r="BA25" s="6471" t="s">
        <v>2562</v>
      </c>
      <c r="BB25" s="6471" t="s">
        <v>2563</v>
      </c>
      <c r="BC25" s="6471" t="s">
        <v>2564</v>
      </c>
      <c r="BD25" s="6484" t="s">
        <v>2565</v>
      </c>
      <c r="BE25" s="1884" t="s">
        <v>2566</v>
      </c>
      <c r="BF25" s="1811"/>
      <c r="BG25" s="1811"/>
      <c r="BH25" s="6490"/>
      <c r="BI25" s="6491"/>
      <c r="BJ25" s="6502"/>
      <c r="BK25" s="6506"/>
      <c r="BL25" s="1900"/>
      <c r="BM25" s="899"/>
      <c r="BN25" s="899"/>
      <c r="BO25" s="899"/>
      <c r="BP25" s="899"/>
      <c r="BQ25" s="899"/>
      <c r="BR25" s="899"/>
      <c r="BS25" s="899"/>
      <c r="BT25" s="899"/>
      <c r="BU25" s="899"/>
      <c r="BV25" s="899"/>
      <c r="BW25" s="899"/>
      <c r="BX25" s="899"/>
      <c r="BY25" s="899"/>
      <c r="BZ25" s="899"/>
      <c r="CA25" s="899"/>
      <c r="CB25" s="899"/>
      <c r="CC25" s="899"/>
      <c r="CD25" s="899"/>
    </row>
    <row r="26" spans="1:83" s="895" customFormat="1" ht="20.149999999999999" customHeight="1" thickBot="1">
      <c r="B26" s="1854" t="s">
        <v>2567</v>
      </c>
      <c r="C26" s="909" t="s">
        <v>2568</v>
      </c>
      <c r="D26" s="910" t="s">
        <v>2101</v>
      </c>
      <c r="E26" s="911" t="s">
        <v>2569</v>
      </c>
      <c r="F26" s="912" t="s">
        <v>2570</v>
      </c>
      <c r="G26" s="912" t="s">
        <v>2571</v>
      </c>
      <c r="H26" s="912" t="s">
        <v>2572</v>
      </c>
      <c r="I26" s="912" t="s">
        <v>2573</v>
      </c>
      <c r="J26" s="912" t="s">
        <v>2574</v>
      </c>
      <c r="K26" s="912" t="s">
        <v>2575</v>
      </c>
      <c r="L26" s="913" t="s">
        <v>2576</v>
      </c>
      <c r="M26" s="913" t="s">
        <v>2577</v>
      </c>
      <c r="N26" s="913" t="s">
        <v>2578</v>
      </c>
      <c r="O26" s="913" t="s">
        <v>2579</v>
      </c>
      <c r="P26" s="912" t="s">
        <v>2580</v>
      </c>
      <c r="Q26" s="912" t="s">
        <v>2581</v>
      </c>
      <c r="R26" s="912" t="s">
        <v>2582</v>
      </c>
      <c r="S26" s="912" t="s">
        <v>2583</v>
      </c>
      <c r="T26" s="914" t="s">
        <v>2584</v>
      </c>
      <c r="U26" s="905" t="s">
        <v>2104</v>
      </c>
      <c r="V26" s="915" t="s">
        <v>2585</v>
      </c>
      <c r="W26" s="911" t="s">
        <v>2569</v>
      </c>
      <c r="X26" s="912" t="s">
        <v>2570</v>
      </c>
      <c r="Y26" s="912" t="s">
        <v>2571</v>
      </c>
      <c r="Z26" s="912" t="s">
        <v>2572</v>
      </c>
      <c r="AA26" s="912" t="s">
        <v>2573</v>
      </c>
      <c r="AB26" s="912" t="s">
        <v>2574</v>
      </c>
      <c r="AC26" s="912" t="s">
        <v>2575</v>
      </c>
      <c r="AD26" s="913" t="s">
        <v>2576</v>
      </c>
      <c r="AE26" s="913" t="s">
        <v>2577</v>
      </c>
      <c r="AF26" s="913" t="s">
        <v>2578</v>
      </c>
      <c r="AG26" s="913" t="s">
        <v>2579</v>
      </c>
      <c r="AH26" s="912" t="s">
        <v>2580</v>
      </c>
      <c r="AI26" s="912" t="s">
        <v>2581</v>
      </c>
      <c r="AJ26" s="912" t="s">
        <v>2582</v>
      </c>
      <c r="AK26" s="912" t="s">
        <v>2583</v>
      </c>
      <c r="AL26" s="914" t="s">
        <v>2584</v>
      </c>
      <c r="AM26" s="2100" t="s">
        <v>2586</v>
      </c>
      <c r="AN26" s="915" t="s">
        <v>2587</v>
      </c>
      <c r="AO26" s="916" t="s">
        <v>2588</v>
      </c>
      <c r="AP26" s="905" t="s">
        <v>2589</v>
      </c>
      <c r="AQ26" s="915" t="s">
        <v>2590</v>
      </c>
      <c r="AR26" s="917" t="s">
        <v>2591</v>
      </c>
      <c r="AS26" s="917" t="s">
        <v>2592</v>
      </c>
      <c r="AT26" s="905" t="s">
        <v>2593</v>
      </c>
      <c r="AU26" s="917" t="s">
        <v>2594</v>
      </c>
      <c r="AV26" s="915" t="s">
        <v>2595</v>
      </c>
      <c r="AW26" s="903" t="s">
        <v>2109</v>
      </c>
      <c r="AX26" s="918" t="s">
        <v>2596</v>
      </c>
      <c r="AY26" s="919" t="s">
        <v>2597</v>
      </c>
      <c r="AZ26" s="6483"/>
      <c r="BA26" s="6472"/>
      <c r="BB26" s="6472"/>
      <c r="BC26" s="6472"/>
      <c r="BD26" s="6485"/>
      <c r="BE26" s="1869" t="s">
        <v>2598</v>
      </c>
      <c r="BF26" s="1812"/>
      <c r="BG26" s="1811"/>
      <c r="BH26" s="907" t="s">
        <v>2599</v>
      </c>
      <c r="BI26" s="900" t="s">
        <v>127</v>
      </c>
      <c r="BJ26" s="6504"/>
      <c r="BK26" s="6507"/>
      <c r="BL26" s="1904" t="s">
        <v>2600</v>
      </c>
      <c r="BM26" s="899"/>
      <c r="BN26" s="899"/>
      <c r="BO26" s="899"/>
      <c r="BP26" s="899"/>
      <c r="BQ26" s="899"/>
      <c r="BR26" s="899"/>
      <c r="BS26" s="899"/>
      <c r="BT26" s="899"/>
      <c r="BU26" s="899"/>
      <c r="BV26" s="899"/>
      <c r="BW26" s="899"/>
      <c r="BX26" s="899"/>
      <c r="BY26" s="899"/>
      <c r="BZ26" s="899"/>
      <c r="CA26" s="899"/>
      <c r="CB26" s="899"/>
      <c r="CC26" s="899"/>
      <c r="CD26" s="899"/>
    </row>
    <row r="27" spans="1:83" s="897" customFormat="1" ht="23.15" customHeight="1" thickTop="1" thickBot="1">
      <c r="B27" s="1865">
        <v>59</v>
      </c>
      <c r="C27" s="1098" t="s">
        <v>2681</v>
      </c>
      <c r="D27" s="1796" t="s">
        <v>2138</v>
      </c>
      <c r="E27" s="1797" t="s">
        <v>2602</v>
      </c>
      <c r="F27" s="1797" t="s">
        <v>2682</v>
      </c>
      <c r="G27" s="1797" t="s">
        <v>2602</v>
      </c>
      <c r="H27" s="1797" t="s">
        <v>2683</v>
      </c>
      <c r="I27" s="1797" t="s">
        <v>2684</v>
      </c>
      <c r="J27" s="1797" t="s">
        <v>2602</v>
      </c>
      <c r="K27" s="1797" t="s">
        <v>2602</v>
      </c>
      <c r="L27" s="1798" t="s">
        <v>2602</v>
      </c>
      <c r="M27" s="1798" t="s">
        <v>2602</v>
      </c>
      <c r="N27" s="1798" t="s">
        <v>2602</v>
      </c>
      <c r="O27" s="1798" t="s">
        <v>2602</v>
      </c>
      <c r="P27" s="1797" t="s">
        <v>2602</v>
      </c>
      <c r="Q27" s="1797" t="s">
        <v>2602</v>
      </c>
      <c r="R27" s="1797" t="s">
        <v>2602</v>
      </c>
      <c r="S27" s="1797" t="s">
        <v>2684</v>
      </c>
      <c r="T27" s="1799" t="s">
        <v>2602</v>
      </c>
      <c r="U27" s="2026">
        <v>295</v>
      </c>
      <c r="V27" s="2027">
        <v>386</v>
      </c>
      <c r="W27" s="2028" t="s">
        <v>2602</v>
      </c>
      <c r="X27" s="2028" t="s">
        <v>2685</v>
      </c>
      <c r="Y27" s="2028" t="s">
        <v>2602</v>
      </c>
      <c r="Z27" s="2028" t="s">
        <v>2686</v>
      </c>
      <c r="AA27" s="2028" t="s">
        <v>2687</v>
      </c>
      <c r="AB27" s="2028" t="s">
        <v>2602</v>
      </c>
      <c r="AC27" s="2028" t="s">
        <v>2602</v>
      </c>
      <c r="AD27" s="2029" t="s">
        <v>2602</v>
      </c>
      <c r="AE27" s="2029" t="s">
        <v>2602</v>
      </c>
      <c r="AF27" s="2029" t="s">
        <v>2602</v>
      </c>
      <c r="AG27" s="2029" t="s">
        <v>2602</v>
      </c>
      <c r="AH27" s="2028" t="s">
        <v>2602</v>
      </c>
      <c r="AI27" s="2028" t="s">
        <v>2602</v>
      </c>
      <c r="AJ27" s="2028" t="s">
        <v>2602</v>
      </c>
      <c r="AK27" s="2028" t="s">
        <v>2602</v>
      </c>
      <c r="AL27" s="2030" t="s">
        <v>2602</v>
      </c>
      <c r="AM27" s="2706">
        <v>130</v>
      </c>
      <c r="AN27" s="2031">
        <v>163</v>
      </c>
      <c r="AO27" s="1800">
        <v>0.42483660130718953</v>
      </c>
      <c r="AP27" s="1801" t="s">
        <v>2609</v>
      </c>
      <c r="AQ27" s="1801" t="s">
        <v>2609</v>
      </c>
      <c r="AR27" s="1801">
        <v>0</v>
      </c>
      <c r="AS27" s="1801">
        <v>0</v>
      </c>
      <c r="AT27" s="1801" t="s">
        <v>2133</v>
      </c>
      <c r="AU27" s="1801" t="s">
        <v>2688</v>
      </c>
      <c r="AV27" s="1801" t="s">
        <v>2688</v>
      </c>
      <c r="AW27" s="1801" t="s">
        <v>2168</v>
      </c>
      <c r="AX27" s="1801" t="s">
        <v>2133</v>
      </c>
      <c r="AY27" s="1801" t="s">
        <v>2613</v>
      </c>
      <c r="AZ27" s="1802" t="s">
        <v>2129</v>
      </c>
      <c r="BA27" s="1802" t="s">
        <v>2133</v>
      </c>
      <c r="BB27" s="1802" t="s">
        <v>2129</v>
      </c>
      <c r="BC27" s="1802" t="s">
        <v>2133</v>
      </c>
      <c r="BD27" s="1803"/>
      <c r="BE27" s="1881" t="s">
        <v>2689</v>
      </c>
      <c r="BF27" s="1804" t="s">
        <v>2690</v>
      </c>
      <c r="BG27" s="1805"/>
      <c r="BH27" s="2641">
        <v>306</v>
      </c>
      <c r="BI27" s="1806">
        <v>306</v>
      </c>
      <c r="BJ27" s="6499">
        <v>1006</v>
      </c>
      <c r="BK27" s="1897">
        <v>18</v>
      </c>
      <c r="BL27" s="1135" t="s">
        <v>2691</v>
      </c>
      <c r="BM27" s="899"/>
      <c r="BN27" s="899"/>
      <c r="BO27" s="899"/>
      <c r="BP27" s="899"/>
      <c r="BQ27" s="899"/>
      <c r="BR27" s="899"/>
      <c r="BS27" s="899"/>
      <c r="BT27" s="899"/>
      <c r="BU27" s="899"/>
      <c r="BV27" s="899"/>
      <c r="BW27" s="899"/>
      <c r="BX27" s="899"/>
      <c r="BY27" s="899"/>
      <c r="BZ27" s="899"/>
      <c r="CA27" s="899"/>
      <c r="CB27" s="899"/>
      <c r="CC27" s="899"/>
      <c r="CD27" s="899"/>
      <c r="CE27" s="899"/>
    </row>
    <row r="28" spans="1:83" s="897" customFormat="1" ht="23.15" customHeight="1" thickTop="1">
      <c r="B28" s="1865">
        <v>62</v>
      </c>
      <c r="C28" s="1098" t="s">
        <v>2692</v>
      </c>
      <c r="D28" s="1796" t="s">
        <v>2138</v>
      </c>
      <c r="E28" s="1797" t="s">
        <v>2602</v>
      </c>
      <c r="F28" s="1797" t="s">
        <v>2619</v>
      </c>
      <c r="G28" s="1797" t="s">
        <v>2602</v>
      </c>
      <c r="H28" s="1797" t="s">
        <v>2620</v>
      </c>
      <c r="I28" s="1797" t="s">
        <v>2602</v>
      </c>
      <c r="J28" s="1797" t="s">
        <v>2602</v>
      </c>
      <c r="K28" s="1797" t="s">
        <v>2602</v>
      </c>
      <c r="L28" s="1798" t="s">
        <v>2602</v>
      </c>
      <c r="M28" s="1798" t="s">
        <v>2602</v>
      </c>
      <c r="N28" s="1798" t="s">
        <v>2602</v>
      </c>
      <c r="O28" s="1798" t="s">
        <v>2602</v>
      </c>
      <c r="P28" s="1797" t="s">
        <v>2602</v>
      </c>
      <c r="Q28" s="1797" t="s">
        <v>2602</v>
      </c>
      <c r="R28" s="1797" t="s">
        <v>2602</v>
      </c>
      <c r="S28" s="1797" t="s">
        <v>2602</v>
      </c>
      <c r="T28" s="1797" t="s">
        <v>2602</v>
      </c>
      <c r="U28" s="2032">
        <v>350</v>
      </c>
      <c r="V28" s="2033">
        <v>490</v>
      </c>
      <c r="W28" s="2034" t="s">
        <v>2602</v>
      </c>
      <c r="X28" s="2034" t="s">
        <v>2619</v>
      </c>
      <c r="Y28" s="2034" t="s">
        <v>2602</v>
      </c>
      <c r="Z28" s="2034" t="s">
        <v>2620</v>
      </c>
      <c r="AA28" s="2034" t="s">
        <v>2602</v>
      </c>
      <c r="AB28" s="2034" t="s">
        <v>2602</v>
      </c>
      <c r="AC28" s="2034" t="s">
        <v>2602</v>
      </c>
      <c r="AD28" s="2035" t="s">
        <v>2602</v>
      </c>
      <c r="AE28" s="2035" t="s">
        <v>2602</v>
      </c>
      <c r="AF28" s="2035" t="s">
        <v>2602</v>
      </c>
      <c r="AG28" s="2035" t="s">
        <v>2602</v>
      </c>
      <c r="AH28" s="2034" t="s">
        <v>2602</v>
      </c>
      <c r="AI28" s="2034" t="s">
        <v>2602</v>
      </c>
      <c r="AJ28" s="2034" t="s">
        <v>2602</v>
      </c>
      <c r="AK28" s="2034" t="s">
        <v>2602</v>
      </c>
      <c r="AL28" s="2036" t="s">
        <v>2602</v>
      </c>
      <c r="AM28" s="2707">
        <v>350</v>
      </c>
      <c r="AN28" s="2037">
        <v>490</v>
      </c>
      <c r="AO28" s="1800">
        <v>1</v>
      </c>
      <c r="AP28" s="1801" t="s">
        <v>2610</v>
      </c>
      <c r="AQ28" s="1801" t="s">
        <v>2610</v>
      </c>
      <c r="AR28" s="1801" t="s">
        <v>2693</v>
      </c>
      <c r="AS28" s="1801" t="s">
        <v>2694</v>
      </c>
      <c r="AT28" s="1801" t="s">
        <v>2133</v>
      </c>
      <c r="AU28" s="1801" t="s">
        <v>2688</v>
      </c>
      <c r="AV28" s="1801" t="s">
        <v>2688</v>
      </c>
      <c r="AW28" s="1801" t="s">
        <v>2639</v>
      </c>
      <c r="AX28" s="1801" t="s">
        <v>2612</v>
      </c>
      <c r="AY28" s="1801" t="s">
        <v>2613</v>
      </c>
      <c r="AZ28" s="1802" t="s">
        <v>2129</v>
      </c>
      <c r="BA28" s="1802" t="s">
        <v>2133</v>
      </c>
      <c r="BB28" s="1802" t="s">
        <v>2133</v>
      </c>
      <c r="BC28" s="1802" t="s">
        <v>2133</v>
      </c>
      <c r="BD28" s="1803" t="s">
        <v>2129</v>
      </c>
      <c r="BE28" s="1881" t="s">
        <v>2695</v>
      </c>
      <c r="BF28" s="1804" t="s">
        <v>2690</v>
      </c>
      <c r="BG28" s="1805"/>
      <c r="BH28" s="2641">
        <v>350</v>
      </c>
      <c r="BI28" s="1806">
        <v>350</v>
      </c>
      <c r="BJ28" s="6499"/>
      <c r="BK28" s="1898">
        <v>18</v>
      </c>
      <c r="BL28" s="1789"/>
      <c r="BM28" s="899"/>
      <c r="BN28" s="899"/>
      <c r="BO28" s="899"/>
      <c r="BP28" s="899"/>
      <c r="BQ28" s="899"/>
      <c r="BR28" s="899"/>
      <c r="BS28" s="899"/>
      <c r="BT28" s="899"/>
      <c r="BU28" s="899"/>
      <c r="BV28" s="899"/>
      <c r="BW28" s="899"/>
      <c r="BX28" s="899"/>
      <c r="BY28" s="899"/>
      <c r="BZ28" s="899"/>
      <c r="CA28" s="899"/>
      <c r="CB28" s="899"/>
      <c r="CC28" s="899"/>
      <c r="CD28" s="899"/>
      <c r="CE28" s="899"/>
    </row>
    <row r="29" spans="1:83" s="897" customFormat="1" ht="23.15" customHeight="1">
      <c r="B29" s="1865">
        <v>1027</v>
      </c>
      <c r="C29" s="1098" t="s">
        <v>2696</v>
      </c>
      <c r="D29" s="1796" t="s">
        <v>2138</v>
      </c>
      <c r="E29" s="1797" t="s">
        <v>2602</v>
      </c>
      <c r="F29" s="1797" t="s">
        <v>2697</v>
      </c>
      <c r="G29" s="1797" t="s">
        <v>2602</v>
      </c>
      <c r="H29" s="1797" t="s">
        <v>2698</v>
      </c>
      <c r="I29" s="1797" t="s">
        <v>2602</v>
      </c>
      <c r="J29" s="1797" t="s">
        <v>2602</v>
      </c>
      <c r="K29" s="1797" t="s">
        <v>2602</v>
      </c>
      <c r="L29" s="1798" t="s">
        <v>2602</v>
      </c>
      <c r="M29" s="1798" t="s">
        <v>2602</v>
      </c>
      <c r="N29" s="1798" t="s">
        <v>2602</v>
      </c>
      <c r="O29" s="1798" t="s">
        <v>2602</v>
      </c>
      <c r="P29" s="1797" t="s">
        <v>2602</v>
      </c>
      <c r="Q29" s="1797" t="s">
        <v>2602</v>
      </c>
      <c r="R29" s="1797" t="s">
        <v>2602</v>
      </c>
      <c r="S29" s="1797" t="s">
        <v>2636</v>
      </c>
      <c r="T29" s="1797" t="s">
        <v>2699</v>
      </c>
      <c r="U29" s="2038">
        <v>150</v>
      </c>
      <c r="V29" s="2033">
        <v>216</v>
      </c>
      <c r="W29" s="2034" t="s">
        <v>2602</v>
      </c>
      <c r="X29" s="2034" t="s">
        <v>2697</v>
      </c>
      <c r="Y29" s="2034" t="s">
        <v>2602</v>
      </c>
      <c r="Z29" s="2034" t="s">
        <v>2698</v>
      </c>
      <c r="AA29" s="2034" t="s">
        <v>2602</v>
      </c>
      <c r="AB29" s="2034" t="s">
        <v>2602</v>
      </c>
      <c r="AC29" s="2034" t="s">
        <v>2602</v>
      </c>
      <c r="AD29" s="2035" t="s">
        <v>2602</v>
      </c>
      <c r="AE29" s="2035" t="s">
        <v>2602</v>
      </c>
      <c r="AF29" s="2035" t="s">
        <v>2602</v>
      </c>
      <c r="AG29" s="2035" t="s">
        <v>2602</v>
      </c>
      <c r="AH29" s="2034" t="s">
        <v>2602</v>
      </c>
      <c r="AI29" s="2034" t="s">
        <v>2602</v>
      </c>
      <c r="AJ29" s="2034" t="s">
        <v>2602</v>
      </c>
      <c r="AK29" s="2034" t="s">
        <v>2636</v>
      </c>
      <c r="AL29" s="2036" t="s">
        <v>2699</v>
      </c>
      <c r="AM29" s="2708">
        <v>150</v>
      </c>
      <c r="AN29" s="2037">
        <v>216</v>
      </c>
      <c r="AO29" s="1800">
        <v>1</v>
      </c>
      <c r="AP29" s="1801" t="s">
        <v>2610</v>
      </c>
      <c r="AQ29" s="1801" t="s">
        <v>2610</v>
      </c>
      <c r="AR29" s="1801" t="s">
        <v>2700</v>
      </c>
      <c r="AS29" s="1801" t="s">
        <v>2700</v>
      </c>
      <c r="AT29" s="1801" t="s">
        <v>2701</v>
      </c>
      <c r="AU29" s="1801" t="s">
        <v>2701</v>
      </c>
      <c r="AV29" s="1801" t="s">
        <v>2701</v>
      </c>
      <c r="AW29" s="1801" t="s">
        <v>2702</v>
      </c>
      <c r="AX29" s="1801" t="s">
        <v>2612</v>
      </c>
      <c r="AY29" s="1801" t="s">
        <v>2613</v>
      </c>
      <c r="AZ29" s="1802" t="s">
        <v>2129</v>
      </c>
      <c r="BA29" s="1802" t="s">
        <v>2133</v>
      </c>
      <c r="BB29" s="1802" t="s">
        <v>2129</v>
      </c>
      <c r="BC29" s="1802" t="s">
        <v>2133</v>
      </c>
      <c r="BD29" s="1803" t="s">
        <v>2129</v>
      </c>
      <c r="BE29" s="1881" t="s">
        <v>2695</v>
      </c>
      <c r="BF29" s="1804" t="s">
        <v>2690</v>
      </c>
      <c r="BG29" s="1805"/>
      <c r="BH29" s="2641">
        <v>150</v>
      </c>
      <c r="BI29" s="1806">
        <v>150</v>
      </c>
      <c r="BJ29" s="6499"/>
      <c r="BK29" s="1898">
        <v>18</v>
      </c>
      <c r="BL29" s="1789"/>
      <c r="BM29" s="899"/>
      <c r="BN29" s="899"/>
      <c r="BO29" s="899"/>
      <c r="BP29" s="899"/>
      <c r="BQ29" s="899"/>
      <c r="BR29" s="899"/>
      <c r="BS29" s="899"/>
      <c r="BT29" s="899"/>
      <c r="BU29" s="899"/>
      <c r="BV29" s="899"/>
      <c r="BW29" s="899"/>
      <c r="BX29" s="899"/>
      <c r="BY29" s="899"/>
      <c r="BZ29" s="899"/>
      <c r="CA29" s="899"/>
      <c r="CB29" s="899"/>
      <c r="CC29" s="899"/>
      <c r="CD29" s="899"/>
      <c r="CE29" s="899"/>
    </row>
    <row r="30" spans="1:83" s="897" customFormat="1" ht="23.15" customHeight="1">
      <c r="B30" s="1865">
        <v>40</v>
      </c>
      <c r="C30" s="2998" t="s">
        <v>2630</v>
      </c>
      <c r="D30" s="1796" t="s">
        <v>2138</v>
      </c>
      <c r="E30" s="1797" t="s">
        <v>2602</v>
      </c>
      <c r="F30" s="1797" t="s">
        <v>2703</v>
      </c>
      <c r="G30" s="1797" t="s">
        <v>2602</v>
      </c>
      <c r="H30" s="1797" t="s">
        <v>2704</v>
      </c>
      <c r="I30" s="1797" t="s">
        <v>2602</v>
      </c>
      <c r="J30" s="1797" t="s">
        <v>2602</v>
      </c>
      <c r="K30" s="1797" t="s">
        <v>2602</v>
      </c>
      <c r="L30" s="1798" t="s">
        <v>2602</v>
      </c>
      <c r="M30" s="1798" t="s">
        <v>2602</v>
      </c>
      <c r="N30" s="1798" t="s">
        <v>2602</v>
      </c>
      <c r="O30" s="1798" t="s">
        <v>2602</v>
      </c>
      <c r="P30" s="1797" t="s">
        <v>2602</v>
      </c>
      <c r="Q30" s="1797" t="s">
        <v>2602</v>
      </c>
      <c r="R30" s="1797" t="s">
        <v>2602</v>
      </c>
      <c r="S30" s="1797" t="s">
        <v>2705</v>
      </c>
      <c r="T30" s="1797" t="s">
        <v>2602</v>
      </c>
      <c r="U30" s="2038">
        <v>769</v>
      </c>
      <c r="V30" s="2033">
        <v>372</v>
      </c>
      <c r="W30" s="2034" t="s">
        <v>2602</v>
      </c>
      <c r="X30" s="2034" t="s">
        <v>2706</v>
      </c>
      <c r="Y30" s="2034" t="s">
        <v>2602</v>
      </c>
      <c r="Z30" s="2034" t="s">
        <v>2707</v>
      </c>
      <c r="AA30" s="2034" t="s">
        <v>2602</v>
      </c>
      <c r="AB30" s="2034" t="s">
        <v>2602</v>
      </c>
      <c r="AC30" s="2034" t="s">
        <v>2602</v>
      </c>
      <c r="AD30" s="2035" t="s">
        <v>2602</v>
      </c>
      <c r="AE30" s="2035" t="s">
        <v>2602</v>
      </c>
      <c r="AF30" s="2035" t="s">
        <v>2602</v>
      </c>
      <c r="AG30" s="2035" t="s">
        <v>2602</v>
      </c>
      <c r="AH30" s="2034" t="s">
        <v>2602</v>
      </c>
      <c r="AI30" s="2034" t="s">
        <v>2602</v>
      </c>
      <c r="AJ30" s="2034" t="s">
        <v>2602</v>
      </c>
      <c r="AK30" s="2034" t="s">
        <v>2687</v>
      </c>
      <c r="AL30" s="2036" t="s">
        <v>2602</v>
      </c>
      <c r="AM30" s="2708">
        <v>750</v>
      </c>
      <c r="AN30" s="2037">
        <v>295</v>
      </c>
      <c r="AO30" s="1800">
        <v>0.77821011673151752</v>
      </c>
      <c r="AP30" s="1801" t="s">
        <v>2609</v>
      </c>
      <c r="AQ30" s="1801" t="s">
        <v>2610</v>
      </c>
      <c r="AR30" s="1801">
        <v>22</v>
      </c>
      <c r="AS30" s="1801">
        <v>22</v>
      </c>
      <c r="AT30" s="1801" t="s">
        <v>2133</v>
      </c>
      <c r="AU30" s="1801" t="s">
        <v>2133</v>
      </c>
      <c r="AV30" s="1801" t="s">
        <v>2133</v>
      </c>
      <c r="AW30" s="1801" t="s">
        <v>2235</v>
      </c>
      <c r="AX30" s="1801" t="s">
        <v>2612</v>
      </c>
      <c r="AY30" s="1801" t="s">
        <v>2613</v>
      </c>
      <c r="AZ30" s="1802" t="s">
        <v>2129</v>
      </c>
      <c r="BA30" s="1802" t="s">
        <v>2133</v>
      </c>
      <c r="BB30" s="1802" t="s">
        <v>2133</v>
      </c>
      <c r="BC30" s="1802" t="s">
        <v>2133</v>
      </c>
      <c r="BD30" s="1803" t="s">
        <v>2129</v>
      </c>
      <c r="BE30" s="1881" t="s">
        <v>2695</v>
      </c>
      <c r="BF30" s="1804" t="s">
        <v>2690</v>
      </c>
      <c r="BG30" s="1805"/>
      <c r="BH30" s="2641">
        <v>350</v>
      </c>
      <c r="BI30" s="1806">
        <v>350</v>
      </c>
      <c r="BJ30" s="6499"/>
      <c r="BK30" s="1898">
        <v>18</v>
      </c>
      <c r="BL30" s="1789" t="s">
        <v>2708</v>
      </c>
      <c r="BM30" s="899"/>
      <c r="BN30" s="899"/>
      <c r="BO30" s="899"/>
      <c r="BP30" s="899"/>
      <c r="BQ30" s="899"/>
      <c r="BR30" s="899"/>
      <c r="BS30" s="899"/>
      <c r="BT30" s="899"/>
      <c r="BU30" s="899"/>
      <c r="BV30" s="899"/>
      <c r="BW30" s="899"/>
      <c r="BX30" s="899"/>
      <c r="BY30" s="899"/>
      <c r="BZ30" s="899"/>
      <c r="CA30" s="899"/>
      <c r="CB30" s="899"/>
      <c r="CC30" s="899"/>
      <c r="CD30" s="899"/>
      <c r="CE30" s="899"/>
    </row>
    <row r="31" spans="1:83" s="897" customFormat="1" ht="23.15" customHeight="1" thickBot="1">
      <c r="B31" s="1865">
        <v>1033</v>
      </c>
      <c r="C31" s="1098" t="s">
        <v>2709</v>
      </c>
      <c r="D31" s="1796" t="s">
        <v>2138</v>
      </c>
      <c r="E31" s="1797" t="s">
        <v>2602</v>
      </c>
      <c r="F31" s="1797" t="s">
        <v>2602</v>
      </c>
      <c r="G31" s="1797" t="s">
        <v>2602</v>
      </c>
      <c r="H31" s="1797" t="s">
        <v>2602</v>
      </c>
      <c r="I31" s="1797" t="s">
        <v>2602</v>
      </c>
      <c r="J31" s="1797" t="s">
        <v>2602</v>
      </c>
      <c r="K31" s="1797" t="s">
        <v>2602</v>
      </c>
      <c r="L31" s="1798" t="s">
        <v>2602</v>
      </c>
      <c r="M31" s="1798" t="s">
        <v>2602</v>
      </c>
      <c r="N31" s="1798" t="s">
        <v>2602</v>
      </c>
      <c r="O31" s="1798" t="s">
        <v>2602</v>
      </c>
      <c r="P31" s="1797" t="s">
        <v>2602</v>
      </c>
      <c r="Q31" s="1797" t="s">
        <v>2602</v>
      </c>
      <c r="R31" s="1797" t="s">
        <v>2602</v>
      </c>
      <c r="S31" s="1797" t="s">
        <v>2602</v>
      </c>
      <c r="T31" s="1797" t="s">
        <v>2602</v>
      </c>
      <c r="U31" s="2039">
        <v>108</v>
      </c>
      <c r="V31" s="2040" t="s">
        <v>2648</v>
      </c>
      <c r="W31" s="2041" t="s">
        <v>2602</v>
      </c>
      <c r="X31" s="2041" t="s">
        <v>2602</v>
      </c>
      <c r="Y31" s="2041" t="s">
        <v>2602</v>
      </c>
      <c r="Z31" s="2041" t="s">
        <v>2602</v>
      </c>
      <c r="AA31" s="2041" t="s">
        <v>2602</v>
      </c>
      <c r="AB31" s="2041" t="s">
        <v>2602</v>
      </c>
      <c r="AC31" s="2041" t="s">
        <v>2602</v>
      </c>
      <c r="AD31" s="2042" t="s">
        <v>2602</v>
      </c>
      <c r="AE31" s="2042" t="s">
        <v>2602</v>
      </c>
      <c r="AF31" s="2042" t="s">
        <v>2602</v>
      </c>
      <c r="AG31" s="2042" t="s">
        <v>2602</v>
      </c>
      <c r="AH31" s="2041" t="s">
        <v>2602</v>
      </c>
      <c r="AI31" s="2041" t="s">
        <v>2602</v>
      </c>
      <c r="AJ31" s="2041" t="s">
        <v>2602</v>
      </c>
      <c r="AK31" s="2041" t="s">
        <v>2602</v>
      </c>
      <c r="AL31" s="2043" t="s">
        <v>2602</v>
      </c>
      <c r="AM31" s="2709">
        <v>100</v>
      </c>
      <c r="AN31" s="2044" t="s">
        <v>2648</v>
      </c>
      <c r="AO31" s="1800">
        <v>1</v>
      </c>
      <c r="AP31" s="1801" t="s">
        <v>2648</v>
      </c>
      <c r="AQ31" s="1801" t="s">
        <v>2648</v>
      </c>
      <c r="AR31" s="1801" t="s">
        <v>2648</v>
      </c>
      <c r="AS31" s="1801" t="s">
        <v>2648</v>
      </c>
      <c r="AT31" s="1801" t="s">
        <v>2648</v>
      </c>
      <c r="AU31" s="1801" t="s">
        <v>2648</v>
      </c>
      <c r="AV31" s="1801" t="s">
        <v>2648</v>
      </c>
      <c r="AW31" s="1801" t="s">
        <v>2648</v>
      </c>
      <c r="AX31" s="1801" t="s">
        <v>2648</v>
      </c>
      <c r="AY31" s="1801" t="s">
        <v>2613</v>
      </c>
      <c r="AZ31" s="1802" t="s">
        <v>2129</v>
      </c>
      <c r="BA31" s="1802" t="s">
        <v>2129</v>
      </c>
      <c r="BB31" s="1802" t="s">
        <v>2129</v>
      </c>
      <c r="BC31" s="1802" t="s">
        <v>2129</v>
      </c>
      <c r="BD31" s="1803" t="s">
        <v>2129</v>
      </c>
      <c r="BE31" s="1881" t="s">
        <v>2695</v>
      </c>
      <c r="BF31" s="1804" t="s">
        <v>2690</v>
      </c>
      <c r="BG31" s="1805"/>
      <c r="BH31" s="2641">
        <v>100</v>
      </c>
      <c r="BI31" s="1806">
        <v>100</v>
      </c>
      <c r="BJ31" s="6499"/>
      <c r="BK31" s="1898">
        <v>18</v>
      </c>
      <c r="BL31" s="1789" t="s">
        <v>2710</v>
      </c>
      <c r="BM31" s="899"/>
      <c r="BN31" s="899"/>
      <c r="BO31" s="899"/>
      <c r="BP31" s="899"/>
      <c r="BQ31" s="899"/>
      <c r="BR31" s="899"/>
      <c r="BS31" s="899"/>
      <c r="BT31" s="899"/>
      <c r="BU31" s="899"/>
      <c r="BV31" s="899"/>
      <c r="BW31" s="899"/>
      <c r="BX31" s="899"/>
      <c r="BY31" s="899"/>
      <c r="BZ31" s="899"/>
      <c r="CA31" s="899"/>
      <c r="CB31" s="899"/>
      <c r="CC31" s="899"/>
      <c r="CD31" s="899"/>
      <c r="CE31" s="899"/>
    </row>
    <row r="32" spans="1:83" s="897" customFormat="1" ht="23.15" customHeight="1" thickTop="1">
      <c r="B32" s="1865">
        <v>39</v>
      </c>
      <c r="C32" s="1098" t="s">
        <v>2711</v>
      </c>
      <c r="D32" s="1796"/>
      <c r="E32" s="1797"/>
      <c r="F32" s="1797"/>
      <c r="G32" s="1797"/>
      <c r="H32" s="1797"/>
      <c r="I32" s="1797"/>
      <c r="J32" s="1797"/>
      <c r="K32" s="1797"/>
      <c r="L32" s="1798"/>
      <c r="M32" s="1798"/>
      <c r="N32" s="1798"/>
      <c r="O32" s="1798"/>
      <c r="P32" s="1797"/>
      <c r="Q32" s="1797"/>
      <c r="R32" s="1797"/>
      <c r="S32" s="1797"/>
      <c r="T32" s="1799"/>
      <c r="U32" s="2045">
        <v>115</v>
      </c>
      <c r="V32" s="2046"/>
      <c r="W32" s="2047"/>
      <c r="X32" s="2047"/>
      <c r="Y32" s="2047"/>
      <c r="Z32" s="2047"/>
      <c r="AA32" s="2047"/>
      <c r="AB32" s="2047"/>
      <c r="AC32" s="2047"/>
      <c r="AD32" s="2048"/>
      <c r="AE32" s="2048"/>
      <c r="AF32" s="2048"/>
      <c r="AG32" s="2048"/>
      <c r="AH32" s="2047"/>
      <c r="AI32" s="2047"/>
      <c r="AJ32" s="2047"/>
      <c r="AK32" s="2047"/>
      <c r="AL32" s="2049"/>
      <c r="AM32" s="2710"/>
      <c r="AN32" s="2046"/>
      <c r="AO32" s="1807"/>
      <c r="AP32" s="1808"/>
      <c r="AQ32" s="1808"/>
      <c r="AR32" s="1808"/>
      <c r="AS32" s="1808"/>
      <c r="AT32" s="1808"/>
      <c r="AU32" s="1808"/>
      <c r="AV32" s="1808"/>
      <c r="AW32" s="1808"/>
      <c r="AX32" s="1808"/>
      <c r="AY32" s="1808"/>
      <c r="AZ32" s="1809"/>
      <c r="BA32" s="1809"/>
      <c r="BB32" s="1809"/>
      <c r="BC32" s="1809"/>
      <c r="BD32" s="1810"/>
      <c r="BE32" s="1885" t="s">
        <v>2695</v>
      </c>
      <c r="BF32" s="1804" t="s">
        <v>2690</v>
      </c>
      <c r="BG32" s="1805"/>
      <c r="BH32" s="2641">
        <v>115</v>
      </c>
      <c r="BI32" s="1806">
        <v>115</v>
      </c>
      <c r="BJ32" s="6499">
        <v>304</v>
      </c>
      <c r="BK32" s="1898">
        <v>18</v>
      </c>
      <c r="BL32" s="1135" t="s">
        <v>2712</v>
      </c>
      <c r="BM32" s="899"/>
      <c r="BN32" s="899"/>
      <c r="BO32" s="899"/>
      <c r="BP32" s="899"/>
      <c r="BQ32" s="899"/>
      <c r="BR32" s="899"/>
      <c r="BS32" s="899"/>
      <c r="BT32" s="899"/>
      <c r="BU32" s="899"/>
      <c r="BV32" s="899"/>
      <c r="BW32" s="899"/>
      <c r="BX32" s="899"/>
      <c r="BY32" s="899"/>
      <c r="BZ32" s="899"/>
      <c r="CA32" s="899"/>
      <c r="CB32" s="899"/>
      <c r="CC32" s="899"/>
      <c r="CD32" s="899"/>
      <c r="CE32" s="899"/>
    </row>
    <row r="33" spans="2:83" s="897" customFormat="1" ht="23.15" customHeight="1" thickBot="1">
      <c r="B33" s="1865">
        <v>81</v>
      </c>
      <c r="C33" s="1098" t="s">
        <v>2713</v>
      </c>
      <c r="D33" s="1796"/>
      <c r="E33" s="1797"/>
      <c r="F33" s="1797"/>
      <c r="G33" s="1797"/>
      <c r="H33" s="1797"/>
      <c r="I33" s="1797"/>
      <c r="J33" s="1797"/>
      <c r="K33" s="1797"/>
      <c r="L33" s="1798"/>
      <c r="M33" s="1798"/>
      <c r="N33" s="1798"/>
      <c r="O33" s="1798"/>
      <c r="P33" s="1797"/>
      <c r="Q33" s="1797"/>
      <c r="R33" s="1797"/>
      <c r="S33" s="1797"/>
      <c r="T33" s="1799"/>
      <c r="U33" s="2050">
        <v>284</v>
      </c>
      <c r="V33" s="2051"/>
      <c r="W33" s="2052"/>
      <c r="X33" s="2052"/>
      <c r="Y33" s="2052"/>
      <c r="Z33" s="2052"/>
      <c r="AA33" s="2052"/>
      <c r="AB33" s="2052"/>
      <c r="AC33" s="2052"/>
      <c r="AD33" s="2053"/>
      <c r="AE33" s="2053"/>
      <c r="AF33" s="2053"/>
      <c r="AG33" s="2053"/>
      <c r="AH33" s="2052"/>
      <c r="AI33" s="2052"/>
      <c r="AJ33" s="2052"/>
      <c r="AK33" s="2052"/>
      <c r="AL33" s="2054"/>
      <c r="AM33" s="2711"/>
      <c r="AN33" s="2051"/>
      <c r="AO33" s="1807"/>
      <c r="AP33" s="1808"/>
      <c r="AQ33" s="1808"/>
      <c r="AR33" s="1808"/>
      <c r="AS33" s="1808"/>
      <c r="AT33" s="1808"/>
      <c r="AU33" s="1808"/>
      <c r="AV33" s="1808"/>
      <c r="AW33" s="1808"/>
      <c r="AX33" s="1808"/>
      <c r="AY33" s="1808"/>
      <c r="AZ33" s="1809"/>
      <c r="BA33" s="1809"/>
      <c r="BB33" s="1809"/>
      <c r="BC33" s="1809"/>
      <c r="BD33" s="1810"/>
      <c r="BE33" s="1885" t="s">
        <v>2695</v>
      </c>
      <c r="BF33" s="1804" t="s">
        <v>2690</v>
      </c>
      <c r="BG33" s="1805"/>
      <c r="BH33" s="2641">
        <v>284</v>
      </c>
      <c r="BI33" s="1806">
        <v>284</v>
      </c>
      <c r="BJ33" s="6499"/>
      <c r="BK33" s="1898">
        <v>18</v>
      </c>
      <c r="BL33" s="1135" t="s">
        <v>2712</v>
      </c>
      <c r="BM33" s="899"/>
      <c r="BN33" s="899"/>
      <c r="BO33" s="899"/>
      <c r="BP33" s="899"/>
      <c r="BQ33" s="899"/>
      <c r="BR33" s="899"/>
      <c r="BS33" s="899"/>
      <c r="BT33" s="899"/>
      <c r="BU33" s="899"/>
      <c r="BV33" s="899"/>
      <c r="BW33" s="899"/>
      <c r="BX33" s="899"/>
      <c r="BY33" s="899"/>
      <c r="BZ33" s="899"/>
      <c r="CA33" s="899"/>
      <c r="CB33" s="899"/>
      <c r="CC33" s="899"/>
      <c r="CD33" s="899"/>
      <c r="CE33" s="899"/>
    </row>
    <row r="34" spans="2:83" s="897" customFormat="1" ht="23.15" customHeight="1" thickTop="1">
      <c r="B34" s="1865" t="s">
        <v>246</v>
      </c>
      <c r="C34" s="3023"/>
      <c r="D34" s="1099" t="s">
        <v>2138</v>
      </c>
      <c r="E34" s="1797"/>
      <c r="F34" s="1797"/>
      <c r="G34" s="1797"/>
      <c r="H34" s="1797"/>
      <c r="I34" s="1797"/>
      <c r="J34" s="1797"/>
      <c r="K34" s="1797"/>
      <c r="L34" s="1798"/>
      <c r="M34" s="1798"/>
      <c r="N34" s="1798"/>
      <c r="O34" s="1798"/>
      <c r="P34" s="1797"/>
      <c r="Q34" s="1797"/>
      <c r="R34" s="1797"/>
      <c r="S34" s="1797"/>
      <c r="T34" s="1799"/>
      <c r="U34" s="931">
        <v>216</v>
      </c>
      <c r="V34" s="1171">
        <v>333</v>
      </c>
      <c r="W34" s="924" t="s">
        <v>2602</v>
      </c>
      <c r="X34" s="925" t="s">
        <v>2714</v>
      </c>
      <c r="Y34" s="925" t="s">
        <v>2602</v>
      </c>
      <c r="Z34" s="925" t="s">
        <v>2715</v>
      </c>
      <c r="AA34" s="925" t="s">
        <v>2602</v>
      </c>
      <c r="AB34" s="925" t="s">
        <v>2602</v>
      </c>
      <c r="AC34" s="925" t="s">
        <v>2602</v>
      </c>
      <c r="AD34" s="926" t="s">
        <v>2602</v>
      </c>
      <c r="AE34" s="926" t="s">
        <v>2602</v>
      </c>
      <c r="AF34" s="926" t="s">
        <v>2602</v>
      </c>
      <c r="AG34" s="926" t="s">
        <v>2602</v>
      </c>
      <c r="AH34" s="925" t="s">
        <v>2602</v>
      </c>
      <c r="AI34" s="925" t="s">
        <v>2602</v>
      </c>
      <c r="AJ34" s="925" t="s">
        <v>2602</v>
      </c>
      <c r="AK34" s="925" t="s">
        <v>2602</v>
      </c>
      <c r="AL34" s="1173" t="s">
        <v>2602</v>
      </c>
      <c r="AM34" s="2055">
        <v>216</v>
      </c>
      <c r="AN34" s="1171">
        <v>333</v>
      </c>
      <c r="AO34" s="1107">
        <v>1</v>
      </c>
      <c r="AP34" s="1105" t="s">
        <v>2610</v>
      </c>
      <c r="AQ34" s="1108" t="s">
        <v>2610</v>
      </c>
      <c r="AR34" s="1050">
        <v>0</v>
      </c>
      <c r="AS34" s="1050">
        <v>0</v>
      </c>
      <c r="AT34" s="1105" t="s">
        <v>2133</v>
      </c>
      <c r="AU34" s="1050" t="s">
        <v>2133</v>
      </c>
      <c r="AV34" s="1108" t="s">
        <v>2133</v>
      </c>
      <c r="AW34" s="1109" t="s">
        <v>2168</v>
      </c>
      <c r="AX34" s="1109" t="s">
        <v>2133</v>
      </c>
      <c r="AY34" s="1050" t="s">
        <v>2670</v>
      </c>
      <c r="AZ34" s="1110" t="s">
        <v>2129</v>
      </c>
      <c r="BA34" s="1111" t="s">
        <v>2133</v>
      </c>
      <c r="BB34" s="1111" t="s">
        <v>2129</v>
      </c>
      <c r="BC34" s="1111" t="s">
        <v>2133</v>
      </c>
      <c r="BD34" s="1111" t="s">
        <v>2129</v>
      </c>
      <c r="BE34" s="1885" t="s">
        <v>2690</v>
      </c>
      <c r="BF34" s="1804" t="s">
        <v>2690</v>
      </c>
      <c r="BG34" s="1805"/>
      <c r="BH34" s="2641"/>
      <c r="BI34" s="1806"/>
      <c r="BJ34" s="6497">
        <v>1250</v>
      </c>
      <c r="BK34" s="1898">
        <v>18</v>
      </c>
      <c r="BL34" s="1135" t="s">
        <v>2716</v>
      </c>
      <c r="BM34" s="899"/>
      <c r="BN34" s="899"/>
      <c r="BO34" s="899"/>
      <c r="BP34" s="899"/>
      <c r="BQ34" s="899"/>
      <c r="BR34" s="899"/>
      <c r="BS34" s="899"/>
      <c r="BT34" s="899"/>
      <c r="BU34" s="899"/>
      <c r="BV34" s="899"/>
      <c r="BW34" s="899"/>
      <c r="BX34" s="899"/>
      <c r="BY34" s="899"/>
      <c r="BZ34" s="899"/>
      <c r="CA34" s="899"/>
      <c r="CB34" s="899"/>
      <c r="CC34" s="899"/>
      <c r="CD34" s="899"/>
      <c r="CE34" s="899"/>
    </row>
    <row r="35" spans="2:83" s="897" customFormat="1" ht="23.15" customHeight="1">
      <c r="B35" s="1865">
        <v>101</v>
      </c>
      <c r="C35" s="1098" t="s">
        <v>2717</v>
      </c>
      <c r="D35" s="1796" t="s">
        <v>2138</v>
      </c>
      <c r="E35" s="1797" t="s">
        <v>2718</v>
      </c>
      <c r="F35" s="1797" t="s">
        <v>2676</v>
      </c>
      <c r="G35" s="1797" t="s">
        <v>2602</v>
      </c>
      <c r="H35" s="1797" t="s">
        <v>2719</v>
      </c>
      <c r="I35" s="1797" t="s">
        <v>2602</v>
      </c>
      <c r="J35" s="1797" t="s">
        <v>2602</v>
      </c>
      <c r="K35" s="1797" t="s">
        <v>2602</v>
      </c>
      <c r="L35" s="1798" t="s">
        <v>2602</v>
      </c>
      <c r="M35" s="1798" t="s">
        <v>2602</v>
      </c>
      <c r="N35" s="1798" t="s">
        <v>2602</v>
      </c>
      <c r="O35" s="1798" t="s">
        <v>2602</v>
      </c>
      <c r="P35" s="1797" t="s">
        <v>2602</v>
      </c>
      <c r="Q35" s="1797" t="s">
        <v>2602</v>
      </c>
      <c r="R35" s="1797" t="s">
        <v>2602</v>
      </c>
      <c r="S35" s="1797" t="s">
        <v>2602</v>
      </c>
      <c r="T35" s="1797" t="s">
        <v>2602</v>
      </c>
      <c r="U35" s="2032">
        <v>233</v>
      </c>
      <c r="V35" s="2033">
        <v>274</v>
      </c>
      <c r="W35" s="2034" t="s">
        <v>2720</v>
      </c>
      <c r="X35" s="2034" t="s">
        <v>2721</v>
      </c>
      <c r="Y35" s="2034" t="s">
        <v>2602</v>
      </c>
      <c r="Z35" s="2034" t="s">
        <v>2722</v>
      </c>
      <c r="AA35" s="2034" t="s">
        <v>2602</v>
      </c>
      <c r="AB35" s="2034" t="s">
        <v>2602</v>
      </c>
      <c r="AC35" s="2034" t="s">
        <v>2602</v>
      </c>
      <c r="AD35" s="2035" t="s">
        <v>2602</v>
      </c>
      <c r="AE35" s="2035" t="s">
        <v>2602</v>
      </c>
      <c r="AF35" s="2035" t="s">
        <v>2602</v>
      </c>
      <c r="AG35" s="2035" t="s">
        <v>2602</v>
      </c>
      <c r="AH35" s="2034" t="s">
        <v>2602</v>
      </c>
      <c r="AI35" s="2034" t="s">
        <v>2602</v>
      </c>
      <c r="AJ35" s="2034" t="s">
        <v>2602</v>
      </c>
      <c r="AK35" s="2034" t="s">
        <v>2602</v>
      </c>
      <c r="AL35" s="2036" t="s">
        <v>2602</v>
      </c>
      <c r="AM35" s="2718">
        <v>67</v>
      </c>
      <c r="AN35" s="2056">
        <v>72</v>
      </c>
      <c r="AO35" s="1800">
        <v>0.28755364806866951</v>
      </c>
      <c r="AP35" s="1801" t="s">
        <v>2609</v>
      </c>
      <c r="AQ35" s="1801" t="s">
        <v>2610</v>
      </c>
      <c r="AR35" s="1801">
        <v>6</v>
      </c>
      <c r="AS35" s="1801">
        <v>4</v>
      </c>
      <c r="AT35" s="1801" t="s">
        <v>2133</v>
      </c>
      <c r="AU35" s="1801" t="s">
        <v>2688</v>
      </c>
      <c r="AV35" s="1801" t="s">
        <v>2133</v>
      </c>
      <c r="AW35" s="1801" t="s">
        <v>2168</v>
      </c>
      <c r="AX35" s="1801" t="s">
        <v>2133</v>
      </c>
      <c r="AY35" s="1801" t="s">
        <v>2723</v>
      </c>
      <c r="AZ35" s="1802" t="s">
        <v>2129</v>
      </c>
      <c r="BA35" s="1802" t="s">
        <v>2133</v>
      </c>
      <c r="BB35" s="1802" t="s">
        <v>2129</v>
      </c>
      <c r="BC35" s="1802" t="s">
        <v>2129</v>
      </c>
      <c r="BD35" s="1803" t="s">
        <v>2129</v>
      </c>
      <c r="BE35" s="1885" t="s">
        <v>2690</v>
      </c>
      <c r="BF35" s="1804" t="s">
        <v>2690</v>
      </c>
      <c r="BG35" s="1805"/>
      <c r="BH35" s="2641">
        <v>67</v>
      </c>
      <c r="BI35" s="1806">
        <v>67</v>
      </c>
      <c r="BJ35" s="6500"/>
      <c r="BK35" s="1898">
        <v>18</v>
      </c>
      <c r="BL35" s="1135" t="s">
        <v>2724</v>
      </c>
      <c r="BM35" s="899"/>
      <c r="BN35" s="899"/>
      <c r="BO35" s="899"/>
      <c r="BP35" s="899"/>
      <c r="BQ35" s="899"/>
      <c r="BR35" s="899"/>
      <c r="BS35" s="899"/>
      <c r="BT35" s="899"/>
      <c r="BU35" s="899"/>
      <c r="BV35" s="899"/>
      <c r="BW35" s="899"/>
      <c r="BX35" s="899"/>
      <c r="BY35" s="899"/>
      <c r="BZ35" s="899"/>
      <c r="CA35" s="899"/>
      <c r="CB35" s="899"/>
      <c r="CC35" s="899"/>
      <c r="CD35" s="899"/>
      <c r="CE35" s="899"/>
    </row>
    <row r="36" spans="2:83" s="897" customFormat="1" ht="23.15" customHeight="1">
      <c r="B36" s="1865">
        <v>114</v>
      </c>
      <c r="C36" s="1098" t="s">
        <v>2725</v>
      </c>
      <c r="D36" s="1796" t="s">
        <v>2138</v>
      </c>
      <c r="E36" s="1797" t="s">
        <v>2718</v>
      </c>
      <c r="F36" s="1797" t="s">
        <v>2676</v>
      </c>
      <c r="G36" s="1797" t="s">
        <v>2602</v>
      </c>
      <c r="H36" s="1797" t="s">
        <v>2719</v>
      </c>
      <c r="I36" s="1797" t="s">
        <v>2602</v>
      </c>
      <c r="J36" s="1797" t="s">
        <v>2602</v>
      </c>
      <c r="K36" s="1797" t="s">
        <v>2602</v>
      </c>
      <c r="L36" s="1798" t="s">
        <v>2602</v>
      </c>
      <c r="M36" s="1798" t="s">
        <v>2602</v>
      </c>
      <c r="N36" s="1798" t="s">
        <v>2602</v>
      </c>
      <c r="O36" s="1798" t="s">
        <v>2602</v>
      </c>
      <c r="P36" s="1797" t="s">
        <v>2602</v>
      </c>
      <c r="Q36" s="1797" t="s">
        <v>2602</v>
      </c>
      <c r="R36" s="1797" t="s">
        <v>2602</v>
      </c>
      <c r="S36" s="1797" t="s">
        <v>2602</v>
      </c>
      <c r="T36" s="1797" t="s">
        <v>2602</v>
      </c>
      <c r="U36" s="2057">
        <v>238</v>
      </c>
      <c r="V36" s="2057">
        <v>261</v>
      </c>
      <c r="W36" s="2047" t="s">
        <v>2602</v>
      </c>
      <c r="X36" s="2047" t="s">
        <v>2682</v>
      </c>
      <c r="Y36" s="2047" t="s">
        <v>2602</v>
      </c>
      <c r="Z36" s="2047" t="s">
        <v>2636</v>
      </c>
      <c r="AA36" s="2047" t="s">
        <v>2602</v>
      </c>
      <c r="AB36" s="2047" t="s">
        <v>2726</v>
      </c>
      <c r="AC36" s="2047" t="s">
        <v>2602</v>
      </c>
      <c r="AD36" s="2048" t="s">
        <v>2602</v>
      </c>
      <c r="AE36" s="2048" t="s">
        <v>2602</v>
      </c>
      <c r="AF36" s="2048" t="s">
        <v>2602</v>
      </c>
      <c r="AG36" s="2048" t="s">
        <v>2602</v>
      </c>
      <c r="AH36" s="2047" t="s">
        <v>2602</v>
      </c>
      <c r="AI36" s="2047" t="s">
        <v>2602</v>
      </c>
      <c r="AJ36" s="2047" t="s">
        <v>2602</v>
      </c>
      <c r="AK36" s="2047" t="s">
        <v>2602</v>
      </c>
      <c r="AL36" s="2049" t="s">
        <v>2602</v>
      </c>
      <c r="AM36" s="2712">
        <v>238</v>
      </c>
      <c r="AN36" s="2046">
        <v>261</v>
      </c>
      <c r="AO36" s="1807">
        <v>1</v>
      </c>
      <c r="AP36" s="1808" t="s">
        <v>2610</v>
      </c>
      <c r="AQ36" s="1808" t="s">
        <v>2610</v>
      </c>
      <c r="AR36" s="1808">
        <v>0</v>
      </c>
      <c r="AS36" s="1808">
        <v>0</v>
      </c>
      <c r="AT36" s="1808" t="s">
        <v>2133</v>
      </c>
      <c r="AU36" s="1808" t="s">
        <v>2688</v>
      </c>
      <c r="AV36" s="1808" t="s">
        <v>2688</v>
      </c>
      <c r="AW36" s="1808" t="s">
        <v>2168</v>
      </c>
      <c r="AX36" s="1808" t="s">
        <v>2133</v>
      </c>
      <c r="AY36" s="1808" t="s">
        <v>2723</v>
      </c>
      <c r="AZ36" s="1809" t="s">
        <v>2133</v>
      </c>
      <c r="BA36" s="1809" t="s">
        <v>2129</v>
      </c>
      <c r="BB36" s="1809" t="s">
        <v>2129</v>
      </c>
      <c r="BC36" s="1809" t="s">
        <v>2129</v>
      </c>
      <c r="BD36" s="1810" t="s">
        <v>2129</v>
      </c>
      <c r="BE36" s="1885" t="s">
        <v>2690</v>
      </c>
      <c r="BF36" s="1804" t="s">
        <v>2690</v>
      </c>
      <c r="BG36" s="1805"/>
      <c r="BH36" s="2641">
        <v>238</v>
      </c>
      <c r="BI36" s="1806">
        <v>238</v>
      </c>
      <c r="BJ36" s="6500"/>
      <c r="BK36" s="1898">
        <v>18</v>
      </c>
      <c r="BL36" s="1135" t="s">
        <v>2716</v>
      </c>
      <c r="BM36" s="899"/>
      <c r="BN36" s="899"/>
      <c r="BO36" s="899"/>
      <c r="BP36" s="899"/>
      <c r="BQ36" s="899"/>
      <c r="BR36" s="899"/>
      <c r="BS36" s="899"/>
      <c r="BT36" s="899"/>
      <c r="BU36" s="899"/>
      <c r="BV36" s="899"/>
      <c r="BW36" s="899"/>
      <c r="BX36" s="899"/>
      <c r="BY36" s="899"/>
      <c r="BZ36" s="899"/>
      <c r="CA36" s="899"/>
      <c r="CB36" s="899"/>
      <c r="CC36" s="899"/>
      <c r="CD36" s="899"/>
      <c r="CE36" s="899"/>
    </row>
    <row r="37" spans="2:83" s="897" customFormat="1" ht="23.15" customHeight="1">
      <c r="B37" s="1865" t="s">
        <v>246</v>
      </c>
      <c r="C37" s="3023"/>
      <c r="D37" s="1796" t="s">
        <v>2138</v>
      </c>
      <c r="E37" s="1797"/>
      <c r="F37" s="1797"/>
      <c r="G37" s="1797"/>
      <c r="H37" s="1797"/>
      <c r="I37" s="1797"/>
      <c r="J37" s="1797"/>
      <c r="K37" s="1797"/>
      <c r="L37" s="1798"/>
      <c r="M37" s="1798"/>
      <c r="N37" s="1798"/>
      <c r="O37" s="1798"/>
      <c r="P37" s="1797"/>
      <c r="Q37" s="1797"/>
      <c r="R37" s="1797"/>
      <c r="S37" s="1797"/>
      <c r="T37" s="1797"/>
      <c r="U37" s="2057">
        <v>313</v>
      </c>
      <c r="V37" s="2057">
        <v>333</v>
      </c>
      <c r="W37" s="2047" t="s">
        <v>2602</v>
      </c>
      <c r="X37" s="2047" t="s">
        <v>2727</v>
      </c>
      <c r="Y37" s="2047" t="s">
        <v>2602</v>
      </c>
      <c r="Z37" s="2047" t="s">
        <v>2602</v>
      </c>
      <c r="AA37" s="2047" t="s">
        <v>2602</v>
      </c>
      <c r="AB37" s="2047" t="s">
        <v>2602</v>
      </c>
      <c r="AC37" s="2047" t="s">
        <v>2602</v>
      </c>
      <c r="AD37" s="2048" t="s">
        <v>2602</v>
      </c>
      <c r="AE37" s="2048" t="s">
        <v>2602</v>
      </c>
      <c r="AF37" s="2048" t="s">
        <v>2602</v>
      </c>
      <c r="AG37" s="2048" t="s">
        <v>2602</v>
      </c>
      <c r="AH37" s="2047" t="s">
        <v>2602</v>
      </c>
      <c r="AI37" s="2047" t="s">
        <v>2602</v>
      </c>
      <c r="AJ37" s="2047" t="s">
        <v>2602</v>
      </c>
      <c r="AK37" s="2047" t="s">
        <v>2602</v>
      </c>
      <c r="AL37" s="2049" t="s">
        <v>2602</v>
      </c>
      <c r="AM37" s="2712">
        <v>60</v>
      </c>
      <c r="AN37" s="2046">
        <v>60</v>
      </c>
      <c r="AO37" s="1807">
        <v>0.19169329073482427</v>
      </c>
      <c r="AP37" s="1808" t="s">
        <v>2609</v>
      </c>
      <c r="AQ37" s="1808" t="s">
        <v>2610</v>
      </c>
      <c r="AR37" s="1808">
        <v>0</v>
      </c>
      <c r="AS37" s="1808">
        <v>0</v>
      </c>
      <c r="AT37" s="1808" t="s">
        <v>2133</v>
      </c>
      <c r="AU37" s="1808" t="s">
        <v>2688</v>
      </c>
      <c r="AV37" s="1808" t="s">
        <v>2688</v>
      </c>
      <c r="AW37" s="1808" t="s">
        <v>2728</v>
      </c>
      <c r="AX37" s="1808" t="s">
        <v>2133</v>
      </c>
      <c r="AY37" s="1808" t="s">
        <v>2723</v>
      </c>
      <c r="AZ37" s="1809" t="s">
        <v>2133</v>
      </c>
      <c r="BA37" s="1809" t="s">
        <v>2129</v>
      </c>
      <c r="BB37" s="1809" t="s">
        <v>2129</v>
      </c>
      <c r="BC37" s="1809" t="s">
        <v>2129</v>
      </c>
      <c r="BD37" s="1810" t="s">
        <v>2129</v>
      </c>
      <c r="BE37" s="1885" t="s">
        <v>2690</v>
      </c>
      <c r="BF37" s="1804" t="s">
        <v>2690</v>
      </c>
      <c r="BG37" s="1805"/>
      <c r="BH37" s="2641">
        <v>60</v>
      </c>
      <c r="BI37" s="1806">
        <v>60</v>
      </c>
      <c r="BJ37" s="6500"/>
      <c r="BK37" s="1898">
        <v>18</v>
      </c>
      <c r="BL37" s="1135" t="s">
        <v>2716</v>
      </c>
      <c r="BM37" s="899"/>
      <c r="BN37" s="899"/>
      <c r="BO37" s="899"/>
      <c r="BP37" s="899"/>
      <c r="BQ37" s="899"/>
      <c r="BR37" s="899"/>
      <c r="BS37" s="899"/>
      <c r="BT37" s="899"/>
      <c r="BU37" s="899"/>
      <c r="BV37" s="899"/>
      <c r="BW37" s="899"/>
      <c r="BX37" s="899"/>
      <c r="BY37" s="899"/>
      <c r="BZ37" s="899"/>
      <c r="CA37" s="899"/>
      <c r="CB37" s="899"/>
      <c r="CC37" s="899"/>
      <c r="CD37" s="899"/>
      <c r="CE37" s="899"/>
    </row>
    <row r="38" spans="2:83" s="897" customFormat="1" ht="23.15" customHeight="1">
      <c r="B38" s="1865">
        <v>127</v>
      </c>
      <c r="C38" s="1098" t="s">
        <v>2729</v>
      </c>
      <c r="D38" s="1796" t="s">
        <v>2138</v>
      </c>
      <c r="E38" s="1797"/>
      <c r="F38" s="1797"/>
      <c r="G38" s="1797"/>
      <c r="H38" s="1797"/>
      <c r="I38" s="1797"/>
      <c r="J38" s="1797"/>
      <c r="K38" s="1797"/>
      <c r="L38" s="1798"/>
      <c r="M38" s="1798"/>
      <c r="N38" s="1798"/>
      <c r="O38" s="1798"/>
      <c r="P38" s="1797"/>
      <c r="Q38" s="1797"/>
      <c r="R38" s="1797"/>
      <c r="S38" s="1797"/>
      <c r="T38" s="1797"/>
      <c r="U38" s="2058">
        <v>63</v>
      </c>
      <c r="V38" s="2058">
        <v>76</v>
      </c>
      <c r="W38" s="2059" t="s">
        <v>2730</v>
      </c>
      <c r="X38" s="2059" t="s">
        <v>2731</v>
      </c>
      <c r="Y38" s="2059" t="s">
        <v>2602</v>
      </c>
      <c r="Z38" s="2059" t="s">
        <v>2732</v>
      </c>
      <c r="AA38" s="2059" t="s">
        <v>2602</v>
      </c>
      <c r="AB38" s="2059" t="s">
        <v>2602</v>
      </c>
      <c r="AC38" s="2059" t="s">
        <v>2602</v>
      </c>
      <c r="AD38" s="2059" t="s">
        <v>2602</v>
      </c>
      <c r="AE38" s="2059" t="s">
        <v>2635</v>
      </c>
      <c r="AF38" s="2059" t="s">
        <v>2602</v>
      </c>
      <c r="AG38" s="2059" t="s">
        <v>2602</v>
      </c>
      <c r="AH38" s="2059" t="s">
        <v>2602</v>
      </c>
      <c r="AI38" s="2059" t="s">
        <v>2602</v>
      </c>
      <c r="AJ38" s="2059" t="s">
        <v>2602</v>
      </c>
      <c r="AK38" s="2059" t="s">
        <v>2602</v>
      </c>
      <c r="AL38" s="2060" t="s">
        <v>2602</v>
      </c>
      <c r="AM38" s="2717">
        <v>61</v>
      </c>
      <c r="AN38" s="2061">
        <v>74</v>
      </c>
      <c r="AO38" s="1807">
        <v>0.96825396825396826</v>
      </c>
      <c r="AP38" s="1808" t="s">
        <v>2609</v>
      </c>
      <c r="AQ38" s="1808" t="s">
        <v>2610</v>
      </c>
      <c r="AR38" s="1808">
        <v>6</v>
      </c>
      <c r="AS38" s="1808">
        <v>0</v>
      </c>
      <c r="AT38" s="1808" t="s">
        <v>2133</v>
      </c>
      <c r="AU38" s="1808" t="s">
        <v>2133</v>
      </c>
      <c r="AV38" s="1808" t="s">
        <v>2133</v>
      </c>
      <c r="AW38" s="1808" t="s">
        <v>2168</v>
      </c>
      <c r="AX38" s="1808" t="s">
        <v>2133</v>
      </c>
      <c r="AY38" s="1808" t="s">
        <v>2670</v>
      </c>
      <c r="AZ38" s="1809" t="s">
        <v>2129</v>
      </c>
      <c r="BA38" s="1809" t="s">
        <v>2129</v>
      </c>
      <c r="BB38" s="1809" t="s">
        <v>2129</v>
      </c>
      <c r="BC38" s="1809" t="s">
        <v>2129</v>
      </c>
      <c r="BD38" s="1810" t="s">
        <v>2129</v>
      </c>
      <c r="BE38" s="1885" t="s">
        <v>2690</v>
      </c>
      <c r="BF38" s="1804" t="s">
        <v>2690</v>
      </c>
      <c r="BG38" s="1805"/>
      <c r="BH38" s="2641">
        <v>61</v>
      </c>
      <c r="BI38" s="1806">
        <v>61</v>
      </c>
      <c r="BJ38" s="6500"/>
      <c r="BK38" s="1898">
        <v>18</v>
      </c>
      <c r="BL38" s="1135" t="s">
        <v>2716</v>
      </c>
      <c r="BM38" s="899"/>
      <c r="BN38" s="899"/>
      <c r="BO38" s="899"/>
      <c r="BP38" s="899"/>
      <c r="BQ38" s="899"/>
      <c r="BR38" s="899"/>
      <c r="BS38" s="899"/>
      <c r="BT38" s="899"/>
      <c r="BU38" s="899"/>
      <c r="BV38" s="899"/>
      <c r="BW38" s="899"/>
      <c r="BX38" s="899"/>
      <c r="BY38" s="899"/>
      <c r="BZ38" s="899"/>
      <c r="CA38" s="899"/>
      <c r="CB38" s="899"/>
      <c r="CC38" s="899"/>
      <c r="CD38" s="899"/>
      <c r="CE38" s="899"/>
    </row>
    <row r="39" spans="2:83" s="897" customFormat="1" ht="23.15" customHeight="1">
      <c r="B39" s="1865" t="s">
        <v>246</v>
      </c>
      <c r="C39" s="3023"/>
      <c r="D39" s="1796" t="s">
        <v>2733</v>
      </c>
      <c r="E39" s="1797"/>
      <c r="F39" s="1797"/>
      <c r="G39" s="1797"/>
      <c r="H39" s="1797"/>
      <c r="I39" s="1797"/>
      <c r="J39" s="1797"/>
      <c r="K39" s="1797"/>
      <c r="L39" s="1798"/>
      <c r="M39" s="1798"/>
      <c r="N39" s="1798"/>
      <c r="O39" s="1798"/>
      <c r="P39" s="1797"/>
      <c r="Q39" s="1797"/>
      <c r="R39" s="1797"/>
      <c r="S39" s="1797"/>
      <c r="T39" s="1797"/>
      <c r="U39" s="2062">
        <v>95</v>
      </c>
      <c r="V39" s="2057">
        <v>190</v>
      </c>
      <c r="W39" s="2047" t="s">
        <v>2602</v>
      </c>
      <c r="X39" s="2047" t="s">
        <v>2602</v>
      </c>
      <c r="Y39" s="2047" t="s">
        <v>2602</v>
      </c>
      <c r="Z39" s="2047" t="s">
        <v>2734</v>
      </c>
      <c r="AA39" s="2047" t="s">
        <v>2602</v>
      </c>
      <c r="AB39" s="2047" t="s">
        <v>2602</v>
      </c>
      <c r="AC39" s="2047" t="s">
        <v>2602</v>
      </c>
      <c r="AD39" s="2048" t="s">
        <v>2602</v>
      </c>
      <c r="AE39" s="2048" t="s">
        <v>2602</v>
      </c>
      <c r="AF39" s="2048" t="s">
        <v>2602</v>
      </c>
      <c r="AG39" s="2048" t="s">
        <v>2602</v>
      </c>
      <c r="AH39" s="2047" t="s">
        <v>2602</v>
      </c>
      <c r="AI39" s="2047" t="s">
        <v>2602</v>
      </c>
      <c r="AJ39" s="2047" t="s">
        <v>2602</v>
      </c>
      <c r="AK39" s="2047" t="s">
        <v>2602</v>
      </c>
      <c r="AL39" s="2049" t="s">
        <v>2602</v>
      </c>
      <c r="AM39" s="2712">
        <v>95</v>
      </c>
      <c r="AN39" s="2046">
        <v>190</v>
      </c>
      <c r="AO39" s="1807">
        <v>1</v>
      </c>
      <c r="AP39" s="1808" t="s">
        <v>2610</v>
      </c>
      <c r="AQ39" s="1808" t="s">
        <v>2610</v>
      </c>
      <c r="AR39" s="1808">
        <v>1</v>
      </c>
      <c r="AS39" s="1808">
        <v>1</v>
      </c>
      <c r="AT39" s="1808" t="s">
        <v>2133</v>
      </c>
      <c r="AU39" s="1808" t="s">
        <v>2688</v>
      </c>
      <c r="AV39" s="1808" t="s">
        <v>2133</v>
      </c>
      <c r="AW39" s="1808" t="s">
        <v>2288</v>
      </c>
      <c r="AX39" s="1808" t="s">
        <v>2602</v>
      </c>
      <c r="AY39" s="1808" t="s">
        <v>2735</v>
      </c>
      <c r="AZ39" s="1809" t="s">
        <v>2129</v>
      </c>
      <c r="BA39" s="1809" t="s">
        <v>2129</v>
      </c>
      <c r="BB39" s="1809" t="s">
        <v>2133</v>
      </c>
      <c r="BC39" s="1809" t="s">
        <v>2129</v>
      </c>
      <c r="BD39" s="1810" t="s">
        <v>2129</v>
      </c>
      <c r="BE39" s="1885" t="s">
        <v>2690</v>
      </c>
      <c r="BF39" s="1804" t="s">
        <v>2690</v>
      </c>
      <c r="BG39" s="1805"/>
      <c r="BH39" s="2641">
        <v>95</v>
      </c>
      <c r="BI39" s="1806">
        <v>95</v>
      </c>
      <c r="BJ39" s="6500"/>
      <c r="BK39" s="1898">
        <v>18</v>
      </c>
      <c r="BL39" s="1135" t="s">
        <v>2716</v>
      </c>
      <c r="BM39" s="899"/>
      <c r="BN39" s="899"/>
      <c r="BO39" s="899"/>
      <c r="BP39" s="899"/>
      <c r="BQ39" s="899"/>
      <c r="BR39" s="899"/>
      <c r="BS39" s="899"/>
      <c r="BT39" s="899"/>
      <c r="BU39" s="899"/>
      <c r="BV39" s="899"/>
      <c r="BW39" s="899"/>
      <c r="BX39" s="899"/>
      <c r="BY39" s="899"/>
      <c r="BZ39" s="899"/>
      <c r="CA39" s="899"/>
      <c r="CB39" s="899"/>
      <c r="CC39" s="899"/>
      <c r="CD39" s="899"/>
      <c r="CE39" s="899"/>
    </row>
    <row r="40" spans="2:83" s="897" customFormat="1" ht="23.15" customHeight="1">
      <c r="B40" s="1865">
        <v>168</v>
      </c>
      <c r="C40" s="1098" t="s">
        <v>2736</v>
      </c>
      <c r="D40" s="1796"/>
      <c r="E40" s="1797"/>
      <c r="F40" s="1797"/>
      <c r="G40" s="1797"/>
      <c r="H40" s="1797"/>
      <c r="I40" s="1797"/>
      <c r="J40" s="1797"/>
      <c r="K40" s="1797"/>
      <c r="L40" s="1798"/>
      <c r="M40" s="1798"/>
      <c r="N40" s="1798"/>
      <c r="O40" s="1798"/>
      <c r="P40" s="1797"/>
      <c r="Q40" s="1797"/>
      <c r="R40" s="1797"/>
      <c r="S40" s="1797"/>
      <c r="T40" s="1797"/>
      <c r="U40" s="2063">
        <v>195</v>
      </c>
      <c r="V40" s="2064">
        <v>247</v>
      </c>
      <c r="W40" s="2047"/>
      <c r="X40" s="2047"/>
      <c r="Y40" s="2047"/>
      <c r="Z40" s="2047"/>
      <c r="AA40" s="2047"/>
      <c r="AB40" s="2047"/>
      <c r="AC40" s="2047"/>
      <c r="AD40" s="2047"/>
      <c r="AE40" s="2047"/>
      <c r="AF40" s="2047"/>
      <c r="AG40" s="2047"/>
      <c r="AH40" s="2047"/>
      <c r="AI40" s="2047"/>
      <c r="AJ40" s="2047"/>
      <c r="AK40" s="2047"/>
      <c r="AL40" s="2049"/>
      <c r="AM40" s="2713">
        <v>15</v>
      </c>
      <c r="AN40" s="2065">
        <v>19</v>
      </c>
      <c r="AO40" s="1807"/>
      <c r="AP40" s="1808"/>
      <c r="AQ40" s="1808"/>
      <c r="AR40" s="1808"/>
      <c r="AS40" s="1808"/>
      <c r="AT40" s="1808"/>
      <c r="AU40" s="1808"/>
      <c r="AV40" s="1808"/>
      <c r="AW40" s="1808"/>
      <c r="AX40" s="1808"/>
      <c r="AY40" s="1808"/>
      <c r="AZ40" s="1809"/>
      <c r="BA40" s="1809"/>
      <c r="BB40" s="1809"/>
      <c r="BC40" s="1809"/>
      <c r="BD40" s="1810"/>
      <c r="BE40" s="1885" t="s">
        <v>2690</v>
      </c>
      <c r="BF40" s="1804" t="s">
        <v>2690</v>
      </c>
      <c r="BG40" s="1805"/>
      <c r="BH40" s="2641">
        <v>14</v>
      </c>
      <c r="BI40" s="1806">
        <v>14</v>
      </c>
      <c r="BJ40" s="6500"/>
      <c r="BK40" s="1898">
        <v>18</v>
      </c>
      <c r="BL40" s="1135" t="s">
        <v>2716</v>
      </c>
      <c r="BM40" s="899"/>
      <c r="BN40" s="899"/>
      <c r="BO40" s="899"/>
      <c r="BP40" s="899"/>
      <c r="BQ40" s="899"/>
      <c r="BR40" s="899"/>
      <c r="BS40" s="899"/>
      <c r="BT40" s="899"/>
      <c r="BU40" s="899"/>
      <c r="BV40" s="899"/>
      <c r="BW40" s="899"/>
      <c r="BX40" s="899"/>
      <c r="BY40" s="899"/>
      <c r="BZ40" s="899"/>
      <c r="CA40" s="899"/>
      <c r="CB40" s="899"/>
      <c r="CC40" s="899"/>
      <c r="CD40" s="899"/>
      <c r="CE40" s="899"/>
    </row>
    <row r="41" spans="2:83" s="897" customFormat="1" ht="23.15" customHeight="1">
      <c r="B41" s="1865">
        <v>158</v>
      </c>
      <c r="C41" s="1098" t="s">
        <v>2737</v>
      </c>
      <c r="D41" s="1796"/>
      <c r="E41" s="1797"/>
      <c r="F41" s="1797"/>
      <c r="G41" s="1797"/>
      <c r="H41" s="1797"/>
      <c r="I41" s="1797"/>
      <c r="J41" s="1797"/>
      <c r="K41" s="1797"/>
      <c r="L41" s="1798"/>
      <c r="M41" s="1798"/>
      <c r="N41" s="1798"/>
      <c r="O41" s="1798"/>
      <c r="P41" s="1797"/>
      <c r="Q41" s="1797"/>
      <c r="R41" s="1797"/>
      <c r="S41" s="1797"/>
      <c r="T41" s="1797"/>
      <c r="U41" s="2064">
        <v>225</v>
      </c>
      <c r="V41" s="2064">
        <v>237</v>
      </c>
      <c r="W41" s="2047"/>
      <c r="X41" s="2047"/>
      <c r="Y41" s="2047"/>
      <c r="Z41" s="2047"/>
      <c r="AA41" s="2047"/>
      <c r="AB41" s="2047"/>
      <c r="AC41" s="2047"/>
      <c r="AD41" s="2047"/>
      <c r="AE41" s="2047"/>
      <c r="AF41" s="2047"/>
      <c r="AG41" s="2047"/>
      <c r="AH41" s="2047"/>
      <c r="AI41" s="2047"/>
      <c r="AJ41" s="2047"/>
      <c r="AK41" s="2047"/>
      <c r="AL41" s="2049"/>
      <c r="AM41" s="2713">
        <v>225</v>
      </c>
      <c r="AN41" s="2065">
        <v>237</v>
      </c>
      <c r="AO41" s="1807"/>
      <c r="AP41" s="1808"/>
      <c r="AQ41" s="1808"/>
      <c r="AR41" s="1808"/>
      <c r="AS41" s="1808"/>
      <c r="AT41" s="1808"/>
      <c r="AU41" s="1808"/>
      <c r="AV41" s="1808"/>
      <c r="AW41" s="1808"/>
      <c r="AX41" s="1808"/>
      <c r="AY41" s="1808"/>
      <c r="AZ41" s="1809"/>
      <c r="BA41" s="1809"/>
      <c r="BB41" s="1809"/>
      <c r="BC41" s="1809"/>
      <c r="BD41" s="1810"/>
      <c r="BE41" s="1885" t="s">
        <v>2690</v>
      </c>
      <c r="BF41" s="1804" t="s">
        <v>2690</v>
      </c>
      <c r="BG41" s="1805"/>
      <c r="BH41" s="2641">
        <v>225</v>
      </c>
      <c r="BI41" s="1806">
        <v>225</v>
      </c>
      <c r="BJ41" s="6500"/>
      <c r="BK41" s="1898">
        <v>18</v>
      </c>
      <c r="BL41" s="1135" t="s">
        <v>2716</v>
      </c>
      <c r="BM41" s="899"/>
      <c r="BN41" s="899"/>
      <c r="BO41" s="899"/>
      <c r="BP41" s="899"/>
      <c r="BQ41" s="899"/>
      <c r="BR41" s="899"/>
      <c r="BS41" s="899"/>
      <c r="BT41" s="899"/>
      <c r="BU41" s="899"/>
      <c r="BV41" s="899"/>
      <c r="BW41" s="899"/>
      <c r="BX41" s="899"/>
      <c r="BY41" s="899"/>
      <c r="BZ41" s="899"/>
      <c r="CA41" s="899"/>
      <c r="CB41" s="899"/>
      <c r="CC41" s="899"/>
      <c r="CD41" s="899"/>
      <c r="CE41" s="899"/>
    </row>
    <row r="42" spans="2:83" s="897" customFormat="1" ht="23.15" customHeight="1">
      <c r="B42" s="1865">
        <v>140</v>
      </c>
      <c r="C42" s="1098" t="s">
        <v>2738</v>
      </c>
      <c r="D42" s="1796"/>
      <c r="E42" s="1797"/>
      <c r="F42" s="1797"/>
      <c r="G42" s="1797"/>
      <c r="H42" s="1797"/>
      <c r="I42" s="1797"/>
      <c r="J42" s="1797"/>
      <c r="K42" s="1797"/>
      <c r="L42" s="1798"/>
      <c r="M42" s="1798"/>
      <c r="N42" s="1798"/>
      <c r="O42" s="1798"/>
      <c r="P42" s="1797"/>
      <c r="Q42" s="1797"/>
      <c r="R42" s="1797"/>
      <c r="S42" s="1797"/>
      <c r="T42" s="1797"/>
      <c r="U42" s="2064">
        <v>190</v>
      </c>
      <c r="V42" s="2064">
        <v>208</v>
      </c>
      <c r="W42" s="2047"/>
      <c r="X42" s="2047"/>
      <c r="Y42" s="2047"/>
      <c r="Z42" s="2047"/>
      <c r="AA42" s="2047"/>
      <c r="AB42" s="2047"/>
      <c r="AC42" s="2047"/>
      <c r="AD42" s="2047"/>
      <c r="AE42" s="2047"/>
      <c r="AF42" s="2047"/>
      <c r="AG42" s="2047"/>
      <c r="AH42" s="2047"/>
      <c r="AI42" s="2047"/>
      <c r="AJ42" s="2047"/>
      <c r="AK42" s="2047"/>
      <c r="AL42" s="2049"/>
      <c r="AM42" s="2714">
        <v>97</v>
      </c>
      <c r="AN42" s="2065">
        <v>99</v>
      </c>
      <c r="AO42" s="1807"/>
      <c r="AP42" s="1808"/>
      <c r="AQ42" s="1808"/>
      <c r="AR42" s="1808"/>
      <c r="AS42" s="1808"/>
      <c r="AT42" s="1808"/>
      <c r="AU42" s="1808"/>
      <c r="AV42" s="1808"/>
      <c r="AW42" s="1808"/>
      <c r="AX42" s="1808"/>
      <c r="AY42" s="1808"/>
      <c r="AZ42" s="1809"/>
      <c r="BA42" s="1809"/>
      <c r="BB42" s="1809"/>
      <c r="BC42" s="1809"/>
      <c r="BD42" s="1810"/>
      <c r="BE42" s="1885" t="s">
        <v>2690</v>
      </c>
      <c r="BF42" s="1804" t="s">
        <v>2690</v>
      </c>
      <c r="BG42" s="1805"/>
      <c r="BH42" s="2641">
        <v>97</v>
      </c>
      <c r="BI42" s="1806">
        <v>97</v>
      </c>
      <c r="BJ42" s="6500"/>
      <c r="BK42" s="1898">
        <v>18</v>
      </c>
      <c r="BL42" s="1135" t="s">
        <v>2716</v>
      </c>
      <c r="BM42" s="899"/>
      <c r="BN42" s="899"/>
      <c r="BO42" s="899"/>
      <c r="BP42" s="899"/>
      <c r="BQ42" s="899"/>
      <c r="BR42" s="899"/>
      <c r="BS42" s="899"/>
      <c r="BT42" s="899"/>
      <c r="BU42" s="899"/>
      <c r="BV42" s="899"/>
      <c r="BW42" s="899"/>
      <c r="BX42" s="899"/>
      <c r="BY42" s="899"/>
      <c r="BZ42" s="899"/>
      <c r="CA42" s="899"/>
      <c r="CB42" s="899"/>
      <c r="CC42" s="899"/>
      <c r="CD42" s="899"/>
      <c r="CE42" s="899"/>
    </row>
    <row r="43" spans="2:83" s="897" customFormat="1" ht="23.15" customHeight="1">
      <c r="B43" s="1865">
        <v>99</v>
      </c>
      <c r="C43" s="1098" t="s">
        <v>2739</v>
      </c>
      <c r="D43" s="1796"/>
      <c r="E43" s="1797"/>
      <c r="F43" s="1797"/>
      <c r="G43" s="1797"/>
      <c r="H43" s="1797"/>
      <c r="I43" s="1797"/>
      <c r="J43" s="1797"/>
      <c r="K43" s="1797"/>
      <c r="L43" s="1798"/>
      <c r="M43" s="1798"/>
      <c r="N43" s="1798"/>
      <c r="O43" s="1798"/>
      <c r="P43" s="1797"/>
      <c r="Q43" s="1797"/>
      <c r="R43" s="1797"/>
      <c r="S43" s="1797"/>
      <c r="T43" s="1797"/>
      <c r="U43" s="2066">
        <v>178</v>
      </c>
      <c r="V43" s="2066">
        <v>205</v>
      </c>
      <c r="W43" s="2047"/>
      <c r="X43" s="2047"/>
      <c r="Y43" s="2047"/>
      <c r="Z43" s="2047"/>
      <c r="AA43" s="2047"/>
      <c r="AB43" s="2047"/>
      <c r="AC43" s="2047"/>
      <c r="AD43" s="2047"/>
      <c r="AE43" s="2047"/>
      <c r="AF43" s="2047"/>
      <c r="AG43" s="2047"/>
      <c r="AH43" s="2047"/>
      <c r="AI43" s="2047"/>
      <c r="AJ43" s="2047"/>
      <c r="AK43" s="2047"/>
      <c r="AL43" s="2049"/>
      <c r="AM43" s="2715">
        <v>55</v>
      </c>
      <c r="AN43" s="2067">
        <v>62</v>
      </c>
      <c r="AO43" s="1807"/>
      <c r="AP43" s="1808"/>
      <c r="AQ43" s="1808"/>
      <c r="AR43" s="1808"/>
      <c r="AS43" s="1808"/>
      <c r="AT43" s="1808"/>
      <c r="AU43" s="1808"/>
      <c r="AV43" s="1808"/>
      <c r="AW43" s="1808"/>
      <c r="AX43" s="1808"/>
      <c r="AY43" s="1808"/>
      <c r="AZ43" s="1809"/>
      <c r="BA43" s="1809"/>
      <c r="BB43" s="1809"/>
      <c r="BC43" s="1809"/>
      <c r="BD43" s="1810"/>
      <c r="BE43" s="1885" t="s">
        <v>2690</v>
      </c>
      <c r="BF43" s="1804" t="s">
        <v>2690</v>
      </c>
      <c r="BG43" s="1805"/>
      <c r="BH43" s="2641">
        <v>50</v>
      </c>
      <c r="BI43" s="1806">
        <v>50</v>
      </c>
      <c r="BJ43" s="6500"/>
      <c r="BK43" s="1898">
        <v>18</v>
      </c>
      <c r="BL43" s="1135" t="s">
        <v>2716</v>
      </c>
      <c r="BM43" s="899"/>
      <c r="BN43" s="899"/>
      <c r="BO43" s="899"/>
      <c r="BP43" s="899"/>
      <c r="BQ43" s="899"/>
      <c r="BR43" s="899"/>
      <c r="BS43" s="899"/>
      <c r="BT43" s="899"/>
      <c r="BU43" s="899"/>
      <c r="BV43" s="899"/>
      <c r="BW43" s="899"/>
      <c r="BX43" s="899"/>
      <c r="BY43" s="899"/>
      <c r="BZ43" s="899"/>
      <c r="CA43" s="899"/>
      <c r="CB43" s="899"/>
      <c r="CC43" s="899"/>
      <c r="CD43" s="899"/>
      <c r="CE43" s="899"/>
    </row>
    <row r="44" spans="2:83" s="897" customFormat="1" ht="23.15" customHeight="1" thickBot="1">
      <c r="B44" s="1865">
        <v>54</v>
      </c>
      <c r="C44" s="1098" t="s">
        <v>2740</v>
      </c>
      <c r="D44" s="1796"/>
      <c r="E44" s="1797"/>
      <c r="F44" s="1797"/>
      <c r="G44" s="1797"/>
      <c r="H44" s="1797"/>
      <c r="I44" s="1797"/>
      <c r="J44" s="1797"/>
      <c r="K44" s="1797"/>
      <c r="L44" s="1798"/>
      <c r="M44" s="1798"/>
      <c r="N44" s="1798"/>
      <c r="O44" s="1798"/>
      <c r="P44" s="1797"/>
      <c r="Q44" s="1797"/>
      <c r="R44" s="1797"/>
      <c r="S44" s="1797"/>
      <c r="T44" s="1797"/>
      <c r="U44" s="2068">
        <v>153</v>
      </c>
      <c r="V44" s="2068">
        <v>179</v>
      </c>
      <c r="W44" s="2069"/>
      <c r="X44" s="2069"/>
      <c r="Y44" s="2069"/>
      <c r="Z44" s="2069"/>
      <c r="AA44" s="2069"/>
      <c r="AB44" s="2069"/>
      <c r="AC44" s="2069"/>
      <c r="AD44" s="2069"/>
      <c r="AE44" s="2069"/>
      <c r="AF44" s="2069"/>
      <c r="AG44" s="2069"/>
      <c r="AH44" s="2069"/>
      <c r="AI44" s="2069"/>
      <c r="AJ44" s="2069"/>
      <c r="AK44" s="2069"/>
      <c r="AL44" s="2070"/>
      <c r="AM44" s="2716">
        <v>153</v>
      </c>
      <c r="AN44" s="2071">
        <v>179</v>
      </c>
      <c r="AO44" s="1807"/>
      <c r="AP44" s="1808"/>
      <c r="AQ44" s="1808"/>
      <c r="AR44" s="1808"/>
      <c r="AS44" s="1808"/>
      <c r="AT44" s="1808"/>
      <c r="AU44" s="1808"/>
      <c r="AV44" s="1808"/>
      <c r="AW44" s="1808"/>
      <c r="AX44" s="1808"/>
      <c r="AY44" s="1808"/>
      <c r="AZ44" s="1809"/>
      <c r="BA44" s="1809"/>
      <c r="BB44" s="1809"/>
      <c r="BC44" s="1809"/>
      <c r="BD44" s="1810"/>
      <c r="BE44" s="1885" t="s">
        <v>2690</v>
      </c>
      <c r="BF44" s="1804" t="s">
        <v>2690</v>
      </c>
      <c r="BG44" s="1805"/>
      <c r="BH44" s="2641">
        <v>153</v>
      </c>
      <c r="BI44" s="1806">
        <v>153</v>
      </c>
      <c r="BJ44" s="6498"/>
      <c r="BK44" s="1898">
        <v>18</v>
      </c>
      <c r="BL44" s="1135" t="s">
        <v>2716</v>
      </c>
      <c r="BM44" s="899"/>
      <c r="BN44" s="899"/>
      <c r="BO44" s="899"/>
      <c r="BP44" s="899"/>
      <c r="BQ44" s="899"/>
      <c r="BR44" s="899"/>
      <c r="BS44" s="899"/>
      <c r="BT44" s="899"/>
      <c r="BU44" s="899"/>
      <c r="BV44" s="899"/>
      <c r="BW44" s="899"/>
      <c r="BX44" s="899"/>
      <c r="BY44" s="899"/>
      <c r="BZ44" s="899"/>
      <c r="CA44" s="899"/>
      <c r="CB44" s="899"/>
      <c r="CC44" s="899"/>
      <c r="CD44" s="899"/>
      <c r="CE44" s="899"/>
    </row>
    <row r="45" spans="2:83" ht="9.65" customHeight="1" thickTop="1">
      <c r="BI45" s="1813"/>
    </row>
    <row r="46" spans="2:83" ht="23.15" customHeight="1">
      <c r="BH46" t="s">
        <v>127</v>
      </c>
      <c r="BI46" s="1813">
        <f>SUM(BI27:BI44)</f>
        <v>2715</v>
      </c>
      <c r="BJ46" s="1813">
        <f>SUM(BJ27:BJ44)</f>
        <v>2560</v>
      </c>
      <c r="BK46" s="1866" t="s">
        <v>2741</v>
      </c>
    </row>
  </sheetData>
  <mergeCells count="37">
    <mergeCell ref="BJ34:BJ44"/>
    <mergeCell ref="BJ3:BJ5"/>
    <mergeCell ref="BJ24:BJ26"/>
    <mergeCell ref="BK3:BK5"/>
    <mergeCell ref="BK24:BK26"/>
    <mergeCell ref="BH24:BI25"/>
    <mergeCell ref="BJ15:BJ17"/>
    <mergeCell ref="BJ20:BJ21"/>
    <mergeCell ref="BJ27:BJ31"/>
    <mergeCell ref="BJ32:BJ33"/>
    <mergeCell ref="BF18:BG18"/>
    <mergeCell ref="BH3:BI4"/>
    <mergeCell ref="BJ6:BJ7"/>
    <mergeCell ref="BJ9:BJ12"/>
    <mergeCell ref="BJ13:BJ14"/>
    <mergeCell ref="BB25:BB26"/>
    <mergeCell ref="BC25:BC26"/>
    <mergeCell ref="BD25:BD26"/>
    <mergeCell ref="B24:BD24"/>
    <mergeCell ref="E25:V25"/>
    <mergeCell ref="W25:AO25"/>
    <mergeCell ref="AP25:AQ25"/>
    <mergeCell ref="AR25:AS25"/>
    <mergeCell ref="AT25:AV25"/>
    <mergeCell ref="AZ25:AZ26"/>
    <mergeCell ref="BA25:BA26"/>
    <mergeCell ref="BA4:BA5"/>
    <mergeCell ref="BB4:BB5"/>
    <mergeCell ref="BC4:BC5"/>
    <mergeCell ref="BD4:BD5"/>
    <mergeCell ref="B3:BD3"/>
    <mergeCell ref="E4:V4"/>
    <mergeCell ref="W4:AO4"/>
    <mergeCell ref="AP4:AQ4"/>
    <mergeCell ref="AR4:AS4"/>
    <mergeCell ref="AT4:AV4"/>
    <mergeCell ref="AZ4:AZ5"/>
  </mergeCells>
  <phoneticPr fontId="2"/>
  <conditionalFormatting sqref="AY26">
    <cfRule type="cellIs" dxfId="965" priority="5" operator="equal">
      <formula>"定義外"</formula>
    </cfRule>
  </conditionalFormatting>
  <conditionalFormatting sqref="AY6:BD23">
    <cfRule type="cellIs" dxfId="964" priority="4" operator="equal">
      <formula>"定義外"</formula>
    </cfRule>
  </conditionalFormatting>
  <conditionalFormatting sqref="AY27:BD44">
    <cfRule type="cellIs" dxfId="963" priority="3" operator="equal">
      <formula>"定義外"</formula>
    </cfRule>
  </conditionalFormatting>
  <conditionalFormatting sqref="AZ4:BD4 AY4:AY5 AY25:BD25">
    <cfRule type="cellIs" dxfId="962" priority="8" operator="equal">
      <formula>"定義外"</formula>
    </cfRule>
  </conditionalFormatting>
  <conditionalFormatting sqref="BH27">
    <cfRule type="cellIs" dxfId="961" priority="1" operator="equal">
      <formula>"ホテル等"</formula>
    </cfRule>
    <cfRule type="cellIs" dxfId="960" priority="2" operator="equal">
      <formula>"サブ選手村"</formula>
    </cfRule>
  </conditionalFormatting>
  <printOptions horizontalCentered="1"/>
  <pageMargins left="0.70866141732283472" right="0.70866141732283472" top="0.74803149606299213" bottom="0.74803149606299213" header="0.31496062992125984" footer="0.31496062992125984"/>
  <pageSetup paperSize="8" scale="64"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8DF3-CBA3-4A0F-BF27-B43B08DE3A7E}">
  <sheetPr codeName="Sheet305">
    <tabColor rgb="FFFFC000"/>
    <pageSetUpPr fitToPage="1"/>
  </sheetPr>
  <dimension ref="B1:AK41"/>
  <sheetViews>
    <sheetView zoomScale="70" zoomScaleNormal="70" workbookViewId="0">
      <selection activeCell="E20" sqref="E20"/>
    </sheetView>
  </sheetViews>
  <sheetFormatPr defaultRowHeight="13"/>
  <cols>
    <col min="1" max="1" width="3.1796875" customWidth="1"/>
    <col min="2" max="2" width="24.453125" customWidth="1"/>
    <col min="3" max="10" width="27.1796875" customWidth="1"/>
    <col min="11" max="11" width="12.81640625" hidden="1" customWidth="1"/>
    <col min="12" max="12" width="24.453125" hidden="1" customWidth="1"/>
    <col min="13" max="13" width="21.26953125" hidden="1" customWidth="1"/>
    <col min="14" max="14" width="21.26953125" customWidth="1"/>
    <col min="15" max="15" width="9.08984375" customWidth="1"/>
    <col min="16" max="16" width="2.54296875" customWidth="1"/>
    <col min="17" max="25" width="21.26953125" customWidth="1"/>
    <col min="26" max="26" width="18.54296875" style="3997" customWidth="1"/>
    <col min="28" max="28" width="3.1796875" customWidth="1"/>
    <col min="29" max="29" width="24.453125" customWidth="1"/>
    <col min="30" max="34" width="27.1796875" customWidth="1"/>
    <col min="35" max="35" width="12.81640625" hidden="1" customWidth="1"/>
    <col min="36" max="36" width="24.453125" hidden="1" customWidth="1"/>
    <col min="37" max="37" width="21.26953125" hidden="1" customWidth="1"/>
  </cols>
  <sheetData>
    <row r="1" spans="2:29">
      <c r="B1" s="6250" t="s">
        <v>7010</v>
      </c>
      <c r="C1" s="2814" t="e">
        <f>SUM(#REF!*24,#REF!*24,#REF!*21)</f>
        <v>#REF!</v>
      </c>
      <c r="D1" s="2814" t="e">
        <f>#REF!*24</f>
        <v>#REF!</v>
      </c>
      <c r="E1" s="2814" t="e">
        <f>#REF!*24</f>
        <v>#REF!</v>
      </c>
      <c r="F1" s="2814" t="e">
        <f>#REF!*21</f>
        <v>#REF!</v>
      </c>
      <c r="Q1" s="6273" t="s">
        <v>7000</v>
      </c>
      <c r="AC1" s="2969" t="s">
        <v>2743</v>
      </c>
    </row>
    <row r="2" spans="2:29" ht="16.5" hidden="1">
      <c r="B2" s="2773" t="s">
        <v>258</v>
      </c>
      <c r="Q2" s="2773" t="s">
        <v>258</v>
      </c>
      <c r="AC2" s="2773" t="s">
        <v>258</v>
      </c>
    </row>
    <row r="3" spans="2:29" hidden="1">
      <c r="B3" t="s">
        <v>259</v>
      </c>
      <c r="Q3" t="s">
        <v>259</v>
      </c>
      <c r="AC3" t="s">
        <v>259</v>
      </c>
    </row>
    <row r="4" spans="2:29" hidden="1">
      <c r="B4" t="s">
        <v>2744</v>
      </c>
      <c r="Q4" t="s">
        <v>2744</v>
      </c>
      <c r="AC4" t="s">
        <v>2744</v>
      </c>
    </row>
    <row r="5" spans="2:29" hidden="1">
      <c r="B5" t="s">
        <v>2745</v>
      </c>
      <c r="Q5" t="s">
        <v>2745</v>
      </c>
      <c r="AC5" t="s">
        <v>2745</v>
      </c>
    </row>
    <row r="6" spans="2:29" hidden="1">
      <c r="B6" t="s">
        <v>2746</v>
      </c>
      <c r="Q6" t="s">
        <v>2746</v>
      </c>
      <c r="AC6" t="s">
        <v>2746</v>
      </c>
    </row>
    <row r="7" spans="2:29" hidden="1">
      <c r="B7" t="s">
        <v>2747</v>
      </c>
      <c r="Q7" t="s">
        <v>2747</v>
      </c>
      <c r="AC7" t="s">
        <v>2747</v>
      </c>
    </row>
    <row r="8" spans="2:29" hidden="1">
      <c r="B8" t="s">
        <v>2748</v>
      </c>
      <c r="Q8" t="s">
        <v>2748</v>
      </c>
      <c r="AC8" t="s">
        <v>2748</v>
      </c>
    </row>
    <row r="9" spans="2:29" hidden="1"/>
    <row r="10" spans="2:29" ht="16.5" hidden="1">
      <c r="B10" s="2773" t="s">
        <v>264</v>
      </c>
      <c r="Q10" s="2773" t="s">
        <v>264</v>
      </c>
      <c r="AC10" s="2773" t="s">
        <v>264</v>
      </c>
    </row>
    <row r="11" spans="2:29" hidden="1">
      <c r="B11" t="s">
        <v>2749</v>
      </c>
      <c r="Q11" t="s">
        <v>2749</v>
      </c>
      <c r="AC11" t="s">
        <v>2749</v>
      </c>
    </row>
    <row r="12" spans="2:29" hidden="1">
      <c r="B12" t="s">
        <v>2750</v>
      </c>
      <c r="Q12" t="s">
        <v>2750</v>
      </c>
      <c r="AC12" t="s">
        <v>2750</v>
      </c>
    </row>
    <row r="13" spans="2:29" hidden="1">
      <c r="B13" t="s">
        <v>2751</v>
      </c>
      <c r="Q13" t="s">
        <v>2751</v>
      </c>
      <c r="AC13" t="s">
        <v>2751</v>
      </c>
    </row>
    <row r="14" spans="2:29" hidden="1">
      <c r="B14" t="s">
        <v>2752</v>
      </c>
      <c r="Q14" t="s">
        <v>2752</v>
      </c>
      <c r="AC14" t="s">
        <v>2752</v>
      </c>
    </row>
    <row r="15" spans="2:29" hidden="1">
      <c r="B15" s="3991" t="s">
        <v>2753</v>
      </c>
      <c r="Q15" s="3991" t="s">
        <v>2753</v>
      </c>
      <c r="AC15" s="3991" t="s">
        <v>2753</v>
      </c>
    </row>
    <row r="16" spans="2:29" hidden="1">
      <c r="B16" s="3991" t="s">
        <v>2754</v>
      </c>
      <c r="Q16" s="3991" t="s">
        <v>2754</v>
      </c>
      <c r="AC16" s="3991" t="s">
        <v>2754</v>
      </c>
    </row>
    <row r="17" spans="2:37" hidden="1">
      <c r="B17" s="3991" t="s">
        <v>2755</v>
      </c>
      <c r="Q17" s="3991" t="s">
        <v>2755</v>
      </c>
      <c r="AC17" s="3991" t="s">
        <v>2755</v>
      </c>
    </row>
    <row r="18" spans="2:37" hidden="1">
      <c r="B18" s="3991" t="s">
        <v>2756</v>
      </c>
      <c r="Q18" s="3991" t="s">
        <v>2756</v>
      </c>
      <c r="AC18" s="3991" t="s">
        <v>2756</v>
      </c>
    </row>
    <row r="19" spans="2:37" hidden="1">
      <c r="B19" t="s">
        <v>274</v>
      </c>
      <c r="Q19" t="s">
        <v>274</v>
      </c>
      <c r="AC19" t="s">
        <v>274</v>
      </c>
    </row>
    <row r="21" spans="2:37" ht="21" hidden="1" customHeight="1">
      <c r="B21" s="2967" t="s">
        <v>2757</v>
      </c>
      <c r="C21" s="191"/>
      <c r="D21" s="191"/>
      <c r="E21" s="191"/>
      <c r="F21" s="191"/>
      <c r="G21" s="191"/>
      <c r="H21" s="191"/>
      <c r="I21" s="191"/>
      <c r="J21" s="191"/>
      <c r="K21" s="191"/>
      <c r="Q21" s="2967" t="s">
        <v>2757</v>
      </c>
      <c r="R21" s="191"/>
      <c r="S21" s="191"/>
      <c r="T21" s="191"/>
      <c r="U21" s="191"/>
      <c r="V21" s="191"/>
      <c r="W21" s="191"/>
      <c r="X21" s="191"/>
      <c r="Y21" s="191"/>
      <c r="AC21" s="2967" t="s">
        <v>2757</v>
      </c>
      <c r="AD21" s="191"/>
      <c r="AE21" s="191"/>
      <c r="AF21" s="191"/>
      <c r="AG21" s="191"/>
      <c r="AH21" s="191"/>
      <c r="AI21" s="191"/>
    </row>
    <row r="22" spans="2:37" ht="21" hidden="1" customHeight="1">
      <c r="B22" s="2967" t="s">
        <v>2758</v>
      </c>
      <c r="C22" s="191"/>
      <c r="D22" s="191"/>
      <c r="E22" s="191"/>
      <c r="F22" s="191"/>
      <c r="G22" s="191"/>
      <c r="H22" s="191"/>
      <c r="I22" s="191"/>
      <c r="J22" s="191"/>
      <c r="K22" s="191"/>
      <c r="Q22" s="2967" t="s">
        <v>2758</v>
      </c>
      <c r="R22" s="191"/>
      <c r="S22" s="191"/>
      <c r="T22" s="191"/>
      <c r="U22" s="191"/>
      <c r="V22" s="191"/>
      <c r="W22" s="191"/>
      <c r="X22" s="191"/>
      <c r="Y22" s="191"/>
      <c r="AC22" s="2967" t="s">
        <v>2758</v>
      </c>
      <c r="AD22" s="191"/>
      <c r="AE22" s="191"/>
      <c r="AF22" s="191"/>
      <c r="AG22" s="191"/>
      <c r="AH22" s="191"/>
      <c r="AI22" s="191"/>
    </row>
    <row r="23" spans="2:37" ht="21" hidden="1" customHeight="1">
      <c r="B23" s="2967" t="s">
        <v>2759</v>
      </c>
      <c r="C23" s="191"/>
      <c r="D23" s="191"/>
      <c r="E23" s="191"/>
      <c r="F23" s="191"/>
      <c r="G23" s="191"/>
      <c r="H23" s="191"/>
      <c r="I23" s="191"/>
      <c r="J23" s="191"/>
      <c r="K23" s="191"/>
      <c r="Q23" s="2967" t="s">
        <v>2759</v>
      </c>
      <c r="R23" s="191"/>
      <c r="S23" s="191"/>
      <c r="T23" s="191"/>
      <c r="U23" s="191"/>
      <c r="V23" s="191"/>
      <c r="W23" s="191"/>
      <c r="X23" s="191"/>
      <c r="Y23" s="191"/>
      <c r="AC23" s="2967" t="s">
        <v>2759</v>
      </c>
      <c r="AD23" s="191"/>
      <c r="AE23" s="191"/>
      <c r="AF23" s="191"/>
      <c r="AG23" s="191"/>
      <c r="AH23" s="191"/>
      <c r="AI23" s="191"/>
    </row>
    <row r="24" spans="2:37" ht="21" hidden="1" customHeight="1">
      <c r="B24" s="2967" t="s">
        <v>2760</v>
      </c>
      <c r="C24" s="191"/>
      <c r="D24" s="191"/>
      <c r="E24" s="191"/>
      <c r="F24" s="191"/>
      <c r="G24" s="191"/>
      <c r="H24" s="191"/>
      <c r="I24" s="191"/>
      <c r="J24" s="191"/>
      <c r="K24" s="191"/>
      <c r="Q24" s="2967" t="s">
        <v>2760</v>
      </c>
      <c r="R24" s="191"/>
      <c r="S24" s="191"/>
      <c r="T24" s="191"/>
      <c r="U24" s="191"/>
      <c r="V24" s="191"/>
      <c r="W24" s="191"/>
      <c r="X24" s="191"/>
      <c r="Y24" s="191"/>
      <c r="AC24" s="2967" t="s">
        <v>2760</v>
      </c>
      <c r="AD24" s="191"/>
      <c r="AE24" s="191"/>
      <c r="AF24" s="191"/>
      <c r="AG24" s="191"/>
      <c r="AH24" s="191"/>
      <c r="AI24" s="191"/>
    </row>
    <row r="25" spans="2:37" ht="31" customHeight="1">
      <c r="C25" s="2808" t="s">
        <v>275</v>
      </c>
      <c r="D25" s="2808" t="s">
        <v>276</v>
      </c>
      <c r="E25" s="4310" t="s">
        <v>2761</v>
      </c>
      <c r="F25" s="2808" t="s">
        <v>2762</v>
      </c>
      <c r="G25" s="4147" t="s">
        <v>2763</v>
      </c>
      <c r="H25" s="4147" t="s">
        <v>2764</v>
      </c>
      <c r="I25" s="4310" t="s">
        <v>2765</v>
      </c>
      <c r="J25" s="2808" t="s">
        <v>127</v>
      </c>
      <c r="K25" s="2808" t="s">
        <v>278</v>
      </c>
      <c r="L25" s="2808" t="s">
        <v>279</v>
      </c>
      <c r="M25" s="2808" t="s">
        <v>280</v>
      </c>
      <c r="N25" s="112" t="s">
        <v>7002</v>
      </c>
      <c r="O25" s="112"/>
      <c r="P25" s="112"/>
      <c r="R25" s="2808" t="s">
        <v>275</v>
      </c>
      <c r="S25" s="2808" t="s">
        <v>276</v>
      </c>
      <c r="T25" s="3999" t="s">
        <v>2767</v>
      </c>
      <c r="U25" s="2808" t="s">
        <v>2762</v>
      </c>
      <c r="V25" s="6271"/>
      <c r="W25" s="6271"/>
      <c r="X25" s="4310" t="s">
        <v>2765</v>
      </c>
      <c r="Y25" s="2808" t="s">
        <v>127</v>
      </c>
      <c r="Z25" s="3997" t="s">
        <v>7001</v>
      </c>
      <c r="AD25" s="2808" t="s">
        <v>275</v>
      </c>
      <c r="AE25" s="2808" t="s">
        <v>276</v>
      </c>
      <c r="AF25" s="3999" t="s">
        <v>2767</v>
      </c>
      <c r="AG25" s="2808" t="s">
        <v>2762</v>
      </c>
      <c r="AH25" s="2808" t="s">
        <v>127</v>
      </c>
      <c r="AI25" s="2808" t="s">
        <v>278</v>
      </c>
      <c r="AJ25" s="2808" t="s">
        <v>279</v>
      </c>
      <c r="AK25" s="2808" t="s">
        <v>280</v>
      </c>
    </row>
    <row r="26" spans="2:37" ht="25.5" customHeight="1">
      <c r="B26" s="2809" t="s">
        <v>2768</v>
      </c>
      <c r="C26" s="3998" t="e">
        <f>SUM(【251001】アジア選手積算!#REF!,#REF!*24)</f>
        <v>#REF!</v>
      </c>
      <c r="D26" s="3998" t="e">
        <f>SUM(【251001】アジア選手積算!#REF!,【251001】アジア選手積算!#REF!,#REF!*24)</f>
        <v>#REF!</v>
      </c>
      <c r="E26" s="4311" t="e">
        <f>SUM(【251001】アジア選手積算!#REF!,#REF!*21)</f>
        <v>#REF!</v>
      </c>
      <c r="F26" s="3998" t="e">
        <f>【251001】アジア選手積算!#REF!</f>
        <v>#REF!</v>
      </c>
      <c r="G26" s="4148" t="e">
        <f>【251001】アジア選手積算!#REF!</f>
        <v>#REF!</v>
      </c>
      <c r="H26" s="4148" t="e">
        <f>【251001】アジア選手積算!#REF!</f>
        <v>#REF!</v>
      </c>
      <c r="I26" s="3998"/>
      <c r="J26" s="2824" t="e">
        <f>SUM(C26:F26,I26)</f>
        <v>#REF!</v>
      </c>
      <c r="K26" s="2808"/>
      <c r="L26" s="2808"/>
      <c r="M26" s="2808"/>
      <c r="N26" s="6274" t="e">
        <f>J26-Y26</f>
        <v>#REF!</v>
      </c>
      <c r="O26" s="112"/>
      <c r="P26" s="112"/>
      <c r="Q26" s="2809" t="s">
        <v>2768</v>
      </c>
      <c r="R26" s="3998">
        <v>3364680671</v>
      </c>
      <c r="S26" s="3998">
        <v>1618789032.9349999</v>
      </c>
      <c r="T26" s="4000">
        <v>79313574</v>
      </c>
      <c r="U26" s="4001">
        <v>71660120.400000021</v>
      </c>
      <c r="V26" s="6272">
        <v>10045000</v>
      </c>
      <c r="W26" s="6272">
        <v>2697400000</v>
      </c>
      <c r="X26" s="3998"/>
      <c r="Y26" s="2824">
        <f>SUM(R26:U26,X26)</f>
        <v>5134443398.3349991</v>
      </c>
      <c r="Z26" s="3997">
        <f>AH26-Y26</f>
        <v>-1233164241.3349991</v>
      </c>
      <c r="AC26" s="2809" t="s">
        <v>2768</v>
      </c>
      <c r="AD26" s="3998">
        <v>3042691395</v>
      </c>
      <c r="AE26" s="3998">
        <v>858587762</v>
      </c>
      <c r="AF26" s="4000">
        <v>0</v>
      </c>
      <c r="AG26" s="4001">
        <v>0</v>
      </c>
      <c r="AH26" s="2824">
        <f t="shared" ref="AH26" si="0">SUM(AD26:AF26)</f>
        <v>3901279157</v>
      </c>
      <c r="AI26" s="2808"/>
      <c r="AJ26" s="2808"/>
      <c r="AK26" s="2808"/>
    </row>
    <row r="27" spans="2:37" ht="25.5" customHeight="1">
      <c r="B27" s="2809" t="s">
        <v>283</v>
      </c>
      <c r="C27" s="3998">
        <f>SUM(【250925】アジパラファミリー積算!BZ15)</f>
        <v>2204156998</v>
      </c>
      <c r="D27" s="3998">
        <f>SUM(【250925】アジパラファミリー積算!BZ16)</f>
        <v>1133891586</v>
      </c>
      <c r="E27" s="3998">
        <f>SUM(【250925】アジパラファミリー積算!BZ17)</f>
        <v>453261666</v>
      </c>
      <c r="F27" s="3998">
        <f>SUM(【250925】アジパラファミリー積算!BZ18)</f>
        <v>35875904.899999999</v>
      </c>
      <c r="G27" s="4148"/>
      <c r="H27" s="4148"/>
      <c r="I27" s="3998">
        <f>【250925】アジパラファミリー積算!BZ19</f>
        <v>74703200</v>
      </c>
      <c r="J27" s="2824">
        <f t="shared" ref="J27:J35" si="1">SUM(C27:F27,I27)</f>
        <v>3901889354.9000001</v>
      </c>
      <c r="K27" s="2808"/>
      <c r="L27" s="2808"/>
      <c r="M27" s="2808"/>
      <c r="N27" s="6274">
        <f t="shared" ref="N27:N35" si="2">J27-Y27</f>
        <v>-202991486.10200024</v>
      </c>
      <c r="O27" s="112"/>
      <c r="P27" s="112"/>
      <c r="Q27" s="2809" t="s">
        <v>283</v>
      </c>
      <c r="R27" s="3998">
        <v>2334813782</v>
      </c>
      <c r="S27" s="3998">
        <v>1140877642.102</v>
      </c>
      <c r="T27" s="4000">
        <v>446246570.00000006</v>
      </c>
      <c r="U27" s="3998">
        <v>46075904.899999999</v>
      </c>
      <c r="V27" s="4148"/>
      <c r="W27" s="4148"/>
      <c r="X27" s="3998">
        <v>136866942</v>
      </c>
      <c r="Y27" s="2824">
        <f t="shared" ref="Y27:Y35" si="3">SUM(R27:U27,X27)</f>
        <v>4104880841.0020003</v>
      </c>
      <c r="Z27" s="3997">
        <f t="shared" ref="Z27:Z35" si="4">AH27-Y27</f>
        <v>447306384.99799967</v>
      </c>
      <c r="AC27" s="2809" t="s">
        <v>283</v>
      </c>
      <c r="AD27" s="3998">
        <v>2886270341</v>
      </c>
      <c r="AE27" s="3998">
        <v>1178445153</v>
      </c>
      <c r="AF27" s="4000">
        <v>487471732</v>
      </c>
      <c r="AG27" s="3998">
        <v>34400000</v>
      </c>
      <c r="AH27" s="2824">
        <f>SUM(AD27:AF27)</f>
        <v>4552187226</v>
      </c>
      <c r="AI27" s="2808"/>
      <c r="AJ27" s="2808"/>
      <c r="AK27" s="2808"/>
    </row>
    <row r="28" spans="2:37" ht="29.15" customHeight="1">
      <c r="B28" s="2809" t="s">
        <v>287</v>
      </c>
      <c r="C28" s="3998">
        <f>SUM(Results【技術役員スポンサーメディア積算】!BC283,Results【技術役員スポンサーメディア積算】!BQ283)</f>
        <v>1724607631</v>
      </c>
      <c r="D28" s="3998">
        <f>SUM(Results【技術役員スポンサーメディア積算】!BI283)*1.1</f>
        <v>760304013.70000005</v>
      </c>
      <c r="E28" s="3998">
        <f>Results【技術役員スポンサーメディア積算】!BO283</f>
        <v>726706750</v>
      </c>
      <c r="F28" s="3998">
        <v>0</v>
      </c>
      <c r="G28" s="4148"/>
      <c r="H28" s="4148"/>
      <c r="I28" s="3998"/>
      <c r="J28" s="2824">
        <f t="shared" si="1"/>
        <v>3211618394.6999998</v>
      </c>
      <c r="K28" s="2803">
        <f>'物価（案3）'!$I$10</f>
        <v>1.34</v>
      </c>
      <c r="L28" s="2804">
        <f>ROUNDUP($J28*$K28,0)</f>
        <v>4303568649</v>
      </c>
      <c r="M28" s="2804">
        <f>L28</f>
        <v>4303568649</v>
      </c>
      <c r="N28" s="6274">
        <f t="shared" si="2"/>
        <v>-77528702.080000401</v>
      </c>
      <c r="O28" s="6269"/>
      <c r="P28" s="6269"/>
      <c r="Q28" s="2809" t="s">
        <v>287</v>
      </c>
      <c r="R28" s="3998">
        <v>1706798249.5800002</v>
      </c>
      <c r="S28" s="3998">
        <v>847152847.20000005</v>
      </c>
      <c r="T28" s="4000">
        <v>735196000</v>
      </c>
      <c r="U28" s="3998">
        <v>0</v>
      </c>
      <c r="V28" s="4148"/>
      <c r="W28" s="4148"/>
      <c r="X28" s="3998"/>
      <c r="Y28" s="2824">
        <f t="shared" si="3"/>
        <v>3289147096.7800002</v>
      </c>
      <c r="Z28" s="3997">
        <f t="shared" si="4"/>
        <v>-2565372432.7800002</v>
      </c>
      <c r="AC28" s="2809" t="s">
        <v>287</v>
      </c>
      <c r="AD28" s="3998">
        <v>723774664</v>
      </c>
      <c r="AE28" s="3998">
        <v>0</v>
      </c>
      <c r="AF28" s="4000">
        <v>0</v>
      </c>
      <c r="AG28" s="3998">
        <v>0</v>
      </c>
      <c r="AH28" s="2824">
        <f>SUM(AD28:AG28)</f>
        <v>723774664</v>
      </c>
      <c r="AI28" s="2803">
        <f>'物価（案3）'!$I$10</f>
        <v>1.34</v>
      </c>
      <c r="AJ28" s="2804">
        <f>ROUNDUP($J28*$K28,0)</f>
        <v>4303568649</v>
      </c>
      <c r="AK28" s="2804">
        <f>AJ28</f>
        <v>4303568649</v>
      </c>
    </row>
    <row r="29" spans="2:37" ht="29.15" customHeight="1">
      <c r="B29" s="3932" t="s">
        <v>284</v>
      </c>
      <c r="C29" s="3998">
        <f>SUM(Results【技術役員スポンサーメディア積算】!BD283)*1.34</f>
        <v>1285487677.0800002</v>
      </c>
      <c r="D29" s="3998">
        <v>0</v>
      </c>
      <c r="E29" s="3998">
        <v>0</v>
      </c>
      <c r="F29" s="3998">
        <v>0</v>
      </c>
      <c r="G29" s="4148"/>
      <c r="H29" s="4148"/>
      <c r="I29" s="3998"/>
      <c r="J29" s="2824">
        <f t="shared" si="1"/>
        <v>1285487677.0800002</v>
      </c>
      <c r="K29" s="2803">
        <f>'物価（案3）'!$I$10</f>
        <v>1.34</v>
      </c>
      <c r="L29" s="2804">
        <f t="shared" ref="L29:L35" si="5">ROUNDUP($J29*$K29,0)</f>
        <v>1722553488</v>
      </c>
      <c r="M29" s="6440">
        <f>SUM(L29:L30)</f>
        <v>5282334916</v>
      </c>
      <c r="N29" s="6274">
        <f t="shared" si="2"/>
        <v>-200610212.75999999</v>
      </c>
      <c r="O29" s="6270"/>
      <c r="P29" s="6270"/>
      <c r="Q29" s="3932" t="s">
        <v>284</v>
      </c>
      <c r="R29" s="3998">
        <v>1486097889.8400002</v>
      </c>
      <c r="S29" s="3998">
        <v>0</v>
      </c>
      <c r="T29" s="4000">
        <v>0</v>
      </c>
      <c r="U29" s="3998">
        <v>0</v>
      </c>
      <c r="V29" s="4148"/>
      <c r="W29" s="4148"/>
      <c r="X29" s="3998"/>
      <c r="Y29" s="2824">
        <f t="shared" si="3"/>
        <v>1486097889.8400002</v>
      </c>
      <c r="Z29" s="3997">
        <f t="shared" si="4"/>
        <v>856089204.15999985</v>
      </c>
      <c r="AC29" s="3932" t="s">
        <v>284</v>
      </c>
      <c r="AD29" s="3998">
        <v>2342187094</v>
      </c>
      <c r="AE29" s="3998">
        <v>0</v>
      </c>
      <c r="AF29" s="4000">
        <v>0</v>
      </c>
      <c r="AG29" s="3998">
        <v>0</v>
      </c>
      <c r="AH29" s="2824">
        <f>SUM(AD29:AG29)</f>
        <v>2342187094</v>
      </c>
      <c r="AI29" s="2803">
        <f>'物価（案3）'!$I$10</f>
        <v>1.34</v>
      </c>
      <c r="AJ29" s="2804">
        <f t="shared" ref="AJ29:AJ35" si="6">ROUNDUP($J29*$K29,0)</f>
        <v>1722553488</v>
      </c>
      <c r="AK29" s="6440">
        <f>SUM(AJ29:AJ30)</f>
        <v>5282334916</v>
      </c>
    </row>
    <row r="30" spans="2:37" ht="29.15" customHeight="1">
      <c r="B30" s="2809" t="s">
        <v>286</v>
      </c>
      <c r="C30" s="3998">
        <f>SUM((Results【技術役員スポンサーメディア積算】!BE283)*1.34,Results【技術役員スポンサーメディア積算】!BR283)</f>
        <v>2656553304</v>
      </c>
      <c r="D30" s="3998">
        <v>0</v>
      </c>
      <c r="E30" s="3998">
        <v>0</v>
      </c>
      <c r="F30" s="3998">
        <v>0</v>
      </c>
      <c r="G30" s="4148"/>
      <c r="H30" s="4148"/>
      <c r="I30" s="3998"/>
      <c r="J30" s="2824">
        <f t="shared" si="1"/>
        <v>2656553304</v>
      </c>
      <c r="K30" s="2803">
        <f>'物価（案3）'!$I$10</f>
        <v>1.34</v>
      </c>
      <c r="L30" s="2804">
        <f t="shared" si="5"/>
        <v>3559781428</v>
      </c>
      <c r="M30" s="6440"/>
      <c r="N30" s="6274">
        <f t="shared" si="2"/>
        <v>312830956.48000002</v>
      </c>
      <c r="O30" s="6270"/>
      <c r="P30" s="6270"/>
      <c r="Q30" s="2809" t="s">
        <v>286</v>
      </c>
      <c r="R30" s="3998">
        <v>2343722347.52</v>
      </c>
      <c r="S30" s="3998">
        <v>0</v>
      </c>
      <c r="T30" s="4000">
        <v>0</v>
      </c>
      <c r="U30" s="3998">
        <v>0</v>
      </c>
      <c r="V30" s="4148"/>
      <c r="W30" s="4148"/>
      <c r="X30" s="3998"/>
      <c r="Y30" s="2824">
        <f t="shared" si="3"/>
        <v>2343722347.52</v>
      </c>
      <c r="Z30" s="3997">
        <f t="shared" si="4"/>
        <v>-577139871.51999998</v>
      </c>
      <c r="AC30" s="2809" t="s">
        <v>286</v>
      </c>
      <c r="AD30" s="3998">
        <v>1766582476</v>
      </c>
      <c r="AE30" s="3998">
        <v>0</v>
      </c>
      <c r="AF30" s="4000">
        <v>0</v>
      </c>
      <c r="AG30" s="3998">
        <v>0</v>
      </c>
      <c r="AH30" s="2824">
        <f>SUM(AD30:AG30)</f>
        <v>1766582476</v>
      </c>
      <c r="AI30" s="2803">
        <f>'物価（案3）'!$I$10</f>
        <v>1.34</v>
      </c>
      <c r="AJ30" s="2804">
        <f t="shared" si="6"/>
        <v>3559781428</v>
      </c>
      <c r="AK30" s="6440"/>
    </row>
    <row r="31" spans="2:37" ht="29.15" customHeight="1">
      <c r="B31" s="2810" t="s">
        <v>2769</v>
      </c>
      <c r="C31" s="3998" t="e">
        <f>【251001】パラ選手積算!#REF!</f>
        <v>#REF!</v>
      </c>
      <c r="D31" s="3998" t="e">
        <f>【251001】パラ選手積算!#REF!</f>
        <v>#REF!</v>
      </c>
      <c r="E31" s="4311" t="e">
        <f>【251001】パラ選手積算!#REF!</f>
        <v>#REF!</v>
      </c>
      <c r="F31" s="3998" t="e">
        <f>【251001】パラ選手積算!#REF!</f>
        <v>#REF!</v>
      </c>
      <c r="G31" s="4148" t="e">
        <f>【251001】パラ選手積算!#REF!</f>
        <v>#REF!</v>
      </c>
      <c r="H31" s="4148" t="e">
        <f>【251001】パラ選手積算!#REF!</f>
        <v>#REF!</v>
      </c>
      <c r="I31" s="3998"/>
      <c r="J31" s="2824" t="e">
        <f t="shared" si="1"/>
        <v>#REF!</v>
      </c>
      <c r="K31" s="2803"/>
      <c r="L31" s="2804"/>
      <c r="M31" s="3928"/>
      <c r="N31" s="6274" t="e">
        <f t="shared" si="2"/>
        <v>#REF!</v>
      </c>
      <c r="O31" s="6270"/>
      <c r="P31" s="6270"/>
      <c r="Q31" s="2810" t="s">
        <v>2769</v>
      </c>
      <c r="R31" s="3998">
        <v>2615539538</v>
      </c>
      <c r="S31" s="3998">
        <v>1097181328.0999999</v>
      </c>
      <c r="T31" s="4000">
        <v>30879036</v>
      </c>
      <c r="U31" s="3998">
        <v>91105355</v>
      </c>
      <c r="V31" s="4148">
        <v>6750000</v>
      </c>
      <c r="W31" s="4148">
        <v>1720000000</v>
      </c>
      <c r="X31" s="3998"/>
      <c r="Y31" s="2824">
        <f t="shared" si="3"/>
        <v>3834705257.0999999</v>
      </c>
      <c r="Z31" s="3997">
        <f t="shared" si="4"/>
        <v>-208014441.0999999</v>
      </c>
      <c r="AC31" s="2810" t="s">
        <v>2769</v>
      </c>
      <c r="AD31" s="3998">
        <v>2596055904</v>
      </c>
      <c r="AE31" s="3998">
        <v>1030634912</v>
      </c>
      <c r="AF31" s="4000">
        <v>0</v>
      </c>
      <c r="AG31" s="3998">
        <v>0</v>
      </c>
      <c r="AH31" s="2824">
        <f t="shared" ref="AH31:AH32" si="7">SUM(AD31:AF31)</f>
        <v>3626690816</v>
      </c>
      <c r="AI31" s="2803"/>
      <c r="AJ31" s="2804"/>
      <c r="AK31" s="3928"/>
    </row>
    <row r="32" spans="2:37" ht="29.15" customHeight="1">
      <c r="B32" s="2810" t="s">
        <v>2770</v>
      </c>
      <c r="C32" s="3998">
        <f>SUM(【250925】アジパラファミリー積算!BZ32)</f>
        <v>472117800</v>
      </c>
      <c r="D32" s="3998">
        <f>SUM(【250925】アジパラファミリー積算!BZ33)</f>
        <v>288657600.00000006</v>
      </c>
      <c r="E32" s="3998">
        <f>SUM(【250925】アジパラファミリー積算!BZ34)</f>
        <v>72406400</v>
      </c>
      <c r="F32" s="3998">
        <f>SUM(【250925】アジパラファミリー積算!BZ35)</f>
        <v>792000</v>
      </c>
      <c r="G32" s="4148"/>
      <c r="H32" s="4148"/>
      <c r="I32" s="3998">
        <f>【250925】アジパラファミリー積算!BZ36</f>
        <v>20944000</v>
      </c>
      <c r="J32" s="2824">
        <f t="shared" si="1"/>
        <v>854917800</v>
      </c>
      <c r="K32" s="2803"/>
      <c r="L32" s="2804"/>
      <c r="M32" s="3928"/>
      <c r="N32" s="6274">
        <f t="shared" si="2"/>
        <v>-2232780</v>
      </c>
      <c r="O32" s="6270"/>
      <c r="P32" s="6270"/>
      <c r="Q32" s="2810" t="s">
        <v>2770</v>
      </c>
      <c r="R32" s="3998">
        <v>472117800</v>
      </c>
      <c r="S32" s="3998">
        <v>288657600.00000006</v>
      </c>
      <c r="T32" s="4000">
        <v>72406400</v>
      </c>
      <c r="U32" s="3998">
        <v>792000</v>
      </c>
      <c r="V32" s="4148"/>
      <c r="W32" s="4148"/>
      <c r="X32" s="3998">
        <v>23176780</v>
      </c>
      <c r="Y32" s="2824">
        <f t="shared" si="3"/>
        <v>857150580</v>
      </c>
      <c r="Z32" s="3997">
        <f t="shared" si="4"/>
        <v>251250729</v>
      </c>
      <c r="AC32" s="2810" t="s">
        <v>2770</v>
      </c>
      <c r="AD32" s="3998">
        <v>647755889</v>
      </c>
      <c r="AE32" s="3998">
        <v>382709320</v>
      </c>
      <c r="AF32" s="4000">
        <v>77936100</v>
      </c>
      <c r="AG32" s="3998">
        <v>20066666.666666668</v>
      </c>
      <c r="AH32" s="2824">
        <f t="shared" si="7"/>
        <v>1108401309</v>
      </c>
      <c r="AI32" s="2803"/>
      <c r="AJ32" s="2804"/>
      <c r="AK32" s="3928"/>
    </row>
    <row r="33" spans="2:37" ht="29.15" customHeight="1">
      <c r="B33" s="2810" t="s">
        <v>2771</v>
      </c>
      <c r="C33" s="3998">
        <f>SUM(Results【技術役員スポンサーメディア積算】!BF283)</f>
        <v>344907436</v>
      </c>
      <c r="D33" s="6357">
        <f>SUM(Results【技術役員スポンサーメディア積算】!BL283)*1.1+(165953676-23073600)*0.1</f>
        <v>367732929.10000002</v>
      </c>
      <c r="E33" s="3998">
        <f>Results【技術役員スポンサーメディア積算】!BP283</f>
        <v>195448750</v>
      </c>
      <c r="F33" s="3998">
        <v>0</v>
      </c>
      <c r="G33" s="4148"/>
      <c r="H33" s="4148"/>
      <c r="I33" s="3998"/>
      <c r="J33" s="2824">
        <f t="shared" si="1"/>
        <v>908089115.10000002</v>
      </c>
      <c r="K33" s="2803">
        <f>'物価（案3）'!$I$10</f>
        <v>1.34</v>
      </c>
      <c r="L33" s="2804">
        <f t="shared" si="5"/>
        <v>1216839415</v>
      </c>
      <c r="M33" s="2819">
        <f>L33</f>
        <v>1216839415</v>
      </c>
      <c r="N33" s="6274">
        <f t="shared" si="2"/>
        <v>-237848195.49999988</v>
      </c>
      <c r="O33" s="6270"/>
      <c r="P33" s="6270"/>
      <c r="Q33" s="2810" t="s">
        <v>2771</v>
      </c>
      <c r="R33" s="3998">
        <v>412159612</v>
      </c>
      <c r="S33" s="3998">
        <v>530133698.60000002</v>
      </c>
      <c r="T33" s="4000">
        <v>203644000</v>
      </c>
      <c r="U33" s="3998">
        <v>0</v>
      </c>
      <c r="V33" s="4148"/>
      <c r="W33" s="4148"/>
      <c r="X33" s="3998"/>
      <c r="Y33" s="2824">
        <f t="shared" si="3"/>
        <v>1145937310.5999999</v>
      </c>
      <c r="Z33" s="3997">
        <f t="shared" si="4"/>
        <v>-928533022.5999999</v>
      </c>
      <c r="AC33" s="2810" t="s">
        <v>2771</v>
      </c>
      <c r="AD33" s="3998">
        <v>217404288</v>
      </c>
      <c r="AE33" s="3998">
        <v>0</v>
      </c>
      <c r="AF33" s="4000">
        <v>0</v>
      </c>
      <c r="AG33" s="3998">
        <v>0</v>
      </c>
      <c r="AH33" s="2824">
        <f>SUM(AD33:AG33)</f>
        <v>217404288</v>
      </c>
      <c r="AI33" s="2803">
        <f>'物価（案3）'!$I$10</f>
        <v>1.34</v>
      </c>
      <c r="AJ33" s="2804">
        <f t="shared" si="6"/>
        <v>1216839415</v>
      </c>
      <c r="AK33" s="2819">
        <f>AJ33</f>
        <v>1216839415</v>
      </c>
    </row>
    <row r="34" spans="2:37" ht="29.15" customHeight="1">
      <c r="B34" s="2810" t="s">
        <v>2772</v>
      </c>
      <c r="C34" s="3998">
        <f>SUM(Results【技術役員スポンサーメディア積算】!BG283)*1.34</f>
        <v>837038639.34000003</v>
      </c>
      <c r="D34" s="3998">
        <v>0</v>
      </c>
      <c r="E34" s="3998">
        <v>0</v>
      </c>
      <c r="F34" s="3998">
        <v>0</v>
      </c>
      <c r="G34" s="4148"/>
      <c r="H34" s="4148"/>
      <c r="I34" s="3998"/>
      <c r="J34" s="2824">
        <f t="shared" si="1"/>
        <v>837038639.34000003</v>
      </c>
      <c r="K34" s="2803">
        <f>'物価（案3）'!$I$10</f>
        <v>1.34</v>
      </c>
      <c r="L34" s="2804">
        <f t="shared" si="5"/>
        <v>1121631777</v>
      </c>
      <c r="M34" s="2819">
        <f>L34</f>
        <v>1121631777</v>
      </c>
      <c r="N34" s="6274">
        <f t="shared" si="2"/>
        <v>37250638.559999943</v>
      </c>
      <c r="O34" s="6270"/>
      <c r="P34" s="6270"/>
      <c r="Q34" s="2810" t="s">
        <v>2772</v>
      </c>
      <c r="R34" s="3998">
        <v>799788000.78000009</v>
      </c>
      <c r="S34" s="3998">
        <v>0</v>
      </c>
      <c r="T34" s="4000">
        <v>0</v>
      </c>
      <c r="U34" s="3998">
        <v>0</v>
      </c>
      <c r="V34" s="4148"/>
      <c r="W34" s="4148"/>
      <c r="X34" s="3998"/>
      <c r="Y34" s="2824">
        <f t="shared" si="3"/>
        <v>799788000.78000009</v>
      </c>
      <c r="Z34" s="3997">
        <f t="shared" si="4"/>
        <v>-16601383.780000091</v>
      </c>
      <c r="AC34" s="2810" t="s">
        <v>2772</v>
      </c>
      <c r="AD34" s="3998">
        <v>783186617</v>
      </c>
      <c r="AE34" s="3998">
        <v>0</v>
      </c>
      <c r="AF34" s="4000">
        <v>0</v>
      </c>
      <c r="AG34" s="3998">
        <v>0</v>
      </c>
      <c r="AH34" s="2824">
        <f>SUM(AD34:AG34)</f>
        <v>783186617</v>
      </c>
      <c r="AI34" s="2803">
        <f>'物価（案3）'!$I$10</f>
        <v>1.34</v>
      </c>
      <c r="AJ34" s="2804">
        <f t="shared" si="6"/>
        <v>1121631777</v>
      </c>
      <c r="AK34" s="2819">
        <f>AJ34</f>
        <v>1121631777</v>
      </c>
    </row>
    <row r="35" spans="2:37" ht="29.15" customHeight="1">
      <c r="B35" s="2810" t="s">
        <v>2773</v>
      </c>
      <c r="C35" s="3998">
        <f>SUM(Results【技術役員スポンサーメディア積算】!BH283)*1.34</f>
        <v>402289600.80000001</v>
      </c>
      <c r="D35" s="3998">
        <v>0</v>
      </c>
      <c r="E35" s="3998">
        <v>0</v>
      </c>
      <c r="F35" s="3998">
        <v>0</v>
      </c>
      <c r="G35" s="4148"/>
      <c r="H35" s="4148"/>
      <c r="I35" s="3998"/>
      <c r="J35" s="2824">
        <f t="shared" si="1"/>
        <v>402289600.80000001</v>
      </c>
      <c r="K35" s="2803">
        <f>'物価（案3）'!$I$10</f>
        <v>1.34</v>
      </c>
      <c r="L35" s="2804">
        <f t="shared" si="5"/>
        <v>539068066</v>
      </c>
      <c r="M35" s="3928">
        <f>SUM(L35:L35)</f>
        <v>539068066</v>
      </c>
      <c r="N35" s="6274">
        <f t="shared" si="2"/>
        <v>-292398473.44</v>
      </c>
      <c r="O35" s="6270"/>
      <c r="P35" s="6270"/>
      <c r="Q35" s="2810" t="s">
        <v>2773</v>
      </c>
      <c r="R35" s="3998">
        <v>694688074.24000001</v>
      </c>
      <c r="S35" s="3998">
        <v>0</v>
      </c>
      <c r="T35" s="4000">
        <v>0</v>
      </c>
      <c r="U35" s="3998">
        <v>0</v>
      </c>
      <c r="V35" s="4148"/>
      <c r="W35" s="4148"/>
      <c r="X35" s="3998"/>
      <c r="Y35" s="2824">
        <f t="shared" si="3"/>
        <v>694688074.24000001</v>
      </c>
      <c r="Z35" s="3997">
        <f t="shared" si="4"/>
        <v>-243303964.24000001</v>
      </c>
      <c r="AC35" s="2810" t="s">
        <v>2773</v>
      </c>
      <c r="AD35" s="3998">
        <v>451384110</v>
      </c>
      <c r="AE35" s="3998">
        <v>0</v>
      </c>
      <c r="AF35" s="4000">
        <v>0</v>
      </c>
      <c r="AG35" s="3998">
        <v>0</v>
      </c>
      <c r="AH35" s="2824">
        <f>SUM(AD35:AG35)</f>
        <v>451384110</v>
      </c>
      <c r="AI35" s="2803">
        <f>'物価（案3）'!$I$10</f>
        <v>1.34</v>
      </c>
      <c r="AJ35" s="2804">
        <f t="shared" si="6"/>
        <v>539068066</v>
      </c>
      <c r="AK35" s="3928">
        <f>SUM(AJ35:AJ35)</f>
        <v>539068066</v>
      </c>
    </row>
    <row r="36" spans="2:37">
      <c r="B36" s="2812" t="s">
        <v>297</v>
      </c>
      <c r="C36" s="2814" t="e">
        <f>SUBTOTAL(9,C26:C35)</f>
        <v>#REF!</v>
      </c>
      <c r="D36" s="2814" t="e">
        <f>SUBTOTAL(9,D26:D35)</f>
        <v>#REF!</v>
      </c>
      <c r="E36" s="2814" t="e">
        <f>SUBTOTAL(9,E26:E35)</f>
        <v>#REF!</v>
      </c>
      <c r="F36" s="2814" t="e">
        <f>SUBTOTAL(9,F26:F35)</f>
        <v>#REF!</v>
      </c>
      <c r="G36" s="2814"/>
      <c r="H36" s="2814"/>
      <c r="I36" s="2814"/>
      <c r="J36" s="2814" t="e">
        <f>SUBTOTAL(9,J26:J35)</f>
        <v>#REF!</v>
      </c>
      <c r="L36" s="2814">
        <f>SUM(L28:L35)</f>
        <v>12463442823</v>
      </c>
      <c r="M36" s="2814">
        <f>SUM(M28:M35)</f>
        <v>12463442823</v>
      </c>
      <c r="N36" s="2814"/>
      <c r="O36" s="2814"/>
      <c r="P36" s="2814"/>
      <c r="Q36" s="2812" t="s">
        <v>297</v>
      </c>
      <c r="R36" s="2814">
        <f>SUBTOTAL(9,R26:R35)</f>
        <v>16230405964.960001</v>
      </c>
      <c r="S36" s="2814">
        <f t="shared" ref="S36:T36" si="8">SUBTOTAL(9,S26:S35)</f>
        <v>5522792148.9370003</v>
      </c>
      <c r="T36" s="2814">
        <f t="shared" si="8"/>
        <v>1567685580</v>
      </c>
      <c r="U36" s="2814">
        <f>SUBTOTAL(9,U26:U35)</f>
        <v>209633380.30000001</v>
      </c>
      <c r="V36" s="2814"/>
      <c r="W36" s="2814"/>
      <c r="X36" s="2814"/>
      <c r="Y36" s="2814">
        <f>SUBTOTAL(9,Y26:Y35)</f>
        <v>23690560796.196999</v>
      </c>
      <c r="AC36" s="2812" t="s">
        <v>297</v>
      </c>
      <c r="AD36" s="2814">
        <f>SUBTOTAL(9,AD28:AD35)</f>
        <v>9528331042</v>
      </c>
      <c r="AE36" s="2814">
        <f>SUBTOTAL(9,AE28:AE35)</f>
        <v>1413344232</v>
      </c>
      <c r="AF36" s="2814">
        <f>SUBTOTAL(9,AF28:AF35)</f>
        <v>77936100</v>
      </c>
      <c r="AG36" s="2814">
        <f>SUBTOTAL(9,AG28:AG35)</f>
        <v>20066666.666666668</v>
      </c>
      <c r="AH36" s="2814">
        <f>SUBTOTAL(9,AH28:AH35)</f>
        <v>11019611374</v>
      </c>
      <c r="AJ36" s="2814">
        <f>SUM(AJ28:AJ35)</f>
        <v>12463442823</v>
      </c>
      <c r="AK36" s="2814">
        <f>SUM(AK28:AK35)</f>
        <v>12463442823</v>
      </c>
    </row>
    <row r="37" spans="2:37" ht="13.5" thickBot="1">
      <c r="B37" s="2812"/>
      <c r="Q37" s="2812"/>
      <c r="AC37" s="2812"/>
    </row>
    <row r="38" spans="2:37" ht="13.5" thickBot="1">
      <c r="B38" s="2812"/>
      <c r="C38" s="2818" t="s">
        <v>275</v>
      </c>
      <c r="D38" s="2818" t="s">
        <v>276</v>
      </c>
      <c r="E38" s="2818" t="s">
        <v>2767</v>
      </c>
      <c r="F38" s="2818" t="s">
        <v>2762</v>
      </c>
      <c r="G38" s="2818"/>
      <c r="H38" s="2818"/>
      <c r="I38" s="2818" t="s">
        <v>2774</v>
      </c>
      <c r="J38" s="2818" t="s">
        <v>127</v>
      </c>
      <c r="K38" s="2818"/>
      <c r="L38" s="2818" t="s">
        <v>279</v>
      </c>
      <c r="Q38" s="2812"/>
      <c r="R38" s="2818" t="s">
        <v>275</v>
      </c>
      <c r="S38" s="2818" t="s">
        <v>276</v>
      </c>
      <c r="T38" s="2818" t="s">
        <v>2767</v>
      </c>
      <c r="U38" s="2818" t="s">
        <v>2762</v>
      </c>
      <c r="V38" s="2818"/>
      <c r="W38" s="2818"/>
      <c r="X38" s="2818" t="s">
        <v>2774</v>
      </c>
      <c r="Y38" s="2818" t="s">
        <v>127</v>
      </c>
      <c r="AC38" s="2812"/>
      <c r="AD38" s="2818" t="s">
        <v>275</v>
      </c>
      <c r="AE38" s="2818" t="s">
        <v>276</v>
      </c>
      <c r="AF38" s="2818" t="s">
        <v>2767</v>
      </c>
      <c r="AG38" s="2818" t="s">
        <v>2762</v>
      </c>
      <c r="AH38" s="2818" t="s">
        <v>127</v>
      </c>
      <c r="AI38" s="2818"/>
      <c r="AJ38" s="2818" t="s">
        <v>279</v>
      </c>
    </row>
    <row r="39" spans="2:37" ht="18.649999999999999" customHeight="1" thickBot="1">
      <c r="B39" s="2815" t="s">
        <v>2775</v>
      </c>
      <c r="C39" s="2826" t="e">
        <f>SUM(C26:C30)</f>
        <v>#REF!</v>
      </c>
      <c r="D39" s="2826" t="e">
        <f t="shared" ref="D39" si="9">SUM(D26:D30)</f>
        <v>#REF!</v>
      </c>
      <c r="E39" s="2826" t="e">
        <f>SUM(E26:E30)</f>
        <v>#REF!</v>
      </c>
      <c r="F39" s="2826" t="e">
        <f>SUM(F26:F30)</f>
        <v>#REF!</v>
      </c>
      <c r="G39" s="2826"/>
      <c r="H39" s="2826"/>
      <c r="I39" s="2826">
        <f>SUM(I26:I30)</f>
        <v>74703200</v>
      </c>
      <c r="J39" s="2826" t="e">
        <f>SUM(J26:J30)</f>
        <v>#REF!</v>
      </c>
      <c r="K39" s="2816"/>
      <c r="L39" s="2820">
        <f>SUM(L28:L30)</f>
        <v>9585903565</v>
      </c>
      <c r="N39" s="3997" t="e">
        <f t="shared" ref="N39" si="10">J39-Y39</f>
        <v>#REF!</v>
      </c>
      <c r="Q39" s="2815" t="s">
        <v>2775</v>
      </c>
      <c r="R39" s="2826">
        <f>SUM(R26:R30)</f>
        <v>11236112939.940001</v>
      </c>
      <c r="S39" s="2826">
        <f>SUM(S26:S30)</f>
        <v>3606819522.2369995</v>
      </c>
      <c r="T39" s="2826">
        <f>SUM(T26:T30)</f>
        <v>1260756144</v>
      </c>
      <c r="U39" s="2826">
        <f>SUM(U26:U30)</f>
        <v>117736025.30000001</v>
      </c>
      <c r="V39" s="2826"/>
      <c r="W39" s="2826"/>
      <c r="X39" s="2826">
        <f>SUM(X26:X30)</f>
        <v>136866942</v>
      </c>
      <c r="Y39" s="2826">
        <f>SUM(Y26:Y30)</f>
        <v>16358291573.477001</v>
      </c>
      <c r="Z39" s="3997">
        <f>AH39-Y39</f>
        <v>-3072280956.4770012</v>
      </c>
      <c r="AC39" s="2815" t="s">
        <v>2775</v>
      </c>
      <c r="AD39" s="2826">
        <f>SUM(AD26:AD30)</f>
        <v>10761505970</v>
      </c>
      <c r="AE39" s="2826">
        <f>SUM(AE26:AE30)</f>
        <v>2037032915</v>
      </c>
      <c r="AF39" s="2826">
        <f>SUM(AF26:AF30)</f>
        <v>487471732</v>
      </c>
      <c r="AG39" s="2826">
        <f>SUM(AG26:AG30)</f>
        <v>34400000</v>
      </c>
      <c r="AH39" s="2826">
        <f>SUM(AH26:AH30)</f>
        <v>13286010617</v>
      </c>
      <c r="AI39" s="2816"/>
      <c r="AJ39" s="2820">
        <f>SUM(AJ28:AJ30)</f>
        <v>9585903565</v>
      </c>
    </row>
    <row r="40" spans="2:37" ht="18.649999999999999" customHeight="1" thickBot="1">
      <c r="B40" s="2817" t="s">
        <v>2776</v>
      </c>
      <c r="C40" s="2826" t="e">
        <f>SUM(C31:C35)</f>
        <v>#REF!</v>
      </c>
      <c r="D40" s="2826" t="e">
        <f t="shared" ref="D40:F40" si="11">SUM(D31:D35)</f>
        <v>#REF!</v>
      </c>
      <c r="E40" s="2826" t="e">
        <f>SUM(E31:E35)</f>
        <v>#REF!</v>
      </c>
      <c r="F40" s="2826" t="e">
        <f t="shared" si="11"/>
        <v>#REF!</v>
      </c>
      <c r="G40" s="2826"/>
      <c r="H40" s="2826"/>
      <c r="I40" s="2826">
        <f t="shared" ref="I40" si="12">SUM(I31:I35)</f>
        <v>20944000</v>
      </c>
      <c r="J40" s="2826" t="e">
        <f>SUM(J31:J35)</f>
        <v>#REF!</v>
      </c>
      <c r="K40" s="2816"/>
      <c r="L40" s="2820">
        <f>SUM(L33:L35)</f>
        <v>2877539258</v>
      </c>
      <c r="N40" s="3997" t="e">
        <f>J40-Y40</f>
        <v>#REF!</v>
      </c>
      <c r="Q40" s="2817" t="s">
        <v>2776</v>
      </c>
      <c r="R40" s="2826">
        <f>SUM(R31:R35)</f>
        <v>4994293025.0199995</v>
      </c>
      <c r="S40" s="2826">
        <f t="shared" ref="S40:U40" si="13">SUM(S31:S35)</f>
        <v>1915972626.6999998</v>
      </c>
      <c r="T40" s="2826">
        <f t="shared" si="13"/>
        <v>306929436</v>
      </c>
      <c r="U40" s="2826">
        <f t="shared" si="13"/>
        <v>91897355</v>
      </c>
      <c r="V40" s="2826"/>
      <c r="W40" s="2826"/>
      <c r="X40" s="2826">
        <f t="shared" ref="X40" si="14">SUM(X31:X35)</f>
        <v>23176780</v>
      </c>
      <c r="Y40" s="2826">
        <f>SUM(Y31:Y35)</f>
        <v>7332269222.7200003</v>
      </c>
      <c r="Z40" s="3997">
        <f t="shared" ref="Z40" si="15">AH40-Y40</f>
        <v>-1145202082.7200003</v>
      </c>
      <c r="AC40" s="2817" t="s">
        <v>2776</v>
      </c>
      <c r="AD40" s="2826">
        <f>SUM(AD31:AD35)</f>
        <v>4695786808</v>
      </c>
      <c r="AE40" s="2826">
        <f t="shared" ref="AE40:AG40" si="16">SUM(AE31:AE35)</f>
        <v>1413344232</v>
      </c>
      <c r="AF40" s="2826">
        <f t="shared" si="16"/>
        <v>77936100</v>
      </c>
      <c r="AG40" s="2826">
        <f t="shared" si="16"/>
        <v>20066666.666666668</v>
      </c>
      <c r="AH40" s="2826">
        <f>SUM(AH31:AH35)</f>
        <v>6187067140</v>
      </c>
      <c r="AI40" s="2816"/>
      <c r="AJ40" s="2820">
        <f>SUM(AJ33:AJ35)</f>
        <v>2877539258</v>
      </c>
    </row>
    <row r="41" spans="2:37">
      <c r="C41" s="2814" t="e">
        <f>SUM(C39,C40)-SUM(R39,R40)</f>
        <v>#REF!</v>
      </c>
      <c r="D41" s="2814" t="e">
        <f>SUM(D39,D40)-SUM(S39,S40)</f>
        <v>#REF!</v>
      </c>
      <c r="E41" s="2814" t="e">
        <f>SUM(E39,E40)-SUM(T39,T40)</f>
        <v>#REF!</v>
      </c>
      <c r="F41" s="2814" t="e">
        <f>SUM(F39,F40)-SUM(U39,U40)</f>
        <v>#REF!</v>
      </c>
    </row>
  </sheetData>
  <mergeCells count="2">
    <mergeCell ref="M29:M30"/>
    <mergeCell ref="AK29:AK30"/>
  </mergeCells>
  <phoneticPr fontId="2"/>
  <pageMargins left="0.7" right="0.7" top="0.75" bottom="0.75" header="0.3" footer="0.3"/>
  <pageSetup paperSize="9" scale="20" fitToHeight="0"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97F9-741D-4DE6-9E53-2EC6C8CDCDC7}">
  <sheetPr codeName="Sheet308">
    <tabColor rgb="FFFF0000"/>
    <pageSetUpPr fitToPage="1"/>
  </sheetPr>
  <dimension ref="A1:HS83"/>
  <sheetViews>
    <sheetView tabSelected="1" view="pageBreakPreview" topLeftCell="A3" zoomScale="30" zoomScaleNormal="40" zoomScaleSheetLayoutView="30" zoomScalePageLayoutView="70" workbookViewId="0">
      <pane xSplit="3" ySplit="2" topLeftCell="D44" activePane="bottomRight" state="frozen"/>
      <selection pane="topRight" activeCell="AB3" sqref="AB3"/>
      <selection pane="bottomLeft" activeCell="A10" sqref="A10"/>
      <selection pane="bottomRight" activeCell="N53" sqref="N53"/>
    </sheetView>
  </sheetViews>
  <sheetFormatPr defaultColWidth="9.453125" defaultRowHeight="16"/>
  <cols>
    <col min="1" max="1" width="9.81640625" style="197" customWidth="1"/>
    <col min="2" max="2" width="9.81640625" style="854" customWidth="1"/>
    <col min="3" max="3" width="42.1796875" style="197" customWidth="1"/>
    <col min="4" max="6" width="27" style="854" customWidth="1"/>
    <col min="7" max="7" width="11.54296875" style="854" customWidth="1"/>
    <col min="8" max="8" width="27" style="854" customWidth="1"/>
    <col min="9" max="10" width="14.26953125" style="854" customWidth="1"/>
    <col min="11" max="11" width="22.81640625" style="854" customWidth="1"/>
    <col min="12" max="13" width="33.453125" style="854" customWidth="1"/>
    <col min="14" max="17" width="33.36328125" style="854" customWidth="1"/>
    <col min="18" max="21" width="25.453125" style="854" customWidth="1"/>
    <col min="22" max="22" width="28.453125" style="854" customWidth="1"/>
    <col min="23" max="24" width="29.26953125" style="854" customWidth="1"/>
    <col min="25" max="26" width="18.1796875" style="4413" customWidth="1"/>
    <col min="27" max="27" width="10.453125" style="4413" customWidth="1"/>
    <col min="28" max="28" width="14.54296875" style="200" customWidth="1"/>
    <col min="29" max="29" width="13.1796875" style="200" customWidth="1"/>
    <col min="30" max="16384" width="9.453125" style="202"/>
  </cols>
  <sheetData>
    <row r="1" spans="1:111" ht="16.5" hidden="1" thickBot="1">
      <c r="B1" s="197"/>
      <c r="D1" s="4354" t="s">
        <v>2777</v>
      </c>
      <c r="E1" s="4354"/>
      <c r="F1" s="4354"/>
      <c r="G1" s="4354"/>
      <c r="H1" s="4354"/>
      <c r="I1" s="197"/>
      <c r="J1" s="197"/>
      <c r="K1" s="197"/>
      <c r="L1" s="197"/>
      <c r="M1" s="197"/>
      <c r="N1" s="197"/>
      <c r="O1" s="197"/>
      <c r="P1" s="197"/>
      <c r="Q1" s="197"/>
      <c r="R1" s="197"/>
      <c r="S1" s="197"/>
      <c r="T1" s="197"/>
      <c r="U1" s="197"/>
      <c r="V1" s="197"/>
      <c r="W1" s="197"/>
      <c r="X1" s="197"/>
      <c r="Y1" s="245"/>
      <c r="Z1" s="245"/>
      <c r="AA1" s="245"/>
    </row>
    <row r="2" spans="1:111" ht="19" hidden="1" customHeight="1" thickTop="1" thickBot="1">
      <c r="B2" s="197"/>
      <c r="D2" s="4355" t="s">
        <v>2778</v>
      </c>
      <c r="E2" s="4355"/>
      <c r="F2" s="4355"/>
      <c r="G2" s="4355"/>
      <c r="H2" s="4355"/>
      <c r="I2" s="197"/>
      <c r="J2" s="197"/>
      <c r="K2" s="197"/>
      <c r="L2" s="4356"/>
      <c r="M2" s="4356"/>
      <c r="N2" s="4356"/>
      <c r="O2" s="4356"/>
      <c r="P2" s="4356"/>
      <c r="Q2" s="4356"/>
      <c r="R2" s="4356"/>
      <c r="S2" s="4356"/>
      <c r="T2" s="4356"/>
      <c r="U2" s="4356"/>
      <c r="V2" s="4356"/>
      <c r="W2" s="4356"/>
      <c r="X2" s="4356"/>
      <c r="Y2" s="4357"/>
      <c r="Z2" s="245"/>
      <c r="AA2" s="245"/>
    </row>
    <row r="3" spans="1:111" ht="30.65" hidden="1" customHeight="1" thickTop="1" thickBot="1">
      <c r="B3" s="3602" t="s">
        <v>2779</v>
      </c>
      <c r="C3" s="2831"/>
      <c r="D3" s="2834"/>
      <c r="E3" s="2834"/>
      <c r="F3" s="2834"/>
      <c r="G3" s="2834"/>
      <c r="H3" s="2834"/>
      <c r="I3" s="2834"/>
      <c r="J3" s="2834"/>
      <c r="K3" s="2834"/>
      <c r="L3" s="2834"/>
      <c r="M3" s="2834"/>
      <c r="N3" s="2834"/>
      <c r="O3" s="2834"/>
      <c r="P3" s="2834"/>
      <c r="Q3" s="2834"/>
      <c r="R3" s="2834"/>
      <c r="S3" s="2834"/>
      <c r="T3" s="2834"/>
      <c r="U3" s="2834"/>
      <c r="V3" s="2834"/>
      <c r="W3" s="2834"/>
      <c r="X3" s="2834"/>
      <c r="Y3" s="2835"/>
      <c r="Z3" s="2835"/>
      <c r="AA3" s="2835"/>
      <c r="AB3" s="2840"/>
      <c r="AC3" s="2840"/>
    </row>
    <row r="4" spans="1:111" s="214" customFormat="1" ht="91" customHeight="1" thickTop="1" thickBot="1">
      <c r="A4" s="6358" t="s">
        <v>2079</v>
      </c>
      <c r="B4" s="6361" t="s">
        <v>2080</v>
      </c>
      <c r="C4" s="7123" t="s">
        <v>7053</v>
      </c>
      <c r="D4" s="4358" t="s">
        <v>2783</v>
      </c>
      <c r="E4" s="6056" t="s">
        <v>7055</v>
      </c>
      <c r="F4" s="6056" t="s">
        <v>7054</v>
      </c>
      <c r="G4" s="6056" t="s">
        <v>7056</v>
      </c>
      <c r="H4" s="6056" t="s">
        <v>7057</v>
      </c>
      <c r="I4" s="4358" t="s">
        <v>2784</v>
      </c>
      <c r="J4" s="4358" t="s">
        <v>2785</v>
      </c>
      <c r="K4" s="6362" t="s">
        <v>2787</v>
      </c>
      <c r="L4" s="4358" t="s">
        <v>2789</v>
      </c>
      <c r="M4" s="6363" t="s">
        <v>2790</v>
      </c>
      <c r="N4" s="6056" t="s">
        <v>7058</v>
      </c>
      <c r="O4" s="6056" t="s">
        <v>7059</v>
      </c>
      <c r="P4" s="6056" t="s">
        <v>7060</v>
      </c>
      <c r="Q4" s="6056" t="s">
        <v>7061</v>
      </c>
      <c r="R4" s="6364" t="s">
        <v>2791</v>
      </c>
      <c r="S4" s="4414" t="s">
        <v>7062</v>
      </c>
      <c r="T4" s="4359" t="s">
        <v>7063</v>
      </c>
      <c r="U4" s="4359" t="s">
        <v>7064</v>
      </c>
      <c r="V4" s="4359" t="s">
        <v>7065</v>
      </c>
      <c r="W4" s="4360" t="s">
        <v>7066</v>
      </c>
      <c r="X4" s="7124" t="s">
        <v>2809</v>
      </c>
      <c r="Y4" s="6359" t="s">
        <v>2096</v>
      </c>
      <c r="Z4" s="6359" t="s">
        <v>2793</v>
      </c>
      <c r="AA4" s="6365" t="s">
        <v>2794</v>
      </c>
      <c r="AB4" s="7125" t="s">
        <v>2812</v>
      </c>
      <c r="AC4" s="213"/>
    </row>
    <row r="5" spans="1:111" s="293" customFormat="1" ht="42.65" hidden="1" customHeight="1" thickTop="1" thickBot="1">
      <c r="A5" s="296">
        <v>1</v>
      </c>
      <c r="B5" s="297" t="s">
        <v>2129</v>
      </c>
      <c r="C5" s="298" t="s">
        <v>2128</v>
      </c>
      <c r="D5" s="4363">
        <v>0</v>
      </c>
      <c r="E5" s="4363"/>
      <c r="F5" s="4363"/>
      <c r="G5" s="4363"/>
      <c r="H5" s="4363"/>
      <c r="I5" s="4363">
        <v>0</v>
      </c>
      <c r="J5" s="4364">
        <v>0</v>
      </c>
      <c r="K5" s="4363">
        <v>0</v>
      </c>
      <c r="L5" s="4365">
        <v>0</v>
      </c>
      <c r="M5" s="4365">
        <v>0</v>
      </c>
      <c r="N5" s="4365">
        <v>0</v>
      </c>
      <c r="O5" s="4365">
        <v>0</v>
      </c>
      <c r="P5" s="4365">
        <v>0</v>
      </c>
      <c r="Q5" s="4365"/>
      <c r="R5" s="4365">
        <v>0</v>
      </c>
      <c r="S5" s="4365"/>
      <c r="T5" s="4365">
        <v>0</v>
      </c>
      <c r="U5" s="4365">
        <v>0</v>
      </c>
      <c r="V5" s="4365">
        <v>0</v>
      </c>
      <c r="W5" s="4365"/>
      <c r="X5" s="4365">
        <v>0</v>
      </c>
      <c r="Y5" s="4366">
        <v>46280</v>
      </c>
      <c r="Z5" s="4367">
        <v>46301</v>
      </c>
      <c r="AA5" s="4368">
        <v>21</v>
      </c>
      <c r="AB5" s="290">
        <v>51986</v>
      </c>
      <c r="AC5" s="290"/>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row>
    <row r="6" spans="1:111" ht="42.65" hidden="1" customHeight="1">
      <c r="A6" s="296"/>
      <c r="B6" s="297" t="s">
        <v>2129</v>
      </c>
      <c r="C6" s="298"/>
      <c r="D6" s="416"/>
      <c r="E6" s="416"/>
      <c r="F6" s="416"/>
      <c r="G6" s="416"/>
      <c r="H6" s="416"/>
      <c r="I6" s="416"/>
      <c r="J6" s="416"/>
      <c r="K6" s="416"/>
      <c r="L6" s="416"/>
      <c r="M6" s="416"/>
      <c r="N6" s="416"/>
      <c r="O6" s="416"/>
      <c r="P6" s="416"/>
      <c r="Q6" s="416"/>
      <c r="R6" s="416"/>
      <c r="S6" s="416"/>
      <c r="T6" s="416"/>
      <c r="U6" s="416"/>
      <c r="V6" s="416"/>
      <c r="W6" s="416"/>
      <c r="X6" s="416"/>
      <c r="Y6" s="4369"/>
      <c r="Z6" s="4369"/>
      <c r="AA6" s="4370"/>
      <c r="AB6" s="290"/>
      <c r="AC6" s="290"/>
    </row>
    <row r="7" spans="1:111" ht="42.65" hidden="1" customHeight="1">
      <c r="A7" s="296"/>
      <c r="B7" s="297" t="s">
        <v>2129</v>
      </c>
      <c r="C7" s="298"/>
      <c r="D7" s="3853"/>
      <c r="E7" s="3853"/>
      <c r="F7" s="3853"/>
      <c r="G7" s="3853"/>
      <c r="H7" s="3853"/>
      <c r="I7" s="3853"/>
      <c r="J7" s="3853"/>
      <c r="K7" s="3853"/>
      <c r="L7" s="3853"/>
      <c r="M7" s="3853"/>
      <c r="N7" s="3853"/>
      <c r="O7" s="3853"/>
      <c r="P7" s="3853"/>
      <c r="Q7" s="3853"/>
      <c r="R7" s="3853"/>
      <c r="S7" s="3853"/>
      <c r="T7" s="3853"/>
      <c r="U7" s="3853"/>
      <c r="V7" s="3853"/>
      <c r="W7" s="3853"/>
      <c r="X7" s="3853"/>
      <c r="Y7" s="2930"/>
      <c r="Z7" s="2930"/>
      <c r="AA7" s="4371"/>
      <c r="AB7" s="290"/>
      <c r="AC7" s="290"/>
    </row>
    <row r="8" spans="1:111" ht="42.65" hidden="1" customHeight="1">
      <c r="A8" s="296"/>
      <c r="B8" s="297" t="s">
        <v>2129</v>
      </c>
      <c r="C8" s="298"/>
      <c r="D8" s="3853"/>
      <c r="E8" s="3853"/>
      <c r="F8" s="3853"/>
      <c r="G8" s="3853"/>
      <c r="H8" s="3853"/>
      <c r="I8" s="3853"/>
      <c r="J8" s="3853"/>
      <c r="K8" s="3853"/>
      <c r="L8" s="3853"/>
      <c r="M8" s="3853"/>
      <c r="N8" s="3853"/>
      <c r="O8" s="3853"/>
      <c r="P8" s="3853"/>
      <c r="Q8" s="3853"/>
      <c r="R8" s="3853"/>
      <c r="S8" s="3853"/>
      <c r="T8" s="3853"/>
      <c r="U8" s="3853"/>
      <c r="V8" s="3853"/>
      <c r="W8" s="3853"/>
      <c r="X8" s="3853"/>
      <c r="Y8" s="2930"/>
      <c r="Z8" s="2930"/>
      <c r="AA8" s="4371"/>
      <c r="AB8" s="290"/>
      <c r="AC8" s="290"/>
    </row>
    <row r="9" spans="1:111" ht="42.65" hidden="1" customHeight="1">
      <c r="A9" s="296"/>
      <c r="B9" s="297" t="s">
        <v>2129</v>
      </c>
      <c r="C9" s="298"/>
      <c r="D9" s="3853"/>
      <c r="E9" s="3853"/>
      <c r="F9" s="3853"/>
      <c r="G9" s="3853"/>
      <c r="H9" s="3853"/>
      <c r="I9" s="3853"/>
      <c r="J9" s="3853"/>
      <c r="K9" s="3853"/>
      <c r="L9" s="3853"/>
      <c r="M9" s="3853"/>
      <c r="N9" s="3853"/>
      <c r="O9" s="3853"/>
      <c r="P9" s="3853"/>
      <c r="Q9" s="3853"/>
      <c r="R9" s="3853"/>
      <c r="S9" s="3853"/>
      <c r="T9" s="3853"/>
      <c r="U9" s="3853"/>
      <c r="V9" s="3853"/>
      <c r="W9" s="3853"/>
      <c r="X9" s="3853"/>
      <c r="Y9" s="2930"/>
      <c r="Z9" s="2930"/>
      <c r="AA9" s="4371"/>
      <c r="AB9" s="290"/>
      <c r="AC9" s="290"/>
    </row>
    <row r="10" spans="1:111" s="341" customFormat="1" ht="42.65" hidden="1" customHeight="1">
      <c r="A10" s="296"/>
      <c r="B10" s="297" t="s">
        <v>2129</v>
      </c>
      <c r="C10" s="298"/>
      <c r="D10" s="3853"/>
      <c r="E10" s="3853"/>
      <c r="F10" s="3853"/>
      <c r="G10" s="3853"/>
      <c r="H10" s="3853"/>
      <c r="I10" s="3853"/>
      <c r="J10" s="3853"/>
      <c r="K10" s="3853"/>
      <c r="L10" s="3853"/>
      <c r="M10" s="3853"/>
      <c r="N10" s="3853"/>
      <c r="O10" s="3853"/>
      <c r="P10" s="3853"/>
      <c r="Q10" s="3853"/>
      <c r="R10" s="3853"/>
      <c r="S10" s="3853"/>
      <c r="T10" s="3853"/>
      <c r="U10" s="3853"/>
      <c r="V10" s="3853"/>
      <c r="W10" s="3853"/>
      <c r="X10" s="3853"/>
      <c r="Y10" s="2930"/>
      <c r="Z10" s="2930"/>
      <c r="AA10" s="4371"/>
      <c r="AB10" s="290"/>
      <c r="AC10" s="290"/>
      <c r="AD10" s="202"/>
      <c r="AE10" s="202"/>
      <c r="AF10" s="202"/>
      <c r="AG10" s="202"/>
      <c r="AH10" s="202"/>
      <c r="AI10" s="202"/>
      <c r="AJ10" s="202"/>
      <c r="AK10" s="202"/>
      <c r="AL10" s="202"/>
      <c r="AM10" s="202"/>
      <c r="AN10" s="202"/>
      <c r="AO10" s="202"/>
      <c r="AP10" s="202"/>
      <c r="AQ10" s="202"/>
      <c r="AR10" s="202"/>
      <c r="AS10" s="202"/>
      <c r="AT10" s="202"/>
      <c r="AU10" s="202"/>
      <c r="AV10" s="202"/>
      <c r="AW10" s="202"/>
      <c r="AX10" s="202"/>
      <c r="AY10" s="202"/>
      <c r="AZ10" s="202"/>
      <c r="BA10" s="202"/>
      <c r="BB10" s="202"/>
      <c r="BC10" s="202"/>
      <c r="BD10" s="202"/>
      <c r="BE10" s="202"/>
      <c r="BF10" s="202"/>
      <c r="BG10" s="202"/>
      <c r="BH10" s="202"/>
      <c r="BI10" s="202"/>
      <c r="BJ10" s="202"/>
      <c r="BK10" s="202"/>
      <c r="BL10" s="202"/>
      <c r="BM10" s="202"/>
      <c r="BN10" s="202"/>
      <c r="BO10" s="202"/>
      <c r="BP10" s="202"/>
      <c r="BQ10" s="202"/>
      <c r="BR10" s="202"/>
      <c r="BS10" s="202"/>
      <c r="BT10" s="202"/>
      <c r="BU10" s="202"/>
      <c r="BV10" s="202"/>
      <c r="BW10" s="202"/>
      <c r="BX10" s="202"/>
      <c r="BY10" s="202"/>
      <c r="BZ10" s="202"/>
      <c r="CA10" s="202"/>
      <c r="CB10" s="202"/>
      <c r="CC10" s="202"/>
      <c r="CD10" s="202"/>
      <c r="CE10" s="202"/>
      <c r="CF10" s="202"/>
      <c r="CG10" s="202"/>
      <c r="CH10" s="202"/>
      <c r="CI10" s="202"/>
      <c r="CJ10" s="202"/>
      <c r="CK10" s="202"/>
      <c r="CL10" s="202"/>
      <c r="CM10" s="202"/>
      <c r="CN10" s="202"/>
      <c r="CO10" s="202"/>
      <c r="CP10" s="202"/>
      <c r="CQ10" s="202"/>
      <c r="CR10" s="202"/>
      <c r="CS10" s="202"/>
      <c r="CT10" s="202"/>
      <c r="CU10" s="202"/>
      <c r="CV10" s="202"/>
      <c r="CW10" s="202"/>
      <c r="CX10" s="202"/>
      <c r="CY10" s="202"/>
      <c r="CZ10" s="202"/>
      <c r="DA10" s="202"/>
      <c r="DB10" s="202"/>
      <c r="DC10" s="202"/>
      <c r="DD10" s="202"/>
      <c r="DE10" s="202"/>
      <c r="DF10" s="202"/>
      <c r="DG10" s="202"/>
    </row>
    <row r="11" spans="1:111" ht="42.65" hidden="1" customHeight="1">
      <c r="A11" s="296"/>
      <c r="B11" s="297" t="s">
        <v>2129</v>
      </c>
      <c r="C11" s="298"/>
      <c r="D11" s="3853"/>
      <c r="E11" s="3853"/>
      <c r="F11" s="3853"/>
      <c r="G11" s="3853"/>
      <c r="H11" s="3853"/>
      <c r="I11" s="3853"/>
      <c r="J11" s="3853"/>
      <c r="K11" s="3853"/>
      <c r="L11" s="3853"/>
      <c r="M11" s="3853"/>
      <c r="N11" s="3853"/>
      <c r="O11" s="3853"/>
      <c r="P11" s="3853"/>
      <c r="Q11" s="3853"/>
      <c r="R11" s="3853"/>
      <c r="S11" s="3853"/>
      <c r="T11" s="3853"/>
      <c r="U11" s="3853"/>
      <c r="V11" s="3853"/>
      <c r="W11" s="3853"/>
      <c r="X11" s="3853"/>
      <c r="Y11" s="2930"/>
      <c r="Z11" s="2930"/>
      <c r="AA11" s="4371"/>
      <c r="AB11" s="290"/>
      <c r="AC11" s="290"/>
    </row>
    <row r="12" spans="1:111" ht="42.65" hidden="1" customHeight="1">
      <c r="A12" s="296"/>
      <c r="B12" s="297"/>
      <c r="C12" s="298"/>
      <c r="D12" s="3853"/>
      <c r="E12" s="3853"/>
      <c r="F12" s="3853"/>
      <c r="G12" s="3853"/>
      <c r="H12" s="3853"/>
      <c r="I12" s="3853"/>
      <c r="J12" s="3853"/>
      <c r="K12" s="3853"/>
      <c r="L12" s="3853"/>
      <c r="M12" s="3853"/>
      <c r="N12" s="3853"/>
      <c r="O12" s="3853"/>
      <c r="P12" s="3853"/>
      <c r="Q12" s="3853"/>
      <c r="R12" s="3853"/>
      <c r="S12" s="3853"/>
      <c r="T12" s="3853"/>
      <c r="U12" s="3853"/>
      <c r="V12" s="3853"/>
      <c r="W12" s="3853"/>
      <c r="X12" s="3853"/>
      <c r="Y12" s="2930"/>
      <c r="Z12" s="2930"/>
      <c r="AA12" s="4371"/>
      <c r="AB12" s="290"/>
      <c r="AC12" s="290"/>
    </row>
    <row r="13" spans="1:111" ht="42.5" hidden="1" customHeight="1">
      <c r="A13" s="296"/>
      <c r="B13" s="297" t="s">
        <v>2129</v>
      </c>
      <c r="C13" s="298"/>
      <c r="D13" s="3853"/>
      <c r="E13" s="3853"/>
      <c r="F13" s="3853"/>
      <c r="G13" s="3853"/>
      <c r="H13" s="3853"/>
      <c r="I13" s="3853"/>
      <c r="J13" s="3853"/>
      <c r="K13" s="3853"/>
      <c r="L13" s="3853"/>
      <c r="M13" s="3853"/>
      <c r="N13" s="3853"/>
      <c r="O13" s="3853"/>
      <c r="P13" s="3853"/>
      <c r="Q13" s="3853"/>
      <c r="R13" s="3853"/>
      <c r="S13" s="3853"/>
      <c r="T13" s="3853"/>
      <c r="U13" s="3853"/>
      <c r="V13" s="3853"/>
      <c r="W13" s="3853"/>
      <c r="X13" s="3853"/>
      <c r="Y13" s="2930"/>
      <c r="Z13" s="2930"/>
      <c r="AA13" s="4371"/>
      <c r="AB13" s="290"/>
      <c r="AC13" s="290"/>
    </row>
    <row r="14" spans="1:111" ht="42.65" hidden="1" customHeight="1">
      <c r="A14" s="296"/>
      <c r="B14" s="297"/>
      <c r="C14" s="298"/>
      <c r="D14" s="3853"/>
      <c r="E14" s="3853"/>
      <c r="F14" s="3853"/>
      <c r="G14" s="3853"/>
      <c r="H14" s="3853"/>
      <c r="I14" s="3853"/>
      <c r="J14" s="3853"/>
      <c r="K14" s="3853"/>
      <c r="L14" s="3853"/>
      <c r="M14" s="3853"/>
      <c r="N14" s="3853"/>
      <c r="O14" s="3853"/>
      <c r="P14" s="3853"/>
      <c r="Q14" s="3853"/>
      <c r="R14" s="3853"/>
      <c r="S14" s="3853"/>
      <c r="T14" s="3853"/>
      <c r="U14" s="3853"/>
      <c r="V14" s="3853"/>
      <c r="W14" s="3853"/>
      <c r="X14" s="3853"/>
      <c r="Y14" s="2930"/>
      <c r="Z14" s="2930"/>
      <c r="AA14" s="4371"/>
      <c r="AB14" s="290"/>
      <c r="AC14" s="290"/>
    </row>
    <row r="15" spans="1:111" ht="42.65" hidden="1" customHeight="1">
      <c r="A15" s="296"/>
      <c r="B15" s="297"/>
      <c r="C15" s="298"/>
      <c r="D15" s="3853"/>
      <c r="E15" s="3853"/>
      <c r="F15" s="3853"/>
      <c r="G15" s="3853"/>
      <c r="H15" s="3853"/>
      <c r="I15" s="3853"/>
      <c r="J15" s="3853"/>
      <c r="K15" s="3853"/>
      <c r="L15" s="3853"/>
      <c r="M15" s="3853"/>
      <c r="N15" s="3853"/>
      <c r="O15" s="3853"/>
      <c r="P15" s="3853"/>
      <c r="Q15" s="3853"/>
      <c r="R15" s="3853"/>
      <c r="S15" s="3853"/>
      <c r="T15" s="3853"/>
      <c r="U15" s="3853"/>
      <c r="V15" s="3853"/>
      <c r="W15" s="3853"/>
      <c r="X15" s="3853"/>
      <c r="Y15" s="2930"/>
      <c r="Z15" s="2930"/>
      <c r="AA15" s="4371"/>
      <c r="AB15" s="290"/>
      <c r="AC15" s="290"/>
    </row>
    <row r="16" spans="1:111" ht="42.65" hidden="1" customHeight="1">
      <c r="A16" s="296"/>
      <c r="B16" s="297"/>
      <c r="C16" s="298"/>
      <c r="D16" s="3853"/>
      <c r="E16" s="3853"/>
      <c r="F16" s="3853"/>
      <c r="G16" s="3853"/>
      <c r="H16" s="3853"/>
      <c r="I16" s="3853"/>
      <c r="J16" s="3853"/>
      <c r="K16" s="3853"/>
      <c r="L16" s="3853"/>
      <c r="M16" s="3853"/>
      <c r="N16" s="3853"/>
      <c r="O16" s="3853"/>
      <c r="P16" s="3853"/>
      <c r="Q16" s="3853"/>
      <c r="R16" s="3853"/>
      <c r="S16" s="3853"/>
      <c r="T16" s="3853"/>
      <c r="U16" s="3853"/>
      <c r="V16" s="3853"/>
      <c r="W16" s="3853"/>
      <c r="X16" s="3853"/>
      <c r="Y16" s="2930"/>
      <c r="Z16" s="2930"/>
      <c r="AA16" s="4371"/>
      <c r="AB16" s="290"/>
      <c r="AC16" s="290"/>
    </row>
    <row r="17" spans="1:111" ht="42.65" hidden="1" customHeight="1">
      <c r="A17" s="296"/>
      <c r="B17" s="297"/>
      <c r="C17" s="298"/>
      <c r="D17" s="3853"/>
      <c r="E17" s="3853"/>
      <c r="F17" s="3853"/>
      <c r="G17" s="3853"/>
      <c r="H17" s="3853"/>
      <c r="I17" s="3853"/>
      <c r="J17" s="3853"/>
      <c r="K17" s="3853"/>
      <c r="L17" s="3853"/>
      <c r="M17" s="3853"/>
      <c r="N17" s="3853"/>
      <c r="O17" s="3853"/>
      <c r="P17" s="3853"/>
      <c r="Q17" s="3853"/>
      <c r="R17" s="3853"/>
      <c r="S17" s="3853"/>
      <c r="T17" s="3853"/>
      <c r="U17" s="3853"/>
      <c r="V17" s="3853"/>
      <c r="W17" s="3853"/>
      <c r="X17" s="3853"/>
      <c r="Y17" s="2930"/>
      <c r="Z17" s="2930"/>
      <c r="AA17" s="4371"/>
      <c r="AB17" s="290"/>
      <c r="AC17" s="290"/>
    </row>
    <row r="18" spans="1:111" ht="42.65" hidden="1" customHeight="1">
      <c r="A18" s="296"/>
      <c r="B18" s="297"/>
      <c r="C18" s="298"/>
      <c r="D18" s="3853"/>
      <c r="E18" s="3853"/>
      <c r="F18" s="3853"/>
      <c r="G18" s="3853"/>
      <c r="H18" s="3853"/>
      <c r="I18" s="3853"/>
      <c r="J18" s="3853"/>
      <c r="K18" s="3853"/>
      <c r="L18" s="3853"/>
      <c r="M18" s="3853"/>
      <c r="N18" s="3853"/>
      <c r="O18" s="3853"/>
      <c r="P18" s="3853"/>
      <c r="Q18" s="3853"/>
      <c r="R18" s="3853"/>
      <c r="S18" s="3853"/>
      <c r="T18" s="3853"/>
      <c r="U18" s="3853"/>
      <c r="V18" s="3853"/>
      <c r="W18" s="3853"/>
      <c r="X18" s="3853"/>
      <c r="Y18" s="2930"/>
      <c r="Z18" s="2930"/>
      <c r="AA18" s="4371"/>
      <c r="AB18" s="290"/>
      <c r="AC18" s="290"/>
    </row>
    <row r="19" spans="1:111" s="341" customFormat="1" ht="42.65" hidden="1" customHeight="1">
      <c r="A19" s="296"/>
      <c r="B19" s="297" t="s">
        <v>2129</v>
      </c>
      <c r="C19" s="298"/>
      <c r="D19" s="3853"/>
      <c r="E19" s="3853"/>
      <c r="F19" s="3853"/>
      <c r="G19" s="3853"/>
      <c r="H19" s="3853"/>
      <c r="I19" s="3853"/>
      <c r="J19" s="3853"/>
      <c r="K19" s="3853"/>
      <c r="L19" s="3853"/>
      <c r="M19" s="3853"/>
      <c r="N19" s="3853"/>
      <c r="O19" s="3853"/>
      <c r="P19" s="3853"/>
      <c r="Q19" s="3853"/>
      <c r="R19" s="3853"/>
      <c r="S19" s="3853"/>
      <c r="T19" s="3853"/>
      <c r="U19" s="3853"/>
      <c r="V19" s="3853"/>
      <c r="W19" s="3853"/>
      <c r="X19" s="3853"/>
      <c r="Y19" s="2930"/>
      <c r="Z19" s="2930"/>
      <c r="AA19" s="4371"/>
      <c r="AB19" s="290"/>
      <c r="AC19" s="290"/>
      <c r="AD19" s="202"/>
      <c r="AE19" s="202"/>
      <c r="AF19" s="202"/>
      <c r="AG19" s="202"/>
      <c r="AH19" s="202"/>
      <c r="AI19" s="202"/>
      <c r="AJ19" s="202"/>
      <c r="AK19" s="202"/>
      <c r="AL19" s="202"/>
      <c r="AM19" s="202"/>
      <c r="AN19" s="202"/>
      <c r="AO19" s="202"/>
      <c r="AP19" s="202"/>
      <c r="AQ19" s="202"/>
      <c r="AR19" s="202"/>
      <c r="AS19" s="202"/>
      <c r="AT19" s="202"/>
      <c r="AU19" s="202"/>
      <c r="AV19" s="202"/>
      <c r="AW19" s="202"/>
      <c r="AX19" s="202"/>
      <c r="AY19" s="202"/>
      <c r="AZ19" s="202"/>
      <c r="BA19" s="202"/>
      <c r="BB19" s="202"/>
      <c r="BC19" s="202"/>
      <c r="BD19" s="202"/>
      <c r="BE19" s="202"/>
      <c r="BF19" s="202"/>
      <c r="BG19" s="202"/>
      <c r="BH19" s="202"/>
      <c r="BI19" s="202"/>
      <c r="BJ19" s="202"/>
      <c r="BK19" s="202"/>
      <c r="BL19" s="202"/>
      <c r="BM19" s="202"/>
      <c r="BN19" s="202"/>
      <c r="BO19" s="202"/>
      <c r="BP19" s="202"/>
      <c r="BQ19" s="202"/>
      <c r="BR19" s="202"/>
      <c r="BS19" s="202"/>
      <c r="BT19" s="202"/>
      <c r="BU19" s="202"/>
      <c r="BV19" s="202"/>
      <c r="BW19" s="202"/>
      <c r="BX19" s="202"/>
      <c r="BY19" s="202"/>
      <c r="BZ19" s="202"/>
      <c r="CA19" s="202"/>
      <c r="CB19" s="202"/>
      <c r="CC19" s="202"/>
      <c r="CD19" s="202"/>
      <c r="CE19" s="202"/>
      <c r="CF19" s="202"/>
      <c r="CG19" s="202"/>
      <c r="CH19" s="202"/>
      <c r="CI19" s="202"/>
      <c r="CJ19" s="202"/>
      <c r="CK19" s="202"/>
      <c r="CL19" s="202"/>
      <c r="CM19" s="202"/>
      <c r="CN19" s="202"/>
      <c r="CO19" s="202"/>
      <c r="CP19" s="202"/>
      <c r="CQ19" s="202"/>
      <c r="CR19" s="202"/>
      <c r="CS19" s="202"/>
      <c r="CT19" s="202"/>
      <c r="CU19" s="202"/>
      <c r="CV19" s="202"/>
      <c r="CW19" s="202"/>
      <c r="CX19" s="202"/>
      <c r="CY19" s="202"/>
      <c r="CZ19" s="202"/>
      <c r="DA19" s="202"/>
      <c r="DB19" s="202"/>
      <c r="DC19" s="202"/>
      <c r="DD19" s="202"/>
      <c r="DE19" s="202"/>
      <c r="DF19" s="202"/>
      <c r="DG19" s="202"/>
    </row>
    <row r="20" spans="1:111" ht="42.65" hidden="1" customHeight="1">
      <c r="A20" s="296"/>
      <c r="B20" s="297" t="s">
        <v>2129</v>
      </c>
      <c r="C20" s="298"/>
      <c r="D20" s="3853"/>
      <c r="E20" s="3853"/>
      <c r="F20" s="3853"/>
      <c r="G20" s="3853"/>
      <c r="H20" s="3853"/>
      <c r="I20" s="3853"/>
      <c r="J20" s="3853"/>
      <c r="K20" s="3853"/>
      <c r="L20" s="3853"/>
      <c r="M20" s="3853"/>
      <c r="N20" s="3853"/>
      <c r="O20" s="3853"/>
      <c r="P20" s="3853"/>
      <c r="Q20" s="3853"/>
      <c r="R20" s="3853"/>
      <c r="S20" s="3853"/>
      <c r="T20" s="3853"/>
      <c r="U20" s="3853"/>
      <c r="V20" s="3853"/>
      <c r="W20" s="3853"/>
      <c r="X20" s="3853"/>
      <c r="Y20" s="2930"/>
      <c r="Z20" s="2930"/>
      <c r="AA20" s="4371"/>
      <c r="AB20" s="290"/>
      <c r="AC20" s="290"/>
    </row>
    <row r="21" spans="1:111" ht="42.65" hidden="1" customHeight="1">
      <c r="A21" s="296"/>
      <c r="B21" s="297" t="s">
        <v>2129</v>
      </c>
      <c r="C21" s="298"/>
      <c r="D21" s="3853"/>
      <c r="E21" s="3853"/>
      <c r="F21" s="3853"/>
      <c r="G21" s="3853"/>
      <c r="H21" s="3853"/>
      <c r="I21" s="3853"/>
      <c r="J21" s="3853"/>
      <c r="K21" s="3853"/>
      <c r="L21" s="3853"/>
      <c r="M21" s="3853"/>
      <c r="N21" s="3853"/>
      <c r="O21" s="3853"/>
      <c r="P21" s="3853"/>
      <c r="Q21" s="3853"/>
      <c r="R21" s="3853"/>
      <c r="S21" s="3853"/>
      <c r="T21" s="3853"/>
      <c r="U21" s="3853"/>
      <c r="V21" s="3853"/>
      <c r="W21" s="3853"/>
      <c r="X21" s="3853"/>
      <c r="Y21" s="2930"/>
      <c r="Z21" s="2930"/>
      <c r="AA21" s="4371"/>
      <c r="AB21" s="290"/>
      <c r="AC21" s="290"/>
    </row>
    <row r="22" spans="1:111" ht="42.65" hidden="1" customHeight="1">
      <c r="A22" s="296"/>
      <c r="B22" s="297"/>
      <c r="C22" s="298"/>
      <c r="D22" s="3853"/>
      <c r="E22" s="3853"/>
      <c r="F22" s="3853"/>
      <c r="G22" s="3853"/>
      <c r="H22" s="3853"/>
      <c r="I22" s="3853"/>
      <c r="J22" s="3853"/>
      <c r="K22" s="3853"/>
      <c r="L22" s="3853"/>
      <c r="M22" s="3853"/>
      <c r="N22" s="3853"/>
      <c r="O22" s="3853"/>
      <c r="P22" s="3853"/>
      <c r="Q22" s="3853"/>
      <c r="R22" s="3853"/>
      <c r="S22" s="3853"/>
      <c r="T22" s="3853"/>
      <c r="U22" s="3853"/>
      <c r="V22" s="3853"/>
      <c r="W22" s="3853"/>
      <c r="X22" s="3853"/>
      <c r="Y22" s="2930"/>
      <c r="Z22" s="2930"/>
      <c r="AA22" s="4371"/>
      <c r="AB22" s="290"/>
      <c r="AC22" s="290"/>
    </row>
    <row r="23" spans="1:111" ht="42.65" hidden="1" customHeight="1">
      <c r="A23" s="296"/>
      <c r="B23" s="297"/>
      <c r="C23" s="298"/>
      <c r="D23" s="3853"/>
      <c r="E23" s="3853"/>
      <c r="F23" s="3853"/>
      <c r="G23" s="3853"/>
      <c r="H23" s="3853"/>
      <c r="I23" s="3853"/>
      <c r="J23" s="3853"/>
      <c r="K23" s="3853"/>
      <c r="L23" s="3853"/>
      <c r="M23" s="3853"/>
      <c r="N23" s="3853"/>
      <c r="O23" s="3853"/>
      <c r="P23" s="3853"/>
      <c r="Q23" s="3853"/>
      <c r="R23" s="3853"/>
      <c r="S23" s="3853"/>
      <c r="T23" s="3853"/>
      <c r="U23" s="3853"/>
      <c r="V23" s="3853"/>
      <c r="W23" s="3853"/>
      <c r="X23" s="3853"/>
      <c r="Y23" s="2930"/>
      <c r="Z23" s="2930"/>
      <c r="AA23" s="4371"/>
      <c r="AB23" s="290"/>
      <c r="AC23" s="290"/>
    </row>
    <row r="24" spans="1:111" ht="42.65" hidden="1" customHeight="1">
      <c r="A24" s="296"/>
      <c r="B24" s="297"/>
      <c r="C24" s="298"/>
      <c r="D24" s="3853"/>
      <c r="E24" s="3853"/>
      <c r="F24" s="3853"/>
      <c r="G24" s="3853"/>
      <c r="H24" s="3853"/>
      <c r="I24" s="3853"/>
      <c r="J24" s="3853"/>
      <c r="K24" s="3853"/>
      <c r="L24" s="3853"/>
      <c r="M24" s="3853"/>
      <c r="N24" s="3853"/>
      <c r="O24" s="3853"/>
      <c r="P24" s="3853"/>
      <c r="Q24" s="3853"/>
      <c r="R24" s="3853"/>
      <c r="S24" s="3853"/>
      <c r="T24" s="3853"/>
      <c r="U24" s="3853"/>
      <c r="V24" s="3853"/>
      <c r="W24" s="3853"/>
      <c r="X24" s="3853"/>
      <c r="Y24" s="2930"/>
      <c r="Z24" s="2930"/>
      <c r="AA24" s="4371"/>
      <c r="AB24" s="290"/>
      <c r="AC24" s="290"/>
    </row>
    <row r="25" spans="1:111" ht="42.65" hidden="1" customHeight="1">
      <c r="A25" s="296"/>
      <c r="B25" s="297"/>
      <c r="C25" s="298"/>
      <c r="D25" s="3853"/>
      <c r="E25" s="3853"/>
      <c r="F25" s="3853"/>
      <c r="G25" s="3853"/>
      <c r="H25" s="3853"/>
      <c r="I25" s="3853"/>
      <c r="J25" s="3853"/>
      <c r="K25" s="3853"/>
      <c r="L25" s="3853"/>
      <c r="M25" s="3853"/>
      <c r="N25" s="3853"/>
      <c r="O25" s="3853"/>
      <c r="P25" s="3853"/>
      <c r="Q25" s="3853"/>
      <c r="R25" s="3853"/>
      <c r="S25" s="3853"/>
      <c r="T25" s="3853"/>
      <c r="U25" s="3853"/>
      <c r="V25" s="3853"/>
      <c r="W25" s="3853"/>
      <c r="X25" s="3853"/>
      <c r="Y25" s="2930"/>
      <c r="Z25" s="2930"/>
      <c r="AA25" s="4371"/>
      <c r="AB25" s="290"/>
      <c r="AC25" s="290"/>
    </row>
    <row r="26" spans="1:111" s="341" customFormat="1" ht="42.65" hidden="1" customHeight="1">
      <c r="A26" s="296"/>
      <c r="B26" s="297" t="s">
        <v>2129</v>
      </c>
      <c r="C26" s="298"/>
      <c r="D26" s="3853"/>
      <c r="E26" s="3853"/>
      <c r="F26" s="3853"/>
      <c r="G26" s="3853"/>
      <c r="H26" s="3853"/>
      <c r="I26" s="3853"/>
      <c r="J26" s="3853"/>
      <c r="K26" s="3853"/>
      <c r="L26" s="3853"/>
      <c r="M26" s="3853"/>
      <c r="N26" s="3853"/>
      <c r="O26" s="3853"/>
      <c r="P26" s="3853"/>
      <c r="Q26" s="3853"/>
      <c r="R26" s="3853"/>
      <c r="S26" s="3853"/>
      <c r="T26" s="3853"/>
      <c r="U26" s="3853"/>
      <c r="V26" s="3853"/>
      <c r="W26" s="3853"/>
      <c r="X26" s="3853"/>
      <c r="Y26" s="2930"/>
      <c r="Z26" s="2930"/>
      <c r="AA26" s="4371"/>
      <c r="AB26" s="290"/>
      <c r="AC26" s="290"/>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c r="BL26" s="202"/>
      <c r="BM26" s="202"/>
      <c r="BN26" s="202"/>
      <c r="BO26" s="202"/>
      <c r="BP26" s="202"/>
      <c r="BQ26" s="202"/>
      <c r="BR26" s="202"/>
      <c r="BS26" s="202"/>
      <c r="BT26" s="202"/>
      <c r="BU26" s="202"/>
      <c r="BV26" s="202"/>
      <c r="BW26" s="202"/>
      <c r="BX26" s="202"/>
      <c r="BY26" s="202"/>
      <c r="BZ26" s="202"/>
      <c r="CA26" s="202"/>
      <c r="CB26" s="202"/>
      <c r="CC26" s="202"/>
      <c r="CD26" s="202"/>
      <c r="CE26" s="202"/>
      <c r="CF26" s="202"/>
      <c r="CG26" s="202"/>
      <c r="CH26" s="202"/>
      <c r="CI26" s="202"/>
      <c r="CJ26" s="202"/>
      <c r="CK26" s="202"/>
      <c r="CL26" s="202"/>
      <c r="CM26" s="202"/>
      <c r="CN26" s="202"/>
      <c r="CO26" s="202"/>
      <c r="CP26" s="202"/>
      <c r="CQ26" s="202"/>
      <c r="CR26" s="202"/>
      <c r="CS26" s="202"/>
      <c r="CT26" s="202"/>
      <c r="CU26" s="202"/>
      <c r="CV26" s="202"/>
      <c r="CW26" s="202"/>
      <c r="CX26" s="202"/>
      <c r="CY26" s="202"/>
      <c r="CZ26" s="202"/>
      <c r="DA26" s="202"/>
      <c r="DB26" s="202"/>
      <c r="DC26" s="202"/>
      <c r="DD26" s="202"/>
      <c r="DE26" s="202"/>
      <c r="DF26" s="202"/>
      <c r="DG26" s="202"/>
    </row>
    <row r="27" spans="1:111" ht="42.65" hidden="1" customHeight="1">
      <c r="A27" s="296"/>
      <c r="B27" s="297" t="s">
        <v>2129</v>
      </c>
      <c r="C27" s="298"/>
      <c r="D27" s="3853"/>
      <c r="E27" s="3853"/>
      <c r="F27" s="3853"/>
      <c r="G27" s="3853"/>
      <c r="H27" s="3853"/>
      <c r="I27" s="3853"/>
      <c r="J27" s="3853"/>
      <c r="K27" s="3853"/>
      <c r="L27" s="3853"/>
      <c r="M27" s="3853"/>
      <c r="N27" s="3853"/>
      <c r="O27" s="3853"/>
      <c r="P27" s="3853"/>
      <c r="Q27" s="3853"/>
      <c r="R27" s="3853"/>
      <c r="S27" s="3853"/>
      <c r="T27" s="3853"/>
      <c r="U27" s="3853"/>
      <c r="V27" s="3853"/>
      <c r="W27" s="3853"/>
      <c r="X27" s="3853"/>
      <c r="Y27" s="2930"/>
      <c r="Z27" s="2930"/>
      <c r="AA27" s="4371"/>
      <c r="AB27" s="290"/>
      <c r="AC27" s="290"/>
    </row>
    <row r="28" spans="1:111" ht="42.65" hidden="1" customHeight="1">
      <c r="A28" s="296"/>
      <c r="B28" s="297" t="s">
        <v>2129</v>
      </c>
      <c r="C28" s="298"/>
      <c r="D28" s="3853"/>
      <c r="E28" s="3853"/>
      <c r="F28" s="3853"/>
      <c r="G28" s="3853"/>
      <c r="H28" s="3853"/>
      <c r="I28" s="3853"/>
      <c r="J28" s="3853"/>
      <c r="K28" s="3853"/>
      <c r="L28" s="3853"/>
      <c r="M28" s="3853"/>
      <c r="N28" s="3853"/>
      <c r="O28" s="3853"/>
      <c r="P28" s="3853"/>
      <c r="Q28" s="3853"/>
      <c r="R28" s="3853"/>
      <c r="S28" s="3853"/>
      <c r="T28" s="3853"/>
      <c r="U28" s="3853"/>
      <c r="V28" s="3853"/>
      <c r="W28" s="3853"/>
      <c r="X28" s="3853"/>
      <c r="Y28" s="2930"/>
      <c r="Z28" s="2930"/>
      <c r="AA28" s="4371"/>
      <c r="AB28" s="290"/>
      <c r="AC28" s="290"/>
    </row>
    <row r="29" spans="1:111" ht="42.65" hidden="1" customHeight="1">
      <c r="A29" s="296"/>
      <c r="B29" s="297" t="s">
        <v>2129</v>
      </c>
      <c r="C29" s="298"/>
      <c r="D29" s="3853"/>
      <c r="E29" s="3853"/>
      <c r="F29" s="3853"/>
      <c r="G29" s="3853"/>
      <c r="H29" s="3853"/>
      <c r="I29" s="3853"/>
      <c r="J29" s="3853"/>
      <c r="K29" s="3853"/>
      <c r="L29" s="3853"/>
      <c r="M29" s="3853"/>
      <c r="N29" s="3853"/>
      <c r="O29" s="3853"/>
      <c r="P29" s="3853"/>
      <c r="Q29" s="3853"/>
      <c r="R29" s="3853"/>
      <c r="S29" s="3853"/>
      <c r="T29" s="3853"/>
      <c r="U29" s="3853"/>
      <c r="V29" s="3853"/>
      <c r="W29" s="3853"/>
      <c r="X29" s="3853"/>
      <c r="Y29" s="2930"/>
      <c r="Z29" s="2930"/>
      <c r="AA29" s="4371"/>
      <c r="AB29" s="290"/>
      <c r="AC29" s="290"/>
    </row>
    <row r="30" spans="1:111" ht="42.65" hidden="1" customHeight="1">
      <c r="A30" s="372">
        <v>2</v>
      </c>
      <c r="B30" s="2871" t="s">
        <v>2129</v>
      </c>
      <c r="C30" s="373" t="s">
        <v>2822</v>
      </c>
      <c r="D30" s="4372">
        <v>0</v>
      </c>
      <c r="E30" s="4372"/>
      <c r="F30" s="4372"/>
      <c r="G30" s="4372"/>
      <c r="H30" s="4372"/>
      <c r="I30" s="4372">
        <v>0</v>
      </c>
      <c r="J30" s="4373">
        <v>0</v>
      </c>
      <c r="K30" s="4372">
        <v>0</v>
      </c>
      <c r="L30" s="4374">
        <v>0</v>
      </c>
      <c r="M30" s="4374">
        <v>0</v>
      </c>
      <c r="N30" s="4374">
        <v>0</v>
      </c>
      <c r="O30" s="4374">
        <v>0</v>
      </c>
      <c r="P30" s="4374">
        <v>0</v>
      </c>
      <c r="Q30" s="4374"/>
      <c r="R30" s="4374">
        <v>0</v>
      </c>
      <c r="S30" s="4374"/>
      <c r="T30" s="4374">
        <v>0</v>
      </c>
      <c r="U30" s="4374">
        <v>0</v>
      </c>
      <c r="V30" s="4374">
        <v>0</v>
      </c>
      <c r="W30" s="4374"/>
      <c r="X30" s="4374">
        <v>0</v>
      </c>
      <c r="Y30" s="4366">
        <v>46265</v>
      </c>
      <c r="Z30" s="4367">
        <v>46302</v>
      </c>
      <c r="AA30" s="4368">
        <v>37</v>
      </c>
      <c r="AB30" s="290">
        <v>38756</v>
      </c>
      <c r="AC30" s="290"/>
    </row>
    <row r="31" spans="1:111" ht="42.65" hidden="1" customHeight="1">
      <c r="A31" s="296"/>
      <c r="B31" s="297"/>
      <c r="C31" s="298"/>
      <c r="D31" s="3853"/>
      <c r="E31" s="3853"/>
      <c r="F31" s="3853"/>
      <c r="G31" s="3853"/>
      <c r="H31" s="3853"/>
      <c r="I31" s="3853"/>
      <c r="J31" s="3853"/>
      <c r="K31" s="3853"/>
      <c r="L31" s="3853"/>
      <c r="M31" s="3853"/>
      <c r="N31" s="3853"/>
      <c r="O31" s="3853"/>
      <c r="P31" s="3853"/>
      <c r="Q31" s="3853"/>
      <c r="R31" s="3853"/>
      <c r="S31" s="3853"/>
      <c r="T31" s="3853"/>
      <c r="U31" s="3853"/>
      <c r="V31" s="3853"/>
      <c r="W31" s="3853"/>
      <c r="X31" s="3853"/>
      <c r="Y31" s="2930"/>
      <c r="Z31" s="2930"/>
      <c r="AA31" s="4371"/>
      <c r="AB31" s="290"/>
      <c r="AC31" s="290"/>
    </row>
    <row r="32" spans="1:111" ht="42.65" hidden="1" customHeight="1">
      <c r="A32" s="296"/>
      <c r="B32" s="297"/>
      <c r="C32" s="298"/>
      <c r="D32" s="3853"/>
      <c r="E32" s="3853"/>
      <c r="F32" s="3853"/>
      <c r="G32" s="3853"/>
      <c r="H32" s="3853"/>
      <c r="I32" s="3853"/>
      <c r="J32" s="3853"/>
      <c r="K32" s="3853"/>
      <c r="L32" s="3853"/>
      <c r="M32" s="3853"/>
      <c r="N32" s="3853"/>
      <c r="O32" s="3853"/>
      <c r="P32" s="3853"/>
      <c r="Q32" s="3853"/>
      <c r="R32" s="3853"/>
      <c r="S32" s="3853"/>
      <c r="T32" s="3853"/>
      <c r="U32" s="3853"/>
      <c r="V32" s="3853"/>
      <c r="W32" s="3853"/>
      <c r="X32" s="3853"/>
      <c r="Y32" s="2930"/>
      <c r="Z32" s="2930"/>
      <c r="AA32" s="4371"/>
      <c r="AB32" s="290"/>
      <c r="AC32" s="290"/>
    </row>
    <row r="33" spans="1:29" ht="42.65" hidden="1" customHeight="1">
      <c r="A33" s="296"/>
      <c r="B33" s="297"/>
      <c r="C33" s="298"/>
      <c r="D33" s="3853"/>
      <c r="E33" s="3853"/>
      <c r="F33" s="3853"/>
      <c r="G33" s="3853"/>
      <c r="H33" s="3853"/>
      <c r="I33" s="3853"/>
      <c r="J33" s="3853"/>
      <c r="K33" s="3853"/>
      <c r="L33" s="3853"/>
      <c r="M33" s="3853"/>
      <c r="N33" s="3853"/>
      <c r="O33" s="3853"/>
      <c r="P33" s="3853"/>
      <c r="Q33" s="3853"/>
      <c r="R33" s="3853"/>
      <c r="S33" s="3853"/>
      <c r="T33" s="3853"/>
      <c r="U33" s="3853"/>
      <c r="V33" s="3853"/>
      <c r="W33" s="3853"/>
      <c r="X33" s="3853"/>
      <c r="Y33" s="2930"/>
      <c r="Z33" s="2930"/>
      <c r="AA33" s="4371"/>
      <c r="AB33" s="290"/>
      <c r="AC33" s="290"/>
    </row>
    <row r="34" spans="1:29" ht="42.65" hidden="1" customHeight="1">
      <c r="A34" s="296"/>
      <c r="B34" s="297"/>
      <c r="C34" s="298"/>
      <c r="D34" s="3853"/>
      <c r="E34" s="3853"/>
      <c r="F34" s="3853"/>
      <c r="G34" s="3853"/>
      <c r="H34" s="3853"/>
      <c r="I34" s="3853"/>
      <c r="J34" s="3853"/>
      <c r="K34" s="3853"/>
      <c r="L34" s="3853"/>
      <c r="M34" s="3853"/>
      <c r="N34" s="3853"/>
      <c r="O34" s="3853"/>
      <c r="P34" s="3853"/>
      <c r="Q34" s="3853"/>
      <c r="R34" s="3853"/>
      <c r="S34" s="3853"/>
      <c r="T34" s="3853"/>
      <c r="U34" s="3853"/>
      <c r="V34" s="3853"/>
      <c r="W34" s="3853"/>
      <c r="X34" s="3853"/>
      <c r="Y34" s="2930"/>
      <c r="Z34" s="2930"/>
      <c r="AA34" s="4371"/>
      <c r="AB34" s="290"/>
      <c r="AC34" s="290"/>
    </row>
    <row r="35" spans="1:29" ht="42.65" hidden="1" customHeight="1">
      <c r="A35" s="296"/>
      <c r="B35" s="297"/>
      <c r="C35" s="298"/>
      <c r="D35" s="3853"/>
      <c r="E35" s="3853"/>
      <c r="F35" s="3853"/>
      <c r="G35" s="3853"/>
      <c r="H35" s="3853"/>
      <c r="I35" s="3853"/>
      <c r="J35" s="3853"/>
      <c r="K35" s="3853"/>
      <c r="L35" s="3853"/>
      <c r="M35" s="3853"/>
      <c r="N35" s="3853"/>
      <c r="O35" s="3853"/>
      <c r="P35" s="3853"/>
      <c r="Q35" s="3853"/>
      <c r="R35" s="3853"/>
      <c r="S35" s="3853"/>
      <c r="T35" s="3853"/>
      <c r="U35" s="3853"/>
      <c r="V35" s="3853"/>
      <c r="W35" s="3853"/>
      <c r="X35" s="3853"/>
      <c r="Y35" s="2930"/>
      <c r="Z35" s="2930"/>
      <c r="AA35" s="4371"/>
      <c r="AB35" s="290"/>
      <c r="AC35" s="290"/>
    </row>
    <row r="36" spans="1:29" ht="42.65" hidden="1" customHeight="1">
      <c r="A36" s="296"/>
      <c r="B36" s="297"/>
      <c r="C36" s="298"/>
      <c r="D36" s="3853"/>
      <c r="E36" s="3853"/>
      <c r="F36" s="3853"/>
      <c r="G36" s="3853"/>
      <c r="H36" s="3853"/>
      <c r="I36" s="3853"/>
      <c r="J36" s="3853"/>
      <c r="K36" s="3853"/>
      <c r="L36" s="3853"/>
      <c r="M36" s="3853"/>
      <c r="N36" s="3853"/>
      <c r="O36" s="3853"/>
      <c r="P36" s="3853"/>
      <c r="Q36" s="3853"/>
      <c r="R36" s="3853"/>
      <c r="S36" s="3853"/>
      <c r="T36" s="3853"/>
      <c r="U36" s="3853"/>
      <c r="V36" s="3853"/>
      <c r="W36" s="3853"/>
      <c r="X36" s="3853"/>
      <c r="Y36" s="2930"/>
      <c r="Z36" s="2930"/>
      <c r="AA36" s="4371"/>
      <c r="AB36" s="290"/>
      <c r="AC36" s="290"/>
    </row>
    <row r="37" spans="1:29" ht="42.65" hidden="1" customHeight="1">
      <c r="A37" s="296"/>
      <c r="B37" s="297"/>
      <c r="C37" s="298"/>
      <c r="D37" s="3853"/>
      <c r="E37" s="3853"/>
      <c r="F37" s="3853"/>
      <c r="G37" s="3853"/>
      <c r="H37" s="3853"/>
      <c r="I37" s="3853"/>
      <c r="J37" s="3853"/>
      <c r="K37" s="3853"/>
      <c r="L37" s="3853"/>
      <c r="M37" s="3853"/>
      <c r="N37" s="3853"/>
      <c r="O37" s="3853"/>
      <c r="P37" s="3853"/>
      <c r="Q37" s="3853"/>
      <c r="R37" s="3853"/>
      <c r="S37" s="3853"/>
      <c r="T37" s="3853"/>
      <c r="U37" s="3853"/>
      <c r="V37" s="3853"/>
      <c r="W37" s="3853"/>
      <c r="X37" s="3853"/>
      <c r="Y37" s="2930"/>
      <c r="Z37" s="2930"/>
      <c r="AA37" s="4371"/>
      <c r="AB37" s="290"/>
      <c r="AC37" s="290"/>
    </row>
    <row r="38" spans="1:29" ht="42.65" hidden="1" customHeight="1">
      <c r="A38" s="296"/>
      <c r="B38" s="297"/>
      <c r="C38" s="298"/>
      <c r="D38" s="3853"/>
      <c r="E38" s="3853"/>
      <c r="F38" s="3853"/>
      <c r="G38" s="3853"/>
      <c r="H38" s="3853"/>
      <c r="I38" s="3853"/>
      <c r="J38" s="3853"/>
      <c r="K38" s="3853"/>
      <c r="L38" s="3853"/>
      <c r="M38" s="3853"/>
      <c r="N38" s="3853"/>
      <c r="O38" s="3853"/>
      <c r="P38" s="3853"/>
      <c r="Q38" s="3853"/>
      <c r="R38" s="3853"/>
      <c r="S38" s="3853"/>
      <c r="T38" s="3853"/>
      <c r="U38" s="3853"/>
      <c r="V38" s="3853"/>
      <c r="W38" s="3853"/>
      <c r="X38" s="3853"/>
      <c r="Y38" s="2930"/>
      <c r="Z38" s="2930"/>
      <c r="AA38" s="4371"/>
      <c r="AB38" s="290"/>
      <c r="AC38" s="290"/>
    </row>
    <row r="39" spans="1:29" ht="42.65" hidden="1" customHeight="1">
      <c r="A39" s="296"/>
      <c r="B39" s="297"/>
      <c r="C39" s="298"/>
      <c r="D39" s="3853"/>
      <c r="E39" s="3853"/>
      <c r="F39" s="3853"/>
      <c r="G39" s="3853"/>
      <c r="H39" s="3853"/>
      <c r="I39" s="3853"/>
      <c r="J39" s="3853"/>
      <c r="K39" s="3853"/>
      <c r="L39" s="3853"/>
      <c r="M39" s="3853"/>
      <c r="N39" s="3853"/>
      <c r="O39" s="3853"/>
      <c r="P39" s="3853"/>
      <c r="Q39" s="3853"/>
      <c r="R39" s="3853"/>
      <c r="S39" s="3853"/>
      <c r="T39" s="3853"/>
      <c r="U39" s="3853"/>
      <c r="V39" s="3853"/>
      <c r="W39" s="3853"/>
      <c r="X39" s="3853"/>
      <c r="Y39" s="2930"/>
      <c r="Z39" s="2930"/>
      <c r="AA39" s="4371"/>
      <c r="AB39" s="290"/>
      <c r="AC39" s="290"/>
    </row>
    <row r="40" spans="1:29" ht="42.65" hidden="1" customHeight="1">
      <c r="A40" s="296"/>
      <c r="B40" s="297"/>
      <c r="C40" s="298"/>
      <c r="D40" s="3853"/>
      <c r="E40" s="3853"/>
      <c r="F40" s="3853"/>
      <c r="G40" s="3853"/>
      <c r="H40" s="3853"/>
      <c r="I40" s="3853"/>
      <c r="J40" s="3853"/>
      <c r="K40" s="3853"/>
      <c r="L40" s="3853"/>
      <c r="M40" s="3853"/>
      <c r="N40" s="3853"/>
      <c r="O40" s="3853"/>
      <c r="P40" s="3853"/>
      <c r="Q40" s="3853"/>
      <c r="R40" s="3853"/>
      <c r="S40" s="3853"/>
      <c r="T40" s="3853"/>
      <c r="U40" s="3853"/>
      <c r="V40" s="3853"/>
      <c r="W40" s="3853"/>
      <c r="X40" s="3853"/>
      <c r="Y40" s="2930"/>
      <c r="Z40" s="2930"/>
      <c r="AA40" s="4371"/>
      <c r="AB40" s="290"/>
      <c r="AC40" s="290"/>
    </row>
    <row r="41" spans="1:29" ht="42.65" hidden="1" customHeight="1">
      <c r="A41" s="296"/>
      <c r="B41" s="297"/>
      <c r="C41" s="298"/>
      <c r="D41" s="3853"/>
      <c r="E41" s="3853"/>
      <c r="F41" s="3853"/>
      <c r="G41" s="3853"/>
      <c r="H41" s="3853"/>
      <c r="I41" s="3853"/>
      <c r="J41" s="3853"/>
      <c r="K41" s="3853"/>
      <c r="L41" s="3853"/>
      <c r="M41" s="3853"/>
      <c r="N41" s="3853"/>
      <c r="O41" s="3853"/>
      <c r="P41" s="3853"/>
      <c r="Q41" s="3853"/>
      <c r="R41" s="3853"/>
      <c r="S41" s="3853"/>
      <c r="T41" s="3853"/>
      <c r="U41" s="3853"/>
      <c r="V41" s="3853"/>
      <c r="W41" s="3853"/>
      <c r="X41" s="3853"/>
      <c r="Y41" s="2930"/>
      <c r="Z41" s="2930"/>
      <c r="AA41" s="4371"/>
      <c r="AB41" s="290"/>
      <c r="AC41" s="290"/>
    </row>
    <row r="42" spans="1:29" ht="42.65" hidden="1" customHeight="1">
      <c r="A42" s="296"/>
      <c r="B42" s="297"/>
      <c r="C42" s="298"/>
      <c r="D42" s="3853"/>
      <c r="E42" s="3853"/>
      <c r="F42" s="3853"/>
      <c r="G42" s="3853"/>
      <c r="H42" s="3853"/>
      <c r="I42" s="3853"/>
      <c r="J42" s="3853"/>
      <c r="K42" s="3853"/>
      <c r="L42" s="3853"/>
      <c r="M42" s="3853"/>
      <c r="N42" s="3853"/>
      <c r="O42" s="3853"/>
      <c r="P42" s="3853"/>
      <c r="Q42" s="3853"/>
      <c r="R42" s="3853"/>
      <c r="S42" s="3853"/>
      <c r="T42" s="3853"/>
      <c r="U42" s="3853"/>
      <c r="V42" s="3853"/>
      <c r="W42" s="3853"/>
      <c r="X42" s="3853"/>
      <c r="Y42" s="2930"/>
      <c r="Z42" s="2930"/>
      <c r="AA42" s="4371"/>
      <c r="AB42" s="290"/>
      <c r="AC42" s="290"/>
    </row>
    <row r="43" spans="1:29" ht="42.65" hidden="1" customHeight="1">
      <c r="A43" s="296"/>
      <c r="B43" s="297"/>
      <c r="C43" s="298"/>
      <c r="D43" s="3853"/>
      <c r="E43" s="3853"/>
      <c r="F43" s="3853"/>
      <c r="G43" s="3853"/>
      <c r="H43" s="3853"/>
      <c r="I43" s="3853"/>
      <c r="J43" s="3853"/>
      <c r="K43" s="3853"/>
      <c r="L43" s="3853"/>
      <c r="M43" s="3853"/>
      <c r="N43" s="3853"/>
      <c r="O43" s="3853"/>
      <c r="P43" s="3853"/>
      <c r="Q43" s="3853"/>
      <c r="R43" s="3853"/>
      <c r="S43" s="3853"/>
      <c r="T43" s="3853"/>
      <c r="U43" s="3853"/>
      <c r="V43" s="3853"/>
      <c r="W43" s="3853"/>
      <c r="X43" s="3853"/>
      <c r="Y43" s="2930"/>
      <c r="Z43" s="2930"/>
      <c r="AA43" s="4371"/>
      <c r="AB43" s="290"/>
      <c r="AC43" s="290"/>
    </row>
    <row r="44" spans="1:29" ht="42.65" customHeight="1">
      <c r="A44" s="372">
        <v>3</v>
      </c>
      <c r="B44" s="2871">
        <v>121</v>
      </c>
      <c r="C44" s="6209" t="s">
        <v>2824</v>
      </c>
      <c r="D44" s="4375">
        <v>10221200</v>
      </c>
      <c r="E44" s="6265">
        <v>31075</v>
      </c>
      <c r="F44" s="6265">
        <v>31075</v>
      </c>
      <c r="G44" s="6297" t="s">
        <v>2864</v>
      </c>
      <c r="H44" s="6265">
        <v>6215.0000000000009</v>
      </c>
      <c r="I44" s="4389">
        <v>246</v>
      </c>
      <c r="J44" s="4375">
        <v>349</v>
      </c>
      <c r="K44" s="4375">
        <v>5004472</v>
      </c>
      <c r="L44" s="4377">
        <v>173760400</v>
      </c>
      <c r="M44" s="4377">
        <v>86991344</v>
      </c>
      <c r="N44" s="4377">
        <v>19372500</v>
      </c>
      <c r="O44" s="4377">
        <v>88097625</v>
      </c>
      <c r="P44" s="4377">
        <v>58731750</v>
      </c>
      <c r="Q44" s="4377">
        <v>8809762.5</v>
      </c>
      <c r="R44" s="4378">
        <v>0</v>
      </c>
      <c r="S44" s="4378"/>
      <c r="T44" s="4378">
        <v>0</v>
      </c>
      <c r="U44" s="4378">
        <v>170000</v>
      </c>
      <c r="V44" s="4378">
        <v>520200000</v>
      </c>
      <c r="W44" s="4379"/>
      <c r="X44" s="4379">
        <v>280124244</v>
      </c>
      <c r="Y44" s="4366">
        <v>46279</v>
      </c>
      <c r="Z44" s="4367">
        <v>46296</v>
      </c>
      <c r="AA44" s="4368">
        <v>17</v>
      </c>
      <c r="AB44" s="290">
        <v>4725</v>
      </c>
      <c r="AC44" s="290"/>
    </row>
    <row r="45" spans="1:29" ht="40" customHeight="1">
      <c r="A45" s="372">
        <v>4</v>
      </c>
      <c r="B45" s="2871">
        <v>24</v>
      </c>
      <c r="C45" s="6213" t="s">
        <v>2516</v>
      </c>
      <c r="D45" s="4375">
        <v>6675240.0000000009</v>
      </c>
      <c r="E45" s="5937">
        <v>26106</v>
      </c>
      <c r="F45" s="5937">
        <v>24690</v>
      </c>
      <c r="G45" s="4376" t="s">
        <v>2828</v>
      </c>
      <c r="H45" s="5937">
        <v>2373</v>
      </c>
      <c r="I45" s="4375">
        <v>243</v>
      </c>
      <c r="J45" s="4375">
        <v>330</v>
      </c>
      <c r="K45" s="4375">
        <v>14982660.000000002</v>
      </c>
      <c r="L45" s="6268">
        <v>120154320.00000001</v>
      </c>
      <c r="M45" s="6268">
        <v>311762269.5</v>
      </c>
      <c r="N45" s="4377">
        <v>5466240</v>
      </c>
      <c r="O45" s="4377">
        <v>58644518.399999999</v>
      </c>
      <c r="P45" s="4377">
        <v>36975744</v>
      </c>
      <c r="Q45" s="4377">
        <v>2665353.6</v>
      </c>
      <c r="R45" s="4378">
        <v>0</v>
      </c>
      <c r="S45" s="4378"/>
      <c r="T45" s="4378">
        <v>4240456</v>
      </c>
      <c r="U45" s="4378">
        <v>450000</v>
      </c>
      <c r="V45" s="4378">
        <v>32400000</v>
      </c>
      <c r="W45" s="4379">
        <v>29965320.000000004</v>
      </c>
      <c r="X45" s="4379">
        <v>461881909.5</v>
      </c>
      <c r="Y45" s="4366">
        <v>46275</v>
      </c>
      <c r="Z45" s="4367">
        <v>46293</v>
      </c>
      <c r="AA45" s="4368">
        <v>18</v>
      </c>
      <c r="AB45" s="290">
        <v>3744</v>
      </c>
      <c r="AC45" s="290"/>
    </row>
    <row r="46" spans="1:29" ht="40" customHeight="1">
      <c r="A46" s="296">
        <v>5</v>
      </c>
      <c r="B46" s="297">
        <v>159</v>
      </c>
      <c r="C46" s="6217" t="s">
        <v>2832</v>
      </c>
      <c r="D46" s="4375">
        <v>9004800</v>
      </c>
      <c r="E46" s="5937">
        <v>26106</v>
      </c>
      <c r="F46" s="5937">
        <v>24690</v>
      </c>
      <c r="G46" s="4376" t="s">
        <v>2828</v>
      </c>
      <c r="H46" s="5937">
        <v>2373</v>
      </c>
      <c r="I46" s="4375">
        <v>179</v>
      </c>
      <c r="J46" s="4375">
        <v>333</v>
      </c>
      <c r="K46" s="4375"/>
      <c r="L46" s="4377">
        <v>195268800</v>
      </c>
      <c r="M46" s="4377">
        <v>0</v>
      </c>
      <c r="N46" s="4377">
        <v>4875600</v>
      </c>
      <c r="O46" s="4377">
        <v>44923204.799999997</v>
      </c>
      <c r="P46" s="4377">
        <v>28324368</v>
      </c>
      <c r="Q46" s="4377">
        <v>2041729.2</v>
      </c>
      <c r="R46" s="4378">
        <v>0</v>
      </c>
      <c r="S46" s="4378"/>
      <c r="T46" s="4378">
        <v>0</v>
      </c>
      <c r="U46" s="4378">
        <v>550000</v>
      </c>
      <c r="V46" s="4378">
        <v>0</v>
      </c>
      <c r="W46" s="4379"/>
      <c r="X46" s="4379">
        <v>195268800</v>
      </c>
      <c r="Y46" s="4366">
        <v>46278</v>
      </c>
      <c r="Z46" s="4367">
        <v>46300</v>
      </c>
      <c r="AA46" s="4368">
        <v>22</v>
      </c>
      <c r="AB46" s="290">
        <v>2868</v>
      </c>
      <c r="AC46" s="290"/>
    </row>
    <row r="47" spans="1:29" ht="40" customHeight="1">
      <c r="A47" s="372">
        <v>6</v>
      </c>
      <c r="B47" s="2871">
        <v>167</v>
      </c>
      <c r="C47" s="6218" t="s">
        <v>2833</v>
      </c>
      <c r="D47" s="4375">
        <v>3698200.0000000005</v>
      </c>
      <c r="E47" s="4376">
        <v>19800</v>
      </c>
      <c r="F47" s="4376">
        <v>17710</v>
      </c>
      <c r="G47" s="6295" t="s">
        <v>2828</v>
      </c>
      <c r="H47" s="4376">
        <v>1100</v>
      </c>
      <c r="I47" s="4375">
        <v>132</v>
      </c>
      <c r="J47" s="4375">
        <v>150</v>
      </c>
      <c r="K47" s="4375">
        <v>0</v>
      </c>
      <c r="L47" s="4377">
        <v>36307315</v>
      </c>
      <c r="M47" s="4377">
        <v>0</v>
      </c>
      <c r="N47" s="4377">
        <v>2234400</v>
      </c>
      <c r="O47" s="4377">
        <v>10834560</v>
      </c>
      <c r="P47" s="4377">
        <v>6460608</v>
      </c>
      <c r="Q47" s="4377">
        <v>300960</v>
      </c>
      <c r="R47" s="4378">
        <v>0</v>
      </c>
      <c r="S47" s="4378"/>
      <c r="T47" s="4378">
        <v>0</v>
      </c>
      <c r="U47" s="4378">
        <v>250000</v>
      </c>
      <c r="V47" s="4378">
        <v>0</v>
      </c>
      <c r="W47" s="4379"/>
      <c r="X47" s="4379">
        <v>36307315</v>
      </c>
      <c r="Y47" s="4366">
        <v>46290</v>
      </c>
      <c r="Z47" s="4367">
        <v>46300</v>
      </c>
      <c r="AA47" s="4368">
        <v>10</v>
      </c>
      <c r="AB47" s="290">
        <v>912</v>
      </c>
      <c r="AC47" s="290"/>
    </row>
    <row r="48" spans="1:29" ht="40" customHeight="1">
      <c r="A48" s="372">
        <v>7</v>
      </c>
      <c r="B48" s="2871">
        <v>111</v>
      </c>
      <c r="C48" s="6213" t="s">
        <v>2834</v>
      </c>
      <c r="D48" s="4375">
        <v>5114830.6000000006</v>
      </c>
      <c r="E48" s="5937">
        <v>26106</v>
      </c>
      <c r="F48" s="5937">
        <v>24690</v>
      </c>
      <c r="G48" s="4376" t="s">
        <v>2828</v>
      </c>
      <c r="H48" s="5937">
        <v>2373</v>
      </c>
      <c r="I48" s="4375">
        <v>234</v>
      </c>
      <c r="J48" s="4375">
        <v>284</v>
      </c>
      <c r="K48" s="4375">
        <v>1311757.9200000002</v>
      </c>
      <c r="L48" s="4377">
        <v>117641103</v>
      </c>
      <c r="M48" s="4377">
        <v>30710818.16</v>
      </c>
      <c r="N48" s="4377">
        <v>18441800</v>
      </c>
      <c r="O48" s="4377">
        <v>70454872.799999997</v>
      </c>
      <c r="P48" s="4377">
        <v>44422248</v>
      </c>
      <c r="Q48" s="4377">
        <v>3202126.1999999997</v>
      </c>
      <c r="R48" s="4378">
        <v>0</v>
      </c>
      <c r="S48" s="4378"/>
      <c r="T48" s="4378">
        <v>0</v>
      </c>
      <c r="U48" s="4378">
        <v>345000</v>
      </c>
      <c r="V48" s="4378">
        <v>414000000</v>
      </c>
      <c r="W48" s="4379"/>
      <c r="X48" s="4379">
        <v>148351921.16</v>
      </c>
      <c r="Y48" s="4383">
        <v>46277</v>
      </c>
      <c r="Z48" s="4384">
        <v>46300</v>
      </c>
      <c r="AA48" s="4385">
        <v>23</v>
      </c>
      <c r="AB48" s="290">
        <v>4498</v>
      </c>
      <c r="AC48" s="290"/>
    </row>
    <row r="49" spans="1:111" ht="40" customHeight="1" thickBot="1">
      <c r="A49" s="296">
        <v>8</v>
      </c>
      <c r="B49" s="297">
        <v>12</v>
      </c>
      <c r="C49" s="6210" t="s">
        <v>2244</v>
      </c>
      <c r="D49" s="4375">
        <v>3010000</v>
      </c>
      <c r="E49" s="5937">
        <v>26106</v>
      </c>
      <c r="F49" s="5937">
        <v>24690</v>
      </c>
      <c r="G49" s="4376" t="s">
        <v>2828</v>
      </c>
      <c r="H49" s="5937">
        <v>2373</v>
      </c>
      <c r="I49" s="4375">
        <v>147</v>
      </c>
      <c r="J49" s="4375">
        <v>215</v>
      </c>
      <c r="K49" s="4375">
        <v>904000</v>
      </c>
      <c r="L49" s="4377">
        <v>54180000</v>
      </c>
      <c r="M49" s="4377">
        <v>17176000</v>
      </c>
      <c r="N49" s="4377">
        <v>11808000</v>
      </c>
      <c r="O49" s="4377">
        <v>45111168</v>
      </c>
      <c r="P49" s="4377">
        <v>28442880</v>
      </c>
      <c r="Q49" s="4377">
        <v>2050272</v>
      </c>
      <c r="R49" s="4378">
        <v>0</v>
      </c>
      <c r="S49" s="4378"/>
      <c r="T49" s="4378">
        <v>0</v>
      </c>
      <c r="U49" s="4378">
        <v>425000</v>
      </c>
      <c r="V49" s="4378">
        <v>30600000</v>
      </c>
      <c r="W49" s="4379"/>
      <c r="X49" s="4379">
        <v>71356000</v>
      </c>
      <c r="Y49" s="4383">
        <v>46279</v>
      </c>
      <c r="Z49" s="4384">
        <v>46296</v>
      </c>
      <c r="AA49" s="4385">
        <v>17</v>
      </c>
      <c r="AB49" s="290">
        <v>2880</v>
      </c>
      <c r="AC49" s="290"/>
    </row>
    <row r="50" spans="1:111" ht="40" customHeight="1">
      <c r="A50" s="248">
        <v>9</v>
      </c>
      <c r="B50" s="249">
        <v>299</v>
      </c>
      <c r="C50" s="6212" t="s">
        <v>2262</v>
      </c>
      <c r="D50" s="4375">
        <v>19675800</v>
      </c>
      <c r="E50" s="4376">
        <v>0</v>
      </c>
      <c r="F50" s="4376">
        <v>0</v>
      </c>
      <c r="G50" s="4376"/>
      <c r="H50" s="4376">
        <v>0</v>
      </c>
      <c r="I50" s="4375">
        <v>1286</v>
      </c>
      <c r="J50" s="4375">
        <v>1286</v>
      </c>
      <c r="K50" s="4375"/>
      <c r="L50" s="4377">
        <v>342138600</v>
      </c>
      <c r="M50" s="4377">
        <v>0</v>
      </c>
      <c r="N50" s="4377">
        <v>0</v>
      </c>
      <c r="O50" s="4377"/>
      <c r="P50" s="4377"/>
      <c r="Q50" s="4377">
        <v>0</v>
      </c>
      <c r="R50" s="4378">
        <v>2712800</v>
      </c>
      <c r="S50" s="4378"/>
      <c r="T50" s="4378">
        <v>56263900.000000007</v>
      </c>
      <c r="U50" s="4378">
        <v>680000</v>
      </c>
      <c r="V50" s="4378">
        <v>30600000</v>
      </c>
      <c r="W50" s="4379"/>
      <c r="X50" s="4379">
        <v>344851400</v>
      </c>
      <c r="Y50" s="4383">
        <v>46283</v>
      </c>
      <c r="Z50" s="4384">
        <v>46300</v>
      </c>
      <c r="AA50" s="4385">
        <v>17</v>
      </c>
      <c r="AB50" s="290">
        <v>13564</v>
      </c>
      <c r="AC50" s="290"/>
    </row>
    <row r="51" spans="1:111" ht="40" customHeight="1">
      <c r="A51" s="296">
        <v>10</v>
      </c>
      <c r="B51" s="297">
        <v>300</v>
      </c>
      <c r="C51" s="6210" t="s">
        <v>2270</v>
      </c>
      <c r="D51" s="4375">
        <v>9351400</v>
      </c>
      <c r="E51" s="4376">
        <v>0</v>
      </c>
      <c r="F51" s="4376">
        <v>0</v>
      </c>
      <c r="G51" s="4376"/>
      <c r="H51" s="4376">
        <v>0</v>
      </c>
      <c r="I51" s="4375">
        <v>608</v>
      </c>
      <c r="J51" s="4375">
        <v>621</v>
      </c>
      <c r="K51" s="4375">
        <v>264000</v>
      </c>
      <c r="L51" s="4377">
        <v>149622400</v>
      </c>
      <c r="M51" s="4377">
        <v>4356000</v>
      </c>
      <c r="N51" s="4377">
        <v>0</v>
      </c>
      <c r="O51" s="4377"/>
      <c r="P51" s="4377"/>
      <c r="Q51" s="4377"/>
      <c r="R51" s="4378">
        <v>1680000</v>
      </c>
      <c r="S51" s="4378"/>
      <c r="T51" s="4378">
        <v>0</v>
      </c>
      <c r="U51" s="4378">
        <v>400000</v>
      </c>
      <c r="V51" s="4378">
        <v>28800000</v>
      </c>
      <c r="W51" s="4379"/>
      <c r="X51" s="4379">
        <v>155658400</v>
      </c>
      <c r="Y51" s="4390">
        <v>46283</v>
      </c>
      <c r="Z51" s="4391">
        <v>46299</v>
      </c>
      <c r="AA51" s="4392">
        <v>16</v>
      </c>
      <c r="AB51" s="290">
        <v>8400</v>
      </c>
      <c r="AC51" s="290"/>
    </row>
    <row r="52" spans="1:111" ht="40" customHeight="1">
      <c r="A52" s="372">
        <v>11</v>
      </c>
      <c r="B52" s="2871">
        <v>302</v>
      </c>
      <c r="C52" s="6218" t="s">
        <v>2841</v>
      </c>
      <c r="D52" s="4375">
        <v>7621152.0000000009</v>
      </c>
      <c r="E52" s="5937">
        <v>26106</v>
      </c>
      <c r="F52" s="5937">
        <v>24690</v>
      </c>
      <c r="G52" s="4376" t="s">
        <v>2828</v>
      </c>
      <c r="H52" s="5937">
        <v>2373</v>
      </c>
      <c r="I52" s="4375">
        <v>160</v>
      </c>
      <c r="J52" s="4375">
        <v>320</v>
      </c>
      <c r="K52" s="4375">
        <v>0</v>
      </c>
      <c r="L52" s="4377">
        <v>164557140</v>
      </c>
      <c r="M52" s="4377">
        <v>0</v>
      </c>
      <c r="N52" s="4377">
        <v>384000</v>
      </c>
      <c r="O52" s="4377">
        <v>60148224</v>
      </c>
      <c r="P52" s="4377">
        <v>37923840</v>
      </c>
      <c r="Q52" s="4377">
        <v>2733696</v>
      </c>
      <c r="R52" s="4378">
        <v>768000</v>
      </c>
      <c r="S52" s="4378"/>
      <c r="T52" s="4378">
        <v>0</v>
      </c>
      <c r="U52" s="4378">
        <v>440000</v>
      </c>
      <c r="V52" s="4378">
        <v>39600000</v>
      </c>
      <c r="W52" s="4379"/>
      <c r="X52" s="4379">
        <v>165325140</v>
      </c>
      <c r="Y52" s="4390">
        <v>46278</v>
      </c>
      <c r="Z52" s="4391">
        <v>46300</v>
      </c>
      <c r="AA52" s="6260">
        <v>22</v>
      </c>
      <c r="AB52" s="290">
        <v>3840</v>
      </c>
      <c r="AC52" s="290"/>
    </row>
    <row r="53" spans="1:111" ht="40" customHeight="1">
      <c r="A53" s="372">
        <v>12</v>
      </c>
      <c r="B53" s="2871">
        <v>298</v>
      </c>
      <c r="C53" s="6209" t="s">
        <v>2273</v>
      </c>
      <c r="D53" s="4375">
        <v>16335000.000000002</v>
      </c>
      <c r="E53" s="4376">
        <v>26620</v>
      </c>
      <c r="F53" s="4376">
        <v>26620</v>
      </c>
      <c r="G53" s="4376" t="s">
        <v>2828</v>
      </c>
      <c r="H53" s="4376">
        <v>2750</v>
      </c>
      <c r="I53" s="4375">
        <v>223</v>
      </c>
      <c r="J53" s="4375">
        <v>395</v>
      </c>
      <c r="K53" s="4375">
        <v>0</v>
      </c>
      <c r="L53" s="4377">
        <v>241114500</v>
      </c>
      <c r="M53" s="4377">
        <v>0</v>
      </c>
      <c r="N53" s="4377">
        <v>3733600</v>
      </c>
      <c r="O53" s="4377">
        <v>74541324</v>
      </c>
      <c r="P53" s="4377">
        <v>49694216</v>
      </c>
      <c r="Q53" s="4377">
        <v>3850275</v>
      </c>
      <c r="R53" s="4378">
        <v>933400</v>
      </c>
      <c r="S53" s="4378"/>
      <c r="T53" s="4378">
        <v>7260000.0000000009</v>
      </c>
      <c r="U53" s="4378">
        <v>375000</v>
      </c>
      <c r="V53" s="4378">
        <v>27000000</v>
      </c>
      <c r="W53" s="4379"/>
      <c r="X53" s="4379">
        <v>242047900</v>
      </c>
      <c r="Y53" s="4383">
        <v>46279</v>
      </c>
      <c r="Z53" s="4384">
        <v>46294</v>
      </c>
      <c r="AA53" s="4385">
        <v>15</v>
      </c>
      <c r="AB53" s="290">
        <v>4667</v>
      </c>
      <c r="AC53" s="290"/>
    </row>
    <row r="54" spans="1:111" ht="40" customHeight="1">
      <c r="A54" s="296">
        <v>13</v>
      </c>
      <c r="B54" s="297">
        <v>221</v>
      </c>
      <c r="C54" s="6214" t="s">
        <v>2287</v>
      </c>
      <c r="D54" s="4375">
        <v>2548150</v>
      </c>
      <c r="E54" s="4376">
        <v>33000</v>
      </c>
      <c r="F54" s="4376">
        <v>29700.000000000004</v>
      </c>
      <c r="G54" s="4376" t="s">
        <v>2828</v>
      </c>
      <c r="H54" s="4376">
        <v>2200</v>
      </c>
      <c r="I54" s="4375">
        <v>111</v>
      </c>
      <c r="J54" s="4375">
        <v>183</v>
      </c>
      <c r="K54" s="4375">
        <v>6540000</v>
      </c>
      <c r="L54" s="4377">
        <v>50963000.000000007</v>
      </c>
      <c r="M54" s="4377">
        <v>130369999.99999999</v>
      </c>
      <c r="N54" s="4377">
        <v>47601000</v>
      </c>
      <c r="O54" s="4377">
        <v>229878000</v>
      </c>
      <c r="P54" s="4377">
        <v>137926800.00000003</v>
      </c>
      <c r="Q54" s="4377">
        <v>7662600</v>
      </c>
      <c r="R54" s="4378">
        <v>0</v>
      </c>
      <c r="S54" s="4378"/>
      <c r="T54" s="4378">
        <v>3895764.4000000004</v>
      </c>
      <c r="U54" s="4378">
        <v>300000</v>
      </c>
      <c r="V54" s="4378">
        <v>0</v>
      </c>
      <c r="W54" s="4379"/>
      <c r="X54" s="4379">
        <v>228934000</v>
      </c>
      <c r="Y54" s="4383">
        <v>46279</v>
      </c>
      <c r="Z54" s="4384">
        <v>46299</v>
      </c>
      <c r="AA54" s="4385">
        <v>20</v>
      </c>
      <c r="AB54" s="290">
        <v>2610</v>
      </c>
      <c r="AC54" s="290"/>
    </row>
    <row r="55" spans="1:111" ht="40" customHeight="1">
      <c r="A55" s="296">
        <v>14</v>
      </c>
      <c r="B55" s="297">
        <v>220</v>
      </c>
      <c r="C55" s="6210" t="s">
        <v>2847</v>
      </c>
      <c r="D55" s="4375">
        <v>823900</v>
      </c>
      <c r="E55" s="4376">
        <v>0</v>
      </c>
      <c r="F55" s="4376">
        <v>0</v>
      </c>
      <c r="G55" s="4376"/>
      <c r="H55" s="4376">
        <v>0</v>
      </c>
      <c r="I55" s="4375">
        <v>64</v>
      </c>
      <c r="J55" s="4375">
        <v>64</v>
      </c>
      <c r="K55" s="4375">
        <v>0</v>
      </c>
      <c r="L55" s="4377">
        <v>16478000</v>
      </c>
      <c r="M55" s="4377">
        <v>0</v>
      </c>
      <c r="N55" s="4377"/>
      <c r="O55" s="4377"/>
      <c r="P55" s="4377"/>
      <c r="Q55" s="4377"/>
      <c r="R55" s="4378">
        <v>0</v>
      </c>
      <c r="S55" s="4378"/>
      <c r="T55" s="4378">
        <v>0</v>
      </c>
      <c r="U55" s="4378">
        <v>300000</v>
      </c>
      <c r="V55" s="4378">
        <v>0</v>
      </c>
      <c r="W55" s="4379"/>
      <c r="X55" s="4379">
        <v>16478000</v>
      </c>
      <c r="Y55" s="4383">
        <v>46279</v>
      </c>
      <c r="Z55" s="4384">
        <v>46299</v>
      </c>
      <c r="AA55" s="4385">
        <v>20</v>
      </c>
      <c r="AB55" s="290">
        <v>1530</v>
      </c>
      <c r="AC55" s="290"/>
    </row>
    <row r="56" spans="1:111" ht="40" customHeight="1">
      <c r="A56" s="372">
        <v>15</v>
      </c>
      <c r="B56" s="2871">
        <v>219</v>
      </c>
      <c r="C56" s="6209" t="s">
        <v>2849</v>
      </c>
      <c r="D56" s="4375">
        <v>3185000</v>
      </c>
      <c r="E56" s="4376">
        <v>0</v>
      </c>
      <c r="F56" s="4376">
        <v>0</v>
      </c>
      <c r="G56" s="4376"/>
      <c r="H56" s="4376">
        <v>0</v>
      </c>
      <c r="I56" s="4375">
        <v>245</v>
      </c>
      <c r="J56" s="4375">
        <v>245</v>
      </c>
      <c r="K56" s="4375">
        <v>0</v>
      </c>
      <c r="L56" s="4377">
        <v>63700000</v>
      </c>
      <c r="M56" s="4377">
        <v>0</v>
      </c>
      <c r="N56" s="4377"/>
      <c r="O56" s="4377"/>
      <c r="P56" s="4377"/>
      <c r="Q56" s="4377"/>
      <c r="R56" s="4378">
        <v>0</v>
      </c>
      <c r="S56" s="4378"/>
      <c r="T56" s="4378">
        <v>0</v>
      </c>
      <c r="U56" s="4378">
        <v>500000</v>
      </c>
      <c r="V56" s="4378">
        <v>0</v>
      </c>
      <c r="W56" s="4379"/>
      <c r="X56" s="4379">
        <v>63700000</v>
      </c>
      <c r="Y56" s="4402">
        <v>46279</v>
      </c>
      <c r="Z56" s="4403">
        <v>46299</v>
      </c>
      <c r="AA56" s="4404">
        <v>20</v>
      </c>
      <c r="AB56" s="290">
        <v>4050</v>
      </c>
      <c r="AC56" s="290"/>
    </row>
    <row r="57" spans="1:111" s="564" customFormat="1" ht="40" customHeight="1">
      <c r="A57" s="372">
        <v>16</v>
      </c>
      <c r="B57" s="2871">
        <v>223</v>
      </c>
      <c r="C57" s="6215" t="s">
        <v>2531</v>
      </c>
      <c r="D57" s="4375">
        <v>5387470</v>
      </c>
      <c r="E57" s="4376">
        <v>0</v>
      </c>
      <c r="F57" s="4376">
        <v>0</v>
      </c>
      <c r="G57" s="4376"/>
      <c r="H57" s="4376">
        <v>0</v>
      </c>
      <c r="I57" s="4375">
        <v>117</v>
      </c>
      <c r="J57" s="4375">
        <v>130</v>
      </c>
      <c r="K57" s="4375">
        <v>0</v>
      </c>
      <c r="L57" s="4377">
        <v>107749400</v>
      </c>
      <c r="M57" s="4377">
        <v>0</v>
      </c>
      <c r="N57" s="4377"/>
      <c r="O57" s="4377"/>
      <c r="P57" s="4377"/>
      <c r="Q57" s="4377"/>
      <c r="R57" s="4378">
        <v>0</v>
      </c>
      <c r="S57" s="4378"/>
      <c r="T57" s="4378">
        <v>0</v>
      </c>
      <c r="U57" s="4378">
        <v>400000</v>
      </c>
      <c r="V57" s="4378">
        <v>0</v>
      </c>
      <c r="W57" s="4379"/>
      <c r="X57" s="4379">
        <v>107749400</v>
      </c>
      <c r="Y57" s="4383">
        <v>46279</v>
      </c>
      <c r="Z57" s="4384">
        <v>46299</v>
      </c>
      <c r="AA57" s="4385">
        <v>20</v>
      </c>
      <c r="AB57" s="290">
        <v>2340</v>
      </c>
      <c r="AC57" s="290"/>
      <c r="AD57" s="202"/>
      <c r="AE57" s="202"/>
      <c r="AF57" s="202"/>
      <c r="AG57" s="202"/>
      <c r="AH57" s="202"/>
      <c r="AI57" s="202"/>
      <c r="AJ57" s="202"/>
      <c r="AK57" s="202"/>
      <c r="AL57" s="202"/>
      <c r="AM57" s="202"/>
      <c r="AN57" s="202"/>
      <c r="AO57" s="202"/>
      <c r="AP57" s="202"/>
      <c r="AQ57" s="202"/>
      <c r="AR57" s="202"/>
      <c r="AS57" s="202"/>
      <c r="AT57" s="202"/>
      <c r="AU57" s="202"/>
      <c r="AV57" s="202"/>
      <c r="AW57" s="202"/>
      <c r="AX57" s="202"/>
      <c r="AY57" s="202"/>
      <c r="AZ57" s="202"/>
      <c r="BA57" s="202"/>
      <c r="BB57" s="202"/>
      <c r="BC57" s="202"/>
      <c r="BD57" s="202"/>
      <c r="BE57" s="202"/>
      <c r="BF57" s="202"/>
      <c r="BG57" s="202"/>
      <c r="BH57" s="202"/>
      <c r="BI57" s="202"/>
      <c r="BJ57" s="202"/>
      <c r="BK57" s="202"/>
      <c r="BL57" s="202"/>
      <c r="BM57" s="202"/>
      <c r="BN57" s="202"/>
      <c r="BO57" s="202"/>
      <c r="BP57" s="202"/>
      <c r="BQ57" s="202"/>
      <c r="BR57" s="202"/>
      <c r="BS57" s="202"/>
      <c r="BT57" s="202"/>
      <c r="BU57" s="202"/>
      <c r="BV57" s="202"/>
      <c r="BW57" s="202"/>
      <c r="BX57" s="202"/>
      <c r="BY57" s="202"/>
      <c r="BZ57" s="202"/>
      <c r="CA57" s="202"/>
      <c r="CB57" s="202"/>
      <c r="CC57" s="202"/>
      <c r="CD57" s="202"/>
      <c r="CE57" s="202"/>
      <c r="CF57" s="202"/>
      <c r="CG57" s="202"/>
      <c r="CH57" s="202"/>
      <c r="CI57" s="202"/>
      <c r="CJ57" s="202"/>
      <c r="CK57" s="202"/>
      <c r="CL57" s="202"/>
      <c r="CM57" s="202"/>
      <c r="CN57" s="202"/>
      <c r="CO57" s="202"/>
      <c r="CP57" s="202"/>
      <c r="CQ57" s="202"/>
      <c r="CR57" s="202"/>
      <c r="CS57" s="202"/>
      <c r="CT57" s="202"/>
      <c r="CU57" s="202"/>
      <c r="CV57" s="202"/>
      <c r="CW57" s="202"/>
      <c r="CX57" s="202"/>
      <c r="CY57" s="202"/>
      <c r="CZ57" s="202"/>
      <c r="DA57" s="202"/>
      <c r="DB57" s="202"/>
      <c r="DC57" s="202"/>
      <c r="DD57" s="202"/>
      <c r="DE57" s="202"/>
      <c r="DF57" s="202"/>
      <c r="DG57" s="202"/>
    </row>
    <row r="58" spans="1:111" ht="40" customHeight="1">
      <c r="A58" s="296">
        <v>17</v>
      </c>
      <c r="B58" s="297">
        <v>222</v>
      </c>
      <c r="C58" s="6218" t="s">
        <v>2852</v>
      </c>
      <c r="D58" s="4375">
        <v>2011644</v>
      </c>
      <c r="E58" s="4376">
        <v>0</v>
      </c>
      <c r="F58" s="4376">
        <v>0</v>
      </c>
      <c r="G58" s="4376"/>
      <c r="H58" s="4376">
        <v>0</v>
      </c>
      <c r="I58" s="4375">
        <v>60</v>
      </c>
      <c r="J58" s="4375">
        <v>60</v>
      </c>
      <c r="K58" s="4375">
        <v>0</v>
      </c>
      <c r="L58" s="4377">
        <v>40232880</v>
      </c>
      <c r="M58" s="4377">
        <v>0</v>
      </c>
      <c r="N58" s="4377"/>
      <c r="O58" s="4377"/>
      <c r="P58" s="4377"/>
      <c r="Q58" s="4377"/>
      <c r="R58" s="4378">
        <v>0</v>
      </c>
      <c r="S58" s="4378"/>
      <c r="T58" s="4378">
        <v>0</v>
      </c>
      <c r="U58" s="4378">
        <v>200000</v>
      </c>
      <c r="V58" s="4378">
        <v>0</v>
      </c>
      <c r="W58" s="4379"/>
      <c r="X58" s="4379">
        <v>40232880</v>
      </c>
      <c r="Y58" s="4383">
        <v>46279</v>
      </c>
      <c r="Z58" s="4384">
        <v>46299</v>
      </c>
      <c r="AA58" s="4385">
        <v>20</v>
      </c>
      <c r="AB58" s="290">
        <v>1080</v>
      </c>
      <c r="AC58" s="573"/>
    </row>
    <row r="59" spans="1:111" ht="40" customHeight="1">
      <c r="A59" s="372">
        <v>18</v>
      </c>
      <c r="B59" s="2871">
        <v>201</v>
      </c>
      <c r="C59" s="6209" t="s">
        <v>2302</v>
      </c>
      <c r="D59" s="4375">
        <v>1173920</v>
      </c>
      <c r="E59" s="4376">
        <v>30622</v>
      </c>
      <c r="F59" s="4376">
        <v>30622</v>
      </c>
      <c r="G59" s="6295" t="s">
        <v>2828</v>
      </c>
      <c r="H59" s="4376">
        <v>3391.3</v>
      </c>
      <c r="I59" s="4375">
        <v>68</v>
      </c>
      <c r="J59" s="4375">
        <v>132</v>
      </c>
      <c r="K59" s="4375">
        <v>205095.00000000003</v>
      </c>
      <c r="L59" s="4377">
        <v>19346800</v>
      </c>
      <c r="M59" s="4377">
        <v>3593590.0000000005</v>
      </c>
      <c r="N59" s="4377">
        <v>2496000</v>
      </c>
      <c r="O59" s="4377">
        <v>17913870</v>
      </c>
      <c r="P59" s="4377">
        <v>11942580</v>
      </c>
      <c r="Q59" s="4377">
        <v>991955.25</v>
      </c>
      <c r="R59" s="4378">
        <v>0</v>
      </c>
      <c r="S59" s="4378"/>
      <c r="T59" s="4378">
        <v>0</v>
      </c>
      <c r="U59" s="4378">
        <v>170000</v>
      </c>
      <c r="V59" s="4378">
        <v>0</v>
      </c>
      <c r="W59" s="4379"/>
      <c r="X59" s="4379">
        <v>22940390</v>
      </c>
      <c r="Y59" s="4402">
        <v>46283</v>
      </c>
      <c r="Z59" s="4403">
        <v>46300</v>
      </c>
      <c r="AA59" s="4404">
        <v>17</v>
      </c>
      <c r="AB59" s="290">
        <v>975</v>
      </c>
      <c r="AC59" s="290"/>
    </row>
    <row r="60" spans="1:111" ht="40" customHeight="1">
      <c r="A60" s="372">
        <v>19</v>
      </c>
      <c r="B60" s="2871">
        <v>206</v>
      </c>
      <c r="C60" s="6209" t="s">
        <v>2306</v>
      </c>
      <c r="D60" s="4375">
        <v>5579200</v>
      </c>
      <c r="E60" s="4376">
        <v>21619</v>
      </c>
      <c r="F60" s="4376">
        <v>13802</v>
      </c>
      <c r="G60" s="6295" t="s">
        <v>2828</v>
      </c>
      <c r="H60" s="4376">
        <v>3107.5000000000005</v>
      </c>
      <c r="I60" s="4375">
        <v>143</v>
      </c>
      <c r="J60" s="4375">
        <v>182</v>
      </c>
      <c r="K60" s="4375">
        <v>6712200.0000000009</v>
      </c>
      <c r="L60" s="4377">
        <v>133900800</v>
      </c>
      <c r="M60" s="4377">
        <v>164448900.00000003</v>
      </c>
      <c r="N60" s="4377">
        <v>0</v>
      </c>
      <c r="O60" s="4377">
        <v>37201975.199999996</v>
      </c>
      <c r="P60" s="4377">
        <v>15833654.4</v>
      </c>
      <c r="Q60" s="4377">
        <v>2673693.0000000005</v>
      </c>
      <c r="R60" s="4378">
        <v>0</v>
      </c>
      <c r="S60" s="4378"/>
      <c r="T60" s="4378">
        <v>0</v>
      </c>
      <c r="U60" s="4378">
        <v>360000</v>
      </c>
      <c r="V60" s="4378">
        <v>43200000</v>
      </c>
      <c r="W60" s="6263">
        <v>20136600.000000004</v>
      </c>
      <c r="X60" s="4379">
        <v>318486300</v>
      </c>
      <c r="Y60" s="4383">
        <v>46276</v>
      </c>
      <c r="Z60" s="4384">
        <v>46300</v>
      </c>
      <c r="AA60" s="4385">
        <v>24</v>
      </c>
      <c r="AB60" s="290">
        <v>2868</v>
      </c>
      <c r="AC60" s="290"/>
    </row>
    <row r="61" spans="1:111" s="564" customFormat="1" ht="40" customHeight="1">
      <c r="A61" s="372">
        <v>20</v>
      </c>
      <c r="B61" s="2871">
        <v>210</v>
      </c>
      <c r="C61" s="6216" t="s">
        <v>2312</v>
      </c>
      <c r="D61" s="4375">
        <v>3848900.0000000005</v>
      </c>
      <c r="E61" s="5937">
        <v>26106</v>
      </c>
      <c r="F61" s="5937">
        <v>24690</v>
      </c>
      <c r="G61" s="4376" t="s">
        <v>2828</v>
      </c>
      <c r="H61" s="5937">
        <v>2373</v>
      </c>
      <c r="I61" s="4375">
        <v>97</v>
      </c>
      <c r="J61" s="4375">
        <v>126</v>
      </c>
      <c r="K61" s="4375">
        <v>6944850.0000000009</v>
      </c>
      <c r="L61" s="4377">
        <v>60750800</v>
      </c>
      <c r="M61" s="4377">
        <v>114590025.00000001</v>
      </c>
      <c r="N61" s="4377">
        <v>3032400</v>
      </c>
      <c r="O61" s="4377">
        <v>24999105.599999998</v>
      </c>
      <c r="P61" s="4377">
        <v>15762096</v>
      </c>
      <c r="Q61" s="4377">
        <v>1136192.3999999999</v>
      </c>
      <c r="R61" s="4378">
        <v>0</v>
      </c>
      <c r="S61" s="4378"/>
      <c r="T61" s="4378">
        <v>0</v>
      </c>
      <c r="U61" s="4378">
        <v>240000</v>
      </c>
      <c r="V61" s="4378">
        <v>115200000</v>
      </c>
      <c r="W61" s="4379"/>
      <c r="X61" s="4379">
        <v>175340825</v>
      </c>
      <c r="Y61" s="4383">
        <v>46279</v>
      </c>
      <c r="Z61" s="4384">
        <v>46295</v>
      </c>
      <c r="AA61" s="4385">
        <v>16</v>
      </c>
      <c r="AB61" s="290">
        <v>1596</v>
      </c>
      <c r="AC61" s="290"/>
      <c r="AD61" s="202"/>
      <c r="AE61" s="202"/>
      <c r="AF61" s="202"/>
      <c r="AG61" s="202"/>
      <c r="AH61" s="202"/>
      <c r="AI61" s="202"/>
      <c r="AJ61" s="202"/>
      <c r="AK61" s="202"/>
      <c r="AL61" s="202"/>
      <c r="AM61" s="202"/>
      <c r="AN61" s="202"/>
      <c r="AO61" s="202"/>
      <c r="AP61" s="202"/>
      <c r="AQ61" s="202"/>
      <c r="AR61" s="202"/>
      <c r="AS61" s="202"/>
      <c r="AT61" s="202"/>
      <c r="AU61" s="202"/>
      <c r="AV61" s="202"/>
      <c r="AW61" s="202"/>
      <c r="AX61" s="202"/>
      <c r="AY61" s="202"/>
      <c r="AZ61" s="202"/>
      <c r="BA61" s="202"/>
      <c r="BB61" s="202"/>
      <c r="BC61" s="202"/>
      <c r="BD61" s="202"/>
      <c r="BE61" s="202"/>
      <c r="BF61" s="202"/>
      <c r="BG61" s="202"/>
      <c r="BH61" s="202"/>
      <c r="BI61" s="202"/>
      <c r="BJ61" s="202"/>
      <c r="BK61" s="202"/>
      <c r="BL61" s="202"/>
      <c r="BM61" s="202"/>
      <c r="BN61" s="202"/>
      <c r="BO61" s="202"/>
      <c r="BP61" s="202"/>
      <c r="BQ61" s="202"/>
      <c r="BR61" s="202"/>
      <c r="BS61" s="202"/>
      <c r="BT61" s="202"/>
      <c r="BU61" s="202"/>
      <c r="BV61" s="202"/>
      <c r="BW61" s="202"/>
      <c r="BX61" s="202"/>
      <c r="BY61" s="202"/>
      <c r="BZ61" s="202"/>
      <c r="CA61" s="202"/>
      <c r="CB61" s="202"/>
      <c r="CC61" s="202"/>
      <c r="CD61" s="202"/>
      <c r="CE61" s="202"/>
      <c r="CF61" s="202"/>
      <c r="CG61" s="202"/>
      <c r="CH61" s="202"/>
      <c r="CI61" s="202"/>
      <c r="CJ61" s="202"/>
      <c r="CK61" s="202"/>
      <c r="CL61" s="202"/>
      <c r="CM61" s="202"/>
      <c r="CN61" s="202"/>
      <c r="CO61" s="202"/>
      <c r="CP61" s="202"/>
      <c r="CQ61" s="202"/>
      <c r="CR61" s="202"/>
      <c r="CS61" s="202"/>
      <c r="CT61" s="202"/>
      <c r="CU61" s="202"/>
      <c r="CV61" s="202"/>
      <c r="CW61" s="202"/>
      <c r="CX61" s="202"/>
      <c r="CY61" s="202"/>
      <c r="CZ61" s="202"/>
      <c r="DA61" s="202"/>
      <c r="DB61" s="202"/>
      <c r="DC61" s="202"/>
      <c r="DD61" s="202"/>
      <c r="DE61" s="202"/>
      <c r="DF61" s="202"/>
      <c r="DG61" s="202"/>
    </row>
    <row r="62" spans="1:111" ht="40" customHeight="1" thickBot="1">
      <c r="A62" s="372">
        <v>21</v>
      </c>
      <c r="B62" s="2871">
        <v>3025</v>
      </c>
      <c r="C62" s="6216" t="s">
        <v>2535</v>
      </c>
      <c r="D62" s="4363">
        <v>3261192</v>
      </c>
      <c r="E62" s="3677">
        <v>32520</v>
      </c>
      <c r="F62" s="3677">
        <v>32520</v>
      </c>
      <c r="G62" s="6295" t="s">
        <v>2828</v>
      </c>
      <c r="H62" s="3677">
        <v>1074</v>
      </c>
      <c r="I62" s="4363">
        <v>40</v>
      </c>
      <c r="J62" s="4372">
        <v>120</v>
      </c>
      <c r="K62" s="4363">
        <v>84704</v>
      </c>
      <c r="L62" s="4405">
        <v>52179072</v>
      </c>
      <c r="M62" s="4405">
        <v>1397616</v>
      </c>
      <c r="N62" s="4377">
        <v>6314000</v>
      </c>
      <c r="O62" s="4381">
        <v>30048480</v>
      </c>
      <c r="P62" s="4381">
        <v>20032320</v>
      </c>
      <c r="Q62" s="4377">
        <v>496188</v>
      </c>
      <c r="R62" s="4382">
        <v>0</v>
      </c>
      <c r="S62" s="4382"/>
      <c r="T62" s="4382">
        <v>0</v>
      </c>
      <c r="U62" s="4378">
        <v>160000</v>
      </c>
      <c r="V62" s="4378">
        <v>0</v>
      </c>
      <c r="W62" s="4365"/>
      <c r="X62" s="4374">
        <v>53576688</v>
      </c>
      <c r="Y62" s="4402">
        <v>46279</v>
      </c>
      <c r="Z62" s="4403">
        <v>46295</v>
      </c>
      <c r="AA62" s="4404">
        <v>16</v>
      </c>
      <c r="AB62" s="290">
        <v>1540</v>
      </c>
      <c r="AC62" s="290"/>
    </row>
    <row r="63" spans="1:111" ht="40" hidden="1" customHeight="1" thickBot="1">
      <c r="A63" s="5933"/>
      <c r="B63" s="249">
        <v>1015</v>
      </c>
      <c r="C63" s="5932" t="s">
        <v>2859</v>
      </c>
      <c r="D63" s="5928"/>
      <c r="E63" s="5928"/>
      <c r="F63" s="5928"/>
      <c r="G63" s="5928"/>
      <c r="H63" s="5928"/>
      <c r="I63" s="5928"/>
      <c r="J63" s="5928"/>
      <c r="K63" s="5927"/>
      <c r="L63" s="5929"/>
      <c r="M63" s="5929"/>
      <c r="N63" s="5929"/>
      <c r="O63" s="5929"/>
      <c r="P63" s="5929"/>
      <c r="Q63" s="5929"/>
      <c r="R63" s="5929"/>
      <c r="S63" s="5929"/>
      <c r="T63" s="5929"/>
      <c r="U63" s="5929"/>
      <c r="V63" s="5929"/>
      <c r="W63" s="5928"/>
      <c r="X63" s="5928"/>
      <c r="Y63" s="5930"/>
      <c r="Z63" s="5930"/>
      <c r="AA63" s="5931"/>
      <c r="AB63" s="290">
        <v>0</v>
      </c>
      <c r="AC63" s="290"/>
    </row>
    <row r="64" spans="1:111" s="521" customFormat="1" ht="40" hidden="1" customHeight="1">
      <c r="A64" s="5935"/>
      <c r="B64" s="297" t="s">
        <v>2129</v>
      </c>
      <c r="C64" s="5934"/>
      <c r="D64" s="3853"/>
      <c r="E64" s="3853"/>
      <c r="F64" s="3853"/>
      <c r="G64" s="3853"/>
      <c r="H64" s="3853"/>
      <c r="I64" s="3853"/>
      <c r="J64" s="3853"/>
      <c r="K64" s="3853"/>
      <c r="L64" s="4386"/>
      <c r="M64" s="4386"/>
      <c r="N64" s="4386"/>
      <c r="O64" s="4386"/>
      <c r="P64" s="4386"/>
      <c r="Q64" s="4386"/>
      <c r="R64" s="4386"/>
      <c r="S64" s="4386"/>
      <c r="T64" s="4386"/>
      <c r="U64" s="4386"/>
      <c r="V64" s="4386"/>
      <c r="W64" s="3853"/>
      <c r="X64" s="3853"/>
      <c r="Y64" s="4387" t="s">
        <v>2129</v>
      </c>
      <c r="Z64" s="4387" t="s">
        <v>2129</v>
      </c>
      <c r="AA64" s="4388"/>
      <c r="AB64" s="573"/>
      <c r="AC64" s="573"/>
      <c r="AD64" s="202"/>
      <c r="AE64" s="202"/>
      <c r="AF64" s="202"/>
      <c r="AG64" s="202"/>
      <c r="AH64" s="202"/>
      <c r="AI64" s="202"/>
      <c r="AJ64" s="202"/>
      <c r="AK64" s="202"/>
      <c r="AL64" s="202"/>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2"/>
      <c r="BQ64" s="202"/>
      <c r="BR64" s="202"/>
      <c r="BS64" s="202"/>
      <c r="BT64" s="202"/>
      <c r="BU64" s="202"/>
      <c r="BV64" s="202"/>
      <c r="BW64" s="202"/>
      <c r="BX64" s="202"/>
      <c r="BY64" s="202"/>
      <c r="BZ64" s="202"/>
      <c r="CA64" s="202"/>
      <c r="CB64" s="202"/>
      <c r="CC64" s="202"/>
      <c r="CD64" s="202"/>
      <c r="CE64" s="202"/>
      <c r="CF64" s="202"/>
      <c r="CG64" s="202"/>
      <c r="CH64" s="202"/>
      <c r="CI64" s="202"/>
      <c r="CJ64" s="202"/>
      <c r="CK64" s="202"/>
      <c r="CL64" s="202"/>
      <c r="CM64" s="202"/>
      <c r="CN64" s="202"/>
      <c r="CO64" s="202"/>
      <c r="CP64" s="202"/>
      <c r="CQ64" s="202"/>
      <c r="CR64" s="202"/>
      <c r="CS64" s="202"/>
      <c r="CT64" s="202"/>
      <c r="CU64" s="202"/>
      <c r="CV64" s="202"/>
      <c r="CW64" s="202"/>
      <c r="CX64" s="202"/>
      <c r="CY64" s="202"/>
      <c r="CZ64" s="202"/>
      <c r="DA64" s="202"/>
      <c r="DB64" s="202"/>
      <c r="DC64" s="202"/>
      <c r="DD64" s="202"/>
      <c r="DE64" s="202"/>
      <c r="DF64" s="202"/>
      <c r="DG64" s="202"/>
    </row>
    <row r="65" spans="1:111" ht="40" customHeight="1">
      <c r="A65" s="248">
        <v>22</v>
      </c>
      <c r="B65" s="249">
        <v>252</v>
      </c>
      <c r="C65" s="6219" t="s">
        <v>2861</v>
      </c>
      <c r="D65" s="4389">
        <v>6081900.0000000009</v>
      </c>
      <c r="E65" s="6266">
        <v>26106</v>
      </c>
      <c r="F65" s="6266">
        <v>24690</v>
      </c>
      <c r="G65" s="6265" t="s">
        <v>2828</v>
      </c>
      <c r="H65" s="6266">
        <v>2373</v>
      </c>
      <c r="I65" s="4389">
        <v>74</v>
      </c>
      <c r="J65" s="4389">
        <v>215</v>
      </c>
      <c r="K65" s="4389">
        <v>1100000</v>
      </c>
      <c r="L65" s="6267">
        <v>115889400</v>
      </c>
      <c r="M65" s="6267">
        <v>22550000</v>
      </c>
      <c r="N65" s="6267">
        <v>3283200</v>
      </c>
      <c r="O65" s="6267">
        <v>27066700.800000001</v>
      </c>
      <c r="P65" s="6267">
        <v>17065728</v>
      </c>
      <c r="Q65" s="4407">
        <v>1230163.2</v>
      </c>
      <c r="R65" s="6264">
        <v>259200</v>
      </c>
      <c r="S65" s="4411"/>
      <c r="T65" s="4411">
        <v>0</v>
      </c>
      <c r="U65" s="6261">
        <v>500000</v>
      </c>
      <c r="V65" s="6261">
        <v>36000000</v>
      </c>
      <c r="W65" s="5936">
        <v>22550000</v>
      </c>
      <c r="X65" s="4389">
        <v>161248600</v>
      </c>
      <c r="Y65" s="4408">
        <v>46279</v>
      </c>
      <c r="Z65" s="4409">
        <v>46299</v>
      </c>
      <c r="AA65" s="4410">
        <v>20</v>
      </c>
      <c r="AB65" s="290">
        <v>1728</v>
      </c>
      <c r="AC65" s="290"/>
    </row>
    <row r="66" spans="1:111" ht="40" customHeight="1">
      <c r="A66" s="372">
        <v>23</v>
      </c>
      <c r="B66" s="2871">
        <v>245</v>
      </c>
      <c r="C66" s="6215" t="s">
        <v>2345</v>
      </c>
      <c r="D66" s="4375">
        <v>6714400.0000000009</v>
      </c>
      <c r="E66" s="4376">
        <v>25245.000000000004</v>
      </c>
      <c r="F66" s="4376">
        <v>32818.5</v>
      </c>
      <c r="G66" s="6295" t="s">
        <v>2864</v>
      </c>
      <c r="H66" s="4376">
        <v>3300.0000000000005</v>
      </c>
      <c r="I66" s="4375">
        <v>100</v>
      </c>
      <c r="J66" s="4375">
        <v>208</v>
      </c>
      <c r="K66" s="4375">
        <v>902000.00000000012</v>
      </c>
      <c r="L66" s="4377">
        <v>93374600.000000015</v>
      </c>
      <c r="M66" s="4377">
        <v>12628000.000000002</v>
      </c>
      <c r="N66" s="4377">
        <v>4824000</v>
      </c>
      <c r="O66" s="4377">
        <v>36352800</v>
      </c>
      <c r="P66" s="4377">
        <v>31505760</v>
      </c>
      <c r="Q66" s="4377">
        <v>2376000</v>
      </c>
      <c r="R66" s="4378">
        <v>0</v>
      </c>
      <c r="S66" s="4378"/>
      <c r="T66" s="4378">
        <v>0</v>
      </c>
      <c r="U66" s="4378">
        <v>140000</v>
      </c>
      <c r="V66" s="4378">
        <v>25200000</v>
      </c>
      <c r="W66" s="4379"/>
      <c r="X66" s="4379">
        <v>106002600.00000001</v>
      </c>
      <c r="Y66" s="4383">
        <v>46286</v>
      </c>
      <c r="Z66" s="4384">
        <v>46300</v>
      </c>
      <c r="AA66" s="4385">
        <v>14</v>
      </c>
      <c r="AB66" s="290">
        <v>2400</v>
      </c>
      <c r="AC66" s="290"/>
    </row>
    <row r="67" spans="1:111" ht="40" customHeight="1">
      <c r="A67" s="372">
        <v>24</v>
      </c>
      <c r="B67" s="297">
        <v>261</v>
      </c>
      <c r="C67" s="6223" t="s">
        <v>2349</v>
      </c>
      <c r="D67" s="4375">
        <v>4600200</v>
      </c>
      <c r="E67" s="4376">
        <v>24200.000000000004</v>
      </c>
      <c r="F67" s="4376">
        <v>19800</v>
      </c>
      <c r="G67" s="6295" t="s">
        <v>2828</v>
      </c>
      <c r="H67" s="4376">
        <v>1430.0000000000002</v>
      </c>
      <c r="I67" s="4375">
        <v>73</v>
      </c>
      <c r="J67" s="4375">
        <v>209</v>
      </c>
      <c r="K67" s="4375">
        <v>924000.00000000012</v>
      </c>
      <c r="L67" s="4377">
        <v>50602200</v>
      </c>
      <c r="M67" s="4377">
        <v>10626000.000000002</v>
      </c>
      <c r="N67" s="4377">
        <v>691200</v>
      </c>
      <c r="O67" s="4377">
        <v>12545280.000000002</v>
      </c>
      <c r="P67" s="4377">
        <v>6842880</v>
      </c>
      <c r="Q67" s="4377">
        <v>370656.00000000006</v>
      </c>
      <c r="R67" s="4378">
        <v>129600</v>
      </c>
      <c r="S67" s="4378"/>
      <c r="T67" s="4378">
        <v>0</v>
      </c>
      <c r="U67" s="4378">
        <v>220000</v>
      </c>
      <c r="V67" s="4378">
        <v>19800000</v>
      </c>
      <c r="W67" s="4379">
        <v>3696000</v>
      </c>
      <c r="X67" s="4379">
        <v>65053800</v>
      </c>
      <c r="Y67" s="4383">
        <v>46279</v>
      </c>
      <c r="Z67" s="4384">
        <v>46290</v>
      </c>
      <c r="AA67" s="4385">
        <v>11</v>
      </c>
      <c r="AB67" s="290">
        <v>864</v>
      </c>
      <c r="AC67" s="290"/>
    </row>
    <row r="68" spans="1:111" ht="40" customHeight="1">
      <c r="A68" s="372">
        <v>25</v>
      </c>
      <c r="B68" s="2871">
        <v>249</v>
      </c>
      <c r="C68" s="6215" t="s">
        <v>2866</v>
      </c>
      <c r="D68" s="4375">
        <v>6083000.0000000009</v>
      </c>
      <c r="E68" s="5937">
        <v>26106</v>
      </c>
      <c r="F68" s="5937">
        <v>24690</v>
      </c>
      <c r="G68" s="4376" t="s">
        <v>2828</v>
      </c>
      <c r="H68" s="5937">
        <v>2373</v>
      </c>
      <c r="I68" s="4375">
        <v>104</v>
      </c>
      <c r="J68" s="4375">
        <v>237</v>
      </c>
      <c r="K68" s="4375">
        <v>1155000</v>
      </c>
      <c r="L68" s="4377">
        <v>121660000.00000001</v>
      </c>
      <c r="M68" s="4377">
        <v>23677500</v>
      </c>
      <c r="N68" s="4377">
        <v>0</v>
      </c>
      <c r="O68" s="4377">
        <v>54979236</v>
      </c>
      <c r="P68" s="4377">
        <v>34664760</v>
      </c>
      <c r="Q68" s="4377">
        <v>2498769</v>
      </c>
      <c r="R68" s="4378">
        <v>526500</v>
      </c>
      <c r="S68" s="4378"/>
      <c r="T68" s="4378">
        <v>0</v>
      </c>
      <c r="U68" s="4378">
        <v>400000</v>
      </c>
      <c r="V68" s="4378">
        <v>36000000</v>
      </c>
      <c r="W68" s="4379"/>
      <c r="X68" s="4379">
        <v>145864000</v>
      </c>
      <c r="Y68" s="4402">
        <v>46279</v>
      </c>
      <c r="Z68" s="4384">
        <v>46299</v>
      </c>
      <c r="AA68" s="6262">
        <v>20</v>
      </c>
      <c r="AB68" s="290">
        <v>3510</v>
      </c>
      <c r="AC68" s="290"/>
    </row>
    <row r="69" spans="1:111" s="564" customFormat="1" ht="40" customHeight="1">
      <c r="A69" s="372">
        <v>26</v>
      </c>
      <c r="B69" s="2871">
        <v>1003</v>
      </c>
      <c r="C69" s="6220" t="s">
        <v>2355</v>
      </c>
      <c r="D69" s="4375">
        <v>2299700</v>
      </c>
      <c r="E69" s="5937">
        <v>26106</v>
      </c>
      <c r="F69" s="5937">
        <v>24690</v>
      </c>
      <c r="G69" s="4376" t="s">
        <v>2828</v>
      </c>
      <c r="H69" s="5937">
        <v>2373</v>
      </c>
      <c r="I69" s="4375">
        <v>123</v>
      </c>
      <c r="J69" s="4375">
        <v>159</v>
      </c>
      <c r="K69" s="4375">
        <v>480000</v>
      </c>
      <c r="L69" s="4377">
        <v>27596400</v>
      </c>
      <c r="M69" s="4377">
        <v>5760000</v>
      </c>
      <c r="N69" s="4377">
        <v>3837600</v>
      </c>
      <c r="O69" s="4377">
        <v>14661129.6</v>
      </c>
      <c r="P69" s="4377">
        <v>9243936</v>
      </c>
      <c r="Q69" s="4377">
        <v>666338.4</v>
      </c>
      <c r="R69" s="4378">
        <v>0</v>
      </c>
      <c r="S69" s="4378"/>
      <c r="T69" s="4378">
        <v>0</v>
      </c>
      <c r="U69" s="4378">
        <v>150000</v>
      </c>
      <c r="V69" s="4378">
        <v>0</v>
      </c>
      <c r="W69" s="4379"/>
      <c r="X69" s="4379">
        <v>33356400</v>
      </c>
      <c r="Y69" s="4383">
        <v>46280</v>
      </c>
      <c r="Z69" s="4384">
        <v>46290</v>
      </c>
      <c r="AA69" s="4385">
        <v>10</v>
      </c>
      <c r="AB69" s="290">
        <v>936</v>
      </c>
      <c r="AC69" s="290"/>
      <c r="AD69" s="202"/>
      <c r="AE69" s="202"/>
      <c r="AF69" s="202"/>
      <c r="AG69" s="202"/>
      <c r="AH69" s="202"/>
      <c r="AI69" s="202"/>
      <c r="AJ69" s="202"/>
      <c r="AK69" s="202"/>
      <c r="AL69" s="202"/>
      <c r="AM69" s="202"/>
      <c r="AN69" s="202"/>
      <c r="AO69" s="202"/>
      <c r="AP69" s="202"/>
      <c r="AQ69" s="202"/>
      <c r="AR69" s="202"/>
      <c r="AS69" s="202"/>
      <c r="AT69" s="202"/>
      <c r="AU69" s="202"/>
      <c r="AV69" s="202"/>
      <c r="AW69" s="202"/>
      <c r="AX69" s="202"/>
      <c r="AY69" s="202"/>
      <c r="AZ69" s="202"/>
      <c r="BA69" s="202"/>
      <c r="BB69" s="202"/>
      <c r="BC69" s="202"/>
      <c r="BD69" s="202"/>
      <c r="BE69" s="202"/>
      <c r="BF69" s="202"/>
      <c r="BG69" s="202"/>
      <c r="BH69" s="202"/>
      <c r="BI69" s="202"/>
      <c r="BJ69" s="202"/>
      <c r="BK69" s="202"/>
      <c r="BL69" s="202"/>
      <c r="BM69" s="202"/>
      <c r="BN69" s="202"/>
      <c r="BO69" s="202"/>
      <c r="BP69" s="202"/>
      <c r="BQ69" s="202"/>
      <c r="BR69" s="202"/>
      <c r="BS69" s="202"/>
      <c r="BT69" s="202"/>
      <c r="BU69" s="202"/>
      <c r="BV69" s="202"/>
      <c r="BW69" s="202"/>
      <c r="BX69" s="202"/>
      <c r="BY69" s="202"/>
      <c r="BZ69" s="202"/>
      <c r="CA69" s="202"/>
      <c r="CB69" s="202"/>
      <c r="CC69" s="202"/>
      <c r="CD69" s="202"/>
      <c r="CE69" s="202"/>
      <c r="CF69" s="202"/>
      <c r="CG69" s="202"/>
      <c r="CH69" s="202"/>
      <c r="CI69" s="202"/>
      <c r="CJ69" s="202"/>
      <c r="CK69" s="202"/>
      <c r="CL69" s="202"/>
      <c r="CM69" s="202"/>
      <c r="CN69" s="202"/>
      <c r="CO69" s="202"/>
      <c r="CP69" s="202"/>
      <c r="CQ69" s="202"/>
      <c r="CR69" s="202"/>
      <c r="CS69" s="202"/>
      <c r="CT69" s="202"/>
      <c r="CU69" s="202"/>
      <c r="CV69" s="202"/>
      <c r="CW69" s="202"/>
      <c r="CX69" s="202"/>
      <c r="CY69" s="202"/>
      <c r="CZ69" s="202"/>
      <c r="DA69" s="202"/>
      <c r="DB69" s="202"/>
      <c r="DC69" s="202"/>
      <c r="DD69" s="202"/>
      <c r="DE69" s="202"/>
      <c r="DF69" s="202"/>
      <c r="DG69" s="202"/>
    </row>
    <row r="70" spans="1:111" ht="40" customHeight="1">
      <c r="A70" s="372">
        <v>27</v>
      </c>
      <c r="B70" s="2871">
        <v>1029</v>
      </c>
      <c r="C70" s="6221" t="s">
        <v>2869</v>
      </c>
      <c r="D70" s="4375">
        <v>3352518.4000000004</v>
      </c>
      <c r="E70" s="4376">
        <v>50380.000000000007</v>
      </c>
      <c r="F70" s="4376">
        <v>50380.000000000007</v>
      </c>
      <c r="G70" s="4376" t="s">
        <v>2828</v>
      </c>
      <c r="H70" s="5937">
        <v>2373</v>
      </c>
      <c r="I70" s="4375">
        <v>66</v>
      </c>
      <c r="J70" s="4375">
        <v>136</v>
      </c>
      <c r="K70" s="4375">
        <v>3655850.0000000005</v>
      </c>
      <c r="L70" s="4377">
        <v>32864532</v>
      </c>
      <c r="M70" s="4377">
        <v>43870200</v>
      </c>
      <c r="N70" s="4377">
        <v>0</v>
      </c>
      <c r="O70" s="4377">
        <v>19587744</v>
      </c>
      <c r="P70" s="4377">
        <v>13058496.000000002</v>
      </c>
      <c r="Q70" s="4377">
        <v>461311.2</v>
      </c>
      <c r="R70" s="4378">
        <v>97200</v>
      </c>
      <c r="S70" s="4378"/>
      <c r="T70" s="4378">
        <v>0</v>
      </c>
      <c r="U70" s="4378">
        <v>110000</v>
      </c>
      <c r="V70" s="4378">
        <v>59400000</v>
      </c>
      <c r="W70" s="4379"/>
      <c r="X70" s="4379">
        <v>76831932</v>
      </c>
      <c r="Y70" s="4402">
        <v>46285</v>
      </c>
      <c r="Z70" s="4403">
        <v>46296</v>
      </c>
      <c r="AA70" s="4404">
        <v>11</v>
      </c>
      <c r="AB70" s="290">
        <v>648</v>
      </c>
      <c r="AC70" s="290"/>
    </row>
    <row r="71" spans="1:111" ht="40" customHeight="1">
      <c r="A71" s="296">
        <v>28</v>
      </c>
      <c r="B71" s="297">
        <v>281</v>
      </c>
      <c r="C71" s="6210" t="s">
        <v>2365</v>
      </c>
      <c r="D71" s="4375">
        <v>6042740.0000000009</v>
      </c>
      <c r="E71" s="4376">
        <v>16830</v>
      </c>
      <c r="F71" s="4376">
        <v>16830</v>
      </c>
      <c r="G71" s="6295" t="s">
        <v>2828</v>
      </c>
      <c r="H71" s="4376">
        <v>880.00000000000011</v>
      </c>
      <c r="I71" s="4375">
        <v>175</v>
      </c>
      <c r="J71" s="4375">
        <v>302</v>
      </c>
      <c r="K71" s="4375">
        <v>1168200</v>
      </c>
      <c r="L71" s="4377">
        <v>115819440</v>
      </c>
      <c r="M71" s="4377">
        <v>24921600.000000004</v>
      </c>
      <c r="N71" s="4377">
        <v>6283140</v>
      </c>
      <c r="O71" s="4377">
        <v>40412196</v>
      </c>
      <c r="P71" s="4377">
        <v>26941464</v>
      </c>
      <c r="Q71" s="4377">
        <v>1056528</v>
      </c>
      <c r="R71" s="4378">
        <v>0</v>
      </c>
      <c r="S71" s="4378"/>
      <c r="T71" s="4378">
        <v>0</v>
      </c>
      <c r="U71" s="4378">
        <v>525000</v>
      </c>
      <c r="V71" s="4378">
        <v>113400000</v>
      </c>
      <c r="W71" s="4379"/>
      <c r="X71" s="4379">
        <v>140741040</v>
      </c>
      <c r="Y71" s="4383">
        <v>46279</v>
      </c>
      <c r="Z71" s="4384">
        <v>46300</v>
      </c>
      <c r="AA71" s="4385">
        <v>21</v>
      </c>
      <c r="AB71" s="290">
        <v>4002</v>
      </c>
      <c r="AC71" s="290"/>
    </row>
    <row r="72" spans="1:111" ht="40" customHeight="1">
      <c r="A72" s="296">
        <v>29</v>
      </c>
      <c r="B72" s="297">
        <v>2026</v>
      </c>
      <c r="C72" s="6210" t="s">
        <v>2379</v>
      </c>
      <c r="D72" s="4375">
        <v>7361667.5000000009</v>
      </c>
      <c r="E72" s="4376">
        <v>28420</v>
      </c>
      <c r="F72" s="4376">
        <v>17268</v>
      </c>
      <c r="G72" s="6295" t="s">
        <v>2828</v>
      </c>
      <c r="H72" s="4376">
        <v>2530</v>
      </c>
      <c r="I72" s="4375">
        <v>137</v>
      </c>
      <c r="J72" s="4375">
        <v>347</v>
      </c>
      <c r="K72" s="4375">
        <v>3768055.5000000005</v>
      </c>
      <c r="L72" s="4377">
        <v>164231155</v>
      </c>
      <c r="M72" s="4377">
        <v>135026606</v>
      </c>
      <c r="N72" s="4377">
        <v>0</v>
      </c>
      <c r="O72" s="4377">
        <v>116021808</v>
      </c>
      <c r="P72" s="4377">
        <v>46996588.800000004</v>
      </c>
      <c r="Q72" s="4377">
        <v>5164236</v>
      </c>
      <c r="R72" s="4378">
        <v>2381400</v>
      </c>
      <c r="S72" s="4378"/>
      <c r="T72" s="4378">
        <v>0</v>
      </c>
      <c r="U72" s="4378">
        <v>575000</v>
      </c>
      <c r="V72" s="4378">
        <v>207000000</v>
      </c>
      <c r="W72" s="4379"/>
      <c r="X72" s="4379">
        <v>301639161</v>
      </c>
      <c r="Y72" s="4383">
        <v>46277</v>
      </c>
      <c r="Z72" s="4384">
        <v>46300</v>
      </c>
      <c r="AA72" s="4385">
        <v>23</v>
      </c>
      <c r="AB72" s="290">
        <v>6804</v>
      </c>
      <c r="AC72" s="290"/>
    </row>
    <row r="73" spans="1:111" ht="40" customHeight="1">
      <c r="A73" s="372">
        <v>30</v>
      </c>
      <c r="B73" s="2871">
        <v>2027</v>
      </c>
      <c r="C73" s="6213" t="s">
        <v>2382</v>
      </c>
      <c r="D73" s="4375">
        <v>5958150.0000000009</v>
      </c>
      <c r="E73" s="4376">
        <v>20570</v>
      </c>
      <c r="F73" s="4376">
        <v>16269.000000000002</v>
      </c>
      <c r="G73" s="6295" t="s">
        <v>2828</v>
      </c>
      <c r="H73" s="4376">
        <v>2530</v>
      </c>
      <c r="I73" s="4375">
        <v>138</v>
      </c>
      <c r="J73" s="4375">
        <v>252</v>
      </c>
      <c r="K73" s="4375">
        <v>3175150.0000000005</v>
      </c>
      <c r="L73" s="4377">
        <v>153882300</v>
      </c>
      <c r="M73" s="4377">
        <v>61314550.000000007</v>
      </c>
      <c r="N73" s="4377">
        <v>7592400</v>
      </c>
      <c r="O73" s="4377">
        <v>49318632</v>
      </c>
      <c r="P73" s="4377">
        <v>26004369.600000005</v>
      </c>
      <c r="Q73" s="4377">
        <v>3032964</v>
      </c>
      <c r="R73" s="4378">
        <v>799200</v>
      </c>
      <c r="S73" s="4378"/>
      <c r="T73" s="4378">
        <v>0</v>
      </c>
      <c r="U73" s="4378">
        <v>390000</v>
      </c>
      <c r="V73" s="4378">
        <v>93600000</v>
      </c>
      <c r="W73" s="4379"/>
      <c r="X73" s="4379">
        <v>215996050</v>
      </c>
      <c r="Y73" s="4383">
        <v>46274</v>
      </c>
      <c r="Z73" s="4384">
        <v>46300</v>
      </c>
      <c r="AA73" s="4385">
        <v>26</v>
      </c>
      <c r="AB73" s="290">
        <v>3996</v>
      </c>
      <c r="AC73" s="290"/>
    </row>
    <row r="74" spans="1:111" s="3441" customFormat="1" ht="40" customHeight="1">
      <c r="A74" s="304">
        <v>31</v>
      </c>
      <c r="B74" s="3423">
        <v>2032</v>
      </c>
      <c r="C74" s="6222" t="s">
        <v>2386</v>
      </c>
      <c r="D74" s="4375">
        <v>1391500</v>
      </c>
      <c r="E74" s="5937">
        <v>26106</v>
      </c>
      <c r="F74" s="5937">
        <v>24690</v>
      </c>
      <c r="G74" s="4376" t="s">
        <v>2828</v>
      </c>
      <c r="H74" s="5937">
        <v>2373</v>
      </c>
      <c r="I74" s="4375">
        <v>70</v>
      </c>
      <c r="J74" s="4375">
        <v>120</v>
      </c>
      <c r="K74" s="4375">
        <v>2674611.5</v>
      </c>
      <c r="L74" s="4377">
        <v>31212500</v>
      </c>
      <c r="M74" s="4377">
        <v>63054684.275000006</v>
      </c>
      <c r="N74" s="4377">
        <v>4309200</v>
      </c>
      <c r="O74" s="4377">
        <v>35525044.799999997</v>
      </c>
      <c r="P74" s="4377">
        <v>22398768</v>
      </c>
      <c r="Q74" s="4377">
        <v>1614589.2</v>
      </c>
      <c r="R74" s="4378">
        <v>0</v>
      </c>
      <c r="S74" s="4378"/>
      <c r="T74" s="4378">
        <v>0</v>
      </c>
      <c r="U74" s="4378">
        <v>345000</v>
      </c>
      <c r="V74" s="4378">
        <v>124200000</v>
      </c>
      <c r="W74" s="4379"/>
      <c r="X74" s="4379">
        <v>94267184.275000006</v>
      </c>
      <c r="Y74" s="4383">
        <v>46277</v>
      </c>
      <c r="Z74" s="4384">
        <v>46300</v>
      </c>
      <c r="AA74" s="4385">
        <v>23</v>
      </c>
      <c r="AB74" s="290">
        <v>2268</v>
      </c>
      <c r="AC74" s="290"/>
    </row>
    <row r="75" spans="1:111" s="3441" customFormat="1" ht="40" customHeight="1">
      <c r="A75" s="304">
        <v>32</v>
      </c>
      <c r="B75" s="3423">
        <v>2045</v>
      </c>
      <c r="C75" s="6210" t="s">
        <v>2540</v>
      </c>
      <c r="D75" s="4375">
        <v>1342000</v>
      </c>
      <c r="E75" s="5937">
        <v>26106</v>
      </c>
      <c r="F75" s="5937">
        <v>24690</v>
      </c>
      <c r="G75" s="4376" t="s">
        <v>2828</v>
      </c>
      <c r="H75" s="5937">
        <v>2373</v>
      </c>
      <c r="I75" s="4375">
        <v>98</v>
      </c>
      <c r="J75" s="4375">
        <v>120</v>
      </c>
      <c r="K75" s="4375">
        <v>770000.00000000012</v>
      </c>
      <c r="L75" s="4377">
        <v>30034400</v>
      </c>
      <c r="M75" s="4377">
        <v>18480000</v>
      </c>
      <c r="N75" s="4377">
        <v>4309200</v>
      </c>
      <c r="O75" s="4377">
        <v>35525044.799999997</v>
      </c>
      <c r="P75" s="4377">
        <v>22398768</v>
      </c>
      <c r="Q75" s="4377">
        <v>1614589.2</v>
      </c>
      <c r="R75" s="4378">
        <v>0</v>
      </c>
      <c r="S75" s="4378"/>
      <c r="T75" s="4378">
        <v>0</v>
      </c>
      <c r="U75" s="4378">
        <v>575000</v>
      </c>
      <c r="V75" s="4378">
        <v>41400000</v>
      </c>
      <c r="W75" s="4379"/>
      <c r="X75" s="4379">
        <v>48514400</v>
      </c>
      <c r="Y75" s="4383">
        <v>46277</v>
      </c>
      <c r="Z75" s="4384">
        <v>46300</v>
      </c>
      <c r="AA75" s="4385">
        <v>23</v>
      </c>
      <c r="AB75" s="290">
        <v>2268</v>
      </c>
      <c r="AC75" s="290"/>
    </row>
    <row r="76" spans="1:111" ht="40" customHeight="1">
      <c r="A76" s="372">
        <v>33</v>
      </c>
      <c r="B76" s="2871">
        <v>2022</v>
      </c>
      <c r="C76" s="6216" t="s">
        <v>2397</v>
      </c>
      <c r="D76" s="4375">
        <v>4729960.4000000004</v>
      </c>
      <c r="E76" s="5937">
        <v>26106</v>
      </c>
      <c r="F76" s="5937">
        <v>24690</v>
      </c>
      <c r="G76" s="4376" t="s">
        <v>2828</v>
      </c>
      <c r="H76" s="5937">
        <v>2373</v>
      </c>
      <c r="I76" s="4375">
        <v>109</v>
      </c>
      <c r="J76" s="4375">
        <v>356</v>
      </c>
      <c r="K76" s="4375">
        <v>1848000.0000000002</v>
      </c>
      <c r="L76" s="4377">
        <v>50729736</v>
      </c>
      <c r="M76" s="4377">
        <v>20328000</v>
      </c>
      <c r="N76" s="4377">
        <v>1548800</v>
      </c>
      <c r="O76" s="4377">
        <v>22054348.800000001</v>
      </c>
      <c r="P76" s="4377">
        <v>13905408</v>
      </c>
      <c r="Q76" s="4377">
        <v>1002355.2</v>
      </c>
      <c r="R76" s="4378">
        <v>0</v>
      </c>
      <c r="S76" s="4378"/>
      <c r="T76" s="4378">
        <v>0</v>
      </c>
      <c r="U76" s="4378">
        <v>200000</v>
      </c>
      <c r="V76" s="4378">
        <v>54000000</v>
      </c>
      <c r="W76" s="4379"/>
      <c r="X76" s="4379">
        <v>71057736</v>
      </c>
      <c r="Y76" s="4383">
        <v>46289</v>
      </c>
      <c r="Z76" s="4384">
        <v>46299</v>
      </c>
      <c r="AA76" s="4385">
        <v>10</v>
      </c>
      <c r="AB76" s="290">
        <v>1408</v>
      </c>
      <c r="AC76" s="290"/>
    </row>
    <row r="77" spans="1:111" ht="40" customHeight="1">
      <c r="A77" s="372">
        <v>34</v>
      </c>
      <c r="B77" s="2871">
        <v>2016</v>
      </c>
      <c r="C77" s="6218" t="s">
        <v>2403</v>
      </c>
      <c r="D77" s="4375">
        <v>1936000.0000000002</v>
      </c>
      <c r="E77" s="5937">
        <v>26106</v>
      </c>
      <c r="F77" s="5937">
        <v>24690</v>
      </c>
      <c r="G77" s="4376" t="s">
        <v>2828</v>
      </c>
      <c r="H77" s="5937">
        <v>2373</v>
      </c>
      <c r="I77" s="4375">
        <v>40</v>
      </c>
      <c r="J77" s="4375">
        <v>160</v>
      </c>
      <c r="K77" s="6259">
        <v>2469500</v>
      </c>
      <c r="L77" s="4377">
        <v>47212000</v>
      </c>
      <c r="M77" s="4377">
        <v>62972250.000000007</v>
      </c>
      <c r="N77" s="4377">
        <v>2691000</v>
      </c>
      <c r="O77" s="4377">
        <v>25938921.599999998</v>
      </c>
      <c r="P77" s="4377">
        <v>16354656</v>
      </c>
      <c r="Q77" s="4377">
        <v>1178906.3999999999</v>
      </c>
      <c r="R77" s="4378">
        <v>0</v>
      </c>
      <c r="S77" s="4378"/>
      <c r="T77" s="4378">
        <v>0</v>
      </c>
      <c r="U77" s="4378">
        <v>625000</v>
      </c>
      <c r="V77" s="4378">
        <v>90000000</v>
      </c>
      <c r="W77" s="4379"/>
      <c r="X77" s="4379">
        <v>110184250</v>
      </c>
      <c r="Y77" s="4383">
        <v>46274</v>
      </c>
      <c r="Z77" s="4384">
        <v>46299</v>
      </c>
      <c r="AA77" s="4385">
        <v>25</v>
      </c>
      <c r="AB77" s="290">
        <v>1656</v>
      </c>
      <c r="AC77" s="290"/>
    </row>
    <row r="78" spans="1:111" ht="40" customHeight="1">
      <c r="A78" s="372">
        <v>35</v>
      </c>
      <c r="B78" s="297">
        <v>2018</v>
      </c>
      <c r="C78" s="6210" t="s">
        <v>2881</v>
      </c>
      <c r="D78" s="4375">
        <v>1523500.0000000002</v>
      </c>
      <c r="E78" s="5937">
        <v>26106</v>
      </c>
      <c r="F78" s="5937">
        <v>24690</v>
      </c>
      <c r="G78" s="4376" t="s">
        <v>2828</v>
      </c>
      <c r="H78" s="5937">
        <v>2373</v>
      </c>
      <c r="I78" s="4375">
        <v>55</v>
      </c>
      <c r="J78" s="4375">
        <v>88</v>
      </c>
      <c r="K78" s="4375">
        <v>885500.00000000012</v>
      </c>
      <c r="L78" s="4377">
        <v>37216300</v>
      </c>
      <c r="M78" s="4377">
        <v>22668800</v>
      </c>
      <c r="N78" s="4377">
        <v>1324800</v>
      </c>
      <c r="O78" s="4377">
        <v>25938921.599999998</v>
      </c>
      <c r="P78" s="4377">
        <v>16354656</v>
      </c>
      <c r="Q78" s="4377">
        <v>1178906.3999999999</v>
      </c>
      <c r="R78" s="4378">
        <v>0</v>
      </c>
      <c r="S78" s="4378"/>
      <c r="T78" s="4378">
        <v>0</v>
      </c>
      <c r="U78" s="4378">
        <v>500000</v>
      </c>
      <c r="V78" s="4378">
        <v>45000000</v>
      </c>
      <c r="W78" s="4379"/>
      <c r="X78" s="4379">
        <v>59885100</v>
      </c>
      <c r="Y78" s="4383">
        <v>46274</v>
      </c>
      <c r="Z78" s="4384">
        <v>46299</v>
      </c>
      <c r="AA78" s="4385">
        <v>25</v>
      </c>
      <c r="AB78" s="290">
        <v>1656</v>
      </c>
      <c r="AC78" s="290"/>
    </row>
    <row r="79" spans="1:111" ht="40" customHeight="1">
      <c r="A79" s="296">
        <v>36</v>
      </c>
      <c r="B79" s="297">
        <v>2041</v>
      </c>
      <c r="C79" s="6214" t="s">
        <v>2490</v>
      </c>
      <c r="D79" s="4375">
        <v>2101000</v>
      </c>
      <c r="E79" s="4376">
        <v>18150</v>
      </c>
      <c r="F79" s="4376">
        <v>18150</v>
      </c>
      <c r="G79" s="6295" t="s">
        <v>2864</v>
      </c>
      <c r="H79" s="4376">
        <v>2200</v>
      </c>
      <c r="I79" s="4375">
        <v>118</v>
      </c>
      <c r="J79" s="4375">
        <v>190</v>
      </c>
      <c r="K79" s="4375">
        <v>1785850.0000000002</v>
      </c>
      <c r="L79" s="4377">
        <v>18130200</v>
      </c>
      <c r="M79" s="4377">
        <v>17858500</v>
      </c>
      <c r="N79" s="4377">
        <v>1516200</v>
      </c>
      <c r="O79" s="4377">
        <v>8690220</v>
      </c>
      <c r="P79" s="4377">
        <v>5793480</v>
      </c>
      <c r="Q79" s="4377">
        <v>526680</v>
      </c>
      <c r="R79" s="4378">
        <v>0</v>
      </c>
      <c r="S79" s="4378"/>
      <c r="T79" s="4378">
        <v>0</v>
      </c>
      <c r="U79" s="4378">
        <v>225000</v>
      </c>
      <c r="V79" s="4378">
        <v>48600000</v>
      </c>
      <c r="W79" s="4379"/>
      <c r="X79" s="4379">
        <v>35988700</v>
      </c>
      <c r="Y79" s="4383">
        <v>46286</v>
      </c>
      <c r="Z79" s="4384">
        <v>46295</v>
      </c>
      <c r="AA79" s="4385">
        <v>9</v>
      </c>
      <c r="AB79" s="290">
        <v>798</v>
      </c>
      <c r="AC79" s="290"/>
    </row>
    <row r="80" spans="1:111" ht="40" customHeight="1">
      <c r="A80" s="296">
        <v>37</v>
      </c>
      <c r="B80" s="297">
        <v>2019</v>
      </c>
      <c r="C80" s="6213" t="s">
        <v>2883</v>
      </c>
      <c r="D80" s="4375">
        <v>9102500</v>
      </c>
      <c r="E80" s="5937">
        <v>26106</v>
      </c>
      <c r="F80" s="5937">
        <v>24690</v>
      </c>
      <c r="G80" s="4376" t="s">
        <v>2828</v>
      </c>
      <c r="H80" s="5937">
        <v>2373</v>
      </c>
      <c r="I80" s="4375">
        <v>225</v>
      </c>
      <c r="J80" s="4375">
        <v>335</v>
      </c>
      <c r="K80" s="4375">
        <v>1251800</v>
      </c>
      <c r="L80" s="4377">
        <v>115016000</v>
      </c>
      <c r="M80" s="4377">
        <v>17394300</v>
      </c>
      <c r="N80" s="4377">
        <v>3484800</v>
      </c>
      <c r="O80" s="4377">
        <v>49622284.799999997</v>
      </c>
      <c r="P80" s="4377">
        <v>31287168</v>
      </c>
      <c r="Q80" s="4377">
        <v>2255299.1999999997</v>
      </c>
      <c r="R80" s="4378">
        <v>0</v>
      </c>
      <c r="S80" s="4378"/>
      <c r="T80" s="4378">
        <v>0</v>
      </c>
      <c r="U80" s="4378">
        <v>130000</v>
      </c>
      <c r="V80" s="4378">
        <v>0</v>
      </c>
      <c r="W80" s="4379"/>
      <c r="X80" s="4379">
        <v>132410300</v>
      </c>
      <c r="Y80" s="4383">
        <v>46281</v>
      </c>
      <c r="Z80" s="4384">
        <v>46294</v>
      </c>
      <c r="AA80" s="4385">
        <v>13</v>
      </c>
      <c r="AB80" s="290">
        <v>3168</v>
      </c>
      <c r="AC80" s="573"/>
    </row>
    <row r="81" spans="1:111" s="564" customFormat="1" ht="40" customHeight="1">
      <c r="A81" s="372">
        <v>38</v>
      </c>
      <c r="B81" s="2871">
        <v>2008</v>
      </c>
      <c r="C81" s="6209" t="s">
        <v>2414</v>
      </c>
      <c r="D81" s="4375">
        <v>3048320.0000000005</v>
      </c>
      <c r="E81" s="4376">
        <v>24200.000000000004</v>
      </c>
      <c r="F81" s="4376">
        <v>24200.000000000004</v>
      </c>
      <c r="G81" s="6295" t="s">
        <v>2864</v>
      </c>
      <c r="H81" s="4376">
        <v>2200</v>
      </c>
      <c r="I81" s="4375">
        <v>84</v>
      </c>
      <c r="J81" s="4375">
        <v>160</v>
      </c>
      <c r="K81" s="4375">
        <v>4953740</v>
      </c>
      <c r="L81" s="4377">
        <v>68738560</v>
      </c>
      <c r="M81" s="4377">
        <v>121477950.00000001</v>
      </c>
      <c r="N81" s="4377">
        <v>3749760</v>
      </c>
      <c r="O81" s="4377">
        <v>43908480.000000007</v>
      </c>
      <c r="P81" s="4377">
        <v>29272320.000000007</v>
      </c>
      <c r="Q81" s="4377">
        <v>1995840</v>
      </c>
      <c r="R81" s="4378">
        <v>1512000</v>
      </c>
      <c r="S81" s="4378"/>
      <c r="T81" s="4378">
        <v>0</v>
      </c>
      <c r="U81" s="4378">
        <v>575000</v>
      </c>
      <c r="V81" s="4378">
        <v>165600000</v>
      </c>
      <c r="W81" s="4379">
        <v>4953740</v>
      </c>
      <c r="X81" s="4379">
        <v>196682250</v>
      </c>
      <c r="Y81" s="4383">
        <v>46274</v>
      </c>
      <c r="Z81" s="4384">
        <v>46297</v>
      </c>
      <c r="AA81" s="4385">
        <v>23</v>
      </c>
      <c r="AB81" s="290">
        <v>3024</v>
      </c>
      <c r="AC81" s="290"/>
      <c r="AD81" s="202"/>
      <c r="AE81" s="202"/>
      <c r="AF81" s="202"/>
      <c r="AG81" s="202"/>
      <c r="AH81" s="202"/>
      <c r="AI81" s="202"/>
      <c r="AJ81" s="202"/>
      <c r="AK81" s="202"/>
      <c r="AL81" s="202"/>
      <c r="AM81" s="202"/>
      <c r="AN81" s="202"/>
      <c r="AO81" s="202"/>
      <c r="AP81" s="202"/>
      <c r="AQ81" s="202"/>
      <c r="AR81" s="202"/>
      <c r="AS81" s="202"/>
      <c r="AT81" s="202"/>
      <c r="AU81" s="202"/>
      <c r="AV81" s="202"/>
      <c r="AW81" s="202"/>
      <c r="AX81" s="202"/>
      <c r="AY81" s="202"/>
      <c r="AZ81" s="202"/>
      <c r="BA81" s="202"/>
      <c r="BB81" s="202"/>
      <c r="BC81" s="202"/>
      <c r="BD81" s="202"/>
      <c r="BE81" s="202"/>
      <c r="BF81" s="202"/>
      <c r="BG81" s="202"/>
      <c r="BH81" s="202"/>
      <c r="BI81" s="202"/>
      <c r="BJ81" s="202"/>
      <c r="BK81" s="202"/>
      <c r="BL81" s="202"/>
      <c r="BM81" s="202"/>
      <c r="BN81" s="202"/>
      <c r="BO81" s="202"/>
      <c r="BP81" s="202"/>
      <c r="BQ81" s="202"/>
      <c r="BR81" s="202"/>
      <c r="BS81" s="202"/>
      <c r="BT81" s="202"/>
      <c r="BU81" s="202"/>
      <c r="BV81" s="202"/>
      <c r="BW81" s="202"/>
      <c r="BX81" s="202"/>
      <c r="BY81" s="202"/>
      <c r="BZ81" s="202"/>
      <c r="CA81" s="202"/>
      <c r="CB81" s="202"/>
      <c r="CC81" s="202"/>
      <c r="CD81" s="202"/>
      <c r="CE81" s="202"/>
      <c r="CF81" s="202"/>
      <c r="CG81" s="202"/>
      <c r="CH81" s="202"/>
      <c r="CI81" s="202"/>
      <c r="CJ81" s="202"/>
      <c r="CK81" s="202"/>
      <c r="CL81" s="202"/>
      <c r="CM81" s="202"/>
      <c r="CN81" s="202"/>
      <c r="CO81" s="202"/>
      <c r="CP81" s="202"/>
      <c r="CQ81" s="202"/>
      <c r="CR81" s="202"/>
      <c r="CS81" s="202"/>
      <c r="CT81" s="202"/>
      <c r="CU81" s="202"/>
      <c r="CV81" s="202"/>
      <c r="CW81" s="202"/>
      <c r="CX81" s="202"/>
      <c r="CY81" s="202"/>
      <c r="CZ81" s="202"/>
      <c r="DA81" s="202"/>
      <c r="DB81" s="202"/>
      <c r="DC81" s="202"/>
      <c r="DD81" s="202"/>
      <c r="DE81" s="202"/>
      <c r="DF81" s="202"/>
      <c r="DG81" s="202"/>
    </row>
    <row r="82" spans="1:111" s="564" customFormat="1" ht="40" customHeight="1">
      <c r="A82" s="372">
        <v>39</v>
      </c>
      <c r="B82" s="2871">
        <v>2049</v>
      </c>
      <c r="C82" s="6218" t="s">
        <v>2885</v>
      </c>
      <c r="D82" s="4375">
        <v>4876300</v>
      </c>
      <c r="E82" s="4376">
        <v>19250</v>
      </c>
      <c r="F82" s="4376">
        <v>19250</v>
      </c>
      <c r="G82" s="6295" t="s">
        <v>2864</v>
      </c>
      <c r="H82" s="4376">
        <v>2200</v>
      </c>
      <c r="I82" s="4375">
        <v>156</v>
      </c>
      <c r="J82" s="4375">
        <v>218</v>
      </c>
      <c r="K82" s="4375">
        <v>2651165</v>
      </c>
      <c r="L82" s="4377">
        <v>105480100</v>
      </c>
      <c r="M82" s="4377">
        <v>63482100.000000007</v>
      </c>
      <c r="N82" s="4377">
        <v>4507650</v>
      </c>
      <c r="O82" s="4377">
        <v>38565450</v>
      </c>
      <c r="P82" s="4377">
        <v>25710300</v>
      </c>
      <c r="Q82" s="4377">
        <v>2203740</v>
      </c>
      <c r="R82" s="4378">
        <v>667800</v>
      </c>
      <c r="S82" s="4378"/>
      <c r="T82" s="4378">
        <v>0</v>
      </c>
      <c r="U82" s="4378">
        <v>575000</v>
      </c>
      <c r="V82" s="4378">
        <v>82800000</v>
      </c>
      <c r="W82" s="4379"/>
      <c r="X82" s="4379">
        <v>169630000</v>
      </c>
      <c r="Y82" s="4383">
        <v>46278</v>
      </c>
      <c r="Z82" s="4384">
        <v>46301</v>
      </c>
      <c r="AA82" s="6258">
        <v>23</v>
      </c>
      <c r="AB82" s="290">
        <v>3339</v>
      </c>
      <c r="AC82" s="290"/>
      <c r="AD82" s="202"/>
      <c r="AE82" s="202"/>
      <c r="AF82" s="202"/>
      <c r="AG82" s="202"/>
      <c r="AH82" s="202"/>
      <c r="AI82" s="202"/>
      <c r="AJ82" s="202"/>
      <c r="AK82" s="202"/>
      <c r="AL82" s="202"/>
      <c r="AM82" s="202"/>
      <c r="AN82" s="202"/>
      <c r="AO82" s="202"/>
      <c r="AP82" s="202"/>
      <c r="AQ82" s="202"/>
      <c r="AR82" s="202"/>
      <c r="AS82" s="202"/>
      <c r="AT82" s="202"/>
      <c r="AU82" s="202"/>
      <c r="AV82" s="202"/>
      <c r="AW82" s="202"/>
      <c r="AX82" s="202"/>
      <c r="AY82" s="202"/>
      <c r="AZ82" s="202"/>
      <c r="BA82" s="202"/>
      <c r="BB82" s="202"/>
      <c r="BC82" s="202"/>
      <c r="BD82" s="202"/>
      <c r="BE82" s="202"/>
      <c r="BF82" s="202"/>
      <c r="BG82" s="202"/>
      <c r="BH82" s="202"/>
      <c r="BI82" s="202"/>
      <c r="BJ82" s="202"/>
      <c r="BK82" s="202"/>
      <c r="BL82" s="202"/>
      <c r="BM82" s="202"/>
      <c r="BN82" s="202"/>
      <c r="BO82" s="202"/>
      <c r="BP82" s="202"/>
      <c r="BQ82" s="202"/>
      <c r="BR82" s="202"/>
      <c r="BS82" s="202"/>
      <c r="BT82" s="202"/>
      <c r="BU82" s="202"/>
      <c r="BV82" s="202"/>
      <c r="BW82" s="202"/>
      <c r="BX82" s="202"/>
      <c r="BY82" s="202"/>
      <c r="BZ82" s="202"/>
      <c r="CA82" s="202"/>
      <c r="CB82" s="202"/>
      <c r="CC82" s="202"/>
      <c r="CD82" s="202"/>
      <c r="CE82" s="202"/>
      <c r="CF82" s="202"/>
      <c r="CG82" s="202"/>
      <c r="CH82" s="202"/>
      <c r="CI82" s="202"/>
      <c r="CJ82" s="202"/>
      <c r="CK82" s="202"/>
      <c r="CL82" s="202"/>
      <c r="CM82" s="202"/>
      <c r="CN82" s="202"/>
      <c r="CO82" s="202"/>
      <c r="CP82" s="202"/>
      <c r="CQ82" s="202"/>
      <c r="CR82" s="202"/>
      <c r="CS82" s="202"/>
      <c r="CT82" s="202"/>
      <c r="CU82" s="202"/>
      <c r="CV82" s="202"/>
      <c r="CW82" s="202"/>
      <c r="CX82" s="202"/>
      <c r="CY82" s="202"/>
      <c r="CZ82" s="202"/>
      <c r="DA82" s="202"/>
      <c r="DB82" s="202"/>
      <c r="DC82" s="202"/>
      <c r="DD82" s="202"/>
      <c r="DE82" s="202"/>
      <c r="DF82" s="202"/>
      <c r="DG82" s="202"/>
    </row>
    <row r="83" spans="1:111" ht="40" customHeight="1">
      <c r="A83" s="296">
        <v>40</v>
      </c>
      <c r="B83" s="297">
        <v>2051</v>
      </c>
      <c r="C83" s="6224" t="s">
        <v>2420</v>
      </c>
      <c r="D83" s="4375">
        <v>12352120.000000002</v>
      </c>
      <c r="E83" s="4376">
        <v>17600</v>
      </c>
      <c r="F83" s="4376">
        <v>17600</v>
      </c>
      <c r="G83" s="6295" t="s">
        <v>2864</v>
      </c>
      <c r="H83" s="4376">
        <v>1320</v>
      </c>
      <c r="I83" s="4375">
        <v>383</v>
      </c>
      <c r="J83" s="4375">
        <v>654</v>
      </c>
      <c r="K83" s="4375">
        <v>99440.000000000015</v>
      </c>
      <c r="L83" s="4377">
        <v>195017680.00000003</v>
      </c>
      <c r="M83" s="4377">
        <v>1852070.0000000002</v>
      </c>
      <c r="N83" s="4377">
        <v>0</v>
      </c>
      <c r="O83" s="4377">
        <v>67446720</v>
      </c>
      <c r="P83" s="4377">
        <v>44964480</v>
      </c>
      <c r="Q83" s="4377">
        <v>2529252</v>
      </c>
      <c r="R83" s="4378">
        <v>1277400</v>
      </c>
      <c r="S83" s="4378"/>
      <c r="T83" s="4378">
        <v>0</v>
      </c>
      <c r="U83" s="4378">
        <v>450000</v>
      </c>
      <c r="V83" s="4378">
        <v>64800000</v>
      </c>
      <c r="W83" s="4379"/>
      <c r="X83" s="4379">
        <v>198147150.00000003</v>
      </c>
      <c r="Y83" s="4383">
        <v>46279</v>
      </c>
      <c r="Z83" s="4384">
        <v>46297</v>
      </c>
      <c r="AA83" s="4385">
        <v>18</v>
      </c>
      <c r="AB83" s="290">
        <v>6387</v>
      </c>
      <c r="AC83" s="290"/>
    </row>
  </sheetData>
  <sheetProtection formatColumns="0"/>
  <phoneticPr fontId="2"/>
  <conditionalFormatting sqref="A74:A83 A5 A54 A49:A50 A62 A69:A72">
    <cfRule type="containsText" dxfId="959" priority="44" operator="containsText" text="NGホテル">
      <formula>NOT(ISERROR(SEARCH("NGホテル",A5)))</formula>
    </cfRule>
    <cfRule type="containsText" dxfId="958" priority="45" operator="containsText" text="追加">
      <formula>NOT(ISERROR(SEARCH("追加",A5)))</formula>
    </cfRule>
  </conditionalFormatting>
  <dataValidations count="2">
    <dataValidation showInputMessage="1" showErrorMessage="1" sqref="Y30:AA30 Y44:AA63 Y5:AC5 AB30:AC83 Y65:AA83" xr:uid="{22DA8B01-8372-4EED-BC7C-F7EBD3D51CE7}"/>
    <dataValidation type="list" allowBlank="1" showInputMessage="1" showErrorMessage="1" sqref="D84:AC1048576" xr:uid="{2705BA31-9C23-46A9-BAD0-8792CD0A96BC}">
      <formula1>#REF!</formula1>
    </dataValidation>
  </dataValidations>
  <printOptions horizontalCentered="1"/>
  <pageMargins left="0.23622047244094491" right="0.23622047244094491" top="0.74803149606299213" bottom="0.74803149606299213" header="0.31496062992125984" footer="0.31496062992125984"/>
  <pageSetup paperSize="8" scale="67" fitToWidth="0" pageOrder="overThenDown" orientation="portrait" r:id="rId1"/>
  <headerFooter>
    <oddFooter>&amp;C&amp;14&amp;P / &amp;N ページ</oddFooter>
  </headerFooter>
  <rowBreaks count="1" manualBreakCount="1">
    <brk id="82" max="16383" man="1"/>
  </rowBreaks>
  <colBreaks count="1" manualBreakCount="1">
    <brk id="27" max="1048575" man="1"/>
  </col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AF8F7-AEDD-404C-9632-E8DEB77F7646}">
  <sheetPr codeName="Sheet309">
    <tabColor rgb="FF99FF99"/>
    <pageSetUpPr fitToPage="1"/>
  </sheetPr>
  <dimension ref="A1:FC37"/>
  <sheetViews>
    <sheetView showGridLines="0" view="pageBreakPreview" zoomScale="40" zoomScaleNormal="50" zoomScaleSheetLayoutView="40" zoomScalePageLayoutView="85" workbookViewId="0">
      <pane xSplit="3" ySplit="1" topLeftCell="D6" activePane="bottomRight" state="frozen"/>
      <selection pane="topRight" activeCell="BI1" sqref="BI1"/>
      <selection pane="bottomLeft" activeCell="W5" sqref="W5"/>
      <selection pane="bottomRight" activeCell="Y10" sqref="Y10:Y11"/>
    </sheetView>
  </sheetViews>
  <sheetFormatPr defaultColWidth="9.54296875" defaultRowHeight="13.5"/>
  <cols>
    <col min="1" max="1" width="9.54296875" style="1217"/>
    <col min="2" max="2" width="8.26953125" style="1278" customWidth="1"/>
    <col min="3" max="3" width="37.7265625" style="1289" customWidth="1"/>
    <col min="4" max="4" width="26.1796875" style="4443" customWidth="1"/>
    <col min="5" max="6" width="20.453125" style="4443" customWidth="1"/>
    <col min="7" max="7" width="10.54296875" style="4443" customWidth="1"/>
    <col min="8" max="8" width="20.453125" style="4443" customWidth="1"/>
    <col min="9" max="10" width="13.81640625" style="4443" customWidth="1"/>
    <col min="11" max="11" width="24.7265625" style="4443" customWidth="1"/>
    <col min="12" max="13" width="29.90625" style="4443" customWidth="1"/>
    <col min="14" max="14" width="31.08984375" style="4443" customWidth="1"/>
    <col min="15" max="16" width="31.81640625" style="4443" customWidth="1"/>
    <col min="17" max="17" width="31.7265625" style="4443" customWidth="1"/>
    <col min="18" max="20" width="25.453125" style="4443" customWidth="1"/>
    <col min="21" max="23" width="23.26953125" style="4443" customWidth="1"/>
    <col min="24" max="26" width="29.453125" style="4443" customWidth="1"/>
    <col min="27" max="27" width="13.81640625" style="4443" customWidth="1"/>
    <col min="28" max="28" width="14.7265625" style="1278" customWidth="1"/>
    <col min="29" max="16384" width="9.54296875" style="1217"/>
  </cols>
  <sheetData>
    <row r="1" spans="1:28" s="1185" customFormat="1" ht="97" customHeight="1" thickBot="1">
      <c r="A1" s="4416" t="s">
        <v>7052</v>
      </c>
      <c r="B1" s="4416" t="s">
        <v>0</v>
      </c>
      <c r="C1" s="4417" t="s">
        <v>1</v>
      </c>
      <c r="D1" s="4418" t="s">
        <v>2920</v>
      </c>
      <c r="E1" s="6058" t="s">
        <v>7069</v>
      </c>
      <c r="F1" s="6058" t="s">
        <v>7067</v>
      </c>
      <c r="G1" s="6060" t="s">
        <v>7068</v>
      </c>
      <c r="H1" s="6060" t="s">
        <v>7070</v>
      </c>
      <c r="I1" s="4415" t="s">
        <v>2921</v>
      </c>
      <c r="J1" s="4419" t="s">
        <v>2922</v>
      </c>
      <c r="K1" s="4415" t="s">
        <v>2923</v>
      </c>
      <c r="L1" s="4418" t="s">
        <v>2924</v>
      </c>
      <c r="M1" s="4418" t="s">
        <v>2925</v>
      </c>
      <c r="N1" s="6057" t="s">
        <v>7071</v>
      </c>
      <c r="O1" s="6057" t="s">
        <v>7072</v>
      </c>
      <c r="P1" s="6057" t="s">
        <v>7073</v>
      </c>
      <c r="Q1" s="6057" t="s">
        <v>7074</v>
      </c>
      <c r="R1" s="4418" t="s">
        <v>2791</v>
      </c>
      <c r="S1" s="4420" t="s">
        <v>2926</v>
      </c>
      <c r="T1" s="4420" t="s">
        <v>2806</v>
      </c>
      <c r="U1" s="4361" t="s">
        <v>2807</v>
      </c>
      <c r="V1" s="4361" t="s">
        <v>2808</v>
      </c>
      <c r="W1" s="4362" t="s">
        <v>7075</v>
      </c>
      <c r="X1" s="4421" t="s">
        <v>2809</v>
      </c>
      <c r="Y1" s="6360"/>
      <c r="Z1" s="6360"/>
      <c r="AA1" s="4422" t="s">
        <v>2927</v>
      </c>
      <c r="AB1" s="4423" t="s">
        <v>2928</v>
      </c>
    </row>
    <row r="2" spans="1:28" ht="53.5" hidden="1" customHeight="1" thickBot="1">
      <c r="B2" s="4424">
        <v>0</v>
      </c>
      <c r="C2" s="1419" t="s">
        <v>2934</v>
      </c>
      <c r="D2" s="4425"/>
      <c r="E2" s="4425"/>
      <c r="F2" s="4425"/>
      <c r="G2" s="4425"/>
      <c r="H2" s="4425"/>
      <c r="I2" s="1194"/>
      <c r="J2" s="4426"/>
      <c r="K2" s="1194"/>
      <c r="L2" s="4425"/>
      <c r="M2" s="4425"/>
      <c r="N2" s="4426"/>
      <c r="O2" s="4426"/>
      <c r="P2" s="4426"/>
      <c r="Q2" s="4426"/>
      <c r="R2" s="4426"/>
      <c r="S2" s="4426"/>
      <c r="T2" s="4426"/>
      <c r="U2" s="4426"/>
      <c r="V2" s="4426"/>
      <c r="W2" s="4426"/>
      <c r="X2" s="4426"/>
      <c r="Y2" s="4426"/>
      <c r="Z2" s="4426"/>
      <c r="AA2" s="4427"/>
      <c r="AB2" s="4424"/>
    </row>
    <row r="3" spans="1:28" s="1178" customFormat="1" ht="53.5" hidden="1" customHeight="1" thickTop="1">
      <c r="B3" s="1359"/>
      <c r="C3" s="4428"/>
      <c r="D3" s="4429"/>
      <c r="E3" s="4429"/>
      <c r="F3" s="4429"/>
      <c r="G3" s="4429"/>
      <c r="H3" s="4429"/>
      <c r="I3" s="1235"/>
      <c r="J3" s="4430"/>
      <c r="K3" s="1235"/>
      <c r="L3" s="4429"/>
      <c r="M3" s="4429"/>
      <c r="N3" s="4430"/>
      <c r="O3" s="4430"/>
      <c r="P3" s="4430"/>
      <c r="Q3" s="4430"/>
      <c r="R3" s="4430"/>
      <c r="S3" s="4430"/>
      <c r="T3" s="4430"/>
      <c r="U3" s="4430"/>
      <c r="V3" s="4430"/>
      <c r="W3" s="4430"/>
      <c r="X3" s="4430"/>
      <c r="Y3" s="4430"/>
      <c r="Z3" s="4430"/>
      <c r="AA3" s="4431"/>
      <c r="AB3" s="1359"/>
    </row>
    <row r="4" spans="1:28" ht="53.5" hidden="1" customHeight="1" thickTop="1">
      <c r="B4" s="4432"/>
      <c r="C4" s="4428"/>
      <c r="D4" s="4429"/>
      <c r="E4" s="4429"/>
      <c r="F4" s="4429"/>
      <c r="G4" s="4429"/>
      <c r="H4" s="4429"/>
      <c r="I4" s="1235"/>
      <c r="J4" s="4430"/>
      <c r="K4" s="1235"/>
      <c r="L4" s="4429"/>
      <c r="M4" s="4429"/>
      <c r="N4" s="4430"/>
      <c r="O4" s="4430"/>
      <c r="P4" s="4430"/>
      <c r="Q4" s="4430"/>
      <c r="R4" s="4430"/>
      <c r="S4" s="4430"/>
      <c r="T4" s="4430"/>
      <c r="U4" s="4430"/>
      <c r="V4" s="4430"/>
      <c r="W4" s="4430"/>
      <c r="X4" s="4430"/>
      <c r="Y4" s="4430"/>
      <c r="Z4" s="4430"/>
      <c r="AA4" s="4431"/>
      <c r="AB4" s="4432"/>
    </row>
    <row r="5" spans="1:28" ht="53.5" hidden="1" customHeight="1" thickTop="1">
      <c r="B5" s="4433"/>
      <c r="C5" s="4428"/>
      <c r="D5" s="4435"/>
      <c r="E5" s="4435"/>
      <c r="F5" s="4435"/>
      <c r="G5" s="4435"/>
      <c r="H5" s="4435"/>
      <c r="I5" s="4336"/>
      <c r="J5" s="4436"/>
      <c r="K5" s="4336"/>
      <c r="L5" s="4435"/>
      <c r="M5" s="4435"/>
      <c r="N5" s="4436"/>
      <c r="O5" s="4436"/>
      <c r="P5" s="4436"/>
      <c r="Q5" s="4436"/>
      <c r="R5" s="4436"/>
      <c r="S5" s="4436"/>
      <c r="T5" s="4436"/>
      <c r="U5" s="4436"/>
      <c r="V5" s="4436"/>
      <c r="W5" s="4436"/>
      <c r="X5" s="4436"/>
      <c r="Y5" s="4436"/>
      <c r="Z5" s="4436"/>
      <c r="AA5" s="4437"/>
      <c r="AB5" s="4432"/>
    </row>
    <row r="6" spans="1:28" ht="49.5" customHeight="1" thickTop="1" thickBot="1">
      <c r="A6" s="1217">
        <v>1</v>
      </c>
      <c r="B6" s="1199">
        <v>24</v>
      </c>
      <c r="C6" s="6225" t="s">
        <v>2958</v>
      </c>
      <c r="D6" s="4438">
        <v>6675240.0000000009</v>
      </c>
      <c r="E6" s="6061">
        <v>26106</v>
      </c>
      <c r="F6" s="6061">
        <v>24690</v>
      </c>
      <c r="G6" s="4438" t="s">
        <v>2971</v>
      </c>
      <c r="H6" s="6061">
        <v>2373</v>
      </c>
      <c r="I6" s="4439">
        <v>243</v>
      </c>
      <c r="J6" s="4440">
        <v>330</v>
      </c>
      <c r="K6" s="4438">
        <v>14982660.000000002</v>
      </c>
      <c r="L6" s="4438">
        <v>117461520.00000001</v>
      </c>
      <c r="M6" s="6282">
        <v>203457958</v>
      </c>
      <c r="N6" s="6047">
        <v>6701400</v>
      </c>
      <c r="O6" s="6059">
        <v>71895924</v>
      </c>
      <c r="P6" s="6059">
        <v>45330840</v>
      </c>
      <c r="Q6" s="6059">
        <v>3267621</v>
      </c>
      <c r="R6" s="4441"/>
      <c r="S6" s="4440">
        <v>11880000</v>
      </c>
      <c r="T6" s="4440">
        <v>4240456</v>
      </c>
      <c r="U6" s="4440">
        <v>450000</v>
      </c>
      <c r="V6" s="4440">
        <v>32400000</v>
      </c>
      <c r="W6" s="4440"/>
      <c r="X6" s="4440">
        <v>327620878</v>
      </c>
      <c r="Y6" s="7122">
        <v>46304</v>
      </c>
      <c r="Z6" s="7122">
        <v>46322</v>
      </c>
      <c r="AA6" s="4442">
        <v>18</v>
      </c>
      <c r="AB6" s="6333">
        <v>4590</v>
      </c>
    </row>
    <row r="7" spans="1:28" ht="49.5" customHeight="1" thickTop="1" thickBot="1">
      <c r="A7" s="1217">
        <v>2</v>
      </c>
      <c r="B7" s="4432">
        <v>1027</v>
      </c>
      <c r="C7" s="6228" t="s">
        <v>2976</v>
      </c>
      <c r="D7" s="4444">
        <v>11426745</v>
      </c>
      <c r="E7" s="4444">
        <v>29789.100000000002</v>
      </c>
      <c r="F7" s="4444">
        <v>29789.100000000002</v>
      </c>
      <c r="G7" s="6296" t="s">
        <v>2864</v>
      </c>
      <c r="H7" s="4444">
        <v>1897.5000000000002</v>
      </c>
      <c r="I7" s="4449">
        <v>115</v>
      </c>
      <c r="J7" s="4450">
        <v>168</v>
      </c>
      <c r="K7" s="4444">
        <v>3491400.0000000005</v>
      </c>
      <c r="L7" s="4444">
        <v>203131170</v>
      </c>
      <c r="M7" s="4444">
        <v>64594063</v>
      </c>
      <c r="N7" s="6048">
        <v>0</v>
      </c>
      <c r="O7" s="6054">
        <v>40537007.280000009</v>
      </c>
      <c r="P7" s="6054">
        <v>27024671.520000007</v>
      </c>
      <c r="Q7" s="6054">
        <v>1291059.0000000002</v>
      </c>
      <c r="R7" s="4451"/>
      <c r="S7" s="4450">
        <v>8448000</v>
      </c>
      <c r="T7" s="4451"/>
      <c r="U7" s="4450">
        <v>360000</v>
      </c>
      <c r="V7" s="4450">
        <v>129600000</v>
      </c>
      <c r="W7" s="4450"/>
      <c r="X7" s="4450">
        <v>267725233</v>
      </c>
      <c r="Y7" s="7122">
        <v>46304</v>
      </c>
      <c r="Z7" s="7122">
        <v>46322</v>
      </c>
      <c r="AA7" s="4445">
        <v>18</v>
      </c>
      <c r="AB7" s="6334">
        <v>2268</v>
      </c>
    </row>
    <row r="8" spans="1:28" ht="49.5" customHeight="1" thickTop="1" thickBot="1">
      <c r="A8" s="1217">
        <v>3</v>
      </c>
      <c r="B8" s="4432">
        <v>105</v>
      </c>
      <c r="C8" s="6227" t="s">
        <v>2986</v>
      </c>
      <c r="D8" s="4444">
        <v>18807800</v>
      </c>
      <c r="E8" s="6064">
        <v>26106</v>
      </c>
      <c r="F8" s="6064">
        <v>24690</v>
      </c>
      <c r="G8" s="4444" t="s">
        <v>2828</v>
      </c>
      <c r="H8" s="6064">
        <v>2373</v>
      </c>
      <c r="I8" s="4449">
        <v>245</v>
      </c>
      <c r="J8" s="4450">
        <v>360</v>
      </c>
      <c r="K8" s="4444">
        <v>9416388.3000000007</v>
      </c>
      <c r="L8" s="4444">
        <v>331709400</v>
      </c>
      <c r="M8" s="4444">
        <v>174203184.10000002</v>
      </c>
      <c r="N8" s="6048">
        <v>0</v>
      </c>
      <c r="O8" s="6054">
        <v>84865384.799999997</v>
      </c>
      <c r="P8" s="6054">
        <v>53508168</v>
      </c>
      <c r="Q8" s="6054">
        <v>3857074.1999999997</v>
      </c>
      <c r="R8" s="4451"/>
      <c r="S8" s="4450">
        <v>4224000</v>
      </c>
      <c r="T8" s="4450">
        <v>4957134.6000000006</v>
      </c>
      <c r="U8" s="4450">
        <v>450000</v>
      </c>
      <c r="V8" s="4450">
        <v>0</v>
      </c>
      <c r="W8" s="4450"/>
      <c r="X8" s="4450">
        <v>505912584.10000002</v>
      </c>
      <c r="Y8" s="7122">
        <v>46304</v>
      </c>
      <c r="Z8" s="7122">
        <v>46322</v>
      </c>
      <c r="AA8" s="4445">
        <v>18</v>
      </c>
      <c r="AB8" s="6334">
        <v>5418</v>
      </c>
    </row>
    <row r="9" spans="1:28" ht="49.5" customHeight="1" thickTop="1" thickBot="1">
      <c r="A9" s="1217">
        <v>4</v>
      </c>
      <c r="B9" s="4432">
        <v>40</v>
      </c>
      <c r="C9" s="6228" t="s">
        <v>3003</v>
      </c>
      <c r="D9" s="4444">
        <v>17778000</v>
      </c>
      <c r="E9" s="6064">
        <v>26106</v>
      </c>
      <c r="F9" s="6064">
        <v>24690</v>
      </c>
      <c r="G9" s="4444" t="s">
        <v>2828</v>
      </c>
      <c r="H9" s="6064">
        <v>2373</v>
      </c>
      <c r="I9" s="4449">
        <v>214</v>
      </c>
      <c r="J9" s="4450">
        <v>360</v>
      </c>
      <c r="K9" s="4444">
        <v>3054400</v>
      </c>
      <c r="L9" s="4444">
        <v>314820000</v>
      </c>
      <c r="M9" s="4444">
        <v>54611200</v>
      </c>
      <c r="N9" s="6048">
        <v>0</v>
      </c>
      <c r="O9" s="6054">
        <v>62309800.799999997</v>
      </c>
      <c r="P9" s="6054">
        <v>39286728</v>
      </c>
      <c r="Q9" s="6054">
        <v>2831938.1999999997</v>
      </c>
      <c r="R9" s="4451"/>
      <c r="S9" s="4450">
        <v>5280000</v>
      </c>
      <c r="T9" s="4451"/>
      <c r="U9" s="4450">
        <v>450000</v>
      </c>
      <c r="V9" s="4450">
        <v>259200000</v>
      </c>
      <c r="W9" s="4450"/>
      <c r="X9" s="4450">
        <v>369431200</v>
      </c>
      <c r="Y9" s="7122">
        <v>46304</v>
      </c>
      <c r="Z9" s="7122">
        <v>46322</v>
      </c>
      <c r="AA9" s="4445">
        <v>18</v>
      </c>
      <c r="AB9" s="6334">
        <v>3978</v>
      </c>
    </row>
    <row r="10" spans="1:28" ht="49.5" customHeight="1" thickTop="1" thickBot="1">
      <c r="A10" s="1217">
        <v>5</v>
      </c>
      <c r="B10" s="4432">
        <v>64</v>
      </c>
      <c r="C10" s="6228" t="s">
        <v>3010</v>
      </c>
      <c r="D10" s="4444">
        <v>16847042</v>
      </c>
      <c r="E10" s="6064">
        <v>26106</v>
      </c>
      <c r="F10" s="6064">
        <v>24690</v>
      </c>
      <c r="G10" s="4444" t="s">
        <v>2828</v>
      </c>
      <c r="H10" s="6064">
        <v>2373</v>
      </c>
      <c r="I10" s="4449">
        <v>168</v>
      </c>
      <c r="J10" s="4450">
        <v>302</v>
      </c>
      <c r="K10" s="4444">
        <v>1127500</v>
      </c>
      <c r="L10" s="4444">
        <v>295961189</v>
      </c>
      <c r="M10" s="4444">
        <v>20295000</v>
      </c>
      <c r="N10" s="6048">
        <v>0</v>
      </c>
      <c r="O10" s="6054">
        <v>66820917.599999994</v>
      </c>
      <c r="P10" s="6054">
        <v>42131016</v>
      </c>
      <c r="Q10" s="6054">
        <v>3036965.4</v>
      </c>
      <c r="R10" s="4451"/>
      <c r="S10" s="4450">
        <v>5940000</v>
      </c>
      <c r="T10" s="4451"/>
      <c r="U10" s="4450">
        <v>270000</v>
      </c>
      <c r="V10" s="4450">
        <v>64800000</v>
      </c>
      <c r="W10" s="4450"/>
      <c r="X10" s="4450">
        <v>316256189</v>
      </c>
      <c r="Y10" s="7122">
        <v>46304</v>
      </c>
      <c r="Z10" s="7122">
        <v>46322</v>
      </c>
      <c r="AA10" s="4445">
        <v>18</v>
      </c>
      <c r="AB10" s="6334">
        <v>4266</v>
      </c>
    </row>
    <row r="11" spans="1:28" ht="49.5" customHeight="1" thickTop="1" thickBot="1">
      <c r="A11" s="1217">
        <v>6</v>
      </c>
      <c r="B11" s="4432">
        <v>159</v>
      </c>
      <c r="C11" s="6228" t="s">
        <v>3014</v>
      </c>
      <c r="D11" s="4444">
        <v>9004800</v>
      </c>
      <c r="E11" s="6062">
        <v>26106</v>
      </c>
      <c r="F11" s="6062">
        <v>24690</v>
      </c>
      <c r="G11" s="4444" t="s">
        <v>2828</v>
      </c>
      <c r="H11" s="6062">
        <v>2373</v>
      </c>
      <c r="I11" s="4449">
        <v>197</v>
      </c>
      <c r="J11" s="4450">
        <v>304</v>
      </c>
      <c r="K11" s="4444">
        <v>0</v>
      </c>
      <c r="L11" s="4444">
        <v>160668000</v>
      </c>
      <c r="M11" s="4444">
        <v>0</v>
      </c>
      <c r="N11" s="6048">
        <v>7619400</v>
      </c>
      <c r="O11" s="6054">
        <v>70204255.200000003</v>
      </c>
      <c r="P11" s="6054">
        <v>44264232</v>
      </c>
      <c r="Q11" s="6054">
        <v>3190735.8</v>
      </c>
      <c r="R11" s="4451"/>
      <c r="S11" s="4450">
        <v>6600000</v>
      </c>
      <c r="T11" s="4451"/>
      <c r="U11" s="4450">
        <v>450000</v>
      </c>
      <c r="V11" s="4450">
        <v>0</v>
      </c>
      <c r="W11" s="4450"/>
      <c r="X11" s="4450">
        <v>168287400</v>
      </c>
      <c r="Y11" s="7122">
        <v>46304</v>
      </c>
      <c r="Z11" s="7122">
        <v>46322</v>
      </c>
      <c r="AA11" s="4445">
        <v>18</v>
      </c>
      <c r="AB11" s="6334">
        <v>4482</v>
      </c>
    </row>
    <row r="12" spans="1:28" ht="49.5" customHeight="1" thickTop="1" thickBot="1">
      <c r="A12" s="1217">
        <v>7</v>
      </c>
      <c r="B12" s="4432">
        <v>121</v>
      </c>
      <c r="C12" s="6227" t="s">
        <v>2205</v>
      </c>
      <c r="D12" s="4444">
        <v>10221200</v>
      </c>
      <c r="E12" s="4444">
        <v>31075</v>
      </c>
      <c r="F12" s="4444">
        <v>31075</v>
      </c>
      <c r="G12" s="4444" t="s">
        <v>2971</v>
      </c>
      <c r="H12" s="4444">
        <v>6215.0000000000009</v>
      </c>
      <c r="I12" s="4449">
        <v>246</v>
      </c>
      <c r="J12" s="4450">
        <v>349</v>
      </c>
      <c r="K12" s="4444">
        <v>4589816</v>
      </c>
      <c r="L12" s="4444">
        <v>183981600</v>
      </c>
      <c r="M12" s="4444">
        <v>91581160</v>
      </c>
      <c r="N12" s="6048">
        <v>19483200</v>
      </c>
      <c r="O12" s="6054">
        <v>88601040</v>
      </c>
      <c r="P12" s="6054">
        <v>59067360</v>
      </c>
      <c r="Q12" s="6054">
        <v>8860104</v>
      </c>
      <c r="R12" s="4451"/>
      <c r="S12" s="4451"/>
      <c r="T12" s="4451"/>
      <c r="U12" s="4450">
        <v>180000</v>
      </c>
      <c r="V12" s="4450">
        <v>550800000</v>
      </c>
      <c r="W12" s="4450"/>
      <c r="X12" s="4450">
        <v>295045960</v>
      </c>
      <c r="Y12" s="7122">
        <v>46304</v>
      </c>
      <c r="Z12" s="7122">
        <v>46322</v>
      </c>
      <c r="AA12" s="4445">
        <v>18</v>
      </c>
      <c r="AB12" s="6334">
        <v>4752</v>
      </c>
    </row>
    <row r="13" spans="1:28" s="1178" customFormat="1" ht="49.5" customHeight="1" thickTop="1" thickBot="1">
      <c r="A13" s="1217">
        <v>8</v>
      </c>
      <c r="B13" s="4432">
        <v>167</v>
      </c>
      <c r="C13" s="6228" t="s">
        <v>3029</v>
      </c>
      <c r="D13" s="4444">
        <v>3698200.0000000005</v>
      </c>
      <c r="E13" s="4444">
        <v>19800</v>
      </c>
      <c r="F13" s="4444">
        <v>17710</v>
      </c>
      <c r="G13" s="4444" t="s">
        <v>2828</v>
      </c>
      <c r="H13" s="4444">
        <v>1100</v>
      </c>
      <c r="I13" s="4449">
        <v>132</v>
      </c>
      <c r="J13" s="4450">
        <v>150</v>
      </c>
      <c r="K13" s="4444">
        <v>0</v>
      </c>
      <c r="L13" s="4444">
        <v>65892915</v>
      </c>
      <c r="M13" s="4444">
        <v>0</v>
      </c>
      <c r="N13" s="6048">
        <v>5292000</v>
      </c>
      <c r="O13" s="6054">
        <v>25660800</v>
      </c>
      <c r="P13" s="6054">
        <v>15301440</v>
      </c>
      <c r="Q13" s="6054">
        <v>712800</v>
      </c>
      <c r="R13" s="4451"/>
      <c r="S13" s="4451"/>
      <c r="T13" s="4451"/>
      <c r="U13" s="4450">
        <v>450000</v>
      </c>
      <c r="V13" s="4450">
        <v>0</v>
      </c>
      <c r="W13" s="4450"/>
      <c r="X13" s="4450">
        <v>71184915</v>
      </c>
      <c r="Y13" s="7122">
        <v>46304</v>
      </c>
      <c r="Z13" s="7122">
        <v>46322</v>
      </c>
      <c r="AA13" s="4445">
        <v>18</v>
      </c>
      <c r="AB13" s="6334">
        <v>2160</v>
      </c>
    </row>
    <row r="14" spans="1:28" s="1178" customFormat="1" ht="51" customHeight="1" thickTop="1" thickBot="1">
      <c r="A14" s="1217">
        <v>9</v>
      </c>
      <c r="B14" s="1224">
        <v>206</v>
      </c>
      <c r="C14" s="6226" t="s">
        <v>3036</v>
      </c>
      <c r="D14" s="4444">
        <v>5579200</v>
      </c>
      <c r="E14" s="4444">
        <v>21619</v>
      </c>
      <c r="F14" s="4444">
        <v>13802</v>
      </c>
      <c r="G14" s="4444" t="s">
        <v>2971</v>
      </c>
      <c r="H14" s="4444">
        <v>3107.5000000000005</v>
      </c>
      <c r="I14" s="4449">
        <v>143</v>
      </c>
      <c r="J14" s="4450">
        <v>182</v>
      </c>
      <c r="K14" s="4444">
        <v>6712200.0000000009</v>
      </c>
      <c r="L14" s="4444">
        <v>97769746</v>
      </c>
      <c r="M14" s="4444">
        <v>124175700.00000001</v>
      </c>
      <c r="N14" s="6048">
        <v>0</v>
      </c>
      <c r="O14" s="6054">
        <v>36890661.600000001</v>
      </c>
      <c r="P14" s="6054">
        <v>15701155.200000001</v>
      </c>
      <c r="Q14" s="6054">
        <v>2651319.0000000005</v>
      </c>
      <c r="R14" s="4451"/>
      <c r="S14" s="4450">
        <v>8580000</v>
      </c>
      <c r="T14" s="4451"/>
      <c r="U14" s="4450">
        <v>270000</v>
      </c>
      <c r="V14" s="4450">
        <v>32400000</v>
      </c>
      <c r="W14" s="4450"/>
      <c r="X14" s="4450">
        <v>221945446</v>
      </c>
      <c r="Y14" s="7122">
        <v>46304</v>
      </c>
      <c r="Z14" s="7122">
        <v>46322</v>
      </c>
      <c r="AA14" s="4445">
        <v>18</v>
      </c>
      <c r="AB14" s="6335">
        <v>2844</v>
      </c>
    </row>
    <row r="15" spans="1:28" ht="49.5" customHeight="1" thickTop="1" thickBot="1">
      <c r="A15" s="1217">
        <v>10</v>
      </c>
      <c r="B15" s="4432">
        <v>298</v>
      </c>
      <c r="C15" s="6228" t="s">
        <v>3046</v>
      </c>
      <c r="D15" s="4444">
        <v>13002000.000000002</v>
      </c>
      <c r="E15" s="4444">
        <v>26620.000000000004</v>
      </c>
      <c r="F15" s="4444">
        <v>26620.000000000004</v>
      </c>
      <c r="G15" s="4444" t="s">
        <v>2828</v>
      </c>
      <c r="H15" s="6062">
        <v>2200</v>
      </c>
      <c r="I15" s="4449">
        <v>223</v>
      </c>
      <c r="J15" s="4450">
        <v>295</v>
      </c>
      <c r="K15" s="4444">
        <v>0</v>
      </c>
      <c r="L15" s="4444">
        <v>231115500</v>
      </c>
      <c r="M15" s="4444">
        <v>0</v>
      </c>
      <c r="N15" s="6048">
        <v>3672000</v>
      </c>
      <c r="O15" s="6054">
        <v>73311480</v>
      </c>
      <c r="P15" s="6054">
        <v>48874320.000000007</v>
      </c>
      <c r="Q15" s="6054">
        <v>3029400</v>
      </c>
      <c r="R15" s="4450">
        <v>918000</v>
      </c>
      <c r="S15" s="4450">
        <v>5280000</v>
      </c>
      <c r="T15" s="4451"/>
      <c r="U15" s="4450">
        <v>450000</v>
      </c>
      <c r="V15" s="4450">
        <v>32400000</v>
      </c>
      <c r="W15" s="4450"/>
      <c r="X15" s="4450">
        <v>234787500</v>
      </c>
      <c r="Y15" s="7122">
        <v>46304</v>
      </c>
      <c r="Z15" s="7122">
        <v>46322</v>
      </c>
      <c r="AA15" s="4445">
        <v>18</v>
      </c>
      <c r="AB15" s="6334">
        <v>4590</v>
      </c>
    </row>
    <row r="16" spans="1:28" ht="49.5" customHeight="1" thickTop="1" thickBot="1">
      <c r="A16" s="1217">
        <v>11</v>
      </c>
      <c r="B16" s="4433"/>
      <c r="C16" s="6231" t="s">
        <v>2841</v>
      </c>
      <c r="D16" s="4444">
        <v>7621152.0000000009</v>
      </c>
      <c r="E16" s="6062">
        <v>26106</v>
      </c>
      <c r="F16" s="6062">
        <v>24690</v>
      </c>
      <c r="G16" s="4444" t="s">
        <v>2971</v>
      </c>
      <c r="H16" s="6062">
        <v>2373</v>
      </c>
      <c r="I16" s="4449">
        <v>160</v>
      </c>
      <c r="J16" s="4450">
        <v>320</v>
      </c>
      <c r="K16" s="4444">
        <v>0</v>
      </c>
      <c r="L16" s="4444">
        <v>134072532</v>
      </c>
      <c r="M16" s="4444">
        <v>0</v>
      </c>
      <c r="N16" s="6048">
        <v>410400</v>
      </c>
      <c r="O16" s="6054">
        <v>64283414.399999999</v>
      </c>
      <c r="P16" s="6054">
        <v>40531104</v>
      </c>
      <c r="Q16" s="6054">
        <v>2921637.6</v>
      </c>
      <c r="R16" s="4450">
        <v>820800</v>
      </c>
      <c r="S16" s="4450">
        <v>2640000</v>
      </c>
      <c r="T16" s="4451"/>
      <c r="U16" s="4450">
        <v>360000</v>
      </c>
      <c r="V16" s="4450">
        <v>32400000</v>
      </c>
      <c r="W16" s="4450"/>
      <c r="X16" s="4450">
        <v>134482932</v>
      </c>
      <c r="Y16" s="7122">
        <v>46304</v>
      </c>
      <c r="Z16" s="7122">
        <v>46322</v>
      </c>
      <c r="AA16" s="4445">
        <v>18</v>
      </c>
      <c r="AB16" s="6334">
        <v>4104</v>
      </c>
    </row>
    <row r="17" spans="1:28" ht="49.5" customHeight="1" thickTop="1" thickBot="1">
      <c r="A17" s="1217">
        <v>12</v>
      </c>
      <c r="B17" s="4432">
        <v>253</v>
      </c>
      <c r="C17" s="6226" t="s">
        <v>3052</v>
      </c>
      <c r="D17" s="4444">
        <v>2999040.0000000005</v>
      </c>
      <c r="E17" s="6064">
        <v>26106</v>
      </c>
      <c r="F17" s="6064">
        <v>24690</v>
      </c>
      <c r="G17" s="4444" t="s">
        <v>2828</v>
      </c>
      <c r="H17" s="6064">
        <v>2373</v>
      </c>
      <c r="I17" s="4449">
        <v>114</v>
      </c>
      <c r="J17" s="4450">
        <v>213</v>
      </c>
      <c r="K17" s="4444">
        <v>330000</v>
      </c>
      <c r="L17" s="4444">
        <v>52717500</v>
      </c>
      <c r="M17" s="4444">
        <v>6105000.0000000009</v>
      </c>
      <c r="N17" s="6048">
        <v>4121280</v>
      </c>
      <c r="O17" s="6054">
        <v>30450038.399999999</v>
      </c>
      <c r="P17" s="6054">
        <v>19198944</v>
      </c>
      <c r="Q17" s="6054">
        <v>1383933.5999999999</v>
      </c>
      <c r="R17" s="4450">
        <v>388800</v>
      </c>
      <c r="S17" s="4450">
        <v>924000</v>
      </c>
      <c r="T17" s="4451"/>
      <c r="U17" s="4450">
        <v>270000</v>
      </c>
      <c r="V17" s="4450">
        <v>32400000</v>
      </c>
      <c r="W17" s="4450"/>
      <c r="X17" s="4450">
        <v>62943780</v>
      </c>
      <c r="Y17" s="7122">
        <v>46304</v>
      </c>
      <c r="Z17" s="7122">
        <v>46322</v>
      </c>
      <c r="AA17" s="4445">
        <v>18</v>
      </c>
      <c r="AB17" s="6334">
        <v>1944</v>
      </c>
    </row>
    <row r="18" spans="1:28" ht="49.5" customHeight="1" thickTop="1" thickBot="1">
      <c r="A18" s="1217">
        <v>13</v>
      </c>
      <c r="B18" s="4447">
        <v>245</v>
      </c>
      <c r="C18" s="4446" t="s">
        <v>3065</v>
      </c>
      <c r="D18" s="4444">
        <v>4639800</v>
      </c>
      <c r="E18" s="4444">
        <v>25245.000000000004</v>
      </c>
      <c r="F18" s="4444">
        <v>32818.5</v>
      </c>
      <c r="G18" s="6296" t="s">
        <v>2864</v>
      </c>
      <c r="H18" s="4444">
        <v>3300.0000000000005</v>
      </c>
      <c r="I18" s="4449">
        <v>100</v>
      </c>
      <c r="J18" s="4450">
        <v>208</v>
      </c>
      <c r="K18" s="4444">
        <v>660000</v>
      </c>
      <c r="L18" s="4444">
        <v>82889400</v>
      </c>
      <c r="M18" s="4444">
        <v>11880000.000000002</v>
      </c>
      <c r="N18" s="6048">
        <v>6150600</v>
      </c>
      <c r="O18" s="6054">
        <v>46349820.000000007</v>
      </c>
      <c r="P18" s="6054">
        <v>40169844</v>
      </c>
      <c r="Q18" s="6054">
        <v>3029400.0000000005</v>
      </c>
      <c r="R18" s="4451"/>
      <c r="S18" s="4450">
        <v>9108000</v>
      </c>
      <c r="T18" s="4451"/>
      <c r="U18" s="4450">
        <v>180000</v>
      </c>
      <c r="V18" s="4450">
        <v>32400000</v>
      </c>
      <c r="W18" s="4450"/>
      <c r="X18" s="4450">
        <v>100920000</v>
      </c>
      <c r="Y18" s="7122">
        <v>46304</v>
      </c>
      <c r="Z18" s="7122">
        <v>46322</v>
      </c>
      <c r="AA18" s="4445">
        <v>18</v>
      </c>
      <c r="AB18" s="6336">
        <v>3060</v>
      </c>
    </row>
    <row r="19" spans="1:28" s="1178" customFormat="1" ht="49.5" customHeight="1" thickTop="1" thickBot="1">
      <c r="A19" s="1217">
        <v>14</v>
      </c>
      <c r="B19" s="4432">
        <v>221</v>
      </c>
      <c r="C19" s="6226" t="s">
        <v>3072</v>
      </c>
      <c r="D19" s="4444">
        <v>2548150</v>
      </c>
      <c r="E19" s="4444">
        <v>33000</v>
      </c>
      <c r="F19" s="4444">
        <v>29700.000000000004</v>
      </c>
      <c r="G19" s="4444" t="s">
        <v>2971</v>
      </c>
      <c r="H19" s="4444">
        <v>2200</v>
      </c>
      <c r="I19" s="4449">
        <v>111</v>
      </c>
      <c r="J19" s="4450">
        <v>183</v>
      </c>
      <c r="K19" s="4444">
        <v>6540000</v>
      </c>
      <c r="L19" s="4444">
        <v>45866700</v>
      </c>
      <c r="M19" s="4444">
        <v>124430000</v>
      </c>
      <c r="N19" s="6048">
        <v>7970400</v>
      </c>
      <c r="O19" s="6054">
        <v>38491200</v>
      </c>
      <c r="P19" s="6054">
        <v>23094720.000000004</v>
      </c>
      <c r="Q19" s="6054">
        <v>1283040</v>
      </c>
      <c r="R19" s="4451"/>
      <c r="S19" s="4450">
        <v>9504000</v>
      </c>
      <c r="T19" s="4450">
        <v>3895764.4000000004</v>
      </c>
      <c r="U19" s="4450">
        <v>270000</v>
      </c>
      <c r="V19" s="4450">
        <v>0</v>
      </c>
      <c r="W19" s="4450"/>
      <c r="X19" s="4450">
        <v>178267100</v>
      </c>
      <c r="Y19" s="7122">
        <v>46304</v>
      </c>
      <c r="Z19" s="7122">
        <v>46322</v>
      </c>
      <c r="AA19" s="4445">
        <v>18</v>
      </c>
      <c r="AB19" s="6334">
        <v>1944</v>
      </c>
    </row>
    <row r="20" spans="1:28" ht="49.5" customHeight="1" thickTop="1" thickBot="1">
      <c r="A20" s="1217">
        <v>15</v>
      </c>
      <c r="B20" s="4432">
        <v>281</v>
      </c>
      <c r="C20" s="6227" t="s">
        <v>3078</v>
      </c>
      <c r="D20" s="4444">
        <v>2803460</v>
      </c>
      <c r="E20" s="4444">
        <v>16830</v>
      </c>
      <c r="F20" s="4444">
        <v>16830</v>
      </c>
      <c r="G20" s="4444" t="s">
        <v>2971</v>
      </c>
      <c r="H20" s="4444">
        <v>880.00000000000011</v>
      </c>
      <c r="I20" s="4449">
        <v>79</v>
      </c>
      <c r="J20" s="4450">
        <v>134</v>
      </c>
      <c r="K20" s="4444">
        <v>706200</v>
      </c>
      <c r="L20" s="4444">
        <v>49445220</v>
      </c>
      <c r="M20" s="4444">
        <v>12947000.000000002</v>
      </c>
      <c r="N20" s="6048">
        <v>3052080</v>
      </c>
      <c r="O20" s="6054">
        <v>19630512</v>
      </c>
      <c r="P20" s="6054">
        <v>13087008</v>
      </c>
      <c r="Q20" s="6054">
        <v>513216.00000000006</v>
      </c>
      <c r="R20" s="4451"/>
      <c r="S20" s="4451"/>
      <c r="T20" s="4451"/>
      <c r="U20" s="4450">
        <v>450000</v>
      </c>
      <c r="V20" s="4450">
        <v>97200000</v>
      </c>
      <c r="W20" s="4450"/>
      <c r="X20" s="4450">
        <v>65444300</v>
      </c>
      <c r="Y20" s="7122">
        <v>46304</v>
      </c>
      <c r="Z20" s="7122">
        <v>46322</v>
      </c>
      <c r="AA20" s="4445">
        <v>18</v>
      </c>
      <c r="AB20" s="6334">
        <v>1944</v>
      </c>
    </row>
    <row r="21" spans="1:28" ht="49.5" customHeight="1" thickTop="1" thickBot="1">
      <c r="A21" s="1217">
        <v>16</v>
      </c>
      <c r="B21" s="1359">
        <v>2027</v>
      </c>
      <c r="C21" s="6229" t="s">
        <v>3085</v>
      </c>
      <c r="D21" s="4444">
        <v>5958150.0000000009</v>
      </c>
      <c r="E21" s="4444">
        <v>20570</v>
      </c>
      <c r="F21" s="4444">
        <v>16269.000000000002</v>
      </c>
      <c r="G21" s="6296" t="s">
        <v>2828</v>
      </c>
      <c r="H21" s="4444">
        <v>2530</v>
      </c>
      <c r="I21" s="4449">
        <v>138</v>
      </c>
      <c r="J21" s="4450">
        <v>252</v>
      </c>
      <c r="K21" s="4444">
        <v>2913350.0000000005</v>
      </c>
      <c r="L21" s="4444">
        <v>106217100</v>
      </c>
      <c r="M21" s="4444">
        <v>37408800</v>
      </c>
      <c r="N21" s="6048">
        <v>8139600</v>
      </c>
      <c r="O21" s="6054">
        <v>52873128</v>
      </c>
      <c r="P21" s="6054">
        <v>27878558.400000006</v>
      </c>
      <c r="Q21" s="6054">
        <v>3251556</v>
      </c>
      <c r="R21" s="4450">
        <v>856800</v>
      </c>
      <c r="S21" s="4450">
        <v>6072000</v>
      </c>
      <c r="T21" s="4451"/>
      <c r="U21" s="4450">
        <v>270000</v>
      </c>
      <c r="V21" s="4450">
        <v>64800000</v>
      </c>
      <c r="W21" s="4450"/>
      <c r="X21" s="4450">
        <v>151765500</v>
      </c>
      <c r="Y21" s="7122">
        <v>46304</v>
      </c>
      <c r="Z21" s="7122">
        <v>46322</v>
      </c>
      <c r="AA21" s="4445">
        <v>18</v>
      </c>
      <c r="AB21" s="6333">
        <v>4284</v>
      </c>
    </row>
    <row r="22" spans="1:28" ht="49.5" customHeight="1" thickTop="1" thickBot="1">
      <c r="A22" s="1217">
        <v>17</v>
      </c>
      <c r="B22" s="1359">
        <v>2026</v>
      </c>
      <c r="C22" s="6228" t="s">
        <v>3091</v>
      </c>
      <c r="D22" s="4444">
        <v>2437022.5</v>
      </c>
      <c r="E22" s="4444">
        <v>28420</v>
      </c>
      <c r="F22" s="4444">
        <v>17268</v>
      </c>
      <c r="G22" s="4444" t="s">
        <v>2971</v>
      </c>
      <c r="H22" s="4444">
        <v>2530</v>
      </c>
      <c r="I22" s="4449">
        <v>57</v>
      </c>
      <c r="J22" s="4450">
        <v>109</v>
      </c>
      <c r="K22" s="4444">
        <v>2446004</v>
      </c>
      <c r="L22" s="4444">
        <v>42418612</v>
      </c>
      <c r="M22" s="4444">
        <v>45251074</v>
      </c>
      <c r="N22" s="6048">
        <v>0</v>
      </c>
      <c r="O22" s="6054">
        <v>19030032</v>
      </c>
      <c r="P22" s="6054">
        <v>7708435.2000000002</v>
      </c>
      <c r="Q22" s="6054">
        <v>847044</v>
      </c>
      <c r="R22" s="4450">
        <v>223200</v>
      </c>
      <c r="S22" s="4450">
        <v>1452000</v>
      </c>
      <c r="T22" s="4451"/>
      <c r="U22" s="4450">
        <v>450000</v>
      </c>
      <c r="V22" s="4450">
        <v>162000000</v>
      </c>
      <c r="W22" s="4450"/>
      <c r="X22" s="4450">
        <v>87669686</v>
      </c>
      <c r="Y22" s="7122">
        <v>46304</v>
      </c>
      <c r="Z22" s="7122">
        <v>46322</v>
      </c>
      <c r="AA22" s="4445">
        <v>18</v>
      </c>
      <c r="AB22" s="6333">
        <v>1116</v>
      </c>
    </row>
    <row r="23" spans="1:28" ht="49.5" customHeight="1" thickTop="1" thickBot="1">
      <c r="A23" s="1217">
        <v>18</v>
      </c>
      <c r="B23" s="4452">
        <v>2022</v>
      </c>
      <c r="C23" s="6230" t="s">
        <v>3098</v>
      </c>
      <c r="D23" s="6049">
        <v>4790710.1000000006</v>
      </c>
      <c r="E23" s="6063">
        <v>26106</v>
      </c>
      <c r="F23" s="6063">
        <v>24690</v>
      </c>
      <c r="G23" s="6049" t="s">
        <v>2971</v>
      </c>
      <c r="H23" s="6063">
        <v>2373</v>
      </c>
      <c r="I23" s="6050">
        <v>89</v>
      </c>
      <c r="J23" s="6051">
        <v>276</v>
      </c>
      <c r="K23" s="6049">
        <v>1848000.0000000002</v>
      </c>
      <c r="L23" s="6049">
        <v>83749030</v>
      </c>
      <c r="M23" s="6049">
        <v>35112000</v>
      </c>
      <c r="N23" s="6052">
        <v>3286800</v>
      </c>
      <c r="O23" s="6055">
        <v>46802836.799999997</v>
      </c>
      <c r="P23" s="6055">
        <v>29509488</v>
      </c>
      <c r="Q23" s="6055">
        <v>2127157.1999999997</v>
      </c>
      <c r="R23" s="6053"/>
      <c r="S23" s="6051">
        <v>2376000</v>
      </c>
      <c r="T23" s="6051">
        <v>2112000</v>
      </c>
      <c r="U23" s="6051">
        <v>360000</v>
      </c>
      <c r="V23" s="6051">
        <v>97200000</v>
      </c>
      <c r="W23" s="6051"/>
      <c r="X23" s="6051">
        <v>122147830</v>
      </c>
      <c r="Y23" s="7122">
        <v>46304</v>
      </c>
      <c r="Z23" s="7122">
        <v>46322</v>
      </c>
      <c r="AA23" s="4455">
        <v>18</v>
      </c>
      <c r="AB23" s="6333">
        <v>2988</v>
      </c>
    </row>
    <row r="24" spans="1:28" ht="49.5" hidden="1" customHeight="1" thickBot="1">
      <c r="B24" s="4447"/>
      <c r="C24" s="4448"/>
      <c r="D24" s="4434"/>
      <c r="E24" s="4434"/>
      <c r="F24" s="4434"/>
      <c r="G24" s="4434"/>
      <c r="H24" s="4434"/>
      <c r="I24" s="4434"/>
      <c r="J24" s="4434"/>
      <c r="K24" s="4434"/>
      <c r="L24" s="4434"/>
      <c r="M24" s="4434"/>
      <c r="N24" s="4434"/>
      <c r="O24" s="4434"/>
      <c r="P24" s="4434"/>
      <c r="Q24" s="4434"/>
      <c r="R24" s="4434"/>
      <c r="S24" s="4434"/>
      <c r="T24" s="4434"/>
      <c r="U24" s="4434"/>
      <c r="V24" s="4434"/>
      <c r="W24" s="4434"/>
      <c r="X24" s="4434"/>
      <c r="Y24" s="4434"/>
      <c r="Z24" s="4434"/>
      <c r="AA24" s="4434"/>
      <c r="AB24" s="6336"/>
    </row>
    <row r="25" spans="1:28" ht="49.5" hidden="1" customHeight="1">
      <c r="B25" s="4447">
        <v>160</v>
      </c>
      <c r="C25" s="4456" t="s">
        <v>3106</v>
      </c>
      <c r="D25" s="4457"/>
      <c r="E25" s="4457"/>
      <c r="F25" s="4457"/>
      <c r="G25" s="4457"/>
      <c r="H25" s="4457"/>
      <c r="I25" s="4457"/>
      <c r="J25" s="4457"/>
      <c r="K25" s="4457"/>
      <c r="L25" s="4457"/>
      <c r="M25" s="4457"/>
      <c r="N25" s="4457"/>
      <c r="O25" s="4457"/>
      <c r="P25" s="4457"/>
      <c r="Q25" s="4457"/>
      <c r="R25" s="4457"/>
      <c r="S25" s="4457"/>
      <c r="T25" s="4457"/>
      <c r="U25" s="4457"/>
      <c r="V25" s="4457"/>
      <c r="W25" s="4457"/>
      <c r="X25" s="4457"/>
      <c r="Y25" s="4457"/>
      <c r="Z25" s="4457"/>
      <c r="AA25" s="4457"/>
      <c r="AB25" s="6336"/>
    </row>
    <row r="26" spans="1:28" ht="49.5" hidden="1" customHeight="1">
      <c r="B26" s="4447">
        <v>1033</v>
      </c>
      <c r="C26" s="4453" t="s">
        <v>3107</v>
      </c>
      <c r="D26" s="4454"/>
      <c r="E26" s="4454"/>
      <c r="F26" s="4454"/>
      <c r="G26" s="4454"/>
      <c r="H26" s="4454"/>
      <c r="I26" s="4454"/>
      <c r="J26" s="4454"/>
      <c r="K26" s="4454"/>
      <c r="L26" s="4454"/>
      <c r="M26" s="4454"/>
      <c r="N26" s="4454"/>
      <c r="O26" s="4454"/>
      <c r="P26" s="4454"/>
      <c r="Q26" s="4454"/>
      <c r="R26" s="4454"/>
      <c r="S26" s="4454"/>
      <c r="T26" s="4454"/>
      <c r="U26" s="4454"/>
      <c r="V26" s="4454"/>
      <c r="W26" s="4454"/>
      <c r="X26" s="4454"/>
      <c r="Y26" s="4454"/>
      <c r="Z26" s="4454"/>
      <c r="AA26" s="4454"/>
      <c r="AB26" s="6336"/>
    </row>
    <row r="27" spans="1:28" ht="49.5" hidden="1" customHeight="1">
      <c r="B27" s="4447"/>
      <c r="C27" s="4448"/>
      <c r="D27" s="4434"/>
      <c r="E27" s="4434"/>
      <c r="F27" s="4434"/>
      <c r="G27" s="4434"/>
      <c r="H27" s="4434"/>
      <c r="I27" s="4434"/>
      <c r="J27" s="4434"/>
      <c r="K27" s="4434"/>
      <c r="L27" s="4434"/>
      <c r="M27" s="4434"/>
      <c r="N27" s="4434"/>
      <c r="O27" s="4434"/>
      <c r="P27" s="4434"/>
      <c r="Q27" s="4434"/>
      <c r="R27" s="4434"/>
      <c r="S27" s="4434"/>
      <c r="T27" s="4434"/>
      <c r="U27" s="4434"/>
      <c r="V27" s="4434"/>
      <c r="W27" s="4434"/>
      <c r="X27" s="4434"/>
      <c r="Y27" s="4434"/>
      <c r="Z27" s="4434"/>
      <c r="AA27" s="4434"/>
      <c r="AB27" s="6336"/>
    </row>
    <row r="28" spans="1:28" s="1178" customFormat="1" ht="40.5" hidden="1" customHeight="1">
      <c r="B28" s="1278"/>
      <c r="C28" s="1289"/>
      <c r="D28" s="4443"/>
      <c r="E28" s="4443"/>
      <c r="F28" s="4443"/>
      <c r="G28" s="4443"/>
      <c r="H28" s="4443"/>
      <c r="I28" s="4443"/>
      <c r="J28" s="4443"/>
      <c r="K28" s="4443"/>
      <c r="L28" s="4443"/>
      <c r="M28" s="4443"/>
      <c r="N28" s="4443"/>
      <c r="O28" s="785" t="s">
        <v>2804</v>
      </c>
      <c r="P28" s="785" t="s">
        <v>2805</v>
      </c>
      <c r="Q28" s="4443"/>
      <c r="R28" s="4443"/>
      <c r="S28" s="4443"/>
      <c r="T28" s="4443"/>
      <c r="U28" s="4443"/>
      <c r="V28" s="4443"/>
      <c r="W28" s="4443"/>
      <c r="X28" s="4443"/>
      <c r="Y28" s="4443"/>
      <c r="Z28" s="4443"/>
      <c r="AA28" s="4443"/>
      <c r="AB28" s="1278"/>
    </row>
    <row r="29" spans="1:28" ht="39.65" hidden="1" customHeight="1">
      <c r="N29" s="6065"/>
      <c r="O29" s="6066">
        <v>939008253</v>
      </c>
      <c r="P29" s="6066">
        <v>591668033</v>
      </c>
    </row>
    <row r="30" spans="1:28" ht="20.5" hidden="1" customHeight="1"/>
    <row r="31" spans="1:28" ht="39.65" hidden="1" customHeight="1">
      <c r="N31" s="6065"/>
      <c r="O31" s="6069">
        <v>535713100</v>
      </c>
      <c r="P31" s="6069">
        <v>105184000</v>
      </c>
    </row>
    <row r="32" spans="1:28" ht="39.65" hidden="1" customHeight="1">
      <c r="N32" s="785"/>
      <c r="O32" s="6069">
        <v>103861224</v>
      </c>
      <c r="P32" s="6069">
        <v>69240816</v>
      </c>
    </row>
    <row r="33" spans="14:16" ht="39.65" hidden="1" customHeight="1">
      <c r="N33" s="785"/>
      <c r="O33" s="6069">
        <v>29067336</v>
      </c>
      <c r="P33" s="6069">
        <v>19378224</v>
      </c>
    </row>
    <row r="34" spans="14:16" ht="40.5" hidden="1" customHeight="1">
      <c r="O34" s="6067">
        <v>668641660</v>
      </c>
      <c r="P34" s="6067">
        <v>193803040</v>
      </c>
    </row>
    <row r="35" spans="14:16" hidden="1"/>
    <row r="36" spans="14:16" ht="45.65" hidden="1" customHeight="1">
      <c r="O36" s="6068">
        <v>270366593</v>
      </c>
      <c r="P36" s="6068">
        <v>397864993</v>
      </c>
    </row>
    <row r="37" spans="14:16" hidden="1"/>
  </sheetData>
  <autoFilter ref="B1:AB1" xr:uid="{B4B7435F-C2A2-4D5D-9776-18F0AE79AE13}"/>
  <phoneticPr fontId="2"/>
  <printOptions horizontalCentered="1"/>
  <pageMargins left="0.23622047244094491" right="0.23622047244094491" top="0.74803149606299213" bottom="0.74803149606299213" header="0.31496062992125984" footer="0.31496062992125984"/>
  <pageSetup paperSize="8" scale="31" fitToHeight="0" orientation="landscape" r:id="rId1"/>
  <headerFooter>
    <oddFooter>&amp;C&amp;"Meiryo UI,標準"&amp;12&amp;P / &amp;N ページ</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2FD37-280C-4E98-843F-BFC7659C5415}">
  <sheetPr codeName="Sheet262">
    <tabColor rgb="FFFFC000"/>
    <pageSetUpPr fitToPage="1"/>
  </sheetPr>
  <dimension ref="B1:T36"/>
  <sheetViews>
    <sheetView topLeftCell="A11" zoomScale="85" zoomScaleNormal="85" workbookViewId="0">
      <selection activeCell="C26" sqref="C26"/>
    </sheetView>
  </sheetViews>
  <sheetFormatPr defaultRowHeight="13"/>
  <cols>
    <col min="1" max="1" width="3.1796875" customWidth="1"/>
    <col min="2" max="2" width="24.453125" customWidth="1"/>
    <col min="3" max="6" width="27.1796875" customWidth="1"/>
    <col min="7" max="7" width="12.81640625" hidden="1" customWidth="1"/>
    <col min="8" max="8" width="24.453125" hidden="1" customWidth="1"/>
    <col min="9" max="9" width="21.26953125" hidden="1" customWidth="1"/>
    <col min="10" max="10" width="18.54296875" style="3997" customWidth="1"/>
    <col min="12" max="12" width="3.1796875" customWidth="1"/>
    <col min="13" max="13" width="24.453125" customWidth="1"/>
    <col min="14" max="17" width="27.1796875" customWidth="1"/>
    <col min="18" max="18" width="12.81640625" hidden="1" customWidth="1"/>
    <col min="19" max="19" width="24.453125" hidden="1" customWidth="1"/>
    <col min="20" max="20" width="21.26953125" hidden="1" customWidth="1"/>
  </cols>
  <sheetData>
    <row r="1" spans="2:13">
      <c r="B1" s="2969" t="s">
        <v>2742</v>
      </c>
      <c r="M1" s="2969" t="s">
        <v>2743</v>
      </c>
    </row>
    <row r="2" spans="2:13" ht="16.5">
      <c r="B2" s="2773" t="s">
        <v>258</v>
      </c>
      <c r="M2" s="2773" t="s">
        <v>258</v>
      </c>
    </row>
    <row r="3" spans="2:13">
      <c r="B3" t="s">
        <v>259</v>
      </c>
      <c r="M3" t="s">
        <v>259</v>
      </c>
    </row>
    <row r="4" spans="2:13">
      <c r="B4" t="s">
        <v>2744</v>
      </c>
      <c r="M4" t="s">
        <v>2744</v>
      </c>
    </row>
    <row r="5" spans="2:13">
      <c r="B5" t="s">
        <v>2745</v>
      </c>
      <c r="M5" t="s">
        <v>2745</v>
      </c>
    </row>
    <row r="6" spans="2:13">
      <c r="B6" t="s">
        <v>2746</v>
      </c>
      <c r="M6" t="s">
        <v>2746</v>
      </c>
    </row>
    <row r="7" spans="2:13">
      <c r="B7" t="s">
        <v>2747</v>
      </c>
      <c r="M7" t="s">
        <v>2747</v>
      </c>
    </row>
    <row r="8" spans="2:13">
      <c r="B8" t="s">
        <v>2748</v>
      </c>
      <c r="M8" t="s">
        <v>2748</v>
      </c>
    </row>
    <row r="10" spans="2:13" ht="16.5">
      <c r="B10" s="2773" t="s">
        <v>264</v>
      </c>
      <c r="M10" s="2773" t="s">
        <v>264</v>
      </c>
    </row>
    <row r="11" spans="2:13">
      <c r="B11" t="s">
        <v>2749</v>
      </c>
      <c r="M11" t="s">
        <v>2749</v>
      </c>
    </row>
    <row r="12" spans="2:13">
      <c r="B12" t="s">
        <v>2750</v>
      </c>
      <c r="M12" t="s">
        <v>2750</v>
      </c>
    </row>
    <row r="13" spans="2:13">
      <c r="B13" t="s">
        <v>2751</v>
      </c>
      <c r="M13" t="s">
        <v>2751</v>
      </c>
    </row>
    <row r="14" spans="2:13">
      <c r="B14" t="s">
        <v>2752</v>
      </c>
      <c r="M14" t="s">
        <v>2752</v>
      </c>
    </row>
    <row r="15" spans="2:13">
      <c r="B15" s="3991" t="s">
        <v>2753</v>
      </c>
      <c r="M15" s="3991" t="s">
        <v>2753</v>
      </c>
    </row>
    <row r="16" spans="2:13">
      <c r="B16" s="3991" t="s">
        <v>2754</v>
      </c>
      <c r="M16" s="3991" t="s">
        <v>2754</v>
      </c>
    </row>
    <row r="17" spans="2:20">
      <c r="B17" s="3991" t="s">
        <v>2755</v>
      </c>
      <c r="M17" s="3991" t="s">
        <v>2755</v>
      </c>
    </row>
    <row r="18" spans="2:20">
      <c r="B18" s="3991" t="s">
        <v>2756</v>
      </c>
      <c r="M18" s="3991" t="s">
        <v>2756</v>
      </c>
    </row>
    <row r="19" spans="2:20">
      <c r="B19" t="s">
        <v>274</v>
      </c>
      <c r="M19" t="s">
        <v>274</v>
      </c>
    </row>
    <row r="21" spans="2:20" ht="21" hidden="1" customHeight="1">
      <c r="B21" s="2967" t="s">
        <v>2757</v>
      </c>
      <c r="C21" s="191"/>
      <c r="D21" s="191"/>
      <c r="E21" s="191"/>
      <c r="F21" s="191"/>
      <c r="G21" s="191"/>
      <c r="M21" s="2967" t="s">
        <v>2757</v>
      </c>
      <c r="N21" s="191"/>
      <c r="O21" s="191"/>
      <c r="P21" s="191"/>
      <c r="Q21" s="191"/>
      <c r="R21" s="191"/>
    </row>
    <row r="22" spans="2:20" ht="21" hidden="1" customHeight="1">
      <c r="B22" s="2967" t="s">
        <v>2758</v>
      </c>
      <c r="C22" s="191"/>
      <c r="D22" s="191"/>
      <c r="E22" s="191"/>
      <c r="F22" s="191"/>
      <c r="G22" s="191"/>
      <c r="M22" s="2967" t="s">
        <v>2758</v>
      </c>
      <c r="N22" s="191"/>
      <c r="O22" s="191"/>
      <c r="P22" s="191"/>
      <c r="Q22" s="191"/>
      <c r="R22" s="191"/>
    </row>
    <row r="23" spans="2:20" ht="21" hidden="1" customHeight="1">
      <c r="B23" s="2967" t="s">
        <v>2759</v>
      </c>
      <c r="C23" s="191"/>
      <c r="D23" s="191"/>
      <c r="E23" s="191"/>
      <c r="F23" s="191"/>
      <c r="G23" s="191"/>
      <c r="M23" s="2967" t="s">
        <v>2759</v>
      </c>
      <c r="N23" s="191"/>
      <c r="O23" s="191"/>
      <c r="P23" s="191"/>
      <c r="Q23" s="191"/>
      <c r="R23" s="191"/>
    </row>
    <row r="24" spans="2:20" ht="21" hidden="1" customHeight="1">
      <c r="B24" s="2967" t="s">
        <v>2760</v>
      </c>
      <c r="C24" s="191"/>
      <c r="D24" s="191"/>
      <c r="E24" s="191"/>
      <c r="F24" s="191"/>
      <c r="G24" s="191"/>
      <c r="M24" s="2967" t="s">
        <v>2760</v>
      </c>
      <c r="N24" s="191"/>
      <c r="O24" s="191"/>
      <c r="P24" s="191"/>
      <c r="Q24" s="191"/>
      <c r="R24" s="191"/>
    </row>
    <row r="25" spans="2:20" ht="25.5" customHeight="1">
      <c r="C25" s="2808" t="s">
        <v>275</v>
      </c>
      <c r="D25" s="2808" t="s">
        <v>276</v>
      </c>
      <c r="E25" s="2808" t="s">
        <v>2767</v>
      </c>
      <c r="F25" s="2808" t="s">
        <v>127</v>
      </c>
      <c r="G25" s="2808" t="s">
        <v>278</v>
      </c>
      <c r="H25" s="2808" t="s">
        <v>279</v>
      </c>
      <c r="I25" s="2808" t="s">
        <v>280</v>
      </c>
      <c r="J25" s="3997" t="s">
        <v>2766</v>
      </c>
      <c r="N25" s="2808" t="s">
        <v>275</v>
      </c>
      <c r="O25" s="2808" t="s">
        <v>276</v>
      </c>
      <c r="P25" s="2808" t="s">
        <v>2767</v>
      </c>
      <c r="Q25" s="2808" t="s">
        <v>127</v>
      </c>
      <c r="R25" s="2808" t="s">
        <v>278</v>
      </c>
      <c r="S25" s="2808" t="s">
        <v>279</v>
      </c>
      <c r="T25" s="2808" t="s">
        <v>280</v>
      </c>
    </row>
    <row r="26" spans="2:20" ht="29.15" customHeight="1">
      <c r="B26" s="2809" t="s">
        <v>287</v>
      </c>
      <c r="C26" s="2824">
        <f>SUM(Results【技術役員スポンサーメディア積算】!BC283,Results【技術役員スポンサーメディア積算】!BQ283)</f>
        <v>1724607631</v>
      </c>
      <c r="D26" s="2824">
        <f>SUM(Results【技術役員スポンサーメディア積算】!BI283)</f>
        <v>691185467</v>
      </c>
      <c r="E26" s="2824">
        <f>Results【技術役員スポンサーメディア積算】!BO283</f>
        <v>726706750</v>
      </c>
      <c r="F26" s="2824">
        <f>SUM(C26:E26)</f>
        <v>3142499848</v>
      </c>
      <c r="G26" s="2803">
        <f>'物価（案3）'!$I$10</f>
        <v>1.34</v>
      </c>
      <c r="H26" s="2804">
        <f>ROUNDUP($F26*$G26,0)</f>
        <v>4210949797</v>
      </c>
      <c r="I26" s="2804">
        <f>H26</f>
        <v>4210949797</v>
      </c>
      <c r="J26" s="3997">
        <f>Q26-F26</f>
        <v>-2418725184</v>
      </c>
      <c r="M26" s="2809" t="s">
        <v>287</v>
      </c>
      <c r="N26" s="2824">
        <v>723774664</v>
      </c>
      <c r="O26" s="3990"/>
      <c r="P26" s="3990"/>
      <c r="Q26" s="2824">
        <f>SUM(N26:P26)</f>
        <v>723774664</v>
      </c>
      <c r="R26" s="2803">
        <f>'物価（案3）'!$I$10</f>
        <v>1.34</v>
      </c>
      <c r="S26" s="2804">
        <f>ROUNDUP($F26*$G26,0)</f>
        <v>4210949797</v>
      </c>
      <c r="T26" s="2804">
        <f>S26</f>
        <v>4210949797</v>
      </c>
    </row>
    <row r="27" spans="2:20" ht="29.15" customHeight="1">
      <c r="B27" s="3932" t="s">
        <v>284</v>
      </c>
      <c r="C27" s="2824">
        <f>SUM(Results【技術役員スポンサーメディア積算】!BD283)</f>
        <v>959319162</v>
      </c>
      <c r="D27" s="3990"/>
      <c r="E27" s="3990"/>
      <c r="F27" s="2824">
        <f t="shared" ref="F27:F31" si="0">SUM(C27:E27)</f>
        <v>959319162</v>
      </c>
      <c r="G27" s="2803">
        <f>'物価（案3）'!$I$10</f>
        <v>1.34</v>
      </c>
      <c r="H27" s="2804">
        <f t="shared" ref="H27:H31" si="1">ROUNDUP($F27*$G27,0)</f>
        <v>1285487678</v>
      </c>
      <c r="I27" s="6440">
        <f>SUM(H27:H28)</f>
        <v>3939190982</v>
      </c>
      <c r="J27" s="3997">
        <f>Q27-F27</f>
        <v>1382867932</v>
      </c>
      <c r="M27" s="3932" t="s">
        <v>284</v>
      </c>
      <c r="N27" s="2824">
        <v>2342187094</v>
      </c>
      <c r="O27" s="3990"/>
      <c r="P27" s="3990"/>
      <c r="Q27" s="2824">
        <f t="shared" ref="Q27:Q31" si="2">SUM(N27:P27)</f>
        <v>2342187094</v>
      </c>
      <c r="R27" s="2803">
        <f>'物価（案3）'!$I$10</f>
        <v>1.34</v>
      </c>
      <c r="S27" s="2804">
        <f t="shared" ref="S27:S31" si="3">ROUNDUP($F27*$G27,0)</f>
        <v>1285487678</v>
      </c>
      <c r="T27" s="6440">
        <f>SUM(S27:S28)</f>
        <v>3939190982</v>
      </c>
    </row>
    <row r="28" spans="2:20" ht="29.15" customHeight="1">
      <c r="B28" s="2809" t="s">
        <v>286</v>
      </c>
      <c r="C28" s="2824">
        <f>SUM(Results【技術役員スポンサーメディア積算】!BE283)</f>
        <v>1980375600</v>
      </c>
      <c r="D28" s="3990"/>
      <c r="E28" s="3990"/>
      <c r="F28" s="2824">
        <f t="shared" si="0"/>
        <v>1980375600</v>
      </c>
      <c r="G28" s="2803">
        <f>'物価（案3）'!$I$10</f>
        <v>1.34</v>
      </c>
      <c r="H28" s="2804">
        <f t="shared" si="1"/>
        <v>2653703304</v>
      </c>
      <c r="I28" s="6440"/>
      <c r="J28" s="3997">
        <f t="shared" ref="J28:J31" si="4">Q28-F28</f>
        <v>-213793124</v>
      </c>
      <c r="M28" s="2809" t="s">
        <v>286</v>
      </c>
      <c r="N28" s="2824">
        <v>1766582476</v>
      </c>
      <c r="O28" s="3990"/>
      <c r="P28" s="3990"/>
      <c r="Q28" s="2824">
        <f t="shared" si="2"/>
        <v>1766582476</v>
      </c>
      <c r="R28" s="2803">
        <f>'物価（案3）'!$I$10</f>
        <v>1.34</v>
      </c>
      <c r="S28" s="2804">
        <f t="shared" si="3"/>
        <v>2653703304</v>
      </c>
      <c r="T28" s="6440"/>
    </row>
    <row r="29" spans="2:20" ht="29.15" customHeight="1">
      <c r="B29" s="2810" t="s">
        <v>2771</v>
      </c>
      <c r="C29" s="2824">
        <f>SUM(Results【技術役員スポンサーメディア積算】!BF283)</f>
        <v>344907436</v>
      </c>
      <c r="D29" s="2824">
        <f>SUM(Results【技術役員スポンサーメディア積算】!BL283)</f>
        <v>321313565</v>
      </c>
      <c r="E29" s="2824">
        <f>Results【技術役員スポンサーメディア積算】!BP283</f>
        <v>195448750</v>
      </c>
      <c r="F29" s="2824">
        <f t="shared" si="0"/>
        <v>861669751</v>
      </c>
      <c r="G29" s="2803">
        <f>'物価（案3）'!$I$10</f>
        <v>1.34</v>
      </c>
      <c r="H29" s="2804">
        <f t="shared" si="1"/>
        <v>1154637467</v>
      </c>
      <c r="I29" s="2819">
        <f>H29</f>
        <v>1154637467</v>
      </c>
      <c r="J29" s="3997">
        <f t="shared" si="4"/>
        <v>-644265463</v>
      </c>
      <c r="M29" s="2810" t="s">
        <v>2771</v>
      </c>
      <c r="N29" s="2824">
        <v>217404288</v>
      </c>
      <c r="O29" s="3990"/>
      <c r="P29" s="3990"/>
      <c r="Q29" s="2824">
        <f t="shared" si="2"/>
        <v>217404288</v>
      </c>
      <c r="R29" s="2803">
        <f>'物価（案3）'!$I$10</f>
        <v>1.34</v>
      </c>
      <c r="S29" s="2804">
        <f t="shared" si="3"/>
        <v>1154637467</v>
      </c>
      <c r="T29" s="2819">
        <f>S29</f>
        <v>1154637467</v>
      </c>
    </row>
    <row r="30" spans="2:20" ht="29.15" customHeight="1">
      <c r="B30" s="2810" t="s">
        <v>2772</v>
      </c>
      <c r="C30" s="2824">
        <f>SUM(Results【技術役員スポンサーメディア積算】!BG283)</f>
        <v>624655701</v>
      </c>
      <c r="D30" s="3990"/>
      <c r="E30" s="3990"/>
      <c r="F30" s="2824">
        <f t="shared" si="0"/>
        <v>624655701</v>
      </c>
      <c r="G30" s="2803">
        <f>'物価（案3）'!$I$10</f>
        <v>1.34</v>
      </c>
      <c r="H30" s="2804">
        <f t="shared" si="1"/>
        <v>837038640</v>
      </c>
      <c r="I30" s="2819">
        <f>H30</f>
        <v>837038640</v>
      </c>
      <c r="J30" s="3997">
        <f t="shared" si="4"/>
        <v>158530916</v>
      </c>
      <c r="M30" s="2810" t="s">
        <v>2772</v>
      </c>
      <c r="N30" s="2824">
        <v>783186617</v>
      </c>
      <c r="O30" s="3990"/>
      <c r="P30" s="3990"/>
      <c r="Q30" s="2824">
        <f t="shared" si="2"/>
        <v>783186617</v>
      </c>
      <c r="R30" s="2803">
        <f>'物価（案3）'!$I$10</f>
        <v>1.34</v>
      </c>
      <c r="S30" s="2804">
        <f t="shared" si="3"/>
        <v>837038640</v>
      </c>
      <c r="T30" s="2819">
        <f>S30</f>
        <v>837038640</v>
      </c>
    </row>
    <row r="31" spans="2:20" ht="29.15" customHeight="1">
      <c r="B31" s="2810" t="s">
        <v>2773</v>
      </c>
      <c r="C31" s="2824">
        <f>SUM(Results【技術役員スポンサーメディア積算】!BH283)</f>
        <v>300216120</v>
      </c>
      <c r="D31" s="3990"/>
      <c r="E31" s="3990"/>
      <c r="F31" s="2824">
        <f t="shared" si="0"/>
        <v>300216120</v>
      </c>
      <c r="G31" s="2803">
        <f>'物価（案3）'!$I$10</f>
        <v>1.34</v>
      </c>
      <c r="H31" s="2804">
        <f t="shared" si="1"/>
        <v>402289601</v>
      </c>
      <c r="I31" s="3928">
        <f>SUM(H31:H31)</f>
        <v>402289601</v>
      </c>
      <c r="J31" s="3997">
        <f t="shared" si="4"/>
        <v>151167990</v>
      </c>
      <c r="M31" s="2810" t="s">
        <v>2773</v>
      </c>
      <c r="N31" s="2824">
        <v>451384110</v>
      </c>
      <c r="O31" s="3990"/>
      <c r="P31" s="3990"/>
      <c r="Q31" s="2824">
        <f t="shared" si="2"/>
        <v>451384110</v>
      </c>
      <c r="R31" s="2803">
        <f>'物価（案3）'!$I$10</f>
        <v>1.34</v>
      </c>
      <c r="S31" s="2804">
        <f t="shared" si="3"/>
        <v>402289601</v>
      </c>
      <c r="T31" s="3928">
        <f>SUM(S31:S31)</f>
        <v>402289601</v>
      </c>
    </row>
    <row r="32" spans="2:20">
      <c r="B32" s="2812" t="s">
        <v>297</v>
      </c>
      <c r="C32" s="2814">
        <f>SUBTOTAL(9,C26:C31)</f>
        <v>5934081650</v>
      </c>
      <c r="D32" s="2814">
        <f>SUBTOTAL(9,D26:D31)</f>
        <v>1012499032</v>
      </c>
      <c r="E32" s="2814">
        <f>SUBTOTAL(9,E26:E31)</f>
        <v>922155500</v>
      </c>
      <c r="F32" s="2814">
        <f>SUBTOTAL(9,F26:F31)</f>
        <v>7868736182</v>
      </c>
      <c r="H32" s="2814">
        <f>SUM(H26:H31)</f>
        <v>10544106487</v>
      </c>
      <c r="I32" s="2814">
        <f>SUM(I26:I31)</f>
        <v>10544106487</v>
      </c>
      <c r="M32" s="2812" t="s">
        <v>297</v>
      </c>
      <c r="N32" s="2814">
        <f>SUBTOTAL(9,N26:N31)</f>
        <v>6284519249</v>
      </c>
      <c r="O32" s="2814">
        <f>SUBTOTAL(9,O26:O31)</f>
        <v>0</v>
      </c>
      <c r="P32" s="2814">
        <f>SUBTOTAL(9,P26:P31)</f>
        <v>0</v>
      </c>
      <c r="Q32" s="2814">
        <f>SUBTOTAL(9,Q26:Q31)</f>
        <v>6284519249</v>
      </c>
      <c r="S32" s="2814">
        <f>SUM(S26:S31)</f>
        <v>10544106487</v>
      </c>
      <c r="T32" s="2814">
        <f>SUM(T26:T31)</f>
        <v>10544106487</v>
      </c>
    </row>
    <row r="33" spans="2:19" ht="13.5" thickBot="1">
      <c r="B33" s="2812"/>
      <c r="M33" s="2812"/>
    </row>
    <row r="34" spans="2:19" ht="13.5" thickBot="1">
      <c r="B34" s="2812"/>
      <c r="C34" s="2818" t="s">
        <v>275</v>
      </c>
      <c r="D34" s="2818" t="s">
        <v>276</v>
      </c>
      <c r="E34" s="2818" t="s">
        <v>2767</v>
      </c>
      <c r="F34" s="2818" t="s">
        <v>127</v>
      </c>
      <c r="G34" s="2818"/>
      <c r="H34" s="2818" t="s">
        <v>279</v>
      </c>
      <c r="M34" s="2812"/>
      <c r="N34" s="2818" t="s">
        <v>275</v>
      </c>
      <c r="O34" s="2818" t="s">
        <v>276</v>
      </c>
      <c r="P34" s="2818" t="s">
        <v>2767</v>
      </c>
      <c r="Q34" s="2818" t="s">
        <v>127</v>
      </c>
      <c r="R34" s="2818"/>
      <c r="S34" s="2818" t="s">
        <v>279</v>
      </c>
    </row>
    <row r="35" spans="2:19" ht="18.649999999999999" customHeight="1" thickBot="1">
      <c r="B35" s="2815" t="s">
        <v>2775</v>
      </c>
      <c r="C35" s="2826">
        <f>SUM(C26:C28)</f>
        <v>4664302393</v>
      </c>
      <c r="D35" s="2826">
        <f>SUM(D26:D28)</f>
        <v>691185467</v>
      </c>
      <c r="E35" s="2826">
        <f>SUM(E26:E28)</f>
        <v>726706750</v>
      </c>
      <c r="F35" s="2826">
        <f>SUM(F26:F28)</f>
        <v>6082194610</v>
      </c>
      <c r="G35" s="2816"/>
      <c r="H35" s="2820">
        <f>SUM(H26:H28)</f>
        <v>8150140779</v>
      </c>
      <c r="M35" s="2815" t="s">
        <v>2775</v>
      </c>
      <c r="N35" s="2826">
        <f>SUM(N26:N28)</f>
        <v>4832544234</v>
      </c>
      <c r="O35" s="2826">
        <f>SUM(O26:O28)</f>
        <v>0</v>
      </c>
      <c r="P35" s="2826">
        <f>SUM(P26:P28)</f>
        <v>0</v>
      </c>
      <c r="Q35" s="2826">
        <f>SUM(Q26:Q28)</f>
        <v>4832544234</v>
      </c>
      <c r="R35" s="2816"/>
      <c r="S35" s="2820">
        <f>SUM(S26:S28)</f>
        <v>8150140779</v>
      </c>
    </row>
    <row r="36" spans="2:19" ht="18.649999999999999" customHeight="1" thickBot="1">
      <c r="B36" s="2817" t="s">
        <v>2776</v>
      </c>
      <c r="C36" s="2826">
        <f>SUM(C29:C31)</f>
        <v>1269779257</v>
      </c>
      <c r="D36" s="2826">
        <f>SUM(D29:D31)</f>
        <v>321313565</v>
      </c>
      <c r="E36" s="2826">
        <f>SUM(E29:E31)</f>
        <v>195448750</v>
      </c>
      <c r="F36" s="2826">
        <f>SUM(F29:F31)</f>
        <v>1786541572</v>
      </c>
      <c r="G36" s="2816"/>
      <c r="H36" s="2820">
        <f>SUM(H29:H31)</f>
        <v>2393965708</v>
      </c>
      <c r="M36" s="2817" t="s">
        <v>2776</v>
      </c>
      <c r="N36" s="2826">
        <f>SUM(N29:N31)</f>
        <v>1451975015</v>
      </c>
      <c r="O36" s="2826">
        <f>SUM(O29:O31)</f>
        <v>0</v>
      </c>
      <c r="P36" s="2826">
        <f>SUM(P29:P31)</f>
        <v>0</v>
      </c>
      <c r="Q36" s="2826">
        <f>SUM(Q29:Q31)</f>
        <v>1451975015</v>
      </c>
      <c r="R36" s="2816"/>
      <c r="S36" s="2820">
        <f>SUM(S29:S31)</f>
        <v>2393965708</v>
      </c>
    </row>
  </sheetData>
  <mergeCells count="2">
    <mergeCell ref="I27:I28"/>
    <mergeCell ref="T27:T28"/>
  </mergeCells>
  <phoneticPr fontId="2"/>
  <pageMargins left="0.7" right="0.7" top="0.75" bottom="0.75" header="0.3" footer="0.3"/>
  <pageSetup paperSize="9" scale="29" fitToHeight="0"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BADA-0A6B-46C9-A1B5-DEE30A2581CB}">
  <sheetPr codeName="Sheet310">
    <tabColor rgb="FFFFC000"/>
    <pageSetUpPr fitToPage="1"/>
  </sheetPr>
  <dimension ref="B1:CV38"/>
  <sheetViews>
    <sheetView zoomScale="70" zoomScaleNormal="70" workbookViewId="0">
      <selection activeCell="B1" sqref="B1:BI1"/>
    </sheetView>
  </sheetViews>
  <sheetFormatPr defaultColWidth="9.453125" defaultRowHeight="13" outlineLevelCol="1"/>
  <cols>
    <col min="1" max="1" width="3.453125" customWidth="1"/>
    <col min="2" max="2" width="15.1796875" customWidth="1"/>
    <col min="3" max="3" width="7.54296875" hidden="1" customWidth="1"/>
    <col min="4" max="4" width="7.81640625" customWidth="1"/>
    <col min="5" max="5" width="31.1796875" bestFit="1" customWidth="1"/>
    <col min="6" max="6" width="5.26953125" customWidth="1"/>
    <col min="7" max="7" width="9.81640625" style="1064" customWidth="1"/>
    <col min="8" max="8" width="9.81640625" customWidth="1"/>
    <col min="9" max="9" width="13.7265625" customWidth="1"/>
    <col min="10" max="13" width="7.7265625" customWidth="1"/>
    <col min="14" max="14" width="37.7265625" bestFit="1" customWidth="1"/>
    <col min="15" max="15" width="6.1796875" customWidth="1"/>
    <col min="16" max="31" width="6.453125" hidden="1" customWidth="1" outlineLevel="1"/>
    <col min="32" max="32" width="5.54296875" customWidth="1" collapsed="1"/>
    <col min="33" max="33" width="5.54296875" customWidth="1"/>
    <col min="34" max="49" width="6.453125" hidden="1" customWidth="1" outlineLevel="1"/>
    <col min="50" max="50" width="5.54296875" customWidth="1" collapsed="1"/>
    <col min="51" max="51" width="5.54296875" customWidth="1"/>
    <col min="52" max="52" width="4.453125" customWidth="1"/>
    <col min="53" max="59" width="3.453125" customWidth="1"/>
    <col min="60" max="60" width="5.54296875" customWidth="1"/>
    <col min="61" max="61" width="3.453125" customWidth="1"/>
    <col min="62" max="62" width="12.1796875" customWidth="1"/>
    <col min="63" max="63" width="17.1796875" customWidth="1"/>
    <col min="64" max="64" width="17" customWidth="1"/>
    <col min="65" max="67" width="7.1796875" customWidth="1"/>
    <col min="68" max="68" width="11.7265625" customWidth="1"/>
    <col min="69" max="69" width="16.81640625" customWidth="1"/>
    <col min="70" max="70" width="7.1796875" customWidth="1"/>
    <col min="71" max="77" width="18.26953125" customWidth="1"/>
    <col min="78" max="78" width="26.81640625" customWidth="1"/>
    <col min="79" max="79" width="15" hidden="1" customWidth="1"/>
    <col min="80" max="80" width="17.7265625" customWidth="1"/>
    <col min="81" max="81" width="110.81640625" customWidth="1"/>
    <col min="83" max="83" width="8.81640625" customWidth="1"/>
    <col min="84" max="89" width="4.453125" customWidth="1"/>
    <col min="90" max="90" width="8.81640625" customWidth="1"/>
    <col min="91" max="94" width="4.453125" customWidth="1"/>
    <col min="95" max="96" width="12.54296875" customWidth="1"/>
    <col min="97" max="97" width="29" customWidth="1"/>
    <col min="98" max="98" width="7.1796875" customWidth="1"/>
  </cols>
  <sheetData>
    <row r="1" spans="2:100" ht="45" customHeight="1" thickBot="1">
      <c r="B1" s="6554" t="s">
        <v>3108</v>
      </c>
      <c r="C1" s="6554"/>
      <c r="D1" s="6554"/>
      <c r="E1" s="6554"/>
      <c r="F1" s="6554"/>
      <c r="G1" s="6554"/>
      <c r="H1" s="6554"/>
      <c r="I1" s="6554"/>
      <c r="J1" s="6554"/>
      <c r="K1" s="6554"/>
      <c r="L1" s="6554"/>
      <c r="M1" s="6554"/>
      <c r="N1" s="6554"/>
      <c r="O1" s="6554"/>
      <c r="P1" s="6554"/>
      <c r="Q1" s="6554"/>
      <c r="R1" s="6554"/>
      <c r="S1" s="6554"/>
      <c r="T1" s="6554"/>
      <c r="U1" s="6554"/>
      <c r="V1" s="6554"/>
      <c r="W1" s="6554"/>
      <c r="X1" s="6554"/>
      <c r="Y1" s="6554"/>
      <c r="Z1" s="6554"/>
      <c r="AA1" s="6554"/>
      <c r="AB1" s="6554"/>
      <c r="AC1" s="6554"/>
      <c r="AD1" s="6554"/>
      <c r="AE1" s="6554"/>
      <c r="AF1" s="6554"/>
      <c r="AG1" s="6554"/>
      <c r="AH1" s="6554"/>
      <c r="AI1" s="6554"/>
      <c r="AJ1" s="6554"/>
      <c r="AK1" s="6554"/>
      <c r="AL1" s="6554"/>
      <c r="AM1" s="6554"/>
      <c r="AN1" s="6554"/>
      <c r="AO1" s="6554"/>
      <c r="AP1" s="6554"/>
      <c r="AQ1" s="6554"/>
      <c r="AR1" s="6554"/>
      <c r="AS1" s="6554"/>
      <c r="AT1" s="6554"/>
      <c r="AU1" s="6554"/>
      <c r="AV1" s="6554"/>
      <c r="AW1" s="6554"/>
      <c r="AX1" s="6554"/>
      <c r="AY1" s="6554"/>
      <c r="AZ1" s="6554"/>
      <c r="BA1" s="6554"/>
      <c r="BB1" s="6554"/>
      <c r="BC1" s="6554"/>
      <c r="BD1" s="6554"/>
      <c r="BE1" s="6554"/>
      <c r="BF1" s="6554"/>
      <c r="BG1" s="6554"/>
      <c r="BH1" s="6554"/>
      <c r="BI1" s="6554"/>
      <c r="BJ1" s="4458"/>
      <c r="BK1" s="4458"/>
      <c r="BL1" s="4458"/>
      <c r="BM1" s="4458"/>
      <c r="BN1" s="4458"/>
      <c r="BO1" s="4458"/>
      <c r="BP1" s="4458"/>
      <c r="BQ1" s="4458"/>
      <c r="BR1" s="4458"/>
      <c r="BS1" s="4458"/>
      <c r="BT1" s="4458"/>
      <c r="BU1" s="4458"/>
      <c r="BV1" s="6072"/>
      <c r="BW1" s="4458"/>
      <c r="BX1" s="4458"/>
      <c r="BY1" s="4458"/>
      <c r="BZ1" s="4458"/>
      <c r="CA1" s="4458"/>
      <c r="CB1" s="4458"/>
      <c r="CC1" s="3490" t="s">
        <v>3109</v>
      </c>
    </row>
    <row r="2" spans="2:100" s="3502" customFormat="1" ht="15.65" customHeight="1" thickBot="1">
      <c r="B2" s="6555" t="s">
        <v>3110</v>
      </c>
      <c r="C2" s="6556"/>
      <c r="D2" s="6556" t="s">
        <v>2548</v>
      </c>
      <c r="E2" s="6556"/>
      <c r="F2" s="6556"/>
      <c r="G2" s="6561" t="s">
        <v>3111</v>
      </c>
      <c r="H2" s="6561"/>
      <c r="I2" s="6539" t="s">
        <v>3112</v>
      </c>
      <c r="J2" s="6539"/>
      <c r="K2" s="6539"/>
      <c r="L2" s="6539"/>
      <c r="M2" s="6539"/>
      <c r="N2" s="6539"/>
      <c r="O2" s="6539"/>
      <c r="P2" s="6539"/>
      <c r="Q2" s="6539"/>
      <c r="R2" s="6539"/>
      <c r="S2" s="6539"/>
      <c r="T2" s="6539"/>
      <c r="U2" s="6539"/>
      <c r="V2" s="6539"/>
      <c r="W2" s="6539"/>
      <c r="X2" s="6539"/>
      <c r="Y2" s="6539"/>
      <c r="Z2" s="6539"/>
      <c r="AA2" s="6539"/>
      <c r="AB2" s="6539"/>
      <c r="AC2" s="6539"/>
      <c r="AD2" s="6539"/>
      <c r="AE2" s="6539"/>
      <c r="AF2" s="6539"/>
      <c r="AG2" s="6539"/>
      <c r="AH2" s="6539"/>
      <c r="AI2" s="6539"/>
      <c r="AJ2" s="6539"/>
      <c r="AK2" s="6539"/>
      <c r="AL2" s="6539"/>
      <c r="AM2" s="6539"/>
      <c r="AN2" s="6539"/>
      <c r="AO2" s="6539"/>
      <c r="AP2" s="6539"/>
      <c r="AQ2" s="6539"/>
      <c r="AR2" s="6539"/>
      <c r="AS2" s="6539"/>
      <c r="AT2" s="6539"/>
      <c r="AU2" s="6539"/>
      <c r="AV2" s="6539"/>
      <c r="AW2" s="6539"/>
      <c r="AX2" s="6539"/>
      <c r="AY2" s="6539"/>
      <c r="AZ2" s="6539"/>
      <c r="BA2" s="6539"/>
      <c r="BB2" s="6539"/>
      <c r="BC2" s="6539"/>
      <c r="BD2" s="6539"/>
      <c r="BE2" s="6539"/>
      <c r="BF2" s="6539"/>
      <c r="BG2" s="6539"/>
      <c r="BH2" s="6539"/>
      <c r="BI2" s="6539"/>
      <c r="BJ2" s="4459"/>
      <c r="BK2" s="4459"/>
      <c r="BL2" s="4459"/>
      <c r="BM2" s="4459"/>
      <c r="BN2" s="4459"/>
      <c r="BO2" s="4459"/>
      <c r="BP2" s="4459"/>
      <c r="BQ2" s="4459"/>
      <c r="BR2" s="4459"/>
      <c r="BS2" s="4459"/>
      <c r="BT2" s="4459"/>
      <c r="BU2" s="4459"/>
      <c r="BV2" s="4460"/>
      <c r="BW2" s="4460"/>
      <c r="BX2" s="4460"/>
      <c r="BY2" s="4460"/>
      <c r="BZ2" s="4459"/>
      <c r="CA2" s="4459"/>
      <c r="CB2" s="4461"/>
      <c r="CC2" s="4462"/>
      <c r="CD2" s="1550"/>
      <c r="CE2" s="1550"/>
      <c r="CF2" s="1550"/>
      <c r="CG2" s="1550"/>
      <c r="CH2" s="1550"/>
      <c r="CI2" s="1550"/>
      <c r="CJ2" s="1550"/>
      <c r="CK2" s="1550"/>
      <c r="CL2" s="1550"/>
      <c r="CM2" s="1550"/>
      <c r="CN2" s="1550"/>
      <c r="CO2" s="1550"/>
      <c r="CP2" s="1549"/>
      <c r="CQ2" s="1549"/>
      <c r="CR2" s="1549"/>
      <c r="CS2" s="1549"/>
      <c r="CT2" s="1549"/>
    </row>
    <row r="3" spans="2:100" s="3502" customFormat="1" ht="15.65" customHeight="1" thickTop="1">
      <c r="B3" s="6557"/>
      <c r="C3" s="6558"/>
      <c r="D3" s="6558"/>
      <c r="E3" s="6558"/>
      <c r="F3" s="6558"/>
      <c r="G3" s="6562"/>
      <c r="H3" s="6562"/>
      <c r="I3" s="3501" t="s">
        <v>2566</v>
      </c>
      <c r="J3" s="3503" t="s">
        <v>2552</v>
      </c>
      <c r="K3" s="3503"/>
      <c r="L3" s="3503" t="s">
        <v>6952</v>
      </c>
      <c r="M3" s="3503"/>
      <c r="N3" s="3504"/>
      <c r="O3" s="3500" t="s">
        <v>2553</v>
      </c>
      <c r="P3" s="6563" t="s">
        <v>2554</v>
      </c>
      <c r="Q3" s="6563"/>
      <c r="R3" s="6563"/>
      <c r="S3" s="6563"/>
      <c r="T3" s="6563"/>
      <c r="U3" s="6563"/>
      <c r="V3" s="6563"/>
      <c r="W3" s="6563"/>
      <c r="X3" s="6563"/>
      <c r="Y3" s="6563"/>
      <c r="Z3" s="6563"/>
      <c r="AA3" s="6563"/>
      <c r="AB3" s="6563"/>
      <c r="AC3" s="6563"/>
      <c r="AD3" s="6563"/>
      <c r="AE3" s="6563"/>
      <c r="AF3" s="6563"/>
      <c r="AG3" s="6563"/>
      <c r="AH3" s="6563" t="s">
        <v>2555</v>
      </c>
      <c r="AI3" s="6563"/>
      <c r="AJ3" s="6563"/>
      <c r="AK3" s="6563"/>
      <c r="AL3" s="6563"/>
      <c r="AM3" s="6563"/>
      <c r="AN3" s="6563"/>
      <c r="AO3" s="6563"/>
      <c r="AP3" s="6563"/>
      <c r="AQ3" s="6563"/>
      <c r="AR3" s="6563"/>
      <c r="AS3" s="6563"/>
      <c r="AT3" s="6563"/>
      <c r="AU3" s="6563"/>
      <c r="AV3" s="6563"/>
      <c r="AW3" s="6563"/>
      <c r="AX3" s="6563"/>
      <c r="AY3" s="6563"/>
      <c r="AZ3" s="6563"/>
      <c r="BA3" s="6563" t="s">
        <v>2556</v>
      </c>
      <c r="BB3" s="6563"/>
      <c r="BC3" s="6563" t="s">
        <v>2557</v>
      </c>
      <c r="BD3" s="6563"/>
      <c r="BE3" s="6563" t="s">
        <v>2558</v>
      </c>
      <c r="BF3" s="6563"/>
      <c r="BG3" s="6563"/>
      <c r="BH3" s="3500" t="s">
        <v>2088</v>
      </c>
      <c r="BI3" s="3500" t="s">
        <v>2559</v>
      </c>
      <c r="BJ3" s="6547" t="s">
        <v>2799</v>
      </c>
      <c r="BK3" s="6548" t="s">
        <v>2800</v>
      </c>
      <c r="BL3" s="6549" t="s">
        <v>2783</v>
      </c>
      <c r="BM3" s="6549" t="s">
        <v>2784</v>
      </c>
      <c r="BN3" s="6549" t="s">
        <v>2785</v>
      </c>
      <c r="BO3" s="6550" t="s">
        <v>2786</v>
      </c>
      <c r="BP3" s="6549" t="s">
        <v>2801</v>
      </c>
      <c r="BQ3" s="6551" t="s">
        <v>2787</v>
      </c>
      <c r="BR3" s="6551" t="s">
        <v>2788</v>
      </c>
      <c r="BS3" s="6549" t="s">
        <v>2789</v>
      </c>
      <c r="BT3" s="6551" t="s">
        <v>2790</v>
      </c>
      <c r="BU3" s="4463"/>
      <c r="BV3" s="4464"/>
      <c r="BW3" s="4465"/>
      <c r="BX3" s="4465"/>
      <c r="BY3" s="6350" t="s">
        <v>7046</v>
      </c>
      <c r="BZ3" s="6552" t="s">
        <v>2809</v>
      </c>
      <c r="CA3" s="6553" t="s">
        <v>2813</v>
      </c>
      <c r="CB3" s="6544" t="s">
        <v>2810</v>
      </c>
      <c r="CC3" s="6545" t="s">
        <v>2600</v>
      </c>
      <c r="CD3" s="1550"/>
      <c r="CE3" s="1550"/>
      <c r="CF3" s="1550"/>
      <c r="CG3" s="1550"/>
      <c r="CH3" s="1550"/>
      <c r="CI3" s="1550"/>
      <c r="CJ3" s="1550"/>
      <c r="CK3" s="1550"/>
      <c r="CL3" s="1550"/>
      <c r="CM3" s="1550"/>
      <c r="CN3" s="1550"/>
      <c r="CO3" s="1550"/>
      <c r="CP3" s="1550"/>
      <c r="CQ3" s="1550"/>
      <c r="CR3" s="1550"/>
      <c r="CS3" s="1550"/>
      <c r="CT3" s="1550"/>
      <c r="CU3" s="1550"/>
    </row>
    <row r="4" spans="2:100" s="3502" customFormat="1" ht="20.149999999999999" customHeight="1" thickBot="1">
      <c r="B4" s="6559"/>
      <c r="C4" s="6560"/>
      <c r="D4" s="6560"/>
      <c r="E4" s="6560"/>
      <c r="F4" s="6560"/>
      <c r="G4" s="4335" t="s">
        <v>2599</v>
      </c>
      <c r="H4" s="4335" t="s">
        <v>127</v>
      </c>
      <c r="I4" s="4466" t="s">
        <v>2598</v>
      </c>
      <c r="J4" s="4467" t="s">
        <v>2567</v>
      </c>
      <c r="K4" s="4467">
        <v>1</v>
      </c>
      <c r="L4" s="4467">
        <v>2</v>
      </c>
      <c r="M4" s="4467">
        <v>3</v>
      </c>
      <c r="N4" s="3505" t="s">
        <v>2568</v>
      </c>
      <c r="O4" s="3505" t="s">
        <v>2101</v>
      </c>
      <c r="P4" s="3506" t="s">
        <v>2569</v>
      </c>
      <c r="Q4" s="3506" t="s">
        <v>2570</v>
      </c>
      <c r="R4" s="3506" t="s">
        <v>2571</v>
      </c>
      <c r="S4" s="3506" t="s">
        <v>2572</v>
      </c>
      <c r="T4" s="3506" t="s">
        <v>2573</v>
      </c>
      <c r="U4" s="3506" t="s">
        <v>2574</v>
      </c>
      <c r="V4" s="3506" t="s">
        <v>2575</v>
      </c>
      <c r="W4" s="3507" t="s">
        <v>2576</v>
      </c>
      <c r="X4" s="3507" t="s">
        <v>2577</v>
      </c>
      <c r="Y4" s="3507" t="s">
        <v>2578</v>
      </c>
      <c r="Z4" s="3507" t="s">
        <v>2579</v>
      </c>
      <c r="AA4" s="3506" t="s">
        <v>2580</v>
      </c>
      <c r="AB4" s="3506" t="s">
        <v>2581</v>
      </c>
      <c r="AC4" s="3506" t="s">
        <v>2582</v>
      </c>
      <c r="AD4" s="3506" t="s">
        <v>2583</v>
      </c>
      <c r="AE4" s="3506" t="s">
        <v>2584</v>
      </c>
      <c r="AF4" s="3505" t="s">
        <v>2104</v>
      </c>
      <c r="AG4" s="3505" t="s">
        <v>2585</v>
      </c>
      <c r="AH4" s="3506" t="s">
        <v>2569</v>
      </c>
      <c r="AI4" s="3506" t="s">
        <v>2570</v>
      </c>
      <c r="AJ4" s="3506" t="s">
        <v>2571</v>
      </c>
      <c r="AK4" s="3506" t="s">
        <v>2572</v>
      </c>
      <c r="AL4" s="3506" t="s">
        <v>2573</v>
      </c>
      <c r="AM4" s="3506" t="s">
        <v>2574</v>
      </c>
      <c r="AN4" s="3506" t="s">
        <v>2575</v>
      </c>
      <c r="AO4" s="3507" t="s">
        <v>2576</v>
      </c>
      <c r="AP4" s="3507" t="s">
        <v>2577</v>
      </c>
      <c r="AQ4" s="3507" t="s">
        <v>2578</v>
      </c>
      <c r="AR4" s="3507" t="s">
        <v>2579</v>
      </c>
      <c r="AS4" s="3506" t="s">
        <v>2580</v>
      </c>
      <c r="AT4" s="3506" t="s">
        <v>2581</v>
      </c>
      <c r="AU4" s="3506" t="s">
        <v>2582</v>
      </c>
      <c r="AV4" s="3506" t="s">
        <v>2583</v>
      </c>
      <c r="AW4" s="3506" t="s">
        <v>2584</v>
      </c>
      <c r="AX4" s="3505" t="s">
        <v>2586</v>
      </c>
      <c r="AY4" s="3505" t="s">
        <v>2587</v>
      </c>
      <c r="AZ4" s="3508" t="s">
        <v>2588</v>
      </c>
      <c r="BA4" s="3505" t="s">
        <v>2589</v>
      </c>
      <c r="BB4" s="3505" t="s">
        <v>2590</v>
      </c>
      <c r="BC4" s="3505" t="s">
        <v>2591</v>
      </c>
      <c r="BD4" s="3505" t="s">
        <v>2592</v>
      </c>
      <c r="BE4" s="3505" t="s">
        <v>2593</v>
      </c>
      <c r="BF4" s="3505" t="s">
        <v>2594</v>
      </c>
      <c r="BG4" s="3505" t="s">
        <v>2595</v>
      </c>
      <c r="BH4" s="3505" t="s">
        <v>2109</v>
      </c>
      <c r="BI4" s="4468" t="s">
        <v>2596</v>
      </c>
      <c r="BJ4" s="6541"/>
      <c r="BK4" s="6543"/>
      <c r="BL4" s="6512"/>
      <c r="BM4" s="6512"/>
      <c r="BN4" s="6523"/>
      <c r="BO4" s="6512"/>
      <c r="BP4" s="6512"/>
      <c r="BQ4" s="6514"/>
      <c r="BR4" s="6514"/>
      <c r="BS4" s="6512"/>
      <c r="BT4" s="6514"/>
      <c r="BU4" s="4469" t="s">
        <v>3113</v>
      </c>
      <c r="BV4" s="4470" t="s">
        <v>2802</v>
      </c>
      <c r="BW4" s="4471" t="s">
        <v>3114</v>
      </c>
      <c r="BX4" s="4471" t="s">
        <v>2926</v>
      </c>
      <c r="BY4" s="5892" t="s">
        <v>3115</v>
      </c>
      <c r="BZ4" s="6516"/>
      <c r="CA4" s="6518"/>
      <c r="CB4" s="6520"/>
      <c r="CC4" s="6522"/>
      <c r="CD4" s="1550"/>
      <c r="CE4" s="1550"/>
      <c r="CF4" s="1550"/>
      <c r="CG4" s="1550"/>
      <c r="CH4" s="1550"/>
      <c r="CI4" s="1550"/>
      <c r="CJ4" s="1550"/>
      <c r="CK4" s="1550"/>
      <c r="CL4" s="1550"/>
      <c r="CM4" s="1550"/>
      <c r="CN4" s="1550"/>
      <c r="CO4" s="1550"/>
      <c r="CP4" s="1550"/>
      <c r="CQ4" s="1550"/>
      <c r="CR4" s="1550"/>
      <c r="CS4" s="1550"/>
      <c r="CT4" s="1550"/>
      <c r="CU4" s="1550"/>
    </row>
    <row r="5" spans="2:100" s="1078" customFormat="1" ht="34" customHeight="1">
      <c r="B5" s="4472" t="s">
        <v>3116</v>
      </c>
      <c r="C5" s="4473"/>
      <c r="D5" s="4474" t="s">
        <v>3117</v>
      </c>
      <c r="E5" s="4473" t="s">
        <v>2615</v>
      </c>
      <c r="F5" s="4475" t="s">
        <v>2616</v>
      </c>
      <c r="G5" s="4476">
        <v>422</v>
      </c>
      <c r="H5" s="4477">
        <v>980</v>
      </c>
      <c r="I5" s="4478" t="s">
        <v>2614</v>
      </c>
      <c r="J5" s="4479">
        <v>94</v>
      </c>
      <c r="K5" s="6232"/>
      <c r="L5" s="6232"/>
      <c r="M5" s="6232"/>
      <c r="N5" s="4480" t="s">
        <v>2601</v>
      </c>
      <c r="O5" s="4481" t="s">
        <v>2138</v>
      </c>
      <c r="P5" s="4482" t="s">
        <v>2602</v>
      </c>
      <c r="Q5" s="4482" t="s">
        <v>2603</v>
      </c>
      <c r="R5" s="4482" t="s">
        <v>2602</v>
      </c>
      <c r="S5" s="4482" t="s">
        <v>2604</v>
      </c>
      <c r="T5" s="4482" t="s">
        <v>2602</v>
      </c>
      <c r="U5" s="4482" t="s">
        <v>2602</v>
      </c>
      <c r="V5" s="4482" t="s">
        <v>2602</v>
      </c>
      <c r="W5" s="4483" t="s">
        <v>2602</v>
      </c>
      <c r="X5" s="4483" t="s">
        <v>2602</v>
      </c>
      <c r="Y5" s="4483" t="s">
        <v>2602</v>
      </c>
      <c r="Z5" s="4483" t="s">
        <v>2602</v>
      </c>
      <c r="AA5" s="4482" t="s">
        <v>2602</v>
      </c>
      <c r="AB5" s="4482" t="s">
        <v>2602</v>
      </c>
      <c r="AC5" s="4482" t="s">
        <v>2602</v>
      </c>
      <c r="AD5" s="4482" t="s">
        <v>2605</v>
      </c>
      <c r="AE5" s="4482" t="s">
        <v>2602</v>
      </c>
      <c r="AF5" s="4484">
        <v>460</v>
      </c>
      <c r="AG5" s="4485">
        <v>678</v>
      </c>
      <c r="AH5" s="4482" t="s">
        <v>2602</v>
      </c>
      <c r="AI5" s="4482" t="s">
        <v>2606</v>
      </c>
      <c r="AJ5" s="4482" t="s">
        <v>2602</v>
      </c>
      <c r="AK5" s="4482" t="s">
        <v>2607</v>
      </c>
      <c r="AL5" s="4482" t="s">
        <v>2602</v>
      </c>
      <c r="AM5" s="4482" t="s">
        <v>2602</v>
      </c>
      <c r="AN5" s="4482" t="s">
        <v>2602</v>
      </c>
      <c r="AO5" s="4483" t="s">
        <v>2602</v>
      </c>
      <c r="AP5" s="4483" t="s">
        <v>2602</v>
      </c>
      <c r="AQ5" s="4483" t="s">
        <v>2602</v>
      </c>
      <c r="AR5" s="4483" t="s">
        <v>2602</v>
      </c>
      <c r="AS5" s="4482" t="s">
        <v>2602</v>
      </c>
      <c r="AT5" s="4482" t="s">
        <v>2602</v>
      </c>
      <c r="AU5" s="4482" t="s">
        <v>2602</v>
      </c>
      <c r="AV5" s="4482" t="s">
        <v>2608</v>
      </c>
      <c r="AW5" s="4486" t="s">
        <v>2602</v>
      </c>
      <c r="AX5" s="4487">
        <v>432</v>
      </c>
      <c r="AY5" s="4481">
        <v>539</v>
      </c>
      <c r="AZ5" s="4488">
        <v>0.80434782608695654</v>
      </c>
      <c r="BA5" s="4485" t="s">
        <v>2609</v>
      </c>
      <c r="BB5" s="4485" t="s">
        <v>2610</v>
      </c>
      <c r="BC5" s="4485">
        <v>16</v>
      </c>
      <c r="BD5" s="4485">
        <v>16</v>
      </c>
      <c r="BE5" s="4485" t="s">
        <v>2133</v>
      </c>
      <c r="BF5" s="4485" t="s">
        <v>2133</v>
      </c>
      <c r="BG5" s="4485" t="s">
        <v>2133</v>
      </c>
      <c r="BH5" s="4485" t="s">
        <v>2611</v>
      </c>
      <c r="BI5" s="4489" t="s">
        <v>2612</v>
      </c>
      <c r="BJ5" s="4406" t="s">
        <v>2835</v>
      </c>
      <c r="BK5" s="4490" t="s">
        <v>2827</v>
      </c>
      <c r="BL5" s="4489">
        <v>52796990</v>
      </c>
      <c r="BM5" s="4489">
        <v>452</v>
      </c>
      <c r="BN5" s="4489">
        <v>734</v>
      </c>
      <c r="BO5" s="4489">
        <v>432</v>
      </c>
      <c r="BP5" s="4489">
        <v>122215.25462962964</v>
      </c>
      <c r="BQ5" s="4489">
        <v>23785204.003000002</v>
      </c>
      <c r="BR5" s="4489">
        <v>24</v>
      </c>
      <c r="BS5" s="6349">
        <v>1228347398</v>
      </c>
      <c r="BT5" s="6349">
        <v>652105886</v>
      </c>
      <c r="BU5" s="4489">
        <v>0</v>
      </c>
      <c r="BV5" s="6349">
        <v>198536536</v>
      </c>
      <c r="BW5" s="6349">
        <v>24200000</v>
      </c>
      <c r="BX5" s="4489"/>
      <c r="BY5" s="6349">
        <v>20451200</v>
      </c>
      <c r="BZ5" s="4489">
        <v>2103189820</v>
      </c>
      <c r="CA5" s="4489">
        <v>-1880453284</v>
      </c>
      <c r="CB5" s="4489" t="s">
        <v>3118</v>
      </c>
      <c r="CC5" s="4491"/>
      <c r="CD5" s="1550"/>
      <c r="CE5" s="1550"/>
      <c r="CF5" s="1550"/>
      <c r="CG5" s="1550"/>
      <c r="CH5" s="1550"/>
      <c r="CI5" s="1550"/>
      <c r="CJ5" s="1550"/>
      <c r="CK5" s="1550"/>
      <c r="CL5" s="1550"/>
      <c r="CM5" s="1550"/>
      <c r="CN5" s="1550"/>
      <c r="CO5" s="1550"/>
      <c r="CP5" s="1550"/>
      <c r="CQ5" s="1550"/>
      <c r="CR5" s="1550"/>
      <c r="CS5" s="1550"/>
      <c r="CT5" s="1550"/>
      <c r="CU5" s="1550"/>
      <c r="CV5" s="1550"/>
    </row>
    <row r="6" spans="2:100" s="1078" customFormat="1" ht="34" customHeight="1" thickBot="1">
      <c r="B6" s="4492"/>
      <c r="C6" s="4493"/>
      <c r="D6" s="4494"/>
      <c r="E6" s="4495" t="s">
        <v>3119</v>
      </c>
      <c r="F6" s="4496"/>
      <c r="G6" s="4497">
        <v>10</v>
      </c>
      <c r="H6" s="4498"/>
      <c r="I6" s="4499" t="s">
        <v>3120</v>
      </c>
      <c r="J6" s="4500"/>
      <c r="K6" s="6233"/>
      <c r="L6" s="6233"/>
      <c r="M6" s="6233"/>
      <c r="N6" s="4501"/>
      <c r="O6" s="4502"/>
      <c r="P6" s="4503"/>
      <c r="Q6" s="4503"/>
      <c r="R6" s="4503"/>
      <c r="S6" s="4503"/>
      <c r="T6" s="4503"/>
      <c r="U6" s="4503"/>
      <c r="V6" s="4503"/>
      <c r="W6" s="4503"/>
      <c r="X6" s="4503"/>
      <c r="Y6" s="4503"/>
      <c r="Z6" s="4503"/>
      <c r="AA6" s="4503"/>
      <c r="AB6" s="4503"/>
      <c r="AC6" s="4503"/>
      <c r="AD6" s="4503"/>
      <c r="AE6" s="4503"/>
      <c r="AF6" s="4504"/>
      <c r="AG6" s="4504"/>
      <c r="AH6" s="4503"/>
      <c r="AI6" s="4503"/>
      <c r="AJ6" s="4503"/>
      <c r="AK6" s="4503"/>
      <c r="AL6" s="4503"/>
      <c r="AM6" s="4503"/>
      <c r="AN6" s="4503"/>
      <c r="AO6" s="4503"/>
      <c r="AP6" s="4503"/>
      <c r="AQ6" s="4503"/>
      <c r="AR6" s="4503"/>
      <c r="AS6" s="4503"/>
      <c r="AT6" s="4503"/>
      <c r="AU6" s="4503"/>
      <c r="AV6" s="4503"/>
      <c r="AW6" s="4505"/>
      <c r="AX6" s="4506"/>
      <c r="AY6" s="4502"/>
      <c r="AZ6" s="4507"/>
      <c r="BA6" s="4504"/>
      <c r="BB6" s="4504"/>
      <c r="BC6" s="4504"/>
      <c r="BD6" s="4504"/>
      <c r="BE6" s="4504"/>
      <c r="BF6" s="4504"/>
      <c r="BG6" s="4504"/>
      <c r="BH6" s="4504"/>
      <c r="BI6" s="4508"/>
      <c r="BJ6" s="4509"/>
      <c r="BK6" s="4504"/>
      <c r="BL6" s="4508"/>
      <c r="BM6" s="4508"/>
      <c r="BN6" s="4508"/>
      <c r="BO6" s="4508"/>
      <c r="BP6" s="4508"/>
      <c r="BQ6" s="4508"/>
      <c r="BR6" s="4508"/>
      <c r="BS6" s="4508"/>
      <c r="BT6" s="4508"/>
      <c r="BU6" s="4508"/>
      <c r="BV6" s="4508"/>
      <c r="BW6" s="4508"/>
      <c r="BX6" s="4508"/>
      <c r="BY6" s="4508"/>
      <c r="BZ6" s="4508"/>
      <c r="CA6" s="4508"/>
      <c r="CB6" s="4508"/>
      <c r="CC6" s="4510" t="s">
        <v>3121</v>
      </c>
      <c r="CD6" s="1550"/>
      <c r="CE6" s="1550"/>
      <c r="CF6" s="1550"/>
      <c r="CG6" s="1550"/>
      <c r="CH6" s="1550"/>
      <c r="CI6" s="1550"/>
      <c r="CJ6" s="1550"/>
      <c r="CK6" s="1550"/>
      <c r="CL6" s="1550"/>
      <c r="CM6" s="1550"/>
      <c r="CN6" s="1550"/>
      <c r="CO6" s="1550"/>
      <c r="CP6" s="1550"/>
      <c r="CQ6" s="1550"/>
      <c r="CR6" s="1550"/>
      <c r="CS6" s="1550"/>
      <c r="CT6" s="1550"/>
      <c r="CU6" s="1550"/>
      <c r="CV6" s="1550"/>
    </row>
    <row r="7" spans="2:100" s="1078" customFormat="1" ht="34" customHeight="1">
      <c r="B7" s="4511" t="s">
        <v>3116</v>
      </c>
      <c r="C7" s="4512"/>
      <c r="D7" s="4513" t="s">
        <v>3117</v>
      </c>
      <c r="E7" s="4512" t="s">
        <v>3122</v>
      </c>
      <c r="F7" s="4514" t="s">
        <v>2626</v>
      </c>
      <c r="G7" s="4515">
        <v>335</v>
      </c>
      <c r="H7" s="4516"/>
      <c r="I7" s="4517" t="s">
        <v>2614</v>
      </c>
      <c r="J7" s="4518">
        <v>1021</v>
      </c>
      <c r="K7" s="6234"/>
      <c r="L7" s="6234"/>
      <c r="M7" s="6234"/>
      <c r="N7" s="4519" t="s">
        <v>3123</v>
      </c>
      <c r="O7" s="4520" t="s">
        <v>2138</v>
      </c>
      <c r="P7" s="4521">
        <v>28</v>
      </c>
      <c r="Q7" s="4522">
        <v>233</v>
      </c>
      <c r="R7" s="4522"/>
      <c r="S7" s="4523">
        <v>0.21016949152542372</v>
      </c>
      <c r="T7" s="4524" t="s">
        <v>2602</v>
      </c>
      <c r="U7" s="4524" t="s">
        <v>2619</v>
      </c>
      <c r="V7" s="4524" t="s">
        <v>2602</v>
      </c>
      <c r="W7" s="4524" t="s">
        <v>2620</v>
      </c>
      <c r="X7" s="4524" t="s">
        <v>2602</v>
      </c>
      <c r="Y7" s="4524" t="s">
        <v>2602</v>
      </c>
      <c r="Z7" s="4524" t="s">
        <v>2602</v>
      </c>
      <c r="AA7" s="4525" t="s">
        <v>2602</v>
      </c>
      <c r="AB7" s="4525" t="s">
        <v>2602</v>
      </c>
      <c r="AC7" s="4525" t="s">
        <v>2602</v>
      </c>
      <c r="AD7" s="4525" t="s">
        <v>2602</v>
      </c>
      <c r="AE7" s="4524" t="s">
        <v>2602</v>
      </c>
      <c r="AF7" s="4526">
        <v>360</v>
      </c>
      <c r="AG7" s="4521">
        <v>500</v>
      </c>
      <c r="AH7" s="4524" t="s">
        <v>2602</v>
      </c>
      <c r="AI7" s="4524" t="s">
        <v>2621</v>
      </c>
      <c r="AJ7" s="4524" t="s">
        <v>2602</v>
      </c>
      <c r="AK7" s="4524" t="s">
        <v>2622</v>
      </c>
      <c r="AL7" s="4524" t="s">
        <v>2602</v>
      </c>
      <c r="AM7" s="4524" t="s">
        <v>2602</v>
      </c>
      <c r="AN7" s="4524" t="s">
        <v>2602</v>
      </c>
      <c r="AO7" s="4525" t="s">
        <v>2602</v>
      </c>
      <c r="AP7" s="4525" t="s">
        <v>2602</v>
      </c>
      <c r="AQ7" s="4525" t="s">
        <v>2602</v>
      </c>
      <c r="AR7" s="4525" t="s">
        <v>2602</v>
      </c>
      <c r="AS7" s="4524" t="s">
        <v>2602</v>
      </c>
      <c r="AT7" s="4524" t="s">
        <v>2602</v>
      </c>
      <c r="AU7" s="4524" t="s">
        <v>2602</v>
      </c>
      <c r="AV7" s="4524" t="s">
        <v>2602</v>
      </c>
      <c r="AW7" s="4527" t="s">
        <v>2623</v>
      </c>
      <c r="AX7" s="4528">
        <v>340</v>
      </c>
      <c r="AY7" s="4520" t="s">
        <v>2648</v>
      </c>
      <c r="AZ7" s="4523">
        <v>0.59722222222222221</v>
      </c>
      <c r="BA7" s="4521" t="s">
        <v>2609</v>
      </c>
      <c r="BB7" s="4521" t="s">
        <v>2610</v>
      </c>
      <c r="BC7" s="4521">
        <v>7</v>
      </c>
      <c r="BD7" s="4521">
        <v>7</v>
      </c>
      <c r="BE7" s="4521" t="s">
        <v>2133</v>
      </c>
      <c r="BF7" s="4521" t="s">
        <v>2133</v>
      </c>
      <c r="BG7" s="4521" t="s">
        <v>2133</v>
      </c>
      <c r="BH7" s="4521" t="s">
        <v>2624</v>
      </c>
      <c r="BI7" s="4529" t="s">
        <v>2612</v>
      </c>
      <c r="BJ7" s="4380" t="s">
        <v>2835</v>
      </c>
      <c r="BK7" s="4530" t="s">
        <v>2827</v>
      </c>
      <c r="BL7" s="4529">
        <v>28974000.000000004</v>
      </c>
      <c r="BM7" s="4529">
        <v>340</v>
      </c>
      <c r="BN7" s="4529">
        <v>340</v>
      </c>
      <c r="BO7" s="4529">
        <v>340</v>
      </c>
      <c r="BP7" s="4489">
        <v>85217.647058823539</v>
      </c>
      <c r="BQ7" s="4529">
        <v>15774000.000000002</v>
      </c>
      <c r="BR7" s="4529">
        <v>4</v>
      </c>
      <c r="BS7" s="4529">
        <v>637428000</v>
      </c>
      <c r="BT7" s="4529">
        <v>364379400</v>
      </c>
      <c r="BU7" s="4529">
        <v>0</v>
      </c>
      <c r="BV7" s="4529">
        <v>131648000.00000001</v>
      </c>
      <c r="BW7" s="4529">
        <v>0</v>
      </c>
      <c r="BX7" s="4529"/>
      <c r="BY7" s="6351">
        <v>29480000</v>
      </c>
      <c r="BZ7" s="4489">
        <v>1133455400</v>
      </c>
      <c r="CA7" s="4529"/>
      <c r="CB7" s="4529"/>
      <c r="CC7" s="4531"/>
      <c r="CD7" s="1550"/>
      <c r="CE7" s="1550"/>
      <c r="CF7" s="1550"/>
      <c r="CG7" s="1550"/>
      <c r="CH7" s="1550"/>
      <c r="CI7" s="1550"/>
      <c r="CJ7" s="1550"/>
      <c r="CK7" s="1550"/>
      <c r="CL7" s="1550"/>
      <c r="CM7" s="1550"/>
      <c r="CN7" s="1550"/>
      <c r="CO7" s="1550"/>
      <c r="CP7" s="1550"/>
      <c r="CQ7" s="1550"/>
      <c r="CR7" s="1550"/>
      <c r="CS7" s="1550"/>
      <c r="CT7" s="1550"/>
      <c r="CU7" s="1550"/>
      <c r="CV7" s="1550"/>
    </row>
    <row r="8" spans="2:100" s="1078" customFormat="1" ht="34" customHeight="1" thickBot="1">
      <c r="B8" s="4532"/>
      <c r="C8" s="4533"/>
      <c r="D8" s="4534"/>
      <c r="E8" s="4535" t="s">
        <v>3124</v>
      </c>
      <c r="F8" s="4536"/>
      <c r="G8" s="4537">
        <v>5</v>
      </c>
      <c r="H8" s="4538"/>
      <c r="I8" s="4539" t="s">
        <v>3120</v>
      </c>
      <c r="J8" s="4540"/>
      <c r="K8" s="6235"/>
      <c r="L8" s="6235"/>
      <c r="M8" s="6235"/>
      <c r="N8" s="4541"/>
      <c r="O8" s="4542"/>
      <c r="P8" s="4543"/>
      <c r="Q8" s="4544"/>
      <c r="R8" s="4544"/>
      <c r="S8" s="4545"/>
      <c r="T8" s="4546"/>
      <c r="U8" s="4546"/>
      <c r="V8" s="4546"/>
      <c r="W8" s="4546"/>
      <c r="X8" s="4546"/>
      <c r="Y8" s="4546"/>
      <c r="Z8" s="4546"/>
      <c r="AA8" s="4546"/>
      <c r="AB8" s="4546"/>
      <c r="AC8" s="4546"/>
      <c r="AD8" s="4546"/>
      <c r="AE8" s="4546"/>
      <c r="AF8" s="4543"/>
      <c r="AG8" s="4543"/>
      <c r="AH8" s="4546"/>
      <c r="AI8" s="4546"/>
      <c r="AJ8" s="4546"/>
      <c r="AK8" s="4546"/>
      <c r="AL8" s="4546"/>
      <c r="AM8" s="4546"/>
      <c r="AN8" s="4546"/>
      <c r="AO8" s="4546"/>
      <c r="AP8" s="4546"/>
      <c r="AQ8" s="4546"/>
      <c r="AR8" s="4546"/>
      <c r="AS8" s="4546"/>
      <c r="AT8" s="4546"/>
      <c r="AU8" s="4546"/>
      <c r="AV8" s="4546"/>
      <c r="AW8" s="4547"/>
      <c r="AX8" s="4548"/>
      <c r="AY8" s="4542"/>
      <c r="AZ8" s="4545"/>
      <c r="BA8" s="4543"/>
      <c r="BB8" s="4543"/>
      <c r="BC8" s="4543"/>
      <c r="BD8" s="4543"/>
      <c r="BE8" s="4543"/>
      <c r="BF8" s="4543"/>
      <c r="BG8" s="4543"/>
      <c r="BH8" s="4543"/>
      <c r="BI8" s="4549"/>
      <c r="BJ8" s="4550"/>
      <c r="BK8" s="4551"/>
      <c r="BL8" s="4552"/>
      <c r="BM8" s="4552"/>
      <c r="BN8" s="4552"/>
      <c r="BO8" s="4552"/>
      <c r="BP8" s="4552"/>
      <c r="BQ8" s="4552"/>
      <c r="BR8" s="4552"/>
      <c r="BS8" s="4552"/>
      <c r="BT8" s="4552"/>
      <c r="BU8" s="4552"/>
      <c r="BV8" s="4552"/>
      <c r="BW8" s="4552"/>
      <c r="BX8" s="4552"/>
      <c r="BY8" s="4552"/>
      <c r="BZ8" s="4552"/>
      <c r="CA8" s="4552"/>
      <c r="CB8" s="4552"/>
      <c r="CC8" s="4553" t="s">
        <v>3121</v>
      </c>
      <c r="CD8" s="1550"/>
      <c r="CE8" s="1550"/>
      <c r="CF8" s="1550"/>
      <c r="CG8" s="1550"/>
      <c r="CH8" s="1550"/>
      <c r="CI8" s="1550"/>
      <c r="CJ8" s="1550"/>
      <c r="CK8" s="1550"/>
      <c r="CL8" s="1550"/>
      <c r="CM8" s="1550"/>
      <c r="CN8" s="1550"/>
      <c r="CO8" s="1550"/>
      <c r="CP8" s="1550"/>
      <c r="CQ8" s="1550"/>
      <c r="CR8" s="1550"/>
      <c r="CS8" s="1550"/>
      <c r="CT8" s="1550"/>
      <c r="CU8" s="1550"/>
      <c r="CV8" s="1550"/>
    </row>
    <row r="9" spans="2:100" s="1078" customFormat="1" ht="34" customHeight="1">
      <c r="B9" s="4472" t="s">
        <v>3116</v>
      </c>
      <c r="C9" s="4473"/>
      <c r="D9" s="4474" t="s">
        <v>3117</v>
      </c>
      <c r="E9" s="4473" t="s">
        <v>3125</v>
      </c>
      <c r="F9" s="4475" t="s">
        <v>2641</v>
      </c>
      <c r="G9" s="4476">
        <v>223</v>
      </c>
      <c r="H9" s="4477"/>
      <c r="I9" s="4478" t="s">
        <v>3116</v>
      </c>
      <c r="J9" s="4479">
        <v>105</v>
      </c>
      <c r="K9" s="6232"/>
      <c r="L9" s="6232"/>
      <c r="M9" s="6232"/>
      <c r="N9" s="4480" t="s">
        <v>2159</v>
      </c>
      <c r="O9" s="4481" t="s">
        <v>3126</v>
      </c>
      <c r="P9" s="4485"/>
      <c r="Q9" s="4554"/>
      <c r="R9" s="4554"/>
      <c r="S9" s="4488"/>
      <c r="T9" s="4482"/>
      <c r="U9" s="4482"/>
      <c r="V9" s="4482"/>
      <c r="W9" s="4482"/>
      <c r="X9" s="4482"/>
      <c r="Y9" s="4482"/>
      <c r="Z9" s="4482"/>
      <c r="AA9" s="4483"/>
      <c r="AB9" s="4483"/>
      <c r="AC9" s="4483"/>
      <c r="AD9" s="4483"/>
      <c r="AE9" s="4482"/>
      <c r="AF9" s="4484">
        <v>245</v>
      </c>
      <c r="AG9" s="4485">
        <v>358</v>
      </c>
      <c r="AH9" s="4482"/>
      <c r="AI9" s="4482"/>
      <c r="AJ9" s="4482"/>
      <c r="AK9" s="4482"/>
      <c r="AL9" s="4482"/>
      <c r="AM9" s="4482"/>
      <c r="AN9" s="4482"/>
      <c r="AO9" s="4483"/>
      <c r="AP9" s="4483"/>
      <c r="AQ9" s="4483"/>
      <c r="AR9" s="4483"/>
      <c r="AS9" s="4482"/>
      <c r="AT9" s="4482"/>
      <c r="AU9" s="4482"/>
      <c r="AV9" s="4482"/>
      <c r="AW9" s="4486"/>
      <c r="AX9" s="4487">
        <v>228</v>
      </c>
      <c r="AY9" s="4481">
        <v>358</v>
      </c>
      <c r="AZ9" s="4488">
        <v>1</v>
      </c>
      <c r="BA9" s="4485" t="s">
        <v>3127</v>
      </c>
      <c r="BB9" s="4485" t="s">
        <v>3128</v>
      </c>
      <c r="BC9" s="4485">
        <v>19</v>
      </c>
      <c r="BD9" s="4485">
        <v>19</v>
      </c>
      <c r="BE9" s="4485" t="s">
        <v>2133</v>
      </c>
      <c r="BF9" s="4485" t="s">
        <v>2133</v>
      </c>
      <c r="BG9" s="4485" t="s">
        <v>2133</v>
      </c>
      <c r="BH9" s="4485" t="s">
        <v>3129</v>
      </c>
      <c r="BI9" s="4489" t="s">
        <v>3130</v>
      </c>
      <c r="BJ9" s="4406" t="s">
        <v>2835</v>
      </c>
      <c r="BK9" s="4490" t="s">
        <v>2827</v>
      </c>
      <c r="BL9" s="4489">
        <v>13385680.000000002</v>
      </c>
      <c r="BM9" s="4489">
        <v>237</v>
      </c>
      <c r="BN9" s="4489">
        <v>237</v>
      </c>
      <c r="BO9" s="4489">
        <v>237</v>
      </c>
      <c r="BP9" s="4489">
        <v>56479.662447257389</v>
      </c>
      <c r="BQ9" s="4489">
        <v>5731715</v>
      </c>
      <c r="BR9" s="4489">
        <v>1</v>
      </c>
      <c r="BS9" s="4489">
        <v>267713600</v>
      </c>
      <c r="BT9" s="4489">
        <v>117406300.00000001</v>
      </c>
      <c r="BU9" s="4489">
        <v>0</v>
      </c>
      <c r="BV9" s="4489">
        <v>101933700.00000001</v>
      </c>
      <c r="BW9" s="4489">
        <v>11675904.9</v>
      </c>
      <c r="BX9" s="4489"/>
      <c r="BY9" s="6349">
        <v>19624000</v>
      </c>
      <c r="BZ9" s="4489">
        <v>498729504.89999998</v>
      </c>
      <c r="CA9" s="4489">
        <v>-385119900</v>
      </c>
      <c r="CB9" s="4489" t="s">
        <v>3118</v>
      </c>
      <c r="CC9" s="4555" t="s">
        <v>3131</v>
      </c>
      <c r="CD9" s="1550"/>
      <c r="CE9" s="1550"/>
      <c r="CF9" s="1550"/>
      <c r="CG9" s="1550"/>
      <c r="CH9" s="1550"/>
      <c r="CI9" s="1550"/>
      <c r="CJ9" s="1550"/>
      <c r="CK9" s="1550"/>
      <c r="CL9" s="1550"/>
      <c r="CM9" s="1550"/>
      <c r="CN9" s="1550"/>
      <c r="CO9" s="1550"/>
      <c r="CP9" s="1550"/>
      <c r="CQ9" s="1550"/>
      <c r="CR9" s="1550"/>
      <c r="CS9" s="1550"/>
      <c r="CT9" s="1550"/>
      <c r="CU9" s="1550"/>
      <c r="CV9" s="1550"/>
    </row>
    <row r="10" spans="2:100" s="3592" customFormat="1" ht="34" customHeight="1" thickBot="1">
      <c r="B10" s="4492"/>
      <c r="C10" s="4556"/>
      <c r="D10" s="4494"/>
      <c r="E10" s="4495" t="s">
        <v>3132</v>
      </c>
      <c r="F10" s="4557" t="s">
        <v>2641</v>
      </c>
      <c r="G10" s="4497">
        <v>5</v>
      </c>
      <c r="H10" s="4498"/>
      <c r="I10" s="4499" t="s">
        <v>3120</v>
      </c>
      <c r="J10" s="4558"/>
      <c r="K10" s="6233"/>
      <c r="L10" s="6233"/>
      <c r="M10" s="6233"/>
      <c r="N10" s="4501"/>
      <c r="O10" s="4559"/>
      <c r="P10" s="4560"/>
      <c r="Q10" s="4561"/>
      <c r="R10" s="4561"/>
      <c r="S10" s="4562"/>
      <c r="T10" s="4563"/>
      <c r="U10" s="4563"/>
      <c r="V10" s="4563"/>
      <c r="W10" s="4563"/>
      <c r="X10" s="4563"/>
      <c r="Y10" s="4563"/>
      <c r="Z10" s="4563"/>
      <c r="AA10" s="4563"/>
      <c r="AB10" s="4563"/>
      <c r="AC10" s="4563"/>
      <c r="AD10" s="4563"/>
      <c r="AE10" s="4563"/>
      <c r="AF10" s="4560"/>
      <c r="AG10" s="4560"/>
      <c r="AH10" s="4563"/>
      <c r="AI10" s="4563"/>
      <c r="AJ10" s="4563"/>
      <c r="AK10" s="4563"/>
      <c r="AL10" s="4563"/>
      <c r="AM10" s="4563"/>
      <c r="AN10" s="4563"/>
      <c r="AO10" s="4563"/>
      <c r="AP10" s="4563"/>
      <c r="AQ10" s="4563"/>
      <c r="AR10" s="4563"/>
      <c r="AS10" s="4563"/>
      <c r="AT10" s="4563"/>
      <c r="AU10" s="4563"/>
      <c r="AV10" s="4563"/>
      <c r="AW10" s="4564"/>
      <c r="AX10" s="4506"/>
      <c r="AY10" s="4559"/>
      <c r="AZ10" s="4562"/>
      <c r="BA10" s="4560"/>
      <c r="BB10" s="4560"/>
      <c r="BC10" s="4560"/>
      <c r="BD10" s="4560"/>
      <c r="BE10" s="4560"/>
      <c r="BF10" s="4560"/>
      <c r="BG10" s="4560"/>
      <c r="BH10" s="4560"/>
      <c r="BI10" s="4565"/>
      <c r="BJ10" s="4566"/>
      <c r="BK10" s="4567"/>
      <c r="BL10" s="4568"/>
      <c r="BM10" s="4568"/>
      <c r="BN10" s="4568"/>
      <c r="BO10" s="4568"/>
      <c r="BP10" s="4568"/>
      <c r="BQ10" s="4568"/>
      <c r="BR10" s="4568"/>
      <c r="BS10" s="4568"/>
      <c r="BT10" s="4568"/>
      <c r="BU10" s="4568"/>
      <c r="BV10" s="4568"/>
      <c r="BW10" s="4568"/>
      <c r="BX10" s="4568"/>
      <c r="BY10" s="4568"/>
      <c r="BZ10" s="4568"/>
      <c r="CA10" s="4568"/>
      <c r="CB10" s="4568"/>
      <c r="CC10" s="4510" t="s">
        <v>3121</v>
      </c>
      <c r="CD10" s="3591"/>
      <c r="CE10" s="3591"/>
      <c r="CF10" s="3591"/>
      <c r="CG10" s="3591"/>
      <c r="CH10" s="3591"/>
      <c r="CI10" s="3591"/>
      <c r="CJ10" s="3591"/>
      <c r="CK10" s="3591"/>
      <c r="CL10" s="3591"/>
      <c r="CM10" s="3591"/>
      <c r="CN10" s="3591"/>
      <c r="CO10" s="3591"/>
      <c r="CP10" s="3591"/>
      <c r="CQ10" s="3591"/>
      <c r="CR10" s="3591"/>
      <c r="CS10" s="3591"/>
      <c r="CT10" s="3591"/>
      <c r="CU10" s="3591"/>
      <c r="CV10" s="3591"/>
    </row>
    <row r="11" spans="2:100" s="1078" customFormat="1" ht="34" customHeight="1" thickBot="1">
      <c r="B11" s="4569" t="s">
        <v>3116</v>
      </c>
      <c r="C11" s="4570"/>
      <c r="D11" s="4571" t="s">
        <v>2653</v>
      </c>
      <c r="E11" s="4570" t="s">
        <v>3133</v>
      </c>
      <c r="F11" s="4570"/>
      <c r="G11" s="4572">
        <v>90</v>
      </c>
      <c r="H11" s="4573">
        <v>90</v>
      </c>
      <c r="I11" s="4574" t="s">
        <v>2614</v>
      </c>
      <c r="J11" s="4575">
        <v>3001</v>
      </c>
      <c r="K11" s="6236"/>
      <c r="L11" s="6236"/>
      <c r="M11" s="6236"/>
      <c r="N11" s="4576" t="s">
        <v>3134</v>
      </c>
      <c r="O11" s="4577" t="s">
        <v>2653</v>
      </c>
      <c r="P11" s="4578"/>
      <c r="Q11" s="4579"/>
      <c r="R11" s="4579"/>
      <c r="S11" s="4580"/>
      <c r="T11" s="4581"/>
      <c r="U11" s="4581"/>
      <c r="V11" s="4581"/>
      <c r="W11" s="4582"/>
      <c r="X11" s="4582"/>
      <c r="Y11" s="4582"/>
      <c r="Z11" s="4582"/>
      <c r="AA11" s="4581"/>
      <c r="AB11" s="4581"/>
      <c r="AC11" s="4581"/>
      <c r="AD11" s="4581"/>
      <c r="AE11" s="4581"/>
      <c r="AF11" s="4583"/>
      <c r="AG11" s="4578"/>
      <c r="AH11" s="4581"/>
      <c r="AI11" s="4581"/>
      <c r="AJ11" s="4581"/>
      <c r="AK11" s="4581"/>
      <c r="AL11" s="4581"/>
      <c r="AM11" s="4581"/>
      <c r="AN11" s="4581"/>
      <c r="AO11" s="4582"/>
      <c r="AP11" s="4582"/>
      <c r="AQ11" s="4582"/>
      <c r="AR11" s="4582"/>
      <c r="AS11" s="4581"/>
      <c r="AT11" s="4581"/>
      <c r="AU11" s="4581"/>
      <c r="AV11" s="4581"/>
      <c r="AW11" s="4581"/>
      <c r="AX11" s="4583"/>
      <c r="AY11" s="4578"/>
      <c r="AZ11" s="4580"/>
      <c r="BA11" s="4578"/>
      <c r="BB11" s="4578"/>
      <c r="BC11" s="4578"/>
      <c r="BD11" s="4578"/>
      <c r="BE11" s="4578"/>
      <c r="BF11" s="4578"/>
      <c r="BG11" s="4578"/>
      <c r="BH11" s="4578"/>
      <c r="BI11" s="4584"/>
      <c r="BJ11" s="4585" t="s">
        <v>2835</v>
      </c>
      <c r="BK11" s="4586" t="s">
        <v>2827</v>
      </c>
      <c r="BL11" s="4584">
        <v>7524000.0000000009</v>
      </c>
      <c r="BM11" s="4584">
        <v>90</v>
      </c>
      <c r="BN11" s="4584">
        <v>90</v>
      </c>
      <c r="BO11" s="4584">
        <v>90</v>
      </c>
      <c r="BP11" s="4584">
        <v>83600.000000000015</v>
      </c>
      <c r="BQ11" s="4584">
        <v>0</v>
      </c>
      <c r="BR11" s="4584">
        <v>0</v>
      </c>
      <c r="BS11" s="4584">
        <v>70578000</v>
      </c>
      <c r="BT11" s="4584">
        <v>0</v>
      </c>
      <c r="BU11" s="4584">
        <v>90000</v>
      </c>
      <c r="BV11" s="4584">
        <v>21143430</v>
      </c>
      <c r="BW11" s="4584">
        <v>0</v>
      </c>
      <c r="BX11" s="4584"/>
      <c r="BY11" s="6352">
        <v>5148000</v>
      </c>
      <c r="BZ11" s="4584">
        <v>91811430</v>
      </c>
      <c r="CA11" s="4584">
        <v>-70578000</v>
      </c>
      <c r="CB11" s="4584"/>
      <c r="CC11" s="4587" t="s">
        <v>3135</v>
      </c>
      <c r="CD11" s="1550"/>
      <c r="CE11" s="1550"/>
      <c r="CF11" s="1550"/>
      <c r="CG11" s="1550"/>
      <c r="CH11" s="1550"/>
      <c r="CI11" s="1550"/>
      <c r="CJ11" s="1550"/>
      <c r="CK11" s="1550"/>
      <c r="CL11" s="1550"/>
      <c r="CM11" s="1550"/>
      <c r="CN11" s="1550"/>
      <c r="CO11" s="1550"/>
      <c r="CP11" s="1550"/>
      <c r="CQ11" s="1550"/>
      <c r="CR11" s="1550"/>
    </row>
    <row r="12" spans="2:100" s="1078" customFormat="1" ht="34" customHeight="1" thickBot="1">
      <c r="B12" s="4569" t="s">
        <v>3116</v>
      </c>
      <c r="C12" s="4570"/>
      <c r="D12" s="4571" t="s">
        <v>3136</v>
      </c>
      <c r="E12" s="4570" t="s">
        <v>3133</v>
      </c>
      <c r="F12" s="4570"/>
      <c r="G12" s="6086">
        <v>0</v>
      </c>
      <c r="H12" s="6087">
        <v>0</v>
      </c>
      <c r="I12" s="4574" t="s">
        <v>2614</v>
      </c>
      <c r="J12" s="4575">
        <v>2007</v>
      </c>
      <c r="K12" s="6236"/>
      <c r="L12" s="6236"/>
      <c r="M12" s="6236"/>
      <c r="N12" s="4576" t="s">
        <v>3137</v>
      </c>
      <c r="O12" s="4577" t="s">
        <v>3136</v>
      </c>
      <c r="P12" s="4578"/>
      <c r="Q12" s="4579"/>
      <c r="R12" s="4579"/>
      <c r="S12" s="4580"/>
      <c r="T12" s="4581"/>
      <c r="U12" s="4581"/>
      <c r="V12" s="4581"/>
      <c r="W12" s="4582"/>
      <c r="X12" s="4582"/>
      <c r="Y12" s="4582"/>
      <c r="Z12" s="4582"/>
      <c r="AA12" s="4581"/>
      <c r="AB12" s="4581"/>
      <c r="AC12" s="4581"/>
      <c r="AD12" s="4581"/>
      <c r="AE12" s="4581"/>
      <c r="AF12" s="4583"/>
      <c r="AG12" s="4578"/>
      <c r="AH12" s="4581"/>
      <c r="AI12" s="4581"/>
      <c r="AJ12" s="4581"/>
      <c r="AK12" s="4581"/>
      <c r="AL12" s="4581"/>
      <c r="AM12" s="4581"/>
      <c r="AN12" s="4581"/>
      <c r="AO12" s="4582"/>
      <c r="AP12" s="4582"/>
      <c r="AQ12" s="4582"/>
      <c r="AR12" s="4582"/>
      <c r="AS12" s="4581"/>
      <c r="AT12" s="4581"/>
      <c r="AU12" s="4581"/>
      <c r="AV12" s="4581"/>
      <c r="AW12" s="4581"/>
      <c r="AX12" s="4583"/>
      <c r="AY12" s="4578"/>
      <c r="AZ12" s="4580"/>
      <c r="BA12" s="4578"/>
      <c r="BB12" s="4578"/>
      <c r="BC12" s="4578"/>
      <c r="BD12" s="4578"/>
      <c r="BE12" s="4578"/>
      <c r="BF12" s="4578"/>
      <c r="BG12" s="4578"/>
      <c r="BH12" s="4578"/>
      <c r="BI12" s="4584"/>
      <c r="BJ12" s="4585" t="s">
        <v>2835</v>
      </c>
      <c r="BK12" s="4586" t="s">
        <v>2827</v>
      </c>
      <c r="BL12" s="6085">
        <v>615747</v>
      </c>
      <c r="BM12" s="6085">
        <v>10</v>
      </c>
      <c r="BN12" s="6085">
        <v>20</v>
      </c>
      <c r="BO12" s="6085">
        <v>10</v>
      </c>
      <c r="BP12" s="6085">
        <v>61574.7</v>
      </c>
      <c r="BQ12" s="6085">
        <v>0</v>
      </c>
      <c r="BR12" s="6085">
        <v>0</v>
      </c>
      <c r="BS12" s="6085">
        <v>0</v>
      </c>
      <c r="BT12" s="6085">
        <v>0</v>
      </c>
      <c r="BU12" s="6085">
        <v>0</v>
      </c>
      <c r="BV12" s="6085">
        <v>0</v>
      </c>
      <c r="BW12" s="6085">
        <v>0</v>
      </c>
      <c r="BX12" s="6085"/>
      <c r="BY12" s="6085">
        <v>0</v>
      </c>
      <c r="BZ12" s="6085">
        <v>0</v>
      </c>
      <c r="CA12" s="4584">
        <v>0</v>
      </c>
      <c r="CB12" s="4584"/>
      <c r="CC12" s="4587" t="s">
        <v>3138</v>
      </c>
      <c r="CD12" s="1550"/>
      <c r="CE12" s="1550"/>
      <c r="CF12" s="1550"/>
      <c r="CG12" s="1550"/>
      <c r="CH12" s="1550"/>
      <c r="CI12" s="1550"/>
      <c r="CJ12" s="1550"/>
      <c r="CK12" s="1550"/>
      <c r="CL12" s="1550"/>
      <c r="CM12" s="1550"/>
      <c r="CN12" s="1550"/>
      <c r="CO12" s="1550"/>
      <c r="CP12" s="1550"/>
      <c r="CQ12" s="1550"/>
      <c r="CR12" s="1550"/>
    </row>
    <row r="13" spans="2:100" s="1078" customFormat="1" ht="12.65" customHeight="1">
      <c r="B13" s="1080"/>
      <c r="C13" s="3491"/>
      <c r="D13" s="1080"/>
      <c r="E13" s="1080"/>
      <c r="F13" s="3492"/>
      <c r="G13" s="6546"/>
      <c r="H13" s="6546"/>
      <c r="P13" s="3495"/>
      <c r="Q13" s="3495"/>
      <c r="R13" s="3495"/>
      <c r="S13" s="3495"/>
      <c r="T13" s="3495"/>
      <c r="U13" s="3495"/>
      <c r="V13" s="3495"/>
      <c r="W13" s="3495"/>
      <c r="X13" s="3495"/>
      <c r="Y13" s="3495"/>
      <c r="Z13" s="3495"/>
      <c r="AA13" s="3495"/>
      <c r="AB13" s="3495"/>
      <c r="AC13" s="3495"/>
      <c r="AD13" s="3495"/>
      <c r="AE13" s="3495"/>
      <c r="AF13" s="1125"/>
      <c r="AG13" s="3496"/>
      <c r="AH13" s="3497"/>
      <c r="AI13" s="3497"/>
      <c r="AJ13" s="3497"/>
      <c r="AK13" s="3497"/>
      <c r="AL13" s="3497"/>
      <c r="AM13" s="3497"/>
      <c r="AN13" s="3497"/>
      <c r="AO13" s="3497"/>
      <c r="AP13" s="3497"/>
      <c r="AQ13" s="3497"/>
      <c r="AR13" s="3497"/>
      <c r="AS13" s="3497"/>
      <c r="AT13" s="3497"/>
      <c r="AU13" s="3497"/>
      <c r="AV13" s="3497"/>
      <c r="AW13" s="1125"/>
      <c r="AX13" s="1125"/>
      <c r="AY13" s="3496"/>
      <c r="AZ13" s="3498"/>
      <c r="BA13" s="1080"/>
      <c r="BB13" s="1080"/>
      <c r="BC13" s="1080"/>
      <c r="BD13" s="1080"/>
      <c r="BE13" s="1080"/>
      <c r="BF13" s="1080"/>
      <c r="BG13" s="1080"/>
      <c r="BH13" s="1080"/>
      <c r="BI13" s="1080"/>
      <c r="BJ13" s="1080"/>
      <c r="BK13" s="1080"/>
      <c r="BL13" s="1080"/>
      <c r="BM13" s="1080"/>
      <c r="BN13" s="1080"/>
      <c r="BO13" s="1080"/>
      <c r="BP13" s="1080"/>
      <c r="BQ13" s="1080"/>
      <c r="BR13" s="1080"/>
      <c r="BS13" s="1080"/>
      <c r="BT13" s="1080"/>
      <c r="BU13" s="1080"/>
      <c r="BV13" s="1080"/>
      <c r="BW13" s="1080"/>
      <c r="BX13" s="1080"/>
      <c r="BY13" s="1080"/>
      <c r="BZ13" s="1080"/>
      <c r="CA13" s="1080"/>
      <c r="CB13" s="1080"/>
      <c r="CC13" s="1059"/>
      <c r="CD13" s="1550"/>
      <c r="CE13" s="1550"/>
      <c r="CF13" s="1550"/>
      <c r="CG13" s="1550"/>
      <c r="CH13" s="1550"/>
      <c r="CI13" s="1550"/>
      <c r="CJ13" s="1550"/>
      <c r="CK13" s="1550"/>
      <c r="CL13" s="1550"/>
      <c r="CM13" s="1550"/>
      <c r="CN13" s="1550"/>
      <c r="CO13" s="1550"/>
      <c r="CP13" s="1550"/>
      <c r="CQ13" s="1550"/>
      <c r="CR13" s="1550"/>
      <c r="CS13" s="1550"/>
      <c r="CT13" s="1550"/>
      <c r="CU13" s="1550"/>
    </row>
    <row r="14" spans="2:100" s="1078" customFormat="1" ht="12.65" customHeight="1">
      <c r="B14" s="1080"/>
      <c r="C14" s="3491"/>
      <c r="D14" s="1080"/>
      <c r="E14" s="1080"/>
      <c r="F14" s="3492"/>
      <c r="G14" s="3493"/>
      <c r="H14" s="3493"/>
      <c r="P14" s="3495"/>
      <c r="Q14" s="3495"/>
      <c r="R14" s="3495"/>
      <c r="S14" s="3495"/>
      <c r="T14" s="3495"/>
      <c r="U14" s="3495"/>
      <c r="V14" s="3495"/>
      <c r="W14" s="3495"/>
      <c r="X14" s="3495"/>
      <c r="Y14" s="3495"/>
      <c r="Z14" s="3495"/>
      <c r="AA14" s="3495"/>
      <c r="AB14" s="3495"/>
      <c r="AC14" s="3495"/>
      <c r="AD14" s="3495"/>
      <c r="AE14" s="3495"/>
      <c r="AF14" s="1125"/>
      <c r="AG14" s="3496"/>
      <c r="AH14" s="3497"/>
      <c r="AI14" s="3497"/>
      <c r="AJ14" s="3497"/>
      <c r="AK14" s="3497"/>
      <c r="AL14" s="3497"/>
      <c r="AM14" s="3497"/>
      <c r="AN14" s="3497"/>
      <c r="AO14" s="3497"/>
      <c r="AP14" s="3497"/>
      <c r="AQ14" s="3497"/>
      <c r="AR14" s="3497"/>
      <c r="AS14" s="3497"/>
      <c r="AT14" s="3497"/>
      <c r="AU14" s="3497"/>
      <c r="AV14" s="3497"/>
      <c r="AW14" s="1125"/>
      <c r="AX14" s="1125"/>
      <c r="AY14" s="3496"/>
      <c r="AZ14" s="3498"/>
      <c r="BA14" s="1080"/>
      <c r="BB14" s="1080"/>
      <c r="BC14" s="1080"/>
      <c r="BD14" s="1080"/>
      <c r="BE14" s="1080"/>
      <c r="BF14" s="1080"/>
      <c r="BG14" s="1080"/>
      <c r="BH14" s="1080"/>
      <c r="BI14" s="1080"/>
      <c r="BJ14" s="1080"/>
      <c r="BK14" s="1080"/>
      <c r="BL14" s="1080"/>
      <c r="BM14" s="1080"/>
      <c r="BN14" s="1080"/>
      <c r="BO14" s="1080"/>
      <c r="BP14" s="1080"/>
      <c r="BQ14" s="1080"/>
      <c r="BR14" s="1080"/>
      <c r="BS14" s="1080"/>
      <c r="BT14" s="1080"/>
      <c r="BU14" s="1080"/>
      <c r="BV14" s="1080"/>
      <c r="BW14" s="1080"/>
      <c r="BX14" s="1080"/>
      <c r="BY14" s="1080"/>
      <c r="BZ14" s="1080"/>
      <c r="CA14" s="1080"/>
      <c r="CB14" s="1080"/>
      <c r="CC14" s="1059"/>
      <c r="CD14" s="1550"/>
      <c r="CE14" s="1550"/>
      <c r="CF14" s="1550"/>
      <c r="CG14" s="1550"/>
      <c r="CH14" s="1550"/>
      <c r="CI14" s="1550"/>
      <c r="CJ14" s="1550"/>
      <c r="CK14" s="1550"/>
      <c r="CL14" s="1550"/>
      <c r="CM14" s="1550"/>
      <c r="CN14" s="1550"/>
      <c r="CO14" s="1550"/>
      <c r="CP14" s="1550"/>
      <c r="CQ14" s="1550"/>
      <c r="CR14" s="1550"/>
      <c r="CS14" s="1550"/>
      <c r="CT14" s="1550"/>
      <c r="CU14" s="1550"/>
    </row>
    <row r="15" spans="2:100" s="1078" customFormat="1" ht="30" customHeight="1">
      <c r="B15" s="6084" t="s">
        <v>6827</v>
      </c>
      <c r="C15" s="3491"/>
      <c r="D15" s="1080"/>
      <c r="E15" s="1080"/>
      <c r="F15" s="3492"/>
      <c r="G15" s="3493" t="s">
        <v>2657</v>
      </c>
      <c r="H15" s="3493" t="s">
        <v>2657</v>
      </c>
      <c r="N15" s="6088" t="s">
        <v>6828</v>
      </c>
      <c r="P15" s="3495"/>
      <c r="Q15" s="3495"/>
      <c r="R15" s="3495"/>
      <c r="S15" s="3495"/>
      <c r="T15" s="3495"/>
      <c r="U15" s="3495"/>
      <c r="V15" s="3495"/>
      <c r="W15" s="3495"/>
      <c r="X15" s="3495"/>
      <c r="Y15" s="3495"/>
      <c r="Z15" s="3495"/>
      <c r="AA15" s="3495"/>
      <c r="AB15" s="3495"/>
      <c r="AC15" s="3495"/>
      <c r="AD15" s="3495"/>
      <c r="AE15" s="3495"/>
      <c r="AF15" s="1125"/>
      <c r="AG15" s="3496"/>
      <c r="AH15" s="3497"/>
      <c r="AI15" s="3497"/>
      <c r="AJ15" s="3497"/>
      <c r="AK15" s="3497"/>
      <c r="AL15" s="3497"/>
      <c r="AM15" s="3497"/>
      <c r="AN15" s="3497"/>
      <c r="AO15" s="3497"/>
      <c r="AP15" s="3497"/>
      <c r="AQ15" s="3497"/>
      <c r="AR15" s="3497"/>
      <c r="AS15" s="3497"/>
      <c r="AT15" s="3497"/>
      <c r="AU15" s="3497"/>
      <c r="AV15" s="3497"/>
      <c r="AW15" s="1125"/>
      <c r="AX15" s="1125"/>
      <c r="AY15" s="3496"/>
      <c r="AZ15" s="3498"/>
      <c r="BA15" s="1080"/>
      <c r="BB15" s="1080"/>
      <c r="BC15" s="1080"/>
      <c r="BD15" s="1080"/>
      <c r="BE15" s="1080"/>
      <c r="BF15" s="1080"/>
      <c r="BG15" s="1080"/>
      <c r="BH15" s="1080"/>
      <c r="BI15" s="1080"/>
      <c r="BJ15" t="s">
        <v>3139</v>
      </c>
      <c r="BK15" s="1080">
        <v>2886270341</v>
      </c>
      <c r="BL15" s="1080"/>
      <c r="BM15" s="1080"/>
      <c r="BN15" s="1080"/>
      <c r="BO15" s="1080"/>
      <c r="BP15" s="1080"/>
      <c r="BQ15" s="1080"/>
      <c r="BR15" s="1080"/>
      <c r="BS15" s="4588" t="s">
        <v>2888</v>
      </c>
      <c r="BT15" s="4589"/>
      <c r="BU15" s="4590"/>
      <c r="BV15" s="4590"/>
      <c r="BW15" s="4590"/>
      <c r="BX15" s="4590"/>
      <c r="BY15" s="4590"/>
      <c r="BZ15" s="6509">
        <v>2204156998</v>
      </c>
      <c r="CA15" s="6509"/>
      <c r="CB15" s="3965">
        <v>682113343</v>
      </c>
      <c r="CC15" s="1059"/>
      <c r="CD15" s="1550"/>
      <c r="CE15" s="1550"/>
      <c r="CF15" s="1550"/>
      <c r="CG15" s="1550"/>
      <c r="CH15" s="1550"/>
      <c r="CI15" s="1550"/>
      <c r="CJ15" s="1550"/>
      <c r="CK15" s="1550"/>
      <c r="CL15" s="1550"/>
      <c r="CM15" s="1550"/>
      <c r="CN15" s="1550"/>
      <c r="CO15" s="1550"/>
      <c r="CP15" s="1550"/>
      <c r="CQ15" s="1550"/>
      <c r="CR15" s="1550"/>
      <c r="CS15" s="1550"/>
      <c r="CT15" s="1550"/>
      <c r="CU15" s="1550"/>
    </row>
    <row r="16" spans="2:100" s="1078" customFormat="1" ht="30" customHeight="1">
      <c r="B16" s="6084" t="s">
        <v>6827</v>
      </c>
      <c r="C16" s="3491"/>
      <c r="D16" s="1080"/>
      <c r="E16" s="1080"/>
      <c r="F16" s="3492"/>
      <c r="G16" s="3493" t="s">
        <v>2657</v>
      </c>
      <c r="H16" s="3493" t="s">
        <v>2657</v>
      </c>
      <c r="N16" s="6089" t="s">
        <v>6829</v>
      </c>
      <c r="P16" s="3495"/>
      <c r="Q16" s="3495"/>
      <c r="R16" s="3495"/>
      <c r="S16" s="3495"/>
      <c r="T16" s="3495"/>
      <c r="U16" s="3495"/>
      <c r="V16" s="3495"/>
      <c r="W16" s="3495"/>
      <c r="X16" s="3495"/>
      <c r="Y16" s="3495"/>
      <c r="Z16" s="3495"/>
      <c r="AA16" s="3495"/>
      <c r="AB16" s="3495"/>
      <c r="AC16" s="3495"/>
      <c r="AD16" s="3495"/>
      <c r="AE16" s="3495"/>
      <c r="AF16" s="1125"/>
      <c r="AG16" s="3496"/>
      <c r="AH16" s="3497"/>
      <c r="AI16" s="3497"/>
      <c r="AJ16" s="3497"/>
      <c r="AK16" s="3497"/>
      <c r="AL16" s="3497"/>
      <c r="AM16" s="3497"/>
      <c r="AN16" s="3497"/>
      <c r="AO16" s="3497"/>
      <c r="AP16" s="3497"/>
      <c r="AQ16" s="3497"/>
      <c r="AR16" s="3497"/>
      <c r="AS16" s="3497"/>
      <c r="AT16" s="3497"/>
      <c r="AU16" s="3497"/>
      <c r="AV16" s="3497"/>
      <c r="AW16" s="1125"/>
      <c r="AX16" s="1125"/>
      <c r="AY16" s="3496"/>
      <c r="AZ16" s="3498"/>
      <c r="BA16" s="1080"/>
      <c r="BB16" s="1080"/>
      <c r="BC16" s="1080"/>
      <c r="BD16" s="1080"/>
      <c r="BE16" s="1080"/>
      <c r="BF16" s="1080"/>
      <c r="BG16" s="1080"/>
      <c r="BH16" s="1080"/>
      <c r="BI16" s="1080"/>
      <c r="BJ16" t="s">
        <v>3139</v>
      </c>
      <c r="BK16" s="1080">
        <v>1578088073</v>
      </c>
      <c r="BL16" s="1080"/>
      <c r="BM16" s="1080"/>
      <c r="BN16" s="1080"/>
      <c r="BO16" s="1080"/>
      <c r="BP16" s="1080"/>
      <c r="BQ16" s="1080"/>
      <c r="BR16" s="1080"/>
      <c r="BS16" s="4592" t="s">
        <v>2889</v>
      </c>
      <c r="BT16" s="4593"/>
      <c r="BU16" s="4594"/>
      <c r="BV16" s="4594"/>
      <c r="BW16" s="4594"/>
      <c r="BX16" s="4594"/>
      <c r="BY16" s="4594"/>
      <c r="BZ16" s="6509">
        <v>1133891586</v>
      </c>
      <c r="CA16" s="6509"/>
      <c r="CB16" s="3965">
        <v>444196487</v>
      </c>
      <c r="CC16" s="1059"/>
      <c r="CD16" s="1550"/>
      <c r="CE16" s="1550"/>
      <c r="CF16" s="1550"/>
      <c r="CG16" s="1550"/>
      <c r="CH16" s="1550"/>
      <c r="CI16" s="1550"/>
      <c r="CJ16" s="1550"/>
      <c r="CK16" s="1550"/>
      <c r="CL16" s="1550"/>
      <c r="CM16" s="1550"/>
      <c r="CN16" s="1550"/>
      <c r="CO16" s="1550"/>
      <c r="CP16" s="1550"/>
      <c r="CQ16" s="1550"/>
      <c r="CR16" s="1550"/>
      <c r="CS16" s="1550"/>
      <c r="CT16" s="1550"/>
      <c r="CU16" s="1550"/>
    </row>
    <row r="17" spans="2:99" s="1078" customFormat="1" ht="30" customHeight="1">
      <c r="B17" s="1080"/>
      <c r="C17" s="3491"/>
      <c r="D17" s="1080"/>
      <c r="E17" s="1080"/>
      <c r="F17" s="3492"/>
      <c r="G17" s="3493"/>
      <c r="H17" s="3493"/>
      <c r="P17" s="3495"/>
      <c r="Q17" s="3495"/>
      <c r="R17" s="3495"/>
      <c r="S17" s="3495"/>
      <c r="T17" s="3495"/>
      <c r="U17" s="3495"/>
      <c r="V17" s="3495"/>
      <c r="W17" s="3495"/>
      <c r="X17" s="3495"/>
      <c r="Y17" s="3495"/>
      <c r="Z17" s="3495"/>
      <c r="AA17" s="3495"/>
      <c r="AB17" s="3495"/>
      <c r="AC17" s="3495"/>
      <c r="AD17" s="3495"/>
      <c r="AE17" s="3495"/>
      <c r="AF17" s="1125"/>
      <c r="AG17" s="3496"/>
      <c r="AH17" s="3497"/>
      <c r="AI17" s="3497"/>
      <c r="AJ17" s="3497"/>
      <c r="AK17" s="3497"/>
      <c r="AL17" s="3497"/>
      <c r="AM17" s="3497"/>
      <c r="AN17" s="3497"/>
      <c r="AO17" s="3497"/>
      <c r="AP17" s="3497"/>
      <c r="AQ17" s="3497"/>
      <c r="AR17" s="3497"/>
      <c r="AS17" s="3497"/>
      <c r="AT17" s="3497"/>
      <c r="AU17" s="3497"/>
      <c r="AV17" s="3497"/>
      <c r="AW17" s="1125"/>
      <c r="AX17" s="1125"/>
      <c r="AY17" s="3496"/>
      <c r="AZ17" s="3498"/>
      <c r="BA17" s="1080"/>
      <c r="BB17" s="1080"/>
      <c r="BC17" s="1080"/>
      <c r="BD17" s="1080"/>
      <c r="BE17" s="1080"/>
      <c r="BF17" s="1080"/>
      <c r="BG17" s="1080"/>
      <c r="BH17" s="1080"/>
      <c r="BI17" s="1080"/>
      <c r="BJ17" t="s">
        <v>3139</v>
      </c>
      <c r="BK17" s="1080">
        <v>487471732</v>
      </c>
      <c r="BL17" s="1080"/>
      <c r="BM17" s="1080"/>
      <c r="BN17" s="1080"/>
      <c r="BO17" s="1080"/>
      <c r="BP17" s="1080"/>
      <c r="BQ17" s="1080"/>
      <c r="BR17" s="1080"/>
      <c r="BS17" s="4595" t="s">
        <v>3140</v>
      </c>
      <c r="BT17" s="4596"/>
      <c r="BU17" s="4596"/>
      <c r="BV17" s="4596"/>
      <c r="BW17" s="4596"/>
      <c r="BX17" s="4596"/>
      <c r="BY17" s="4596"/>
      <c r="BZ17" s="6509">
        <v>453261666</v>
      </c>
      <c r="CA17" s="6509"/>
      <c r="CB17" s="3965">
        <v>34210066</v>
      </c>
      <c r="CC17" s="1059"/>
      <c r="CD17" s="1550"/>
      <c r="CE17" s="1550"/>
      <c r="CF17" s="1550"/>
      <c r="CG17" s="1550"/>
      <c r="CH17" s="1550"/>
      <c r="CI17" s="1550"/>
      <c r="CJ17" s="1550"/>
      <c r="CK17" s="1550"/>
      <c r="CL17" s="1550"/>
      <c r="CM17" s="1550"/>
      <c r="CN17" s="1550"/>
      <c r="CO17" s="1550"/>
      <c r="CP17" s="1550"/>
      <c r="CQ17" s="1550"/>
      <c r="CR17" s="1550"/>
      <c r="CS17" s="1550"/>
      <c r="CT17" s="1550"/>
      <c r="CU17" s="1550"/>
    </row>
    <row r="18" spans="2:99" s="1078" customFormat="1" ht="30" customHeight="1">
      <c r="B18" s="1080"/>
      <c r="C18" s="3491"/>
      <c r="D18" s="1080"/>
      <c r="E18" s="1080"/>
      <c r="F18" s="3492"/>
      <c r="G18" s="3493"/>
      <c r="H18" s="3493"/>
      <c r="P18" s="3495"/>
      <c r="Q18" s="3495"/>
      <c r="R18" s="3495"/>
      <c r="S18" s="3495"/>
      <c r="T18" s="3495"/>
      <c r="U18" s="3495"/>
      <c r="V18" s="3495"/>
      <c r="W18" s="3495"/>
      <c r="X18" s="3495"/>
      <c r="Y18" s="3495"/>
      <c r="Z18" s="3495"/>
      <c r="AA18" s="3495"/>
      <c r="AB18" s="3495"/>
      <c r="AC18" s="3495"/>
      <c r="AD18" s="3495"/>
      <c r="AE18" s="3495"/>
      <c r="AF18" s="1125"/>
      <c r="AG18" s="3496"/>
      <c r="AH18" s="3497"/>
      <c r="AI18" s="3497"/>
      <c r="AJ18" s="3497"/>
      <c r="AK18" s="3497"/>
      <c r="AL18" s="3497"/>
      <c r="AM18" s="3497"/>
      <c r="AN18" s="3497"/>
      <c r="AO18" s="3497"/>
      <c r="AP18" s="3497"/>
      <c r="AQ18" s="3497"/>
      <c r="AR18" s="3497"/>
      <c r="AS18" s="3497"/>
      <c r="AT18" s="3497"/>
      <c r="AU18" s="3497"/>
      <c r="AV18" s="3497"/>
      <c r="AW18" s="1125"/>
      <c r="AX18" s="1125"/>
      <c r="AY18" s="3496"/>
      <c r="AZ18" s="3498"/>
      <c r="BA18" s="1080"/>
      <c r="BB18" s="1080"/>
      <c r="BC18" s="1080"/>
      <c r="BD18" s="1080"/>
      <c r="BE18" s="1080"/>
      <c r="BF18" s="1080"/>
      <c r="BG18" s="1080"/>
      <c r="BH18" s="1080"/>
      <c r="BI18" s="1080"/>
      <c r="BJ18" t="s">
        <v>3139</v>
      </c>
      <c r="BK18" s="1080">
        <v>34400000</v>
      </c>
      <c r="BL18" s="1080"/>
      <c r="BM18" s="1080"/>
      <c r="BN18" s="1080"/>
      <c r="BO18" s="1080"/>
      <c r="BP18" s="1080"/>
      <c r="BQ18" s="1080"/>
      <c r="BR18" s="1080"/>
      <c r="BS18" s="4597" t="s">
        <v>3141</v>
      </c>
      <c r="BT18" s="4598"/>
      <c r="BU18" s="4598"/>
      <c r="BV18" s="4598"/>
      <c r="BW18" s="4598"/>
      <c r="BX18" s="4598"/>
      <c r="BY18" s="4598"/>
      <c r="BZ18" s="4591">
        <v>35875904.899999999</v>
      </c>
      <c r="CA18" s="4591"/>
      <c r="CB18" s="3965">
        <v>-1475904.8999999985</v>
      </c>
      <c r="CC18" s="1059"/>
      <c r="CD18" s="1550"/>
      <c r="CE18" s="1550"/>
      <c r="CF18" s="1550"/>
      <c r="CG18" s="1550"/>
      <c r="CH18" s="1550"/>
      <c r="CI18" s="1550"/>
      <c r="CJ18" s="1550"/>
      <c r="CK18" s="1550"/>
      <c r="CL18" s="1550"/>
      <c r="CM18" s="1550"/>
      <c r="CN18" s="1550"/>
      <c r="CO18" s="1550"/>
      <c r="CP18" s="1550"/>
      <c r="CQ18" s="1550"/>
      <c r="CR18" s="1550"/>
      <c r="CS18" s="1550"/>
      <c r="CT18" s="1550"/>
      <c r="CU18" s="1550"/>
    </row>
    <row r="19" spans="2:99" s="1078" customFormat="1" ht="30" customHeight="1" thickBot="1">
      <c r="B19" s="1080"/>
      <c r="C19" s="3491"/>
      <c r="D19" s="1080"/>
      <c r="E19" s="1080"/>
      <c r="F19" s="3492"/>
      <c r="G19" s="3493"/>
      <c r="H19" s="3493"/>
      <c r="P19" s="3495"/>
      <c r="Q19" s="3495"/>
      <c r="R19" s="3495"/>
      <c r="S19" s="3495"/>
      <c r="T19" s="3495"/>
      <c r="U19" s="3495"/>
      <c r="V19" s="3495"/>
      <c r="W19" s="3495"/>
      <c r="X19" s="3495"/>
      <c r="Y19" s="3495"/>
      <c r="Z19" s="3495"/>
      <c r="AA19" s="3495"/>
      <c r="AB19" s="3495"/>
      <c r="AC19" s="3495"/>
      <c r="AD19" s="3495"/>
      <c r="AE19" s="3495"/>
      <c r="AF19" s="1125"/>
      <c r="AG19" s="3496"/>
      <c r="AH19" s="3497"/>
      <c r="AI19" s="3497"/>
      <c r="AJ19" s="3497"/>
      <c r="AK19" s="3497"/>
      <c r="AL19" s="3497"/>
      <c r="AM19" s="3497"/>
      <c r="AN19" s="3497"/>
      <c r="AO19" s="3497"/>
      <c r="AP19" s="3497"/>
      <c r="AQ19" s="3497"/>
      <c r="AR19" s="3497"/>
      <c r="AS19" s="3497"/>
      <c r="AT19" s="3497"/>
      <c r="AU19" s="3497"/>
      <c r="AV19" s="3497"/>
      <c r="AW19" s="1125"/>
      <c r="AX19" s="1125"/>
      <c r="AY19" s="3496"/>
      <c r="AZ19" s="3498"/>
      <c r="BA19" s="1080"/>
      <c r="BB19" s="1080"/>
      <c r="BC19" s="1080"/>
      <c r="BD19" s="1080"/>
      <c r="BE19" s="1080"/>
      <c r="BF19" s="1080"/>
      <c r="BG19" s="1080"/>
      <c r="BH19" s="1080"/>
      <c r="BI19" s="1080"/>
      <c r="BJ19" t="s">
        <v>3139</v>
      </c>
      <c r="BK19" s="1080">
        <v>86508000</v>
      </c>
      <c r="BL19" s="1080"/>
      <c r="BM19" s="1080"/>
      <c r="BN19" s="1080"/>
      <c r="BO19" s="1080"/>
      <c r="BP19" s="1080"/>
      <c r="BQ19" s="1080"/>
      <c r="BR19" s="1080"/>
      <c r="BS19" s="4592" t="s">
        <v>3115</v>
      </c>
      <c r="BT19" s="4594"/>
      <c r="BU19" s="4594"/>
      <c r="BV19" s="4594"/>
      <c r="BW19" s="4594"/>
      <c r="BX19" s="4594"/>
      <c r="BY19" s="4594"/>
      <c r="BZ19" s="4591">
        <v>74703200</v>
      </c>
      <c r="CA19" s="4591"/>
      <c r="CB19" s="3965">
        <v>11804800</v>
      </c>
      <c r="CC19" s="1059"/>
      <c r="CD19" s="1550"/>
      <c r="CE19" s="1550"/>
      <c r="CF19" s="1550"/>
      <c r="CG19" s="1550"/>
      <c r="CH19" s="1550"/>
      <c r="CI19" s="1550"/>
      <c r="CJ19" s="1550"/>
      <c r="CK19" s="1550"/>
      <c r="CL19" s="1550"/>
      <c r="CM19" s="1550"/>
      <c r="CN19" s="1550"/>
      <c r="CO19" s="1550"/>
      <c r="CP19" s="1550"/>
      <c r="CQ19" s="1550"/>
      <c r="CR19" s="1550"/>
      <c r="CS19" s="1550"/>
      <c r="CT19" s="1550"/>
      <c r="CU19" s="1550"/>
    </row>
    <row r="20" spans="2:99" s="1078" customFormat="1" ht="30" customHeight="1" thickTop="1">
      <c r="B20" s="1080"/>
      <c r="C20" s="3491"/>
      <c r="D20" s="1080"/>
      <c r="E20" s="1080"/>
      <c r="F20" s="3492"/>
      <c r="G20" s="3493"/>
      <c r="H20" s="3493"/>
      <c r="P20" s="3495"/>
      <c r="Q20" s="3495"/>
      <c r="R20" s="3495"/>
      <c r="S20" s="3495"/>
      <c r="T20" s="3495"/>
      <c r="U20" s="3495"/>
      <c r="V20" s="3495"/>
      <c r="W20" s="3495"/>
      <c r="X20" s="3495"/>
      <c r="Y20" s="3495"/>
      <c r="Z20" s="3495"/>
      <c r="AA20" s="3495"/>
      <c r="AB20" s="3495"/>
      <c r="AC20" s="3495"/>
      <c r="AD20" s="3495"/>
      <c r="AE20" s="3495"/>
      <c r="AF20" s="1125"/>
      <c r="AG20" s="3496"/>
      <c r="AH20" s="3497"/>
      <c r="AI20" s="3497"/>
      <c r="AJ20" s="3497"/>
      <c r="AK20" s="3497"/>
      <c r="AL20" s="3497"/>
      <c r="AM20" s="3497"/>
      <c r="AN20" s="3497"/>
      <c r="AO20" s="3497"/>
      <c r="AP20" s="3497"/>
      <c r="AQ20" s="3497"/>
      <c r="AR20" s="3497"/>
      <c r="AS20" s="3497"/>
      <c r="AT20" s="3497"/>
      <c r="AU20" s="3497"/>
      <c r="AV20" s="3497"/>
      <c r="AW20" s="1125"/>
      <c r="AX20" s="1125"/>
      <c r="AY20" s="3496"/>
      <c r="AZ20" s="3498"/>
      <c r="BA20" s="1080"/>
      <c r="BB20" s="1080"/>
      <c r="BC20" s="1080"/>
      <c r="BD20" s="1080"/>
      <c r="BE20" s="1080"/>
      <c r="BF20" s="1080"/>
      <c r="BG20" s="1080"/>
      <c r="BH20" s="1080"/>
      <c r="BI20" s="1080"/>
      <c r="BJ20" t="s">
        <v>3139</v>
      </c>
      <c r="BK20" s="1080">
        <v>5072738146</v>
      </c>
      <c r="BL20" s="1080"/>
      <c r="BM20" s="1080"/>
      <c r="BN20" s="1080"/>
      <c r="BO20" s="1080"/>
      <c r="BP20" s="1080"/>
      <c r="BQ20" s="1080"/>
      <c r="BR20" s="1080"/>
      <c r="BS20" s="4599" t="s">
        <v>2890</v>
      </c>
      <c r="BT20" s="4599"/>
      <c r="BU20" s="4600"/>
      <c r="BV20" s="4600"/>
      <c r="BW20" s="4600"/>
      <c r="BX20" s="4600"/>
      <c r="BY20" s="4600"/>
      <c r="BZ20" s="6510">
        <v>3901889354.9000001</v>
      </c>
      <c r="CA20" s="6510"/>
      <c r="CB20" s="3965">
        <v>1170848791.0999999</v>
      </c>
      <c r="CC20" s="1059"/>
      <c r="CD20" s="1550"/>
      <c r="CE20" s="1550"/>
      <c r="CF20" s="1550"/>
      <c r="CG20" s="1550"/>
      <c r="CH20" s="1550"/>
      <c r="CI20" s="1550"/>
      <c r="CJ20" s="1550"/>
      <c r="CK20" s="1550"/>
      <c r="CL20" s="1550"/>
      <c r="CM20" s="1550"/>
      <c r="CN20" s="1550"/>
      <c r="CO20" s="1550"/>
      <c r="CP20" s="1550"/>
      <c r="CQ20" s="1550"/>
      <c r="CR20" s="1550"/>
      <c r="CS20" s="1550"/>
      <c r="CT20" s="1550"/>
      <c r="CU20" s="1550"/>
    </row>
    <row r="21" spans="2:99" s="1078" customFormat="1" ht="12.65" customHeight="1">
      <c r="B21" s="1080"/>
      <c r="C21" s="3491"/>
      <c r="D21" s="1080"/>
      <c r="E21" s="1080"/>
      <c r="F21" s="3492"/>
      <c r="G21" s="3493"/>
      <c r="H21" s="3493"/>
      <c r="P21" s="3495"/>
      <c r="Q21" s="3495"/>
      <c r="R21" s="3495"/>
      <c r="S21" s="3495"/>
      <c r="T21" s="3495"/>
      <c r="U21" s="3495"/>
      <c r="V21" s="3495"/>
      <c r="W21" s="3495"/>
      <c r="X21" s="3495"/>
      <c r="Y21" s="3495"/>
      <c r="Z21" s="3495"/>
      <c r="AA21" s="3495"/>
      <c r="AB21" s="3495"/>
      <c r="AC21" s="3495"/>
      <c r="AD21" s="3495"/>
      <c r="AE21" s="3495"/>
      <c r="AF21" s="1125"/>
      <c r="AG21" s="3496"/>
      <c r="AH21" s="3497"/>
      <c r="AI21" s="3497"/>
      <c r="AJ21" s="3497"/>
      <c r="AK21" s="3497"/>
      <c r="AL21" s="3497"/>
      <c r="AM21" s="3497"/>
      <c r="AN21" s="3497"/>
      <c r="AO21" s="3497"/>
      <c r="AP21" s="3497"/>
      <c r="AQ21" s="3497"/>
      <c r="AR21" s="3497"/>
      <c r="AS21" s="3497"/>
      <c r="AT21" s="3497"/>
      <c r="AU21" s="3497"/>
      <c r="AV21" s="3497"/>
      <c r="AW21" s="1125"/>
      <c r="AX21" s="1125"/>
      <c r="AY21" s="3496"/>
      <c r="AZ21" s="3498"/>
      <c r="BA21" s="1080"/>
      <c r="BB21" s="1080"/>
      <c r="BC21" s="1080"/>
      <c r="BD21" s="1080"/>
      <c r="BE21" s="1080"/>
      <c r="BF21" s="1080"/>
      <c r="BG21" s="1080"/>
      <c r="BH21" s="1080"/>
      <c r="BI21" s="1080"/>
      <c r="BJ21" s="1080"/>
      <c r="BK21" s="1080"/>
      <c r="BL21" s="1080"/>
      <c r="BM21" s="1080"/>
      <c r="BN21" s="1080"/>
      <c r="BO21" s="1080"/>
      <c r="BP21" s="1080"/>
      <c r="BQ21" s="1080"/>
      <c r="BR21" s="1080"/>
      <c r="BS21" s="1080"/>
      <c r="BT21" s="1080"/>
      <c r="BU21" s="1080"/>
      <c r="BV21" s="1080"/>
      <c r="BW21" s="1080"/>
      <c r="BX21" s="1080"/>
      <c r="BY21" s="1080"/>
      <c r="BZ21" s="1080"/>
      <c r="CA21" s="1080"/>
      <c r="CB21" s="1080"/>
      <c r="CC21" s="1059"/>
      <c r="CD21" s="1550"/>
      <c r="CE21" s="1550"/>
      <c r="CF21" s="1550"/>
      <c r="CG21" s="1550"/>
      <c r="CH21" s="1550"/>
      <c r="CI21" s="1550"/>
      <c r="CJ21" s="1550"/>
      <c r="CK21" s="1550"/>
      <c r="CL21" s="1550"/>
      <c r="CM21" s="1550"/>
      <c r="CN21" s="1550"/>
      <c r="CO21" s="1550"/>
      <c r="CP21" s="1550"/>
      <c r="CQ21" s="1550"/>
      <c r="CR21" s="1550"/>
      <c r="CS21" s="1550"/>
      <c r="CT21" s="1550"/>
      <c r="CU21" s="1550"/>
    </row>
    <row r="22" spans="2:99" s="1078" customFormat="1" ht="12.65" customHeight="1">
      <c r="B22" s="1080"/>
      <c r="C22" s="3491"/>
      <c r="D22" s="1080"/>
      <c r="E22" s="1080"/>
      <c r="F22" s="3492"/>
      <c r="G22" s="3493"/>
      <c r="H22" s="3493"/>
      <c r="P22" s="3495"/>
      <c r="Q22" s="3495"/>
      <c r="R22" s="3495"/>
      <c r="S22" s="3495"/>
      <c r="T22" s="3495"/>
      <c r="U22" s="3495"/>
      <c r="V22" s="3495"/>
      <c r="W22" s="3495"/>
      <c r="X22" s="3495"/>
      <c r="Y22" s="3495"/>
      <c r="Z22" s="3495"/>
      <c r="AA22" s="3495"/>
      <c r="AB22" s="3495"/>
      <c r="AC22" s="3495"/>
      <c r="AD22" s="3495"/>
      <c r="AE22" s="3495"/>
      <c r="AF22" s="1125"/>
      <c r="AG22" s="3496"/>
      <c r="AH22" s="3497"/>
      <c r="AI22" s="3497"/>
      <c r="AJ22" s="3497"/>
      <c r="AK22" s="3497"/>
      <c r="AL22" s="3497"/>
      <c r="AM22" s="3497"/>
      <c r="AN22" s="3497"/>
      <c r="AO22" s="3497"/>
      <c r="AP22" s="3497"/>
      <c r="AQ22" s="3497"/>
      <c r="AR22" s="3497"/>
      <c r="AS22" s="3497"/>
      <c r="AT22" s="3497"/>
      <c r="AU22" s="3497"/>
      <c r="AV22" s="3497"/>
      <c r="AW22" s="1125"/>
      <c r="AX22" s="1125"/>
      <c r="AY22" s="3496"/>
      <c r="AZ22" s="3498"/>
      <c r="BA22" s="1080"/>
      <c r="BB22" s="1080"/>
      <c r="BC22" s="1080"/>
      <c r="BD22" s="1080"/>
      <c r="BE22" s="1080"/>
      <c r="BF22" s="1080"/>
      <c r="BG22" s="1080"/>
      <c r="BH22" s="1080"/>
      <c r="BI22" s="1080"/>
      <c r="BJ22" s="1080"/>
      <c r="BK22" s="1080"/>
      <c r="BL22" s="1080"/>
      <c r="BM22" s="1080"/>
      <c r="BN22" s="1080"/>
      <c r="BO22" s="1080"/>
      <c r="BP22" s="1080"/>
      <c r="BQ22" s="1080"/>
      <c r="BR22" s="1080"/>
      <c r="BS22" s="1080"/>
      <c r="BT22" s="1080"/>
      <c r="BU22" s="1080"/>
      <c r="BV22" s="1080"/>
      <c r="BW22" s="1080"/>
      <c r="BX22" s="1080"/>
      <c r="BY22" s="1080"/>
      <c r="BZ22" s="1080"/>
      <c r="CA22" s="1080"/>
      <c r="CB22" s="1080"/>
      <c r="CC22" s="1059"/>
      <c r="CD22" s="1550"/>
      <c r="CE22" s="1550"/>
      <c r="CF22" s="1550"/>
      <c r="CG22" s="1550"/>
      <c r="CH22" s="1550"/>
      <c r="CI22" s="1550"/>
      <c r="CJ22" s="1550"/>
      <c r="CK22" s="1550"/>
      <c r="CL22" s="1550"/>
      <c r="CM22" s="1550"/>
      <c r="CN22" s="1550"/>
      <c r="CO22" s="1550"/>
      <c r="CP22" s="1550"/>
      <c r="CQ22" s="1550"/>
      <c r="CR22" s="1550"/>
      <c r="CS22" s="1550"/>
      <c r="CT22" s="1550"/>
      <c r="CU22" s="1550"/>
    </row>
    <row r="23" spans="2:99" s="1078" customFormat="1" ht="26.15" customHeight="1">
      <c r="B23" s="4601" t="s">
        <v>3142</v>
      </c>
      <c r="C23" s="4601"/>
      <c r="D23" s="6084"/>
      <c r="E23" s="6084"/>
      <c r="F23" s="3492"/>
      <c r="G23" s="3493"/>
      <c r="H23" s="3493"/>
      <c r="P23" s="3495"/>
      <c r="Q23" s="3495"/>
      <c r="R23" s="3495"/>
      <c r="S23" s="3495"/>
      <c r="T23" s="3495"/>
      <c r="U23" s="3495"/>
      <c r="V23" s="3495"/>
      <c r="W23" s="3495"/>
      <c r="X23" s="3495"/>
      <c r="Y23" s="3495"/>
      <c r="Z23" s="3495"/>
      <c r="AA23" s="3495"/>
      <c r="AB23" s="3495"/>
      <c r="AC23" s="3495"/>
      <c r="AD23" s="3495"/>
      <c r="AE23" s="3495"/>
      <c r="AF23" s="1125"/>
      <c r="AG23" s="3496"/>
      <c r="AH23" s="3497"/>
      <c r="AI23" s="3497"/>
      <c r="AJ23" s="3497"/>
      <c r="AK23" s="3497"/>
      <c r="AL23" s="3497"/>
      <c r="AM23" s="3497"/>
      <c r="AN23" s="3497"/>
      <c r="AO23" s="3497"/>
      <c r="AP23" s="3497"/>
      <c r="AQ23" s="3497"/>
      <c r="AR23" s="3497"/>
      <c r="AS23" s="3497"/>
      <c r="AT23" s="3497"/>
      <c r="AU23" s="3497"/>
      <c r="AV23" s="3497"/>
      <c r="AW23" s="1125"/>
      <c r="AX23" s="1125"/>
      <c r="AY23" s="3496"/>
      <c r="AZ23" s="3498"/>
      <c r="BA23" s="1080"/>
      <c r="BB23" s="1080"/>
      <c r="BC23" s="1080"/>
      <c r="BD23" s="1080"/>
      <c r="BE23" s="1080"/>
      <c r="BF23" s="1080"/>
      <c r="BG23" s="1080"/>
      <c r="BH23" s="1080"/>
      <c r="BI23" s="1080"/>
      <c r="BJ23" s="1080"/>
      <c r="BK23" s="1080"/>
      <c r="BL23" s="1080"/>
      <c r="BM23" s="1080"/>
      <c r="BN23" s="1080"/>
      <c r="BO23" s="1080"/>
      <c r="BP23" s="1080"/>
      <c r="BQ23" s="1080"/>
      <c r="BR23" s="1080"/>
      <c r="BS23" s="1080"/>
      <c r="BT23" s="1080"/>
      <c r="BU23" s="1080"/>
      <c r="BV23" s="1080"/>
      <c r="BW23" s="1080"/>
      <c r="BX23" s="1080"/>
      <c r="BY23" s="1080"/>
      <c r="BZ23" s="1080"/>
      <c r="CA23" s="1080"/>
      <c r="CB23" s="1080"/>
      <c r="CC23" s="1059"/>
      <c r="CD23" s="1550"/>
      <c r="CE23" s="1550"/>
      <c r="CF23" s="1550"/>
      <c r="CG23" s="1550"/>
      <c r="CH23" s="1550"/>
      <c r="CI23" s="1550"/>
      <c r="CJ23" s="1550"/>
      <c r="CK23" s="1550"/>
      <c r="CL23" s="1550"/>
      <c r="CM23" s="1550"/>
      <c r="CN23" s="1550"/>
      <c r="CO23" s="1550"/>
      <c r="CP23" s="1550"/>
      <c r="CQ23" s="1550"/>
      <c r="CR23" s="1550"/>
      <c r="CS23" s="1550"/>
      <c r="CT23" s="1550"/>
      <c r="CU23" s="1550"/>
    </row>
    <row r="24" spans="2:99" ht="18.649999999999999" customHeight="1" thickBot="1"/>
    <row r="25" spans="2:99" ht="22.5" customHeight="1" thickTop="1">
      <c r="B25" s="6525" t="s">
        <v>3110</v>
      </c>
      <c r="C25" s="4602"/>
      <c r="D25" s="6527" t="s">
        <v>3143</v>
      </c>
      <c r="E25" s="6528"/>
      <c r="F25" s="6529"/>
      <c r="G25" s="6533" t="s">
        <v>3144</v>
      </c>
      <c r="H25" s="6535" t="s">
        <v>3145</v>
      </c>
      <c r="I25" s="6536"/>
      <c r="J25" s="6533" t="s">
        <v>3146</v>
      </c>
      <c r="K25" s="6073"/>
      <c r="L25" s="6073"/>
      <c r="M25" s="6073"/>
      <c r="N25" s="6537" t="s">
        <v>3147</v>
      </c>
      <c r="O25" s="4459" t="s">
        <v>2553</v>
      </c>
      <c r="P25" s="6539" t="s">
        <v>2554</v>
      </c>
      <c r="Q25" s="6539"/>
      <c r="R25" s="6539"/>
      <c r="S25" s="6539"/>
      <c r="T25" s="6539"/>
      <c r="U25" s="6539"/>
      <c r="V25" s="6539"/>
      <c r="W25" s="6539"/>
      <c r="X25" s="6539"/>
      <c r="Y25" s="6539"/>
      <c r="Z25" s="6539"/>
      <c r="AA25" s="6539"/>
      <c r="AB25" s="6539"/>
      <c r="AC25" s="6539"/>
      <c r="AD25" s="6539"/>
      <c r="AE25" s="6539"/>
      <c r="AF25" s="6539"/>
      <c r="AG25" s="6539"/>
      <c r="AH25" s="6539" t="s">
        <v>2555</v>
      </c>
      <c r="AI25" s="6539"/>
      <c r="AJ25" s="6539"/>
      <c r="AK25" s="6539"/>
      <c r="AL25" s="6539"/>
      <c r="AM25" s="6539"/>
      <c r="AN25" s="6539"/>
      <c r="AO25" s="6539"/>
      <c r="AP25" s="6539"/>
      <c r="AQ25" s="6539"/>
      <c r="AR25" s="6539"/>
      <c r="AS25" s="6539"/>
      <c r="AT25" s="6539"/>
      <c r="AU25" s="6539"/>
      <c r="AV25" s="6539"/>
      <c r="AW25" s="6539"/>
      <c r="AX25" s="6539"/>
      <c r="AY25" s="6539"/>
      <c r="AZ25" s="6539"/>
      <c r="BA25" s="6539" t="s">
        <v>2556</v>
      </c>
      <c r="BB25" s="6539"/>
      <c r="BC25" s="6539" t="s">
        <v>2557</v>
      </c>
      <c r="BD25" s="6539"/>
      <c r="BE25" s="6539" t="s">
        <v>2558</v>
      </c>
      <c r="BF25" s="6539"/>
      <c r="BG25" s="6539"/>
      <c r="BH25" s="4459" t="s">
        <v>2088</v>
      </c>
      <c r="BI25" s="4603" t="s">
        <v>2559</v>
      </c>
      <c r="BJ25" s="6540" t="s">
        <v>2799</v>
      </c>
      <c r="BK25" s="6542" t="s">
        <v>2800</v>
      </c>
      <c r="BL25" s="6511" t="s">
        <v>2783</v>
      </c>
      <c r="BM25" s="6511" t="s">
        <v>2784</v>
      </c>
      <c r="BN25" s="6511" t="s">
        <v>2785</v>
      </c>
      <c r="BO25" s="6524" t="s">
        <v>2786</v>
      </c>
      <c r="BP25" s="6511" t="s">
        <v>2801</v>
      </c>
      <c r="BQ25" s="6513" t="s">
        <v>2787</v>
      </c>
      <c r="BR25" s="6513" t="s">
        <v>2788</v>
      </c>
      <c r="BS25" s="6511" t="s">
        <v>2789</v>
      </c>
      <c r="BT25" s="6513" t="s">
        <v>2790</v>
      </c>
      <c r="BU25" s="4604"/>
      <c r="BV25" s="4605"/>
      <c r="BW25" s="4606"/>
      <c r="BX25" s="4606"/>
      <c r="BY25" s="6350" t="s">
        <v>7046</v>
      </c>
      <c r="BZ25" s="6515" t="s">
        <v>2809</v>
      </c>
      <c r="CA25" s="6517" t="s">
        <v>2813</v>
      </c>
      <c r="CB25" s="6519" t="s">
        <v>2810</v>
      </c>
      <c r="CC25" s="6521" t="s">
        <v>2600</v>
      </c>
    </row>
    <row r="26" spans="2:99" ht="29.5" customHeight="1" thickBot="1">
      <c r="B26" s="6526"/>
      <c r="C26" s="4607"/>
      <c r="D26" s="6530"/>
      <c r="E26" s="6531"/>
      <c r="F26" s="6532"/>
      <c r="G26" s="6534"/>
      <c r="H26" s="3812" t="s">
        <v>3148</v>
      </c>
      <c r="I26" s="3813" t="s">
        <v>3149</v>
      </c>
      <c r="J26" s="6534"/>
      <c r="K26" s="6083"/>
      <c r="L26" s="6083"/>
      <c r="M26" s="6083"/>
      <c r="N26" s="6538"/>
      <c r="O26" s="3505" t="s">
        <v>2101</v>
      </c>
      <c r="P26" s="3506" t="s">
        <v>2569</v>
      </c>
      <c r="Q26" s="3506" t="s">
        <v>2570</v>
      </c>
      <c r="R26" s="3506" t="s">
        <v>2571</v>
      </c>
      <c r="S26" s="3506" t="s">
        <v>2572</v>
      </c>
      <c r="T26" s="3506" t="s">
        <v>2573</v>
      </c>
      <c r="U26" s="3506" t="s">
        <v>2574</v>
      </c>
      <c r="V26" s="3506" t="s">
        <v>2575</v>
      </c>
      <c r="W26" s="3507" t="s">
        <v>2576</v>
      </c>
      <c r="X26" s="3507" t="s">
        <v>2577</v>
      </c>
      <c r="Y26" s="3507" t="s">
        <v>2578</v>
      </c>
      <c r="Z26" s="3507" t="s">
        <v>2579</v>
      </c>
      <c r="AA26" s="3506" t="s">
        <v>2580</v>
      </c>
      <c r="AB26" s="3506" t="s">
        <v>2581</v>
      </c>
      <c r="AC26" s="3506" t="s">
        <v>2582</v>
      </c>
      <c r="AD26" s="3506" t="s">
        <v>2583</v>
      </c>
      <c r="AE26" s="3506" t="s">
        <v>2584</v>
      </c>
      <c r="AF26" s="3505" t="s">
        <v>2104</v>
      </c>
      <c r="AG26" s="3505" t="s">
        <v>2585</v>
      </c>
      <c r="AH26" s="3506" t="s">
        <v>2569</v>
      </c>
      <c r="AI26" s="3506" t="s">
        <v>2570</v>
      </c>
      <c r="AJ26" s="3506" t="s">
        <v>2571</v>
      </c>
      <c r="AK26" s="3506" t="s">
        <v>2572</v>
      </c>
      <c r="AL26" s="3506" t="s">
        <v>2573</v>
      </c>
      <c r="AM26" s="3506" t="s">
        <v>2574</v>
      </c>
      <c r="AN26" s="3506" t="s">
        <v>2575</v>
      </c>
      <c r="AO26" s="3507" t="s">
        <v>2576</v>
      </c>
      <c r="AP26" s="3507" t="s">
        <v>2577</v>
      </c>
      <c r="AQ26" s="3507" t="s">
        <v>2578</v>
      </c>
      <c r="AR26" s="3507" t="s">
        <v>2579</v>
      </c>
      <c r="AS26" s="3506" t="s">
        <v>2580</v>
      </c>
      <c r="AT26" s="3506" t="s">
        <v>2581</v>
      </c>
      <c r="AU26" s="3506" t="s">
        <v>2582</v>
      </c>
      <c r="AV26" s="3506" t="s">
        <v>2583</v>
      </c>
      <c r="AW26" s="3506" t="s">
        <v>2584</v>
      </c>
      <c r="AX26" s="3505" t="s">
        <v>2586</v>
      </c>
      <c r="AY26" s="3505" t="s">
        <v>2587</v>
      </c>
      <c r="AZ26" s="3508" t="s">
        <v>2588</v>
      </c>
      <c r="BA26" s="3505" t="s">
        <v>2589</v>
      </c>
      <c r="BB26" s="3505" t="s">
        <v>2590</v>
      </c>
      <c r="BC26" s="3505" t="s">
        <v>2591</v>
      </c>
      <c r="BD26" s="3505" t="s">
        <v>2592</v>
      </c>
      <c r="BE26" s="3505" t="s">
        <v>2593</v>
      </c>
      <c r="BF26" s="3505" t="s">
        <v>2594</v>
      </c>
      <c r="BG26" s="3505" t="s">
        <v>2595</v>
      </c>
      <c r="BH26" s="3505" t="s">
        <v>2109</v>
      </c>
      <c r="BI26" s="4608" t="s">
        <v>2596</v>
      </c>
      <c r="BJ26" s="6541"/>
      <c r="BK26" s="6543"/>
      <c r="BL26" s="6512"/>
      <c r="BM26" s="6512"/>
      <c r="BN26" s="6523"/>
      <c r="BO26" s="6512"/>
      <c r="BP26" s="6512"/>
      <c r="BQ26" s="6514"/>
      <c r="BR26" s="6514"/>
      <c r="BS26" s="6512"/>
      <c r="BT26" s="6514"/>
      <c r="BU26" s="4469" t="s">
        <v>3113</v>
      </c>
      <c r="BV26" s="4470" t="s">
        <v>2802</v>
      </c>
      <c r="BW26" s="4471" t="s">
        <v>3114</v>
      </c>
      <c r="BX26" s="4471" t="s">
        <v>2926</v>
      </c>
      <c r="BY26" s="5892" t="s">
        <v>3115</v>
      </c>
      <c r="BZ26" s="6516"/>
      <c r="CA26" s="6518"/>
      <c r="CB26" s="6520"/>
      <c r="CC26" s="6522"/>
    </row>
    <row r="27" spans="2:99" ht="34" customHeight="1" thickBot="1">
      <c r="B27" s="4609" t="s">
        <v>3150</v>
      </c>
      <c r="C27" s="4610"/>
      <c r="D27" s="4611" t="s">
        <v>3117</v>
      </c>
      <c r="E27" s="4610" t="s">
        <v>3151</v>
      </c>
      <c r="F27" s="4612" t="s">
        <v>3152</v>
      </c>
      <c r="G27" s="4613">
        <v>360</v>
      </c>
      <c r="H27" s="4614">
        <v>330</v>
      </c>
      <c r="I27" s="4615">
        <v>20</v>
      </c>
      <c r="J27" s="4616">
        <v>1021</v>
      </c>
      <c r="K27" s="4616"/>
      <c r="L27" s="4616"/>
      <c r="M27" s="4616"/>
      <c r="N27" s="4617" t="s">
        <v>3153</v>
      </c>
      <c r="O27" s="4618" t="s">
        <v>2138</v>
      </c>
      <c r="P27" s="4619">
        <v>28</v>
      </c>
      <c r="Q27" s="4620">
        <v>233</v>
      </c>
      <c r="R27" s="4620"/>
      <c r="S27" s="4621">
        <v>0.21016949152542372</v>
      </c>
      <c r="T27" s="4622" t="s">
        <v>2602</v>
      </c>
      <c r="U27" s="4622" t="s">
        <v>2619</v>
      </c>
      <c r="V27" s="4622" t="s">
        <v>2602</v>
      </c>
      <c r="W27" s="4622" t="s">
        <v>2620</v>
      </c>
      <c r="X27" s="4622" t="s">
        <v>2602</v>
      </c>
      <c r="Y27" s="4622" t="s">
        <v>2602</v>
      </c>
      <c r="Z27" s="4622" t="s">
        <v>2602</v>
      </c>
      <c r="AA27" s="4623" t="s">
        <v>2602</v>
      </c>
      <c r="AB27" s="4623" t="s">
        <v>2602</v>
      </c>
      <c r="AC27" s="4623" t="s">
        <v>2602</v>
      </c>
      <c r="AD27" s="4623" t="s">
        <v>2602</v>
      </c>
      <c r="AE27" s="4622" t="s">
        <v>2602</v>
      </c>
      <c r="AF27" s="4624">
        <v>360</v>
      </c>
      <c r="AG27" s="4619">
        <v>500</v>
      </c>
      <c r="AH27" s="4622" t="s">
        <v>2602</v>
      </c>
      <c r="AI27" s="4622" t="s">
        <v>2621</v>
      </c>
      <c r="AJ27" s="4622" t="s">
        <v>2602</v>
      </c>
      <c r="AK27" s="4622" t="s">
        <v>2622</v>
      </c>
      <c r="AL27" s="4622" t="s">
        <v>2602</v>
      </c>
      <c r="AM27" s="4622" t="s">
        <v>2602</v>
      </c>
      <c r="AN27" s="4622" t="s">
        <v>2602</v>
      </c>
      <c r="AO27" s="4623" t="s">
        <v>2602</v>
      </c>
      <c r="AP27" s="4623" t="s">
        <v>2602</v>
      </c>
      <c r="AQ27" s="4623" t="s">
        <v>2602</v>
      </c>
      <c r="AR27" s="4623" t="s">
        <v>2602</v>
      </c>
      <c r="AS27" s="4622" t="s">
        <v>2602</v>
      </c>
      <c r="AT27" s="4622" t="s">
        <v>2602</v>
      </c>
      <c r="AU27" s="4622" t="s">
        <v>2602</v>
      </c>
      <c r="AV27" s="4622" t="s">
        <v>2602</v>
      </c>
      <c r="AW27" s="4625" t="s">
        <v>2623</v>
      </c>
      <c r="AX27" s="4626">
        <v>340</v>
      </c>
      <c r="AY27" s="4618">
        <v>340</v>
      </c>
      <c r="AZ27" s="4621">
        <v>0.59722222222222221</v>
      </c>
      <c r="BA27" s="4619" t="s">
        <v>2609</v>
      </c>
      <c r="BB27" s="4619" t="s">
        <v>2610</v>
      </c>
      <c r="BC27" s="4619">
        <v>7</v>
      </c>
      <c r="BD27" s="4619">
        <v>7</v>
      </c>
      <c r="BE27" s="4619" t="s">
        <v>2133</v>
      </c>
      <c r="BF27" s="4619" t="s">
        <v>2133</v>
      </c>
      <c r="BG27" s="4619" t="s">
        <v>2133</v>
      </c>
      <c r="BH27" s="4619" t="s">
        <v>2624</v>
      </c>
      <c r="BI27" s="4627" t="s">
        <v>2612</v>
      </c>
      <c r="BJ27" s="4628" t="s">
        <v>2835</v>
      </c>
      <c r="BK27" s="4629" t="s">
        <v>2827</v>
      </c>
      <c r="BL27" s="4630">
        <v>32714000.000000004</v>
      </c>
      <c r="BM27" s="4630">
        <v>350</v>
      </c>
      <c r="BN27" s="4630">
        <v>340</v>
      </c>
      <c r="BO27" s="4630">
        <v>340</v>
      </c>
      <c r="BP27" s="4630">
        <v>96217.647058823539</v>
      </c>
      <c r="BQ27" s="4630">
        <v>15114000.000000002</v>
      </c>
      <c r="BR27" s="4630">
        <v>4</v>
      </c>
      <c r="BS27" s="4630">
        <v>472117800</v>
      </c>
      <c r="BT27" s="4630">
        <v>288657600.00000006</v>
      </c>
      <c r="BU27" s="4630">
        <v>0</v>
      </c>
      <c r="BV27" s="4630">
        <v>72406400</v>
      </c>
      <c r="BW27" s="4630">
        <v>0</v>
      </c>
      <c r="BX27" s="4630">
        <v>792000</v>
      </c>
      <c r="BY27" s="6353">
        <v>20944000</v>
      </c>
      <c r="BZ27" s="4630">
        <v>833181800</v>
      </c>
      <c r="CA27" s="4630">
        <v>-760775400</v>
      </c>
      <c r="CB27" s="4630" t="s">
        <v>3118</v>
      </c>
      <c r="CC27" s="4631"/>
    </row>
    <row r="28" spans="2:99" ht="34" customHeight="1">
      <c r="B28" s="1078"/>
      <c r="C28" s="1078"/>
      <c r="D28" s="3494"/>
      <c r="E28" s="1078"/>
      <c r="G28" s="2104"/>
      <c r="H28" s="1281"/>
      <c r="I28" s="1281"/>
      <c r="J28" s="1281"/>
      <c r="K28" s="1281"/>
      <c r="L28" s="1281"/>
      <c r="M28" s="1281"/>
      <c r="N28" s="4632" t="s">
        <v>3154</v>
      </c>
      <c r="O28" s="4633"/>
      <c r="P28" s="4633"/>
      <c r="Q28" s="4634"/>
      <c r="R28" s="4634"/>
      <c r="S28" s="4635"/>
      <c r="T28" s="4636"/>
      <c r="U28" s="4636"/>
      <c r="V28" s="4636"/>
      <c r="W28" s="4636"/>
      <c r="X28" s="4636"/>
      <c r="Y28" s="4636"/>
      <c r="Z28" s="4636"/>
      <c r="AA28" s="4636"/>
      <c r="AB28" s="4636"/>
      <c r="AC28" s="4636"/>
      <c r="AD28" s="4636"/>
      <c r="AE28" s="4636"/>
      <c r="AF28" s="4633"/>
      <c r="AG28" s="4633"/>
      <c r="AH28" s="4637"/>
      <c r="AI28" s="4637"/>
      <c r="AJ28" s="4637"/>
      <c r="AK28" s="4637"/>
      <c r="AL28" s="4637"/>
      <c r="AM28" s="4637"/>
      <c r="AN28" s="4637"/>
      <c r="AO28" s="4637"/>
      <c r="AP28" s="4637"/>
      <c r="AQ28" s="4637"/>
      <c r="AR28" s="4637"/>
      <c r="AS28" s="4637"/>
      <c r="AT28" s="4637"/>
      <c r="AU28" s="4637"/>
      <c r="AV28" s="4637"/>
      <c r="AW28" s="4637"/>
      <c r="AX28" s="4638">
        <v>103</v>
      </c>
      <c r="AY28" s="4633"/>
      <c r="AZ28" s="4635"/>
      <c r="BA28" s="4633"/>
      <c r="BB28" s="4633"/>
      <c r="BC28" s="4633"/>
      <c r="BD28" s="4633"/>
      <c r="BE28" s="4633"/>
      <c r="BF28" s="4633"/>
      <c r="BG28" s="4633"/>
      <c r="BH28" s="4633"/>
      <c r="BI28" s="4633"/>
      <c r="BJ28" s="4639"/>
      <c r="BK28" s="4639"/>
      <c r="BL28" s="4640"/>
      <c r="BM28" s="4640"/>
      <c r="BN28" s="4640"/>
      <c r="BO28" s="4640"/>
      <c r="BP28" s="4640"/>
      <c r="BQ28" s="4640"/>
      <c r="BR28" s="4640"/>
      <c r="BS28" s="4641">
        <v>237817800</v>
      </c>
      <c r="BT28" s="4641">
        <v>288657600.00000006</v>
      </c>
      <c r="BU28" s="4641">
        <v>0</v>
      </c>
      <c r="BV28" s="4641">
        <v>12202607.999999985</v>
      </c>
      <c r="BW28" s="4641">
        <v>0</v>
      </c>
      <c r="BX28" s="4641">
        <v>792000</v>
      </c>
      <c r="BY28" s="4641"/>
      <c r="BZ28" s="4641">
        <v>538678008</v>
      </c>
      <c r="CA28" s="4642"/>
      <c r="CB28" s="4642"/>
      <c r="CC28" s="4643" t="s">
        <v>3155</v>
      </c>
    </row>
    <row r="29" spans="2:99" ht="34" customHeight="1">
      <c r="B29" s="1078"/>
      <c r="C29" s="1078"/>
      <c r="D29" s="3494"/>
      <c r="E29" s="1078"/>
      <c r="G29" s="2104"/>
      <c r="H29" s="1281"/>
      <c r="I29" s="1281"/>
      <c r="J29" s="1281"/>
      <c r="K29" s="1281"/>
      <c r="L29" s="1281"/>
      <c r="M29" s="1281"/>
      <c r="N29" s="4644" t="s">
        <v>3156</v>
      </c>
      <c r="O29" s="4645"/>
      <c r="P29" s="4645"/>
      <c r="Q29" s="4646"/>
      <c r="R29" s="4646"/>
      <c r="S29" s="4647"/>
      <c r="T29" s="4648"/>
      <c r="U29" s="4648"/>
      <c r="V29" s="4648"/>
      <c r="W29" s="4648"/>
      <c r="X29" s="4648"/>
      <c r="Y29" s="4648"/>
      <c r="Z29" s="4648"/>
      <c r="AA29" s="4648"/>
      <c r="AB29" s="4648"/>
      <c r="AC29" s="4648"/>
      <c r="AD29" s="4648"/>
      <c r="AE29" s="4648"/>
      <c r="AF29" s="4645"/>
      <c r="AG29" s="4645"/>
      <c r="AH29" s="4649"/>
      <c r="AI29" s="4649"/>
      <c r="AJ29" s="4649"/>
      <c r="AK29" s="4649"/>
      <c r="AL29" s="4649"/>
      <c r="AM29" s="4649"/>
      <c r="AN29" s="4649"/>
      <c r="AO29" s="4649"/>
      <c r="AP29" s="4649"/>
      <c r="AQ29" s="4649"/>
      <c r="AR29" s="4649"/>
      <c r="AS29" s="4649"/>
      <c r="AT29" s="4649"/>
      <c r="AU29" s="4649"/>
      <c r="AV29" s="4649"/>
      <c r="AW29" s="4649"/>
      <c r="AX29" s="4650">
        <v>257</v>
      </c>
      <c r="AY29" s="4645"/>
      <c r="AZ29" s="4647"/>
      <c r="BA29" s="4645"/>
      <c r="BB29" s="4645"/>
      <c r="BC29" s="4645"/>
      <c r="BD29" s="4645"/>
      <c r="BE29" s="4645"/>
      <c r="BF29" s="4645"/>
      <c r="BG29" s="4645"/>
      <c r="BH29" s="4645"/>
      <c r="BI29" s="4645"/>
      <c r="BJ29" s="4651"/>
      <c r="BK29" s="4651"/>
      <c r="BL29" s="4652"/>
      <c r="BM29" s="4652"/>
      <c r="BN29" s="4652"/>
      <c r="BO29" s="4652"/>
      <c r="BP29" s="4652"/>
      <c r="BQ29" s="4652"/>
      <c r="BR29" s="4652"/>
      <c r="BS29" s="4653">
        <v>234300000</v>
      </c>
      <c r="BT29" s="4653">
        <v>0</v>
      </c>
      <c r="BU29" s="4653">
        <v>0</v>
      </c>
      <c r="BV29" s="4653">
        <v>60203792.000000015</v>
      </c>
      <c r="BW29" s="4653">
        <v>0</v>
      </c>
      <c r="BX29" s="4653">
        <v>0</v>
      </c>
      <c r="BY29" s="4653"/>
      <c r="BZ29" s="4653">
        <v>294503792</v>
      </c>
      <c r="CA29" s="4654"/>
      <c r="CB29" s="4654"/>
      <c r="CC29" s="4655" t="s">
        <v>3157</v>
      </c>
    </row>
    <row r="31" spans="2:99" ht="16">
      <c r="B31" s="3593" t="s">
        <v>3158</v>
      </c>
    </row>
    <row r="32" spans="2:99" ht="27.65" customHeight="1">
      <c r="B32" s="1053" t="s">
        <v>3159</v>
      </c>
      <c r="BJ32" t="s">
        <v>3139</v>
      </c>
      <c r="BK32" s="3965">
        <v>647755889</v>
      </c>
      <c r="BS32" s="4588" t="s">
        <v>2888</v>
      </c>
      <c r="BT32" s="4589"/>
      <c r="BU32" s="4590"/>
      <c r="BV32" s="4590"/>
      <c r="BW32" s="4590"/>
      <c r="BX32" s="4590"/>
      <c r="BY32" s="4590"/>
      <c r="BZ32" s="6509">
        <v>472117800</v>
      </c>
      <c r="CA32" s="6509"/>
      <c r="CB32" s="3965">
        <v>175638089</v>
      </c>
    </row>
    <row r="33" spans="2:80" ht="27.65" customHeight="1">
      <c r="B33" s="1550" t="s">
        <v>3160</v>
      </c>
      <c r="BJ33" t="s">
        <v>3139</v>
      </c>
      <c r="BK33" s="3965">
        <v>382709320</v>
      </c>
      <c r="BS33" s="4592" t="s">
        <v>2889</v>
      </c>
      <c r="BT33" s="4593"/>
      <c r="BU33" s="4594"/>
      <c r="BV33" s="4594"/>
      <c r="BW33" s="4594"/>
      <c r="BX33" s="4594"/>
      <c r="BY33" s="4594"/>
      <c r="BZ33" s="6509">
        <v>288657600.00000006</v>
      </c>
      <c r="CA33" s="6509"/>
      <c r="CB33" s="3965">
        <v>94051719.99999994</v>
      </c>
    </row>
    <row r="34" spans="2:80" ht="27.65" customHeight="1">
      <c r="B34" s="1550"/>
      <c r="BJ34" t="s">
        <v>3139</v>
      </c>
      <c r="BK34" s="3965">
        <v>77936100</v>
      </c>
      <c r="BS34" s="4595" t="s">
        <v>3140</v>
      </c>
      <c r="BT34" s="4596"/>
      <c r="BU34" s="4596"/>
      <c r="BV34" s="4596"/>
      <c r="BW34" s="4596"/>
      <c r="BX34" s="4596"/>
      <c r="BY34" s="4596"/>
      <c r="BZ34" s="4591">
        <v>72406400</v>
      </c>
      <c r="CA34" s="4591"/>
      <c r="CB34" s="3965">
        <v>5529700</v>
      </c>
    </row>
    <row r="35" spans="2:80" ht="27.65" customHeight="1">
      <c r="B35" s="1550"/>
      <c r="BJ35" t="s">
        <v>3139</v>
      </c>
      <c r="BK35" s="3965">
        <v>20066666.666666668</v>
      </c>
      <c r="BS35" s="4597" t="s">
        <v>3141</v>
      </c>
      <c r="BT35" s="4598"/>
      <c r="BU35" s="4598"/>
      <c r="BV35" s="4598"/>
      <c r="BW35" s="4598"/>
      <c r="BX35" s="4598"/>
      <c r="BY35" s="4598"/>
      <c r="BZ35" s="4591">
        <v>792000</v>
      </c>
      <c r="CA35" s="4591"/>
      <c r="CB35" s="3965">
        <v>19274666.666666668</v>
      </c>
    </row>
    <row r="36" spans="2:80" ht="27.65" customHeight="1" thickBot="1">
      <c r="B36" s="1550"/>
      <c r="BJ36" t="s">
        <v>3139</v>
      </c>
      <c r="BK36" s="3965">
        <v>22495110</v>
      </c>
      <c r="BS36" s="4592" t="s">
        <v>3115</v>
      </c>
      <c r="BT36" s="4594"/>
      <c r="BU36" s="4594"/>
      <c r="BV36" s="4594"/>
      <c r="BW36" s="4594"/>
      <c r="BX36" s="4594"/>
      <c r="BY36" s="4594"/>
      <c r="BZ36" s="4591">
        <v>20944000</v>
      </c>
      <c r="CA36" s="4591"/>
      <c r="CB36" s="3965">
        <v>1551110</v>
      </c>
    </row>
    <row r="37" spans="2:80" ht="27.65" customHeight="1" thickTop="1">
      <c r="B37" s="1550" t="s">
        <v>3161</v>
      </c>
      <c r="BJ37" t="s">
        <v>3139</v>
      </c>
      <c r="BK37" s="3965">
        <v>1150963085.6666667</v>
      </c>
      <c r="BS37" s="4599" t="s">
        <v>2890</v>
      </c>
      <c r="BT37" s="4599"/>
      <c r="BU37" s="4600"/>
      <c r="BV37" s="4600"/>
      <c r="BW37" s="4600"/>
      <c r="BX37" s="4600"/>
      <c r="BY37" s="4600"/>
      <c r="BZ37" s="6510">
        <v>854917800</v>
      </c>
      <c r="CA37" s="6510"/>
      <c r="CB37" s="3965">
        <v>296045285.66666675</v>
      </c>
    </row>
    <row r="38" spans="2:80" ht="16">
      <c r="B38" s="1550" t="s">
        <v>3162</v>
      </c>
    </row>
  </sheetData>
  <mergeCells count="59">
    <mergeCell ref="B1:BI1"/>
    <mergeCell ref="B2:C4"/>
    <mergeCell ref="D2:F4"/>
    <mergeCell ref="G2:H3"/>
    <mergeCell ref="I2:BI2"/>
    <mergeCell ref="P3:AG3"/>
    <mergeCell ref="AH3:AZ3"/>
    <mergeCell ref="BA3:BB3"/>
    <mergeCell ref="BC3:BD3"/>
    <mergeCell ref="BE3:BG3"/>
    <mergeCell ref="BZ16:CA16"/>
    <mergeCell ref="BP3:BP4"/>
    <mergeCell ref="BQ3:BQ4"/>
    <mergeCell ref="BR3:BR4"/>
    <mergeCell ref="BS3:BS4"/>
    <mergeCell ref="BT3:BT4"/>
    <mergeCell ref="BZ3:BZ4"/>
    <mergeCell ref="CA3:CA4"/>
    <mergeCell ref="CB3:CB4"/>
    <mergeCell ref="CC3:CC4"/>
    <mergeCell ref="G13:H13"/>
    <mergeCell ref="BZ15:CA15"/>
    <mergeCell ref="BJ3:BJ4"/>
    <mergeCell ref="BK3:BK4"/>
    <mergeCell ref="BL3:BL4"/>
    <mergeCell ref="BM3:BM4"/>
    <mergeCell ref="BN3:BN4"/>
    <mergeCell ref="BO3:BO4"/>
    <mergeCell ref="BL25:BL26"/>
    <mergeCell ref="BZ17:CA17"/>
    <mergeCell ref="BZ20:CA20"/>
    <mergeCell ref="B25:B26"/>
    <mergeCell ref="D25:F26"/>
    <mergeCell ref="G25:G26"/>
    <mergeCell ref="H25:I25"/>
    <mergeCell ref="J25:J26"/>
    <mergeCell ref="N25:N26"/>
    <mergeCell ref="P25:AG25"/>
    <mergeCell ref="AH25:AZ25"/>
    <mergeCell ref="BA25:BB25"/>
    <mergeCell ref="BC25:BD25"/>
    <mergeCell ref="BE25:BG25"/>
    <mergeCell ref="BJ25:BJ26"/>
    <mergeCell ref="BK25:BK26"/>
    <mergeCell ref="CB25:CB26"/>
    <mergeCell ref="CC25:CC26"/>
    <mergeCell ref="BM25:BM26"/>
    <mergeCell ref="BN25:BN26"/>
    <mergeCell ref="BO25:BO26"/>
    <mergeCell ref="BP25:BP26"/>
    <mergeCell ref="BQ25:BQ26"/>
    <mergeCell ref="BR25:BR26"/>
    <mergeCell ref="BZ32:CA32"/>
    <mergeCell ref="BZ33:CA33"/>
    <mergeCell ref="BZ37:CA37"/>
    <mergeCell ref="BS25:BS26"/>
    <mergeCell ref="BT25:BT26"/>
    <mergeCell ref="BZ25:BZ26"/>
    <mergeCell ref="CA25:CA26"/>
  </mergeCells>
  <phoneticPr fontId="2"/>
  <dataValidations count="2">
    <dataValidation type="list" showInputMessage="1" showErrorMessage="1" sqref="BJ9 BJ5 BJ7 BJ27:BJ29 BJ11:BJ12" xr:uid="{B9A88A2A-F69E-4884-81EC-3C4BE86A6505}">
      <formula1>"契約済,契約書提示中,契約書提示前"</formula1>
    </dataValidation>
    <dataValidation type="list" allowBlank="1" showInputMessage="1" showErrorMessage="1" sqref="BK9 BK5 BK7 BK27:BK29 BK11:BK12" xr:uid="{886D6E15-9C54-4D98-942F-BF4C32B71DBB}">
      <formula1>"見積取得済,見積依頼中,見積依頼前"</formula1>
    </dataValidation>
  </dataValidations>
  <printOptions horizontalCentered="1"/>
  <pageMargins left="0.70866141732283472" right="0.70866141732283472" top="0.74803149606299213" bottom="0.74803149606299213" header="0.31496062992125984" footer="0.31496062992125984"/>
  <pageSetup paperSize="8" scale="31"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FF6DE-2D06-41DE-B70D-3F3588FC768F}">
  <sheetPr codeName="Sheet230">
    <tabColor rgb="FFFF0000"/>
    <pageSetUpPr fitToPage="1"/>
  </sheetPr>
  <dimension ref="A1:BS286"/>
  <sheetViews>
    <sheetView zoomScale="55" zoomScaleNormal="55" workbookViewId="0">
      <pane xSplit="2" ySplit="1" topLeftCell="BB40" activePane="bottomRight" state="frozen"/>
      <selection pane="topRight" activeCell="C1" sqref="C1"/>
      <selection pane="bottomLeft" activeCell="A2" sqref="A2"/>
      <selection pane="bottomRight" activeCell="BM65" sqref="BM65"/>
    </sheetView>
  </sheetViews>
  <sheetFormatPr defaultRowHeight="13.5" customHeight="1"/>
  <cols>
    <col min="1" max="1" width="7.7265625" bestFit="1" customWidth="1"/>
    <col min="2" max="2" width="52.453125" customWidth="1"/>
    <col min="3" max="8" width="13.453125" style="864" customWidth="1"/>
    <col min="9" max="10" width="14.453125" style="864" hidden="1" customWidth="1"/>
    <col min="11" max="11" width="14.453125" style="864" customWidth="1"/>
    <col min="12" max="13" width="15.81640625" style="864" hidden="1" customWidth="1"/>
    <col min="14" max="17" width="15.81640625" style="1959" hidden="1" customWidth="1"/>
    <col min="18" max="18" width="10.453125" style="1959" hidden="1" customWidth="1"/>
    <col min="19" max="19" width="15.81640625" style="2476" hidden="1" customWidth="1"/>
    <col min="20" max="20" width="15.81640625" style="1959" customWidth="1"/>
    <col min="21" max="21" width="15.81640625" style="1959" hidden="1" customWidth="1"/>
    <col min="22" max="22" width="15.453125" style="1959" customWidth="1"/>
    <col min="23" max="23" width="17.453125" style="1959" hidden="1" customWidth="1"/>
    <col min="24" max="24" width="17.7265625" style="863" hidden="1" customWidth="1"/>
    <col min="25" max="25" width="17.7265625" style="863" customWidth="1"/>
    <col min="26" max="26" width="17.7265625" style="863" hidden="1" customWidth="1"/>
    <col min="27" max="27" width="15.54296875" style="863" customWidth="1"/>
    <col min="28" max="30" width="15.54296875" style="863" hidden="1" customWidth="1"/>
    <col min="31" max="31" width="14.81640625" style="863" hidden="1" customWidth="1"/>
    <col min="32" max="32" width="15.54296875" style="863" hidden="1" customWidth="1"/>
    <col min="33" max="34" width="13.453125" customWidth="1"/>
    <col min="35" max="35" width="8.81640625" hidden="1" customWidth="1"/>
    <col min="36" max="36" width="14.54296875" style="2814" customWidth="1"/>
    <col min="37" max="37" width="15.81640625" style="2814" customWidth="1"/>
    <col min="38" max="43" width="12.81640625" customWidth="1"/>
    <col min="44" max="44" width="17" hidden="1" customWidth="1"/>
    <col min="45" max="46" width="15.453125" hidden="1" customWidth="1"/>
    <col min="47" max="47" width="17.1796875" hidden="1" customWidth="1"/>
    <col min="48" max="48" width="15.453125" hidden="1" customWidth="1"/>
    <col min="49" max="54" width="13.1796875" customWidth="1"/>
    <col min="55" max="60" width="15.54296875" style="1958" customWidth="1"/>
    <col min="61" max="70" width="12.81640625" style="1958" customWidth="1"/>
    <col min="71" max="71" width="66.453125" style="864" bestFit="1" customWidth="1"/>
  </cols>
  <sheetData>
    <row r="1" spans="1:71" ht="47.5" customHeight="1">
      <c r="A1" t="s">
        <v>3163</v>
      </c>
      <c r="B1" s="3947" t="s">
        <v>2842</v>
      </c>
      <c r="C1" s="2691" t="s">
        <v>3164</v>
      </c>
      <c r="D1" s="2691" t="s">
        <v>3165</v>
      </c>
      <c r="E1" s="2691" t="s">
        <v>3166</v>
      </c>
      <c r="F1" s="3943" t="s">
        <v>3167</v>
      </c>
      <c r="G1" s="3944" t="s">
        <v>3168</v>
      </c>
      <c r="H1" s="3945" t="s">
        <v>3169</v>
      </c>
      <c r="I1" s="2751" t="s">
        <v>3170</v>
      </c>
      <c r="J1" s="3993" t="s">
        <v>3171</v>
      </c>
      <c r="K1" s="2751" t="s">
        <v>3172</v>
      </c>
      <c r="L1" s="2971" t="s">
        <v>3173</v>
      </c>
      <c r="M1" s="2752" t="s">
        <v>3174</v>
      </c>
      <c r="N1" s="2975" t="s">
        <v>3175</v>
      </c>
      <c r="O1" s="2975" t="s">
        <v>3176</v>
      </c>
      <c r="P1" s="2976" t="s">
        <v>3177</v>
      </c>
      <c r="Q1" s="2975" t="s">
        <v>3178</v>
      </c>
      <c r="R1" s="2975" t="s">
        <v>3179</v>
      </c>
      <c r="S1" s="2977" t="s">
        <v>3180</v>
      </c>
      <c r="T1" s="2642" t="s">
        <v>3181</v>
      </c>
      <c r="U1" s="2970" t="s">
        <v>3182</v>
      </c>
      <c r="V1" s="2754" t="s">
        <v>3183</v>
      </c>
      <c r="W1" s="2754"/>
      <c r="X1" s="3955" t="s">
        <v>3184</v>
      </c>
      <c r="Y1" s="3956" t="s">
        <v>3185</v>
      </c>
      <c r="Z1" s="3957" t="s">
        <v>3186</v>
      </c>
      <c r="AA1" s="3956" t="s">
        <v>3187</v>
      </c>
      <c r="AB1" s="3956" t="s">
        <v>3188</v>
      </c>
      <c r="AC1" s="3956" t="s">
        <v>3189</v>
      </c>
      <c r="AD1" s="3958" t="s">
        <v>3190</v>
      </c>
      <c r="AE1" s="3959" t="s">
        <v>3191</v>
      </c>
      <c r="AF1" s="3960" t="s">
        <v>3192</v>
      </c>
      <c r="AG1" s="3961" t="s">
        <v>3193</v>
      </c>
      <c r="AH1" s="3962" t="s">
        <v>3194</v>
      </c>
      <c r="AI1" s="2971" t="s">
        <v>3195</v>
      </c>
      <c r="AJ1" s="3963" t="s">
        <v>3196</v>
      </c>
      <c r="AK1" s="3964" t="s">
        <v>6999</v>
      </c>
      <c r="AL1" s="2702" t="s">
        <v>3197</v>
      </c>
      <c r="AM1" s="2702" t="s">
        <v>3198</v>
      </c>
      <c r="AN1" s="2702" t="s">
        <v>3199</v>
      </c>
      <c r="AO1" s="3950" t="s">
        <v>3200</v>
      </c>
      <c r="AP1" s="3951" t="s">
        <v>3201</v>
      </c>
      <c r="AQ1" s="3952" t="s">
        <v>3202</v>
      </c>
      <c r="AR1" s="3931" t="s">
        <v>3203</v>
      </c>
      <c r="AS1" s="3931" t="s">
        <v>3204</v>
      </c>
      <c r="AT1" s="3931" t="s">
        <v>3205</v>
      </c>
      <c r="AU1" s="3931" t="s">
        <v>3206</v>
      </c>
      <c r="AV1" s="3931" t="s">
        <v>3207</v>
      </c>
      <c r="AW1" s="2691" t="s">
        <v>3208</v>
      </c>
      <c r="AX1" s="2691" t="s">
        <v>3209</v>
      </c>
      <c r="AY1" s="2691" t="s">
        <v>3210</v>
      </c>
      <c r="AZ1" s="3943" t="s">
        <v>3211</v>
      </c>
      <c r="BA1" s="3944" t="s">
        <v>3212</v>
      </c>
      <c r="BB1" s="3945" t="s">
        <v>3213</v>
      </c>
      <c r="BC1" s="882" t="s">
        <v>3214</v>
      </c>
      <c r="BD1" s="882" t="s">
        <v>3215</v>
      </c>
      <c r="BE1" s="882" t="s">
        <v>3216</v>
      </c>
      <c r="BF1" s="3983" t="s">
        <v>3217</v>
      </c>
      <c r="BG1" s="3984" t="s">
        <v>3218</v>
      </c>
      <c r="BH1" s="3984" t="s">
        <v>3219</v>
      </c>
      <c r="BI1" s="3933" t="s">
        <v>3220</v>
      </c>
      <c r="BJ1" s="3934" t="s">
        <v>3221</v>
      </c>
      <c r="BK1" s="3985" t="s">
        <v>3222</v>
      </c>
      <c r="BL1" s="3935" t="s">
        <v>3223</v>
      </c>
      <c r="BM1" s="3935" t="s">
        <v>3224</v>
      </c>
      <c r="BN1" s="3936" t="s">
        <v>3225</v>
      </c>
      <c r="BO1" s="3959" t="s">
        <v>3226</v>
      </c>
      <c r="BP1" s="3987" t="s">
        <v>3227</v>
      </c>
      <c r="BQ1" s="3996" t="s">
        <v>3228</v>
      </c>
      <c r="BR1" s="3996" t="s">
        <v>7014</v>
      </c>
      <c r="BS1" s="864" t="s">
        <v>3229</v>
      </c>
    </row>
    <row r="2" spans="1:71" ht="13">
      <c r="A2">
        <v>1</v>
      </c>
      <c r="B2" s="3979" t="s">
        <v>3230</v>
      </c>
      <c r="C2" s="2694" t="s">
        <v>2129</v>
      </c>
      <c r="D2" s="2694" t="s">
        <v>2129</v>
      </c>
      <c r="E2" s="2694" t="s">
        <v>2129</v>
      </c>
      <c r="F2" s="3974" t="s">
        <v>3791</v>
      </c>
      <c r="G2" s="3975" t="s">
        <v>2129</v>
      </c>
      <c r="H2" s="3976" t="s">
        <v>2129</v>
      </c>
      <c r="I2" s="2694">
        <v>2</v>
      </c>
      <c r="J2" s="3992" t="s">
        <v>3481</v>
      </c>
      <c r="K2" s="2694">
        <v>1</v>
      </c>
      <c r="L2" s="2694" t="b">
        <v>1</v>
      </c>
      <c r="M2" s="2694" t="s">
        <v>2129</v>
      </c>
      <c r="N2" s="2477">
        <v>211765</v>
      </c>
      <c r="O2" s="2477">
        <v>3530</v>
      </c>
      <c r="P2" s="2477">
        <v>0</v>
      </c>
      <c r="Q2" s="2477">
        <v>0</v>
      </c>
      <c r="R2" s="2477">
        <v>0</v>
      </c>
      <c r="S2" s="2695">
        <v>236824.50000000003</v>
      </c>
      <c r="T2" s="2477">
        <v>469766</v>
      </c>
      <c r="U2" s="2477" t="b">
        <v>1</v>
      </c>
      <c r="V2" s="2477">
        <v>469766</v>
      </c>
      <c r="W2" s="2477">
        <v>602444</v>
      </c>
      <c r="X2" s="3937">
        <v>1449448</v>
      </c>
      <c r="Y2" s="3938">
        <v>847004</v>
      </c>
      <c r="Z2" s="3938" t="b">
        <v>1</v>
      </c>
      <c r="AA2" s="3938">
        <v>22892</v>
      </c>
      <c r="AB2" s="3938"/>
      <c r="AC2" s="3938"/>
      <c r="AD2" s="3938" t="s">
        <v>2129</v>
      </c>
      <c r="AE2" s="3938"/>
      <c r="AF2" s="3938"/>
      <c r="AG2">
        <v>75</v>
      </c>
      <c r="AH2" s="3965">
        <v>37</v>
      </c>
      <c r="AI2" s="3938" t="b">
        <v>1</v>
      </c>
      <c r="AJ2">
        <v>44</v>
      </c>
      <c r="AK2" s="3966">
        <v>19251</v>
      </c>
      <c r="AL2" s="2814" t="s">
        <v>2129</v>
      </c>
      <c r="AM2" s="2814" t="s">
        <v>2129</v>
      </c>
      <c r="AN2" s="2814" t="s">
        <v>2129</v>
      </c>
      <c r="AO2" s="3953">
        <v>545</v>
      </c>
      <c r="AP2" s="2814" t="s">
        <v>2129</v>
      </c>
      <c r="AQ2" s="3954" t="s">
        <v>2129</v>
      </c>
      <c r="AR2" t="s">
        <v>2129</v>
      </c>
      <c r="AS2" t="s">
        <v>2129</v>
      </c>
      <c r="AU2">
        <v>508</v>
      </c>
      <c r="AW2" t="s">
        <v>2129</v>
      </c>
      <c r="AX2" t="s">
        <v>2129</v>
      </c>
      <c r="AY2" t="s">
        <v>2129</v>
      </c>
      <c r="AZ2" s="3946">
        <v>16</v>
      </c>
      <c r="BA2" t="s">
        <v>2129</v>
      </c>
      <c r="BB2" s="3947" t="s">
        <v>2129</v>
      </c>
      <c r="BC2" s="1958" t="s">
        <v>2129</v>
      </c>
      <c r="BD2" s="1958" t="s">
        <v>2129</v>
      </c>
      <c r="BE2" s="1958" t="s">
        <v>2129</v>
      </c>
      <c r="BF2" s="3937">
        <v>10491795</v>
      </c>
      <c r="BG2" s="3938" t="s">
        <v>2129</v>
      </c>
      <c r="BH2" s="3938" t="s">
        <v>2129</v>
      </c>
      <c r="BI2" s="3937" t="s">
        <v>2129</v>
      </c>
      <c r="BJ2" s="3938" t="s">
        <v>2129</v>
      </c>
      <c r="BK2" s="3939" t="s">
        <v>2129</v>
      </c>
      <c r="BL2" s="3938">
        <v>7516256</v>
      </c>
      <c r="BM2" s="3938" t="s">
        <v>2129</v>
      </c>
      <c r="BN2" s="3939" t="s">
        <v>2129</v>
      </c>
      <c r="BO2" s="3937" t="s">
        <v>2129</v>
      </c>
      <c r="BP2" s="3988">
        <v>6676250</v>
      </c>
      <c r="BQ2" s="3988"/>
      <c r="BR2" s="3988"/>
      <c r="BS2" s="2694"/>
    </row>
    <row r="3" spans="1:71" ht="13">
      <c r="A3">
        <v>2</v>
      </c>
      <c r="B3" s="3979" t="s">
        <v>3231</v>
      </c>
      <c r="C3" s="2694" t="s">
        <v>2129</v>
      </c>
      <c r="D3" s="2694" t="s">
        <v>2129</v>
      </c>
      <c r="E3" s="2694" t="s">
        <v>2129</v>
      </c>
      <c r="F3" s="3974" t="s">
        <v>2129</v>
      </c>
      <c r="G3" s="3975" t="s">
        <v>2129</v>
      </c>
      <c r="H3" s="3976" t="s">
        <v>2129</v>
      </c>
      <c r="I3" s="2694">
        <v>0</v>
      </c>
      <c r="J3" s="3992" t="s">
        <v>2854</v>
      </c>
      <c r="K3" s="2694">
        <v>0</v>
      </c>
      <c r="L3" s="2694" t="b">
        <v>1</v>
      </c>
      <c r="M3" s="2694" t="s">
        <v>2129</v>
      </c>
      <c r="N3" s="2477">
        <v>0</v>
      </c>
      <c r="O3" s="2477">
        <v>0</v>
      </c>
      <c r="P3" s="2477">
        <v>0</v>
      </c>
      <c r="Q3" s="2477">
        <v>0</v>
      </c>
      <c r="R3" s="2477">
        <v>0</v>
      </c>
      <c r="S3" s="2695">
        <v>0</v>
      </c>
      <c r="T3" s="2477">
        <v>0</v>
      </c>
      <c r="U3" s="2477" t="b">
        <v>1</v>
      </c>
      <c r="V3" s="2477" t="s">
        <v>2129</v>
      </c>
      <c r="W3" s="2477">
        <v>0</v>
      </c>
      <c r="X3" s="3937">
        <v>886127</v>
      </c>
      <c r="Y3" s="3938">
        <v>886127</v>
      </c>
      <c r="Z3" s="3938" t="b">
        <v>1</v>
      </c>
      <c r="AA3" s="3938">
        <v>7639.0258620689656</v>
      </c>
      <c r="AB3" s="3938"/>
      <c r="AC3" s="3938"/>
      <c r="AD3" s="3938" t="s">
        <v>2129</v>
      </c>
      <c r="AE3" s="3938"/>
      <c r="AF3" s="3938"/>
      <c r="AG3">
        <v>116</v>
      </c>
      <c r="AH3" s="3965">
        <v>116</v>
      </c>
      <c r="AI3" s="3965" t="b">
        <v>1</v>
      </c>
      <c r="AJ3">
        <v>122</v>
      </c>
      <c r="AK3" s="3966">
        <v>7264</v>
      </c>
      <c r="AL3" s="2814" t="s">
        <v>2129</v>
      </c>
      <c r="AM3" s="2814" t="s">
        <v>2129</v>
      </c>
      <c r="AN3" s="2814" t="s">
        <v>2129</v>
      </c>
      <c r="AO3" s="3953" t="s">
        <v>2129</v>
      </c>
      <c r="AP3" s="2814" t="s">
        <v>2129</v>
      </c>
      <c r="AQ3" s="3954" t="s">
        <v>2129</v>
      </c>
      <c r="AR3" t="s">
        <v>2129</v>
      </c>
      <c r="AS3" t="s">
        <v>2129</v>
      </c>
      <c r="AU3" t="s">
        <v>2129</v>
      </c>
      <c r="AW3" t="s">
        <v>2129</v>
      </c>
      <c r="AX3" t="s">
        <v>2129</v>
      </c>
      <c r="AY3" t="s">
        <v>2129</v>
      </c>
      <c r="AZ3" s="3946" t="s">
        <v>2129</v>
      </c>
      <c r="BA3" t="s">
        <v>2129</v>
      </c>
      <c r="BB3" s="3947" t="s">
        <v>2129</v>
      </c>
      <c r="BC3" s="1958" t="s">
        <v>2129</v>
      </c>
      <c r="BD3" s="1958" t="s">
        <v>2129</v>
      </c>
      <c r="BE3" s="1958" t="s">
        <v>2129</v>
      </c>
      <c r="BF3" s="3937" t="s">
        <v>2129</v>
      </c>
      <c r="BG3" s="3938" t="s">
        <v>2129</v>
      </c>
      <c r="BH3" s="3938" t="s">
        <v>2129</v>
      </c>
      <c r="BI3" s="3937" t="s">
        <v>2129</v>
      </c>
      <c r="BJ3" s="3938" t="s">
        <v>2129</v>
      </c>
      <c r="BK3" s="3939" t="s">
        <v>2129</v>
      </c>
      <c r="BL3" s="3938" t="s">
        <v>2129</v>
      </c>
      <c r="BM3" s="3938" t="s">
        <v>2129</v>
      </c>
      <c r="BN3" s="3939" t="s">
        <v>2129</v>
      </c>
      <c r="BO3" s="3937" t="s">
        <v>2129</v>
      </c>
      <c r="BP3" s="3988" t="s">
        <v>2129</v>
      </c>
      <c r="BQ3" s="3988"/>
      <c r="BR3" s="3988"/>
      <c r="BS3" s="2694"/>
    </row>
    <row r="4" spans="1:71" ht="13">
      <c r="A4">
        <v>4</v>
      </c>
      <c r="B4" s="3979" t="s">
        <v>3232</v>
      </c>
      <c r="C4" s="2694" t="s">
        <v>3791</v>
      </c>
      <c r="D4" s="2694" t="s">
        <v>2129</v>
      </c>
      <c r="E4" s="2694" t="s">
        <v>2129</v>
      </c>
      <c r="F4" s="3974" t="s">
        <v>3791</v>
      </c>
      <c r="G4" s="3975" t="s">
        <v>2129</v>
      </c>
      <c r="H4" s="3976" t="s">
        <v>2129</v>
      </c>
      <c r="I4" s="2694">
        <v>0</v>
      </c>
      <c r="J4" s="3992" t="s">
        <v>2854</v>
      </c>
      <c r="K4" s="2694">
        <v>0</v>
      </c>
      <c r="L4" s="2694" t="b">
        <v>1</v>
      </c>
      <c r="M4" s="2694" t="s">
        <v>2129</v>
      </c>
      <c r="N4" s="2477">
        <v>0</v>
      </c>
      <c r="O4" s="2477">
        <v>0</v>
      </c>
      <c r="P4" s="2477">
        <v>0</v>
      </c>
      <c r="Q4" s="2477">
        <v>0</v>
      </c>
      <c r="R4" s="2477">
        <v>0</v>
      </c>
      <c r="S4" s="2695">
        <v>0</v>
      </c>
      <c r="T4" s="2477">
        <v>0</v>
      </c>
      <c r="U4" s="2477" t="b">
        <v>1</v>
      </c>
      <c r="V4" s="2477" t="s">
        <v>2129</v>
      </c>
      <c r="W4" s="2477">
        <v>320512</v>
      </c>
      <c r="X4" s="3937">
        <v>1267612</v>
      </c>
      <c r="Y4" s="3938">
        <v>947100</v>
      </c>
      <c r="Z4" s="3938" t="b">
        <v>1</v>
      </c>
      <c r="AA4" s="3938">
        <v>20151.063829787236</v>
      </c>
      <c r="AB4" s="3938"/>
      <c r="AC4" s="3938"/>
      <c r="AD4" s="3938">
        <v>652.58733549231727</v>
      </c>
      <c r="AE4" s="3938"/>
      <c r="AF4" s="3938"/>
      <c r="AG4">
        <v>149</v>
      </c>
      <c r="AH4" s="3965">
        <v>47</v>
      </c>
      <c r="AI4" s="3965" t="b">
        <v>1</v>
      </c>
      <c r="AJ4">
        <v>47</v>
      </c>
      <c r="AK4" s="3966">
        <v>20152</v>
      </c>
      <c r="AL4" s="2814">
        <v>1262</v>
      </c>
      <c r="AM4" s="2814" t="s">
        <v>2129</v>
      </c>
      <c r="AN4" s="2814" t="s">
        <v>2129</v>
      </c>
      <c r="AO4" s="3953">
        <v>780</v>
      </c>
      <c r="AP4" s="2814" t="s">
        <v>2129</v>
      </c>
      <c r="AQ4" s="3954" t="s">
        <v>2129</v>
      </c>
      <c r="AR4">
        <v>1215</v>
      </c>
      <c r="AS4" t="s">
        <v>2129</v>
      </c>
      <c r="AU4">
        <v>733</v>
      </c>
      <c r="AW4">
        <v>15</v>
      </c>
      <c r="AX4" t="s">
        <v>2129</v>
      </c>
      <c r="AY4" t="s">
        <v>2129</v>
      </c>
      <c r="AZ4" s="3946">
        <v>11</v>
      </c>
      <c r="BA4" t="s">
        <v>2129</v>
      </c>
      <c r="BB4" s="3947" t="s">
        <v>2129</v>
      </c>
      <c r="BC4" s="1958">
        <v>25431824</v>
      </c>
      <c r="BD4" s="1958" t="s">
        <v>2129</v>
      </c>
      <c r="BE4" s="1958" t="s">
        <v>2129</v>
      </c>
      <c r="BF4" s="3937">
        <v>15718560</v>
      </c>
      <c r="BG4" s="3938" t="s">
        <v>2129</v>
      </c>
      <c r="BH4" s="3938" t="s">
        <v>2129</v>
      </c>
      <c r="BI4" s="3937" t="s">
        <v>2129</v>
      </c>
      <c r="BJ4" s="3938" t="s">
        <v>2129</v>
      </c>
      <c r="BK4" s="3939" t="s">
        <v>2129</v>
      </c>
      <c r="BL4" s="3938" t="s">
        <v>2129</v>
      </c>
      <c r="BM4" s="3938" t="s">
        <v>2129</v>
      </c>
      <c r="BN4" s="3939" t="s">
        <v>2129</v>
      </c>
      <c r="BO4" s="3937">
        <v>15459500</v>
      </c>
      <c r="BP4" s="3988">
        <v>9555000</v>
      </c>
      <c r="BQ4" s="3988"/>
      <c r="BR4" s="3988"/>
      <c r="BS4" s="2694"/>
    </row>
    <row r="5" spans="1:71" ht="13">
      <c r="A5">
        <v>7</v>
      </c>
      <c r="B5" s="3979" t="s">
        <v>3233</v>
      </c>
      <c r="C5" s="2694" t="s">
        <v>2129</v>
      </c>
      <c r="D5" s="2694" t="s">
        <v>2129</v>
      </c>
      <c r="E5" s="2694" t="s">
        <v>2129</v>
      </c>
      <c r="F5" s="3974" t="s">
        <v>2129</v>
      </c>
      <c r="G5" s="3975" t="s">
        <v>2129</v>
      </c>
      <c r="H5" s="3976" t="s">
        <v>2129</v>
      </c>
      <c r="I5" s="2694">
        <v>1</v>
      </c>
      <c r="J5" s="3992" t="s">
        <v>3592</v>
      </c>
      <c r="K5" s="2694">
        <v>1</v>
      </c>
      <c r="L5" s="2694" t="b">
        <v>1</v>
      </c>
      <c r="M5" s="2694" t="s">
        <v>2129</v>
      </c>
      <c r="N5" s="2477">
        <v>35295</v>
      </c>
      <c r="O5" s="2477">
        <v>0</v>
      </c>
      <c r="P5" s="2477">
        <v>0</v>
      </c>
      <c r="Q5" s="2477">
        <v>0</v>
      </c>
      <c r="R5" s="2477">
        <v>0</v>
      </c>
      <c r="S5" s="2695">
        <v>38824.5</v>
      </c>
      <c r="T5" s="2477">
        <v>38824</v>
      </c>
      <c r="U5" s="2477" t="b">
        <v>1</v>
      </c>
      <c r="V5" s="2477">
        <v>38824</v>
      </c>
      <c r="W5" s="2477">
        <v>0</v>
      </c>
      <c r="X5" s="3937">
        <v>565434</v>
      </c>
      <c r="Y5" s="3938">
        <v>565434</v>
      </c>
      <c r="Z5" s="3938" t="b">
        <v>1</v>
      </c>
      <c r="AA5" s="3938">
        <v>12850.772727272728</v>
      </c>
      <c r="AB5" s="3938"/>
      <c r="AC5" s="3938"/>
      <c r="AD5" s="3938" t="s">
        <v>2129</v>
      </c>
      <c r="AE5" s="3938"/>
      <c r="AF5" s="3938"/>
      <c r="AG5">
        <v>44</v>
      </c>
      <c r="AH5" s="3965">
        <v>44</v>
      </c>
      <c r="AI5" s="3965" t="b">
        <v>1</v>
      </c>
      <c r="AJ5">
        <v>44</v>
      </c>
      <c r="AK5" s="3966">
        <v>12851</v>
      </c>
      <c r="AL5" s="2814" t="s">
        <v>2129</v>
      </c>
      <c r="AM5" s="2814" t="s">
        <v>2129</v>
      </c>
      <c r="AN5" s="2814" t="s">
        <v>2129</v>
      </c>
      <c r="AO5" s="3953" t="s">
        <v>2129</v>
      </c>
      <c r="AP5" s="2814" t="s">
        <v>2129</v>
      </c>
      <c r="AQ5" s="3954" t="s">
        <v>2129</v>
      </c>
      <c r="AR5" t="s">
        <v>2129</v>
      </c>
      <c r="AS5" t="s">
        <v>2129</v>
      </c>
      <c r="AU5" t="s">
        <v>2129</v>
      </c>
      <c r="AW5" t="s">
        <v>2129</v>
      </c>
      <c r="AX5" t="s">
        <v>2129</v>
      </c>
      <c r="AY5" t="s">
        <v>2129</v>
      </c>
      <c r="AZ5" s="3946" t="s">
        <v>2129</v>
      </c>
      <c r="BA5" t="s">
        <v>2129</v>
      </c>
      <c r="BB5" s="3947" t="s">
        <v>2129</v>
      </c>
      <c r="BC5" s="1958" t="s">
        <v>2129</v>
      </c>
      <c r="BD5" s="1958" t="s">
        <v>2129</v>
      </c>
      <c r="BE5" s="1958" t="s">
        <v>2129</v>
      </c>
      <c r="BF5" s="3937" t="s">
        <v>2129</v>
      </c>
      <c r="BG5" s="3938" t="s">
        <v>2129</v>
      </c>
      <c r="BH5" s="3938" t="s">
        <v>2129</v>
      </c>
      <c r="BI5" s="3937" t="s">
        <v>2129</v>
      </c>
      <c r="BJ5" s="3938" t="s">
        <v>2129</v>
      </c>
      <c r="BK5" s="3939" t="s">
        <v>2129</v>
      </c>
      <c r="BL5" s="3938" t="s">
        <v>2129</v>
      </c>
      <c r="BM5" s="3938" t="s">
        <v>2129</v>
      </c>
      <c r="BN5" s="3939" t="s">
        <v>2129</v>
      </c>
      <c r="BO5" s="3937" t="s">
        <v>2129</v>
      </c>
      <c r="BP5" s="3988" t="s">
        <v>2129</v>
      </c>
      <c r="BQ5" s="3988"/>
      <c r="BR5" s="3988"/>
      <c r="BS5" s="2694"/>
    </row>
    <row r="6" spans="1:71" ht="13">
      <c r="A6">
        <v>8</v>
      </c>
      <c r="B6" s="3979" t="s">
        <v>3234</v>
      </c>
      <c r="C6" s="2694" t="s">
        <v>3791</v>
      </c>
      <c r="D6" s="2694" t="s">
        <v>2129</v>
      </c>
      <c r="E6" s="2694" t="s">
        <v>2129</v>
      </c>
      <c r="F6" s="3974" t="s">
        <v>2129</v>
      </c>
      <c r="G6" s="3975" t="s">
        <v>2129</v>
      </c>
      <c r="H6" s="3976" t="s">
        <v>2129</v>
      </c>
      <c r="I6" s="2694">
        <v>10</v>
      </c>
      <c r="J6" s="3992" t="s">
        <v>3474</v>
      </c>
      <c r="K6" s="2694">
        <v>2</v>
      </c>
      <c r="L6" s="2694" t="b">
        <v>1</v>
      </c>
      <c r="M6" s="2694" t="s">
        <v>2129</v>
      </c>
      <c r="N6" s="2477">
        <v>1714708</v>
      </c>
      <c r="O6" s="2477">
        <v>82355</v>
      </c>
      <c r="P6" s="2477">
        <v>0</v>
      </c>
      <c r="Q6" s="2477">
        <v>0</v>
      </c>
      <c r="R6" s="2477">
        <v>0</v>
      </c>
      <c r="S6" s="2695">
        <v>1976769.3</v>
      </c>
      <c r="T6" s="2477">
        <v>1897358</v>
      </c>
      <c r="U6" s="2477" t="b">
        <v>1</v>
      </c>
      <c r="V6" s="2477">
        <v>948679</v>
      </c>
      <c r="W6" s="2477">
        <v>-736908</v>
      </c>
      <c r="X6" s="3937">
        <v>1014292</v>
      </c>
      <c r="Y6" s="3938">
        <v>1751200</v>
      </c>
      <c r="Z6" s="3938" t="b">
        <v>1</v>
      </c>
      <c r="AA6" s="3938">
        <v>25379.710144927536</v>
      </c>
      <c r="AB6" s="3938"/>
      <c r="AC6" s="3938"/>
      <c r="AD6" s="3938">
        <v>1383.0904711132173</v>
      </c>
      <c r="AE6" s="3938"/>
      <c r="AF6" s="3938"/>
      <c r="AG6">
        <v>90</v>
      </c>
      <c r="AH6" s="3965">
        <v>69</v>
      </c>
      <c r="AI6" s="3965" t="b">
        <v>1</v>
      </c>
      <c r="AJ6">
        <v>72</v>
      </c>
      <c r="AK6" s="3966">
        <v>24323</v>
      </c>
      <c r="AL6" s="2814">
        <v>1101</v>
      </c>
      <c r="AM6" s="2814" t="s">
        <v>2129</v>
      </c>
      <c r="AN6" s="2814" t="s">
        <v>2129</v>
      </c>
      <c r="AO6" s="3953" t="s">
        <v>2129</v>
      </c>
      <c r="AP6" s="2814" t="s">
        <v>2129</v>
      </c>
      <c r="AQ6" s="3954" t="s">
        <v>2129</v>
      </c>
      <c r="AR6">
        <v>1032</v>
      </c>
      <c r="AS6" t="s">
        <v>2129</v>
      </c>
      <c r="AU6" t="s">
        <v>2129</v>
      </c>
      <c r="AW6">
        <v>20</v>
      </c>
      <c r="AX6" t="s">
        <v>2129</v>
      </c>
      <c r="AY6" t="s">
        <v>2129</v>
      </c>
      <c r="AZ6" s="3946" t="s">
        <v>2129</v>
      </c>
      <c r="BA6" t="s">
        <v>2129</v>
      </c>
      <c r="BB6" s="3947" t="s">
        <v>2129</v>
      </c>
      <c r="BC6" s="1958">
        <v>26779623</v>
      </c>
      <c r="BD6" s="1958" t="s">
        <v>2129</v>
      </c>
      <c r="BE6" s="1958" t="s">
        <v>2129</v>
      </c>
      <c r="BF6" s="3937" t="s">
        <v>2129</v>
      </c>
      <c r="BG6" s="3938" t="s">
        <v>2129</v>
      </c>
      <c r="BH6" s="3938" t="s">
        <v>2129</v>
      </c>
      <c r="BI6" s="3937">
        <v>37947160</v>
      </c>
      <c r="BJ6" s="3938" t="s">
        <v>2129</v>
      </c>
      <c r="BK6" s="3939" t="s">
        <v>2129</v>
      </c>
      <c r="BL6" s="3938" t="s">
        <v>2129</v>
      </c>
      <c r="BM6" s="3938" t="s">
        <v>2129</v>
      </c>
      <c r="BN6" s="3939" t="s">
        <v>2129</v>
      </c>
      <c r="BO6" s="3937">
        <v>13487250</v>
      </c>
      <c r="BP6" s="3988" t="s">
        <v>2129</v>
      </c>
      <c r="BQ6" s="3988"/>
      <c r="BR6" s="3988"/>
      <c r="BS6" s="2694"/>
    </row>
    <row r="7" spans="1:71" ht="13">
      <c r="A7">
        <v>10</v>
      </c>
      <c r="B7" s="3979" t="s">
        <v>3235</v>
      </c>
      <c r="C7" s="2694" t="s">
        <v>2129</v>
      </c>
      <c r="D7" s="2694" t="s">
        <v>2129</v>
      </c>
      <c r="E7" s="2694" t="s">
        <v>2129</v>
      </c>
      <c r="F7" s="3974" t="s">
        <v>2129</v>
      </c>
      <c r="G7" s="3975" t="s">
        <v>2129</v>
      </c>
      <c r="H7" s="3976" t="s">
        <v>2129</v>
      </c>
      <c r="I7" s="2694">
        <v>0</v>
      </c>
      <c r="J7" s="3992" t="s">
        <v>2854</v>
      </c>
      <c r="K7" s="2694">
        <v>0</v>
      </c>
      <c r="L7" s="2694" t="b">
        <v>1</v>
      </c>
      <c r="M7" s="2694" t="s">
        <v>2129</v>
      </c>
      <c r="N7" s="2477">
        <v>0</v>
      </c>
      <c r="O7" s="2477">
        <v>0</v>
      </c>
      <c r="P7" s="2477">
        <v>0</v>
      </c>
      <c r="Q7" s="2477">
        <v>0</v>
      </c>
      <c r="R7" s="2477">
        <v>0</v>
      </c>
      <c r="S7" s="2695">
        <v>0</v>
      </c>
      <c r="T7" s="2477">
        <v>0</v>
      </c>
      <c r="U7" s="2477" t="b">
        <v>1</v>
      </c>
      <c r="V7" s="2477" t="s">
        <v>2129</v>
      </c>
      <c r="W7" s="2477">
        <v>0</v>
      </c>
      <c r="X7" s="3937">
        <v>882362</v>
      </c>
      <c r="Y7" s="3938">
        <v>882362</v>
      </c>
      <c r="Z7" s="3938" t="b">
        <v>1</v>
      </c>
      <c r="AA7" s="3938">
        <v>16648.33962264151</v>
      </c>
      <c r="AB7" s="3938"/>
      <c r="AC7" s="3938"/>
      <c r="AD7" s="3938" t="s">
        <v>2129</v>
      </c>
      <c r="AE7" s="3938"/>
      <c r="AF7" s="3938"/>
      <c r="AG7">
        <v>77</v>
      </c>
      <c r="AH7" s="3965">
        <v>53</v>
      </c>
      <c r="AI7" s="3965" t="b">
        <v>1</v>
      </c>
      <c r="AJ7">
        <v>66</v>
      </c>
      <c r="AK7" s="3966">
        <v>13370</v>
      </c>
      <c r="AL7" s="2814" t="s">
        <v>2129</v>
      </c>
      <c r="AM7" s="2814" t="s">
        <v>2129</v>
      </c>
      <c r="AN7" s="2814" t="s">
        <v>2129</v>
      </c>
      <c r="AO7" s="3953" t="s">
        <v>2129</v>
      </c>
      <c r="AP7" s="2814" t="s">
        <v>2129</v>
      </c>
      <c r="AQ7" s="3954" t="s">
        <v>2129</v>
      </c>
      <c r="AR7" t="s">
        <v>2129</v>
      </c>
      <c r="AS7" t="s">
        <v>2129</v>
      </c>
      <c r="AU7" t="s">
        <v>2129</v>
      </c>
      <c r="AW7" t="s">
        <v>2129</v>
      </c>
      <c r="AX7" t="s">
        <v>2129</v>
      </c>
      <c r="AY7" t="s">
        <v>2129</v>
      </c>
      <c r="AZ7" s="3946" t="s">
        <v>2129</v>
      </c>
      <c r="BA7" t="s">
        <v>2129</v>
      </c>
      <c r="BB7" s="3947" t="s">
        <v>2129</v>
      </c>
      <c r="BC7" s="1958" t="s">
        <v>2129</v>
      </c>
      <c r="BD7" s="1958" t="s">
        <v>2129</v>
      </c>
      <c r="BE7" s="1958" t="s">
        <v>2129</v>
      </c>
      <c r="BF7" s="3937" t="s">
        <v>2129</v>
      </c>
      <c r="BG7" s="3938" t="s">
        <v>2129</v>
      </c>
      <c r="BH7" s="3938" t="s">
        <v>2129</v>
      </c>
      <c r="BI7" s="3937" t="s">
        <v>2129</v>
      </c>
      <c r="BJ7" s="3938" t="s">
        <v>2129</v>
      </c>
      <c r="BK7" s="3939" t="s">
        <v>2129</v>
      </c>
      <c r="BL7" s="3938" t="s">
        <v>2129</v>
      </c>
      <c r="BM7" s="3938" t="s">
        <v>2129</v>
      </c>
      <c r="BN7" s="3939" t="s">
        <v>2129</v>
      </c>
      <c r="BO7" s="3937" t="s">
        <v>2129</v>
      </c>
      <c r="BP7" s="3988" t="s">
        <v>2129</v>
      </c>
      <c r="BQ7" s="3988"/>
      <c r="BR7" s="3988"/>
      <c r="BS7" s="2694"/>
    </row>
    <row r="8" spans="1:71" ht="13">
      <c r="A8">
        <v>12</v>
      </c>
      <c r="B8" s="3979" t="s">
        <v>3236</v>
      </c>
      <c r="C8" s="2694" t="s">
        <v>2129</v>
      </c>
      <c r="D8" s="2694" t="s">
        <v>2129</v>
      </c>
      <c r="E8" s="2694" t="s">
        <v>2129</v>
      </c>
      <c r="F8" s="3974" t="s">
        <v>2129</v>
      </c>
      <c r="G8" s="3975" t="s">
        <v>2129</v>
      </c>
      <c r="H8" s="3976" t="s">
        <v>2129</v>
      </c>
      <c r="I8" s="2694">
        <v>9</v>
      </c>
      <c r="J8" s="3992" t="s">
        <v>3615</v>
      </c>
      <c r="K8" s="2694">
        <v>4</v>
      </c>
      <c r="L8" s="2694" t="b">
        <v>1</v>
      </c>
      <c r="M8" s="2694" t="s">
        <v>2129</v>
      </c>
      <c r="N8" s="2477">
        <v>1384711</v>
      </c>
      <c r="O8" s="2477">
        <v>0</v>
      </c>
      <c r="P8" s="2477">
        <v>0</v>
      </c>
      <c r="Q8" s="2477">
        <v>0</v>
      </c>
      <c r="R8" s="2477">
        <v>0</v>
      </c>
      <c r="S8" s="2695">
        <v>1523182.1</v>
      </c>
      <c r="T8" s="2477">
        <v>1138826</v>
      </c>
      <c r="U8" s="2477" t="b">
        <v>1</v>
      </c>
      <c r="V8" s="2477">
        <v>284706.5</v>
      </c>
      <c r="W8" s="2477">
        <v>741534</v>
      </c>
      <c r="X8" s="3937">
        <v>2650925</v>
      </c>
      <c r="Y8" s="3938">
        <v>1909391</v>
      </c>
      <c r="Z8" s="3938" t="b">
        <v>1</v>
      </c>
      <c r="AA8" s="3938">
        <v>13078.020547945205</v>
      </c>
      <c r="AB8" s="3938">
        <v>8353</v>
      </c>
      <c r="AC8" s="3938">
        <v>20706</v>
      </c>
      <c r="AD8" s="3938" t="s">
        <v>2129</v>
      </c>
      <c r="AE8" s="3938">
        <v>1100</v>
      </c>
      <c r="AF8" s="3938"/>
      <c r="AG8">
        <v>224</v>
      </c>
      <c r="AH8" s="3965">
        <v>146</v>
      </c>
      <c r="AI8" s="3965" t="b">
        <v>1</v>
      </c>
      <c r="AJ8">
        <v>208</v>
      </c>
      <c r="AK8" s="3966">
        <v>9180</v>
      </c>
      <c r="AL8" s="2814" t="s">
        <v>2129</v>
      </c>
      <c r="AM8" s="2814" t="s">
        <v>2129</v>
      </c>
      <c r="AN8" s="2814" t="s">
        <v>2129</v>
      </c>
      <c r="AO8" s="3953" t="s">
        <v>2129</v>
      </c>
      <c r="AP8" s="2814" t="s">
        <v>2129</v>
      </c>
      <c r="AQ8" s="3954" t="s">
        <v>2129</v>
      </c>
      <c r="AR8" t="s">
        <v>2129</v>
      </c>
      <c r="AS8" t="s">
        <v>2129</v>
      </c>
      <c r="AU8" t="s">
        <v>2129</v>
      </c>
      <c r="AW8" t="s">
        <v>2129</v>
      </c>
      <c r="AX8" t="s">
        <v>2129</v>
      </c>
      <c r="AY8" t="s">
        <v>2129</v>
      </c>
      <c r="AZ8" s="3946" t="s">
        <v>2129</v>
      </c>
      <c r="BA8" t="s">
        <v>2129</v>
      </c>
      <c r="BB8" s="3947" t="s">
        <v>2129</v>
      </c>
      <c r="BC8" s="1958" t="s">
        <v>2129</v>
      </c>
      <c r="BD8" s="1958" t="s">
        <v>2129</v>
      </c>
      <c r="BE8" s="1958" t="s">
        <v>2129</v>
      </c>
      <c r="BF8" s="3937" t="s">
        <v>2129</v>
      </c>
      <c r="BG8" s="3938" t="s">
        <v>2129</v>
      </c>
      <c r="BH8" s="3938" t="s">
        <v>2129</v>
      </c>
      <c r="BI8" s="3937" t="s">
        <v>2129</v>
      </c>
      <c r="BJ8" s="3938" t="s">
        <v>2129</v>
      </c>
      <c r="BK8" s="3939" t="s">
        <v>2129</v>
      </c>
      <c r="BL8" s="3938" t="s">
        <v>2129</v>
      </c>
      <c r="BM8" s="3938" t="s">
        <v>2129</v>
      </c>
      <c r="BN8" s="3939" t="s">
        <v>2129</v>
      </c>
      <c r="BO8" s="3937" t="s">
        <v>2129</v>
      </c>
      <c r="BP8" s="3988" t="s">
        <v>2129</v>
      </c>
      <c r="BQ8" s="3988"/>
      <c r="BR8" s="3988"/>
      <c r="BS8" s="2694"/>
    </row>
    <row r="9" spans="1:71" ht="13">
      <c r="A9">
        <v>15</v>
      </c>
      <c r="B9" s="3979" t="s">
        <v>3237</v>
      </c>
      <c r="C9" s="2694" t="s">
        <v>2129</v>
      </c>
      <c r="D9" s="2694" t="s">
        <v>2129</v>
      </c>
      <c r="E9" s="2694" t="s">
        <v>2129</v>
      </c>
      <c r="F9" s="3974" t="s">
        <v>2129</v>
      </c>
      <c r="G9" s="3975" t="s">
        <v>2129</v>
      </c>
      <c r="H9" s="3976" t="s">
        <v>2129</v>
      </c>
      <c r="I9" s="2694">
        <v>7</v>
      </c>
      <c r="J9" s="3992" t="s">
        <v>3520</v>
      </c>
      <c r="K9" s="2694">
        <v>1</v>
      </c>
      <c r="L9" s="2694" t="b">
        <v>1</v>
      </c>
      <c r="M9" s="2694" t="s">
        <v>2129</v>
      </c>
      <c r="N9" s="2477">
        <v>2249182</v>
      </c>
      <c r="O9" s="2477">
        <v>94120</v>
      </c>
      <c r="P9" s="2477">
        <v>0</v>
      </c>
      <c r="Q9" s="2477">
        <v>0</v>
      </c>
      <c r="R9" s="2477">
        <v>0</v>
      </c>
      <c r="S9" s="2695">
        <v>2577632.2000000002</v>
      </c>
      <c r="T9" s="2477">
        <v>1256591</v>
      </c>
      <c r="U9" s="2477" t="b">
        <v>0</v>
      </c>
      <c r="V9" s="2477">
        <v>1256591</v>
      </c>
      <c r="W9" s="2477">
        <v>0</v>
      </c>
      <c r="X9" s="3937">
        <v>1151291</v>
      </c>
      <c r="Y9" s="3938">
        <v>1151291</v>
      </c>
      <c r="Z9" s="3938" t="b">
        <v>1</v>
      </c>
      <c r="AA9" s="3938">
        <v>16447.014285714286</v>
      </c>
      <c r="AB9" s="3938"/>
      <c r="AC9" s="3938"/>
      <c r="AD9" s="3938" t="s">
        <v>2129</v>
      </c>
      <c r="AE9" s="3938">
        <v>2200</v>
      </c>
      <c r="AF9" s="3938"/>
      <c r="AG9">
        <v>73</v>
      </c>
      <c r="AH9" s="3965">
        <v>70</v>
      </c>
      <c r="AI9" s="3965" t="b">
        <v>1</v>
      </c>
      <c r="AJ9">
        <v>92</v>
      </c>
      <c r="AK9" s="3966">
        <v>12515</v>
      </c>
      <c r="AL9" s="2814" t="s">
        <v>2129</v>
      </c>
      <c r="AM9" s="2814" t="s">
        <v>2129</v>
      </c>
      <c r="AN9" s="2814" t="s">
        <v>2129</v>
      </c>
      <c r="AO9" s="3953" t="s">
        <v>2129</v>
      </c>
      <c r="AP9" s="2814" t="s">
        <v>2129</v>
      </c>
      <c r="AQ9" s="3954" t="s">
        <v>2129</v>
      </c>
      <c r="AR9" t="s">
        <v>2129</v>
      </c>
      <c r="AS9" t="s">
        <v>2129</v>
      </c>
      <c r="AU9" t="s">
        <v>2129</v>
      </c>
      <c r="AW9" t="s">
        <v>2129</v>
      </c>
      <c r="AX9" t="s">
        <v>2129</v>
      </c>
      <c r="AY9" t="s">
        <v>2129</v>
      </c>
      <c r="AZ9" s="3946" t="s">
        <v>2129</v>
      </c>
      <c r="BA9" t="s">
        <v>2129</v>
      </c>
      <c r="BB9" s="3947" t="s">
        <v>2129</v>
      </c>
      <c r="BC9" s="1958" t="s">
        <v>2129</v>
      </c>
      <c r="BD9" s="1958" t="s">
        <v>2129</v>
      </c>
      <c r="BE9" s="1958" t="s">
        <v>2129</v>
      </c>
      <c r="BF9" s="3937" t="s">
        <v>2129</v>
      </c>
      <c r="BG9" s="3938" t="s">
        <v>2129</v>
      </c>
      <c r="BH9" s="3938" t="s">
        <v>2129</v>
      </c>
      <c r="BI9" s="3937" t="s">
        <v>2129</v>
      </c>
      <c r="BJ9" s="3938" t="s">
        <v>2129</v>
      </c>
      <c r="BK9" s="3939" t="s">
        <v>2129</v>
      </c>
      <c r="BL9" s="3938" t="s">
        <v>2129</v>
      </c>
      <c r="BM9" s="3938" t="s">
        <v>2129</v>
      </c>
      <c r="BN9" s="3939" t="s">
        <v>2129</v>
      </c>
      <c r="BO9" s="3937" t="s">
        <v>2129</v>
      </c>
      <c r="BP9" s="3988" t="s">
        <v>2129</v>
      </c>
      <c r="BQ9" s="3988"/>
      <c r="BR9" s="3988"/>
      <c r="BS9" s="2694"/>
    </row>
    <row r="10" spans="1:71" ht="13">
      <c r="A10">
        <v>20</v>
      </c>
      <c r="B10" s="3979" t="s">
        <v>3238</v>
      </c>
      <c r="C10" s="2694" t="s">
        <v>2129</v>
      </c>
      <c r="D10" s="2694" t="s">
        <v>2129</v>
      </c>
      <c r="E10" s="2694" t="s">
        <v>2129</v>
      </c>
      <c r="F10" s="3974" t="s">
        <v>2129</v>
      </c>
      <c r="G10" s="3975" t="s">
        <v>2129</v>
      </c>
      <c r="H10" s="3976" t="s">
        <v>2129</v>
      </c>
      <c r="I10" s="2694">
        <v>11</v>
      </c>
      <c r="J10" s="3992" t="s">
        <v>3615</v>
      </c>
      <c r="K10" s="2694">
        <v>7</v>
      </c>
      <c r="L10" s="2694" t="b">
        <v>0</v>
      </c>
      <c r="M10" s="2694" t="s">
        <v>2129</v>
      </c>
      <c r="N10" s="2477">
        <v>427062</v>
      </c>
      <c r="O10" s="2477">
        <v>0</v>
      </c>
      <c r="P10" s="2477">
        <v>0</v>
      </c>
      <c r="Q10" s="2477">
        <v>0</v>
      </c>
      <c r="R10" s="2477">
        <v>0</v>
      </c>
      <c r="S10" s="2695">
        <v>469768.2</v>
      </c>
      <c r="T10" s="2477">
        <v>939532</v>
      </c>
      <c r="U10" s="2477" t="b">
        <v>0</v>
      </c>
      <c r="V10" s="2477">
        <v>134218.85714285713</v>
      </c>
      <c r="W10" s="2477">
        <v>-194216</v>
      </c>
      <c r="X10" s="3937">
        <v>571235</v>
      </c>
      <c r="Y10" s="3938">
        <v>765451</v>
      </c>
      <c r="Z10" s="3938" t="b">
        <v>1</v>
      </c>
      <c r="AA10" s="3938">
        <v>12150.015873015873</v>
      </c>
      <c r="AB10" s="3938"/>
      <c r="AC10" s="3938"/>
      <c r="AD10" s="3938" t="s">
        <v>2129</v>
      </c>
      <c r="AE10" s="3938"/>
      <c r="AF10" s="3938"/>
      <c r="AG10">
        <v>63</v>
      </c>
      <c r="AH10" s="3965">
        <v>63</v>
      </c>
      <c r="AI10" s="3965" t="b">
        <v>1</v>
      </c>
      <c r="AJ10">
        <v>95</v>
      </c>
      <c r="AK10" s="3966">
        <v>8058</v>
      </c>
      <c r="AL10" s="2814" t="s">
        <v>2129</v>
      </c>
      <c r="AM10" s="2814" t="s">
        <v>2129</v>
      </c>
      <c r="AN10" s="2814" t="s">
        <v>2129</v>
      </c>
      <c r="AO10" s="3953" t="s">
        <v>2129</v>
      </c>
      <c r="AP10" s="2814" t="s">
        <v>2129</v>
      </c>
      <c r="AQ10" s="3954" t="s">
        <v>2129</v>
      </c>
      <c r="AR10" t="s">
        <v>2129</v>
      </c>
      <c r="AS10" t="s">
        <v>2129</v>
      </c>
      <c r="AU10" t="s">
        <v>2129</v>
      </c>
      <c r="AW10" t="s">
        <v>2129</v>
      </c>
      <c r="AX10" t="s">
        <v>2129</v>
      </c>
      <c r="AY10" t="s">
        <v>2129</v>
      </c>
      <c r="AZ10" s="3946" t="s">
        <v>2129</v>
      </c>
      <c r="BA10" t="s">
        <v>2129</v>
      </c>
      <c r="BB10" s="3947" t="s">
        <v>2129</v>
      </c>
      <c r="BC10" s="1958" t="s">
        <v>2129</v>
      </c>
      <c r="BD10" s="1958" t="s">
        <v>2129</v>
      </c>
      <c r="BE10" s="1958" t="s">
        <v>2129</v>
      </c>
      <c r="BF10" s="3937" t="s">
        <v>2129</v>
      </c>
      <c r="BG10" s="3938" t="s">
        <v>2129</v>
      </c>
      <c r="BH10" s="3938" t="s">
        <v>2129</v>
      </c>
      <c r="BI10" s="3937" t="s">
        <v>2129</v>
      </c>
      <c r="BJ10" s="3938" t="s">
        <v>2129</v>
      </c>
      <c r="BK10" s="3939" t="s">
        <v>2129</v>
      </c>
      <c r="BL10" s="3938" t="s">
        <v>2129</v>
      </c>
      <c r="BM10" s="3938" t="s">
        <v>2129</v>
      </c>
      <c r="BN10" s="3939" t="s">
        <v>2129</v>
      </c>
      <c r="BO10" s="3937" t="s">
        <v>2129</v>
      </c>
      <c r="BP10" s="3988" t="s">
        <v>2129</v>
      </c>
      <c r="BQ10" s="3988"/>
      <c r="BR10" s="3988"/>
      <c r="BS10" s="2694"/>
    </row>
    <row r="11" spans="1:71" ht="13">
      <c r="A11">
        <v>21</v>
      </c>
      <c r="B11" s="3979" t="s">
        <v>3239</v>
      </c>
      <c r="C11" s="2694" t="s">
        <v>3791</v>
      </c>
      <c r="D11" s="2694" t="s">
        <v>2129</v>
      </c>
      <c r="E11" s="2694" t="s">
        <v>2129</v>
      </c>
      <c r="F11" s="3974" t="s">
        <v>3791</v>
      </c>
      <c r="G11" s="3975" t="s">
        <v>2129</v>
      </c>
      <c r="H11" s="3976" t="s">
        <v>2129</v>
      </c>
      <c r="I11" s="2694">
        <v>15</v>
      </c>
      <c r="J11" s="3992" t="s">
        <v>3525</v>
      </c>
      <c r="K11" s="2694">
        <v>2</v>
      </c>
      <c r="L11" s="2694" t="b">
        <v>0</v>
      </c>
      <c r="M11" s="2694" t="s">
        <v>2129</v>
      </c>
      <c r="N11" s="2477">
        <v>2083772</v>
      </c>
      <c r="O11" s="2477">
        <v>0</v>
      </c>
      <c r="P11" s="2477">
        <v>0</v>
      </c>
      <c r="Q11" s="2477">
        <v>0</v>
      </c>
      <c r="R11" s="2477">
        <v>0</v>
      </c>
      <c r="S11" s="2695">
        <v>2292149.2000000002</v>
      </c>
      <c r="T11" s="2477">
        <v>1524989</v>
      </c>
      <c r="U11" s="2477" t="b">
        <v>0</v>
      </c>
      <c r="V11" s="2477">
        <v>762494.5</v>
      </c>
      <c r="W11" s="2477">
        <v>853910</v>
      </c>
      <c r="X11" s="3937">
        <v>1527110</v>
      </c>
      <c r="Y11" s="3938">
        <v>673200</v>
      </c>
      <c r="Z11" s="3938" t="b">
        <v>1</v>
      </c>
      <c r="AA11" s="3938">
        <v>19800</v>
      </c>
      <c r="AB11" s="3938"/>
      <c r="AC11" s="3938"/>
      <c r="AD11" s="3938">
        <v>1152.3450872988703</v>
      </c>
      <c r="AE11" s="3938"/>
      <c r="AF11" s="3938"/>
      <c r="AG11">
        <v>56</v>
      </c>
      <c r="AH11" s="3965">
        <v>34</v>
      </c>
      <c r="AI11" s="3965" t="b">
        <v>1</v>
      </c>
      <c r="AJ11">
        <v>34</v>
      </c>
      <c r="AK11" s="3966">
        <v>19800</v>
      </c>
      <c r="AL11" s="2814">
        <v>508</v>
      </c>
      <c r="AM11" s="2814" t="s">
        <v>2129</v>
      </c>
      <c r="AN11" s="2814" t="s">
        <v>2129</v>
      </c>
      <c r="AO11" s="3953">
        <v>509</v>
      </c>
      <c r="AP11" s="2814" t="s">
        <v>2129</v>
      </c>
      <c r="AQ11" s="3954" t="s">
        <v>2129</v>
      </c>
      <c r="AR11">
        <v>474</v>
      </c>
      <c r="AS11" t="s">
        <v>2129</v>
      </c>
      <c r="AU11">
        <v>475</v>
      </c>
      <c r="AW11">
        <v>13</v>
      </c>
      <c r="AX11" t="s">
        <v>2129</v>
      </c>
      <c r="AY11" t="s">
        <v>2129</v>
      </c>
      <c r="AZ11" s="3946">
        <v>8</v>
      </c>
      <c r="BA11" t="s">
        <v>2129</v>
      </c>
      <c r="BB11" s="3947" t="s">
        <v>2129</v>
      </c>
      <c r="BC11" s="1958">
        <v>10058400</v>
      </c>
      <c r="BD11" s="1958" t="s">
        <v>2129</v>
      </c>
      <c r="BE11" s="1958" t="s">
        <v>2129</v>
      </c>
      <c r="BF11" s="3937">
        <v>10078200</v>
      </c>
      <c r="BG11" s="3938" t="s">
        <v>2129</v>
      </c>
      <c r="BH11" s="3938" t="s">
        <v>2129</v>
      </c>
      <c r="BI11" s="3937">
        <v>19824857</v>
      </c>
      <c r="BJ11" s="3938" t="s">
        <v>2129</v>
      </c>
      <c r="BK11" s="3939" t="s">
        <v>2129</v>
      </c>
      <c r="BL11" s="3938">
        <v>12199912</v>
      </c>
      <c r="BM11" s="3938" t="s">
        <v>2129</v>
      </c>
      <c r="BN11" s="3939" t="s">
        <v>2129</v>
      </c>
      <c r="BO11" s="3937">
        <v>6223000</v>
      </c>
      <c r="BP11" s="3988">
        <v>6235250</v>
      </c>
      <c r="BQ11" s="3988"/>
      <c r="BR11" s="3988"/>
      <c r="BS11" s="2694"/>
    </row>
    <row r="12" spans="1:71" ht="13">
      <c r="A12">
        <v>22</v>
      </c>
      <c r="B12" s="3979" t="s">
        <v>3240</v>
      </c>
      <c r="C12" s="2694" t="s">
        <v>2129</v>
      </c>
      <c r="D12" s="2694" t="s">
        <v>2129</v>
      </c>
      <c r="E12" s="2694" t="s">
        <v>2129</v>
      </c>
      <c r="F12" s="3974" t="s">
        <v>2129</v>
      </c>
      <c r="G12" s="3975" t="s">
        <v>2129</v>
      </c>
      <c r="H12" s="3976" t="s">
        <v>2129</v>
      </c>
      <c r="I12" s="2694">
        <v>0</v>
      </c>
      <c r="J12" s="3992" t="s">
        <v>2854</v>
      </c>
      <c r="K12" s="2694">
        <v>0</v>
      </c>
      <c r="L12" s="2694" t="b">
        <v>0</v>
      </c>
      <c r="M12" s="2694" t="s">
        <v>2129</v>
      </c>
      <c r="N12" s="2477">
        <v>0</v>
      </c>
      <c r="O12" s="2477">
        <v>0</v>
      </c>
      <c r="P12" s="2477">
        <v>0</v>
      </c>
      <c r="Q12" s="2477">
        <v>0</v>
      </c>
      <c r="R12" s="2477">
        <v>0</v>
      </c>
      <c r="S12" s="2695">
        <v>0</v>
      </c>
      <c r="T12" s="2477">
        <v>0</v>
      </c>
      <c r="U12" s="2477" t="b">
        <v>1</v>
      </c>
      <c r="V12" s="2477" t="s">
        <v>2129</v>
      </c>
      <c r="W12" s="2477">
        <v>0</v>
      </c>
      <c r="X12" s="3937">
        <v>5113662</v>
      </c>
      <c r="Y12" s="3938">
        <v>5113662</v>
      </c>
      <c r="Z12" s="3938" t="b">
        <v>1</v>
      </c>
      <c r="AA12" s="3938">
        <v>19517.793893129772</v>
      </c>
      <c r="AB12" s="3938"/>
      <c r="AC12" s="3938"/>
      <c r="AD12" s="3938" t="s">
        <v>2129</v>
      </c>
      <c r="AE12" s="3938"/>
      <c r="AF12" s="3938"/>
      <c r="AG12">
        <v>262</v>
      </c>
      <c r="AH12" s="3965">
        <v>262</v>
      </c>
      <c r="AI12" s="3965" t="b">
        <v>1</v>
      </c>
      <c r="AJ12">
        <v>290</v>
      </c>
      <c r="AK12" s="3966">
        <v>17634</v>
      </c>
      <c r="AL12" s="2814" t="s">
        <v>2129</v>
      </c>
      <c r="AM12" s="2814" t="s">
        <v>2129</v>
      </c>
      <c r="AN12" s="2814" t="s">
        <v>2129</v>
      </c>
      <c r="AO12" s="3953" t="s">
        <v>2129</v>
      </c>
      <c r="AP12" s="2814" t="s">
        <v>2129</v>
      </c>
      <c r="AQ12" s="3954" t="s">
        <v>2129</v>
      </c>
      <c r="AR12" t="s">
        <v>2129</v>
      </c>
      <c r="AS12" t="s">
        <v>2129</v>
      </c>
      <c r="AU12" t="s">
        <v>2129</v>
      </c>
      <c r="AW12" t="s">
        <v>2129</v>
      </c>
      <c r="AX12" t="s">
        <v>2129</v>
      </c>
      <c r="AY12" t="s">
        <v>2129</v>
      </c>
      <c r="AZ12" s="3946" t="s">
        <v>2129</v>
      </c>
      <c r="BA12" t="s">
        <v>2129</v>
      </c>
      <c r="BB12" s="3947" t="s">
        <v>2129</v>
      </c>
      <c r="BC12" s="1958" t="s">
        <v>2129</v>
      </c>
      <c r="BD12" s="1958" t="s">
        <v>2129</v>
      </c>
      <c r="BE12" s="1958" t="s">
        <v>2129</v>
      </c>
      <c r="BF12" s="3937" t="s">
        <v>2129</v>
      </c>
      <c r="BG12" s="3938" t="s">
        <v>2129</v>
      </c>
      <c r="BH12" s="3938" t="s">
        <v>2129</v>
      </c>
      <c r="BI12" s="3937" t="s">
        <v>2129</v>
      </c>
      <c r="BJ12" s="3938" t="s">
        <v>2129</v>
      </c>
      <c r="BK12" s="3939" t="s">
        <v>2129</v>
      </c>
      <c r="BL12" s="3938" t="s">
        <v>2129</v>
      </c>
      <c r="BM12" s="3938" t="s">
        <v>2129</v>
      </c>
      <c r="BN12" s="3939" t="s">
        <v>2129</v>
      </c>
      <c r="BO12" s="3937" t="s">
        <v>2129</v>
      </c>
      <c r="BP12" s="3988" t="s">
        <v>2129</v>
      </c>
      <c r="BQ12" s="3988"/>
      <c r="BR12" s="3988"/>
      <c r="BS12" s="2694"/>
    </row>
    <row r="13" spans="1:71" ht="13">
      <c r="A13">
        <v>23</v>
      </c>
      <c r="B13" s="3980" t="s">
        <v>3241</v>
      </c>
      <c r="C13" s="2694" t="s">
        <v>3791</v>
      </c>
      <c r="D13" s="2694" t="s">
        <v>2129</v>
      </c>
      <c r="E13" s="2694" t="s">
        <v>2129</v>
      </c>
      <c r="F13" s="3974" t="s">
        <v>3791</v>
      </c>
      <c r="G13" s="3975" t="s">
        <v>2129</v>
      </c>
      <c r="H13" s="3976" t="s">
        <v>2129</v>
      </c>
      <c r="I13" s="2694"/>
      <c r="J13" s="3992" t="s">
        <v>3520</v>
      </c>
      <c r="K13" s="2694">
        <v>2</v>
      </c>
      <c r="L13" s="2694" t="b">
        <v>0</v>
      </c>
      <c r="M13" s="2694" t="s">
        <v>2129</v>
      </c>
      <c r="N13" s="2477">
        <v>0</v>
      </c>
      <c r="O13" s="2477">
        <v>0</v>
      </c>
      <c r="P13" s="2477">
        <v>0</v>
      </c>
      <c r="Q13" s="2477">
        <v>0</v>
      </c>
      <c r="R13" s="2477">
        <v>0</v>
      </c>
      <c r="S13" s="2695">
        <v>0</v>
      </c>
      <c r="T13" s="2477">
        <v>2458824</v>
      </c>
      <c r="U13" s="2477" t="b">
        <v>1</v>
      </c>
      <c r="V13" s="2477">
        <v>1229412</v>
      </c>
      <c r="W13" s="2477">
        <v>-1881000</v>
      </c>
      <c r="X13" s="3937">
        <v>0</v>
      </c>
      <c r="Y13" s="3938">
        <v>1881000</v>
      </c>
      <c r="Z13" s="3938" t="b">
        <v>1</v>
      </c>
      <c r="AA13" s="3938">
        <v>22129.411764705881</v>
      </c>
      <c r="AB13" s="3938"/>
      <c r="AC13" s="3938"/>
      <c r="AD13" s="3938">
        <v>716.76256525549672</v>
      </c>
      <c r="AE13" s="3938"/>
      <c r="AF13" s="3938"/>
      <c r="AG13">
        <v>262</v>
      </c>
      <c r="AH13" s="3965">
        <v>85</v>
      </c>
      <c r="AI13" s="3971"/>
      <c r="AJ13">
        <v>100</v>
      </c>
      <c r="AK13" s="3966">
        <v>18810</v>
      </c>
      <c r="AL13" s="2814">
        <v>2282</v>
      </c>
      <c r="AM13" s="2814" t="s">
        <v>2129</v>
      </c>
      <c r="AN13" s="2814" t="s">
        <v>2129</v>
      </c>
      <c r="AO13" s="3953">
        <v>1255</v>
      </c>
      <c r="AP13" s="2814" t="s">
        <v>2129</v>
      </c>
      <c r="AQ13" s="3954" t="s">
        <v>2129</v>
      </c>
      <c r="AR13">
        <v>2197</v>
      </c>
      <c r="AS13" t="s">
        <v>2129</v>
      </c>
      <c r="AU13">
        <v>1170</v>
      </c>
      <c r="AW13">
        <v>21</v>
      </c>
      <c r="AX13" t="s">
        <v>2129</v>
      </c>
      <c r="AY13" t="s">
        <v>2129</v>
      </c>
      <c r="AZ13" s="3946">
        <v>15</v>
      </c>
      <c r="BA13" t="s">
        <v>2129</v>
      </c>
      <c r="BB13" s="3947" t="s">
        <v>2129</v>
      </c>
      <c r="BC13" s="1958">
        <v>42924420</v>
      </c>
      <c r="BD13" s="1958" t="s">
        <v>2129</v>
      </c>
      <c r="BE13" s="1958" t="s">
        <v>2129</v>
      </c>
      <c r="BF13" s="3937">
        <v>23606550</v>
      </c>
      <c r="BG13" s="3938" t="s">
        <v>2129</v>
      </c>
      <c r="BH13" s="3938" t="s">
        <v>2129</v>
      </c>
      <c r="BI13" s="3937">
        <v>51635304</v>
      </c>
      <c r="BJ13" s="3938" t="s">
        <v>2129</v>
      </c>
      <c r="BK13" s="3939" t="s">
        <v>2129</v>
      </c>
      <c r="BL13" s="3938">
        <v>36882360</v>
      </c>
      <c r="BM13" s="3938" t="s">
        <v>2129</v>
      </c>
      <c r="BN13" s="3939" t="s">
        <v>2129</v>
      </c>
      <c r="BO13" s="3937">
        <v>27954500</v>
      </c>
      <c r="BP13" s="3988">
        <v>15373750</v>
      </c>
      <c r="BQ13" s="3988"/>
      <c r="BR13" s="3988"/>
      <c r="BS13" s="2694"/>
    </row>
    <row r="14" spans="1:71" ht="13">
      <c r="A14">
        <v>24</v>
      </c>
      <c r="B14" s="3979" t="s">
        <v>2831</v>
      </c>
      <c r="C14" s="2694" t="s">
        <v>2129</v>
      </c>
      <c r="D14" s="2694" t="s">
        <v>2129</v>
      </c>
      <c r="E14" s="2694" t="s">
        <v>2129</v>
      </c>
      <c r="F14" s="3974" t="s">
        <v>2129</v>
      </c>
      <c r="G14" s="3975" t="s">
        <v>2129</v>
      </c>
      <c r="H14" s="3976" t="s">
        <v>2129</v>
      </c>
      <c r="I14" s="2694">
        <v>16</v>
      </c>
      <c r="J14" s="3992" t="s">
        <v>3581</v>
      </c>
      <c r="K14" s="2694">
        <v>4</v>
      </c>
      <c r="L14" s="2694" t="b">
        <v>1</v>
      </c>
      <c r="M14" s="2694" t="s">
        <v>2129</v>
      </c>
      <c r="N14" s="2477">
        <v>7455886</v>
      </c>
      <c r="O14" s="2477">
        <v>550005</v>
      </c>
      <c r="P14" s="2477">
        <v>0</v>
      </c>
      <c r="Q14" s="2477">
        <v>0</v>
      </c>
      <c r="R14" s="2477">
        <v>0</v>
      </c>
      <c r="S14" s="2695">
        <v>8806480.1000000015</v>
      </c>
      <c r="T14" s="2477">
        <v>3568661</v>
      </c>
      <c r="U14" s="2477" t="b">
        <v>1</v>
      </c>
      <c r="V14" s="2477">
        <v>892165.25</v>
      </c>
      <c r="W14" s="2477">
        <v>965797</v>
      </c>
      <c r="X14" s="3937">
        <v>4070943</v>
      </c>
      <c r="Y14" s="3938">
        <v>3105146</v>
      </c>
      <c r="Z14" s="3938" t="b">
        <v>1</v>
      </c>
      <c r="AA14" s="3938">
        <v>23172.731343283584</v>
      </c>
      <c r="AB14" s="3938">
        <v>14236</v>
      </c>
      <c r="AC14" s="3938">
        <v>30000</v>
      </c>
      <c r="AD14" s="3938" t="s">
        <v>2129</v>
      </c>
      <c r="AE14" s="3938">
        <v>2200</v>
      </c>
      <c r="AF14" s="3938"/>
      <c r="AG14">
        <v>243</v>
      </c>
      <c r="AH14" s="3965">
        <v>134</v>
      </c>
      <c r="AI14" s="3965" t="b">
        <v>1</v>
      </c>
      <c r="AJ14">
        <v>188</v>
      </c>
      <c r="AK14" s="3966">
        <v>16517</v>
      </c>
      <c r="AL14" s="2814" t="s">
        <v>2129</v>
      </c>
      <c r="AM14" s="2814" t="s">
        <v>2129</v>
      </c>
      <c r="AN14" s="2814" t="s">
        <v>2129</v>
      </c>
      <c r="AO14" s="3953" t="s">
        <v>2129</v>
      </c>
      <c r="AP14" s="2814" t="s">
        <v>2129</v>
      </c>
      <c r="AQ14" s="3954" t="s">
        <v>2129</v>
      </c>
      <c r="AR14" t="s">
        <v>2129</v>
      </c>
      <c r="AS14" t="s">
        <v>2129</v>
      </c>
      <c r="AU14" t="s">
        <v>2129</v>
      </c>
      <c r="AW14" t="s">
        <v>2129</v>
      </c>
      <c r="AX14" t="s">
        <v>2129</v>
      </c>
      <c r="AY14" t="s">
        <v>2129</v>
      </c>
      <c r="AZ14" s="3946" t="s">
        <v>2129</v>
      </c>
      <c r="BA14" t="s">
        <v>2129</v>
      </c>
      <c r="BB14" s="3947" t="s">
        <v>2129</v>
      </c>
      <c r="BC14" s="1958" t="s">
        <v>2129</v>
      </c>
      <c r="BD14" s="1958" t="s">
        <v>2129</v>
      </c>
      <c r="BE14" s="1958" t="s">
        <v>2129</v>
      </c>
      <c r="BF14" s="3937" t="s">
        <v>2129</v>
      </c>
      <c r="BG14" s="3938" t="s">
        <v>2129</v>
      </c>
      <c r="BH14" s="3938" t="s">
        <v>2129</v>
      </c>
      <c r="BI14" s="3937" t="s">
        <v>2129</v>
      </c>
      <c r="BJ14" s="3938" t="s">
        <v>2129</v>
      </c>
      <c r="BK14" s="3939" t="s">
        <v>2129</v>
      </c>
      <c r="BL14" s="3938" t="s">
        <v>2129</v>
      </c>
      <c r="BM14" s="3938" t="s">
        <v>2129</v>
      </c>
      <c r="BN14" s="3939" t="s">
        <v>2129</v>
      </c>
      <c r="BO14" s="3937" t="s">
        <v>2129</v>
      </c>
      <c r="BP14" s="3988" t="s">
        <v>2129</v>
      </c>
      <c r="BQ14" s="3988"/>
      <c r="BR14" s="3988"/>
      <c r="BS14" s="2694"/>
    </row>
    <row r="15" spans="1:71" ht="13">
      <c r="A15">
        <v>26</v>
      </c>
      <c r="B15" s="3979" t="s">
        <v>3242</v>
      </c>
      <c r="C15" s="2694" t="s">
        <v>2129</v>
      </c>
      <c r="D15" s="2694" t="s">
        <v>2129</v>
      </c>
      <c r="E15" s="2694" t="s">
        <v>3694</v>
      </c>
      <c r="F15" s="3974" t="s">
        <v>2129</v>
      </c>
      <c r="G15" s="3975" t="s">
        <v>2129</v>
      </c>
      <c r="H15" s="3976" t="s">
        <v>2129</v>
      </c>
      <c r="I15" s="2694">
        <v>0</v>
      </c>
      <c r="J15" s="3992" t="s">
        <v>2854</v>
      </c>
      <c r="K15" s="2694">
        <v>0</v>
      </c>
      <c r="L15" s="2694" t="b">
        <v>0</v>
      </c>
      <c r="M15" s="2694" t="s">
        <v>2129</v>
      </c>
      <c r="N15" s="2477">
        <v>0</v>
      </c>
      <c r="O15" s="2477">
        <v>0</v>
      </c>
      <c r="P15" s="2477">
        <v>0</v>
      </c>
      <c r="Q15" s="2477">
        <v>0</v>
      </c>
      <c r="R15" s="2477">
        <v>0</v>
      </c>
      <c r="S15" s="2695">
        <v>0</v>
      </c>
      <c r="T15" s="2477">
        <v>0</v>
      </c>
      <c r="U15" s="2477" t="b">
        <v>1</v>
      </c>
      <c r="V15" s="2477" t="s">
        <v>2129</v>
      </c>
      <c r="W15" s="2477">
        <v>-1527130</v>
      </c>
      <c r="X15" s="3937">
        <v>1190618</v>
      </c>
      <c r="Y15" s="3938">
        <v>2717748</v>
      </c>
      <c r="Z15" s="3938" t="b">
        <v>1</v>
      </c>
      <c r="AA15" s="3938">
        <v>22647.9</v>
      </c>
      <c r="AB15" s="3938"/>
      <c r="AC15" s="3938"/>
      <c r="AD15" s="3938" t="s">
        <v>2129</v>
      </c>
      <c r="AE15" s="3938"/>
      <c r="AF15" s="3938"/>
      <c r="AG15">
        <v>285</v>
      </c>
      <c r="AH15">
        <v>120</v>
      </c>
      <c r="AI15" t="b">
        <v>1</v>
      </c>
      <c r="AJ15">
        <v>92</v>
      </c>
      <c r="AK15" s="3966">
        <v>29541</v>
      </c>
      <c r="AL15" s="2814" t="s">
        <v>2129</v>
      </c>
      <c r="AM15" s="2814" t="s">
        <v>2129</v>
      </c>
      <c r="AN15" s="2814">
        <v>3990</v>
      </c>
      <c r="AO15" s="3953" t="s">
        <v>2129</v>
      </c>
      <c r="AP15" s="2814" t="s">
        <v>2129</v>
      </c>
      <c r="AQ15" s="3954" t="s">
        <v>2129</v>
      </c>
      <c r="AR15" t="s">
        <v>2129</v>
      </c>
      <c r="AS15" t="s">
        <v>2129</v>
      </c>
      <c r="AU15" t="s">
        <v>2129</v>
      </c>
      <c r="AW15" t="s">
        <v>2129</v>
      </c>
      <c r="AX15" t="s">
        <v>2129</v>
      </c>
      <c r="AY15">
        <v>30</v>
      </c>
      <c r="AZ15" s="3946" t="s">
        <v>2129</v>
      </c>
      <c r="BA15" t="s">
        <v>2129</v>
      </c>
      <c r="BB15" s="3947" t="s">
        <v>2129</v>
      </c>
      <c r="BC15" s="1958" t="s">
        <v>2129</v>
      </c>
      <c r="BD15" s="1958" t="s">
        <v>2129</v>
      </c>
      <c r="BE15" s="1958">
        <v>117868590</v>
      </c>
      <c r="BF15" s="3937" t="s">
        <v>2129</v>
      </c>
      <c r="BG15" s="3938" t="s">
        <v>2129</v>
      </c>
      <c r="BH15" s="3938" t="s">
        <v>2129</v>
      </c>
      <c r="BI15" s="3937" t="s">
        <v>2129</v>
      </c>
      <c r="BJ15" s="3938" t="s">
        <v>2129</v>
      </c>
      <c r="BK15" s="3939" t="s">
        <v>2129</v>
      </c>
      <c r="BL15" s="3938" t="s">
        <v>2129</v>
      </c>
      <c r="BM15" s="3938" t="s">
        <v>2129</v>
      </c>
      <c r="BN15" s="3939" t="s">
        <v>2129</v>
      </c>
      <c r="BO15" s="3937" t="s">
        <v>2129</v>
      </c>
      <c r="BP15" s="3988" t="s">
        <v>2129</v>
      </c>
      <c r="BQ15" s="3988"/>
      <c r="BR15" s="3988"/>
      <c r="BS15" s="2694"/>
    </row>
    <row r="16" spans="1:71" ht="13">
      <c r="A16">
        <v>27</v>
      </c>
      <c r="B16" s="3979" t="s">
        <v>3243</v>
      </c>
      <c r="C16" s="2694" t="s">
        <v>2129</v>
      </c>
      <c r="D16" s="2694" t="s">
        <v>2129</v>
      </c>
      <c r="E16" s="2694" t="s">
        <v>3694</v>
      </c>
      <c r="F16" s="3974" t="s">
        <v>2129</v>
      </c>
      <c r="G16" s="3975" t="s">
        <v>2129</v>
      </c>
      <c r="H16" s="3976" t="s">
        <v>2129</v>
      </c>
      <c r="I16" s="2694">
        <v>0</v>
      </c>
      <c r="J16" s="3992" t="s">
        <v>2854</v>
      </c>
      <c r="K16" s="2694">
        <v>0</v>
      </c>
      <c r="L16" s="2694" t="b">
        <v>0</v>
      </c>
      <c r="M16" s="2694" t="s">
        <v>2129</v>
      </c>
      <c r="N16" s="2477">
        <v>0</v>
      </c>
      <c r="O16" s="2477">
        <v>0</v>
      </c>
      <c r="P16" s="2477">
        <v>0</v>
      </c>
      <c r="Q16" s="2477">
        <v>0</v>
      </c>
      <c r="R16" s="2477">
        <v>0</v>
      </c>
      <c r="S16" s="2695">
        <v>0</v>
      </c>
      <c r="T16" s="2477">
        <v>0</v>
      </c>
      <c r="U16" s="2477" t="b">
        <v>1</v>
      </c>
      <c r="V16" s="2477" t="s">
        <v>2129</v>
      </c>
      <c r="W16" s="2477">
        <v>0</v>
      </c>
      <c r="X16" s="3937">
        <v>1980088</v>
      </c>
      <c r="Y16" s="3938">
        <v>1980088</v>
      </c>
      <c r="Z16" s="3938" t="b">
        <v>0</v>
      </c>
      <c r="AA16" s="3938">
        <v>21064.765957446809</v>
      </c>
      <c r="AB16" s="3938"/>
      <c r="AC16" s="3938"/>
      <c r="AD16" s="3938" t="s">
        <v>2129</v>
      </c>
      <c r="AE16" s="3938"/>
      <c r="AF16" s="3938"/>
      <c r="AG16">
        <v>94</v>
      </c>
      <c r="AH16">
        <v>94</v>
      </c>
      <c r="AI16" t="b">
        <v>0</v>
      </c>
      <c r="AJ16">
        <v>94</v>
      </c>
      <c r="AK16" s="3966">
        <v>21065</v>
      </c>
      <c r="AL16" s="2814" t="s">
        <v>2129</v>
      </c>
      <c r="AM16" s="2814" t="s">
        <v>2129</v>
      </c>
      <c r="AN16" s="2814">
        <v>1320</v>
      </c>
      <c r="AO16" s="3953" t="s">
        <v>2129</v>
      </c>
      <c r="AP16" s="2814" t="s">
        <v>2129</v>
      </c>
      <c r="AQ16" s="3954" t="s">
        <v>2129</v>
      </c>
      <c r="AR16" t="s">
        <v>2129</v>
      </c>
      <c r="AS16" t="s">
        <v>2129</v>
      </c>
      <c r="AU16" t="s">
        <v>2129</v>
      </c>
      <c r="AW16" t="s">
        <v>2129</v>
      </c>
      <c r="AX16" t="s">
        <v>2129</v>
      </c>
      <c r="AY16">
        <v>30</v>
      </c>
      <c r="AZ16" s="3946" t="s">
        <v>2129</v>
      </c>
      <c r="BA16" t="s">
        <v>2129</v>
      </c>
      <c r="BB16" s="3947" t="s">
        <v>2129</v>
      </c>
      <c r="BC16" s="1958" t="s">
        <v>2129</v>
      </c>
      <c r="BD16" s="1958" t="s">
        <v>2129</v>
      </c>
      <c r="BE16" s="1958">
        <v>27805800</v>
      </c>
      <c r="BF16" s="3937" t="s">
        <v>2129</v>
      </c>
      <c r="BG16" s="3938" t="s">
        <v>2129</v>
      </c>
      <c r="BH16" s="3938" t="s">
        <v>2129</v>
      </c>
      <c r="BI16" s="3937" t="s">
        <v>2129</v>
      </c>
      <c r="BJ16" s="3938" t="s">
        <v>2129</v>
      </c>
      <c r="BK16" s="3939" t="s">
        <v>2129</v>
      </c>
      <c r="BL16" s="3938" t="s">
        <v>2129</v>
      </c>
      <c r="BM16" s="3938" t="s">
        <v>2129</v>
      </c>
      <c r="BN16" s="3939" t="s">
        <v>2129</v>
      </c>
      <c r="BO16" s="3937" t="s">
        <v>2129</v>
      </c>
      <c r="BP16" s="3988" t="s">
        <v>2129</v>
      </c>
      <c r="BQ16" s="3988"/>
      <c r="BR16" s="3988"/>
      <c r="BS16" s="2694"/>
    </row>
    <row r="17" spans="1:71" ht="13">
      <c r="A17">
        <v>28</v>
      </c>
      <c r="B17" s="3980" t="s">
        <v>3244</v>
      </c>
      <c r="C17" s="2694" t="s">
        <v>2129</v>
      </c>
      <c r="D17" s="2694" t="s">
        <v>2129</v>
      </c>
      <c r="E17" s="2694" t="s">
        <v>3694</v>
      </c>
      <c r="F17" s="3974" t="s">
        <v>2129</v>
      </c>
      <c r="G17" s="3975" t="s">
        <v>2129</v>
      </c>
      <c r="H17" s="3976" t="s">
        <v>3694</v>
      </c>
      <c r="I17" s="2694">
        <v>0</v>
      </c>
      <c r="J17" s="3992" t="s">
        <v>2854</v>
      </c>
      <c r="K17" s="2694">
        <v>0</v>
      </c>
      <c r="L17" s="2694" t="b">
        <v>0</v>
      </c>
      <c r="M17" s="2694" t="s">
        <v>2129</v>
      </c>
      <c r="N17" s="2477">
        <v>0</v>
      </c>
      <c r="O17" s="2477">
        <v>0</v>
      </c>
      <c r="P17" s="2477">
        <v>0</v>
      </c>
      <c r="Q17" s="2477">
        <v>0</v>
      </c>
      <c r="R17" s="2477">
        <v>0</v>
      </c>
      <c r="S17" s="2695">
        <v>0</v>
      </c>
      <c r="T17" s="2477">
        <v>0</v>
      </c>
      <c r="U17" s="2477" t="b">
        <v>1</v>
      </c>
      <c r="V17" s="2477" t="s">
        <v>2129</v>
      </c>
      <c r="W17" s="2477">
        <v>-1320033</v>
      </c>
      <c r="X17" s="3937"/>
      <c r="Y17" s="3938">
        <v>1320033</v>
      </c>
      <c r="Z17" s="3938" t="b">
        <v>0</v>
      </c>
      <c r="AA17" s="3938">
        <v>17838.283783783783</v>
      </c>
      <c r="AB17" s="3938"/>
      <c r="AC17" s="3938"/>
      <c r="AD17" s="3938" t="s">
        <v>2129</v>
      </c>
      <c r="AE17" s="3938"/>
      <c r="AF17" s="3938"/>
      <c r="AH17">
        <v>74</v>
      </c>
      <c r="AI17" t="b">
        <v>0</v>
      </c>
      <c r="AJ17">
        <v>108</v>
      </c>
      <c r="AK17" s="3966">
        <v>12223</v>
      </c>
      <c r="AL17" s="2814" t="s">
        <v>2129</v>
      </c>
      <c r="AM17" s="2814" t="s">
        <v>2129</v>
      </c>
      <c r="AN17" s="2814">
        <v>2490</v>
      </c>
      <c r="AO17" s="3953" t="s">
        <v>2129</v>
      </c>
      <c r="AP17" s="2814" t="s">
        <v>2129</v>
      </c>
      <c r="AQ17" s="3954">
        <v>900</v>
      </c>
      <c r="AR17" t="s">
        <v>2129</v>
      </c>
      <c r="AS17" t="s">
        <v>2129</v>
      </c>
      <c r="AU17" t="s">
        <v>2129</v>
      </c>
      <c r="AW17" t="s">
        <v>2129</v>
      </c>
      <c r="AX17" t="s">
        <v>2129</v>
      </c>
      <c r="AY17">
        <v>30</v>
      </c>
      <c r="AZ17" s="3946" t="s">
        <v>2129</v>
      </c>
      <c r="BA17" t="s">
        <v>2129</v>
      </c>
      <c r="BB17" s="3947">
        <v>15</v>
      </c>
      <c r="BC17" s="1958" t="s">
        <v>2129</v>
      </c>
      <c r="BD17" s="1958" t="s">
        <v>2129</v>
      </c>
      <c r="BE17" s="1958">
        <v>30435270</v>
      </c>
      <c r="BF17" s="3937" t="s">
        <v>2129</v>
      </c>
      <c r="BG17" s="3938" t="s">
        <v>2129</v>
      </c>
      <c r="BH17" s="3938">
        <v>11000700</v>
      </c>
      <c r="BI17" s="3937" t="s">
        <v>2129</v>
      </c>
      <c r="BJ17" s="3938" t="s">
        <v>2129</v>
      </c>
      <c r="BK17" s="3939" t="s">
        <v>2129</v>
      </c>
      <c r="BL17" s="3938" t="s">
        <v>2129</v>
      </c>
      <c r="BM17" s="3938" t="s">
        <v>2129</v>
      </c>
      <c r="BN17" s="3939" t="s">
        <v>2129</v>
      </c>
      <c r="BO17" s="3937" t="s">
        <v>2129</v>
      </c>
      <c r="BP17" s="3988" t="s">
        <v>2129</v>
      </c>
      <c r="BQ17" s="3988"/>
      <c r="BR17" s="3988"/>
      <c r="BS17" s="2694"/>
    </row>
    <row r="18" spans="1:71" ht="13">
      <c r="A18">
        <v>34</v>
      </c>
      <c r="B18" s="3979" t="s">
        <v>3245</v>
      </c>
      <c r="C18" s="2694" t="s">
        <v>2129</v>
      </c>
      <c r="D18" s="2694" t="s">
        <v>2129</v>
      </c>
      <c r="E18" s="2694" t="s">
        <v>2129</v>
      </c>
      <c r="F18" s="3974" t="s">
        <v>2129</v>
      </c>
      <c r="G18" s="3975" t="s">
        <v>2695</v>
      </c>
      <c r="H18" s="3976" t="s">
        <v>2129</v>
      </c>
      <c r="I18" s="2694">
        <v>8</v>
      </c>
      <c r="J18" s="3992" t="s">
        <v>3546</v>
      </c>
      <c r="K18" s="2694">
        <v>8</v>
      </c>
      <c r="L18" s="2694" t="b">
        <v>1</v>
      </c>
      <c r="M18" s="2694" t="s">
        <v>2129</v>
      </c>
      <c r="N18" s="2477">
        <v>3383345</v>
      </c>
      <c r="O18" s="2477">
        <v>0</v>
      </c>
      <c r="P18" s="2477">
        <v>0</v>
      </c>
      <c r="Q18" s="2477">
        <v>0</v>
      </c>
      <c r="R18" s="2477">
        <v>0</v>
      </c>
      <c r="S18" s="2695">
        <v>3721679.5000000005</v>
      </c>
      <c r="T18" s="2477">
        <v>3721679</v>
      </c>
      <c r="U18" s="2477" t="b">
        <v>1</v>
      </c>
      <c r="V18" s="2477">
        <v>465209.875</v>
      </c>
      <c r="W18" s="2477">
        <v>0</v>
      </c>
      <c r="X18" s="3937">
        <v>4818721</v>
      </c>
      <c r="Y18" s="3938">
        <v>4818721</v>
      </c>
      <c r="Z18" s="3938" t="b">
        <v>1</v>
      </c>
      <c r="AA18" s="3938">
        <v>17781.258302583024</v>
      </c>
      <c r="AB18" s="3938"/>
      <c r="AC18" s="3938"/>
      <c r="AD18" s="3938" t="s">
        <v>2129</v>
      </c>
      <c r="AE18" s="3938">
        <v>1350</v>
      </c>
      <c r="AF18" s="3938"/>
      <c r="AG18">
        <v>271</v>
      </c>
      <c r="AH18">
        <v>271</v>
      </c>
      <c r="AI18" t="b">
        <v>1</v>
      </c>
      <c r="AJ18">
        <v>304</v>
      </c>
      <c r="AK18" s="3966">
        <v>15852</v>
      </c>
      <c r="AL18" s="2814" t="s">
        <v>2129</v>
      </c>
      <c r="AM18" s="2814" t="s">
        <v>2129</v>
      </c>
      <c r="AN18" s="2814" t="s">
        <v>2129</v>
      </c>
      <c r="AO18" s="3953" t="s">
        <v>2129</v>
      </c>
      <c r="AP18" s="2814">
        <v>1080</v>
      </c>
      <c r="AQ18" s="3954" t="s">
        <v>2129</v>
      </c>
      <c r="AR18" t="s">
        <v>2129</v>
      </c>
      <c r="AS18" t="s">
        <v>2129</v>
      </c>
      <c r="AU18" t="s">
        <v>2129</v>
      </c>
      <c r="AW18" t="s">
        <v>2129</v>
      </c>
      <c r="AX18" t="s">
        <v>2129</v>
      </c>
      <c r="AY18" t="s">
        <v>2129</v>
      </c>
      <c r="AZ18" s="3946" t="s">
        <v>2129</v>
      </c>
      <c r="BA18">
        <v>9</v>
      </c>
      <c r="BB18" s="3947" t="s">
        <v>2129</v>
      </c>
      <c r="BC18" s="1958" t="s">
        <v>2129</v>
      </c>
      <c r="BD18" s="1958" t="s">
        <v>2129</v>
      </c>
      <c r="BE18" s="1958" t="s">
        <v>2129</v>
      </c>
      <c r="BF18" s="3937" t="s">
        <v>2129</v>
      </c>
      <c r="BG18" s="3938">
        <v>17120160</v>
      </c>
      <c r="BH18" s="3938" t="s">
        <v>2129</v>
      </c>
      <c r="BI18" s="3937" t="s">
        <v>2129</v>
      </c>
      <c r="BJ18" s="3938" t="s">
        <v>2129</v>
      </c>
      <c r="BK18" s="3939" t="s">
        <v>2129</v>
      </c>
      <c r="BL18" s="3938" t="s">
        <v>2129</v>
      </c>
      <c r="BM18" s="3938">
        <v>33495111</v>
      </c>
      <c r="BN18" s="3939" t="s">
        <v>2129</v>
      </c>
      <c r="BO18" s="3937" t="s">
        <v>2129</v>
      </c>
      <c r="BP18" s="3988" t="s">
        <v>2129</v>
      </c>
      <c r="BQ18" s="3988"/>
      <c r="BR18" s="3988"/>
      <c r="BS18" s="2694"/>
    </row>
    <row r="19" spans="1:71" ht="13">
      <c r="A19">
        <v>38</v>
      </c>
      <c r="B19" s="3979" t="s">
        <v>3246</v>
      </c>
      <c r="C19" s="2694" t="s">
        <v>2129</v>
      </c>
      <c r="D19" s="2694" t="s">
        <v>2129</v>
      </c>
      <c r="E19" s="2694" t="s">
        <v>3694</v>
      </c>
      <c r="F19" s="3974" t="s">
        <v>2129</v>
      </c>
      <c r="G19" s="3975" t="s">
        <v>2129</v>
      </c>
      <c r="H19" s="3976" t="s">
        <v>2129</v>
      </c>
      <c r="I19" s="2694">
        <v>0</v>
      </c>
      <c r="J19" s="3992" t="s">
        <v>2854</v>
      </c>
      <c r="K19" s="2694">
        <v>0</v>
      </c>
      <c r="L19" s="2694" t="b">
        <v>1</v>
      </c>
      <c r="M19" s="2694" t="s">
        <v>2129</v>
      </c>
      <c r="N19" s="2477">
        <v>0</v>
      </c>
      <c r="O19" s="2477">
        <v>0</v>
      </c>
      <c r="P19" s="2477">
        <v>0</v>
      </c>
      <c r="Q19" s="2477">
        <v>0</v>
      </c>
      <c r="R19" s="2477">
        <v>0</v>
      </c>
      <c r="S19" s="2695">
        <v>0</v>
      </c>
      <c r="T19" s="2477">
        <v>0</v>
      </c>
      <c r="U19" s="2477" t="b">
        <v>1</v>
      </c>
      <c r="V19" s="2477" t="s">
        <v>2129</v>
      </c>
      <c r="W19" s="2477">
        <v>-295038</v>
      </c>
      <c r="X19" s="3937">
        <v>722163</v>
      </c>
      <c r="Y19" s="3938">
        <v>1017201</v>
      </c>
      <c r="Z19" s="3938" t="b">
        <v>1</v>
      </c>
      <c r="AA19" s="3938">
        <v>13562.68</v>
      </c>
      <c r="AB19" s="3938"/>
      <c r="AC19" s="3938"/>
      <c r="AD19" s="3938" t="s">
        <v>2129</v>
      </c>
      <c r="AE19" s="3938"/>
      <c r="AF19" s="3938"/>
      <c r="AG19">
        <v>102</v>
      </c>
      <c r="AH19">
        <v>75</v>
      </c>
      <c r="AI19" t="b">
        <v>1</v>
      </c>
      <c r="AJ19">
        <v>75</v>
      </c>
      <c r="AK19" s="3966">
        <v>13563</v>
      </c>
      <c r="AL19" s="2814" t="s">
        <v>2129</v>
      </c>
      <c r="AM19" s="2814" t="s">
        <v>2129</v>
      </c>
      <c r="AN19" s="2814">
        <v>1440</v>
      </c>
      <c r="AO19" s="3953" t="s">
        <v>2129</v>
      </c>
      <c r="AP19" s="2814" t="s">
        <v>2129</v>
      </c>
      <c r="AQ19" s="3954" t="s">
        <v>2129</v>
      </c>
      <c r="AR19" t="s">
        <v>2129</v>
      </c>
      <c r="AS19" t="s">
        <v>2129</v>
      </c>
      <c r="AU19" t="s">
        <v>2129</v>
      </c>
      <c r="AW19" t="s">
        <v>2129</v>
      </c>
      <c r="AX19" t="s">
        <v>2129</v>
      </c>
      <c r="AY19">
        <v>30</v>
      </c>
      <c r="AZ19" s="3946" t="s">
        <v>2129</v>
      </c>
      <c r="BA19" t="s">
        <v>2129</v>
      </c>
      <c r="BB19" s="3947" t="s">
        <v>2129</v>
      </c>
      <c r="BC19" s="1958" t="s">
        <v>2129</v>
      </c>
      <c r="BD19" s="1958" t="s">
        <v>2129</v>
      </c>
      <c r="BE19" s="1958">
        <v>19530720</v>
      </c>
      <c r="BF19" s="3937" t="s">
        <v>2129</v>
      </c>
      <c r="BG19" s="3938" t="s">
        <v>2129</v>
      </c>
      <c r="BH19" s="3938" t="s">
        <v>2129</v>
      </c>
      <c r="BI19" s="3937" t="s">
        <v>2129</v>
      </c>
      <c r="BJ19" s="3938" t="s">
        <v>2129</v>
      </c>
      <c r="BK19" s="3939" t="s">
        <v>2129</v>
      </c>
      <c r="BL19" s="3938" t="s">
        <v>2129</v>
      </c>
      <c r="BM19" s="3938" t="s">
        <v>2129</v>
      </c>
      <c r="BN19" s="3939" t="s">
        <v>2129</v>
      </c>
      <c r="BO19" s="3937" t="s">
        <v>2129</v>
      </c>
      <c r="BP19" s="3988" t="s">
        <v>2129</v>
      </c>
      <c r="BQ19" s="3988"/>
      <c r="BR19" s="3988"/>
      <c r="BS19" s="2694"/>
    </row>
    <row r="20" spans="1:71" ht="13">
      <c r="A20">
        <v>39</v>
      </c>
      <c r="B20" s="3979" t="s">
        <v>3247</v>
      </c>
      <c r="C20" s="2694" t="s">
        <v>2129</v>
      </c>
      <c r="D20" s="2694" t="s">
        <v>2695</v>
      </c>
      <c r="E20" s="2694" t="s">
        <v>2129</v>
      </c>
      <c r="F20" s="3974" t="s">
        <v>2129</v>
      </c>
      <c r="G20" s="3975" t="s">
        <v>2695</v>
      </c>
      <c r="H20" s="3976" t="s">
        <v>2129</v>
      </c>
      <c r="I20" s="2694">
        <v>3</v>
      </c>
      <c r="J20" s="3992" t="s">
        <v>3520</v>
      </c>
      <c r="K20" s="2694">
        <v>2</v>
      </c>
      <c r="L20" s="2694" t="b">
        <v>1</v>
      </c>
      <c r="M20" s="2694" t="s">
        <v>2129</v>
      </c>
      <c r="N20" s="2477">
        <v>3168000</v>
      </c>
      <c r="O20" s="2477">
        <v>0</v>
      </c>
      <c r="P20" s="2477">
        <v>0</v>
      </c>
      <c r="Q20" s="2477">
        <v>0</v>
      </c>
      <c r="R20" s="2477">
        <v>0</v>
      </c>
      <c r="S20" s="2695">
        <v>3484800.0000000005</v>
      </c>
      <c r="T20" s="2477">
        <v>2428800</v>
      </c>
      <c r="U20" s="2477" t="b">
        <v>1</v>
      </c>
      <c r="V20" s="2477">
        <v>1214400</v>
      </c>
      <c r="W20" s="2477">
        <v>-463519</v>
      </c>
      <c r="X20" s="3937">
        <v>3565639</v>
      </c>
      <c r="Y20" s="3938">
        <v>4029158</v>
      </c>
      <c r="Z20" s="3938" t="b">
        <v>1</v>
      </c>
      <c r="AA20" s="3938">
        <v>35036.156521739133</v>
      </c>
      <c r="AB20" s="3938"/>
      <c r="AC20" s="3938"/>
      <c r="AD20" s="3938" t="s">
        <v>2129</v>
      </c>
      <c r="AE20" s="3938">
        <v>2475</v>
      </c>
      <c r="AF20" s="3938"/>
      <c r="AG20">
        <v>115</v>
      </c>
      <c r="AH20" s="3965">
        <v>115</v>
      </c>
      <c r="AI20" s="3965" t="b">
        <v>1</v>
      </c>
      <c r="AJ20">
        <v>154</v>
      </c>
      <c r="AK20" s="3966">
        <v>26164</v>
      </c>
      <c r="AL20" s="2814" t="s">
        <v>2129</v>
      </c>
      <c r="AM20" s="2814">
        <v>1035</v>
      </c>
      <c r="AN20" s="2814" t="s">
        <v>2129</v>
      </c>
      <c r="AO20" s="3953" t="s">
        <v>2129</v>
      </c>
      <c r="AP20" s="2814">
        <v>522</v>
      </c>
      <c r="AQ20" s="3954" t="s">
        <v>2129</v>
      </c>
      <c r="AR20" t="s">
        <v>2129</v>
      </c>
      <c r="AS20">
        <v>920</v>
      </c>
      <c r="AU20" t="s">
        <v>2129</v>
      </c>
      <c r="AW20" t="s">
        <v>2129</v>
      </c>
      <c r="AX20">
        <v>18</v>
      </c>
      <c r="AY20" t="s">
        <v>2129</v>
      </c>
      <c r="AZ20" s="3946" t="s">
        <v>2129</v>
      </c>
      <c r="BA20">
        <v>9</v>
      </c>
      <c r="BB20" s="3947" t="s">
        <v>2129</v>
      </c>
      <c r="BC20" s="1958" t="s">
        <v>2129</v>
      </c>
      <c r="BD20" s="1958">
        <v>27079740</v>
      </c>
      <c r="BE20" s="1958" t="s">
        <v>2129</v>
      </c>
      <c r="BF20" s="3937" t="s">
        <v>2129</v>
      </c>
      <c r="BG20" s="3938">
        <v>13657608</v>
      </c>
      <c r="BH20" s="3938" t="s">
        <v>2129</v>
      </c>
      <c r="BI20" s="3937" t="s">
        <v>2129</v>
      </c>
      <c r="BJ20" s="3938">
        <v>43718400</v>
      </c>
      <c r="BK20" s="3939" t="s">
        <v>2129</v>
      </c>
      <c r="BL20" s="3938" t="s">
        <v>2129</v>
      </c>
      <c r="BM20" s="3938">
        <v>21859200</v>
      </c>
      <c r="BN20" s="3939" t="s">
        <v>2129</v>
      </c>
      <c r="BO20" s="3937" t="s">
        <v>2129</v>
      </c>
      <c r="BP20" s="3988" t="s">
        <v>2129</v>
      </c>
      <c r="BQ20" s="3988"/>
      <c r="BR20" s="3988"/>
      <c r="BS20" s="2694"/>
    </row>
    <row r="21" spans="1:71" ht="13">
      <c r="A21">
        <v>40</v>
      </c>
      <c r="B21" s="3995" t="s">
        <v>3248</v>
      </c>
      <c r="C21" s="2694" t="s">
        <v>2129</v>
      </c>
      <c r="D21" s="2694" t="s">
        <v>2695</v>
      </c>
      <c r="E21" s="2694" t="s">
        <v>2129</v>
      </c>
      <c r="F21" s="3974" t="s">
        <v>2129</v>
      </c>
      <c r="G21" s="3975" t="s">
        <v>2129</v>
      </c>
      <c r="H21" s="3976" t="s">
        <v>2129</v>
      </c>
      <c r="I21" s="2694">
        <v>25</v>
      </c>
      <c r="J21" s="3992" t="s">
        <v>5230</v>
      </c>
      <c r="K21" s="2694">
        <v>25</v>
      </c>
      <c r="L21" s="2694" t="b">
        <v>1</v>
      </c>
      <c r="M21" s="2694" t="s">
        <v>2129</v>
      </c>
      <c r="N21" s="2477">
        <v>27221978</v>
      </c>
      <c r="O21" s="2477">
        <v>588828</v>
      </c>
      <c r="P21" s="2477">
        <v>463641</v>
      </c>
      <c r="Q21" s="2477">
        <v>0</v>
      </c>
      <c r="R21" s="2477">
        <v>0</v>
      </c>
      <c r="S21" s="2695">
        <v>31101891.700000003</v>
      </c>
      <c r="T21" s="2477">
        <v>31101891</v>
      </c>
      <c r="U21" s="2477" t="b">
        <v>1</v>
      </c>
      <c r="V21" s="2477">
        <v>1244075.6399999999</v>
      </c>
      <c r="W21" s="2477">
        <v>25323192</v>
      </c>
      <c r="X21" s="3937">
        <v>44878992</v>
      </c>
      <c r="Y21" s="3938">
        <v>19555800</v>
      </c>
      <c r="Z21" s="3938" t="b">
        <v>1</v>
      </c>
      <c r="AA21" s="3938">
        <v>91382.242990654209</v>
      </c>
      <c r="AB21" s="3938"/>
      <c r="AC21" s="3938"/>
      <c r="AD21" s="3938" t="s">
        <v>2129</v>
      </c>
      <c r="AE21" s="3938"/>
      <c r="AF21" s="3938"/>
      <c r="AG21">
        <v>774</v>
      </c>
      <c r="AH21">
        <v>214</v>
      </c>
      <c r="AI21" t="b">
        <v>1</v>
      </c>
      <c r="AJ21">
        <v>348</v>
      </c>
      <c r="AK21" s="3966">
        <v>56195</v>
      </c>
      <c r="AL21" s="2814" t="s">
        <v>2129</v>
      </c>
      <c r="AM21" s="2814">
        <v>3600</v>
      </c>
      <c r="AN21" s="2814" t="s">
        <v>2129</v>
      </c>
      <c r="AO21" s="3953" t="s">
        <v>2129</v>
      </c>
      <c r="AP21" s="2814" t="s">
        <v>2129</v>
      </c>
      <c r="AQ21" s="3954" t="s">
        <v>2129</v>
      </c>
      <c r="AR21" t="s">
        <v>2129</v>
      </c>
      <c r="AS21">
        <v>3386</v>
      </c>
      <c r="AU21" t="s">
        <v>2129</v>
      </c>
      <c r="AW21" t="s">
        <v>2129</v>
      </c>
      <c r="AX21">
        <v>18</v>
      </c>
      <c r="AY21" t="s">
        <v>2129</v>
      </c>
      <c r="AZ21" s="3946" t="s">
        <v>2129</v>
      </c>
      <c r="BA21" t="s">
        <v>2129</v>
      </c>
      <c r="BB21" s="3947" t="s">
        <v>2129</v>
      </c>
      <c r="BC21" s="1958" t="s">
        <v>2129</v>
      </c>
      <c r="BD21" s="1958">
        <v>202302000</v>
      </c>
      <c r="BE21" s="1958" t="s">
        <v>2129</v>
      </c>
      <c r="BF21" s="3937" t="s">
        <v>2129</v>
      </c>
      <c r="BG21" s="3938" t="s">
        <v>2129</v>
      </c>
      <c r="BH21" s="3938" t="s">
        <v>2129</v>
      </c>
      <c r="BI21" s="3937" t="s">
        <v>2129</v>
      </c>
      <c r="BJ21" s="3938">
        <v>559834037.99999988</v>
      </c>
      <c r="BK21" s="3939" t="s">
        <v>2129</v>
      </c>
      <c r="BL21" s="3938" t="s">
        <v>2129</v>
      </c>
      <c r="BM21" s="3938" t="s">
        <v>2129</v>
      </c>
      <c r="BN21" s="3939" t="s">
        <v>2129</v>
      </c>
      <c r="BO21" s="3937" t="s">
        <v>2129</v>
      </c>
      <c r="BP21" s="3988" t="s">
        <v>2129</v>
      </c>
      <c r="BQ21" s="3988"/>
      <c r="BR21" s="3988"/>
      <c r="BS21" s="2694"/>
    </row>
    <row r="22" spans="1:71" ht="13">
      <c r="A22">
        <v>41</v>
      </c>
      <c r="B22" s="3979" t="s">
        <v>3249</v>
      </c>
      <c r="C22" s="2694" t="s">
        <v>2129</v>
      </c>
      <c r="D22" s="2694" t="s">
        <v>2129</v>
      </c>
      <c r="E22" s="2694" t="s">
        <v>2129</v>
      </c>
      <c r="F22" s="3974" t="s">
        <v>2129</v>
      </c>
      <c r="G22" s="3975" t="s">
        <v>2129</v>
      </c>
      <c r="H22" s="3976" t="s">
        <v>2129</v>
      </c>
      <c r="I22" s="2694">
        <v>0</v>
      </c>
      <c r="J22" s="3992" t="s">
        <v>2854</v>
      </c>
      <c r="K22" s="2694">
        <v>0</v>
      </c>
      <c r="L22" s="2694" t="b">
        <v>0</v>
      </c>
      <c r="M22" s="2694" t="s">
        <v>2129</v>
      </c>
      <c r="N22" s="2477">
        <v>0</v>
      </c>
      <c r="O22" s="2477">
        <v>0</v>
      </c>
      <c r="P22" s="2477">
        <v>0</v>
      </c>
      <c r="Q22" s="2477">
        <v>0</v>
      </c>
      <c r="R22" s="2477">
        <v>0</v>
      </c>
      <c r="S22" s="2695">
        <v>0</v>
      </c>
      <c r="T22" s="2477">
        <v>0</v>
      </c>
      <c r="U22" s="2477" t="b">
        <v>1</v>
      </c>
      <c r="V22" s="2477" t="s">
        <v>2129</v>
      </c>
      <c r="W22" s="2477">
        <v>0</v>
      </c>
      <c r="X22" s="3937">
        <v>3061982</v>
      </c>
      <c r="Y22" s="3938">
        <v>3061982</v>
      </c>
      <c r="Z22" s="3938" t="b">
        <v>1</v>
      </c>
      <c r="AA22" s="3938">
        <v>21871.3</v>
      </c>
      <c r="AB22" s="3938"/>
      <c r="AC22" s="3938"/>
      <c r="AD22" s="3938" t="s">
        <v>2129</v>
      </c>
      <c r="AE22" s="3938"/>
      <c r="AF22" s="3938"/>
      <c r="AG22">
        <v>195</v>
      </c>
      <c r="AH22">
        <v>140</v>
      </c>
      <c r="AI22" t="b">
        <v>1</v>
      </c>
      <c r="AJ22">
        <v>140</v>
      </c>
      <c r="AK22" s="3966">
        <v>21872</v>
      </c>
      <c r="AL22" s="2814" t="s">
        <v>2129</v>
      </c>
      <c r="AM22" s="2814" t="s">
        <v>2129</v>
      </c>
      <c r="AN22" s="2814" t="s">
        <v>2129</v>
      </c>
      <c r="AO22" s="3953" t="s">
        <v>2129</v>
      </c>
      <c r="AP22" s="2814" t="s">
        <v>2129</v>
      </c>
      <c r="AQ22" s="3954" t="s">
        <v>2129</v>
      </c>
      <c r="AR22" t="s">
        <v>2129</v>
      </c>
      <c r="AS22" t="s">
        <v>2129</v>
      </c>
      <c r="AU22" t="s">
        <v>2129</v>
      </c>
      <c r="AW22" t="s">
        <v>2129</v>
      </c>
      <c r="AX22" t="s">
        <v>2129</v>
      </c>
      <c r="AY22" t="s">
        <v>2129</v>
      </c>
      <c r="AZ22" s="3946" t="s">
        <v>2129</v>
      </c>
      <c r="BA22" t="s">
        <v>2129</v>
      </c>
      <c r="BB22" s="3947" t="s">
        <v>2129</v>
      </c>
      <c r="BC22" s="1958" t="s">
        <v>2129</v>
      </c>
      <c r="BD22" s="1958" t="s">
        <v>2129</v>
      </c>
      <c r="BE22" s="1958" t="s">
        <v>2129</v>
      </c>
      <c r="BF22" s="3937" t="s">
        <v>2129</v>
      </c>
      <c r="BG22" s="3938" t="s">
        <v>2129</v>
      </c>
      <c r="BH22" s="3938" t="s">
        <v>2129</v>
      </c>
      <c r="BI22" s="3937" t="s">
        <v>2129</v>
      </c>
      <c r="BJ22" s="3938" t="s">
        <v>2129</v>
      </c>
      <c r="BK22" s="3939" t="s">
        <v>2129</v>
      </c>
      <c r="BL22" s="3938" t="s">
        <v>2129</v>
      </c>
      <c r="BM22" s="3938" t="s">
        <v>2129</v>
      </c>
      <c r="BN22" s="3939" t="s">
        <v>2129</v>
      </c>
      <c r="BO22" s="3937" t="s">
        <v>2129</v>
      </c>
      <c r="BP22" s="3988" t="s">
        <v>2129</v>
      </c>
      <c r="BQ22" s="3988"/>
      <c r="BR22" s="3988"/>
      <c r="BS22" s="2694"/>
    </row>
    <row r="23" spans="1:71" ht="13">
      <c r="A23">
        <v>42</v>
      </c>
      <c r="B23" s="3979" t="s">
        <v>3250</v>
      </c>
      <c r="C23" s="2694" t="s">
        <v>2129</v>
      </c>
      <c r="D23" s="2694" t="s">
        <v>2129</v>
      </c>
      <c r="E23" s="2694" t="s">
        <v>2129</v>
      </c>
      <c r="F23" s="3974" t="s">
        <v>2129</v>
      </c>
      <c r="G23" s="3975" t="s">
        <v>2129</v>
      </c>
      <c r="H23" s="3976" t="s">
        <v>2129</v>
      </c>
      <c r="I23" s="2694">
        <v>0</v>
      </c>
      <c r="J23" s="3992" t="s">
        <v>2854</v>
      </c>
      <c r="K23" s="2694">
        <v>0</v>
      </c>
      <c r="L23" s="2694" t="b">
        <v>0</v>
      </c>
      <c r="M23" s="2694" t="s">
        <v>2129</v>
      </c>
      <c r="N23" s="2477">
        <v>0</v>
      </c>
      <c r="O23" s="2477">
        <v>0</v>
      </c>
      <c r="P23" s="2477">
        <v>0</v>
      </c>
      <c r="Q23" s="2477">
        <v>0</v>
      </c>
      <c r="R23" s="2477">
        <v>0</v>
      </c>
      <c r="S23" s="2695">
        <v>0</v>
      </c>
      <c r="T23" s="2477">
        <v>0</v>
      </c>
      <c r="U23" s="2477" t="b">
        <v>1</v>
      </c>
      <c r="V23" s="2477" t="s">
        <v>2129</v>
      </c>
      <c r="W23" s="2477">
        <v>0</v>
      </c>
      <c r="X23" s="3937">
        <v>1193846</v>
      </c>
      <c r="Y23" s="3938">
        <v>1193846</v>
      </c>
      <c r="Z23" s="3938" t="b">
        <v>1</v>
      </c>
      <c r="AA23" s="3938">
        <v>11938.46</v>
      </c>
      <c r="AB23" s="3938"/>
      <c r="AC23" s="3938"/>
      <c r="AD23" s="3938" t="s">
        <v>2129</v>
      </c>
      <c r="AE23" s="3938"/>
      <c r="AF23" s="3938"/>
      <c r="AG23">
        <v>139</v>
      </c>
      <c r="AH23">
        <v>100</v>
      </c>
      <c r="AI23" t="b">
        <v>1</v>
      </c>
      <c r="AJ23">
        <v>100</v>
      </c>
      <c r="AK23" s="3966">
        <v>11939</v>
      </c>
      <c r="AL23" s="2814" t="s">
        <v>2129</v>
      </c>
      <c r="AM23" s="2814" t="s">
        <v>2129</v>
      </c>
      <c r="AN23" s="2814" t="s">
        <v>2129</v>
      </c>
      <c r="AO23" s="3953" t="s">
        <v>2129</v>
      </c>
      <c r="AP23" s="2814" t="s">
        <v>2129</v>
      </c>
      <c r="AQ23" s="3954" t="s">
        <v>2129</v>
      </c>
      <c r="AR23" t="s">
        <v>2129</v>
      </c>
      <c r="AS23" t="s">
        <v>2129</v>
      </c>
      <c r="AU23" t="s">
        <v>2129</v>
      </c>
      <c r="AW23" t="s">
        <v>2129</v>
      </c>
      <c r="AX23" t="s">
        <v>2129</v>
      </c>
      <c r="AY23" t="s">
        <v>2129</v>
      </c>
      <c r="AZ23" s="3946" t="s">
        <v>2129</v>
      </c>
      <c r="BA23" t="s">
        <v>2129</v>
      </c>
      <c r="BB23" s="3947" t="s">
        <v>2129</v>
      </c>
      <c r="BC23" s="1958" t="s">
        <v>2129</v>
      </c>
      <c r="BD23" s="1958" t="s">
        <v>2129</v>
      </c>
      <c r="BE23" s="1958" t="s">
        <v>2129</v>
      </c>
      <c r="BF23" s="3937" t="s">
        <v>2129</v>
      </c>
      <c r="BG23" s="3938" t="s">
        <v>2129</v>
      </c>
      <c r="BH23" s="3938" t="s">
        <v>2129</v>
      </c>
      <c r="BI23" s="3937" t="s">
        <v>2129</v>
      </c>
      <c r="BJ23" s="3938" t="s">
        <v>2129</v>
      </c>
      <c r="BK23" s="3939" t="s">
        <v>2129</v>
      </c>
      <c r="BL23" s="3938" t="s">
        <v>2129</v>
      </c>
      <c r="BM23" s="3938" t="s">
        <v>2129</v>
      </c>
      <c r="BN23" s="3939" t="s">
        <v>2129</v>
      </c>
      <c r="BO23" s="3937" t="s">
        <v>2129</v>
      </c>
      <c r="BP23" s="3988" t="s">
        <v>2129</v>
      </c>
      <c r="BQ23" s="3988"/>
      <c r="BR23" s="3988"/>
      <c r="BS23" s="2694"/>
    </row>
    <row r="24" spans="1:71" ht="13">
      <c r="A24">
        <v>43</v>
      </c>
      <c r="B24" s="3979" t="s">
        <v>3251</v>
      </c>
      <c r="C24" s="2694" t="s">
        <v>2129</v>
      </c>
      <c r="D24" s="2694" t="s">
        <v>2129</v>
      </c>
      <c r="E24" s="2694" t="s">
        <v>3694</v>
      </c>
      <c r="F24" s="3974" t="s">
        <v>2129</v>
      </c>
      <c r="G24" s="3975" t="s">
        <v>2129</v>
      </c>
      <c r="H24" s="3976" t="s">
        <v>2129</v>
      </c>
      <c r="I24" s="2694">
        <v>2</v>
      </c>
      <c r="J24" s="3992" t="s">
        <v>3481</v>
      </c>
      <c r="K24" s="2694">
        <v>2</v>
      </c>
      <c r="L24" s="2694" t="b">
        <v>0</v>
      </c>
      <c r="M24" s="2694" t="s">
        <v>2129</v>
      </c>
      <c r="N24" s="2477">
        <v>141177</v>
      </c>
      <c r="O24" s="2477">
        <v>0</v>
      </c>
      <c r="P24" s="2477">
        <v>0</v>
      </c>
      <c r="Q24" s="2477">
        <v>0</v>
      </c>
      <c r="R24" s="2477">
        <v>0</v>
      </c>
      <c r="S24" s="2695">
        <v>155294.70000000001</v>
      </c>
      <c r="T24" s="2477">
        <v>155294</v>
      </c>
      <c r="U24" s="2477" t="b">
        <v>0</v>
      </c>
      <c r="V24" s="2477">
        <v>77647</v>
      </c>
      <c r="W24" s="2477">
        <v>0</v>
      </c>
      <c r="X24" s="3937">
        <v>3473577</v>
      </c>
      <c r="Y24" s="3938">
        <v>3473577</v>
      </c>
      <c r="Z24" s="3938" t="b">
        <v>1</v>
      </c>
      <c r="AA24" s="3938">
        <v>12865.1</v>
      </c>
      <c r="AB24" s="3938"/>
      <c r="AC24" s="3938"/>
      <c r="AD24" s="3938" t="s">
        <v>2129</v>
      </c>
      <c r="AE24" s="3938"/>
      <c r="AF24" s="3938"/>
      <c r="AG24">
        <v>375</v>
      </c>
      <c r="AH24">
        <v>270</v>
      </c>
      <c r="AI24" t="b">
        <v>1</v>
      </c>
      <c r="AJ24">
        <v>270</v>
      </c>
      <c r="AK24" s="3966">
        <v>12866</v>
      </c>
      <c r="AL24" s="2814" t="s">
        <v>2129</v>
      </c>
      <c r="AM24" s="2814" t="s">
        <v>2129</v>
      </c>
      <c r="AN24" s="2814">
        <v>5250</v>
      </c>
      <c r="AO24" s="3953" t="s">
        <v>2129</v>
      </c>
      <c r="AP24" s="2814" t="s">
        <v>2129</v>
      </c>
      <c r="AQ24" s="3954" t="s">
        <v>2129</v>
      </c>
      <c r="AR24" t="s">
        <v>2129</v>
      </c>
      <c r="AS24" t="s">
        <v>2129</v>
      </c>
      <c r="AU24" t="s">
        <v>2129</v>
      </c>
      <c r="AW24" t="s">
        <v>2129</v>
      </c>
      <c r="AX24" t="s">
        <v>2129</v>
      </c>
      <c r="AY24">
        <v>30</v>
      </c>
      <c r="AZ24" s="3946" t="s">
        <v>2129</v>
      </c>
      <c r="BA24" t="s">
        <v>2129</v>
      </c>
      <c r="BB24" s="3947" t="s">
        <v>2129</v>
      </c>
      <c r="BC24" s="1958" t="s">
        <v>2129</v>
      </c>
      <c r="BD24" s="1958" t="s">
        <v>2129</v>
      </c>
      <c r="BE24" s="1958">
        <v>67546500</v>
      </c>
      <c r="BF24" s="3937" t="s">
        <v>2129</v>
      </c>
      <c r="BG24" s="3938" t="s">
        <v>2129</v>
      </c>
      <c r="BH24" s="3938" t="s">
        <v>2129</v>
      </c>
      <c r="BI24" s="3937" t="s">
        <v>2129</v>
      </c>
      <c r="BJ24" s="3938" t="s">
        <v>2129</v>
      </c>
      <c r="BK24" s="3939">
        <v>4658820</v>
      </c>
      <c r="BL24" s="3938" t="s">
        <v>2129</v>
      </c>
      <c r="BM24" s="3938" t="s">
        <v>2129</v>
      </c>
      <c r="BN24" s="3939" t="s">
        <v>2129</v>
      </c>
      <c r="BO24" s="3937" t="s">
        <v>2129</v>
      </c>
      <c r="BP24" s="3988" t="s">
        <v>2129</v>
      </c>
      <c r="BQ24" s="3988"/>
      <c r="BR24" s="3988"/>
      <c r="BS24" s="2694"/>
    </row>
    <row r="25" spans="1:71" ht="13">
      <c r="A25">
        <v>44</v>
      </c>
      <c r="B25" s="3979" t="s">
        <v>3252</v>
      </c>
      <c r="C25" s="2694" t="s">
        <v>2129</v>
      </c>
      <c r="D25" s="2694" t="s">
        <v>2129</v>
      </c>
      <c r="E25" s="2694" t="s">
        <v>2129</v>
      </c>
      <c r="F25" s="3974" t="s">
        <v>2129</v>
      </c>
      <c r="G25" s="3975" t="s">
        <v>2129</v>
      </c>
      <c r="H25" s="3976" t="s">
        <v>2129</v>
      </c>
      <c r="I25" s="2694">
        <v>1</v>
      </c>
      <c r="J25" s="3992" t="s">
        <v>2669</v>
      </c>
      <c r="K25" s="2694">
        <v>1</v>
      </c>
      <c r="L25" s="2694" t="b">
        <v>0</v>
      </c>
      <c r="M25" s="2694" t="s">
        <v>2129</v>
      </c>
      <c r="N25" s="2477">
        <v>70589</v>
      </c>
      <c r="O25" s="2477">
        <v>0</v>
      </c>
      <c r="P25" s="2477">
        <v>0</v>
      </c>
      <c r="Q25" s="2477">
        <v>0</v>
      </c>
      <c r="R25" s="2477">
        <v>0</v>
      </c>
      <c r="S25" s="2695">
        <v>77647.900000000009</v>
      </c>
      <c r="T25" s="2477">
        <v>77647</v>
      </c>
      <c r="U25" s="2477" t="b">
        <v>0</v>
      </c>
      <c r="V25" s="2477">
        <v>77647</v>
      </c>
      <c r="W25" s="2477">
        <v>0</v>
      </c>
      <c r="X25" s="3937">
        <v>926728</v>
      </c>
      <c r="Y25" s="3938">
        <v>926728</v>
      </c>
      <c r="Z25" s="3938" t="b">
        <v>1</v>
      </c>
      <c r="AA25" s="3938">
        <v>12356.373333333333</v>
      </c>
      <c r="AB25" s="3938"/>
      <c r="AC25" s="3938"/>
      <c r="AD25" s="3938" t="s">
        <v>2129</v>
      </c>
      <c r="AE25" s="3938"/>
      <c r="AF25" s="3938"/>
      <c r="AG25">
        <v>100</v>
      </c>
      <c r="AH25">
        <v>75</v>
      </c>
      <c r="AI25" t="b">
        <v>1</v>
      </c>
      <c r="AJ25">
        <v>76</v>
      </c>
      <c r="AK25" s="3966">
        <v>12194</v>
      </c>
      <c r="AL25" s="2814" t="s">
        <v>2129</v>
      </c>
      <c r="AM25" s="2814" t="s">
        <v>2129</v>
      </c>
      <c r="AN25" s="2814" t="s">
        <v>2129</v>
      </c>
      <c r="AO25" s="3953" t="s">
        <v>2129</v>
      </c>
      <c r="AP25" s="2814" t="s">
        <v>2129</v>
      </c>
      <c r="AQ25" s="3954" t="s">
        <v>2129</v>
      </c>
      <c r="AR25" t="s">
        <v>2129</v>
      </c>
      <c r="AS25" t="s">
        <v>2129</v>
      </c>
      <c r="AU25" t="s">
        <v>2129</v>
      </c>
      <c r="AW25" t="s">
        <v>2129</v>
      </c>
      <c r="AX25" t="s">
        <v>2129</v>
      </c>
      <c r="AY25" t="s">
        <v>2129</v>
      </c>
      <c r="AZ25" s="3946" t="s">
        <v>2129</v>
      </c>
      <c r="BA25" t="s">
        <v>2129</v>
      </c>
      <c r="BB25" s="3947" t="s">
        <v>2129</v>
      </c>
      <c r="BC25" s="1958" t="s">
        <v>2129</v>
      </c>
      <c r="BD25" s="1958" t="s">
        <v>2129</v>
      </c>
      <c r="BE25" s="1958" t="s">
        <v>2129</v>
      </c>
      <c r="BF25" s="3937" t="s">
        <v>2129</v>
      </c>
      <c r="BG25" s="3938" t="s">
        <v>2129</v>
      </c>
      <c r="BH25" s="3938" t="s">
        <v>2129</v>
      </c>
      <c r="BI25" s="3937" t="s">
        <v>2129</v>
      </c>
      <c r="BJ25" s="3938" t="s">
        <v>2129</v>
      </c>
      <c r="BK25" s="3939" t="s">
        <v>2129</v>
      </c>
      <c r="BL25" s="3938" t="s">
        <v>2129</v>
      </c>
      <c r="BM25" s="3938" t="s">
        <v>2129</v>
      </c>
      <c r="BN25" s="3939" t="s">
        <v>2129</v>
      </c>
      <c r="BO25" s="3937" t="s">
        <v>2129</v>
      </c>
      <c r="BP25" s="3988" t="s">
        <v>2129</v>
      </c>
      <c r="BQ25" s="3988"/>
      <c r="BR25" s="3988"/>
      <c r="BS25" s="2694"/>
    </row>
    <row r="26" spans="1:71" ht="13">
      <c r="A26">
        <v>45</v>
      </c>
      <c r="B26" s="3980" t="s">
        <v>3253</v>
      </c>
      <c r="C26" s="2694" t="s">
        <v>2129</v>
      </c>
      <c r="D26" s="2694" t="s">
        <v>2129</v>
      </c>
      <c r="E26" s="2694" t="s">
        <v>2129</v>
      </c>
      <c r="F26" s="3974" t="s">
        <v>2129</v>
      </c>
      <c r="G26" s="3975" t="s">
        <v>2129</v>
      </c>
      <c r="H26" s="3976" t="s">
        <v>2129</v>
      </c>
      <c r="I26" s="2694">
        <v>0</v>
      </c>
      <c r="J26" s="3992" t="s">
        <v>3592</v>
      </c>
      <c r="K26" s="2694">
        <v>0</v>
      </c>
      <c r="L26" s="2694" t="b">
        <v>0</v>
      </c>
      <c r="M26" s="2694" t="s">
        <v>2129</v>
      </c>
      <c r="N26" s="2477">
        <v>70589</v>
      </c>
      <c r="O26" s="2477">
        <v>0</v>
      </c>
      <c r="P26" s="2477">
        <v>0</v>
      </c>
      <c r="Q26" s="2477">
        <v>0</v>
      </c>
      <c r="R26" s="2477">
        <v>0</v>
      </c>
      <c r="S26" s="2695">
        <v>77647.900000000009</v>
      </c>
      <c r="T26" s="2477">
        <v>0</v>
      </c>
      <c r="U26" s="2477" t="b">
        <v>0</v>
      </c>
      <c r="V26" s="2477" t="s">
        <v>2129</v>
      </c>
      <c r="W26" s="2477">
        <v>-724724</v>
      </c>
      <c r="X26" s="3937"/>
      <c r="Y26" s="3938">
        <v>724724</v>
      </c>
      <c r="Z26" s="3938" t="b">
        <v>1</v>
      </c>
      <c r="AA26" s="3938">
        <v>10353.200000000001</v>
      </c>
      <c r="AB26" s="3938"/>
      <c r="AC26" s="3938"/>
      <c r="AD26" s="3938" t="s">
        <v>2129</v>
      </c>
      <c r="AE26" s="3938"/>
      <c r="AF26" s="3938"/>
      <c r="AH26">
        <v>70</v>
      </c>
      <c r="AI26" t="b">
        <v>1</v>
      </c>
      <c r="AJ26">
        <v>70</v>
      </c>
      <c r="AK26" s="3966">
        <v>10354</v>
      </c>
      <c r="AL26" s="2814" t="s">
        <v>2129</v>
      </c>
      <c r="AM26" s="2814" t="s">
        <v>2129</v>
      </c>
      <c r="AN26" s="2814" t="s">
        <v>2129</v>
      </c>
      <c r="AO26" s="3953" t="s">
        <v>2129</v>
      </c>
      <c r="AP26" s="2814" t="s">
        <v>2129</v>
      </c>
      <c r="AQ26" s="3954" t="s">
        <v>2129</v>
      </c>
      <c r="AR26" t="s">
        <v>2129</v>
      </c>
      <c r="AS26" t="s">
        <v>2129</v>
      </c>
      <c r="AU26" t="s">
        <v>2129</v>
      </c>
      <c r="AW26" t="s">
        <v>2129</v>
      </c>
      <c r="AX26" t="s">
        <v>2129</v>
      </c>
      <c r="AY26" t="s">
        <v>2129</v>
      </c>
      <c r="AZ26" s="3946" t="s">
        <v>2129</v>
      </c>
      <c r="BA26" t="s">
        <v>2129</v>
      </c>
      <c r="BB26" s="3947" t="s">
        <v>2129</v>
      </c>
      <c r="BC26" s="1958" t="s">
        <v>2129</v>
      </c>
      <c r="BD26" s="1958" t="s">
        <v>2129</v>
      </c>
      <c r="BE26" s="1958" t="s">
        <v>2129</v>
      </c>
      <c r="BF26" s="3937" t="s">
        <v>2129</v>
      </c>
      <c r="BG26" s="3938" t="s">
        <v>2129</v>
      </c>
      <c r="BH26" s="3938" t="s">
        <v>2129</v>
      </c>
      <c r="BI26" s="3937" t="s">
        <v>2129</v>
      </c>
      <c r="BJ26" s="3938" t="s">
        <v>2129</v>
      </c>
      <c r="BK26" s="3939" t="s">
        <v>2129</v>
      </c>
      <c r="BL26" s="3938" t="s">
        <v>2129</v>
      </c>
      <c r="BM26" s="3938" t="s">
        <v>2129</v>
      </c>
      <c r="BN26" s="3939" t="s">
        <v>2129</v>
      </c>
      <c r="BO26" s="3937" t="s">
        <v>2129</v>
      </c>
      <c r="BP26" s="3988" t="s">
        <v>2129</v>
      </c>
      <c r="BQ26" s="3988"/>
      <c r="BR26" s="3988"/>
      <c r="BS26" s="2694"/>
    </row>
    <row r="27" spans="1:71" ht="13">
      <c r="A27">
        <v>46</v>
      </c>
      <c r="B27" s="3980" t="s">
        <v>3254</v>
      </c>
      <c r="C27" s="2694" t="s">
        <v>2129</v>
      </c>
      <c r="D27" s="2694" t="s">
        <v>2129</v>
      </c>
      <c r="E27" s="2694" t="s">
        <v>2129</v>
      </c>
      <c r="F27" s="3974" t="s">
        <v>2129</v>
      </c>
      <c r="G27" s="3975" t="s">
        <v>2129</v>
      </c>
      <c r="H27" s="3976" t="s">
        <v>2129</v>
      </c>
      <c r="I27" s="2694">
        <v>0</v>
      </c>
      <c r="J27" s="3992" t="s">
        <v>2854</v>
      </c>
      <c r="K27" s="2694">
        <v>0</v>
      </c>
      <c r="L27" s="2694" t="b">
        <v>0</v>
      </c>
      <c r="M27" s="2694" t="s">
        <v>2129</v>
      </c>
      <c r="N27" s="2477">
        <v>70589</v>
      </c>
      <c r="O27" s="2477">
        <v>0</v>
      </c>
      <c r="P27" s="2477">
        <v>0</v>
      </c>
      <c r="Q27" s="2477">
        <v>0</v>
      </c>
      <c r="R27" s="2477">
        <v>0</v>
      </c>
      <c r="S27" s="2695">
        <v>77647.900000000009</v>
      </c>
      <c r="T27" s="2477">
        <v>0</v>
      </c>
      <c r="U27" s="2477" t="b">
        <v>0</v>
      </c>
      <c r="V27" s="2477" t="s">
        <v>2129</v>
      </c>
      <c r="W27" s="2477">
        <v>-797196</v>
      </c>
      <c r="X27" s="3937"/>
      <c r="Y27" s="3938">
        <v>797196</v>
      </c>
      <c r="Z27" s="3938" t="b">
        <v>1</v>
      </c>
      <c r="AA27" s="3938">
        <v>10353.194805194806</v>
      </c>
      <c r="AB27" s="3938"/>
      <c r="AC27" s="3938"/>
      <c r="AD27" s="3938" t="s">
        <v>2129</v>
      </c>
      <c r="AE27" s="3938"/>
      <c r="AF27" s="3938"/>
      <c r="AH27">
        <v>77</v>
      </c>
      <c r="AI27" t="b">
        <v>1</v>
      </c>
      <c r="AJ27">
        <v>77</v>
      </c>
      <c r="AK27" s="3966">
        <v>10354</v>
      </c>
      <c r="AL27" s="2814" t="s">
        <v>2129</v>
      </c>
      <c r="AM27" s="2814" t="s">
        <v>2129</v>
      </c>
      <c r="AN27" s="2814" t="s">
        <v>2129</v>
      </c>
      <c r="AO27" s="3953" t="s">
        <v>2129</v>
      </c>
      <c r="AP27" s="2814" t="s">
        <v>2129</v>
      </c>
      <c r="AQ27" s="3954" t="s">
        <v>2129</v>
      </c>
      <c r="AR27" t="s">
        <v>2129</v>
      </c>
      <c r="AS27" t="s">
        <v>2129</v>
      </c>
      <c r="AU27" t="s">
        <v>2129</v>
      </c>
      <c r="AW27" t="s">
        <v>2129</v>
      </c>
      <c r="AX27" t="s">
        <v>2129</v>
      </c>
      <c r="AY27" t="s">
        <v>2129</v>
      </c>
      <c r="AZ27" s="3946" t="s">
        <v>2129</v>
      </c>
      <c r="BA27" t="s">
        <v>2129</v>
      </c>
      <c r="BB27" s="3947" t="s">
        <v>2129</v>
      </c>
      <c r="BC27" s="1958" t="s">
        <v>2129</v>
      </c>
      <c r="BD27" s="1958" t="s">
        <v>2129</v>
      </c>
      <c r="BE27" s="1958" t="s">
        <v>2129</v>
      </c>
      <c r="BF27" s="3937" t="s">
        <v>2129</v>
      </c>
      <c r="BG27" s="3938" t="s">
        <v>2129</v>
      </c>
      <c r="BH27" s="3938" t="s">
        <v>2129</v>
      </c>
      <c r="BI27" s="3937" t="s">
        <v>2129</v>
      </c>
      <c r="BJ27" s="3938" t="s">
        <v>2129</v>
      </c>
      <c r="BK27" s="3939" t="s">
        <v>2129</v>
      </c>
      <c r="BL27" s="3938" t="s">
        <v>2129</v>
      </c>
      <c r="BM27" s="3938" t="s">
        <v>2129</v>
      </c>
      <c r="BN27" s="3939" t="s">
        <v>2129</v>
      </c>
      <c r="BO27" s="3937" t="s">
        <v>2129</v>
      </c>
      <c r="BP27" s="3988" t="s">
        <v>2129</v>
      </c>
      <c r="BQ27" s="3988"/>
      <c r="BR27" s="3988"/>
      <c r="BS27" s="2694"/>
    </row>
    <row r="28" spans="1:71" ht="13">
      <c r="A28">
        <v>47</v>
      </c>
      <c r="B28" s="3979" t="s">
        <v>3255</v>
      </c>
      <c r="C28" s="2694" t="s">
        <v>2129</v>
      </c>
      <c r="D28" s="2694" t="s">
        <v>2129</v>
      </c>
      <c r="E28" s="2694" t="s">
        <v>3694</v>
      </c>
      <c r="F28" s="3974" t="s">
        <v>2129</v>
      </c>
      <c r="G28" s="3975" t="s">
        <v>2129</v>
      </c>
      <c r="H28" s="3976" t="s">
        <v>3694</v>
      </c>
      <c r="I28" s="2694">
        <v>0</v>
      </c>
      <c r="J28" s="3992" t="s">
        <v>2854</v>
      </c>
      <c r="K28" s="2694">
        <v>0</v>
      </c>
      <c r="L28" s="2694" t="b">
        <v>0</v>
      </c>
      <c r="M28" s="2694" t="s">
        <v>2129</v>
      </c>
      <c r="N28" s="2477">
        <v>0</v>
      </c>
      <c r="O28" s="2477">
        <v>0</v>
      </c>
      <c r="P28" s="2477">
        <v>0</v>
      </c>
      <c r="Q28" s="2477">
        <v>0</v>
      </c>
      <c r="R28" s="2477">
        <v>0</v>
      </c>
      <c r="S28" s="2695">
        <v>0</v>
      </c>
      <c r="T28" s="2477">
        <v>0</v>
      </c>
      <c r="U28" s="2477" t="b">
        <v>1</v>
      </c>
      <c r="V28" s="2477" t="s">
        <v>2129</v>
      </c>
      <c r="W28" s="2477">
        <v>-577632</v>
      </c>
      <c r="X28" s="3937">
        <v>1699002</v>
      </c>
      <c r="Y28" s="3938">
        <v>2276634</v>
      </c>
      <c r="Z28" s="3938" t="b">
        <v>1</v>
      </c>
      <c r="AA28" s="3938">
        <v>14140.583850931676</v>
      </c>
      <c r="AB28" s="3938"/>
      <c r="AC28" s="3938"/>
      <c r="AD28" s="3938" t="s">
        <v>2129</v>
      </c>
      <c r="AE28" s="3938"/>
      <c r="AF28" s="3938"/>
      <c r="AG28">
        <v>161</v>
      </c>
      <c r="AH28">
        <v>161</v>
      </c>
      <c r="AI28" t="b">
        <v>1</v>
      </c>
      <c r="AJ28">
        <v>162</v>
      </c>
      <c r="AK28" s="3966">
        <v>14054</v>
      </c>
      <c r="AL28" s="2814" t="s">
        <v>2129</v>
      </c>
      <c r="AM28" s="2814" t="s">
        <v>2129</v>
      </c>
      <c r="AN28" s="2814">
        <v>2250</v>
      </c>
      <c r="AO28" s="3953" t="s">
        <v>2129</v>
      </c>
      <c r="AP28" s="2814" t="s">
        <v>2129</v>
      </c>
      <c r="AQ28" s="3954">
        <v>1200</v>
      </c>
      <c r="AR28" t="s">
        <v>2129</v>
      </c>
      <c r="AS28" t="s">
        <v>2129</v>
      </c>
      <c r="AU28" t="s">
        <v>2129</v>
      </c>
      <c r="AW28" t="s">
        <v>2129</v>
      </c>
      <c r="AX28" t="s">
        <v>2129</v>
      </c>
      <c r="AY28">
        <v>30</v>
      </c>
      <c r="AZ28" s="3946" t="s">
        <v>2129</v>
      </c>
      <c r="BA28" t="s">
        <v>2129</v>
      </c>
      <c r="BB28" s="3947">
        <v>15</v>
      </c>
      <c r="BC28" s="1958" t="s">
        <v>2129</v>
      </c>
      <c r="BD28" s="1958" t="s">
        <v>2129</v>
      </c>
      <c r="BE28" s="1958">
        <v>31621500</v>
      </c>
      <c r="BF28" s="3937" t="s">
        <v>2129</v>
      </c>
      <c r="BG28" s="3938" t="s">
        <v>2129</v>
      </c>
      <c r="BH28" s="3938">
        <v>16864800</v>
      </c>
      <c r="BI28" s="3937" t="s">
        <v>2129</v>
      </c>
      <c r="BJ28" s="3938" t="s">
        <v>2129</v>
      </c>
      <c r="BK28" s="3939" t="s">
        <v>2129</v>
      </c>
      <c r="BL28" s="3938" t="s">
        <v>2129</v>
      </c>
      <c r="BM28" s="3938" t="s">
        <v>2129</v>
      </c>
      <c r="BN28" s="3939" t="s">
        <v>2129</v>
      </c>
      <c r="BO28" s="3937" t="s">
        <v>2129</v>
      </c>
      <c r="BP28" s="3988" t="s">
        <v>2129</v>
      </c>
      <c r="BQ28" s="3988"/>
      <c r="BR28" s="3988"/>
      <c r="BS28" s="2694"/>
    </row>
    <row r="29" spans="1:71" ht="13">
      <c r="A29">
        <v>49</v>
      </c>
      <c r="B29" s="3979" t="s">
        <v>3256</v>
      </c>
      <c r="C29" s="2694" t="s">
        <v>2129</v>
      </c>
      <c r="D29" s="2694" t="s">
        <v>2129</v>
      </c>
      <c r="E29" s="2694" t="s">
        <v>2129</v>
      </c>
      <c r="F29" s="3974" t="s">
        <v>2129</v>
      </c>
      <c r="G29" s="3975" t="s">
        <v>2129</v>
      </c>
      <c r="H29" s="3976" t="s">
        <v>2129</v>
      </c>
      <c r="I29" s="2694">
        <v>11</v>
      </c>
      <c r="J29" s="3992" t="s">
        <v>3615</v>
      </c>
      <c r="K29" s="2694">
        <v>7</v>
      </c>
      <c r="L29" s="2694" t="b">
        <v>0</v>
      </c>
      <c r="M29" s="2694" t="s">
        <v>2129</v>
      </c>
      <c r="N29" s="2477">
        <v>12235815</v>
      </c>
      <c r="O29" s="2477">
        <v>294120</v>
      </c>
      <c r="P29" s="2477">
        <v>0</v>
      </c>
      <c r="Q29" s="2477">
        <v>0</v>
      </c>
      <c r="R29" s="2477">
        <v>0</v>
      </c>
      <c r="S29" s="2695">
        <v>13782928.500000002</v>
      </c>
      <c r="T29" s="2477">
        <v>13782928</v>
      </c>
      <c r="U29" s="2477" t="b">
        <v>0</v>
      </c>
      <c r="V29" s="2477">
        <v>1968989.7142857143</v>
      </c>
      <c r="W29" s="2477">
        <v>0</v>
      </c>
      <c r="X29" s="3937">
        <v>7092669</v>
      </c>
      <c r="Y29" s="3938">
        <v>7092669</v>
      </c>
      <c r="Z29" s="3938" t="b">
        <v>1</v>
      </c>
      <c r="AA29" s="3938">
        <v>29430.16182572614</v>
      </c>
      <c r="AB29" s="3938"/>
      <c r="AC29" s="3938"/>
      <c r="AD29" s="3938" t="s">
        <v>2129</v>
      </c>
      <c r="AE29" s="3938"/>
      <c r="AF29" s="3938"/>
      <c r="AG29">
        <v>241</v>
      </c>
      <c r="AH29" s="3965">
        <v>241</v>
      </c>
      <c r="AI29" s="3965" t="b">
        <v>1</v>
      </c>
      <c r="AJ29">
        <v>301</v>
      </c>
      <c r="AK29" s="3966">
        <v>23564</v>
      </c>
      <c r="AL29" s="2814" t="s">
        <v>2129</v>
      </c>
      <c r="AM29" s="2814" t="s">
        <v>2129</v>
      </c>
      <c r="AN29" s="2814" t="s">
        <v>2129</v>
      </c>
      <c r="AO29" s="3953" t="s">
        <v>2129</v>
      </c>
      <c r="AP29" s="2814" t="s">
        <v>2129</v>
      </c>
      <c r="AQ29" s="3954" t="s">
        <v>2129</v>
      </c>
      <c r="AR29" t="s">
        <v>2129</v>
      </c>
      <c r="AS29" t="s">
        <v>2129</v>
      </c>
      <c r="AU29" t="s">
        <v>2129</v>
      </c>
      <c r="AW29" t="s">
        <v>2129</v>
      </c>
      <c r="AX29" t="s">
        <v>2129</v>
      </c>
      <c r="AY29" t="s">
        <v>2129</v>
      </c>
      <c r="AZ29" s="3946" t="s">
        <v>2129</v>
      </c>
      <c r="BA29" t="s">
        <v>2129</v>
      </c>
      <c r="BB29" s="3947" t="s">
        <v>2129</v>
      </c>
      <c r="BC29" s="1958" t="s">
        <v>2129</v>
      </c>
      <c r="BD29" s="1958" t="s">
        <v>2129</v>
      </c>
      <c r="BE29" s="1958" t="s">
        <v>2129</v>
      </c>
      <c r="BF29" s="3937" t="s">
        <v>2129</v>
      </c>
      <c r="BG29" s="3938" t="s">
        <v>2129</v>
      </c>
      <c r="BH29" s="3938" t="s">
        <v>2129</v>
      </c>
      <c r="BI29" s="3937" t="s">
        <v>2129</v>
      </c>
      <c r="BJ29" s="3938" t="s">
        <v>2129</v>
      </c>
      <c r="BK29" s="3939" t="s">
        <v>2129</v>
      </c>
      <c r="BL29" s="3938" t="s">
        <v>2129</v>
      </c>
      <c r="BM29" s="3938" t="s">
        <v>2129</v>
      </c>
      <c r="BN29" s="3939" t="s">
        <v>2129</v>
      </c>
      <c r="BO29" s="3937" t="s">
        <v>2129</v>
      </c>
      <c r="BP29" s="3988" t="s">
        <v>2129</v>
      </c>
      <c r="BQ29" s="3988"/>
      <c r="BR29" s="3988"/>
      <c r="BS29" s="2694"/>
    </row>
    <row r="30" spans="1:71" ht="13">
      <c r="A30">
        <v>50</v>
      </c>
      <c r="B30" s="3979" t="s">
        <v>3257</v>
      </c>
      <c r="C30" s="2694" t="s">
        <v>2129</v>
      </c>
      <c r="D30" s="2694" t="s">
        <v>2129</v>
      </c>
      <c r="E30" s="2694" t="s">
        <v>2129</v>
      </c>
      <c r="F30" s="3974" t="s">
        <v>2129</v>
      </c>
      <c r="G30" s="3975" t="s">
        <v>2129</v>
      </c>
      <c r="H30" s="3976" t="s">
        <v>2129</v>
      </c>
      <c r="I30" s="2694">
        <v>0</v>
      </c>
      <c r="J30" s="3992" t="s">
        <v>2854</v>
      </c>
      <c r="K30" s="2694">
        <v>0</v>
      </c>
      <c r="L30" s="2694" t="b">
        <v>0</v>
      </c>
      <c r="M30" s="2694" t="s">
        <v>2129</v>
      </c>
      <c r="N30" s="2477">
        <v>0</v>
      </c>
      <c r="O30" s="2477">
        <v>0</v>
      </c>
      <c r="P30" s="2477">
        <v>0</v>
      </c>
      <c r="Q30" s="2477">
        <v>0</v>
      </c>
      <c r="R30" s="2477">
        <v>0</v>
      </c>
      <c r="S30" s="2695">
        <v>0</v>
      </c>
      <c r="T30" s="2477">
        <v>0</v>
      </c>
      <c r="U30" s="2477" t="b">
        <v>1</v>
      </c>
      <c r="V30" s="2477" t="s">
        <v>2129</v>
      </c>
      <c r="W30" s="2477">
        <v>0</v>
      </c>
      <c r="X30" s="3937">
        <v>2090429</v>
      </c>
      <c r="Y30" s="3938">
        <v>2090429</v>
      </c>
      <c r="Z30" s="3938" t="b">
        <v>1</v>
      </c>
      <c r="AA30" s="3938">
        <v>26130.362499999999</v>
      </c>
      <c r="AB30" s="3938"/>
      <c r="AC30" s="3938"/>
      <c r="AD30" s="3938" t="s">
        <v>2129</v>
      </c>
      <c r="AE30" s="3938"/>
      <c r="AF30" s="3938"/>
      <c r="AG30">
        <v>188</v>
      </c>
      <c r="AH30">
        <v>80</v>
      </c>
      <c r="AI30" t="b">
        <v>1</v>
      </c>
      <c r="AJ30">
        <v>90</v>
      </c>
      <c r="AK30" s="3966">
        <v>23227</v>
      </c>
      <c r="AL30" s="2814" t="s">
        <v>2129</v>
      </c>
      <c r="AM30" s="2814" t="s">
        <v>2129</v>
      </c>
      <c r="AN30" s="2814" t="s">
        <v>2129</v>
      </c>
      <c r="AO30" s="3953" t="s">
        <v>2129</v>
      </c>
      <c r="AP30" s="2814" t="s">
        <v>2129</v>
      </c>
      <c r="AQ30" s="3954" t="s">
        <v>2129</v>
      </c>
      <c r="AR30" t="s">
        <v>2129</v>
      </c>
      <c r="AS30" t="s">
        <v>2129</v>
      </c>
      <c r="AU30" t="s">
        <v>2129</v>
      </c>
      <c r="AW30" t="s">
        <v>2129</v>
      </c>
      <c r="AX30" t="s">
        <v>2129</v>
      </c>
      <c r="AY30" t="s">
        <v>2129</v>
      </c>
      <c r="AZ30" s="3946" t="s">
        <v>2129</v>
      </c>
      <c r="BA30" t="s">
        <v>2129</v>
      </c>
      <c r="BB30" s="3947" t="s">
        <v>2129</v>
      </c>
      <c r="BC30" s="1958" t="s">
        <v>2129</v>
      </c>
      <c r="BD30" s="1958" t="s">
        <v>2129</v>
      </c>
      <c r="BE30" s="1958" t="s">
        <v>2129</v>
      </c>
      <c r="BF30" s="3937" t="s">
        <v>2129</v>
      </c>
      <c r="BG30" s="3938" t="s">
        <v>2129</v>
      </c>
      <c r="BH30" s="3938" t="s">
        <v>2129</v>
      </c>
      <c r="BI30" s="3937" t="s">
        <v>2129</v>
      </c>
      <c r="BJ30" s="3938" t="s">
        <v>2129</v>
      </c>
      <c r="BK30" s="3939" t="s">
        <v>2129</v>
      </c>
      <c r="BL30" s="3938" t="s">
        <v>2129</v>
      </c>
      <c r="BM30" s="3938" t="s">
        <v>2129</v>
      </c>
      <c r="BN30" s="3939" t="s">
        <v>2129</v>
      </c>
      <c r="BO30" s="3937" t="s">
        <v>2129</v>
      </c>
      <c r="BP30" s="3988" t="s">
        <v>2129</v>
      </c>
      <c r="BQ30" s="3988"/>
      <c r="BR30" s="3988"/>
      <c r="BS30" s="2694"/>
    </row>
    <row r="31" spans="1:71" ht="13">
      <c r="A31">
        <v>51</v>
      </c>
      <c r="B31" s="3979" t="s">
        <v>3258</v>
      </c>
      <c r="C31" s="2694" t="s">
        <v>2129</v>
      </c>
      <c r="D31" s="2694" t="s">
        <v>2129</v>
      </c>
      <c r="E31" s="2694" t="s">
        <v>2129</v>
      </c>
      <c r="F31" s="3974" t="s">
        <v>2129</v>
      </c>
      <c r="G31" s="3975" t="s">
        <v>2129</v>
      </c>
      <c r="H31" s="3976" t="s">
        <v>2129</v>
      </c>
      <c r="I31" s="2694">
        <v>1</v>
      </c>
      <c r="J31" s="3992" t="s">
        <v>3592</v>
      </c>
      <c r="K31" s="2694">
        <v>1</v>
      </c>
      <c r="L31" s="2694" t="b">
        <v>0</v>
      </c>
      <c r="M31" s="2694" t="s">
        <v>2129</v>
      </c>
      <c r="N31" s="2477">
        <v>137648</v>
      </c>
      <c r="O31" s="2477">
        <v>0</v>
      </c>
      <c r="P31" s="2477">
        <v>0</v>
      </c>
      <c r="Q31" s="2477">
        <v>0</v>
      </c>
      <c r="R31" s="2477">
        <v>0</v>
      </c>
      <c r="S31" s="2695">
        <v>151412.80000000002</v>
      </c>
      <c r="T31" s="2477">
        <v>151412</v>
      </c>
      <c r="U31" s="2477" t="b">
        <v>0</v>
      </c>
      <c r="V31" s="2477">
        <v>151412</v>
      </c>
      <c r="W31" s="2477">
        <v>0</v>
      </c>
      <c r="X31" s="3937">
        <v>1821022</v>
      </c>
      <c r="Y31" s="3938">
        <v>1821022</v>
      </c>
      <c r="Z31" s="3938" t="b">
        <v>1</v>
      </c>
      <c r="AA31" s="3938">
        <v>24280.293333333335</v>
      </c>
      <c r="AB31" s="3938"/>
      <c r="AC31" s="3938"/>
      <c r="AD31" s="3938" t="s">
        <v>2129</v>
      </c>
      <c r="AE31" s="3938"/>
      <c r="AF31" s="3938"/>
      <c r="AG31">
        <v>165</v>
      </c>
      <c r="AH31">
        <v>75</v>
      </c>
      <c r="AI31" t="b">
        <v>1</v>
      </c>
      <c r="AJ31">
        <v>95</v>
      </c>
      <c r="AK31" s="3966">
        <v>19169</v>
      </c>
      <c r="AL31" s="2814" t="s">
        <v>2129</v>
      </c>
      <c r="AM31" s="2814" t="s">
        <v>2129</v>
      </c>
      <c r="AN31" s="2814" t="s">
        <v>2129</v>
      </c>
      <c r="AO31" s="3953" t="s">
        <v>2129</v>
      </c>
      <c r="AP31" s="2814" t="s">
        <v>2129</v>
      </c>
      <c r="AQ31" s="3954" t="s">
        <v>2129</v>
      </c>
      <c r="AR31" t="s">
        <v>2129</v>
      </c>
      <c r="AS31" t="s">
        <v>2129</v>
      </c>
      <c r="AU31" t="s">
        <v>2129</v>
      </c>
      <c r="AW31" t="s">
        <v>2129</v>
      </c>
      <c r="AX31" t="s">
        <v>2129</v>
      </c>
      <c r="AY31" t="s">
        <v>2129</v>
      </c>
      <c r="AZ31" s="3946" t="s">
        <v>2129</v>
      </c>
      <c r="BA31" t="s">
        <v>2129</v>
      </c>
      <c r="BB31" s="3947" t="s">
        <v>2129</v>
      </c>
      <c r="BC31" s="1958" t="s">
        <v>2129</v>
      </c>
      <c r="BD31" s="1958" t="s">
        <v>2129</v>
      </c>
      <c r="BE31" s="1958" t="s">
        <v>2129</v>
      </c>
      <c r="BF31" s="3937" t="s">
        <v>2129</v>
      </c>
      <c r="BG31" s="3938" t="s">
        <v>2129</v>
      </c>
      <c r="BH31" s="3938" t="s">
        <v>2129</v>
      </c>
      <c r="BI31" s="3937" t="s">
        <v>2129</v>
      </c>
      <c r="BJ31" s="3938" t="s">
        <v>2129</v>
      </c>
      <c r="BK31" s="3939" t="s">
        <v>2129</v>
      </c>
      <c r="BL31" s="3938" t="s">
        <v>2129</v>
      </c>
      <c r="BM31" s="3938" t="s">
        <v>2129</v>
      </c>
      <c r="BN31" s="3939" t="s">
        <v>2129</v>
      </c>
      <c r="BO31" s="3937" t="s">
        <v>2129</v>
      </c>
      <c r="BP31" s="3988" t="s">
        <v>2129</v>
      </c>
      <c r="BQ31" s="3988"/>
      <c r="BR31" s="3988"/>
      <c r="BS31" s="2694"/>
    </row>
    <row r="32" spans="1:71" ht="13">
      <c r="A32">
        <v>52</v>
      </c>
      <c r="B32" s="3979" t="s">
        <v>3259</v>
      </c>
      <c r="C32" s="2694" t="s">
        <v>2129</v>
      </c>
      <c r="D32" s="2694" t="s">
        <v>2129</v>
      </c>
      <c r="E32" s="2694" t="s">
        <v>2129</v>
      </c>
      <c r="F32" s="3974" t="s">
        <v>2129</v>
      </c>
      <c r="G32" s="3975" t="s">
        <v>2129</v>
      </c>
      <c r="H32" s="3976" t="s">
        <v>2129</v>
      </c>
      <c r="I32" s="2694">
        <v>0</v>
      </c>
      <c r="J32" s="3992" t="s">
        <v>2854</v>
      </c>
      <c r="K32" s="2694">
        <v>0</v>
      </c>
      <c r="L32" s="2694" t="b">
        <v>0</v>
      </c>
      <c r="M32" s="2694" t="s">
        <v>2129</v>
      </c>
      <c r="N32" s="2477">
        <v>0</v>
      </c>
      <c r="O32" s="2477">
        <v>0</v>
      </c>
      <c r="P32" s="2477">
        <v>0</v>
      </c>
      <c r="Q32" s="2477">
        <v>0</v>
      </c>
      <c r="R32" s="2477">
        <v>0</v>
      </c>
      <c r="S32" s="2695">
        <v>0</v>
      </c>
      <c r="T32" s="2477">
        <v>0</v>
      </c>
      <c r="U32" s="2477" t="b">
        <v>1</v>
      </c>
      <c r="V32" s="2477" t="s">
        <v>2129</v>
      </c>
      <c r="W32" s="2477">
        <v>-39851</v>
      </c>
      <c r="X32" s="3937">
        <v>972149</v>
      </c>
      <c r="Y32" s="3938">
        <v>1012000</v>
      </c>
      <c r="Z32" s="3938" t="b">
        <v>1</v>
      </c>
      <c r="AA32" s="3938">
        <v>25300</v>
      </c>
      <c r="AB32" s="3938"/>
      <c r="AC32" s="3938"/>
      <c r="AD32" s="3938" t="s">
        <v>2129</v>
      </c>
      <c r="AE32" s="3938"/>
      <c r="AF32" s="3938"/>
      <c r="AG32">
        <v>98</v>
      </c>
      <c r="AH32">
        <v>40</v>
      </c>
      <c r="AI32" t="b">
        <v>1</v>
      </c>
      <c r="AJ32">
        <v>70</v>
      </c>
      <c r="AK32" s="3966">
        <v>14458</v>
      </c>
      <c r="AL32" s="2814" t="s">
        <v>2129</v>
      </c>
      <c r="AM32" s="2814" t="s">
        <v>2129</v>
      </c>
      <c r="AN32" s="2814" t="s">
        <v>2129</v>
      </c>
      <c r="AO32" s="3953" t="s">
        <v>2129</v>
      </c>
      <c r="AP32" s="2814" t="s">
        <v>2129</v>
      </c>
      <c r="AQ32" s="3954" t="s">
        <v>2129</v>
      </c>
      <c r="AR32" t="s">
        <v>2129</v>
      </c>
      <c r="AS32" t="s">
        <v>2129</v>
      </c>
      <c r="AU32" t="s">
        <v>2129</v>
      </c>
      <c r="AW32" t="s">
        <v>2129</v>
      </c>
      <c r="AX32" t="s">
        <v>2129</v>
      </c>
      <c r="AY32" t="s">
        <v>2129</v>
      </c>
      <c r="AZ32" s="3946" t="s">
        <v>2129</v>
      </c>
      <c r="BA32" t="s">
        <v>2129</v>
      </c>
      <c r="BB32" s="3947" t="s">
        <v>2129</v>
      </c>
      <c r="BC32" s="1958" t="s">
        <v>2129</v>
      </c>
      <c r="BD32" s="1958" t="s">
        <v>2129</v>
      </c>
      <c r="BE32" s="1958" t="s">
        <v>2129</v>
      </c>
      <c r="BF32" s="3937" t="s">
        <v>2129</v>
      </c>
      <c r="BG32" s="3938" t="s">
        <v>2129</v>
      </c>
      <c r="BH32" s="3938" t="s">
        <v>2129</v>
      </c>
      <c r="BI32" s="3937" t="s">
        <v>2129</v>
      </c>
      <c r="BJ32" s="3938" t="s">
        <v>2129</v>
      </c>
      <c r="BK32" s="3939" t="s">
        <v>2129</v>
      </c>
      <c r="BL32" s="3938" t="s">
        <v>2129</v>
      </c>
      <c r="BM32" s="3938" t="s">
        <v>2129</v>
      </c>
      <c r="BN32" s="3939" t="s">
        <v>2129</v>
      </c>
      <c r="BO32" s="3937" t="s">
        <v>2129</v>
      </c>
      <c r="BP32" s="3988" t="s">
        <v>2129</v>
      </c>
      <c r="BQ32" s="3988"/>
      <c r="BR32" s="3988"/>
      <c r="BS32" s="2694"/>
    </row>
    <row r="33" spans="1:71" ht="13">
      <c r="A33">
        <v>53</v>
      </c>
      <c r="B33" s="3979" t="s">
        <v>3260</v>
      </c>
      <c r="C33" s="2694" t="s">
        <v>2129</v>
      </c>
      <c r="D33" s="2694" t="s">
        <v>2129</v>
      </c>
      <c r="E33" s="2694" t="s">
        <v>2129</v>
      </c>
      <c r="F33" s="3974" t="s">
        <v>2129</v>
      </c>
      <c r="G33" s="3975" t="s">
        <v>2129</v>
      </c>
      <c r="H33" s="3976" t="s">
        <v>2129</v>
      </c>
      <c r="I33" s="2694">
        <v>0</v>
      </c>
      <c r="J33" s="3992" t="s">
        <v>2854</v>
      </c>
      <c r="K33" s="2694">
        <v>0</v>
      </c>
      <c r="L33" s="2694" t="b">
        <v>0</v>
      </c>
      <c r="M33" s="2694" t="s">
        <v>2129</v>
      </c>
      <c r="N33" s="2477">
        <v>0</v>
      </c>
      <c r="O33" s="2477">
        <v>0</v>
      </c>
      <c r="P33" s="2477">
        <v>0</v>
      </c>
      <c r="Q33" s="2477">
        <v>0</v>
      </c>
      <c r="R33" s="2477">
        <v>0</v>
      </c>
      <c r="S33" s="2695">
        <v>0</v>
      </c>
      <c r="T33" s="2477">
        <v>0</v>
      </c>
      <c r="U33" s="2477" t="b">
        <v>1</v>
      </c>
      <c r="V33" s="2477" t="s">
        <v>2129</v>
      </c>
      <c r="W33" s="2477">
        <v>0</v>
      </c>
      <c r="X33" s="3937">
        <v>5821217</v>
      </c>
      <c r="Y33" s="3938">
        <v>5821217</v>
      </c>
      <c r="Z33" s="3938" t="b">
        <v>1</v>
      </c>
      <c r="AA33" s="3938">
        <v>24458.894957983193</v>
      </c>
      <c r="AB33" s="3938"/>
      <c r="AC33" s="3938"/>
      <c r="AD33" s="3938" t="s">
        <v>2129</v>
      </c>
      <c r="AE33" s="3938"/>
      <c r="AF33" s="3938"/>
      <c r="AG33">
        <v>238</v>
      </c>
      <c r="AH33">
        <v>238</v>
      </c>
      <c r="AI33" t="b">
        <v>1</v>
      </c>
      <c r="AJ33">
        <v>240</v>
      </c>
      <c r="AK33" s="3966">
        <v>24256</v>
      </c>
      <c r="AL33" s="2814" t="s">
        <v>2129</v>
      </c>
      <c r="AM33" s="2814" t="s">
        <v>2129</v>
      </c>
      <c r="AN33" s="2814" t="s">
        <v>2129</v>
      </c>
      <c r="AO33" s="3953" t="s">
        <v>2129</v>
      </c>
      <c r="AP33" s="2814" t="s">
        <v>2129</v>
      </c>
      <c r="AQ33" s="3954" t="s">
        <v>2129</v>
      </c>
      <c r="AR33" t="s">
        <v>2129</v>
      </c>
      <c r="AS33" t="s">
        <v>2129</v>
      </c>
      <c r="AU33" t="s">
        <v>2129</v>
      </c>
      <c r="AW33" t="s">
        <v>2129</v>
      </c>
      <c r="AX33" t="s">
        <v>2129</v>
      </c>
      <c r="AY33" t="s">
        <v>2129</v>
      </c>
      <c r="AZ33" s="3946" t="s">
        <v>2129</v>
      </c>
      <c r="BA33" t="s">
        <v>2129</v>
      </c>
      <c r="BB33" s="3947" t="s">
        <v>2129</v>
      </c>
      <c r="BC33" s="1958" t="s">
        <v>2129</v>
      </c>
      <c r="BD33" s="1958" t="s">
        <v>2129</v>
      </c>
      <c r="BE33" s="1958" t="s">
        <v>2129</v>
      </c>
      <c r="BF33" s="3937" t="s">
        <v>2129</v>
      </c>
      <c r="BG33" s="3938" t="s">
        <v>2129</v>
      </c>
      <c r="BH33" s="3938" t="s">
        <v>2129</v>
      </c>
      <c r="BI33" s="3937" t="s">
        <v>2129</v>
      </c>
      <c r="BJ33" s="3938" t="s">
        <v>2129</v>
      </c>
      <c r="BK33" s="3939" t="s">
        <v>2129</v>
      </c>
      <c r="BL33" s="3938" t="s">
        <v>2129</v>
      </c>
      <c r="BM33" s="3938" t="s">
        <v>2129</v>
      </c>
      <c r="BN33" s="3939" t="s">
        <v>2129</v>
      </c>
      <c r="BO33" s="3937" t="s">
        <v>2129</v>
      </c>
      <c r="BP33" s="3988" t="s">
        <v>2129</v>
      </c>
      <c r="BQ33" s="3988"/>
      <c r="BR33" s="3988"/>
      <c r="BS33" s="2694"/>
    </row>
    <row r="34" spans="1:71" ht="13">
      <c r="A34">
        <v>54</v>
      </c>
      <c r="B34" s="3979" t="s">
        <v>3261</v>
      </c>
      <c r="C34" s="2694" t="s">
        <v>2129</v>
      </c>
      <c r="D34" s="2694" t="s">
        <v>2695</v>
      </c>
      <c r="E34" s="2694" t="s">
        <v>2129</v>
      </c>
      <c r="F34" s="3974" t="s">
        <v>2129</v>
      </c>
      <c r="G34" s="3975" t="s">
        <v>2695</v>
      </c>
      <c r="H34" s="3976" t="s">
        <v>2129</v>
      </c>
      <c r="I34" s="2694">
        <v>0</v>
      </c>
      <c r="J34" s="3992">
        <v>0</v>
      </c>
      <c r="K34" s="2694">
        <v>0</v>
      </c>
      <c r="L34" s="2694" t="b">
        <v>0</v>
      </c>
      <c r="M34" s="2694" t="s">
        <v>2129</v>
      </c>
      <c r="N34" s="2477">
        <v>0</v>
      </c>
      <c r="O34" s="2477">
        <v>0</v>
      </c>
      <c r="P34" s="2477">
        <v>0</v>
      </c>
      <c r="Q34" s="2477">
        <v>0</v>
      </c>
      <c r="R34" s="2477">
        <v>0</v>
      </c>
      <c r="S34" s="2695">
        <v>0</v>
      </c>
      <c r="T34" s="2477">
        <v>0</v>
      </c>
      <c r="U34" s="2477" t="b">
        <v>1</v>
      </c>
      <c r="V34" s="2477" t="s">
        <v>2129</v>
      </c>
      <c r="W34" s="2477">
        <v>0</v>
      </c>
      <c r="X34" s="3937">
        <v>9504102</v>
      </c>
      <c r="Y34" s="3938">
        <v>9504102</v>
      </c>
      <c r="Z34" s="3938" t="b">
        <v>1</v>
      </c>
      <c r="AA34" s="3938">
        <v>62118.313725490196</v>
      </c>
      <c r="AB34" s="3938"/>
      <c r="AC34" s="3938"/>
      <c r="AD34" s="3938" t="s">
        <v>2129</v>
      </c>
      <c r="AE34" s="3938"/>
      <c r="AF34" s="3938"/>
      <c r="AG34">
        <v>153</v>
      </c>
      <c r="AH34" s="3965">
        <v>153</v>
      </c>
      <c r="AI34" s="3965" t="b">
        <v>1</v>
      </c>
      <c r="AJ34">
        <v>179</v>
      </c>
      <c r="AK34" s="3966">
        <v>53096</v>
      </c>
      <c r="AL34" s="2814" t="s">
        <v>2129</v>
      </c>
      <c r="AM34" s="2814">
        <v>1251</v>
      </c>
      <c r="AN34" s="2814" t="s">
        <v>2129</v>
      </c>
      <c r="AO34" s="3953" t="s">
        <v>2129</v>
      </c>
      <c r="AP34" s="2814">
        <v>693</v>
      </c>
      <c r="AQ34" s="3954" t="s">
        <v>2129</v>
      </c>
      <c r="AR34" t="s">
        <v>2129</v>
      </c>
      <c r="AS34">
        <v>1098</v>
      </c>
      <c r="AU34" t="s">
        <v>2129</v>
      </c>
      <c r="AW34" t="s">
        <v>2129</v>
      </c>
      <c r="AX34">
        <v>18</v>
      </c>
      <c r="AY34" t="s">
        <v>2129</v>
      </c>
      <c r="AZ34" s="3946" t="s">
        <v>2129</v>
      </c>
      <c r="BA34">
        <v>9</v>
      </c>
      <c r="BB34" s="3947" t="s">
        <v>2129</v>
      </c>
      <c r="BC34" s="1958" t="s">
        <v>2129</v>
      </c>
      <c r="BD34" s="1958">
        <v>66423096</v>
      </c>
      <c r="BE34" s="1958" t="s">
        <v>2129</v>
      </c>
      <c r="BF34" s="3937" t="s">
        <v>2129</v>
      </c>
      <c r="BG34" s="3938">
        <v>36795528</v>
      </c>
      <c r="BH34" s="3938" t="s">
        <v>2129</v>
      </c>
      <c r="BI34" s="3937" t="s">
        <v>2129</v>
      </c>
      <c r="BJ34" s="3938" t="s">
        <v>2129</v>
      </c>
      <c r="BK34" s="3939" t="s">
        <v>2129</v>
      </c>
      <c r="BL34" s="3938" t="s">
        <v>2129</v>
      </c>
      <c r="BM34" s="3938" t="s">
        <v>2129</v>
      </c>
      <c r="BN34" s="3939" t="s">
        <v>2129</v>
      </c>
      <c r="BO34" s="3937" t="s">
        <v>2129</v>
      </c>
      <c r="BP34" s="3988" t="s">
        <v>2129</v>
      </c>
      <c r="BQ34" s="3988"/>
      <c r="BR34" s="3988"/>
      <c r="BS34" s="2694"/>
    </row>
    <row r="35" spans="1:71" ht="13">
      <c r="A35">
        <v>55</v>
      </c>
      <c r="B35" s="3979" t="s">
        <v>3262</v>
      </c>
      <c r="C35" s="2694" t="s">
        <v>2129</v>
      </c>
      <c r="D35" s="2694" t="s">
        <v>2129</v>
      </c>
      <c r="E35" s="2694" t="s">
        <v>2129</v>
      </c>
      <c r="F35" s="3974" t="s">
        <v>2129</v>
      </c>
      <c r="G35" s="3975" t="s">
        <v>2129</v>
      </c>
      <c r="H35" s="3976" t="s">
        <v>2129</v>
      </c>
      <c r="I35" s="2694">
        <v>2</v>
      </c>
      <c r="J35" s="3992" t="s">
        <v>3481</v>
      </c>
      <c r="K35" s="2694">
        <v>1</v>
      </c>
      <c r="L35" s="2694" t="b">
        <v>0</v>
      </c>
      <c r="M35" s="2694" t="s">
        <v>2129</v>
      </c>
      <c r="N35" s="2477">
        <v>85412</v>
      </c>
      <c r="O35" s="2477">
        <v>0</v>
      </c>
      <c r="P35" s="2477">
        <v>0</v>
      </c>
      <c r="Q35" s="2477">
        <v>0</v>
      </c>
      <c r="R35" s="2477">
        <v>0</v>
      </c>
      <c r="S35" s="2695">
        <v>93953.200000000012</v>
      </c>
      <c r="T35" s="2477">
        <v>93953</v>
      </c>
      <c r="U35" s="2477" t="b">
        <v>0</v>
      </c>
      <c r="V35" s="2477">
        <v>93953</v>
      </c>
      <c r="W35" s="2477">
        <v>0</v>
      </c>
      <c r="X35" s="3937">
        <v>388256</v>
      </c>
      <c r="Y35" s="3938">
        <v>388256</v>
      </c>
      <c r="Z35" s="3938" t="b">
        <v>1</v>
      </c>
      <c r="AA35" s="3938">
        <v>19412.8</v>
      </c>
      <c r="AB35" s="3938"/>
      <c r="AC35" s="3938"/>
      <c r="AD35" s="3938" t="s">
        <v>2129</v>
      </c>
      <c r="AE35" s="3938"/>
      <c r="AF35" s="3938"/>
      <c r="AG35">
        <v>101</v>
      </c>
      <c r="AH35">
        <v>20</v>
      </c>
      <c r="AI35" t="b">
        <v>1</v>
      </c>
      <c r="AJ35">
        <v>20</v>
      </c>
      <c r="AK35" s="3966">
        <v>19413</v>
      </c>
      <c r="AL35" s="2814" t="s">
        <v>2129</v>
      </c>
      <c r="AM35" s="2814" t="s">
        <v>2129</v>
      </c>
      <c r="AN35" s="2814" t="s">
        <v>2129</v>
      </c>
      <c r="AO35" s="3953" t="s">
        <v>2129</v>
      </c>
      <c r="AP35" s="2814" t="s">
        <v>2129</v>
      </c>
      <c r="AQ35" s="3954" t="s">
        <v>2129</v>
      </c>
      <c r="AR35" t="s">
        <v>2129</v>
      </c>
      <c r="AS35" t="s">
        <v>2129</v>
      </c>
      <c r="AU35" t="s">
        <v>2129</v>
      </c>
      <c r="AW35" t="s">
        <v>2129</v>
      </c>
      <c r="AX35" t="s">
        <v>2129</v>
      </c>
      <c r="AY35" t="s">
        <v>2129</v>
      </c>
      <c r="AZ35" s="3946" t="s">
        <v>2129</v>
      </c>
      <c r="BA35" t="s">
        <v>2129</v>
      </c>
      <c r="BB35" s="3947" t="s">
        <v>2129</v>
      </c>
      <c r="BC35" s="1958" t="s">
        <v>2129</v>
      </c>
      <c r="BD35" s="1958" t="s">
        <v>2129</v>
      </c>
      <c r="BE35" s="1958" t="s">
        <v>2129</v>
      </c>
      <c r="BF35" s="3937" t="s">
        <v>2129</v>
      </c>
      <c r="BG35" s="3938" t="s">
        <v>2129</v>
      </c>
      <c r="BH35" s="3938" t="s">
        <v>2129</v>
      </c>
      <c r="BI35" s="3937" t="s">
        <v>2129</v>
      </c>
      <c r="BJ35" s="3938" t="s">
        <v>2129</v>
      </c>
      <c r="BK35" s="3939" t="s">
        <v>2129</v>
      </c>
      <c r="BL35" s="3938" t="s">
        <v>2129</v>
      </c>
      <c r="BM35" s="3938" t="s">
        <v>2129</v>
      </c>
      <c r="BN35" s="3939" t="s">
        <v>2129</v>
      </c>
      <c r="BO35" s="3937" t="s">
        <v>2129</v>
      </c>
      <c r="BP35" s="3988" t="s">
        <v>2129</v>
      </c>
      <c r="BQ35" s="3988"/>
      <c r="BR35" s="3988"/>
      <c r="BS35" s="2694"/>
    </row>
    <row r="36" spans="1:71" ht="13">
      <c r="A36">
        <v>56</v>
      </c>
      <c r="B36" s="3979" t="s">
        <v>3263</v>
      </c>
      <c r="C36" s="2694" t="s">
        <v>2129</v>
      </c>
      <c r="D36" s="2694" t="s">
        <v>2695</v>
      </c>
      <c r="E36" s="2694" t="s">
        <v>2129</v>
      </c>
      <c r="F36" s="3974" t="s">
        <v>2129</v>
      </c>
      <c r="G36" s="3975" t="s">
        <v>2695</v>
      </c>
      <c r="H36" s="3976" t="s">
        <v>2129</v>
      </c>
      <c r="I36" s="2694">
        <v>7</v>
      </c>
      <c r="J36" s="3992" t="s">
        <v>3503</v>
      </c>
      <c r="K36" s="2694">
        <v>1</v>
      </c>
      <c r="L36" s="2694" t="b">
        <v>1</v>
      </c>
      <c r="M36" s="2694" t="s">
        <v>2129</v>
      </c>
      <c r="N36" s="2477">
        <v>6117648</v>
      </c>
      <c r="O36" s="2477">
        <v>370601</v>
      </c>
      <c r="P36" s="2477">
        <v>109140</v>
      </c>
      <c r="Q36" s="2477">
        <v>0</v>
      </c>
      <c r="R36" s="2477">
        <v>0</v>
      </c>
      <c r="S36" s="2695">
        <v>7257127.9000000004</v>
      </c>
      <c r="T36" s="2477">
        <v>1051818</v>
      </c>
      <c r="U36" s="2477" t="b">
        <v>1</v>
      </c>
      <c r="V36" s="2477">
        <v>1051818</v>
      </c>
      <c r="W36" s="2477">
        <v>0</v>
      </c>
      <c r="X36" s="3937">
        <v>6262685</v>
      </c>
      <c r="Y36" s="3938">
        <v>6262685</v>
      </c>
      <c r="Z36" s="3938" t="b">
        <v>1</v>
      </c>
      <c r="AA36" s="3938">
        <v>53988.663793103449</v>
      </c>
      <c r="AB36" s="3938"/>
      <c r="AC36" s="3938"/>
      <c r="AD36" s="3938" t="s">
        <v>2129</v>
      </c>
      <c r="AE36" s="3938"/>
      <c r="AF36" s="3938"/>
      <c r="AG36">
        <v>126</v>
      </c>
      <c r="AH36">
        <v>116</v>
      </c>
      <c r="AI36" t="b">
        <v>1</v>
      </c>
      <c r="AJ36">
        <v>179</v>
      </c>
      <c r="AK36" s="3966">
        <v>34988</v>
      </c>
      <c r="AL36" s="2814" t="s">
        <v>2129</v>
      </c>
      <c r="AM36" s="2814">
        <v>1080</v>
      </c>
      <c r="AN36" s="2814" t="s">
        <v>2129</v>
      </c>
      <c r="AO36" s="3953" t="s">
        <v>2129</v>
      </c>
      <c r="AP36" s="2814">
        <v>567</v>
      </c>
      <c r="AQ36" s="3954" t="s">
        <v>2129</v>
      </c>
      <c r="AR36" t="s">
        <v>2129</v>
      </c>
      <c r="AS36">
        <v>964</v>
      </c>
      <c r="AU36" t="s">
        <v>2129</v>
      </c>
      <c r="AW36" t="s">
        <v>2129</v>
      </c>
      <c r="AX36">
        <v>18</v>
      </c>
      <c r="AY36" t="s">
        <v>2129</v>
      </c>
      <c r="AZ36" s="3946" t="s">
        <v>2129</v>
      </c>
      <c r="BA36">
        <v>9</v>
      </c>
      <c r="BB36" s="3947" t="s">
        <v>2129</v>
      </c>
      <c r="BC36" s="1958" t="s">
        <v>2129</v>
      </c>
      <c r="BD36" s="1958">
        <v>37787040</v>
      </c>
      <c r="BE36" s="1958" t="s">
        <v>2129</v>
      </c>
      <c r="BF36" s="3937" t="s">
        <v>2129</v>
      </c>
      <c r="BG36" s="3938">
        <v>19838196</v>
      </c>
      <c r="BH36" s="3938" t="s">
        <v>2129</v>
      </c>
      <c r="BI36" s="3937" t="s">
        <v>2129</v>
      </c>
      <c r="BJ36" s="3938">
        <v>18932724</v>
      </c>
      <c r="BK36" s="3939" t="s">
        <v>2129</v>
      </c>
      <c r="BL36" s="3938" t="s">
        <v>2129</v>
      </c>
      <c r="BM36" s="3938">
        <v>9466362</v>
      </c>
      <c r="BN36" s="3939" t="s">
        <v>2129</v>
      </c>
      <c r="BO36" s="3937" t="s">
        <v>2129</v>
      </c>
      <c r="BP36" s="3988" t="s">
        <v>2129</v>
      </c>
      <c r="BQ36" s="3988"/>
      <c r="BR36" s="3988"/>
      <c r="BS36" s="2694"/>
    </row>
    <row r="37" spans="1:71" ht="13">
      <c r="A37">
        <v>57</v>
      </c>
      <c r="B37" s="3979" t="s">
        <v>3264</v>
      </c>
      <c r="C37" s="2694" t="s">
        <v>2129</v>
      </c>
      <c r="D37" s="2694" t="s">
        <v>2129</v>
      </c>
      <c r="E37" s="2694" t="s">
        <v>2129</v>
      </c>
      <c r="F37" s="3974" t="s">
        <v>2129</v>
      </c>
      <c r="G37" s="3975" t="s">
        <v>2129</v>
      </c>
      <c r="H37" s="3976" t="s">
        <v>2129</v>
      </c>
      <c r="I37" s="2694">
        <v>0</v>
      </c>
      <c r="J37" s="3992" t="s">
        <v>2854</v>
      </c>
      <c r="K37" s="2694">
        <v>0</v>
      </c>
      <c r="L37" s="2694" t="b">
        <v>1</v>
      </c>
      <c r="M37" s="2694" t="s">
        <v>2129</v>
      </c>
      <c r="N37" s="2477">
        <v>0</v>
      </c>
      <c r="O37" s="2477">
        <v>0</v>
      </c>
      <c r="P37" s="2477">
        <v>0</v>
      </c>
      <c r="Q37" s="2477">
        <v>0</v>
      </c>
      <c r="R37" s="2477">
        <v>0</v>
      </c>
      <c r="S37" s="2695">
        <v>0</v>
      </c>
      <c r="T37" s="2477">
        <v>0</v>
      </c>
      <c r="U37" s="2477" t="b">
        <v>1</v>
      </c>
      <c r="V37" s="2477" t="s">
        <v>2129</v>
      </c>
      <c r="W37" s="2477">
        <v>0</v>
      </c>
      <c r="X37" s="3937">
        <v>4584386</v>
      </c>
      <c r="Y37" s="3938">
        <v>4584386</v>
      </c>
      <c r="Z37" s="3938" t="b">
        <v>1</v>
      </c>
      <c r="AA37" s="3938">
        <v>30562.573333333334</v>
      </c>
      <c r="AB37" s="3938"/>
      <c r="AC37" s="3938"/>
      <c r="AD37" s="3938" t="s">
        <v>2129</v>
      </c>
      <c r="AE37" s="3938"/>
      <c r="AF37" s="3938"/>
      <c r="AG37">
        <v>150</v>
      </c>
      <c r="AH37">
        <v>150</v>
      </c>
      <c r="AI37" t="b">
        <v>1</v>
      </c>
      <c r="AJ37">
        <v>159</v>
      </c>
      <c r="AK37" s="3966">
        <v>28833</v>
      </c>
      <c r="AL37" s="2814" t="s">
        <v>2129</v>
      </c>
      <c r="AM37" s="2814" t="s">
        <v>2129</v>
      </c>
      <c r="AN37" s="2814" t="s">
        <v>2129</v>
      </c>
      <c r="AO37" s="3953" t="s">
        <v>2129</v>
      </c>
      <c r="AP37" s="2814" t="s">
        <v>2129</v>
      </c>
      <c r="AQ37" s="3954" t="s">
        <v>2129</v>
      </c>
      <c r="AR37" t="s">
        <v>2129</v>
      </c>
      <c r="AS37" t="s">
        <v>2129</v>
      </c>
      <c r="AU37" t="s">
        <v>2129</v>
      </c>
      <c r="AW37" t="s">
        <v>2129</v>
      </c>
      <c r="AX37" t="s">
        <v>2129</v>
      </c>
      <c r="AY37" t="s">
        <v>2129</v>
      </c>
      <c r="AZ37" s="3946" t="s">
        <v>2129</v>
      </c>
      <c r="BA37" t="s">
        <v>2129</v>
      </c>
      <c r="BB37" s="3947" t="s">
        <v>2129</v>
      </c>
      <c r="BC37" s="1958" t="s">
        <v>2129</v>
      </c>
      <c r="BD37" s="1958" t="s">
        <v>2129</v>
      </c>
      <c r="BE37" s="1958" t="s">
        <v>2129</v>
      </c>
      <c r="BF37" s="3937" t="s">
        <v>2129</v>
      </c>
      <c r="BG37" s="3938" t="s">
        <v>2129</v>
      </c>
      <c r="BH37" s="3938" t="s">
        <v>2129</v>
      </c>
      <c r="BI37" s="3937" t="s">
        <v>2129</v>
      </c>
      <c r="BJ37" s="3938" t="s">
        <v>2129</v>
      </c>
      <c r="BK37" s="3939" t="s">
        <v>2129</v>
      </c>
      <c r="BL37" s="3938" t="s">
        <v>2129</v>
      </c>
      <c r="BM37" s="3938" t="s">
        <v>2129</v>
      </c>
      <c r="BN37" s="3939" t="s">
        <v>2129</v>
      </c>
      <c r="BO37" s="3937" t="s">
        <v>2129</v>
      </c>
      <c r="BP37" s="3988" t="s">
        <v>2129</v>
      </c>
      <c r="BQ37" s="3988"/>
      <c r="BR37" s="3988"/>
      <c r="BS37" s="2694"/>
    </row>
    <row r="38" spans="1:71" ht="13">
      <c r="A38">
        <v>58</v>
      </c>
      <c r="B38" s="3980" t="s">
        <v>3265</v>
      </c>
      <c r="C38" s="2694" t="s">
        <v>2129</v>
      </c>
      <c r="D38" s="2694" t="s">
        <v>2129</v>
      </c>
      <c r="E38" s="2694" t="s">
        <v>2129</v>
      </c>
      <c r="F38" s="3974" t="s">
        <v>2129</v>
      </c>
      <c r="G38" s="3975" t="s">
        <v>2129</v>
      </c>
      <c r="H38" s="3976" t="s">
        <v>2129</v>
      </c>
      <c r="I38" s="2694">
        <v>7</v>
      </c>
      <c r="J38" s="3992" t="s">
        <v>2854</v>
      </c>
      <c r="K38" s="2694">
        <v>0</v>
      </c>
      <c r="L38" s="2694" t="b">
        <v>1</v>
      </c>
      <c r="M38" s="2694" t="s">
        <v>2129</v>
      </c>
      <c r="N38" s="2477">
        <v>6117648</v>
      </c>
      <c r="O38" s="2477">
        <v>370601</v>
      </c>
      <c r="P38" s="2477">
        <v>109140</v>
      </c>
      <c r="Q38" s="2477">
        <v>0</v>
      </c>
      <c r="R38" s="2477">
        <v>0</v>
      </c>
      <c r="S38" s="2695">
        <v>7257127.9000000004</v>
      </c>
      <c r="T38" s="2477">
        <v>0</v>
      </c>
      <c r="U38" s="2477" t="b">
        <v>1</v>
      </c>
      <c r="V38" s="2477" t="s">
        <v>2129</v>
      </c>
      <c r="W38" s="2477">
        <v>-380472</v>
      </c>
      <c r="X38" s="3937"/>
      <c r="Y38" s="3938">
        <v>380472</v>
      </c>
      <c r="Z38" s="3938" t="b">
        <v>1</v>
      </c>
      <c r="AA38" s="3938">
        <v>13588.285714285714</v>
      </c>
      <c r="AB38" s="3938"/>
      <c r="AC38" s="3938"/>
      <c r="AD38" s="3938" t="s">
        <v>2129</v>
      </c>
      <c r="AE38" s="3938"/>
      <c r="AF38" s="3938"/>
      <c r="AH38">
        <v>28</v>
      </c>
      <c r="AI38" t="b">
        <v>1</v>
      </c>
      <c r="AJ38">
        <v>28</v>
      </c>
      <c r="AK38" s="3966">
        <v>13589</v>
      </c>
      <c r="AL38" s="2814" t="s">
        <v>2129</v>
      </c>
      <c r="AM38" s="2814" t="s">
        <v>2129</v>
      </c>
      <c r="AN38" s="2814" t="s">
        <v>2129</v>
      </c>
      <c r="AO38" s="3953" t="s">
        <v>2129</v>
      </c>
      <c r="AP38" s="2814" t="s">
        <v>2129</v>
      </c>
      <c r="AQ38" s="3954" t="s">
        <v>2129</v>
      </c>
      <c r="AR38" t="s">
        <v>2129</v>
      </c>
      <c r="AS38" t="s">
        <v>2129</v>
      </c>
      <c r="AU38" t="s">
        <v>2129</v>
      </c>
      <c r="AW38" t="s">
        <v>2129</v>
      </c>
      <c r="AX38" t="s">
        <v>2129</v>
      </c>
      <c r="AY38" t="s">
        <v>2129</v>
      </c>
      <c r="AZ38" s="3946" t="s">
        <v>2129</v>
      </c>
      <c r="BA38" t="s">
        <v>2129</v>
      </c>
      <c r="BB38" s="3947" t="s">
        <v>2129</v>
      </c>
      <c r="BC38" s="1958" t="s">
        <v>2129</v>
      </c>
      <c r="BD38" s="1958" t="s">
        <v>2129</v>
      </c>
      <c r="BE38" s="1958" t="s">
        <v>2129</v>
      </c>
      <c r="BF38" s="3937" t="s">
        <v>2129</v>
      </c>
      <c r="BG38" s="3938" t="s">
        <v>2129</v>
      </c>
      <c r="BH38" s="3938" t="s">
        <v>2129</v>
      </c>
      <c r="BI38" s="3937" t="s">
        <v>2129</v>
      </c>
      <c r="BJ38" s="3938" t="s">
        <v>2129</v>
      </c>
      <c r="BK38" s="3939" t="s">
        <v>2129</v>
      </c>
      <c r="BL38" s="3938" t="s">
        <v>2129</v>
      </c>
      <c r="BM38" s="3938" t="s">
        <v>2129</v>
      </c>
      <c r="BN38" s="3939" t="s">
        <v>2129</v>
      </c>
      <c r="BO38" s="3937" t="s">
        <v>2129</v>
      </c>
      <c r="BP38" s="3988" t="s">
        <v>2129</v>
      </c>
      <c r="BQ38" s="3988"/>
      <c r="BR38" s="3988"/>
      <c r="BS38" s="2694"/>
    </row>
    <row r="39" spans="1:71" ht="13">
      <c r="A39">
        <v>59</v>
      </c>
      <c r="B39" s="3979" t="s">
        <v>3266</v>
      </c>
      <c r="C39" s="2694" t="s">
        <v>2129</v>
      </c>
      <c r="D39" s="2694" t="s">
        <v>2695</v>
      </c>
      <c r="E39" s="2694" t="s">
        <v>2129</v>
      </c>
      <c r="F39" s="3974" t="s">
        <v>2129</v>
      </c>
      <c r="G39" s="3975" t="s">
        <v>2695</v>
      </c>
      <c r="H39" s="3976" t="s">
        <v>2129</v>
      </c>
      <c r="I39" s="2694">
        <v>0</v>
      </c>
      <c r="J39" s="3992" t="s">
        <v>2854</v>
      </c>
      <c r="K39" s="2694">
        <v>0</v>
      </c>
      <c r="L39" s="2694" t="b">
        <v>1</v>
      </c>
      <c r="M39" s="2694" t="s">
        <v>2129</v>
      </c>
      <c r="N39" s="2477">
        <v>0</v>
      </c>
      <c r="O39" s="2477">
        <v>0</v>
      </c>
      <c r="P39" s="2477">
        <v>0</v>
      </c>
      <c r="Q39" s="2477">
        <v>0</v>
      </c>
      <c r="R39" s="2477">
        <v>0</v>
      </c>
      <c r="S39" s="2695">
        <v>0</v>
      </c>
      <c r="T39" s="2477">
        <v>0</v>
      </c>
      <c r="U39" s="2477" t="b">
        <v>1</v>
      </c>
      <c r="V39" s="2477" t="s">
        <v>2129</v>
      </c>
      <c r="W39" s="2477">
        <v>0</v>
      </c>
      <c r="X39" s="3937">
        <v>13971529</v>
      </c>
      <c r="Y39" s="3938">
        <v>13971529</v>
      </c>
      <c r="Z39" s="3938" t="b">
        <v>1</v>
      </c>
      <c r="AA39" s="3938">
        <v>47361.115254237287</v>
      </c>
      <c r="AB39" s="3938"/>
      <c r="AC39" s="3938"/>
      <c r="AD39" s="3938" t="s">
        <v>2129</v>
      </c>
      <c r="AE39" s="3938"/>
      <c r="AF39" s="3938"/>
      <c r="AG39">
        <v>306</v>
      </c>
      <c r="AH39">
        <v>295</v>
      </c>
      <c r="AI39" t="b">
        <v>1</v>
      </c>
      <c r="AJ39">
        <v>361</v>
      </c>
      <c r="AK39" s="3966">
        <v>38703</v>
      </c>
      <c r="AL39" s="2814" t="s">
        <v>2129</v>
      </c>
      <c r="AM39" s="2814">
        <v>2340</v>
      </c>
      <c r="AN39" s="2814" t="s">
        <v>2129</v>
      </c>
      <c r="AO39" s="3953" t="s">
        <v>2129</v>
      </c>
      <c r="AP39" s="2814">
        <v>1170</v>
      </c>
      <c r="AQ39" s="3954" t="s">
        <v>2129</v>
      </c>
      <c r="AR39" t="s">
        <v>2129</v>
      </c>
      <c r="AS39">
        <v>2045</v>
      </c>
      <c r="AU39" t="s">
        <v>2129</v>
      </c>
      <c r="AW39" t="s">
        <v>2129</v>
      </c>
      <c r="AX39">
        <v>18</v>
      </c>
      <c r="AY39" t="s">
        <v>2129</v>
      </c>
      <c r="AZ39" s="3946" t="s">
        <v>2129</v>
      </c>
      <c r="BA39">
        <v>9</v>
      </c>
      <c r="BB39" s="3947" t="s">
        <v>2129</v>
      </c>
      <c r="BC39" s="1958" t="s">
        <v>2129</v>
      </c>
      <c r="BD39" s="1958">
        <v>90565020</v>
      </c>
      <c r="BE39" s="1958" t="s">
        <v>2129</v>
      </c>
      <c r="BF39" s="3937" t="s">
        <v>2129</v>
      </c>
      <c r="BG39" s="3938">
        <v>45282510</v>
      </c>
      <c r="BH39" s="3938" t="s">
        <v>2129</v>
      </c>
      <c r="BI39" s="3937" t="s">
        <v>2129</v>
      </c>
      <c r="BJ39" s="3938" t="s">
        <v>2129</v>
      </c>
      <c r="BK39" s="3939" t="s">
        <v>2129</v>
      </c>
      <c r="BL39" s="3938" t="s">
        <v>2129</v>
      </c>
      <c r="BM39" s="3938" t="s">
        <v>2129</v>
      </c>
      <c r="BN39" s="3939" t="s">
        <v>2129</v>
      </c>
      <c r="BO39" s="3937" t="s">
        <v>2129</v>
      </c>
      <c r="BP39" s="3988" t="s">
        <v>2129</v>
      </c>
      <c r="BQ39" s="3988"/>
      <c r="BR39" s="3988"/>
      <c r="BS39" s="2694"/>
    </row>
    <row r="40" spans="1:71" ht="13">
      <c r="A40">
        <v>60</v>
      </c>
      <c r="B40" s="3979" t="s">
        <v>3267</v>
      </c>
      <c r="C40" s="2694" t="s">
        <v>2129</v>
      </c>
      <c r="D40" s="2694" t="s">
        <v>2129</v>
      </c>
      <c r="E40" s="2694" t="s">
        <v>2129</v>
      </c>
      <c r="F40" s="3974" t="s">
        <v>2129</v>
      </c>
      <c r="G40" s="3975" t="s">
        <v>2129</v>
      </c>
      <c r="H40" s="3976" t="s">
        <v>2129</v>
      </c>
      <c r="I40" s="2694">
        <v>0</v>
      </c>
      <c r="J40" s="3992" t="s">
        <v>2854</v>
      </c>
      <c r="K40" s="2694">
        <v>0</v>
      </c>
      <c r="L40" s="2694" t="b">
        <v>1</v>
      </c>
      <c r="M40" s="2694" t="s">
        <v>2129</v>
      </c>
      <c r="N40" s="2477">
        <v>0</v>
      </c>
      <c r="O40" s="2477">
        <v>0</v>
      </c>
      <c r="P40" s="2477">
        <v>0</v>
      </c>
      <c r="Q40" s="2477">
        <v>0</v>
      </c>
      <c r="R40" s="2477">
        <v>0</v>
      </c>
      <c r="S40" s="2695">
        <v>0</v>
      </c>
      <c r="T40" s="2477">
        <v>0</v>
      </c>
      <c r="U40" s="2477" t="b">
        <v>1</v>
      </c>
      <c r="V40" s="2477" t="s">
        <v>2129</v>
      </c>
      <c r="W40" s="2477">
        <v>0</v>
      </c>
      <c r="X40" s="3937">
        <v>4477869</v>
      </c>
      <c r="Y40" s="3938">
        <v>4477869</v>
      </c>
      <c r="Z40" s="3938" t="b">
        <v>1</v>
      </c>
      <c r="AA40" s="3938">
        <v>34445.146153846152</v>
      </c>
      <c r="AB40" s="3938"/>
      <c r="AC40" s="3938"/>
      <c r="AD40" s="3938" t="s">
        <v>2129</v>
      </c>
      <c r="AE40" s="3938"/>
      <c r="AF40" s="3938"/>
      <c r="AG40">
        <v>272</v>
      </c>
      <c r="AH40">
        <v>130</v>
      </c>
      <c r="AI40" t="b">
        <v>1</v>
      </c>
      <c r="AJ40">
        <v>160</v>
      </c>
      <c r="AK40" s="3966">
        <v>27987</v>
      </c>
      <c r="AL40" s="2814" t="s">
        <v>2129</v>
      </c>
      <c r="AM40" s="2814" t="s">
        <v>2129</v>
      </c>
      <c r="AN40" s="2814" t="s">
        <v>2129</v>
      </c>
      <c r="AO40" s="3953" t="s">
        <v>2129</v>
      </c>
      <c r="AP40" s="2814" t="s">
        <v>2129</v>
      </c>
      <c r="AQ40" s="3954" t="s">
        <v>2129</v>
      </c>
      <c r="AR40" t="s">
        <v>2129</v>
      </c>
      <c r="AS40" t="s">
        <v>2129</v>
      </c>
      <c r="AU40" t="s">
        <v>2129</v>
      </c>
      <c r="AW40" t="s">
        <v>2129</v>
      </c>
      <c r="AX40" t="s">
        <v>2129</v>
      </c>
      <c r="AY40" t="s">
        <v>2129</v>
      </c>
      <c r="AZ40" s="3946" t="s">
        <v>2129</v>
      </c>
      <c r="BA40" t="s">
        <v>2129</v>
      </c>
      <c r="BB40" s="3947" t="s">
        <v>2129</v>
      </c>
      <c r="BC40" s="1958" t="s">
        <v>2129</v>
      </c>
      <c r="BD40" s="1958" t="s">
        <v>2129</v>
      </c>
      <c r="BE40" s="1958" t="s">
        <v>2129</v>
      </c>
      <c r="BF40" s="3937" t="s">
        <v>2129</v>
      </c>
      <c r="BG40" s="3938" t="s">
        <v>2129</v>
      </c>
      <c r="BH40" s="3938" t="s">
        <v>2129</v>
      </c>
      <c r="BI40" s="3937" t="s">
        <v>2129</v>
      </c>
      <c r="BJ40" s="3938" t="s">
        <v>2129</v>
      </c>
      <c r="BK40" s="3939" t="s">
        <v>2129</v>
      </c>
      <c r="BL40" s="3938" t="s">
        <v>2129</v>
      </c>
      <c r="BM40" s="3938" t="s">
        <v>2129</v>
      </c>
      <c r="BN40" s="3939" t="s">
        <v>2129</v>
      </c>
      <c r="BO40" s="3937" t="s">
        <v>2129</v>
      </c>
      <c r="BP40" s="3988" t="s">
        <v>2129</v>
      </c>
      <c r="BQ40" s="3988"/>
      <c r="BR40" s="3988"/>
      <c r="BS40" s="2694"/>
    </row>
    <row r="41" spans="1:71" ht="13">
      <c r="A41">
        <v>61</v>
      </c>
      <c r="B41" s="3979" t="s">
        <v>3268</v>
      </c>
      <c r="C41" s="2694" t="s">
        <v>2129</v>
      </c>
      <c r="D41" s="2694" t="s">
        <v>2129</v>
      </c>
      <c r="E41" s="2694" t="s">
        <v>2129</v>
      </c>
      <c r="F41" s="3974" t="s">
        <v>2129</v>
      </c>
      <c r="G41" s="3975" t="s">
        <v>2129</v>
      </c>
      <c r="H41" s="3976" t="s">
        <v>2129</v>
      </c>
      <c r="I41" s="2694">
        <v>0</v>
      </c>
      <c r="J41" s="3992" t="s">
        <v>2854</v>
      </c>
      <c r="K41" s="2694">
        <v>0</v>
      </c>
      <c r="L41" s="2694" t="b">
        <v>1</v>
      </c>
      <c r="M41" s="2694" t="s">
        <v>2129</v>
      </c>
      <c r="N41" s="2477">
        <v>0</v>
      </c>
      <c r="O41" s="2477">
        <v>0</v>
      </c>
      <c r="P41" s="2477">
        <v>0</v>
      </c>
      <c r="Q41" s="2477">
        <v>0</v>
      </c>
      <c r="R41" s="2477">
        <v>0</v>
      </c>
      <c r="S41" s="2695">
        <v>0</v>
      </c>
      <c r="T41" s="2477">
        <v>0</v>
      </c>
      <c r="U41" s="2477" t="b">
        <v>1</v>
      </c>
      <c r="V41" s="2477" t="s">
        <v>2129</v>
      </c>
      <c r="W41" s="2477">
        <v>0</v>
      </c>
      <c r="X41" s="3937">
        <v>1469094</v>
      </c>
      <c r="Y41" s="3938">
        <v>1469094</v>
      </c>
      <c r="Z41" s="3938" t="b">
        <v>1</v>
      </c>
      <c r="AA41" s="3938">
        <v>24484.9</v>
      </c>
      <c r="AB41" s="3938"/>
      <c r="AC41" s="3938"/>
      <c r="AD41" s="3938" t="s">
        <v>2129</v>
      </c>
      <c r="AE41" s="3938"/>
      <c r="AF41" s="3938"/>
      <c r="AG41">
        <v>313</v>
      </c>
      <c r="AH41">
        <v>60</v>
      </c>
      <c r="AI41" t="b">
        <v>1</v>
      </c>
      <c r="AJ41">
        <v>60</v>
      </c>
      <c r="AK41" s="3966">
        <v>24485</v>
      </c>
      <c r="AL41" s="2814" t="s">
        <v>2129</v>
      </c>
      <c r="AM41" s="2814" t="s">
        <v>2129</v>
      </c>
      <c r="AN41" s="2814" t="s">
        <v>2129</v>
      </c>
      <c r="AO41" s="3953" t="s">
        <v>2129</v>
      </c>
      <c r="AP41" s="2814" t="s">
        <v>2129</v>
      </c>
      <c r="AQ41" s="3954" t="s">
        <v>2129</v>
      </c>
      <c r="AR41" t="s">
        <v>2129</v>
      </c>
      <c r="AS41" t="s">
        <v>2129</v>
      </c>
      <c r="AU41" t="s">
        <v>2129</v>
      </c>
      <c r="AW41" t="s">
        <v>2129</v>
      </c>
      <c r="AX41" t="s">
        <v>2129</v>
      </c>
      <c r="AY41" t="s">
        <v>2129</v>
      </c>
      <c r="AZ41" s="3946" t="s">
        <v>2129</v>
      </c>
      <c r="BA41" t="s">
        <v>2129</v>
      </c>
      <c r="BB41" s="3947" t="s">
        <v>2129</v>
      </c>
      <c r="BC41" s="1958" t="s">
        <v>2129</v>
      </c>
      <c r="BD41" s="1958" t="s">
        <v>2129</v>
      </c>
      <c r="BE41" s="1958" t="s">
        <v>2129</v>
      </c>
      <c r="BF41" s="3937" t="s">
        <v>2129</v>
      </c>
      <c r="BG41" s="3938" t="s">
        <v>2129</v>
      </c>
      <c r="BH41" s="3938" t="s">
        <v>2129</v>
      </c>
      <c r="BI41" s="3937" t="s">
        <v>2129</v>
      </c>
      <c r="BJ41" s="3938" t="s">
        <v>2129</v>
      </c>
      <c r="BK41" s="3939" t="s">
        <v>2129</v>
      </c>
      <c r="BL41" s="3938" t="s">
        <v>2129</v>
      </c>
      <c r="BM41" s="3938" t="s">
        <v>2129</v>
      </c>
      <c r="BN41" s="3939" t="s">
        <v>2129</v>
      </c>
      <c r="BO41" s="3937" t="s">
        <v>2129</v>
      </c>
      <c r="BP41" s="3988" t="s">
        <v>2129</v>
      </c>
      <c r="BQ41" s="3988"/>
      <c r="BR41" s="3988"/>
      <c r="BS41" s="2694"/>
    </row>
    <row r="42" spans="1:71" ht="13">
      <c r="A42">
        <v>62</v>
      </c>
      <c r="B42" s="3979" t="s">
        <v>3269</v>
      </c>
      <c r="C42" s="2694" t="s">
        <v>2129</v>
      </c>
      <c r="D42" s="2694" t="s">
        <v>2695</v>
      </c>
      <c r="E42" s="2694" t="s">
        <v>2129</v>
      </c>
      <c r="F42" s="3974" t="s">
        <v>2129</v>
      </c>
      <c r="G42" s="3975" t="s">
        <v>2695</v>
      </c>
      <c r="H42" s="3976" t="s">
        <v>2129</v>
      </c>
      <c r="I42" s="2694">
        <v>12</v>
      </c>
      <c r="J42" s="3992" t="s">
        <v>2694</v>
      </c>
      <c r="K42" s="2694">
        <v>2</v>
      </c>
      <c r="L42" s="2694" t="b">
        <v>1</v>
      </c>
      <c r="M42" s="2694" t="s">
        <v>2129</v>
      </c>
      <c r="N42" s="2477">
        <v>1015295</v>
      </c>
      <c r="O42" s="2477">
        <v>0</v>
      </c>
      <c r="P42" s="2477">
        <v>0</v>
      </c>
      <c r="Q42" s="2477">
        <v>0</v>
      </c>
      <c r="R42" s="2477">
        <v>0</v>
      </c>
      <c r="S42" s="2695">
        <v>1116824.5</v>
      </c>
      <c r="T42" s="2477">
        <v>1116824</v>
      </c>
      <c r="U42" s="2477" t="b">
        <v>1</v>
      </c>
      <c r="V42" s="2477">
        <v>558412</v>
      </c>
      <c r="W42" s="2477">
        <v>0</v>
      </c>
      <c r="X42" s="3937">
        <v>20998492</v>
      </c>
      <c r="Y42" s="3938">
        <v>20998492</v>
      </c>
      <c r="Z42" s="3938" t="b">
        <v>1</v>
      </c>
      <c r="AA42" s="3938">
        <v>59995.69142857143</v>
      </c>
      <c r="AB42" s="3938"/>
      <c r="AC42" s="3938"/>
      <c r="AD42" s="3938" t="s">
        <v>2129</v>
      </c>
      <c r="AE42" s="3938"/>
      <c r="AF42" s="3938"/>
      <c r="AG42">
        <v>350</v>
      </c>
      <c r="AH42">
        <v>350</v>
      </c>
      <c r="AI42" t="b">
        <v>1</v>
      </c>
      <c r="AJ42">
        <v>490</v>
      </c>
      <c r="AK42" s="3966">
        <v>42855</v>
      </c>
      <c r="AL42" s="2814" t="s">
        <v>2129</v>
      </c>
      <c r="AM42" s="2814">
        <v>3150</v>
      </c>
      <c r="AN42" s="2814" t="s">
        <v>2129</v>
      </c>
      <c r="AO42" s="3953" t="s">
        <v>2129</v>
      </c>
      <c r="AP42" s="2814">
        <v>1575</v>
      </c>
      <c r="AQ42" s="3954" t="s">
        <v>2129</v>
      </c>
      <c r="AR42" t="s">
        <v>2129</v>
      </c>
      <c r="AS42">
        <v>2800</v>
      </c>
      <c r="AU42" t="s">
        <v>2129</v>
      </c>
      <c r="AW42" t="s">
        <v>2129</v>
      </c>
      <c r="AX42">
        <v>18</v>
      </c>
      <c r="AY42" t="s">
        <v>2129</v>
      </c>
      <c r="AZ42" s="3946" t="s">
        <v>2129</v>
      </c>
      <c r="BA42">
        <v>9</v>
      </c>
      <c r="BB42" s="3947" t="s">
        <v>2129</v>
      </c>
      <c r="BC42" s="1958" t="s">
        <v>2129</v>
      </c>
      <c r="BD42" s="1958">
        <v>134993250</v>
      </c>
      <c r="BE42" s="1958" t="s">
        <v>2129</v>
      </c>
      <c r="BF42" s="3937" t="s">
        <v>2129</v>
      </c>
      <c r="BG42" s="3938">
        <v>67496625</v>
      </c>
      <c r="BH42" s="3938" t="s">
        <v>2129</v>
      </c>
      <c r="BI42" s="3937" t="s">
        <v>2129</v>
      </c>
      <c r="BJ42" s="3938">
        <v>20102832</v>
      </c>
      <c r="BK42" s="3939" t="s">
        <v>2129</v>
      </c>
      <c r="BL42" s="3938" t="s">
        <v>2129</v>
      </c>
      <c r="BM42" s="3938">
        <v>10051416</v>
      </c>
      <c r="BN42" s="3939" t="s">
        <v>2129</v>
      </c>
      <c r="BO42" s="3937" t="s">
        <v>2129</v>
      </c>
      <c r="BP42" s="3988" t="s">
        <v>2129</v>
      </c>
      <c r="BQ42" s="3988"/>
      <c r="BR42" s="3988"/>
      <c r="BS42" s="2694"/>
    </row>
    <row r="43" spans="1:71" ht="13">
      <c r="A43">
        <v>63</v>
      </c>
      <c r="B43" s="3979" t="s">
        <v>3270</v>
      </c>
      <c r="C43" s="2694" t="s">
        <v>2129</v>
      </c>
      <c r="D43" s="2694" t="s">
        <v>2129</v>
      </c>
      <c r="E43" s="2694" t="s">
        <v>3694</v>
      </c>
      <c r="F43" s="3974" t="s">
        <v>2129</v>
      </c>
      <c r="G43" s="3975" t="s">
        <v>2129</v>
      </c>
      <c r="H43" s="3976" t="s">
        <v>2129</v>
      </c>
      <c r="I43" s="2694">
        <v>0</v>
      </c>
      <c r="J43" s="3992" t="s">
        <v>2854</v>
      </c>
      <c r="K43" s="2694">
        <v>0</v>
      </c>
      <c r="L43" s="2694" t="b">
        <v>1</v>
      </c>
      <c r="M43" s="2694" t="s">
        <v>2129</v>
      </c>
      <c r="N43" s="2477">
        <v>0</v>
      </c>
      <c r="O43" s="2477">
        <v>0</v>
      </c>
      <c r="P43" s="2477">
        <v>0</v>
      </c>
      <c r="Q43" s="2477">
        <v>0</v>
      </c>
      <c r="R43" s="2477">
        <v>0</v>
      </c>
      <c r="S43" s="2695">
        <v>0</v>
      </c>
      <c r="T43" s="2477">
        <v>0</v>
      </c>
      <c r="U43" s="2477" t="b">
        <v>1</v>
      </c>
      <c r="V43" s="2477" t="s">
        <v>2129</v>
      </c>
      <c r="W43" s="2477">
        <v>0</v>
      </c>
      <c r="X43" s="3937">
        <v>1087116</v>
      </c>
      <c r="Y43" s="3938">
        <v>1087116</v>
      </c>
      <c r="Z43" s="3938" t="b">
        <v>1</v>
      </c>
      <c r="AA43" s="3938">
        <v>19412.785714285714</v>
      </c>
      <c r="AB43" s="3938"/>
      <c r="AC43" s="3938"/>
      <c r="AD43" s="3938" t="s">
        <v>2129</v>
      </c>
      <c r="AE43" s="3938"/>
      <c r="AF43" s="3938"/>
      <c r="AG43">
        <v>56</v>
      </c>
      <c r="AH43">
        <v>56</v>
      </c>
      <c r="AI43" t="b">
        <v>1</v>
      </c>
      <c r="AJ43">
        <v>56</v>
      </c>
      <c r="AK43" s="3966">
        <v>19413</v>
      </c>
      <c r="AL43" s="2814" t="s">
        <v>2129</v>
      </c>
      <c r="AM43" s="2814" t="s">
        <v>2129</v>
      </c>
      <c r="AN43" s="2814">
        <v>780</v>
      </c>
      <c r="AO43" s="3953" t="s">
        <v>2129</v>
      </c>
      <c r="AP43" s="2814" t="s">
        <v>2129</v>
      </c>
      <c r="AQ43" s="3954" t="s">
        <v>2129</v>
      </c>
      <c r="AR43" t="s">
        <v>2129</v>
      </c>
      <c r="AS43" t="s">
        <v>2129</v>
      </c>
      <c r="AU43" t="s">
        <v>2129</v>
      </c>
      <c r="AW43" t="s">
        <v>2129</v>
      </c>
      <c r="AX43" t="s">
        <v>2129</v>
      </c>
      <c r="AY43">
        <v>30</v>
      </c>
      <c r="AZ43" s="3946" t="s">
        <v>2129</v>
      </c>
      <c r="BA43" t="s">
        <v>2129</v>
      </c>
      <c r="BB43" s="3947" t="s">
        <v>2129</v>
      </c>
      <c r="BC43" s="1958" t="s">
        <v>2129</v>
      </c>
      <c r="BD43" s="1958" t="s">
        <v>2129</v>
      </c>
      <c r="BE43" s="1958">
        <v>15142140</v>
      </c>
      <c r="BF43" s="3937" t="s">
        <v>2129</v>
      </c>
      <c r="BG43" s="3938" t="s">
        <v>2129</v>
      </c>
      <c r="BH43" s="3938" t="s">
        <v>2129</v>
      </c>
      <c r="BI43" s="3937" t="s">
        <v>2129</v>
      </c>
      <c r="BJ43" s="3938" t="s">
        <v>2129</v>
      </c>
      <c r="BK43" s="3939" t="s">
        <v>2129</v>
      </c>
      <c r="BL43" s="3938" t="s">
        <v>2129</v>
      </c>
      <c r="BM43" s="3938" t="s">
        <v>2129</v>
      </c>
      <c r="BN43" s="3939" t="s">
        <v>2129</v>
      </c>
      <c r="BO43" s="3937" t="s">
        <v>2129</v>
      </c>
      <c r="BP43" s="3988" t="s">
        <v>2129</v>
      </c>
      <c r="BQ43" s="3988"/>
      <c r="BR43" s="3988"/>
      <c r="BS43" s="2694"/>
    </row>
    <row r="44" spans="1:71" ht="13">
      <c r="A44">
        <v>64</v>
      </c>
      <c r="B44" s="3995" t="s">
        <v>3271</v>
      </c>
      <c r="C44" s="2694" t="s">
        <v>3791</v>
      </c>
      <c r="D44" s="2694" t="s">
        <v>2695</v>
      </c>
      <c r="E44" s="2694" t="s">
        <v>2129</v>
      </c>
      <c r="F44" s="3974" t="s">
        <v>2129</v>
      </c>
      <c r="G44" s="3975" t="s">
        <v>2129</v>
      </c>
      <c r="H44" s="3976" t="s">
        <v>2129</v>
      </c>
      <c r="I44" s="2694">
        <v>60</v>
      </c>
      <c r="J44" s="3992" t="s">
        <v>2854</v>
      </c>
      <c r="K44" s="2694">
        <v>30</v>
      </c>
      <c r="L44" s="2694" t="b">
        <v>1</v>
      </c>
      <c r="M44" s="2694" t="s">
        <v>2129</v>
      </c>
      <c r="N44" s="2477">
        <v>9593062</v>
      </c>
      <c r="O44" s="2477">
        <v>3114240</v>
      </c>
      <c r="P44" s="2477">
        <v>0</v>
      </c>
      <c r="Q44" s="2477">
        <v>0</v>
      </c>
      <c r="R44" s="2477">
        <v>0</v>
      </c>
      <c r="S44" s="2695">
        <v>13978032.200000001</v>
      </c>
      <c r="T44" s="2477">
        <v>10552355</v>
      </c>
      <c r="U44" s="2477" t="b">
        <v>1</v>
      </c>
      <c r="V44" s="2477">
        <v>351745.16666666669</v>
      </c>
      <c r="W44" s="2477">
        <v>-3603594</v>
      </c>
      <c r="X44" s="3937">
        <v>13735852</v>
      </c>
      <c r="Y44" s="3938">
        <v>17339446</v>
      </c>
      <c r="Z44" s="3938" t="b">
        <v>1</v>
      </c>
      <c r="AA44" s="3938">
        <v>103210.98809523809</v>
      </c>
      <c r="AB44" s="3938"/>
      <c r="AC44" s="3938"/>
      <c r="AD44" s="3938">
        <v>5810.3195107648498</v>
      </c>
      <c r="AE44" s="3938"/>
      <c r="AF44" s="3938"/>
      <c r="AG44">
        <v>170</v>
      </c>
      <c r="AH44">
        <v>168</v>
      </c>
      <c r="AI44" t="b">
        <v>1</v>
      </c>
      <c r="AJ44">
        <v>302</v>
      </c>
      <c r="AK44" s="3966">
        <v>57416</v>
      </c>
      <c r="AL44" s="2814">
        <v>2595</v>
      </c>
      <c r="AM44" s="2814">
        <v>720</v>
      </c>
      <c r="AN44" s="2814" t="s">
        <v>2129</v>
      </c>
      <c r="AO44" s="3953" t="s">
        <v>2129</v>
      </c>
      <c r="AP44" s="2814" t="s">
        <v>2129</v>
      </c>
      <c r="AQ44" s="3954" t="s">
        <v>2129</v>
      </c>
      <c r="AR44">
        <v>2427</v>
      </c>
      <c r="AS44">
        <v>552</v>
      </c>
      <c r="AU44" t="s">
        <v>2129</v>
      </c>
      <c r="AW44">
        <v>27</v>
      </c>
      <c r="AX44">
        <v>18</v>
      </c>
      <c r="AY44" t="s">
        <v>2129</v>
      </c>
      <c r="AZ44" s="3946" t="s">
        <v>2129</v>
      </c>
      <c r="BA44" t="s">
        <v>2129</v>
      </c>
      <c r="BB44" s="3947" t="s">
        <v>2129</v>
      </c>
      <c r="BC44" s="6354">
        <f>430059676+46070016</f>
        <v>476129692</v>
      </c>
      <c r="BD44" s="6354"/>
      <c r="BE44" s="1958" t="str">
        <f t="shared" ref="BE44" si="0">IFERROR(AN44*AK44, "")</f>
        <v/>
      </c>
      <c r="BF44" s="3937" t="str">
        <f t="shared" ref="BF44" si="1">IFERROR(AO44*AK44, "")</f>
        <v/>
      </c>
      <c r="BG44" s="3938" t="str">
        <f t="shared" ref="BG44" si="2">IFERROR(AP44*AK44, "")</f>
        <v/>
      </c>
      <c r="BH44" s="3938" t="str">
        <f t="shared" ref="BH44" si="3">IFERROR(AQ44*AK44, "")</f>
        <v/>
      </c>
      <c r="BI44" s="6355">
        <v>12345190</v>
      </c>
      <c r="BJ44" s="6356"/>
      <c r="BK44" s="3939" t="str">
        <f t="shared" ref="BK44" si="4">IF(E44="メディア", IF(AND($V44&lt;&gt;0, $K44&lt;&gt;0, AY44&lt;&gt;0), $V44*$K44*AY44, ""), "")</f>
        <v/>
      </c>
      <c r="BL44" s="3938" t="str">
        <f t="shared" ref="BL44" si="5">IF(F44="技術役員", IF(AND($V44&lt;&gt;0, $K44&lt;&gt;0, AZ44&lt;&gt;0), $V44*$K44*AZ44, ""), "")</f>
        <v/>
      </c>
      <c r="BM44" s="3938" t="str">
        <f t="shared" ref="BM44" si="6">IF(G44="スポンサー", IF(AND($V44&lt;&gt;0, $K44&lt;&gt;0, BA44&lt;&gt;0), $V44*$K44*BA44, ""), "")</f>
        <v/>
      </c>
      <c r="BN44" s="3939" t="str">
        <f t="shared" ref="BN44" si="7">IF(H44="メディア", IF(AND($V44&lt;&gt;0, $K44&lt;&gt;0, BB44&lt;&gt;0), $V44*$K44*BB44, ""), "")</f>
        <v/>
      </c>
      <c r="BO44" s="3937">
        <f t="shared" ref="BO44" si="8">IF(C44="技術役員", IF(AND($AL44&lt;&gt;0), $AL44*0.3*5000+$AL44*1*10000+$AL44*0.5*1500, ""), "")</f>
        <v>31788750</v>
      </c>
      <c r="BP44" s="3988" t="str">
        <f t="shared" ref="BP44" si="9">IF(F44="技術役員", IF(AND($AO44&lt;&gt;0), $AO44*0.3*5000+$AO44*1*10000+$AO44*0.5*1500, ""), "")</f>
        <v/>
      </c>
      <c r="BQ44" s="3988"/>
      <c r="BR44" s="3988"/>
      <c r="BS44" s="2694"/>
    </row>
    <row r="45" spans="1:71" ht="13">
      <c r="A45">
        <v>65</v>
      </c>
      <c r="B45" s="3979" t="s">
        <v>3272</v>
      </c>
      <c r="C45" s="2694" t="s">
        <v>2129</v>
      </c>
      <c r="D45" s="2694" t="s">
        <v>2129</v>
      </c>
      <c r="E45" s="2694" t="s">
        <v>3694</v>
      </c>
      <c r="F45" s="3974" t="s">
        <v>2129</v>
      </c>
      <c r="G45" s="3975" t="s">
        <v>2129</v>
      </c>
      <c r="H45" s="3976" t="s">
        <v>2129</v>
      </c>
      <c r="I45" s="2694">
        <v>0</v>
      </c>
      <c r="J45" s="3992">
        <v>0</v>
      </c>
      <c r="K45" s="2694">
        <v>0</v>
      </c>
      <c r="L45" s="2694" t="b">
        <v>1</v>
      </c>
      <c r="M45" s="2694" t="s">
        <v>2129</v>
      </c>
      <c r="N45" s="2477">
        <v>0</v>
      </c>
      <c r="O45" s="2477">
        <v>0</v>
      </c>
      <c r="P45" s="2477">
        <v>0</v>
      </c>
      <c r="Q45" s="2477">
        <v>0</v>
      </c>
      <c r="R45" s="2477">
        <v>0</v>
      </c>
      <c r="S45" s="2695">
        <v>0</v>
      </c>
      <c r="T45" s="2477">
        <v>0</v>
      </c>
      <c r="U45" s="2477" t="b">
        <v>1</v>
      </c>
      <c r="V45" s="2477" t="s">
        <v>2129</v>
      </c>
      <c r="W45" s="2477">
        <v>0</v>
      </c>
      <c r="X45" s="3937">
        <v>815353</v>
      </c>
      <c r="Y45" s="3938">
        <v>815353</v>
      </c>
      <c r="Z45" s="3938" t="b">
        <v>1</v>
      </c>
      <c r="AA45" s="3938">
        <v>11647.9</v>
      </c>
      <c r="AB45" s="3938"/>
      <c r="AC45" s="3938"/>
      <c r="AD45" s="3938" t="s">
        <v>2129</v>
      </c>
      <c r="AE45" s="3938"/>
      <c r="AF45" s="3938"/>
      <c r="AG45">
        <v>166</v>
      </c>
      <c r="AH45">
        <v>70</v>
      </c>
      <c r="AI45" t="b">
        <v>1</v>
      </c>
      <c r="AJ45">
        <v>70</v>
      </c>
      <c r="AK45" s="3966">
        <v>11648</v>
      </c>
      <c r="AL45" s="2814" t="s">
        <v>2129</v>
      </c>
      <c r="AM45" s="2814" t="s">
        <v>2129</v>
      </c>
      <c r="AN45" s="2814">
        <v>2310</v>
      </c>
      <c r="AO45" s="3953" t="s">
        <v>2129</v>
      </c>
      <c r="AP45" s="2814" t="s">
        <v>2129</v>
      </c>
      <c r="AQ45" s="3954" t="s">
        <v>2129</v>
      </c>
      <c r="AR45" t="s">
        <v>2129</v>
      </c>
      <c r="AS45" t="s">
        <v>2129</v>
      </c>
      <c r="AU45" t="s">
        <v>2129</v>
      </c>
      <c r="AW45" t="s">
        <v>2129</v>
      </c>
      <c r="AX45" t="s">
        <v>2129</v>
      </c>
      <c r="AY45">
        <v>30</v>
      </c>
      <c r="AZ45" s="3946" t="s">
        <v>2129</v>
      </c>
      <c r="BA45" t="s">
        <v>2129</v>
      </c>
      <c r="BB45" s="3947" t="s">
        <v>2129</v>
      </c>
      <c r="BC45" s="1958" t="s">
        <v>2129</v>
      </c>
      <c r="BD45" s="1958" t="s">
        <v>2129</v>
      </c>
      <c r="BE45" s="1958">
        <v>26906880</v>
      </c>
      <c r="BF45" s="3937" t="s">
        <v>2129</v>
      </c>
      <c r="BG45" s="3938" t="s">
        <v>2129</v>
      </c>
      <c r="BH45" s="3938" t="s">
        <v>2129</v>
      </c>
      <c r="BI45" s="3937" t="s">
        <v>2129</v>
      </c>
      <c r="BJ45" s="3938" t="s">
        <v>2129</v>
      </c>
      <c r="BK45" s="3939" t="s">
        <v>2129</v>
      </c>
      <c r="BL45" s="3938" t="s">
        <v>2129</v>
      </c>
      <c r="BM45" s="3938" t="s">
        <v>2129</v>
      </c>
      <c r="BN45" s="3939" t="s">
        <v>2129</v>
      </c>
      <c r="BO45" s="3937" t="s">
        <v>2129</v>
      </c>
      <c r="BP45" s="3988" t="s">
        <v>2129</v>
      </c>
      <c r="BQ45" s="3988"/>
      <c r="BR45" s="3988"/>
      <c r="BS45" s="2694"/>
    </row>
    <row r="46" spans="1:71" ht="13">
      <c r="A46">
        <v>66</v>
      </c>
      <c r="B46" s="3979" t="s">
        <v>3273</v>
      </c>
      <c r="C46" s="2694" t="s">
        <v>2129</v>
      </c>
      <c r="D46" s="2694" t="s">
        <v>2129</v>
      </c>
      <c r="E46" s="2694" t="s">
        <v>2129</v>
      </c>
      <c r="F46" s="3974" t="s">
        <v>2129</v>
      </c>
      <c r="G46" s="3975" t="s">
        <v>2129</v>
      </c>
      <c r="H46" s="3976" t="s">
        <v>2129</v>
      </c>
      <c r="I46" s="2694">
        <v>0</v>
      </c>
      <c r="J46" s="3992" t="s">
        <v>2854</v>
      </c>
      <c r="K46" s="2694">
        <v>0</v>
      </c>
      <c r="L46" s="2694" t="b">
        <v>1</v>
      </c>
      <c r="M46" s="2694" t="s">
        <v>2129</v>
      </c>
      <c r="N46" s="2477">
        <v>0</v>
      </c>
      <c r="O46" s="2477">
        <v>0</v>
      </c>
      <c r="P46" s="2477">
        <v>0</v>
      </c>
      <c r="Q46" s="2477">
        <v>0</v>
      </c>
      <c r="R46" s="2477">
        <v>0</v>
      </c>
      <c r="S46" s="2695">
        <v>0</v>
      </c>
      <c r="T46" s="2477">
        <v>0</v>
      </c>
      <c r="U46" s="2477" t="b">
        <v>1</v>
      </c>
      <c r="V46" s="2477" t="s">
        <v>2129</v>
      </c>
      <c r="W46" s="2477">
        <v>0</v>
      </c>
      <c r="X46" s="3937">
        <v>890384</v>
      </c>
      <c r="Y46" s="3938">
        <v>890384</v>
      </c>
      <c r="Z46" s="3938" t="b">
        <v>1</v>
      </c>
      <c r="AA46" s="3938">
        <v>22259.599999999999</v>
      </c>
      <c r="AB46" s="3938"/>
      <c r="AC46" s="3938"/>
      <c r="AD46" s="3938" t="s">
        <v>2129</v>
      </c>
      <c r="AE46" s="3938"/>
      <c r="AF46" s="3938"/>
      <c r="AG46">
        <v>118</v>
      </c>
      <c r="AH46">
        <v>40</v>
      </c>
      <c r="AI46" t="b">
        <v>1</v>
      </c>
      <c r="AJ46">
        <v>40</v>
      </c>
      <c r="AK46" s="3966">
        <v>22260</v>
      </c>
      <c r="AL46" s="2814" t="s">
        <v>2129</v>
      </c>
      <c r="AM46" s="2814" t="s">
        <v>2129</v>
      </c>
      <c r="AN46" s="2814" t="s">
        <v>2129</v>
      </c>
      <c r="AO46" s="3953" t="s">
        <v>2129</v>
      </c>
      <c r="AP46" s="2814" t="s">
        <v>2129</v>
      </c>
      <c r="AQ46" s="3954" t="s">
        <v>2129</v>
      </c>
      <c r="AR46" t="s">
        <v>2129</v>
      </c>
      <c r="AS46" t="s">
        <v>2129</v>
      </c>
      <c r="AU46" t="s">
        <v>2129</v>
      </c>
      <c r="AW46" t="s">
        <v>2129</v>
      </c>
      <c r="AX46" t="s">
        <v>2129</v>
      </c>
      <c r="AY46" t="s">
        <v>2129</v>
      </c>
      <c r="AZ46" s="3946" t="s">
        <v>2129</v>
      </c>
      <c r="BA46" t="s">
        <v>2129</v>
      </c>
      <c r="BB46" s="3947" t="s">
        <v>2129</v>
      </c>
      <c r="BC46" s="1958" t="s">
        <v>2129</v>
      </c>
      <c r="BD46" s="1958" t="s">
        <v>2129</v>
      </c>
      <c r="BE46" s="1958" t="s">
        <v>2129</v>
      </c>
      <c r="BF46" s="3937" t="s">
        <v>2129</v>
      </c>
      <c r="BG46" s="3938" t="s">
        <v>2129</v>
      </c>
      <c r="BH46" s="3938" t="s">
        <v>2129</v>
      </c>
      <c r="BI46" s="3937" t="s">
        <v>2129</v>
      </c>
      <c r="BJ46" s="3938" t="s">
        <v>2129</v>
      </c>
      <c r="BK46" s="3939" t="s">
        <v>2129</v>
      </c>
      <c r="BL46" s="3938" t="s">
        <v>2129</v>
      </c>
      <c r="BM46" s="3938" t="s">
        <v>2129</v>
      </c>
      <c r="BN46" s="3939" t="s">
        <v>2129</v>
      </c>
      <c r="BO46" s="3937" t="s">
        <v>2129</v>
      </c>
      <c r="BP46" s="3988" t="s">
        <v>2129</v>
      </c>
      <c r="BQ46" s="3988"/>
      <c r="BR46" s="3988"/>
      <c r="BS46" s="2694"/>
    </row>
    <row r="47" spans="1:71" ht="13">
      <c r="A47">
        <v>67</v>
      </c>
      <c r="B47" s="3979" t="s">
        <v>6960</v>
      </c>
      <c r="C47" s="2694" t="s">
        <v>3791</v>
      </c>
      <c r="D47" s="2694" t="s">
        <v>2129</v>
      </c>
      <c r="E47" s="2694" t="s">
        <v>3694</v>
      </c>
      <c r="F47" s="3974" t="s">
        <v>2129</v>
      </c>
      <c r="G47" s="3975" t="s">
        <v>2129</v>
      </c>
      <c r="H47" s="3976" t="s">
        <v>2129</v>
      </c>
      <c r="I47" s="2694">
        <v>1</v>
      </c>
      <c r="J47" s="3992" t="s">
        <v>3592</v>
      </c>
      <c r="K47" s="2694">
        <v>1</v>
      </c>
      <c r="L47" s="2694" t="b">
        <v>1</v>
      </c>
      <c r="M47" s="2694" t="s">
        <v>2129</v>
      </c>
      <c r="N47" s="2477">
        <v>23530</v>
      </c>
      <c r="O47" s="2477">
        <v>0</v>
      </c>
      <c r="P47" s="2477">
        <v>0</v>
      </c>
      <c r="Q47" s="2477">
        <v>0</v>
      </c>
      <c r="R47" s="2477">
        <v>0</v>
      </c>
      <c r="S47" s="2695">
        <v>25883.000000000004</v>
      </c>
      <c r="T47" s="2477">
        <v>25883</v>
      </c>
      <c r="U47" s="2477" t="b">
        <v>1</v>
      </c>
      <c r="V47" s="2477">
        <v>25883</v>
      </c>
      <c r="W47" s="2477">
        <v>6729904</v>
      </c>
      <c r="X47" s="3937">
        <v>9264304</v>
      </c>
      <c r="Y47" s="3938">
        <v>2534400</v>
      </c>
      <c r="Z47" s="3938" t="b">
        <v>1</v>
      </c>
      <c r="AA47" s="3938">
        <v>15840</v>
      </c>
      <c r="AB47" s="3938"/>
      <c r="AC47" s="3938"/>
      <c r="AD47" s="3938">
        <v>459.13043478260869</v>
      </c>
      <c r="AE47" s="3938"/>
      <c r="AF47" s="3938"/>
      <c r="AG47">
        <v>805</v>
      </c>
      <c r="AH47" s="3965">
        <v>160</v>
      </c>
      <c r="AI47" s="3965" t="b">
        <v>1</v>
      </c>
      <c r="AJ47">
        <v>160</v>
      </c>
      <c r="AK47" s="3966">
        <v>15840</v>
      </c>
      <c r="AL47" s="2814">
        <v>4800</v>
      </c>
      <c r="AM47" s="2814" t="s">
        <v>2129</v>
      </c>
      <c r="AN47" s="2814">
        <v>11250</v>
      </c>
      <c r="AO47" s="3953" t="s">
        <v>2129</v>
      </c>
      <c r="AP47" s="2814" t="s">
        <v>2129</v>
      </c>
      <c r="AQ47" s="3954" t="s">
        <v>2129</v>
      </c>
      <c r="AR47">
        <v>4640</v>
      </c>
      <c r="AS47" t="s">
        <v>2129</v>
      </c>
      <c r="AU47" t="s">
        <v>2129</v>
      </c>
      <c r="AW47">
        <v>29</v>
      </c>
      <c r="AX47" t="s">
        <v>2129</v>
      </c>
      <c r="AY47">
        <v>30</v>
      </c>
      <c r="AZ47" s="3946" t="s">
        <v>2129</v>
      </c>
      <c r="BA47" t="s">
        <v>2129</v>
      </c>
      <c r="BB47" s="3947" t="s">
        <v>2129</v>
      </c>
      <c r="BC47" s="1958">
        <v>76032000</v>
      </c>
      <c r="BD47" s="1958" t="s">
        <v>2129</v>
      </c>
      <c r="BE47" s="1958">
        <v>178200000</v>
      </c>
      <c r="BF47" s="3937" t="s">
        <v>2129</v>
      </c>
      <c r="BG47" s="3938" t="s">
        <v>2129</v>
      </c>
      <c r="BH47" s="3938" t="s">
        <v>2129</v>
      </c>
      <c r="BI47" s="3937">
        <v>750607</v>
      </c>
      <c r="BJ47" s="3938" t="s">
        <v>2129</v>
      </c>
      <c r="BK47" s="3939">
        <v>776490</v>
      </c>
      <c r="BL47" s="3938" t="s">
        <v>2129</v>
      </c>
      <c r="BM47" s="3938" t="s">
        <v>2129</v>
      </c>
      <c r="BN47" s="3939" t="s">
        <v>2129</v>
      </c>
      <c r="BO47" s="3937">
        <v>58800000</v>
      </c>
      <c r="BP47" s="3988" t="s">
        <v>2129</v>
      </c>
      <c r="BQ47" s="3988"/>
      <c r="BR47" s="3988"/>
      <c r="BS47" s="2694"/>
    </row>
    <row r="48" spans="1:71" ht="13">
      <c r="A48">
        <v>68</v>
      </c>
      <c r="B48" s="3979" t="s">
        <v>3275</v>
      </c>
      <c r="C48" s="2694" t="s">
        <v>2129</v>
      </c>
      <c r="D48" s="2694" t="s">
        <v>2129</v>
      </c>
      <c r="E48" s="2694" t="s">
        <v>3694</v>
      </c>
      <c r="F48" s="3974" t="s">
        <v>2129</v>
      </c>
      <c r="G48" s="3975" t="s">
        <v>2129</v>
      </c>
      <c r="H48" s="3976" t="s">
        <v>3694</v>
      </c>
      <c r="I48" s="2694">
        <v>0</v>
      </c>
      <c r="J48" s="3992" t="s">
        <v>2854</v>
      </c>
      <c r="K48" s="2694">
        <v>0</v>
      </c>
      <c r="L48" s="2694" t="b">
        <v>1</v>
      </c>
      <c r="M48" s="2694" t="s">
        <v>2129</v>
      </c>
      <c r="N48" s="2477">
        <v>0</v>
      </c>
      <c r="O48" s="2477">
        <v>0</v>
      </c>
      <c r="P48" s="2477">
        <v>0</v>
      </c>
      <c r="Q48" s="2477">
        <v>0</v>
      </c>
      <c r="R48" s="2477">
        <v>0</v>
      </c>
      <c r="S48" s="2695">
        <v>0</v>
      </c>
      <c r="T48" s="2477">
        <v>0</v>
      </c>
      <c r="U48" s="2477" t="b">
        <v>1</v>
      </c>
      <c r="V48" s="2477" t="s">
        <v>2129</v>
      </c>
      <c r="W48" s="2477">
        <v>0</v>
      </c>
      <c r="X48" s="3937">
        <v>1087086</v>
      </c>
      <c r="Y48" s="3938">
        <v>1087086</v>
      </c>
      <c r="Z48" s="3938" t="b">
        <v>1</v>
      </c>
      <c r="AA48" s="3938">
        <v>27177.15</v>
      </c>
      <c r="AB48" s="3938"/>
      <c r="AC48" s="3938"/>
      <c r="AD48" s="3938" t="s">
        <v>2129</v>
      </c>
      <c r="AE48" s="3938"/>
      <c r="AF48" s="3938"/>
      <c r="AG48">
        <v>40</v>
      </c>
      <c r="AH48">
        <v>40</v>
      </c>
      <c r="AI48" t="b">
        <v>1</v>
      </c>
      <c r="AJ48">
        <v>50</v>
      </c>
      <c r="AK48" s="3966">
        <v>21742</v>
      </c>
      <c r="AL48" s="2814" t="s">
        <v>2129</v>
      </c>
      <c r="AM48" s="2814" t="s">
        <v>2129</v>
      </c>
      <c r="AN48" s="2814">
        <v>570</v>
      </c>
      <c r="AO48" s="3953" t="s">
        <v>2129</v>
      </c>
      <c r="AP48" s="2814" t="s">
        <v>2129</v>
      </c>
      <c r="AQ48" s="3954">
        <v>150</v>
      </c>
      <c r="AR48" t="s">
        <v>2129</v>
      </c>
      <c r="AS48" t="s">
        <v>2129</v>
      </c>
      <c r="AU48" t="s">
        <v>2129</v>
      </c>
      <c r="AW48" t="s">
        <v>2129</v>
      </c>
      <c r="AX48" t="s">
        <v>2129</v>
      </c>
      <c r="AY48">
        <v>30</v>
      </c>
      <c r="AZ48" s="3946" t="s">
        <v>2129</v>
      </c>
      <c r="BA48" t="s">
        <v>2129</v>
      </c>
      <c r="BB48" s="3947">
        <v>15</v>
      </c>
      <c r="BC48" s="1958" t="s">
        <v>2129</v>
      </c>
      <c r="BD48" s="1958" t="s">
        <v>2129</v>
      </c>
      <c r="BE48" s="1958">
        <v>12392940</v>
      </c>
      <c r="BF48" s="3937" t="s">
        <v>2129</v>
      </c>
      <c r="BG48" s="3938" t="s">
        <v>2129</v>
      </c>
      <c r="BH48" s="3938">
        <v>3261300</v>
      </c>
      <c r="BI48" s="3937" t="s">
        <v>2129</v>
      </c>
      <c r="BJ48" s="3938" t="s">
        <v>2129</v>
      </c>
      <c r="BK48" s="3939" t="s">
        <v>2129</v>
      </c>
      <c r="BL48" s="3938" t="s">
        <v>2129</v>
      </c>
      <c r="BM48" s="3938" t="s">
        <v>2129</v>
      </c>
      <c r="BN48" s="3939" t="s">
        <v>2129</v>
      </c>
      <c r="BO48" s="3937" t="s">
        <v>2129</v>
      </c>
      <c r="BP48" s="3988" t="s">
        <v>2129</v>
      </c>
      <c r="BQ48" s="3988"/>
      <c r="BR48" s="3988"/>
      <c r="BS48" s="2694"/>
    </row>
    <row r="49" spans="1:71" ht="13">
      <c r="A49">
        <v>69</v>
      </c>
      <c r="B49" s="3979" t="s">
        <v>3276</v>
      </c>
      <c r="C49" s="2694" t="s">
        <v>2129</v>
      </c>
      <c r="D49" s="2694" t="s">
        <v>2129</v>
      </c>
      <c r="E49" s="2694" t="s">
        <v>2129</v>
      </c>
      <c r="F49" s="3974" t="s">
        <v>2129</v>
      </c>
      <c r="G49" s="3975" t="s">
        <v>2129</v>
      </c>
      <c r="H49" s="3976" t="s">
        <v>2129</v>
      </c>
      <c r="I49" s="2694">
        <v>0</v>
      </c>
      <c r="J49" s="3992" t="s">
        <v>2854</v>
      </c>
      <c r="K49" s="2694">
        <v>0</v>
      </c>
      <c r="L49" s="2694" t="b">
        <v>1</v>
      </c>
      <c r="M49" s="2694" t="s">
        <v>2129</v>
      </c>
      <c r="N49" s="2477">
        <v>0</v>
      </c>
      <c r="O49" s="2477">
        <v>0</v>
      </c>
      <c r="P49" s="2477">
        <v>0</v>
      </c>
      <c r="Q49" s="2477">
        <v>0</v>
      </c>
      <c r="R49" s="2477">
        <v>0</v>
      </c>
      <c r="S49" s="2695">
        <v>0</v>
      </c>
      <c r="T49" s="2477">
        <v>0</v>
      </c>
      <c r="U49" s="2477" t="b">
        <v>1</v>
      </c>
      <c r="V49" s="2477" t="s">
        <v>2129</v>
      </c>
      <c r="W49" s="2477">
        <v>0</v>
      </c>
      <c r="X49" s="3937">
        <v>6830859</v>
      </c>
      <c r="Y49" s="3938">
        <v>6830859</v>
      </c>
      <c r="Z49" s="3938" t="b">
        <v>1</v>
      </c>
      <c r="AA49" s="3938">
        <v>27433.168674698794</v>
      </c>
      <c r="AB49" s="3938"/>
      <c r="AC49" s="3938"/>
      <c r="AD49" s="3938" t="s">
        <v>2129</v>
      </c>
      <c r="AE49" s="3938"/>
      <c r="AF49" s="3938"/>
      <c r="AG49">
        <v>249</v>
      </c>
      <c r="AH49">
        <v>249</v>
      </c>
      <c r="AI49" t="b">
        <v>1</v>
      </c>
      <c r="AJ49">
        <v>250</v>
      </c>
      <c r="AK49" s="3966">
        <v>27324</v>
      </c>
      <c r="AL49" s="2814" t="s">
        <v>2129</v>
      </c>
      <c r="AM49" s="2814" t="s">
        <v>2129</v>
      </c>
      <c r="AN49" s="2814" t="s">
        <v>2129</v>
      </c>
      <c r="AO49" s="3953" t="s">
        <v>2129</v>
      </c>
      <c r="AP49" s="2814" t="s">
        <v>2129</v>
      </c>
      <c r="AQ49" s="3954" t="s">
        <v>2129</v>
      </c>
      <c r="AR49" t="s">
        <v>2129</v>
      </c>
      <c r="AS49" t="s">
        <v>2129</v>
      </c>
      <c r="AU49" t="s">
        <v>2129</v>
      </c>
      <c r="AW49" t="s">
        <v>2129</v>
      </c>
      <c r="AX49" t="s">
        <v>2129</v>
      </c>
      <c r="AY49" t="s">
        <v>2129</v>
      </c>
      <c r="AZ49" s="3946" t="s">
        <v>2129</v>
      </c>
      <c r="BA49" t="s">
        <v>2129</v>
      </c>
      <c r="BB49" s="3947" t="s">
        <v>2129</v>
      </c>
      <c r="BC49" s="1958" t="s">
        <v>2129</v>
      </c>
      <c r="BD49" s="1958" t="s">
        <v>2129</v>
      </c>
      <c r="BE49" s="1958" t="s">
        <v>2129</v>
      </c>
      <c r="BF49" s="3937" t="s">
        <v>2129</v>
      </c>
      <c r="BG49" s="3938" t="s">
        <v>2129</v>
      </c>
      <c r="BH49" s="3938" t="s">
        <v>2129</v>
      </c>
      <c r="BI49" s="3937" t="s">
        <v>2129</v>
      </c>
      <c r="BJ49" s="3938" t="s">
        <v>2129</v>
      </c>
      <c r="BK49" s="3939" t="s">
        <v>2129</v>
      </c>
      <c r="BL49" s="3938" t="s">
        <v>2129</v>
      </c>
      <c r="BM49" s="3938" t="s">
        <v>2129</v>
      </c>
      <c r="BN49" s="3939" t="s">
        <v>2129</v>
      </c>
      <c r="BO49" s="3937" t="s">
        <v>2129</v>
      </c>
      <c r="BP49" s="3988" t="s">
        <v>2129</v>
      </c>
      <c r="BQ49" s="3988"/>
      <c r="BR49" s="3988"/>
      <c r="BS49" s="2694"/>
    </row>
    <row r="50" spans="1:71" ht="13">
      <c r="A50">
        <v>70</v>
      </c>
      <c r="B50" s="3979" t="s">
        <v>3277</v>
      </c>
      <c r="C50" s="2694" t="s">
        <v>2129</v>
      </c>
      <c r="D50" s="2694" t="s">
        <v>2129</v>
      </c>
      <c r="E50" s="2694" t="s">
        <v>2129</v>
      </c>
      <c r="F50" s="3974" t="s">
        <v>2129</v>
      </c>
      <c r="G50" s="3975" t="s">
        <v>2129</v>
      </c>
      <c r="H50" s="3976" t="s">
        <v>2129</v>
      </c>
      <c r="I50" s="2694">
        <v>0</v>
      </c>
      <c r="J50" s="3992">
        <v>0</v>
      </c>
      <c r="K50" s="2694">
        <v>0</v>
      </c>
      <c r="L50" s="2694" t="b">
        <v>1</v>
      </c>
      <c r="M50" s="2694" t="s">
        <v>2129</v>
      </c>
      <c r="N50" s="2477">
        <v>0</v>
      </c>
      <c r="O50" s="2477">
        <v>0</v>
      </c>
      <c r="P50" s="2477">
        <v>0</v>
      </c>
      <c r="Q50" s="2477">
        <v>0</v>
      </c>
      <c r="R50" s="2477">
        <v>0</v>
      </c>
      <c r="S50" s="2695">
        <v>0</v>
      </c>
      <c r="T50" s="2477">
        <v>0</v>
      </c>
      <c r="U50" s="2477" t="b">
        <v>1</v>
      </c>
      <c r="V50" s="2477" t="s">
        <v>2129</v>
      </c>
      <c r="W50" s="2477">
        <v>19413</v>
      </c>
      <c r="X50" s="3937">
        <v>4396273</v>
      </c>
      <c r="Y50" s="3938">
        <v>4376860</v>
      </c>
      <c r="Z50" s="3938" t="b">
        <v>1</v>
      </c>
      <c r="AA50" s="3938">
        <v>18865.775862068964</v>
      </c>
      <c r="AB50" s="3938"/>
      <c r="AC50" s="3938"/>
      <c r="AD50" s="3938" t="s">
        <v>2129</v>
      </c>
      <c r="AE50" s="3938">
        <v>1700</v>
      </c>
      <c r="AF50" s="3938"/>
      <c r="AG50">
        <v>233</v>
      </c>
      <c r="AH50">
        <v>232</v>
      </c>
      <c r="AI50" t="b">
        <v>1</v>
      </c>
      <c r="AJ50">
        <v>342</v>
      </c>
      <c r="AK50" s="3966">
        <v>12798</v>
      </c>
      <c r="AL50" s="2814" t="s">
        <v>2129</v>
      </c>
      <c r="AM50" s="2814" t="s">
        <v>2129</v>
      </c>
      <c r="AN50" s="2814" t="s">
        <v>2129</v>
      </c>
      <c r="AO50" s="3953" t="s">
        <v>2129</v>
      </c>
      <c r="AP50" s="2814" t="s">
        <v>2129</v>
      </c>
      <c r="AQ50" s="3954" t="s">
        <v>2129</v>
      </c>
      <c r="AR50" t="s">
        <v>2129</v>
      </c>
      <c r="AS50" t="s">
        <v>2129</v>
      </c>
      <c r="AU50" t="s">
        <v>2129</v>
      </c>
      <c r="AW50" t="s">
        <v>2129</v>
      </c>
      <c r="AX50" t="s">
        <v>2129</v>
      </c>
      <c r="AY50" t="s">
        <v>2129</v>
      </c>
      <c r="AZ50" s="3946" t="s">
        <v>2129</v>
      </c>
      <c r="BA50" t="s">
        <v>2129</v>
      </c>
      <c r="BB50" s="3947" t="s">
        <v>2129</v>
      </c>
      <c r="BC50" s="1958" t="s">
        <v>2129</v>
      </c>
      <c r="BD50" s="1958" t="s">
        <v>2129</v>
      </c>
      <c r="BE50" s="1958" t="s">
        <v>2129</v>
      </c>
      <c r="BF50" s="3937" t="s">
        <v>2129</v>
      </c>
      <c r="BG50" s="3938" t="s">
        <v>2129</v>
      </c>
      <c r="BH50" s="3938" t="s">
        <v>2129</v>
      </c>
      <c r="BI50" s="3937" t="s">
        <v>2129</v>
      </c>
      <c r="BJ50" s="3938" t="s">
        <v>2129</v>
      </c>
      <c r="BK50" s="3939" t="s">
        <v>2129</v>
      </c>
      <c r="BL50" s="3938" t="s">
        <v>2129</v>
      </c>
      <c r="BM50" s="3938" t="s">
        <v>2129</v>
      </c>
      <c r="BN50" s="3939" t="s">
        <v>2129</v>
      </c>
      <c r="BO50" s="3937" t="s">
        <v>2129</v>
      </c>
      <c r="BP50" s="3988" t="s">
        <v>2129</v>
      </c>
      <c r="BQ50" s="3988"/>
      <c r="BR50" s="3988"/>
      <c r="BS50" s="2694"/>
    </row>
    <row r="51" spans="1:71" ht="13">
      <c r="A51">
        <v>71</v>
      </c>
      <c r="B51" s="3979" t="s">
        <v>3278</v>
      </c>
      <c r="C51" s="2694" t="s">
        <v>2129</v>
      </c>
      <c r="D51" s="2694" t="s">
        <v>2129</v>
      </c>
      <c r="E51" s="2694" t="s">
        <v>2129</v>
      </c>
      <c r="F51" s="3974" t="s">
        <v>2129</v>
      </c>
      <c r="G51" s="3975" t="s">
        <v>2129</v>
      </c>
      <c r="H51" s="3976" t="s">
        <v>2129</v>
      </c>
      <c r="I51" s="2694">
        <v>0</v>
      </c>
      <c r="J51" s="3992" t="s">
        <v>2854</v>
      </c>
      <c r="K51" s="2694">
        <v>0</v>
      </c>
      <c r="L51" s="2694" t="b">
        <v>1</v>
      </c>
      <c r="M51" s="2694" t="s">
        <v>2129</v>
      </c>
      <c r="N51" s="2477">
        <v>0</v>
      </c>
      <c r="O51" s="2477">
        <v>0</v>
      </c>
      <c r="P51" s="2477">
        <v>0</v>
      </c>
      <c r="Q51" s="2477">
        <v>0</v>
      </c>
      <c r="R51" s="2477">
        <v>0</v>
      </c>
      <c r="S51" s="2695">
        <v>0</v>
      </c>
      <c r="T51" s="2477">
        <v>0</v>
      </c>
      <c r="U51" s="2477" t="b">
        <v>1</v>
      </c>
      <c r="V51" s="2477" t="s">
        <v>2129</v>
      </c>
      <c r="W51" s="2477">
        <v>0</v>
      </c>
      <c r="X51" s="3937">
        <v>1608491</v>
      </c>
      <c r="Y51" s="3938">
        <v>1608491</v>
      </c>
      <c r="Z51" s="3938" t="b">
        <v>1</v>
      </c>
      <c r="AA51" s="3938">
        <v>13516.731092436974</v>
      </c>
      <c r="AB51" s="3938"/>
      <c r="AC51" s="3938"/>
      <c r="AD51" s="3938" t="s">
        <v>2129</v>
      </c>
      <c r="AE51" s="3938"/>
      <c r="AF51" s="3938"/>
      <c r="AG51">
        <v>119</v>
      </c>
      <c r="AH51">
        <v>119</v>
      </c>
      <c r="AI51" t="b">
        <v>1</v>
      </c>
      <c r="AJ51">
        <v>126</v>
      </c>
      <c r="AK51" s="3966">
        <v>12766</v>
      </c>
      <c r="AL51" s="2814" t="s">
        <v>2129</v>
      </c>
      <c r="AM51" s="2814" t="s">
        <v>2129</v>
      </c>
      <c r="AN51" s="2814" t="s">
        <v>2129</v>
      </c>
      <c r="AO51" s="3953" t="s">
        <v>2129</v>
      </c>
      <c r="AP51" s="2814" t="s">
        <v>2129</v>
      </c>
      <c r="AQ51" s="3954" t="s">
        <v>2129</v>
      </c>
      <c r="AR51" t="s">
        <v>2129</v>
      </c>
      <c r="AS51" t="s">
        <v>2129</v>
      </c>
      <c r="AU51" t="s">
        <v>2129</v>
      </c>
      <c r="AW51" t="s">
        <v>2129</v>
      </c>
      <c r="AX51" t="s">
        <v>2129</v>
      </c>
      <c r="AY51" t="s">
        <v>2129</v>
      </c>
      <c r="AZ51" s="3946" t="s">
        <v>2129</v>
      </c>
      <c r="BA51" t="s">
        <v>2129</v>
      </c>
      <c r="BB51" s="3947" t="s">
        <v>2129</v>
      </c>
      <c r="BC51" s="1958" t="s">
        <v>2129</v>
      </c>
      <c r="BD51" s="1958" t="s">
        <v>2129</v>
      </c>
      <c r="BE51" s="1958" t="s">
        <v>2129</v>
      </c>
      <c r="BF51" s="3937" t="s">
        <v>2129</v>
      </c>
      <c r="BG51" s="3938" t="s">
        <v>2129</v>
      </c>
      <c r="BH51" s="3938" t="s">
        <v>2129</v>
      </c>
      <c r="BI51" s="3937" t="s">
        <v>2129</v>
      </c>
      <c r="BJ51" s="3938" t="s">
        <v>2129</v>
      </c>
      <c r="BK51" s="3939" t="s">
        <v>2129</v>
      </c>
      <c r="BL51" s="3938" t="s">
        <v>2129</v>
      </c>
      <c r="BM51" s="3938" t="s">
        <v>2129</v>
      </c>
      <c r="BN51" s="3939" t="s">
        <v>2129</v>
      </c>
      <c r="BO51" s="3937" t="s">
        <v>2129</v>
      </c>
      <c r="BP51" s="3988" t="s">
        <v>2129</v>
      </c>
      <c r="BQ51" s="3988"/>
      <c r="BR51" s="3988"/>
      <c r="BS51" s="2694"/>
    </row>
    <row r="52" spans="1:71" ht="13">
      <c r="A52">
        <v>73</v>
      </c>
      <c r="B52" s="3979" t="s">
        <v>3279</v>
      </c>
      <c r="C52" s="2694" t="s">
        <v>2129</v>
      </c>
      <c r="D52" s="2694" t="s">
        <v>2129</v>
      </c>
      <c r="E52" s="2694" t="s">
        <v>3694</v>
      </c>
      <c r="F52" s="3974" t="s">
        <v>2129</v>
      </c>
      <c r="G52" s="3975" t="s">
        <v>2129</v>
      </c>
      <c r="H52" s="3976" t="s">
        <v>2129</v>
      </c>
      <c r="I52" s="2694">
        <v>0</v>
      </c>
      <c r="J52" s="3992" t="s">
        <v>2854</v>
      </c>
      <c r="K52" s="2694">
        <v>0</v>
      </c>
      <c r="L52" s="2694" t="b">
        <v>1</v>
      </c>
      <c r="M52" s="2694" t="s">
        <v>2129</v>
      </c>
      <c r="N52" s="2477">
        <v>0</v>
      </c>
      <c r="O52" s="2477">
        <v>0</v>
      </c>
      <c r="P52" s="2477">
        <v>0</v>
      </c>
      <c r="Q52" s="2477">
        <v>0</v>
      </c>
      <c r="R52" s="2477">
        <v>0</v>
      </c>
      <c r="S52" s="2695">
        <v>0</v>
      </c>
      <c r="T52" s="2477">
        <v>0</v>
      </c>
      <c r="U52" s="2477" t="b">
        <v>1</v>
      </c>
      <c r="V52" s="2477" t="s">
        <v>2129</v>
      </c>
      <c r="W52" s="2477">
        <v>0</v>
      </c>
      <c r="X52" s="3937">
        <v>931788</v>
      </c>
      <c r="Y52" s="3938">
        <v>931788</v>
      </c>
      <c r="Z52" s="3938" t="b">
        <v>1</v>
      </c>
      <c r="AA52" s="3938">
        <v>11647.35</v>
      </c>
      <c r="AB52" s="3938"/>
      <c r="AC52" s="3938"/>
      <c r="AD52" s="3938" t="s">
        <v>2129</v>
      </c>
      <c r="AE52" s="3938"/>
      <c r="AF52" s="3938"/>
      <c r="AG52">
        <v>96</v>
      </c>
      <c r="AH52">
        <v>80</v>
      </c>
      <c r="AI52" t="b">
        <v>1</v>
      </c>
      <c r="AJ52">
        <v>80</v>
      </c>
      <c r="AK52" s="3966">
        <v>11648</v>
      </c>
      <c r="AL52" s="2814" t="s">
        <v>2129</v>
      </c>
      <c r="AM52" s="2814" t="s">
        <v>2129</v>
      </c>
      <c r="AN52" s="2814">
        <v>1350</v>
      </c>
      <c r="AO52" s="3953" t="s">
        <v>2129</v>
      </c>
      <c r="AP52" s="2814" t="s">
        <v>2129</v>
      </c>
      <c r="AQ52" s="3954" t="s">
        <v>2129</v>
      </c>
      <c r="AR52" t="s">
        <v>2129</v>
      </c>
      <c r="AS52" t="s">
        <v>2129</v>
      </c>
      <c r="AU52" t="s">
        <v>2129</v>
      </c>
      <c r="AW52" t="s">
        <v>2129</v>
      </c>
      <c r="AX52" t="s">
        <v>2129</v>
      </c>
      <c r="AY52">
        <v>30</v>
      </c>
      <c r="AZ52" s="3946" t="s">
        <v>2129</v>
      </c>
      <c r="BA52" t="s">
        <v>2129</v>
      </c>
      <c r="BB52" s="3947" t="s">
        <v>2129</v>
      </c>
      <c r="BC52" s="1958" t="s">
        <v>2129</v>
      </c>
      <c r="BD52" s="1958" t="s">
        <v>2129</v>
      </c>
      <c r="BE52" s="1958">
        <v>15724800</v>
      </c>
      <c r="BF52" s="3937" t="s">
        <v>2129</v>
      </c>
      <c r="BG52" s="3938" t="s">
        <v>2129</v>
      </c>
      <c r="BH52" s="3938" t="s">
        <v>2129</v>
      </c>
      <c r="BI52" s="3937" t="s">
        <v>2129</v>
      </c>
      <c r="BJ52" s="3938" t="s">
        <v>2129</v>
      </c>
      <c r="BK52" s="3939" t="s">
        <v>2129</v>
      </c>
      <c r="BL52" s="3938" t="s">
        <v>2129</v>
      </c>
      <c r="BM52" s="3938" t="s">
        <v>2129</v>
      </c>
      <c r="BN52" s="3939" t="s">
        <v>2129</v>
      </c>
      <c r="BO52" s="3937" t="s">
        <v>2129</v>
      </c>
      <c r="BP52" s="3988" t="s">
        <v>2129</v>
      </c>
      <c r="BQ52" s="3988"/>
      <c r="BR52" s="3988"/>
      <c r="BS52" s="2694"/>
    </row>
    <row r="53" spans="1:71" ht="13">
      <c r="A53">
        <v>74</v>
      </c>
      <c r="B53" s="3979" t="s">
        <v>3280</v>
      </c>
      <c r="C53" s="2694" t="s">
        <v>2129</v>
      </c>
      <c r="D53" s="2694" t="s">
        <v>2129</v>
      </c>
      <c r="E53" s="2694" t="s">
        <v>2129</v>
      </c>
      <c r="F53" s="3974" t="s">
        <v>2129</v>
      </c>
      <c r="G53" s="3975" t="s">
        <v>2129</v>
      </c>
      <c r="H53" s="3976" t="s">
        <v>2129</v>
      </c>
      <c r="I53" s="2694">
        <v>0</v>
      </c>
      <c r="J53" s="3992" t="s">
        <v>2854</v>
      </c>
      <c r="K53" s="2694">
        <v>0</v>
      </c>
      <c r="L53" s="2694" t="b">
        <v>1</v>
      </c>
      <c r="M53" s="2694" t="s">
        <v>2129</v>
      </c>
      <c r="N53" s="2477">
        <v>0</v>
      </c>
      <c r="O53" s="2477">
        <v>0</v>
      </c>
      <c r="P53" s="2477">
        <v>0</v>
      </c>
      <c r="Q53" s="2477">
        <v>0</v>
      </c>
      <c r="R53" s="2477">
        <v>0</v>
      </c>
      <c r="S53" s="2695">
        <v>0</v>
      </c>
      <c r="T53" s="2477">
        <v>0</v>
      </c>
      <c r="U53" s="2477" t="b">
        <v>1</v>
      </c>
      <c r="V53" s="2477" t="s">
        <v>2129</v>
      </c>
      <c r="W53" s="2477">
        <v>0</v>
      </c>
      <c r="X53" s="3937">
        <v>880022</v>
      </c>
      <c r="Y53" s="3938">
        <v>880022</v>
      </c>
      <c r="Z53" s="3938" t="b">
        <v>1</v>
      </c>
      <c r="AA53" s="3938">
        <v>10353.200000000001</v>
      </c>
      <c r="AB53" s="3938"/>
      <c r="AC53" s="3938"/>
      <c r="AD53" s="3938" t="s">
        <v>2129</v>
      </c>
      <c r="AE53" s="3938"/>
      <c r="AF53" s="3938"/>
      <c r="AG53">
        <v>117</v>
      </c>
      <c r="AH53">
        <v>85</v>
      </c>
      <c r="AI53" t="b">
        <v>1</v>
      </c>
      <c r="AJ53">
        <v>85</v>
      </c>
      <c r="AK53" s="3966">
        <v>10354</v>
      </c>
      <c r="AL53" s="2814" t="s">
        <v>2129</v>
      </c>
      <c r="AM53" s="2814" t="s">
        <v>2129</v>
      </c>
      <c r="AN53" s="2814" t="s">
        <v>2129</v>
      </c>
      <c r="AO53" s="3953" t="s">
        <v>2129</v>
      </c>
      <c r="AP53" s="2814" t="s">
        <v>2129</v>
      </c>
      <c r="AQ53" s="3954" t="s">
        <v>2129</v>
      </c>
      <c r="AR53" t="s">
        <v>2129</v>
      </c>
      <c r="AS53" t="s">
        <v>2129</v>
      </c>
      <c r="AU53" t="s">
        <v>2129</v>
      </c>
      <c r="AW53" t="s">
        <v>2129</v>
      </c>
      <c r="AX53" t="s">
        <v>2129</v>
      </c>
      <c r="AY53" t="s">
        <v>2129</v>
      </c>
      <c r="AZ53" s="3946" t="s">
        <v>2129</v>
      </c>
      <c r="BA53" t="s">
        <v>2129</v>
      </c>
      <c r="BB53" s="3947" t="s">
        <v>2129</v>
      </c>
      <c r="BC53" s="1958" t="s">
        <v>2129</v>
      </c>
      <c r="BD53" s="1958" t="s">
        <v>2129</v>
      </c>
      <c r="BE53" s="1958" t="s">
        <v>2129</v>
      </c>
      <c r="BF53" s="3937" t="s">
        <v>2129</v>
      </c>
      <c r="BG53" s="3938" t="s">
        <v>2129</v>
      </c>
      <c r="BH53" s="3938" t="s">
        <v>2129</v>
      </c>
      <c r="BI53" s="3937" t="s">
        <v>2129</v>
      </c>
      <c r="BJ53" s="3938" t="s">
        <v>2129</v>
      </c>
      <c r="BK53" s="3939" t="s">
        <v>2129</v>
      </c>
      <c r="BL53" s="3938" t="s">
        <v>2129</v>
      </c>
      <c r="BM53" s="3938" t="s">
        <v>2129</v>
      </c>
      <c r="BN53" s="3939" t="s">
        <v>2129</v>
      </c>
      <c r="BO53" s="3937" t="s">
        <v>2129</v>
      </c>
      <c r="BP53" s="3988" t="s">
        <v>2129</v>
      </c>
      <c r="BQ53" s="3988"/>
      <c r="BR53" s="3988"/>
      <c r="BS53" s="2694"/>
    </row>
    <row r="54" spans="1:71" ht="13">
      <c r="A54">
        <v>75</v>
      </c>
      <c r="B54" s="3979" t="s">
        <v>3281</v>
      </c>
      <c r="C54" s="2694" t="s">
        <v>2129</v>
      </c>
      <c r="D54" s="2694" t="s">
        <v>2129</v>
      </c>
      <c r="E54" s="2694" t="s">
        <v>3694</v>
      </c>
      <c r="F54" s="3974" t="s">
        <v>2129</v>
      </c>
      <c r="G54" s="3975" t="s">
        <v>2129</v>
      </c>
      <c r="H54" s="3976" t="s">
        <v>3694</v>
      </c>
      <c r="I54" s="2694">
        <v>0</v>
      </c>
      <c r="J54" s="3992" t="s">
        <v>2854</v>
      </c>
      <c r="K54" s="2694">
        <v>0</v>
      </c>
      <c r="L54" s="2694" t="b">
        <v>1</v>
      </c>
      <c r="M54" s="2694" t="s">
        <v>2129</v>
      </c>
      <c r="N54" s="2477">
        <v>0</v>
      </c>
      <c r="O54" s="2477">
        <v>0</v>
      </c>
      <c r="P54" s="2477">
        <v>0</v>
      </c>
      <c r="Q54" s="2477">
        <v>0</v>
      </c>
      <c r="R54" s="2477">
        <v>0</v>
      </c>
      <c r="S54" s="2695">
        <v>0</v>
      </c>
      <c r="T54" s="2477">
        <v>0</v>
      </c>
      <c r="U54" s="2477" t="b">
        <v>1</v>
      </c>
      <c r="V54" s="2477" t="s">
        <v>2129</v>
      </c>
      <c r="W54" s="2477">
        <v>0</v>
      </c>
      <c r="X54" s="3937">
        <v>2213101</v>
      </c>
      <c r="Y54" s="3938">
        <v>2213101</v>
      </c>
      <c r="Z54" s="3938" t="b">
        <v>1</v>
      </c>
      <c r="AA54" s="3938">
        <v>11647.9</v>
      </c>
      <c r="AB54" s="3938"/>
      <c r="AC54" s="3938"/>
      <c r="AD54" s="3938" t="s">
        <v>2129</v>
      </c>
      <c r="AE54" s="3938"/>
      <c r="AF54" s="3938"/>
      <c r="AG54">
        <v>262</v>
      </c>
      <c r="AH54">
        <v>190</v>
      </c>
      <c r="AI54" t="b">
        <v>1</v>
      </c>
      <c r="AJ54">
        <v>190</v>
      </c>
      <c r="AK54" s="3966">
        <v>11648</v>
      </c>
      <c r="AL54" s="2814" t="s">
        <v>2129</v>
      </c>
      <c r="AM54" s="2814" t="s">
        <v>2129</v>
      </c>
      <c r="AN54" s="2814">
        <v>3660</v>
      </c>
      <c r="AO54" s="3953" t="s">
        <v>2129</v>
      </c>
      <c r="AP54" s="2814" t="s">
        <v>2129</v>
      </c>
      <c r="AQ54" s="3954">
        <v>1950</v>
      </c>
      <c r="AR54" t="s">
        <v>2129</v>
      </c>
      <c r="AS54" t="s">
        <v>2129</v>
      </c>
      <c r="AU54" t="s">
        <v>2129</v>
      </c>
      <c r="AW54" t="s">
        <v>2129</v>
      </c>
      <c r="AX54" t="s">
        <v>2129</v>
      </c>
      <c r="AY54">
        <v>30</v>
      </c>
      <c r="AZ54" s="3946" t="s">
        <v>2129</v>
      </c>
      <c r="BA54" t="s">
        <v>2129</v>
      </c>
      <c r="BB54" s="3947">
        <v>15</v>
      </c>
      <c r="BC54" s="1958" t="s">
        <v>2129</v>
      </c>
      <c r="BD54" s="1958" t="s">
        <v>2129</v>
      </c>
      <c r="BE54" s="1958">
        <v>42631680</v>
      </c>
      <c r="BF54" s="3937" t="s">
        <v>2129</v>
      </c>
      <c r="BG54" s="3938" t="s">
        <v>2129</v>
      </c>
      <c r="BH54" s="3938">
        <v>22713600</v>
      </c>
      <c r="BI54" s="3937" t="s">
        <v>2129</v>
      </c>
      <c r="BJ54" s="3938" t="s">
        <v>2129</v>
      </c>
      <c r="BK54" s="3939" t="s">
        <v>2129</v>
      </c>
      <c r="BL54" s="3938" t="s">
        <v>2129</v>
      </c>
      <c r="BM54" s="3938" t="s">
        <v>2129</v>
      </c>
      <c r="BN54" s="3939" t="s">
        <v>2129</v>
      </c>
      <c r="BO54" s="3937" t="s">
        <v>2129</v>
      </c>
      <c r="BP54" s="3988" t="s">
        <v>2129</v>
      </c>
      <c r="BQ54" s="3988"/>
      <c r="BR54" s="3988"/>
      <c r="BS54" s="2694"/>
    </row>
    <row r="55" spans="1:71" ht="13">
      <c r="A55">
        <v>76</v>
      </c>
      <c r="B55" s="3979" t="s">
        <v>3282</v>
      </c>
      <c r="C55" s="2694" t="s">
        <v>2129</v>
      </c>
      <c r="D55" s="2694" t="s">
        <v>2129</v>
      </c>
      <c r="E55" s="2694" t="s">
        <v>3694</v>
      </c>
      <c r="F55" s="3974" t="s">
        <v>2129</v>
      </c>
      <c r="G55" s="3975" t="s">
        <v>2129</v>
      </c>
      <c r="H55" s="3976" t="s">
        <v>3694</v>
      </c>
      <c r="I55" s="2694">
        <v>0</v>
      </c>
      <c r="J55" s="3992" t="s">
        <v>2854</v>
      </c>
      <c r="K55" s="2694">
        <v>0</v>
      </c>
      <c r="L55" s="2694" t="b">
        <v>1</v>
      </c>
      <c r="M55" s="2694" t="s">
        <v>2129</v>
      </c>
      <c r="N55" s="2477">
        <v>0</v>
      </c>
      <c r="O55" s="2477">
        <v>0</v>
      </c>
      <c r="P55" s="2477">
        <v>0</v>
      </c>
      <c r="Q55" s="2477">
        <v>0</v>
      </c>
      <c r="R55" s="2477">
        <v>0</v>
      </c>
      <c r="S55" s="2695">
        <v>0</v>
      </c>
      <c r="T55" s="2477">
        <v>0</v>
      </c>
      <c r="U55" s="2477" t="b">
        <v>1</v>
      </c>
      <c r="V55" s="2477" t="s">
        <v>2129</v>
      </c>
      <c r="W55" s="2477">
        <v>0</v>
      </c>
      <c r="X55" s="3937">
        <v>4351380</v>
      </c>
      <c r="Y55" s="3938">
        <v>4351380</v>
      </c>
      <c r="Z55" s="3938" t="b">
        <v>0</v>
      </c>
      <c r="AA55" s="3938">
        <v>27893.461538461539</v>
      </c>
      <c r="AB55" s="3938"/>
      <c r="AC55" s="3938"/>
      <c r="AD55" s="3938" t="s">
        <v>2129</v>
      </c>
      <c r="AE55" s="3938"/>
      <c r="AF55" s="3938"/>
      <c r="AG55">
        <v>156</v>
      </c>
      <c r="AH55">
        <v>156</v>
      </c>
      <c r="AI55" t="b">
        <v>0</v>
      </c>
      <c r="AJ55">
        <v>157</v>
      </c>
      <c r="AK55" s="3966">
        <v>27716</v>
      </c>
      <c r="AL55" s="2814" t="s">
        <v>2129</v>
      </c>
      <c r="AM55" s="2814" t="s">
        <v>2129</v>
      </c>
      <c r="AN55" s="2814">
        <v>2190</v>
      </c>
      <c r="AO55" s="3953" t="s">
        <v>2129</v>
      </c>
      <c r="AP55" s="2814" t="s">
        <v>2129</v>
      </c>
      <c r="AQ55" s="3954">
        <v>900</v>
      </c>
      <c r="AR55" t="s">
        <v>2129</v>
      </c>
      <c r="AS55" t="s">
        <v>2129</v>
      </c>
      <c r="AU55" t="s">
        <v>2129</v>
      </c>
      <c r="AW55" t="s">
        <v>2129</v>
      </c>
      <c r="AX55" t="s">
        <v>2129</v>
      </c>
      <c r="AY55">
        <v>30</v>
      </c>
      <c r="AZ55" s="3946" t="s">
        <v>2129</v>
      </c>
      <c r="BA55" t="s">
        <v>2129</v>
      </c>
      <c r="BB55" s="3947">
        <v>15</v>
      </c>
      <c r="BC55" s="1958" t="s">
        <v>2129</v>
      </c>
      <c r="BD55" s="1958" t="s">
        <v>2129</v>
      </c>
      <c r="BE55" s="1958">
        <v>60698040</v>
      </c>
      <c r="BF55" s="3937" t="s">
        <v>2129</v>
      </c>
      <c r="BG55" s="3938" t="s">
        <v>2129</v>
      </c>
      <c r="BH55" s="3938">
        <v>24944400</v>
      </c>
      <c r="BI55" s="3937" t="s">
        <v>2129</v>
      </c>
      <c r="BJ55" s="3938" t="s">
        <v>2129</v>
      </c>
      <c r="BK55" s="3939" t="s">
        <v>2129</v>
      </c>
      <c r="BL55" s="3938" t="s">
        <v>2129</v>
      </c>
      <c r="BM55" s="3938" t="s">
        <v>2129</v>
      </c>
      <c r="BN55" s="3939" t="s">
        <v>2129</v>
      </c>
      <c r="BO55" s="3937" t="s">
        <v>2129</v>
      </c>
      <c r="BP55" s="3988" t="s">
        <v>2129</v>
      </c>
      <c r="BQ55" s="3988"/>
      <c r="BR55" s="3988"/>
      <c r="BS55" s="2694"/>
    </row>
    <row r="56" spans="1:71" ht="13">
      <c r="A56">
        <v>77</v>
      </c>
      <c r="B56" s="3979" t="s">
        <v>3283</v>
      </c>
      <c r="C56" s="2694" t="s">
        <v>2129</v>
      </c>
      <c r="D56" s="2694" t="s">
        <v>2129</v>
      </c>
      <c r="E56" s="2694" t="s">
        <v>3694</v>
      </c>
      <c r="F56" s="3974" t="s">
        <v>2129</v>
      </c>
      <c r="G56" s="3975" t="s">
        <v>2129</v>
      </c>
      <c r="H56" s="3976" t="s">
        <v>3694</v>
      </c>
      <c r="I56" s="2694">
        <v>0</v>
      </c>
      <c r="J56" s="3992" t="s">
        <v>2854</v>
      </c>
      <c r="K56" s="2694">
        <v>0</v>
      </c>
      <c r="L56" s="2694" t="b">
        <v>1</v>
      </c>
      <c r="M56" s="2694" t="s">
        <v>2129</v>
      </c>
      <c r="N56" s="2477">
        <v>0</v>
      </c>
      <c r="O56" s="2477">
        <v>0</v>
      </c>
      <c r="P56" s="2477">
        <v>0</v>
      </c>
      <c r="Q56" s="2477">
        <v>0</v>
      </c>
      <c r="R56" s="2477">
        <v>0</v>
      </c>
      <c r="S56" s="2695">
        <v>0</v>
      </c>
      <c r="T56" s="2477">
        <v>0</v>
      </c>
      <c r="U56" s="2477" t="b">
        <v>1</v>
      </c>
      <c r="V56" s="2477" t="s">
        <v>2129</v>
      </c>
      <c r="W56" s="2477">
        <v>0</v>
      </c>
      <c r="X56" s="3937">
        <v>7830714</v>
      </c>
      <c r="Y56" s="3938">
        <v>7830714</v>
      </c>
      <c r="Z56" s="3938" t="b">
        <v>1</v>
      </c>
      <c r="AA56" s="3938">
        <v>37289.114285714284</v>
      </c>
      <c r="AB56" s="3938"/>
      <c r="AC56" s="3938"/>
      <c r="AD56" s="3938" t="s">
        <v>2129</v>
      </c>
      <c r="AE56" s="3938"/>
      <c r="AF56" s="3938"/>
      <c r="AG56">
        <v>250</v>
      </c>
      <c r="AH56">
        <v>210</v>
      </c>
      <c r="AI56" t="b">
        <v>1</v>
      </c>
      <c r="AJ56">
        <v>210</v>
      </c>
      <c r="AK56" s="3966">
        <v>37290</v>
      </c>
      <c r="AL56" s="2814" t="s">
        <v>2129</v>
      </c>
      <c r="AM56" s="2814" t="s">
        <v>2129</v>
      </c>
      <c r="AN56" s="2814">
        <v>3510</v>
      </c>
      <c r="AO56" s="3953" t="s">
        <v>2129</v>
      </c>
      <c r="AP56" s="2814" t="s">
        <v>2129</v>
      </c>
      <c r="AQ56" s="3954">
        <v>510</v>
      </c>
      <c r="AR56" t="s">
        <v>2129</v>
      </c>
      <c r="AS56" t="s">
        <v>2129</v>
      </c>
      <c r="AU56" t="s">
        <v>2129</v>
      </c>
      <c r="AW56" t="s">
        <v>2129</v>
      </c>
      <c r="AX56" t="s">
        <v>2129</v>
      </c>
      <c r="AY56">
        <v>30</v>
      </c>
      <c r="AZ56" s="3946" t="s">
        <v>2129</v>
      </c>
      <c r="BA56" t="s">
        <v>2129</v>
      </c>
      <c r="BB56" s="3947">
        <v>15</v>
      </c>
      <c r="BC56" s="1958" t="s">
        <v>2129</v>
      </c>
      <c r="BD56" s="1958" t="s">
        <v>2129</v>
      </c>
      <c r="BE56" s="1958">
        <v>130887900</v>
      </c>
      <c r="BF56" s="3937" t="s">
        <v>2129</v>
      </c>
      <c r="BG56" s="3938" t="s">
        <v>2129</v>
      </c>
      <c r="BH56" s="3938">
        <v>19017900</v>
      </c>
      <c r="BI56" s="3937" t="s">
        <v>2129</v>
      </c>
      <c r="BJ56" s="3938" t="s">
        <v>2129</v>
      </c>
      <c r="BK56" s="3939" t="s">
        <v>2129</v>
      </c>
      <c r="BL56" s="3938" t="s">
        <v>2129</v>
      </c>
      <c r="BM56" s="3938" t="s">
        <v>2129</v>
      </c>
      <c r="BN56" s="3939" t="s">
        <v>2129</v>
      </c>
      <c r="BO56" s="3937" t="s">
        <v>2129</v>
      </c>
      <c r="BP56" s="3988" t="s">
        <v>2129</v>
      </c>
      <c r="BQ56" s="3988"/>
      <c r="BR56" s="3988"/>
      <c r="BS56" s="2694"/>
    </row>
    <row r="57" spans="1:71" ht="13">
      <c r="A57">
        <v>78</v>
      </c>
      <c r="B57" s="3979" t="s">
        <v>3284</v>
      </c>
      <c r="C57" s="2694" t="s">
        <v>2129</v>
      </c>
      <c r="D57" s="2694" t="s">
        <v>2129</v>
      </c>
      <c r="E57" s="2694" t="s">
        <v>2129</v>
      </c>
      <c r="F57" s="3974" t="s">
        <v>2129</v>
      </c>
      <c r="G57" s="3975" t="s">
        <v>2129</v>
      </c>
      <c r="H57" s="3976" t="s">
        <v>2129</v>
      </c>
      <c r="I57" s="2694">
        <v>0</v>
      </c>
      <c r="J57" s="3992" t="s">
        <v>2854</v>
      </c>
      <c r="K57" s="2694">
        <v>0</v>
      </c>
      <c r="L57" s="2694" t="b">
        <v>1</v>
      </c>
      <c r="M57" s="2694" t="s">
        <v>2129</v>
      </c>
      <c r="N57" s="2477">
        <v>0</v>
      </c>
      <c r="O57" s="2477">
        <v>0</v>
      </c>
      <c r="P57" s="2477">
        <v>0</v>
      </c>
      <c r="Q57" s="2477">
        <v>0</v>
      </c>
      <c r="R57" s="2477">
        <v>0</v>
      </c>
      <c r="S57" s="2695">
        <v>0</v>
      </c>
      <c r="T57" s="2477">
        <v>0</v>
      </c>
      <c r="U57" s="2477" t="b">
        <v>1</v>
      </c>
      <c r="V57" s="2477" t="s">
        <v>2129</v>
      </c>
      <c r="W57" s="2477">
        <v>0</v>
      </c>
      <c r="X57" s="3937">
        <v>1647085</v>
      </c>
      <c r="Y57" s="3938">
        <v>1647085</v>
      </c>
      <c r="Z57" s="3938" t="b">
        <v>1</v>
      </c>
      <c r="AA57" s="3938">
        <v>32941.699999999997</v>
      </c>
      <c r="AB57" s="3938"/>
      <c r="AC57" s="3938"/>
      <c r="AD57" s="3938" t="s">
        <v>2129</v>
      </c>
      <c r="AE57" s="3938"/>
      <c r="AF57" s="3938"/>
      <c r="AG57">
        <v>128</v>
      </c>
      <c r="AH57">
        <v>50</v>
      </c>
      <c r="AI57" t="b">
        <v>1</v>
      </c>
      <c r="AJ57">
        <v>50</v>
      </c>
      <c r="AK57" s="3966">
        <v>32942</v>
      </c>
      <c r="AL57" s="2814" t="s">
        <v>2129</v>
      </c>
      <c r="AM57" s="2814" t="s">
        <v>2129</v>
      </c>
      <c r="AN57" s="2814" t="s">
        <v>2129</v>
      </c>
      <c r="AO57" s="3953" t="s">
        <v>2129</v>
      </c>
      <c r="AP57" s="2814" t="s">
        <v>2129</v>
      </c>
      <c r="AQ57" s="3954" t="s">
        <v>2129</v>
      </c>
      <c r="AR57" t="s">
        <v>2129</v>
      </c>
      <c r="AS57" t="s">
        <v>2129</v>
      </c>
      <c r="AU57" t="s">
        <v>2129</v>
      </c>
      <c r="AW57" t="s">
        <v>2129</v>
      </c>
      <c r="AX57" t="s">
        <v>2129</v>
      </c>
      <c r="AY57" t="s">
        <v>2129</v>
      </c>
      <c r="AZ57" s="3946" t="s">
        <v>2129</v>
      </c>
      <c r="BA57" t="s">
        <v>2129</v>
      </c>
      <c r="BB57" s="3947" t="s">
        <v>2129</v>
      </c>
      <c r="BC57" s="1958" t="s">
        <v>2129</v>
      </c>
      <c r="BD57" s="1958" t="s">
        <v>2129</v>
      </c>
      <c r="BE57" s="1958" t="s">
        <v>2129</v>
      </c>
      <c r="BF57" s="3937" t="s">
        <v>2129</v>
      </c>
      <c r="BG57" s="3938" t="s">
        <v>2129</v>
      </c>
      <c r="BH57" s="3938" t="s">
        <v>2129</v>
      </c>
      <c r="BI57" s="3937" t="s">
        <v>2129</v>
      </c>
      <c r="BJ57" s="3938" t="s">
        <v>2129</v>
      </c>
      <c r="BK57" s="3939" t="s">
        <v>2129</v>
      </c>
      <c r="BL57" s="3938" t="s">
        <v>2129</v>
      </c>
      <c r="BM57" s="3938" t="s">
        <v>2129</v>
      </c>
      <c r="BN57" s="3939" t="s">
        <v>2129</v>
      </c>
      <c r="BO57" s="3937" t="s">
        <v>2129</v>
      </c>
      <c r="BP57" s="3988" t="s">
        <v>2129</v>
      </c>
      <c r="BQ57" s="3988"/>
      <c r="BR57" s="3988"/>
      <c r="BS57" s="2694"/>
    </row>
    <row r="58" spans="1:71" ht="13">
      <c r="A58">
        <v>79</v>
      </c>
      <c r="B58" s="3979" t="s">
        <v>3285</v>
      </c>
      <c r="C58" s="2694" t="s">
        <v>2129</v>
      </c>
      <c r="D58" s="2694" t="s">
        <v>2695</v>
      </c>
      <c r="E58" s="2694" t="s">
        <v>2129</v>
      </c>
      <c r="F58" s="3974" t="s">
        <v>2129</v>
      </c>
      <c r="G58" s="3975" t="s">
        <v>2695</v>
      </c>
      <c r="H58" s="3976" t="s">
        <v>2129</v>
      </c>
      <c r="I58" s="2694">
        <v>0</v>
      </c>
      <c r="J58" s="3992">
        <v>0</v>
      </c>
      <c r="K58" s="2694">
        <v>0</v>
      </c>
      <c r="L58" s="2694" t="b">
        <v>1</v>
      </c>
      <c r="M58" s="2694" t="s">
        <v>2129</v>
      </c>
      <c r="N58" s="2477">
        <v>0</v>
      </c>
      <c r="O58" s="2477">
        <v>0</v>
      </c>
      <c r="P58" s="2477">
        <v>0</v>
      </c>
      <c r="Q58" s="2477">
        <v>0</v>
      </c>
      <c r="R58" s="2477">
        <v>0</v>
      </c>
      <c r="S58" s="2695">
        <v>0</v>
      </c>
      <c r="T58" s="2477">
        <v>0</v>
      </c>
      <c r="U58" s="2477" t="b">
        <v>1</v>
      </c>
      <c r="V58" s="2477" t="s">
        <v>2129</v>
      </c>
      <c r="W58" s="2477">
        <v>0</v>
      </c>
      <c r="X58" s="3937">
        <v>13848126</v>
      </c>
      <c r="Y58" s="3938">
        <v>13848126</v>
      </c>
      <c r="Z58" s="3938" t="b">
        <v>1</v>
      </c>
      <c r="AA58" s="3938">
        <v>72503.277486911</v>
      </c>
      <c r="AB58" s="3938"/>
      <c r="AC58" s="3938"/>
      <c r="AD58" s="3938" t="s">
        <v>2129</v>
      </c>
      <c r="AE58" s="3938">
        <v>3400</v>
      </c>
      <c r="AF58" s="3938"/>
      <c r="AG58">
        <v>191</v>
      </c>
      <c r="AH58" s="3965">
        <v>191</v>
      </c>
      <c r="AI58" s="3965" t="b">
        <v>1</v>
      </c>
      <c r="AJ58">
        <v>292</v>
      </c>
      <c r="AK58" s="3966">
        <v>47426</v>
      </c>
      <c r="AL58" s="2814" t="s">
        <v>2129</v>
      </c>
      <c r="AM58" s="2814">
        <v>1791</v>
      </c>
      <c r="AN58" s="2814" t="s">
        <v>2129</v>
      </c>
      <c r="AO58" s="3953" t="s">
        <v>2129</v>
      </c>
      <c r="AP58" s="2814">
        <v>864</v>
      </c>
      <c r="AQ58" s="3954" t="s">
        <v>2129</v>
      </c>
      <c r="AR58" t="s">
        <v>2129</v>
      </c>
      <c r="AS58">
        <v>1600</v>
      </c>
      <c r="AU58" t="s">
        <v>2129</v>
      </c>
      <c r="AW58" t="s">
        <v>2129</v>
      </c>
      <c r="AX58">
        <v>18</v>
      </c>
      <c r="AY58" t="s">
        <v>2129</v>
      </c>
      <c r="AZ58" s="3946" t="s">
        <v>2129</v>
      </c>
      <c r="BA58">
        <v>9</v>
      </c>
      <c r="BB58" s="3947" t="s">
        <v>2129</v>
      </c>
      <c r="BC58" s="1958" t="s">
        <v>2129</v>
      </c>
      <c r="BD58" s="1958">
        <v>84939966</v>
      </c>
      <c r="BE58" s="1958" t="s">
        <v>2129</v>
      </c>
      <c r="BF58" s="3937" t="s">
        <v>2129</v>
      </c>
      <c r="BG58" s="3938">
        <v>40976064</v>
      </c>
      <c r="BH58" s="3938" t="s">
        <v>2129</v>
      </c>
      <c r="BI58" s="3937" t="s">
        <v>2129</v>
      </c>
      <c r="BJ58" s="3938" t="s">
        <v>2129</v>
      </c>
      <c r="BK58" s="3939" t="s">
        <v>2129</v>
      </c>
      <c r="BL58" s="3938" t="s">
        <v>2129</v>
      </c>
      <c r="BM58" s="3938" t="s">
        <v>2129</v>
      </c>
      <c r="BN58" s="3939" t="s">
        <v>2129</v>
      </c>
      <c r="BO58" s="3937" t="s">
        <v>2129</v>
      </c>
      <c r="BP58" s="3988" t="s">
        <v>2129</v>
      </c>
      <c r="BQ58" s="3988"/>
      <c r="BR58" s="3988"/>
      <c r="BS58" s="2694"/>
    </row>
    <row r="59" spans="1:71" ht="13">
      <c r="A59">
        <v>80</v>
      </c>
      <c r="B59" s="3979" t="s">
        <v>3286</v>
      </c>
      <c r="C59" s="2694" t="s">
        <v>2129</v>
      </c>
      <c r="D59" s="2694" t="s">
        <v>2129</v>
      </c>
      <c r="E59" s="2694" t="s">
        <v>2129</v>
      </c>
      <c r="F59" s="3974" t="s">
        <v>2129</v>
      </c>
      <c r="G59" s="3975" t="s">
        <v>2129</v>
      </c>
      <c r="H59" s="3976" t="s">
        <v>2129</v>
      </c>
      <c r="I59" s="2694">
        <v>0</v>
      </c>
      <c r="J59" s="3992" t="s">
        <v>2854</v>
      </c>
      <c r="K59" s="2694">
        <v>0</v>
      </c>
      <c r="L59" s="2694" t="b">
        <v>1</v>
      </c>
      <c r="M59" s="2694" t="s">
        <v>2129</v>
      </c>
      <c r="N59" s="2477">
        <v>0</v>
      </c>
      <c r="O59" s="2477">
        <v>0</v>
      </c>
      <c r="P59" s="2477">
        <v>0</v>
      </c>
      <c r="Q59" s="2477">
        <v>0</v>
      </c>
      <c r="R59" s="2477">
        <v>0</v>
      </c>
      <c r="S59" s="2695">
        <v>0</v>
      </c>
      <c r="T59" s="2477">
        <v>0</v>
      </c>
      <c r="U59" s="2477" t="b">
        <v>1</v>
      </c>
      <c r="V59" s="2477" t="s">
        <v>2129</v>
      </c>
      <c r="W59" s="2477">
        <v>0</v>
      </c>
      <c r="X59" s="3937">
        <v>3860282</v>
      </c>
      <c r="Y59" s="3938">
        <v>3860282</v>
      </c>
      <c r="Z59" s="3938" t="b">
        <v>1</v>
      </c>
      <c r="AA59" s="3938">
        <v>27185.084507042255</v>
      </c>
      <c r="AB59" s="3938"/>
      <c r="AC59" s="3938"/>
      <c r="AD59" s="3938" t="s">
        <v>2129</v>
      </c>
      <c r="AE59" s="3938"/>
      <c r="AF59" s="3938"/>
      <c r="AG59">
        <v>288</v>
      </c>
      <c r="AH59">
        <v>142</v>
      </c>
      <c r="AI59" t="b">
        <v>1</v>
      </c>
      <c r="AJ59">
        <v>142</v>
      </c>
      <c r="AK59" s="3966">
        <v>27186</v>
      </c>
      <c r="AL59" s="2814" t="s">
        <v>2129</v>
      </c>
      <c r="AM59" s="2814" t="s">
        <v>2129</v>
      </c>
      <c r="AN59" s="2814" t="s">
        <v>2129</v>
      </c>
      <c r="AO59" s="3953" t="s">
        <v>2129</v>
      </c>
      <c r="AP59" s="2814" t="s">
        <v>2129</v>
      </c>
      <c r="AQ59" s="3954" t="s">
        <v>2129</v>
      </c>
      <c r="AR59" t="s">
        <v>2129</v>
      </c>
      <c r="AS59" t="s">
        <v>2129</v>
      </c>
      <c r="AU59" t="s">
        <v>2129</v>
      </c>
      <c r="AW59" t="s">
        <v>2129</v>
      </c>
      <c r="AX59" t="s">
        <v>2129</v>
      </c>
      <c r="AY59" t="s">
        <v>2129</v>
      </c>
      <c r="AZ59" s="3946" t="s">
        <v>2129</v>
      </c>
      <c r="BA59" t="s">
        <v>2129</v>
      </c>
      <c r="BB59" s="3947" t="s">
        <v>2129</v>
      </c>
      <c r="BC59" s="1958" t="s">
        <v>2129</v>
      </c>
      <c r="BD59" s="1958" t="s">
        <v>2129</v>
      </c>
      <c r="BE59" s="1958" t="s">
        <v>2129</v>
      </c>
      <c r="BF59" s="3937" t="s">
        <v>2129</v>
      </c>
      <c r="BG59" s="3938" t="s">
        <v>2129</v>
      </c>
      <c r="BH59" s="3938" t="s">
        <v>2129</v>
      </c>
      <c r="BI59" s="3937" t="s">
        <v>2129</v>
      </c>
      <c r="BJ59" s="3938" t="s">
        <v>2129</v>
      </c>
      <c r="BK59" s="3939" t="s">
        <v>2129</v>
      </c>
      <c r="BL59" s="3938" t="s">
        <v>2129</v>
      </c>
      <c r="BM59" s="3938" t="s">
        <v>2129</v>
      </c>
      <c r="BN59" s="3939" t="s">
        <v>2129</v>
      </c>
      <c r="BO59" s="3937" t="s">
        <v>2129</v>
      </c>
      <c r="BP59" s="3988" t="s">
        <v>2129</v>
      </c>
      <c r="BQ59" s="3988"/>
      <c r="BR59" s="3988"/>
      <c r="BS59" s="2694"/>
    </row>
    <row r="60" spans="1:71" ht="13">
      <c r="A60">
        <v>81</v>
      </c>
      <c r="B60" s="3979" t="s">
        <v>3287</v>
      </c>
      <c r="C60" s="2694" t="s">
        <v>2129</v>
      </c>
      <c r="D60" s="2694" t="s">
        <v>2129</v>
      </c>
      <c r="E60" s="2694" t="s">
        <v>2129</v>
      </c>
      <c r="F60" s="3974" t="s">
        <v>2129</v>
      </c>
      <c r="G60" s="3975" t="s">
        <v>2129</v>
      </c>
      <c r="H60" s="3976" t="s">
        <v>2129</v>
      </c>
      <c r="I60" s="2694">
        <v>1</v>
      </c>
      <c r="J60" s="3992" t="s">
        <v>2669</v>
      </c>
      <c r="K60" s="2694">
        <v>1</v>
      </c>
      <c r="L60" s="2694" t="b">
        <v>1</v>
      </c>
      <c r="M60" s="2694" t="s">
        <v>2129</v>
      </c>
      <c r="N60" s="2477">
        <v>352942</v>
      </c>
      <c r="O60" s="2477">
        <v>0</v>
      </c>
      <c r="P60" s="2477">
        <v>0</v>
      </c>
      <c r="Q60" s="2477">
        <v>0</v>
      </c>
      <c r="R60" s="2477">
        <v>0</v>
      </c>
      <c r="S60" s="2695">
        <v>388236.2</v>
      </c>
      <c r="T60" s="2477">
        <v>388236</v>
      </c>
      <c r="U60" s="2477" t="b">
        <v>1</v>
      </c>
      <c r="V60" s="2477">
        <v>388236</v>
      </c>
      <c r="W60" s="2477">
        <v>0</v>
      </c>
      <c r="X60" s="3937">
        <v>11026158</v>
      </c>
      <c r="Y60" s="3938">
        <v>11026158</v>
      </c>
      <c r="Z60" s="3938" t="b">
        <v>1</v>
      </c>
      <c r="AA60" s="3938">
        <v>38824.5</v>
      </c>
      <c r="AB60" s="3938"/>
      <c r="AC60" s="3938"/>
      <c r="AD60" s="3938" t="s">
        <v>2129</v>
      </c>
      <c r="AE60" s="3938">
        <v>2200</v>
      </c>
      <c r="AF60" s="3938"/>
      <c r="AG60">
        <v>284</v>
      </c>
      <c r="AH60" s="3965">
        <v>284</v>
      </c>
      <c r="AI60" s="3965" t="b">
        <v>1</v>
      </c>
      <c r="AJ60">
        <v>476</v>
      </c>
      <c r="AK60" s="3966">
        <v>23165</v>
      </c>
      <c r="AL60" s="2814" t="s">
        <v>2129</v>
      </c>
      <c r="AM60" s="2814" t="s">
        <v>2129</v>
      </c>
      <c r="AN60" s="2814" t="s">
        <v>2129</v>
      </c>
      <c r="AO60" s="3953" t="s">
        <v>2129</v>
      </c>
      <c r="AP60" s="2814" t="s">
        <v>2129</v>
      </c>
      <c r="AQ60" s="3954" t="s">
        <v>2129</v>
      </c>
      <c r="AR60" t="s">
        <v>2129</v>
      </c>
      <c r="AS60" t="s">
        <v>2129</v>
      </c>
      <c r="AU60" t="s">
        <v>2129</v>
      </c>
      <c r="AW60" t="s">
        <v>2129</v>
      </c>
      <c r="AX60" t="s">
        <v>2129</v>
      </c>
      <c r="AY60" t="s">
        <v>2129</v>
      </c>
      <c r="AZ60" s="3946" t="s">
        <v>2129</v>
      </c>
      <c r="BA60" t="s">
        <v>2129</v>
      </c>
      <c r="BB60" s="3947" t="s">
        <v>2129</v>
      </c>
      <c r="BC60" s="1958" t="s">
        <v>2129</v>
      </c>
      <c r="BD60" s="1958" t="s">
        <v>2129</v>
      </c>
      <c r="BE60" s="1958" t="s">
        <v>2129</v>
      </c>
      <c r="BF60" s="3937" t="s">
        <v>2129</v>
      </c>
      <c r="BG60" s="3938" t="s">
        <v>2129</v>
      </c>
      <c r="BH60" s="3938" t="s">
        <v>2129</v>
      </c>
      <c r="BI60" s="3937" t="s">
        <v>2129</v>
      </c>
      <c r="BJ60" s="3938" t="s">
        <v>2129</v>
      </c>
      <c r="BK60" s="3939" t="s">
        <v>2129</v>
      </c>
      <c r="BL60" s="3938" t="s">
        <v>2129</v>
      </c>
      <c r="BM60" s="3938" t="s">
        <v>2129</v>
      </c>
      <c r="BN60" s="3939" t="s">
        <v>2129</v>
      </c>
      <c r="BO60" s="3937" t="s">
        <v>2129</v>
      </c>
      <c r="BP60" s="3988" t="s">
        <v>2129</v>
      </c>
      <c r="BQ60" s="3988"/>
      <c r="BR60" s="3988"/>
      <c r="BS60" s="2694"/>
    </row>
    <row r="61" spans="1:71" ht="13">
      <c r="A61">
        <v>82</v>
      </c>
      <c r="B61" s="3979" t="s">
        <v>3288</v>
      </c>
      <c r="C61" s="2694" t="s">
        <v>2129</v>
      </c>
      <c r="D61" s="2694" t="s">
        <v>2129</v>
      </c>
      <c r="E61" s="2694" t="s">
        <v>2129</v>
      </c>
      <c r="F61" s="3974" t="s">
        <v>2129</v>
      </c>
      <c r="G61" s="3975" t="s">
        <v>2129</v>
      </c>
      <c r="H61" s="3976" t="s">
        <v>2129</v>
      </c>
      <c r="I61" s="2694">
        <v>0</v>
      </c>
      <c r="J61" s="3992" t="s">
        <v>2854</v>
      </c>
      <c r="K61" s="2694">
        <v>0</v>
      </c>
      <c r="L61" s="2694" t="b">
        <v>1</v>
      </c>
      <c r="M61" s="2694" t="s">
        <v>2129</v>
      </c>
      <c r="N61" s="2477">
        <v>0</v>
      </c>
      <c r="O61" s="2477">
        <v>0</v>
      </c>
      <c r="P61" s="2477">
        <v>0</v>
      </c>
      <c r="Q61" s="2477">
        <v>0</v>
      </c>
      <c r="R61" s="2477">
        <v>0</v>
      </c>
      <c r="S61" s="2695">
        <v>0</v>
      </c>
      <c r="T61" s="2477">
        <v>0</v>
      </c>
      <c r="U61" s="2477" t="b">
        <v>1</v>
      </c>
      <c r="V61" s="2477" t="s">
        <v>2129</v>
      </c>
      <c r="W61" s="2477">
        <v>0</v>
      </c>
      <c r="X61" s="3937">
        <v>2372777</v>
      </c>
      <c r="Y61" s="3938">
        <v>2372777</v>
      </c>
      <c r="Z61" s="3938" t="b">
        <v>1</v>
      </c>
      <c r="AA61" s="3938">
        <v>24976.6</v>
      </c>
      <c r="AB61" s="3938"/>
      <c r="AC61" s="3938"/>
      <c r="AD61" s="3938" t="s">
        <v>2129</v>
      </c>
      <c r="AE61" s="3938"/>
      <c r="AF61" s="3938"/>
      <c r="AG61">
        <v>191</v>
      </c>
      <c r="AH61">
        <v>95</v>
      </c>
      <c r="AI61" t="b">
        <v>1</v>
      </c>
      <c r="AJ61">
        <v>95</v>
      </c>
      <c r="AK61" s="3966">
        <v>24977</v>
      </c>
      <c r="AL61" s="2814" t="s">
        <v>2129</v>
      </c>
      <c r="AM61" s="2814" t="s">
        <v>2129</v>
      </c>
      <c r="AN61" s="2814" t="s">
        <v>2129</v>
      </c>
      <c r="AO61" s="3953" t="s">
        <v>2129</v>
      </c>
      <c r="AP61" s="2814" t="s">
        <v>2129</v>
      </c>
      <c r="AQ61" s="3954" t="s">
        <v>2129</v>
      </c>
      <c r="AR61" t="s">
        <v>2129</v>
      </c>
      <c r="AS61" t="s">
        <v>2129</v>
      </c>
      <c r="AU61" t="s">
        <v>2129</v>
      </c>
      <c r="AW61" t="s">
        <v>2129</v>
      </c>
      <c r="AX61" t="s">
        <v>2129</v>
      </c>
      <c r="AY61" t="s">
        <v>2129</v>
      </c>
      <c r="AZ61" s="3946" t="s">
        <v>2129</v>
      </c>
      <c r="BA61" t="s">
        <v>2129</v>
      </c>
      <c r="BB61" s="3947" t="s">
        <v>2129</v>
      </c>
      <c r="BC61" s="1958" t="s">
        <v>2129</v>
      </c>
      <c r="BD61" s="1958" t="s">
        <v>2129</v>
      </c>
      <c r="BE61" s="1958" t="s">
        <v>2129</v>
      </c>
      <c r="BF61" s="3937" t="s">
        <v>2129</v>
      </c>
      <c r="BG61" s="3938" t="s">
        <v>2129</v>
      </c>
      <c r="BH61" s="3938" t="s">
        <v>2129</v>
      </c>
      <c r="BI61" s="3937" t="s">
        <v>2129</v>
      </c>
      <c r="BJ61" s="3938" t="s">
        <v>2129</v>
      </c>
      <c r="BK61" s="3939" t="s">
        <v>2129</v>
      </c>
      <c r="BL61" s="3938" t="s">
        <v>2129</v>
      </c>
      <c r="BM61" s="3938" t="s">
        <v>2129</v>
      </c>
      <c r="BN61" s="3939" t="s">
        <v>2129</v>
      </c>
      <c r="BO61" s="3937" t="s">
        <v>2129</v>
      </c>
      <c r="BP61" s="3988" t="s">
        <v>2129</v>
      </c>
      <c r="BQ61" s="3988"/>
      <c r="BR61" s="3988"/>
      <c r="BS61" s="2694"/>
    </row>
    <row r="62" spans="1:71" ht="13">
      <c r="A62">
        <v>83</v>
      </c>
      <c r="B62" s="3979" t="s">
        <v>3289</v>
      </c>
      <c r="C62" s="2694" t="s">
        <v>2129</v>
      </c>
      <c r="D62" s="2694" t="s">
        <v>2129</v>
      </c>
      <c r="E62" s="2694" t="s">
        <v>3694</v>
      </c>
      <c r="F62" s="3974" t="s">
        <v>2129</v>
      </c>
      <c r="G62" s="3975" t="s">
        <v>2129</v>
      </c>
      <c r="H62" s="3976" t="s">
        <v>3694</v>
      </c>
      <c r="I62" s="2694">
        <v>0</v>
      </c>
      <c r="J62" s="3992" t="s">
        <v>2854</v>
      </c>
      <c r="K62" s="2694">
        <v>0</v>
      </c>
      <c r="L62" s="2694" t="b">
        <v>1</v>
      </c>
      <c r="M62" s="2694" t="s">
        <v>2129</v>
      </c>
      <c r="N62" s="2477">
        <v>0</v>
      </c>
      <c r="O62" s="2477">
        <v>0</v>
      </c>
      <c r="P62" s="2477">
        <v>0</v>
      </c>
      <c r="Q62" s="2477">
        <v>0</v>
      </c>
      <c r="R62" s="2477">
        <v>0</v>
      </c>
      <c r="S62" s="2695">
        <v>0</v>
      </c>
      <c r="T62" s="2477">
        <v>0</v>
      </c>
      <c r="U62" s="2477" t="b">
        <v>1</v>
      </c>
      <c r="V62" s="2477" t="s">
        <v>2129</v>
      </c>
      <c r="W62" s="2477">
        <v>0</v>
      </c>
      <c r="X62" s="3937">
        <v>1980143</v>
      </c>
      <c r="Y62" s="3938">
        <v>1980143</v>
      </c>
      <c r="Z62" s="3938" t="b">
        <v>1</v>
      </c>
      <c r="AA62" s="3938">
        <v>11647.9</v>
      </c>
      <c r="AB62" s="3938"/>
      <c r="AC62" s="3938"/>
      <c r="AD62" s="3938" t="s">
        <v>2129</v>
      </c>
      <c r="AE62" s="3938"/>
      <c r="AF62" s="3938"/>
      <c r="AG62">
        <v>237</v>
      </c>
      <c r="AH62">
        <v>170</v>
      </c>
      <c r="AI62" t="b">
        <v>1</v>
      </c>
      <c r="AJ62">
        <v>170</v>
      </c>
      <c r="AK62" s="3966">
        <v>11648</v>
      </c>
      <c r="AL62" s="2814" t="s">
        <v>2129</v>
      </c>
      <c r="AM62" s="2814" t="s">
        <v>2129</v>
      </c>
      <c r="AN62" s="2814">
        <v>3330</v>
      </c>
      <c r="AO62" s="3953" t="s">
        <v>2129</v>
      </c>
      <c r="AP62" s="2814" t="s">
        <v>2129</v>
      </c>
      <c r="AQ62" s="3954">
        <v>1650</v>
      </c>
      <c r="AR62" t="s">
        <v>2129</v>
      </c>
      <c r="AS62" t="s">
        <v>2129</v>
      </c>
      <c r="AU62" t="s">
        <v>2129</v>
      </c>
      <c r="AW62" t="s">
        <v>2129</v>
      </c>
      <c r="AX62" t="s">
        <v>2129</v>
      </c>
      <c r="AY62">
        <v>30</v>
      </c>
      <c r="AZ62" s="3946" t="s">
        <v>2129</v>
      </c>
      <c r="BA62" t="s">
        <v>2129</v>
      </c>
      <c r="BB62" s="3947">
        <v>15</v>
      </c>
      <c r="BC62" s="1958" t="s">
        <v>2129</v>
      </c>
      <c r="BD62" s="1958" t="s">
        <v>2129</v>
      </c>
      <c r="BE62" s="1958">
        <v>38787840</v>
      </c>
      <c r="BF62" s="3937" t="s">
        <v>2129</v>
      </c>
      <c r="BG62" s="3938" t="s">
        <v>2129</v>
      </c>
      <c r="BH62" s="3938">
        <v>19219200</v>
      </c>
      <c r="BI62" s="3937" t="s">
        <v>2129</v>
      </c>
      <c r="BJ62" s="3938" t="s">
        <v>2129</v>
      </c>
      <c r="BK62" s="3939" t="s">
        <v>2129</v>
      </c>
      <c r="BL62" s="3938" t="s">
        <v>2129</v>
      </c>
      <c r="BM62" s="3938" t="s">
        <v>2129</v>
      </c>
      <c r="BN62" s="3939" t="s">
        <v>2129</v>
      </c>
      <c r="BO62" s="3937" t="s">
        <v>2129</v>
      </c>
      <c r="BP62" s="3988" t="s">
        <v>2129</v>
      </c>
      <c r="BQ62" s="3988"/>
      <c r="BR62" s="3988"/>
      <c r="BS62" s="2694"/>
    </row>
    <row r="63" spans="1:71" ht="13">
      <c r="A63">
        <v>84</v>
      </c>
      <c r="B63" s="3979" t="s">
        <v>3290</v>
      </c>
      <c r="C63" s="2694" t="s">
        <v>2129</v>
      </c>
      <c r="D63" s="2694" t="s">
        <v>2129</v>
      </c>
      <c r="E63" s="2694" t="s">
        <v>3694</v>
      </c>
      <c r="F63" s="3974" t="s">
        <v>2129</v>
      </c>
      <c r="G63" s="3975" t="s">
        <v>2129</v>
      </c>
      <c r="H63" s="3976" t="s">
        <v>2129</v>
      </c>
      <c r="I63" s="2694">
        <v>0</v>
      </c>
      <c r="J63" s="3992" t="s">
        <v>2854</v>
      </c>
      <c r="K63" s="2694">
        <v>0</v>
      </c>
      <c r="L63" s="2694" t="b">
        <v>1</v>
      </c>
      <c r="M63" s="2694" t="s">
        <v>2129</v>
      </c>
      <c r="N63" s="2477">
        <v>0</v>
      </c>
      <c r="O63" s="2477">
        <v>0</v>
      </c>
      <c r="P63" s="2477">
        <v>0</v>
      </c>
      <c r="Q63" s="2477">
        <v>0</v>
      </c>
      <c r="R63" s="2477">
        <v>0</v>
      </c>
      <c r="S63" s="2695">
        <v>0</v>
      </c>
      <c r="T63" s="2477">
        <v>0</v>
      </c>
      <c r="U63" s="2477" t="b">
        <v>1</v>
      </c>
      <c r="V63" s="2477" t="s">
        <v>2129</v>
      </c>
      <c r="W63" s="2477">
        <v>0</v>
      </c>
      <c r="X63" s="3937">
        <v>4840055</v>
      </c>
      <c r="Y63" s="3938">
        <v>4840055</v>
      </c>
      <c r="Z63" s="3938" t="b">
        <v>1</v>
      </c>
      <c r="AA63" s="3938">
        <v>32267.033333333333</v>
      </c>
      <c r="AB63" s="3938"/>
      <c r="AC63" s="3938"/>
      <c r="AD63" s="3938" t="s">
        <v>2129</v>
      </c>
      <c r="AE63" s="3938"/>
      <c r="AF63" s="3938"/>
      <c r="AG63">
        <v>178</v>
      </c>
      <c r="AH63">
        <v>150</v>
      </c>
      <c r="AI63" t="b">
        <v>1</v>
      </c>
      <c r="AJ63">
        <v>150</v>
      </c>
      <c r="AK63" s="3966">
        <v>32268</v>
      </c>
      <c r="AL63" s="2814" t="s">
        <v>2129</v>
      </c>
      <c r="AM63" s="2814" t="s">
        <v>2129</v>
      </c>
      <c r="AN63" s="2814">
        <v>2490</v>
      </c>
      <c r="AO63" s="3953" t="s">
        <v>2129</v>
      </c>
      <c r="AP63" s="2814" t="s">
        <v>2129</v>
      </c>
      <c r="AQ63" s="3954" t="s">
        <v>2129</v>
      </c>
      <c r="AR63" t="s">
        <v>2129</v>
      </c>
      <c r="AS63" t="s">
        <v>2129</v>
      </c>
      <c r="AU63" t="s">
        <v>2129</v>
      </c>
      <c r="AW63" t="s">
        <v>2129</v>
      </c>
      <c r="AX63" t="s">
        <v>2129</v>
      </c>
      <c r="AY63">
        <v>30</v>
      </c>
      <c r="AZ63" s="3946" t="s">
        <v>2129</v>
      </c>
      <c r="BA63" t="s">
        <v>2129</v>
      </c>
      <c r="BB63" s="3947" t="s">
        <v>2129</v>
      </c>
      <c r="BC63" s="1958" t="s">
        <v>2129</v>
      </c>
      <c r="BD63" s="1958" t="s">
        <v>2129</v>
      </c>
      <c r="BE63" s="1958">
        <v>80347320</v>
      </c>
      <c r="BF63" s="3937" t="s">
        <v>2129</v>
      </c>
      <c r="BG63" s="3938" t="s">
        <v>2129</v>
      </c>
      <c r="BH63" s="3938" t="s">
        <v>2129</v>
      </c>
      <c r="BI63" s="3937" t="s">
        <v>2129</v>
      </c>
      <c r="BJ63" s="3938" t="s">
        <v>2129</v>
      </c>
      <c r="BK63" s="3939" t="s">
        <v>2129</v>
      </c>
      <c r="BL63" s="3938" t="s">
        <v>2129</v>
      </c>
      <c r="BM63" s="3938" t="s">
        <v>2129</v>
      </c>
      <c r="BN63" s="3939" t="s">
        <v>2129</v>
      </c>
      <c r="BO63" s="3937" t="s">
        <v>2129</v>
      </c>
      <c r="BP63" s="3988" t="s">
        <v>2129</v>
      </c>
      <c r="BQ63" s="3988"/>
      <c r="BR63" s="3988"/>
      <c r="BS63" s="2694"/>
    </row>
    <row r="64" spans="1:71" ht="13">
      <c r="A64">
        <v>90</v>
      </c>
      <c r="B64" s="3979" t="s">
        <v>3291</v>
      </c>
      <c r="C64" s="2694" t="s">
        <v>2129</v>
      </c>
      <c r="D64" s="2694" t="s">
        <v>2695</v>
      </c>
      <c r="E64" s="2694" t="s">
        <v>2129</v>
      </c>
      <c r="F64" s="3974" t="s">
        <v>2129</v>
      </c>
      <c r="G64" s="3975" t="s">
        <v>2695</v>
      </c>
      <c r="H64" s="3976" t="s">
        <v>2129</v>
      </c>
      <c r="I64" s="2694">
        <v>22</v>
      </c>
      <c r="J64" s="3992" t="s">
        <v>4924</v>
      </c>
      <c r="K64" s="2694">
        <v>16</v>
      </c>
      <c r="L64" s="2694" t="b">
        <v>1</v>
      </c>
      <c r="M64" s="2694" t="s">
        <v>2129</v>
      </c>
      <c r="N64" s="2477">
        <v>28712948</v>
      </c>
      <c r="O64" s="2477">
        <v>941184</v>
      </c>
      <c r="P64" s="2477">
        <v>0</v>
      </c>
      <c r="Q64" s="2477">
        <v>0</v>
      </c>
      <c r="R64" s="2477">
        <v>0</v>
      </c>
      <c r="S64" s="2695">
        <v>32619545.200000003</v>
      </c>
      <c r="T64" s="2477">
        <v>32619545</v>
      </c>
      <c r="U64" s="2477" t="b">
        <v>1</v>
      </c>
      <c r="V64" s="2477">
        <v>2038721.5625</v>
      </c>
      <c r="W64" s="2477">
        <v>0</v>
      </c>
      <c r="X64" s="3937">
        <v>11968122</v>
      </c>
      <c r="Y64" s="3938">
        <v>11968122</v>
      </c>
      <c r="Z64" s="3938" t="b">
        <v>1</v>
      </c>
      <c r="AA64" s="3938">
        <v>52035.313043478258</v>
      </c>
      <c r="AB64" s="3938"/>
      <c r="AC64" s="3938"/>
      <c r="AD64" s="3938" t="s">
        <v>2129</v>
      </c>
      <c r="AE64" s="3938"/>
      <c r="AF64" s="3938"/>
      <c r="AG64">
        <v>233</v>
      </c>
      <c r="AH64">
        <v>230</v>
      </c>
      <c r="AI64" t="b">
        <v>1</v>
      </c>
      <c r="AJ64">
        <v>333</v>
      </c>
      <c r="AK64" s="3966">
        <v>35941</v>
      </c>
      <c r="AL64" s="2814" t="s">
        <v>2129</v>
      </c>
      <c r="AM64" s="2814">
        <v>1800</v>
      </c>
      <c r="AN64" s="2814" t="s">
        <v>2129</v>
      </c>
      <c r="AO64" s="3953" t="s">
        <v>2129</v>
      </c>
      <c r="AP64" s="2814">
        <v>1053</v>
      </c>
      <c r="AQ64" s="3954" t="s">
        <v>2129</v>
      </c>
      <c r="AR64" t="s">
        <v>2129</v>
      </c>
      <c r="AS64">
        <v>1570</v>
      </c>
      <c r="AU64" t="s">
        <v>2129</v>
      </c>
      <c r="AW64" t="s">
        <v>2129</v>
      </c>
      <c r="AX64">
        <v>18</v>
      </c>
      <c r="AY64" t="s">
        <v>2129</v>
      </c>
      <c r="AZ64" s="3946" t="s">
        <v>2129</v>
      </c>
      <c r="BA64">
        <v>9</v>
      </c>
      <c r="BB64" s="3947" t="s">
        <v>2129</v>
      </c>
      <c r="BC64" s="1958" t="s">
        <v>2129</v>
      </c>
      <c r="BD64" s="1958">
        <v>64693800</v>
      </c>
      <c r="BE64" s="1958" t="s">
        <v>2129</v>
      </c>
      <c r="BF64" s="3937" t="s">
        <v>2129</v>
      </c>
      <c r="BG64" s="3938">
        <v>37845873</v>
      </c>
      <c r="BH64" s="3938" t="s">
        <v>2129</v>
      </c>
      <c r="BI64" s="3937" t="s">
        <v>2129</v>
      </c>
      <c r="BJ64" s="3938">
        <v>587151810</v>
      </c>
      <c r="BK64" s="3939" t="s">
        <v>2129</v>
      </c>
      <c r="BL64" s="3938" t="s">
        <v>2129</v>
      </c>
      <c r="BM64" s="3938">
        <v>293575905</v>
      </c>
      <c r="BN64" s="3939" t="s">
        <v>2129</v>
      </c>
      <c r="BO64" s="3937" t="s">
        <v>2129</v>
      </c>
      <c r="BP64" s="3988" t="s">
        <v>2129</v>
      </c>
      <c r="BQ64" s="3988"/>
      <c r="BR64" s="3988"/>
      <c r="BS64" s="2694"/>
    </row>
    <row r="65" spans="1:71" ht="13">
      <c r="A65">
        <v>92</v>
      </c>
      <c r="B65" s="3979" t="s">
        <v>3292</v>
      </c>
      <c r="C65" s="2694" t="s">
        <v>2129</v>
      </c>
      <c r="D65" s="2694" t="s">
        <v>2129</v>
      </c>
      <c r="E65" s="2694" t="s">
        <v>2129</v>
      </c>
      <c r="F65" s="3974" t="s">
        <v>3791</v>
      </c>
      <c r="G65" s="3975" t="s">
        <v>2129</v>
      </c>
      <c r="H65" s="3976" t="s">
        <v>2129</v>
      </c>
      <c r="I65" s="2694">
        <v>8</v>
      </c>
      <c r="J65" s="3992" t="s">
        <v>3503</v>
      </c>
      <c r="K65" s="2694">
        <v>2</v>
      </c>
      <c r="L65" s="2694" t="b">
        <v>1</v>
      </c>
      <c r="M65" s="2694" t="s">
        <v>2129</v>
      </c>
      <c r="N65" s="2477">
        <v>4023531</v>
      </c>
      <c r="O65" s="2477">
        <v>0</v>
      </c>
      <c r="P65" s="2477">
        <v>0</v>
      </c>
      <c r="Q65" s="2477">
        <v>0</v>
      </c>
      <c r="R65" s="2477">
        <v>0</v>
      </c>
      <c r="S65" s="2695">
        <v>4425884.1000000006</v>
      </c>
      <c r="T65" s="2477">
        <v>3592942</v>
      </c>
      <c r="U65" s="2477" t="b">
        <v>1</v>
      </c>
      <c r="V65" s="2477">
        <v>1796471</v>
      </c>
      <c r="W65" s="2477">
        <v>3832</v>
      </c>
      <c r="X65" s="3937">
        <v>1493012</v>
      </c>
      <c r="Y65" s="3938">
        <v>1489180</v>
      </c>
      <c r="Z65" s="3938" t="b">
        <v>1</v>
      </c>
      <c r="AA65" s="3938">
        <v>15352.371134020619</v>
      </c>
      <c r="AB65" s="3938"/>
      <c r="AC65" s="3938"/>
      <c r="AD65" s="3938" t="s">
        <v>2129</v>
      </c>
      <c r="AE65" s="3938"/>
      <c r="AF65" s="3938"/>
      <c r="AG65">
        <v>106</v>
      </c>
      <c r="AH65" s="3965">
        <v>97</v>
      </c>
      <c r="AI65" s="3965" t="b">
        <v>1</v>
      </c>
      <c r="AJ65">
        <v>124</v>
      </c>
      <c r="AK65" s="3966">
        <v>12010</v>
      </c>
      <c r="AL65" s="2814" t="s">
        <v>2129</v>
      </c>
      <c r="AM65" s="2814" t="s">
        <v>2129</v>
      </c>
      <c r="AN65" s="2814" t="s">
        <v>2129</v>
      </c>
      <c r="AO65" s="3953">
        <v>484</v>
      </c>
      <c r="AP65" s="2814" t="s">
        <v>2129</v>
      </c>
      <c r="AQ65" s="3954" t="s">
        <v>2129</v>
      </c>
      <c r="AR65" t="s">
        <v>2129</v>
      </c>
      <c r="AS65" t="s">
        <v>2129</v>
      </c>
      <c r="AU65">
        <v>387</v>
      </c>
      <c r="AW65" t="s">
        <v>2129</v>
      </c>
      <c r="AX65" t="s">
        <v>2129</v>
      </c>
      <c r="AY65" t="s">
        <v>2129</v>
      </c>
      <c r="AZ65" s="3946">
        <v>14</v>
      </c>
      <c r="BA65" t="s">
        <v>2129</v>
      </c>
      <c r="BB65" s="3947" t="s">
        <v>2129</v>
      </c>
      <c r="BC65" s="1958" t="s">
        <v>2129</v>
      </c>
      <c r="BD65" s="1958" t="s">
        <v>2129</v>
      </c>
      <c r="BE65" s="1958" t="s">
        <v>2129</v>
      </c>
      <c r="BF65" s="3937">
        <v>5812840</v>
      </c>
      <c r="BG65" s="3938" t="s">
        <v>2129</v>
      </c>
      <c r="BH65" s="3938" t="s">
        <v>2129</v>
      </c>
      <c r="BI65" s="3937" t="s">
        <v>2129</v>
      </c>
      <c r="BJ65" s="3938" t="s">
        <v>2129</v>
      </c>
      <c r="BK65" s="3939" t="s">
        <v>2129</v>
      </c>
      <c r="BL65" s="3938">
        <v>50301188</v>
      </c>
      <c r="BM65" s="3938" t="s">
        <v>2129</v>
      </c>
      <c r="BN65" s="3939" t="s">
        <v>2129</v>
      </c>
      <c r="BO65" s="3937" t="s">
        <v>2129</v>
      </c>
      <c r="BP65" s="3988">
        <v>5929000</v>
      </c>
      <c r="BQ65" s="3988"/>
      <c r="BR65" s="3988"/>
      <c r="BS65" s="2694"/>
    </row>
    <row r="66" spans="1:71" ht="13">
      <c r="A66">
        <v>93</v>
      </c>
      <c r="B66" s="3979" t="s">
        <v>3293</v>
      </c>
      <c r="C66" s="2694" t="s">
        <v>2129</v>
      </c>
      <c r="D66" s="2694" t="s">
        <v>2129</v>
      </c>
      <c r="E66" s="2694" t="s">
        <v>2129</v>
      </c>
      <c r="F66" s="3974" t="s">
        <v>2129</v>
      </c>
      <c r="G66" s="3975" t="s">
        <v>2129</v>
      </c>
      <c r="H66" s="3976" t="s">
        <v>2129</v>
      </c>
      <c r="I66" s="2694">
        <v>19</v>
      </c>
      <c r="J66" s="3992" t="s">
        <v>4867</v>
      </c>
      <c r="K66" s="2694">
        <v>2</v>
      </c>
      <c r="L66" s="2694" t="b">
        <v>1</v>
      </c>
      <c r="M66" s="2694" t="s">
        <v>2129</v>
      </c>
      <c r="N66" s="2477">
        <v>2819064</v>
      </c>
      <c r="O66" s="2477">
        <v>0</v>
      </c>
      <c r="P66" s="2477">
        <v>0</v>
      </c>
      <c r="Q66" s="2477">
        <v>0</v>
      </c>
      <c r="R66" s="2477">
        <v>0</v>
      </c>
      <c r="S66" s="2695">
        <v>3100970.4000000004</v>
      </c>
      <c r="T66" s="2477">
        <v>2271954</v>
      </c>
      <c r="U66" s="2477" t="b">
        <v>1</v>
      </c>
      <c r="V66" s="2477">
        <v>1135977</v>
      </c>
      <c r="W66" s="2477">
        <v>-22292</v>
      </c>
      <c r="X66" s="3937">
        <v>7374020</v>
      </c>
      <c r="Y66" s="3938">
        <v>7396312</v>
      </c>
      <c r="Z66" s="3938" t="b">
        <v>1</v>
      </c>
      <c r="AA66" s="3938">
        <v>20098.67391304348</v>
      </c>
      <c r="AB66" s="3938"/>
      <c r="AC66" s="3938"/>
      <c r="AD66" s="3938" t="s">
        <v>2129</v>
      </c>
      <c r="AE66" s="3938">
        <v>1100</v>
      </c>
      <c r="AF66" s="3938"/>
      <c r="AG66">
        <v>592</v>
      </c>
      <c r="AH66">
        <v>368</v>
      </c>
      <c r="AI66" t="b">
        <v>1</v>
      </c>
      <c r="AJ66">
        <v>490</v>
      </c>
      <c r="AK66" s="3966">
        <v>15095</v>
      </c>
      <c r="AL66" s="2814" t="s">
        <v>2129</v>
      </c>
      <c r="AM66" s="2814" t="s">
        <v>2129</v>
      </c>
      <c r="AN66" s="2814" t="s">
        <v>2129</v>
      </c>
      <c r="AO66" s="3953" t="s">
        <v>2129</v>
      </c>
      <c r="AP66" s="2814" t="s">
        <v>2129</v>
      </c>
      <c r="AQ66" s="3954" t="s">
        <v>2129</v>
      </c>
      <c r="AR66" t="s">
        <v>2129</v>
      </c>
      <c r="AS66" t="s">
        <v>2129</v>
      </c>
      <c r="AU66" t="s">
        <v>2129</v>
      </c>
      <c r="AW66" t="s">
        <v>2129</v>
      </c>
      <c r="AX66" t="s">
        <v>2129</v>
      </c>
      <c r="AY66" t="s">
        <v>2129</v>
      </c>
      <c r="AZ66" s="3946" t="s">
        <v>2129</v>
      </c>
      <c r="BA66" t="s">
        <v>2129</v>
      </c>
      <c r="BB66" s="3947" t="s">
        <v>2129</v>
      </c>
      <c r="BC66" s="1958" t="s">
        <v>2129</v>
      </c>
      <c r="BD66" s="1958" t="s">
        <v>2129</v>
      </c>
      <c r="BE66" s="1958" t="s">
        <v>2129</v>
      </c>
      <c r="BF66" s="3937" t="s">
        <v>2129</v>
      </c>
      <c r="BG66" s="3938" t="s">
        <v>2129</v>
      </c>
      <c r="BH66" s="3938" t="s">
        <v>2129</v>
      </c>
      <c r="BI66" s="3937" t="s">
        <v>2129</v>
      </c>
      <c r="BJ66" s="3938" t="s">
        <v>2129</v>
      </c>
      <c r="BK66" s="3939" t="s">
        <v>2129</v>
      </c>
      <c r="BL66" s="3938" t="s">
        <v>2129</v>
      </c>
      <c r="BM66" s="3938" t="s">
        <v>2129</v>
      </c>
      <c r="BN66" s="3939" t="s">
        <v>2129</v>
      </c>
      <c r="BO66" s="3937" t="s">
        <v>2129</v>
      </c>
      <c r="BP66" s="3988" t="s">
        <v>2129</v>
      </c>
      <c r="BQ66" s="3988"/>
      <c r="BR66" s="3988"/>
      <c r="BS66" s="2694"/>
    </row>
    <row r="67" spans="1:71" ht="13">
      <c r="A67">
        <v>94</v>
      </c>
      <c r="B67" s="3995" t="s">
        <v>3294</v>
      </c>
      <c r="C67" s="2694" t="s">
        <v>2129</v>
      </c>
      <c r="D67" s="2694" t="s">
        <v>2129</v>
      </c>
      <c r="E67" s="2694" t="s">
        <v>2129</v>
      </c>
      <c r="F67" s="3974" t="s">
        <v>2129</v>
      </c>
      <c r="G67" s="3975" t="s">
        <v>2695</v>
      </c>
      <c r="H67" s="3976" t="s">
        <v>2129</v>
      </c>
      <c r="I67" s="2694">
        <v>16</v>
      </c>
      <c r="J67" s="3992" t="s">
        <v>3581</v>
      </c>
      <c r="K67" s="2694">
        <v>16</v>
      </c>
      <c r="L67" s="2694" t="b">
        <v>1</v>
      </c>
      <c r="M67" s="2694" t="s">
        <v>2129</v>
      </c>
      <c r="N67" s="2477">
        <v>25294125</v>
      </c>
      <c r="O67" s="2477">
        <v>0</v>
      </c>
      <c r="P67" s="2477">
        <v>0</v>
      </c>
      <c r="Q67" s="2477">
        <v>0</v>
      </c>
      <c r="R67" s="2477">
        <v>0</v>
      </c>
      <c r="S67" s="2695">
        <v>27823537.500000004</v>
      </c>
      <c r="T67" s="2477">
        <v>40470597</v>
      </c>
      <c r="U67" s="2477" t="b">
        <v>1</v>
      </c>
      <c r="V67" s="2477">
        <v>2529412.3125</v>
      </c>
      <c r="W67" s="2477">
        <v>0</v>
      </c>
      <c r="X67" s="3937">
        <v>71600908</v>
      </c>
      <c r="Y67" s="3938">
        <v>71600908</v>
      </c>
      <c r="Z67" s="3938" t="b">
        <v>1</v>
      </c>
      <c r="AA67" s="3938">
        <v>163100.01822323463</v>
      </c>
      <c r="AB67" s="3938"/>
      <c r="AC67" s="3938"/>
      <c r="AD67" s="3938" t="s">
        <v>2129</v>
      </c>
      <c r="AE67" s="3938"/>
      <c r="AF67" s="3938"/>
      <c r="AG67">
        <v>460</v>
      </c>
      <c r="AH67">
        <v>439</v>
      </c>
      <c r="AI67" t="b">
        <v>1</v>
      </c>
      <c r="AJ67">
        <v>677</v>
      </c>
      <c r="AK67" s="3966">
        <v>105763</v>
      </c>
      <c r="AL67" s="2814" t="s">
        <v>2129</v>
      </c>
      <c r="AM67" s="2814" t="s">
        <v>2129</v>
      </c>
      <c r="AN67" s="2814" t="s">
        <v>2129</v>
      </c>
      <c r="AO67" s="3953" t="s">
        <v>2129</v>
      </c>
      <c r="AP67" s="2814">
        <v>2070</v>
      </c>
      <c r="AQ67" s="3954" t="s">
        <v>2129</v>
      </c>
      <c r="AR67" t="s">
        <v>2129</v>
      </c>
      <c r="AS67" t="s">
        <v>2129</v>
      </c>
      <c r="AU67" t="s">
        <v>2129</v>
      </c>
      <c r="AW67" t="s">
        <v>2129</v>
      </c>
      <c r="AX67" t="s">
        <v>2129</v>
      </c>
      <c r="AY67" t="s">
        <v>2129</v>
      </c>
      <c r="AZ67" s="3946" t="s">
        <v>2129</v>
      </c>
      <c r="BA67">
        <v>9</v>
      </c>
      <c r="BB67" s="3947" t="s">
        <v>2129</v>
      </c>
      <c r="BC67" s="1958" t="s">
        <v>2129</v>
      </c>
      <c r="BD67" s="1958" t="s">
        <v>2129</v>
      </c>
      <c r="BE67" s="1958" t="s">
        <v>2129</v>
      </c>
      <c r="BF67" s="3937" t="s">
        <v>2129</v>
      </c>
      <c r="BG67" s="3938">
        <v>218929410</v>
      </c>
      <c r="BH67" s="3938" t="s">
        <v>2129</v>
      </c>
      <c r="BI67" s="3937" t="s">
        <v>2129</v>
      </c>
      <c r="BJ67" s="3938" t="s">
        <v>2129</v>
      </c>
      <c r="BK67" s="3939" t="s">
        <v>2129</v>
      </c>
      <c r="BL67" s="3938" t="s">
        <v>2129</v>
      </c>
      <c r="BM67" s="3938">
        <v>364235373</v>
      </c>
      <c r="BN67" s="3939" t="s">
        <v>2129</v>
      </c>
      <c r="BO67" s="3937" t="s">
        <v>2129</v>
      </c>
      <c r="BP67" s="3988" t="s">
        <v>2129</v>
      </c>
      <c r="BQ67" s="3988"/>
      <c r="BR67" s="3988"/>
      <c r="BS67" s="2694"/>
    </row>
    <row r="68" spans="1:71" ht="13">
      <c r="A68">
        <v>96</v>
      </c>
      <c r="B68" s="3979" t="s">
        <v>3295</v>
      </c>
      <c r="C68" s="2694" t="s">
        <v>3791</v>
      </c>
      <c r="D68" s="2694" t="s">
        <v>2129</v>
      </c>
      <c r="E68" s="2694" t="s">
        <v>2129</v>
      </c>
      <c r="F68" s="3974" t="s">
        <v>3791</v>
      </c>
      <c r="G68" s="3975" t="s">
        <v>2129</v>
      </c>
      <c r="H68" s="3976" t="s">
        <v>2129</v>
      </c>
      <c r="I68" s="2694">
        <v>17</v>
      </c>
      <c r="J68" s="3992">
        <v>0</v>
      </c>
      <c r="K68" s="2694">
        <v>11</v>
      </c>
      <c r="L68" s="2694" t="b">
        <v>0</v>
      </c>
      <c r="M68" s="2694" t="s">
        <v>2129</v>
      </c>
      <c r="N68" s="2477">
        <v>2023063</v>
      </c>
      <c r="O68" s="2477">
        <v>0</v>
      </c>
      <c r="P68" s="2477">
        <v>0</v>
      </c>
      <c r="Q68" s="2477">
        <v>0</v>
      </c>
      <c r="R68" s="2477">
        <v>0</v>
      </c>
      <c r="S68" s="2695">
        <v>2225369.3000000003</v>
      </c>
      <c r="T68" s="2477">
        <v>8996190</v>
      </c>
      <c r="U68" s="2477" t="b">
        <v>0</v>
      </c>
      <c r="V68" s="2477">
        <v>817835.45454545459</v>
      </c>
      <c r="W68" s="2477">
        <v>-368132</v>
      </c>
      <c r="X68" s="3937">
        <v>977498</v>
      </c>
      <c r="Y68" s="3938">
        <v>1345630</v>
      </c>
      <c r="Z68" s="3938" t="b">
        <v>0</v>
      </c>
      <c r="AA68" s="3938">
        <v>18689.305555555555</v>
      </c>
      <c r="AB68" s="3938"/>
      <c r="AC68" s="3938"/>
      <c r="AD68" s="3938">
        <v>1715.7082748948108</v>
      </c>
      <c r="AE68" s="3938"/>
      <c r="AF68" s="3938"/>
      <c r="AG68">
        <v>72</v>
      </c>
      <c r="AH68">
        <v>72</v>
      </c>
      <c r="AI68" t="b">
        <v>0</v>
      </c>
      <c r="AJ68">
        <v>99</v>
      </c>
      <c r="AK68" s="3966">
        <v>13593</v>
      </c>
      <c r="AL68" s="2814">
        <v>682</v>
      </c>
      <c r="AM68" s="2814" t="s">
        <v>2129</v>
      </c>
      <c r="AN68" s="2814" t="s">
        <v>2129</v>
      </c>
      <c r="AO68" s="3953">
        <v>781</v>
      </c>
      <c r="AP68" s="2814" t="s">
        <v>2129</v>
      </c>
      <c r="AQ68" s="3954" t="s">
        <v>2129</v>
      </c>
      <c r="AR68">
        <v>610</v>
      </c>
      <c r="AS68" t="s">
        <v>2129</v>
      </c>
      <c r="AU68">
        <v>709</v>
      </c>
      <c r="AW68">
        <v>9</v>
      </c>
      <c r="AX68" t="s">
        <v>2129</v>
      </c>
      <c r="AY68" t="s">
        <v>2129</v>
      </c>
      <c r="AZ68" s="3946">
        <v>17</v>
      </c>
      <c r="BA68" t="s">
        <v>2129</v>
      </c>
      <c r="BB68" s="3947" t="s">
        <v>2129</v>
      </c>
      <c r="BC68" s="1958">
        <v>12110670</v>
      </c>
      <c r="BD68" s="1958" t="s">
        <v>2129</v>
      </c>
      <c r="BE68" s="1958" t="s">
        <v>2129</v>
      </c>
      <c r="BF68" s="3937">
        <v>22875710</v>
      </c>
      <c r="BG68" s="3938" t="s">
        <v>2129</v>
      </c>
      <c r="BH68" s="3938" t="s">
        <v>2129</v>
      </c>
      <c r="BI68" s="3937">
        <v>80965710</v>
      </c>
      <c r="BJ68" s="3938" t="s">
        <v>2129</v>
      </c>
      <c r="BK68" s="3939" t="s">
        <v>2129</v>
      </c>
      <c r="BL68" s="3941">
        <v>0</v>
      </c>
      <c r="BM68" s="3938" t="s">
        <v>2129</v>
      </c>
      <c r="BN68" s="3939" t="s">
        <v>2129</v>
      </c>
      <c r="BO68" s="3937">
        <v>8354500</v>
      </c>
      <c r="BP68" s="3988">
        <v>9567250</v>
      </c>
      <c r="BQ68" s="3988"/>
      <c r="BR68" s="3988"/>
      <c r="BS68" s="2694"/>
    </row>
    <row r="69" spans="1:71" ht="13">
      <c r="A69">
        <v>99</v>
      </c>
      <c r="B69" s="3979" t="s">
        <v>3296</v>
      </c>
      <c r="C69" s="2694" t="s">
        <v>2129</v>
      </c>
      <c r="D69" s="2694" t="s">
        <v>2695</v>
      </c>
      <c r="E69" s="2694" t="s">
        <v>2129</v>
      </c>
      <c r="F69" s="3974" t="s">
        <v>2129</v>
      </c>
      <c r="G69" s="3975" t="s">
        <v>2695</v>
      </c>
      <c r="H69" s="3976" t="s">
        <v>2129</v>
      </c>
      <c r="I69" s="2694">
        <v>10</v>
      </c>
      <c r="J69" s="3992" t="s">
        <v>3520</v>
      </c>
      <c r="K69" s="2694">
        <v>2</v>
      </c>
      <c r="L69" s="2694" t="b">
        <v>0</v>
      </c>
      <c r="M69" s="2694" t="s">
        <v>2129</v>
      </c>
      <c r="N69" s="2477">
        <v>3324065</v>
      </c>
      <c r="O69" s="2477">
        <v>0</v>
      </c>
      <c r="P69" s="2477">
        <v>0</v>
      </c>
      <c r="Q69" s="2477">
        <v>0</v>
      </c>
      <c r="R69" s="2477">
        <v>0</v>
      </c>
      <c r="S69" s="2695">
        <v>3656471.5000000005</v>
      </c>
      <c r="T69" s="2477">
        <v>3656471</v>
      </c>
      <c r="U69" s="2477" t="b">
        <v>0</v>
      </c>
      <c r="V69" s="2477">
        <v>1828235.5</v>
      </c>
      <c r="W69" s="2477">
        <v>-128078</v>
      </c>
      <c r="X69" s="3937">
        <v>1067704</v>
      </c>
      <c r="Y69" s="3938">
        <v>1195782</v>
      </c>
      <c r="Z69" s="3938" t="b">
        <v>1</v>
      </c>
      <c r="AA69" s="3938">
        <v>21741.49090909091</v>
      </c>
      <c r="AB69" s="3938"/>
      <c r="AC69" s="3938"/>
      <c r="AD69" s="3938" t="s">
        <v>2129</v>
      </c>
      <c r="AE69" s="3938"/>
      <c r="AF69" s="3938"/>
      <c r="AG69">
        <v>170</v>
      </c>
      <c r="AH69" s="3965">
        <v>55</v>
      </c>
      <c r="AI69" s="3965" t="b">
        <v>1</v>
      </c>
      <c r="AJ69">
        <v>55</v>
      </c>
      <c r="AK69" s="3966">
        <v>21742</v>
      </c>
      <c r="AL69" s="2814" t="s">
        <v>2129</v>
      </c>
      <c r="AM69" s="2814">
        <v>900</v>
      </c>
      <c r="AN69" s="2814" t="s">
        <v>2129</v>
      </c>
      <c r="AO69" s="3953" t="s">
        <v>2129</v>
      </c>
      <c r="AP69" s="2814">
        <v>450</v>
      </c>
      <c r="AQ69" s="3954" t="s">
        <v>2129</v>
      </c>
      <c r="AR69" t="s">
        <v>2129</v>
      </c>
      <c r="AS69">
        <v>845</v>
      </c>
      <c r="AU69" t="s">
        <v>2129</v>
      </c>
      <c r="AW69" t="s">
        <v>2129</v>
      </c>
      <c r="AX69">
        <v>18</v>
      </c>
      <c r="AY69" t="s">
        <v>2129</v>
      </c>
      <c r="AZ69" s="3946" t="s">
        <v>2129</v>
      </c>
      <c r="BA69">
        <v>9</v>
      </c>
      <c r="BB69" s="3947" t="s">
        <v>2129</v>
      </c>
      <c r="BC69" s="1958" t="s">
        <v>2129</v>
      </c>
      <c r="BD69" s="1958">
        <v>19567800</v>
      </c>
      <c r="BE69" s="1958" t="s">
        <v>2129</v>
      </c>
      <c r="BF69" s="3937" t="s">
        <v>2129</v>
      </c>
      <c r="BG69" s="3938">
        <v>9783900</v>
      </c>
      <c r="BH69" s="3938" t="s">
        <v>2129</v>
      </c>
      <c r="BI69" s="3937" t="s">
        <v>2129</v>
      </c>
      <c r="BJ69" s="3938">
        <v>65816478</v>
      </c>
      <c r="BK69" s="3939" t="s">
        <v>2129</v>
      </c>
      <c r="BL69" s="3938" t="s">
        <v>2129</v>
      </c>
      <c r="BM69" s="3938">
        <v>32908239</v>
      </c>
      <c r="BN69" s="3939" t="s">
        <v>2129</v>
      </c>
      <c r="BO69" s="3937" t="s">
        <v>2129</v>
      </c>
      <c r="BP69" s="3988" t="s">
        <v>2129</v>
      </c>
      <c r="BQ69" s="3988"/>
      <c r="BR69" s="3988"/>
      <c r="BS69" s="2694"/>
    </row>
    <row r="70" spans="1:71" ht="13">
      <c r="A70">
        <v>101</v>
      </c>
      <c r="B70" s="3979" t="s">
        <v>3297</v>
      </c>
      <c r="C70" s="2694" t="s">
        <v>2129</v>
      </c>
      <c r="D70" s="2694" t="s">
        <v>2695</v>
      </c>
      <c r="E70" s="2694" t="s">
        <v>2129</v>
      </c>
      <c r="F70" s="3974" t="s">
        <v>2129</v>
      </c>
      <c r="G70" s="3975" t="s">
        <v>2695</v>
      </c>
      <c r="H70" s="3976" t="s">
        <v>2129</v>
      </c>
      <c r="I70" s="2694">
        <v>6</v>
      </c>
      <c r="J70" s="3992" t="s">
        <v>4867</v>
      </c>
      <c r="K70" s="2694">
        <v>5</v>
      </c>
      <c r="L70" s="2694" t="b">
        <v>0</v>
      </c>
      <c r="M70" s="2694" t="s">
        <v>2129</v>
      </c>
      <c r="N70" s="2477">
        <v>3234003</v>
      </c>
      <c r="O70" s="2477">
        <v>38826</v>
      </c>
      <c r="P70" s="2477">
        <v>0</v>
      </c>
      <c r="Q70" s="2477">
        <v>0</v>
      </c>
      <c r="R70" s="2477">
        <v>0</v>
      </c>
      <c r="S70" s="2695">
        <v>3600111.9000000004</v>
      </c>
      <c r="T70" s="2477">
        <v>3600111</v>
      </c>
      <c r="U70" s="2477" t="b">
        <v>0</v>
      </c>
      <c r="V70" s="2477">
        <v>720022.2</v>
      </c>
      <c r="W70" s="2477">
        <v>-215744</v>
      </c>
      <c r="X70" s="3937">
        <v>1659891</v>
      </c>
      <c r="Y70" s="3938">
        <v>1875635</v>
      </c>
      <c r="Z70" s="3938" t="b">
        <v>1</v>
      </c>
      <c r="AA70" s="3938">
        <v>17529.299065420561</v>
      </c>
      <c r="AB70" s="3938"/>
      <c r="AC70" s="3938"/>
      <c r="AD70" s="3938" t="s">
        <v>2129</v>
      </c>
      <c r="AE70" s="3938"/>
      <c r="AF70" s="3938"/>
      <c r="AG70">
        <v>233</v>
      </c>
      <c r="AH70">
        <v>107</v>
      </c>
      <c r="AI70" t="b">
        <v>1</v>
      </c>
      <c r="AJ70">
        <v>112</v>
      </c>
      <c r="AK70" s="3966">
        <v>16747</v>
      </c>
      <c r="AL70" s="2814" t="s">
        <v>2129</v>
      </c>
      <c r="AM70" s="2814">
        <v>1206</v>
      </c>
      <c r="AN70" s="2814" t="s">
        <v>2129</v>
      </c>
      <c r="AO70" s="3953" t="s">
        <v>2129</v>
      </c>
      <c r="AP70" s="2814">
        <v>450</v>
      </c>
      <c r="AQ70" s="3954" t="s">
        <v>2129</v>
      </c>
      <c r="AR70" t="s">
        <v>2129</v>
      </c>
      <c r="AS70">
        <v>1099</v>
      </c>
      <c r="AU70" t="s">
        <v>2129</v>
      </c>
      <c r="AW70" t="s">
        <v>2129</v>
      </c>
      <c r="AX70">
        <v>18</v>
      </c>
      <c r="AY70" t="s">
        <v>2129</v>
      </c>
      <c r="AZ70" s="3946" t="s">
        <v>2129</v>
      </c>
      <c r="BA70">
        <v>9</v>
      </c>
      <c r="BB70" s="3947" t="s">
        <v>2129</v>
      </c>
      <c r="BC70" s="1958" t="s">
        <v>2129</v>
      </c>
      <c r="BD70" s="1958">
        <v>20196882</v>
      </c>
      <c r="BE70" s="1958" t="s">
        <v>2129</v>
      </c>
      <c r="BF70" s="3937" t="s">
        <v>2129</v>
      </c>
      <c r="BG70" s="3938">
        <v>7536150</v>
      </c>
      <c r="BH70" s="3938" t="s">
        <v>2129</v>
      </c>
      <c r="BI70" s="3937" t="s">
        <v>2129</v>
      </c>
      <c r="BJ70" s="3938">
        <v>64801998</v>
      </c>
      <c r="BK70" s="3939" t="s">
        <v>2129</v>
      </c>
      <c r="BL70" s="3938" t="s">
        <v>2129</v>
      </c>
      <c r="BM70" s="3938">
        <v>32400999</v>
      </c>
      <c r="BN70" s="3939" t="s">
        <v>2129</v>
      </c>
      <c r="BO70" s="3937" t="s">
        <v>2129</v>
      </c>
      <c r="BP70" s="3988" t="s">
        <v>2129</v>
      </c>
      <c r="BQ70" s="3988"/>
      <c r="BR70" s="3988"/>
      <c r="BS70" s="2694"/>
    </row>
    <row r="71" spans="1:71" ht="13">
      <c r="A71">
        <v>105</v>
      </c>
      <c r="B71" s="3979" t="s">
        <v>3298</v>
      </c>
      <c r="C71" s="2694" t="s">
        <v>2129</v>
      </c>
      <c r="D71" s="2694" t="s">
        <v>2129</v>
      </c>
      <c r="E71" s="2694" t="s">
        <v>2129</v>
      </c>
      <c r="F71" s="3974" t="s">
        <v>2129</v>
      </c>
      <c r="G71" s="3975" t="s">
        <v>2129</v>
      </c>
      <c r="H71" s="3976" t="s">
        <v>2129</v>
      </c>
      <c r="I71" s="2694">
        <v>19</v>
      </c>
      <c r="J71" s="3992" t="s">
        <v>4875</v>
      </c>
      <c r="K71" s="2694">
        <v>7</v>
      </c>
      <c r="L71" s="2694" t="b">
        <v>1</v>
      </c>
      <c r="M71" s="2694" t="s">
        <v>2129</v>
      </c>
      <c r="N71" s="2477">
        <v>6716477</v>
      </c>
      <c r="O71" s="2477">
        <v>1588243</v>
      </c>
      <c r="P71" s="2477">
        <v>0</v>
      </c>
      <c r="Q71" s="2477">
        <v>0</v>
      </c>
      <c r="R71" s="2477">
        <v>0</v>
      </c>
      <c r="S71" s="2695">
        <v>9135192</v>
      </c>
      <c r="T71" s="2477">
        <v>5925775</v>
      </c>
      <c r="U71" s="2477" t="b">
        <v>1</v>
      </c>
      <c r="V71" s="2477">
        <v>846539.28571428568</v>
      </c>
      <c r="W71" s="2477">
        <v>2737069</v>
      </c>
      <c r="X71" s="3937">
        <v>14280708</v>
      </c>
      <c r="Y71" s="3938">
        <v>11543639</v>
      </c>
      <c r="Z71" s="3938" t="b">
        <v>1</v>
      </c>
      <c r="AA71" s="3938">
        <v>52471.086363636365</v>
      </c>
      <c r="AB71" s="3938"/>
      <c r="AC71" s="3938"/>
      <c r="AD71" s="3938" t="s">
        <v>2129</v>
      </c>
      <c r="AE71" s="3938">
        <v>2300</v>
      </c>
      <c r="AF71" s="3938"/>
      <c r="AG71">
        <v>245</v>
      </c>
      <c r="AH71">
        <v>220</v>
      </c>
      <c r="AI71" t="b">
        <v>1</v>
      </c>
      <c r="AJ71">
        <v>308</v>
      </c>
      <c r="AK71" s="3966">
        <v>37480</v>
      </c>
      <c r="AL71" s="2814" t="s">
        <v>2129</v>
      </c>
      <c r="AM71" s="2814" t="s">
        <v>2129</v>
      </c>
      <c r="AN71" s="2814" t="s">
        <v>2129</v>
      </c>
      <c r="AO71" s="3953" t="s">
        <v>2129</v>
      </c>
      <c r="AP71" s="2814" t="s">
        <v>2129</v>
      </c>
      <c r="AQ71" s="3954" t="s">
        <v>2129</v>
      </c>
      <c r="AR71" t="s">
        <v>2129</v>
      </c>
      <c r="AS71" t="s">
        <v>2129</v>
      </c>
      <c r="AU71" t="s">
        <v>2129</v>
      </c>
      <c r="AW71" t="s">
        <v>2129</v>
      </c>
      <c r="AX71" t="s">
        <v>2129</v>
      </c>
      <c r="AY71" t="s">
        <v>2129</v>
      </c>
      <c r="AZ71" s="3946" t="s">
        <v>2129</v>
      </c>
      <c r="BA71" t="s">
        <v>2129</v>
      </c>
      <c r="BB71" s="3947" t="s">
        <v>2129</v>
      </c>
      <c r="BC71" s="1958" t="s">
        <v>2129</v>
      </c>
      <c r="BD71" s="1958" t="s">
        <v>2129</v>
      </c>
      <c r="BE71" s="1958" t="s">
        <v>2129</v>
      </c>
      <c r="BF71" s="3937" t="s">
        <v>2129</v>
      </c>
      <c r="BG71" s="3938" t="s">
        <v>2129</v>
      </c>
      <c r="BH71" s="3938" t="s">
        <v>2129</v>
      </c>
      <c r="BI71" s="3937" t="s">
        <v>2129</v>
      </c>
      <c r="BJ71" s="3938" t="s">
        <v>2129</v>
      </c>
      <c r="BK71" s="3939" t="s">
        <v>2129</v>
      </c>
      <c r="BL71" s="3938" t="s">
        <v>2129</v>
      </c>
      <c r="BM71" s="3938" t="s">
        <v>2129</v>
      </c>
      <c r="BN71" s="3939" t="s">
        <v>2129</v>
      </c>
      <c r="BO71" s="3937" t="s">
        <v>2129</v>
      </c>
      <c r="BP71" s="3988" t="s">
        <v>2129</v>
      </c>
      <c r="BQ71" s="3988"/>
      <c r="BR71" s="3988"/>
      <c r="BS71" s="2694"/>
    </row>
    <row r="72" spans="1:71" ht="13">
      <c r="A72">
        <v>111</v>
      </c>
      <c r="B72" s="3979" t="s">
        <v>3299</v>
      </c>
      <c r="C72" s="2694" t="s">
        <v>2129</v>
      </c>
      <c r="D72" s="2694" t="s">
        <v>2129</v>
      </c>
      <c r="E72" s="2694" t="s">
        <v>2129</v>
      </c>
      <c r="F72" s="3974" t="s">
        <v>3791</v>
      </c>
      <c r="G72" s="3975" t="s">
        <v>2129</v>
      </c>
      <c r="H72" s="3976" t="s">
        <v>2129</v>
      </c>
      <c r="I72" s="2694">
        <v>4</v>
      </c>
      <c r="J72" s="3992" t="s">
        <v>2854</v>
      </c>
      <c r="K72" s="2694">
        <v>2</v>
      </c>
      <c r="L72" s="2694" t="b">
        <v>1</v>
      </c>
      <c r="M72" s="2694" t="s">
        <v>2129</v>
      </c>
      <c r="N72" s="2477">
        <v>460000</v>
      </c>
      <c r="O72" s="2477">
        <v>0</v>
      </c>
      <c r="P72" s="2477">
        <v>0</v>
      </c>
      <c r="Q72" s="2477">
        <v>0</v>
      </c>
      <c r="R72" s="2477">
        <v>0</v>
      </c>
      <c r="S72" s="2695">
        <v>506000.00000000006</v>
      </c>
      <c r="T72" s="2477">
        <v>253000</v>
      </c>
      <c r="U72" s="2477" t="b">
        <v>1</v>
      </c>
      <c r="V72" s="2477">
        <v>126500</v>
      </c>
      <c r="W72" s="2477">
        <v>-349423.79999999981</v>
      </c>
      <c r="X72" s="3937">
        <v>6331982.7999999998</v>
      </c>
      <c r="Y72" s="3938">
        <v>6681406.5999999996</v>
      </c>
      <c r="Z72" s="3938" t="b">
        <v>1</v>
      </c>
      <c r="AA72" s="3938">
        <v>27382.813934426227</v>
      </c>
      <c r="AB72" s="3938"/>
      <c r="AC72" s="3938"/>
      <c r="AD72" s="3938" t="s">
        <v>2129</v>
      </c>
      <c r="AE72" s="3938">
        <v>2000</v>
      </c>
      <c r="AF72" s="3938"/>
      <c r="AG72">
        <v>245</v>
      </c>
      <c r="AH72">
        <v>244</v>
      </c>
      <c r="AI72" t="b">
        <v>1</v>
      </c>
      <c r="AJ72">
        <v>280</v>
      </c>
      <c r="AK72" s="3966">
        <v>23863</v>
      </c>
      <c r="AL72" s="2814" t="s">
        <v>2129</v>
      </c>
      <c r="AM72" s="2814" t="s">
        <v>2129</v>
      </c>
      <c r="AN72" s="2814" t="s">
        <v>2129</v>
      </c>
      <c r="AO72" s="3953">
        <v>2384</v>
      </c>
      <c r="AP72" s="2814" t="s">
        <v>2129</v>
      </c>
      <c r="AQ72" s="3954" t="s">
        <v>2129</v>
      </c>
      <c r="AR72" t="s">
        <v>2129</v>
      </c>
      <c r="AS72" t="s">
        <v>2129</v>
      </c>
      <c r="AU72">
        <v>2140</v>
      </c>
      <c r="AW72" t="s">
        <v>2129</v>
      </c>
      <c r="AX72" t="s">
        <v>2129</v>
      </c>
      <c r="AY72" t="s">
        <v>2129</v>
      </c>
      <c r="AZ72" s="3946">
        <v>16</v>
      </c>
      <c r="BA72" t="s">
        <v>2129</v>
      </c>
      <c r="BB72" s="3947" t="s">
        <v>2129</v>
      </c>
      <c r="BC72" s="1958" t="s">
        <v>2129</v>
      </c>
      <c r="BD72" s="1958" t="s">
        <v>2129</v>
      </c>
      <c r="BE72" s="1958" t="s">
        <v>2129</v>
      </c>
      <c r="BF72" s="3937">
        <v>56889392</v>
      </c>
      <c r="BG72" s="3938" t="s">
        <v>2129</v>
      </c>
      <c r="BH72" s="3938" t="s">
        <v>2129</v>
      </c>
      <c r="BI72" s="3937" t="s">
        <v>2129</v>
      </c>
      <c r="BJ72" s="3938" t="s">
        <v>2129</v>
      </c>
      <c r="BK72" s="3939" t="s">
        <v>2129</v>
      </c>
      <c r="BL72" s="3938">
        <v>4048000</v>
      </c>
      <c r="BM72" s="3938" t="s">
        <v>2129</v>
      </c>
      <c r="BN72" s="3939" t="s">
        <v>2129</v>
      </c>
      <c r="BO72" s="3937" t="s">
        <v>2129</v>
      </c>
      <c r="BP72" s="3988">
        <v>29204000</v>
      </c>
      <c r="BQ72" s="3988"/>
      <c r="BR72" s="3988"/>
      <c r="BS72" s="2694"/>
    </row>
    <row r="73" spans="1:71" ht="13">
      <c r="A73">
        <v>114</v>
      </c>
      <c r="B73" s="3979" t="s">
        <v>3300</v>
      </c>
      <c r="C73" s="2694" t="s">
        <v>2129</v>
      </c>
      <c r="D73" s="2694" t="s">
        <v>2129</v>
      </c>
      <c r="E73" s="2694" t="s">
        <v>2129</v>
      </c>
      <c r="F73" s="3974" t="s">
        <v>2129</v>
      </c>
      <c r="G73" s="3975" t="s">
        <v>2129</v>
      </c>
      <c r="H73" s="3976" t="s">
        <v>2129</v>
      </c>
      <c r="I73" s="2694">
        <v>0</v>
      </c>
      <c r="J73" s="3992" t="s">
        <v>2854</v>
      </c>
      <c r="K73" s="2694">
        <v>0</v>
      </c>
      <c r="L73" s="2694" t="b">
        <v>0</v>
      </c>
      <c r="M73" s="2694" t="s">
        <v>2129</v>
      </c>
      <c r="N73" s="2477">
        <v>0</v>
      </c>
      <c r="O73" s="2477">
        <v>0</v>
      </c>
      <c r="P73" s="2477">
        <v>0</v>
      </c>
      <c r="Q73" s="2477">
        <v>0</v>
      </c>
      <c r="R73" s="2477">
        <v>0</v>
      </c>
      <c r="S73" s="2695">
        <v>0</v>
      </c>
      <c r="T73" s="2477">
        <v>0</v>
      </c>
      <c r="U73" s="2477" t="b">
        <v>1</v>
      </c>
      <c r="V73" s="2477" t="s">
        <v>2129</v>
      </c>
      <c r="W73" s="2477">
        <v>0</v>
      </c>
      <c r="X73" s="3937">
        <v>6385365</v>
      </c>
      <c r="Y73" s="3938">
        <v>6385365</v>
      </c>
      <c r="Z73" s="3938" t="b">
        <v>1</v>
      </c>
      <c r="AA73" s="3938">
        <v>26829.264705882353</v>
      </c>
      <c r="AB73" s="3938"/>
      <c r="AC73" s="3938"/>
      <c r="AD73" s="3938" t="s">
        <v>2129</v>
      </c>
      <c r="AE73" s="3938"/>
      <c r="AF73" s="3938"/>
      <c r="AG73">
        <v>238</v>
      </c>
      <c r="AH73" s="3965">
        <v>238</v>
      </c>
      <c r="AI73" s="3965" t="b">
        <v>1</v>
      </c>
      <c r="AJ73">
        <v>261</v>
      </c>
      <c r="AK73" s="3966">
        <v>24465</v>
      </c>
      <c r="AL73" s="2814" t="s">
        <v>2129</v>
      </c>
      <c r="AM73" s="2814" t="s">
        <v>2129</v>
      </c>
      <c r="AN73" s="2814" t="s">
        <v>2129</v>
      </c>
      <c r="AO73" s="3953" t="s">
        <v>2129</v>
      </c>
      <c r="AP73" s="2814" t="s">
        <v>2129</v>
      </c>
      <c r="AQ73" s="3954" t="s">
        <v>2129</v>
      </c>
      <c r="AR73" t="s">
        <v>2129</v>
      </c>
      <c r="AS73" t="s">
        <v>2129</v>
      </c>
      <c r="AU73" t="s">
        <v>2129</v>
      </c>
      <c r="AW73" t="s">
        <v>2129</v>
      </c>
      <c r="AX73" t="s">
        <v>2129</v>
      </c>
      <c r="AY73" t="s">
        <v>2129</v>
      </c>
      <c r="AZ73" s="3946" t="s">
        <v>2129</v>
      </c>
      <c r="BA73" t="s">
        <v>2129</v>
      </c>
      <c r="BB73" s="3947" t="s">
        <v>2129</v>
      </c>
      <c r="BC73" s="1958" t="s">
        <v>2129</v>
      </c>
      <c r="BD73" s="1958" t="s">
        <v>2129</v>
      </c>
      <c r="BE73" s="1958" t="s">
        <v>2129</v>
      </c>
      <c r="BF73" s="3937" t="s">
        <v>2129</v>
      </c>
      <c r="BG73" s="3938" t="s">
        <v>2129</v>
      </c>
      <c r="BH73" s="3938" t="s">
        <v>2129</v>
      </c>
      <c r="BI73" s="3937" t="s">
        <v>2129</v>
      </c>
      <c r="BJ73" s="3938" t="s">
        <v>2129</v>
      </c>
      <c r="BK73" s="3939" t="s">
        <v>2129</v>
      </c>
      <c r="BL73" s="3938" t="s">
        <v>2129</v>
      </c>
      <c r="BM73" s="3938" t="s">
        <v>2129</v>
      </c>
      <c r="BN73" s="3939" t="s">
        <v>2129</v>
      </c>
      <c r="BO73" s="3937" t="s">
        <v>2129</v>
      </c>
      <c r="BP73" s="3988" t="s">
        <v>2129</v>
      </c>
      <c r="BQ73" s="3988"/>
      <c r="BR73" s="3988"/>
      <c r="BS73" s="2694"/>
    </row>
    <row r="74" spans="1:71" ht="13">
      <c r="A74">
        <v>115</v>
      </c>
      <c r="B74" s="3979" t="s">
        <v>3301</v>
      </c>
      <c r="C74" s="2694" t="s">
        <v>2129</v>
      </c>
      <c r="D74" s="2694" t="s">
        <v>2129</v>
      </c>
      <c r="E74" s="2694" t="s">
        <v>2129</v>
      </c>
      <c r="F74" s="3974" t="s">
        <v>2129</v>
      </c>
      <c r="G74" s="3975" t="s">
        <v>2129</v>
      </c>
      <c r="H74" s="3976" t="s">
        <v>2129</v>
      </c>
      <c r="I74" s="2694">
        <v>3</v>
      </c>
      <c r="J74" s="3992" t="s">
        <v>3481</v>
      </c>
      <c r="K74" s="2694">
        <v>3</v>
      </c>
      <c r="L74" s="2694" t="b">
        <v>0</v>
      </c>
      <c r="M74" s="2694" t="s">
        <v>2129</v>
      </c>
      <c r="N74" s="2477">
        <v>341060</v>
      </c>
      <c r="O74" s="2477">
        <v>0</v>
      </c>
      <c r="P74" s="2477">
        <v>0</v>
      </c>
      <c r="Q74" s="2477">
        <v>0</v>
      </c>
      <c r="R74" s="2477">
        <v>0</v>
      </c>
      <c r="S74" s="2695">
        <v>375166.00000000006</v>
      </c>
      <c r="T74" s="2477">
        <v>375166</v>
      </c>
      <c r="U74" s="2477" t="b">
        <v>0</v>
      </c>
      <c r="V74" s="2477">
        <v>125055.33333333333</v>
      </c>
      <c r="W74" s="2477">
        <v>0</v>
      </c>
      <c r="X74" s="3937">
        <v>3254823</v>
      </c>
      <c r="Y74" s="3938">
        <v>3254823</v>
      </c>
      <c r="Z74" s="3938" t="b">
        <v>1</v>
      </c>
      <c r="AA74" s="3938">
        <v>14862.205479452055</v>
      </c>
      <c r="AB74" s="3938"/>
      <c r="AC74" s="3938"/>
      <c r="AD74" s="3938" t="s">
        <v>2129</v>
      </c>
      <c r="AE74" s="3938"/>
      <c r="AF74" s="3938"/>
      <c r="AG74">
        <v>219</v>
      </c>
      <c r="AH74" s="3965">
        <v>219</v>
      </c>
      <c r="AI74" s="3965" t="b">
        <v>1</v>
      </c>
      <c r="AJ74">
        <v>219</v>
      </c>
      <c r="AK74" s="3966">
        <v>14863</v>
      </c>
      <c r="AL74" s="2814" t="s">
        <v>2129</v>
      </c>
      <c r="AM74" s="2814" t="s">
        <v>2129</v>
      </c>
      <c r="AN74" s="2814" t="s">
        <v>2129</v>
      </c>
      <c r="AO74" s="3953" t="s">
        <v>2129</v>
      </c>
      <c r="AP74" s="2814" t="s">
        <v>2129</v>
      </c>
      <c r="AQ74" s="3954" t="s">
        <v>2129</v>
      </c>
      <c r="AR74" t="s">
        <v>2129</v>
      </c>
      <c r="AS74" t="s">
        <v>2129</v>
      </c>
      <c r="AU74" t="s">
        <v>2129</v>
      </c>
      <c r="AW74" t="s">
        <v>2129</v>
      </c>
      <c r="AX74" t="s">
        <v>2129</v>
      </c>
      <c r="AY74" t="s">
        <v>2129</v>
      </c>
      <c r="AZ74" s="3946" t="s">
        <v>2129</v>
      </c>
      <c r="BA74" t="s">
        <v>2129</v>
      </c>
      <c r="BB74" s="3947" t="s">
        <v>2129</v>
      </c>
      <c r="BC74" s="1958" t="s">
        <v>2129</v>
      </c>
      <c r="BD74" s="1958" t="s">
        <v>2129</v>
      </c>
      <c r="BE74" s="1958" t="s">
        <v>2129</v>
      </c>
      <c r="BF74" s="3937" t="s">
        <v>2129</v>
      </c>
      <c r="BG74" s="3938" t="s">
        <v>2129</v>
      </c>
      <c r="BH74" s="3938" t="s">
        <v>2129</v>
      </c>
      <c r="BI74" s="3937" t="s">
        <v>2129</v>
      </c>
      <c r="BJ74" s="3938" t="s">
        <v>2129</v>
      </c>
      <c r="BK74" s="3939" t="s">
        <v>2129</v>
      </c>
      <c r="BL74" s="3938" t="s">
        <v>2129</v>
      </c>
      <c r="BM74" s="3938" t="s">
        <v>2129</v>
      </c>
      <c r="BN74" s="3939" t="s">
        <v>2129</v>
      </c>
      <c r="BO74" s="3937" t="s">
        <v>2129</v>
      </c>
      <c r="BP74" s="3988" t="s">
        <v>2129</v>
      </c>
      <c r="BQ74" s="3988"/>
      <c r="BR74" s="3988"/>
      <c r="BS74" s="2694"/>
    </row>
    <row r="75" spans="1:71" ht="13">
      <c r="A75">
        <v>117</v>
      </c>
      <c r="B75" s="3979" t="s">
        <v>3302</v>
      </c>
      <c r="C75" s="2694" t="s">
        <v>2129</v>
      </c>
      <c r="D75" s="2694" t="s">
        <v>2129</v>
      </c>
      <c r="E75" s="2694" t="s">
        <v>2129</v>
      </c>
      <c r="F75" s="3974" t="s">
        <v>2129</v>
      </c>
      <c r="G75" s="3975" t="s">
        <v>2129</v>
      </c>
      <c r="H75" s="3976" t="s">
        <v>2129</v>
      </c>
      <c r="I75" s="2694">
        <v>4</v>
      </c>
      <c r="J75" s="3992" t="s">
        <v>4867</v>
      </c>
      <c r="K75" s="2694">
        <v>2</v>
      </c>
      <c r="L75" s="2694" t="b">
        <v>0</v>
      </c>
      <c r="M75" s="2694" t="s">
        <v>2129</v>
      </c>
      <c r="N75" s="2477">
        <v>310589</v>
      </c>
      <c r="O75" s="2477">
        <v>0</v>
      </c>
      <c r="P75" s="2477">
        <v>0</v>
      </c>
      <c r="Q75" s="2477">
        <v>0</v>
      </c>
      <c r="R75" s="2477">
        <v>0</v>
      </c>
      <c r="S75" s="2695">
        <v>341647.9</v>
      </c>
      <c r="T75" s="2477">
        <v>341647</v>
      </c>
      <c r="U75" s="2477" t="b">
        <v>0</v>
      </c>
      <c r="V75" s="2477">
        <v>170823.5</v>
      </c>
      <c r="W75" s="2477">
        <v>0</v>
      </c>
      <c r="X75" s="3937">
        <v>2897543</v>
      </c>
      <c r="Y75" s="3938">
        <v>2897543</v>
      </c>
      <c r="Z75" s="3938" t="b">
        <v>1</v>
      </c>
      <c r="AA75" s="3938">
        <v>29268.111111111109</v>
      </c>
      <c r="AB75" s="3938"/>
      <c r="AC75" s="3938"/>
      <c r="AD75" s="3938" t="s">
        <v>2129</v>
      </c>
      <c r="AE75" s="3938"/>
      <c r="AF75" s="3938"/>
      <c r="AG75">
        <v>224</v>
      </c>
      <c r="AH75" s="3965">
        <v>99</v>
      </c>
      <c r="AI75" t="b">
        <v>1</v>
      </c>
      <c r="AJ75">
        <v>101</v>
      </c>
      <c r="AK75" s="3966">
        <v>28689</v>
      </c>
      <c r="AL75" s="2814" t="s">
        <v>2129</v>
      </c>
      <c r="AM75" s="2814" t="s">
        <v>2129</v>
      </c>
      <c r="AN75" s="2814" t="s">
        <v>2129</v>
      </c>
      <c r="AO75" s="3953" t="s">
        <v>2129</v>
      </c>
      <c r="AP75" s="2814" t="s">
        <v>2129</v>
      </c>
      <c r="AQ75" s="3954" t="s">
        <v>2129</v>
      </c>
      <c r="AR75" t="s">
        <v>2129</v>
      </c>
      <c r="AS75" t="s">
        <v>2129</v>
      </c>
      <c r="AU75" t="s">
        <v>2129</v>
      </c>
      <c r="AW75" t="s">
        <v>2129</v>
      </c>
      <c r="AX75" t="s">
        <v>2129</v>
      </c>
      <c r="AY75" t="s">
        <v>2129</v>
      </c>
      <c r="AZ75" s="3946" t="s">
        <v>2129</v>
      </c>
      <c r="BA75" t="s">
        <v>2129</v>
      </c>
      <c r="BB75" s="3947" t="s">
        <v>2129</v>
      </c>
      <c r="BC75" s="1958" t="s">
        <v>2129</v>
      </c>
      <c r="BD75" s="1958" t="s">
        <v>2129</v>
      </c>
      <c r="BE75" s="1958" t="s">
        <v>2129</v>
      </c>
      <c r="BF75" s="3937" t="s">
        <v>2129</v>
      </c>
      <c r="BG75" s="3938" t="s">
        <v>2129</v>
      </c>
      <c r="BH75" s="3938" t="s">
        <v>2129</v>
      </c>
      <c r="BI75" s="3937" t="s">
        <v>2129</v>
      </c>
      <c r="BJ75" s="3938" t="s">
        <v>2129</v>
      </c>
      <c r="BK75" s="3939" t="s">
        <v>2129</v>
      </c>
      <c r="BL75" s="3938" t="s">
        <v>2129</v>
      </c>
      <c r="BM75" s="3938" t="s">
        <v>2129</v>
      </c>
      <c r="BN75" s="3939" t="s">
        <v>2129</v>
      </c>
      <c r="BO75" s="3937" t="s">
        <v>2129</v>
      </c>
      <c r="BP75" s="3988" t="s">
        <v>2129</v>
      </c>
      <c r="BQ75" s="3988"/>
      <c r="BR75" s="3988"/>
      <c r="BS75" s="2694"/>
    </row>
    <row r="76" spans="1:71" ht="13">
      <c r="A76">
        <v>121</v>
      </c>
      <c r="B76" s="3979" t="s">
        <v>2825</v>
      </c>
      <c r="C76" s="2694" t="s">
        <v>2129</v>
      </c>
      <c r="D76" s="2694" t="s">
        <v>2129</v>
      </c>
      <c r="E76" s="2694" t="s">
        <v>2129</v>
      </c>
      <c r="F76" s="3974" t="s">
        <v>2129</v>
      </c>
      <c r="G76" s="3975" t="s">
        <v>2129</v>
      </c>
      <c r="H76" s="3976" t="s">
        <v>2129</v>
      </c>
      <c r="I76" s="2694">
        <v>15</v>
      </c>
      <c r="J76" s="3992" t="s">
        <v>3525</v>
      </c>
      <c r="K76" s="2694">
        <v>7</v>
      </c>
      <c r="L76" s="2694" t="b">
        <v>1</v>
      </c>
      <c r="M76" s="2694" t="s">
        <v>2129</v>
      </c>
      <c r="N76" s="2477">
        <v>3856475</v>
      </c>
      <c r="O76" s="2477">
        <v>388245</v>
      </c>
      <c r="P76" s="2477">
        <v>104736</v>
      </c>
      <c r="Q76" s="2477">
        <v>0</v>
      </c>
      <c r="R76" s="2477">
        <v>0</v>
      </c>
      <c r="S76" s="2695">
        <v>4784401.6000000006</v>
      </c>
      <c r="T76" s="2477">
        <v>3860396</v>
      </c>
      <c r="U76" s="2477" t="b">
        <v>1</v>
      </c>
      <c r="V76" s="2477">
        <v>551485.14285714284</v>
      </c>
      <c r="W76" s="2477">
        <v>-2948031</v>
      </c>
      <c r="X76" s="3937">
        <v>16971798</v>
      </c>
      <c r="Y76" s="3938">
        <v>19919829</v>
      </c>
      <c r="Z76" s="3938" t="b">
        <v>1</v>
      </c>
      <c r="AA76" s="3938">
        <v>43116.512987012989</v>
      </c>
      <c r="AB76" s="3938"/>
      <c r="AC76" s="3938"/>
      <c r="AD76" s="3938" t="s">
        <v>2129</v>
      </c>
      <c r="AE76" s="3938">
        <v>3000</v>
      </c>
      <c r="AF76" s="3938"/>
      <c r="AG76">
        <v>565</v>
      </c>
      <c r="AH76" s="3965">
        <v>462</v>
      </c>
      <c r="AI76" s="3965" t="b">
        <v>1</v>
      </c>
      <c r="AJ76">
        <v>660</v>
      </c>
      <c r="AK76" s="3966">
        <v>30182</v>
      </c>
      <c r="AL76" s="2814" t="s">
        <v>2129</v>
      </c>
      <c r="AM76" s="2814" t="s">
        <v>2129</v>
      </c>
      <c r="AN76" s="2814" t="s">
        <v>2129</v>
      </c>
      <c r="AO76" s="3953" t="s">
        <v>2129</v>
      </c>
      <c r="AP76" s="2814" t="s">
        <v>2129</v>
      </c>
      <c r="AQ76" s="3954" t="s">
        <v>2129</v>
      </c>
      <c r="AR76" t="s">
        <v>2129</v>
      </c>
      <c r="AS76" t="s">
        <v>2129</v>
      </c>
      <c r="AU76" t="s">
        <v>2129</v>
      </c>
      <c r="AW76" t="s">
        <v>2129</v>
      </c>
      <c r="AX76" t="s">
        <v>2129</v>
      </c>
      <c r="AY76" t="s">
        <v>2129</v>
      </c>
      <c r="AZ76" s="3946" t="s">
        <v>2129</v>
      </c>
      <c r="BA76" t="s">
        <v>2129</v>
      </c>
      <c r="BB76" s="3947" t="s">
        <v>2129</v>
      </c>
      <c r="BC76" s="1958" t="s">
        <v>2129</v>
      </c>
      <c r="BD76" s="1958" t="s">
        <v>2129</v>
      </c>
      <c r="BE76" s="1958" t="s">
        <v>2129</v>
      </c>
      <c r="BF76" s="3937" t="s">
        <v>2129</v>
      </c>
      <c r="BG76" s="3938" t="s">
        <v>2129</v>
      </c>
      <c r="BH76" s="3938" t="s">
        <v>2129</v>
      </c>
      <c r="BI76" s="3937" t="s">
        <v>2129</v>
      </c>
      <c r="BJ76" s="3938" t="s">
        <v>2129</v>
      </c>
      <c r="BK76" s="3939" t="s">
        <v>2129</v>
      </c>
      <c r="BL76" s="3938" t="s">
        <v>2129</v>
      </c>
      <c r="BM76" s="3938" t="s">
        <v>2129</v>
      </c>
      <c r="BN76" s="3939" t="s">
        <v>2129</v>
      </c>
      <c r="BO76" s="3937" t="s">
        <v>2129</v>
      </c>
      <c r="BP76" s="3988" t="s">
        <v>2129</v>
      </c>
      <c r="BQ76" s="3988"/>
      <c r="BR76" s="3988"/>
      <c r="BS76" s="2694"/>
    </row>
    <row r="77" spans="1:71" ht="13">
      <c r="A77">
        <v>127</v>
      </c>
      <c r="B77" s="3979" t="s">
        <v>3303</v>
      </c>
      <c r="C77" s="2694" t="s">
        <v>2129</v>
      </c>
      <c r="D77" s="2694" t="s">
        <v>2129</v>
      </c>
      <c r="E77" s="2694" t="s">
        <v>2129</v>
      </c>
      <c r="F77" s="3974" t="s">
        <v>2129</v>
      </c>
      <c r="G77" s="3975" t="s">
        <v>2129</v>
      </c>
      <c r="H77" s="3976" t="s">
        <v>2129</v>
      </c>
      <c r="I77" s="2694">
        <v>6</v>
      </c>
      <c r="J77" s="3992">
        <v>0</v>
      </c>
      <c r="K77" s="2694">
        <v>0</v>
      </c>
      <c r="L77" s="2694" t="b">
        <v>0</v>
      </c>
      <c r="M77" s="2694" t="s">
        <v>2129</v>
      </c>
      <c r="N77" s="2477">
        <v>0</v>
      </c>
      <c r="O77" s="2477">
        <v>0</v>
      </c>
      <c r="P77" s="2477">
        <v>0</v>
      </c>
      <c r="Q77" s="2477">
        <v>0</v>
      </c>
      <c r="R77" s="2477">
        <v>0</v>
      </c>
      <c r="S77" s="2695">
        <v>0</v>
      </c>
      <c r="T77" s="2477">
        <v>0</v>
      </c>
      <c r="U77" s="2477" t="b">
        <v>1</v>
      </c>
      <c r="V77" s="2477" t="s">
        <v>2129</v>
      </c>
      <c r="W77" s="2477">
        <v>0</v>
      </c>
      <c r="X77" s="3937">
        <v>1294910</v>
      </c>
      <c r="Y77" s="3938">
        <v>1294910</v>
      </c>
      <c r="Z77" s="3938" t="b">
        <v>1</v>
      </c>
      <c r="AA77" s="3938">
        <v>20554.126984126986</v>
      </c>
      <c r="AB77" s="3938"/>
      <c r="AC77" s="3938"/>
      <c r="AD77" s="3938" t="s">
        <v>2129</v>
      </c>
      <c r="AE77" s="3938"/>
      <c r="AF77" s="3938"/>
      <c r="AG77">
        <v>63</v>
      </c>
      <c r="AH77" s="3965">
        <v>63</v>
      </c>
      <c r="AI77" s="3965" t="b">
        <v>1</v>
      </c>
      <c r="AJ77">
        <v>78</v>
      </c>
      <c r="AK77" s="3966">
        <v>16602</v>
      </c>
      <c r="AL77" s="2814" t="s">
        <v>2129</v>
      </c>
      <c r="AM77" s="2814" t="s">
        <v>2129</v>
      </c>
      <c r="AN77" s="2814" t="s">
        <v>2129</v>
      </c>
      <c r="AO77" s="3953" t="s">
        <v>2129</v>
      </c>
      <c r="AP77" s="2814" t="s">
        <v>2129</v>
      </c>
      <c r="AQ77" s="3954" t="s">
        <v>2129</v>
      </c>
      <c r="AR77" t="s">
        <v>2129</v>
      </c>
      <c r="AS77" t="s">
        <v>2129</v>
      </c>
      <c r="AU77" t="s">
        <v>2129</v>
      </c>
      <c r="AW77" t="s">
        <v>2129</v>
      </c>
      <c r="AX77" t="s">
        <v>2129</v>
      </c>
      <c r="AY77" t="s">
        <v>2129</v>
      </c>
      <c r="AZ77" s="3946" t="s">
        <v>2129</v>
      </c>
      <c r="BA77" t="s">
        <v>2129</v>
      </c>
      <c r="BB77" s="3947" t="s">
        <v>2129</v>
      </c>
      <c r="BC77" s="1958" t="s">
        <v>2129</v>
      </c>
      <c r="BD77" s="1958" t="s">
        <v>2129</v>
      </c>
      <c r="BE77" s="1958" t="s">
        <v>2129</v>
      </c>
      <c r="BF77" s="3937" t="s">
        <v>2129</v>
      </c>
      <c r="BG77" s="3938" t="s">
        <v>2129</v>
      </c>
      <c r="BH77" s="3938" t="s">
        <v>2129</v>
      </c>
      <c r="BI77" s="3937" t="s">
        <v>2129</v>
      </c>
      <c r="BJ77" s="3938" t="s">
        <v>2129</v>
      </c>
      <c r="BK77" s="3939" t="s">
        <v>2129</v>
      </c>
      <c r="BL77" s="3938" t="s">
        <v>2129</v>
      </c>
      <c r="BM77" s="3938" t="s">
        <v>2129</v>
      </c>
      <c r="BN77" s="3939" t="s">
        <v>2129</v>
      </c>
      <c r="BO77" s="3937" t="s">
        <v>2129</v>
      </c>
      <c r="BP77" s="3988" t="s">
        <v>2129</v>
      </c>
      <c r="BQ77" s="3988"/>
      <c r="BR77" s="3988"/>
      <c r="BS77" s="2694"/>
    </row>
    <row r="78" spans="1:71" ht="13">
      <c r="A78">
        <v>130</v>
      </c>
      <c r="B78" s="3979" t="s">
        <v>3304</v>
      </c>
      <c r="C78" s="2694" t="s">
        <v>3791</v>
      </c>
      <c r="D78" s="2694" t="s">
        <v>2129</v>
      </c>
      <c r="E78" s="2694" t="s">
        <v>2129</v>
      </c>
      <c r="F78" s="3974" t="s">
        <v>2129</v>
      </c>
      <c r="G78" s="3975" t="s">
        <v>2129</v>
      </c>
      <c r="H78" s="3976" t="s">
        <v>2129</v>
      </c>
      <c r="I78" s="2694">
        <v>2</v>
      </c>
      <c r="J78" s="3992" t="s">
        <v>3481</v>
      </c>
      <c r="K78" s="2694">
        <v>2</v>
      </c>
      <c r="L78" s="2694" t="b">
        <v>0</v>
      </c>
      <c r="M78" s="2694" t="s">
        <v>2129</v>
      </c>
      <c r="N78" s="2477">
        <v>101178</v>
      </c>
      <c r="O78" s="2477">
        <v>0</v>
      </c>
      <c r="P78" s="2477">
        <v>0</v>
      </c>
      <c r="Q78" s="2477">
        <v>0</v>
      </c>
      <c r="R78" s="2477">
        <v>0</v>
      </c>
      <c r="S78" s="2695">
        <v>111295.8</v>
      </c>
      <c r="T78" s="2477">
        <v>111295</v>
      </c>
      <c r="U78" s="2477" t="b">
        <v>0</v>
      </c>
      <c r="V78" s="2477">
        <v>55647.5</v>
      </c>
      <c r="W78" s="2477">
        <v>-423170</v>
      </c>
      <c r="X78" s="3937">
        <v>1475331</v>
      </c>
      <c r="Y78" s="3938">
        <v>1898501</v>
      </c>
      <c r="Z78" s="3938" t="b">
        <v>1</v>
      </c>
      <c r="AA78" s="3938">
        <v>25313.346666666668</v>
      </c>
      <c r="AB78" s="3938"/>
      <c r="AC78" s="3938"/>
      <c r="AD78" s="3938">
        <v>2937.4918768373823</v>
      </c>
      <c r="AE78" s="3938"/>
      <c r="AF78" s="3938"/>
      <c r="AG78">
        <v>208</v>
      </c>
      <c r="AH78" s="3965">
        <v>75</v>
      </c>
      <c r="AI78" s="3965" t="b">
        <v>1</v>
      </c>
      <c r="AJ78">
        <v>75</v>
      </c>
      <c r="AK78" s="3966">
        <v>25314</v>
      </c>
      <c r="AL78" s="2814">
        <v>562</v>
      </c>
      <c r="AM78" s="2814" t="s">
        <v>2129</v>
      </c>
      <c r="AN78" s="2814" t="s">
        <v>2129</v>
      </c>
      <c r="AO78" s="3953" t="s">
        <v>2129</v>
      </c>
      <c r="AP78" s="2814" t="s">
        <v>2129</v>
      </c>
      <c r="AQ78" s="3954" t="s">
        <v>2129</v>
      </c>
      <c r="AR78">
        <v>487</v>
      </c>
      <c r="AS78" t="s">
        <v>2129</v>
      </c>
      <c r="AU78" t="s">
        <v>2129</v>
      </c>
      <c r="AW78">
        <v>8</v>
      </c>
      <c r="AX78" t="s">
        <v>2129</v>
      </c>
      <c r="AY78" t="s">
        <v>2129</v>
      </c>
      <c r="AZ78" s="3946" t="s">
        <v>2129</v>
      </c>
      <c r="BA78" t="s">
        <v>2129</v>
      </c>
      <c r="BB78" s="3947" t="s">
        <v>2129</v>
      </c>
      <c r="BC78" s="1958">
        <v>14226468</v>
      </c>
      <c r="BD78" s="1958" t="s">
        <v>2129</v>
      </c>
      <c r="BE78" s="1958" t="s">
        <v>2129</v>
      </c>
      <c r="BF78" s="3937" t="s">
        <v>2129</v>
      </c>
      <c r="BG78" s="3938" t="s">
        <v>2129</v>
      </c>
      <c r="BH78" s="3938" t="s">
        <v>2129</v>
      </c>
      <c r="BI78" s="3937">
        <v>890360</v>
      </c>
      <c r="BJ78" s="3938" t="s">
        <v>2129</v>
      </c>
      <c r="BK78" s="3939" t="s">
        <v>2129</v>
      </c>
      <c r="BL78" s="3938" t="s">
        <v>2129</v>
      </c>
      <c r="BM78" s="3938" t="s">
        <v>2129</v>
      </c>
      <c r="BN78" s="3939" t="s">
        <v>2129</v>
      </c>
      <c r="BO78" s="3937">
        <v>6884500</v>
      </c>
      <c r="BP78" s="3988" t="s">
        <v>2129</v>
      </c>
      <c r="BQ78" s="3988"/>
      <c r="BR78" s="3988"/>
      <c r="BS78" s="2694"/>
    </row>
    <row r="79" spans="1:71" ht="13">
      <c r="A79">
        <v>133</v>
      </c>
      <c r="B79" s="3979" t="s">
        <v>3305</v>
      </c>
      <c r="C79" s="2694" t="s">
        <v>3791</v>
      </c>
      <c r="D79" s="2694" t="s">
        <v>2129</v>
      </c>
      <c r="E79" s="2694" t="s">
        <v>2129</v>
      </c>
      <c r="F79" s="3974" t="s">
        <v>2129</v>
      </c>
      <c r="G79" s="3975" t="s">
        <v>2129</v>
      </c>
      <c r="H79" s="3976" t="s">
        <v>2129</v>
      </c>
      <c r="I79" s="2694">
        <v>0</v>
      </c>
      <c r="J79" s="3992" t="s">
        <v>2854</v>
      </c>
      <c r="K79" s="2694">
        <v>0</v>
      </c>
      <c r="L79" s="2694" t="b">
        <v>0</v>
      </c>
      <c r="M79" s="2694" t="s">
        <v>2129</v>
      </c>
      <c r="N79" s="2477">
        <v>0</v>
      </c>
      <c r="O79" s="2477">
        <v>0</v>
      </c>
      <c r="P79" s="2477">
        <v>0</v>
      </c>
      <c r="Q79" s="2477">
        <v>0</v>
      </c>
      <c r="R79" s="2477">
        <v>0</v>
      </c>
      <c r="S79" s="2695">
        <v>0</v>
      </c>
      <c r="T79" s="2477">
        <v>0</v>
      </c>
      <c r="U79" s="2477" t="b">
        <v>1</v>
      </c>
      <c r="V79" s="2477" t="s">
        <v>2129</v>
      </c>
      <c r="W79" s="2477">
        <v>5044965</v>
      </c>
      <c r="X79" s="3937">
        <v>10948390</v>
      </c>
      <c r="Y79" s="3938">
        <v>5903425</v>
      </c>
      <c r="Z79" s="3938" t="b">
        <v>1</v>
      </c>
      <c r="AA79" s="3938">
        <v>31569.117647058825</v>
      </c>
      <c r="AB79" s="3938"/>
      <c r="AC79" s="3938"/>
      <c r="AD79" s="3938">
        <v>1512.0509700966898</v>
      </c>
      <c r="AE79" s="3938"/>
      <c r="AF79" s="3938"/>
      <c r="AG79">
        <v>400</v>
      </c>
      <c r="AH79" s="3965">
        <v>187</v>
      </c>
      <c r="AI79" s="3965" t="b">
        <v>1</v>
      </c>
      <c r="AJ79">
        <v>265</v>
      </c>
      <c r="AK79" s="3966">
        <v>22278</v>
      </c>
      <c r="AL79" s="2814">
        <v>3395</v>
      </c>
      <c r="AM79" s="2814" t="s">
        <v>2129</v>
      </c>
      <c r="AN79" s="2814" t="s">
        <v>2129</v>
      </c>
      <c r="AO79" s="3953" t="s">
        <v>2129</v>
      </c>
      <c r="AP79" s="2814" t="s">
        <v>2129</v>
      </c>
      <c r="AQ79" s="3954" t="s">
        <v>2129</v>
      </c>
      <c r="AR79">
        <v>3208</v>
      </c>
      <c r="AS79" t="s">
        <v>2129</v>
      </c>
      <c r="AU79" t="s">
        <v>2129</v>
      </c>
      <c r="AW79">
        <v>29</v>
      </c>
      <c r="AX79" t="s">
        <v>2129</v>
      </c>
      <c r="AY79" t="s">
        <v>2129</v>
      </c>
      <c r="AZ79" s="3946" t="s">
        <v>2129</v>
      </c>
      <c r="BA79" t="s">
        <v>2129</v>
      </c>
      <c r="BB79" s="3947" t="s">
        <v>2129</v>
      </c>
      <c r="BC79" s="1958">
        <v>75633810</v>
      </c>
      <c r="BD79" s="1958" t="s">
        <v>2129</v>
      </c>
      <c r="BE79" s="1958" t="s">
        <v>2129</v>
      </c>
      <c r="BF79" s="3937" t="s">
        <v>2129</v>
      </c>
      <c r="BG79" s="3938" t="s">
        <v>2129</v>
      </c>
      <c r="BH79" s="3938" t="s">
        <v>2129</v>
      </c>
      <c r="BI79" s="3937" t="s">
        <v>2129</v>
      </c>
      <c r="BJ79" s="3938" t="s">
        <v>2129</v>
      </c>
      <c r="BK79" s="3939" t="s">
        <v>2129</v>
      </c>
      <c r="BL79" s="3938" t="s">
        <v>2129</v>
      </c>
      <c r="BM79" s="3938" t="s">
        <v>2129</v>
      </c>
      <c r="BN79" s="3939" t="s">
        <v>2129</v>
      </c>
      <c r="BO79" s="3937">
        <v>41588750</v>
      </c>
      <c r="BP79" s="3988" t="s">
        <v>2129</v>
      </c>
      <c r="BQ79" s="3988"/>
      <c r="BR79" s="3988"/>
      <c r="BS79" s="2694"/>
    </row>
    <row r="80" spans="1:71" ht="13">
      <c r="A80">
        <v>139</v>
      </c>
      <c r="B80" s="3979" t="s">
        <v>3306</v>
      </c>
      <c r="C80" s="2694" t="s">
        <v>2129</v>
      </c>
      <c r="D80" s="2694" t="s">
        <v>2129</v>
      </c>
      <c r="E80" s="2694" t="s">
        <v>2129</v>
      </c>
      <c r="F80" s="3974" t="s">
        <v>2129</v>
      </c>
      <c r="G80" s="3975" t="s">
        <v>2129</v>
      </c>
      <c r="H80" s="3976" t="s">
        <v>2129</v>
      </c>
      <c r="I80" s="2694">
        <v>0</v>
      </c>
      <c r="J80" s="3992" t="s">
        <v>3975</v>
      </c>
      <c r="K80" s="2694">
        <v>1</v>
      </c>
      <c r="L80" s="2694" t="b">
        <v>0</v>
      </c>
      <c r="M80" s="2694" t="s">
        <v>2129</v>
      </c>
      <c r="N80" s="2477">
        <v>35295</v>
      </c>
      <c r="O80" s="2477">
        <v>0</v>
      </c>
      <c r="P80" s="2477">
        <v>0</v>
      </c>
      <c r="Q80" s="2477">
        <v>0</v>
      </c>
      <c r="R80" s="2477">
        <v>0</v>
      </c>
      <c r="S80" s="2695">
        <v>38824.5</v>
      </c>
      <c r="T80" s="2477">
        <v>38824</v>
      </c>
      <c r="U80" s="2477" t="b">
        <v>0</v>
      </c>
      <c r="V80" s="2477">
        <v>38824</v>
      </c>
      <c r="W80" s="2477">
        <v>0</v>
      </c>
      <c r="X80" s="3937">
        <v>12317498</v>
      </c>
      <c r="Y80" s="3938">
        <v>12317498</v>
      </c>
      <c r="Z80" s="3938" t="b">
        <v>1</v>
      </c>
      <c r="AA80" s="3938">
        <v>58101.405660377357</v>
      </c>
      <c r="AB80" s="3938"/>
      <c r="AC80" s="3938"/>
      <c r="AD80" s="3938" t="s">
        <v>2129</v>
      </c>
      <c r="AE80" s="3938"/>
      <c r="AF80" s="3938"/>
      <c r="AG80">
        <v>218</v>
      </c>
      <c r="AH80" s="3965">
        <v>212</v>
      </c>
      <c r="AI80" s="3967" t="b">
        <v>1</v>
      </c>
      <c r="AJ80">
        <v>246</v>
      </c>
      <c r="AK80" s="3966">
        <v>50072</v>
      </c>
      <c r="AL80" s="2814" t="s">
        <v>2129</v>
      </c>
      <c r="AM80" s="2814" t="s">
        <v>2129</v>
      </c>
      <c r="AN80" s="2814" t="s">
        <v>2129</v>
      </c>
      <c r="AO80" s="3953" t="s">
        <v>2129</v>
      </c>
      <c r="AP80" s="2814" t="s">
        <v>2129</v>
      </c>
      <c r="AQ80" s="3954" t="s">
        <v>2129</v>
      </c>
      <c r="AR80" t="s">
        <v>2129</v>
      </c>
      <c r="AS80" t="s">
        <v>2129</v>
      </c>
      <c r="AU80" t="s">
        <v>2129</v>
      </c>
      <c r="AW80" t="s">
        <v>2129</v>
      </c>
      <c r="AX80" t="s">
        <v>2129</v>
      </c>
      <c r="AY80" t="s">
        <v>2129</v>
      </c>
      <c r="AZ80" s="3946" t="s">
        <v>2129</v>
      </c>
      <c r="BA80" t="s">
        <v>2129</v>
      </c>
      <c r="BB80" s="3947" t="s">
        <v>2129</v>
      </c>
      <c r="BC80" s="1958" t="s">
        <v>2129</v>
      </c>
      <c r="BD80" s="1958" t="s">
        <v>2129</v>
      </c>
      <c r="BE80" s="1958" t="s">
        <v>2129</v>
      </c>
      <c r="BF80" s="3937" t="s">
        <v>2129</v>
      </c>
      <c r="BG80" s="3938" t="s">
        <v>2129</v>
      </c>
      <c r="BH80" s="3938" t="s">
        <v>2129</v>
      </c>
      <c r="BI80" s="3937" t="s">
        <v>2129</v>
      </c>
      <c r="BJ80" s="3938" t="s">
        <v>2129</v>
      </c>
      <c r="BK80" s="3939" t="s">
        <v>2129</v>
      </c>
      <c r="BL80" s="3938" t="s">
        <v>2129</v>
      </c>
      <c r="BM80" s="3938" t="s">
        <v>2129</v>
      </c>
      <c r="BN80" s="3939" t="s">
        <v>2129</v>
      </c>
      <c r="BO80" s="3937" t="s">
        <v>2129</v>
      </c>
      <c r="BP80" s="3988" t="s">
        <v>2129</v>
      </c>
      <c r="BQ80" s="3988"/>
      <c r="BR80" s="3988"/>
      <c r="BS80" s="2694"/>
    </row>
    <row r="81" spans="1:71" ht="13">
      <c r="A81">
        <v>140</v>
      </c>
      <c r="B81" s="3980" t="s">
        <v>3307</v>
      </c>
      <c r="C81" s="2694" t="s">
        <v>3791</v>
      </c>
      <c r="D81" s="2694" t="s">
        <v>2129</v>
      </c>
      <c r="E81" s="2694" t="s">
        <v>2129</v>
      </c>
      <c r="F81" s="3974" t="s">
        <v>2129</v>
      </c>
      <c r="G81" s="3975" t="s">
        <v>2695</v>
      </c>
      <c r="H81" s="3976" t="s">
        <v>2129</v>
      </c>
      <c r="I81" s="2694">
        <v>7</v>
      </c>
      <c r="J81" s="3992" t="s">
        <v>4943</v>
      </c>
      <c r="K81" s="2694">
        <v>2</v>
      </c>
      <c r="L81" s="2694" t="b">
        <v>0</v>
      </c>
      <c r="M81" s="2694" t="s">
        <v>2129</v>
      </c>
      <c r="N81" s="2477">
        <v>776472</v>
      </c>
      <c r="O81" s="2477"/>
      <c r="P81" s="2477"/>
      <c r="Q81" s="2477"/>
      <c r="R81" s="2477"/>
      <c r="S81" s="2695"/>
      <c r="T81" s="2477">
        <v>854119</v>
      </c>
      <c r="U81" s="2477" t="b">
        <v>0</v>
      </c>
      <c r="V81" s="2477">
        <v>427059.5</v>
      </c>
      <c r="W81" s="2477">
        <v>-883746</v>
      </c>
      <c r="X81" s="3937">
        <v>1373454</v>
      </c>
      <c r="Y81" s="3938">
        <v>2257200</v>
      </c>
      <c r="Z81" s="3938" t="b">
        <v>1</v>
      </c>
      <c r="AA81" s="3938">
        <v>21095.327102803738</v>
      </c>
      <c r="AB81" s="3938"/>
      <c r="AC81" s="3938"/>
      <c r="AD81" s="3938">
        <v>1492.6103488179867</v>
      </c>
      <c r="AE81" s="3938"/>
      <c r="AF81" s="3938"/>
      <c r="AG81" t="s">
        <v>3308</v>
      </c>
      <c r="AH81" s="3965">
        <v>107</v>
      </c>
      <c r="AI81" s="3965" t="b">
        <v>1</v>
      </c>
      <c r="AJ81">
        <v>107</v>
      </c>
      <c r="AK81" s="3966">
        <v>21096</v>
      </c>
      <c r="AL81" s="2814">
        <v>1315</v>
      </c>
      <c r="AM81" s="2814" t="s">
        <v>2129</v>
      </c>
      <c r="AN81" s="2814" t="s">
        <v>2129</v>
      </c>
      <c r="AO81" s="3953" t="s">
        <v>2129</v>
      </c>
      <c r="AP81" s="2814">
        <v>873</v>
      </c>
      <c r="AQ81" s="3954" t="s">
        <v>2129</v>
      </c>
      <c r="AR81">
        <v>1208</v>
      </c>
      <c r="AS81" t="s">
        <v>2129</v>
      </c>
      <c r="AU81" t="s">
        <v>2129</v>
      </c>
      <c r="AW81">
        <v>13</v>
      </c>
      <c r="AX81" t="s">
        <v>2129</v>
      </c>
      <c r="AY81" t="s">
        <v>2129</v>
      </c>
      <c r="AZ81" s="3946" t="s">
        <v>2129</v>
      </c>
      <c r="BA81">
        <v>9</v>
      </c>
      <c r="BB81" s="3947" t="s">
        <v>2129</v>
      </c>
      <c r="BC81" s="1958">
        <v>27741240</v>
      </c>
      <c r="BD81" s="1958" t="s">
        <v>2129</v>
      </c>
      <c r="BE81" s="1958" t="s">
        <v>2129</v>
      </c>
      <c r="BF81" s="3937" t="s">
        <v>2129</v>
      </c>
      <c r="BG81" s="3938">
        <v>18416808</v>
      </c>
      <c r="BH81" s="3938" t="s">
        <v>2129</v>
      </c>
      <c r="BI81" s="3937">
        <v>11103547</v>
      </c>
      <c r="BJ81" s="3938" t="s">
        <v>2129</v>
      </c>
      <c r="BK81" s="3939" t="s">
        <v>2129</v>
      </c>
      <c r="BL81" s="3938" t="s">
        <v>2129</v>
      </c>
      <c r="BM81" s="3938">
        <v>7687071</v>
      </c>
      <c r="BN81" s="3939" t="s">
        <v>2129</v>
      </c>
      <c r="BO81" s="3937">
        <v>16108750</v>
      </c>
      <c r="BP81" s="3988" t="s">
        <v>2129</v>
      </c>
      <c r="BQ81" s="3988"/>
      <c r="BR81" s="3988"/>
      <c r="BS81" s="2694"/>
    </row>
    <row r="82" spans="1:71" ht="13">
      <c r="A82">
        <v>141</v>
      </c>
      <c r="B82" s="3979" t="s">
        <v>3309</v>
      </c>
      <c r="C82" s="2694" t="s">
        <v>2129</v>
      </c>
      <c r="D82" s="2694" t="s">
        <v>2129</v>
      </c>
      <c r="E82" s="2694" t="s">
        <v>2129</v>
      </c>
      <c r="F82" s="3974" t="s">
        <v>2129</v>
      </c>
      <c r="G82" s="3975" t="s">
        <v>2129</v>
      </c>
      <c r="H82" s="3976" t="s">
        <v>2129</v>
      </c>
      <c r="I82" s="2694">
        <v>6</v>
      </c>
      <c r="J82" s="3992">
        <v>0</v>
      </c>
      <c r="K82" s="2694">
        <v>3</v>
      </c>
      <c r="L82" s="2694" t="b">
        <v>0</v>
      </c>
      <c r="M82" s="2694" t="s">
        <v>2129</v>
      </c>
      <c r="N82" s="2477">
        <v>329414</v>
      </c>
      <c r="O82" s="2477">
        <v>0</v>
      </c>
      <c r="P82" s="2477">
        <v>0</v>
      </c>
      <c r="Q82" s="2477">
        <v>0</v>
      </c>
      <c r="R82" s="2477">
        <v>0</v>
      </c>
      <c r="S82" s="2695">
        <v>362355.4</v>
      </c>
      <c r="T82" s="2477">
        <v>362355</v>
      </c>
      <c r="U82" s="2477" t="b">
        <v>0</v>
      </c>
      <c r="V82" s="2477">
        <v>120785</v>
      </c>
      <c r="W82" s="2477">
        <v>0</v>
      </c>
      <c r="X82" s="3937">
        <v>2705243</v>
      </c>
      <c r="Y82" s="3938">
        <v>2705243</v>
      </c>
      <c r="Z82" s="3938" t="b">
        <v>1</v>
      </c>
      <c r="AA82" s="3938">
        <v>27325.686868686869</v>
      </c>
      <c r="AB82" s="3938"/>
      <c r="AC82" s="3938"/>
      <c r="AD82" s="3938" t="s">
        <v>2129</v>
      </c>
      <c r="AE82" s="3938"/>
      <c r="AF82" s="3938"/>
      <c r="AG82" t="s">
        <v>3308</v>
      </c>
      <c r="AH82" s="3965">
        <v>99</v>
      </c>
      <c r="AI82" t="b">
        <v>1</v>
      </c>
      <c r="AJ82">
        <v>119</v>
      </c>
      <c r="AK82" s="3966">
        <v>22734</v>
      </c>
      <c r="AL82" s="2814" t="s">
        <v>2129</v>
      </c>
      <c r="AM82" s="2814" t="s">
        <v>2129</v>
      </c>
      <c r="AN82" s="2814" t="s">
        <v>2129</v>
      </c>
      <c r="AO82" s="3953" t="s">
        <v>2129</v>
      </c>
      <c r="AP82" s="2814" t="s">
        <v>2129</v>
      </c>
      <c r="AQ82" s="3954" t="s">
        <v>2129</v>
      </c>
      <c r="AR82" t="s">
        <v>2129</v>
      </c>
      <c r="AS82" t="s">
        <v>2129</v>
      </c>
      <c r="AU82" t="s">
        <v>2129</v>
      </c>
      <c r="AW82" t="s">
        <v>2129</v>
      </c>
      <c r="AX82" t="s">
        <v>2129</v>
      </c>
      <c r="AY82" t="s">
        <v>2129</v>
      </c>
      <c r="AZ82" s="3946" t="s">
        <v>2129</v>
      </c>
      <c r="BA82" t="s">
        <v>2129</v>
      </c>
      <c r="BB82" s="3947" t="s">
        <v>2129</v>
      </c>
      <c r="BC82" s="1958" t="s">
        <v>2129</v>
      </c>
      <c r="BD82" s="1958" t="s">
        <v>2129</v>
      </c>
      <c r="BE82" s="1958" t="s">
        <v>2129</v>
      </c>
      <c r="BF82" s="3937" t="s">
        <v>2129</v>
      </c>
      <c r="BG82" s="3938" t="s">
        <v>2129</v>
      </c>
      <c r="BH82" s="3938" t="s">
        <v>2129</v>
      </c>
      <c r="BI82" s="3937" t="s">
        <v>2129</v>
      </c>
      <c r="BJ82" s="3938" t="s">
        <v>2129</v>
      </c>
      <c r="BK82" s="3939" t="s">
        <v>2129</v>
      </c>
      <c r="BL82" s="3938" t="s">
        <v>2129</v>
      </c>
      <c r="BM82" s="3938" t="s">
        <v>2129</v>
      </c>
      <c r="BN82" s="3939" t="s">
        <v>2129</v>
      </c>
      <c r="BO82" s="3937" t="s">
        <v>2129</v>
      </c>
      <c r="BP82" s="3988" t="s">
        <v>2129</v>
      </c>
      <c r="BQ82" s="3988"/>
      <c r="BR82" s="3988"/>
      <c r="BS82" s="2694"/>
    </row>
    <row r="83" spans="1:71" ht="13">
      <c r="A83">
        <v>146</v>
      </c>
      <c r="B83" s="3979" t="s">
        <v>3310</v>
      </c>
      <c r="C83" s="2694" t="s">
        <v>2129</v>
      </c>
      <c r="D83" s="2694" t="s">
        <v>2129</v>
      </c>
      <c r="E83" s="2694" t="s">
        <v>2129</v>
      </c>
      <c r="F83" s="3974" t="s">
        <v>2129</v>
      </c>
      <c r="G83" s="3975" t="s">
        <v>2129</v>
      </c>
      <c r="H83" s="3976" t="s">
        <v>2129</v>
      </c>
      <c r="I83" s="2694">
        <v>0</v>
      </c>
      <c r="J83" s="3992" t="s">
        <v>2854</v>
      </c>
      <c r="K83" s="2694">
        <v>0</v>
      </c>
      <c r="L83" s="2694" t="b">
        <v>1</v>
      </c>
      <c r="M83" s="2694" t="s">
        <v>2129</v>
      </c>
      <c r="N83" s="2477">
        <v>0</v>
      </c>
      <c r="O83" s="2477">
        <v>0</v>
      </c>
      <c r="P83" s="2477">
        <v>0</v>
      </c>
      <c r="Q83" s="2477">
        <v>0</v>
      </c>
      <c r="R83" s="2477">
        <v>0</v>
      </c>
      <c r="S83" s="2695">
        <v>0</v>
      </c>
      <c r="T83" s="2477">
        <v>0</v>
      </c>
      <c r="U83" s="2477" t="b">
        <v>1</v>
      </c>
      <c r="V83" s="2477" t="s">
        <v>2129</v>
      </c>
      <c r="W83" s="2477">
        <v>0</v>
      </c>
      <c r="X83" s="3937">
        <v>1801162</v>
      </c>
      <c r="Y83" s="3938">
        <v>1801162</v>
      </c>
      <c r="Z83" s="3938" t="b">
        <v>1</v>
      </c>
      <c r="AA83" s="3938">
        <v>30019.366666666665</v>
      </c>
      <c r="AB83" s="3938"/>
      <c r="AC83" s="3938"/>
      <c r="AD83" s="3938" t="s">
        <v>2129</v>
      </c>
      <c r="AE83" s="3938"/>
      <c r="AF83" s="3938"/>
      <c r="AG83">
        <v>143</v>
      </c>
      <c r="AH83" s="3965">
        <v>60</v>
      </c>
      <c r="AI83" s="3965" t="b">
        <v>1</v>
      </c>
      <c r="AJ83">
        <v>80</v>
      </c>
      <c r="AK83" s="3966">
        <v>22515</v>
      </c>
      <c r="AL83" s="2814" t="s">
        <v>2129</v>
      </c>
      <c r="AM83" s="2814" t="s">
        <v>2129</v>
      </c>
      <c r="AN83" s="2814" t="s">
        <v>2129</v>
      </c>
      <c r="AO83" s="3953" t="s">
        <v>2129</v>
      </c>
      <c r="AP83" s="2814" t="s">
        <v>2129</v>
      </c>
      <c r="AQ83" s="3954" t="s">
        <v>2129</v>
      </c>
      <c r="AR83" t="s">
        <v>2129</v>
      </c>
      <c r="AS83" t="s">
        <v>2129</v>
      </c>
      <c r="AU83" t="s">
        <v>2129</v>
      </c>
      <c r="AW83" t="s">
        <v>2129</v>
      </c>
      <c r="AX83" t="s">
        <v>2129</v>
      </c>
      <c r="AY83" t="s">
        <v>2129</v>
      </c>
      <c r="AZ83" s="3946" t="s">
        <v>2129</v>
      </c>
      <c r="BA83" t="s">
        <v>2129</v>
      </c>
      <c r="BB83" s="3947" t="s">
        <v>2129</v>
      </c>
      <c r="BC83" s="1958" t="s">
        <v>2129</v>
      </c>
      <c r="BD83" s="1958" t="s">
        <v>2129</v>
      </c>
      <c r="BE83" s="1958" t="s">
        <v>2129</v>
      </c>
      <c r="BF83" s="3937" t="s">
        <v>2129</v>
      </c>
      <c r="BG83" s="3938" t="s">
        <v>2129</v>
      </c>
      <c r="BH83" s="3938" t="s">
        <v>2129</v>
      </c>
      <c r="BI83" s="3937" t="s">
        <v>2129</v>
      </c>
      <c r="BJ83" s="3938" t="s">
        <v>2129</v>
      </c>
      <c r="BK83" s="3939" t="s">
        <v>2129</v>
      </c>
      <c r="BL83" s="3938" t="s">
        <v>2129</v>
      </c>
      <c r="BM83" s="3938" t="s">
        <v>2129</v>
      </c>
      <c r="BN83" s="3939" t="s">
        <v>2129</v>
      </c>
      <c r="BO83" s="3937" t="s">
        <v>2129</v>
      </c>
      <c r="BP83" s="3988" t="s">
        <v>2129</v>
      </c>
      <c r="BQ83" s="3988"/>
      <c r="BR83" s="3988"/>
      <c r="BS83" s="2694"/>
    </row>
    <row r="84" spans="1:71" ht="13">
      <c r="A84">
        <v>154</v>
      </c>
      <c r="B84" s="3979" t="s">
        <v>3311</v>
      </c>
      <c r="C84" s="2694" t="s">
        <v>2129</v>
      </c>
      <c r="D84" s="2694" t="s">
        <v>2129</v>
      </c>
      <c r="E84" s="2694" t="s">
        <v>2129</v>
      </c>
      <c r="F84" s="3974" t="s">
        <v>2129</v>
      </c>
      <c r="G84" s="3975" t="s">
        <v>2129</v>
      </c>
      <c r="H84" s="3976" t="s">
        <v>2129</v>
      </c>
      <c r="I84" s="2694">
        <v>0</v>
      </c>
      <c r="J84" s="3992" t="s">
        <v>2854</v>
      </c>
      <c r="K84" s="2694">
        <v>0</v>
      </c>
      <c r="L84" s="2694" t="b">
        <v>0</v>
      </c>
      <c r="M84" s="2694" t="s">
        <v>2129</v>
      </c>
      <c r="N84" s="2477">
        <v>0</v>
      </c>
      <c r="O84" s="2477">
        <v>0</v>
      </c>
      <c r="P84" s="2477">
        <v>0</v>
      </c>
      <c r="Q84" s="2477">
        <v>0</v>
      </c>
      <c r="R84" s="2477">
        <v>0</v>
      </c>
      <c r="S84" s="2695">
        <v>0</v>
      </c>
      <c r="T84" s="2477">
        <v>0</v>
      </c>
      <c r="U84" s="2477" t="b">
        <v>1</v>
      </c>
      <c r="V84" s="2477" t="s">
        <v>2129</v>
      </c>
      <c r="W84" s="2477">
        <v>0</v>
      </c>
      <c r="X84" s="3937">
        <v>2788236</v>
      </c>
      <c r="Y84" s="3938">
        <v>2788236</v>
      </c>
      <c r="Z84" s="3938" t="b">
        <v>1</v>
      </c>
      <c r="AA84" s="3938">
        <v>34852.949999999997</v>
      </c>
      <c r="AB84" s="3938"/>
      <c r="AC84" s="3938"/>
      <c r="AD84" s="3938" t="s">
        <v>2129</v>
      </c>
      <c r="AE84" s="3938"/>
      <c r="AF84" s="3938"/>
      <c r="AG84">
        <v>246</v>
      </c>
      <c r="AH84" s="3965">
        <v>80</v>
      </c>
      <c r="AI84" s="3965" t="b">
        <v>1</v>
      </c>
      <c r="AJ84">
        <v>100</v>
      </c>
      <c r="AK84" s="3966">
        <v>27883</v>
      </c>
      <c r="AL84" s="2814" t="s">
        <v>2129</v>
      </c>
      <c r="AM84" s="2814" t="s">
        <v>2129</v>
      </c>
      <c r="AN84" s="2814" t="s">
        <v>2129</v>
      </c>
      <c r="AO84" s="3953" t="s">
        <v>2129</v>
      </c>
      <c r="AP84" s="2814" t="s">
        <v>2129</v>
      </c>
      <c r="AQ84" s="3954" t="s">
        <v>2129</v>
      </c>
      <c r="AR84" t="s">
        <v>2129</v>
      </c>
      <c r="AS84" t="s">
        <v>2129</v>
      </c>
      <c r="AU84" t="s">
        <v>2129</v>
      </c>
      <c r="AW84" t="s">
        <v>2129</v>
      </c>
      <c r="AX84" t="s">
        <v>2129</v>
      </c>
      <c r="AY84" t="s">
        <v>2129</v>
      </c>
      <c r="AZ84" s="3946" t="s">
        <v>2129</v>
      </c>
      <c r="BA84" t="s">
        <v>2129</v>
      </c>
      <c r="BB84" s="3947" t="s">
        <v>2129</v>
      </c>
      <c r="BC84" s="1958" t="s">
        <v>2129</v>
      </c>
      <c r="BD84" s="1958" t="s">
        <v>2129</v>
      </c>
      <c r="BE84" s="1958" t="s">
        <v>2129</v>
      </c>
      <c r="BF84" s="3937" t="s">
        <v>2129</v>
      </c>
      <c r="BG84" s="3938" t="s">
        <v>2129</v>
      </c>
      <c r="BH84" s="3938" t="s">
        <v>2129</v>
      </c>
      <c r="BI84" s="3937" t="s">
        <v>2129</v>
      </c>
      <c r="BJ84" s="3938" t="s">
        <v>2129</v>
      </c>
      <c r="BK84" s="3939" t="s">
        <v>2129</v>
      </c>
      <c r="BL84" s="3938" t="s">
        <v>2129</v>
      </c>
      <c r="BM84" s="3938" t="s">
        <v>2129</v>
      </c>
      <c r="BN84" s="3939" t="s">
        <v>2129</v>
      </c>
      <c r="BO84" s="3937" t="s">
        <v>2129</v>
      </c>
      <c r="BP84" s="3988" t="s">
        <v>2129</v>
      </c>
      <c r="BQ84" s="3988"/>
      <c r="BR84" s="3988"/>
      <c r="BS84" s="2694"/>
    </row>
    <row r="85" spans="1:71" ht="13">
      <c r="A85">
        <v>156</v>
      </c>
      <c r="B85" s="3980" t="s">
        <v>3312</v>
      </c>
      <c r="C85" s="2694" t="s">
        <v>3791</v>
      </c>
      <c r="D85" s="2694" t="s">
        <v>2129</v>
      </c>
      <c r="E85" s="2694" t="s">
        <v>2129</v>
      </c>
      <c r="F85" s="3974" t="s">
        <v>3791</v>
      </c>
      <c r="G85" s="3975" t="s">
        <v>2129</v>
      </c>
      <c r="H85" s="3976" t="s">
        <v>2129</v>
      </c>
      <c r="I85" s="2694"/>
      <c r="J85" s="3992" t="s">
        <v>2854</v>
      </c>
      <c r="K85" s="2694">
        <v>0</v>
      </c>
      <c r="L85" s="2694" t="b">
        <v>0</v>
      </c>
      <c r="M85" s="2694" t="s">
        <v>2129</v>
      </c>
      <c r="N85" s="2477">
        <v>0</v>
      </c>
      <c r="O85" s="2477">
        <v>0</v>
      </c>
      <c r="P85" s="2477">
        <v>0</v>
      </c>
      <c r="Q85" s="2477">
        <v>0</v>
      </c>
      <c r="R85" s="2477">
        <v>0</v>
      </c>
      <c r="S85" s="2695">
        <v>0</v>
      </c>
      <c r="T85" s="2477">
        <v>0</v>
      </c>
      <c r="U85" s="2477" t="b">
        <v>1</v>
      </c>
      <c r="V85" s="2477" t="s">
        <v>2129</v>
      </c>
      <c r="W85" s="2477">
        <v>-2312200</v>
      </c>
      <c r="X85" s="3937">
        <v>0</v>
      </c>
      <c r="Y85" s="3938">
        <v>2312200</v>
      </c>
      <c r="Z85" s="3938" t="b">
        <v>1</v>
      </c>
      <c r="AA85" s="3938">
        <v>30829.333333333332</v>
      </c>
      <c r="AB85" s="3938"/>
      <c r="AC85" s="3938"/>
      <c r="AD85" s="3938">
        <v>786.00809055988043</v>
      </c>
      <c r="AE85" s="3938"/>
      <c r="AF85" s="3938"/>
      <c r="AG85">
        <v>246</v>
      </c>
      <c r="AH85" s="3965">
        <v>75</v>
      </c>
      <c r="AI85" s="3965"/>
      <c r="AJ85">
        <v>75</v>
      </c>
      <c r="AK85" s="3966">
        <v>30830</v>
      </c>
      <c r="AL85" s="2814">
        <v>2558</v>
      </c>
      <c r="AM85" s="2814" t="s">
        <v>2129</v>
      </c>
      <c r="AN85" s="2814" t="s">
        <v>2129</v>
      </c>
      <c r="AO85" s="3953">
        <v>1950</v>
      </c>
      <c r="AP85" s="2814" t="s">
        <v>2129</v>
      </c>
      <c r="AQ85" s="3954" t="s">
        <v>2129</v>
      </c>
      <c r="AR85">
        <v>2483</v>
      </c>
      <c r="AS85" t="s">
        <v>2129</v>
      </c>
      <c r="AU85">
        <v>1875</v>
      </c>
      <c r="AW85">
        <v>20</v>
      </c>
      <c r="AX85" t="s">
        <v>2129</v>
      </c>
      <c r="AY85" t="s">
        <v>2129</v>
      </c>
      <c r="AZ85" s="3946">
        <v>14</v>
      </c>
      <c r="BA85" t="s">
        <v>2129</v>
      </c>
      <c r="BB85" s="3947" t="s">
        <v>2129</v>
      </c>
      <c r="BC85" s="1958">
        <v>78863140</v>
      </c>
      <c r="BD85" s="1958" t="s">
        <v>2129</v>
      </c>
      <c r="BE85" s="1958" t="s">
        <v>2129</v>
      </c>
      <c r="BF85" s="3937">
        <v>60118500</v>
      </c>
      <c r="BG85" s="3938" t="s">
        <v>2129</v>
      </c>
      <c r="BH85" s="3938" t="s">
        <v>2129</v>
      </c>
      <c r="BI85" s="3937" t="s">
        <v>2129</v>
      </c>
      <c r="BJ85" s="3938" t="s">
        <v>2129</v>
      </c>
      <c r="BK85" s="3939" t="s">
        <v>2129</v>
      </c>
      <c r="BL85" s="3938" t="s">
        <v>2129</v>
      </c>
      <c r="BM85" s="3938" t="s">
        <v>2129</v>
      </c>
      <c r="BN85" s="3939" t="s">
        <v>2129</v>
      </c>
      <c r="BO85" s="3937">
        <v>31335500</v>
      </c>
      <c r="BP85" s="3988">
        <v>23887500</v>
      </c>
      <c r="BQ85" s="3988"/>
      <c r="BR85" s="3988"/>
      <c r="BS85" s="2694"/>
    </row>
    <row r="86" spans="1:71" ht="13">
      <c r="A86">
        <v>158</v>
      </c>
      <c r="B86" s="3979" t="s">
        <v>3313</v>
      </c>
      <c r="C86" s="2694" t="s">
        <v>2129</v>
      </c>
      <c r="D86" s="2694" t="s">
        <v>2129</v>
      </c>
      <c r="E86" s="2694" t="s">
        <v>2129</v>
      </c>
      <c r="F86" s="3974" t="s">
        <v>2129</v>
      </c>
      <c r="G86" s="3975" t="s">
        <v>2129</v>
      </c>
      <c r="H86" s="3976" t="s">
        <v>2129</v>
      </c>
      <c r="I86" s="2694">
        <v>0</v>
      </c>
      <c r="J86" s="3992" t="s">
        <v>2854</v>
      </c>
      <c r="K86" s="2694">
        <v>0</v>
      </c>
      <c r="L86" s="2694" t="b">
        <v>0</v>
      </c>
      <c r="M86" s="2694" t="s">
        <v>2129</v>
      </c>
      <c r="N86" s="2477">
        <v>0</v>
      </c>
      <c r="O86" s="2477">
        <v>0</v>
      </c>
      <c r="P86" s="2477">
        <v>0</v>
      </c>
      <c r="Q86" s="2477">
        <v>0</v>
      </c>
      <c r="R86" s="2477">
        <v>0</v>
      </c>
      <c r="S86" s="2695">
        <v>0</v>
      </c>
      <c r="T86" s="2477">
        <v>0</v>
      </c>
      <c r="U86" s="2477" t="b">
        <v>1</v>
      </c>
      <c r="V86" s="2477" t="s">
        <v>2129</v>
      </c>
      <c r="W86" s="2477">
        <v>0</v>
      </c>
      <c r="X86" s="3937">
        <v>2929250</v>
      </c>
      <c r="Y86" s="3938">
        <v>2929250</v>
      </c>
      <c r="Z86" s="3938" t="b">
        <v>1</v>
      </c>
      <c r="AA86" s="3938">
        <v>13018.888888888889</v>
      </c>
      <c r="AB86" s="3938"/>
      <c r="AC86" s="3938"/>
      <c r="AD86" s="3938" t="s">
        <v>2129</v>
      </c>
      <c r="AE86" s="3938"/>
      <c r="AF86" s="3938"/>
      <c r="AG86">
        <v>225</v>
      </c>
      <c r="AH86" s="3965">
        <v>225</v>
      </c>
      <c r="AI86" s="3965" t="b">
        <v>1</v>
      </c>
      <c r="AJ86">
        <v>237</v>
      </c>
      <c r="AK86" s="3966">
        <v>12360</v>
      </c>
      <c r="AL86" s="2814" t="s">
        <v>2129</v>
      </c>
      <c r="AM86" s="2814" t="s">
        <v>2129</v>
      </c>
      <c r="AN86" s="2814" t="s">
        <v>2129</v>
      </c>
      <c r="AO86" s="3953" t="s">
        <v>2129</v>
      </c>
      <c r="AP86" s="2814" t="s">
        <v>2129</v>
      </c>
      <c r="AQ86" s="3954" t="s">
        <v>2129</v>
      </c>
      <c r="AR86" t="s">
        <v>2129</v>
      </c>
      <c r="AS86" t="s">
        <v>2129</v>
      </c>
      <c r="AU86" t="s">
        <v>2129</v>
      </c>
      <c r="AW86" t="s">
        <v>2129</v>
      </c>
      <c r="AX86" t="s">
        <v>2129</v>
      </c>
      <c r="AY86" t="s">
        <v>2129</v>
      </c>
      <c r="AZ86" s="3946" t="s">
        <v>2129</v>
      </c>
      <c r="BA86" t="s">
        <v>2129</v>
      </c>
      <c r="BB86" s="3947" t="s">
        <v>2129</v>
      </c>
      <c r="BC86" s="1958" t="s">
        <v>2129</v>
      </c>
      <c r="BD86" s="1958" t="s">
        <v>2129</v>
      </c>
      <c r="BE86" s="1958" t="s">
        <v>2129</v>
      </c>
      <c r="BF86" s="3937" t="s">
        <v>2129</v>
      </c>
      <c r="BG86" s="3938" t="s">
        <v>2129</v>
      </c>
      <c r="BH86" s="3938" t="s">
        <v>2129</v>
      </c>
      <c r="BI86" s="3937" t="s">
        <v>2129</v>
      </c>
      <c r="BJ86" s="3938" t="s">
        <v>2129</v>
      </c>
      <c r="BK86" s="3939" t="s">
        <v>2129</v>
      </c>
      <c r="BL86" s="3938" t="s">
        <v>2129</v>
      </c>
      <c r="BM86" s="3938" t="s">
        <v>2129</v>
      </c>
      <c r="BN86" s="3939" t="s">
        <v>2129</v>
      </c>
      <c r="BO86" s="3937" t="s">
        <v>2129</v>
      </c>
      <c r="BP86" s="3988" t="s">
        <v>2129</v>
      </c>
      <c r="BQ86" s="3988"/>
      <c r="BR86" s="3988"/>
      <c r="BS86" s="2694"/>
    </row>
    <row r="87" spans="1:71" ht="13">
      <c r="A87">
        <v>159</v>
      </c>
      <c r="B87" s="3995" t="s">
        <v>3314</v>
      </c>
      <c r="C87" s="2694" t="s">
        <v>2129</v>
      </c>
      <c r="D87" s="2694" t="s">
        <v>2695</v>
      </c>
      <c r="E87" s="2694" t="s">
        <v>2129</v>
      </c>
      <c r="F87" s="3974" t="s">
        <v>2129</v>
      </c>
      <c r="G87" s="3975" t="s">
        <v>2129</v>
      </c>
      <c r="H87" s="3976" t="s">
        <v>2129</v>
      </c>
      <c r="I87" s="2694">
        <v>8</v>
      </c>
      <c r="J87" s="3992">
        <v>0</v>
      </c>
      <c r="K87" s="2694">
        <v>0</v>
      </c>
      <c r="L87" s="2694" t="b">
        <v>0</v>
      </c>
      <c r="M87" s="2827" t="s">
        <v>2129</v>
      </c>
      <c r="N87" s="2477">
        <v>0</v>
      </c>
      <c r="O87" s="2477">
        <v>0</v>
      </c>
      <c r="P87" s="2477">
        <v>0</v>
      </c>
      <c r="Q87" s="2477">
        <v>0</v>
      </c>
      <c r="R87" s="2477">
        <v>0</v>
      </c>
      <c r="S87" s="2695">
        <v>0</v>
      </c>
      <c r="T87" s="2477">
        <v>0</v>
      </c>
      <c r="U87" s="2477" t="b">
        <v>1</v>
      </c>
      <c r="V87" s="2477" t="s">
        <v>2129</v>
      </c>
      <c r="W87" s="2477">
        <v>196367</v>
      </c>
      <c r="X87" s="3937">
        <v>10029767</v>
      </c>
      <c r="Y87" s="3938">
        <v>9833400</v>
      </c>
      <c r="Z87" s="3938" t="b">
        <v>1</v>
      </c>
      <c r="AA87" s="3938">
        <v>45525</v>
      </c>
      <c r="AB87" s="3938"/>
      <c r="AC87" s="3938"/>
      <c r="AD87" s="3938" t="s">
        <v>2129</v>
      </c>
      <c r="AE87" s="3938"/>
      <c r="AF87" s="3938"/>
      <c r="AG87">
        <v>216</v>
      </c>
      <c r="AH87" s="3965">
        <v>216</v>
      </c>
      <c r="AI87" s="3965" t="b">
        <v>1</v>
      </c>
      <c r="AJ87">
        <v>333</v>
      </c>
      <c r="AK87" s="3966">
        <v>29530</v>
      </c>
      <c r="AL87" s="2814" t="s">
        <v>2129</v>
      </c>
      <c r="AM87" s="2814">
        <v>360</v>
      </c>
      <c r="AN87" s="2814" t="s">
        <v>2129</v>
      </c>
      <c r="AO87" s="3953" t="s">
        <v>2129</v>
      </c>
      <c r="AP87" s="2814" t="s">
        <v>2129</v>
      </c>
      <c r="AQ87" s="3954" t="s">
        <v>2129</v>
      </c>
      <c r="AR87" t="s">
        <v>2129</v>
      </c>
      <c r="AS87">
        <v>144</v>
      </c>
      <c r="AU87" t="s">
        <v>2129</v>
      </c>
      <c r="AW87" t="s">
        <v>2129</v>
      </c>
      <c r="AX87">
        <v>18</v>
      </c>
      <c r="AY87" t="s">
        <v>2129</v>
      </c>
      <c r="AZ87" s="3946" t="s">
        <v>2129</v>
      </c>
      <c r="BA87" t="s">
        <v>2129</v>
      </c>
      <c r="BB87" s="3947" t="s">
        <v>2129</v>
      </c>
      <c r="BC87" s="1958" t="s">
        <v>2129</v>
      </c>
      <c r="BD87" s="1958">
        <v>10630800</v>
      </c>
      <c r="BE87" s="1958" t="s">
        <v>2129</v>
      </c>
      <c r="BF87" s="3937" t="s">
        <v>2129</v>
      </c>
      <c r="BG87" s="3938" t="s">
        <v>2129</v>
      </c>
      <c r="BH87" s="3938" t="s">
        <v>2129</v>
      </c>
      <c r="BI87" s="3937" t="s">
        <v>2129</v>
      </c>
      <c r="BJ87" s="3938" t="s">
        <v>2129</v>
      </c>
      <c r="BK87" s="3939" t="s">
        <v>2129</v>
      </c>
      <c r="BL87" s="3938" t="s">
        <v>2129</v>
      </c>
      <c r="BM87" s="3938" t="s">
        <v>2129</v>
      </c>
      <c r="BN87" s="3939" t="s">
        <v>2129</v>
      </c>
      <c r="BO87" s="3937" t="s">
        <v>2129</v>
      </c>
      <c r="BP87" s="3988" t="s">
        <v>2129</v>
      </c>
      <c r="BQ87" s="3988"/>
      <c r="BR87" s="3988"/>
      <c r="BS87" s="2694"/>
    </row>
    <row r="88" spans="1:71" ht="13">
      <c r="A88">
        <v>160</v>
      </c>
      <c r="B88" s="3979" t="s">
        <v>3315</v>
      </c>
      <c r="C88" s="2694" t="s">
        <v>3791</v>
      </c>
      <c r="D88" s="2694" t="s">
        <v>2129</v>
      </c>
      <c r="E88" s="2694" t="s">
        <v>2129</v>
      </c>
      <c r="F88" s="3974" t="s">
        <v>3791</v>
      </c>
      <c r="G88" s="3975" t="s">
        <v>2129</v>
      </c>
      <c r="H88" s="3976" t="s">
        <v>2129</v>
      </c>
      <c r="I88" s="2694">
        <v>0</v>
      </c>
      <c r="J88" s="3992" t="s">
        <v>2854</v>
      </c>
      <c r="K88" s="2694">
        <v>0</v>
      </c>
      <c r="L88" s="2694" t="b">
        <v>1</v>
      </c>
      <c r="M88" s="2694" t="s">
        <v>2129</v>
      </c>
      <c r="N88" s="2477">
        <v>0</v>
      </c>
      <c r="O88" s="2477">
        <v>0</v>
      </c>
      <c r="P88" s="2477">
        <v>0</v>
      </c>
      <c r="Q88" s="2477">
        <v>0</v>
      </c>
      <c r="R88" s="2477">
        <v>0</v>
      </c>
      <c r="S88" s="2695">
        <v>0</v>
      </c>
      <c r="T88" s="2477">
        <v>0</v>
      </c>
      <c r="U88" s="2477" t="b">
        <v>1</v>
      </c>
      <c r="V88" s="2477" t="s">
        <v>2129</v>
      </c>
      <c r="W88" s="2477">
        <v>0</v>
      </c>
      <c r="X88" s="3937">
        <v>9987678</v>
      </c>
      <c r="Y88" s="3938">
        <v>9987678</v>
      </c>
      <c r="Z88" s="3938" t="b">
        <v>1</v>
      </c>
      <c r="AA88" s="3938">
        <v>41271.396694214876</v>
      </c>
      <c r="AB88" s="3938"/>
      <c r="AC88" s="3938"/>
      <c r="AD88" s="3938">
        <v>3588.8171038447717</v>
      </c>
      <c r="AE88" s="3938">
        <v>1800</v>
      </c>
      <c r="AF88" s="3938"/>
      <c r="AG88">
        <v>242</v>
      </c>
      <c r="AH88" s="3965">
        <v>242</v>
      </c>
      <c r="AI88" t="b">
        <v>1</v>
      </c>
      <c r="AJ88">
        <v>286</v>
      </c>
      <c r="AK88" s="3966">
        <v>34922</v>
      </c>
      <c r="AL88" s="2814">
        <v>2420</v>
      </c>
      <c r="AM88" s="2814" t="s">
        <v>2129</v>
      </c>
      <c r="AN88" s="2814" t="s">
        <v>2129</v>
      </c>
      <c r="AO88" s="3953">
        <v>1104</v>
      </c>
      <c r="AP88" s="2814" t="s">
        <v>2129</v>
      </c>
      <c r="AQ88" s="3954" t="s">
        <v>2129</v>
      </c>
      <c r="AR88">
        <v>2178</v>
      </c>
      <c r="AS88" t="s">
        <v>2129</v>
      </c>
      <c r="AU88">
        <v>862</v>
      </c>
      <c r="AW88">
        <v>10</v>
      </c>
      <c r="AX88" t="s">
        <v>2129</v>
      </c>
      <c r="AY88" t="s">
        <v>2129</v>
      </c>
      <c r="AZ88" s="3946">
        <v>16</v>
      </c>
      <c r="BA88" t="s">
        <v>2129</v>
      </c>
      <c r="BB88" s="3947" t="s">
        <v>2129</v>
      </c>
      <c r="BC88" s="1958">
        <v>84511240</v>
      </c>
      <c r="BD88" s="1958" t="s">
        <v>2129</v>
      </c>
      <c r="BE88" s="1958" t="s">
        <v>2129</v>
      </c>
      <c r="BF88" s="3937">
        <v>38553888</v>
      </c>
      <c r="BG88" s="3938" t="s">
        <v>2129</v>
      </c>
      <c r="BH88" s="3938" t="s">
        <v>2129</v>
      </c>
      <c r="BI88" s="3937" t="s">
        <v>2129</v>
      </c>
      <c r="BJ88" s="3938" t="s">
        <v>2129</v>
      </c>
      <c r="BK88" s="3939" t="s">
        <v>2129</v>
      </c>
      <c r="BL88" s="3938" t="s">
        <v>2129</v>
      </c>
      <c r="BM88" s="3938" t="s">
        <v>2129</v>
      </c>
      <c r="BN88" s="3939" t="s">
        <v>2129</v>
      </c>
      <c r="BO88" s="3937">
        <v>29645000</v>
      </c>
      <c r="BP88" s="3988">
        <v>13524000</v>
      </c>
      <c r="BQ88" s="3988"/>
      <c r="BR88" s="3988"/>
      <c r="BS88" s="2694"/>
    </row>
    <row r="89" spans="1:71" ht="13">
      <c r="A89">
        <v>161</v>
      </c>
      <c r="B89" s="3979" t="s">
        <v>3316</v>
      </c>
      <c r="C89" s="2694" t="s">
        <v>2129</v>
      </c>
      <c r="D89" s="2694" t="s">
        <v>2129</v>
      </c>
      <c r="E89" s="2694" t="s">
        <v>2129</v>
      </c>
      <c r="F89" s="3974" t="s">
        <v>2129</v>
      </c>
      <c r="G89" s="3975" t="s">
        <v>2129</v>
      </c>
      <c r="H89" s="3976" t="s">
        <v>2129</v>
      </c>
      <c r="I89" s="2694">
        <v>0</v>
      </c>
      <c r="J89" s="3992" t="s">
        <v>2854</v>
      </c>
      <c r="K89" s="2694">
        <v>0</v>
      </c>
      <c r="L89" s="2694" t="b">
        <v>1</v>
      </c>
      <c r="M89" s="2694" t="s">
        <v>2129</v>
      </c>
      <c r="N89" s="2477">
        <v>0</v>
      </c>
      <c r="O89" s="2477">
        <v>0</v>
      </c>
      <c r="P89" s="2477">
        <v>0</v>
      </c>
      <c r="Q89" s="2477">
        <v>0</v>
      </c>
      <c r="R89" s="2477">
        <v>0</v>
      </c>
      <c r="S89" s="2695">
        <v>0</v>
      </c>
      <c r="T89" s="2477">
        <v>0</v>
      </c>
      <c r="U89" s="2477" t="b">
        <v>1</v>
      </c>
      <c r="V89" s="2477" t="s">
        <v>2129</v>
      </c>
      <c r="W89" s="2477">
        <v>0</v>
      </c>
      <c r="X89" s="3937">
        <v>2150874</v>
      </c>
      <c r="Y89" s="3938">
        <v>2150874</v>
      </c>
      <c r="Z89" s="3938" t="b">
        <v>1</v>
      </c>
      <c r="AA89" s="3938">
        <v>33090.369230769233</v>
      </c>
      <c r="AB89" s="3938"/>
      <c r="AC89" s="3938"/>
      <c r="AD89" s="3938" t="s">
        <v>2129</v>
      </c>
      <c r="AE89" s="3938"/>
      <c r="AF89" s="3938"/>
      <c r="AG89">
        <v>233</v>
      </c>
      <c r="AH89" s="3965">
        <v>65</v>
      </c>
      <c r="AI89" s="3965" t="b">
        <v>1</v>
      </c>
      <c r="AJ89">
        <v>75</v>
      </c>
      <c r="AK89" s="3966">
        <v>28679</v>
      </c>
      <c r="AL89" s="2814" t="s">
        <v>2129</v>
      </c>
      <c r="AM89" s="2814" t="s">
        <v>2129</v>
      </c>
      <c r="AN89" s="2814" t="s">
        <v>2129</v>
      </c>
      <c r="AO89" s="3953" t="s">
        <v>2129</v>
      </c>
      <c r="AP89" s="2814" t="s">
        <v>2129</v>
      </c>
      <c r="AQ89" s="3954" t="s">
        <v>2129</v>
      </c>
      <c r="AR89" t="s">
        <v>2129</v>
      </c>
      <c r="AS89" t="s">
        <v>2129</v>
      </c>
      <c r="AU89" t="s">
        <v>2129</v>
      </c>
      <c r="AW89" t="s">
        <v>2129</v>
      </c>
      <c r="AX89" t="s">
        <v>2129</v>
      </c>
      <c r="AY89" t="s">
        <v>2129</v>
      </c>
      <c r="AZ89" s="3946" t="s">
        <v>2129</v>
      </c>
      <c r="BA89" t="s">
        <v>2129</v>
      </c>
      <c r="BB89" s="3947" t="s">
        <v>2129</v>
      </c>
      <c r="BC89" s="1958" t="s">
        <v>2129</v>
      </c>
      <c r="BD89" s="1958" t="s">
        <v>2129</v>
      </c>
      <c r="BE89" s="1958" t="s">
        <v>2129</v>
      </c>
      <c r="BF89" s="3937" t="s">
        <v>2129</v>
      </c>
      <c r="BG89" s="3938" t="s">
        <v>2129</v>
      </c>
      <c r="BH89" s="3938" t="s">
        <v>2129</v>
      </c>
      <c r="BI89" s="3937" t="s">
        <v>2129</v>
      </c>
      <c r="BJ89" s="3938" t="s">
        <v>2129</v>
      </c>
      <c r="BK89" s="3939" t="s">
        <v>2129</v>
      </c>
      <c r="BL89" s="3938" t="s">
        <v>2129</v>
      </c>
      <c r="BM89" s="3938" t="s">
        <v>2129</v>
      </c>
      <c r="BN89" s="3939" t="s">
        <v>2129</v>
      </c>
      <c r="BO89" s="3937" t="s">
        <v>2129</v>
      </c>
      <c r="BP89" s="3988" t="s">
        <v>2129</v>
      </c>
      <c r="BQ89" s="3988"/>
      <c r="BR89" s="3988"/>
      <c r="BS89" s="2694"/>
    </row>
    <row r="90" spans="1:71" ht="13">
      <c r="A90">
        <v>166</v>
      </c>
      <c r="B90" s="3979" t="s">
        <v>6998</v>
      </c>
      <c r="C90" s="2694" t="s">
        <v>3791</v>
      </c>
      <c r="D90" s="2694" t="s">
        <v>2129</v>
      </c>
      <c r="E90" s="2694" t="s">
        <v>2129</v>
      </c>
      <c r="F90" s="3974" t="s">
        <v>2129</v>
      </c>
      <c r="G90" s="3975" t="s">
        <v>2129</v>
      </c>
      <c r="H90" s="3976" t="s">
        <v>2129</v>
      </c>
      <c r="I90" s="2694">
        <v>0</v>
      </c>
      <c r="J90" s="3992" t="s">
        <v>3592</v>
      </c>
      <c r="K90" s="2694">
        <v>1</v>
      </c>
      <c r="L90" s="2694" t="b">
        <v>1</v>
      </c>
      <c r="M90" s="2694" t="s">
        <v>2129</v>
      </c>
      <c r="N90" s="2477">
        <v>0</v>
      </c>
      <c r="O90" s="2477">
        <v>0</v>
      </c>
      <c r="P90" s="2477">
        <v>0</v>
      </c>
      <c r="Q90" s="2477">
        <v>0</v>
      </c>
      <c r="R90" s="2477">
        <v>0</v>
      </c>
      <c r="S90" s="2695">
        <v>0</v>
      </c>
      <c r="T90" s="2477">
        <v>51764</v>
      </c>
      <c r="U90" s="2477" t="b">
        <v>1</v>
      </c>
      <c r="V90" s="2477">
        <v>51764</v>
      </c>
      <c r="W90" s="2477">
        <v>-594000</v>
      </c>
      <c r="X90" s="3937">
        <v>0</v>
      </c>
      <c r="Y90" s="3938">
        <v>594000</v>
      </c>
      <c r="Z90" s="3938" t="b">
        <v>1</v>
      </c>
      <c r="AA90" s="3938">
        <v>19800</v>
      </c>
      <c r="AB90" s="3938"/>
      <c r="AC90" s="3938"/>
      <c r="AD90" s="3938">
        <v>521.73913043478262</v>
      </c>
      <c r="AE90" s="3938"/>
      <c r="AF90" s="3938"/>
      <c r="AG90">
        <v>233</v>
      </c>
      <c r="AH90" s="3965">
        <v>30</v>
      </c>
      <c r="AI90" s="3965" t="b">
        <v>1</v>
      </c>
      <c r="AJ90">
        <v>30</v>
      </c>
      <c r="AK90" s="3966">
        <v>19800</v>
      </c>
      <c r="AL90" s="2814">
        <v>990</v>
      </c>
      <c r="AM90" s="2814" t="s">
        <v>2129</v>
      </c>
      <c r="AN90" s="2814" t="s">
        <v>2129</v>
      </c>
      <c r="AO90" s="3953" t="s">
        <v>2129</v>
      </c>
      <c r="AP90" s="2814" t="s">
        <v>2129</v>
      </c>
      <c r="AQ90" s="3954" t="s">
        <v>2129</v>
      </c>
      <c r="AR90">
        <v>960</v>
      </c>
      <c r="AS90" t="s">
        <v>2129</v>
      </c>
      <c r="AU90" t="s">
        <v>2129</v>
      </c>
      <c r="AW90">
        <v>32</v>
      </c>
      <c r="AX90" t="s">
        <v>2129</v>
      </c>
      <c r="AY90" t="s">
        <v>2129</v>
      </c>
      <c r="AZ90" s="3946" t="s">
        <v>2129</v>
      </c>
      <c r="BA90" t="s">
        <v>2129</v>
      </c>
      <c r="BB90" s="3947" t="s">
        <v>2129</v>
      </c>
      <c r="BC90" s="1958">
        <v>19602000</v>
      </c>
      <c r="BD90" s="1958" t="s">
        <v>2129</v>
      </c>
      <c r="BE90" s="1958" t="s">
        <v>2129</v>
      </c>
      <c r="BF90" s="3937" t="s">
        <v>2129</v>
      </c>
      <c r="BG90" s="3938" t="s">
        <v>2129</v>
      </c>
      <c r="BH90" s="3938" t="s">
        <v>2129</v>
      </c>
      <c r="BI90" s="3937">
        <v>1656448</v>
      </c>
      <c r="BJ90" s="3938" t="s">
        <v>2129</v>
      </c>
      <c r="BK90" s="3939" t="s">
        <v>2129</v>
      </c>
      <c r="BL90" s="3938" t="s">
        <v>2129</v>
      </c>
      <c r="BM90" s="3938" t="s">
        <v>2129</v>
      </c>
      <c r="BN90" s="3939" t="s">
        <v>2129</v>
      </c>
      <c r="BO90" s="3937">
        <v>12127500</v>
      </c>
      <c r="BP90" s="3988" t="s">
        <v>2129</v>
      </c>
      <c r="BQ90" s="3988"/>
      <c r="BR90" s="3988"/>
      <c r="BS90" s="2694"/>
    </row>
    <row r="91" spans="1:71" ht="13">
      <c r="A91">
        <v>167</v>
      </c>
      <c r="B91" s="3995" t="s">
        <v>3317</v>
      </c>
      <c r="C91" s="2694" t="s">
        <v>3791</v>
      </c>
      <c r="D91" s="2694" t="s">
        <v>2129</v>
      </c>
      <c r="E91" s="2694" t="s">
        <v>2129</v>
      </c>
      <c r="F91" s="3974" t="s">
        <v>2129</v>
      </c>
      <c r="G91" s="3975" t="s">
        <v>2129</v>
      </c>
      <c r="H91" s="3976" t="s">
        <v>2129</v>
      </c>
      <c r="I91" s="2694">
        <v>0</v>
      </c>
      <c r="J91" s="3992">
        <v>0</v>
      </c>
      <c r="K91" s="2694">
        <v>0</v>
      </c>
      <c r="L91" s="2694" t="b">
        <v>1</v>
      </c>
      <c r="M91" s="2694" t="s">
        <v>2129</v>
      </c>
      <c r="N91" s="2477">
        <v>0</v>
      </c>
      <c r="O91" s="2477">
        <v>0</v>
      </c>
      <c r="P91" s="2477">
        <v>0</v>
      </c>
      <c r="Q91" s="2477">
        <v>0</v>
      </c>
      <c r="R91" s="2477">
        <v>0</v>
      </c>
      <c r="S91" s="2695">
        <v>0</v>
      </c>
      <c r="T91" s="2477">
        <v>0</v>
      </c>
      <c r="U91" s="2477" t="b">
        <v>1</v>
      </c>
      <c r="V91" s="2477" t="s">
        <v>2129</v>
      </c>
      <c r="W91" s="2477">
        <v>-1483588</v>
      </c>
      <c r="X91" s="3937">
        <v>2143112</v>
      </c>
      <c r="Y91" s="3938">
        <v>3626700</v>
      </c>
      <c r="Z91" s="3938" t="b">
        <v>0</v>
      </c>
      <c r="AA91" s="3938">
        <v>27897.692307692309</v>
      </c>
      <c r="AB91" s="3938"/>
      <c r="AC91" s="3938"/>
      <c r="AD91" s="3938">
        <v>4763.8250361224227</v>
      </c>
      <c r="AE91" s="3938"/>
      <c r="AF91" s="3938"/>
      <c r="AG91">
        <v>135</v>
      </c>
      <c r="AH91" s="3965">
        <v>130</v>
      </c>
      <c r="AI91" s="3965" t="b">
        <v>0</v>
      </c>
      <c r="AJ91">
        <v>147</v>
      </c>
      <c r="AK91" s="3966">
        <v>24672</v>
      </c>
      <c r="AL91" s="2814">
        <v>662</v>
      </c>
      <c r="AM91" s="2814" t="s">
        <v>2129</v>
      </c>
      <c r="AN91" s="2814" t="s">
        <v>2129</v>
      </c>
      <c r="AO91" s="3953" t="s">
        <v>2129</v>
      </c>
      <c r="AP91" s="2814" t="s">
        <v>2129</v>
      </c>
      <c r="AQ91" s="3954" t="s">
        <v>2129</v>
      </c>
      <c r="AR91">
        <v>532</v>
      </c>
      <c r="AS91" t="s">
        <v>2129</v>
      </c>
      <c r="AU91" t="s">
        <v>2129</v>
      </c>
      <c r="AW91">
        <v>11</v>
      </c>
      <c r="AX91" t="s">
        <v>2129</v>
      </c>
      <c r="AY91" t="s">
        <v>2129</v>
      </c>
      <c r="AZ91" s="3946" t="s">
        <v>2129</v>
      </c>
      <c r="BA91" t="s">
        <v>2129</v>
      </c>
      <c r="BB91" s="3947" t="s">
        <v>2129</v>
      </c>
      <c r="BC91" s="1958">
        <v>16332864</v>
      </c>
      <c r="BD91" s="1958" t="s">
        <v>2129</v>
      </c>
      <c r="BE91" s="1958" t="s">
        <v>2129</v>
      </c>
      <c r="BF91" s="3937" t="s">
        <v>2129</v>
      </c>
      <c r="BG91" s="3938" t="s">
        <v>2129</v>
      </c>
      <c r="BH91" s="3938" t="s">
        <v>2129</v>
      </c>
      <c r="BI91" s="3937" t="s">
        <v>2129</v>
      </c>
      <c r="BJ91" s="3938" t="s">
        <v>2129</v>
      </c>
      <c r="BK91" s="3939" t="s">
        <v>2129</v>
      </c>
      <c r="BL91" s="3938" t="s">
        <v>2129</v>
      </c>
      <c r="BM91" s="3938" t="s">
        <v>2129</v>
      </c>
      <c r="BN91" s="3939" t="s">
        <v>2129</v>
      </c>
      <c r="BO91" s="3937">
        <v>8109500</v>
      </c>
      <c r="BP91" s="3988" t="s">
        <v>2129</v>
      </c>
      <c r="BQ91" s="3988"/>
      <c r="BR91" s="3988"/>
      <c r="BS91" s="2694"/>
    </row>
    <row r="92" spans="1:71" ht="13">
      <c r="A92">
        <v>168</v>
      </c>
      <c r="B92" s="3980" t="s">
        <v>3318</v>
      </c>
      <c r="C92" s="2694" t="s">
        <v>2129</v>
      </c>
      <c r="D92" s="2694" t="s">
        <v>2695</v>
      </c>
      <c r="E92" s="2694" t="s">
        <v>2129</v>
      </c>
      <c r="F92" s="3974" t="s">
        <v>2129</v>
      </c>
      <c r="G92" s="3975" t="s">
        <v>2695</v>
      </c>
      <c r="H92" s="3976" t="s">
        <v>2129</v>
      </c>
      <c r="I92" s="2694">
        <v>0</v>
      </c>
      <c r="J92" s="3992" t="s">
        <v>2854</v>
      </c>
      <c r="K92" s="2694">
        <v>0</v>
      </c>
      <c r="L92" s="2694" t="b">
        <v>1</v>
      </c>
      <c r="M92" s="2694" t="s">
        <v>2129</v>
      </c>
      <c r="N92" s="2477">
        <v>0</v>
      </c>
      <c r="O92" s="2477"/>
      <c r="P92" s="2477"/>
      <c r="Q92" s="2477"/>
      <c r="R92" s="2477"/>
      <c r="S92" s="2695"/>
      <c r="T92" s="2477">
        <v>0</v>
      </c>
      <c r="U92" s="2477" t="b">
        <v>1</v>
      </c>
      <c r="V92" s="2477" t="s">
        <v>2129</v>
      </c>
      <c r="W92" s="2477">
        <v>0</v>
      </c>
      <c r="X92" s="3937">
        <v>577830</v>
      </c>
      <c r="Y92" s="3938">
        <v>577830</v>
      </c>
      <c r="Z92" s="3938" t="b">
        <v>1</v>
      </c>
      <c r="AA92" s="3938">
        <v>38522</v>
      </c>
      <c r="AB92" s="3938"/>
      <c r="AC92" s="3938"/>
      <c r="AD92" s="3938" t="s">
        <v>2129</v>
      </c>
      <c r="AE92" s="3938"/>
      <c r="AF92" s="3938"/>
      <c r="AG92" t="s">
        <v>3308</v>
      </c>
      <c r="AH92" s="3965">
        <v>15</v>
      </c>
      <c r="AI92" s="3965" t="b">
        <v>1</v>
      </c>
      <c r="AJ92">
        <v>19</v>
      </c>
      <c r="AK92" s="3966">
        <v>30413</v>
      </c>
      <c r="AL92" s="2814" t="s">
        <v>2129</v>
      </c>
      <c r="AM92" s="2814">
        <v>270</v>
      </c>
      <c r="AN92" s="2814" t="s">
        <v>2129</v>
      </c>
      <c r="AO92" s="3953" t="s">
        <v>2129</v>
      </c>
      <c r="AP92" s="2814">
        <v>135</v>
      </c>
      <c r="AQ92" s="3954" t="s">
        <v>2129</v>
      </c>
      <c r="AR92" t="s">
        <v>2129</v>
      </c>
      <c r="AS92">
        <v>255</v>
      </c>
      <c r="AU92" t="s">
        <v>2129</v>
      </c>
      <c r="AW92" t="s">
        <v>2129</v>
      </c>
      <c r="AX92">
        <v>18</v>
      </c>
      <c r="AY92" t="s">
        <v>2129</v>
      </c>
      <c r="AZ92" s="3946" t="s">
        <v>2129</v>
      </c>
      <c r="BA92">
        <v>9</v>
      </c>
      <c r="BB92" s="3947" t="s">
        <v>2129</v>
      </c>
      <c r="BC92" s="1958" t="s">
        <v>2129</v>
      </c>
      <c r="BD92" s="1958">
        <v>8211510</v>
      </c>
      <c r="BE92" s="1958" t="s">
        <v>2129</v>
      </c>
      <c r="BF92" s="3937" t="s">
        <v>2129</v>
      </c>
      <c r="BG92" s="3938">
        <v>4105755</v>
      </c>
      <c r="BH92" s="3938" t="s">
        <v>2129</v>
      </c>
      <c r="BI92" s="3937" t="s">
        <v>2129</v>
      </c>
      <c r="BJ92" s="3938" t="s">
        <v>2129</v>
      </c>
      <c r="BK92" s="3939" t="s">
        <v>2129</v>
      </c>
      <c r="BL92" s="3938" t="s">
        <v>2129</v>
      </c>
      <c r="BM92" s="3938" t="s">
        <v>2129</v>
      </c>
      <c r="BN92" s="3939" t="s">
        <v>2129</v>
      </c>
      <c r="BO92" s="3937" t="s">
        <v>2129</v>
      </c>
      <c r="BP92" s="3988" t="s">
        <v>2129</v>
      </c>
      <c r="BQ92" s="3988"/>
      <c r="BR92" s="3988"/>
      <c r="BS92" s="2694"/>
    </row>
    <row r="93" spans="1:71" ht="13">
      <c r="A93">
        <v>172</v>
      </c>
      <c r="B93" s="3979" t="s">
        <v>3319</v>
      </c>
      <c r="C93" s="2694" t="s">
        <v>3791</v>
      </c>
      <c r="D93" s="2694" t="s">
        <v>2129</v>
      </c>
      <c r="E93" s="2694" t="s">
        <v>2129</v>
      </c>
      <c r="F93" s="3974" t="s">
        <v>2129</v>
      </c>
      <c r="G93" s="3975" t="s">
        <v>2695</v>
      </c>
      <c r="H93" s="3976" t="s">
        <v>2129</v>
      </c>
      <c r="I93" s="2694">
        <v>5</v>
      </c>
      <c r="J93" s="3992" t="s">
        <v>4879</v>
      </c>
      <c r="K93" s="2694">
        <v>2</v>
      </c>
      <c r="L93" s="2694" t="b">
        <v>0</v>
      </c>
      <c r="M93" s="2694" t="s">
        <v>2129</v>
      </c>
      <c r="N93" s="2477">
        <v>588237</v>
      </c>
      <c r="O93" s="2477">
        <v>0</v>
      </c>
      <c r="P93" s="2477">
        <v>0</v>
      </c>
      <c r="Q93" s="2477">
        <v>0</v>
      </c>
      <c r="R93" s="2477">
        <v>0</v>
      </c>
      <c r="S93" s="2695">
        <v>647060.70000000007</v>
      </c>
      <c r="T93" s="2477">
        <v>776472</v>
      </c>
      <c r="U93" s="2477" t="b">
        <v>0</v>
      </c>
      <c r="V93" s="2477">
        <v>388236</v>
      </c>
      <c r="W93" s="2477">
        <v>1178712</v>
      </c>
      <c r="X93" s="3937">
        <v>2597712</v>
      </c>
      <c r="Y93" s="3938">
        <v>1419000</v>
      </c>
      <c r="Z93" s="3938" t="b">
        <v>1</v>
      </c>
      <c r="AA93" s="3938">
        <v>33000</v>
      </c>
      <c r="AB93" s="3938"/>
      <c r="AC93" s="3938"/>
      <c r="AD93" s="3938">
        <v>1323.941033774958</v>
      </c>
      <c r="AE93" s="3938">
        <v>1800</v>
      </c>
      <c r="AF93" s="3938"/>
      <c r="AG93">
        <v>204</v>
      </c>
      <c r="AH93" s="3965">
        <v>43</v>
      </c>
      <c r="AI93" s="3965" t="b">
        <v>1</v>
      </c>
      <c r="AJ93">
        <v>43</v>
      </c>
      <c r="AK93" s="3966">
        <v>33000</v>
      </c>
      <c r="AL93" s="2814">
        <v>932</v>
      </c>
      <c r="AM93" s="2814" t="s">
        <v>2129</v>
      </c>
      <c r="AN93" s="2814" t="s">
        <v>2129</v>
      </c>
      <c r="AO93" s="3953" t="s">
        <v>2129</v>
      </c>
      <c r="AP93" s="2814">
        <v>1161</v>
      </c>
      <c r="AQ93" s="3954" t="s">
        <v>2129</v>
      </c>
      <c r="AR93">
        <v>889</v>
      </c>
      <c r="AS93" t="s">
        <v>2129</v>
      </c>
      <c r="AU93" t="s">
        <v>2129</v>
      </c>
      <c r="AW93">
        <v>16</v>
      </c>
      <c r="AX93" t="s">
        <v>2129</v>
      </c>
      <c r="AY93" t="s">
        <v>2129</v>
      </c>
      <c r="AZ93" s="3946" t="s">
        <v>2129</v>
      </c>
      <c r="BA93">
        <v>9</v>
      </c>
      <c r="BB93" s="3947" t="s">
        <v>2129</v>
      </c>
      <c r="BC93" s="1958">
        <v>30756000</v>
      </c>
      <c r="BD93" s="1958" t="s">
        <v>2129</v>
      </c>
      <c r="BE93" s="1958" t="s">
        <v>2129</v>
      </c>
      <c r="BF93" s="3937" t="s">
        <v>2129</v>
      </c>
      <c r="BG93" s="3938">
        <v>38313000</v>
      </c>
      <c r="BH93" s="3938" t="s">
        <v>2129</v>
      </c>
      <c r="BI93" s="3937">
        <v>12423552</v>
      </c>
      <c r="BJ93" s="3938" t="s">
        <v>2129</v>
      </c>
      <c r="BK93" s="3939" t="s">
        <v>2129</v>
      </c>
      <c r="BL93" s="3938" t="s">
        <v>2129</v>
      </c>
      <c r="BM93" s="3938">
        <v>6988248</v>
      </c>
      <c r="BN93" s="3939" t="s">
        <v>2129</v>
      </c>
      <c r="BO93" s="3937">
        <v>11417000</v>
      </c>
      <c r="BP93" s="3988" t="s">
        <v>2129</v>
      </c>
      <c r="BQ93" s="3988"/>
      <c r="BR93" s="3988"/>
      <c r="BS93" s="2694"/>
    </row>
    <row r="94" spans="1:71" ht="13">
      <c r="A94">
        <v>177</v>
      </c>
      <c r="B94" s="3979" t="s">
        <v>3320</v>
      </c>
      <c r="C94" s="2694" t="s">
        <v>2129</v>
      </c>
      <c r="D94" s="2694" t="s">
        <v>2129</v>
      </c>
      <c r="E94" s="2694" t="s">
        <v>2129</v>
      </c>
      <c r="F94" s="3974" t="s">
        <v>2129</v>
      </c>
      <c r="G94" s="3975" t="s">
        <v>2129</v>
      </c>
      <c r="H94" s="3976" t="s">
        <v>2129</v>
      </c>
      <c r="I94" s="2694">
        <v>17</v>
      </c>
      <c r="J94" s="3992" t="s">
        <v>5405</v>
      </c>
      <c r="K94" s="2694">
        <v>10</v>
      </c>
      <c r="L94" s="2694" t="b">
        <v>0</v>
      </c>
      <c r="M94" s="2694" t="s">
        <v>2129</v>
      </c>
      <c r="N94" s="2477">
        <v>744712</v>
      </c>
      <c r="O94" s="2477">
        <v>0</v>
      </c>
      <c r="P94" s="2477">
        <v>0</v>
      </c>
      <c r="Q94" s="2477">
        <v>0</v>
      </c>
      <c r="R94" s="2477">
        <v>0</v>
      </c>
      <c r="S94" s="2695">
        <v>819183.20000000007</v>
      </c>
      <c r="T94" s="2477">
        <v>819183</v>
      </c>
      <c r="U94" s="2477" t="b">
        <v>0</v>
      </c>
      <c r="V94" s="2477">
        <v>81918.3</v>
      </c>
      <c r="W94" s="2477">
        <v>0</v>
      </c>
      <c r="X94" s="3937">
        <v>874399</v>
      </c>
      <c r="Y94" s="3938">
        <v>874399</v>
      </c>
      <c r="Z94" s="3938" t="b">
        <v>0</v>
      </c>
      <c r="AA94" s="3938">
        <v>11978.068493150686</v>
      </c>
      <c r="AB94" s="3938"/>
      <c r="AC94" s="3938"/>
      <c r="AD94" s="3938" t="s">
        <v>2129</v>
      </c>
      <c r="AE94" s="3938"/>
      <c r="AF94" s="3938"/>
      <c r="AG94">
        <v>73</v>
      </c>
      <c r="AH94" s="3965">
        <v>73</v>
      </c>
      <c r="AI94" s="3965" t="b">
        <v>0</v>
      </c>
      <c r="AJ94">
        <v>107</v>
      </c>
      <c r="AK94" s="3966">
        <v>8172</v>
      </c>
      <c r="AL94" s="2814" t="s">
        <v>2129</v>
      </c>
      <c r="AM94" s="2814" t="s">
        <v>2129</v>
      </c>
      <c r="AN94" s="2814" t="s">
        <v>2129</v>
      </c>
      <c r="AO94" s="3953" t="s">
        <v>2129</v>
      </c>
      <c r="AP94" s="2814" t="s">
        <v>2129</v>
      </c>
      <c r="AQ94" s="3954" t="s">
        <v>2129</v>
      </c>
      <c r="AR94" t="s">
        <v>2129</v>
      </c>
      <c r="AS94" t="s">
        <v>2129</v>
      </c>
      <c r="AU94" t="s">
        <v>2129</v>
      </c>
      <c r="AW94" t="s">
        <v>2129</v>
      </c>
      <c r="AX94" t="s">
        <v>2129</v>
      </c>
      <c r="AY94" t="s">
        <v>2129</v>
      </c>
      <c r="AZ94" s="3946" t="s">
        <v>2129</v>
      </c>
      <c r="BA94" t="s">
        <v>2129</v>
      </c>
      <c r="BB94" s="3947" t="s">
        <v>2129</v>
      </c>
      <c r="BC94" s="1958" t="s">
        <v>2129</v>
      </c>
      <c r="BD94" s="1958" t="s">
        <v>2129</v>
      </c>
      <c r="BE94" s="1958" t="s">
        <v>2129</v>
      </c>
      <c r="BF94" s="3937" t="s">
        <v>2129</v>
      </c>
      <c r="BG94" s="3938" t="s">
        <v>2129</v>
      </c>
      <c r="BH94" s="3938" t="s">
        <v>2129</v>
      </c>
      <c r="BI94" s="3937" t="s">
        <v>2129</v>
      </c>
      <c r="BJ94" s="3938" t="s">
        <v>2129</v>
      </c>
      <c r="BK94" s="3939" t="s">
        <v>2129</v>
      </c>
      <c r="BL94" s="3938" t="s">
        <v>2129</v>
      </c>
      <c r="BM94" s="3938" t="s">
        <v>2129</v>
      </c>
      <c r="BN94" s="3939" t="s">
        <v>2129</v>
      </c>
      <c r="BO94" s="3937" t="s">
        <v>2129</v>
      </c>
      <c r="BP94" s="3988" t="s">
        <v>2129</v>
      </c>
      <c r="BQ94" s="3988"/>
      <c r="BR94" s="3988"/>
      <c r="BS94" s="2694"/>
    </row>
    <row r="95" spans="1:71" ht="13">
      <c r="A95">
        <v>179</v>
      </c>
      <c r="B95" s="3979" t="s">
        <v>3321</v>
      </c>
      <c r="C95" s="2694" t="s">
        <v>2129</v>
      </c>
      <c r="D95" s="2694" t="s">
        <v>2129</v>
      </c>
      <c r="E95" s="2694" t="s">
        <v>2129</v>
      </c>
      <c r="F95" s="3974" t="s">
        <v>2129</v>
      </c>
      <c r="G95" s="3975" t="s">
        <v>2129</v>
      </c>
      <c r="H95" s="3976" t="s">
        <v>2129</v>
      </c>
      <c r="I95" s="2694">
        <v>0</v>
      </c>
      <c r="J95" s="3992">
        <v>0</v>
      </c>
      <c r="K95" s="2694">
        <v>0</v>
      </c>
      <c r="L95" s="2694" t="b">
        <v>0</v>
      </c>
      <c r="M95" s="2694" t="s">
        <v>2129</v>
      </c>
      <c r="N95" s="2477">
        <v>0</v>
      </c>
      <c r="O95" s="2477">
        <v>0</v>
      </c>
      <c r="P95" s="2477">
        <v>0</v>
      </c>
      <c r="Q95" s="2477">
        <v>0</v>
      </c>
      <c r="R95" s="2477">
        <v>0</v>
      </c>
      <c r="S95" s="2695">
        <v>0</v>
      </c>
      <c r="T95" s="2477">
        <v>0</v>
      </c>
      <c r="U95" s="2477" t="b">
        <v>1</v>
      </c>
      <c r="V95" s="2477" t="s">
        <v>2129</v>
      </c>
      <c r="W95" s="2477">
        <v>15120390</v>
      </c>
      <c r="X95" s="3937">
        <v>18298771</v>
      </c>
      <c r="Y95" s="3938">
        <v>3178381</v>
      </c>
      <c r="Z95" s="3938" t="b">
        <v>0</v>
      </c>
      <c r="AA95" s="3938">
        <v>70630.688888888893</v>
      </c>
      <c r="AB95" s="3938"/>
      <c r="AC95" s="3938"/>
      <c r="AD95" s="3938" t="s">
        <v>2129</v>
      </c>
      <c r="AE95" s="3938"/>
      <c r="AF95" s="3938"/>
      <c r="AG95">
        <v>252</v>
      </c>
      <c r="AH95" s="3965">
        <v>45</v>
      </c>
      <c r="AI95" s="3965" t="b">
        <v>1</v>
      </c>
      <c r="AJ95">
        <v>90</v>
      </c>
      <c r="AK95" s="3966">
        <v>35316</v>
      </c>
      <c r="AL95" s="2814" t="s">
        <v>2129</v>
      </c>
      <c r="AM95" s="2814" t="s">
        <v>2129</v>
      </c>
      <c r="AN95" s="2814" t="s">
        <v>2129</v>
      </c>
      <c r="AO95" s="3953" t="s">
        <v>2129</v>
      </c>
      <c r="AP95" s="2814" t="s">
        <v>2129</v>
      </c>
      <c r="AQ95" s="3954" t="s">
        <v>2129</v>
      </c>
      <c r="AR95" t="s">
        <v>2129</v>
      </c>
      <c r="AS95" t="s">
        <v>2129</v>
      </c>
      <c r="AU95" t="s">
        <v>2129</v>
      </c>
      <c r="AW95" t="s">
        <v>2129</v>
      </c>
      <c r="AX95" t="s">
        <v>2129</v>
      </c>
      <c r="AY95" t="s">
        <v>2129</v>
      </c>
      <c r="AZ95" s="3946" t="s">
        <v>2129</v>
      </c>
      <c r="BA95" t="s">
        <v>2129</v>
      </c>
      <c r="BB95" s="3947" t="s">
        <v>2129</v>
      </c>
      <c r="BC95" s="1958" t="s">
        <v>2129</v>
      </c>
      <c r="BD95" s="1958" t="s">
        <v>2129</v>
      </c>
      <c r="BE95" s="1958" t="s">
        <v>2129</v>
      </c>
      <c r="BF95" s="3937" t="s">
        <v>2129</v>
      </c>
      <c r="BG95" s="3938" t="s">
        <v>2129</v>
      </c>
      <c r="BH95" s="3938" t="s">
        <v>2129</v>
      </c>
      <c r="BI95" s="3937" t="s">
        <v>2129</v>
      </c>
      <c r="BJ95" s="3938" t="s">
        <v>2129</v>
      </c>
      <c r="BK95" s="3939" t="s">
        <v>2129</v>
      </c>
      <c r="BL95" s="3938" t="s">
        <v>2129</v>
      </c>
      <c r="BM95" s="3938" t="s">
        <v>2129</v>
      </c>
      <c r="BN95" s="3939" t="s">
        <v>2129</v>
      </c>
      <c r="BO95" s="3937" t="s">
        <v>2129</v>
      </c>
      <c r="BP95" s="3988" t="s">
        <v>2129</v>
      </c>
      <c r="BQ95" s="3988"/>
      <c r="BR95" s="3988"/>
      <c r="BS95" s="2694"/>
    </row>
    <row r="96" spans="1:71" ht="13">
      <c r="A96">
        <v>180</v>
      </c>
      <c r="B96" s="3979" t="s">
        <v>3322</v>
      </c>
      <c r="C96" s="2694" t="s">
        <v>3791</v>
      </c>
      <c r="D96" s="2694" t="s">
        <v>2129</v>
      </c>
      <c r="E96" s="2694" t="s">
        <v>2129</v>
      </c>
      <c r="F96" s="3974" t="s">
        <v>3791</v>
      </c>
      <c r="G96" s="3975" t="s">
        <v>2129</v>
      </c>
      <c r="H96" s="3976" t="s">
        <v>2129</v>
      </c>
      <c r="I96" s="2694">
        <v>2</v>
      </c>
      <c r="J96" s="3992" t="s">
        <v>3481</v>
      </c>
      <c r="K96" s="2694">
        <v>2</v>
      </c>
      <c r="L96" s="2694" t="b">
        <v>0</v>
      </c>
      <c r="M96" s="2694" t="s">
        <v>2129</v>
      </c>
      <c r="N96" s="2477">
        <v>705883</v>
      </c>
      <c r="O96" s="2477">
        <v>0</v>
      </c>
      <c r="P96" s="2477">
        <v>0</v>
      </c>
      <c r="Q96" s="2477">
        <v>0</v>
      </c>
      <c r="R96" s="2477">
        <v>0</v>
      </c>
      <c r="S96" s="2695">
        <v>776471.3</v>
      </c>
      <c r="T96" s="2477">
        <v>776471</v>
      </c>
      <c r="U96" s="2477" t="b">
        <v>0</v>
      </c>
      <c r="V96" s="2477">
        <v>388235.5</v>
      </c>
      <c r="W96" s="2477">
        <v>1479249</v>
      </c>
      <c r="X96" s="3937">
        <v>3063249</v>
      </c>
      <c r="Y96" s="3938">
        <v>1584000</v>
      </c>
      <c r="Z96" s="3938" t="b">
        <v>1</v>
      </c>
      <c r="AA96" s="3938">
        <v>19800</v>
      </c>
      <c r="AB96" s="3938"/>
      <c r="AC96" s="3938"/>
      <c r="AD96" s="3938">
        <v>1428.8291538877866</v>
      </c>
      <c r="AE96" s="3938"/>
      <c r="AF96" s="3938"/>
      <c r="AG96">
        <v>179</v>
      </c>
      <c r="AH96" s="3965">
        <v>80</v>
      </c>
      <c r="AI96" s="3965" t="b">
        <v>1</v>
      </c>
      <c r="AJ96">
        <v>217</v>
      </c>
      <c r="AK96" s="3966">
        <v>7300</v>
      </c>
      <c r="AL96" s="2814">
        <v>964</v>
      </c>
      <c r="AM96" s="2814" t="s">
        <v>2129</v>
      </c>
      <c r="AN96" s="2814" t="s">
        <v>2129</v>
      </c>
      <c r="AO96" s="3953">
        <v>1005</v>
      </c>
      <c r="AP96" s="2814" t="s">
        <v>2129</v>
      </c>
      <c r="AQ96" s="3954" t="s">
        <v>2129</v>
      </c>
      <c r="AR96">
        <v>884</v>
      </c>
      <c r="AS96" t="s">
        <v>2129</v>
      </c>
      <c r="AU96">
        <v>925</v>
      </c>
      <c r="AW96">
        <v>19</v>
      </c>
      <c r="AX96" t="s">
        <v>2129</v>
      </c>
      <c r="AY96" t="s">
        <v>2129</v>
      </c>
      <c r="AZ96" s="3946">
        <v>15</v>
      </c>
      <c r="BA96" t="s">
        <v>2129</v>
      </c>
      <c r="BB96" s="3947" t="s">
        <v>2129</v>
      </c>
      <c r="BC96" s="1958">
        <v>7037200</v>
      </c>
      <c r="BD96" s="1958" t="s">
        <v>2129</v>
      </c>
      <c r="BE96" s="1958" t="s">
        <v>2129</v>
      </c>
      <c r="BF96" s="3937">
        <v>7336500</v>
      </c>
      <c r="BG96" s="3938" t="s">
        <v>2129</v>
      </c>
      <c r="BH96" s="3938" t="s">
        <v>2129</v>
      </c>
      <c r="BI96" s="3937">
        <v>14752949</v>
      </c>
      <c r="BJ96" s="3938" t="s">
        <v>2129</v>
      </c>
      <c r="BK96" s="3939" t="s">
        <v>2129</v>
      </c>
      <c r="BL96" s="3938">
        <v>11647065</v>
      </c>
      <c r="BM96" s="3938" t="s">
        <v>2129</v>
      </c>
      <c r="BN96" s="3939" t="s">
        <v>2129</v>
      </c>
      <c r="BO96" s="3937">
        <v>11809000</v>
      </c>
      <c r="BP96" s="3988">
        <v>12311250</v>
      </c>
      <c r="BQ96" s="3988"/>
      <c r="BR96" s="3988"/>
      <c r="BS96" s="2694"/>
    </row>
    <row r="97" spans="1:71" ht="13">
      <c r="A97">
        <v>184</v>
      </c>
      <c r="B97" s="3979" t="s">
        <v>3323</v>
      </c>
      <c r="C97" s="2694" t="s">
        <v>2129</v>
      </c>
      <c r="D97" s="2694" t="s">
        <v>2129</v>
      </c>
      <c r="E97" s="2694" t="s">
        <v>2129</v>
      </c>
      <c r="F97" s="3974" t="s">
        <v>2129</v>
      </c>
      <c r="G97" s="3975" t="s">
        <v>2129</v>
      </c>
      <c r="H97" s="3976" t="s">
        <v>2129</v>
      </c>
      <c r="I97" s="2694">
        <v>1</v>
      </c>
      <c r="J97" s="3992" t="s">
        <v>2669</v>
      </c>
      <c r="K97" s="2694">
        <v>0</v>
      </c>
      <c r="L97" s="2694" t="b">
        <v>0</v>
      </c>
      <c r="M97" s="2694" t="s">
        <v>2129</v>
      </c>
      <c r="N97" s="2477">
        <v>0</v>
      </c>
      <c r="O97" s="2477">
        <v>0</v>
      </c>
      <c r="P97" s="2477">
        <v>0</v>
      </c>
      <c r="Q97" s="2477">
        <v>0</v>
      </c>
      <c r="R97" s="2477">
        <v>0</v>
      </c>
      <c r="S97" s="2695">
        <v>0</v>
      </c>
      <c r="T97" s="2477">
        <v>0</v>
      </c>
      <c r="U97" s="2477" t="b">
        <v>1</v>
      </c>
      <c r="V97" s="2477" t="s">
        <v>2129</v>
      </c>
      <c r="W97" s="2477">
        <v>0</v>
      </c>
      <c r="X97" s="3937">
        <v>793288</v>
      </c>
      <c r="Y97" s="3938">
        <v>793288</v>
      </c>
      <c r="Z97" s="3938" t="b">
        <v>1</v>
      </c>
      <c r="AA97" s="3938">
        <v>10577.173333333334</v>
      </c>
      <c r="AB97" s="3938"/>
      <c r="AC97" s="3938"/>
      <c r="AD97" s="3938" t="s">
        <v>2129</v>
      </c>
      <c r="AE97" s="3938"/>
      <c r="AF97" s="3938"/>
      <c r="AG97">
        <v>113</v>
      </c>
      <c r="AH97" s="3965">
        <v>75</v>
      </c>
      <c r="AI97" s="3965" t="b">
        <v>1</v>
      </c>
      <c r="AJ97">
        <v>75</v>
      </c>
      <c r="AK97" s="3966">
        <v>10578</v>
      </c>
      <c r="AL97" s="2814" t="s">
        <v>2129</v>
      </c>
      <c r="AM97" s="2814" t="s">
        <v>2129</v>
      </c>
      <c r="AN97" s="2814" t="s">
        <v>2129</v>
      </c>
      <c r="AO97" s="3953" t="s">
        <v>2129</v>
      </c>
      <c r="AP97" s="2814" t="s">
        <v>2129</v>
      </c>
      <c r="AQ97" s="3954" t="s">
        <v>2129</v>
      </c>
      <c r="AR97" t="s">
        <v>2129</v>
      </c>
      <c r="AS97" t="s">
        <v>2129</v>
      </c>
      <c r="AU97" t="s">
        <v>2129</v>
      </c>
      <c r="AW97" t="s">
        <v>2129</v>
      </c>
      <c r="AX97" t="s">
        <v>2129</v>
      </c>
      <c r="AY97" t="s">
        <v>2129</v>
      </c>
      <c r="AZ97" s="3946" t="s">
        <v>2129</v>
      </c>
      <c r="BA97" t="s">
        <v>2129</v>
      </c>
      <c r="BB97" s="3947" t="s">
        <v>2129</v>
      </c>
      <c r="BC97" s="1958" t="s">
        <v>2129</v>
      </c>
      <c r="BD97" s="1958" t="s">
        <v>2129</v>
      </c>
      <c r="BE97" s="1958" t="s">
        <v>2129</v>
      </c>
      <c r="BF97" s="3937" t="s">
        <v>2129</v>
      </c>
      <c r="BG97" s="3938" t="s">
        <v>2129</v>
      </c>
      <c r="BH97" s="3938" t="s">
        <v>2129</v>
      </c>
      <c r="BI97" s="3937" t="s">
        <v>2129</v>
      </c>
      <c r="BJ97" s="3938" t="s">
        <v>2129</v>
      </c>
      <c r="BK97" s="3939" t="s">
        <v>2129</v>
      </c>
      <c r="BL97" s="3938" t="s">
        <v>2129</v>
      </c>
      <c r="BM97" s="3938" t="s">
        <v>2129</v>
      </c>
      <c r="BN97" s="3939" t="s">
        <v>2129</v>
      </c>
      <c r="BO97" s="3937" t="s">
        <v>2129</v>
      </c>
      <c r="BP97" s="3988" t="s">
        <v>2129</v>
      </c>
      <c r="BQ97" s="3988"/>
      <c r="BR97" s="3988"/>
      <c r="BS97" s="2694"/>
    </row>
    <row r="98" spans="1:71" ht="13">
      <c r="A98">
        <v>186</v>
      </c>
      <c r="B98" s="3979" t="s">
        <v>6976</v>
      </c>
      <c r="C98" s="2694" t="s">
        <v>2129</v>
      </c>
      <c r="D98" s="2694" t="s">
        <v>2129</v>
      </c>
      <c r="E98" s="2694" t="s">
        <v>3694</v>
      </c>
      <c r="F98" s="3974" t="s">
        <v>2129</v>
      </c>
      <c r="G98" s="3975" t="s">
        <v>2129</v>
      </c>
      <c r="H98" s="3976" t="s">
        <v>3694</v>
      </c>
      <c r="I98" s="2694">
        <v>0</v>
      </c>
      <c r="J98" s="3992" t="s">
        <v>2854</v>
      </c>
      <c r="K98" s="2694">
        <v>0</v>
      </c>
      <c r="L98" s="2694" t="b">
        <v>0</v>
      </c>
      <c r="M98" s="2694" t="s">
        <v>2129</v>
      </c>
      <c r="N98" s="2477">
        <v>0</v>
      </c>
      <c r="O98" s="2477">
        <v>0</v>
      </c>
      <c r="P98" s="2477">
        <v>0</v>
      </c>
      <c r="Q98" s="2477">
        <v>0</v>
      </c>
      <c r="R98" s="2477">
        <v>0</v>
      </c>
      <c r="S98" s="2695">
        <v>0</v>
      </c>
      <c r="T98" s="2477">
        <v>0</v>
      </c>
      <c r="U98" s="2477" t="b">
        <v>1</v>
      </c>
      <c r="V98" s="2477" t="s">
        <v>2129</v>
      </c>
      <c r="W98" s="2477">
        <v>346759</v>
      </c>
      <c r="X98" s="3937">
        <v>5351189</v>
      </c>
      <c r="Y98" s="3938">
        <v>5004430</v>
      </c>
      <c r="Z98" s="3938" t="b">
        <v>1</v>
      </c>
      <c r="AA98" s="3938">
        <v>24411.853658536584</v>
      </c>
      <c r="AB98" s="3938"/>
      <c r="AC98" s="3938"/>
      <c r="AD98" s="3938" t="s">
        <v>2129</v>
      </c>
      <c r="AE98" s="3938"/>
      <c r="AF98" s="3938"/>
      <c r="AG98">
        <v>205</v>
      </c>
      <c r="AH98" s="3965">
        <v>205</v>
      </c>
      <c r="AI98" s="3965" t="b">
        <v>1</v>
      </c>
      <c r="AJ98">
        <v>205</v>
      </c>
      <c r="AK98" s="3966">
        <v>24412</v>
      </c>
      <c r="AL98" s="2814" t="s">
        <v>2129</v>
      </c>
      <c r="AM98" s="2814" t="s">
        <v>2129</v>
      </c>
      <c r="AN98" s="2814">
        <v>2880</v>
      </c>
      <c r="AO98" s="3953" t="s">
        <v>2129</v>
      </c>
      <c r="AP98" s="2814" t="s">
        <v>2129</v>
      </c>
      <c r="AQ98" s="3954">
        <v>2250</v>
      </c>
      <c r="AR98" t="s">
        <v>2129</v>
      </c>
      <c r="AS98" t="s">
        <v>2129</v>
      </c>
      <c r="AU98" t="s">
        <v>2129</v>
      </c>
      <c r="AW98" t="s">
        <v>2129</v>
      </c>
      <c r="AX98" t="s">
        <v>2129</v>
      </c>
      <c r="AY98">
        <v>30</v>
      </c>
      <c r="AZ98" s="3946" t="s">
        <v>2129</v>
      </c>
      <c r="BA98" t="s">
        <v>2129</v>
      </c>
      <c r="BB98" s="3947">
        <v>15</v>
      </c>
      <c r="BC98" s="1958" t="s">
        <v>2129</v>
      </c>
      <c r="BD98" s="1958" t="s">
        <v>2129</v>
      </c>
      <c r="BE98" s="1958">
        <v>70306560</v>
      </c>
      <c r="BF98" s="3937" t="s">
        <v>2129</v>
      </c>
      <c r="BG98" s="3938" t="s">
        <v>2129</v>
      </c>
      <c r="BH98" s="3938">
        <v>54927000</v>
      </c>
      <c r="BI98" s="3937" t="s">
        <v>2129</v>
      </c>
      <c r="BJ98" s="3938" t="s">
        <v>2129</v>
      </c>
      <c r="BK98" s="3939" t="s">
        <v>2129</v>
      </c>
      <c r="BL98" s="3938" t="s">
        <v>2129</v>
      </c>
      <c r="BM98" s="3938" t="s">
        <v>2129</v>
      </c>
      <c r="BN98" s="3939" t="s">
        <v>2129</v>
      </c>
      <c r="BO98" s="3937" t="s">
        <v>2129</v>
      </c>
      <c r="BP98" s="3988" t="s">
        <v>2129</v>
      </c>
      <c r="BQ98" s="3988"/>
      <c r="BR98" s="3988"/>
      <c r="BS98" s="2694"/>
    </row>
    <row r="99" spans="1:71" ht="13">
      <c r="A99">
        <v>188</v>
      </c>
      <c r="B99" s="3979" t="s">
        <v>6975</v>
      </c>
      <c r="C99" s="2694" t="s">
        <v>2129</v>
      </c>
      <c r="D99" s="2694" t="s">
        <v>2129</v>
      </c>
      <c r="E99" s="2694" t="s">
        <v>2129</v>
      </c>
      <c r="F99" s="3974" t="s">
        <v>2129</v>
      </c>
      <c r="G99" s="3975" t="s">
        <v>2129</v>
      </c>
      <c r="H99" s="3976" t="s">
        <v>2129</v>
      </c>
      <c r="I99" s="2694">
        <v>0</v>
      </c>
      <c r="J99" s="3992" t="s">
        <v>2854</v>
      </c>
      <c r="K99" s="2694">
        <v>0</v>
      </c>
      <c r="L99" s="2694" t="b">
        <v>0</v>
      </c>
      <c r="M99" s="2694" t="s">
        <v>2129</v>
      </c>
      <c r="N99" s="2477">
        <v>0</v>
      </c>
      <c r="O99" s="2477">
        <v>0</v>
      </c>
      <c r="P99" s="2477">
        <v>0</v>
      </c>
      <c r="Q99" s="2477">
        <v>0</v>
      </c>
      <c r="R99" s="2477">
        <v>0</v>
      </c>
      <c r="S99" s="2695">
        <v>0</v>
      </c>
      <c r="T99" s="2477">
        <v>0</v>
      </c>
      <c r="U99" s="2477" t="b">
        <v>1</v>
      </c>
      <c r="V99" s="2477" t="s">
        <v>2129</v>
      </c>
      <c r="W99" s="2477">
        <v>0</v>
      </c>
      <c r="X99" s="3937">
        <v>2556250</v>
      </c>
      <c r="Y99" s="3938">
        <v>2556250</v>
      </c>
      <c r="Z99" s="3938" t="b">
        <v>1</v>
      </c>
      <c r="AA99" s="3938">
        <v>12408.980582524271</v>
      </c>
      <c r="AB99" s="3938"/>
      <c r="AC99" s="3938"/>
      <c r="AD99" s="3938" t="s">
        <v>2129</v>
      </c>
      <c r="AE99" s="3938"/>
      <c r="AF99" s="3938"/>
      <c r="AG99">
        <v>206</v>
      </c>
      <c r="AH99" s="3965">
        <v>206</v>
      </c>
      <c r="AI99" s="3965" t="b">
        <v>1</v>
      </c>
      <c r="AJ99">
        <v>210</v>
      </c>
      <c r="AK99" s="3966">
        <v>12173</v>
      </c>
      <c r="AL99" s="2814" t="s">
        <v>2129</v>
      </c>
      <c r="AM99" s="2814" t="s">
        <v>2129</v>
      </c>
      <c r="AN99" s="2814" t="s">
        <v>2129</v>
      </c>
      <c r="AO99" s="3953" t="s">
        <v>2129</v>
      </c>
      <c r="AP99" s="2814" t="s">
        <v>2129</v>
      </c>
      <c r="AQ99" s="3954" t="s">
        <v>2129</v>
      </c>
      <c r="AR99" t="s">
        <v>2129</v>
      </c>
      <c r="AS99" t="s">
        <v>2129</v>
      </c>
      <c r="AU99" t="s">
        <v>2129</v>
      </c>
      <c r="AW99" t="s">
        <v>2129</v>
      </c>
      <c r="AX99" t="s">
        <v>2129</v>
      </c>
      <c r="AY99" t="s">
        <v>2129</v>
      </c>
      <c r="AZ99" s="3946" t="s">
        <v>2129</v>
      </c>
      <c r="BA99" t="s">
        <v>2129</v>
      </c>
      <c r="BB99" s="3947" t="s">
        <v>2129</v>
      </c>
      <c r="BC99" s="1958" t="s">
        <v>2129</v>
      </c>
      <c r="BD99" s="1958" t="s">
        <v>2129</v>
      </c>
      <c r="BE99" s="1958" t="s">
        <v>2129</v>
      </c>
      <c r="BF99" s="3937" t="s">
        <v>2129</v>
      </c>
      <c r="BG99" s="3938" t="s">
        <v>2129</v>
      </c>
      <c r="BH99" s="3938" t="s">
        <v>2129</v>
      </c>
      <c r="BI99" s="3937" t="s">
        <v>2129</v>
      </c>
      <c r="BJ99" s="3938" t="s">
        <v>2129</v>
      </c>
      <c r="BK99" s="3939" t="s">
        <v>2129</v>
      </c>
      <c r="BL99" s="3938" t="s">
        <v>2129</v>
      </c>
      <c r="BM99" s="3938" t="s">
        <v>2129</v>
      </c>
      <c r="BN99" s="3939" t="s">
        <v>2129</v>
      </c>
      <c r="BO99" s="3937" t="s">
        <v>2129</v>
      </c>
      <c r="BP99" s="3988" t="s">
        <v>2129</v>
      </c>
      <c r="BQ99" s="3988"/>
      <c r="BR99" s="3988"/>
      <c r="BS99" s="2694"/>
    </row>
    <row r="100" spans="1:71" ht="13">
      <c r="A100">
        <v>188</v>
      </c>
      <c r="B100" s="3979" t="s">
        <v>3326</v>
      </c>
      <c r="C100" s="2694" t="s">
        <v>2129</v>
      </c>
      <c r="D100" s="2694" t="s">
        <v>2129</v>
      </c>
      <c r="E100" s="2694" t="s">
        <v>2129</v>
      </c>
      <c r="F100" s="3974" t="s">
        <v>2129</v>
      </c>
      <c r="G100" s="3975" t="s">
        <v>2129</v>
      </c>
      <c r="H100" s="3976" t="s">
        <v>2129</v>
      </c>
      <c r="I100" s="2694">
        <v>0</v>
      </c>
      <c r="J100" s="3992" t="s">
        <v>2854</v>
      </c>
      <c r="K100" s="2694">
        <v>0</v>
      </c>
      <c r="L100" s="2694" t="b">
        <v>0</v>
      </c>
      <c r="M100" s="2694" t="s">
        <v>2129</v>
      </c>
      <c r="N100" s="2477">
        <v>0</v>
      </c>
      <c r="O100" s="2477">
        <v>0</v>
      </c>
      <c r="P100" s="2477">
        <v>0</v>
      </c>
      <c r="Q100" s="2477">
        <v>0</v>
      </c>
      <c r="R100" s="2477">
        <v>0</v>
      </c>
      <c r="S100" s="2695">
        <v>0</v>
      </c>
      <c r="T100" s="2477">
        <v>0</v>
      </c>
      <c r="U100" s="2477" t="b">
        <v>1</v>
      </c>
      <c r="V100" s="2477" t="s">
        <v>2129</v>
      </c>
      <c r="W100" s="2477">
        <v>0</v>
      </c>
      <c r="X100" s="3937">
        <v>2960812</v>
      </c>
      <c r="Y100" s="3938">
        <v>2960812</v>
      </c>
      <c r="Z100" s="3938" t="b">
        <v>1</v>
      </c>
      <c r="AA100" s="3938">
        <v>21931.940740740742</v>
      </c>
      <c r="AB100" s="3938"/>
      <c r="AC100" s="3938"/>
      <c r="AD100" s="3938" t="s">
        <v>2129</v>
      </c>
      <c r="AE100" s="3938"/>
      <c r="AF100" s="3938"/>
      <c r="AG100">
        <v>206</v>
      </c>
      <c r="AH100" s="3965">
        <v>135</v>
      </c>
      <c r="AI100" s="3965" t="b">
        <v>1</v>
      </c>
      <c r="AJ100">
        <v>144</v>
      </c>
      <c r="AK100" s="3966">
        <v>20562</v>
      </c>
      <c r="AL100" s="2814" t="s">
        <v>2129</v>
      </c>
      <c r="AM100" s="2814" t="s">
        <v>2129</v>
      </c>
      <c r="AN100" s="2814" t="s">
        <v>2129</v>
      </c>
      <c r="AO100" s="3953" t="s">
        <v>2129</v>
      </c>
      <c r="AP100" s="2814" t="s">
        <v>2129</v>
      </c>
      <c r="AQ100" s="3954" t="s">
        <v>2129</v>
      </c>
      <c r="AR100" t="s">
        <v>2129</v>
      </c>
      <c r="AS100" t="s">
        <v>2129</v>
      </c>
      <c r="AU100" t="s">
        <v>2129</v>
      </c>
      <c r="AW100" t="s">
        <v>2129</v>
      </c>
      <c r="AX100" t="s">
        <v>2129</v>
      </c>
      <c r="AY100" t="s">
        <v>2129</v>
      </c>
      <c r="AZ100" s="3946" t="s">
        <v>2129</v>
      </c>
      <c r="BA100" t="s">
        <v>2129</v>
      </c>
      <c r="BB100" s="3947" t="s">
        <v>2129</v>
      </c>
      <c r="BC100" s="1958" t="s">
        <v>2129</v>
      </c>
      <c r="BD100" s="1958" t="s">
        <v>2129</v>
      </c>
      <c r="BE100" s="1958" t="s">
        <v>2129</v>
      </c>
      <c r="BF100" s="3937" t="s">
        <v>2129</v>
      </c>
      <c r="BG100" s="3938" t="s">
        <v>2129</v>
      </c>
      <c r="BH100" s="3938" t="s">
        <v>2129</v>
      </c>
      <c r="BI100" s="3937" t="s">
        <v>2129</v>
      </c>
      <c r="BJ100" s="3938" t="s">
        <v>2129</v>
      </c>
      <c r="BK100" s="3939" t="s">
        <v>2129</v>
      </c>
      <c r="BL100" s="3938" t="s">
        <v>2129</v>
      </c>
      <c r="BM100" s="3938" t="s">
        <v>2129</v>
      </c>
      <c r="BN100" s="3939" t="s">
        <v>2129</v>
      </c>
      <c r="BO100" s="3937" t="s">
        <v>2129</v>
      </c>
      <c r="BP100" s="3988" t="s">
        <v>2129</v>
      </c>
      <c r="BQ100" s="3988"/>
      <c r="BR100" s="3988"/>
      <c r="BS100" s="2694"/>
    </row>
    <row r="101" spans="1:71" ht="13">
      <c r="A101">
        <v>192</v>
      </c>
      <c r="B101" s="3979" t="s">
        <v>3327</v>
      </c>
      <c r="C101" s="2694" t="s">
        <v>2129</v>
      </c>
      <c r="D101" s="2694" t="s">
        <v>2129</v>
      </c>
      <c r="E101" s="2694" t="s">
        <v>2129</v>
      </c>
      <c r="F101" s="3974" t="s">
        <v>2129</v>
      </c>
      <c r="G101" s="3975" t="s">
        <v>2129</v>
      </c>
      <c r="H101" s="3976" t="s">
        <v>2129</v>
      </c>
      <c r="I101" s="2694">
        <v>0</v>
      </c>
      <c r="J101" s="3992" t="s">
        <v>2854</v>
      </c>
      <c r="K101" s="2694">
        <v>0</v>
      </c>
      <c r="L101" s="2694" t="b">
        <v>0</v>
      </c>
      <c r="M101" s="2694" t="s">
        <v>2129</v>
      </c>
      <c r="N101" s="2477">
        <v>0</v>
      </c>
      <c r="O101" s="2477">
        <v>0</v>
      </c>
      <c r="P101" s="2477">
        <v>0</v>
      </c>
      <c r="Q101" s="2477">
        <v>0</v>
      </c>
      <c r="R101" s="2477">
        <v>0</v>
      </c>
      <c r="S101" s="2695">
        <v>0</v>
      </c>
      <c r="T101" s="2477">
        <v>0</v>
      </c>
      <c r="U101" s="2477" t="b">
        <v>1</v>
      </c>
      <c r="V101" s="2477" t="s">
        <v>2129</v>
      </c>
      <c r="W101" s="2477">
        <v>0</v>
      </c>
      <c r="X101" s="3937">
        <v>600512</v>
      </c>
      <c r="Y101" s="3938">
        <v>600512</v>
      </c>
      <c r="Z101" s="3938" t="b">
        <v>1</v>
      </c>
      <c r="AA101" s="3938">
        <v>7506.4</v>
      </c>
      <c r="AB101" s="3938"/>
      <c r="AC101" s="3938"/>
      <c r="AD101" s="3938" t="s">
        <v>2129</v>
      </c>
      <c r="AE101" s="3938"/>
      <c r="AF101" s="3938"/>
      <c r="AG101">
        <v>80</v>
      </c>
      <c r="AH101" s="3965">
        <v>80</v>
      </c>
      <c r="AI101" s="3965" t="b">
        <v>1</v>
      </c>
      <c r="AJ101">
        <v>80</v>
      </c>
      <c r="AK101" s="3966">
        <v>7507</v>
      </c>
      <c r="AL101" s="2814" t="s">
        <v>2129</v>
      </c>
      <c r="AM101" s="2814" t="s">
        <v>2129</v>
      </c>
      <c r="AN101" s="2814" t="s">
        <v>2129</v>
      </c>
      <c r="AO101" s="3953" t="s">
        <v>2129</v>
      </c>
      <c r="AP101" s="2814" t="s">
        <v>2129</v>
      </c>
      <c r="AQ101" s="3954" t="s">
        <v>2129</v>
      </c>
      <c r="AR101" t="s">
        <v>2129</v>
      </c>
      <c r="AS101" t="s">
        <v>2129</v>
      </c>
      <c r="AU101" t="s">
        <v>2129</v>
      </c>
      <c r="AW101" t="s">
        <v>2129</v>
      </c>
      <c r="AX101" t="s">
        <v>2129</v>
      </c>
      <c r="AY101" t="s">
        <v>2129</v>
      </c>
      <c r="AZ101" s="3946" t="s">
        <v>2129</v>
      </c>
      <c r="BA101" t="s">
        <v>2129</v>
      </c>
      <c r="BB101" s="3947" t="s">
        <v>2129</v>
      </c>
      <c r="BC101" s="1958" t="s">
        <v>2129</v>
      </c>
      <c r="BD101" s="1958" t="s">
        <v>2129</v>
      </c>
      <c r="BE101" s="1958" t="s">
        <v>2129</v>
      </c>
      <c r="BF101" s="3937" t="s">
        <v>2129</v>
      </c>
      <c r="BG101" s="3938" t="s">
        <v>2129</v>
      </c>
      <c r="BH101" s="3938" t="s">
        <v>2129</v>
      </c>
      <c r="BI101" s="3937" t="s">
        <v>2129</v>
      </c>
      <c r="BJ101" s="3938" t="s">
        <v>2129</v>
      </c>
      <c r="BK101" s="3939" t="s">
        <v>2129</v>
      </c>
      <c r="BL101" s="3938" t="s">
        <v>2129</v>
      </c>
      <c r="BM101" s="3938" t="s">
        <v>2129</v>
      </c>
      <c r="BN101" s="3939" t="s">
        <v>2129</v>
      </c>
      <c r="BO101" s="3937" t="s">
        <v>2129</v>
      </c>
      <c r="BP101" s="3988" t="s">
        <v>2129</v>
      </c>
      <c r="BQ101" s="3988"/>
      <c r="BR101" s="3988"/>
      <c r="BS101" s="2694"/>
    </row>
    <row r="102" spans="1:71" ht="13">
      <c r="A102">
        <v>193</v>
      </c>
      <c r="B102" s="3979" t="s">
        <v>3328</v>
      </c>
      <c r="C102" s="2694" t="s">
        <v>2129</v>
      </c>
      <c r="D102" s="2694" t="s">
        <v>2129</v>
      </c>
      <c r="E102" s="2694" t="s">
        <v>2129</v>
      </c>
      <c r="F102" s="3974" t="s">
        <v>2129</v>
      </c>
      <c r="G102" s="3975" t="s">
        <v>2129</v>
      </c>
      <c r="H102" s="3976" t="s">
        <v>2129</v>
      </c>
      <c r="I102" s="2694">
        <v>0</v>
      </c>
      <c r="J102" s="3992" t="s">
        <v>2854</v>
      </c>
      <c r="K102" s="2694">
        <v>0</v>
      </c>
      <c r="L102" s="2694" t="b">
        <v>0</v>
      </c>
      <c r="M102" s="2694" t="s">
        <v>2129</v>
      </c>
      <c r="N102" s="2477">
        <v>0</v>
      </c>
      <c r="O102" s="2477">
        <v>0</v>
      </c>
      <c r="P102" s="2477">
        <v>0</v>
      </c>
      <c r="Q102" s="2477">
        <v>0</v>
      </c>
      <c r="R102" s="2477">
        <v>0</v>
      </c>
      <c r="S102" s="2695">
        <v>0</v>
      </c>
      <c r="T102" s="2477">
        <v>0</v>
      </c>
      <c r="U102" s="2477" t="b">
        <v>1</v>
      </c>
      <c r="V102" s="2477" t="s">
        <v>2129</v>
      </c>
      <c r="W102" s="2477">
        <v>0</v>
      </c>
      <c r="X102" s="3937">
        <v>717505</v>
      </c>
      <c r="Y102" s="3938">
        <v>717505</v>
      </c>
      <c r="Z102" s="3938" t="b">
        <v>1</v>
      </c>
      <c r="AA102" s="3938">
        <v>10871.287878787878</v>
      </c>
      <c r="AB102" s="3938"/>
      <c r="AC102" s="3938"/>
      <c r="AD102" s="3938" t="s">
        <v>2129</v>
      </c>
      <c r="AE102" s="3938"/>
      <c r="AF102" s="3938"/>
      <c r="AG102">
        <v>119</v>
      </c>
      <c r="AH102" s="3965">
        <v>66</v>
      </c>
      <c r="AI102" s="3965" t="b">
        <v>1</v>
      </c>
      <c r="AJ102">
        <v>66</v>
      </c>
      <c r="AK102" s="3966">
        <v>10872</v>
      </c>
      <c r="AL102" s="2814" t="s">
        <v>2129</v>
      </c>
      <c r="AM102" s="2814" t="s">
        <v>2129</v>
      </c>
      <c r="AN102" s="2814" t="s">
        <v>2129</v>
      </c>
      <c r="AO102" s="3953" t="s">
        <v>2129</v>
      </c>
      <c r="AP102" s="2814" t="s">
        <v>2129</v>
      </c>
      <c r="AQ102" s="3954" t="s">
        <v>2129</v>
      </c>
      <c r="AR102" t="s">
        <v>2129</v>
      </c>
      <c r="AS102" t="s">
        <v>2129</v>
      </c>
      <c r="AU102" t="s">
        <v>2129</v>
      </c>
      <c r="AW102" t="s">
        <v>2129</v>
      </c>
      <c r="AX102" t="s">
        <v>2129</v>
      </c>
      <c r="AY102" t="s">
        <v>2129</v>
      </c>
      <c r="AZ102" s="3946" t="s">
        <v>2129</v>
      </c>
      <c r="BA102" t="s">
        <v>2129</v>
      </c>
      <c r="BB102" s="3947" t="s">
        <v>2129</v>
      </c>
      <c r="BC102" s="1958" t="s">
        <v>2129</v>
      </c>
      <c r="BD102" s="1958" t="s">
        <v>2129</v>
      </c>
      <c r="BE102" s="1958" t="s">
        <v>2129</v>
      </c>
      <c r="BF102" s="3937" t="s">
        <v>2129</v>
      </c>
      <c r="BG102" s="3938" t="s">
        <v>2129</v>
      </c>
      <c r="BH102" s="3938" t="s">
        <v>2129</v>
      </c>
      <c r="BI102" s="3937" t="s">
        <v>2129</v>
      </c>
      <c r="BJ102" s="3938" t="s">
        <v>2129</v>
      </c>
      <c r="BK102" s="3939" t="s">
        <v>2129</v>
      </c>
      <c r="BL102" s="3938" t="s">
        <v>2129</v>
      </c>
      <c r="BM102" s="3938" t="s">
        <v>2129</v>
      </c>
      <c r="BN102" s="3939" t="s">
        <v>2129</v>
      </c>
      <c r="BO102" s="3937" t="s">
        <v>2129</v>
      </c>
      <c r="BP102" s="3988" t="s">
        <v>2129</v>
      </c>
      <c r="BQ102" s="3988"/>
      <c r="BR102" s="3988"/>
      <c r="BS102" s="2694"/>
    </row>
    <row r="103" spans="1:71" ht="13">
      <c r="A103">
        <v>195</v>
      </c>
      <c r="B103" s="3980" t="s">
        <v>3329</v>
      </c>
      <c r="C103" s="2694" t="s">
        <v>3791</v>
      </c>
      <c r="D103" s="2694" t="s">
        <v>2129</v>
      </c>
      <c r="E103" s="2694" t="s">
        <v>2129</v>
      </c>
      <c r="F103" s="3974" t="s">
        <v>2129</v>
      </c>
      <c r="G103" s="3975" t="s">
        <v>2129</v>
      </c>
      <c r="H103" s="3976" t="s">
        <v>2129</v>
      </c>
      <c r="I103" s="2694">
        <v>1</v>
      </c>
      <c r="J103" s="3992" t="s">
        <v>3592</v>
      </c>
      <c r="K103" s="2694">
        <v>2</v>
      </c>
      <c r="L103" s="2694" t="b">
        <v>0</v>
      </c>
      <c r="M103" s="2694" t="s">
        <v>2129</v>
      </c>
      <c r="N103" s="2477">
        <v>0</v>
      </c>
      <c r="O103" s="2477">
        <v>0</v>
      </c>
      <c r="P103" s="2477">
        <v>0</v>
      </c>
      <c r="Q103" s="2477">
        <v>0</v>
      </c>
      <c r="R103" s="2477">
        <v>0</v>
      </c>
      <c r="S103" s="2695">
        <v>0</v>
      </c>
      <c r="T103" s="2477">
        <v>1863530</v>
      </c>
      <c r="U103" s="2477" t="b">
        <v>1</v>
      </c>
      <c r="V103" s="2477">
        <v>931765</v>
      </c>
      <c r="W103" s="2477">
        <v>-1553552</v>
      </c>
      <c r="X103" s="3937">
        <v>0</v>
      </c>
      <c r="Y103" s="3938">
        <v>1553552</v>
      </c>
      <c r="Z103" s="3938" t="b">
        <v>1</v>
      </c>
      <c r="AA103" s="3938">
        <v>20176</v>
      </c>
      <c r="AB103" s="3938">
        <v>11412</v>
      </c>
      <c r="AC103" s="3938">
        <v>29412</v>
      </c>
      <c r="AD103" s="3938">
        <v>3002.0328502415459</v>
      </c>
      <c r="AE103" s="3938"/>
      <c r="AF103" s="3938"/>
      <c r="AG103">
        <v>159</v>
      </c>
      <c r="AH103" s="3965">
        <v>77</v>
      </c>
      <c r="AI103" s="3965" t="b">
        <v>1</v>
      </c>
      <c r="AJ103">
        <v>98</v>
      </c>
      <c r="AK103" s="3966">
        <v>15853</v>
      </c>
      <c r="AL103" s="2814">
        <v>450</v>
      </c>
      <c r="AM103" s="2814" t="s">
        <v>2129</v>
      </c>
      <c r="AN103" s="2814" t="s">
        <v>2129</v>
      </c>
      <c r="AO103" s="3953" t="s">
        <v>2129</v>
      </c>
      <c r="AP103" s="2814" t="s">
        <v>2129</v>
      </c>
      <c r="AQ103" s="3954" t="s">
        <v>2129</v>
      </c>
      <c r="AR103">
        <v>373</v>
      </c>
      <c r="AS103" t="s">
        <v>2129</v>
      </c>
      <c r="AU103" t="s">
        <v>2129</v>
      </c>
      <c r="AW103">
        <v>10</v>
      </c>
      <c r="AX103" t="s">
        <v>2129</v>
      </c>
      <c r="AY103" t="s">
        <v>2129</v>
      </c>
      <c r="AZ103" s="3946" t="s">
        <v>2129</v>
      </c>
      <c r="BA103" t="s">
        <v>2129</v>
      </c>
      <c r="BB103" s="3947" t="s">
        <v>2129</v>
      </c>
      <c r="BC103" s="1958">
        <v>7133850</v>
      </c>
      <c r="BD103" s="1958" t="s">
        <v>2129</v>
      </c>
      <c r="BE103" s="1958" t="s">
        <v>2129</v>
      </c>
      <c r="BF103" s="3937" t="s">
        <v>2129</v>
      </c>
      <c r="BG103" s="3938" t="s">
        <v>2129</v>
      </c>
      <c r="BH103" s="3938" t="s">
        <v>2129</v>
      </c>
      <c r="BI103" s="3937">
        <v>18635300</v>
      </c>
      <c r="BJ103" s="3938" t="s">
        <v>2129</v>
      </c>
      <c r="BK103" s="3939" t="s">
        <v>2129</v>
      </c>
      <c r="BL103" s="3938" t="s">
        <v>2129</v>
      </c>
      <c r="BM103" s="3938" t="s">
        <v>2129</v>
      </c>
      <c r="BN103" s="3939" t="s">
        <v>2129</v>
      </c>
      <c r="BO103" s="3937">
        <v>5512500</v>
      </c>
      <c r="BP103" s="3988" t="s">
        <v>2129</v>
      </c>
      <c r="BQ103" s="3988"/>
      <c r="BR103" s="3988"/>
      <c r="BS103" s="2694"/>
    </row>
    <row r="104" spans="1:71" ht="13">
      <c r="A104">
        <v>200</v>
      </c>
      <c r="B104" s="3979" t="s">
        <v>3330</v>
      </c>
      <c r="C104" s="2694" t="s">
        <v>2129</v>
      </c>
      <c r="D104" s="2694" t="s">
        <v>2129</v>
      </c>
      <c r="E104" s="2694" t="s">
        <v>2129</v>
      </c>
      <c r="F104" s="3974" t="s">
        <v>2129</v>
      </c>
      <c r="G104" s="3975" t="s">
        <v>2129</v>
      </c>
      <c r="H104" s="3976" t="s">
        <v>2129</v>
      </c>
      <c r="I104" s="2694">
        <v>0</v>
      </c>
      <c r="J104" s="3992" t="s">
        <v>2854</v>
      </c>
      <c r="K104" s="2694">
        <v>0</v>
      </c>
      <c r="L104" s="2694" t="b">
        <v>0</v>
      </c>
      <c r="M104" s="2694" t="s">
        <v>2129</v>
      </c>
      <c r="N104" s="2477">
        <v>0</v>
      </c>
      <c r="O104" s="2477">
        <v>0</v>
      </c>
      <c r="P104" s="2477">
        <v>0</v>
      </c>
      <c r="Q104" s="2477">
        <v>0</v>
      </c>
      <c r="R104" s="2477">
        <v>0</v>
      </c>
      <c r="S104" s="2695">
        <v>0</v>
      </c>
      <c r="T104" s="2477">
        <v>0</v>
      </c>
      <c r="U104" s="2477" t="b">
        <v>1</v>
      </c>
      <c r="V104" s="2477" t="s">
        <v>2129</v>
      </c>
      <c r="W104" s="2477">
        <v>0</v>
      </c>
      <c r="X104" s="3937">
        <v>1920525</v>
      </c>
      <c r="Y104" s="3938">
        <v>1920525</v>
      </c>
      <c r="Z104" s="3938" t="b">
        <v>1</v>
      </c>
      <c r="AA104" s="3938">
        <v>15742.008196721312</v>
      </c>
      <c r="AB104" s="3938"/>
      <c r="AC104" s="3938"/>
      <c r="AD104" s="3938" t="s">
        <v>2129</v>
      </c>
      <c r="AE104" s="3938"/>
      <c r="AF104" s="3938"/>
      <c r="AG104">
        <v>122</v>
      </c>
      <c r="AH104" s="3965">
        <v>122</v>
      </c>
      <c r="AI104" s="3965" t="b">
        <v>1</v>
      </c>
      <c r="AJ104">
        <v>126</v>
      </c>
      <c r="AK104" s="3966">
        <v>15243</v>
      </c>
      <c r="AL104" s="2814" t="s">
        <v>2129</v>
      </c>
      <c r="AM104" s="2814" t="s">
        <v>2129</v>
      </c>
      <c r="AN104" s="2814" t="s">
        <v>2129</v>
      </c>
      <c r="AO104" s="3953" t="s">
        <v>2129</v>
      </c>
      <c r="AP104" s="2814" t="s">
        <v>2129</v>
      </c>
      <c r="AQ104" s="3954" t="s">
        <v>2129</v>
      </c>
      <c r="AR104" t="s">
        <v>2129</v>
      </c>
      <c r="AS104" t="s">
        <v>2129</v>
      </c>
      <c r="AU104" t="s">
        <v>2129</v>
      </c>
      <c r="AW104" t="s">
        <v>2129</v>
      </c>
      <c r="AX104" t="s">
        <v>2129</v>
      </c>
      <c r="AY104" t="s">
        <v>2129</v>
      </c>
      <c r="AZ104" s="3946" t="s">
        <v>2129</v>
      </c>
      <c r="BA104" t="s">
        <v>2129</v>
      </c>
      <c r="BB104" s="3947" t="s">
        <v>2129</v>
      </c>
      <c r="BC104" s="1958" t="s">
        <v>2129</v>
      </c>
      <c r="BD104" s="1958" t="s">
        <v>2129</v>
      </c>
      <c r="BE104" s="1958" t="s">
        <v>2129</v>
      </c>
      <c r="BF104" s="3937" t="s">
        <v>2129</v>
      </c>
      <c r="BG104" s="3938" t="s">
        <v>2129</v>
      </c>
      <c r="BH104" s="3938" t="s">
        <v>2129</v>
      </c>
      <c r="BI104" s="3937" t="s">
        <v>2129</v>
      </c>
      <c r="BJ104" s="3938" t="s">
        <v>2129</v>
      </c>
      <c r="BK104" s="3939" t="s">
        <v>2129</v>
      </c>
      <c r="BL104" s="3938" t="s">
        <v>2129</v>
      </c>
      <c r="BM104" s="3938" t="s">
        <v>2129</v>
      </c>
      <c r="BN104" s="3939" t="s">
        <v>2129</v>
      </c>
      <c r="BO104" s="3937" t="s">
        <v>2129</v>
      </c>
      <c r="BP104" s="3988" t="s">
        <v>2129</v>
      </c>
      <c r="BQ104" s="3988"/>
      <c r="BR104" s="3988"/>
      <c r="BS104" s="2694"/>
    </row>
    <row r="105" spans="1:71" ht="13">
      <c r="A105">
        <v>201</v>
      </c>
      <c r="B105" s="3995" t="s">
        <v>2855</v>
      </c>
      <c r="C105" s="2694" t="s">
        <v>2129</v>
      </c>
      <c r="D105" s="2694" t="s">
        <v>2129</v>
      </c>
      <c r="E105" s="2694" t="s">
        <v>2129</v>
      </c>
      <c r="F105" s="3974" t="s">
        <v>3791</v>
      </c>
      <c r="G105" s="3975" t="s">
        <v>2129</v>
      </c>
      <c r="H105" s="3976" t="s">
        <v>2129</v>
      </c>
      <c r="I105" s="2694">
        <v>19</v>
      </c>
      <c r="J105" s="3992" t="s">
        <v>3615</v>
      </c>
      <c r="K105" s="2694">
        <v>2</v>
      </c>
      <c r="L105" s="2694" t="b">
        <v>1</v>
      </c>
      <c r="M105" s="2694" t="s">
        <v>2129</v>
      </c>
      <c r="N105" s="2477">
        <v>111689</v>
      </c>
      <c r="O105" s="2477">
        <v>0</v>
      </c>
      <c r="P105" s="2477">
        <v>0</v>
      </c>
      <c r="Q105" s="2477">
        <v>0</v>
      </c>
      <c r="R105" s="2477">
        <v>0</v>
      </c>
      <c r="S105" s="2695">
        <v>122857.90000000001</v>
      </c>
      <c r="T105" s="2477">
        <v>73040</v>
      </c>
      <c r="U105" s="2477" t="b">
        <v>1</v>
      </c>
      <c r="V105" s="2477">
        <v>36520</v>
      </c>
      <c r="W105" s="2477">
        <v>-240262</v>
      </c>
      <c r="X105" s="3937">
        <v>402908</v>
      </c>
      <c r="Y105" s="3938">
        <v>643170</v>
      </c>
      <c r="Z105" s="3938" t="b">
        <v>1</v>
      </c>
      <c r="AA105" s="3938">
        <v>14617.5</v>
      </c>
      <c r="AB105" s="3938">
        <v>6342</v>
      </c>
      <c r="AC105" s="3938">
        <v>10095</v>
      </c>
      <c r="AD105" s="3938" t="s">
        <v>2129</v>
      </c>
      <c r="AE105" s="3938">
        <v>1060</v>
      </c>
      <c r="AF105" s="3938"/>
      <c r="AG105">
        <v>69</v>
      </c>
      <c r="AH105" s="3965">
        <v>44</v>
      </c>
      <c r="AI105" s="3965" t="b">
        <v>1</v>
      </c>
      <c r="AJ105">
        <v>71</v>
      </c>
      <c r="AK105" s="3966">
        <v>9059</v>
      </c>
      <c r="AL105" s="2814" t="s">
        <v>2129</v>
      </c>
      <c r="AM105" s="2814" t="s">
        <v>2129</v>
      </c>
      <c r="AN105" s="2814" t="s">
        <v>2129</v>
      </c>
      <c r="AO105" s="3953">
        <v>749</v>
      </c>
      <c r="AP105" s="2814" t="s">
        <v>2129</v>
      </c>
      <c r="AQ105" s="3954" t="s">
        <v>2129</v>
      </c>
      <c r="AR105" t="s">
        <v>2129</v>
      </c>
      <c r="AS105" t="s">
        <v>2129</v>
      </c>
      <c r="AU105">
        <v>705</v>
      </c>
      <c r="AW105" t="s">
        <v>2129</v>
      </c>
      <c r="AX105" t="s">
        <v>2129</v>
      </c>
      <c r="AY105" t="s">
        <v>2129</v>
      </c>
      <c r="AZ105" s="3946">
        <v>12</v>
      </c>
      <c r="BA105" t="s">
        <v>2129</v>
      </c>
      <c r="BB105" s="3947" t="s">
        <v>2129</v>
      </c>
      <c r="BC105" s="1958" t="s">
        <v>2129</v>
      </c>
      <c r="BD105" s="1958" t="s">
        <v>2129</v>
      </c>
      <c r="BE105" s="1958" t="s">
        <v>2129</v>
      </c>
      <c r="BF105" s="3937">
        <v>6785191</v>
      </c>
      <c r="BG105" s="3938" t="s">
        <v>2129</v>
      </c>
      <c r="BH105" s="3938" t="s">
        <v>2129</v>
      </c>
      <c r="BI105" s="3937" t="s">
        <v>2129</v>
      </c>
      <c r="BJ105" s="3938" t="s">
        <v>2129</v>
      </c>
      <c r="BK105" s="3939" t="s">
        <v>2129</v>
      </c>
      <c r="BL105" s="3938">
        <v>876480</v>
      </c>
      <c r="BM105" s="3938" t="s">
        <v>2129</v>
      </c>
      <c r="BN105" s="3939" t="s">
        <v>2129</v>
      </c>
      <c r="BO105" s="3937" t="s">
        <v>2129</v>
      </c>
      <c r="BP105" s="3988">
        <v>9175250</v>
      </c>
      <c r="BQ105" s="3988"/>
      <c r="BR105" s="3988"/>
      <c r="BS105" s="2694"/>
    </row>
    <row r="106" spans="1:71" ht="13">
      <c r="A106">
        <v>206</v>
      </c>
      <c r="B106" s="3979" t="s">
        <v>2856</v>
      </c>
      <c r="C106" s="2694" t="s">
        <v>2129</v>
      </c>
      <c r="D106" s="2694" t="s">
        <v>2129</v>
      </c>
      <c r="E106" s="2694" t="s">
        <v>2129</v>
      </c>
      <c r="F106" s="3974" t="s">
        <v>2129</v>
      </c>
      <c r="G106" s="3975" t="s">
        <v>2129</v>
      </c>
      <c r="H106" s="3976" t="s">
        <v>2129</v>
      </c>
      <c r="I106" s="2694">
        <v>6</v>
      </c>
      <c r="J106" s="3992" t="s">
        <v>3481</v>
      </c>
      <c r="K106" s="2694">
        <v>1</v>
      </c>
      <c r="L106" s="2694" t="b">
        <v>1</v>
      </c>
      <c r="M106" s="2694" t="s">
        <v>2129</v>
      </c>
      <c r="N106" s="2477">
        <v>3670335</v>
      </c>
      <c r="O106" s="2477">
        <v>0</v>
      </c>
      <c r="P106" s="2477">
        <v>0</v>
      </c>
      <c r="Q106" s="2477">
        <v>0</v>
      </c>
      <c r="R106" s="2477">
        <v>0</v>
      </c>
      <c r="S106" s="2695">
        <v>4037368.5000000005</v>
      </c>
      <c r="T106" s="2477">
        <v>1542200</v>
      </c>
      <c r="U106" s="2477" t="b">
        <v>1</v>
      </c>
      <c r="V106" s="2477">
        <v>1542200</v>
      </c>
      <c r="W106" s="2477">
        <v>-922538</v>
      </c>
      <c r="X106" s="3937">
        <v>2932641</v>
      </c>
      <c r="Y106" s="3938">
        <v>3855179</v>
      </c>
      <c r="Z106" s="3938" t="b">
        <v>1</v>
      </c>
      <c r="AA106" s="3938">
        <v>26772.076388888891</v>
      </c>
      <c r="AB106" s="3938">
        <v>17942</v>
      </c>
      <c r="AC106" s="3938">
        <v>35648</v>
      </c>
      <c r="AD106" s="3938" t="s">
        <v>2129</v>
      </c>
      <c r="AE106" s="3938">
        <v>1700</v>
      </c>
      <c r="AF106" s="3938"/>
      <c r="AG106">
        <v>151</v>
      </c>
      <c r="AH106" s="3965">
        <v>144</v>
      </c>
      <c r="AI106" s="3965" t="b">
        <v>1</v>
      </c>
      <c r="AJ106">
        <v>179</v>
      </c>
      <c r="AK106" s="3966">
        <v>21538</v>
      </c>
      <c r="AL106" s="2814" t="s">
        <v>2129</v>
      </c>
      <c r="AM106" s="2814" t="s">
        <v>2129</v>
      </c>
      <c r="AN106" s="2814" t="s">
        <v>2129</v>
      </c>
      <c r="AO106" s="3953" t="s">
        <v>2129</v>
      </c>
      <c r="AP106" s="2814" t="s">
        <v>2129</v>
      </c>
      <c r="AQ106" s="3954" t="s">
        <v>2129</v>
      </c>
      <c r="AR106" t="s">
        <v>2129</v>
      </c>
      <c r="AS106" t="s">
        <v>2129</v>
      </c>
      <c r="AU106" t="s">
        <v>2129</v>
      </c>
      <c r="AW106" t="s">
        <v>2129</v>
      </c>
      <c r="AX106" t="s">
        <v>2129</v>
      </c>
      <c r="AY106" t="s">
        <v>2129</v>
      </c>
      <c r="AZ106" s="3946" t="s">
        <v>2129</v>
      </c>
      <c r="BA106" t="s">
        <v>2129</v>
      </c>
      <c r="BB106" s="3947" t="s">
        <v>2129</v>
      </c>
      <c r="BC106" s="1958" t="s">
        <v>2129</v>
      </c>
      <c r="BD106" s="1958" t="s">
        <v>2129</v>
      </c>
      <c r="BE106" s="1958" t="s">
        <v>2129</v>
      </c>
      <c r="BF106" s="3937" t="s">
        <v>2129</v>
      </c>
      <c r="BG106" s="3938" t="s">
        <v>2129</v>
      </c>
      <c r="BH106" s="3938" t="s">
        <v>2129</v>
      </c>
      <c r="BI106" s="3937" t="s">
        <v>2129</v>
      </c>
      <c r="BJ106" s="3938" t="s">
        <v>2129</v>
      </c>
      <c r="BK106" s="3939" t="s">
        <v>2129</v>
      </c>
      <c r="BL106" s="3938" t="s">
        <v>2129</v>
      </c>
      <c r="BM106" s="3938" t="s">
        <v>2129</v>
      </c>
      <c r="BN106" s="3939" t="s">
        <v>2129</v>
      </c>
      <c r="BO106" s="3937" t="s">
        <v>2129</v>
      </c>
      <c r="BP106" s="3988" t="s">
        <v>2129</v>
      </c>
      <c r="BQ106" s="3988"/>
      <c r="BR106" s="3988"/>
      <c r="BS106" s="2694"/>
    </row>
    <row r="107" spans="1:71" ht="13">
      <c r="A107">
        <v>207</v>
      </c>
      <c r="B107" s="3979" t="s">
        <v>3331</v>
      </c>
      <c r="C107" s="2694" t="s">
        <v>3791</v>
      </c>
      <c r="D107" s="2694" t="s">
        <v>2129</v>
      </c>
      <c r="E107" s="2694" t="s">
        <v>2129</v>
      </c>
      <c r="F107" s="3974" t="s">
        <v>2129</v>
      </c>
      <c r="G107" s="3975" t="s">
        <v>2129</v>
      </c>
      <c r="H107" s="3976" t="s">
        <v>2129</v>
      </c>
      <c r="I107" s="2694">
        <v>2</v>
      </c>
      <c r="J107" s="3992" t="s">
        <v>3481</v>
      </c>
      <c r="K107" s="2694">
        <v>2</v>
      </c>
      <c r="L107" s="2694" t="b">
        <v>0</v>
      </c>
      <c r="M107" s="2694" t="s">
        <v>2129</v>
      </c>
      <c r="N107" s="2477">
        <v>198825</v>
      </c>
      <c r="O107" s="2477">
        <v>0</v>
      </c>
      <c r="P107" s="2477">
        <v>0</v>
      </c>
      <c r="Q107" s="2477">
        <v>0</v>
      </c>
      <c r="R107" s="2477">
        <v>0</v>
      </c>
      <c r="S107" s="2695">
        <v>218707.50000000003</v>
      </c>
      <c r="T107" s="2477">
        <v>543529</v>
      </c>
      <c r="U107" s="2477" t="b">
        <v>0</v>
      </c>
      <c r="V107" s="2477">
        <v>271764.5</v>
      </c>
      <c r="W107" s="2477">
        <v>-335602</v>
      </c>
      <c r="X107" s="3937">
        <v>1414498</v>
      </c>
      <c r="Y107" s="3938">
        <v>1750100</v>
      </c>
      <c r="Z107" s="3938" t="b">
        <v>0</v>
      </c>
      <c r="AA107" s="3938">
        <v>17157.843137254902</v>
      </c>
      <c r="AB107" s="3938"/>
      <c r="AC107" s="3938"/>
      <c r="AD107" s="3938">
        <v>1201.1255619230637</v>
      </c>
      <c r="AE107" s="3938"/>
      <c r="AF107" s="3938"/>
      <c r="AG107">
        <v>115</v>
      </c>
      <c r="AH107" s="3965">
        <v>102</v>
      </c>
      <c r="AI107" s="3965" t="b">
        <v>0</v>
      </c>
      <c r="AJ107">
        <v>102</v>
      </c>
      <c r="AK107" s="3966">
        <v>17158</v>
      </c>
      <c r="AL107" s="2814">
        <v>1267</v>
      </c>
      <c r="AM107" s="2814" t="s">
        <v>2129</v>
      </c>
      <c r="AN107" s="2814" t="s">
        <v>2129</v>
      </c>
      <c r="AO107" s="3953" t="s">
        <v>2129</v>
      </c>
      <c r="AP107" s="2814" t="s">
        <v>2129</v>
      </c>
      <c r="AQ107" s="3954" t="s">
        <v>2129</v>
      </c>
      <c r="AR107">
        <v>1165</v>
      </c>
      <c r="AS107" t="s">
        <v>2129</v>
      </c>
      <c r="AU107" t="s">
        <v>2129</v>
      </c>
      <c r="AW107">
        <v>20</v>
      </c>
      <c r="AX107" t="s">
        <v>2129</v>
      </c>
      <c r="AY107" t="s">
        <v>2129</v>
      </c>
      <c r="AZ107" s="3946" t="s">
        <v>2129</v>
      </c>
      <c r="BA107" t="s">
        <v>2129</v>
      </c>
      <c r="BB107" s="3947" t="s">
        <v>2129</v>
      </c>
      <c r="BC107" s="1958">
        <v>21739186</v>
      </c>
      <c r="BD107" s="1958" t="s">
        <v>2129</v>
      </c>
      <c r="BE107" s="1958" t="s">
        <v>2129</v>
      </c>
      <c r="BF107" s="3937" t="s">
        <v>2129</v>
      </c>
      <c r="BG107" s="3938" t="s">
        <v>2129</v>
      </c>
      <c r="BH107" s="3938" t="s">
        <v>2129</v>
      </c>
      <c r="BI107" s="3937">
        <v>10870580</v>
      </c>
      <c r="BJ107" s="3938" t="s">
        <v>2129</v>
      </c>
      <c r="BK107" s="3939" t="s">
        <v>2129</v>
      </c>
      <c r="BL107" s="3938" t="s">
        <v>2129</v>
      </c>
      <c r="BM107" s="3938" t="s">
        <v>2129</v>
      </c>
      <c r="BN107" s="3939" t="s">
        <v>2129</v>
      </c>
      <c r="BO107" s="3937">
        <v>15520750</v>
      </c>
      <c r="BP107" s="3988" t="s">
        <v>2129</v>
      </c>
      <c r="BQ107" s="3988"/>
      <c r="BR107" s="3988"/>
      <c r="BS107" s="2694"/>
    </row>
    <row r="108" spans="1:71" ht="13">
      <c r="A108">
        <v>208</v>
      </c>
      <c r="B108" s="3979" t="s">
        <v>3332</v>
      </c>
      <c r="C108" s="2694" t="s">
        <v>3791</v>
      </c>
      <c r="D108" s="2694" t="s">
        <v>2129</v>
      </c>
      <c r="E108" s="2694" t="s">
        <v>2129</v>
      </c>
      <c r="F108" s="3974" t="s">
        <v>3791</v>
      </c>
      <c r="G108" s="3975" t="s">
        <v>2129</v>
      </c>
      <c r="H108" s="3976" t="s">
        <v>2129</v>
      </c>
      <c r="I108" s="2694">
        <v>0</v>
      </c>
      <c r="J108" s="3992" t="s">
        <v>2854</v>
      </c>
      <c r="K108" s="2694">
        <v>0</v>
      </c>
      <c r="L108" s="2694" t="b">
        <v>0</v>
      </c>
      <c r="M108" s="2694" t="s">
        <v>2129</v>
      </c>
      <c r="N108" s="2477">
        <v>0</v>
      </c>
      <c r="O108" s="2477">
        <v>0</v>
      </c>
      <c r="P108" s="2477">
        <v>0</v>
      </c>
      <c r="Q108" s="2477">
        <v>0</v>
      </c>
      <c r="R108" s="2477">
        <v>0</v>
      </c>
      <c r="S108" s="2695">
        <v>0</v>
      </c>
      <c r="T108" s="2477">
        <v>0</v>
      </c>
      <c r="U108" s="2477" t="b">
        <v>1</v>
      </c>
      <c r="V108" s="2477" t="s">
        <v>2129</v>
      </c>
      <c r="W108" s="2477">
        <v>1297005</v>
      </c>
      <c r="X108" s="3937">
        <v>1441105</v>
      </c>
      <c r="Y108" s="3938">
        <v>144100</v>
      </c>
      <c r="Z108" s="3938" t="b">
        <v>0</v>
      </c>
      <c r="AA108" s="3938">
        <v>14410</v>
      </c>
      <c r="AB108" s="3938"/>
      <c r="AC108" s="3938"/>
      <c r="AD108" s="3938">
        <v>596.68737060041417</v>
      </c>
      <c r="AE108" s="3938"/>
      <c r="AF108" s="3938"/>
      <c r="AG108">
        <v>155</v>
      </c>
      <c r="AH108" s="3965">
        <v>10</v>
      </c>
      <c r="AI108" s="3965" t="b">
        <v>0</v>
      </c>
      <c r="AJ108">
        <v>10</v>
      </c>
      <c r="AK108" s="3966">
        <v>14410</v>
      </c>
      <c r="AL108" s="2814">
        <v>210</v>
      </c>
      <c r="AM108" s="2814" t="s">
        <v>2129</v>
      </c>
      <c r="AN108" s="2814" t="s">
        <v>2129</v>
      </c>
      <c r="AO108" s="3953">
        <v>60</v>
      </c>
      <c r="AP108" s="2814" t="s">
        <v>2129</v>
      </c>
      <c r="AQ108" s="3954" t="s">
        <v>2129</v>
      </c>
      <c r="AR108">
        <v>200</v>
      </c>
      <c r="AS108" t="s">
        <v>2129</v>
      </c>
      <c r="AU108">
        <v>50</v>
      </c>
      <c r="AW108">
        <v>20</v>
      </c>
      <c r="AX108" t="s">
        <v>2129</v>
      </c>
      <c r="AY108" t="s">
        <v>2129</v>
      </c>
      <c r="AZ108" s="3946">
        <v>11</v>
      </c>
      <c r="BA108" t="s">
        <v>2129</v>
      </c>
      <c r="BB108" s="3947" t="s">
        <v>2129</v>
      </c>
      <c r="BC108" s="1958">
        <v>3026100</v>
      </c>
      <c r="BD108" s="1958" t="s">
        <v>2129</v>
      </c>
      <c r="BE108" s="1958" t="s">
        <v>2129</v>
      </c>
      <c r="BF108" s="3937">
        <v>864600</v>
      </c>
      <c r="BG108" s="3938" t="s">
        <v>2129</v>
      </c>
      <c r="BH108" s="3938" t="s">
        <v>2129</v>
      </c>
      <c r="BI108" s="3937" t="s">
        <v>2129</v>
      </c>
      <c r="BJ108" s="3938" t="s">
        <v>2129</v>
      </c>
      <c r="BK108" s="3939" t="s">
        <v>2129</v>
      </c>
      <c r="BL108" s="3938" t="s">
        <v>2129</v>
      </c>
      <c r="BM108" s="3938" t="s">
        <v>2129</v>
      </c>
      <c r="BN108" s="3939" t="s">
        <v>2129</v>
      </c>
      <c r="BO108" s="3937">
        <v>2572500</v>
      </c>
      <c r="BP108" s="3988">
        <v>735000</v>
      </c>
      <c r="BQ108" s="3988"/>
      <c r="BR108" s="3988"/>
      <c r="BS108" s="2694"/>
    </row>
    <row r="109" spans="1:71" ht="13">
      <c r="A109">
        <v>210</v>
      </c>
      <c r="B109" s="3995" t="s">
        <v>2858</v>
      </c>
      <c r="C109" s="2694" t="s">
        <v>2129</v>
      </c>
      <c r="D109" s="2694" t="s">
        <v>2129</v>
      </c>
      <c r="E109" s="2694" t="s">
        <v>2129</v>
      </c>
      <c r="F109" s="3974" t="s">
        <v>3791</v>
      </c>
      <c r="G109" s="3975" t="s">
        <v>2129</v>
      </c>
      <c r="H109" s="3976" t="s">
        <v>2129</v>
      </c>
      <c r="I109" s="2694">
        <v>6</v>
      </c>
      <c r="J109" s="3992" t="s">
        <v>4879</v>
      </c>
      <c r="K109" s="2694">
        <v>2</v>
      </c>
      <c r="L109" s="2694" t="b">
        <v>1</v>
      </c>
      <c r="M109" s="2694" t="s">
        <v>2129</v>
      </c>
      <c r="N109" s="2477">
        <v>5617648</v>
      </c>
      <c r="O109" s="2477">
        <v>0</v>
      </c>
      <c r="P109" s="2477">
        <v>0</v>
      </c>
      <c r="Q109" s="2477">
        <v>0</v>
      </c>
      <c r="R109" s="2477">
        <v>0</v>
      </c>
      <c r="S109" s="2695">
        <v>6179412.8000000007</v>
      </c>
      <c r="T109" s="2477">
        <v>2618550</v>
      </c>
      <c r="U109" s="2477" t="b">
        <v>1</v>
      </c>
      <c r="V109" s="2477">
        <v>1309275</v>
      </c>
      <c r="W109" s="2477">
        <v>1599877</v>
      </c>
      <c r="X109" s="3937">
        <v>4398277</v>
      </c>
      <c r="Y109" s="3938">
        <v>2798400</v>
      </c>
      <c r="Z109" s="3938" t="b">
        <v>1</v>
      </c>
      <c r="AA109" s="3938">
        <v>34548.148148148146</v>
      </c>
      <c r="AB109" s="3938">
        <v>32942</v>
      </c>
      <c r="AC109" s="3938">
        <v>58824</v>
      </c>
      <c r="AD109" s="3938" t="s">
        <v>2129</v>
      </c>
      <c r="AE109" s="3938">
        <v>2200</v>
      </c>
      <c r="AF109" s="3938"/>
      <c r="AG109">
        <v>99</v>
      </c>
      <c r="AH109" s="3965">
        <v>81</v>
      </c>
      <c r="AI109" s="3965" t="b">
        <v>1</v>
      </c>
      <c r="AJ109">
        <v>93</v>
      </c>
      <c r="AK109" s="3966">
        <v>30091</v>
      </c>
      <c r="AL109" s="2814" t="s">
        <v>2129</v>
      </c>
      <c r="AM109" s="2814" t="s">
        <v>2129</v>
      </c>
      <c r="AN109" s="2814" t="s">
        <v>2129</v>
      </c>
      <c r="AO109" s="3953">
        <v>1057</v>
      </c>
      <c r="AP109" s="2814" t="s">
        <v>2129</v>
      </c>
      <c r="AQ109" s="3954" t="s">
        <v>2129</v>
      </c>
      <c r="AR109" t="s">
        <v>2129</v>
      </c>
      <c r="AS109" t="s">
        <v>2129</v>
      </c>
      <c r="AU109">
        <v>976</v>
      </c>
      <c r="AW109" t="s">
        <v>2129</v>
      </c>
      <c r="AX109" t="s">
        <v>2129</v>
      </c>
      <c r="AY109" t="s">
        <v>2129</v>
      </c>
      <c r="AZ109" s="3946">
        <v>14</v>
      </c>
      <c r="BA109" t="s">
        <v>2129</v>
      </c>
      <c r="BB109" s="3947" t="s">
        <v>2129</v>
      </c>
      <c r="BC109" s="1958" t="s">
        <v>2129</v>
      </c>
      <c r="BD109" s="1958" t="s">
        <v>2129</v>
      </c>
      <c r="BE109" s="1958" t="s">
        <v>2129</v>
      </c>
      <c r="BF109" s="3937">
        <v>31806187</v>
      </c>
      <c r="BG109" s="3938" t="s">
        <v>2129</v>
      </c>
      <c r="BH109" s="3938" t="s">
        <v>2129</v>
      </c>
      <c r="BI109" s="3937" t="s">
        <v>2129</v>
      </c>
      <c r="BJ109" s="3938" t="s">
        <v>2129</v>
      </c>
      <c r="BK109" s="3939" t="s">
        <v>2129</v>
      </c>
      <c r="BL109" s="3938">
        <v>36659700</v>
      </c>
      <c r="BM109" s="3938" t="s">
        <v>2129</v>
      </c>
      <c r="BN109" s="3939" t="s">
        <v>2129</v>
      </c>
      <c r="BO109" s="3937" t="s">
        <v>2129</v>
      </c>
      <c r="BP109" s="3988">
        <v>12948250</v>
      </c>
      <c r="BQ109" s="3988"/>
      <c r="BR109" s="3988"/>
      <c r="BS109" s="2694"/>
    </row>
    <row r="110" spans="1:71" ht="13">
      <c r="A110">
        <v>211</v>
      </c>
      <c r="B110" s="3979" t="s">
        <v>3333</v>
      </c>
      <c r="C110" s="2694" t="s">
        <v>2129</v>
      </c>
      <c r="D110" s="2694" t="s">
        <v>2129</v>
      </c>
      <c r="E110" s="2694" t="s">
        <v>2129</v>
      </c>
      <c r="F110" s="3974" t="s">
        <v>2129</v>
      </c>
      <c r="G110" s="3975" t="s">
        <v>2129</v>
      </c>
      <c r="H110" s="3976" t="s">
        <v>2129</v>
      </c>
      <c r="I110" s="2694">
        <v>4</v>
      </c>
      <c r="J110" s="3992" t="s">
        <v>4867</v>
      </c>
      <c r="K110" s="2694">
        <v>7</v>
      </c>
      <c r="L110" s="2694" t="b">
        <v>0</v>
      </c>
      <c r="M110" s="2694" t="s">
        <v>2129</v>
      </c>
      <c r="N110" s="2477">
        <v>2271180</v>
      </c>
      <c r="O110" s="2477">
        <v>0</v>
      </c>
      <c r="P110" s="2477">
        <v>0</v>
      </c>
      <c r="Q110" s="2477">
        <v>0</v>
      </c>
      <c r="R110" s="2477">
        <v>0</v>
      </c>
      <c r="S110" s="2695">
        <v>2498298</v>
      </c>
      <c r="T110" s="2477">
        <v>2498298</v>
      </c>
      <c r="U110" s="2477" t="b">
        <v>0</v>
      </c>
      <c r="V110" s="2477">
        <v>356899.71428571426</v>
      </c>
      <c r="W110" s="2477">
        <v>0</v>
      </c>
      <c r="X110" s="3937">
        <v>2704706</v>
      </c>
      <c r="Y110" s="3938">
        <v>2704706</v>
      </c>
      <c r="Z110" s="3938" t="b">
        <v>1</v>
      </c>
      <c r="AA110" s="3938">
        <v>40368.746268656716</v>
      </c>
      <c r="AB110" s="3938"/>
      <c r="AC110" s="3938"/>
      <c r="AD110" s="3938" t="s">
        <v>2129</v>
      </c>
      <c r="AE110" s="3938" t="s">
        <v>3334</v>
      </c>
      <c r="AF110" s="3938"/>
      <c r="AG110">
        <v>68</v>
      </c>
      <c r="AH110" s="3965">
        <v>67</v>
      </c>
      <c r="AI110" s="3965" t="b">
        <v>1</v>
      </c>
      <c r="AJ110">
        <v>114</v>
      </c>
      <c r="AK110" s="3966">
        <v>23726</v>
      </c>
      <c r="AL110" s="2814" t="s">
        <v>2129</v>
      </c>
      <c r="AM110" s="2814" t="s">
        <v>2129</v>
      </c>
      <c r="AN110" s="2814" t="s">
        <v>2129</v>
      </c>
      <c r="AO110" s="3953" t="s">
        <v>2129</v>
      </c>
      <c r="AP110" s="2814" t="s">
        <v>2129</v>
      </c>
      <c r="AQ110" s="3954" t="s">
        <v>2129</v>
      </c>
      <c r="AR110" t="s">
        <v>2129</v>
      </c>
      <c r="AS110" t="s">
        <v>2129</v>
      </c>
      <c r="AU110" t="s">
        <v>2129</v>
      </c>
      <c r="AW110" t="s">
        <v>2129</v>
      </c>
      <c r="AX110" t="s">
        <v>2129</v>
      </c>
      <c r="AY110" t="s">
        <v>2129</v>
      </c>
      <c r="AZ110" s="3946" t="s">
        <v>2129</v>
      </c>
      <c r="BA110" t="s">
        <v>2129</v>
      </c>
      <c r="BB110" s="3947" t="s">
        <v>2129</v>
      </c>
      <c r="BC110" s="1958" t="s">
        <v>2129</v>
      </c>
      <c r="BD110" s="1958" t="s">
        <v>2129</v>
      </c>
      <c r="BE110" s="1958" t="s">
        <v>2129</v>
      </c>
      <c r="BF110" s="3937" t="s">
        <v>2129</v>
      </c>
      <c r="BG110" s="3938" t="s">
        <v>2129</v>
      </c>
      <c r="BH110" s="3938" t="s">
        <v>2129</v>
      </c>
      <c r="BI110" s="3937" t="s">
        <v>2129</v>
      </c>
      <c r="BJ110" s="3938" t="s">
        <v>2129</v>
      </c>
      <c r="BK110" s="3939" t="s">
        <v>2129</v>
      </c>
      <c r="BL110" s="3938" t="s">
        <v>2129</v>
      </c>
      <c r="BM110" s="3938" t="s">
        <v>2129</v>
      </c>
      <c r="BN110" s="3939" t="s">
        <v>2129</v>
      </c>
      <c r="BO110" s="3937" t="s">
        <v>2129</v>
      </c>
      <c r="BP110" s="3988" t="s">
        <v>2129</v>
      </c>
      <c r="BQ110" s="3988"/>
      <c r="BR110" s="3988"/>
      <c r="BS110" s="2694"/>
    </row>
    <row r="111" spans="1:71" ht="13">
      <c r="A111">
        <v>212</v>
      </c>
      <c r="B111" s="3979" t="s">
        <v>3335</v>
      </c>
      <c r="C111" s="2694" t="s">
        <v>3791</v>
      </c>
      <c r="D111" s="2694" t="s">
        <v>2129</v>
      </c>
      <c r="E111" s="2694" t="s">
        <v>2129</v>
      </c>
      <c r="F111" s="3974" t="s">
        <v>2129</v>
      </c>
      <c r="G111" s="3975" t="s">
        <v>2129</v>
      </c>
      <c r="H111" s="3976" t="s">
        <v>2129</v>
      </c>
      <c r="I111" s="2694">
        <v>0</v>
      </c>
      <c r="J111" s="3992" t="s">
        <v>2854</v>
      </c>
      <c r="K111" s="2694">
        <v>0</v>
      </c>
      <c r="L111" s="2694" t="b">
        <v>0</v>
      </c>
      <c r="M111" s="2694" t="s">
        <v>2129</v>
      </c>
      <c r="N111" s="2477">
        <v>0</v>
      </c>
      <c r="O111" s="2477">
        <v>0</v>
      </c>
      <c r="P111" s="2477">
        <v>0</v>
      </c>
      <c r="Q111" s="2477">
        <v>0</v>
      </c>
      <c r="R111" s="2477">
        <v>0</v>
      </c>
      <c r="S111" s="2695">
        <v>0</v>
      </c>
      <c r="T111" s="2477">
        <v>0</v>
      </c>
      <c r="U111" s="2477" t="b">
        <v>1</v>
      </c>
      <c r="V111" s="2477" t="s">
        <v>2129</v>
      </c>
      <c r="W111" s="2477">
        <v>-880132</v>
      </c>
      <c r="X111" s="3937">
        <v>2588675</v>
      </c>
      <c r="Y111" s="3938">
        <v>3468807</v>
      </c>
      <c r="Z111" s="3938" t="b">
        <v>1</v>
      </c>
      <c r="AA111" s="3938">
        <v>22972.231788079469</v>
      </c>
      <c r="AB111" s="3938"/>
      <c r="AC111" s="3938"/>
      <c r="AD111" s="3938">
        <v>2390.1378074829463</v>
      </c>
      <c r="AE111" s="3938"/>
      <c r="AF111" s="3938"/>
      <c r="AG111">
        <v>151</v>
      </c>
      <c r="AH111" s="3965">
        <v>151</v>
      </c>
      <c r="AI111" s="3965" t="b">
        <v>1</v>
      </c>
      <c r="AJ111">
        <v>171</v>
      </c>
      <c r="AK111" s="3966">
        <v>20286</v>
      </c>
      <c r="AL111" s="2814">
        <v>1262</v>
      </c>
      <c r="AM111" s="2814" t="s">
        <v>2129</v>
      </c>
      <c r="AN111" s="2814" t="s">
        <v>2129</v>
      </c>
      <c r="AO111" s="3953" t="s">
        <v>2129</v>
      </c>
      <c r="AP111" s="2814" t="s">
        <v>2129</v>
      </c>
      <c r="AQ111" s="3954" t="s">
        <v>2129</v>
      </c>
      <c r="AR111">
        <v>1111</v>
      </c>
      <c r="AS111" t="s">
        <v>2129</v>
      </c>
      <c r="AU111" t="s">
        <v>2129</v>
      </c>
      <c r="AW111">
        <v>18</v>
      </c>
      <c r="AX111" t="s">
        <v>2129</v>
      </c>
      <c r="AY111" t="s">
        <v>2129</v>
      </c>
      <c r="AZ111" s="3946" t="s">
        <v>2129</v>
      </c>
      <c r="BA111" t="s">
        <v>2129</v>
      </c>
      <c r="BB111" s="3947" t="s">
        <v>2129</v>
      </c>
      <c r="BC111" s="1958">
        <v>25600932</v>
      </c>
      <c r="BD111" s="1958" t="s">
        <v>2129</v>
      </c>
      <c r="BE111" s="1958" t="s">
        <v>2129</v>
      </c>
      <c r="BF111" s="3937" t="s">
        <v>2129</v>
      </c>
      <c r="BG111" s="3938" t="s">
        <v>2129</v>
      </c>
      <c r="BH111" s="3938" t="s">
        <v>2129</v>
      </c>
      <c r="BI111" s="3937" t="s">
        <v>2129</v>
      </c>
      <c r="BJ111" s="3938" t="s">
        <v>2129</v>
      </c>
      <c r="BK111" s="3939" t="s">
        <v>2129</v>
      </c>
      <c r="BL111" s="3938" t="s">
        <v>2129</v>
      </c>
      <c r="BM111" s="3938" t="s">
        <v>2129</v>
      </c>
      <c r="BN111" s="3939" t="s">
        <v>2129</v>
      </c>
      <c r="BO111" s="3937">
        <v>15459500</v>
      </c>
      <c r="BP111" s="3988" t="s">
        <v>2129</v>
      </c>
      <c r="BQ111" s="3988"/>
      <c r="BR111" s="3988"/>
      <c r="BS111" s="2694"/>
    </row>
    <row r="112" spans="1:71" ht="13">
      <c r="A112">
        <v>213</v>
      </c>
      <c r="B112" s="3979" t="s">
        <v>3336</v>
      </c>
      <c r="C112" s="2694" t="s">
        <v>3791</v>
      </c>
      <c r="D112" s="2694" t="s">
        <v>2129</v>
      </c>
      <c r="E112" s="2694" t="s">
        <v>2129</v>
      </c>
      <c r="F112" s="3974" t="s">
        <v>2129</v>
      </c>
      <c r="G112" s="3975" t="s">
        <v>2129</v>
      </c>
      <c r="H112" s="3976" t="s">
        <v>2129</v>
      </c>
      <c r="I112" s="2694">
        <v>0</v>
      </c>
      <c r="J112" s="3992" t="s">
        <v>2854</v>
      </c>
      <c r="K112" s="2694">
        <v>0</v>
      </c>
      <c r="L112" s="2694" t="b">
        <v>0</v>
      </c>
      <c r="M112" s="2694" t="s">
        <v>2129</v>
      </c>
      <c r="N112" s="2477">
        <v>0</v>
      </c>
      <c r="O112" s="2477">
        <v>0</v>
      </c>
      <c r="P112" s="2477">
        <v>0</v>
      </c>
      <c r="Q112" s="2477">
        <v>0</v>
      </c>
      <c r="R112" s="2477">
        <v>0</v>
      </c>
      <c r="S112" s="2695">
        <v>0</v>
      </c>
      <c r="T112" s="2477">
        <v>0</v>
      </c>
      <c r="U112" s="2477" t="b">
        <v>1</v>
      </c>
      <c r="V112" s="2477" t="s">
        <v>2129</v>
      </c>
      <c r="W112" s="2477">
        <v>-1129920</v>
      </c>
      <c r="X112" s="3937">
        <v>3323359</v>
      </c>
      <c r="Y112" s="3938">
        <v>4453279</v>
      </c>
      <c r="Z112" s="3938" t="b">
        <v>1</v>
      </c>
      <c r="AA112" s="3938">
        <v>22045.935643564357</v>
      </c>
      <c r="AB112" s="3938"/>
      <c r="AC112" s="3938"/>
      <c r="AD112" s="3938">
        <v>3254.1315308732187</v>
      </c>
      <c r="AE112" s="3938"/>
      <c r="AF112" s="3938"/>
      <c r="AG112">
        <v>201</v>
      </c>
      <c r="AH112" s="3965">
        <v>202</v>
      </c>
      <c r="AI112" s="3965" t="b">
        <v>1</v>
      </c>
      <c r="AJ112">
        <v>222</v>
      </c>
      <c r="AK112" s="3966">
        <v>20060</v>
      </c>
      <c r="AL112" s="2814">
        <v>1190</v>
      </c>
      <c r="AM112" s="2814" t="s">
        <v>2129</v>
      </c>
      <c r="AN112" s="2814" t="s">
        <v>2129</v>
      </c>
      <c r="AO112" s="3953" t="s">
        <v>2129</v>
      </c>
      <c r="AP112" s="2814" t="s">
        <v>2129</v>
      </c>
      <c r="AQ112" s="3954" t="s">
        <v>2129</v>
      </c>
      <c r="AR112">
        <v>988</v>
      </c>
      <c r="AS112" t="s">
        <v>2129</v>
      </c>
      <c r="AU112" t="s">
        <v>2129</v>
      </c>
      <c r="AW112">
        <v>16</v>
      </c>
      <c r="AX112" t="s">
        <v>2129</v>
      </c>
      <c r="AY112" t="s">
        <v>2129</v>
      </c>
      <c r="AZ112" s="3946" t="s">
        <v>2129</v>
      </c>
      <c r="BA112" t="s">
        <v>2129</v>
      </c>
      <c r="BB112" s="3947" t="s">
        <v>2129</v>
      </c>
      <c r="BC112" s="1958">
        <v>23871400</v>
      </c>
      <c r="BD112" s="1958" t="s">
        <v>2129</v>
      </c>
      <c r="BE112" s="1958" t="s">
        <v>2129</v>
      </c>
      <c r="BF112" s="3937" t="s">
        <v>2129</v>
      </c>
      <c r="BG112" s="3938" t="s">
        <v>2129</v>
      </c>
      <c r="BH112" s="3938" t="s">
        <v>2129</v>
      </c>
      <c r="BI112" s="3937" t="s">
        <v>2129</v>
      </c>
      <c r="BJ112" s="3938" t="s">
        <v>2129</v>
      </c>
      <c r="BK112" s="3939" t="s">
        <v>2129</v>
      </c>
      <c r="BL112" s="3938" t="s">
        <v>2129</v>
      </c>
      <c r="BM112" s="3938" t="s">
        <v>2129</v>
      </c>
      <c r="BN112" s="3939" t="s">
        <v>2129</v>
      </c>
      <c r="BO112" s="3937">
        <v>14577500</v>
      </c>
      <c r="BP112" s="3988" t="s">
        <v>2129</v>
      </c>
      <c r="BQ112" s="3988"/>
      <c r="BR112" s="3988"/>
      <c r="BS112" s="2694"/>
    </row>
    <row r="113" spans="1:71" ht="13">
      <c r="A113">
        <v>214</v>
      </c>
      <c r="B113" s="3979" t="s">
        <v>3337</v>
      </c>
      <c r="C113" s="2694" t="s">
        <v>2129</v>
      </c>
      <c r="D113" s="2694" t="s">
        <v>2129</v>
      </c>
      <c r="E113" s="2694" t="s">
        <v>2129</v>
      </c>
      <c r="F113" s="3974" t="s">
        <v>2129</v>
      </c>
      <c r="G113" s="3975" t="s">
        <v>2129</v>
      </c>
      <c r="H113" s="3976" t="s">
        <v>2129</v>
      </c>
      <c r="I113" s="2694">
        <v>0</v>
      </c>
      <c r="J113" s="3992" t="s">
        <v>2854</v>
      </c>
      <c r="K113" s="2694">
        <v>0</v>
      </c>
      <c r="L113" s="2694" t="b">
        <v>0</v>
      </c>
      <c r="M113" s="2694" t="s">
        <v>2129</v>
      </c>
      <c r="N113" s="2477">
        <v>0</v>
      </c>
      <c r="O113" s="2477">
        <v>0</v>
      </c>
      <c r="P113" s="2477">
        <v>0</v>
      </c>
      <c r="Q113" s="2477">
        <v>0</v>
      </c>
      <c r="R113" s="2477">
        <v>0</v>
      </c>
      <c r="S113" s="2695">
        <v>0</v>
      </c>
      <c r="T113" s="2477">
        <v>0</v>
      </c>
      <c r="U113" s="2477" t="b">
        <v>1</v>
      </c>
      <c r="V113" s="2477" t="s">
        <v>2129</v>
      </c>
      <c r="W113" s="2477">
        <v>0</v>
      </c>
      <c r="X113" s="3937">
        <v>1760088</v>
      </c>
      <c r="Y113" s="3938">
        <v>1760088</v>
      </c>
      <c r="Z113" s="3938" t="b">
        <v>1</v>
      </c>
      <c r="AA113" s="3938">
        <v>20001</v>
      </c>
      <c r="AB113" s="3938"/>
      <c r="AC113" s="3938"/>
      <c r="AD113" s="3938" t="s">
        <v>2129</v>
      </c>
      <c r="AE113" s="3938"/>
      <c r="AF113" s="3938"/>
      <c r="AG113">
        <v>88</v>
      </c>
      <c r="AH113" s="3965">
        <v>88</v>
      </c>
      <c r="AI113" s="3965" t="b">
        <v>1</v>
      </c>
      <c r="AJ113">
        <v>92</v>
      </c>
      <c r="AK113" s="3966">
        <v>19132</v>
      </c>
      <c r="AL113" s="2814" t="s">
        <v>2129</v>
      </c>
      <c r="AM113" s="2814" t="s">
        <v>2129</v>
      </c>
      <c r="AN113" s="2814" t="s">
        <v>2129</v>
      </c>
      <c r="AO113" s="3953" t="s">
        <v>2129</v>
      </c>
      <c r="AP113" s="2814" t="s">
        <v>2129</v>
      </c>
      <c r="AQ113" s="3954" t="s">
        <v>2129</v>
      </c>
      <c r="AR113" t="s">
        <v>2129</v>
      </c>
      <c r="AS113" t="s">
        <v>2129</v>
      </c>
      <c r="AU113" t="s">
        <v>2129</v>
      </c>
      <c r="AW113" t="s">
        <v>2129</v>
      </c>
      <c r="AX113" t="s">
        <v>2129</v>
      </c>
      <c r="AY113" t="s">
        <v>2129</v>
      </c>
      <c r="AZ113" s="3946" t="s">
        <v>2129</v>
      </c>
      <c r="BA113" t="s">
        <v>2129</v>
      </c>
      <c r="BB113" s="3947" t="s">
        <v>2129</v>
      </c>
      <c r="BC113" s="1958" t="s">
        <v>2129</v>
      </c>
      <c r="BD113" s="1958" t="s">
        <v>2129</v>
      </c>
      <c r="BE113" s="1958" t="s">
        <v>2129</v>
      </c>
      <c r="BF113" s="3937" t="s">
        <v>2129</v>
      </c>
      <c r="BG113" s="3938" t="s">
        <v>2129</v>
      </c>
      <c r="BH113" s="3938" t="s">
        <v>2129</v>
      </c>
      <c r="BI113" s="3937" t="s">
        <v>2129</v>
      </c>
      <c r="BJ113" s="3938" t="s">
        <v>2129</v>
      </c>
      <c r="BK113" s="3939" t="s">
        <v>2129</v>
      </c>
      <c r="BL113" s="3938" t="s">
        <v>2129</v>
      </c>
      <c r="BM113" s="3938" t="s">
        <v>2129</v>
      </c>
      <c r="BN113" s="3939" t="s">
        <v>2129</v>
      </c>
      <c r="BO113" s="3937" t="s">
        <v>2129</v>
      </c>
      <c r="BP113" s="3988" t="s">
        <v>2129</v>
      </c>
      <c r="BQ113" s="3988"/>
      <c r="BR113" s="3988"/>
      <c r="BS113" s="2694"/>
    </row>
    <row r="114" spans="1:71" ht="13">
      <c r="A114">
        <v>219</v>
      </c>
      <c r="B114" s="3979" t="s">
        <v>2850</v>
      </c>
      <c r="C114" s="2694" t="s">
        <v>2129</v>
      </c>
      <c r="D114" s="2694" t="s">
        <v>2129</v>
      </c>
      <c r="E114" s="2694" t="s">
        <v>2129</v>
      </c>
      <c r="F114" s="3974" t="s">
        <v>2129</v>
      </c>
      <c r="G114" s="3975" t="s">
        <v>2129</v>
      </c>
      <c r="H114" s="3976" t="s">
        <v>2129</v>
      </c>
      <c r="I114" s="2694">
        <v>0</v>
      </c>
      <c r="J114" s="3992" t="s">
        <v>2854</v>
      </c>
      <c r="K114" s="2694">
        <v>0</v>
      </c>
      <c r="L114" s="2694" t="b">
        <v>1</v>
      </c>
      <c r="M114" s="2694" t="s">
        <v>2129</v>
      </c>
      <c r="N114" s="2477">
        <v>0</v>
      </c>
      <c r="O114" s="2477">
        <v>0</v>
      </c>
      <c r="P114" s="2477">
        <v>0</v>
      </c>
      <c r="Q114" s="2477">
        <v>0</v>
      </c>
      <c r="R114" s="2477">
        <v>0</v>
      </c>
      <c r="S114" s="2695">
        <v>0</v>
      </c>
      <c r="T114" s="2477">
        <v>0</v>
      </c>
      <c r="U114" s="2477" t="b">
        <v>1</v>
      </c>
      <c r="V114" s="2477" t="s">
        <v>2129</v>
      </c>
      <c r="W114" s="2477">
        <v>0</v>
      </c>
      <c r="X114" s="3937">
        <v>2097343</v>
      </c>
      <c r="Y114" s="3938">
        <v>2097343</v>
      </c>
      <c r="Z114" s="3938" t="b">
        <v>1</v>
      </c>
      <c r="AA114" s="3938">
        <v>8525.7845528455291</v>
      </c>
      <c r="AB114" s="3938">
        <v>6824</v>
      </c>
      <c r="AC114" s="3938">
        <v>10000</v>
      </c>
      <c r="AD114" s="3938" t="s">
        <v>2129</v>
      </c>
      <c r="AE114" s="3938">
        <v>0</v>
      </c>
      <c r="AF114" s="3938"/>
      <c r="AG114">
        <v>246</v>
      </c>
      <c r="AH114" s="3965">
        <v>246</v>
      </c>
      <c r="AI114" s="3965" t="b">
        <v>1</v>
      </c>
      <c r="AJ114">
        <v>247</v>
      </c>
      <c r="AK114" s="3966">
        <v>8492</v>
      </c>
      <c r="AL114" s="2814" t="s">
        <v>2129</v>
      </c>
      <c r="AM114" s="2814" t="s">
        <v>2129</v>
      </c>
      <c r="AN114" s="2814" t="s">
        <v>2129</v>
      </c>
      <c r="AO114" s="3953" t="s">
        <v>2129</v>
      </c>
      <c r="AP114" s="2814" t="s">
        <v>2129</v>
      </c>
      <c r="AQ114" s="3954" t="s">
        <v>2129</v>
      </c>
      <c r="AR114" t="s">
        <v>2129</v>
      </c>
      <c r="AS114" t="s">
        <v>2129</v>
      </c>
      <c r="AU114" t="s">
        <v>2129</v>
      </c>
      <c r="AW114" t="s">
        <v>2129</v>
      </c>
      <c r="AX114" t="s">
        <v>2129</v>
      </c>
      <c r="AY114" t="s">
        <v>2129</v>
      </c>
      <c r="AZ114" s="3946" t="s">
        <v>2129</v>
      </c>
      <c r="BA114" t="s">
        <v>2129</v>
      </c>
      <c r="BB114" s="3947" t="s">
        <v>2129</v>
      </c>
      <c r="BC114" s="1958" t="s">
        <v>2129</v>
      </c>
      <c r="BD114" s="1958" t="s">
        <v>2129</v>
      </c>
      <c r="BE114" s="1958" t="s">
        <v>2129</v>
      </c>
      <c r="BF114" s="3937" t="s">
        <v>2129</v>
      </c>
      <c r="BG114" s="3938" t="s">
        <v>2129</v>
      </c>
      <c r="BH114" s="3938" t="s">
        <v>2129</v>
      </c>
      <c r="BI114" s="3937" t="s">
        <v>2129</v>
      </c>
      <c r="BJ114" s="3938" t="s">
        <v>2129</v>
      </c>
      <c r="BK114" s="3939" t="s">
        <v>2129</v>
      </c>
      <c r="BL114" s="3938" t="s">
        <v>2129</v>
      </c>
      <c r="BM114" s="3938" t="s">
        <v>2129</v>
      </c>
      <c r="BN114" s="3939" t="s">
        <v>2129</v>
      </c>
      <c r="BO114" s="3937" t="s">
        <v>2129</v>
      </c>
      <c r="BP114" s="3988" t="s">
        <v>2129</v>
      </c>
      <c r="BQ114" s="3988"/>
      <c r="BR114" s="3988"/>
      <c r="BS114" s="2694"/>
    </row>
    <row r="115" spans="1:71" ht="13">
      <c r="A115">
        <v>220</v>
      </c>
      <c r="B115" s="3979" t="s">
        <v>2848</v>
      </c>
      <c r="C115" s="2694" t="s">
        <v>2129</v>
      </c>
      <c r="D115" s="2694" t="s">
        <v>2129</v>
      </c>
      <c r="E115" s="2694" t="s">
        <v>2129</v>
      </c>
      <c r="F115" s="3974" t="s">
        <v>2129</v>
      </c>
      <c r="G115" s="3975" t="s">
        <v>2129</v>
      </c>
      <c r="H115" s="3976" t="s">
        <v>2129</v>
      </c>
      <c r="I115" s="2694">
        <v>0</v>
      </c>
      <c r="J115" s="3992" t="s">
        <v>2854</v>
      </c>
      <c r="K115" s="2694">
        <v>0</v>
      </c>
      <c r="L115" s="2694" t="b">
        <v>1</v>
      </c>
      <c r="M115" s="2694" t="s">
        <v>2129</v>
      </c>
      <c r="N115" s="2477">
        <v>0</v>
      </c>
      <c r="O115" s="2477">
        <v>0</v>
      </c>
      <c r="P115" s="2477">
        <v>0</v>
      </c>
      <c r="Q115" s="2477">
        <v>0</v>
      </c>
      <c r="R115" s="2477">
        <v>0</v>
      </c>
      <c r="S115" s="2695">
        <v>0</v>
      </c>
      <c r="T115" s="2477">
        <v>0</v>
      </c>
      <c r="U115" s="2477" t="b">
        <v>1</v>
      </c>
      <c r="V115" s="2477" t="s">
        <v>2129</v>
      </c>
      <c r="W115" s="2477">
        <v>-322775</v>
      </c>
      <c r="X115" s="3937">
        <v>853403</v>
      </c>
      <c r="Y115" s="3938">
        <v>1176178</v>
      </c>
      <c r="Z115" s="3938" t="b">
        <v>1</v>
      </c>
      <c r="AA115" s="3938">
        <v>8225.0209790209792</v>
      </c>
      <c r="AB115" s="3938">
        <v>6824</v>
      </c>
      <c r="AC115" s="3938">
        <v>9883</v>
      </c>
      <c r="AD115" s="3938" t="s">
        <v>2129</v>
      </c>
      <c r="AE115" s="3938">
        <v>0</v>
      </c>
      <c r="AF115" s="3938"/>
      <c r="AG115">
        <v>143</v>
      </c>
      <c r="AH115" s="3965">
        <v>143</v>
      </c>
      <c r="AI115" s="3965" t="b">
        <v>1</v>
      </c>
      <c r="AJ115">
        <v>144</v>
      </c>
      <c r="AK115" s="3966">
        <v>8168</v>
      </c>
      <c r="AL115" s="2814" t="s">
        <v>2129</v>
      </c>
      <c r="AM115" s="2814" t="s">
        <v>2129</v>
      </c>
      <c r="AN115" s="2814" t="s">
        <v>2129</v>
      </c>
      <c r="AO115" s="3953" t="s">
        <v>2129</v>
      </c>
      <c r="AP115" s="2814" t="s">
        <v>2129</v>
      </c>
      <c r="AQ115" s="3954" t="s">
        <v>2129</v>
      </c>
      <c r="AR115" t="s">
        <v>2129</v>
      </c>
      <c r="AS115" t="s">
        <v>2129</v>
      </c>
      <c r="AU115" t="s">
        <v>2129</v>
      </c>
      <c r="AW115" t="s">
        <v>2129</v>
      </c>
      <c r="AX115" t="s">
        <v>2129</v>
      </c>
      <c r="AY115" t="s">
        <v>2129</v>
      </c>
      <c r="AZ115" s="3946" t="s">
        <v>2129</v>
      </c>
      <c r="BA115" t="s">
        <v>2129</v>
      </c>
      <c r="BB115" s="3947" t="s">
        <v>2129</v>
      </c>
      <c r="BC115" s="1958" t="s">
        <v>2129</v>
      </c>
      <c r="BD115" s="1958" t="s">
        <v>2129</v>
      </c>
      <c r="BE115" s="1958" t="s">
        <v>2129</v>
      </c>
      <c r="BF115" s="3937" t="s">
        <v>2129</v>
      </c>
      <c r="BG115" s="3938" t="s">
        <v>2129</v>
      </c>
      <c r="BH115" s="3938" t="s">
        <v>2129</v>
      </c>
      <c r="BI115" s="3937" t="s">
        <v>2129</v>
      </c>
      <c r="BJ115" s="3938" t="s">
        <v>2129</v>
      </c>
      <c r="BK115" s="3939" t="s">
        <v>2129</v>
      </c>
      <c r="BL115" s="3938" t="s">
        <v>2129</v>
      </c>
      <c r="BM115" s="3938" t="s">
        <v>2129</v>
      </c>
      <c r="BN115" s="3939" t="s">
        <v>2129</v>
      </c>
      <c r="BO115" s="3937" t="s">
        <v>2129</v>
      </c>
      <c r="BP115" s="3988" t="s">
        <v>2129</v>
      </c>
      <c r="BQ115" s="3988"/>
      <c r="BR115" s="3988"/>
      <c r="BS115" s="2694"/>
    </row>
    <row r="116" spans="1:71" ht="13">
      <c r="A116">
        <v>221</v>
      </c>
      <c r="B116" s="3979" t="s">
        <v>2846</v>
      </c>
      <c r="C116" s="2694" t="s">
        <v>2129</v>
      </c>
      <c r="D116" s="2694" t="s">
        <v>2129</v>
      </c>
      <c r="E116" s="2694" t="s">
        <v>2129</v>
      </c>
      <c r="F116" s="3974" t="s">
        <v>2129</v>
      </c>
      <c r="G116" s="3975" t="s">
        <v>2129</v>
      </c>
      <c r="H116" s="3976" t="s">
        <v>2129</v>
      </c>
      <c r="I116" s="2694">
        <v>7</v>
      </c>
      <c r="J116" s="3992" t="s">
        <v>3570</v>
      </c>
      <c r="K116" s="2694">
        <v>7</v>
      </c>
      <c r="L116" s="2694" t="b">
        <v>1</v>
      </c>
      <c r="M116" s="2694" t="s">
        <v>2129</v>
      </c>
      <c r="N116" s="2477">
        <v>3234224</v>
      </c>
      <c r="O116" s="2477">
        <v>0</v>
      </c>
      <c r="P116" s="2477">
        <v>0</v>
      </c>
      <c r="Q116" s="2477">
        <v>0</v>
      </c>
      <c r="R116" s="2477">
        <v>0</v>
      </c>
      <c r="S116" s="2695">
        <v>3557646.4000000004</v>
      </c>
      <c r="T116" s="2477">
        <v>3550588</v>
      </c>
      <c r="U116" s="2477" t="b">
        <v>1</v>
      </c>
      <c r="V116" s="2477">
        <v>507226.85714285716</v>
      </c>
      <c r="W116" s="2477">
        <v>-1708212</v>
      </c>
      <c r="X116" s="3937">
        <v>4071898</v>
      </c>
      <c r="Y116" s="3938">
        <v>5780110</v>
      </c>
      <c r="Z116" s="3938" t="b">
        <v>1</v>
      </c>
      <c r="AA116" s="3938">
        <v>53519.537037037036</v>
      </c>
      <c r="AB116" s="3938">
        <v>17342</v>
      </c>
      <c r="AC116" s="3938">
        <v>82566</v>
      </c>
      <c r="AD116" s="3938" t="s">
        <v>2129</v>
      </c>
      <c r="AE116" s="3938">
        <v>2300</v>
      </c>
      <c r="AF116" s="3938"/>
      <c r="AG116">
        <v>108</v>
      </c>
      <c r="AH116" s="3965">
        <v>108</v>
      </c>
      <c r="AI116" s="3965" t="b">
        <v>1</v>
      </c>
      <c r="AJ116">
        <v>176</v>
      </c>
      <c r="AK116" s="3966">
        <v>32842</v>
      </c>
      <c r="AL116" s="2814" t="s">
        <v>2129</v>
      </c>
      <c r="AM116" s="2814" t="s">
        <v>2129</v>
      </c>
      <c r="AN116" s="2814" t="s">
        <v>2129</v>
      </c>
      <c r="AO116" s="3953" t="s">
        <v>2129</v>
      </c>
      <c r="AP116" s="2814" t="s">
        <v>2129</v>
      </c>
      <c r="AQ116" s="3954" t="s">
        <v>2129</v>
      </c>
      <c r="AR116" t="s">
        <v>2129</v>
      </c>
      <c r="AS116" t="s">
        <v>2129</v>
      </c>
      <c r="AU116" t="s">
        <v>2129</v>
      </c>
      <c r="AW116" t="s">
        <v>2129</v>
      </c>
      <c r="AX116" t="s">
        <v>2129</v>
      </c>
      <c r="AY116" t="s">
        <v>2129</v>
      </c>
      <c r="AZ116" s="3946" t="s">
        <v>2129</v>
      </c>
      <c r="BA116" t="s">
        <v>2129</v>
      </c>
      <c r="BB116" s="3947" t="s">
        <v>2129</v>
      </c>
      <c r="BC116" s="1958" t="s">
        <v>2129</v>
      </c>
      <c r="BD116" s="1958" t="s">
        <v>2129</v>
      </c>
      <c r="BE116" s="1958" t="s">
        <v>2129</v>
      </c>
      <c r="BF116" s="3937" t="s">
        <v>2129</v>
      </c>
      <c r="BG116" s="3938" t="s">
        <v>2129</v>
      </c>
      <c r="BH116" s="3938" t="s">
        <v>2129</v>
      </c>
      <c r="BI116" s="3937" t="s">
        <v>2129</v>
      </c>
      <c r="BJ116" s="3938" t="s">
        <v>2129</v>
      </c>
      <c r="BK116" s="3939" t="s">
        <v>2129</v>
      </c>
      <c r="BL116" s="3938" t="s">
        <v>2129</v>
      </c>
      <c r="BM116" s="3938" t="s">
        <v>2129</v>
      </c>
      <c r="BN116" s="3939" t="s">
        <v>2129</v>
      </c>
      <c r="BO116" s="3937" t="s">
        <v>2129</v>
      </c>
      <c r="BP116" s="3988" t="s">
        <v>2129</v>
      </c>
      <c r="BQ116" s="3988"/>
      <c r="BR116" s="3988"/>
      <c r="BS116" s="2694"/>
    </row>
    <row r="117" spans="1:71" ht="13">
      <c r="A117">
        <v>222</v>
      </c>
      <c r="B117" s="3979" t="s">
        <v>3338</v>
      </c>
      <c r="C117" s="2694" t="s">
        <v>2129</v>
      </c>
      <c r="D117" s="2694" t="s">
        <v>2129</v>
      </c>
      <c r="E117" s="2694" t="s">
        <v>2129</v>
      </c>
      <c r="F117" s="3974" t="s">
        <v>2129</v>
      </c>
      <c r="G117" s="3975" t="s">
        <v>2129</v>
      </c>
      <c r="H117" s="3976" t="s">
        <v>2129</v>
      </c>
      <c r="I117" s="2694">
        <v>0</v>
      </c>
      <c r="J117" s="3992" t="s">
        <v>2854</v>
      </c>
      <c r="K117" s="2694">
        <v>0</v>
      </c>
      <c r="L117" s="2694" t="b">
        <v>0</v>
      </c>
      <c r="M117" s="2694" t="s">
        <v>2129</v>
      </c>
      <c r="N117" s="2477">
        <v>0</v>
      </c>
      <c r="O117" s="2477">
        <v>0</v>
      </c>
      <c r="P117" s="2477">
        <v>0</v>
      </c>
      <c r="Q117" s="2477">
        <v>0</v>
      </c>
      <c r="R117" s="2477">
        <v>0</v>
      </c>
      <c r="S117" s="2695">
        <v>0</v>
      </c>
      <c r="T117" s="2477">
        <v>0</v>
      </c>
      <c r="U117" s="2477" t="b">
        <v>1</v>
      </c>
      <c r="V117" s="2477" t="s">
        <v>2129</v>
      </c>
      <c r="W117" s="2477">
        <v>-510400</v>
      </c>
      <c r="X117" s="3937">
        <v>1501244</v>
      </c>
      <c r="Y117" s="3938">
        <v>2011644</v>
      </c>
      <c r="Z117" s="3938" t="b">
        <v>1</v>
      </c>
      <c r="AA117" s="3938">
        <v>27939.5</v>
      </c>
      <c r="AB117" s="3938">
        <v>17648</v>
      </c>
      <c r="AC117" s="3938">
        <v>29412</v>
      </c>
      <c r="AD117" s="3938" t="s">
        <v>2129</v>
      </c>
      <c r="AE117" s="3938"/>
      <c r="AF117" s="3938"/>
      <c r="AG117">
        <v>72</v>
      </c>
      <c r="AH117" s="3965">
        <v>72</v>
      </c>
      <c r="AI117" s="3965" t="b">
        <v>1</v>
      </c>
      <c r="AJ117">
        <v>80</v>
      </c>
      <c r="AK117" s="3966">
        <v>25146</v>
      </c>
      <c r="AL117" s="2814" t="s">
        <v>2129</v>
      </c>
      <c r="AM117" s="2814" t="s">
        <v>2129</v>
      </c>
      <c r="AN117" s="2814" t="s">
        <v>2129</v>
      </c>
      <c r="AO117" s="3953" t="s">
        <v>2129</v>
      </c>
      <c r="AP117" s="2814" t="s">
        <v>2129</v>
      </c>
      <c r="AQ117" s="3954" t="s">
        <v>2129</v>
      </c>
      <c r="AR117" t="s">
        <v>2129</v>
      </c>
      <c r="AS117" t="s">
        <v>2129</v>
      </c>
      <c r="AU117" t="s">
        <v>2129</v>
      </c>
      <c r="AW117" t="s">
        <v>2129</v>
      </c>
      <c r="AX117" t="s">
        <v>2129</v>
      </c>
      <c r="AY117" t="s">
        <v>2129</v>
      </c>
      <c r="AZ117" s="3946" t="s">
        <v>2129</v>
      </c>
      <c r="BA117" t="s">
        <v>2129</v>
      </c>
      <c r="BB117" s="3947" t="s">
        <v>2129</v>
      </c>
      <c r="BC117" s="1958" t="s">
        <v>2129</v>
      </c>
      <c r="BD117" s="1958" t="s">
        <v>2129</v>
      </c>
      <c r="BE117" s="1958" t="s">
        <v>2129</v>
      </c>
      <c r="BF117" s="3937" t="s">
        <v>2129</v>
      </c>
      <c r="BG117" s="3938" t="s">
        <v>2129</v>
      </c>
      <c r="BH117" s="3938" t="s">
        <v>2129</v>
      </c>
      <c r="BI117" s="3937" t="s">
        <v>2129</v>
      </c>
      <c r="BJ117" s="3938" t="s">
        <v>2129</v>
      </c>
      <c r="BK117" s="3939" t="s">
        <v>2129</v>
      </c>
      <c r="BL117" s="3938" t="s">
        <v>2129</v>
      </c>
      <c r="BM117" s="3938" t="s">
        <v>2129</v>
      </c>
      <c r="BN117" s="3939" t="s">
        <v>2129</v>
      </c>
      <c r="BO117" s="3937" t="s">
        <v>2129</v>
      </c>
      <c r="BP117" s="3988" t="s">
        <v>2129</v>
      </c>
      <c r="BQ117" s="3988"/>
      <c r="BR117" s="3988"/>
      <c r="BS117" s="2694"/>
    </row>
    <row r="118" spans="1:71" ht="13">
      <c r="A118">
        <v>223</v>
      </c>
      <c r="B118" s="3979" t="s">
        <v>2851</v>
      </c>
      <c r="C118" s="2694" t="s">
        <v>2129</v>
      </c>
      <c r="D118" s="2694" t="s">
        <v>2129</v>
      </c>
      <c r="E118" s="2694" t="s">
        <v>2129</v>
      </c>
      <c r="F118" s="3974" t="s">
        <v>2129</v>
      </c>
      <c r="G118" s="3975" t="s">
        <v>2129</v>
      </c>
      <c r="H118" s="3976" t="s">
        <v>2129</v>
      </c>
      <c r="I118" s="2694">
        <v>1</v>
      </c>
      <c r="J118" s="3992" t="s">
        <v>2669</v>
      </c>
      <c r="K118" s="2694">
        <v>1</v>
      </c>
      <c r="L118" s="2694" t="b">
        <v>1</v>
      </c>
      <c r="M118" s="2694" t="s">
        <v>2129</v>
      </c>
      <c r="N118" s="2477">
        <v>30000</v>
      </c>
      <c r="O118" s="2477">
        <v>0</v>
      </c>
      <c r="P118" s="2477">
        <v>0</v>
      </c>
      <c r="Q118" s="2477">
        <v>0</v>
      </c>
      <c r="R118" s="2477">
        <v>0</v>
      </c>
      <c r="S118" s="2695">
        <v>33000</v>
      </c>
      <c r="T118" s="2477">
        <v>165000</v>
      </c>
      <c r="U118" s="2477" t="b">
        <v>1</v>
      </c>
      <c r="V118" s="2477">
        <v>165000</v>
      </c>
      <c r="W118" s="2477">
        <v>0</v>
      </c>
      <c r="X118" s="3937">
        <v>5703225</v>
      </c>
      <c r="Y118" s="3938">
        <v>5703225</v>
      </c>
      <c r="Z118" s="3938" t="b">
        <v>1</v>
      </c>
      <c r="AA118" s="3938">
        <v>44556.4453125</v>
      </c>
      <c r="AB118" s="3938"/>
      <c r="AC118" s="3938"/>
      <c r="AD118" s="3938" t="s">
        <v>2129</v>
      </c>
      <c r="AE118" s="3938">
        <v>1800</v>
      </c>
      <c r="AF118" s="3938"/>
      <c r="AG118">
        <v>128</v>
      </c>
      <c r="AH118" s="3965">
        <v>128</v>
      </c>
      <c r="AI118" s="3965" t="b">
        <v>1</v>
      </c>
      <c r="AJ118">
        <v>144</v>
      </c>
      <c r="AK118" s="3966">
        <v>39606</v>
      </c>
      <c r="AL118" s="2814" t="s">
        <v>2129</v>
      </c>
      <c r="AM118" s="2814" t="s">
        <v>2129</v>
      </c>
      <c r="AN118" s="2814" t="s">
        <v>2129</v>
      </c>
      <c r="AO118" s="3953" t="s">
        <v>2129</v>
      </c>
      <c r="AP118" s="2814" t="s">
        <v>2129</v>
      </c>
      <c r="AQ118" s="3954" t="s">
        <v>2129</v>
      </c>
      <c r="AR118" t="s">
        <v>2129</v>
      </c>
      <c r="AS118" t="s">
        <v>2129</v>
      </c>
      <c r="AU118" t="s">
        <v>2129</v>
      </c>
      <c r="AW118" t="s">
        <v>2129</v>
      </c>
      <c r="AX118" t="s">
        <v>2129</v>
      </c>
      <c r="AY118" t="s">
        <v>2129</v>
      </c>
      <c r="AZ118" s="3946" t="s">
        <v>2129</v>
      </c>
      <c r="BA118" t="s">
        <v>2129</v>
      </c>
      <c r="BB118" s="3947" t="s">
        <v>2129</v>
      </c>
      <c r="BC118" s="1958" t="s">
        <v>2129</v>
      </c>
      <c r="BD118" s="1958" t="s">
        <v>2129</v>
      </c>
      <c r="BE118" s="1958" t="s">
        <v>2129</v>
      </c>
      <c r="BF118" s="3937" t="s">
        <v>2129</v>
      </c>
      <c r="BG118" s="3938" t="s">
        <v>2129</v>
      </c>
      <c r="BH118" s="3938" t="s">
        <v>2129</v>
      </c>
      <c r="BI118" s="3937" t="s">
        <v>2129</v>
      </c>
      <c r="BJ118" s="3938" t="s">
        <v>2129</v>
      </c>
      <c r="BK118" s="3939" t="s">
        <v>2129</v>
      </c>
      <c r="BL118" s="3938" t="s">
        <v>2129</v>
      </c>
      <c r="BM118" s="3938" t="s">
        <v>2129</v>
      </c>
      <c r="BN118" s="3939" t="s">
        <v>2129</v>
      </c>
      <c r="BO118" s="3937" t="s">
        <v>2129</v>
      </c>
      <c r="BP118" s="3988" t="s">
        <v>2129</v>
      </c>
      <c r="BQ118" s="3988"/>
      <c r="BR118" s="3988"/>
      <c r="BS118" s="2694"/>
    </row>
    <row r="119" spans="1:71" ht="13">
      <c r="A119">
        <v>227</v>
      </c>
      <c r="B119" s="3979" t="s">
        <v>3339</v>
      </c>
      <c r="C119" s="2694" t="s">
        <v>2129</v>
      </c>
      <c r="D119" s="2694" t="s">
        <v>2129</v>
      </c>
      <c r="E119" s="2694" t="s">
        <v>2129</v>
      </c>
      <c r="F119" s="3974" t="s">
        <v>3791</v>
      </c>
      <c r="G119" s="3975" t="s">
        <v>2129</v>
      </c>
      <c r="H119" s="3976" t="s">
        <v>2129</v>
      </c>
      <c r="I119" s="2694">
        <v>9</v>
      </c>
      <c r="J119" s="3992" t="s">
        <v>3503</v>
      </c>
      <c r="K119" s="2694">
        <v>4</v>
      </c>
      <c r="L119" s="2694" t="b">
        <v>1</v>
      </c>
      <c r="M119" s="2694" t="s">
        <v>2129</v>
      </c>
      <c r="N119" s="2477">
        <v>5152943</v>
      </c>
      <c r="O119" s="2477">
        <v>0</v>
      </c>
      <c r="P119" s="2477">
        <v>0</v>
      </c>
      <c r="Q119" s="2477">
        <v>0</v>
      </c>
      <c r="R119" s="2477">
        <v>0</v>
      </c>
      <c r="S119" s="2695">
        <v>5668237.3000000007</v>
      </c>
      <c r="T119" s="2477">
        <v>4115295</v>
      </c>
      <c r="U119" s="2477" t="b">
        <v>1</v>
      </c>
      <c r="V119" s="2477">
        <v>1028823.75</v>
      </c>
      <c r="W119" s="2477">
        <v>752595</v>
      </c>
      <c r="X119" s="3937">
        <v>1400275</v>
      </c>
      <c r="Y119" s="3938">
        <v>647680</v>
      </c>
      <c r="Z119" s="3938" t="b">
        <v>1</v>
      </c>
      <c r="AA119" s="3938">
        <v>24910.76923076923</v>
      </c>
      <c r="AB119" s="3938"/>
      <c r="AC119" s="3938"/>
      <c r="AD119" s="3938" t="s">
        <v>2129</v>
      </c>
      <c r="AE119" s="3938"/>
      <c r="AF119" s="3938"/>
      <c r="AG119">
        <v>105</v>
      </c>
      <c r="AH119" s="3965">
        <v>26</v>
      </c>
      <c r="AI119" s="3965" t="b">
        <v>1</v>
      </c>
      <c r="AJ119">
        <v>30</v>
      </c>
      <c r="AK119" s="3966">
        <v>21590</v>
      </c>
      <c r="AL119" s="2814" t="s">
        <v>2129</v>
      </c>
      <c r="AM119" s="2814" t="s">
        <v>2129</v>
      </c>
      <c r="AN119" s="2814" t="s">
        <v>2129</v>
      </c>
      <c r="AO119" s="3953">
        <v>304</v>
      </c>
      <c r="AP119" s="2814" t="s">
        <v>2129</v>
      </c>
      <c r="AQ119" s="3954" t="s">
        <v>2129</v>
      </c>
      <c r="AR119" t="s">
        <v>2129</v>
      </c>
      <c r="AS119" t="s">
        <v>2129</v>
      </c>
      <c r="AU119">
        <v>278</v>
      </c>
      <c r="AW119" t="s">
        <v>2129</v>
      </c>
      <c r="AX119" t="s">
        <v>2129</v>
      </c>
      <c r="AY119" t="s">
        <v>2129</v>
      </c>
      <c r="AZ119" s="3946">
        <v>16</v>
      </c>
      <c r="BA119" t="s">
        <v>2129</v>
      </c>
      <c r="BB119" s="3947" t="s">
        <v>2129</v>
      </c>
      <c r="BC119" s="1958" t="s">
        <v>2129</v>
      </c>
      <c r="BD119" s="1958" t="s">
        <v>2129</v>
      </c>
      <c r="BE119" s="1958" t="s">
        <v>2129</v>
      </c>
      <c r="BF119" s="3937">
        <v>6563360</v>
      </c>
      <c r="BG119" s="3938" t="s">
        <v>2129</v>
      </c>
      <c r="BH119" s="3938" t="s">
        <v>2129</v>
      </c>
      <c r="BI119" s="3937" t="s">
        <v>2129</v>
      </c>
      <c r="BJ119" s="3938" t="s">
        <v>2129</v>
      </c>
      <c r="BK119" s="3939" t="s">
        <v>2129</v>
      </c>
      <c r="BL119" s="3938">
        <v>65844720</v>
      </c>
      <c r="BM119" s="3938" t="s">
        <v>2129</v>
      </c>
      <c r="BN119" s="3939" t="s">
        <v>2129</v>
      </c>
      <c r="BO119" s="3937" t="s">
        <v>2129</v>
      </c>
      <c r="BP119" s="3988">
        <v>3724000</v>
      </c>
      <c r="BQ119" s="3988"/>
      <c r="BR119" s="3988"/>
      <c r="BS119" s="2694"/>
    </row>
    <row r="120" spans="1:71" ht="13">
      <c r="A120">
        <v>228</v>
      </c>
      <c r="B120" s="3979" t="s">
        <v>3340</v>
      </c>
      <c r="C120" s="2694" t="s">
        <v>2129</v>
      </c>
      <c r="D120" s="2694" t="s">
        <v>2129</v>
      </c>
      <c r="E120" s="2694" t="s">
        <v>2129</v>
      </c>
      <c r="F120" s="3974" t="s">
        <v>2129</v>
      </c>
      <c r="G120" s="3975" t="s">
        <v>2129</v>
      </c>
      <c r="H120" s="3976" t="s">
        <v>2129</v>
      </c>
      <c r="I120" s="2694">
        <v>0</v>
      </c>
      <c r="J120" s="3992" t="s">
        <v>2854</v>
      </c>
      <c r="K120" s="2694">
        <v>0</v>
      </c>
      <c r="L120" s="2694" t="b">
        <v>0</v>
      </c>
      <c r="M120" s="2694" t="s">
        <v>2129</v>
      </c>
      <c r="N120" s="2477">
        <v>0</v>
      </c>
      <c r="O120" s="2477">
        <v>0</v>
      </c>
      <c r="P120" s="2477">
        <v>0</v>
      </c>
      <c r="Q120" s="2477">
        <v>0</v>
      </c>
      <c r="R120" s="2477">
        <v>0</v>
      </c>
      <c r="S120" s="2695">
        <v>0</v>
      </c>
      <c r="T120" s="2477">
        <v>0</v>
      </c>
      <c r="U120" s="2477" t="b">
        <v>1</v>
      </c>
      <c r="V120" s="2477" t="s">
        <v>2129</v>
      </c>
      <c r="W120" s="2477">
        <v>0</v>
      </c>
      <c r="X120" s="3937">
        <v>1413130</v>
      </c>
      <c r="Y120" s="3938">
        <v>1413130</v>
      </c>
      <c r="Z120" s="3938" t="b">
        <v>1</v>
      </c>
      <c r="AA120" s="3938">
        <v>7597.4731182795695</v>
      </c>
      <c r="AB120" s="3938"/>
      <c r="AC120" s="3938"/>
      <c r="AD120" s="3938" t="s">
        <v>2129</v>
      </c>
      <c r="AE120" s="3938"/>
      <c r="AF120" s="3938"/>
      <c r="AG120">
        <v>186</v>
      </c>
      <c r="AH120" s="3965">
        <v>186</v>
      </c>
      <c r="AI120" s="3965" t="b">
        <v>1</v>
      </c>
      <c r="AJ120">
        <v>187</v>
      </c>
      <c r="AK120" s="3966">
        <v>7557</v>
      </c>
      <c r="AL120" s="2814" t="s">
        <v>2129</v>
      </c>
      <c r="AM120" s="2814" t="s">
        <v>2129</v>
      </c>
      <c r="AN120" s="2814" t="s">
        <v>2129</v>
      </c>
      <c r="AO120" s="3953" t="s">
        <v>2129</v>
      </c>
      <c r="AP120" s="2814" t="s">
        <v>2129</v>
      </c>
      <c r="AQ120" s="3954" t="s">
        <v>2129</v>
      </c>
      <c r="AR120" t="s">
        <v>2129</v>
      </c>
      <c r="AS120" t="s">
        <v>2129</v>
      </c>
      <c r="AU120" t="s">
        <v>2129</v>
      </c>
      <c r="AW120" t="s">
        <v>2129</v>
      </c>
      <c r="AX120" t="s">
        <v>2129</v>
      </c>
      <c r="AY120" t="s">
        <v>2129</v>
      </c>
      <c r="AZ120" s="3946" t="s">
        <v>2129</v>
      </c>
      <c r="BA120" t="s">
        <v>2129</v>
      </c>
      <c r="BB120" s="3947" t="s">
        <v>2129</v>
      </c>
      <c r="BC120" s="1958" t="s">
        <v>2129</v>
      </c>
      <c r="BD120" s="1958" t="s">
        <v>2129</v>
      </c>
      <c r="BE120" s="1958" t="s">
        <v>2129</v>
      </c>
      <c r="BF120" s="3937" t="s">
        <v>2129</v>
      </c>
      <c r="BG120" s="3938" t="s">
        <v>2129</v>
      </c>
      <c r="BH120" s="3938" t="s">
        <v>2129</v>
      </c>
      <c r="BI120" s="3937" t="s">
        <v>2129</v>
      </c>
      <c r="BJ120" s="3938" t="s">
        <v>2129</v>
      </c>
      <c r="BK120" s="3939" t="s">
        <v>2129</v>
      </c>
      <c r="BL120" s="3938" t="s">
        <v>2129</v>
      </c>
      <c r="BM120" s="3938" t="s">
        <v>2129</v>
      </c>
      <c r="BN120" s="3939" t="s">
        <v>2129</v>
      </c>
      <c r="BO120" s="3937" t="s">
        <v>2129</v>
      </c>
      <c r="BP120" s="3988" t="s">
        <v>2129</v>
      </c>
      <c r="BQ120" s="3988"/>
      <c r="BR120" s="3988"/>
      <c r="BS120" s="2694"/>
    </row>
    <row r="121" spans="1:71" ht="13">
      <c r="A121">
        <v>229</v>
      </c>
      <c r="B121" s="3979" t="s">
        <v>3341</v>
      </c>
      <c r="C121" s="2694" t="s">
        <v>3791</v>
      </c>
      <c r="D121" s="2694" t="s">
        <v>2129</v>
      </c>
      <c r="E121" s="2694" t="s">
        <v>2129</v>
      </c>
      <c r="F121" s="3974" t="s">
        <v>2129</v>
      </c>
      <c r="G121" s="3975" t="s">
        <v>2129</v>
      </c>
      <c r="H121" s="3976" t="s">
        <v>2129</v>
      </c>
      <c r="I121" s="2694">
        <v>2</v>
      </c>
      <c r="J121" s="3992" t="s">
        <v>3481</v>
      </c>
      <c r="K121" s="2694">
        <v>2</v>
      </c>
      <c r="L121" s="2694" t="b">
        <v>1</v>
      </c>
      <c r="M121" s="2694" t="s">
        <v>2129</v>
      </c>
      <c r="N121" s="2477">
        <v>258824</v>
      </c>
      <c r="O121" s="2477">
        <v>0</v>
      </c>
      <c r="P121" s="2477">
        <v>0</v>
      </c>
      <c r="Q121" s="2477">
        <v>0</v>
      </c>
      <c r="R121" s="2477">
        <v>0</v>
      </c>
      <c r="S121" s="2695">
        <v>284706.40000000002</v>
      </c>
      <c r="T121" s="2477">
        <v>854119</v>
      </c>
      <c r="U121" s="2477" t="b">
        <v>1</v>
      </c>
      <c r="V121" s="2477">
        <v>427059.5</v>
      </c>
      <c r="W121" s="2477">
        <v>749852</v>
      </c>
      <c r="X121" s="3937">
        <v>1123852</v>
      </c>
      <c r="Y121" s="3938">
        <v>374000</v>
      </c>
      <c r="Z121" s="3938" t="b">
        <v>1</v>
      </c>
      <c r="AA121" s="3938">
        <v>13851.851851851852</v>
      </c>
      <c r="AB121" s="3938"/>
      <c r="AC121" s="3938"/>
      <c r="AD121" s="3938">
        <v>781.77257525083621</v>
      </c>
      <c r="AE121" s="3938">
        <v>0</v>
      </c>
      <c r="AF121" s="3938"/>
      <c r="AG121">
        <v>107</v>
      </c>
      <c r="AH121" s="3965">
        <v>27</v>
      </c>
      <c r="AI121" s="3965" t="b">
        <v>1</v>
      </c>
      <c r="AJ121">
        <v>34</v>
      </c>
      <c r="AK121" s="3966">
        <v>11000</v>
      </c>
      <c r="AL121" s="2814">
        <v>416</v>
      </c>
      <c r="AM121" s="2814" t="s">
        <v>2129</v>
      </c>
      <c r="AN121" s="2814" t="s">
        <v>2129</v>
      </c>
      <c r="AO121" s="3953" t="s">
        <v>2129</v>
      </c>
      <c r="AP121" s="2814" t="s">
        <v>2129</v>
      </c>
      <c r="AQ121" s="3954" t="s">
        <v>2129</v>
      </c>
      <c r="AR121">
        <v>389</v>
      </c>
      <c r="AS121" t="s">
        <v>2129</v>
      </c>
      <c r="AU121" t="s">
        <v>2129</v>
      </c>
      <c r="AW121">
        <v>13</v>
      </c>
      <c r="AX121" t="s">
        <v>2129</v>
      </c>
      <c r="AY121" t="s">
        <v>2129</v>
      </c>
      <c r="AZ121" s="3946" t="s">
        <v>2129</v>
      </c>
      <c r="BA121" t="s">
        <v>2129</v>
      </c>
      <c r="BB121" s="3947" t="s">
        <v>2129</v>
      </c>
      <c r="BC121" s="1958">
        <v>4576000</v>
      </c>
      <c r="BD121" s="1958" t="s">
        <v>2129</v>
      </c>
      <c r="BE121" s="1958" t="s">
        <v>2129</v>
      </c>
      <c r="BF121" s="3937" t="s">
        <v>2129</v>
      </c>
      <c r="BG121" s="3938" t="s">
        <v>2129</v>
      </c>
      <c r="BH121" s="3938" t="s">
        <v>2129</v>
      </c>
      <c r="BI121" s="3937">
        <v>11103547</v>
      </c>
      <c r="BJ121" s="3938" t="s">
        <v>2129</v>
      </c>
      <c r="BK121" s="3939" t="s">
        <v>2129</v>
      </c>
      <c r="BL121" s="3938" t="s">
        <v>2129</v>
      </c>
      <c r="BM121" s="3938" t="s">
        <v>2129</v>
      </c>
      <c r="BN121" s="3939" t="s">
        <v>2129</v>
      </c>
      <c r="BO121" s="3937">
        <v>5096000</v>
      </c>
      <c r="BP121" s="3988" t="s">
        <v>2129</v>
      </c>
      <c r="BQ121" s="3988"/>
      <c r="BR121" s="3988"/>
      <c r="BS121" s="2694"/>
    </row>
    <row r="122" spans="1:71" ht="13">
      <c r="A122">
        <v>231</v>
      </c>
      <c r="B122" s="3979" t="s">
        <v>3342</v>
      </c>
      <c r="C122" s="2694" t="s">
        <v>2129</v>
      </c>
      <c r="D122" s="2694" t="s">
        <v>2129</v>
      </c>
      <c r="E122" s="2694" t="s">
        <v>2129</v>
      </c>
      <c r="F122" s="3974" t="s">
        <v>2129</v>
      </c>
      <c r="G122" s="3975" t="s">
        <v>2129</v>
      </c>
      <c r="H122" s="3976" t="s">
        <v>2129</v>
      </c>
      <c r="I122" s="2694">
        <v>1</v>
      </c>
      <c r="J122" s="3992" t="s">
        <v>3592</v>
      </c>
      <c r="K122" s="2694">
        <v>1</v>
      </c>
      <c r="L122" s="2694" t="b">
        <v>0</v>
      </c>
      <c r="M122" s="2694" t="s">
        <v>2129</v>
      </c>
      <c r="N122" s="2477">
        <v>38824</v>
      </c>
      <c r="O122" s="2477">
        <v>0</v>
      </c>
      <c r="P122" s="2477">
        <v>0</v>
      </c>
      <c r="Q122" s="2477">
        <v>0</v>
      </c>
      <c r="R122" s="2477">
        <v>0</v>
      </c>
      <c r="S122" s="2695">
        <v>42706.400000000001</v>
      </c>
      <c r="T122" s="2477">
        <v>42706</v>
      </c>
      <c r="U122" s="2477" t="b">
        <v>0</v>
      </c>
      <c r="V122" s="2477">
        <v>42706</v>
      </c>
      <c r="W122" s="2477">
        <v>-102883</v>
      </c>
      <c r="X122" s="3937">
        <v>874579</v>
      </c>
      <c r="Y122" s="3938">
        <v>977462</v>
      </c>
      <c r="Z122" s="3938" t="b">
        <v>1</v>
      </c>
      <c r="AA122" s="3938">
        <v>14588.985074626866</v>
      </c>
      <c r="AB122" s="3938"/>
      <c r="AC122" s="3938"/>
      <c r="AD122" s="3938" t="s">
        <v>2129</v>
      </c>
      <c r="AE122" s="3938"/>
      <c r="AF122" s="3938"/>
      <c r="AG122">
        <v>102</v>
      </c>
      <c r="AH122" s="3965">
        <v>67</v>
      </c>
      <c r="AI122" s="3965" t="b">
        <v>1</v>
      </c>
      <c r="AJ122">
        <v>84</v>
      </c>
      <c r="AK122" s="3966">
        <v>11637</v>
      </c>
      <c r="AL122" s="2814" t="s">
        <v>2129</v>
      </c>
      <c r="AM122" s="2814" t="s">
        <v>2129</v>
      </c>
      <c r="AN122" s="2814" t="s">
        <v>2129</v>
      </c>
      <c r="AO122" s="3953" t="s">
        <v>2129</v>
      </c>
      <c r="AP122" s="2814" t="s">
        <v>2129</v>
      </c>
      <c r="AQ122" s="3954" t="s">
        <v>2129</v>
      </c>
      <c r="AR122" t="s">
        <v>2129</v>
      </c>
      <c r="AS122" t="s">
        <v>2129</v>
      </c>
      <c r="AU122" t="s">
        <v>2129</v>
      </c>
      <c r="AW122" t="s">
        <v>2129</v>
      </c>
      <c r="AX122" t="s">
        <v>2129</v>
      </c>
      <c r="AY122" t="s">
        <v>2129</v>
      </c>
      <c r="AZ122" s="3946" t="s">
        <v>2129</v>
      </c>
      <c r="BA122" t="s">
        <v>2129</v>
      </c>
      <c r="BB122" s="3947" t="s">
        <v>2129</v>
      </c>
      <c r="BC122" s="1958" t="s">
        <v>2129</v>
      </c>
      <c r="BD122" s="1958" t="s">
        <v>2129</v>
      </c>
      <c r="BE122" s="1958" t="s">
        <v>2129</v>
      </c>
      <c r="BF122" s="3937" t="s">
        <v>2129</v>
      </c>
      <c r="BG122" s="3938" t="s">
        <v>2129</v>
      </c>
      <c r="BH122" s="3938" t="s">
        <v>2129</v>
      </c>
      <c r="BI122" s="3937" t="s">
        <v>2129</v>
      </c>
      <c r="BJ122" s="3938" t="s">
        <v>2129</v>
      </c>
      <c r="BK122" s="3939" t="s">
        <v>2129</v>
      </c>
      <c r="BL122" s="3938" t="s">
        <v>2129</v>
      </c>
      <c r="BM122" s="3938" t="s">
        <v>2129</v>
      </c>
      <c r="BN122" s="3939" t="s">
        <v>2129</v>
      </c>
      <c r="BO122" s="3937" t="s">
        <v>2129</v>
      </c>
      <c r="BP122" s="3988" t="s">
        <v>2129</v>
      </c>
      <c r="BQ122" s="3988"/>
      <c r="BR122" s="3988"/>
      <c r="BS122" s="2694"/>
    </row>
    <row r="123" spans="1:71" ht="13">
      <c r="A123">
        <v>232</v>
      </c>
      <c r="B123" s="3979" t="s">
        <v>3343</v>
      </c>
      <c r="C123" s="2694" t="s">
        <v>2129</v>
      </c>
      <c r="D123" s="2694" t="s">
        <v>2129</v>
      </c>
      <c r="E123" s="2694" t="s">
        <v>2129</v>
      </c>
      <c r="F123" s="3974" t="s">
        <v>2129</v>
      </c>
      <c r="G123" s="3975" t="s">
        <v>2129</v>
      </c>
      <c r="H123" s="3976" t="s">
        <v>2129</v>
      </c>
      <c r="I123" s="2694">
        <v>0</v>
      </c>
      <c r="J123" s="3992" t="s">
        <v>2854</v>
      </c>
      <c r="K123" s="2694">
        <v>0</v>
      </c>
      <c r="L123" s="2694" t="b">
        <v>0</v>
      </c>
      <c r="M123" s="2694" t="s">
        <v>2129</v>
      </c>
      <c r="N123" s="2477">
        <v>0</v>
      </c>
      <c r="O123" s="2477">
        <v>0</v>
      </c>
      <c r="P123" s="2477">
        <v>0</v>
      </c>
      <c r="Q123" s="2477">
        <v>0</v>
      </c>
      <c r="R123" s="2477">
        <v>0</v>
      </c>
      <c r="S123" s="2695">
        <v>0</v>
      </c>
      <c r="T123" s="2477">
        <v>0</v>
      </c>
      <c r="U123" s="2477" t="b">
        <v>1</v>
      </c>
      <c r="V123" s="2477" t="s">
        <v>2129</v>
      </c>
      <c r="W123" s="2477">
        <v>0</v>
      </c>
      <c r="X123" s="3937">
        <v>1934794</v>
      </c>
      <c r="Y123" s="3938">
        <v>1934794</v>
      </c>
      <c r="Z123" s="3938" t="b">
        <v>0</v>
      </c>
      <c r="AA123" s="3938">
        <v>20804.236559139787</v>
      </c>
      <c r="AB123" s="3938"/>
      <c r="AC123" s="3938"/>
      <c r="AD123" s="3938" t="s">
        <v>2129</v>
      </c>
      <c r="AE123" s="3938"/>
      <c r="AF123" s="3938"/>
      <c r="AG123">
        <v>93</v>
      </c>
      <c r="AH123" s="3965">
        <v>93</v>
      </c>
      <c r="AI123" s="3965" t="b">
        <v>0</v>
      </c>
      <c r="AJ123">
        <v>93</v>
      </c>
      <c r="AK123" s="3966">
        <v>20805</v>
      </c>
      <c r="AL123" s="2814" t="s">
        <v>2129</v>
      </c>
      <c r="AM123" s="2814" t="s">
        <v>2129</v>
      </c>
      <c r="AN123" s="2814" t="s">
        <v>2129</v>
      </c>
      <c r="AO123" s="3953" t="s">
        <v>2129</v>
      </c>
      <c r="AP123" s="2814" t="s">
        <v>2129</v>
      </c>
      <c r="AQ123" s="3954" t="s">
        <v>2129</v>
      </c>
      <c r="AR123" t="s">
        <v>2129</v>
      </c>
      <c r="AS123" t="s">
        <v>2129</v>
      </c>
      <c r="AU123" t="s">
        <v>2129</v>
      </c>
      <c r="AW123" t="s">
        <v>2129</v>
      </c>
      <c r="AX123" t="s">
        <v>2129</v>
      </c>
      <c r="AY123" t="s">
        <v>2129</v>
      </c>
      <c r="AZ123" s="3946" t="s">
        <v>2129</v>
      </c>
      <c r="BA123" t="s">
        <v>2129</v>
      </c>
      <c r="BB123" s="3947" t="s">
        <v>2129</v>
      </c>
      <c r="BC123" s="1958" t="s">
        <v>2129</v>
      </c>
      <c r="BD123" s="1958" t="s">
        <v>2129</v>
      </c>
      <c r="BE123" s="1958" t="s">
        <v>2129</v>
      </c>
      <c r="BF123" s="3937" t="s">
        <v>2129</v>
      </c>
      <c r="BG123" s="3938" t="s">
        <v>2129</v>
      </c>
      <c r="BH123" s="3938" t="s">
        <v>2129</v>
      </c>
      <c r="BI123" s="3937" t="s">
        <v>2129</v>
      </c>
      <c r="BJ123" s="3938" t="s">
        <v>2129</v>
      </c>
      <c r="BK123" s="3939" t="s">
        <v>2129</v>
      </c>
      <c r="BL123" s="3938" t="s">
        <v>2129</v>
      </c>
      <c r="BM123" s="3938" t="s">
        <v>2129</v>
      </c>
      <c r="BN123" s="3939" t="s">
        <v>2129</v>
      </c>
      <c r="BO123" s="3937" t="s">
        <v>2129</v>
      </c>
      <c r="BP123" s="3988" t="s">
        <v>2129</v>
      </c>
      <c r="BQ123" s="3988"/>
      <c r="BR123" s="3988"/>
      <c r="BS123" s="2694"/>
    </row>
    <row r="124" spans="1:71" ht="13">
      <c r="A124">
        <v>234</v>
      </c>
      <c r="B124" s="3979" t="s">
        <v>3344</v>
      </c>
      <c r="C124" s="2694" t="s">
        <v>2129</v>
      </c>
      <c r="D124" s="2694" t="s">
        <v>2129</v>
      </c>
      <c r="E124" s="2694" t="s">
        <v>2129</v>
      </c>
      <c r="F124" s="3974" t="s">
        <v>2129</v>
      </c>
      <c r="G124" s="3975" t="s">
        <v>2129</v>
      </c>
      <c r="H124" s="3976" t="s">
        <v>2129</v>
      </c>
      <c r="I124" s="2694">
        <v>0</v>
      </c>
      <c r="J124" s="3992" t="s">
        <v>2854</v>
      </c>
      <c r="K124" s="2694">
        <v>0</v>
      </c>
      <c r="L124" s="2694" t="b">
        <v>0</v>
      </c>
      <c r="M124" s="2694" t="s">
        <v>2129</v>
      </c>
      <c r="N124" s="2477">
        <v>0</v>
      </c>
      <c r="O124" s="2477">
        <v>0</v>
      </c>
      <c r="P124" s="2477">
        <v>0</v>
      </c>
      <c r="Q124" s="2477">
        <v>0</v>
      </c>
      <c r="R124" s="2477">
        <v>0</v>
      </c>
      <c r="S124" s="2695">
        <v>0</v>
      </c>
      <c r="T124" s="2477">
        <v>0</v>
      </c>
      <c r="U124" s="2477" t="b">
        <v>1</v>
      </c>
      <c r="V124" s="2477" t="s">
        <v>2129</v>
      </c>
      <c r="W124" s="2477">
        <v>0</v>
      </c>
      <c r="X124" s="3937">
        <v>455540</v>
      </c>
      <c r="Y124" s="3938">
        <v>455540</v>
      </c>
      <c r="Z124" s="3938" t="b">
        <v>1</v>
      </c>
      <c r="AA124" s="3938">
        <v>10353.181818181818</v>
      </c>
      <c r="AB124" s="3938"/>
      <c r="AC124" s="3938"/>
      <c r="AD124" s="3938" t="s">
        <v>2129</v>
      </c>
      <c r="AE124" s="3938"/>
      <c r="AF124" s="3938"/>
      <c r="AG124">
        <v>105</v>
      </c>
      <c r="AH124" s="3965">
        <v>44</v>
      </c>
      <c r="AI124" s="3965" t="b">
        <v>1</v>
      </c>
      <c r="AJ124">
        <v>44</v>
      </c>
      <c r="AK124" s="3966">
        <v>10354</v>
      </c>
      <c r="AL124" s="2814" t="s">
        <v>2129</v>
      </c>
      <c r="AM124" s="2814" t="s">
        <v>2129</v>
      </c>
      <c r="AN124" s="2814" t="s">
        <v>2129</v>
      </c>
      <c r="AO124" s="3953" t="s">
        <v>2129</v>
      </c>
      <c r="AP124" s="2814" t="s">
        <v>2129</v>
      </c>
      <c r="AQ124" s="3954" t="s">
        <v>2129</v>
      </c>
      <c r="AR124" t="s">
        <v>2129</v>
      </c>
      <c r="AS124" t="s">
        <v>2129</v>
      </c>
      <c r="AU124" t="s">
        <v>2129</v>
      </c>
      <c r="AW124" t="s">
        <v>2129</v>
      </c>
      <c r="AX124" t="s">
        <v>2129</v>
      </c>
      <c r="AY124" t="s">
        <v>2129</v>
      </c>
      <c r="AZ124" s="3946" t="s">
        <v>2129</v>
      </c>
      <c r="BA124" t="s">
        <v>2129</v>
      </c>
      <c r="BB124" s="3947" t="s">
        <v>2129</v>
      </c>
      <c r="BC124" s="1958" t="s">
        <v>2129</v>
      </c>
      <c r="BD124" s="1958" t="s">
        <v>2129</v>
      </c>
      <c r="BE124" s="1958" t="s">
        <v>2129</v>
      </c>
      <c r="BF124" s="3937" t="s">
        <v>2129</v>
      </c>
      <c r="BG124" s="3938" t="s">
        <v>2129</v>
      </c>
      <c r="BH124" s="3938" t="s">
        <v>2129</v>
      </c>
      <c r="BI124" s="3937" t="s">
        <v>2129</v>
      </c>
      <c r="BJ124" s="3938" t="s">
        <v>2129</v>
      </c>
      <c r="BK124" s="3939" t="s">
        <v>2129</v>
      </c>
      <c r="BL124" s="3938" t="s">
        <v>2129</v>
      </c>
      <c r="BM124" s="3938" t="s">
        <v>2129</v>
      </c>
      <c r="BN124" s="3939" t="s">
        <v>2129</v>
      </c>
      <c r="BO124" s="3937" t="s">
        <v>2129</v>
      </c>
      <c r="BP124" s="3988" t="s">
        <v>2129</v>
      </c>
      <c r="BQ124" s="3988"/>
      <c r="BR124" s="3988"/>
      <c r="BS124" s="2694"/>
    </row>
    <row r="125" spans="1:71" ht="13">
      <c r="A125">
        <v>238</v>
      </c>
      <c r="B125" s="3979" t="s">
        <v>3345</v>
      </c>
      <c r="C125" s="2694" t="s">
        <v>2129</v>
      </c>
      <c r="D125" s="2694" t="s">
        <v>2129</v>
      </c>
      <c r="E125" s="2694" t="s">
        <v>2129</v>
      </c>
      <c r="F125" s="3974" t="s">
        <v>3791</v>
      </c>
      <c r="G125" s="3975" t="s">
        <v>2129</v>
      </c>
      <c r="H125" s="3976" t="s">
        <v>2129</v>
      </c>
      <c r="I125" s="2694">
        <v>12</v>
      </c>
      <c r="J125" s="3992" t="s">
        <v>3503</v>
      </c>
      <c r="K125" s="2694">
        <v>2</v>
      </c>
      <c r="L125" s="2694" t="b">
        <v>0</v>
      </c>
      <c r="M125" s="2694" t="s">
        <v>2129</v>
      </c>
      <c r="N125" s="2477">
        <v>1443969</v>
      </c>
      <c r="O125" s="2477">
        <v>35295</v>
      </c>
      <c r="P125" s="2477">
        <v>0</v>
      </c>
      <c r="Q125" s="2477">
        <v>0</v>
      </c>
      <c r="R125" s="2477">
        <v>0</v>
      </c>
      <c r="S125" s="2695">
        <v>1627190.4000000001</v>
      </c>
      <c r="T125" s="2477">
        <v>2218824</v>
      </c>
      <c r="U125" s="2477" t="b">
        <v>0</v>
      </c>
      <c r="V125" s="2477">
        <v>1109412</v>
      </c>
      <c r="W125" s="2477">
        <v>-494419</v>
      </c>
      <c r="X125" s="3937">
        <v>950431</v>
      </c>
      <c r="Y125" s="3938">
        <v>1444850</v>
      </c>
      <c r="Z125" s="3938" t="b">
        <v>1</v>
      </c>
      <c r="AA125" s="3938">
        <v>17837.654320987655</v>
      </c>
      <c r="AB125" s="3938"/>
      <c r="AC125" s="3938"/>
      <c r="AD125" s="3938" t="s">
        <v>2129</v>
      </c>
      <c r="AE125" s="3938">
        <v>1800</v>
      </c>
      <c r="AF125" s="3938"/>
      <c r="AG125">
        <v>90</v>
      </c>
      <c r="AH125" s="3965">
        <v>81</v>
      </c>
      <c r="AI125" s="3965" t="b">
        <v>1</v>
      </c>
      <c r="AJ125">
        <v>107</v>
      </c>
      <c r="AK125" s="3966">
        <v>13504</v>
      </c>
      <c r="AL125" s="2814" t="s">
        <v>2129</v>
      </c>
      <c r="AM125" s="2814" t="s">
        <v>2129</v>
      </c>
      <c r="AN125" s="2814" t="s">
        <v>2129</v>
      </c>
      <c r="AO125" s="3953">
        <v>1177</v>
      </c>
      <c r="AP125" s="2814" t="s">
        <v>2129</v>
      </c>
      <c r="AQ125" s="3954" t="s">
        <v>2129</v>
      </c>
      <c r="AR125" t="s">
        <v>2129</v>
      </c>
      <c r="AS125" t="s">
        <v>2129</v>
      </c>
      <c r="AU125">
        <v>1096</v>
      </c>
      <c r="AW125" t="s">
        <v>2129</v>
      </c>
      <c r="AX125" t="s">
        <v>2129</v>
      </c>
      <c r="AY125" t="s">
        <v>2129</v>
      </c>
      <c r="AZ125" s="3946">
        <v>16</v>
      </c>
      <c r="BA125" t="s">
        <v>2129</v>
      </c>
      <c r="BB125" s="3947" t="s">
        <v>2129</v>
      </c>
      <c r="BC125" s="1958" t="s">
        <v>2129</v>
      </c>
      <c r="BD125" s="1958" t="s">
        <v>2129</v>
      </c>
      <c r="BE125" s="1958" t="s">
        <v>2129</v>
      </c>
      <c r="BF125" s="3937">
        <v>15894208</v>
      </c>
      <c r="BG125" s="3938" t="s">
        <v>2129</v>
      </c>
      <c r="BH125" s="3938" t="s">
        <v>2129</v>
      </c>
      <c r="BI125" s="3937" t="s">
        <v>2129</v>
      </c>
      <c r="BJ125" s="3938" t="s">
        <v>2129</v>
      </c>
      <c r="BK125" s="3939" t="s">
        <v>2129</v>
      </c>
      <c r="BL125" s="3938">
        <v>35501184</v>
      </c>
      <c r="BM125" s="3938" t="s">
        <v>2129</v>
      </c>
      <c r="BN125" s="3939" t="s">
        <v>2129</v>
      </c>
      <c r="BO125" s="3937" t="s">
        <v>2129</v>
      </c>
      <c r="BP125" s="3988">
        <v>14418250</v>
      </c>
      <c r="BQ125" s="3988"/>
      <c r="BR125" s="3988"/>
      <c r="BS125" s="2694"/>
    </row>
    <row r="126" spans="1:71" ht="13">
      <c r="A126">
        <v>239</v>
      </c>
      <c r="B126" s="3979" t="s">
        <v>3346</v>
      </c>
      <c r="C126" s="2694" t="s">
        <v>2129</v>
      </c>
      <c r="D126" s="2694" t="s">
        <v>2129</v>
      </c>
      <c r="E126" s="2694" t="s">
        <v>2129</v>
      </c>
      <c r="F126" s="3974" t="s">
        <v>2129</v>
      </c>
      <c r="G126" s="3975" t="s">
        <v>2129</v>
      </c>
      <c r="H126" s="3976" t="s">
        <v>2129</v>
      </c>
      <c r="I126" s="2694">
        <v>0</v>
      </c>
      <c r="J126" s="3992">
        <v>0</v>
      </c>
      <c r="K126" s="2694">
        <v>0</v>
      </c>
      <c r="L126" s="2694" t="b">
        <v>0</v>
      </c>
      <c r="M126" s="2694" t="s">
        <v>2129</v>
      </c>
      <c r="N126" s="2477">
        <v>0</v>
      </c>
      <c r="O126" s="2477">
        <v>0</v>
      </c>
      <c r="P126" s="2477">
        <v>0</v>
      </c>
      <c r="Q126" s="2477">
        <v>0</v>
      </c>
      <c r="R126" s="2477">
        <v>0</v>
      </c>
      <c r="S126" s="2695">
        <v>0</v>
      </c>
      <c r="T126" s="2477">
        <v>0</v>
      </c>
      <c r="U126" s="2477" t="b">
        <v>1</v>
      </c>
      <c r="V126" s="2477" t="s">
        <v>2129</v>
      </c>
      <c r="W126" s="2477">
        <v>0</v>
      </c>
      <c r="X126" s="3937">
        <v>1215964</v>
      </c>
      <c r="Y126" s="3938">
        <v>1215964</v>
      </c>
      <c r="Z126" s="3938" t="b">
        <v>0</v>
      </c>
      <c r="AA126" s="3938">
        <v>13976.597701149425</v>
      </c>
      <c r="AB126" s="3938"/>
      <c r="AC126" s="3938"/>
      <c r="AD126" s="3938" t="s">
        <v>2129</v>
      </c>
      <c r="AE126" s="3938"/>
      <c r="AF126" s="3938"/>
      <c r="AG126">
        <v>87</v>
      </c>
      <c r="AH126" s="3965">
        <v>87</v>
      </c>
      <c r="AI126" s="3965" t="b">
        <v>0</v>
      </c>
      <c r="AJ126">
        <v>87</v>
      </c>
      <c r="AK126" s="3966">
        <v>13977</v>
      </c>
      <c r="AL126" s="2814" t="s">
        <v>2129</v>
      </c>
      <c r="AM126" s="2814" t="s">
        <v>2129</v>
      </c>
      <c r="AN126" s="2814" t="s">
        <v>2129</v>
      </c>
      <c r="AO126" s="3953" t="s">
        <v>2129</v>
      </c>
      <c r="AP126" s="2814" t="s">
        <v>2129</v>
      </c>
      <c r="AQ126" s="3954" t="s">
        <v>2129</v>
      </c>
      <c r="AR126" t="s">
        <v>2129</v>
      </c>
      <c r="AS126" t="s">
        <v>2129</v>
      </c>
      <c r="AU126" t="s">
        <v>2129</v>
      </c>
      <c r="AW126" t="s">
        <v>2129</v>
      </c>
      <c r="AX126" t="s">
        <v>2129</v>
      </c>
      <c r="AY126" t="s">
        <v>2129</v>
      </c>
      <c r="AZ126" s="3946" t="s">
        <v>2129</v>
      </c>
      <c r="BA126" t="s">
        <v>2129</v>
      </c>
      <c r="BB126" s="3947" t="s">
        <v>2129</v>
      </c>
      <c r="BC126" s="1958" t="s">
        <v>2129</v>
      </c>
      <c r="BD126" s="1958" t="s">
        <v>2129</v>
      </c>
      <c r="BE126" s="1958" t="s">
        <v>2129</v>
      </c>
      <c r="BF126" s="3937" t="s">
        <v>2129</v>
      </c>
      <c r="BG126" s="3938" t="s">
        <v>2129</v>
      </c>
      <c r="BH126" s="3938" t="s">
        <v>2129</v>
      </c>
      <c r="BI126" s="3937" t="s">
        <v>2129</v>
      </c>
      <c r="BJ126" s="3938" t="s">
        <v>2129</v>
      </c>
      <c r="BK126" s="3939" t="s">
        <v>2129</v>
      </c>
      <c r="BL126" s="3938" t="s">
        <v>2129</v>
      </c>
      <c r="BM126" s="3938" t="s">
        <v>2129</v>
      </c>
      <c r="BN126" s="3939" t="s">
        <v>2129</v>
      </c>
      <c r="BO126" s="3937" t="s">
        <v>2129</v>
      </c>
      <c r="BP126" s="3988" t="s">
        <v>2129</v>
      </c>
      <c r="BQ126" s="3988"/>
      <c r="BR126" s="3988"/>
      <c r="BS126" s="2694"/>
    </row>
    <row r="127" spans="1:71" ht="13">
      <c r="A127">
        <v>240</v>
      </c>
      <c r="B127" s="3979" t="s">
        <v>3347</v>
      </c>
      <c r="C127" s="2694" t="s">
        <v>2129</v>
      </c>
      <c r="D127" s="2694" t="s">
        <v>2129</v>
      </c>
      <c r="E127" s="2694" t="s">
        <v>2129</v>
      </c>
      <c r="F127" s="3974" t="s">
        <v>2129</v>
      </c>
      <c r="G127" s="3975" t="s">
        <v>2129</v>
      </c>
      <c r="H127" s="3976" t="s">
        <v>2129</v>
      </c>
      <c r="I127" s="2694">
        <v>5</v>
      </c>
      <c r="J127" s="3992" t="s">
        <v>4943</v>
      </c>
      <c r="K127" s="2694">
        <v>4</v>
      </c>
      <c r="L127" s="2694" t="b">
        <v>0</v>
      </c>
      <c r="M127" s="2694" t="s">
        <v>2129</v>
      </c>
      <c r="N127" s="2477">
        <v>423531</v>
      </c>
      <c r="O127" s="2477">
        <v>0</v>
      </c>
      <c r="P127" s="2477">
        <v>0</v>
      </c>
      <c r="Q127" s="2477">
        <v>7800</v>
      </c>
      <c r="R127" s="2477">
        <v>0</v>
      </c>
      <c r="S127" s="2695">
        <v>473684.10000000003</v>
      </c>
      <c r="T127" s="2477">
        <v>478034</v>
      </c>
      <c r="U127" s="2477" t="b">
        <v>0</v>
      </c>
      <c r="V127" s="2477">
        <v>119508.5</v>
      </c>
      <c r="W127" s="2477">
        <v>0</v>
      </c>
      <c r="X127" s="3937">
        <v>1608619</v>
      </c>
      <c r="Y127" s="3938">
        <v>1608619</v>
      </c>
      <c r="Z127" s="3938" t="b">
        <v>0</v>
      </c>
      <c r="AA127" s="3938">
        <v>33512.895833333336</v>
      </c>
      <c r="AB127" s="3938"/>
      <c r="AC127" s="3938"/>
      <c r="AD127" s="3938" t="s">
        <v>2129</v>
      </c>
      <c r="AE127" s="3938"/>
      <c r="AF127" s="3938"/>
      <c r="AG127">
        <v>48</v>
      </c>
      <c r="AH127" s="3965">
        <v>48</v>
      </c>
      <c r="AI127" s="3965" t="b">
        <v>0</v>
      </c>
      <c r="AJ127">
        <v>66</v>
      </c>
      <c r="AK127" s="3966">
        <v>24374</v>
      </c>
      <c r="AL127" s="2814" t="s">
        <v>2129</v>
      </c>
      <c r="AM127" s="2814" t="s">
        <v>2129</v>
      </c>
      <c r="AN127" s="2814" t="s">
        <v>2129</v>
      </c>
      <c r="AO127" s="3953" t="s">
        <v>2129</v>
      </c>
      <c r="AP127" s="2814" t="s">
        <v>2129</v>
      </c>
      <c r="AQ127" s="3954" t="s">
        <v>2129</v>
      </c>
      <c r="AR127" t="s">
        <v>2129</v>
      </c>
      <c r="AS127" t="s">
        <v>2129</v>
      </c>
      <c r="AU127" t="s">
        <v>2129</v>
      </c>
      <c r="AW127" t="s">
        <v>2129</v>
      </c>
      <c r="AX127" t="s">
        <v>2129</v>
      </c>
      <c r="AY127" t="s">
        <v>2129</v>
      </c>
      <c r="AZ127" s="3946" t="s">
        <v>2129</v>
      </c>
      <c r="BA127" t="s">
        <v>2129</v>
      </c>
      <c r="BB127" s="3947" t="s">
        <v>2129</v>
      </c>
      <c r="BC127" s="1958" t="s">
        <v>2129</v>
      </c>
      <c r="BD127" s="1958" t="s">
        <v>2129</v>
      </c>
      <c r="BE127" s="1958" t="s">
        <v>2129</v>
      </c>
      <c r="BF127" s="3937" t="s">
        <v>2129</v>
      </c>
      <c r="BG127" s="3938" t="s">
        <v>2129</v>
      </c>
      <c r="BH127" s="3938" t="s">
        <v>2129</v>
      </c>
      <c r="BI127" s="3937" t="s">
        <v>2129</v>
      </c>
      <c r="BJ127" s="3938" t="s">
        <v>2129</v>
      </c>
      <c r="BK127" s="3939" t="s">
        <v>2129</v>
      </c>
      <c r="BL127" s="3938" t="s">
        <v>2129</v>
      </c>
      <c r="BM127" s="3938" t="s">
        <v>2129</v>
      </c>
      <c r="BN127" s="3939" t="s">
        <v>2129</v>
      </c>
      <c r="BO127" s="3937" t="s">
        <v>2129</v>
      </c>
      <c r="BP127" s="3988" t="s">
        <v>2129</v>
      </c>
      <c r="BQ127" s="3988"/>
      <c r="BR127" s="3988"/>
      <c r="BS127" s="2694"/>
    </row>
    <row r="128" spans="1:71" ht="13">
      <c r="A128">
        <v>241</v>
      </c>
      <c r="B128" s="3979" t="s">
        <v>3348</v>
      </c>
      <c r="C128" s="2694" t="s">
        <v>2129</v>
      </c>
      <c r="D128" s="2694" t="s">
        <v>2129</v>
      </c>
      <c r="E128" s="2694" t="s">
        <v>2129</v>
      </c>
      <c r="F128" s="3974" t="s">
        <v>2129</v>
      </c>
      <c r="G128" s="3975" t="s">
        <v>2129</v>
      </c>
      <c r="H128" s="3976" t="s">
        <v>2129</v>
      </c>
      <c r="I128" s="2694">
        <v>10</v>
      </c>
      <c r="J128" s="3992" t="s">
        <v>3474</v>
      </c>
      <c r="K128" s="2694">
        <v>6</v>
      </c>
      <c r="L128" s="2694" t="b">
        <v>0</v>
      </c>
      <c r="M128" s="2694" t="s">
        <v>2129</v>
      </c>
      <c r="N128" s="2477">
        <v>847062</v>
      </c>
      <c r="O128" s="2477">
        <v>0</v>
      </c>
      <c r="P128" s="2477">
        <v>0</v>
      </c>
      <c r="Q128" s="2477">
        <v>21450</v>
      </c>
      <c r="R128" s="2477">
        <v>0</v>
      </c>
      <c r="S128" s="2695">
        <v>953218.20000000007</v>
      </c>
      <c r="T128" s="2477">
        <v>954568</v>
      </c>
      <c r="U128" s="2477" t="b">
        <v>0</v>
      </c>
      <c r="V128" s="2477">
        <v>159094.66666666666</v>
      </c>
      <c r="W128" s="2477">
        <v>-529295</v>
      </c>
      <c r="X128" s="3937">
        <v>1999532</v>
      </c>
      <c r="Y128" s="3938">
        <v>2528827</v>
      </c>
      <c r="Z128" s="3938" t="b">
        <v>1</v>
      </c>
      <c r="AA128" s="3938">
        <v>16637.019736842107</v>
      </c>
      <c r="AB128" s="3938"/>
      <c r="AC128" s="3938"/>
      <c r="AD128" s="3938" t="s">
        <v>2129</v>
      </c>
      <c r="AE128" s="3968">
        <v>2200</v>
      </c>
      <c r="AF128" s="3968"/>
      <c r="AG128">
        <v>152</v>
      </c>
      <c r="AH128" s="3965">
        <v>152</v>
      </c>
      <c r="AI128" s="3965" t="b">
        <v>1</v>
      </c>
      <c r="AJ128">
        <v>376</v>
      </c>
      <c r="AK128" s="3966">
        <v>6726</v>
      </c>
      <c r="AL128" s="2814" t="s">
        <v>2129</v>
      </c>
      <c r="AM128" s="2814" t="s">
        <v>2129</v>
      </c>
      <c r="AN128" s="2814" t="s">
        <v>2129</v>
      </c>
      <c r="AO128" s="3953" t="s">
        <v>2129</v>
      </c>
      <c r="AP128" s="2814" t="s">
        <v>2129</v>
      </c>
      <c r="AQ128" s="3954" t="s">
        <v>2129</v>
      </c>
      <c r="AR128" t="s">
        <v>2129</v>
      </c>
      <c r="AS128" t="s">
        <v>2129</v>
      </c>
      <c r="AU128" t="s">
        <v>2129</v>
      </c>
      <c r="AW128" t="s">
        <v>2129</v>
      </c>
      <c r="AX128" t="s">
        <v>2129</v>
      </c>
      <c r="AY128" t="s">
        <v>2129</v>
      </c>
      <c r="AZ128" s="3946" t="s">
        <v>2129</v>
      </c>
      <c r="BA128" t="s">
        <v>2129</v>
      </c>
      <c r="BB128" s="3947" t="s">
        <v>2129</v>
      </c>
      <c r="BC128" s="1958" t="s">
        <v>2129</v>
      </c>
      <c r="BD128" s="1958" t="s">
        <v>2129</v>
      </c>
      <c r="BE128" s="1958" t="s">
        <v>2129</v>
      </c>
      <c r="BF128" s="3937" t="s">
        <v>2129</v>
      </c>
      <c r="BG128" s="3938" t="s">
        <v>2129</v>
      </c>
      <c r="BH128" s="3938" t="s">
        <v>2129</v>
      </c>
      <c r="BI128" s="3937" t="s">
        <v>2129</v>
      </c>
      <c r="BJ128" s="3938" t="s">
        <v>2129</v>
      </c>
      <c r="BK128" s="3939" t="s">
        <v>2129</v>
      </c>
      <c r="BL128" s="3938" t="s">
        <v>2129</v>
      </c>
      <c r="BM128" s="3938" t="s">
        <v>2129</v>
      </c>
      <c r="BN128" s="3939" t="s">
        <v>2129</v>
      </c>
      <c r="BO128" s="3937" t="s">
        <v>2129</v>
      </c>
      <c r="BP128" s="3988" t="s">
        <v>2129</v>
      </c>
      <c r="BQ128" s="3988"/>
      <c r="BR128" s="3988"/>
      <c r="BS128" s="2694"/>
    </row>
    <row r="129" spans="1:71" ht="13">
      <c r="A129">
        <v>242</v>
      </c>
      <c r="B129" s="3979" t="s">
        <v>3349</v>
      </c>
      <c r="C129" s="2694" t="s">
        <v>2129</v>
      </c>
      <c r="D129" s="2694" t="s">
        <v>2129</v>
      </c>
      <c r="E129" s="2694" t="s">
        <v>2129</v>
      </c>
      <c r="F129" s="3974" t="s">
        <v>2129</v>
      </c>
      <c r="G129" s="3975" t="s">
        <v>2129</v>
      </c>
      <c r="H129" s="3976" t="s">
        <v>2129</v>
      </c>
      <c r="I129" s="2694">
        <v>3</v>
      </c>
      <c r="J129" s="3992" t="s">
        <v>3592</v>
      </c>
      <c r="K129" s="2694">
        <v>1</v>
      </c>
      <c r="L129" s="2694" t="b">
        <v>0</v>
      </c>
      <c r="M129" s="2694" t="s">
        <v>2129</v>
      </c>
      <c r="N129" s="2477">
        <v>58824</v>
      </c>
      <c r="O129" s="2477">
        <v>0</v>
      </c>
      <c r="P129" s="2477">
        <v>0</v>
      </c>
      <c r="Q129" s="2477">
        <v>9750</v>
      </c>
      <c r="R129" s="2477">
        <v>0</v>
      </c>
      <c r="S129" s="2695">
        <v>74456.400000000009</v>
      </c>
      <c r="T129" s="2477">
        <v>81056</v>
      </c>
      <c r="U129" s="2477" t="b">
        <v>0</v>
      </c>
      <c r="V129" s="2477">
        <v>81056</v>
      </c>
      <c r="W129" s="2477">
        <v>0</v>
      </c>
      <c r="X129" s="3937">
        <v>750627</v>
      </c>
      <c r="Y129" s="3938">
        <v>750627</v>
      </c>
      <c r="Z129" s="3938" t="b">
        <v>0</v>
      </c>
      <c r="AA129" s="3938">
        <v>18307.975609756097</v>
      </c>
      <c r="AB129" s="3938"/>
      <c r="AC129" s="3938"/>
      <c r="AD129" s="3938" t="s">
        <v>2129</v>
      </c>
      <c r="AE129" s="3938"/>
      <c r="AF129" s="3938"/>
      <c r="AG129">
        <v>41</v>
      </c>
      <c r="AH129" s="3965">
        <v>41</v>
      </c>
      <c r="AI129" s="3965" t="b">
        <v>0</v>
      </c>
      <c r="AJ129">
        <v>84</v>
      </c>
      <c r="AK129" s="3966">
        <v>8937</v>
      </c>
      <c r="AL129" s="2814" t="s">
        <v>2129</v>
      </c>
      <c r="AM129" s="2814" t="s">
        <v>2129</v>
      </c>
      <c r="AN129" s="2814" t="s">
        <v>2129</v>
      </c>
      <c r="AO129" s="3953" t="s">
        <v>2129</v>
      </c>
      <c r="AP129" s="2814" t="s">
        <v>2129</v>
      </c>
      <c r="AQ129" s="3954" t="s">
        <v>2129</v>
      </c>
      <c r="AR129" t="s">
        <v>2129</v>
      </c>
      <c r="AS129" t="s">
        <v>2129</v>
      </c>
      <c r="AU129" t="s">
        <v>2129</v>
      </c>
      <c r="AW129" t="s">
        <v>2129</v>
      </c>
      <c r="AX129" t="s">
        <v>2129</v>
      </c>
      <c r="AY129" t="s">
        <v>2129</v>
      </c>
      <c r="AZ129" s="3946" t="s">
        <v>2129</v>
      </c>
      <c r="BA129" t="s">
        <v>2129</v>
      </c>
      <c r="BB129" s="3947" t="s">
        <v>2129</v>
      </c>
      <c r="BC129" s="1958" t="s">
        <v>2129</v>
      </c>
      <c r="BD129" s="1958" t="s">
        <v>2129</v>
      </c>
      <c r="BE129" s="1958" t="s">
        <v>2129</v>
      </c>
      <c r="BF129" s="3937" t="s">
        <v>2129</v>
      </c>
      <c r="BG129" s="3938" t="s">
        <v>2129</v>
      </c>
      <c r="BH129" s="3938" t="s">
        <v>2129</v>
      </c>
      <c r="BI129" s="3937" t="s">
        <v>2129</v>
      </c>
      <c r="BJ129" s="3938" t="s">
        <v>2129</v>
      </c>
      <c r="BK129" s="3939" t="s">
        <v>2129</v>
      </c>
      <c r="BL129" s="3938" t="s">
        <v>2129</v>
      </c>
      <c r="BM129" s="3938" t="s">
        <v>2129</v>
      </c>
      <c r="BN129" s="3939" t="s">
        <v>2129</v>
      </c>
      <c r="BO129" s="3937" t="s">
        <v>2129</v>
      </c>
      <c r="BP129" s="3988" t="s">
        <v>2129</v>
      </c>
      <c r="BQ129" s="3988"/>
      <c r="BR129" s="3988"/>
      <c r="BS129" s="2694"/>
    </row>
    <row r="130" spans="1:71" ht="13">
      <c r="A130">
        <v>243</v>
      </c>
      <c r="B130" s="3979" t="s">
        <v>3350</v>
      </c>
      <c r="C130" s="2694" t="s">
        <v>2129</v>
      </c>
      <c r="D130" s="2694" t="s">
        <v>2129</v>
      </c>
      <c r="E130" s="2694" t="s">
        <v>2129</v>
      </c>
      <c r="F130" s="3974" t="s">
        <v>2129</v>
      </c>
      <c r="G130" s="3975" t="s">
        <v>2129</v>
      </c>
      <c r="H130" s="3976" t="s">
        <v>2129</v>
      </c>
      <c r="I130" s="2694">
        <v>9</v>
      </c>
      <c r="J130" s="3992" t="s">
        <v>3503</v>
      </c>
      <c r="K130" s="2694">
        <v>5</v>
      </c>
      <c r="L130" s="2694" t="b">
        <v>0</v>
      </c>
      <c r="M130" s="2694" t="s">
        <v>2129</v>
      </c>
      <c r="N130" s="2477">
        <v>294120</v>
      </c>
      <c r="O130" s="2477">
        <v>0</v>
      </c>
      <c r="P130" s="2477">
        <v>0</v>
      </c>
      <c r="Q130" s="2477">
        <v>11700</v>
      </c>
      <c r="R130" s="2477">
        <v>0</v>
      </c>
      <c r="S130" s="2695">
        <v>335232</v>
      </c>
      <c r="T130" s="2477">
        <v>335232</v>
      </c>
      <c r="U130" s="2477" t="b">
        <v>0</v>
      </c>
      <c r="V130" s="2477">
        <v>67046.399999999994</v>
      </c>
      <c r="W130" s="2477">
        <v>0</v>
      </c>
      <c r="X130" s="3937">
        <v>4155456</v>
      </c>
      <c r="Y130" s="3938">
        <v>4155456</v>
      </c>
      <c r="Z130" s="3938" t="b">
        <v>1</v>
      </c>
      <c r="AA130" s="3938">
        <v>68122.229508196717</v>
      </c>
      <c r="AB130" s="3938"/>
      <c r="AC130" s="3938"/>
      <c r="AD130" s="3938" t="s">
        <v>2129</v>
      </c>
      <c r="AE130" s="3938"/>
      <c r="AF130" s="3938"/>
      <c r="AG130">
        <v>61</v>
      </c>
      <c r="AH130" s="3965">
        <v>61</v>
      </c>
      <c r="AI130" s="3965" t="b">
        <v>1</v>
      </c>
      <c r="AJ130">
        <v>89</v>
      </c>
      <c r="AK130" s="3966">
        <v>46691</v>
      </c>
      <c r="AL130" s="2814" t="s">
        <v>2129</v>
      </c>
      <c r="AM130" s="2814" t="s">
        <v>2129</v>
      </c>
      <c r="AN130" s="2814" t="s">
        <v>2129</v>
      </c>
      <c r="AO130" s="3953" t="s">
        <v>2129</v>
      </c>
      <c r="AP130" s="2814" t="s">
        <v>2129</v>
      </c>
      <c r="AQ130" s="3954" t="s">
        <v>2129</v>
      </c>
      <c r="AR130" t="s">
        <v>2129</v>
      </c>
      <c r="AS130" t="s">
        <v>2129</v>
      </c>
      <c r="AU130" t="s">
        <v>2129</v>
      </c>
      <c r="AW130" t="s">
        <v>2129</v>
      </c>
      <c r="AX130" t="s">
        <v>2129</v>
      </c>
      <c r="AY130" t="s">
        <v>2129</v>
      </c>
      <c r="AZ130" s="3946" t="s">
        <v>2129</v>
      </c>
      <c r="BA130" t="s">
        <v>2129</v>
      </c>
      <c r="BB130" s="3947" t="s">
        <v>2129</v>
      </c>
      <c r="BC130" s="1958" t="s">
        <v>2129</v>
      </c>
      <c r="BD130" s="1958" t="s">
        <v>2129</v>
      </c>
      <c r="BE130" s="1958" t="s">
        <v>2129</v>
      </c>
      <c r="BF130" s="3937" t="s">
        <v>2129</v>
      </c>
      <c r="BG130" s="3938" t="s">
        <v>2129</v>
      </c>
      <c r="BH130" s="3938" t="s">
        <v>2129</v>
      </c>
      <c r="BI130" s="3937" t="s">
        <v>2129</v>
      </c>
      <c r="BJ130" s="3938" t="s">
        <v>2129</v>
      </c>
      <c r="BK130" s="3939" t="s">
        <v>2129</v>
      </c>
      <c r="BL130" s="3938" t="s">
        <v>2129</v>
      </c>
      <c r="BM130" s="3938" t="s">
        <v>2129</v>
      </c>
      <c r="BN130" s="3939" t="s">
        <v>2129</v>
      </c>
      <c r="BO130" s="3937" t="s">
        <v>2129</v>
      </c>
      <c r="BP130" s="3988" t="s">
        <v>2129</v>
      </c>
      <c r="BQ130" s="3988"/>
      <c r="BR130" s="3988"/>
      <c r="BS130" s="2694"/>
    </row>
    <row r="131" spans="1:71" ht="13">
      <c r="A131">
        <v>245</v>
      </c>
      <c r="B131" s="3979" t="s">
        <v>2863</v>
      </c>
      <c r="C131" s="2694" t="s">
        <v>2129</v>
      </c>
      <c r="D131" s="2694" t="s">
        <v>2129</v>
      </c>
      <c r="E131" s="2694" t="s">
        <v>2129</v>
      </c>
      <c r="F131" s="3974" t="s">
        <v>2129</v>
      </c>
      <c r="G131" s="3975" t="s">
        <v>2129</v>
      </c>
      <c r="H131" s="3976" t="s">
        <v>2129</v>
      </c>
      <c r="I131" s="2694">
        <v>0</v>
      </c>
      <c r="J131" s="3992">
        <v>0</v>
      </c>
      <c r="K131" s="2694">
        <v>0</v>
      </c>
      <c r="L131" s="2694" t="b">
        <v>1</v>
      </c>
      <c r="M131" s="2694" t="s">
        <v>2129</v>
      </c>
      <c r="N131" s="2477">
        <v>0</v>
      </c>
      <c r="O131" s="2477">
        <v>0</v>
      </c>
      <c r="P131" s="2477">
        <v>0</v>
      </c>
      <c r="Q131" s="2477">
        <v>0</v>
      </c>
      <c r="R131" s="2477">
        <v>0</v>
      </c>
      <c r="S131" s="2695">
        <v>0</v>
      </c>
      <c r="T131" s="2477">
        <v>0</v>
      </c>
      <c r="U131" s="2477" t="b">
        <v>1</v>
      </c>
      <c r="V131" s="2477" t="s">
        <v>2129</v>
      </c>
      <c r="W131" s="2477">
        <v>0</v>
      </c>
      <c r="X131" s="3937">
        <v>7337668</v>
      </c>
      <c r="Y131" s="3938">
        <v>7337668</v>
      </c>
      <c r="Z131" s="3938" t="b">
        <v>1</v>
      </c>
      <c r="AA131" s="3938">
        <v>73376.679999999993</v>
      </c>
      <c r="AB131" s="3938">
        <v>64706</v>
      </c>
      <c r="AC131" s="3938">
        <v>76471</v>
      </c>
      <c r="AD131" s="3938" t="s">
        <v>2129</v>
      </c>
      <c r="AE131" s="3938">
        <v>1900</v>
      </c>
      <c r="AF131" s="3938"/>
      <c r="AG131">
        <v>100</v>
      </c>
      <c r="AH131" s="3965">
        <v>100</v>
      </c>
      <c r="AI131" s="3965" t="b">
        <v>1</v>
      </c>
      <c r="AJ131">
        <v>200</v>
      </c>
      <c r="AK131" s="3966">
        <v>36689</v>
      </c>
      <c r="AL131" s="2814" t="s">
        <v>2129</v>
      </c>
      <c r="AM131" s="2814" t="s">
        <v>2129</v>
      </c>
      <c r="AN131" s="2814" t="s">
        <v>2129</v>
      </c>
      <c r="AO131" s="3953" t="s">
        <v>2129</v>
      </c>
      <c r="AP131" s="2814" t="s">
        <v>2129</v>
      </c>
      <c r="AQ131" s="3954" t="s">
        <v>2129</v>
      </c>
      <c r="AR131" t="s">
        <v>2129</v>
      </c>
      <c r="AS131" t="s">
        <v>2129</v>
      </c>
      <c r="AU131" t="s">
        <v>2129</v>
      </c>
      <c r="AW131" t="s">
        <v>2129</v>
      </c>
      <c r="AX131" t="s">
        <v>2129</v>
      </c>
      <c r="AY131" t="s">
        <v>2129</v>
      </c>
      <c r="AZ131" s="3946" t="s">
        <v>2129</v>
      </c>
      <c r="BA131" t="s">
        <v>2129</v>
      </c>
      <c r="BB131" s="3947" t="s">
        <v>2129</v>
      </c>
      <c r="BC131" s="1958" t="s">
        <v>2129</v>
      </c>
      <c r="BD131" s="1958" t="s">
        <v>2129</v>
      </c>
      <c r="BE131" s="1958" t="s">
        <v>2129</v>
      </c>
      <c r="BF131" s="3937" t="s">
        <v>2129</v>
      </c>
      <c r="BG131" s="3938" t="s">
        <v>2129</v>
      </c>
      <c r="BH131" s="3938" t="s">
        <v>2129</v>
      </c>
      <c r="BI131" s="3937" t="s">
        <v>2129</v>
      </c>
      <c r="BJ131" s="3938" t="s">
        <v>2129</v>
      </c>
      <c r="BK131" s="3939" t="s">
        <v>2129</v>
      </c>
      <c r="BL131" s="3938" t="s">
        <v>2129</v>
      </c>
      <c r="BM131" s="3938" t="s">
        <v>2129</v>
      </c>
      <c r="BN131" s="3939" t="s">
        <v>2129</v>
      </c>
      <c r="BO131" s="3937" t="s">
        <v>2129</v>
      </c>
      <c r="BP131" s="3988" t="s">
        <v>2129</v>
      </c>
      <c r="BQ131" s="3988"/>
      <c r="BR131" s="3988"/>
      <c r="BS131" s="2694"/>
    </row>
    <row r="132" spans="1:71" ht="13">
      <c r="A132">
        <v>247</v>
      </c>
      <c r="B132" s="3979" t="s">
        <v>3351</v>
      </c>
      <c r="C132" s="2694" t="s">
        <v>2129</v>
      </c>
      <c r="D132" s="2694" t="s">
        <v>2129</v>
      </c>
      <c r="E132" s="2694" t="s">
        <v>2129</v>
      </c>
      <c r="F132" s="3974" t="s">
        <v>2129</v>
      </c>
      <c r="G132" s="3975" t="s">
        <v>2129</v>
      </c>
      <c r="H132" s="3976" t="s">
        <v>2129</v>
      </c>
      <c r="I132" s="2694">
        <v>14</v>
      </c>
      <c r="J132" s="3992" t="s">
        <v>3615</v>
      </c>
      <c r="K132" s="2694">
        <v>5</v>
      </c>
      <c r="L132" s="2694" t="b">
        <v>1</v>
      </c>
      <c r="M132" s="2694" t="s">
        <v>2129</v>
      </c>
      <c r="N132" s="2477">
        <v>294120</v>
      </c>
      <c r="O132" s="2477">
        <v>0</v>
      </c>
      <c r="P132" s="2477">
        <v>0</v>
      </c>
      <c r="Q132" s="2477">
        <v>9750</v>
      </c>
      <c r="R132" s="2477">
        <v>0</v>
      </c>
      <c r="S132" s="2695">
        <v>333282</v>
      </c>
      <c r="T132" s="2477">
        <v>333282</v>
      </c>
      <c r="U132" s="2477" t="b">
        <v>1</v>
      </c>
      <c r="V132" s="2477">
        <v>66656.399999999994</v>
      </c>
      <c r="W132" s="2477">
        <v>0</v>
      </c>
      <c r="X132" s="3937">
        <v>1107791</v>
      </c>
      <c r="Y132" s="3938">
        <v>1107791</v>
      </c>
      <c r="Z132" s="3938" t="b">
        <v>1</v>
      </c>
      <c r="AA132" s="3938">
        <v>22155.82</v>
      </c>
      <c r="AB132" s="3938"/>
      <c r="AC132" s="3938"/>
      <c r="AD132" s="3938" t="s">
        <v>2129</v>
      </c>
      <c r="AE132" s="3938"/>
      <c r="AF132" s="3938"/>
      <c r="AG132">
        <v>50</v>
      </c>
      <c r="AH132" s="3965">
        <v>50</v>
      </c>
      <c r="AI132" s="3965" t="b">
        <v>1</v>
      </c>
      <c r="AJ132">
        <v>85</v>
      </c>
      <c r="AK132" s="3966">
        <v>13033</v>
      </c>
      <c r="AL132" s="2814" t="s">
        <v>2129</v>
      </c>
      <c r="AM132" s="2814" t="s">
        <v>2129</v>
      </c>
      <c r="AN132" s="2814" t="s">
        <v>2129</v>
      </c>
      <c r="AO132" s="3953" t="s">
        <v>2129</v>
      </c>
      <c r="AP132" s="2814" t="s">
        <v>2129</v>
      </c>
      <c r="AQ132" s="3954" t="s">
        <v>2129</v>
      </c>
      <c r="AR132" t="s">
        <v>2129</v>
      </c>
      <c r="AS132" t="s">
        <v>2129</v>
      </c>
      <c r="AU132" t="s">
        <v>2129</v>
      </c>
      <c r="AW132" t="s">
        <v>2129</v>
      </c>
      <c r="AX132" t="s">
        <v>2129</v>
      </c>
      <c r="AY132" t="s">
        <v>2129</v>
      </c>
      <c r="AZ132" s="3946" t="s">
        <v>2129</v>
      </c>
      <c r="BA132" t="s">
        <v>2129</v>
      </c>
      <c r="BB132" s="3947" t="s">
        <v>2129</v>
      </c>
      <c r="BC132" s="1958" t="s">
        <v>2129</v>
      </c>
      <c r="BD132" s="1958" t="s">
        <v>2129</v>
      </c>
      <c r="BE132" s="1958" t="s">
        <v>2129</v>
      </c>
      <c r="BF132" s="3937" t="s">
        <v>2129</v>
      </c>
      <c r="BG132" s="3938" t="s">
        <v>2129</v>
      </c>
      <c r="BH132" s="3938" t="s">
        <v>2129</v>
      </c>
      <c r="BI132" s="3937" t="s">
        <v>2129</v>
      </c>
      <c r="BJ132" s="3938" t="s">
        <v>2129</v>
      </c>
      <c r="BK132" s="3939" t="s">
        <v>2129</v>
      </c>
      <c r="BL132" s="3938" t="s">
        <v>2129</v>
      </c>
      <c r="BM132" s="3938" t="s">
        <v>2129</v>
      </c>
      <c r="BN132" s="3939" t="s">
        <v>2129</v>
      </c>
      <c r="BO132" s="3937" t="s">
        <v>2129</v>
      </c>
      <c r="BP132" s="3988" t="s">
        <v>2129</v>
      </c>
      <c r="BQ132" s="3988"/>
      <c r="BR132" s="3988"/>
      <c r="BS132" s="2694"/>
    </row>
    <row r="133" spans="1:71" ht="13">
      <c r="A133">
        <v>249</v>
      </c>
      <c r="B133" s="3979" t="s">
        <v>2867</v>
      </c>
      <c r="C133" s="2694" t="s">
        <v>2129</v>
      </c>
      <c r="D133" s="2694" t="s">
        <v>2129</v>
      </c>
      <c r="E133" s="2694" t="s">
        <v>2129</v>
      </c>
      <c r="F133" s="3974" t="s">
        <v>2129</v>
      </c>
      <c r="G133" s="3975" t="s">
        <v>2129</v>
      </c>
      <c r="H133" s="3976" t="s">
        <v>2129</v>
      </c>
      <c r="I133" s="2694">
        <v>20</v>
      </c>
      <c r="J133" s="3992" t="s">
        <v>3582</v>
      </c>
      <c r="K133" s="2694">
        <v>5</v>
      </c>
      <c r="L133" s="2694" t="b">
        <v>1</v>
      </c>
      <c r="M133" s="2694" t="s">
        <v>2129</v>
      </c>
      <c r="N133" s="2477">
        <v>1035445</v>
      </c>
      <c r="O133" s="2477">
        <v>0</v>
      </c>
      <c r="P133" s="2477">
        <v>0</v>
      </c>
      <c r="Q133" s="2477">
        <v>13500</v>
      </c>
      <c r="R133" s="2477">
        <v>0</v>
      </c>
      <c r="S133" s="2695">
        <v>1152489.5</v>
      </c>
      <c r="T133" s="2477">
        <v>634679</v>
      </c>
      <c r="U133" s="2477" t="b">
        <v>1</v>
      </c>
      <c r="V133" s="2477">
        <v>126935.8</v>
      </c>
      <c r="W133" s="2477">
        <v>0</v>
      </c>
      <c r="X133" s="3937">
        <v>1298047</v>
      </c>
      <c r="Y133" s="3938">
        <v>1298047</v>
      </c>
      <c r="Z133" s="3938" t="b">
        <v>1</v>
      </c>
      <c r="AA133" s="3938">
        <v>15829.841463414634</v>
      </c>
      <c r="AB133" s="3938"/>
      <c r="AC133" s="3938"/>
      <c r="AD133" s="3938" t="s">
        <v>2129</v>
      </c>
      <c r="AE133" s="3968">
        <v>2200</v>
      </c>
      <c r="AF133" s="3968"/>
      <c r="AG133">
        <v>101</v>
      </c>
      <c r="AH133" s="3965">
        <v>82</v>
      </c>
      <c r="AI133" s="3965" t="b">
        <v>1</v>
      </c>
      <c r="AJ133">
        <v>93</v>
      </c>
      <c r="AK133" s="3966">
        <v>13958</v>
      </c>
      <c r="AL133" s="2814" t="s">
        <v>2129</v>
      </c>
      <c r="AM133" s="2814" t="s">
        <v>2129</v>
      </c>
      <c r="AN133" s="2814" t="s">
        <v>2129</v>
      </c>
      <c r="AO133" s="3953" t="s">
        <v>2129</v>
      </c>
      <c r="AP133" s="2814" t="s">
        <v>2129</v>
      </c>
      <c r="AQ133" s="3954" t="s">
        <v>2129</v>
      </c>
      <c r="AR133" t="s">
        <v>2129</v>
      </c>
      <c r="AS133" t="s">
        <v>2129</v>
      </c>
      <c r="AU133" t="s">
        <v>2129</v>
      </c>
      <c r="AW133" t="s">
        <v>2129</v>
      </c>
      <c r="AX133" t="s">
        <v>2129</v>
      </c>
      <c r="AY133" t="s">
        <v>2129</v>
      </c>
      <c r="AZ133" s="3946" t="s">
        <v>2129</v>
      </c>
      <c r="BA133" t="s">
        <v>2129</v>
      </c>
      <c r="BB133" s="3947" t="s">
        <v>2129</v>
      </c>
      <c r="BC133" s="1958" t="s">
        <v>2129</v>
      </c>
      <c r="BD133" s="1958" t="s">
        <v>2129</v>
      </c>
      <c r="BE133" s="1958" t="s">
        <v>2129</v>
      </c>
      <c r="BF133" s="3937" t="s">
        <v>2129</v>
      </c>
      <c r="BG133" s="3938" t="s">
        <v>2129</v>
      </c>
      <c r="BH133" s="3938" t="s">
        <v>2129</v>
      </c>
      <c r="BI133" s="3937" t="s">
        <v>2129</v>
      </c>
      <c r="BJ133" s="3938" t="s">
        <v>2129</v>
      </c>
      <c r="BK133" s="3939" t="s">
        <v>2129</v>
      </c>
      <c r="BL133" s="3938" t="s">
        <v>2129</v>
      </c>
      <c r="BM133" s="3938" t="s">
        <v>2129</v>
      </c>
      <c r="BN133" s="3939" t="s">
        <v>2129</v>
      </c>
      <c r="BO133" s="3937" t="s">
        <v>2129</v>
      </c>
      <c r="BP133" s="3988" t="s">
        <v>2129</v>
      </c>
      <c r="BQ133" s="3988"/>
      <c r="BR133" s="3988"/>
      <c r="BS133" s="2694"/>
    </row>
    <row r="134" spans="1:71" ht="13">
      <c r="A134">
        <v>250</v>
      </c>
      <c r="B134" s="3979" t="s">
        <v>3352</v>
      </c>
      <c r="C134" s="2694" t="s">
        <v>2129</v>
      </c>
      <c r="D134" s="2694" t="s">
        <v>2129</v>
      </c>
      <c r="E134" s="2694" t="s">
        <v>2129</v>
      </c>
      <c r="F134" s="3974" t="s">
        <v>2129</v>
      </c>
      <c r="G134" s="3975" t="s">
        <v>2129</v>
      </c>
      <c r="H134" s="3976" t="s">
        <v>2129</v>
      </c>
      <c r="I134" s="2694">
        <v>16</v>
      </c>
      <c r="J134" s="3992" t="s">
        <v>3570</v>
      </c>
      <c r="K134" s="2694">
        <v>7</v>
      </c>
      <c r="L134" s="2694" t="b">
        <v>0</v>
      </c>
      <c r="M134" s="2694" t="s">
        <v>2129</v>
      </c>
      <c r="N134" s="2477">
        <v>2329416</v>
      </c>
      <c r="O134" s="2477">
        <v>0</v>
      </c>
      <c r="P134" s="2477">
        <v>0</v>
      </c>
      <c r="Q134" s="2477">
        <v>9450</v>
      </c>
      <c r="R134" s="2477">
        <v>0</v>
      </c>
      <c r="S134" s="2695">
        <v>2571807.6</v>
      </c>
      <c r="T134" s="2477">
        <v>2571807</v>
      </c>
      <c r="U134" s="2477" t="b">
        <v>0</v>
      </c>
      <c r="V134" s="2477">
        <v>367401</v>
      </c>
      <c r="W134" s="2477">
        <v>0</v>
      </c>
      <c r="X134" s="3937">
        <v>2704706</v>
      </c>
      <c r="Y134" s="3938">
        <v>2704706</v>
      </c>
      <c r="Z134" s="3938" t="b">
        <v>1</v>
      </c>
      <c r="AA134" s="3938">
        <v>47450.982456140351</v>
      </c>
      <c r="AB134" s="3938"/>
      <c r="AC134" s="3938"/>
      <c r="AD134" s="3938" t="s">
        <v>2129</v>
      </c>
      <c r="AE134" s="3968">
        <v>2200</v>
      </c>
      <c r="AF134" s="3968"/>
      <c r="AG134">
        <v>103</v>
      </c>
      <c r="AH134" s="3965">
        <v>57</v>
      </c>
      <c r="AI134" s="3965" t="b">
        <v>1</v>
      </c>
      <c r="AJ134">
        <v>2</v>
      </c>
      <c r="AK134" s="3966">
        <v>1352353</v>
      </c>
      <c r="AL134" s="2814" t="s">
        <v>2129</v>
      </c>
      <c r="AM134" s="2814" t="s">
        <v>2129</v>
      </c>
      <c r="AN134" s="2814" t="s">
        <v>2129</v>
      </c>
      <c r="AO134" s="3953" t="s">
        <v>2129</v>
      </c>
      <c r="AP134" s="2814" t="s">
        <v>2129</v>
      </c>
      <c r="AQ134" s="3954" t="s">
        <v>2129</v>
      </c>
      <c r="AR134" t="s">
        <v>2129</v>
      </c>
      <c r="AS134" t="s">
        <v>2129</v>
      </c>
      <c r="AU134" t="s">
        <v>2129</v>
      </c>
      <c r="AW134" t="s">
        <v>2129</v>
      </c>
      <c r="AX134" t="s">
        <v>2129</v>
      </c>
      <c r="AY134" t="s">
        <v>2129</v>
      </c>
      <c r="AZ134" s="3946" t="s">
        <v>2129</v>
      </c>
      <c r="BA134" t="s">
        <v>2129</v>
      </c>
      <c r="BB134" s="3947" t="s">
        <v>2129</v>
      </c>
      <c r="BC134" s="1958" t="s">
        <v>2129</v>
      </c>
      <c r="BD134" s="1958" t="s">
        <v>2129</v>
      </c>
      <c r="BE134" s="1958" t="s">
        <v>2129</v>
      </c>
      <c r="BF134" s="3937" t="s">
        <v>2129</v>
      </c>
      <c r="BG134" s="3938" t="s">
        <v>2129</v>
      </c>
      <c r="BH134" s="3938" t="s">
        <v>2129</v>
      </c>
      <c r="BI134" s="3937" t="s">
        <v>2129</v>
      </c>
      <c r="BJ134" s="3938" t="s">
        <v>2129</v>
      </c>
      <c r="BK134" s="3939" t="s">
        <v>2129</v>
      </c>
      <c r="BL134" s="3938" t="s">
        <v>2129</v>
      </c>
      <c r="BM134" s="3938" t="s">
        <v>2129</v>
      </c>
      <c r="BN134" s="3939" t="s">
        <v>2129</v>
      </c>
      <c r="BO134" s="3937" t="s">
        <v>2129</v>
      </c>
      <c r="BP134" s="3988" t="s">
        <v>2129</v>
      </c>
      <c r="BQ134" s="3988"/>
      <c r="BR134" s="3988"/>
      <c r="BS134" s="2694"/>
    </row>
    <row r="135" spans="1:71" ht="13">
      <c r="A135">
        <v>251</v>
      </c>
      <c r="B135" s="3979" t="s">
        <v>3353</v>
      </c>
      <c r="C135" s="2694" t="s">
        <v>2129</v>
      </c>
      <c r="D135" s="2694" t="s">
        <v>2129</v>
      </c>
      <c r="E135" s="2694" t="s">
        <v>2129</v>
      </c>
      <c r="F135" s="3974" t="s">
        <v>2129</v>
      </c>
      <c r="G135" s="3975" t="s">
        <v>2129</v>
      </c>
      <c r="H135" s="3976" t="s">
        <v>2129</v>
      </c>
      <c r="I135" s="2694">
        <v>13</v>
      </c>
      <c r="J135" s="3992" t="s">
        <v>4879</v>
      </c>
      <c r="K135" s="2694">
        <v>6</v>
      </c>
      <c r="L135" s="2694" t="b">
        <v>0</v>
      </c>
      <c r="M135" s="2694" t="s">
        <v>2129</v>
      </c>
      <c r="N135" s="2477">
        <v>1941180</v>
      </c>
      <c r="O135" s="2477">
        <v>0</v>
      </c>
      <c r="P135" s="2477">
        <v>0</v>
      </c>
      <c r="Q135" s="2477">
        <v>12150</v>
      </c>
      <c r="R135" s="2477">
        <v>0</v>
      </c>
      <c r="S135" s="2695">
        <v>2147448</v>
      </c>
      <c r="T135" s="2477">
        <v>2147448</v>
      </c>
      <c r="U135" s="2477" t="b">
        <v>0</v>
      </c>
      <c r="V135" s="2477">
        <v>357908</v>
      </c>
      <c r="W135" s="2477">
        <v>0</v>
      </c>
      <c r="X135" s="3937">
        <v>3015294</v>
      </c>
      <c r="Y135" s="3938">
        <v>3015294</v>
      </c>
      <c r="Z135" s="3938" t="b">
        <v>1</v>
      </c>
      <c r="AA135" s="3938">
        <v>48633.774193548386</v>
      </c>
      <c r="AB135" s="3938"/>
      <c r="AC135" s="3938"/>
      <c r="AD135" s="3938" t="s">
        <v>2129</v>
      </c>
      <c r="AE135" s="3938">
        <v>1100</v>
      </c>
      <c r="AF135" s="3938"/>
      <c r="AG135">
        <v>62</v>
      </c>
      <c r="AH135" s="3965">
        <v>62</v>
      </c>
      <c r="AI135" s="3965" t="b">
        <v>1</v>
      </c>
      <c r="AJ135">
        <v>2</v>
      </c>
      <c r="AK135" s="3966">
        <v>1507647</v>
      </c>
      <c r="AL135" s="2814" t="s">
        <v>2129</v>
      </c>
      <c r="AM135" s="2814" t="s">
        <v>2129</v>
      </c>
      <c r="AN135" s="2814" t="s">
        <v>2129</v>
      </c>
      <c r="AO135" s="3953" t="s">
        <v>2129</v>
      </c>
      <c r="AP135" s="2814" t="s">
        <v>2129</v>
      </c>
      <c r="AQ135" s="3954" t="s">
        <v>2129</v>
      </c>
      <c r="AR135" t="s">
        <v>2129</v>
      </c>
      <c r="AS135" t="s">
        <v>2129</v>
      </c>
      <c r="AU135" t="s">
        <v>2129</v>
      </c>
      <c r="AW135" t="s">
        <v>2129</v>
      </c>
      <c r="AX135" t="s">
        <v>2129</v>
      </c>
      <c r="AY135" t="s">
        <v>2129</v>
      </c>
      <c r="AZ135" s="3946" t="s">
        <v>2129</v>
      </c>
      <c r="BA135" t="s">
        <v>2129</v>
      </c>
      <c r="BB135" s="3947" t="s">
        <v>2129</v>
      </c>
      <c r="BC135" s="1958" t="s">
        <v>2129</v>
      </c>
      <c r="BD135" s="1958" t="s">
        <v>2129</v>
      </c>
      <c r="BE135" s="1958" t="s">
        <v>2129</v>
      </c>
      <c r="BF135" s="3937" t="s">
        <v>2129</v>
      </c>
      <c r="BG135" s="3938" t="s">
        <v>2129</v>
      </c>
      <c r="BH135" s="3938" t="s">
        <v>2129</v>
      </c>
      <c r="BI135" s="3937" t="s">
        <v>2129</v>
      </c>
      <c r="BJ135" s="3938" t="s">
        <v>2129</v>
      </c>
      <c r="BK135" s="3939" t="s">
        <v>2129</v>
      </c>
      <c r="BL135" s="3938" t="s">
        <v>2129</v>
      </c>
      <c r="BM135" s="3938" t="s">
        <v>2129</v>
      </c>
      <c r="BN135" s="3939" t="s">
        <v>2129</v>
      </c>
      <c r="BO135" s="3937" t="s">
        <v>2129</v>
      </c>
      <c r="BP135" s="3988" t="s">
        <v>2129</v>
      </c>
      <c r="BQ135" s="3988"/>
      <c r="BR135" s="3988"/>
      <c r="BS135" s="2694"/>
    </row>
    <row r="136" spans="1:71" ht="13">
      <c r="A136">
        <v>252</v>
      </c>
      <c r="B136" s="3979" t="s">
        <v>2862</v>
      </c>
      <c r="C136" s="2694" t="s">
        <v>2129</v>
      </c>
      <c r="D136" s="2694" t="s">
        <v>2129</v>
      </c>
      <c r="E136" s="2694" t="s">
        <v>2129</v>
      </c>
      <c r="F136" s="3974" t="s">
        <v>2129</v>
      </c>
      <c r="G136" s="3975" t="s">
        <v>2129</v>
      </c>
      <c r="H136" s="3976" t="s">
        <v>2129</v>
      </c>
      <c r="I136" s="2694">
        <v>14</v>
      </c>
      <c r="J136" s="3992" t="s">
        <v>5504</v>
      </c>
      <c r="K136" s="2694">
        <v>9</v>
      </c>
      <c r="L136" s="2694" t="b">
        <v>1</v>
      </c>
      <c r="M136" s="2694" t="s">
        <v>2129</v>
      </c>
      <c r="N136" s="2477">
        <v>3494124</v>
      </c>
      <c r="O136" s="2477">
        <v>0</v>
      </c>
      <c r="P136" s="2477">
        <v>0</v>
      </c>
      <c r="Q136" s="2477">
        <v>11850</v>
      </c>
      <c r="R136" s="2477">
        <v>0</v>
      </c>
      <c r="S136" s="2695">
        <v>3855386.4000000004</v>
      </c>
      <c r="T136" s="2477">
        <v>3843536</v>
      </c>
      <c r="U136" s="2477" t="b">
        <v>1</v>
      </c>
      <c r="V136" s="2477">
        <v>427059.55555555556</v>
      </c>
      <c r="W136" s="2477">
        <v>0</v>
      </c>
      <c r="X136" s="3937">
        <v>1836118</v>
      </c>
      <c r="Y136" s="3938">
        <v>1836118</v>
      </c>
      <c r="Z136" s="3938" t="b">
        <v>1</v>
      </c>
      <c r="AA136" s="3938">
        <v>30100.295081967211</v>
      </c>
      <c r="AB136" s="3938">
        <v>14118</v>
      </c>
      <c r="AC136" s="3938">
        <v>41412</v>
      </c>
      <c r="AD136" s="3938" t="s">
        <v>2129</v>
      </c>
      <c r="AE136" s="3938">
        <v>1100</v>
      </c>
      <c r="AF136" s="3938"/>
      <c r="AG136">
        <v>70</v>
      </c>
      <c r="AH136" s="3965">
        <v>61</v>
      </c>
      <c r="AI136" s="3965" t="b">
        <v>1</v>
      </c>
      <c r="AJ136">
        <v>97</v>
      </c>
      <c r="AK136" s="3966">
        <v>18930</v>
      </c>
      <c r="AL136" s="2814" t="s">
        <v>2129</v>
      </c>
      <c r="AM136" s="2814" t="s">
        <v>2129</v>
      </c>
      <c r="AN136" s="2814" t="s">
        <v>2129</v>
      </c>
      <c r="AO136" s="3953" t="s">
        <v>2129</v>
      </c>
      <c r="AP136" s="2814" t="s">
        <v>2129</v>
      </c>
      <c r="AQ136" s="3954" t="s">
        <v>2129</v>
      </c>
      <c r="AR136" t="s">
        <v>2129</v>
      </c>
      <c r="AS136" t="s">
        <v>2129</v>
      </c>
      <c r="AU136" t="s">
        <v>2129</v>
      </c>
      <c r="AW136" t="s">
        <v>2129</v>
      </c>
      <c r="AX136" t="s">
        <v>2129</v>
      </c>
      <c r="AY136" t="s">
        <v>2129</v>
      </c>
      <c r="AZ136" s="3946" t="s">
        <v>2129</v>
      </c>
      <c r="BA136" t="s">
        <v>2129</v>
      </c>
      <c r="BB136" s="3947" t="s">
        <v>2129</v>
      </c>
      <c r="BC136" s="1958" t="s">
        <v>2129</v>
      </c>
      <c r="BD136" s="1958" t="s">
        <v>2129</v>
      </c>
      <c r="BE136" s="1958" t="s">
        <v>2129</v>
      </c>
      <c r="BF136" s="3937" t="s">
        <v>2129</v>
      </c>
      <c r="BG136" s="3938" t="s">
        <v>2129</v>
      </c>
      <c r="BH136" s="3938" t="s">
        <v>2129</v>
      </c>
      <c r="BI136" s="3937" t="s">
        <v>2129</v>
      </c>
      <c r="BJ136" s="3938" t="s">
        <v>2129</v>
      </c>
      <c r="BK136" s="3939" t="s">
        <v>2129</v>
      </c>
      <c r="BL136" s="3938" t="s">
        <v>2129</v>
      </c>
      <c r="BM136" s="3938" t="s">
        <v>2129</v>
      </c>
      <c r="BN136" s="3939" t="s">
        <v>2129</v>
      </c>
      <c r="BO136" s="3937" t="s">
        <v>2129</v>
      </c>
      <c r="BP136" s="3988" t="s">
        <v>2129</v>
      </c>
      <c r="BQ136" s="3988"/>
      <c r="BR136" s="3988"/>
      <c r="BS136" s="2694"/>
    </row>
    <row r="137" spans="1:71" ht="13">
      <c r="A137">
        <v>253</v>
      </c>
      <c r="B137" s="3995" t="s">
        <v>3354</v>
      </c>
      <c r="C137" s="2694" t="s">
        <v>3791</v>
      </c>
      <c r="D137" s="2694" t="s">
        <v>2129</v>
      </c>
      <c r="E137" s="2694" t="s">
        <v>2129</v>
      </c>
      <c r="F137" s="3974" t="s">
        <v>2129</v>
      </c>
      <c r="G137" s="3975" t="s">
        <v>2129</v>
      </c>
      <c r="H137" s="3976" t="s">
        <v>2129</v>
      </c>
      <c r="I137" s="2694">
        <v>11</v>
      </c>
      <c r="J137" s="3992" t="s">
        <v>3481</v>
      </c>
      <c r="K137" s="2694">
        <v>1</v>
      </c>
      <c r="L137" s="2694" t="b">
        <v>0</v>
      </c>
      <c r="M137" s="2694" t="s">
        <v>2129</v>
      </c>
      <c r="N137" s="2477">
        <v>70589</v>
      </c>
      <c r="O137" s="2477">
        <v>0</v>
      </c>
      <c r="P137" s="2477">
        <v>0</v>
      </c>
      <c r="Q137" s="2477">
        <v>16200</v>
      </c>
      <c r="R137" s="2477">
        <v>0</v>
      </c>
      <c r="S137" s="2695">
        <v>93847.900000000009</v>
      </c>
      <c r="T137" s="2477">
        <v>330000</v>
      </c>
      <c r="U137" s="2477" t="b">
        <v>0</v>
      </c>
      <c r="V137" s="2477">
        <v>330000</v>
      </c>
      <c r="W137" s="2477">
        <v>-585931</v>
      </c>
      <c r="X137" s="3937">
        <v>2405849</v>
      </c>
      <c r="Y137" s="3938">
        <v>2991780</v>
      </c>
      <c r="Z137" s="3938" t="b">
        <v>1</v>
      </c>
      <c r="AA137" s="3938">
        <v>26243.684210526317</v>
      </c>
      <c r="AB137" s="3938"/>
      <c r="AC137" s="3938"/>
      <c r="AD137" s="3938">
        <v>1601.9383165560077</v>
      </c>
      <c r="AE137" s="3938"/>
      <c r="AF137" s="3938"/>
      <c r="AG137">
        <v>114</v>
      </c>
      <c r="AH137" s="3965">
        <v>114</v>
      </c>
      <c r="AI137" s="3965" t="b">
        <v>1</v>
      </c>
      <c r="AJ137">
        <v>119</v>
      </c>
      <c r="AK137" s="3966">
        <v>25142</v>
      </c>
      <c r="AL137" s="2814">
        <v>1624</v>
      </c>
      <c r="AM137" s="2814" t="s">
        <v>2129</v>
      </c>
      <c r="AN137" s="2814" t="s">
        <v>2129</v>
      </c>
      <c r="AO137" s="3953" t="s">
        <v>2129</v>
      </c>
      <c r="AP137" s="2814" t="s">
        <v>2129</v>
      </c>
      <c r="AQ137" s="3954" t="s">
        <v>2129</v>
      </c>
      <c r="AR137">
        <v>1510</v>
      </c>
      <c r="AS137" t="s">
        <v>2129</v>
      </c>
      <c r="AU137" t="s">
        <v>2129</v>
      </c>
      <c r="AW137">
        <v>18</v>
      </c>
      <c r="AX137" t="s">
        <v>2129</v>
      </c>
      <c r="AY137" t="s">
        <v>2129</v>
      </c>
      <c r="AZ137" s="3946" t="s">
        <v>2129</v>
      </c>
      <c r="BA137" t="s">
        <v>2129</v>
      </c>
      <c r="BB137" s="3947" t="s">
        <v>2129</v>
      </c>
      <c r="BC137" s="1958">
        <v>40830608</v>
      </c>
      <c r="BD137" s="1958" t="s">
        <v>2129</v>
      </c>
      <c r="BE137" s="1958" t="s">
        <v>2129</v>
      </c>
      <c r="BF137" s="3937" t="s">
        <v>2129</v>
      </c>
      <c r="BG137" s="3938" t="s">
        <v>2129</v>
      </c>
      <c r="BH137" s="3938" t="s">
        <v>2129</v>
      </c>
      <c r="BI137" s="3937">
        <v>5940000</v>
      </c>
      <c r="BJ137" s="3938" t="s">
        <v>2129</v>
      </c>
      <c r="BK137" s="3939" t="s">
        <v>2129</v>
      </c>
      <c r="BL137" s="3938" t="s">
        <v>2129</v>
      </c>
      <c r="BM137" s="3938" t="s">
        <v>2129</v>
      </c>
      <c r="BN137" s="3939" t="s">
        <v>2129</v>
      </c>
      <c r="BO137" s="3937">
        <v>19894000</v>
      </c>
      <c r="BP137" s="3988" t="s">
        <v>2129</v>
      </c>
      <c r="BQ137" s="3988">
        <v>243600</v>
      </c>
      <c r="BR137" s="3988"/>
      <c r="BS137" s="2694"/>
    </row>
    <row r="138" spans="1:71" ht="13">
      <c r="A138">
        <v>256</v>
      </c>
      <c r="B138" s="3994" t="s">
        <v>3355</v>
      </c>
      <c r="C138" s="2694" t="s">
        <v>2129</v>
      </c>
      <c r="D138" s="2694" t="s">
        <v>2129</v>
      </c>
      <c r="E138" s="2694" t="s">
        <v>2129</v>
      </c>
      <c r="F138" s="3974" t="s">
        <v>2129</v>
      </c>
      <c r="G138" s="3975" t="s">
        <v>2129</v>
      </c>
      <c r="H138" s="3976" t="s">
        <v>2129</v>
      </c>
      <c r="I138" s="2694">
        <v>10</v>
      </c>
      <c r="J138" s="3992" t="s">
        <v>3581</v>
      </c>
      <c r="K138" s="2694">
        <v>10</v>
      </c>
      <c r="L138" s="2694" t="b">
        <v>1</v>
      </c>
      <c r="M138" s="2694"/>
      <c r="N138" s="2477">
        <v>1576476</v>
      </c>
      <c r="O138" s="2477"/>
      <c r="P138" s="2477"/>
      <c r="Q138" s="2477"/>
      <c r="R138" s="2477"/>
      <c r="S138" s="2695">
        <v>1734123.6</v>
      </c>
      <c r="T138" s="2477">
        <v>1734123</v>
      </c>
      <c r="U138" s="2477" t="b">
        <v>1</v>
      </c>
      <c r="V138" s="2477">
        <v>173412.3</v>
      </c>
      <c r="W138" s="2477">
        <v>0</v>
      </c>
      <c r="X138" s="3937">
        <v>1689116</v>
      </c>
      <c r="Y138" s="3938">
        <v>1689116</v>
      </c>
      <c r="Z138" s="3938" t="b">
        <v>1</v>
      </c>
      <c r="AA138" s="3938">
        <v>20598.975609756097</v>
      </c>
      <c r="AB138" s="3938">
        <v>18118</v>
      </c>
      <c r="AC138" s="3938">
        <v>30589</v>
      </c>
      <c r="AD138" s="3938" t="s">
        <v>2129</v>
      </c>
      <c r="AE138" s="3938"/>
      <c r="AF138" s="3938"/>
      <c r="AG138">
        <v>82</v>
      </c>
      <c r="AH138" s="3965">
        <v>82</v>
      </c>
      <c r="AI138" s="3965" t="b">
        <v>1</v>
      </c>
      <c r="AJ138">
        <v>328</v>
      </c>
      <c r="AK138" s="3966">
        <v>5150</v>
      </c>
      <c r="AL138" s="2814" t="s">
        <v>2129</v>
      </c>
      <c r="AM138" s="2814" t="s">
        <v>2129</v>
      </c>
      <c r="AN138" s="2814" t="s">
        <v>2129</v>
      </c>
      <c r="AO138" s="3953" t="s">
        <v>2129</v>
      </c>
      <c r="AP138" s="2814" t="s">
        <v>2129</v>
      </c>
      <c r="AQ138" s="3954" t="s">
        <v>2129</v>
      </c>
      <c r="AR138" t="s">
        <v>2129</v>
      </c>
      <c r="AS138" t="s">
        <v>2129</v>
      </c>
      <c r="AU138" t="s">
        <v>2129</v>
      </c>
      <c r="AW138" t="s">
        <v>2129</v>
      </c>
      <c r="AX138" t="s">
        <v>2129</v>
      </c>
      <c r="AY138" t="s">
        <v>2129</v>
      </c>
      <c r="AZ138" s="3946" t="s">
        <v>2129</v>
      </c>
      <c r="BA138" t="s">
        <v>2129</v>
      </c>
      <c r="BB138" s="3947" t="s">
        <v>2129</v>
      </c>
      <c r="BC138" s="1958" t="s">
        <v>2129</v>
      </c>
      <c r="BD138" s="1958" t="s">
        <v>2129</v>
      </c>
      <c r="BE138" s="1958" t="s">
        <v>2129</v>
      </c>
      <c r="BF138" s="3937" t="s">
        <v>2129</v>
      </c>
      <c r="BG138" s="3938" t="s">
        <v>2129</v>
      </c>
      <c r="BH138" s="3938" t="s">
        <v>2129</v>
      </c>
      <c r="BI138" s="3937" t="s">
        <v>2129</v>
      </c>
      <c r="BJ138" s="3938" t="s">
        <v>2129</v>
      </c>
      <c r="BK138" s="3939" t="s">
        <v>2129</v>
      </c>
      <c r="BL138" s="3938" t="s">
        <v>2129</v>
      </c>
      <c r="BM138" s="3938" t="s">
        <v>2129</v>
      </c>
      <c r="BN138" s="3939" t="s">
        <v>2129</v>
      </c>
      <c r="BO138" s="3937" t="s">
        <v>2129</v>
      </c>
      <c r="BP138" s="3988" t="s">
        <v>2129</v>
      </c>
      <c r="BQ138" s="3988"/>
      <c r="BR138" s="3988"/>
      <c r="BS138" s="2694"/>
    </row>
    <row r="139" spans="1:71" ht="13">
      <c r="A139">
        <v>257</v>
      </c>
      <c r="B139" s="3979" t="s">
        <v>3356</v>
      </c>
      <c r="C139" s="2694" t="s">
        <v>2129</v>
      </c>
      <c r="D139" s="2694" t="s">
        <v>2129</v>
      </c>
      <c r="E139" s="2694" t="s">
        <v>2129</v>
      </c>
      <c r="F139" s="3974" t="s">
        <v>2129</v>
      </c>
      <c r="G139" s="3975" t="s">
        <v>2129</v>
      </c>
      <c r="H139" s="3976" t="s">
        <v>2129</v>
      </c>
      <c r="I139" s="2694">
        <v>8</v>
      </c>
      <c r="J139" s="3992" t="s">
        <v>3570</v>
      </c>
      <c r="K139" s="2694">
        <v>4</v>
      </c>
      <c r="L139" s="2694" t="b">
        <v>0</v>
      </c>
      <c r="M139" s="2694" t="s">
        <v>2129</v>
      </c>
      <c r="N139" s="2477">
        <v>823533</v>
      </c>
      <c r="O139" s="2477">
        <v>0</v>
      </c>
      <c r="P139" s="2477">
        <v>0</v>
      </c>
      <c r="Q139" s="2477">
        <v>0</v>
      </c>
      <c r="R139" s="2477">
        <v>0</v>
      </c>
      <c r="S139" s="2695">
        <v>905886.3</v>
      </c>
      <c r="T139" s="2477">
        <v>905886</v>
      </c>
      <c r="U139" s="2477" t="b">
        <v>0</v>
      </c>
      <c r="V139" s="2477">
        <v>226471.5</v>
      </c>
      <c r="W139" s="2477">
        <v>0</v>
      </c>
      <c r="X139" s="3937">
        <v>2329412</v>
      </c>
      <c r="Y139" s="3938">
        <v>2329412</v>
      </c>
      <c r="Z139" s="3938" t="b">
        <v>1</v>
      </c>
      <c r="AA139" s="3938">
        <v>55462.190476190473</v>
      </c>
      <c r="AB139" s="3938"/>
      <c r="AC139" s="3938"/>
      <c r="AD139" s="3938" t="s">
        <v>2129</v>
      </c>
      <c r="AE139" s="3938"/>
      <c r="AF139" s="3938"/>
      <c r="AG139">
        <v>42</v>
      </c>
      <c r="AH139" s="3965">
        <v>42</v>
      </c>
      <c r="AI139" s="3965" t="b">
        <v>1</v>
      </c>
      <c r="AJ139">
        <v>6</v>
      </c>
      <c r="AK139" s="3966">
        <v>388236</v>
      </c>
      <c r="AL139" s="2814" t="s">
        <v>2129</v>
      </c>
      <c r="AM139" s="2814" t="s">
        <v>2129</v>
      </c>
      <c r="AN139" s="2814" t="s">
        <v>2129</v>
      </c>
      <c r="AO139" s="3953" t="s">
        <v>2129</v>
      </c>
      <c r="AP139" s="2814" t="s">
        <v>2129</v>
      </c>
      <c r="AQ139" s="3954" t="s">
        <v>2129</v>
      </c>
      <c r="AR139" t="s">
        <v>2129</v>
      </c>
      <c r="AS139" t="s">
        <v>2129</v>
      </c>
      <c r="AU139" t="s">
        <v>2129</v>
      </c>
      <c r="AW139" t="s">
        <v>2129</v>
      </c>
      <c r="AX139" t="s">
        <v>2129</v>
      </c>
      <c r="AY139" t="s">
        <v>2129</v>
      </c>
      <c r="AZ139" s="3946" t="s">
        <v>2129</v>
      </c>
      <c r="BA139" t="s">
        <v>2129</v>
      </c>
      <c r="BB139" s="3947" t="s">
        <v>2129</v>
      </c>
      <c r="BC139" s="1958" t="s">
        <v>2129</v>
      </c>
      <c r="BD139" s="1958" t="s">
        <v>2129</v>
      </c>
      <c r="BE139" s="1958" t="s">
        <v>2129</v>
      </c>
      <c r="BF139" s="3937" t="s">
        <v>2129</v>
      </c>
      <c r="BG139" s="3938" t="s">
        <v>2129</v>
      </c>
      <c r="BH139" s="3938" t="s">
        <v>2129</v>
      </c>
      <c r="BI139" s="3937" t="s">
        <v>2129</v>
      </c>
      <c r="BJ139" s="3938" t="s">
        <v>2129</v>
      </c>
      <c r="BK139" s="3939" t="s">
        <v>2129</v>
      </c>
      <c r="BL139" s="3938" t="s">
        <v>2129</v>
      </c>
      <c r="BM139" s="3938" t="s">
        <v>2129</v>
      </c>
      <c r="BN139" s="3939" t="s">
        <v>2129</v>
      </c>
      <c r="BO139" s="3937" t="s">
        <v>2129</v>
      </c>
      <c r="BP139" s="3988" t="s">
        <v>2129</v>
      </c>
      <c r="BQ139" s="3988"/>
      <c r="BR139" s="3988"/>
      <c r="BS139" s="2694"/>
    </row>
    <row r="140" spans="1:71" ht="13">
      <c r="A140">
        <v>260</v>
      </c>
      <c r="B140" s="3979" t="s">
        <v>3357</v>
      </c>
      <c r="C140" s="2694" t="s">
        <v>2129</v>
      </c>
      <c r="D140" s="2694" t="s">
        <v>2129</v>
      </c>
      <c r="E140" s="2694" t="s">
        <v>2129</v>
      </c>
      <c r="F140" s="3974" t="s">
        <v>2129</v>
      </c>
      <c r="G140" s="3975" t="s">
        <v>2129</v>
      </c>
      <c r="H140" s="3976" t="s">
        <v>2129</v>
      </c>
      <c r="I140" s="2694">
        <v>8</v>
      </c>
      <c r="J140" s="3992" t="s">
        <v>3582</v>
      </c>
      <c r="K140" s="2694">
        <v>2</v>
      </c>
      <c r="L140" s="2694" t="b">
        <v>0</v>
      </c>
      <c r="M140" s="2694" t="s">
        <v>2129</v>
      </c>
      <c r="N140" s="2477">
        <v>1617651</v>
      </c>
      <c r="O140" s="2477">
        <v>0</v>
      </c>
      <c r="P140" s="2477">
        <v>0</v>
      </c>
      <c r="Q140" s="2477">
        <v>0</v>
      </c>
      <c r="R140" s="2477">
        <v>0</v>
      </c>
      <c r="S140" s="2695">
        <v>1779416.1</v>
      </c>
      <c r="T140" s="2477">
        <v>1552942</v>
      </c>
      <c r="U140" s="2477" t="b">
        <v>0</v>
      </c>
      <c r="V140" s="2477">
        <v>776471</v>
      </c>
      <c r="W140" s="2477">
        <v>0</v>
      </c>
      <c r="X140" s="3937">
        <v>1301905</v>
      </c>
      <c r="Y140" s="3938">
        <v>1301905</v>
      </c>
      <c r="Z140" s="3938" t="b">
        <v>1</v>
      </c>
      <c r="AA140" s="3938">
        <v>48218.703703703701</v>
      </c>
      <c r="AB140" s="3938"/>
      <c r="AC140" s="3938"/>
      <c r="AD140" s="3938" t="s">
        <v>2129</v>
      </c>
      <c r="AE140" s="3938"/>
      <c r="AF140" s="3938"/>
      <c r="AG140">
        <v>42</v>
      </c>
      <c r="AH140" s="3965">
        <v>27</v>
      </c>
      <c r="AI140" s="3965" t="b">
        <v>1</v>
      </c>
      <c r="AJ140">
        <v>53</v>
      </c>
      <c r="AK140" s="3966">
        <v>24565</v>
      </c>
      <c r="AL140" s="2814" t="s">
        <v>2129</v>
      </c>
      <c r="AM140" s="2814" t="s">
        <v>2129</v>
      </c>
      <c r="AN140" s="2814" t="s">
        <v>2129</v>
      </c>
      <c r="AO140" s="3953" t="s">
        <v>2129</v>
      </c>
      <c r="AP140" s="2814" t="s">
        <v>2129</v>
      </c>
      <c r="AQ140" s="3954" t="s">
        <v>2129</v>
      </c>
      <c r="AR140" t="s">
        <v>2129</v>
      </c>
      <c r="AS140" t="s">
        <v>2129</v>
      </c>
      <c r="AU140" t="s">
        <v>2129</v>
      </c>
      <c r="AW140" t="s">
        <v>2129</v>
      </c>
      <c r="AX140" t="s">
        <v>2129</v>
      </c>
      <c r="AY140" t="s">
        <v>2129</v>
      </c>
      <c r="AZ140" s="3946" t="s">
        <v>2129</v>
      </c>
      <c r="BA140" t="s">
        <v>2129</v>
      </c>
      <c r="BB140" s="3947" t="s">
        <v>2129</v>
      </c>
      <c r="BC140" s="1958" t="s">
        <v>2129</v>
      </c>
      <c r="BD140" s="1958" t="s">
        <v>2129</v>
      </c>
      <c r="BE140" s="1958" t="s">
        <v>2129</v>
      </c>
      <c r="BF140" s="3937" t="s">
        <v>2129</v>
      </c>
      <c r="BG140" s="3938" t="s">
        <v>2129</v>
      </c>
      <c r="BH140" s="3938" t="s">
        <v>2129</v>
      </c>
      <c r="BI140" s="3937" t="s">
        <v>2129</v>
      </c>
      <c r="BJ140" s="3938" t="s">
        <v>2129</v>
      </c>
      <c r="BK140" s="3939" t="s">
        <v>2129</v>
      </c>
      <c r="BL140" s="3938" t="s">
        <v>2129</v>
      </c>
      <c r="BM140" s="3938" t="s">
        <v>2129</v>
      </c>
      <c r="BN140" s="3939" t="s">
        <v>2129</v>
      </c>
      <c r="BO140" s="3937" t="s">
        <v>2129</v>
      </c>
      <c r="BP140" s="3988" t="s">
        <v>2129</v>
      </c>
      <c r="BQ140" s="3988"/>
      <c r="BR140" s="3988"/>
      <c r="BS140" s="2694"/>
    </row>
    <row r="141" spans="1:71" ht="13">
      <c r="A141">
        <v>261</v>
      </c>
      <c r="B141" s="3979" t="s">
        <v>2865</v>
      </c>
      <c r="C141" s="2694" t="s">
        <v>2129</v>
      </c>
      <c r="D141" s="2694" t="s">
        <v>2129</v>
      </c>
      <c r="E141" s="2694" t="s">
        <v>2129</v>
      </c>
      <c r="F141" s="3974" t="s">
        <v>2129</v>
      </c>
      <c r="G141" s="3975" t="s">
        <v>2129</v>
      </c>
      <c r="H141" s="3976" t="s">
        <v>2129</v>
      </c>
      <c r="I141" s="2694">
        <v>8</v>
      </c>
      <c r="J141" s="3992" t="s">
        <v>5405</v>
      </c>
      <c r="K141" s="2694">
        <v>0</v>
      </c>
      <c r="L141" s="2694" t="b">
        <v>1</v>
      </c>
      <c r="M141" s="2694" t="s">
        <v>2129</v>
      </c>
      <c r="N141" s="2477">
        <v>0</v>
      </c>
      <c r="O141" s="2477">
        <v>0</v>
      </c>
      <c r="P141" s="2477">
        <v>0</v>
      </c>
      <c r="Q141" s="2477">
        <v>18000</v>
      </c>
      <c r="R141" s="2477">
        <v>0</v>
      </c>
      <c r="S141" s="2695">
        <v>18000</v>
      </c>
      <c r="T141" s="2477">
        <v>2606235</v>
      </c>
      <c r="U141" s="2477" t="b">
        <v>1</v>
      </c>
      <c r="V141" s="2477" t="s">
        <v>2129</v>
      </c>
      <c r="W141" s="2477">
        <v>0</v>
      </c>
      <c r="X141" s="3937">
        <v>3882353</v>
      </c>
      <c r="Y141" s="3938">
        <v>3882353</v>
      </c>
      <c r="Z141" s="3938" t="b">
        <v>1</v>
      </c>
      <c r="AA141" s="3938">
        <v>47345.768292682929</v>
      </c>
      <c r="AB141" s="3938">
        <v>5882353</v>
      </c>
      <c r="AC141" s="3938">
        <v>5882353</v>
      </c>
      <c r="AD141" s="3938" t="s">
        <v>2129</v>
      </c>
      <c r="AE141" s="3938">
        <v>1100</v>
      </c>
      <c r="AF141" s="3938"/>
      <c r="AG141">
        <v>82</v>
      </c>
      <c r="AH141" s="3965">
        <v>82</v>
      </c>
      <c r="AI141" s="3965" t="b">
        <v>1</v>
      </c>
      <c r="AJ141">
        <v>2</v>
      </c>
      <c r="AK141" s="3966">
        <v>1941177</v>
      </c>
      <c r="AL141" s="2814" t="s">
        <v>2129</v>
      </c>
      <c r="AM141" s="2814" t="s">
        <v>2129</v>
      </c>
      <c r="AN141" s="2814" t="s">
        <v>2129</v>
      </c>
      <c r="AO141" s="3953" t="s">
        <v>2129</v>
      </c>
      <c r="AP141" s="2814" t="s">
        <v>2129</v>
      </c>
      <c r="AQ141" s="3954" t="s">
        <v>2129</v>
      </c>
      <c r="AR141" t="s">
        <v>2129</v>
      </c>
      <c r="AS141" t="s">
        <v>2129</v>
      </c>
      <c r="AU141" t="s">
        <v>2129</v>
      </c>
      <c r="AW141" t="s">
        <v>2129</v>
      </c>
      <c r="AX141" t="s">
        <v>2129</v>
      </c>
      <c r="AY141" t="s">
        <v>2129</v>
      </c>
      <c r="AZ141" s="3946" t="s">
        <v>2129</v>
      </c>
      <c r="BA141" t="s">
        <v>2129</v>
      </c>
      <c r="BB141" s="3947" t="s">
        <v>2129</v>
      </c>
      <c r="BC141" s="1958" t="s">
        <v>2129</v>
      </c>
      <c r="BD141" s="1958" t="s">
        <v>2129</v>
      </c>
      <c r="BE141" s="1958" t="s">
        <v>2129</v>
      </c>
      <c r="BF141" s="3937" t="s">
        <v>2129</v>
      </c>
      <c r="BG141" s="3938" t="s">
        <v>2129</v>
      </c>
      <c r="BH141" s="3938" t="s">
        <v>2129</v>
      </c>
      <c r="BI141" s="3937" t="s">
        <v>2129</v>
      </c>
      <c r="BJ141" s="3938" t="s">
        <v>2129</v>
      </c>
      <c r="BK141" s="3939" t="s">
        <v>2129</v>
      </c>
      <c r="BL141" s="3938" t="s">
        <v>2129</v>
      </c>
      <c r="BM141" s="3938" t="s">
        <v>2129</v>
      </c>
      <c r="BN141" s="3939" t="s">
        <v>2129</v>
      </c>
      <c r="BO141" s="3937" t="s">
        <v>2129</v>
      </c>
      <c r="BP141" s="3988" t="s">
        <v>2129</v>
      </c>
      <c r="BQ141" s="3988"/>
      <c r="BR141" s="3988"/>
      <c r="BS141" s="2694"/>
    </row>
    <row r="142" spans="1:71" ht="13">
      <c r="A142">
        <v>266</v>
      </c>
      <c r="B142" s="3980" t="s">
        <v>3358</v>
      </c>
      <c r="C142" s="2694" t="s">
        <v>2129</v>
      </c>
      <c r="D142" s="2694" t="s">
        <v>2129</v>
      </c>
      <c r="E142" s="2694" t="s">
        <v>2129</v>
      </c>
      <c r="F142" s="3974" t="s">
        <v>2129</v>
      </c>
      <c r="G142" s="3975" t="s">
        <v>2129</v>
      </c>
      <c r="H142" s="3976" t="s">
        <v>2129</v>
      </c>
      <c r="I142" s="2694"/>
      <c r="J142" s="3992">
        <v>0</v>
      </c>
      <c r="K142" s="2694">
        <v>1</v>
      </c>
      <c r="L142" s="2694" t="b">
        <v>1</v>
      </c>
      <c r="M142" s="2694" t="s">
        <v>2129</v>
      </c>
      <c r="N142" s="2477">
        <v>0</v>
      </c>
      <c r="O142" s="2477">
        <v>0</v>
      </c>
      <c r="P142" s="2477">
        <v>0</v>
      </c>
      <c r="Q142" s="2477">
        <v>18000</v>
      </c>
      <c r="R142" s="2477">
        <v>0</v>
      </c>
      <c r="S142" s="2695">
        <v>18000</v>
      </c>
      <c r="T142" s="2477">
        <v>186353</v>
      </c>
      <c r="U142" s="2477" t="b">
        <v>1</v>
      </c>
      <c r="V142" s="2477">
        <v>186353</v>
      </c>
      <c r="W142" s="2477">
        <v>-1692537</v>
      </c>
      <c r="X142" s="3937">
        <v>0</v>
      </c>
      <c r="Y142" s="3938">
        <v>1692537</v>
      </c>
      <c r="Z142" s="3938" t="b">
        <v>1</v>
      </c>
      <c r="AA142" s="3938">
        <v>16119.4</v>
      </c>
      <c r="AB142" s="3938">
        <v>5882353</v>
      </c>
      <c r="AC142" s="3938">
        <v>5882353</v>
      </c>
      <c r="AD142" s="3938" t="s">
        <v>2129</v>
      </c>
      <c r="AE142" s="3938">
        <v>1100</v>
      </c>
      <c r="AF142" s="3938"/>
      <c r="AG142">
        <v>82</v>
      </c>
      <c r="AH142" s="3965">
        <v>105</v>
      </c>
      <c r="AI142" s="3965"/>
      <c r="AJ142">
        <v>127</v>
      </c>
      <c r="AK142" s="3966">
        <v>13328</v>
      </c>
      <c r="AL142" s="2814" t="s">
        <v>2129</v>
      </c>
      <c r="AM142" s="2814" t="s">
        <v>2129</v>
      </c>
      <c r="AN142" s="2814" t="s">
        <v>2129</v>
      </c>
      <c r="AO142" s="3953" t="s">
        <v>2129</v>
      </c>
      <c r="AP142" s="2814" t="s">
        <v>2129</v>
      </c>
      <c r="AQ142" s="3954" t="s">
        <v>2129</v>
      </c>
      <c r="AR142" t="s">
        <v>2129</v>
      </c>
      <c r="AS142" t="s">
        <v>2129</v>
      </c>
      <c r="AU142" t="s">
        <v>2129</v>
      </c>
      <c r="AW142" t="s">
        <v>2129</v>
      </c>
      <c r="AX142" t="s">
        <v>2129</v>
      </c>
      <c r="AY142" t="s">
        <v>2129</v>
      </c>
      <c r="AZ142" s="3946" t="s">
        <v>2129</v>
      </c>
      <c r="BA142" t="s">
        <v>2129</v>
      </c>
      <c r="BB142" s="3947" t="s">
        <v>2129</v>
      </c>
      <c r="BC142" s="1958" t="s">
        <v>2129</v>
      </c>
      <c r="BD142" s="1958" t="s">
        <v>2129</v>
      </c>
      <c r="BE142" s="1958" t="s">
        <v>2129</v>
      </c>
      <c r="BF142" s="3937" t="s">
        <v>2129</v>
      </c>
      <c r="BG142" s="3938" t="s">
        <v>2129</v>
      </c>
      <c r="BH142" s="3938" t="s">
        <v>2129</v>
      </c>
      <c r="BI142" s="3937" t="s">
        <v>2129</v>
      </c>
      <c r="BJ142" s="3938" t="s">
        <v>2129</v>
      </c>
      <c r="BK142" s="3939" t="s">
        <v>2129</v>
      </c>
      <c r="BL142" s="3938" t="s">
        <v>2129</v>
      </c>
      <c r="BM142" s="3938" t="s">
        <v>2129</v>
      </c>
      <c r="BN142" s="3939" t="s">
        <v>2129</v>
      </c>
      <c r="BO142" s="3937" t="s">
        <v>2129</v>
      </c>
      <c r="BP142" s="3988" t="s">
        <v>2129</v>
      </c>
      <c r="BQ142" s="3988"/>
      <c r="BR142" s="3988"/>
      <c r="BS142" s="2694"/>
    </row>
    <row r="143" spans="1:71" ht="13">
      <c r="A143">
        <v>269</v>
      </c>
      <c r="B143" s="3979" t="s">
        <v>3359</v>
      </c>
      <c r="C143" s="2694" t="s">
        <v>3791</v>
      </c>
      <c r="D143" s="2694" t="s">
        <v>2129</v>
      </c>
      <c r="E143" s="2694" t="s">
        <v>2129</v>
      </c>
      <c r="F143" s="3974" t="s">
        <v>2129</v>
      </c>
      <c r="G143" s="3975" t="s">
        <v>2129</v>
      </c>
      <c r="H143" s="3976" t="s">
        <v>2129</v>
      </c>
      <c r="I143" s="2694">
        <v>0</v>
      </c>
      <c r="J143" s="3992">
        <v>0</v>
      </c>
      <c r="K143" s="2694">
        <v>0</v>
      </c>
      <c r="L143" s="2694" t="b">
        <v>0</v>
      </c>
      <c r="M143" s="2694" t="s">
        <v>2129</v>
      </c>
      <c r="N143" s="2477">
        <v>0</v>
      </c>
      <c r="O143" s="2477">
        <v>0</v>
      </c>
      <c r="P143" s="2477">
        <v>0</v>
      </c>
      <c r="Q143" s="2477">
        <v>0</v>
      </c>
      <c r="R143" s="2477">
        <v>0</v>
      </c>
      <c r="S143" s="2695">
        <v>0</v>
      </c>
      <c r="T143" s="2477">
        <v>0</v>
      </c>
      <c r="U143" s="2477" t="b">
        <v>1</v>
      </c>
      <c r="V143" s="2477" t="s">
        <v>2129</v>
      </c>
      <c r="W143" s="2477">
        <v>-339359</v>
      </c>
      <c r="X143" s="3937">
        <v>2139812</v>
      </c>
      <c r="Y143" s="3938">
        <v>2479171</v>
      </c>
      <c r="Z143" s="3938" t="b">
        <v>1</v>
      </c>
      <c r="AA143" s="3938">
        <v>18229.198529411766</v>
      </c>
      <c r="AB143" s="3938"/>
      <c r="AC143" s="3938"/>
      <c r="AD143" s="3938">
        <v>2749.7460070984916</v>
      </c>
      <c r="AE143" s="3938"/>
      <c r="AF143" s="3938"/>
      <c r="AG143">
        <v>162</v>
      </c>
      <c r="AH143" s="3965">
        <v>136</v>
      </c>
      <c r="AI143" s="3965" t="b">
        <v>1</v>
      </c>
      <c r="AJ143">
        <v>136</v>
      </c>
      <c r="AK143" s="3966">
        <v>18230</v>
      </c>
      <c r="AL143" s="2814">
        <v>784</v>
      </c>
      <c r="AM143" s="2814" t="s">
        <v>2129</v>
      </c>
      <c r="AN143" s="2814" t="s">
        <v>2129</v>
      </c>
      <c r="AO143" s="3953" t="s">
        <v>2129</v>
      </c>
      <c r="AP143" s="2814" t="s">
        <v>2129</v>
      </c>
      <c r="AQ143" s="3954" t="s">
        <v>2129</v>
      </c>
      <c r="AR143">
        <v>648</v>
      </c>
      <c r="AS143" t="s">
        <v>2129</v>
      </c>
      <c r="AU143" t="s">
        <v>2129</v>
      </c>
      <c r="AW143">
        <v>13</v>
      </c>
      <c r="AX143" t="s">
        <v>2129</v>
      </c>
      <c r="AY143" t="s">
        <v>2129</v>
      </c>
      <c r="AZ143" s="3946" t="s">
        <v>2129</v>
      </c>
      <c r="BA143" t="s">
        <v>2129</v>
      </c>
      <c r="BB143" s="3947" t="s">
        <v>2129</v>
      </c>
      <c r="BC143" s="1958">
        <v>14292320</v>
      </c>
      <c r="BD143" s="1958" t="s">
        <v>2129</v>
      </c>
      <c r="BE143" s="1958" t="s">
        <v>2129</v>
      </c>
      <c r="BF143" s="3937" t="s">
        <v>2129</v>
      </c>
      <c r="BG143" s="3938" t="s">
        <v>2129</v>
      </c>
      <c r="BH143" s="3938" t="s">
        <v>2129</v>
      </c>
      <c r="BI143" s="3937" t="s">
        <v>2129</v>
      </c>
      <c r="BJ143" s="3938" t="s">
        <v>2129</v>
      </c>
      <c r="BK143" s="3939" t="s">
        <v>2129</v>
      </c>
      <c r="BL143" s="3938" t="s">
        <v>2129</v>
      </c>
      <c r="BM143" s="3938" t="s">
        <v>2129</v>
      </c>
      <c r="BN143" s="3939" t="s">
        <v>2129</v>
      </c>
      <c r="BO143" s="3937">
        <v>9604000</v>
      </c>
      <c r="BP143" s="3988" t="s">
        <v>2129</v>
      </c>
      <c r="BQ143" s="3988"/>
      <c r="BR143" s="3988"/>
      <c r="BS143" s="2694"/>
    </row>
    <row r="144" spans="1:71" ht="13">
      <c r="A144">
        <v>271</v>
      </c>
      <c r="B144" s="3979" t="s">
        <v>6997</v>
      </c>
      <c r="C144" s="2694" t="s">
        <v>3791</v>
      </c>
      <c r="D144" s="2694" t="s">
        <v>2129</v>
      </c>
      <c r="E144" s="2694" t="s">
        <v>2129</v>
      </c>
      <c r="F144" s="3974" t="s">
        <v>2129</v>
      </c>
      <c r="G144" s="3975" t="s">
        <v>2129</v>
      </c>
      <c r="H144" s="3976" t="s">
        <v>2129</v>
      </c>
      <c r="I144" s="2694"/>
      <c r="J144" s="3992" t="s">
        <v>2854</v>
      </c>
      <c r="K144" s="2694">
        <v>0</v>
      </c>
      <c r="L144" s="2694" t="b">
        <v>1</v>
      </c>
      <c r="M144" s="2694" t="s">
        <v>2129</v>
      </c>
      <c r="N144" s="2477">
        <v>58824</v>
      </c>
      <c r="O144" s="2477">
        <v>0</v>
      </c>
      <c r="P144" s="2477">
        <v>0</v>
      </c>
      <c r="Q144" s="2477">
        <v>0</v>
      </c>
      <c r="R144" s="2477">
        <v>0</v>
      </c>
      <c r="S144" s="2695">
        <v>64706.400000000009</v>
      </c>
      <c r="T144" s="2477">
        <v>0</v>
      </c>
      <c r="U144" s="2477" t="b">
        <v>1</v>
      </c>
      <c r="V144" s="2477" t="s">
        <v>2129</v>
      </c>
      <c r="W144" s="2477">
        <v>-2185007</v>
      </c>
      <c r="X144" s="3937"/>
      <c r="Y144" s="3938">
        <v>2185007</v>
      </c>
      <c r="Z144" s="3938" t="b">
        <v>1</v>
      </c>
      <c r="AA144" s="3938">
        <v>48555.711111111108</v>
      </c>
      <c r="AB144" s="3938">
        <v>28236</v>
      </c>
      <c r="AC144" s="3938">
        <v>59295</v>
      </c>
      <c r="AD144" s="3938">
        <v>2328.4388320545609</v>
      </c>
      <c r="AE144" s="3938">
        <v>0</v>
      </c>
      <c r="AF144" s="3938"/>
      <c r="AG144">
        <v>347</v>
      </c>
      <c r="AH144" s="3965">
        <v>45</v>
      </c>
      <c r="AI144" s="3965" t="b">
        <v>1</v>
      </c>
      <c r="AJ144">
        <v>70</v>
      </c>
      <c r="AK144" s="3966">
        <v>31215</v>
      </c>
      <c r="AL144" s="2814">
        <v>816</v>
      </c>
      <c r="AM144" s="2814" t="s">
        <v>2129</v>
      </c>
      <c r="AN144" s="2814" t="s">
        <v>2129</v>
      </c>
      <c r="AO144" s="3953" t="s">
        <v>2129</v>
      </c>
      <c r="AP144" s="2814" t="s">
        <v>2129</v>
      </c>
      <c r="AQ144" s="3954" t="s">
        <v>2129</v>
      </c>
      <c r="AR144">
        <v>771</v>
      </c>
      <c r="AS144" t="s">
        <v>2129</v>
      </c>
      <c r="AU144" t="s">
        <v>2129</v>
      </c>
      <c r="AW144">
        <v>11</v>
      </c>
      <c r="AX144" t="s">
        <v>2129</v>
      </c>
      <c r="AY144" t="s">
        <v>2129</v>
      </c>
      <c r="AZ144" s="3946" t="s">
        <v>2129</v>
      </c>
      <c r="BA144" t="s">
        <v>2129</v>
      </c>
      <c r="BB144" s="3947" t="s">
        <v>2129</v>
      </c>
      <c r="BC144" s="1958">
        <v>25471440</v>
      </c>
      <c r="BD144" s="1958" t="s">
        <v>2129</v>
      </c>
      <c r="BE144" s="1958" t="s">
        <v>2129</v>
      </c>
      <c r="BF144" s="3937" t="s">
        <v>2129</v>
      </c>
      <c r="BG144" s="3938" t="s">
        <v>2129</v>
      </c>
      <c r="BH144" s="3938" t="s">
        <v>2129</v>
      </c>
      <c r="BI144" s="3937" t="s">
        <v>2129</v>
      </c>
      <c r="BJ144" s="3938" t="s">
        <v>2129</v>
      </c>
      <c r="BK144" s="3939" t="s">
        <v>2129</v>
      </c>
      <c r="BL144" s="3938" t="s">
        <v>2129</v>
      </c>
      <c r="BM144" s="3938" t="s">
        <v>2129</v>
      </c>
      <c r="BN144" s="3939" t="s">
        <v>2129</v>
      </c>
      <c r="BO144" s="3937">
        <v>9996000</v>
      </c>
      <c r="BP144" s="3988" t="s">
        <v>2129</v>
      </c>
      <c r="BQ144" s="3988">
        <v>163200</v>
      </c>
      <c r="BR144" s="3988"/>
      <c r="BS144" s="2694"/>
    </row>
    <row r="145" spans="1:71" ht="13">
      <c r="A145">
        <v>275</v>
      </c>
      <c r="B145" s="3979" t="s">
        <v>3360</v>
      </c>
      <c r="C145" s="2694" t="s">
        <v>2129</v>
      </c>
      <c r="D145" s="2694" t="s">
        <v>2129</v>
      </c>
      <c r="E145" s="2694" t="s">
        <v>2129</v>
      </c>
      <c r="F145" s="3974" t="s">
        <v>2129</v>
      </c>
      <c r="G145" s="3975" t="s">
        <v>2129</v>
      </c>
      <c r="H145" s="3976" t="s">
        <v>2129</v>
      </c>
      <c r="I145" s="2694">
        <v>8</v>
      </c>
      <c r="J145" s="3992" t="s">
        <v>4943</v>
      </c>
      <c r="K145" s="2694">
        <v>2</v>
      </c>
      <c r="L145" s="2694" t="b">
        <v>0</v>
      </c>
      <c r="M145" s="2694" t="s">
        <v>2129</v>
      </c>
      <c r="N145" s="2477">
        <v>535295</v>
      </c>
      <c r="O145" s="2477">
        <v>0</v>
      </c>
      <c r="P145" s="2477">
        <v>0</v>
      </c>
      <c r="Q145" s="2477">
        <v>0</v>
      </c>
      <c r="R145" s="2477">
        <v>0</v>
      </c>
      <c r="S145" s="2695">
        <v>588824.5</v>
      </c>
      <c r="T145" s="2477">
        <v>588824</v>
      </c>
      <c r="U145" s="2477" t="b">
        <v>0</v>
      </c>
      <c r="V145" s="2477">
        <v>294412</v>
      </c>
      <c r="W145" s="2477">
        <v>0</v>
      </c>
      <c r="X145" s="3937">
        <v>5595794</v>
      </c>
      <c r="Y145" s="3938">
        <v>5595794</v>
      </c>
      <c r="Z145" s="3938" t="b">
        <v>1</v>
      </c>
      <c r="AA145" s="3938">
        <v>103625.81481481482</v>
      </c>
      <c r="AB145" s="3938"/>
      <c r="AC145" s="3938"/>
      <c r="AD145" s="3938" t="s">
        <v>2129</v>
      </c>
      <c r="AE145" s="3938"/>
      <c r="AF145" s="3938"/>
      <c r="AG145">
        <v>54</v>
      </c>
      <c r="AH145" s="3965">
        <v>54</v>
      </c>
      <c r="AI145" s="3965" t="b">
        <v>1</v>
      </c>
      <c r="AJ145">
        <v>180</v>
      </c>
      <c r="AK145" s="3966">
        <v>31088</v>
      </c>
      <c r="AL145" s="2814" t="s">
        <v>2129</v>
      </c>
      <c r="AM145" s="2814" t="s">
        <v>2129</v>
      </c>
      <c r="AN145" s="2814" t="s">
        <v>2129</v>
      </c>
      <c r="AO145" s="3953" t="s">
        <v>2129</v>
      </c>
      <c r="AP145" s="2814" t="s">
        <v>2129</v>
      </c>
      <c r="AQ145" s="3954" t="s">
        <v>2129</v>
      </c>
      <c r="AR145" t="s">
        <v>2129</v>
      </c>
      <c r="AS145" t="s">
        <v>2129</v>
      </c>
      <c r="AU145" t="s">
        <v>2129</v>
      </c>
      <c r="AW145" t="s">
        <v>2129</v>
      </c>
      <c r="AX145" t="s">
        <v>2129</v>
      </c>
      <c r="AY145" t="s">
        <v>2129</v>
      </c>
      <c r="AZ145" s="3946" t="s">
        <v>2129</v>
      </c>
      <c r="BA145" t="s">
        <v>2129</v>
      </c>
      <c r="BB145" s="3947" t="s">
        <v>2129</v>
      </c>
      <c r="BC145" s="1958" t="s">
        <v>2129</v>
      </c>
      <c r="BD145" s="1958" t="s">
        <v>2129</v>
      </c>
      <c r="BE145" s="1958" t="s">
        <v>2129</v>
      </c>
      <c r="BF145" s="3937" t="s">
        <v>2129</v>
      </c>
      <c r="BG145" s="3938" t="s">
        <v>2129</v>
      </c>
      <c r="BH145" s="3938" t="s">
        <v>2129</v>
      </c>
      <c r="BI145" s="3937" t="s">
        <v>2129</v>
      </c>
      <c r="BJ145" s="3938" t="s">
        <v>2129</v>
      </c>
      <c r="BK145" s="3939" t="s">
        <v>2129</v>
      </c>
      <c r="BL145" s="3938" t="s">
        <v>2129</v>
      </c>
      <c r="BM145" s="3938" t="s">
        <v>2129</v>
      </c>
      <c r="BN145" s="3939" t="s">
        <v>2129</v>
      </c>
      <c r="BO145" s="3937" t="s">
        <v>2129</v>
      </c>
      <c r="BP145" s="3988" t="s">
        <v>2129</v>
      </c>
      <c r="BQ145" s="3988"/>
      <c r="BR145" s="3988"/>
      <c r="BS145" s="2694"/>
    </row>
    <row r="146" spans="1:71" ht="13">
      <c r="A146">
        <v>278</v>
      </c>
      <c r="B146" s="3979" t="s">
        <v>3361</v>
      </c>
      <c r="C146" s="2694" t="s">
        <v>2129</v>
      </c>
      <c r="D146" s="2694" t="s">
        <v>2129</v>
      </c>
      <c r="E146" s="2694" t="s">
        <v>2129</v>
      </c>
      <c r="F146" s="3974" t="s">
        <v>2129</v>
      </c>
      <c r="G146" s="3975" t="s">
        <v>2129</v>
      </c>
      <c r="H146" s="3976" t="s">
        <v>2129</v>
      </c>
      <c r="I146" s="2694">
        <v>9</v>
      </c>
      <c r="J146" s="3992" t="s">
        <v>3474</v>
      </c>
      <c r="K146" s="2694">
        <v>2</v>
      </c>
      <c r="L146" s="2694" t="b">
        <v>0</v>
      </c>
      <c r="M146" s="2694" t="s">
        <v>2129</v>
      </c>
      <c r="N146" s="2477">
        <v>3887651</v>
      </c>
      <c r="O146" s="2477">
        <v>45297</v>
      </c>
      <c r="P146" s="2477">
        <v>0</v>
      </c>
      <c r="Q146" s="2477">
        <v>0</v>
      </c>
      <c r="R146" s="2477">
        <v>0</v>
      </c>
      <c r="S146" s="2695">
        <v>4326242.8000000007</v>
      </c>
      <c r="T146" s="2477">
        <v>1595133</v>
      </c>
      <c r="U146" s="2477" t="b">
        <v>0</v>
      </c>
      <c r="V146" s="2477">
        <v>797566.5</v>
      </c>
      <c r="W146" s="2477">
        <v>0</v>
      </c>
      <c r="X146" s="3937">
        <v>8042568</v>
      </c>
      <c r="Y146" s="3938">
        <v>8042568</v>
      </c>
      <c r="Z146" s="3938" t="b">
        <v>1</v>
      </c>
      <c r="AA146" s="3938">
        <v>36227.783783783787</v>
      </c>
      <c r="AB146" s="3938"/>
      <c r="AC146" s="3938"/>
      <c r="AD146" s="3938" t="s">
        <v>2129</v>
      </c>
      <c r="AE146" s="3938">
        <v>2300</v>
      </c>
      <c r="AF146" s="3938"/>
      <c r="AG146">
        <v>277</v>
      </c>
      <c r="AH146" s="3965">
        <v>222</v>
      </c>
      <c r="AI146" s="3965" t="b">
        <v>1</v>
      </c>
      <c r="AJ146">
        <v>281</v>
      </c>
      <c r="AK146" s="3966">
        <v>28622</v>
      </c>
      <c r="AL146" s="2814" t="s">
        <v>2129</v>
      </c>
      <c r="AM146" s="2814" t="s">
        <v>2129</v>
      </c>
      <c r="AN146" s="2814" t="s">
        <v>2129</v>
      </c>
      <c r="AO146" s="3953" t="s">
        <v>2129</v>
      </c>
      <c r="AP146" s="2814" t="s">
        <v>2129</v>
      </c>
      <c r="AQ146" s="3954" t="s">
        <v>2129</v>
      </c>
      <c r="AR146" t="s">
        <v>2129</v>
      </c>
      <c r="AS146" t="s">
        <v>2129</v>
      </c>
      <c r="AU146" t="s">
        <v>2129</v>
      </c>
      <c r="AW146" t="s">
        <v>2129</v>
      </c>
      <c r="AX146" t="s">
        <v>2129</v>
      </c>
      <c r="AY146" t="s">
        <v>2129</v>
      </c>
      <c r="AZ146" s="3946" t="s">
        <v>2129</v>
      </c>
      <c r="BA146" t="s">
        <v>2129</v>
      </c>
      <c r="BB146" s="3947" t="s">
        <v>2129</v>
      </c>
      <c r="BC146" s="1958" t="s">
        <v>2129</v>
      </c>
      <c r="BD146" s="1958" t="s">
        <v>2129</v>
      </c>
      <c r="BE146" s="1958" t="s">
        <v>2129</v>
      </c>
      <c r="BF146" s="3937" t="s">
        <v>2129</v>
      </c>
      <c r="BG146" s="3938" t="s">
        <v>2129</v>
      </c>
      <c r="BH146" s="3938" t="s">
        <v>2129</v>
      </c>
      <c r="BI146" s="3937" t="s">
        <v>2129</v>
      </c>
      <c r="BJ146" s="3938" t="s">
        <v>2129</v>
      </c>
      <c r="BK146" s="3939" t="s">
        <v>2129</v>
      </c>
      <c r="BL146" s="3938" t="s">
        <v>2129</v>
      </c>
      <c r="BM146" s="3938" t="s">
        <v>2129</v>
      </c>
      <c r="BN146" s="3939" t="s">
        <v>2129</v>
      </c>
      <c r="BO146" s="3937" t="s">
        <v>2129</v>
      </c>
      <c r="BP146" s="3988" t="s">
        <v>2129</v>
      </c>
      <c r="BQ146" s="3988"/>
      <c r="BR146" s="3988"/>
      <c r="BS146" s="2694"/>
    </row>
    <row r="147" spans="1:71" ht="13">
      <c r="A147">
        <v>281</v>
      </c>
      <c r="B147" s="3979" t="s">
        <v>2871</v>
      </c>
      <c r="C147" s="2694" t="s">
        <v>2129</v>
      </c>
      <c r="D147" s="2694" t="s">
        <v>2129</v>
      </c>
      <c r="E147" s="2694" t="s">
        <v>2129</v>
      </c>
      <c r="F147" s="3974" t="s">
        <v>2129</v>
      </c>
      <c r="G147" s="3975" t="s">
        <v>2129</v>
      </c>
      <c r="H147" s="3976" t="s">
        <v>2129</v>
      </c>
      <c r="I147" s="2694">
        <v>24</v>
      </c>
      <c r="J147" s="3992" t="s">
        <v>4875</v>
      </c>
      <c r="K147" s="2694">
        <v>7</v>
      </c>
      <c r="L147" s="2694" t="b">
        <v>1</v>
      </c>
      <c r="M147" s="2694" t="s">
        <v>2129</v>
      </c>
      <c r="N147" s="2477">
        <v>2714123</v>
      </c>
      <c r="O147" s="2477">
        <v>0</v>
      </c>
      <c r="P147" s="2477">
        <v>0</v>
      </c>
      <c r="Q147" s="2477">
        <v>0</v>
      </c>
      <c r="R147" s="2477">
        <v>0</v>
      </c>
      <c r="S147" s="2695">
        <v>2985535.3000000003</v>
      </c>
      <c r="T147" s="2477">
        <v>966709</v>
      </c>
      <c r="U147" s="2477" t="b">
        <v>1</v>
      </c>
      <c r="V147" s="2477">
        <v>138101.28571428571</v>
      </c>
      <c r="W147" s="2477">
        <v>-1126129</v>
      </c>
      <c r="X147" s="3937">
        <v>5730264</v>
      </c>
      <c r="Y147" s="3938">
        <v>6856393</v>
      </c>
      <c r="Z147" s="3938" t="b">
        <v>1</v>
      </c>
      <c r="AA147" s="3938">
        <v>29810.404347826086</v>
      </c>
      <c r="AB147" s="3938">
        <v>18996</v>
      </c>
      <c r="AC147" s="3938">
        <v>32643</v>
      </c>
      <c r="AD147" s="3938" t="s">
        <v>2129</v>
      </c>
      <c r="AE147" s="3938">
        <v>2000</v>
      </c>
      <c r="AF147" s="3938"/>
      <c r="AG147">
        <v>377</v>
      </c>
      <c r="AH147" s="3965">
        <v>230</v>
      </c>
      <c r="AI147" s="3965" t="b">
        <v>1</v>
      </c>
      <c r="AJ147">
        <v>410</v>
      </c>
      <c r="AK147" s="3966">
        <v>16723</v>
      </c>
      <c r="AL147" s="2814" t="s">
        <v>2129</v>
      </c>
      <c r="AM147" s="2814" t="s">
        <v>2129</v>
      </c>
      <c r="AN147" s="2814" t="s">
        <v>2129</v>
      </c>
      <c r="AO147" s="3953" t="s">
        <v>2129</v>
      </c>
      <c r="AP147" s="2814" t="s">
        <v>2129</v>
      </c>
      <c r="AQ147" s="3954" t="s">
        <v>2129</v>
      </c>
      <c r="AR147" t="s">
        <v>2129</v>
      </c>
      <c r="AS147" t="s">
        <v>2129</v>
      </c>
      <c r="AU147" t="s">
        <v>2129</v>
      </c>
      <c r="AW147" t="s">
        <v>2129</v>
      </c>
      <c r="AX147" t="s">
        <v>2129</v>
      </c>
      <c r="AY147" t="s">
        <v>2129</v>
      </c>
      <c r="AZ147" s="3946" t="s">
        <v>2129</v>
      </c>
      <c r="BA147" t="s">
        <v>2129</v>
      </c>
      <c r="BB147" s="3947" t="s">
        <v>2129</v>
      </c>
      <c r="BC147" s="1958" t="s">
        <v>2129</v>
      </c>
      <c r="BD147" s="1958" t="s">
        <v>2129</v>
      </c>
      <c r="BE147" s="1958" t="s">
        <v>2129</v>
      </c>
      <c r="BF147" s="3937" t="s">
        <v>2129</v>
      </c>
      <c r="BG147" s="3938" t="s">
        <v>2129</v>
      </c>
      <c r="BH147" s="3938" t="s">
        <v>2129</v>
      </c>
      <c r="BI147" s="3937" t="s">
        <v>2129</v>
      </c>
      <c r="BJ147" s="3938" t="s">
        <v>2129</v>
      </c>
      <c r="BK147" s="3939" t="s">
        <v>2129</v>
      </c>
      <c r="BL147" s="3938" t="s">
        <v>2129</v>
      </c>
      <c r="BM147" s="3938" t="s">
        <v>2129</v>
      </c>
      <c r="BN147" s="3939" t="s">
        <v>2129</v>
      </c>
      <c r="BO147" s="3937" t="s">
        <v>2129</v>
      </c>
      <c r="BP147" s="3988" t="s">
        <v>2129</v>
      </c>
      <c r="BQ147" s="3988"/>
      <c r="BR147" s="3988"/>
      <c r="BS147" s="2694"/>
    </row>
    <row r="148" spans="1:71" ht="13">
      <c r="A148">
        <v>282</v>
      </c>
      <c r="B148" s="3979" t="s">
        <v>3362</v>
      </c>
      <c r="C148" s="2694" t="s">
        <v>3791</v>
      </c>
      <c r="D148" s="2694" t="s">
        <v>2129</v>
      </c>
      <c r="E148" s="2694" t="s">
        <v>2129</v>
      </c>
      <c r="F148" s="3974" t="s">
        <v>3791</v>
      </c>
      <c r="G148" s="3975" t="s">
        <v>2129</v>
      </c>
      <c r="H148" s="3976" t="s">
        <v>2129</v>
      </c>
      <c r="I148" s="2694">
        <v>8</v>
      </c>
      <c r="J148" s="3992" t="s">
        <v>3570</v>
      </c>
      <c r="K148" s="2694">
        <v>2</v>
      </c>
      <c r="L148" s="2694" t="b">
        <v>0</v>
      </c>
      <c r="M148" s="2694" t="s">
        <v>2129</v>
      </c>
      <c r="N148" s="2477">
        <v>1599143</v>
      </c>
      <c r="O148" s="2477">
        <v>7060</v>
      </c>
      <c r="P148" s="2477">
        <v>0</v>
      </c>
      <c r="Q148" s="2477">
        <v>0</v>
      </c>
      <c r="R148" s="2477">
        <v>0</v>
      </c>
      <c r="S148" s="2695">
        <v>1766823.3</v>
      </c>
      <c r="T148" s="2477">
        <v>1259333</v>
      </c>
      <c r="U148" s="2477" t="b">
        <v>0</v>
      </c>
      <c r="V148" s="2477">
        <v>629666.5</v>
      </c>
      <c r="W148" s="2477">
        <v>475948</v>
      </c>
      <c r="X148" s="3937">
        <v>1879952</v>
      </c>
      <c r="Y148" s="3938">
        <v>1404004</v>
      </c>
      <c r="Z148" s="3938" t="b">
        <v>1</v>
      </c>
      <c r="AA148" s="3938">
        <v>23400.066666666666</v>
      </c>
      <c r="AB148" s="3938"/>
      <c r="AC148" s="3938"/>
      <c r="AD148" s="3938">
        <v>1223.3196828439491</v>
      </c>
      <c r="AE148" s="3938"/>
      <c r="AF148" s="3938"/>
      <c r="AG148">
        <v>91</v>
      </c>
      <c r="AH148" s="3965">
        <v>60</v>
      </c>
      <c r="AI148" s="3965" t="b">
        <v>1</v>
      </c>
      <c r="AJ148">
        <v>72</v>
      </c>
      <c r="AK148" s="3966">
        <v>19501</v>
      </c>
      <c r="AL148" s="2814">
        <v>998</v>
      </c>
      <c r="AM148" s="2814" t="s">
        <v>2129</v>
      </c>
      <c r="AN148" s="2814" t="s">
        <v>2129</v>
      </c>
      <c r="AO148" s="3953">
        <v>277</v>
      </c>
      <c r="AP148" s="2814" t="s">
        <v>2129</v>
      </c>
      <c r="AQ148" s="3954" t="s">
        <v>2129</v>
      </c>
      <c r="AR148">
        <v>938</v>
      </c>
      <c r="AS148" t="s">
        <v>2129</v>
      </c>
      <c r="AU148">
        <v>217</v>
      </c>
      <c r="AW148">
        <v>19</v>
      </c>
      <c r="AX148" t="s">
        <v>2129</v>
      </c>
      <c r="AY148" t="s">
        <v>2129</v>
      </c>
      <c r="AZ148" s="3946">
        <v>12</v>
      </c>
      <c r="BA148" t="s">
        <v>2129</v>
      </c>
      <c r="BB148" s="3947" t="s">
        <v>2129</v>
      </c>
      <c r="BC148" s="1958">
        <v>19461998</v>
      </c>
      <c r="BD148" s="1958" t="s">
        <v>2129</v>
      </c>
      <c r="BE148" s="1958" t="s">
        <v>2129</v>
      </c>
      <c r="BF148" s="3937">
        <v>5401777</v>
      </c>
      <c r="BG148" s="3938" t="s">
        <v>2129</v>
      </c>
      <c r="BH148" s="3938" t="s">
        <v>2129</v>
      </c>
      <c r="BI148" s="3937">
        <v>23927327</v>
      </c>
      <c r="BJ148" s="3938" t="s">
        <v>2129</v>
      </c>
      <c r="BK148" s="3939" t="s">
        <v>2129</v>
      </c>
      <c r="BL148" s="3938">
        <v>15111996</v>
      </c>
      <c r="BM148" s="3938" t="s">
        <v>2129</v>
      </c>
      <c r="BN148" s="3939" t="s">
        <v>2129</v>
      </c>
      <c r="BO148" s="3937">
        <v>12225500</v>
      </c>
      <c r="BP148" s="3988">
        <v>3393250</v>
      </c>
      <c r="BQ148" s="3988"/>
      <c r="BR148" s="3988"/>
      <c r="BS148" s="2694"/>
    </row>
    <row r="149" spans="1:71" ht="13">
      <c r="A149">
        <v>283</v>
      </c>
      <c r="B149" s="3979" t="s">
        <v>3363</v>
      </c>
      <c r="C149" s="2694" t="s">
        <v>3791</v>
      </c>
      <c r="D149" s="2694" t="s">
        <v>2129</v>
      </c>
      <c r="E149" s="2694" t="s">
        <v>2129</v>
      </c>
      <c r="F149" s="3974" t="s">
        <v>3791</v>
      </c>
      <c r="G149" s="3975" t="s">
        <v>2129</v>
      </c>
      <c r="H149" s="3976" t="s">
        <v>2129</v>
      </c>
      <c r="I149" s="2694">
        <v>0</v>
      </c>
      <c r="J149" s="3992" t="s">
        <v>2854</v>
      </c>
      <c r="K149" s="2694">
        <v>0</v>
      </c>
      <c r="L149" s="2694" t="b">
        <v>0</v>
      </c>
      <c r="M149" s="2694" t="s">
        <v>2129</v>
      </c>
      <c r="N149" s="2477">
        <v>0</v>
      </c>
      <c r="O149" s="2477">
        <v>0</v>
      </c>
      <c r="P149" s="2477">
        <v>0</v>
      </c>
      <c r="Q149" s="2477">
        <v>0</v>
      </c>
      <c r="R149" s="2477">
        <v>0</v>
      </c>
      <c r="S149" s="2695">
        <v>0</v>
      </c>
      <c r="T149" s="2477">
        <v>0</v>
      </c>
      <c r="U149" s="2477" t="b">
        <v>1</v>
      </c>
      <c r="V149" s="2477" t="s">
        <v>2129</v>
      </c>
      <c r="W149" s="2477">
        <v>-59373</v>
      </c>
      <c r="X149" s="3937">
        <v>801927</v>
      </c>
      <c r="Y149" s="3938">
        <v>861300</v>
      </c>
      <c r="Z149" s="3938" t="b">
        <v>1</v>
      </c>
      <c r="AA149" s="3938">
        <v>14355</v>
      </c>
      <c r="AB149" s="3938"/>
      <c r="AC149" s="3938"/>
      <c r="AD149" s="3938">
        <v>520.10869565217399</v>
      </c>
      <c r="AE149" s="3938"/>
      <c r="AF149" s="3938"/>
      <c r="AG149">
        <v>135</v>
      </c>
      <c r="AH149" s="3965">
        <v>60</v>
      </c>
      <c r="AI149" s="3965" t="b">
        <v>1</v>
      </c>
      <c r="AJ149">
        <v>60</v>
      </c>
      <c r="AK149" s="3966">
        <v>14355</v>
      </c>
      <c r="AL149" s="2814">
        <v>1440</v>
      </c>
      <c r="AM149" s="2814" t="s">
        <v>2129</v>
      </c>
      <c r="AN149" s="2814" t="s">
        <v>2129</v>
      </c>
      <c r="AO149" s="3953">
        <v>420</v>
      </c>
      <c r="AP149" s="2814" t="s">
        <v>2129</v>
      </c>
      <c r="AQ149" s="3954" t="s">
        <v>2129</v>
      </c>
      <c r="AR149">
        <v>1380</v>
      </c>
      <c r="AS149" t="s">
        <v>2129</v>
      </c>
      <c r="AU149">
        <v>360</v>
      </c>
      <c r="AW149">
        <v>23</v>
      </c>
      <c r="AX149" t="s">
        <v>2129</v>
      </c>
      <c r="AY149" t="s">
        <v>2129</v>
      </c>
      <c r="AZ149" s="3946">
        <v>13</v>
      </c>
      <c r="BA149" t="s">
        <v>2129</v>
      </c>
      <c r="BB149" s="3947" t="s">
        <v>2129</v>
      </c>
      <c r="BC149" s="1958">
        <v>20671200</v>
      </c>
      <c r="BD149" s="1958" t="s">
        <v>2129</v>
      </c>
      <c r="BE149" s="1958" t="s">
        <v>2129</v>
      </c>
      <c r="BF149" s="3937">
        <v>6029100</v>
      </c>
      <c r="BG149" s="3938" t="s">
        <v>2129</v>
      </c>
      <c r="BH149" s="3938" t="s">
        <v>2129</v>
      </c>
      <c r="BI149" s="3937" t="s">
        <v>2129</v>
      </c>
      <c r="BJ149" s="3938" t="s">
        <v>2129</v>
      </c>
      <c r="BK149" s="3939" t="s">
        <v>2129</v>
      </c>
      <c r="BL149" s="3938" t="s">
        <v>2129</v>
      </c>
      <c r="BM149" s="3938" t="s">
        <v>2129</v>
      </c>
      <c r="BN149" s="3939" t="s">
        <v>2129</v>
      </c>
      <c r="BO149" s="3937">
        <v>17640000</v>
      </c>
      <c r="BP149" s="3988">
        <v>5145000</v>
      </c>
      <c r="BQ149" s="3988"/>
      <c r="BR149" s="3988"/>
      <c r="BS149" s="2694"/>
    </row>
    <row r="150" spans="1:71" ht="13">
      <c r="A150">
        <v>287</v>
      </c>
      <c r="B150" s="3979" t="s">
        <v>3364</v>
      </c>
      <c r="C150" s="2694" t="s">
        <v>2129</v>
      </c>
      <c r="D150" s="2694" t="s">
        <v>2129</v>
      </c>
      <c r="E150" s="2694" t="s">
        <v>2129</v>
      </c>
      <c r="F150" s="3974" t="s">
        <v>2129</v>
      </c>
      <c r="G150" s="3975" t="s">
        <v>2129</v>
      </c>
      <c r="H150" s="3976" t="s">
        <v>2129</v>
      </c>
      <c r="I150" s="2694">
        <v>0</v>
      </c>
      <c r="J150" s="3992" t="s">
        <v>2854</v>
      </c>
      <c r="K150" s="2694">
        <v>0</v>
      </c>
      <c r="L150" s="2694" t="b">
        <v>0</v>
      </c>
      <c r="M150" s="2694" t="s">
        <v>2129</v>
      </c>
      <c r="N150" s="2477">
        <v>0</v>
      </c>
      <c r="O150" s="2477">
        <v>0</v>
      </c>
      <c r="P150" s="2477">
        <v>0</v>
      </c>
      <c r="Q150" s="2477">
        <v>0</v>
      </c>
      <c r="R150" s="2477">
        <v>0</v>
      </c>
      <c r="S150" s="2695">
        <v>0</v>
      </c>
      <c r="T150" s="2477">
        <v>0</v>
      </c>
      <c r="U150" s="2477" t="b">
        <v>1</v>
      </c>
      <c r="V150" s="2477" t="s">
        <v>2129</v>
      </c>
      <c r="W150" s="2477">
        <v>-652251</v>
      </c>
      <c r="X150" s="3937">
        <v>2337588</v>
      </c>
      <c r="Y150" s="3938">
        <v>2989839</v>
      </c>
      <c r="Z150" s="3938" t="b">
        <v>1</v>
      </c>
      <c r="AA150" s="3938">
        <v>22650.295454545456</v>
      </c>
      <c r="AB150" s="3938"/>
      <c r="AC150" s="3938"/>
      <c r="AD150" s="3938" t="s">
        <v>2129</v>
      </c>
      <c r="AE150" s="3938"/>
      <c r="AF150" s="3938"/>
      <c r="AG150">
        <v>133</v>
      </c>
      <c r="AH150" s="3965">
        <v>132</v>
      </c>
      <c r="AI150" s="3965" t="b">
        <v>1</v>
      </c>
      <c r="AJ150">
        <v>153</v>
      </c>
      <c r="AK150" s="3966">
        <v>19542</v>
      </c>
      <c r="AL150" s="2814" t="s">
        <v>2129</v>
      </c>
      <c r="AM150" s="2814" t="s">
        <v>2129</v>
      </c>
      <c r="AN150" s="2814" t="s">
        <v>2129</v>
      </c>
      <c r="AO150" s="3953" t="s">
        <v>2129</v>
      </c>
      <c r="AP150" s="2814" t="s">
        <v>2129</v>
      </c>
      <c r="AQ150" s="3954" t="s">
        <v>2129</v>
      </c>
      <c r="AR150" t="s">
        <v>2129</v>
      </c>
      <c r="AS150" t="s">
        <v>2129</v>
      </c>
      <c r="AU150" t="s">
        <v>2129</v>
      </c>
      <c r="AW150" t="s">
        <v>2129</v>
      </c>
      <c r="AX150" t="s">
        <v>2129</v>
      </c>
      <c r="AY150" t="s">
        <v>2129</v>
      </c>
      <c r="AZ150" s="3946" t="s">
        <v>2129</v>
      </c>
      <c r="BA150" t="s">
        <v>2129</v>
      </c>
      <c r="BB150" s="3947" t="s">
        <v>2129</v>
      </c>
      <c r="BC150" s="1958" t="s">
        <v>2129</v>
      </c>
      <c r="BD150" s="1958" t="s">
        <v>2129</v>
      </c>
      <c r="BE150" s="1958" t="s">
        <v>2129</v>
      </c>
      <c r="BF150" s="3937" t="s">
        <v>2129</v>
      </c>
      <c r="BG150" s="3938" t="s">
        <v>2129</v>
      </c>
      <c r="BH150" s="3938" t="s">
        <v>2129</v>
      </c>
      <c r="BI150" s="3937" t="s">
        <v>2129</v>
      </c>
      <c r="BJ150" s="3938" t="s">
        <v>2129</v>
      </c>
      <c r="BK150" s="3939" t="s">
        <v>2129</v>
      </c>
      <c r="BL150" s="3938" t="s">
        <v>2129</v>
      </c>
      <c r="BM150" s="3938" t="s">
        <v>2129</v>
      </c>
      <c r="BN150" s="3939" t="s">
        <v>2129</v>
      </c>
      <c r="BO150" s="3937" t="s">
        <v>2129</v>
      </c>
      <c r="BP150" s="3988" t="s">
        <v>2129</v>
      </c>
      <c r="BQ150" s="3988"/>
      <c r="BR150" s="3988"/>
      <c r="BS150" s="2694"/>
    </row>
    <row r="151" spans="1:71" ht="13">
      <c r="A151">
        <v>288</v>
      </c>
      <c r="B151" s="3979" t="s">
        <v>3365</v>
      </c>
      <c r="C151" s="2694" t="s">
        <v>2129</v>
      </c>
      <c r="D151" s="2694" t="s">
        <v>2129</v>
      </c>
      <c r="E151" s="2694" t="s">
        <v>2129</v>
      </c>
      <c r="F151" s="3974" t="s">
        <v>2129</v>
      </c>
      <c r="G151" s="3975" t="s">
        <v>2129</v>
      </c>
      <c r="H151" s="3976" t="s">
        <v>2129</v>
      </c>
      <c r="I151" s="2694">
        <v>0</v>
      </c>
      <c r="J151" s="3992" t="s">
        <v>2854</v>
      </c>
      <c r="K151" s="2694">
        <v>0</v>
      </c>
      <c r="L151" s="2694" t="b">
        <v>0</v>
      </c>
      <c r="M151" s="2694" t="s">
        <v>2129</v>
      </c>
      <c r="N151" s="2477">
        <v>0</v>
      </c>
      <c r="O151" s="2477">
        <v>0</v>
      </c>
      <c r="P151" s="2477">
        <v>0</v>
      </c>
      <c r="Q151" s="2477">
        <v>0</v>
      </c>
      <c r="R151" s="2477">
        <v>0</v>
      </c>
      <c r="S151" s="2695">
        <v>0</v>
      </c>
      <c r="T151" s="2477">
        <v>0</v>
      </c>
      <c r="U151" s="2477" t="b">
        <v>1</v>
      </c>
      <c r="V151" s="2477" t="s">
        <v>2129</v>
      </c>
      <c r="W151" s="2477">
        <v>0</v>
      </c>
      <c r="X151" s="3937">
        <v>1273454</v>
      </c>
      <c r="Y151" s="3938">
        <v>1273454</v>
      </c>
      <c r="Z151" s="3938" t="b">
        <v>1</v>
      </c>
      <c r="AA151" s="3938">
        <v>10106.777777777777</v>
      </c>
      <c r="AB151" s="3938"/>
      <c r="AC151" s="3938"/>
      <c r="AD151" s="3938" t="s">
        <v>2129</v>
      </c>
      <c r="AE151" s="3938"/>
      <c r="AF151" s="3938"/>
      <c r="AG151">
        <v>196</v>
      </c>
      <c r="AH151" s="3965">
        <v>126</v>
      </c>
      <c r="AI151" s="3965" t="b">
        <v>1</v>
      </c>
      <c r="AJ151">
        <v>126</v>
      </c>
      <c r="AK151" s="3966">
        <v>10107</v>
      </c>
      <c r="AL151" s="2814" t="s">
        <v>2129</v>
      </c>
      <c r="AM151" s="2814" t="s">
        <v>2129</v>
      </c>
      <c r="AN151" s="2814" t="s">
        <v>2129</v>
      </c>
      <c r="AO151" s="3953" t="s">
        <v>2129</v>
      </c>
      <c r="AP151" s="2814" t="s">
        <v>2129</v>
      </c>
      <c r="AQ151" s="3954" t="s">
        <v>2129</v>
      </c>
      <c r="AR151" t="s">
        <v>2129</v>
      </c>
      <c r="AS151" t="s">
        <v>2129</v>
      </c>
      <c r="AU151" t="s">
        <v>2129</v>
      </c>
      <c r="AW151" t="s">
        <v>2129</v>
      </c>
      <c r="AX151" t="s">
        <v>2129</v>
      </c>
      <c r="AY151" t="s">
        <v>2129</v>
      </c>
      <c r="AZ151" s="3946" t="s">
        <v>2129</v>
      </c>
      <c r="BA151" t="s">
        <v>2129</v>
      </c>
      <c r="BB151" s="3947" t="s">
        <v>2129</v>
      </c>
      <c r="BC151" s="1958" t="s">
        <v>2129</v>
      </c>
      <c r="BD151" s="1958" t="s">
        <v>2129</v>
      </c>
      <c r="BE151" s="1958" t="s">
        <v>2129</v>
      </c>
      <c r="BF151" s="3937" t="s">
        <v>2129</v>
      </c>
      <c r="BG151" s="3938" t="s">
        <v>2129</v>
      </c>
      <c r="BH151" s="3938" t="s">
        <v>2129</v>
      </c>
      <c r="BI151" s="3937" t="s">
        <v>2129</v>
      </c>
      <c r="BJ151" s="3938" t="s">
        <v>2129</v>
      </c>
      <c r="BK151" s="3939" t="s">
        <v>2129</v>
      </c>
      <c r="BL151" s="3938" t="s">
        <v>2129</v>
      </c>
      <c r="BM151" s="3938" t="s">
        <v>2129</v>
      </c>
      <c r="BN151" s="3939" t="s">
        <v>2129</v>
      </c>
      <c r="BO151" s="3937" t="s">
        <v>2129</v>
      </c>
      <c r="BP151" s="3988" t="s">
        <v>2129</v>
      </c>
      <c r="BQ151" s="3988"/>
      <c r="BR151" s="3988"/>
      <c r="BS151" s="2694"/>
    </row>
    <row r="152" spans="1:71" ht="13">
      <c r="A152">
        <v>290</v>
      </c>
      <c r="B152" s="3979" t="s">
        <v>3366</v>
      </c>
      <c r="C152" s="2694" t="s">
        <v>2129</v>
      </c>
      <c r="D152" s="2694" t="s">
        <v>2129</v>
      </c>
      <c r="E152" s="2694" t="s">
        <v>2129</v>
      </c>
      <c r="F152" s="3974" t="s">
        <v>2129</v>
      </c>
      <c r="G152" s="3975" t="s">
        <v>2129</v>
      </c>
      <c r="H152" s="3976" t="s">
        <v>2129</v>
      </c>
      <c r="I152" s="2694">
        <v>0</v>
      </c>
      <c r="J152" s="3992" t="s">
        <v>2854</v>
      </c>
      <c r="K152" s="2694">
        <v>0</v>
      </c>
      <c r="L152" s="2694" t="b">
        <v>0</v>
      </c>
      <c r="M152" s="2694" t="s">
        <v>2129</v>
      </c>
      <c r="N152" s="2477">
        <v>0</v>
      </c>
      <c r="O152" s="2477">
        <v>0</v>
      </c>
      <c r="P152" s="2477">
        <v>0</v>
      </c>
      <c r="Q152" s="2477">
        <v>0</v>
      </c>
      <c r="R152" s="2477">
        <v>0</v>
      </c>
      <c r="S152" s="2695">
        <v>0</v>
      </c>
      <c r="T152" s="2477">
        <v>0</v>
      </c>
      <c r="U152" s="2477" t="b">
        <v>1</v>
      </c>
      <c r="V152" s="2477" t="s">
        <v>2129</v>
      </c>
      <c r="W152" s="2477">
        <v>0</v>
      </c>
      <c r="X152" s="3937">
        <v>543543</v>
      </c>
      <c r="Y152" s="3938">
        <v>543543</v>
      </c>
      <c r="Z152" s="3938" t="b">
        <v>1</v>
      </c>
      <c r="AA152" s="3938">
        <v>7764.9</v>
      </c>
      <c r="AB152" s="3938"/>
      <c r="AC152" s="3938"/>
      <c r="AD152" s="3938" t="s">
        <v>2129</v>
      </c>
      <c r="AE152" s="3938"/>
      <c r="AF152" s="3938"/>
      <c r="AG152">
        <v>171</v>
      </c>
      <c r="AH152" s="3965">
        <v>70</v>
      </c>
      <c r="AI152" s="3965" t="b">
        <v>1</v>
      </c>
      <c r="AJ152">
        <v>70</v>
      </c>
      <c r="AK152" s="3966">
        <v>7765</v>
      </c>
      <c r="AL152" s="2814" t="s">
        <v>2129</v>
      </c>
      <c r="AM152" s="2814" t="s">
        <v>2129</v>
      </c>
      <c r="AN152" s="2814" t="s">
        <v>2129</v>
      </c>
      <c r="AO152" s="3953" t="s">
        <v>2129</v>
      </c>
      <c r="AP152" s="2814" t="s">
        <v>2129</v>
      </c>
      <c r="AQ152" s="3954" t="s">
        <v>2129</v>
      </c>
      <c r="AR152" t="s">
        <v>2129</v>
      </c>
      <c r="AS152" t="s">
        <v>2129</v>
      </c>
      <c r="AU152" t="s">
        <v>2129</v>
      </c>
      <c r="AW152" t="s">
        <v>2129</v>
      </c>
      <c r="AX152" t="s">
        <v>2129</v>
      </c>
      <c r="AY152" t="s">
        <v>2129</v>
      </c>
      <c r="AZ152" s="3946" t="s">
        <v>2129</v>
      </c>
      <c r="BA152" t="s">
        <v>2129</v>
      </c>
      <c r="BB152" s="3947" t="s">
        <v>2129</v>
      </c>
      <c r="BC152" s="1958" t="s">
        <v>2129</v>
      </c>
      <c r="BD152" s="1958" t="s">
        <v>2129</v>
      </c>
      <c r="BE152" s="1958" t="s">
        <v>2129</v>
      </c>
      <c r="BF152" s="3937" t="s">
        <v>2129</v>
      </c>
      <c r="BG152" s="3938" t="s">
        <v>2129</v>
      </c>
      <c r="BH152" s="3938" t="s">
        <v>2129</v>
      </c>
      <c r="BI152" s="3937" t="s">
        <v>2129</v>
      </c>
      <c r="BJ152" s="3938" t="s">
        <v>2129</v>
      </c>
      <c r="BK152" s="3939" t="s">
        <v>2129</v>
      </c>
      <c r="BL152" s="3938" t="s">
        <v>2129</v>
      </c>
      <c r="BM152" s="3938" t="s">
        <v>2129</v>
      </c>
      <c r="BN152" s="3939" t="s">
        <v>2129</v>
      </c>
      <c r="BO152" s="3937" t="s">
        <v>2129</v>
      </c>
      <c r="BP152" s="3988" t="s">
        <v>2129</v>
      </c>
      <c r="BQ152" s="3988"/>
      <c r="BR152" s="3988"/>
      <c r="BS152" s="2694"/>
    </row>
    <row r="153" spans="1:71" ht="13">
      <c r="A153">
        <v>292</v>
      </c>
      <c r="B153" s="3979" t="s">
        <v>3367</v>
      </c>
      <c r="C153" s="2694" t="s">
        <v>2129</v>
      </c>
      <c r="D153" s="2694" t="s">
        <v>2129</v>
      </c>
      <c r="E153" s="2694" t="s">
        <v>2129</v>
      </c>
      <c r="F153" s="3974" t="s">
        <v>2129</v>
      </c>
      <c r="G153" s="3975" t="s">
        <v>2129</v>
      </c>
      <c r="H153" s="3976" t="s">
        <v>2129</v>
      </c>
      <c r="I153" s="2694">
        <v>0</v>
      </c>
      <c r="J153" s="3992">
        <v>0</v>
      </c>
      <c r="K153" s="2694">
        <v>0</v>
      </c>
      <c r="L153" s="2694" t="b">
        <v>0</v>
      </c>
      <c r="M153" s="2694" t="s">
        <v>2129</v>
      </c>
      <c r="N153" s="2477">
        <v>0</v>
      </c>
      <c r="O153" s="2477">
        <v>0</v>
      </c>
      <c r="P153" s="2477">
        <v>0</v>
      </c>
      <c r="Q153" s="2477">
        <v>0</v>
      </c>
      <c r="R153" s="2477">
        <v>0</v>
      </c>
      <c r="S153" s="2695">
        <v>0</v>
      </c>
      <c r="T153" s="2477">
        <v>0</v>
      </c>
      <c r="U153" s="2477" t="b">
        <v>1</v>
      </c>
      <c r="V153" s="2477" t="s">
        <v>2129</v>
      </c>
      <c r="W153" s="2477">
        <v>0</v>
      </c>
      <c r="X153" s="3937">
        <v>964616</v>
      </c>
      <c r="Y153" s="3938">
        <v>964616</v>
      </c>
      <c r="Z153" s="3938" t="b">
        <v>0</v>
      </c>
      <c r="AA153" s="3938">
        <v>8536.424778761062</v>
      </c>
      <c r="AB153" s="3938"/>
      <c r="AC153" s="3938"/>
      <c r="AD153" s="3938" t="s">
        <v>2129</v>
      </c>
      <c r="AE153" s="3938"/>
      <c r="AF153" s="3938"/>
      <c r="AG153">
        <v>113</v>
      </c>
      <c r="AH153" s="3965">
        <v>113</v>
      </c>
      <c r="AI153" s="3965" t="b">
        <v>0</v>
      </c>
      <c r="AJ153">
        <v>113</v>
      </c>
      <c r="AK153" s="3966">
        <v>8537</v>
      </c>
      <c r="AL153" s="2814" t="s">
        <v>2129</v>
      </c>
      <c r="AM153" s="2814" t="s">
        <v>2129</v>
      </c>
      <c r="AN153" s="2814" t="s">
        <v>2129</v>
      </c>
      <c r="AO153" s="3953" t="s">
        <v>2129</v>
      </c>
      <c r="AP153" s="2814" t="s">
        <v>2129</v>
      </c>
      <c r="AQ153" s="3954" t="s">
        <v>2129</v>
      </c>
      <c r="AR153" t="s">
        <v>2129</v>
      </c>
      <c r="AS153" t="s">
        <v>2129</v>
      </c>
      <c r="AU153" t="s">
        <v>2129</v>
      </c>
      <c r="AW153" t="s">
        <v>2129</v>
      </c>
      <c r="AX153" t="s">
        <v>2129</v>
      </c>
      <c r="AY153" t="s">
        <v>2129</v>
      </c>
      <c r="AZ153" s="3946" t="s">
        <v>2129</v>
      </c>
      <c r="BA153" t="s">
        <v>2129</v>
      </c>
      <c r="BB153" s="3947" t="s">
        <v>2129</v>
      </c>
      <c r="BC153" s="1958" t="s">
        <v>2129</v>
      </c>
      <c r="BD153" s="1958" t="s">
        <v>2129</v>
      </c>
      <c r="BE153" s="1958" t="s">
        <v>2129</v>
      </c>
      <c r="BF153" s="3937" t="s">
        <v>2129</v>
      </c>
      <c r="BG153" s="3938" t="s">
        <v>2129</v>
      </c>
      <c r="BH153" s="3938" t="s">
        <v>2129</v>
      </c>
      <c r="BI153" s="3937" t="s">
        <v>2129</v>
      </c>
      <c r="BJ153" s="3938" t="s">
        <v>2129</v>
      </c>
      <c r="BK153" s="3939" t="s">
        <v>2129</v>
      </c>
      <c r="BL153" s="3938" t="s">
        <v>2129</v>
      </c>
      <c r="BM153" s="3938" t="s">
        <v>2129</v>
      </c>
      <c r="BN153" s="3939" t="s">
        <v>2129</v>
      </c>
      <c r="BO153" s="3937" t="s">
        <v>2129</v>
      </c>
      <c r="BP153" s="3988" t="s">
        <v>2129</v>
      </c>
      <c r="BQ153" s="3988"/>
      <c r="BR153" s="3988"/>
      <c r="BS153" s="2694"/>
    </row>
    <row r="154" spans="1:71" ht="13">
      <c r="A154">
        <v>293</v>
      </c>
      <c r="B154" s="3979" t="s">
        <v>3368</v>
      </c>
      <c r="C154" s="2694" t="s">
        <v>2129</v>
      </c>
      <c r="D154" s="2694" t="s">
        <v>2129</v>
      </c>
      <c r="E154" s="2694" t="s">
        <v>2129</v>
      </c>
      <c r="F154" s="3974" t="s">
        <v>2129</v>
      </c>
      <c r="G154" s="3975" t="s">
        <v>2129</v>
      </c>
      <c r="H154" s="3976" t="s">
        <v>2129</v>
      </c>
      <c r="I154" s="2694">
        <v>0</v>
      </c>
      <c r="J154" s="3992">
        <v>0</v>
      </c>
      <c r="K154" s="2694">
        <v>0</v>
      </c>
      <c r="L154" s="2694" t="b">
        <v>0</v>
      </c>
      <c r="M154" s="2694" t="s">
        <v>2129</v>
      </c>
      <c r="N154" s="2477">
        <v>0</v>
      </c>
      <c r="O154" s="2477">
        <v>0</v>
      </c>
      <c r="P154" s="2477">
        <v>0</v>
      </c>
      <c r="Q154" s="2477">
        <v>0</v>
      </c>
      <c r="R154" s="2477">
        <v>0</v>
      </c>
      <c r="S154" s="2695">
        <v>0</v>
      </c>
      <c r="T154" s="2477">
        <v>0</v>
      </c>
      <c r="U154" s="2477" t="b">
        <v>1</v>
      </c>
      <c r="V154" s="2477" t="s">
        <v>2129</v>
      </c>
      <c r="W154" s="2477">
        <v>0</v>
      </c>
      <c r="X154" s="3937">
        <v>2337584</v>
      </c>
      <c r="Y154" s="3938">
        <v>2337584</v>
      </c>
      <c r="Z154" s="3938" t="b">
        <v>1</v>
      </c>
      <c r="AA154" s="3938">
        <v>24867.91489361702</v>
      </c>
      <c r="AB154" s="3938"/>
      <c r="AC154" s="3938"/>
      <c r="AD154" s="3938" t="s">
        <v>2129</v>
      </c>
      <c r="AE154" s="3938"/>
      <c r="AF154" s="3938"/>
      <c r="AG154">
        <v>113</v>
      </c>
      <c r="AH154" s="3965">
        <v>94</v>
      </c>
      <c r="AI154" s="3965" t="b">
        <v>1</v>
      </c>
      <c r="AJ154">
        <v>94</v>
      </c>
      <c r="AK154" s="3966">
        <v>24868</v>
      </c>
      <c r="AL154" s="2814" t="s">
        <v>2129</v>
      </c>
      <c r="AM154" s="2814" t="s">
        <v>2129</v>
      </c>
      <c r="AN154" s="2814" t="s">
        <v>2129</v>
      </c>
      <c r="AO154" s="3953" t="s">
        <v>2129</v>
      </c>
      <c r="AP154" s="2814" t="s">
        <v>2129</v>
      </c>
      <c r="AQ154" s="3954" t="s">
        <v>2129</v>
      </c>
      <c r="AR154" t="s">
        <v>2129</v>
      </c>
      <c r="AS154" t="s">
        <v>2129</v>
      </c>
      <c r="AU154" t="s">
        <v>2129</v>
      </c>
      <c r="AW154" t="s">
        <v>2129</v>
      </c>
      <c r="AX154" t="s">
        <v>2129</v>
      </c>
      <c r="AY154" t="s">
        <v>2129</v>
      </c>
      <c r="AZ154" s="3946" t="s">
        <v>2129</v>
      </c>
      <c r="BA154" t="s">
        <v>2129</v>
      </c>
      <c r="BB154" s="3947" t="s">
        <v>2129</v>
      </c>
      <c r="BC154" s="1958" t="s">
        <v>2129</v>
      </c>
      <c r="BD154" s="1958" t="s">
        <v>2129</v>
      </c>
      <c r="BE154" s="1958" t="s">
        <v>2129</v>
      </c>
      <c r="BF154" s="3937" t="s">
        <v>2129</v>
      </c>
      <c r="BG154" s="3938" t="s">
        <v>2129</v>
      </c>
      <c r="BH154" s="3938" t="s">
        <v>2129</v>
      </c>
      <c r="BI154" s="3937" t="s">
        <v>2129</v>
      </c>
      <c r="BJ154" s="3938" t="s">
        <v>2129</v>
      </c>
      <c r="BK154" s="3939" t="s">
        <v>2129</v>
      </c>
      <c r="BL154" s="3938" t="s">
        <v>2129</v>
      </c>
      <c r="BM154" s="3938" t="s">
        <v>2129</v>
      </c>
      <c r="BN154" s="3939" t="s">
        <v>2129</v>
      </c>
      <c r="BO154" s="3937" t="s">
        <v>2129</v>
      </c>
      <c r="BP154" s="3988" t="s">
        <v>2129</v>
      </c>
      <c r="BQ154" s="3988"/>
      <c r="BR154" s="3988"/>
      <c r="BS154" s="2694"/>
    </row>
    <row r="155" spans="1:71" ht="13">
      <c r="A155">
        <v>295</v>
      </c>
      <c r="B155" s="3979" t="s">
        <v>3369</v>
      </c>
      <c r="C155" s="2694" t="s">
        <v>2129</v>
      </c>
      <c r="D155" s="2694" t="s">
        <v>2129</v>
      </c>
      <c r="E155" s="2694" t="s">
        <v>2129</v>
      </c>
      <c r="F155" s="3974" t="s">
        <v>2129</v>
      </c>
      <c r="G155" s="3975" t="s">
        <v>2129</v>
      </c>
      <c r="H155" s="3976" t="s">
        <v>2129</v>
      </c>
      <c r="I155" s="2694">
        <v>1</v>
      </c>
      <c r="J155" s="3992" t="s">
        <v>3592</v>
      </c>
      <c r="K155" s="2694">
        <v>1</v>
      </c>
      <c r="L155" s="2694" t="b">
        <v>0</v>
      </c>
      <c r="M155" s="2694" t="s">
        <v>2129</v>
      </c>
      <c r="N155" s="2477">
        <v>117648</v>
      </c>
      <c r="O155" s="2477">
        <v>0</v>
      </c>
      <c r="P155" s="2477">
        <v>0</v>
      </c>
      <c r="Q155" s="2477">
        <v>0</v>
      </c>
      <c r="R155" s="2477">
        <v>0</v>
      </c>
      <c r="S155" s="2695">
        <v>129412.80000000002</v>
      </c>
      <c r="T155" s="2477">
        <v>129412</v>
      </c>
      <c r="U155" s="2477" t="b">
        <v>0</v>
      </c>
      <c r="V155" s="2477">
        <v>129412</v>
      </c>
      <c r="W155" s="2477">
        <v>0</v>
      </c>
      <c r="X155" s="3937">
        <v>656159</v>
      </c>
      <c r="Y155" s="3938">
        <v>656159</v>
      </c>
      <c r="Z155" s="3938" t="b">
        <v>1</v>
      </c>
      <c r="AA155" s="3938">
        <v>12380.358490566037</v>
      </c>
      <c r="AB155" s="3938"/>
      <c r="AC155" s="3938"/>
      <c r="AD155" s="3938" t="s">
        <v>2129</v>
      </c>
      <c r="AE155" s="3938"/>
      <c r="AF155" s="3938"/>
      <c r="AG155">
        <v>53</v>
      </c>
      <c r="AH155" s="3965">
        <v>53</v>
      </c>
      <c r="AI155" s="3965" t="b">
        <v>1</v>
      </c>
      <c r="AJ155">
        <v>59</v>
      </c>
      <c r="AK155" s="3966">
        <v>11122</v>
      </c>
      <c r="AL155" s="2814" t="s">
        <v>2129</v>
      </c>
      <c r="AM155" s="2814" t="s">
        <v>2129</v>
      </c>
      <c r="AN155" s="2814" t="s">
        <v>2129</v>
      </c>
      <c r="AO155" s="3953" t="s">
        <v>2129</v>
      </c>
      <c r="AP155" s="2814" t="s">
        <v>2129</v>
      </c>
      <c r="AQ155" s="3954" t="s">
        <v>2129</v>
      </c>
      <c r="AR155" t="s">
        <v>2129</v>
      </c>
      <c r="AS155" t="s">
        <v>2129</v>
      </c>
      <c r="AU155" t="s">
        <v>2129</v>
      </c>
      <c r="AW155" t="s">
        <v>2129</v>
      </c>
      <c r="AX155" t="s">
        <v>2129</v>
      </c>
      <c r="AY155" t="s">
        <v>2129</v>
      </c>
      <c r="AZ155" s="3946" t="s">
        <v>2129</v>
      </c>
      <c r="BA155" t="s">
        <v>2129</v>
      </c>
      <c r="BB155" s="3947" t="s">
        <v>2129</v>
      </c>
      <c r="BC155" s="1958" t="s">
        <v>2129</v>
      </c>
      <c r="BD155" s="1958" t="s">
        <v>2129</v>
      </c>
      <c r="BE155" s="1958" t="s">
        <v>2129</v>
      </c>
      <c r="BF155" s="3937" t="s">
        <v>2129</v>
      </c>
      <c r="BG155" s="3938" t="s">
        <v>2129</v>
      </c>
      <c r="BH155" s="3938" t="s">
        <v>2129</v>
      </c>
      <c r="BI155" s="3937" t="s">
        <v>2129</v>
      </c>
      <c r="BJ155" s="3938" t="s">
        <v>2129</v>
      </c>
      <c r="BK155" s="3939" t="s">
        <v>2129</v>
      </c>
      <c r="BL155" s="3938" t="s">
        <v>2129</v>
      </c>
      <c r="BM155" s="3938" t="s">
        <v>2129</v>
      </c>
      <c r="BN155" s="3939" t="s">
        <v>2129</v>
      </c>
      <c r="BO155" s="3937" t="s">
        <v>2129</v>
      </c>
      <c r="BP155" s="3988" t="s">
        <v>2129</v>
      </c>
      <c r="BQ155" s="3988"/>
      <c r="BR155" s="3988"/>
      <c r="BS155" s="2694"/>
    </row>
    <row r="156" spans="1:71" ht="13">
      <c r="A156">
        <v>298</v>
      </c>
      <c r="B156" s="3979" t="s">
        <v>2844</v>
      </c>
      <c r="C156" s="2694" t="s">
        <v>2129</v>
      </c>
      <c r="D156" s="2694" t="s">
        <v>2129</v>
      </c>
      <c r="E156" s="2694" t="s">
        <v>2129</v>
      </c>
      <c r="F156" s="3974" t="s">
        <v>2129</v>
      </c>
      <c r="G156" s="3975" t="s">
        <v>2129</v>
      </c>
      <c r="H156" s="3976" t="s">
        <v>2129</v>
      </c>
      <c r="I156" s="2694">
        <v>1</v>
      </c>
      <c r="J156" s="3992">
        <v>0</v>
      </c>
      <c r="K156" s="2694">
        <v>1</v>
      </c>
      <c r="L156" s="2694" t="b">
        <v>1</v>
      </c>
      <c r="M156" s="2694" t="s">
        <v>2129</v>
      </c>
      <c r="N156" s="2477">
        <v>117648</v>
      </c>
      <c r="O156" s="2477">
        <v>0</v>
      </c>
      <c r="P156" s="2477">
        <v>0</v>
      </c>
      <c r="Q156" s="2477">
        <v>0</v>
      </c>
      <c r="R156" s="2477">
        <v>0</v>
      </c>
      <c r="S156" s="2695">
        <v>129412.80000000002</v>
      </c>
      <c r="T156" s="2477">
        <v>129412</v>
      </c>
      <c r="U156" s="2477" t="b">
        <v>1</v>
      </c>
      <c r="V156" s="2477">
        <v>129412</v>
      </c>
      <c r="W156" s="2477">
        <v>1210002</v>
      </c>
      <c r="X156" s="3937">
        <v>13219654</v>
      </c>
      <c r="Y156" s="3938">
        <v>12009652</v>
      </c>
      <c r="Z156" s="3938" t="b">
        <v>1</v>
      </c>
      <c r="AA156" s="3938">
        <v>45838.366412213742</v>
      </c>
      <c r="AB156" s="3938">
        <v>35295</v>
      </c>
      <c r="AC156" s="3938">
        <v>64706</v>
      </c>
      <c r="AD156" s="3938" t="s">
        <v>2129</v>
      </c>
      <c r="AE156" s="3938">
        <v>2550</v>
      </c>
      <c r="AF156" s="3938"/>
      <c r="AG156">
        <v>319</v>
      </c>
      <c r="AH156" s="3965">
        <v>262</v>
      </c>
      <c r="AI156" s="3965" t="b">
        <v>1</v>
      </c>
      <c r="AJ156">
        <v>340</v>
      </c>
      <c r="AK156" s="3966">
        <v>35323</v>
      </c>
      <c r="AL156" s="2814" t="s">
        <v>2129</v>
      </c>
      <c r="AM156" s="2814" t="s">
        <v>2129</v>
      </c>
      <c r="AN156" s="2814" t="s">
        <v>2129</v>
      </c>
      <c r="AO156" s="3953" t="s">
        <v>2129</v>
      </c>
      <c r="AP156" s="2814" t="s">
        <v>2129</v>
      </c>
      <c r="AQ156" s="3954" t="s">
        <v>2129</v>
      </c>
      <c r="AR156" t="s">
        <v>2129</v>
      </c>
      <c r="AS156" t="s">
        <v>2129</v>
      </c>
      <c r="AU156" t="s">
        <v>2129</v>
      </c>
      <c r="AW156" t="s">
        <v>2129</v>
      </c>
      <c r="AX156" t="s">
        <v>2129</v>
      </c>
      <c r="AY156" t="s">
        <v>2129</v>
      </c>
      <c r="AZ156" s="3946" t="s">
        <v>2129</v>
      </c>
      <c r="BA156" t="s">
        <v>2129</v>
      </c>
      <c r="BB156" s="3947" t="s">
        <v>2129</v>
      </c>
      <c r="BC156" s="1958" t="s">
        <v>2129</v>
      </c>
      <c r="BD156" s="1958" t="s">
        <v>2129</v>
      </c>
      <c r="BE156" s="1958" t="s">
        <v>2129</v>
      </c>
      <c r="BF156" s="3937" t="s">
        <v>2129</v>
      </c>
      <c r="BG156" s="3938" t="s">
        <v>2129</v>
      </c>
      <c r="BH156" s="3938" t="s">
        <v>2129</v>
      </c>
      <c r="BI156" s="3937" t="s">
        <v>2129</v>
      </c>
      <c r="BJ156" s="3938" t="s">
        <v>2129</v>
      </c>
      <c r="BK156" s="3939" t="s">
        <v>2129</v>
      </c>
      <c r="BL156" s="3938" t="s">
        <v>2129</v>
      </c>
      <c r="BM156" s="3938" t="s">
        <v>2129</v>
      </c>
      <c r="BN156" s="3939" t="s">
        <v>2129</v>
      </c>
      <c r="BO156" s="3937" t="s">
        <v>2129</v>
      </c>
      <c r="BP156" s="3988" t="s">
        <v>2129</v>
      </c>
      <c r="BQ156" s="3988"/>
      <c r="BR156" s="3988"/>
      <c r="BS156" s="2694"/>
    </row>
    <row r="157" spans="1:71" ht="13">
      <c r="A157">
        <v>299</v>
      </c>
      <c r="B157" s="3979" t="s">
        <v>2838</v>
      </c>
      <c r="C157" s="2694" t="s">
        <v>2129</v>
      </c>
      <c r="D157" s="2694" t="s">
        <v>2129</v>
      </c>
      <c r="E157" s="2694" t="s">
        <v>2129</v>
      </c>
      <c r="F157" s="3974" t="s">
        <v>2129</v>
      </c>
      <c r="G157" s="3975" t="s">
        <v>2129</v>
      </c>
      <c r="H157" s="3976" t="s">
        <v>2129</v>
      </c>
      <c r="I157" s="2694">
        <v>0</v>
      </c>
      <c r="J157" s="3992">
        <v>0</v>
      </c>
      <c r="K157" s="2694">
        <v>0</v>
      </c>
      <c r="L157" s="2694" t="b">
        <v>1</v>
      </c>
      <c r="M157" s="2694" t="s">
        <v>2129</v>
      </c>
      <c r="N157" s="2477">
        <v>0</v>
      </c>
      <c r="O157" s="2477">
        <v>0</v>
      </c>
      <c r="P157" s="2477">
        <v>0</v>
      </c>
      <c r="Q157" s="2477">
        <v>0</v>
      </c>
      <c r="R157" s="2477">
        <v>0</v>
      </c>
      <c r="S157" s="2695">
        <v>0</v>
      </c>
      <c r="T157" s="2477">
        <v>0</v>
      </c>
      <c r="U157" s="2477" t="b">
        <v>1</v>
      </c>
      <c r="V157" s="2477" t="s">
        <v>2129</v>
      </c>
      <c r="W157" s="2477">
        <v>0</v>
      </c>
      <c r="X157" s="3937">
        <v>15815654</v>
      </c>
      <c r="Y157" s="3938">
        <v>15815654</v>
      </c>
      <c r="Z157" s="3938" t="b">
        <v>1</v>
      </c>
      <c r="AA157" s="3938">
        <v>12298.331259720062</v>
      </c>
      <c r="AB157" s="3938">
        <v>9765</v>
      </c>
      <c r="AC157" s="3938">
        <v>13883</v>
      </c>
      <c r="AD157" s="3938" t="s">
        <v>2129</v>
      </c>
      <c r="AE157" s="3938">
        <v>0</v>
      </c>
      <c r="AF157" s="3938"/>
      <c r="AG157">
        <v>1286</v>
      </c>
      <c r="AH157" s="3965">
        <v>1286</v>
      </c>
      <c r="AI157" s="3965" t="b">
        <v>1</v>
      </c>
      <c r="AJ157">
        <v>1287</v>
      </c>
      <c r="AK157" s="3966">
        <v>12289</v>
      </c>
      <c r="AL157" s="2814" t="s">
        <v>2129</v>
      </c>
      <c r="AM157" s="2814" t="s">
        <v>2129</v>
      </c>
      <c r="AN157" s="2814" t="s">
        <v>2129</v>
      </c>
      <c r="AO157" s="3953" t="s">
        <v>2129</v>
      </c>
      <c r="AP157" s="2814" t="s">
        <v>2129</v>
      </c>
      <c r="AQ157" s="3954" t="s">
        <v>2129</v>
      </c>
      <c r="AR157" t="s">
        <v>2129</v>
      </c>
      <c r="AS157" t="s">
        <v>2129</v>
      </c>
      <c r="AU157" t="s">
        <v>2129</v>
      </c>
      <c r="AW157" t="s">
        <v>2129</v>
      </c>
      <c r="AX157" t="s">
        <v>2129</v>
      </c>
      <c r="AY157" t="s">
        <v>2129</v>
      </c>
      <c r="AZ157" s="3946" t="s">
        <v>2129</v>
      </c>
      <c r="BA157" t="s">
        <v>2129</v>
      </c>
      <c r="BB157" s="3947" t="s">
        <v>2129</v>
      </c>
      <c r="BC157" s="1958" t="s">
        <v>2129</v>
      </c>
      <c r="BD157" s="1958" t="s">
        <v>2129</v>
      </c>
      <c r="BE157" s="1958" t="s">
        <v>2129</v>
      </c>
      <c r="BF157" s="3937" t="s">
        <v>2129</v>
      </c>
      <c r="BG157" s="3938" t="s">
        <v>2129</v>
      </c>
      <c r="BH157" s="3938" t="s">
        <v>2129</v>
      </c>
      <c r="BI157" s="3937" t="s">
        <v>2129</v>
      </c>
      <c r="BJ157" s="3938" t="s">
        <v>2129</v>
      </c>
      <c r="BK157" s="3939" t="s">
        <v>2129</v>
      </c>
      <c r="BL157" s="3938" t="s">
        <v>2129</v>
      </c>
      <c r="BM157" s="3938" t="s">
        <v>2129</v>
      </c>
      <c r="BN157" s="3939" t="s">
        <v>2129</v>
      </c>
      <c r="BO157" s="3937" t="s">
        <v>2129</v>
      </c>
      <c r="BP157" s="3988" t="s">
        <v>2129</v>
      </c>
      <c r="BQ157" s="3988"/>
      <c r="BR157" s="3988"/>
      <c r="BS157" s="2694"/>
    </row>
    <row r="158" spans="1:71" ht="13">
      <c r="A158">
        <v>300</v>
      </c>
      <c r="B158" s="3979" t="s">
        <v>2840</v>
      </c>
      <c r="C158" s="2694" t="s">
        <v>2129</v>
      </c>
      <c r="D158" s="2694" t="s">
        <v>2129</v>
      </c>
      <c r="E158" s="2694" t="s">
        <v>2129</v>
      </c>
      <c r="F158" s="3974" t="s">
        <v>2129</v>
      </c>
      <c r="G158" s="3975" t="s">
        <v>2129</v>
      </c>
      <c r="H158" s="3976" t="s">
        <v>2129</v>
      </c>
      <c r="I158" s="2694">
        <v>1</v>
      </c>
      <c r="J158" s="3992" t="s">
        <v>3592</v>
      </c>
      <c r="K158" s="2694">
        <v>1</v>
      </c>
      <c r="L158" s="2694" t="b">
        <v>1</v>
      </c>
      <c r="M158" s="2694" t="s">
        <v>2129</v>
      </c>
      <c r="N158" s="2477">
        <v>58824</v>
      </c>
      <c r="O158" s="2477">
        <v>0</v>
      </c>
      <c r="P158" s="2477">
        <v>0</v>
      </c>
      <c r="Q158" s="2477">
        <v>0</v>
      </c>
      <c r="R158" s="2477">
        <v>0</v>
      </c>
      <c r="S158" s="2695">
        <v>64706.400000000009</v>
      </c>
      <c r="T158" s="2477">
        <v>64706</v>
      </c>
      <c r="U158" s="2477" t="b">
        <v>1</v>
      </c>
      <c r="V158" s="2477">
        <v>64706</v>
      </c>
      <c r="W158" s="2477">
        <v>0</v>
      </c>
      <c r="X158" s="3937">
        <v>12168856</v>
      </c>
      <c r="Y158" s="3938">
        <v>12168856</v>
      </c>
      <c r="Z158" s="3938" t="b">
        <v>1</v>
      </c>
      <c r="AA158" s="3938">
        <v>12316.655870445344</v>
      </c>
      <c r="AB158" s="3938">
        <v>9765</v>
      </c>
      <c r="AC158" s="3938">
        <v>15648</v>
      </c>
      <c r="AD158" s="3938" t="s">
        <v>2129</v>
      </c>
      <c r="AE158" s="3938">
        <v>0</v>
      </c>
      <c r="AF158" s="3938"/>
      <c r="AG158">
        <v>988</v>
      </c>
      <c r="AH158" s="3965">
        <v>988</v>
      </c>
      <c r="AI158" s="3965" t="b">
        <v>1</v>
      </c>
      <c r="AJ158">
        <v>1014</v>
      </c>
      <c r="AK158" s="3966">
        <v>12001</v>
      </c>
      <c r="AL158" s="2814" t="s">
        <v>2129</v>
      </c>
      <c r="AM158" s="2814" t="s">
        <v>2129</v>
      </c>
      <c r="AN158" s="2814" t="s">
        <v>2129</v>
      </c>
      <c r="AO158" s="3953" t="s">
        <v>2129</v>
      </c>
      <c r="AP158" s="2814" t="s">
        <v>2129</v>
      </c>
      <c r="AQ158" s="3954" t="s">
        <v>2129</v>
      </c>
      <c r="AR158" t="s">
        <v>2129</v>
      </c>
      <c r="AS158" t="s">
        <v>2129</v>
      </c>
      <c r="AU158" t="s">
        <v>2129</v>
      </c>
      <c r="AW158" t="s">
        <v>2129</v>
      </c>
      <c r="AX158" t="s">
        <v>2129</v>
      </c>
      <c r="AY158" t="s">
        <v>2129</v>
      </c>
      <c r="AZ158" s="3946" t="s">
        <v>2129</v>
      </c>
      <c r="BA158" t="s">
        <v>2129</v>
      </c>
      <c r="BB158" s="3947" t="s">
        <v>2129</v>
      </c>
      <c r="BC158" s="1958" t="s">
        <v>2129</v>
      </c>
      <c r="BD158" s="1958" t="s">
        <v>2129</v>
      </c>
      <c r="BE158" s="1958" t="s">
        <v>2129</v>
      </c>
      <c r="BF158" s="3937" t="s">
        <v>2129</v>
      </c>
      <c r="BG158" s="3938" t="s">
        <v>2129</v>
      </c>
      <c r="BH158" s="3938" t="s">
        <v>2129</v>
      </c>
      <c r="BI158" s="3937" t="s">
        <v>2129</v>
      </c>
      <c r="BJ158" s="3938" t="s">
        <v>2129</v>
      </c>
      <c r="BK158" s="3939" t="s">
        <v>2129</v>
      </c>
      <c r="BL158" s="3938" t="s">
        <v>2129</v>
      </c>
      <c r="BM158" s="3938" t="s">
        <v>2129</v>
      </c>
      <c r="BN158" s="3939" t="s">
        <v>2129</v>
      </c>
      <c r="BO158" s="3937" t="s">
        <v>2129</v>
      </c>
      <c r="BP158" s="3988" t="s">
        <v>2129</v>
      </c>
      <c r="BQ158" s="3988"/>
      <c r="BR158" s="3988"/>
      <c r="BS158" s="2694"/>
    </row>
    <row r="159" spans="1:71" ht="13">
      <c r="A159">
        <v>301</v>
      </c>
      <c r="B159" s="3980" t="s">
        <v>3370</v>
      </c>
      <c r="C159" s="2694" t="s">
        <v>3791</v>
      </c>
      <c r="D159" s="2694" t="s">
        <v>2129</v>
      </c>
      <c r="E159" s="2694" t="s">
        <v>2129</v>
      </c>
      <c r="F159" s="3974" t="s">
        <v>2129</v>
      </c>
      <c r="G159" s="3975" t="s">
        <v>2129</v>
      </c>
      <c r="H159" s="3976" t="s">
        <v>2129</v>
      </c>
      <c r="I159" s="2694"/>
      <c r="J159" s="3992">
        <v>0</v>
      </c>
      <c r="K159" s="2694">
        <v>0</v>
      </c>
      <c r="L159" s="2694" t="b">
        <v>1</v>
      </c>
      <c r="M159" s="2694" t="s">
        <v>2129</v>
      </c>
      <c r="N159" s="2477">
        <v>58824</v>
      </c>
      <c r="O159" s="2477">
        <v>0</v>
      </c>
      <c r="P159" s="2477">
        <v>0</v>
      </c>
      <c r="Q159" s="2477">
        <v>0</v>
      </c>
      <c r="R159" s="2477">
        <v>0</v>
      </c>
      <c r="S159" s="2695">
        <v>64706.400000000009</v>
      </c>
      <c r="T159" s="2477">
        <v>0</v>
      </c>
      <c r="U159" s="2477" t="b">
        <v>1</v>
      </c>
      <c r="V159" s="2477" t="s">
        <v>2129</v>
      </c>
      <c r="W159" s="2477">
        <v>-1630607</v>
      </c>
      <c r="X159" s="3937"/>
      <c r="Y159" s="3938">
        <v>1630607</v>
      </c>
      <c r="Z159" s="3938" t="b">
        <v>1</v>
      </c>
      <c r="AA159" s="3938">
        <v>36235.711111111108</v>
      </c>
      <c r="AB159" s="3938">
        <v>28236</v>
      </c>
      <c r="AC159" s="3938">
        <v>59295</v>
      </c>
      <c r="AD159" s="3938">
        <v>1423.6135847738783</v>
      </c>
      <c r="AE159" s="3938">
        <v>0</v>
      </c>
      <c r="AF159" s="3938"/>
      <c r="AG159">
        <v>347</v>
      </c>
      <c r="AH159" s="3965">
        <v>45</v>
      </c>
      <c r="AI159" s="3965" t="b">
        <v>1</v>
      </c>
      <c r="AJ159">
        <v>70</v>
      </c>
      <c r="AK159" s="3966">
        <v>23295</v>
      </c>
      <c r="AL159" s="2814">
        <v>996</v>
      </c>
      <c r="AM159" s="2814" t="s">
        <v>2129</v>
      </c>
      <c r="AN159" s="2814" t="s">
        <v>2129</v>
      </c>
      <c r="AO159" s="3953" t="s">
        <v>2129</v>
      </c>
      <c r="AP159" s="2814" t="s">
        <v>2129</v>
      </c>
      <c r="AQ159" s="3954" t="s">
        <v>2129</v>
      </c>
      <c r="AR159">
        <v>951</v>
      </c>
      <c r="AS159" t="s">
        <v>2129</v>
      </c>
      <c r="AU159" t="s">
        <v>2129</v>
      </c>
      <c r="AW159">
        <v>15</v>
      </c>
      <c r="AX159" t="s">
        <v>2129</v>
      </c>
      <c r="AY159" t="s">
        <v>2129</v>
      </c>
      <c r="AZ159" s="3946" t="s">
        <v>2129</v>
      </c>
      <c r="BA159" t="s">
        <v>2129</v>
      </c>
      <c r="BB159" s="3947" t="s">
        <v>2129</v>
      </c>
      <c r="BC159" s="1958">
        <v>23201820</v>
      </c>
      <c r="BD159" s="1958" t="s">
        <v>2129</v>
      </c>
      <c r="BE159" s="1958" t="s">
        <v>2129</v>
      </c>
      <c r="BF159" s="3937" t="s">
        <v>2129</v>
      </c>
      <c r="BG159" s="3938" t="s">
        <v>2129</v>
      </c>
      <c r="BH159" s="3938" t="s">
        <v>2129</v>
      </c>
      <c r="BI159" s="3937" t="s">
        <v>2129</v>
      </c>
      <c r="BJ159" s="3938" t="s">
        <v>2129</v>
      </c>
      <c r="BK159" s="3939" t="s">
        <v>2129</v>
      </c>
      <c r="BL159" s="3938" t="s">
        <v>2129</v>
      </c>
      <c r="BM159" s="3938" t="s">
        <v>2129</v>
      </c>
      <c r="BN159" s="3939" t="s">
        <v>2129</v>
      </c>
      <c r="BO159" s="3937">
        <v>12201000</v>
      </c>
      <c r="BP159" s="3988" t="s">
        <v>2129</v>
      </c>
      <c r="BQ159" s="3988">
        <v>199200</v>
      </c>
      <c r="BR159" s="3988"/>
      <c r="BS159" s="2694"/>
    </row>
    <row r="160" spans="1:71" ht="13">
      <c r="A160">
        <v>302</v>
      </c>
      <c r="B160" s="3979" t="s">
        <v>3371</v>
      </c>
      <c r="C160" s="2694" t="s">
        <v>2129</v>
      </c>
      <c r="D160" s="2694" t="s">
        <v>2129</v>
      </c>
      <c r="E160" s="2694" t="s">
        <v>2129</v>
      </c>
      <c r="F160" s="3974" t="s">
        <v>2129</v>
      </c>
      <c r="G160" s="3975" t="s">
        <v>2129</v>
      </c>
      <c r="H160" s="3976" t="s">
        <v>2129</v>
      </c>
      <c r="I160" s="2694">
        <v>0</v>
      </c>
      <c r="J160" s="3992">
        <v>0</v>
      </c>
      <c r="K160" s="2694">
        <v>0</v>
      </c>
      <c r="L160" s="2694" t="b">
        <v>1</v>
      </c>
      <c r="M160" s="2694" t="s">
        <v>2129</v>
      </c>
      <c r="N160" s="2477">
        <v>0</v>
      </c>
      <c r="O160" s="2477">
        <v>0</v>
      </c>
      <c r="P160" s="2477">
        <v>0</v>
      </c>
      <c r="Q160" s="2477">
        <v>0</v>
      </c>
      <c r="R160" s="2477">
        <v>0</v>
      </c>
      <c r="S160" s="2695">
        <v>0</v>
      </c>
      <c r="T160" s="2477">
        <v>0</v>
      </c>
      <c r="U160" s="2477" t="b">
        <v>1</v>
      </c>
      <c r="V160" s="2477" t="s">
        <v>2129</v>
      </c>
      <c r="W160" s="2477">
        <v>0</v>
      </c>
      <c r="X160" s="3937">
        <v>14753310</v>
      </c>
      <c r="Y160" s="3938">
        <v>14753310</v>
      </c>
      <c r="Z160" s="3938" t="b">
        <v>1</v>
      </c>
      <c r="AA160" s="3938">
        <v>38824.5</v>
      </c>
      <c r="AB160" s="3938"/>
      <c r="AC160" s="3938"/>
      <c r="AD160" s="3938" t="s">
        <v>2129</v>
      </c>
      <c r="AE160" s="3938"/>
      <c r="AF160" s="3938"/>
      <c r="AG160">
        <v>381</v>
      </c>
      <c r="AH160" s="3965">
        <v>380</v>
      </c>
      <c r="AI160" s="3965" t="b">
        <v>1</v>
      </c>
      <c r="AJ160">
        <v>547</v>
      </c>
      <c r="AK160" s="3966">
        <v>26972</v>
      </c>
      <c r="AL160" s="2814" t="s">
        <v>2129</v>
      </c>
      <c r="AM160" s="2814" t="s">
        <v>2129</v>
      </c>
      <c r="AN160" s="2814" t="s">
        <v>2129</v>
      </c>
      <c r="AO160" s="3953" t="s">
        <v>2129</v>
      </c>
      <c r="AP160" s="2814" t="s">
        <v>2129</v>
      </c>
      <c r="AQ160" s="3954" t="s">
        <v>2129</v>
      </c>
      <c r="AR160" t="s">
        <v>2129</v>
      </c>
      <c r="AS160" t="s">
        <v>2129</v>
      </c>
      <c r="AU160" t="s">
        <v>2129</v>
      </c>
      <c r="AW160" t="s">
        <v>2129</v>
      </c>
      <c r="AX160" t="s">
        <v>2129</v>
      </c>
      <c r="AY160" t="s">
        <v>2129</v>
      </c>
      <c r="AZ160" s="3946" t="s">
        <v>2129</v>
      </c>
      <c r="BA160" t="s">
        <v>2129</v>
      </c>
      <c r="BB160" s="3947" t="s">
        <v>2129</v>
      </c>
      <c r="BC160" s="1958" t="s">
        <v>2129</v>
      </c>
      <c r="BD160" s="1958" t="s">
        <v>2129</v>
      </c>
      <c r="BE160" s="1958" t="s">
        <v>2129</v>
      </c>
      <c r="BF160" s="3937" t="s">
        <v>2129</v>
      </c>
      <c r="BG160" s="3938" t="s">
        <v>2129</v>
      </c>
      <c r="BH160" s="3938" t="s">
        <v>2129</v>
      </c>
      <c r="BI160" s="3937" t="s">
        <v>2129</v>
      </c>
      <c r="BJ160" s="3938" t="s">
        <v>2129</v>
      </c>
      <c r="BK160" s="3939" t="s">
        <v>2129</v>
      </c>
      <c r="BL160" s="3938" t="s">
        <v>2129</v>
      </c>
      <c r="BM160" s="3938" t="s">
        <v>2129</v>
      </c>
      <c r="BN160" s="3939" t="s">
        <v>2129</v>
      </c>
      <c r="BO160" s="3937" t="s">
        <v>2129</v>
      </c>
      <c r="BP160" s="3988" t="s">
        <v>2129</v>
      </c>
      <c r="BQ160" s="3988"/>
      <c r="BR160" s="3988"/>
      <c r="BS160" s="2694"/>
    </row>
    <row r="161" spans="1:71" ht="13">
      <c r="A161">
        <v>303</v>
      </c>
      <c r="B161" s="3979" t="s">
        <v>3372</v>
      </c>
      <c r="C161" s="2694" t="s">
        <v>2129</v>
      </c>
      <c r="D161" s="2694" t="s">
        <v>2129</v>
      </c>
      <c r="E161" s="2694" t="s">
        <v>2129</v>
      </c>
      <c r="F161" s="3974" t="s">
        <v>2129</v>
      </c>
      <c r="G161" s="3975" t="s">
        <v>2129</v>
      </c>
      <c r="H161" s="3976" t="s">
        <v>2129</v>
      </c>
      <c r="I161" s="2694">
        <v>0</v>
      </c>
      <c r="J161" s="3992">
        <v>0</v>
      </c>
      <c r="K161" s="2694">
        <v>0</v>
      </c>
      <c r="L161" s="2694" t="b">
        <v>1</v>
      </c>
      <c r="M161" s="2694" t="s">
        <v>2129</v>
      </c>
      <c r="N161" s="2477">
        <v>0</v>
      </c>
      <c r="O161" s="2477">
        <v>0</v>
      </c>
      <c r="P161" s="2477">
        <v>0</v>
      </c>
      <c r="Q161" s="2477">
        <v>0</v>
      </c>
      <c r="R161" s="2477">
        <v>0</v>
      </c>
      <c r="S161" s="2695">
        <v>0</v>
      </c>
      <c r="T161" s="2477">
        <v>0</v>
      </c>
      <c r="U161" s="2477" t="b">
        <v>1</v>
      </c>
      <c r="V161" s="2477" t="s">
        <v>2129</v>
      </c>
      <c r="W161" s="2477">
        <v>0</v>
      </c>
      <c r="X161" s="3937">
        <v>932892</v>
      </c>
      <c r="Y161" s="3938">
        <v>932892</v>
      </c>
      <c r="Z161" s="3938" t="b">
        <v>1</v>
      </c>
      <c r="AA161" s="3938">
        <v>24549.78947368421</v>
      </c>
      <c r="AB161" s="3938"/>
      <c r="AC161" s="3938"/>
      <c r="AD161" s="3938" t="s">
        <v>2129</v>
      </c>
      <c r="AE161" s="3938"/>
      <c r="AF161" s="3938"/>
      <c r="AG161">
        <v>38</v>
      </c>
      <c r="AH161" s="3965">
        <v>38</v>
      </c>
      <c r="AI161" s="3965" t="b">
        <v>1</v>
      </c>
      <c r="AJ161">
        <v>76</v>
      </c>
      <c r="AK161" s="3966">
        <v>12275</v>
      </c>
      <c r="AL161" s="2814" t="s">
        <v>2129</v>
      </c>
      <c r="AM161" s="2814" t="s">
        <v>2129</v>
      </c>
      <c r="AN161" s="2814" t="s">
        <v>2129</v>
      </c>
      <c r="AO161" s="3953" t="s">
        <v>2129</v>
      </c>
      <c r="AP161" s="2814" t="s">
        <v>2129</v>
      </c>
      <c r="AQ161" s="3954" t="s">
        <v>2129</v>
      </c>
      <c r="AR161" t="s">
        <v>2129</v>
      </c>
      <c r="AS161" t="s">
        <v>2129</v>
      </c>
      <c r="AU161" t="s">
        <v>2129</v>
      </c>
      <c r="AW161" t="s">
        <v>2129</v>
      </c>
      <c r="AX161" t="s">
        <v>2129</v>
      </c>
      <c r="AY161" t="s">
        <v>2129</v>
      </c>
      <c r="AZ161" s="3946" t="s">
        <v>2129</v>
      </c>
      <c r="BA161" t="s">
        <v>2129</v>
      </c>
      <c r="BB161" s="3947" t="s">
        <v>2129</v>
      </c>
      <c r="BC161" s="1958" t="s">
        <v>2129</v>
      </c>
      <c r="BD161" s="1958" t="s">
        <v>2129</v>
      </c>
      <c r="BE161" s="1958" t="s">
        <v>2129</v>
      </c>
      <c r="BF161" s="3937" t="s">
        <v>2129</v>
      </c>
      <c r="BG161" s="3938" t="s">
        <v>2129</v>
      </c>
      <c r="BH161" s="3938" t="s">
        <v>2129</v>
      </c>
      <c r="BI161" s="3937" t="s">
        <v>2129</v>
      </c>
      <c r="BJ161" s="3938" t="s">
        <v>2129</v>
      </c>
      <c r="BK161" s="3939" t="s">
        <v>2129</v>
      </c>
      <c r="BL161" s="3938" t="s">
        <v>2129</v>
      </c>
      <c r="BM161" s="3938" t="s">
        <v>2129</v>
      </c>
      <c r="BN161" s="3939" t="s">
        <v>2129</v>
      </c>
      <c r="BO161" s="3937" t="s">
        <v>2129</v>
      </c>
      <c r="BP161" s="3988" t="s">
        <v>2129</v>
      </c>
      <c r="BQ161" s="3988"/>
      <c r="BR161" s="3988"/>
      <c r="BS161" s="2694"/>
    </row>
    <row r="162" spans="1:71" ht="13">
      <c r="A162">
        <v>304</v>
      </c>
      <c r="B162" s="3979" t="s">
        <v>2845</v>
      </c>
      <c r="C162" s="2694" t="s">
        <v>2129</v>
      </c>
      <c r="D162" s="2694" t="s">
        <v>2129</v>
      </c>
      <c r="E162" s="2694" t="s">
        <v>2129</v>
      </c>
      <c r="F162" s="3974" t="s">
        <v>2129</v>
      </c>
      <c r="G162" s="3975" t="s">
        <v>2129</v>
      </c>
      <c r="H162" s="3976" t="s">
        <v>2129</v>
      </c>
      <c r="I162" s="2694">
        <v>3</v>
      </c>
      <c r="J162" s="3992" t="s">
        <v>3520</v>
      </c>
      <c r="K162" s="2694">
        <v>3</v>
      </c>
      <c r="L162" s="2694" t="b">
        <v>1</v>
      </c>
      <c r="M162" s="2694" t="s">
        <v>2129</v>
      </c>
      <c r="N162" s="2477">
        <v>158825</v>
      </c>
      <c r="O162" s="2477">
        <v>0</v>
      </c>
      <c r="P162" s="2477">
        <v>0</v>
      </c>
      <c r="Q162" s="2477">
        <v>0</v>
      </c>
      <c r="R162" s="2477">
        <v>0</v>
      </c>
      <c r="S162" s="2695">
        <v>174707.5</v>
      </c>
      <c r="T162" s="2477">
        <v>174707</v>
      </c>
      <c r="U162" s="2477" t="b">
        <v>1</v>
      </c>
      <c r="V162" s="2477">
        <v>58235.666666666664</v>
      </c>
      <c r="W162" s="2477">
        <v>0</v>
      </c>
      <c r="X162" s="3937">
        <v>2935686</v>
      </c>
      <c r="Y162" s="3938">
        <v>2935686</v>
      </c>
      <c r="Z162" s="3938" t="b">
        <v>1</v>
      </c>
      <c r="AA162" s="3938">
        <v>16309.366666666667</v>
      </c>
      <c r="AB162" s="3938">
        <v>11753</v>
      </c>
      <c r="AC162" s="3938">
        <v>21153</v>
      </c>
      <c r="AD162" s="3938" t="s">
        <v>2129</v>
      </c>
      <c r="AE162" s="3938">
        <v>1650</v>
      </c>
      <c r="AF162" s="3938"/>
      <c r="AG162">
        <v>180</v>
      </c>
      <c r="AH162" s="3965">
        <v>180</v>
      </c>
      <c r="AI162" s="3965" t="b">
        <v>1</v>
      </c>
      <c r="AJ162">
        <v>246</v>
      </c>
      <c r="AK162" s="3966">
        <v>11934</v>
      </c>
      <c r="AL162" s="2814" t="s">
        <v>2129</v>
      </c>
      <c r="AM162" s="2814" t="s">
        <v>2129</v>
      </c>
      <c r="AN162" s="2814" t="s">
        <v>2129</v>
      </c>
      <c r="AO162" s="3953" t="s">
        <v>2129</v>
      </c>
      <c r="AP162" s="2814" t="s">
        <v>2129</v>
      </c>
      <c r="AQ162" s="3954" t="s">
        <v>2129</v>
      </c>
      <c r="AR162" t="s">
        <v>2129</v>
      </c>
      <c r="AS162" t="s">
        <v>2129</v>
      </c>
      <c r="AU162" t="s">
        <v>2129</v>
      </c>
      <c r="AW162" t="s">
        <v>2129</v>
      </c>
      <c r="AX162" t="s">
        <v>2129</v>
      </c>
      <c r="AY162" t="s">
        <v>2129</v>
      </c>
      <c r="AZ162" s="3946" t="s">
        <v>2129</v>
      </c>
      <c r="BA162" t="s">
        <v>2129</v>
      </c>
      <c r="BB162" s="3947" t="s">
        <v>2129</v>
      </c>
      <c r="BC162" s="1958" t="s">
        <v>2129</v>
      </c>
      <c r="BD162" s="1958" t="s">
        <v>2129</v>
      </c>
      <c r="BE162" s="1958" t="s">
        <v>2129</v>
      </c>
      <c r="BF162" s="3937" t="s">
        <v>2129</v>
      </c>
      <c r="BG162" s="3938" t="s">
        <v>2129</v>
      </c>
      <c r="BH162" s="3938" t="s">
        <v>2129</v>
      </c>
      <c r="BI162" s="3937" t="s">
        <v>2129</v>
      </c>
      <c r="BJ162" s="3938" t="s">
        <v>2129</v>
      </c>
      <c r="BK162" s="3939" t="s">
        <v>2129</v>
      </c>
      <c r="BL162" s="3938" t="s">
        <v>2129</v>
      </c>
      <c r="BM162" s="3938" t="s">
        <v>2129</v>
      </c>
      <c r="BN162" s="3939" t="s">
        <v>2129</v>
      </c>
      <c r="BO162" s="3937" t="s">
        <v>2129</v>
      </c>
      <c r="BP162" s="3988" t="s">
        <v>2129</v>
      </c>
      <c r="BQ162" s="3988"/>
      <c r="BR162" s="3988"/>
      <c r="BS162" s="2694"/>
    </row>
    <row r="163" spans="1:71" ht="13">
      <c r="A163">
        <v>305</v>
      </c>
      <c r="B163" s="3979" t="s">
        <v>3373</v>
      </c>
      <c r="C163" s="2694" t="s">
        <v>2129</v>
      </c>
      <c r="D163" s="2694" t="s">
        <v>2129</v>
      </c>
      <c r="E163" s="2694" t="s">
        <v>2129</v>
      </c>
      <c r="F163" s="3974" t="s">
        <v>2129</v>
      </c>
      <c r="G163" s="3975" t="s">
        <v>2129</v>
      </c>
      <c r="H163" s="3976" t="s">
        <v>2129</v>
      </c>
      <c r="I163" s="2694">
        <v>0</v>
      </c>
      <c r="J163" s="3992">
        <v>0</v>
      </c>
      <c r="K163" s="2694">
        <v>0</v>
      </c>
      <c r="L163" s="2694" t="b">
        <v>0</v>
      </c>
      <c r="M163" s="2694" t="s">
        <v>2129</v>
      </c>
      <c r="N163" s="2477">
        <v>0</v>
      </c>
      <c r="O163" s="2477">
        <v>0</v>
      </c>
      <c r="P163" s="2477">
        <v>0</v>
      </c>
      <c r="Q163" s="2477">
        <v>0</v>
      </c>
      <c r="R163" s="2477">
        <v>0</v>
      </c>
      <c r="S163" s="2695">
        <v>0</v>
      </c>
      <c r="T163" s="2477">
        <v>0</v>
      </c>
      <c r="U163" s="2477" t="b">
        <v>1</v>
      </c>
      <c r="V163" s="2477" t="s">
        <v>2129</v>
      </c>
      <c r="W163" s="2477">
        <v>0</v>
      </c>
      <c r="X163" s="3937">
        <v>764885</v>
      </c>
      <c r="Y163" s="3938">
        <v>764885</v>
      </c>
      <c r="Z163" s="3938" t="b">
        <v>1</v>
      </c>
      <c r="AA163" s="3938">
        <v>10926.928571428571</v>
      </c>
      <c r="AB163" s="3938"/>
      <c r="AC163" s="3938"/>
      <c r="AD163" s="3938" t="s">
        <v>2129</v>
      </c>
      <c r="AE163" s="3938"/>
      <c r="AF163" s="3938"/>
      <c r="AG163">
        <v>106</v>
      </c>
      <c r="AH163" s="3965">
        <v>70</v>
      </c>
      <c r="AI163" s="3965" t="b">
        <v>1</v>
      </c>
      <c r="AJ163">
        <v>70</v>
      </c>
      <c r="AK163" s="3966">
        <v>10927</v>
      </c>
      <c r="AL163" s="2814" t="s">
        <v>2129</v>
      </c>
      <c r="AM163" s="2814" t="s">
        <v>2129</v>
      </c>
      <c r="AN163" s="2814" t="s">
        <v>2129</v>
      </c>
      <c r="AO163" s="3953" t="s">
        <v>2129</v>
      </c>
      <c r="AP163" s="2814" t="s">
        <v>2129</v>
      </c>
      <c r="AQ163" s="3954" t="s">
        <v>2129</v>
      </c>
      <c r="AR163" t="s">
        <v>2129</v>
      </c>
      <c r="AS163" t="s">
        <v>2129</v>
      </c>
      <c r="AU163" t="s">
        <v>2129</v>
      </c>
      <c r="AW163" t="s">
        <v>2129</v>
      </c>
      <c r="AX163" t="s">
        <v>2129</v>
      </c>
      <c r="AY163" t="s">
        <v>2129</v>
      </c>
      <c r="AZ163" s="3946" t="s">
        <v>2129</v>
      </c>
      <c r="BA163" t="s">
        <v>2129</v>
      </c>
      <c r="BB163" s="3947" t="s">
        <v>2129</v>
      </c>
      <c r="BC163" s="1958" t="s">
        <v>2129</v>
      </c>
      <c r="BD163" s="1958" t="s">
        <v>2129</v>
      </c>
      <c r="BE163" s="1958" t="s">
        <v>2129</v>
      </c>
      <c r="BF163" s="3937" t="s">
        <v>2129</v>
      </c>
      <c r="BG163" s="3938" t="s">
        <v>2129</v>
      </c>
      <c r="BH163" s="3938" t="s">
        <v>2129</v>
      </c>
      <c r="BI163" s="3937" t="s">
        <v>2129</v>
      </c>
      <c r="BJ163" s="3938" t="s">
        <v>2129</v>
      </c>
      <c r="BK163" s="3939" t="s">
        <v>2129</v>
      </c>
      <c r="BL163" s="3938" t="s">
        <v>2129</v>
      </c>
      <c r="BM163" s="3938" t="s">
        <v>2129</v>
      </c>
      <c r="BN163" s="3939" t="s">
        <v>2129</v>
      </c>
      <c r="BO163" s="3937" t="s">
        <v>2129</v>
      </c>
      <c r="BP163" s="3988" t="s">
        <v>2129</v>
      </c>
      <c r="BQ163" s="3988"/>
      <c r="BR163" s="3988"/>
      <c r="BS163" s="2694"/>
    </row>
    <row r="164" spans="1:71" ht="13">
      <c r="A164">
        <v>306</v>
      </c>
      <c r="B164" s="3979" t="s">
        <v>3374</v>
      </c>
      <c r="C164" s="2694" t="s">
        <v>2129</v>
      </c>
      <c r="D164" s="2694" t="s">
        <v>2129</v>
      </c>
      <c r="E164" s="2694" t="s">
        <v>2129</v>
      </c>
      <c r="F164" s="3974" t="s">
        <v>2129</v>
      </c>
      <c r="G164" s="3975" t="s">
        <v>2129</v>
      </c>
      <c r="H164" s="3976" t="s">
        <v>2129</v>
      </c>
      <c r="I164" s="2694">
        <v>0</v>
      </c>
      <c r="J164" s="3992" t="s">
        <v>2854</v>
      </c>
      <c r="K164" s="2694">
        <v>0</v>
      </c>
      <c r="L164" s="2694" t="b">
        <v>0</v>
      </c>
      <c r="M164" s="2694" t="s">
        <v>2129</v>
      </c>
      <c r="N164" s="2477">
        <v>0</v>
      </c>
      <c r="O164" s="2477">
        <v>0</v>
      </c>
      <c r="P164" s="2477">
        <v>0</v>
      </c>
      <c r="Q164" s="2477">
        <v>0</v>
      </c>
      <c r="R164" s="2477">
        <v>0</v>
      </c>
      <c r="S164" s="2695">
        <v>0</v>
      </c>
      <c r="T164" s="2477">
        <v>0</v>
      </c>
      <c r="U164" s="2477" t="b">
        <v>1</v>
      </c>
      <c r="V164" s="2477" t="s">
        <v>2129</v>
      </c>
      <c r="W164" s="2477">
        <v>0</v>
      </c>
      <c r="X164" s="3937">
        <v>719558</v>
      </c>
      <c r="Y164" s="3938">
        <v>719558</v>
      </c>
      <c r="Z164" s="3938" t="b">
        <v>1</v>
      </c>
      <c r="AA164" s="3938">
        <v>12849.25</v>
      </c>
      <c r="AB164" s="3938"/>
      <c r="AC164" s="3938"/>
      <c r="AD164" s="3938" t="s">
        <v>2129</v>
      </c>
      <c r="AE164" s="3938"/>
      <c r="AF164" s="3938"/>
      <c r="AG164">
        <v>144</v>
      </c>
      <c r="AH164" s="3965">
        <v>56</v>
      </c>
      <c r="AI164" s="3965" t="b">
        <v>1</v>
      </c>
      <c r="AJ164">
        <v>56</v>
      </c>
      <c r="AK164" s="3966">
        <v>12850</v>
      </c>
      <c r="AL164" s="2814" t="s">
        <v>2129</v>
      </c>
      <c r="AM164" s="2814" t="s">
        <v>2129</v>
      </c>
      <c r="AN164" s="2814" t="s">
        <v>2129</v>
      </c>
      <c r="AO164" s="3953" t="s">
        <v>2129</v>
      </c>
      <c r="AP164" s="2814" t="s">
        <v>2129</v>
      </c>
      <c r="AQ164" s="3954" t="s">
        <v>2129</v>
      </c>
      <c r="AR164" t="s">
        <v>2129</v>
      </c>
      <c r="AS164" t="s">
        <v>2129</v>
      </c>
      <c r="AU164" t="s">
        <v>2129</v>
      </c>
      <c r="AW164" t="s">
        <v>2129</v>
      </c>
      <c r="AX164" t="s">
        <v>2129</v>
      </c>
      <c r="AY164" t="s">
        <v>2129</v>
      </c>
      <c r="AZ164" s="3946" t="s">
        <v>2129</v>
      </c>
      <c r="BA164" t="s">
        <v>2129</v>
      </c>
      <c r="BB164" s="3947" t="s">
        <v>2129</v>
      </c>
      <c r="BC164" s="1958" t="s">
        <v>2129</v>
      </c>
      <c r="BD164" s="1958" t="s">
        <v>2129</v>
      </c>
      <c r="BE164" s="1958" t="s">
        <v>2129</v>
      </c>
      <c r="BF164" s="3937" t="s">
        <v>2129</v>
      </c>
      <c r="BG164" s="3938" t="s">
        <v>2129</v>
      </c>
      <c r="BH164" s="3938" t="s">
        <v>2129</v>
      </c>
      <c r="BI164" s="3937" t="s">
        <v>2129</v>
      </c>
      <c r="BJ164" s="3938" t="s">
        <v>2129</v>
      </c>
      <c r="BK164" s="3939" t="s">
        <v>2129</v>
      </c>
      <c r="BL164" s="3938" t="s">
        <v>2129</v>
      </c>
      <c r="BM164" s="3938" t="s">
        <v>2129</v>
      </c>
      <c r="BN164" s="3939" t="s">
        <v>2129</v>
      </c>
      <c r="BO164" s="3937" t="s">
        <v>2129</v>
      </c>
      <c r="BP164" s="3988" t="s">
        <v>2129</v>
      </c>
      <c r="BQ164" s="3988"/>
      <c r="BR164" s="3988"/>
      <c r="BS164" s="2694"/>
    </row>
    <row r="165" spans="1:71" ht="13">
      <c r="A165">
        <v>307</v>
      </c>
      <c r="B165" s="3979" t="s">
        <v>3375</v>
      </c>
      <c r="C165" s="2694" t="s">
        <v>3791</v>
      </c>
      <c r="D165" s="2694" t="s">
        <v>2129</v>
      </c>
      <c r="E165" s="2694" t="s">
        <v>2129</v>
      </c>
      <c r="F165" s="3974" t="s">
        <v>2129</v>
      </c>
      <c r="G165" s="3975" t="s">
        <v>2129</v>
      </c>
      <c r="H165" s="3976" t="s">
        <v>2129</v>
      </c>
      <c r="I165" s="2694">
        <v>0</v>
      </c>
      <c r="J165" s="3992">
        <v>0</v>
      </c>
      <c r="K165" s="2694">
        <v>0</v>
      </c>
      <c r="L165" s="2694" t="b">
        <v>0</v>
      </c>
      <c r="M165" s="2694" t="s">
        <v>2129</v>
      </c>
      <c r="N165" s="2477">
        <v>0</v>
      </c>
      <c r="O165" s="2477">
        <v>0</v>
      </c>
      <c r="P165" s="2477">
        <v>0</v>
      </c>
      <c r="Q165" s="2477">
        <v>0</v>
      </c>
      <c r="R165" s="2477">
        <v>0</v>
      </c>
      <c r="S165" s="2695">
        <v>0</v>
      </c>
      <c r="T165" s="2477">
        <v>0</v>
      </c>
      <c r="U165" s="2477" t="b">
        <v>1</v>
      </c>
      <c r="V165" s="2477" t="s">
        <v>2129</v>
      </c>
      <c r="W165" s="2477">
        <v>-1474865</v>
      </c>
      <c r="X165" s="3937">
        <v>1431335</v>
      </c>
      <c r="Y165" s="3938">
        <v>2906200</v>
      </c>
      <c r="Z165" s="3938" t="b">
        <v>1</v>
      </c>
      <c r="AA165" s="3938">
        <v>23249.599999999999</v>
      </c>
      <c r="AB165" s="3938"/>
      <c r="AC165" s="3938"/>
      <c r="AD165" s="3938">
        <v>1226.7623469818489</v>
      </c>
      <c r="AE165" s="3938"/>
      <c r="AF165" s="3938"/>
      <c r="AG165">
        <v>194</v>
      </c>
      <c r="AH165" s="3965">
        <v>125</v>
      </c>
      <c r="AI165" s="3965" t="b">
        <v>1</v>
      </c>
      <c r="AJ165">
        <v>153</v>
      </c>
      <c r="AK165" s="3966">
        <v>18995</v>
      </c>
      <c r="AL165" s="2814">
        <v>2060</v>
      </c>
      <c r="AM165" s="2814" t="s">
        <v>2129</v>
      </c>
      <c r="AN165" s="2814" t="s">
        <v>2129</v>
      </c>
      <c r="AO165" s="3953" t="s">
        <v>2129</v>
      </c>
      <c r="AP165" s="2814" t="s">
        <v>2129</v>
      </c>
      <c r="AQ165" s="3954" t="s">
        <v>2129</v>
      </c>
      <c r="AR165">
        <v>1935</v>
      </c>
      <c r="AS165" t="s">
        <v>2129</v>
      </c>
      <c r="AU165" t="s">
        <v>2129</v>
      </c>
      <c r="AW165">
        <v>20</v>
      </c>
      <c r="AX165" t="s">
        <v>2129</v>
      </c>
      <c r="AY165" t="s">
        <v>2129</v>
      </c>
      <c r="AZ165" s="3946" t="s">
        <v>2129</v>
      </c>
      <c r="BA165" t="s">
        <v>2129</v>
      </c>
      <c r="BB165" s="3947" t="s">
        <v>2129</v>
      </c>
      <c r="BC165" s="1958">
        <v>39129700</v>
      </c>
      <c r="BD165" s="1958" t="s">
        <v>2129</v>
      </c>
      <c r="BE165" s="1958" t="s">
        <v>2129</v>
      </c>
      <c r="BF165" s="3937" t="s">
        <v>2129</v>
      </c>
      <c r="BG165" s="3938" t="s">
        <v>2129</v>
      </c>
      <c r="BH165" s="3938" t="s">
        <v>2129</v>
      </c>
      <c r="BI165" s="3937" t="s">
        <v>2129</v>
      </c>
      <c r="BJ165" s="3938" t="s">
        <v>2129</v>
      </c>
      <c r="BK165" s="3939" t="s">
        <v>2129</v>
      </c>
      <c r="BL165" s="3938" t="s">
        <v>2129</v>
      </c>
      <c r="BM165" s="3938" t="s">
        <v>2129</v>
      </c>
      <c r="BN165" s="3939" t="s">
        <v>2129</v>
      </c>
      <c r="BO165" s="3937">
        <v>25235000</v>
      </c>
      <c r="BP165" s="3988" t="s">
        <v>2129</v>
      </c>
      <c r="BQ165" s="3988">
        <v>412000</v>
      </c>
      <c r="BR165" s="3988"/>
      <c r="BS165" s="2694"/>
    </row>
    <row r="166" spans="1:71" ht="13">
      <c r="A166">
        <v>319</v>
      </c>
      <c r="B166" s="3979" t="s">
        <v>3376</v>
      </c>
      <c r="C166" s="2694" t="s">
        <v>2129</v>
      </c>
      <c r="D166" s="2694" t="s">
        <v>2129</v>
      </c>
      <c r="E166" s="2694" t="s">
        <v>2129</v>
      </c>
      <c r="F166" s="3974" t="s">
        <v>2129</v>
      </c>
      <c r="G166" s="3975" t="s">
        <v>2129</v>
      </c>
      <c r="H166" s="3976" t="s">
        <v>2129</v>
      </c>
      <c r="I166" s="2694">
        <v>0</v>
      </c>
      <c r="J166" s="3992" t="s">
        <v>2854</v>
      </c>
      <c r="K166" s="2694">
        <v>0</v>
      </c>
      <c r="L166" s="2694" t="b">
        <v>0</v>
      </c>
      <c r="M166" s="2694" t="s">
        <v>2129</v>
      </c>
      <c r="N166" s="2477">
        <v>0</v>
      </c>
      <c r="O166" s="2477">
        <v>0</v>
      </c>
      <c r="P166" s="2477">
        <v>0</v>
      </c>
      <c r="Q166" s="2477">
        <v>0</v>
      </c>
      <c r="R166" s="2477">
        <v>0</v>
      </c>
      <c r="S166" s="2695">
        <v>0</v>
      </c>
      <c r="T166" s="2477">
        <v>0</v>
      </c>
      <c r="U166" s="2477" t="b">
        <v>1</v>
      </c>
      <c r="V166" s="2477" t="s">
        <v>2129</v>
      </c>
      <c r="W166" s="2477">
        <v>0</v>
      </c>
      <c r="X166" s="3937">
        <v>1772849</v>
      </c>
      <c r="Y166" s="3938">
        <v>1772849</v>
      </c>
      <c r="Z166" s="3938" t="b">
        <v>1</v>
      </c>
      <c r="AA166" s="3938">
        <v>16415.268518518518</v>
      </c>
      <c r="AB166" s="3938"/>
      <c r="AC166" s="3938"/>
      <c r="AD166" s="3938" t="s">
        <v>2129</v>
      </c>
      <c r="AE166" s="3938"/>
      <c r="AF166" s="3938"/>
      <c r="AG166">
        <v>135</v>
      </c>
      <c r="AH166" s="3965">
        <v>108</v>
      </c>
      <c r="AI166" s="3965" t="b">
        <v>1</v>
      </c>
      <c r="AJ166">
        <v>108</v>
      </c>
      <c r="AK166" s="3966">
        <v>16416</v>
      </c>
      <c r="AL166" s="2814" t="s">
        <v>2129</v>
      </c>
      <c r="AM166" s="2814" t="s">
        <v>2129</v>
      </c>
      <c r="AN166" s="2814" t="s">
        <v>2129</v>
      </c>
      <c r="AO166" s="3953" t="s">
        <v>2129</v>
      </c>
      <c r="AP166" s="2814" t="s">
        <v>2129</v>
      </c>
      <c r="AQ166" s="3954" t="s">
        <v>2129</v>
      </c>
      <c r="AR166" t="s">
        <v>2129</v>
      </c>
      <c r="AS166" t="s">
        <v>2129</v>
      </c>
      <c r="AU166" t="s">
        <v>2129</v>
      </c>
      <c r="AW166" t="s">
        <v>2129</v>
      </c>
      <c r="AX166" t="s">
        <v>2129</v>
      </c>
      <c r="AY166" t="s">
        <v>2129</v>
      </c>
      <c r="AZ166" s="3946" t="s">
        <v>2129</v>
      </c>
      <c r="BA166" t="s">
        <v>2129</v>
      </c>
      <c r="BB166" s="3947" t="s">
        <v>2129</v>
      </c>
      <c r="BC166" s="1958" t="s">
        <v>2129</v>
      </c>
      <c r="BD166" s="1958" t="s">
        <v>2129</v>
      </c>
      <c r="BE166" s="1958" t="s">
        <v>2129</v>
      </c>
      <c r="BF166" s="3937" t="s">
        <v>2129</v>
      </c>
      <c r="BG166" s="3938" t="s">
        <v>2129</v>
      </c>
      <c r="BH166" s="3938" t="s">
        <v>2129</v>
      </c>
      <c r="BI166" s="3937" t="s">
        <v>2129</v>
      </c>
      <c r="BJ166" s="3938" t="s">
        <v>2129</v>
      </c>
      <c r="BK166" s="3939" t="s">
        <v>2129</v>
      </c>
      <c r="BL166" s="3938" t="s">
        <v>2129</v>
      </c>
      <c r="BM166" s="3938" t="s">
        <v>2129</v>
      </c>
      <c r="BN166" s="3939" t="s">
        <v>2129</v>
      </c>
      <c r="BO166" s="3937" t="s">
        <v>2129</v>
      </c>
      <c r="BP166" s="3988" t="s">
        <v>2129</v>
      </c>
      <c r="BQ166" s="3988"/>
      <c r="BR166" s="3988"/>
      <c r="BS166" s="2694"/>
    </row>
    <row r="167" spans="1:71" ht="13">
      <c r="A167">
        <v>320</v>
      </c>
      <c r="B167" s="3979" t="s">
        <v>3377</v>
      </c>
      <c r="C167" s="2694" t="s">
        <v>2129</v>
      </c>
      <c r="D167" s="2694" t="s">
        <v>2129</v>
      </c>
      <c r="E167" s="2694" t="s">
        <v>2129</v>
      </c>
      <c r="F167" s="3974" t="s">
        <v>2129</v>
      </c>
      <c r="G167" s="3975" t="s">
        <v>2129</v>
      </c>
      <c r="H167" s="3976" t="s">
        <v>2129</v>
      </c>
      <c r="I167" s="2694">
        <v>0</v>
      </c>
      <c r="J167" s="3992" t="s">
        <v>2854</v>
      </c>
      <c r="K167" s="2694">
        <v>0</v>
      </c>
      <c r="L167" s="2694" t="b">
        <v>0</v>
      </c>
      <c r="M167" s="2694" t="s">
        <v>2129</v>
      </c>
      <c r="N167" s="2477">
        <v>0</v>
      </c>
      <c r="O167" s="2477">
        <v>0</v>
      </c>
      <c r="P167" s="2477">
        <v>0</v>
      </c>
      <c r="Q167" s="2477">
        <v>0</v>
      </c>
      <c r="R167" s="2477">
        <v>0</v>
      </c>
      <c r="S167" s="2695">
        <v>0</v>
      </c>
      <c r="T167" s="2477">
        <v>0</v>
      </c>
      <c r="U167" s="2477" t="b">
        <v>1</v>
      </c>
      <c r="V167" s="2477" t="s">
        <v>2129</v>
      </c>
      <c r="W167" s="2477">
        <v>0</v>
      </c>
      <c r="X167" s="3937">
        <v>803583</v>
      </c>
      <c r="Y167" s="3938">
        <v>803583</v>
      </c>
      <c r="Z167" s="3938" t="b">
        <v>1</v>
      </c>
      <c r="AA167" s="3938">
        <v>10044.7875</v>
      </c>
      <c r="AB167" s="3938"/>
      <c r="AC167" s="3938"/>
      <c r="AD167" s="3938" t="s">
        <v>2129</v>
      </c>
      <c r="AE167" s="3938"/>
      <c r="AF167" s="3938"/>
      <c r="AG167">
        <v>127</v>
      </c>
      <c r="AH167" s="3965">
        <v>80</v>
      </c>
      <c r="AI167" s="3965" t="b">
        <v>1</v>
      </c>
      <c r="AJ167">
        <v>80</v>
      </c>
      <c r="AK167" s="3966">
        <v>10045</v>
      </c>
      <c r="AL167" s="2814" t="s">
        <v>2129</v>
      </c>
      <c r="AM167" s="2814" t="s">
        <v>2129</v>
      </c>
      <c r="AN167" s="2814" t="s">
        <v>2129</v>
      </c>
      <c r="AO167" s="3953" t="s">
        <v>2129</v>
      </c>
      <c r="AP167" s="2814" t="s">
        <v>2129</v>
      </c>
      <c r="AQ167" s="3954" t="s">
        <v>2129</v>
      </c>
      <c r="AR167" t="s">
        <v>2129</v>
      </c>
      <c r="AS167" t="s">
        <v>2129</v>
      </c>
      <c r="AU167" t="s">
        <v>2129</v>
      </c>
      <c r="AW167" t="s">
        <v>2129</v>
      </c>
      <c r="AX167" t="s">
        <v>2129</v>
      </c>
      <c r="AY167" t="s">
        <v>2129</v>
      </c>
      <c r="AZ167" s="3946" t="s">
        <v>2129</v>
      </c>
      <c r="BA167" t="s">
        <v>2129</v>
      </c>
      <c r="BB167" s="3947" t="s">
        <v>2129</v>
      </c>
      <c r="BC167" s="1958" t="s">
        <v>2129</v>
      </c>
      <c r="BD167" s="1958" t="s">
        <v>2129</v>
      </c>
      <c r="BE167" s="1958" t="s">
        <v>2129</v>
      </c>
      <c r="BF167" s="3937" t="s">
        <v>2129</v>
      </c>
      <c r="BG167" s="3938" t="s">
        <v>2129</v>
      </c>
      <c r="BH167" s="3938" t="s">
        <v>2129</v>
      </c>
      <c r="BI167" s="3937" t="s">
        <v>2129</v>
      </c>
      <c r="BJ167" s="3938" t="s">
        <v>2129</v>
      </c>
      <c r="BK167" s="3939" t="s">
        <v>2129</v>
      </c>
      <c r="BL167" s="3938" t="s">
        <v>2129</v>
      </c>
      <c r="BM167" s="3938" t="s">
        <v>2129</v>
      </c>
      <c r="BN167" s="3939" t="s">
        <v>2129</v>
      </c>
      <c r="BO167" s="3937" t="s">
        <v>2129</v>
      </c>
      <c r="BP167" s="3988" t="s">
        <v>2129</v>
      </c>
      <c r="BQ167" s="3988"/>
      <c r="BR167" s="3988"/>
      <c r="BS167" s="2694"/>
    </row>
    <row r="168" spans="1:71" ht="13">
      <c r="A168">
        <v>321</v>
      </c>
      <c r="B168" s="3979" t="s">
        <v>3378</v>
      </c>
      <c r="C168" s="2694" t="s">
        <v>2129</v>
      </c>
      <c r="D168" s="2694" t="s">
        <v>2129</v>
      </c>
      <c r="E168" s="2694" t="s">
        <v>2129</v>
      </c>
      <c r="F168" s="3974" t="s">
        <v>2129</v>
      </c>
      <c r="G168" s="3975" t="s">
        <v>2129</v>
      </c>
      <c r="H168" s="3976" t="s">
        <v>2129</v>
      </c>
      <c r="I168" s="2694">
        <v>0</v>
      </c>
      <c r="J168" s="3992" t="s">
        <v>2854</v>
      </c>
      <c r="K168" s="2694">
        <v>0</v>
      </c>
      <c r="L168" s="2694" t="b">
        <v>0</v>
      </c>
      <c r="M168" s="2694" t="s">
        <v>2129</v>
      </c>
      <c r="N168" s="2477">
        <v>0</v>
      </c>
      <c r="O168" s="2477">
        <v>0</v>
      </c>
      <c r="P168" s="2477">
        <v>0</v>
      </c>
      <c r="Q168" s="2477">
        <v>0</v>
      </c>
      <c r="R168" s="2477">
        <v>0</v>
      </c>
      <c r="S168" s="2695">
        <v>0</v>
      </c>
      <c r="T168" s="2477">
        <v>0</v>
      </c>
      <c r="U168" s="2477" t="b">
        <v>1</v>
      </c>
      <c r="V168" s="2477" t="s">
        <v>2129</v>
      </c>
      <c r="W168" s="2477">
        <v>0</v>
      </c>
      <c r="X168" s="3937">
        <v>554668</v>
      </c>
      <c r="Y168" s="3938">
        <v>554668</v>
      </c>
      <c r="Z168" s="3938" t="b">
        <v>0</v>
      </c>
      <c r="AA168" s="3938">
        <v>11093.36</v>
      </c>
      <c r="AB168" s="3938"/>
      <c r="AC168" s="3938"/>
      <c r="AD168" s="3938" t="s">
        <v>2129</v>
      </c>
      <c r="AE168" s="3938"/>
      <c r="AF168" s="3938"/>
      <c r="AG168">
        <v>52</v>
      </c>
      <c r="AH168" s="3965">
        <v>50</v>
      </c>
      <c r="AI168" s="3965" t="b">
        <v>0</v>
      </c>
      <c r="AJ168">
        <v>59</v>
      </c>
      <c r="AK168" s="3966">
        <v>9402</v>
      </c>
      <c r="AL168" s="2814" t="s">
        <v>2129</v>
      </c>
      <c r="AM168" s="2814" t="s">
        <v>2129</v>
      </c>
      <c r="AN168" s="2814" t="s">
        <v>2129</v>
      </c>
      <c r="AO168" s="3953" t="s">
        <v>2129</v>
      </c>
      <c r="AP168" s="2814" t="s">
        <v>2129</v>
      </c>
      <c r="AQ168" s="3954" t="s">
        <v>2129</v>
      </c>
      <c r="AR168" t="s">
        <v>2129</v>
      </c>
      <c r="AS168" t="s">
        <v>2129</v>
      </c>
      <c r="AU168" t="s">
        <v>2129</v>
      </c>
      <c r="AW168" t="s">
        <v>2129</v>
      </c>
      <c r="AX168" t="s">
        <v>2129</v>
      </c>
      <c r="AY168" t="s">
        <v>2129</v>
      </c>
      <c r="AZ168" s="3946" t="s">
        <v>2129</v>
      </c>
      <c r="BA168" t="s">
        <v>2129</v>
      </c>
      <c r="BB168" s="3947" t="s">
        <v>2129</v>
      </c>
      <c r="BC168" s="1958" t="s">
        <v>2129</v>
      </c>
      <c r="BD168" s="1958" t="s">
        <v>2129</v>
      </c>
      <c r="BE168" s="1958" t="s">
        <v>2129</v>
      </c>
      <c r="BF168" s="3937" t="s">
        <v>2129</v>
      </c>
      <c r="BG168" s="3938" t="s">
        <v>2129</v>
      </c>
      <c r="BH168" s="3938" t="s">
        <v>2129</v>
      </c>
      <c r="BI168" s="3937" t="s">
        <v>2129</v>
      </c>
      <c r="BJ168" s="3938" t="s">
        <v>2129</v>
      </c>
      <c r="BK168" s="3939" t="s">
        <v>2129</v>
      </c>
      <c r="BL168" s="3938" t="s">
        <v>2129</v>
      </c>
      <c r="BM168" s="3938" t="s">
        <v>2129</v>
      </c>
      <c r="BN168" s="3939" t="s">
        <v>2129</v>
      </c>
      <c r="BO168" s="3937" t="s">
        <v>2129</v>
      </c>
      <c r="BP168" s="3988" t="s">
        <v>2129</v>
      </c>
      <c r="BQ168" s="3988"/>
      <c r="BR168" s="3988"/>
      <c r="BS168" s="2694"/>
    </row>
    <row r="169" spans="1:71" ht="13">
      <c r="A169">
        <v>322</v>
      </c>
      <c r="B169" s="3979" t="s">
        <v>3379</v>
      </c>
      <c r="C169" s="2694" t="s">
        <v>2129</v>
      </c>
      <c r="D169" s="2694" t="s">
        <v>2129</v>
      </c>
      <c r="E169" s="2694" t="s">
        <v>2129</v>
      </c>
      <c r="F169" s="3974" t="s">
        <v>2129</v>
      </c>
      <c r="G169" s="3975" t="s">
        <v>2129</v>
      </c>
      <c r="H169" s="3976" t="s">
        <v>2129</v>
      </c>
      <c r="I169" s="2694">
        <v>0</v>
      </c>
      <c r="J169" s="3992" t="s">
        <v>2854</v>
      </c>
      <c r="K169" s="2694">
        <v>0</v>
      </c>
      <c r="L169" s="2694" t="b">
        <v>0</v>
      </c>
      <c r="M169" s="2694" t="s">
        <v>2129</v>
      </c>
      <c r="N169" s="2477">
        <v>0</v>
      </c>
      <c r="O169" s="2477">
        <v>0</v>
      </c>
      <c r="P169" s="2477">
        <v>0</v>
      </c>
      <c r="Q169" s="2477">
        <v>0</v>
      </c>
      <c r="R169" s="2477">
        <v>0</v>
      </c>
      <c r="S169" s="2695">
        <v>0</v>
      </c>
      <c r="T169" s="2477">
        <v>0</v>
      </c>
      <c r="U169" s="2477" t="b">
        <v>1</v>
      </c>
      <c r="V169" s="2477" t="s">
        <v>2129</v>
      </c>
      <c r="W169" s="2477">
        <v>0</v>
      </c>
      <c r="X169" s="3937">
        <v>880000</v>
      </c>
      <c r="Y169" s="3938">
        <v>880000</v>
      </c>
      <c r="Z169" s="3938" t="b">
        <v>1</v>
      </c>
      <c r="AA169" s="3938">
        <v>11000</v>
      </c>
      <c r="AB169" s="3938"/>
      <c r="AC169" s="3938"/>
      <c r="AD169" s="3938" t="s">
        <v>2129</v>
      </c>
      <c r="AE169" s="3938"/>
      <c r="AF169" s="3938"/>
      <c r="AG169">
        <v>171</v>
      </c>
      <c r="AH169" s="3965">
        <v>80</v>
      </c>
      <c r="AI169" s="3965" t="b">
        <v>1</v>
      </c>
      <c r="AJ169">
        <v>80</v>
      </c>
      <c r="AK169" s="3966">
        <v>11000</v>
      </c>
      <c r="AL169" s="2814" t="s">
        <v>2129</v>
      </c>
      <c r="AM169" s="2814" t="s">
        <v>2129</v>
      </c>
      <c r="AN169" s="2814" t="s">
        <v>2129</v>
      </c>
      <c r="AO169" s="3953" t="s">
        <v>2129</v>
      </c>
      <c r="AP169" s="2814" t="s">
        <v>2129</v>
      </c>
      <c r="AQ169" s="3954" t="s">
        <v>2129</v>
      </c>
      <c r="AR169" t="s">
        <v>2129</v>
      </c>
      <c r="AS169" t="s">
        <v>2129</v>
      </c>
      <c r="AU169" t="s">
        <v>2129</v>
      </c>
      <c r="AW169" t="s">
        <v>2129</v>
      </c>
      <c r="AX169" t="s">
        <v>2129</v>
      </c>
      <c r="AY169" t="s">
        <v>2129</v>
      </c>
      <c r="AZ169" s="3946" t="s">
        <v>2129</v>
      </c>
      <c r="BA169" t="s">
        <v>2129</v>
      </c>
      <c r="BB169" s="3947" t="s">
        <v>2129</v>
      </c>
      <c r="BC169" s="1958" t="s">
        <v>2129</v>
      </c>
      <c r="BD169" s="1958" t="s">
        <v>2129</v>
      </c>
      <c r="BE169" s="1958" t="s">
        <v>2129</v>
      </c>
      <c r="BF169" s="3937" t="s">
        <v>2129</v>
      </c>
      <c r="BG169" s="3938" t="s">
        <v>2129</v>
      </c>
      <c r="BH169" s="3938" t="s">
        <v>2129</v>
      </c>
      <c r="BI169" s="3937" t="s">
        <v>2129</v>
      </c>
      <c r="BJ169" s="3938" t="s">
        <v>2129</v>
      </c>
      <c r="BK169" s="3939" t="s">
        <v>2129</v>
      </c>
      <c r="BL169" s="3938" t="s">
        <v>2129</v>
      </c>
      <c r="BM169" s="3938" t="s">
        <v>2129</v>
      </c>
      <c r="BN169" s="3939" t="s">
        <v>2129</v>
      </c>
      <c r="BO169" s="3937" t="s">
        <v>2129</v>
      </c>
      <c r="BP169" s="3988" t="s">
        <v>2129</v>
      </c>
      <c r="BQ169" s="3988"/>
      <c r="BR169" s="3988"/>
      <c r="BS169" s="2694"/>
    </row>
    <row r="170" spans="1:71" ht="13">
      <c r="A170">
        <v>323</v>
      </c>
      <c r="B170" s="3979" t="s">
        <v>3380</v>
      </c>
      <c r="C170" s="2694" t="s">
        <v>2129</v>
      </c>
      <c r="D170" s="2694" t="s">
        <v>2129</v>
      </c>
      <c r="E170" s="2694" t="s">
        <v>2129</v>
      </c>
      <c r="F170" s="3974" t="s">
        <v>2129</v>
      </c>
      <c r="G170" s="3975" t="s">
        <v>2129</v>
      </c>
      <c r="H170" s="3976" t="s">
        <v>2129</v>
      </c>
      <c r="I170" s="2694">
        <v>0</v>
      </c>
      <c r="J170" s="3992" t="s">
        <v>2854</v>
      </c>
      <c r="K170" s="2694">
        <v>0</v>
      </c>
      <c r="L170" s="2694" t="b">
        <v>0</v>
      </c>
      <c r="M170" s="2694" t="s">
        <v>2129</v>
      </c>
      <c r="N170" s="2477">
        <v>0</v>
      </c>
      <c r="O170" s="2477">
        <v>0</v>
      </c>
      <c r="P170" s="2477">
        <v>0</v>
      </c>
      <c r="Q170" s="2477">
        <v>0</v>
      </c>
      <c r="R170" s="2477">
        <v>0</v>
      </c>
      <c r="S170" s="2695">
        <v>0</v>
      </c>
      <c r="T170" s="2477">
        <v>0</v>
      </c>
      <c r="U170" s="2477" t="b">
        <v>1</v>
      </c>
      <c r="V170" s="2477" t="s">
        <v>2129</v>
      </c>
      <c r="W170" s="2477">
        <v>0</v>
      </c>
      <c r="X170" s="3937">
        <v>1573435</v>
      </c>
      <c r="Y170" s="3938">
        <v>1573435</v>
      </c>
      <c r="Z170" s="3938" t="b">
        <v>1</v>
      </c>
      <c r="AA170" s="3938">
        <v>19667.9375</v>
      </c>
      <c r="AB170" s="3938"/>
      <c r="AC170" s="3938"/>
      <c r="AD170" s="3938" t="s">
        <v>2129</v>
      </c>
      <c r="AE170" s="3938"/>
      <c r="AF170" s="3938"/>
      <c r="AG170">
        <v>150</v>
      </c>
      <c r="AH170" s="3965">
        <v>80</v>
      </c>
      <c r="AI170" s="3965" t="b">
        <v>1</v>
      </c>
      <c r="AJ170">
        <v>109</v>
      </c>
      <c r="AK170" s="3966">
        <v>14436</v>
      </c>
      <c r="AL170" s="2814" t="s">
        <v>2129</v>
      </c>
      <c r="AM170" s="2814" t="s">
        <v>2129</v>
      </c>
      <c r="AN170" s="2814" t="s">
        <v>2129</v>
      </c>
      <c r="AO170" s="3953" t="s">
        <v>2129</v>
      </c>
      <c r="AP170" s="2814" t="s">
        <v>2129</v>
      </c>
      <c r="AQ170" s="3954" t="s">
        <v>2129</v>
      </c>
      <c r="AR170" t="s">
        <v>2129</v>
      </c>
      <c r="AS170" t="s">
        <v>2129</v>
      </c>
      <c r="AU170" t="s">
        <v>2129</v>
      </c>
      <c r="AW170" t="s">
        <v>2129</v>
      </c>
      <c r="AX170" t="s">
        <v>2129</v>
      </c>
      <c r="AY170" t="s">
        <v>2129</v>
      </c>
      <c r="AZ170" s="3946" t="s">
        <v>2129</v>
      </c>
      <c r="BA170" t="s">
        <v>2129</v>
      </c>
      <c r="BB170" s="3947" t="s">
        <v>2129</v>
      </c>
      <c r="BC170" s="1958" t="s">
        <v>2129</v>
      </c>
      <c r="BD170" s="1958" t="s">
        <v>2129</v>
      </c>
      <c r="BE170" s="1958" t="s">
        <v>2129</v>
      </c>
      <c r="BF170" s="3937" t="s">
        <v>2129</v>
      </c>
      <c r="BG170" s="3938" t="s">
        <v>2129</v>
      </c>
      <c r="BH170" s="3938" t="s">
        <v>2129</v>
      </c>
      <c r="BI170" s="3937" t="s">
        <v>2129</v>
      </c>
      <c r="BJ170" s="3938" t="s">
        <v>2129</v>
      </c>
      <c r="BK170" s="3939" t="s">
        <v>2129</v>
      </c>
      <c r="BL170" s="3938" t="s">
        <v>2129</v>
      </c>
      <c r="BM170" s="3938" t="s">
        <v>2129</v>
      </c>
      <c r="BN170" s="3939" t="s">
        <v>2129</v>
      </c>
      <c r="BO170" s="3937" t="s">
        <v>2129</v>
      </c>
      <c r="BP170" s="3988" t="s">
        <v>2129</v>
      </c>
      <c r="BQ170" s="3988"/>
      <c r="BR170" s="3988"/>
      <c r="BS170" s="2694"/>
    </row>
    <row r="171" spans="1:71" ht="13">
      <c r="A171">
        <v>324</v>
      </c>
      <c r="B171" s="3979" t="s">
        <v>3381</v>
      </c>
      <c r="C171" s="2694" t="s">
        <v>2129</v>
      </c>
      <c r="D171" s="2694" t="s">
        <v>2129</v>
      </c>
      <c r="E171" s="2694" t="s">
        <v>2129</v>
      </c>
      <c r="F171" s="3974" t="s">
        <v>2129</v>
      </c>
      <c r="G171" s="3975" t="s">
        <v>2129</v>
      </c>
      <c r="H171" s="3976" t="s">
        <v>2129</v>
      </c>
      <c r="I171" s="2694">
        <v>0</v>
      </c>
      <c r="J171" s="3992" t="s">
        <v>2854</v>
      </c>
      <c r="K171" s="2694">
        <v>0</v>
      </c>
      <c r="L171" s="2694" t="b">
        <v>0</v>
      </c>
      <c r="M171" s="2694" t="s">
        <v>2129</v>
      </c>
      <c r="N171" s="2477">
        <v>0</v>
      </c>
      <c r="O171" s="2477">
        <v>0</v>
      </c>
      <c r="P171" s="2477">
        <v>0</v>
      </c>
      <c r="Q171" s="2477">
        <v>0</v>
      </c>
      <c r="R171" s="2477">
        <v>0</v>
      </c>
      <c r="S171" s="2695">
        <v>0</v>
      </c>
      <c r="T171" s="2477">
        <v>0</v>
      </c>
      <c r="U171" s="2477" t="b">
        <v>1</v>
      </c>
      <c r="V171" s="2477" t="s">
        <v>2129</v>
      </c>
      <c r="W171" s="2477">
        <v>0</v>
      </c>
      <c r="X171" s="3937">
        <v>1381142</v>
      </c>
      <c r="Y171" s="3938">
        <v>1381142</v>
      </c>
      <c r="Z171" s="3938" t="b">
        <v>1</v>
      </c>
      <c r="AA171" s="3938">
        <v>15694.795454545454</v>
      </c>
      <c r="AB171" s="3938"/>
      <c r="AC171" s="3938"/>
      <c r="AD171" s="3938" t="s">
        <v>2129</v>
      </c>
      <c r="AE171" s="3938"/>
      <c r="AF171" s="3938"/>
      <c r="AG171">
        <v>126</v>
      </c>
      <c r="AH171" s="3965">
        <v>88</v>
      </c>
      <c r="AI171" s="3965" t="b">
        <v>1</v>
      </c>
      <c r="AJ171">
        <v>88</v>
      </c>
      <c r="AK171" s="3966">
        <v>15695</v>
      </c>
      <c r="AL171" s="2814" t="s">
        <v>2129</v>
      </c>
      <c r="AM171" s="2814" t="s">
        <v>2129</v>
      </c>
      <c r="AN171" s="2814" t="s">
        <v>2129</v>
      </c>
      <c r="AO171" s="3953" t="s">
        <v>2129</v>
      </c>
      <c r="AP171" s="2814" t="s">
        <v>2129</v>
      </c>
      <c r="AQ171" s="3954" t="s">
        <v>2129</v>
      </c>
      <c r="AR171" t="s">
        <v>2129</v>
      </c>
      <c r="AS171" t="s">
        <v>2129</v>
      </c>
      <c r="AU171" t="s">
        <v>2129</v>
      </c>
      <c r="AW171" t="s">
        <v>2129</v>
      </c>
      <c r="AX171" t="s">
        <v>2129</v>
      </c>
      <c r="AY171" t="s">
        <v>2129</v>
      </c>
      <c r="AZ171" s="3946" t="s">
        <v>2129</v>
      </c>
      <c r="BA171" t="s">
        <v>2129</v>
      </c>
      <c r="BB171" s="3947" t="s">
        <v>2129</v>
      </c>
      <c r="BC171" s="1958" t="s">
        <v>2129</v>
      </c>
      <c r="BD171" s="1958" t="s">
        <v>2129</v>
      </c>
      <c r="BE171" s="1958" t="s">
        <v>2129</v>
      </c>
      <c r="BF171" s="3937" t="s">
        <v>2129</v>
      </c>
      <c r="BG171" s="3938" t="s">
        <v>2129</v>
      </c>
      <c r="BH171" s="3938" t="s">
        <v>2129</v>
      </c>
      <c r="BI171" s="3937" t="s">
        <v>2129</v>
      </c>
      <c r="BJ171" s="3938" t="s">
        <v>2129</v>
      </c>
      <c r="BK171" s="3939" t="s">
        <v>2129</v>
      </c>
      <c r="BL171" s="3938" t="s">
        <v>2129</v>
      </c>
      <c r="BM171" s="3938" t="s">
        <v>2129</v>
      </c>
      <c r="BN171" s="3939" t="s">
        <v>2129</v>
      </c>
      <c r="BO171" s="3937" t="s">
        <v>2129</v>
      </c>
      <c r="BP171" s="3988" t="s">
        <v>2129</v>
      </c>
      <c r="BQ171" s="3988"/>
      <c r="BR171" s="3988"/>
      <c r="BS171" s="2694"/>
    </row>
    <row r="172" spans="1:71" ht="13">
      <c r="A172">
        <v>1002</v>
      </c>
      <c r="B172" s="3979" t="s">
        <v>3382</v>
      </c>
      <c r="C172" s="2694" t="s">
        <v>3791</v>
      </c>
      <c r="D172" s="2694" t="s">
        <v>2129</v>
      </c>
      <c r="E172" s="2694" t="s">
        <v>2129</v>
      </c>
      <c r="F172" s="3974" t="s">
        <v>2129</v>
      </c>
      <c r="G172" s="3975" t="s">
        <v>2129</v>
      </c>
      <c r="H172" s="3976" t="s">
        <v>2129</v>
      </c>
      <c r="I172" s="2694">
        <v>0</v>
      </c>
      <c r="J172" s="3992">
        <v>0</v>
      </c>
      <c r="K172" s="2694">
        <v>0</v>
      </c>
      <c r="L172" s="2694" t="b">
        <v>0</v>
      </c>
      <c r="M172" s="2694" t="s">
        <v>2129</v>
      </c>
      <c r="N172" s="2477">
        <v>0</v>
      </c>
      <c r="O172" s="2477">
        <v>0</v>
      </c>
      <c r="P172" s="2477">
        <v>0</v>
      </c>
      <c r="Q172" s="2477">
        <v>0</v>
      </c>
      <c r="R172" s="2477">
        <v>0</v>
      </c>
      <c r="S172" s="2695">
        <v>0</v>
      </c>
      <c r="T172" s="2477">
        <v>0</v>
      </c>
      <c r="U172" s="2477" t="b">
        <v>1</v>
      </c>
      <c r="V172" s="2477" t="s">
        <v>2129</v>
      </c>
      <c r="W172" s="2477">
        <v>1349551</v>
      </c>
      <c r="X172" s="3937">
        <v>3685951</v>
      </c>
      <c r="Y172" s="3938">
        <v>2336400</v>
      </c>
      <c r="Z172" s="3938" t="b">
        <v>1</v>
      </c>
      <c r="AA172" s="3938">
        <v>25674.725274725275</v>
      </c>
      <c r="AB172" s="3938"/>
      <c r="AC172" s="3938"/>
      <c r="AD172" s="3938">
        <v>1891.6686907942678</v>
      </c>
      <c r="AE172" s="3938"/>
      <c r="AF172" s="3938"/>
      <c r="AG172">
        <v>212</v>
      </c>
      <c r="AH172" s="3965">
        <v>91</v>
      </c>
      <c r="AI172" s="3965" t="b">
        <v>1</v>
      </c>
      <c r="AJ172">
        <v>91</v>
      </c>
      <c r="AK172" s="3966">
        <v>25675</v>
      </c>
      <c r="AL172" s="2814">
        <v>1074</v>
      </c>
      <c r="AM172" s="2814" t="s">
        <v>2129</v>
      </c>
      <c r="AN172" s="2814" t="s">
        <v>2129</v>
      </c>
      <c r="AO172" s="3953" t="s">
        <v>2129</v>
      </c>
      <c r="AP172" s="2814" t="s">
        <v>2129</v>
      </c>
      <c r="AQ172" s="3954" t="s">
        <v>2129</v>
      </c>
      <c r="AR172">
        <v>983</v>
      </c>
      <c r="AS172" t="s">
        <v>2129</v>
      </c>
      <c r="AU172" t="s">
        <v>2129</v>
      </c>
      <c r="AW172">
        <v>11</v>
      </c>
      <c r="AX172" t="s">
        <v>2129</v>
      </c>
      <c r="AY172" t="s">
        <v>2129</v>
      </c>
      <c r="AZ172" s="3946" t="s">
        <v>2129</v>
      </c>
      <c r="BA172" t="s">
        <v>2129</v>
      </c>
      <c r="BB172" s="3947" t="s">
        <v>2129</v>
      </c>
      <c r="BC172" s="1958">
        <v>27574950</v>
      </c>
      <c r="BD172" s="1958" t="s">
        <v>2129</v>
      </c>
      <c r="BE172" s="1958" t="s">
        <v>2129</v>
      </c>
      <c r="BF172" s="3937" t="s">
        <v>2129</v>
      </c>
      <c r="BG172" s="3938" t="s">
        <v>2129</v>
      </c>
      <c r="BH172" s="3938" t="s">
        <v>2129</v>
      </c>
      <c r="BI172" s="3937" t="s">
        <v>2129</v>
      </c>
      <c r="BJ172" s="3938" t="s">
        <v>2129</v>
      </c>
      <c r="BK172" s="3939" t="s">
        <v>2129</v>
      </c>
      <c r="BL172" s="3938" t="s">
        <v>2129</v>
      </c>
      <c r="BM172" s="3938" t="s">
        <v>2129</v>
      </c>
      <c r="BN172" s="3939" t="s">
        <v>2129</v>
      </c>
      <c r="BO172" s="3937">
        <v>13156500</v>
      </c>
      <c r="BP172" s="3988" t="s">
        <v>2129</v>
      </c>
      <c r="BQ172" s="3988"/>
      <c r="BR172" s="3988"/>
      <c r="BS172" s="2694"/>
    </row>
    <row r="173" spans="1:71" ht="13">
      <c r="A173">
        <v>1003</v>
      </c>
      <c r="B173" s="3979" t="s">
        <v>2868</v>
      </c>
      <c r="C173" s="2694" t="s">
        <v>3791</v>
      </c>
      <c r="D173" s="2694" t="s">
        <v>2129</v>
      </c>
      <c r="E173" s="2694" t="s">
        <v>2129</v>
      </c>
      <c r="F173" s="3974" t="s">
        <v>2129</v>
      </c>
      <c r="G173" s="3975" t="s">
        <v>2129</v>
      </c>
      <c r="H173" s="3976" t="s">
        <v>2129</v>
      </c>
      <c r="I173" s="2694">
        <v>0</v>
      </c>
      <c r="J173" s="3992" t="s">
        <v>2854</v>
      </c>
      <c r="K173" s="2694">
        <v>0</v>
      </c>
      <c r="L173" s="2694" t="b">
        <v>1</v>
      </c>
      <c r="M173" s="2694" t="s">
        <v>2129</v>
      </c>
      <c r="N173" s="2477">
        <v>0</v>
      </c>
      <c r="O173" s="2477">
        <v>0</v>
      </c>
      <c r="P173" s="2477">
        <v>0</v>
      </c>
      <c r="Q173" s="2477">
        <v>0</v>
      </c>
      <c r="R173" s="2477">
        <v>0</v>
      </c>
      <c r="S173" s="2695">
        <v>0</v>
      </c>
      <c r="T173" s="2477">
        <v>0</v>
      </c>
      <c r="U173" s="2477" t="b">
        <v>1</v>
      </c>
      <c r="V173" s="2477" t="s">
        <v>2129</v>
      </c>
      <c r="W173" s="2477">
        <v>-752130</v>
      </c>
      <c r="X173" s="3937">
        <v>1777540</v>
      </c>
      <c r="Y173" s="3938">
        <v>2529670</v>
      </c>
      <c r="Z173" s="3938" t="b">
        <v>1</v>
      </c>
      <c r="AA173" s="3938">
        <v>20566.422764227642</v>
      </c>
      <c r="AB173" s="3938">
        <v>9412</v>
      </c>
      <c r="AC173" s="3938">
        <v>21648</v>
      </c>
      <c r="AD173" s="3938">
        <v>4150.4019688269073</v>
      </c>
      <c r="AE173" s="3938">
        <v>0</v>
      </c>
      <c r="AF173" s="3938"/>
      <c r="AG173">
        <v>184</v>
      </c>
      <c r="AH173" s="3965">
        <v>123</v>
      </c>
      <c r="AI173" t="b">
        <v>1</v>
      </c>
      <c r="AJ173">
        <v>124</v>
      </c>
      <c r="AK173" s="3966">
        <v>20401</v>
      </c>
      <c r="AL173" s="2814">
        <v>530</v>
      </c>
      <c r="AM173" s="2814" t="s">
        <v>2129</v>
      </c>
      <c r="AN173" s="2814" t="s">
        <v>2129</v>
      </c>
      <c r="AO173" s="3953" t="s">
        <v>2129</v>
      </c>
      <c r="AP173" s="2814" t="s">
        <v>2129</v>
      </c>
      <c r="AQ173" s="3954" t="s">
        <v>2129</v>
      </c>
      <c r="AR173">
        <v>407</v>
      </c>
      <c r="AS173" t="s">
        <v>2129</v>
      </c>
      <c r="AU173" t="s">
        <v>2129</v>
      </c>
      <c r="AW173">
        <v>9</v>
      </c>
      <c r="AX173" t="s">
        <v>2129</v>
      </c>
      <c r="AY173" t="s">
        <v>2129</v>
      </c>
      <c r="AZ173" s="3946" t="s">
        <v>2129</v>
      </c>
      <c r="BA173" t="s">
        <v>2129</v>
      </c>
      <c r="BB173" s="3947" t="s">
        <v>2129</v>
      </c>
      <c r="BC173" s="1958">
        <v>10812530</v>
      </c>
      <c r="BD173" s="1958" t="s">
        <v>2129</v>
      </c>
      <c r="BE173" s="1958" t="s">
        <v>2129</v>
      </c>
      <c r="BF173" s="3937" t="s">
        <v>2129</v>
      </c>
      <c r="BG173" s="3938" t="s">
        <v>2129</v>
      </c>
      <c r="BH173" s="3938" t="s">
        <v>2129</v>
      </c>
      <c r="BI173" s="3937" t="s">
        <v>2129</v>
      </c>
      <c r="BJ173" s="3938" t="s">
        <v>2129</v>
      </c>
      <c r="BK173" s="3939" t="s">
        <v>2129</v>
      </c>
      <c r="BL173" s="3938" t="s">
        <v>2129</v>
      </c>
      <c r="BM173" s="3938" t="s">
        <v>2129</v>
      </c>
      <c r="BN173" s="3939" t="s">
        <v>2129</v>
      </c>
      <c r="BO173" s="3937">
        <v>6492500</v>
      </c>
      <c r="BP173" s="3988" t="s">
        <v>2129</v>
      </c>
      <c r="BQ173" s="3988"/>
      <c r="BR173" s="3988"/>
      <c r="BS173" s="2694"/>
    </row>
    <row r="174" spans="1:71" ht="13">
      <c r="A174">
        <v>1004</v>
      </c>
      <c r="B174" s="3979" t="s">
        <v>3383</v>
      </c>
      <c r="C174" s="2694" t="s">
        <v>2129</v>
      </c>
      <c r="D174" s="2694" t="s">
        <v>2129</v>
      </c>
      <c r="E174" s="2694" t="s">
        <v>2129</v>
      </c>
      <c r="F174" s="3974" t="s">
        <v>2129</v>
      </c>
      <c r="G174" s="3975" t="s">
        <v>2129</v>
      </c>
      <c r="H174" s="3976" t="s">
        <v>2129</v>
      </c>
      <c r="I174" s="2694">
        <v>1</v>
      </c>
      <c r="J174" s="3992" t="s">
        <v>2669</v>
      </c>
      <c r="K174" s="2694">
        <v>1</v>
      </c>
      <c r="L174" s="2694" t="b">
        <v>1</v>
      </c>
      <c r="M174" s="2694" t="s">
        <v>2129</v>
      </c>
      <c r="N174" s="2477">
        <v>0</v>
      </c>
      <c r="O174" s="2477">
        <v>0</v>
      </c>
      <c r="P174" s="2477">
        <v>0</v>
      </c>
      <c r="Q174" s="2477">
        <v>0</v>
      </c>
      <c r="R174" s="2477">
        <v>0</v>
      </c>
      <c r="S174" s="2695">
        <v>0</v>
      </c>
      <c r="T174" s="2477">
        <v>0</v>
      </c>
      <c r="U174" s="2477" t="b">
        <v>1</v>
      </c>
      <c r="V174" s="2477">
        <v>0</v>
      </c>
      <c r="W174" s="2477">
        <v>0</v>
      </c>
      <c r="X174" s="3937">
        <v>2889658</v>
      </c>
      <c r="Y174" s="3938">
        <v>2889658</v>
      </c>
      <c r="Z174" s="3938" t="b">
        <v>1</v>
      </c>
      <c r="AA174" s="3938">
        <v>28896.58</v>
      </c>
      <c r="AB174" s="3938"/>
      <c r="AC174" s="3938"/>
      <c r="AD174" s="3938" t="s">
        <v>2129</v>
      </c>
      <c r="AE174" s="3938"/>
      <c r="AF174" s="3938"/>
      <c r="AG174">
        <v>239</v>
      </c>
      <c r="AH174">
        <v>100</v>
      </c>
      <c r="AI174" t="b">
        <v>1</v>
      </c>
      <c r="AJ174">
        <v>121</v>
      </c>
      <c r="AK174" s="3966">
        <v>23882</v>
      </c>
      <c r="AL174" s="2814" t="s">
        <v>2129</v>
      </c>
      <c r="AM174" s="2814" t="s">
        <v>2129</v>
      </c>
      <c r="AN174" s="2814" t="s">
        <v>2129</v>
      </c>
      <c r="AO174" s="3953" t="s">
        <v>2129</v>
      </c>
      <c r="AP174" s="2814" t="s">
        <v>2129</v>
      </c>
      <c r="AQ174" s="3954" t="s">
        <v>2129</v>
      </c>
      <c r="AR174" t="s">
        <v>2129</v>
      </c>
      <c r="AS174" t="s">
        <v>2129</v>
      </c>
      <c r="AU174" t="s">
        <v>2129</v>
      </c>
      <c r="AW174" t="s">
        <v>2129</v>
      </c>
      <c r="AX174" t="s">
        <v>2129</v>
      </c>
      <c r="AY174" t="s">
        <v>2129</v>
      </c>
      <c r="AZ174" s="3946" t="s">
        <v>2129</v>
      </c>
      <c r="BA174" t="s">
        <v>2129</v>
      </c>
      <c r="BB174" s="3947" t="s">
        <v>2129</v>
      </c>
      <c r="BC174" s="1958" t="s">
        <v>2129</v>
      </c>
      <c r="BD174" s="1958" t="s">
        <v>2129</v>
      </c>
      <c r="BE174" s="1958" t="s">
        <v>2129</v>
      </c>
      <c r="BF174" s="3937" t="s">
        <v>2129</v>
      </c>
      <c r="BG174" s="3938" t="s">
        <v>2129</v>
      </c>
      <c r="BH174" s="3938" t="s">
        <v>2129</v>
      </c>
      <c r="BI174" s="3937" t="s">
        <v>2129</v>
      </c>
      <c r="BJ174" s="3938" t="s">
        <v>2129</v>
      </c>
      <c r="BK174" s="3939" t="s">
        <v>2129</v>
      </c>
      <c r="BL174" s="3938" t="s">
        <v>2129</v>
      </c>
      <c r="BM174" s="3938" t="s">
        <v>2129</v>
      </c>
      <c r="BN174" s="3939" t="s">
        <v>2129</v>
      </c>
      <c r="BO174" s="3937" t="s">
        <v>2129</v>
      </c>
      <c r="BP174" s="3988" t="s">
        <v>2129</v>
      </c>
      <c r="BQ174" s="3988"/>
      <c r="BR174" s="3988"/>
      <c r="BS174" s="2694"/>
    </row>
    <row r="175" spans="1:71" ht="13">
      <c r="A175">
        <v>1006</v>
      </c>
      <c r="B175" s="3979" t="s">
        <v>3384</v>
      </c>
      <c r="C175" s="2694" t="s">
        <v>2129</v>
      </c>
      <c r="D175" s="2694" t="s">
        <v>2129</v>
      </c>
      <c r="E175" s="2694" t="s">
        <v>3694</v>
      </c>
      <c r="F175" s="3974" t="s">
        <v>2129</v>
      </c>
      <c r="G175" s="3975" t="s">
        <v>2129</v>
      </c>
      <c r="H175" s="3976" t="s">
        <v>3694</v>
      </c>
      <c r="I175" s="2694">
        <v>0</v>
      </c>
      <c r="J175" s="3992" t="s">
        <v>2854</v>
      </c>
      <c r="K175" s="2694">
        <v>0</v>
      </c>
      <c r="L175" s="2694" t="b">
        <v>1</v>
      </c>
      <c r="M175" s="2694" t="s">
        <v>2129</v>
      </c>
      <c r="N175" s="2477">
        <v>0</v>
      </c>
      <c r="O175" s="2477">
        <v>0</v>
      </c>
      <c r="P175" s="2477">
        <v>0</v>
      </c>
      <c r="Q175" s="2477">
        <v>0</v>
      </c>
      <c r="R175" s="2477">
        <v>0</v>
      </c>
      <c r="S175" s="2695">
        <v>0</v>
      </c>
      <c r="T175" s="2477">
        <v>0</v>
      </c>
      <c r="U175" s="2477" t="b">
        <v>1</v>
      </c>
      <c r="V175" s="2477" t="s">
        <v>2129</v>
      </c>
      <c r="W175" s="2477">
        <v>0</v>
      </c>
      <c r="X175" s="3937">
        <v>3850948</v>
      </c>
      <c r="Y175" s="3938">
        <v>3850948</v>
      </c>
      <c r="Z175" s="3938" t="b">
        <v>1</v>
      </c>
      <c r="AA175" s="3938">
        <v>35329.798165137618</v>
      </c>
      <c r="AB175" s="3938"/>
      <c r="AC175" s="3938"/>
      <c r="AD175" s="3938" t="s">
        <v>2129</v>
      </c>
      <c r="AE175" s="3938"/>
      <c r="AF175" s="3938"/>
      <c r="AG175">
        <v>229</v>
      </c>
      <c r="AH175" s="3965">
        <v>109</v>
      </c>
      <c r="AI175" s="3965" t="b">
        <v>1</v>
      </c>
      <c r="AJ175">
        <v>109</v>
      </c>
      <c r="AK175" s="3966">
        <v>35330</v>
      </c>
      <c r="AL175" s="2814" t="s">
        <v>2129</v>
      </c>
      <c r="AM175" s="2814" t="s">
        <v>2129</v>
      </c>
      <c r="AN175" s="2814">
        <v>3210</v>
      </c>
      <c r="AO175" s="3953" t="s">
        <v>2129</v>
      </c>
      <c r="AP175" s="2814" t="s">
        <v>2129</v>
      </c>
      <c r="AQ175" s="3954">
        <v>450</v>
      </c>
      <c r="AR175" t="s">
        <v>2129</v>
      </c>
      <c r="AS175" t="s">
        <v>2129</v>
      </c>
      <c r="AU175" t="s">
        <v>2129</v>
      </c>
      <c r="AW175" t="s">
        <v>2129</v>
      </c>
      <c r="AX175" t="s">
        <v>2129</v>
      </c>
      <c r="AY175">
        <v>30</v>
      </c>
      <c r="AZ175" s="3946" t="s">
        <v>2129</v>
      </c>
      <c r="BA175" t="s">
        <v>2129</v>
      </c>
      <c r="BB175" s="3947">
        <v>15</v>
      </c>
      <c r="BC175" s="1958" t="s">
        <v>2129</v>
      </c>
      <c r="BD175" s="1958" t="s">
        <v>2129</v>
      </c>
      <c r="BE175" s="1958">
        <v>113409300</v>
      </c>
      <c r="BF175" s="3937" t="s">
        <v>2129</v>
      </c>
      <c r="BG175" s="3938" t="s">
        <v>2129</v>
      </c>
      <c r="BH175" s="3938">
        <v>15898500</v>
      </c>
      <c r="BI175" s="3937" t="s">
        <v>2129</v>
      </c>
      <c r="BJ175" s="3938" t="s">
        <v>2129</v>
      </c>
      <c r="BK175" s="3939" t="s">
        <v>2129</v>
      </c>
      <c r="BL175" s="3938" t="s">
        <v>2129</v>
      </c>
      <c r="BM175" s="3938" t="s">
        <v>2129</v>
      </c>
      <c r="BN175" s="3939" t="s">
        <v>2129</v>
      </c>
      <c r="BO175" s="3937" t="s">
        <v>2129</v>
      </c>
      <c r="BP175" s="3988" t="s">
        <v>2129</v>
      </c>
      <c r="BQ175" s="3988"/>
      <c r="BR175" s="3988"/>
      <c r="BS175" s="2694"/>
    </row>
    <row r="176" spans="1:71" ht="13">
      <c r="A176">
        <v>1007</v>
      </c>
      <c r="B176" s="3979" t="s">
        <v>2837</v>
      </c>
      <c r="C176" s="2694" t="s">
        <v>3791</v>
      </c>
      <c r="D176" s="2694" t="s">
        <v>2129</v>
      </c>
      <c r="E176" s="2694" t="s">
        <v>2129</v>
      </c>
      <c r="F176" s="3974" t="s">
        <v>2129</v>
      </c>
      <c r="G176" s="3975" t="s">
        <v>2129</v>
      </c>
      <c r="H176" s="3976" t="s">
        <v>2129</v>
      </c>
      <c r="I176" s="2694">
        <v>1</v>
      </c>
      <c r="J176" s="3992" t="s">
        <v>3592</v>
      </c>
      <c r="K176" s="2694">
        <v>1</v>
      </c>
      <c r="L176" s="2694" t="b">
        <v>1</v>
      </c>
      <c r="M176" s="2694" t="s">
        <v>2129</v>
      </c>
      <c r="N176" s="2477">
        <v>847059</v>
      </c>
      <c r="O176" s="2477">
        <v>0</v>
      </c>
      <c r="P176" s="2477">
        <v>0</v>
      </c>
      <c r="Q176" s="2477">
        <v>0</v>
      </c>
      <c r="R176" s="2477">
        <v>0</v>
      </c>
      <c r="S176" s="2695">
        <v>931764.9</v>
      </c>
      <c r="T176" s="2477">
        <v>931764</v>
      </c>
      <c r="U176" s="2477" t="b">
        <v>1</v>
      </c>
      <c r="V176" s="2477">
        <v>931764</v>
      </c>
      <c r="W176" s="2477">
        <v>-158056</v>
      </c>
      <c r="X176" s="3937">
        <v>4189144</v>
      </c>
      <c r="Y176" s="3938">
        <v>4347200</v>
      </c>
      <c r="Z176" s="3938" t="b">
        <v>1</v>
      </c>
      <c r="AA176" s="3938">
        <v>36840.677966101692</v>
      </c>
      <c r="AB176" s="3938">
        <v>28824</v>
      </c>
      <c r="AC176" s="3938">
        <v>51765</v>
      </c>
      <c r="AD176" s="3938">
        <v>17340.247307538892</v>
      </c>
      <c r="AE176" s="3938">
        <v>1600</v>
      </c>
      <c r="AF176" s="3938"/>
      <c r="AG176">
        <v>118</v>
      </c>
      <c r="AH176" s="3965">
        <v>118</v>
      </c>
      <c r="AI176" s="3965" t="b">
        <v>1</v>
      </c>
      <c r="AJ176">
        <v>192</v>
      </c>
      <c r="AK176" s="3966">
        <v>22642</v>
      </c>
      <c r="AL176" s="2814">
        <v>218</v>
      </c>
      <c r="AM176" s="2814" t="s">
        <v>2129</v>
      </c>
      <c r="AN176" s="2814" t="s">
        <v>2129</v>
      </c>
      <c r="AO176" s="3953" t="s">
        <v>2129</v>
      </c>
      <c r="AP176" s="2814" t="s">
        <v>2129</v>
      </c>
      <c r="AQ176" s="3954" t="s">
        <v>2129</v>
      </c>
      <c r="AR176">
        <v>100</v>
      </c>
      <c r="AS176" t="s">
        <v>2129</v>
      </c>
      <c r="AU176" t="s">
        <v>2129</v>
      </c>
      <c r="AW176">
        <v>9</v>
      </c>
      <c r="AX176" t="s">
        <v>2129</v>
      </c>
      <c r="AY176" t="s">
        <v>2129</v>
      </c>
      <c r="AZ176" s="3946" t="s">
        <v>2129</v>
      </c>
      <c r="BA176" t="s">
        <v>2129</v>
      </c>
      <c r="BB176" s="3947" t="s">
        <v>2129</v>
      </c>
      <c r="BC176" s="1958">
        <v>4935956</v>
      </c>
      <c r="BD176" s="1958" t="s">
        <v>2129</v>
      </c>
      <c r="BE176" s="1958" t="s">
        <v>2129</v>
      </c>
      <c r="BF176" s="3937" t="s">
        <v>2129</v>
      </c>
      <c r="BG176" s="3938" t="s">
        <v>2129</v>
      </c>
      <c r="BH176" s="3938" t="s">
        <v>2129</v>
      </c>
      <c r="BI176" s="3937">
        <v>8385876</v>
      </c>
      <c r="BJ176" s="3938" t="s">
        <v>2129</v>
      </c>
      <c r="BK176" s="3939" t="s">
        <v>2129</v>
      </c>
      <c r="BL176" s="3938" t="s">
        <v>2129</v>
      </c>
      <c r="BM176" s="3938" t="s">
        <v>2129</v>
      </c>
      <c r="BN176" s="3939" t="s">
        <v>2129</v>
      </c>
      <c r="BO176" s="3937">
        <v>2670500</v>
      </c>
      <c r="BP176" s="3988" t="s">
        <v>2129</v>
      </c>
      <c r="BQ176" s="3988"/>
      <c r="BR176" s="3988"/>
      <c r="BS176" s="2694"/>
    </row>
    <row r="177" spans="1:71" ht="13">
      <c r="A177">
        <v>1008</v>
      </c>
      <c r="B177" s="3979" t="s">
        <v>3385</v>
      </c>
      <c r="C177" s="2694" t="s">
        <v>3791</v>
      </c>
      <c r="D177" s="2694" t="s">
        <v>2129</v>
      </c>
      <c r="E177" s="2694" t="s">
        <v>2129</v>
      </c>
      <c r="F177" s="3974" t="s">
        <v>2129</v>
      </c>
      <c r="G177" s="3975" t="s">
        <v>2129</v>
      </c>
      <c r="H177" s="3976" t="s">
        <v>2129</v>
      </c>
      <c r="I177" s="2694">
        <v>4</v>
      </c>
      <c r="J177" s="3992" t="s">
        <v>3481</v>
      </c>
      <c r="K177" s="2694">
        <v>2</v>
      </c>
      <c r="L177" s="2694" t="b">
        <v>0</v>
      </c>
      <c r="M177" s="2694" t="s">
        <v>2129</v>
      </c>
      <c r="N177" s="2477">
        <v>7178824</v>
      </c>
      <c r="O177" s="2477">
        <v>0</v>
      </c>
      <c r="P177" s="2477">
        <v>0</v>
      </c>
      <c r="Q177" s="2477">
        <v>5850</v>
      </c>
      <c r="R177" s="2477">
        <v>0</v>
      </c>
      <c r="S177" s="2695">
        <v>7902556.4000000004</v>
      </c>
      <c r="T177" s="2477">
        <v>7902556</v>
      </c>
      <c r="U177" s="2477" t="b">
        <v>0</v>
      </c>
      <c r="V177" s="2477">
        <v>3951278</v>
      </c>
      <c r="W177" s="2477">
        <v>6547442</v>
      </c>
      <c r="X177" s="3937">
        <v>9769342</v>
      </c>
      <c r="Y177" s="3938">
        <v>3221900</v>
      </c>
      <c r="Z177" s="3938" t="b">
        <v>0</v>
      </c>
      <c r="AA177" s="3938">
        <v>31900</v>
      </c>
      <c r="AB177" s="3938"/>
      <c r="AC177" s="3938"/>
      <c r="AD177" s="3938">
        <v>1238.573021181717</v>
      </c>
      <c r="AE177" s="3938">
        <v>5500</v>
      </c>
      <c r="AF177" s="3938"/>
      <c r="AG177">
        <v>154</v>
      </c>
      <c r="AH177" s="3965">
        <v>101</v>
      </c>
      <c r="AI177" s="3965" t="b">
        <v>1</v>
      </c>
      <c r="AJ177">
        <v>113</v>
      </c>
      <c r="AK177" s="3966">
        <v>28513</v>
      </c>
      <c r="AL177" s="2814">
        <v>2262</v>
      </c>
      <c r="AM177" s="2814" t="s">
        <v>2129</v>
      </c>
      <c r="AN177" s="2814" t="s">
        <v>2129</v>
      </c>
      <c r="AO177" s="3953" t="s">
        <v>2129</v>
      </c>
      <c r="AP177" s="2814" t="s">
        <v>2129</v>
      </c>
      <c r="AQ177" s="3954" t="s">
        <v>2129</v>
      </c>
      <c r="AR177">
        <v>2161</v>
      </c>
      <c r="AS177" t="s">
        <v>2129</v>
      </c>
      <c r="AU177" t="s">
        <v>2129</v>
      </c>
      <c r="AW177">
        <v>21</v>
      </c>
      <c r="AX177" t="s">
        <v>2129</v>
      </c>
      <c r="AY177" t="s">
        <v>2129</v>
      </c>
      <c r="AZ177" s="3946" t="s">
        <v>2129</v>
      </c>
      <c r="BA177" t="s">
        <v>2129</v>
      </c>
      <c r="BB177" s="3947" t="s">
        <v>2129</v>
      </c>
      <c r="BC177" s="6354">
        <v>61602250</v>
      </c>
      <c r="BD177" s="1958" t="str">
        <f t="shared" ref="BD177" si="10">IFERROR(AM177*AK177, "")</f>
        <v/>
      </c>
      <c r="BE177" s="1958" t="str">
        <f t="shared" ref="BE177" si="11">IFERROR(AN177*AK177, "")</f>
        <v/>
      </c>
      <c r="BF177" s="3937" t="str">
        <f t="shared" ref="BF177" si="12">IFERROR(AO177*AK177, "")</f>
        <v/>
      </c>
      <c r="BG177" s="3938" t="str">
        <f t="shared" ref="BG177" si="13">IFERROR(AP177*AK177, "")</f>
        <v/>
      </c>
      <c r="BH177" s="3938" t="str">
        <f t="shared" ref="BH177" si="14">IFERROR(AQ177*AK177, "")</f>
        <v/>
      </c>
      <c r="BI177" s="6355">
        <v>23073600</v>
      </c>
      <c r="BJ177" s="3938" t="s">
        <v>2129</v>
      </c>
      <c r="BK177" s="3939" t="s">
        <v>2129</v>
      </c>
      <c r="BL177" s="3938" t="s">
        <v>2129</v>
      </c>
      <c r="BM177" s="3938" t="s">
        <v>2129</v>
      </c>
      <c r="BN177" s="3939" t="s">
        <v>2129</v>
      </c>
      <c r="BO177" s="3937">
        <v>27709500</v>
      </c>
      <c r="BP177" s="3988" t="s">
        <v>2129</v>
      </c>
      <c r="BQ177" s="3988"/>
      <c r="BR177" s="3988"/>
      <c r="BS177" s="2694"/>
    </row>
    <row r="178" spans="1:71" ht="13">
      <c r="A178">
        <v>1010</v>
      </c>
      <c r="B178" s="3979" t="s">
        <v>3386</v>
      </c>
      <c r="C178" s="2694" t="s">
        <v>2129</v>
      </c>
      <c r="D178" s="2694" t="s">
        <v>2129</v>
      </c>
      <c r="E178" s="2694" t="s">
        <v>2129</v>
      </c>
      <c r="F178" s="3974" t="s">
        <v>2129</v>
      </c>
      <c r="G178" s="3975" t="s">
        <v>2129</v>
      </c>
      <c r="H178" s="3976" t="s">
        <v>2129</v>
      </c>
      <c r="I178" s="2694">
        <v>12</v>
      </c>
      <c r="J178" s="3992" t="s">
        <v>4943</v>
      </c>
      <c r="K178" s="2694">
        <v>3</v>
      </c>
      <c r="L178" s="2694" t="b">
        <v>0</v>
      </c>
      <c r="M178" s="2694" t="s">
        <v>2129</v>
      </c>
      <c r="N178" s="2477">
        <v>129414</v>
      </c>
      <c r="O178" s="2477">
        <v>0</v>
      </c>
      <c r="P178" s="2477">
        <v>0</v>
      </c>
      <c r="Q178" s="2477">
        <v>5850</v>
      </c>
      <c r="R178" s="2477">
        <v>0</v>
      </c>
      <c r="S178" s="2695">
        <v>148205.40000000002</v>
      </c>
      <c r="T178" s="2477">
        <v>148205</v>
      </c>
      <c r="U178" s="2477" t="b">
        <v>0</v>
      </c>
      <c r="V178" s="2477">
        <v>49401.666666666664</v>
      </c>
      <c r="W178" s="2477">
        <v>0</v>
      </c>
      <c r="X178" s="3937">
        <v>1138850</v>
      </c>
      <c r="Y178" s="3938">
        <v>1138850</v>
      </c>
      <c r="Z178" s="3938" t="b">
        <v>0</v>
      </c>
      <c r="AA178" s="3938">
        <v>30779.72972972973</v>
      </c>
      <c r="AB178" s="3938"/>
      <c r="AC178" s="3938"/>
      <c r="AD178" s="3938" t="s">
        <v>2129</v>
      </c>
      <c r="AE178" s="3938"/>
      <c r="AF178" s="3938"/>
      <c r="AG178">
        <v>37</v>
      </c>
      <c r="AH178" s="3965">
        <v>37</v>
      </c>
      <c r="AI178" s="3965" t="b">
        <v>0</v>
      </c>
      <c r="AJ178">
        <v>40</v>
      </c>
      <c r="AK178" s="3966">
        <v>28472</v>
      </c>
      <c r="AL178" s="2814" t="s">
        <v>2129</v>
      </c>
      <c r="AM178" s="2814" t="s">
        <v>2129</v>
      </c>
      <c r="AN178" s="2814" t="s">
        <v>2129</v>
      </c>
      <c r="AO178" s="3953" t="s">
        <v>2129</v>
      </c>
      <c r="AP178" s="2814" t="s">
        <v>2129</v>
      </c>
      <c r="AQ178" s="3954" t="s">
        <v>2129</v>
      </c>
      <c r="AR178" t="s">
        <v>2129</v>
      </c>
      <c r="AS178" t="s">
        <v>2129</v>
      </c>
      <c r="AU178" t="s">
        <v>2129</v>
      </c>
      <c r="AW178" t="s">
        <v>2129</v>
      </c>
      <c r="AX178" t="s">
        <v>2129</v>
      </c>
      <c r="AY178" t="s">
        <v>2129</v>
      </c>
      <c r="AZ178" s="3946" t="s">
        <v>2129</v>
      </c>
      <c r="BA178" t="s">
        <v>2129</v>
      </c>
      <c r="BB178" s="3947" t="s">
        <v>2129</v>
      </c>
      <c r="BC178" s="1958" t="s">
        <v>2129</v>
      </c>
      <c r="BD178" s="1958" t="s">
        <v>2129</v>
      </c>
      <c r="BE178" s="1958" t="s">
        <v>2129</v>
      </c>
      <c r="BF178" s="3937" t="s">
        <v>2129</v>
      </c>
      <c r="BG178" s="3938" t="s">
        <v>2129</v>
      </c>
      <c r="BH178" s="3938" t="s">
        <v>2129</v>
      </c>
      <c r="BI178" s="3937" t="s">
        <v>2129</v>
      </c>
      <c r="BJ178" s="3938" t="s">
        <v>2129</v>
      </c>
      <c r="BK178" s="3939" t="s">
        <v>2129</v>
      </c>
      <c r="BL178" s="3938" t="s">
        <v>2129</v>
      </c>
      <c r="BM178" s="3938" t="s">
        <v>2129</v>
      </c>
      <c r="BN178" s="3939" t="s">
        <v>2129</v>
      </c>
      <c r="BO178" s="3937" t="s">
        <v>2129</v>
      </c>
      <c r="BP178" s="3988" t="s">
        <v>2129</v>
      </c>
      <c r="BQ178" s="3988"/>
      <c r="BR178" s="3988"/>
      <c r="BS178" s="2694"/>
    </row>
    <row r="179" spans="1:71" ht="13">
      <c r="A179">
        <v>1012</v>
      </c>
      <c r="B179" s="3979" t="s">
        <v>3387</v>
      </c>
      <c r="C179" s="2694" t="s">
        <v>2129</v>
      </c>
      <c r="D179" s="2694" t="s">
        <v>2129</v>
      </c>
      <c r="E179" s="2694" t="s">
        <v>2129</v>
      </c>
      <c r="F179" s="3974" t="s">
        <v>2129</v>
      </c>
      <c r="G179" s="3975" t="s">
        <v>2129</v>
      </c>
      <c r="H179" s="3976" t="s">
        <v>2129</v>
      </c>
      <c r="I179" s="2694">
        <v>18</v>
      </c>
      <c r="J179" s="3992" t="s">
        <v>3474</v>
      </c>
      <c r="K179" s="2694">
        <v>9</v>
      </c>
      <c r="L179" s="2694" t="b">
        <v>0</v>
      </c>
      <c r="M179" s="2694" t="s">
        <v>2129</v>
      </c>
      <c r="N179" s="2477">
        <v>4235301</v>
      </c>
      <c r="O179" s="2477">
        <v>0</v>
      </c>
      <c r="P179" s="2477">
        <v>0</v>
      </c>
      <c r="Q179" s="2477">
        <v>0</v>
      </c>
      <c r="R179" s="2477">
        <v>0</v>
      </c>
      <c r="S179" s="2695">
        <v>4658831.1000000006</v>
      </c>
      <c r="T179" s="2477">
        <v>4658831</v>
      </c>
      <c r="U179" s="2477" t="b">
        <v>0</v>
      </c>
      <c r="V179" s="2477">
        <v>517647.88888888888</v>
      </c>
      <c r="W179" s="2477">
        <v>0</v>
      </c>
      <c r="X179" s="3937">
        <v>1210063</v>
      </c>
      <c r="Y179" s="3938">
        <v>1210063</v>
      </c>
      <c r="Z179" s="3938" t="b">
        <v>0</v>
      </c>
      <c r="AA179" s="3938">
        <v>16576.205479452055</v>
      </c>
      <c r="AB179" s="3938"/>
      <c r="AC179" s="3938"/>
      <c r="AD179" s="3938" t="s">
        <v>2129</v>
      </c>
      <c r="AE179" s="3938"/>
      <c r="AF179" s="3938"/>
      <c r="AG179">
        <v>73</v>
      </c>
      <c r="AH179" s="3965">
        <v>73</v>
      </c>
      <c r="AI179" s="3965" t="b">
        <v>0</v>
      </c>
      <c r="AJ179">
        <v>292</v>
      </c>
      <c r="AK179" s="3966">
        <v>4145</v>
      </c>
      <c r="AL179" s="2814" t="s">
        <v>2129</v>
      </c>
      <c r="AM179" s="2814" t="s">
        <v>2129</v>
      </c>
      <c r="AN179" s="2814" t="s">
        <v>2129</v>
      </c>
      <c r="AO179" s="3953" t="s">
        <v>2129</v>
      </c>
      <c r="AP179" s="2814" t="s">
        <v>2129</v>
      </c>
      <c r="AQ179" s="3954" t="s">
        <v>2129</v>
      </c>
      <c r="AR179" t="s">
        <v>2129</v>
      </c>
      <c r="AS179" t="s">
        <v>2129</v>
      </c>
      <c r="AU179" t="s">
        <v>2129</v>
      </c>
      <c r="AW179" t="s">
        <v>2129</v>
      </c>
      <c r="AX179" t="s">
        <v>2129</v>
      </c>
      <c r="AY179" t="s">
        <v>2129</v>
      </c>
      <c r="AZ179" s="3946" t="s">
        <v>2129</v>
      </c>
      <c r="BA179" t="s">
        <v>2129</v>
      </c>
      <c r="BB179" s="3947" t="s">
        <v>2129</v>
      </c>
      <c r="BC179" s="1958" t="s">
        <v>2129</v>
      </c>
      <c r="BD179" s="1958" t="s">
        <v>2129</v>
      </c>
      <c r="BE179" s="1958" t="s">
        <v>2129</v>
      </c>
      <c r="BF179" s="3937" t="s">
        <v>2129</v>
      </c>
      <c r="BG179" s="3938" t="s">
        <v>2129</v>
      </c>
      <c r="BH179" s="3938" t="s">
        <v>2129</v>
      </c>
      <c r="BI179" s="3937" t="s">
        <v>2129</v>
      </c>
      <c r="BJ179" s="3938" t="s">
        <v>2129</v>
      </c>
      <c r="BK179" s="3939" t="s">
        <v>2129</v>
      </c>
      <c r="BL179" s="3938" t="s">
        <v>2129</v>
      </c>
      <c r="BM179" s="3938" t="s">
        <v>2129</v>
      </c>
      <c r="BN179" s="3939" t="s">
        <v>2129</v>
      </c>
      <c r="BO179" s="3937" t="s">
        <v>2129</v>
      </c>
      <c r="BP179" s="3988" t="s">
        <v>2129</v>
      </c>
      <c r="BQ179" s="3988"/>
      <c r="BR179" s="3988"/>
      <c r="BS179" s="2694"/>
    </row>
    <row r="180" spans="1:71" ht="13">
      <c r="A180">
        <v>1013</v>
      </c>
      <c r="B180" s="3979" t="s">
        <v>3388</v>
      </c>
      <c r="C180" s="2694" t="s">
        <v>2129</v>
      </c>
      <c r="D180" s="2694" t="s">
        <v>2129</v>
      </c>
      <c r="E180" s="2694" t="s">
        <v>2129</v>
      </c>
      <c r="F180" s="3974" t="s">
        <v>2129</v>
      </c>
      <c r="G180" s="3975" t="s">
        <v>2129</v>
      </c>
      <c r="H180" s="3976" t="s">
        <v>2129</v>
      </c>
      <c r="I180" s="2694">
        <v>6</v>
      </c>
      <c r="J180" s="3992" t="s">
        <v>4879</v>
      </c>
      <c r="K180" s="2694">
        <v>2</v>
      </c>
      <c r="L180" s="2694" t="b">
        <v>0</v>
      </c>
      <c r="M180" s="2694" t="s">
        <v>2129</v>
      </c>
      <c r="N180" s="2477">
        <v>132353</v>
      </c>
      <c r="O180" s="2477">
        <v>0</v>
      </c>
      <c r="P180" s="2477">
        <v>0</v>
      </c>
      <c r="Q180" s="2477">
        <v>0</v>
      </c>
      <c r="R180" s="2477">
        <v>0</v>
      </c>
      <c r="S180" s="2695">
        <v>145588.30000000002</v>
      </c>
      <c r="T180" s="2477">
        <v>145588</v>
      </c>
      <c r="U180" s="2477" t="b">
        <v>0</v>
      </c>
      <c r="V180" s="2477">
        <v>72794</v>
      </c>
      <c r="W180" s="2477">
        <v>0</v>
      </c>
      <c r="X180" s="3937">
        <v>1022374</v>
      </c>
      <c r="Y180" s="3938">
        <v>1022374</v>
      </c>
      <c r="Z180" s="3938" t="b">
        <v>0</v>
      </c>
      <c r="AA180" s="3938">
        <v>24342.238095238095</v>
      </c>
      <c r="AB180" s="3938"/>
      <c r="AC180" s="3938"/>
      <c r="AD180" s="3938" t="s">
        <v>2129</v>
      </c>
      <c r="AE180" s="3938"/>
      <c r="AF180" s="3938"/>
      <c r="AG180">
        <v>42</v>
      </c>
      <c r="AH180" s="3965">
        <v>42</v>
      </c>
      <c r="AI180" s="3965" t="b">
        <v>0</v>
      </c>
      <c r="AJ180">
        <v>166</v>
      </c>
      <c r="AK180" s="3966">
        <v>6159</v>
      </c>
      <c r="AL180" s="2814" t="s">
        <v>2129</v>
      </c>
      <c r="AM180" s="2814" t="s">
        <v>2129</v>
      </c>
      <c r="AN180" s="2814" t="s">
        <v>2129</v>
      </c>
      <c r="AO180" s="3953" t="s">
        <v>2129</v>
      </c>
      <c r="AP180" s="2814" t="s">
        <v>2129</v>
      </c>
      <c r="AQ180" s="3954" t="s">
        <v>2129</v>
      </c>
      <c r="AR180" t="s">
        <v>2129</v>
      </c>
      <c r="AS180" t="s">
        <v>2129</v>
      </c>
      <c r="AU180" t="s">
        <v>2129</v>
      </c>
      <c r="AW180" t="s">
        <v>2129</v>
      </c>
      <c r="AX180" t="s">
        <v>2129</v>
      </c>
      <c r="AY180" t="s">
        <v>2129</v>
      </c>
      <c r="AZ180" s="3946" t="s">
        <v>2129</v>
      </c>
      <c r="BA180" t="s">
        <v>2129</v>
      </c>
      <c r="BB180" s="3947" t="s">
        <v>2129</v>
      </c>
      <c r="BC180" s="1958" t="s">
        <v>2129</v>
      </c>
      <c r="BD180" s="1958" t="s">
        <v>2129</v>
      </c>
      <c r="BE180" s="1958" t="s">
        <v>2129</v>
      </c>
      <c r="BF180" s="3937" t="s">
        <v>2129</v>
      </c>
      <c r="BG180" s="3938" t="s">
        <v>2129</v>
      </c>
      <c r="BH180" s="3938" t="s">
        <v>2129</v>
      </c>
      <c r="BI180" s="3937" t="s">
        <v>2129</v>
      </c>
      <c r="BJ180" s="3938" t="s">
        <v>2129</v>
      </c>
      <c r="BK180" s="3939" t="s">
        <v>2129</v>
      </c>
      <c r="BL180" s="3938" t="s">
        <v>2129</v>
      </c>
      <c r="BM180" s="3938" t="s">
        <v>2129</v>
      </c>
      <c r="BN180" s="3939" t="s">
        <v>2129</v>
      </c>
      <c r="BO180" s="3937" t="s">
        <v>2129</v>
      </c>
      <c r="BP180" s="3988" t="s">
        <v>2129</v>
      </c>
      <c r="BQ180" s="3988"/>
      <c r="BR180" s="3988"/>
      <c r="BS180" s="2694"/>
    </row>
    <row r="181" spans="1:71" ht="13">
      <c r="A181">
        <v>1015</v>
      </c>
      <c r="B181" s="3979" t="s">
        <v>2860</v>
      </c>
      <c r="C181" s="2694" t="s">
        <v>2129</v>
      </c>
      <c r="D181" s="2694" t="s">
        <v>2129</v>
      </c>
      <c r="E181" s="2694" t="s">
        <v>2129</v>
      </c>
      <c r="F181" s="3974" t="s">
        <v>2129</v>
      </c>
      <c r="G181" s="3975" t="s">
        <v>2129</v>
      </c>
      <c r="H181" s="3976" t="s">
        <v>2129</v>
      </c>
      <c r="I181" s="2694">
        <v>6</v>
      </c>
      <c r="J181" s="3992" t="s">
        <v>4943</v>
      </c>
      <c r="K181" s="2694">
        <v>2</v>
      </c>
      <c r="L181" s="2694" t="b">
        <v>0</v>
      </c>
      <c r="M181" s="2694" t="s">
        <v>2129</v>
      </c>
      <c r="N181" s="2477">
        <v>36883</v>
      </c>
      <c r="O181" s="2477">
        <v>0</v>
      </c>
      <c r="P181" s="2477">
        <v>0</v>
      </c>
      <c r="Q181" s="2477">
        <v>0</v>
      </c>
      <c r="R181" s="2477">
        <v>0</v>
      </c>
      <c r="S181" s="2695">
        <v>40571.300000000003</v>
      </c>
      <c r="T181" s="2477">
        <v>40571</v>
      </c>
      <c r="U181" s="2477" t="b">
        <v>0</v>
      </c>
      <c r="V181" s="2477">
        <v>20285.5</v>
      </c>
      <c r="W181" s="2477">
        <v>0</v>
      </c>
      <c r="X181" s="3937">
        <v>1452000</v>
      </c>
      <c r="Y181" s="3938">
        <v>1452000</v>
      </c>
      <c r="Z181" s="3938" t="b">
        <v>0</v>
      </c>
      <c r="AA181" s="3938">
        <v>48400</v>
      </c>
      <c r="AB181" s="3938"/>
      <c r="AC181" s="3938"/>
      <c r="AD181" s="3938" t="s">
        <v>2129</v>
      </c>
      <c r="AE181" s="3938"/>
      <c r="AF181" s="3938"/>
      <c r="AG181">
        <v>30</v>
      </c>
      <c r="AH181" s="3965">
        <v>30</v>
      </c>
      <c r="AI181" s="3965" t="b">
        <v>0</v>
      </c>
      <c r="AJ181">
        <v>120</v>
      </c>
      <c r="AK181" s="3966">
        <v>12100</v>
      </c>
      <c r="AL181" s="2814" t="s">
        <v>2129</v>
      </c>
      <c r="AM181" s="2814" t="s">
        <v>2129</v>
      </c>
      <c r="AN181" s="2814" t="s">
        <v>2129</v>
      </c>
      <c r="AO181" s="3953" t="s">
        <v>2129</v>
      </c>
      <c r="AP181" s="2814" t="s">
        <v>2129</v>
      </c>
      <c r="AQ181" s="3954" t="s">
        <v>2129</v>
      </c>
      <c r="AR181" t="s">
        <v>2129</v>
      </c>
      <c r="AS181" t="s">
        <v>2129</v>
      </c>
      <c r="AU181" t="s">
        <v>2129</v>
      </c>
      <c r="AW181" t="s">
        <v>2129</v>
      </c>
      <c r="AX181" t="s">
        <v>2129</v>
      </c>
      <c r="AY181" t="s">
        <v>2129</v>
      </c>
      <c r="AZ181" s="3946" t="s">
        <v>2129</v>
      </c>
      <c r="BA181" t="s">
        <v>2129</v>
      </c>
      <c r="BB181" s="3947" t="s">
        <v>2129</v>
      </c>
      <c r="BC181" s="1958" t="s">
        <v>2129</v>
      </c>
      <c r="BD181" s="1958" t="s">
        <v>2129</v>
      </c>
      <c r="BE181" s="1958" t="s">
        <v>2129</v>
      </c>
      <c r="BF181" s="3937" t="s">
        <v>2129</v>
      </c>
      <c r="BG181" s="3938" t="s">
        <v>2129</v>
      </c>
      <c r="BH181" s="3938" t="s">
        <v>2129</v>
      </c>
      <c r="BI181" s="3937" t="s">
        <v>2129</v>
      </c>
      <c r="BJ181" s="3938" t="s">
        <v>2129</v>
      </c>
      <c r="BK181" s="3939" t="s">
        <v>2129</v>
      </c>
      <c r="BL181" s="3938" t="s">
        <v>2129</v>
      </c>
      <c r="BM181" s="3938" t="s">
        <v>2129</v>
      </c>
      <c r="BN181" s="3939" t="s">
        <v>2129</v>
      </c>
      <c r="BO181" s="3937" t="s">
        <v>2129</v>
      </c>
      <c r="BP181" s="3988" t="s">
        <v>2129</v>
      </c>
      <c r="BQ181" s="3988"/>
      <c r="BR181" s="3988"/>
      <c r="BS181" s="2694"/>
    </row>
    <row r="182" spans="1:71" ht="13">
      <c r="A182">
        <v>1016</v>
      </c>
      <c r="B182" s="3979" t="s">
        <v>3389</v>
      </c>
      <c r="C182" s="2694" t="s">
        <v>2129</v>
      </c>
      <c r="D182" s="2694" t="s">
        <v>2129</v>
      </c>
      <c r="E182" s="2694" t="s">
        <v>3694</v>
      </c>
      <c r="F182" s="3974" t="s">
        <v>2129</v>
      </c>
      <c r="G182" s="3975" t="s">
        <v>2129</v>
      </c>
      <c r="H182" s="3976" t="s">
        <v>3694</v>
      </c>
      <c r="I182" s="2694">
        <v>0</v>
      </c>
      <c r="J182" s="3992" t="s">
        <v>2854</v>
      </c>
      <c r="K182" s="2694">
        <v>0</v>
      </c>
      <c r="L182" s="2694" t="b">
        <v>0</v>
      </c>
      <c r="M182" s="2694" t="s">
        <v>2129</v>
      </c>
      <c r="N182" s="2477">
        <v>0</v>
      </c>
      <c r="O182" s="2477">
        <v>0</v>
      </c>
      <c r="P182" s="2477">
        <v>0</v>
      </c>
      <c r="Q182" s="2477">
        <v>0</v>
      </c>
      <c r="R182" s="2477">
        <v>0</v>
      </c>
      <c r="S182" s="2695">
        <v>0</v>
      </c>
      <c r="T182" s="2477">
        <v>0</v>
      </c>
      <c r="U182" s="2477" t="b">
        <v>1</v>
      </c>
      <c r="V182" s="2477" t="s">
        <v>2129</v>
      </c>
      <c r="W182" s="2477">
        <v>-219673</v>
      </c>
      <c r="X182" s="3937">
        <v>510951</v>
      </c>
      <c r="Y182" s="3938">
        <v>730624</v>
      </c>
      <c r="Z182" s="3938" t="b">
        <v>0</v>
      </c>
      <c r="AA182" s="3938">
        <v>15545.191489361701</v>
      </c>
      <c r="AB182" s="3938"/>
      <c r="AC182" s="3938"/>
      <c r="AD182" s="3938" t="s">
        <v>2129</v>
      </c>
      <c r="AE182" s="3938"/>
      <c r="AF182" s="3938"/>
      <c r="AG182">
        <v>147</v>
      </c>
      <c r="AH182" s="3965">
        <v>47</v>
      </c>
      <c r="AI182" t="b">
        <v>0</v>
      </c>
      <c r="AJ182">
        <v>47</v>
      </c>
      <c r="AK182" s="3966">
        <v>15546</v>
      </c>
      <c r="AL182" s="2814" t="s">
        <v>2129</v>
      </c>
      <c r="AM182" s="2814" t="s">
        <v>2129</v>
      </c>
      <c r="AN182" s="2814">
        <v>2070</v>
      </c>
      <c r="AO182" s="3953" t="s">
        <v>2129</v>
      </c>
      <c r="AP182" s="2814" t="s">
        <v>2129</v>
      </c>
      <c r="AQ182" s="3954">
        <v>1200</v>
      </c>
      <c r="AR182" t="s">
        <v>2129</v>
      </c>
      <c r="AS182" t="s">
        <v>2129</v>
      </c>
      <c r="AU182" t="s">
        <v>2129</v>
      </c>
      <c r="AW182" t="s">
        <v>2129</v>
      </c>
      <c r="AX182" t="s">
        <v>2129</v>
      </c>
      <c r="AY182">
        <v>30</v>
      </c>
      <c r="AZ182" s="3946" t="s">
        <v>2129</v>
      </c>
      <c r="BA182" t="s">
        <v>2129</v>
      </c>
      <c r="BB182" s="3947">
        <v>15</v>
      </c>
      <c r="BC182" s="1958" t="s">
        <v>2129</v>
      </c>
      <c r="BD182" s="1958" t="s">
        <v>2129</v>
      </c>
      <c r="BE182" s="1958">
        <v>32180220</v>
      </c>
      <c r="BF182" s="3937" t="s">
        <v>2129</v>
      </c>
      <c r="BG182" s="3938" t="s">
        <v>2129</v>
      </c>
      <c r="BH182" s="3938">
        <v>18655200</v>
      </c>
      <c r="BI182" s="3937" t="s">
        <v>2129</v>
      </c>
      <c r="BJ182" s="3938" t="s">
        <v>2129</v>
      </c>
      <c r="BK182" s="3939" t="s">
        <v>2129</v>
      </c>
      <c r="BL182" s="3938" t="s">
        <v>2129</v>
      </c>
      <c r="BM182" s="3938" t="s">
        <v>2129</v>
      </c>
      <c r="BN182" s="3939" t="s">
        <v>2129</v>
      </c>
      <c r="BO182" s="3937" t="s">
        <v>2129</v>
      </c>
      <c r="BP182" s="3988" t="s">
        <v>2129</v>
      </c>
      <c r="BQ182" s="3988"/>
      <c r="BR182" s="3988"/>
      <c r="BS182" s="2694"/>
    </row>
    <row r="183" spans="1:71" ht="13">
      <c r="A183">
        <v>1017</v>
      </c>
      <c r="B183" s="3979" t="s">
        <v>3390</v>
      </c>
      <c r="C183" s="2694" t="s">
        <v>2129</v>
      </c>
      <c r="D183" s="2694" t="s">
        <v>2129</v>
      </c>
      <c r="E183" s="2694" t="s">
        <v>3694</v>
      </c>
      <c r="F183" s="3974" t="s">
        <v>2129</v>
      </c>
      <c r="G183" s="3975" t="s">
        <v>2129</v>
      </c>
      <c r="H183" s="3976" t="s">
        <v>3694</v>
      </c>
      <c r="I183" s="2694">
        <v>0</v>
      </c>
      <c r="J183" s="3992" t="s">
        <v>2854</v>
      </c>
      <c r="K183" s="2694">
        <v>0</v>
      </c>
      <c r="L183" s="2694" t="b">
        <v>0</v>
      </c>
      <c r="M183" s="2694" t="s">
        <v>2129</v>
      </c>
      <c r="N183" s="2477">
        <v>0</v>
      </c>
      <c r="O183" s="2477">
        <v>0</v>
      </c>
      <c r="P183" s="2477">
        <v>0</v>
      </c>
      <c r="Q183" s="2477">
        <v>0</v>
      </c>
      <c r="R183" s="2477">
        <v>0</v>
      </c>
      <c r="S183" s="2695">
        <v>0</v>
      </c>
      <c r="T183" s="2477">
        <v>0</v>
      </c>
      <c r="U183" s="2477" t="b">
        <v>1</v>
      </c>
      <c r="V183" s="2477" t="s">
        <v>2129</v>
      </c>
      <c r="W183" s="2477">
        <v>0</v>
      </c>
      <c r="X183" s="3937">
        <v>2174213</v>
      </c>
      <c r="Y183" s="3938">
        <v>2174213</v>
      </c>
      <c r="Z183" s="3938" t="b">
        <v>0</v>
      </c>
      <c r="AA183" s="3938">
        <v>21315.813725490196</v>
      </c>
      <c r="AB183" s="3938"/>
      <c r="AC183" s="3938"/>
      <c r="AD183" s="3938" t="s">
        <v>2129</v>
      </c>
      <c r="AE183" s="3938"/>
      <c r="AF183" s="3938"/>
      <c r="AG183">
        <v>102</v>
      </c>
      <c r="AH183">
        <v>102</v>
      </c>
      <c r="AI183" t="b">
        <v>0</v>
      </c>
      <c r="AJ183">
        <v>114</v>
      </c>
      <c r="AK183" s="3966">
        <v>19073</v>
      </c>
      <c r="AL183" s="2814" t="s">
        <v>2129</v>
      </c>
      <c r="AM183" s="2814" t="s">
        <v>2129</v>
      </c>
      <c r="AN183" s="2814">
        <v>1440</v>
      </c>
      <c r="AO183" s="3953" t="s">
        <v>2129</v>
      </c>
      <c r="AP183" s="2814" t="s">
        <v>2129</v>
      </c>
      <c r="AQ183" s="3954">
        <v>1200</v>
      </c>
      <c r="AR183" t="s">
        <v>2129</v>
      </c>
      <c r="AS183" t="s">
        <v>2129</v>
      </c>
      <c r="AU183" t="s">
        <v>2129</v>
      </c>
      <c r="AW183" t="s">
        <v>2129</v>
      </c>
      <c r="AX183" t="s">
        <v>2129</v>
      </c>
      <c r="AY183">
        <v>30</v>
      </c>
      <c r="AZ183" s="3946" t="s">
        <v>2129</v>
      </c>
      <c r="BA183" t="s">
        <v>2129</v>
      </c>
      <c r="BB183" s="3947">
        <v>15</v>
      </c>
      <c r="BC183" s="1958" t="s">
        <v>2129</v>
      </c>
      <c r="BD183" s="1958" t="s">
        <v>2129</v>
      </c>
      <c r="BE183" s="1958">
        <v>27465120</v>
      </c>
      <c r="BF183" s="3937" t="s">
        <v>2129</v>
      </c>
      <c r="BG183" s="3938" t="s">
        <v>2129</v>
      </c>
      <c r="BH183" s="3938">
        <v>22887600</v>
      </c>
      <c r="BI183" s="3937" t="s">
        <v>2129</v>
      </c>
      <c r="BJ183" s="3938" t="s">
        <v>2129</v>
      </c>
      <c r="BK183" s="3939" t="s">
        <v>2129</v>
      </c>
      <c r="BL183" s="3938" t="s">
        <v>2129</v>
      </c>
      <c r="BM183" s="3938" t="s">
        <v>2129</v>
      </c>
      <c r="BN183" s="3939" t="s">
        <v>2129</v>
      </c>
      <c r="BO183" s="3937" t="s">
        <v>2129</v>
      </c>
      <c r="BP183" s="3988" t="s">
        <v>2129</v>
      </c>
      <c r="BQ183" s="3988"/>
      <c r="BR183" s="3988"/>
      <c r="BS183" s="2694"/>
    </row>
    <row r="184" spans="1:71" ht="13">
      <c r="A184">
        <v>1018</v>
      </c>
      <c r="B184" s="3979" t="s">
        <v>3391</v>
      </c>
      <c r="C184" s="2694" t="s">
        <v>2129</v>
      </c>
      <c r="D184" s="2694" t="s">
        <v>2129</v>
      </c>
      <c r="E184" s="2694" t="s">
        <v>3694</v>
      </c>
      <c r="F184" s="3974" t="s">
        <v>2129</v>
      </c>
      <c r="G184" s="3975" t="s">
        <v>2129</v>
      </c>
      <c r="H184" s="3976" t="s">
        <v>3694</v>
      </c>
      <c r="I184" s="2694">
        <v>0</v>
      </c>
      <c r="J184" s="3992" t="s">
        <v>2854</v>
      </c>
      <c r="K184" s="2694">
        <v>0</v>
      </c>
      <c r="L184" s="2694" t="b">
        <v>0</v>
      </c>
      <c r="M184" s="2694" t="s">
        <v>2129</v>
      </c>
      <c r="N184" s="2477">
        <v>0</v>
      </c>
      <c r="O184" s="2477">
        <v>0</v>
      </c>
      <c r="P184" s="2477">
        <v>0</v>
      </c>
      <c r="Q184" s="2477">
        <v>0</v>
      </c>
      <c r="R184" s="2477">
        <v>0</v>
      </c>
      <c r="S184" s="2695">
        <v>0</v>
      </c>
      <c r="T184" s="2477">
        <v>0</v>
      </c>
      <c r="U184" s="2477" t="b">
        <v>1</v>
      </c>
      <c r="V184" s="2477" t="s">
        <v>2129</v>
      </c>
      <c r="W184" s="2477">
        <v>0</v>
      </c>
      <c r="X184" s="3937">
        <v>10811667</v>
      </c>
      <c r="Y184" s="3938">
        <v>10811667</v>
      </c>
      <c r="Z184" s="3938" t="b">
        <v>0</v>
      </c>
      <c r="AA184" s="3938">
        <v>26827.957816377173</v>
      </c>
      <c r="AB184" s="3938"/>
      <c r="AC184" s="3938"/>
      <c r="AD184" s="3938" t="s">
        <v>2129</v>
      </c>
      <c r="AE184" s="3938"/>
      <c r="AF184" s="3938"/>
      <c r="AG184">
        <v>403</v>
      </c>
      <c r="AH184">
        <v>403</v>
      </c>
      <c r="AI184" t="b">
        <v>0</v>
      </c>
      <c r="AJ184">
        <v>403</v>
      </c>
      <c r="AK184" s="3966">
        <v>26828</v>
      </c>
      <c r="AL184" s="2814" t="s">
        <v>2129</v>
      </c>
      <c r="AM184" s="2814" t="s">
        <v>2129</v>
      </c>
      <c r="AN184" s="2814">
        <v>5640</v>
      </c>
      <c r="AO184" s="3953" t="s">
        <v>2129</v>
      </c>
      <c r="AP184" s="2814" t="s">
        <v>2129</v>
      </c>
      <c r="AQ184" s="3954">
        <v>2640</v>
      </c>
      <c r="AR184" t="s">
        <v>2129</v>
      </c>
      <c r="AS184" t="s">
        <v>2129</v>
      </c>
      <c r="AU184" t="s">
        <v>2129</v>
      </c>
      <c r="AW184" t="s">
        <v>2129</v>
      </c>
      <c r="AX184" t="s">
        <v>2129</v>
      </c>
      <c r="AY184">
        <v>30</v>
      </c>
      <c r="AZ184" s="3946" t="s">
        <v>2129</v>
      </c>
      <c r="BA184" t="s">
        <v>2129</v>
      </c>
      <c r="BB184" s="3947">
        <v>15</v>
      </c>
      <c r="BC184" s="1958" t="s">
        <v>2129</v>
      </c>
      <c r="BD184" s="1958" t="s">
        <v>2129</v>
      </c>
      <c r="BE184" s="1958">
        <v>151309920</v>
      </c>
      <c r="BF184" s="3937" t="s">
        <v>2129</v>
      </c>
      <c r="BG184" s="3938" t="s">
        <v>2129</v>
      </c>
      <c r="BH184" s="3938">
        <v>70825920</v>
      </c>
      <c r="BI184" s="3937" t="s">
        <v>2129</v>
      </c>
      <c r="BJ184" s="3938" t="s">
        <v>2129</v>
      </c>
      <c r="BK184" s="3939" t="s">
        <v>2129</v>
      </c>
      <c r="BL184" s="3938" t="s">
        <v>2129</v>
      </c>
      <c r="BM184" s="3938" t="s">
        <v>2129</v>
      </c>
      <c r="BN184" s="3939" t="s">
        <v>2129</v>
      </c>
      <c r="BO184" s="3937" t="s">
        <v>2129</v>
      </c>
      <c r="BP184" s="3988" t="s">
        <v>2129</v>
      </c>
      <c r="BQ184" s="3988"/>
      <c r="BR184" s="3988"/>
      <c r="BS184" s="2694"/>
    </row>
    <row r="185" spans="1:71" ht="13">
      <c r="A185">
        <v>1021</v>
      </c>
      <c r="B185" s="3979" t="s">
        <v>3392</v>
      </c>
      <c r="C185" s="2694" t="s">
        <v>2129</v>
      </c>
      <c r="D185" s="2694" t="s">
        <v>2129</v>
      </c>
      <c r="E185" s="2694" t="s">
        <v>2129</v>
      </c>
      <c r="F185" s="3974" t="s">
        <v>2129</v>
      </c>
      <c r="G185" s="3975" t="s">
        <v>2129</v>
      </c>
      <c r="H185" s="3976" t="s">
        <v>2129</v>
      </c>
      <c r="I185" s="2694">
        <v>6</v>
      </c>
      <c r="J185" s="3992" t="s">
        <v>3503</v>
      </c>
      <c r="K185" s="2694">
        <v>6</v>
      </c>
      <c r="L185" s="2694" t="b">
        <v>1</v>
      </c>
      <c r="M185" s="2694" t="s">
        <v>2129</v>
      </c>
      <c r="N185" s="2477">
        <v>22564709</v>
      </c>
      <c r="O185" s="2477">
        <v>235296</v>
      </c>
      <c r="P185" s="2477">
        <v>136380</v>
      </c>
      <c r="Q185" s="2477">
        <v>0</v>
      </c>
      <c r="R185" s="2477">
        <v>0</v>
      </c>
      <c r="S185" s="2695">
        <v>25230023.500000004</v>
      </c>
      <c r="T185" s="2477">
        <v>25719771</v>
      </c>
      <c r="U185" s="2477" t="b">
        <v>1</v>
      </c>
      <c r="V185" s="2477">
        <v>4286628.5</v>
      </c>
      <c r="W185" s="2477">
        <v>0</v>
      </c>
      <c r="X185" s="3937">
        <v>48998075</v>
      </c>
      <c r="Y185" s="3938">
        <v>48998075</v>
      </c>
      <c r="Z185" s="3938" t="b">
        <v>1</v>
      </c>
      <c r="AA185" s="3938">
        <v>136105.76388888888</v>
      </c>
      <c r="AB185" s="3938"/>
      <c r="AC185" s="3938"/>
      <c r="AD185" s="3938" t="s">
        <v>2129</v>
      </c>
      <c r="AE185" s="3938"/>
      <c r="AF185" s="3938"/>
      <c r="AG185">
        <v>360</v>
      </c>
      <c r="AH185">
        <v>360</v>
      </c>
      <c r="AI185" t="b">
        <v>1</v>
      </c>
      <c r="AJ185">
        <v>514</v>
      </c>
      <c r="AK185" s="3966">
        <v>95327</v>
      </c>
      <c r="AL185" s="2814" t="s">
        <v>2129</v>
      </c>
      <c r="AM185" s="2814" t="s">
        <v>2129</v>
      </c>
      <c r="AN185" s="2814" t="s">
        <v>2129</v>
      </c>
      <c r="AO185" s="3953" t="s">
        <v>2129</v>
      </c>
      <c r="AP185" s="2814" t="s">
        <v>2129</v>
      </c>
      <c r="AQ185" s="3954" t="s">
        <v>2129</v>
      </c>
      <c r="AR185" t="s">
        <v>2129</v>
      </c>
      <c r="AS185" t="s">
        <v>2129</v>
      </c>
      <c r="AU185" t="s">
        <v>2129</v>
      </c>
      <c r="AW185" t="s">
        <v>2129</v>
      </c>
      <c r="AX185" t="s">
        <v>2129</v>
      </c>
      <c r="AY185" t="s">
        <v>2129</v>
      </c>
      <c r="AZ185" s="3946" t="s">
        <v>2129</v>
      </c>
      <c r="BA185" t="s">
        <v>2129</v>
      </c>
      <c r="BB185" s="3947" t="s">
        <v>2129</v>
      </c>
      <c r="BC185" s="1958" t="s">
        <v>2129</v>
      </c>
      <c r="BD185" s="1958" t="s">
        <v>2129</v>
      </c>
      <c r="BE185" s="1958" t="s">
        <v>2129</v>
      </c>
      <c r="BF185" s="3937" t="s">
        <v>2129</v>
      </c>
      <c r="BG185" s="3938" t="s">
        <v>2129</v>
      </c>
      <c r="BH185" s="3938" t="s">
        <v>2129</v>
      </c>
      <c r="BI185" s="3937" t="s">
        <v>2129</v>
      </c>
      <c r="BJ185" s="3938" t="s">
        <v>2129</v>
      </c>
      <c r="BK185" s="3939" t="s">
        <v>2129</v>
      </c>
      <c r="BL185" s="3938" t="s">
        <v>2129</v>
      </c>
      <c r="BM185" s="3938" t="s">
        <v>2129</v>
      </c>
      <c r="BN185" s="3939" t="s">
        <v>2129</v>
      </c>
      <c r="BO185" s="3937" t="s">
        <v>2129</v>
      </c>
      <c r="BP185" s="3988" t="s">
        <v>2129</v>
      </c>
      <c r="BQ185" s="3988"/>
      <c r="BR185" s="3988"/>
      <c r="BS185" s="2694"/>
    </row>
    <row r="186" spans="1:71" ht="13">
      <c r="A186">
        <v>1027</v>
      </c>
      <c r="B186" s="3995" t="s">
        <v>3393</v>
      </c>
      <c r="C186" s="2694" t="s">
        <v>2129</v>
      </c>
      <c r="D186" s="2694" t="s">
        <v>2695</v>
      </c>
      <c r="E186" s="2694" t="s">
        <v>2129</v>
      </c>
      <c r="F186" s="3974" t="s">
        <v>2129</v>
      </c>
      <c r="G186" s="3975" t="s">
        <v>2129</v>
      </c>
      <c r="H186" s="3976" t="s">
        <v>2129</v>
      </c>
      <c r="I186" s="2694">
        <v>11</v>
      </c>
      <c r="J186" s="3992" t="s">
        <v>2700</v>
      </c>
      <c r="K186" s="2694">
        <v>7</v>
      </c>
      <c r="L186" s="2694" t="b">
        <v>0</v>
      </c>
      <c r="M186" s="2694" t="s">
        <v>2129</v>
      </c>
      <c r="N186" s="2477">
        <v>19661769</v>
      </c>
      <c r="O186" s="2477">
        <v>0</v>
      </c>
      <c r="P186" s="2477">
        <v>0</v>
      </c>
      <c r="Q186" s="2477">
        <v>0</v>
      </c>
      <c r="R186" s="2477">
        <v>0</v>
      </c>
      <c r="S186" s="2695">
        <v>21627945.900000002</v>
      </c>
      <c r="T186" s="2477">
        <v>25146822</v>
      </c>
      <c r="U186" s="2477" t="b">
        <v>0</v>
      </c>
      <c r="V186" s="2477">
        <v>3592403.1428571427</v>
      </c>
      <c r="W186" s="2477">
        <v>2373250</v>
      </c>
      <c r="X186" s="3937">
        <v>18056720</v>
      </c>
      <c r="Y186" s="3938">
        <v>15683470</v>
      </c>
      <c r="Z186" s="3938" t="b">
        <v>1</v>
      </c>
      <c r="AA186" s="3938">
        <v>104556.46666666666</v>
      </c>
      <c r="AB186" s="3938"/>
      <c r="AC186" s="3938"/>
      <c r="AD186" s="3938" t="s">
        <v>2129</v>
      </c>
      <c r="AE186" s="3938"/>
      <c r="AF186" s="3938"/>
      <c r="AG186">
        <v>150</v>
      </c>
      <c r="AH186" s="3965">
        <v>150</v>
      </c>
      <c r="AI186" s="3965" t="b">
        <v>1</v>
      </c>
      <c r="AJ186">
        <v>235</v>
      </c>
      <c r="AK186" s="3966">
        <v>66739</v>
      </c>
      <c r="AL186" s="2814" t="s">
        <v>2129</v>
      </c>
      <c r="AM186" s="2814">
        <v>1350</v>
      </c>
      <c r="AN186" s="2814" t="s">
        <v>2129</v>
      </c>
      <c r="AO186" s="3953" t="s">
        <v>2129</v>
      </c>
      <c r="AP186" s="2814" t="s">
        <v>2129</v>
      </c>
      <c r="AQ186" s="3954" t="s">
        <v>2129</v>
      </c>
      <c r="AR186" t="s">
        <v>2129</v>
      </c>
      <c r="AS186">
        <v>1200</v>
      </c>
      <c r="AU186" t="s">
        <v>2129</v>
      </c>
      <c r="AW186" t="s">
        <v>2129</v>
      </c>
      <c r="AX186">
        <v>18</v>
      </c>
      <c r="AY186" t="s">
        <v>2129</v>
      </c>
      <c r="AZ186" s="3946" t="s">
        <v>2129</v>
      </c>
      <c r="BA186" t="s">
        <v>2129</v>
      </c>
      <c r="BB186" s="3947" t="s">
        <v>2129</v>
      </c>
      <c r="BC186" s="1958" t="s">
        <v>2129</v>
      </c>
      <c r="BD186" s="1958">
        <v>90097650</v>
      </c>
      <c r="BE186" s="1958" t="s">
        <v>2129</v>
      </c>
      <c r="BF186" s="3937" t="s">
        <v>2129</v>
      </c>
      <c r="BG186" s="3938" t="s">
        <v>2129</v>
      </c>
      <c r="BH186" s="3938" t="s">
        <v>2129</v>
      </c>
      <c r="BI186" s="3937" t="s">
        <v>2129</v>
      </c>
      <c r="BJ186" s="3938">
        <v>452642796</v>
      </c>
      <c r="BK186" s="3939" t="s">
        <v>2129</v>
      </c>
      <c r="BL186" s="3938" t="s">
        <v>2129</v>
      </c>
      <c r="BM186" s="3938" t="s">
        <v>2129</v>
      </c>
      <c r="BN186" s="3939" t="s">
        <v>2129</v>
      </c>
      <c r="BO186" s="3937" t="s">
        <v>2129</v>
      </c>
      <c r="BP186" s="3988" t="s">
        <v>2129</v>
      </c>
      <c r="BQ186" s="3988"/>
      <c r="BR186" s="3988"/>
      <c r="BS186" s="2694"/>
    </row>
    <row r="187" spans="1:71" ht="13">
      <c r="A187">
        <v>1028</v>
      </c>
      <c r="B187" s="3979" t="s">
        <v>3394</v>
      </c>
      <c r="C187" s="2694" t="s">
        <v>2129</v>
      </c>
      <c r="D187" s="2694" t="s">
        <v>2129</v>
      </c>
      <c r="E187" s="2694" t="s">
        <v>2129</v>
      </c>
      <c r="F187" s="3974" t="s">
        <v>2129</v>
      </c>
      <c r="G187" s="3975" t="s">
        <v>2129</v>
      </c>
      <c r="H187" s="3976" t="s">
        <v>2129</v>
      </c>
      <c r="I187" s="2694">
        <v>1</v>
      </c>
      <c r="J187" s="3992" t="s">
        <v>3592</v>
      </c>
      <c r="K187" s="2694">
        <v>0</v>
      </c>
      <c r="L187" s="2694" t="b">
        <v>0</v>
      </c>
      <c r="M187" s="2694" t="s">
        <v>2129</v>
      </c>
      <c r="N187" s="2477">
        <v>0</v>
      </c>
      <c r="O187" s="2477">
        <v>0</v>
      </c>
      <c r="P187" s="2477">
        <v>0</v>
      </c>
      <c r="Q187" s="2477">
        <v>0</v>
      </c>
      <c r="R187" s="2477">
        <v>0</v>
      </c>
      <c r="S187" s="2695">
        <v>0</v>
      </c>
      <c r="T187" s="2477">
        <v>0</v>
      </c>
      <c r="U187" s="2477" t="b">
        <v>1</v>
      </c>
      <c r="V187" s="2477" t="s">
        <v>2129</v>
      </c>
      <c r="W187" s="2477">
        <v>0</v>
      </c>
      <c r="X187" s="3937">
        <v>399590</v>
      </c>
      <c r="Y187" s="3938">
        <v>399590</v>
      </c>
      <c r="Z187" s="3938" t="b">
        <v>1</v>
      </c>
      <c r="AA187" s="3938">
        <v>15983.6</v>
      </c>
      <c r="AB187" s="3938"/>
      <c r="AC187" s="3938"/>
      <c r="AD187" s="3938" t="s">
        <v>2129</v>
      </c>
      <c r="AE187" s="3938"/>
      <c r="AF187" s="3938"/>
      <c r="AG187">
        <v>25</v>
      </c>
      <c r="AH187" s="3965">
        <v>25</v>
      </c>
      <c r="AI187" s="3965" t="b">
        <v>1</v>
      </c>
      <c r="AJ187">
        <v>56</v>
      </c>
      <c r="AK187" s="3966">
        <v>7136</v>
      </c>
      <c r="AL187" s="2814" t="s">
        <v>2129</v>
      </c>
      <c r="AM187" s="2814" t="s">
        <v>2129</v>
      </c>
      <c r="AN187" s="2814" t="s">
        <v>2129</v>
      </c>
      <c r="AO187" s="3953" t="s">
        <v>2129</v>
      </c>
      <c r="AP187" s="2814" t="s">
        <v>2129</v>
      </c>
      <c r="AQ187" s="3954" t="s">
        <v>2129</v>
      </c>
      <c r="AR187" t="s">
        <v>2129</v>
      </c>
      <c r="AS187" t="s">
        <v>2129</v>
      </c>
      <c r="AU187" t="s">
        <v>2129</v>
      </c>
      <c r="AW187" t="s">
        <v>2129</v>
      </c>
      <c r="AX187" t="s">
        <v>2129</v>
      </c>
      <c r="AY187" t="s">
        <v>2129</v>
      </c>
      <c r="AZ187" s="3946" t="s">
        <v>2129</v>
      </c>
      <c r="BA187" t="s">
        <v>2129</v>
      </c>
      <c r="BB187" s="3947" t="s">
        <v>2129</v>
      </c>
      <c r="BC187" s="1958" t="s">
        <v>2129</v>
      </c>
      <c r="BD187" s="1958" t="s">
        <v>2129</v>
      </c>
      <c r="BE187" s="1958" t="s">
        <v>2129</v>
      </c>
      <c r="BF187" s="3937" t="s">
        <v>2129</v>
      </c>
      <c r="BG187" s="3938" t="s">
        <v>2129</v>
      </c>
      <c r="BH187" s="3938" t="s">
        <v>2129</v>
      </c>
      <c r="BI187" s="3937" t="s">
        <v>2129</v>
      </c>
      <c r="BJ187" s="3938" t="s">
        <v>2129</v>
      </c>
      <c r="BK187" s="3939" t="s">
        <v>2129</v>
      </c>
      <c r="BL187" s="3938" t="s">
        <v>2129</v>
      </c>
      <c r="BM187" s="3938" t="s">
        <v>2129</v>
      </c>
      <c r="BN187" s="3939" t="s">
        <v>2129</v>
      </c>
      <c r="BO187" s="3937" t="s">
        <v>2129</v>
      </c>
      <c r="BP187" s="3988" t="s">
        <v>2129</v>
      </c>
      <c r="BQ187" s="3988"/>
      <c r="BR187" s="3988"/>
      <c r="BS187" s="2694"/>
    </row>
    <row r="188" spans="1:71" ht="13">
      <c r="A188">
        <v>1029</v>
      </c>
      <c r="B188" s="3979" t="s">
        <v>2870</v>
      </c>
      <c r="C188" s="2694" t="s">
        <v>2129</v>
      </c>
      <c r="D188" s="2694" t="s">
        <v>2129</v>
      </c>
      <c r="E188" s="2694" t="s">
        <v>2129</v>
      </c>
      <c r="F188" s="3974" t="s">
        <v>2129</v>
      </c>
      <c r="G188" s="3975" t="s">
        <v>2129</v>
      </c>
      <c r="H188" s="3976" t="s">
        <v>2129</v>
      </c>
      <c r="I188" s="2694">
        <v>6</v>
      </c>
      <c r="J188" s="3992" t="s">
        <v>4879</v>
      </c>
      <c r="K188" s="2694">
        <v>5</v>
      </c>
      <c r="L188" s="2694" t="b">
        <v>0</v>
      </c>
      <c r="M188" s="2694" t="s">
        <v>2129</v>
      </c>
      <c r="N188" s="2477">
        <v>4706</v>
      </c>
      <c r="O188" s="2477">
        <v>0</v>
      </c>
      <c r="P188" s="2477">
        <v>0</v>
      </c>
      <c r="Q188" s="2477">
        <v>14550</v>
      </c>
      <c r="R188" s="2477">
        <v>0</v>
      </c>
      <c r="S188" s="2695">
        <v>19726.599999999999</v>
      </c>
      <c r="T188" s="2477">
        <v>19726</v>
      </c>
      <c r="U188" s="2477" t="b">
        <v>0</v>
      </c>
      <c r="V188" s="2477">
        <v>3945.2</v>
      </c>
      <c r="W188" s="2477">
        <v>0</v>
      </c>
      <c r="X188" s="3937">
        <v>7595514</v>
      </c>
      <c r="Y188" s="3938">
        <v>7595514</v>
      </c>
      <c r="Z188" s="3938" t="b">
        <v>1</v>
      </c>
      <c r="AA188" s="3938">
        <v>51670.163265306124</v>
      </c>
      <c r="AB188" s="3938"/>
      <c r="AC188" s="3938"/>
      <c r="AD188" s="3938" t="s">
        <v>2129</v>
      </c>
      <c r="AE188" s="3938"/>
      <c r="AF188" s="3938"/>
      <c r="AG188">
        <v>147</v>
      </c>
      <c r="AH188" s="3965">
        <v>147</v>
      </c>
      <c r="AI188" s="3965" t="b">
        <v>1</v>
      </c>
      <c r="AJ188">
        <v>360</v>
      </c>
      <c r="AK188" s="3966">
        <v>21099</v>
      </c>
      <c r="AL188" s="2814" t="s">
        <v>2129</v>
      </c>
      <c r="AM188" s="2814" t="s">
        <v>2129</v>
      </c>
      <c r="AN188" s="2814" t="s">
        <v>2129</v>
      </c>
      <c r="AO188" s="3953" t="s">
        <v>2129</v>
      </c>
      <c r="AP188" s="2814" t="s">
        <v>2129</v>
      </c>
      <c r="AQ188" s="3954" t="s">
        <v>2129</v>
      </c>
      <c r="AR188" t="s">
        <v>2129</v>
      </c>
      <c r="AS188" t="s">
        <v>2129</v>
      </c>
      <c r="AU188" t="s">
        <v>2129</v>
      </c>
      <c r="AW188" t="s">
        <v>2129</v>
      </c>
      <c r="AX188" t="s">
        <v>2129</v>
      </c>
      <c r="AY188" t="s">
        <v>2129</v>
      </c>
      <c r="AZ188" s="3946" t="s">
        <v>2129</v>
      </c>
      <c r="BA188" t="s">
        <v>2129</v>
      </c>
      <c r="BB188" s="3947" t="s">
        <v>2129</v>
      </c>
      <c r="BC188" s="1958" t="s">
        <v>2129</v>
      </c>
      <c r="BD188" s="1958" t="s">
        <v>2129</v>
      </c>
      <c r="BE188" s="1958" t="s">
        <v>2129</v>
      </c>
      <c r="BF188" s="3937" t="s">
        <v>2129</v>
      </c>
      <c r="BG188" s="3938" t="s">
        <v>2129</v>
      </c>
      <c r="BH188" s="3938" t="s">
        <v>2129</v>
      </c>
      <c r="BI188" s="3937" t="s">
        <v>2129</v>
      </c>
      <c r="BJ188" s="3938" t="s">
        <v>2129</v>
      </c>
      <c r="BK188" s="3939" t="s">
        <v>2129</v>
      </c>
      <c r="BL188" s="3938" t="s">
        <v>2129</v>
      </c>
      <c r="BM188" s="3938" t="s">
        <v>2129</v>
      </c>
      <c r="BN188" s="3939" t="s">
        <v>2129</v>
      </c>
      <c r="BO188" s="3937" t="s">
        <v>2129</v>
      </c>
      <c r="BP188" s="3988" t="s">
        <v>2129</v>
      </c>
      <c r="BQ188" s="3988"/>
      <c r="BR188" s="3988"/>
      <c r="BS188" s="2694"/>
    </row>
    <row r="189" spans="1:71" ht="13">
      <c r="A189">
        <v>1030</v>
      </c>
      <c r="B189" s="3979" t="s">
        <v>3395</v>
      </c>
      <c r="C189" s="2694" t="s">
        <v>3791</v>
      </c>
      <c r="D189" s="2694" t="s">
        <v>2129</v>
      </c>
      <c r="E189" s="2694" t="s">
        <v>2129</v>
      </c>
      <c r="F189" s="3974" t="s">
        <v>2129</v>
      </c>
      <c r="G189" s="3975" t="s">
        <v>2129</v>
      </c>
      <c r="H189" s="3976" t="s">
        <v>2129</v>
      </c>
      <c r="I189" s="2694">
        <v>9</v>
      </c>
      <c r="J189" s="3992" t="s">
        <v>3474</v>
      </c>
      <c r="K189" s="2694">
        <v>3</v>
      </c>
      <c r="L189" s="2694" t="b">
        <v>1</v>
      </c>
      <c r="M189" s="2694" t="s">
        <v>2129</v>
      </c>
      <c r="N189" s="2477">
        <v>1194121</v>
      </c>
      <c r="O189" s="2477">
        <v>0</v>
      </c>
      <c r="P189" s="2477">
        <v>0</v>
      </c>
      <c r="Q189" s="2477">
        <v>8250</v>
      </c>
      <c r="R189" s="2477">
        <v>0</v>
      </c>
      <c r="S189" s="2695">
        <v>1321783.1000000001</v>
      </c>
      <c r="T189" s="2477">
        <v>568942</v>
      </c>
      <c r="U189" s="2477" t="b">
        <v>1</v>
      </c>
      <c r="V189" s="2477">
        <v>189647.33333333334</v>
      </c>
      <c r="W189" s="2477">
        <v>238348</v>
      </c>
      <c r="X189" s="3937">
        <v>1097448</v>
      </c>
      <c r="Y189" s="3938">
        <v>859100</v>
      </c>
      <c r="Z189" s="3938" t="b">
        <v>1</v>
      </c>
      <c r="AA189" s="3938">
        <v>34364</v>
      </c>
      <c r="AB189" s="3938">
        <v>24942</v>
      </c>
      <c r="AC189" s="3938">
        <v>24942</v>
      </c>
      <c r="AD189" s="3938">
        <v>2063.65601729522</v>
      </c>
      <c r="AE189" s="3938">
        <v>2200</v>
      </c>
      <c r="AF189" s="3938"/>
      <c r="AG189">
        <v>67</v>
      </c>
      <c r="AH189" s="3965">
        <v>25</v>
      </c>
      <c r="AI189" s="3965" t="b">
        <v>1</v>
      </c>
      <c r="AJ189">
        <v>35</v>
      </c>
      <c r="AK189" s="3966">
        <v>24546</v>
      </c>
      <c r="AL189" s="2814">
        <v>362</v>
      </c>
      <c r="AM189" s="2814" t="s">
        <v>2129</v>
      </c>
      <c r="AN189" s="2814" t="s">
        <v>2129</v>
      </c>
      <c r="AO189" s="3953" t="s">
        <v>2129</v>
      </c>
      <c r="AP189" s="2814" t="s">
        <v>2129</v>
      </c>
      <c r="AQ189" s="3954" t="s">
        <v>2129</v>
      </c>
      <c r="AR189">
        <v>337</v>
      </c>
      <c r="AS189" t="s">
        <v>2129</v>
      </c>
      <c r="AU189" t="s">
        <v>2129</v>
      </c>
      <c r="AW189">
        <v>10</v>
      </c>
      <c r="AX189" t="s">
        <v>2129</v>
      </c>
      <c r="AY189" t="s">
        <v>2129</v>
      </c>
      <c r="AZ189" s="3946" t="s">
        <v>2129</v>
      </c>
      <c r="BA189" t="s">
        <v>2129</v>
      </c>
      <c r="BB189" s="3947" t="s">
        <v>2129</v>
      </c>
      <c r="BC189" s="1958">
        <v>8885652</v>
      </c>
      <c r="BD189" s="1958" t="s">
        <v>2129</v>
      </c>
      <c r="BE189" s="1958" t="s">
        <v>2129</v>
      </c>
      <c r="BF189" s="3937" t="s">
        <v>2129</v>
      </c>
      <c r="BG189" s="3938" t="s">
        <v>2129</v>
      </c>
      <c r="BH189" s="3938" t="s">
        <v>2129</v>
      </c>
      <c r="BI189" s="3937">
        <v>5689420</v>
      </c>
      <c r="BJ189" s="3938" t="s">
        <v>2129</v>
      </c>
      <c r="BK189" s="3939" t="s">
        <v>2129</v>
      </c>
      <c r="BL189" s="3938" t="s">
        <v>2129</v>
      </c>
      <c r="BM189" s="3938" t="s">
        <v>2129</v>
      </c>
      <c r="BN189" s="3939" t="s">
        <v>2129</v>
      </c>
      <c r="BO189" s="3937">
        <v>4434500</v>
      </c>
      <c r="BP189" s="3988" t="s">
        <v>2129</v>
      </c>
      <c r="BQ189" s="3988">
        <v>54300</v>
      </c>
      <c r="BR189" s="3988"/>
      <c r="BS189" s="2694"/>
    </row>
    <row r="190" spans="1:71" ht="13">
      <c r="A190">
        <v>1032</v>
      </c>
      <c r="B190" s="3979" t="s">
        <v>3396</v>
      </c>
      <c r="C190" s="2694" t="s">
        <v>2129</v>
      </c>
      <c r="D190" s="2694" t="s">
        <v>2695</v>
      </c>
      <c r="E190" s="2694" t="s">
        <v>2129</v>
      </c>
      <c r="F190" s="3974" t="s">
        <v>2129</v>
      </c>
      <c r="G190" s="3975" t="s">
        <v>2695</v>
      </c>
      <c r="H190" s="3976" t="s">
        <v>2129</v>
      </c>
      <c r="I190" s="2694">
        <v>4</v>
      </c>
      <c r="J190" s="3992">
        <v>0</v>
      </c>
      <c r="K190" s="2694">
        <v>4</v>
      </c>
      <c r="L190" s="2694" t="b">
        <v>1</v>
      </c>
      <c r="M190" s="2694" t="s">
        <v>2129</v>
      </c>
      <c r="N190" s="2477">
        <v>4339650</v>
      </c>
      <c r="O190" s="2477">
        <v>0</v>
      </c>
      <c r="P190" s="2477">
        <v>0</v>
      </c>
      <c r="Q190" s="2477">
        <v>0</v>
      </c>
      <c r="R190" s="2477">
        <v>0</v>
      </c>
      <c r="S190" s="2695">
        <v>4773615</v>
      </c>
      <c r="T190" s="2477">
        <v>4773615</v>
      </c>
      <c r="U190" s="2477" t="b">
        <v>1</v>
      </c>
      <c r="V190" s="2477">
        <v>1193403.75</v>
      </c>
      <c r="W190" s="2477">
        <v>0</v>
      </c>
      <c r="X190" s="3937">
        <v>25771836</v>
      </c>
      <c r="Y190" s="3938">
        <v>25771836</v>
      </c>
      <c r="Z190" s="3938" t="b">
        <v>1</v>
      </c>
      <c r="AA190" s="3938">
        <v>104763.56097560975</v>
      </c>
      <c r="AB190" s="3938"/>
      <c r="AC190" s="3938"/>
      <c r="AD190" s="3938" t="s">
        <v>2129</v>
      </c>
      <c r="AE190" s="3938"/>
      <c r="AF190" s="3938"/>
      <c r="AG190">
        <v>250</v>
      </c>
      <c r="AH190" s="3965">
        <v>246</v>
      </c>
      <c r="AI190" s="3965" t="b">
        <v>1</v>
      </c>
      <c r="AJ190">
        <v>492</v>
      </c>
      <c r="AK190" s="3966">
        <v>52382</v>
      </c>
      <c r="AL190" s="2814" t="s">
        <v>2129</v>
      </c>
      <c r="AM190" s="2814">
        <v>1944</v>
      </c>
      <c r="AN190" s="2814" t="s">
        <v>2129</v>
      </c>
      <c r="AO190" s="3953" t="s">
        <v>2129</v>
      </c>
      <c r="AP190" s="2814">
        <v>927</v>
      </c>
      <c r="AQ190" s="3954" t="s">
        <v>2129</v>
      </c>
      <c r="AR190" t="s">
        <v>2129</v>
      </c>
      <c r="AS190">
        <v>1698</v>
      </c>
      <c r="AU190" t="s">
        <v>2129</v>
      </c>
      <c r="AW190" t="s">
        <v>2129</v>
      </c>
      <c r="AX190">
        <v>18</v>
      </c>
      <c r="AY190" t="s">
        <v>2129</v>
      </c>
      <c r="AZ190" s="3946" t="s">
        <v>2129</v>
      </c>
      <c r="BA190">
        <v>9</v>
      </c>
      <c r="BB190" s="3947" t="s">
        <v>2129</v>
      </c>
      <c r="BC190" s="1958" t="s">
        <v>2129</v>
      </c>
      <c r="BD190" s="1958">
        <v>101830608</v>
      </c>
      <c r="BE190" s="1958" t="s">
        <v>2129</v>
      </c>
      <c r="BF190" s="3937" t="s">
        <v>2129</v>
      </c>
      <c r="BG190" s="3938">
        <v>48558114</v>
      </c>
      <c r="BH190" s="3938" t="s">
        <v>2129</v>
      </c>
      <c r="BI190" s="3937" t="s">
        <v>2129</v>
      </c>
      <c r="BJ190" s="3938">
        <v>85925070</v>
      </c>
      <c r="BK190" s="3939" t="s">
        <v>2129</v>
      </c>
      <c r="BL190" s="3938" t="s">
        <v>2129</v>
      </c>
      <c r="BM190" s="3938">
        <v>42962535</v>
      </c>
      <c r="BN190" s="3939" t="s">
        <v>2129</v>
      </c>
      <c r="BO190" s="3937" t="s">
        <v>2129</v>
      </c>
      <c r="BP190" s="3988" t="s">
        <v>2129</v>
      </c>
      <c r="BQ190" s="3988"/>
      <c r="BR190" s="3988"/>
      <c r="BS190" s="2694"/>
    </row>
    <row r="191" spans="1:71" ht="13">
      <c r="A191">
        <v>1033</v>
      </c>
      <c r="B191" s="3979" t="s">
        <v>3397</v>
      </c>
      <c r="C191" s="2694" t="s">
        <v>2129</v>
      </c>
      <c r="D191" s="2694" t="s">
        <v>2129</v>
      </c>
      <c r="E191" s="2694" t="s">
        <v>2129</v>
      </c>
      <c r="F191" s="3974" t="s">
        <v>2129</v>
      </c>
      <c r="G191" s="3975" t="s">
        <v>2129</v>
      </c>
      <c r="H191" s="3976" t="s">
        <v>2129</v>
      </c>
      <c r="I191" s="2694">
        <v>4</v>
      </c>
      <c r="J191" s="3992">
        <v>0</v>
      </c>
      <c r="K191" s="2694">
        <v>4</v>
      </c>
      <c r="L191" s="2694" t="b">
        <v>1</v>
      </c>
      <c r="M191" s="2694" t="s">
        <v>2129</v>
      </c>
      <c r="N191" s="2477">
        <v>4339650</v>
      </c>
      <c r="O191" s="2477">
        <v>0</v>
      </c>
      <c r="P191" s="2477">
        <v>0</v>
      </c>
      <c r="Q191" s="2477">
        <v>0</v>
      </c>
      <c r="R191" s="2477">
        <v>0</v>
      </c>
      <c r="S191" s="2695">
        <v>4773615</v>
      </c>
      <c r="T191" s="2477">
        <v>4773615</v>
      </c>
      <c r="U191" s="2477" t="b">
        <v>1</v>
      </c>
      <c r="V191" s="2477">
        <v>1193403.75</v>
      </c>
      <c r="W191" s="2477">
        <v>0</v>
      </c>
      <c r="X191" s="3937">
        <v>13501382</v>
      </c>
      <c r="Y191" s="3938">
        <v>13501382</v>
      </c>
      <c r="Z191" s="3938" t="b">
        <v>1</v>
      </c>
      <c r="AA191" s="3938">
        <v>125012.79629629629</v>
      </c>
      <c r="AB191" s="3938"/>
      <c r="AC191" s="3938"/>
      <c r="AD191" s="3938" t="s">
        <v>2129</v>
      </c>
      <c r="AE191" s="3938"/>
      <c r="AF191" s="3938"/>
      <c r="AG191" t="s">
        <v>3308</v>
      </c>
      <c r="AH191" s="3965">
        <v>108</v>
      </c>
      <c r="AI191" s="3965" t="b">
        <v>1</v>
      </c>
      <c r="AJ191">
        <v>216</v>
      </c>
      <c r="AK191" s="3966">
        <v>62507</v>
      </c>
      <c r="AL191" s="2814" t="s">
        <v>2129</v>
      </c>
      <c r="AM191" s="2814" t="s">
        <v>2129</v>
      </c>
      <c r="AN191" s="2814" t="s">
        <v>2129</v>
      </c>
      <c r="AO191" s="3953" t="s">
        <v>2129</v>
      </c>
      <c r="AP191" s="2814" t="s">
        <v>2129</v>
      </c>
      <c r="AQ191" s="3954" t="s">
        <v>2129</v>
      </c>
      <c r="AR191" t="s">
        <v>2129</v>
      </c>
      <c r="AS191" t="s">
        <v>2129</v>
      </c>
      <c r="AU191" t="s">
        <v>2129</v>
      </c>
      <c r="AW191" t="s">
        <v>2129</v>
      </c>
      <c r="AX191" t="s">
        <v>2129</v>
      </c>
      <c r="AY191" t="s">
        <v>2129</v>
      </c>
      <c r="AZ191" s="3946" t="s">
        <v>2129</v>
      </c>
      <c r="BA191" t="s">
        <v>2129</v>
      </c>
      <c r="BB191" s="3947" t="s">
        <v>2129</v>
      </c>
      <c r="BC191" s="1958" t="s">
        <v>2129</v>
      </c>
      <c r="BD191" s="1958" t="s">
        <v>2129</v>
      </c>
      <c r="BE191" s="1958" t="s">
        <v>2129</v>
      </c>
      <c r="BF191" s="3937" t="s">
        <v>2129</v>
      </c>
      <c r="BG191" s="3938" t="s">
        <v>2129</v>
      </c>
      <c r="BH191" s="3938" t="s">
        <v>2129</v>
      </c>
      <c r="BI191" s="3937" t="s">
        <v>2129</v>
      </c>
      <c r="BJ191" s="3938" t="s">
        <v>2129</v>
      </c>
      <c r="BK191" s="3939" t="s">
        <v>2129</v>
      </c>
      <c r="BL191" s="3938" t="s">
        <v>2129</v>
      </c>
      <c r="BM191" s="3938" t="s">
        <v>2129</v>
      </c>
      <c r="BN191" s="3939" t="s">
        <v>2129</v>
      </c>
      <c r="BO191" s="3937" t="s">
        <v>2129</v>
      </c>
      <c r="BP191" s="3988" t="s">
        <v>2129</v>
      </c>
      <c r="BQ191" s="3988"/>
      <c r="BR191" s="3988"/>
      <c r="BS191" s="2694"/>
    </row>
    <row r="192" spans="1:71" ht="13">
      <c r="A192">
        <v>1034</v>
      </c>
      <c r="B192" s="3979" t="s">
        <v>3398</v>
      </c>
      <c r="C192" s="2694" t="s">
        <v>2129</v>
      </c>
      <c r="D192" s="2694" t="s">
        <v>2129</v>
      </c>
      <c r="E192" s="2694" t="s">
        <v>2129</v>
      </c>
      <c r="F192" s="3974" t="s">
        <v>2129</v>
      </c>
      <c r="G192" s="3975" t="s">
        <v>2129</v>
      </c>
      <c r="H192" s="3976" t="s">
        <v>2129</v>
      </c>
      <c r="I192" s="2694">
        <v>4</v>
      </c>
      <c r="J192" s="3992">
        <v>0</v>
      </c>
      <c r="K192" s="2694">
        <v>4</v>
      </c>
      <c r="L192" s="2694" t="b">
        <v>1</v>
      </c>
      <c r="M192" s="2694" t="s">
        <v>2129</v>
      </c>
      <c r="N192" s="2477">
        <v>4339650</v>
      </c>
      <c r="O192" s="2477">
        <v>0</v>
      </c>
      <c r="P192" s="2477">
        <v>0</v>
      </c>
      <c r="Q192" s="2477">
        <v>0</v>
      </c>
      <c r="R192" s="2477">
        <v>0</v>
      </c>
      <c r="S192" s="2695">
        <v>4773615</v>
      </c>
      <c r="T192" s="2477">
        <v>4773615</v>
      </c>
      <c r="U192" s="2477" t="b">
        <v>1</v>
      </c>
      <c r="V192" s="2477">
        <v>1193403.75</v>
      </c>
      <c r="W192" s="2477">
        <v>0</v>
      </c>
      <c r="X192" s="3937">
        <v>13501382</v>
      </c>
      <c r="Y192" s="3938">
        <v>13501382</v>
      </c>
      <c r="Z192" s="3938" t="b">
        <v>1</v>
      </c>
      <c r="AA192" s="3938">
        <v>125012.79629629629</v>
      </c>
      <c r="AB192" s="3938"/>
      <c r="AC192" s="3938"/>
      <c r="AD192" s="3938" t="s">
        <v>2129</v>
      </c>
      <c r="AE192" s="3938"/>
      <c r="AF192" s="3938"/>
      <c r="AG192">
        <v>165</v>
      </c>
      <c r="AH192" s="3965">
        <v>108</v>
      </c>
      <c r="AI192" s="3965" t="b">
        <v>1</v>
      </c>
      <c r="AJ192">
        <v>216</v>
      </c>
      <c r="AK192" s="3966">
        <v>62507</v>
      </c>
      <c r="AL192" s="2814" t="s">
        <v>2129</v>
      </c>
      <c r="AM192" s="2814" t="s">
        <v>2129</v>
      </c>
      <c r="AN192" s="2814" t="s">
        <v>2129</v>
      </c>
      <c r="AO192" s="3953" t="s">
        <v>2129</v>
      </c>
      <c r="AP192" s="2814" t="s">
        <v>2129</v>
      </c>
      <c r="AQ192" s="3954" t="s">
        <v>2129</v>
      </c>
      <c r="AR192" t="s">
        <v>2129</v>
      </c>
      <c r="AS192" t="s">
        <v>2129</v>
      </c>
      <c r="AU192" t="s">
        <v>2129</v>
      </c>
      <c r="AW192" t="s">
        <v>2129</v>
      </c>
      <c r="AX192" t="s">
        <v>2129</v>
      </c>
      <c r="AY192" t="s">
        <v>2129</v>
      </c>
      <c r="AZ192" s="3946" t="s">
        <v>2129</v>
      </c>
      <c r="BA192" t="s">
        <v>2129</v>
      </c>
      <c r="BB192" s="3947" t="s">
        <v>2129</v>
      </c>
      <c r="BC192" s="1958" t="s">
        <v>2129</v>
      </c>
      <c r="BD192" s="1958" t="s">
        <v>2129</v>
      </c>
      <c r="BE192" s="1958" t="s">
        <v>2129</v>
      </c>
      <c r="BF192" s="3937" t="s">
        <v>2129</v>
      </c>
      <c r="BG192" s="3938" t="s">
        <v>2129</v>
      </c>
      <c r="BH192" s="3938" t="s">
        <v>2129</v>
      </c>
      <c r="BI192" s="3937" t="s">
        <v>2129</v>
      </c>
      <c r="BJ192" s="3938" t="s">
        <v>2129</v>
      </c>
      <c r="BK192" s="3939" t="s">
        <v>2129</v>
      </c>
      <c r="BL192" s="3938" t="s">
        <v>2129</v>
      </c>
      <c r="BM192" s="3938" t="s">
        <v>2129</v>
      </c>
      <c r="BN192" s="3939" t="s">
        <v>2129</v>
      </c>
      <c r="BO192" s="3937" t="s">
        <v>2129</v>
      </c>
      <c r="BP192" s="3988" t="s">
        <v>2129</v>
      </c>
      <c r="BQ192" s="3988"/>
      <c r="BR192" s="3988"/>
      <c r="BS192" s="2694"/>
    </row>
    <row r="193" spans="1:71" ht="13">
      <c r="A193">
        <v>1035</v>
      </c>
      <c r="B193" s="3979" t="s">
        <v>3399</v>
      </c>
      <c r="C193" s="2694" t="s">
        <v>3791</v>
      </c>
      <c r="D193" s="2694" t="s">
        <v>2129</v>
      </c>
      <c r="E193" s="2694" t="s">
        <v>2129</v>
      </c>
      <c r="F193" s="3974" t="s">
        <v>2129</v>
      </c>
      <c r="G193" s="3975" t="s">
        <v>2129</v>
      </c>
      <c r="H193" s="3976" t="s">
        <v>2129</v>
      </c>
      <c r="I193" s="2694">
        <v>0</v>
      </c>
      <c r="J193" s="3992">
        <v>0</v>
      </c>
      <c r="K193" s="2694">
        <v>2</v>
      </c>
      <c r="L193" s="2694" t="b">
        <v>1</v>
      </c>
      <c r="M193" s="2694" t="s">
        <v>2129</v>
      </c>
      <c r="N193" s="2477">
        <v>0</v>
      </c>
      <c r="O193" s="2477">
        <v>0</v>
      </c>
      <c r="P193" s="2477">
        <v>0</v>
      </c>
      <c r="Q193" s="2477">
        <v>0</v>
      </c>
      <c r="R193" s="2477">
        <v>0</v>
      </c>
      <c r="S193" s="2695">
        <v>0</v>
      </c>
      <c r="T193" s="2477">
        <v>3261176</v>
      </c>
      <c r="U193" s="2477" t="b">
        <v>1</v>
      </c>
      <c r="V193" s="2477">
        <v>1630588</v>
      </c>
      <c r="W193" s="2477">
        <v>-1345630</v>
      </c>
      <c r="X193" s="3937">
        <v>0</v>
      </c>
      <c r="Y193" s="3938">
        <v>1345630</v>
      </c>
      <c r="Z193" s="3938" t="b">
        <v>1</v>
      </c>
      <c r="AA193" s="3938">
        <v>18689.305555555555</v>
      </c>
      <c r="AB193" s="3938"/>
      <c r="AC193" s="3938"/>
      <c r="AD193" s="3938">
        <v>1808.5209327330153</v>
      </c>
      <c r="AE193" s="3938"/>
      <c r="AF193" s="3938"/>
      <c r="AG193">
        <v>72</v>
      </c>
      <c r="AH193" s="3965">
        <v>72</v>
      </c>
      <c r="AI193" s="3965" t="b">
        <v>1</v>
      </c>
      <c r="AJ193">
        <v>99</v>
      </c>
      <c r="AK193" s="3966">
        <v>13593</v>
      </c>
      <c r="AL193" s="2814">
        <v>647</v>
      </c>
      <c r="AM193" s="2814" t="s">
        <v>2129</v>
      </c>
      <c r="AN193" s="2814" t="s">
        <v>2129</v>
      </c>
      <c r="AO193" s="3953" t="s">
        <v>2129</v>
      </c>
      <c r="AP193" s="2814" t="s">
        <v>2129</v>
      </c>
      <c r="AQ193" s="3954" t="s">
        <v>2129</v>
      </c>
      <c r="AR193">
        <v>575</v>
      </c>
      <c r="AS193" t="s">
        <v>2129</v>
      </c>
      <c r="AU193" t="s">
        <v>2129</v>
      </c>
      <c r="AW193">
        <v>15</v>
      </c>
      <c r="AX193" t="s">
        <v>2129</v>
      </c>
      <c r="AY193" t="s">
        <v>2129</v>
      </c>
      <c r="AZ193" s="3946" t="s">
        <v>2129</v>
      </c>
      <c r="BA193" t="s">
        <v>2129</v>
      </c>
      <c r="BB193" s="3947" t="s">
        <v>2129</v>
      </c>
      <c r="BC193" s="1958">
        <v>8794671</v>
      </c>
      <c r="BD193" s="1958" t="s">
        <v>2129</v>
      </c>
      <c r="BE193" s="1958" t="s">
        <v>2129</v>
      </c>
      <c r="BF193" s="3937" t="s">
        <v>2129</v>
      </c>
      <c r="BG193" s="3938" t="s">
        <v>2129</v>
      </c>
      <c r="BH193" s="3938" t="s">
        <v>2129</v>
      </c>
      <c r="BI193" s="3937">
        <v>48917640</v>
      </c>
      <c r="BJ193" s="3938" t="s">
        <v>2129</v>
      </c>
      <c r="BK193" s="3939" t="s">
        <v>2129</v>
      </c>
      <c r="BL193" s="3938" t="s">
        <v>2129</v>
      </c>
      <c r="BM193" s="3938" t="s">
        <v>2129</v>
      </c>
      <c r="BN193" s="3939" t="s">
        <v>2129</v>
      </c>
      <c r="BO193" s="3937">
        <v>7925750</v>
      </c>
      <c r="BP193" s="3988" t="s">
        <v>2129</v>
      </c>
      <c r="BQ193" s="3988"/>
      <c r="BR193" s="3988"/>
      <c r="BS193" s="2694"/>
    </row>
    <row r="194" spans="1:71" ht="13">
      <c r="A194">
        <v>1036</v>
      </c>
      <c r="B194" s="3979" t="s">
        <v>3400</v>
      </c>
      <c r="C194" s="2694" t="s">
        <v>3791</v>
      </c>
      <c r="D194" s="2694" t="s">
        <v>2129</v>
      </c>
      <c r="E194" s="2694" t="s">
        <v>2129</v>
      </c>
      <c r="F194" s="3974" t="s">
        <v>2129</v>
      </c>
      <c r="G194" s="3975" t="s">
        <v>2129</v>
      </c>
      <c r="H194" s="3976" t="s">
        <v>2129</v>
      </c>
      <c r="I194" s="2694">
        <v>0</v>
      </c>
      <c r="J194" s="3992">
        <v>0</v>
      </c>
      <c r="K194" s="2694">
        <v>0</v>
      </c>
      <c r="L194" s="2694" t="b">
        <v>1</v>
      </c>
      <c r="M194" s="2694" t="s">
        <v>2129</v>
      </c>
      <c r="N194" s="2477">
        <v>0</v>
      </c>
      <c r="O194" s="2477">
        <v>0</v>
      </c>
      <c r="P194" s="2477">
        <v>0</v>
      </c>
      <c r="Q194" s="2477">
        <v>0</v>
      </c>
      <c r="R194" s="2477">
        <v>0</v>
      </c>
      <c r="S194" s="2695">
        <v>0</v>
      </c>
      <c r="T194" s="2477">
        <v>0</v>
      </c>
      <c r="U194" s="2477" t="b">
        <v>1</v>
      </c>
      <c r="V194" s="2477" t="s">
        <v>2129</v>
      </c>
      <c r="W194" s="2477">
        <v>609042</v>
      </c>
      <c r="X194" s="3937">
        <v>2776042</v>
      </c>
      <c r="Y194" s="3938">
        <v>2167000</v>
      </c>
      <c r="Z194" s="3938" t="b">
        <v>1</v>
      </c>
      <c r="AA194" s="3938">
        <v>18364.406779661018</v>
      </c>
      <c r="AB194" s="3938"/>
      <c r="AC194" s="3938"/>
      <c r="AD194" s="3938">
        <v>1043.9600144526075</v>
      </c>
      <c r="AE194" s="3938">
        <v>1100</v>
      </c>
      <c r="AF194" s="3938"/>
      <c r="AG194" t="s">
        <v>3308</v>
      </c>
      <c r="AH194" s="3965">
        <v>118</v>
      </c>
      <c r="AI194" s="3965" t="b">
        <v>1</v>
      </c>
      <c r="AJ194">
        <v>171</v>
      </c>
      <c r="AK194" s="3966">
        <v>12673</v>
      </c>
      <c r="AL194" s="2814">
        <v>1805</v>
      </c>
      <c r="AM194" s="2814" t="s">
        <v>2129</v>
      </c>
      <c r="AN194" s="2814" t="s">
        <v>2129</v>
      </c>
      <c r="AO194" s="3953" t="s">
        <v>2129</v>
      </c>
      <c r="AP194" s="2814" t="s">
        <v>2129</v>
      </c>
      <c r="AQ194" s="3954" t="s">
        <v>2129</v>
      </c>
      <c r="AR194">
        <v>1687</v>
      </c>
      <c r="AS194" t="s">
        <v>2129</v>
      </c>
      <c r="AU194" t="s">
        <v>2129</v>
      </c>
      <c r="AW194">
        <v>23</v>
      </c>
      <c r="AX194" t="s">
        <v>2129</v>
      </c>
      <c r="AY194" t="s">
        <v>2129</v>
      </c>
      <c r="AZ194" s="3946" t="s">
        <v>2129</v>
      </c>
      <c r="BA194" t="s">
        <v>2129</v>
      </c>
      <c r="BB194" s="3947" t="s">
        <v>2129</v>
      </c>
      <c r="BC194" s="1958">
        <v>22874765</v>
      </c>
      <c r="BD194" s="1958" t="s">
        <v>2129</v>
      </c>
      <c r="BE194" s="1958" t="s">
        <v>2129</v>
      </c>
      <c r="BF194" s="3937" t="s">
        <v>2129</v>
      </c>
      <c r="BG194" s="3938" t="s">
        <v>2129</v>
      </c>
      <c r="BH194" s="3938" t="s">
        <v>2129</v>
      </c>
      <c r="BI194" s="3937" t="s">
        <v>2129</v>
      </c>
      <c r="BJ194" s="3938" t="s">
        <v>2129</v>
      </c>
      <c r="BK194" s="3939" t="s">
        <v>2129</v>
      </c>
      <c r="BL194" s="3938" t="s">
        <v>2129</v>
      </c>
      <c r="BM194" s="3938" t="s">
        <v>2129</v>
      </c>
      <c r="BN194" s="3939" t="s">
        <v>2129</v>
      </c>
      <c r="BO194" s="3937">
        <v>22111250</v>
      </c>
      <c r="BP194" s="3988" t="s">
        <v>2129</v>
      </c>
      <c r="BQ194" s="3988"/>
      <c r="BR194" s="3988"/>
      <c r="BS194" s="2694"/>
    </row>
    <row r="195" spans="1:71" ht="13">
      <c r="A195">
        <v>1037</v>
      </c>
      <c r="B195" s="3980" t="s">
        <v>3401</v>
      </c>
      <c r="C195" s="2694" t="s">
        <v>3791</v>
      </c>
      <c r="D195" s="2694" t="s">
        <v>2129</v>
      </c>
      <c r="E195" s="2694" t="s">
        <v>2129</v>
      </c>
      <c r="F195" s="3974" t="s">
        <v>2129</v>
      </c>
      <c r="G195" s="3975" t="s">
        <v>2129</v>
      </c>
      <c r="H195" s="3976" t="s">
        <v>2129</v>
      </c>
      <c r="I195" s="2694"/>
      <c r="J195" s="3992">
        <v>0</v>
      </c>
      <c r="K195" s="2694">
        <v>0</v>
      </c>
      <c r="L195" s="2694" t="b">
        <v>1</v>
      </c>
      <c r="M195" s="2694" t="s">
        <v>2129</v>
      </c>
      <c r="N195" s="2477">
        <v>4339650</v>
      </c>
      <c r="O195" s="2477">
        <v>0</v>
      </c>
      <c r="P195" s="2477">
        <v>0</v>
      </c>
      <c r="Q195" s="2477">
        <v>0</v>
      </c>
      <c r="R195" s="2477">
        <v>0</v>
      </c>
      <c r="S195" s="2695">
        <v>4773615</v>
      </c>
      <c r="T195" s="2477">
        <v>0</v>
      </c>
      <c r="U195" s="2477" t="b">
        <v>1</v>
      </c>
      <c r="V195" s="2477" t="s">
        <v>2129</v>
      </c>
      <c r="W195" s="2477">
        <v>-2706000</v>
      </c>
      <c r="X195" s="3937">
        <v>0</v>
      </c>
      <c r="Y195" s="3938">
        <v>2706000</v>
      </c>
      <c r="Z195" s="3938" t="b">
        <v>1</v>
      </c>
      <c r="AA195" s="3938">
        <v>31835.294117647059</v>
      </c>
      <c r="AB195" s="3938"/>
      <c r="AC195" s="3938"/>
      <c r="AD195" s="3938">
        <v>676.74532017856473</v>
      </c>
      <c r="AE195" s="3938"/>
      <c r="AF195" s="3938"/>
      <c r="AG195">
        <v>165</v>
      </c>
      <c r="AH195" s="3965">
        <v>85</v>
      </c>
      <c r="AI195" s="3965"/>
      <c r="AJ195">
        <v>125</v>
      </c>
      <c r="AK195" s="3966">
        <v>21648</v>
      </c>
      <c r="AL195" s="2814">
        <v>3477</v>
      </c>
      <c r="AM195" s="2814" t="s">
        <v>2129</v>
      </c>
      <c r="AN195" s="2814" t="s">
        <v>2129</v>
      </c>
      <c r="AO195" s="3953" t="s">
        <v>2129</v>
      </c>
      <c r="AP195" s="2814" t="s">
        <v>2129</v>
      </c>
      <c r="AQ195" s="3954" t="s">
        <v>2129</v>
      </c>
      <c r="AR195">
        <v>3392</v>
      </c>
      <c r="AS195" t="s">
        <v>2129</v>
      </c>
      <c r="AU195" t="s">
        <v>2129</v>
      </c>
      <c r="AW195">
        <v>25</v>
      </c>
      <c r="AX195" t="s">
        <v>2129</v>
      </c>
      <c r="AY195" t="s">
        <v>2129</v>
      </c>
      <c r="AZ195" s="3946" t="s">
        <v>2129</v>
      </c>
      <c r="BA195" t="s">
        <v>2129</v>
      </c>
      <c r="BB195" s="3947" t="s">
        <v>2129</v>
      </c>
      <c r="BC195" s="1958">
        <v>75270096</v>
      </c>
      <c r="BD195" s="1958" t="s">
        <v>2129</v>
      </c>
      <c r="BE195" s="1958" t="s">
        <v>2129</v>
      </c>
      <c r="BF195" s="3937" t="s">
        <v>2129</v>
      </c>
      <c r="BG195" s="3938" t="s">
        <v>2129</v>
      </c>
      <c r="BH195" s="3938" t="s">
        <v>2129</v>
      </c>
      <c r="BI195" s="3937" t="s">
        <v>2129</v>
      </c>
      <c r="BJ195" s="3938" t="s">
        <v>2129</v>
      </c>
      <c r="BK195" s="3939" t="s">
        <v>2129</v>
      </c>
      <c r="BL195" s="3938" t="s">
        <v>2129</v>
      </c>
      <c r="BM195" s="3938" t="s">
        <v>2129</v>
      </c>
      <c r="BN195" s="3939" t="s">
        <v>2129</v>
      </c>
      <c r="BO195" s="3937">
        <v>42593250</v>
      </c>
      <c r="BP195" s="3988" t="s">
        <v>2129</v>
      </c>
      <c r="BQ195" s="3988"/>
      <c r="BR195" s="3988"/>
      <c r="BS195" s="2694"/>
    </row>
    <row r="196" spans="1:71" ht="13">
      <c r="A196">
        <v>1038</v>
      </c>
      <c r="B196" s="3980" t="s">
        <v>6996</v>
      </c>
      <c r="C196" s="2694" t="s">
        <v>2129</v>
      </c>
      <c r="D196" s="2694" t="s">
        <v>2129</v>
      </c>
      <c r="E196" s="2694" t="s">
        <v>3694</v>
      </c>
      <c r="F196" s="3974" t="s">
        <v>2129</v>
      </c>
      <c r="G196" s="3975" t="s">
        <v>2129</v>
      </c>
      <c r="H196" s="3976" t="s">
        <v>2129</v>
      </c>
      <c r="I196" s="2694">
        <v>0</v>
      </c>
      <c r="J196" s="3992">
        <v>0</v>
      </c>
      <c r="K196" s="2694">
        <v>0</v>
      </c>
      <c r="L196" s="2694" t="b">
        <v>1</v>
      </c>
      <c r="M196" s="2694" t="s">
        <v>2129</v>
      </c>
      <c r="N196" s="2477">
        <v>0</v>
      </c>
      <c r="O196" s="2477">
        <v>0</v>
      </c>
      <c r="P196" s="2477">
        <v>0</v>
      </c>
      <c r="Q196" s="2477">
        <v>0</v>
      </c>
      <c r="R196" s="2477">
        <v>0</v>
      </c>
      <c r="S196" s="2695">
        <v>0</v>
      </c>
      <c r="T196" s="2477">
        <v>0</v>
      </c>
      <c r="U196" s="2477" t="b">
        <v>1</v>
      </c>
      <c r="V196" s="2477" t="s">
        <v>2129</v>
      </c>
      <c r="W196" s="2477">
        <v>-2181936</v>
      </c>
      <c r="X196" s="3937">
        <v>0</v>
      </c>
      <c r="Y196" s="3938">
        <v>2181936</v>
      </c>
      <c r="Z196" s="3938" t="b">
        <v>1</v>
      </c>
      <c r="AA196" s="3938">
        <v>13552.39751552795</v>
      </c>
      <c r="AB196" s="3938"/>
      <c r="AC196" s="3938"/>
      <c r="AD196" s="3938" t="s">
        <v>2129</v>
      </c>
      <c r="AE196" s="3938"/>
      <c r="AF196" s="3938"/>
      <c r="AG196">
        <v>233</v>
      </c>
      <c r="AH196" s="3965">
        <v>161</v>
      </c>
      <c r="AI196" s="3965" t="b">
        <v>1</v>
      </c>
      <c r="AJ196">
        <v>162</v>
      </c>
      <c r="AK196" s="3966">
        <v>13469</v>
      </c>
      <c r="AL196" s="2814" t="s">
        <v>2129</v>
      </c>
      <c r="AM196" s="2814" t="s">
        <v>2129</v>
      </c>
      <c r="AN196" s="2814">
        <v>2880</v>
      </c>
      <c r="AO196" s="3953" t="s">
        <v>2129</v>
      </c>
      <c r="AP196" s="2814" t="s">
        <v>2129</v>
      </c>
      <c r="AQ196" s="3954" t="s">
        <v>2129</v>
      </c>
      <c r="AR196" t="s">
        <v>2129</v>
      </c>
      <c r="AS196" t="s">
        <v>2129</v>
      </c>
      <c r="AU196" t="s">
        <v>2129</v>
      </c>
      <c r="AW196" t="s">
        <v>2129</v>
      </c>
      <c r="AX196" t="s">
        <v>2129</v>
      </c>
      <c r="AY196">
        <v>30</v>
      </c>
      <c r="AZ196" s="3946" t="s">
        <v>2129</v>
      </c>
      <c r="BA196" t="s">
        <v>2129</v>
      </c>
      <c r="BB196" s="3947" t="s">
        <v>2129</v>
      </c>
      <c r="BC196" s="1958" t="s">
        <v>2129</v>
      </c>
      <c r="BD196" s="1958" t="s">
        <v>2129</v>
      </c>
      <c r="BE196" s="1958">
        <v>38790720</v>
      </c>
      <c r="BF196" s="3937" t="s">
        <v>2129</v>
      </c>
      <c r="BG196" s="3938" t="s">
        <v>2129</v>
      </c>
      <c r="BH196" s="3938" t="s">
        <v>2129</v>
      </c>
      <c r="BI196" s="3937" t="s">
        <v>2129</v>
      </c>
      <c r="BJ196" s="3938" t="s">
        <v>2129</v>
      </c>
      <c r="BK196" s="3939" t="s">
        <v>2129</v>
      </c>
      <c r="BL196" s="3938" t="s">
        <v>2129</v>
      </c>
      <c r="BM196" s="3938" t="s">
        <v>2129</v>
      </c>
      <c r="BN196" s="3939" t="s">
        <v>2129</v>
      </c>
      <c r="BO196" s="3937" t="s">
        <v>2129</v>
      </c>
      <c r="BP196" s="3988" t="s">
        <v>2129</v>
      </c>
      <c r="BQ196" s="3988"/>
      <c r="BR196" s="3988"/>
      <c r="BS196" s="2694"/>
    </row>
    <row r="197" spans="1:71" ht="13">
      <c r="A197">
        <v>1039</v>
      </c>
      <c r="B197" s="3994" t="s">
        <v>3402</v>
      </c>
      <c r="C197" s="2694" t="s">
        <v>3791</v>
      </c>
      <c r="D197" s="2694" t="s">
        <v>2129</v>
      </c>
      <c r="E197" s="2694" t="s">
        <v>2129</v>
      </c>
      <c r="F197" s="3974" t="s">
        <v>2129</v>
      </c>
      <c r="G197" s="3975" t="s">
        <v>2129</v>
      </c>
      <c r="H197" s="3976" t="s">
        <v>2129</v>
      </c>
      <c r="I197" s="2694"/>
      <c r="J197" s="3992">
        <v>0</v>
      </c>
      <c r="K197" s="2694">
        <v>0</v>
      </c>
      <c r="L197" s="2694" t="b">
        <v>1</v>
      </c>
      <c r="M197" s="2694"/>
      <c r="N197" s="2477">
        <v>0</v>
      </c>
      <c r="O197" s="2477"/>
      <c r="P197" s="2477"/>
      <c r="Q197" s="2477"/>
      <c r="R197" s="2477"/>
      <c r="S197" s="2695"/>
      <c r="T197" s="2477">
        <v>0</v>
      </c>
      <c r="U197" s="2477" t="b">
        <v>1</v>
      </c>
      <c r="V197" s="2477" t="s">
        <v>2129</v>
      </c>
      <c r="W197" s="2477">
        <v>3226374</v>
      </c>
      <c r="X197" s="3937">
        <v>6028074</v>
      </c>
      <c r="Y197" s="3938">
        <v>2801700</v>
      </c>
      <c r="Z197" s="3938" t="b">
        <v>1</v>
      </c>
      <c r="AA197" s="3938">
        <v>31479.775280898877</v>
      </c>
      <c r="AB197" s="3938"/>
      <c r="AC197" s="3938"/>
      <c r="AD197" s="3938">
        <v>1340.8150080160801</v>
      </c>
      <c r="AE197" s="3938"/>
      <c r="AF197" s="3938"/>
      <c r="AG197">
        <v>143</v>
      </c>
      <c r="AH197" s="3965">
        <v>89</v>
      </c>
      <c r="AI197" s="3965" t="b">
        <v>1</v>
      </c>
      <c r="AJ197">
        <v>105</v>
      </c>
      <c r="AK197" s="3966">
        <v>26683</v>
      </c>
      <c r="AL197" s="2814">
        <v>1817</v>
      </c>
      <c r="AM197" s="2814" t="s">
        <v>2129</v>
      </c>
      <c r="AN197" s="2814" t="s">
        <v>2129</v>
      </c>
      <c r="AO197" s="3953" t="s">
        <v>2129</v>
      </c>
      <c r="AP197" s="2814" t="s">
        <v>2129</v>
      </c>
      <c r="AQ197" s="3954" t="s">
        <v>2129</v>
      </c>
      <c r="AR197">
        <v>1728</v>
      </c>
      <c r="AS197" t="s">
        <v>2129</v>
      </c>
      <c r="AU197" t="s">
        <v>2129</v>
      </c>
      <c r="AW197">
        <v>21</v>
      </c>
      <c r="AX197" t="s">
        <v>2129</v>
      </c>
      <c r="AY197" t="s">
        <v>2129</v>
      </c>
      <c r="AZ197" s="3946" t="s">
        <v>2129</v>
      </c>
      <c r="BA197" t="s">
        <v>2129</v>
      </c>
      <c r="BB197" s="3947" t="s">
        <v>2129</v>
      </c>
      <c r="BC197" s="1958">
        <v>48483011</v>
      </c>
      <c r="BD197" s="1958" t="s">
        <v>2129</v>
      </c>
      <c r="BE197" s="1958" t="s">
        <v>2129</v>
      </c>
      <c r="BF197" s="3937" t="s">
        <v>2129</v>
      </c>
      <c r="BG197" s="3938" t="s">
        <v>2129</v>
      </c>
      <c r="BH197" s="3938" t="s">
        <v>2129</v>
      </c>
      <c r="BI197" s="3937" t="s">
        <v>2129</v>
      </c>
      <c r="BJ197" s="3938" t="s">
        <v>2129</v>
      </c>
      <c r="BK197" s="3939" t="s">
        <v>2129</v>
      </c>
      <c r="BL197" s="3938" t="s">
        <v>2129</v>
      </c>
      <c r="BM197" s="3938" t="s">
        <v>2129</v>
      </c>
      <c r="BN197" s="3939" t="s">
        <v>2129</v>
      </c>
      <c r="BO197" s="3937">
        <v>22258250</v>
      </c>
      <c r="BP197" s="3988" t="s">
        <v>2129</v>
      </c>
      <c r="BQ197" s="3988"/>
      <c r="BR197" s="3988"/>
      <c r="BS197" s="2694"/>
    </row>
    <row r="198" spans="1:71" ht="13">
      <c r="A198">
        <v>2001</v>
      </c>
      <c r="B198" s="3979" t="s">
        <v>3403</v>
      </c>
      <c r="C198" s="2694" t="s">
        <v>2129</v>
      </c>
      <c r="D198" s="2694" t="s">
        <v>2129</v>
      </c>
      <c r="E198" s="2694" t="s">
        <v>2129</v>
      </c>
      <c r="F198" s="3974" t="s">
        <v>2129</v>
      </c>
      <c r="G198" s="3975" t="s">
        <v>2129</v>
      </c>
      <c r="H198" s="3976" t="s">
        <v>2129</v>
      </c>
      <c r="I198" s="2694">
        <v>1</v>
      </c>
      <c r="J198" s="3992" t="s">
        <v>3592</v>
      </c>
      <c r="K198" s="2694">
        <v>1</v>
      </c>
      <c r="L198" s="2694" t="b">
        <v>1</v>
      </c>
      <c r="M198" s="2694" t="s">
        <v>2129</v>
      </c>
      <c r="N198" s="2477">
        <v>17648</v>
      </c>
      <c r="O198" s="2477">
        <v>0</v>
      </c>
      <c r="P198" s="2477">
        <v>0</v>
      </c>
      <c r="Q198" s="2477">
        <v>0</v>
      </c>
      <c r="R198" s="2477">
        <v>0</v>
      </c>
      <c r="S198" s="2695">
        <v>19412.800000000003</v>
      </c>
      <c r="T198" s="2477">
        <v>19412</v>
      </c>
      <c r="U198" s="2477" t="b">
        <v>1</v>
      </c>
      <c r="V198" s="2477">
        <v>19412</v>
      </c>
      <c r="W198" s="2477">
        <v>0</v>
      </c>
      <c r="X198" s="3937">
        <v>1914038</v>
      </c>
      <c r="Y198" s="3938">
        <v>1914038</v>
      </c>
      <c r="Z198" s="3938" t="b">
        <v>1</v>
      </c>
      <c r="AA198" s="3938">
        <v>22518.094117647059</v>
      </c>
      <c r="AB198" s="3938"/>
      <c r="AC198" s="3938"/>
      <c r="AD198" s="3938" t="s">
        <v>2129</v>
      </c>
      <c r="AE198" s="3938"/>
      <c r="AF198" s="3938"/>
      <c r="AG198">
        <v>146</v>
      </c>
      <c r="AH198" s="3965">
        <v>85</v>
      </c>
      <c r="AI198" s="3965" t="b">
        <v>1</v>
      </c>
      <c r="AJ198">
        <v>85</v>
      </c>
      <c r="AK198" s="3966">
        <v>22519</v>
      </c>
      <c r="AL198" s="2814" t="s">
        <v>2129</v>
      </c>
      <c r="AM198" s="2814" t="s">
        <v>2129</v>
      </c>
      <c r="AN198" s="2814" t="s">
        <v>2129</v>
      </c>
      <c r="AO198" s="3953" t="s">
        <v>2129</v>
      </c>
      <c r="AP198" s="2814" t="s">
        <v>2129</v>
      </c>
      <c r="AQ198" s="3954" t="s">
        <v>2129</v>
      </c>
      <c r="AR198" t="s">
        <v>2129</v>
      </c>
      <c r="AS198" t="s">
        <v>2129</v>
      </c>
      <c r="AU198" t="s">
        <v>2129</v>
      </c>
      <c r="AW198" t="s">
        <v>2129</v>
      </c>
      <c r="AX198" t="s">
        <v>2129</v>
      </c>
      <c r="AY198" t="s">
        <v>2129</v>
      </c>
      <c r="AZ198" s="3946" t="s">
        <v>2129</v>
      </c>
      <c r="BA198" t="s">
        <v>2129</v>
      </c>
      <c r="BB198" s="3947" t="s">
        <v>2129</v>
      </c>
      <c r="BC198" s="1958" t="s">
        <v>2129</v>
      </c>
      <c r="BD198" s="1958" t="s">
        <v>2129</v>
      </c>
      <c r="BE198" s="1958" t="s">
        <v>2129</v>
      </c>
      <c r="BF198" s="3937" t="s">
        <v>2129</v>
      </c>
      <c r="BG198" s="3938" t="s">
        <v>2129</v>
      </c>
      <c r="BH198" s="3938" t="s">
        <v>2129</v>
      </c>
      <c r="BI198" s="3937" t="s">
        <v>2129</v>
      </c>
      <c r="BJ198" s="3938" t="s">
        <v>2129</v>
      </c>
      <c r="BK198" s="3939" t="s">
        <v>2129</v>
      </c>
      <c r="BL198" s="3938" t="s">
        <v>2129</v>
      </c>
      <c r="BM198" s="3938" t="s">
        <v>2129</v>
      </c>
      <c r="BN198" s="3939" t="s">
        <v>2129</v>
      </c>
      <c r="BO198" s="3937" t="s">
        <v>2129</v>
      </c>
      <c r="BP198" s="3988" t="s">
        <v>2129</v>
      </c>
      <c r="BQ198" s="3988"/>
      <c r="BR198" s="3988"/>
      <c r="BS198" s="2694"/>
    </row>
    <row r="199" spans="1:71" ht="13">
      <c r="A199">
        <v>2007</v>
      </c>
      <c r="B199" s="3979" t="s">
        <v>3404</v>
      </c>
      <c r="C199" s="2694" t="s">
        <v>2129</v>
      </c>
      <c r="D199" s="2694" t="s">
        <v>2129</v>
      </c>
      <c r="E199" s="2694" t="s">
        <v>2129</v>
      </c>
      <c r="F199" s="3974" t="s">
        <v>2129</v>
      </c>
      <c r="G199" s="3975" t="s">
        <v>2129</v>
      </c>
      <c r="H199" s="3976" t="s">
        <v>2129</v>
      </c>
      <c r="I199" s="2694">
        <v>24</v>
      </c>
      <c r="J199" s="3992" t="s">
        <v>3520</v>
      </c>
      <c r="K199" s="2694">
        <v>3</v>
      </c>
      <c r="L199" s="2694" t="b">
        <v>1</v>
      </c>
      <c r="M199" s="2694" t="s">
        <v>2129</v>
      </c>
      <c r="N199" s="2477">
        <v>3144706</v>
      </c>
      <c r="O199" s="2477">
        <v>35295</v>
      </c>
      <c r="P199" s="2477">
        <v>0</v>
      </c>
      <c r="Q199" s="2477">
        <v>0</v>
      </c>
      <c r="R199" s="2477">
        <v>18000</v>
      </c>
      <c r="S199" s="2695">
        <v>3516001.1</v>
      </c>
      <c r="T199" s="2477">
        <v>3516001</v>
      </c>
      <c r="U199" s="2477" t="b">
        <v>1</v>
      </c>
      <c r="V199" s="2477">
        <v>1172000.3333333333</v>
      </c>
      <c r="W199" s="2477">
        <v>0</v>
      </c>
      <c r="X199" s="3937">
        <v>5531086</v>
      </c>
      <c r="Y199" s="3938">
        <v>5531086</v>
      </c>
      <c r="Z199" s="3938" t="b">
        <v>1</v>
      </c>
      <c r="AA199" s="3938">
        <v>52677.009523809524</v>
      </c>
      <c r="AB199" s="3938"/>
      <c r="AC199" s="3938"/>
      <c r="AD199" s="3938" t="s">
        <v>2129</v>
      </c>
      <c r="AE199" s="3938"/>
      <c r="AF199" s="3938"/>
      <c r="AG199">
        <v>578</v>
      </c>
      <c r="AH199" s="3965">
        <v>105</v>
      </c>
      <c r="AI199" s="3965" t="b">
        <v>1</v>
      </c>
      <c r="AJ199">
        <v>197</v>
      </c>
      <c r="AK199" s="3966">
        <v>28077</v>
      </c>
      <c r="AL199" s="2814" t="s">
        <v>2129</v>
      </c>
      <c r="AM199" s="2814" t="s">
        <v>2129</v>
      </c>
      <c r="AN199" s="2814" t="s">
        <v>2129</v>
      </c>
      <c r="AO199" s="3953" t="s">
        <v>2129</v>
      </c>
      <c r="AP199" s="2814" t="s">
        <v>2129</v>
      </c>
      <c r="AQ199" s="3954" t="s">
        <v>2129</v>
      </c>
      <c r="AR199" t="s">
        <v>2129</v>
      </c>
      <c r="AS199" t="s">
        <v>2129</v>
      </c>
      <c r="AU199" t="s">
        <v>2129</v>
      </c>
      <c r="AW199" t="s">
        <v>2129</v>
      </c>
      <c r="AX199" t="s">
        <v>2129</v>
      </c>
      <c r="AY199" t="s">
        <v>2129</v>
      </c>
      <c r="AZ199" s="3946" t="s">
        <v>2129</v>
      </c>
      <c r="BA199" t="s">
        <v>2129</v>
      </c>
      <c r="BB199" s="3947" t="s">
        <v>2129</v>
      </c>
      <c r="BC199" s="1958" t="s">
        <v>2129</v>
      </c>
      <c r="BD199" s="1958" t="s">
        <v>2129</v>
      </c>
      <c r="BE199" s="1958" t="s">
        <v>2129</v>
      </c>
      <c r="BF199" s="3937" t="s">
        <v>2129</v>
      </c>
      <c r="BG199" s="3938" t="s">
        <v>2129</v>
      </c>
      <c r="BH199" s="3938" t="s">
        <v>2129</v>
      </c>
      <c r="BI199" s="3937" t="s">
        <v>2129</v>
      </c>
      <c r="BJ199" s="3938" t="s">
        <v>2129</v>
      </c>
      <c r="BK199" s="3939" t="s">
        <v>2129</v>
      </c>
      <c r="BL199" s="3938" t="s">
        <v>2129</v>
      </c>
      <c r="BM199" s="3938" t="s">
        <v>2129</v>
      </c>
      <c r="BN199" s="3939" t="s">
        <v>2129</v>
      </c>
      <c r="BO199" s="3937" t="s">
        <v>2129</v>
      </c>
      <c r="BP199" s="3988" t="s">
        <v>2129</v>
      </c>
      <c r="BQ199" s="3988"/>
      <c r="BR199" s="3988"/>
      <c r="BS199" s="2694"/>
    </row>
    <row r="200" spans="1:71" ht="13">
      <c r="A200">
        <v>2008</v>
      </c>
      <c r="B200" s="3979" t="s">
        <v>2884</v>
      </c>
      <c r="C200" s="2694" t="s">
        <v>2129</v>
      </c>
      <c r="D200" s="2694" t="s">
        <v>2129</v>
      </c>
      <c r="E200" s="2694" t="s">
        <v>2129</v>
      </c>
      <c r="F200" s="3974" t="s">
        <v>2129</v>
      </c>
      <c r="G200" s="3975" t="s">
        <v>2129</v>
      </c>
      <c r="H200" s="3976" t="s">
        <v>2129</v>
      </c>
      <c r="I200" s="2694">
        <v>9</v>
      </c>
      <c r="J200" s="3992" t="s">
        <v>3503</v>
      </c>
      <c r="K200" s="2694">
        <v>3</v>
      </c>
      <c r="L200" s="2694" t="b">
        <v>1</v>
      </c>
      <c r="M200" s="2694" t="s">
        <v>2129</v>
      </c>
      <c r="N200" s="2477">
        <v>12376476</v>
      </c>
      <c r="O200" s="2477">
        <v>58825</v>
      </c>
      <c r="P200" s="2477">
        <v>0</v>
      </c>
      <c r="Q200" s="2477">
        <v>0</v>
      </c>
      <c r="R200" s="2477">
        <v>18000</v>
      </c>
      <c r="S200" s="2695">
        <v>13696831.100000001</v>
      </c>
      <c r="T200" s="2477">
        <v>3473296</v>
      </c>
      <c r="U200" s="2477" t="b">
        <v>1</v>
      </c>
      <c r="V200" s="2477">
        <v>1157765.3333333333</v>
      </c>
      <c r="W200" s="2477">
        <v>2174128</v>
      </c>
      <c r="X200" s="3937">
        <v>6677704</v>
      </c>
      <c r="Y200" s="3938">
        <v>4503576</v>
      </c>
      <c r="Z200" s="3938" t="b">
        <v>1</v>
      </c>
      <c r="AA200" s="3938">
        <v>56294.7</v>
      </c>
      <c r="AB200" s="3938">
        <v>49412</v>
      </c>
      <c r="AC200" s="3938">
        <v>52942</v>
      </c>
      <c r="AD200" s="3938" t="s">
        <v>2129</v>
      </c>
      <c r="AE200" s="3938">
        <v>2500</v>
      </c>
      <c r="AF200" s="3938"/>
      <c r="AG200">
        <v>241</v>
      </c>
      <c r="AH200" s="3965">
        <v>80</v>
      </c>
      <c r="AI200" s="3965" t="b">
        <v>1</v>
      </c>
      <c r="AJ200">
        <v>160</v>
      </c>
      <c r="AK200" s="3966">
        <v>28148</v>
      </c>
      <c r="AL200" s="2814" t="s">
        <v>2129</v>
      </c>
      <c r="AM200" s="2814" t="s">
        <v>2129</v>
      </c>
      <c r="AN200" s="2814" t="s">
        <v>2129</v>
      </c>
      <c r="AO200" s="3953" t="s">
        <v>2129</v>
      </c>
      <c r="AP200" s="2814" t="s">
        <v>2129</v>
      </c>
      <c r="AQ200" s="3954" t="s">
        <v>2129</v>
      </c>
      <c r="AR200" t="s">
        <v>2129</v>
      </c>
      <c r="AS200" t="s">
        <v>2129</v>
      </c>
      <c r="AU200" t="s">
        <v>2129</v>
      </c>
      <c r="AW200" t="s">
        <v>2129</v>
      </c>
      <c r="AX200" t="s">
        <v>2129</v>
      </c>
      <c r="AY200" t="s">
        <v>2129</v>
      </c>
      <c r="AZ200" s="3946" t="s">
        <v>2129</v>
      </c>
      <c r="BA200" t="s">
        <v>2129</v>
      </c>
      <c r="BB200" s="3947" t="s">
        <v>2129</v>
      </c>
      <c r="BC200" s="1958" t="s">
        <v>2129</v>
      </c>
      <c r="BD200" s="1958" t="s">
        <v>2129</v>
      </c>
      <c r="BE200" s="1958" t="s">
        <v>2129</v>
      </c>
      <c r="BF200" s="3937" t="s">
        <v>2129</v>
      </c>
      <c r="BG200" s="3938" t="s">
        <v>2129</v>
      </c>
      <c r="BH200" s="3938" t="s">
        <v>2129</v>
      </c>
      <c r="BI200" s="3937" t="s">
        <v>2129</v>
      </c>
      <c r="BJ200" s="3938" t="s">
        <v>2129</v>
      </c>
      <c r="BK200" s="3939" t="s">
        <v>2129</v>
      </c>
      <c r="BL200" s="3938" t="s">
        <v>2129</v>
      </c>
      <c r="BM200" s="3938" t="s">
        <v>2129</v>
      </c>
      <c r="BN200" s="3939" t="s">
        <v>2129</v>
      </c>
      <c r="BO200" s="3937" t="s">
        <v>2129</v>
      </c>
      <c r="BP200" s="3988" t="s">
        <v>2129</v>
      </c>
      <c r="BQ200" s="3988"/>
      <c r="BR200" s="3988"/>
      <c r="BS200" s="2694"/>
    </row>
    <row r="201" spans="1:71" ht="13">
      <c r="A201">
        <v>2009</v>
      </c>
      <c r="B201" s="3979" t="s">
        <v>3405</v>
      </c>
      <c r="C201" s="2694" t="s">
        <v>2129</v>
      </c>
      <c r="D201" s="2694" t="s">
        <v>2129</v>
      </c>
      <c r="E201" s="2694" t="s">
        <v>2129</v>
      </c>
      <c r="F201" s="3974" t="s">
        <v>2129</v>
      </c>
      <c r="G201" s="3975" t="s">
        <v>2129</v>
      </c>
      <c r="H201" s="3976" t="s">
        <v>2129</v>
      </c>
      <c r="I201" s="2694">
        <v>24</v>
      </c>
      <c r="J201" s="3992" t="s">
        <v>3520</v>
      </c>
      <c r="K201" s="2694">
        <v>2</v>
      </c>
      <c r="L201" s="2694" t="b">
        <v>0</v>
      </c>
      <c r="M201" s="2694" t="s">
        <v>2129</v>
      </c>
      <c r="N201" s="2477">
        <v>4965178</v>
      </c>
      <c r="O201" s="2477">
        <v>23530</v>
      </c>
      <c r="P201" s="2477">
        <v>0</v>
      </c>
      <c r="Q201" s="2477">
        <v>0</v>
      </c>
      <c r="R201" s="2477">
        <v>9000</v>
      </c>
      <c r="S201" s="2695">
        <v>5496578.8000000007</v>
      </c>
      <c r="T201" s="2477">
        <v>5496578</v>
      </c>
      <c r="U201" s="2477" t="b">
        <v>0</v>
      </c>
      <c r="V201" s="2477">
        <v>2748289</v>
      </c>
      <c r="W201" s="2477">
        <v>0</v>
      </c>
      <c r="X201" s="3937">
        <v>3688245</v>
      </c>
      <c r="Y201" s="3938">
        <v>3688245</v>
      </c>
      <c r="Z201" s="3938" t="b">
        <v>1</v>
      </c>
      <c r="AA201" s="3938">
        <v>61470.75</v>
      </c>
      <c r="AB201" s="3938"/>
      <c r="AC201" s="3938"/>
      <c r="AD201" s="3938" t="s">
        <v>2129</v>
      </c>
      <c r="AE201" s="3938"/>
      <c r="AF201" s="3938"/>
      <c r="AG201">
        <v>378</v>
      </c>
      <c r="AH201" s="3965">
        <v>60</v>
      </c>
      <c r="AI201" s="3965" t="b">
        <v>1</v>
      </c>
      <c r="AJ201">
        <v>90</v>
      </c>
      <c r="AK201" s="3966">
        <v>40981</v>
      </c>
      <c r="AL201" s="2814" t="s">
        <v>2129</v>
      </c>
      <c r="AM201" s="2814" t="s">
        <v>2129</v>
      </c>
      <c r="AN201" s="2814" t="s">
        <v>2129</v>
      </c>
      <c r="AO201" s="3953" t="s">
        <v>2129</v>
      </c>
      <c r="AP201" s="2814" t="s">
        <v>2129</v>
      </c>
      <c r="AQ201" s="3954" t="s">
        <v>2129</v>
      </c>
      <c r="AR201" t="s">
        <v>2129</v>
      </c>
      <c r="AS201" t="s">
        <v>2129</v>
      </c>
      <c r="AU201" t="s">
        <v>2129</v>
      </c>
      <c r="AW201" t="s">
        <v>2129</v>
      </c>
      <c r="AX201" t="s">
        <v>2129</v>
      </c>
      <c r="AY201" t="s">
        <v>2129</v>
      </c>
      <c r="AZ201" s="3946" t="s">
        <v>2129</v>
      </c>
      <c r="BA201" t="s">
        <v>2129</v>
      </c>
      <c r="BB201" s="3947" t="s">
        <v>2129</v>
      </c>
      <c r="BC201" s="1958" t="s">
        <v>2129</v>
      </c>
      <c r="BD201" s="1958" t="s">
        <v>2129</v>
      </c>
      <c r="BE201" s="1958" t="s">
        <v>2129</v>
      </c>
      <c r="BF201" s="3937" t="s">
        <v>2129</v>
      </c>
      <c r="BG201" s="3938" t="s">
        <v>2129</v>
      </c>
      <c r="BH201" s="3938" t="s">
        <v>2129</v>
      </c>
      <c r="BI201" s="3937" t="s">
        <v>2129</v>
      </c>
      <c r="BJ201" s="3938" t="s">
        <v>2129</v>
      </c>
      <c r="BK201" s="3939" t="s">
        <v>2129</v>
      </c>
      <c r="BL201" s="3938" t="s">
        <v>2129</v>
      </c>
      <c r="BM201" s="3938" t="s">
        <v>2129</v>
      </c>
      <c r="BN201" s="3939" t="s">
        <v>2129</v>
      </c>
      <c r="BO201" s="3937" t="s">
        <v>2129</v>
      </c>
      <c r="BP201" s="3988" t="s">
        <v>2129</v>
      </c>
      <c r="BQ201" s="3988"/>
      <c r="BR201" s="3988"/>
      <c r="BS201" s="2694"/>
    </row>
    <row r="202" spans="1:71" ht="13">
      <c r="A202">
        <v>2010</v>
      </c>
      <c r="B202" s="3979" t="s">
        <v>3406</v>
      </c>
      <c r="C202" s="2694" t="s">
        <v>2129</v>
      </c>
      <c r="D202" s="2694" t="s">
        <v>2129</v>
      </c>
      <c r="E202" s="2694" t="s">
        <v>2129</v>
      </c>
      <c r="F202" s="3974" t="s">
        <v>2129</v>
      </c>
      <c r="G202" s="3975" t="s">
        <v>2129</v>
      </c>
      <c r="H202" s="3976" t="s">
        <v>2129</v>
      </c>
      <c r="I202" s="2694">
        <v>6</v>
      </c>
      <c r="J202" s="3992" t="s">
        <v>3592</v>
      </c>
      <c r="K202" s="2694">
        <v>1</v>
      </c>
      <c r="L202" s="2694" t="b">
        <v>0</v>
      </c>
      <c r="M202" s="2694" t="s">
        <v>2129</v>
      </c>
      <c r="N202" s="2477">
        <v>452942</v>
      </c>
      <c r="O202" s="2477">
        <v>0</v>
      </c>
      <c r="P202" s="2477">
        <v>0</v>
      </c>
      <c r="Q202" s="2477">
        <v>0</v>
      </c>
      <c r="R202" s="2477">
        <v>0</v>
      </c>
      <c r="S202" s="2695">
        <v>498236.2</v>
      </c>
      <c r="T202" s="2477">
        <v>498236</v>
      </c>
      <c r="U202" s="2477" t="b">
        <v>0</v>
      </c>
      <c r="V202" s="2477">
        <v>498236</v>
      </c>
      <c r="W202" s="2477">
        <v>0</v>
      </c>
      <c r="X202" s="3937">
        <v>1054981</v>
      </c>
      <c r="Y202" s="3938">
        <v>1054981</v>
      </c>
      <c r="Z202" s="3938" t="b">
        <v>1</v>
      </c>
      <c r="AA202" s="3938">
        <v>27762.657894736843</v>
      </c>
      <c r="AB202" s="3938"/>
      <c r="AC202" s="3938"/>
      <c r="AD202" s="3938" t="s">
        <v>2129</v>
      </c>
      <c r="AE202" s="3938"/>
      <c r="AF202" s="3938"/>
      <c r="AG202">
        <v>184</v>
      </c>
      <c r="AH202" s="3965">
        <v>38</v>
      </c>
      <c r="AI202" s="3965" t="b">
        <v>1</v>
      </c>
      <c r="AJ202">
        <v>56</v>
      </c>
      <c r="AK202" s="3966">
        <v>18839</v>
      </c>
      <c r="AL202" s="2814" t="s">
        <v>2129</v>
      </c>
      <c r="AM202" s="2814" t="s">
        <v>2129</v>
      </c>
      <c r="AN202" s="2814" t="s">
        <v>2129</v>
      </c>
      <c r="AO202" s="3953" t="s">
        <v>2129</v>
      </c>
      <c r="AP202" s="2814" t="s">
        <v>2129</v>
      </c>
      <c r="AQ202" s="3954" t="s">
        <v>2129</v>
      </c>
      <c r="AR202" t="s">
        <v>2129</v>
      </c>
      <c r="AS202" t="s">
        <v>2129</v>
      </c>
      <c r="AU202" t="s">
        <v>2129</v>
      </c>
      <c r="AW202" t="s">
        <v>2129</v>
      </c>
      <c r="AX202" t="s">
        <v>2129</v>
      </c>
      <c r="AY202" t="s">
        <v>2129</v>
      </c>
      <c r="AZ202" s="3946" t="s">
        <v>2129</v>
      </c>
      <c r="BA202" t="s">
        <v>2129</v>
      </c>
      <c r="BB202" s="3947" t="s">
        <v>2129</v>
      </c>
      <c r="BC202" s="1958" t="s">
        <v>2129</v>
      </c>
      <c r="BD202" s="1958" t="s">
        <v>2129</v>
      </c>
      <c r="BE202" s="1958" t="s">
        <v>2129</v>
      </c>
      <c r="BF202" s="3937" t="s">
        <v>2129</v>
      </c>
      <c r="BG202" s="3938" t="s">
        <v>2129</v>
      </c>
      <c r="BH202" s="3938" t="s">
        <v>2129</v>
      </c>
      <c r="BI202" s="3937" t="s">
        <v>2129</v>
      </c>
      <c r="BJ202" s="3938" t="s">
        <v>2129</v>
      </c>
      <c r="BK202" s="3939" t="s">
        <v>2129</v>
      </c>
      <c r="BL202" s="3938" t="s">
        <v>2129</v>
      </c>
      <c r="BM202" s="3938" t="s">
        <v>2129</v>
      </c>
      <c r="BN202" s="3939" t="s">
        <v>2129</v>
      </c>
      <c r="BO202" s="3937" t="s">
        <v>2129</v>
      </c>
      <c r="BP202" s="3988" t="s">
        <v>2129</v>
      </c>
      <c r="BQ202" s="3988"/>
      <c r="BR202" s="3988"/>
      <c r="BS202" s="2694"/>
    </row>
    <row r="203" spans="1:71" ht="13">
      <c r="A203">
        <v>2011</v>
      </c>
      <c r="B203" s="3979" t="s">
        <v>3407</v>
      </c>
      <c r="C203" s="2694" t="s">
        <v>2129</v>
      </c>
      <c r="D203" s="2694" t="s">
        <v>2129</v>
      </c>
      <c r="E203" s="2694" t="s">
        <v>2129</v>
      </c>
      <c r="F203" s="3974" t="s">
        <v>2129</v>
      </c>
      <c r="G203" s="3975" t="s">
        <v>2129</v>
      </c>
      <c r="H203" s="3976" t="s">
        <v>2129</v>
      </c>
      <c r="I203" s="2694">
        <v>18</v>
      </c>
      <c r="J203" s="3992" t="s">
        <v>3520</v>
      </c>
      <c r="K203" s="2694">
        <v>1</v>
      </c>
      <c r="L203" s="2694" t="b">
        <v>0</v>
      </c>
      <c r="M203" s="2694" t="s">
        <v>2129</v>
      </c>
      <c r="N203" s="2477">
        <v>4094118</v>
      </c>
      <c r="O203" s="2477">
        <v>0</v>
      </c>
      <c r="P203" s="2477">
        <v>0</v>
      </c>
      <c r="Q203" s="2477">
        <v>0</v>
      </c>
      <c r="R203" s="2477">
        <v>0</v>
      </c>
      <c r="S203" s="2695">
        <v>4503529.8000000007</v>
      </c>
      <c r="T203" s="2477">
        <v>4503529</v>
      </c>
      <c r="U203" s="2477" t="b">
        <v>0</v>
      </c>
      <c r="V203" s="2477">
        <v>4503529</v>
      </c>
      <c r="W203" s="2477">
        <v>0</v>
      </c>
      <c r="X203" s="3937">
        <v>1860975</v>
      </c>
      <c r="Y203" s="3938">
        <v>1860975</v>
      </c>
      <c r="Z203" s="3938" t="b">
        <v>1</v>
      </c>
      <c r="AA203" s="3938">
        <v>30015.725806451614</v>
      </c>
      <c r="AB203" s="3938"/>
      <c r="AC203" s="3938"/>
      <c r="AD203" s="3938" t="s">
        <v>2129</v>
      </c>
      <c r="AE203" s="3938"/>
      <c r="AF203" s="3938"/>
      <c r="AG203">
        <v>592</v>
      </c>
      <c r="AH203" s="3965">
        <v>62</v>
      </c>
      <c r="AI203" s="3965" t="b">
        <v>1</v>
      </c>
      <c r="AJ203">
        <v>84</v>
      </c>
      <c r="AK203" s="3966">
        <v>22155</v>
      </c>
      <c r="AL203" s="2814" t="s">
        <v>2129</v>
      </c>
      <c r="AM203" s="2814" t="s">
        <v>2129</v>
      </c>
      <c r="AN203" s="2814" t="s">
        <v>2129</v>
      </c>
      <c r="AO203" s="3953" t="s">
        <v>2129</v>
      </c>
      <c r="AP203" s="2814" t="s">
        <v>2129</v>
      </c>
      <c r="AQ203" s="3954" t="s">
        <v>2129</v>
      </c>
      <c r="AR203" t="s">
        <v>2129</v>
      </c>
      <c r="AS203" t="s">
        <v>2129</v>
      </c>
      <c r="AU203" t="s">
        <v>2129</v>
      </c>
      <c r="AW203" t="s">
        <v>2129</v>
      </c>
      <c r="AX203" t="s">
        <v>2129</v>
      </c>
      <c r="AY203" t="s">
        <v>2129</v>
      </c>
      <c r="AZ203" s="3946" t="s">
        <v>2129</v>
      </c>
      <c r="BA203" t="s">
        <v>2129</v>
      </c>
      <c r="BB203" s="3947" t="s">
        <v>2129</v>
      </c>
      <c r="BC203" s="1958" t="s">
        <v>2129</v>
      </c>
      <c r="BD203" s="1958" t="s">
        <v>2129</v>
      </c>
      <c r="BE203" s="1958" t="s">
        <v>2129</v>
      </c>
      <c r="BF203" s="3937" t="s">
        <v>2129</v>
      </c>
      <c r="BG203" s="3938" t="s">
        <v>2129</v>
      </c>
      <c r="BH203" s="3938" t="s">
        <v>2129</v>
      </c>
      <c r="BI203" s="3937" t="s">
        <v>2129</v>
      </c>
      <c r="BJ203" s="3938" t="s">
        <v>2129</v>
      </c>
      <c r="BK203" s="3939" t="s">
        <v>2129</v>
      </c>
      <c r="BL203" s="3938" t="s">
        <v>2129</v>
      </c>
      <c r="BM203" s="3938" t="s">
        <v>2129</v>
      </c>
      <c r="BN203" s="3939" t="s">
        <v>2129</v>
      </c>
      <c r="BO203" s="3937" t="s">
        <v>2129</v>
      </c>
      <c r="BP203" s="3988" t="s">
        <v>2129</v>
      </c>
      <c r="BQ203" s="3988"/>
      <c r="BR203" s="3988"/>
      <c r="BS203" s="2694"/>
    </row>
    <row r="204" spans="1:71" ht="13">
      <c r="A204">
        <v>2012</v>
      </c>
      <c r="B204" s="3979" t="s">
        <v>3408</v>
      </c>
      <c r="C204" s="2694" t="s">
        <v>2129</v>
      </c>
      <c r="D204" s="2694" t="s">
        <v>2129</v>
      </c>
      <c r="E204" s="2694" t="s">
        <v>2129</v>
      </c>
      <c r="F204" s="3974" t="s">
        <v>2129</v>
      </c>
      <c r="G204" s="3975" t="s">
        <v>2129</v>
      </c>
      <c r="H204" s="3976" t="s">
        <v>2129</v>
      </c>
      <c r="I204" s="2694">
        <v>19</v>
      </c>
      <c r="J204" s="3992" t="s">
        <v>3615</v>
      </c>
      <c r="K204" s="2694">
        <v>7</v>
      </c>
      <c r="L204" s="2694" t="b">
        <v>0</v>
      </c>
      <c r="M204" s="2694" t="s">
        <v>2129</v>
      </c>
      <c r="N204" s="2477">
        <v>2744179</v>
      </c>
      <c r="O204" s="2477">
        <v>0</v>
      </c>
      <c r="P204" s="2477">
        <v>0</v>
      </c>
      <c r="Q204" s="2477">
        <v>0</v>
      </c>
      <c r="R204" s="2477">
        <v>0</v>
      </c>
      <c r="S204" s="2695">
        <v>3018596.9000000004</v>
      </c>
      <c r="T204" s="2477">
        <v>3018596</v>
      </c>
      <c r="U204" s="2477" t="b">
        <v>0</v>
      </c>
      <c r="V204" s="2477">
        <v>431228</v>
      </c>
      <c r="W204" s="2477">
        <v>0</v>
      </c>
      <c r="X204" s="3937">
        <v>1937340</v>
      </c>
      <c r="Y204" s="3938">
        <v>1937340</v>
      </c>
      <c r="Z204" s="3938" t="b">
        <v>1</v>
      </c>
      <c r="AA204" s="3938">
        <v>32289</v>
      </c>
      <c r="AB204" s="3938"/>
      <c r="AC204" s="3938"/>
      <c r="AD204" s="3938" t="s">
        <v>2129</v>
      </c>
      <c r="AE204" s="3938"/>
      <c r="AF204" s="3938"/>
      <c r="AG204">
        <v>247</v>
      </c>
      <c r="AH204" s="3965">
        <v>60</v>
      </c>
      <c r="AI204" s="3965" t="b">
        <v>1</v>
      </c>
      <c r="AJ204">
        <v>114</v>
      </c>
      <c r="AK204" s="3966">
        <v>16995</v>
      </c>
      <c r="AL204" s="2814" t="s">
        <v>2129</v>
      </c>
      <c r="AM204" s="2814" t="s">
        <v>2129</v>
      </c>
      <c r="AN204" s="2814" t="s">
        <v>2129</v>
      </c>
      <c r="AO204" s="3953" t="s">
        <v>2129</v>
      </c>
      <c r="AP204" s="2814" t="s">
        <v>2129</v>
      </c>
      <c r="AQ204" s="3954" t="s">
        <v>2129</v>
      </c>
      <c r="AR204" t="s">
        <v>2129</v>
      </c>
      <c r="AS204" t="s">
        <v>2129</v>
      </c>
      <c r="AU204" t="s">
        <v>2129</v>
      </c>
      <c r="AW204" t="s">
        <v>2129</v>
      </c>
      <c r="AX204" t="s">
        <v>2129</v>
      </c>
      <c r="AY204" t="s">
        <v>2129</v>
      </c>
      <c r="AZ204" s="3946" t="s">
        <v>2129</v>
      </c>
      <c r="BA204" t="s">
        <v>2129</v>
      </c>
      <c r="BB204" s="3947" t="s">
        <v>2129</v>
      </c>
      <c r="BC204" s="1958" t="s">
        <v>2129</v>
      </c>
      <c r="BD204" s="1958" t="s">
        <v>2129</v>
      </c>
      <c r="BE204" s="1958" t="s">
        <v>2129</v>
      </c>
      <c r="BF204" s="3937" t="s">
        <v>2129</v>
      </c>
      <c r="BG204" s="3938" t="s">
        <v>2129</v>
      </c>
      <c r="BH204" s="3938" t="s">
        <v>2129</v>
      </c>
      <c r="BI204" s="3937" t="s">
        <v>2129</v>
      </c>
      <c r="BJ204" s="3938" t="s">
        <v>2129</v>
      </c>
      <c r="BK204" s="3939" t="s">
        <v>2129</v>
      </c>
      <c r="BL204" s="3938" t="s">
        <v>2129</v>
      </c>
      <c r="BM204" s="3938" t="s">
        <v>2129</v>
      </c>
      <c r="BN204" s="3939" t="s">
        <v>2129</v>
      </c>
      <c r="BO204" s="3937" t="s">
        <v>2129</v>
      </c>
      <c r="BP204" s="3988" t="s">
        <v>2129</v>
      </c>
      <c r="BQ204" s="3988"/>
      <c r="BR204" s="3988"/>
      <c r="BS204" s="2694"/>
    </row>
    <row r="205" spans="1:71" ht="13">
      <c r="A205">
        <v>2013</v>
      </c>
      <c r="B205" s="3979" t="s">
        <v>3409</v>
      </c>
      <c r="C205" s="2694" t="s">
        <v>2129</v>
      </c>
      <c r="D205" s="2694" t="s">
        <v>2129</v>
      </c>
      <c r="E205" s="2694" t="s">
        <v>2129</v>
      </c>
      <c r="F205" s="3974" t="s">
        <v>2129</v>
      </c>
      <c r="G205" s="3975" t="s">
        <v>2129</v>
      </c>
      <c r="H205" s="3976" t="s">
        <v>2129</v>
      </c>
      <c r="I205" s="2694">
        <v>14</v>
      </c>
      <c r="J205" s="3992" t="s">
        <v>5504</v>
      </c>
      <c r="K205" s="2694">
        <v>9</v>
      </c>
      <c r="L205" s="2694" t="b">
        <v>0</v>
      </c>
      <c r="M205" s="2694" t="s">
        <v>2129</v>
      </c>
      <c r="N205" s="2477">
        <v>7958828</v>
      </c>
      <c r="O205" s="2477">
        <v>105885</v>
      </c>
      <c r="P205" s="2477">
        <v>0</v>
      </c>
      <c r="Q205" s="2477">
        <v>0</v>
      </c>
      <c r="R205" s="2477">
        <v>0</v>
      </c>
      <c r="S205" s="2695">
        <v>8871184.3000000007</v>
      </c>
      <c r="T205" s="2477">
        <v>8871184</v>
      </c>
      <c r="U205" s="2477" t="b">
        <v>0</v>
      </c>
      <c r="V205" s="2477">
        <v>985687.11111111112</v>
      </c>
      <c r="W205" s="2477">
        <v>0</v>
      </c>
      <c r="X205" s="3937">
        <v>1900437</v>
      </c>
      <c r="Y205" s="3938">
        <v>1900437</v>
      </c>
      <c r="Z205" s="3938" t="b">
        <v>1</v>
      </c>
      <c r="AA205" s="3938">
        <v>63347.9</v>
      </c>
      <c r="AB205" s="3938"/>
      <c r="AC205" s="3938"/>
      <c r="AD205" s="3938" t="s">
        <v>2129</v>
      </c>
      <c r="AE205" s="3938"/>
      <c r="AF205" s="3938"/>
      <c r="AG205">
        <v>460</v>
      </c>
      <c r="AH205" s="3965">
        <v>30</v>
      </c>
      <c r="AI205" s="3965" t="b">
        <v>1</v>
      </c>
      <c r="AJ205">
        <v>60</v>
      </c>
      <c r="AK205" s="3966">
        <v>31674</v>
      </c>
      <c r="AL205" s="2814" t="s">
        <v>2129</v>
      </c>
      <c r="AM205" s="2814" t="s">
        <v>2129</v>
      </c>
      <c r="AN205" s="2814" t="s">
        <v>2129</v>
      </c>
      <c r="AO205" s="3953" t="s">
        <v>2129</v>
      </c>
      <c r="AP205" s="2814" t="s">
        <v>2129</v>
      </c>
      <c r="AQ205" s="3954" t="s">
        <v>2129</v>
      </c>
      <c r="AR205" t="s">
        <v>2129</v>
      </c>
      <c r="AS205" t="s">
        <v>2129</v>
      </c>
      <c r="AU205" t="s">
        <v>2129</v>
      </c>
      <c r="AW205" t="s">
        <v>2129</v>
      </c>
      <c r="AX205" t="s">
        <v>2129</v>
      </c>
      <c r="AY205" t="s">
        <v>2129</v>
      </c>
      <c r="AZ205" s="3946" t="s">
        <v>2129</v>
      </c>
      <c r="BA205" t="s">
        <v>2129</v>
      </c>
      <c r="BB205" s="3947" t="s">
        <v>2129</v>
      </c>
      <c r="BC205" s="1958" t="s">
        <v>2129</v>
      </c>
      <c r="BD205" s="1958" t="s">
        <v>2129</v>
      </c>
      <c r="BE205" s="1958" t="s">
        <v>2129</v>
      </c>
      <c r="BF205" s="3937" t="s">
        <v>2129</v>
      </c>
      <c r="BG205" s="3938" t="s">
        <v>2129</v>
      </c>
      <c r="BH205" s="3938" t="s">
        <v>2129</v>
      </c>
      <c r="BI205" s="3937" t="s">
        <v>2129</v>
      </c>
      <c r="BJ205" s="3938" t="s">
        <v>2129</v>
      </c>
      <c r="BK205" s="3939" t="s">
        <v>2129</v>
      </c>
      <c r="BL205" s="3938" t="s">
        <v>2129</v>
      </c>
      <c r="BM205" s="3938" t="s">
        <v>2129</v>
      </c>
      <c r="BN205" s="3939" t="s">
        <v>2129</v>
      </c>
      <c r="BO205" s="3937" t="s">
        <v>2129</v>
      </c>
      <c r="BP205" s="3988" t="s">
        <v>2129</v>
      </c>
      <c r="BQ205" s="3988"/>
      <c r="BR205" s="3988"/>
      <c r="BS205" s="2694"/>
    </row>
    <row r="206" spans="1:71" ht="13">
      <c r="A206">
        <v>2015</v>
      </c>
      <c r="B206" s="3979" t="s">
        <v>3410</v>
      </c>
      <c r="C206" s="2694" t="s">
        <v>2129</v>
      </c>
      <c r="D206" s="2694" t="s">
        <v>2129</v>
      </c>
      <c r="E206" s="2694" t="s">
        <v>2129</v>
      </c>
      <c r="F206" s="3974" t="s">
        <v>2129</v>
      </c>
      <c r="G206" s="3975" t="s">
        <v>2129</v>
      </c>
      <c r="H206" s="3976" t="s">
        <v>2129</v>
      </c>
      <c r="I206" s="2694">
        <v>12</v>
      </c>
      <c r="J206" s="3992" t="s">
        <v>3481</v>
      </c>
      <c r="K206" s="2694">
        <v>2</v>
      </c>
      <c r="L206" s="2694" t="b">
        <v>1</v>
      </c>
      <c r="M206" s="2694" t="s">
        <v>2129</v>
      </c>
      <c r="N206" s="2477">
        <v>1552942</v>
      </c>
      <c r="O206" s="2477">
        <v>82354</v>
      </c>
      <c r="P206" s="2477">
        <v>0</v>
      </c>
      <c r="Q206" s="2477">
        <v>0</v>
      </c>
      <c r="R206" s="2477">
        <v>15000</v>
      </c>
      <c r="S206" s="2695">
        <v>1813825.6</v>
      </c>
      <c r="T206" s="2477">
        <v>1813825</v>
      </c>
      <c r="U206" s="2477" t="b">
        <v>1</v>
      </c>
      <c r="V206" s="2477">
        <v>906912.5</v>
      </c>
      <c r="W206" s="2477">
        <v>0</v>
      </c>
      <c r="X206" s="3937">
        <v>1164735</v>
      </c>
      <c r="Y206" s="3938">
        <v>1164735</v>
      </c>
      <c r="Z206" s="3938" t="b">
        <v>1</v>
      </c>
      <c r="AA206" s="3938">
        <v>38824.5</v>
      </c>
      <c r="AB206" s="3938"/>
      <c r="AC206" s="3938"/>
      <c r="AD206" s="3938" t="s">
        <v>2129</v>
      </c>
      <c r="AE206" s="3938"/>
      <c r="AF206" s="3938"/>
      <c r="AG206">
        <v>321</v>
      </c>
      <c r="AH206" s="3965">
        <v>30</v>
      </c>
      <c r="AI206" s="3965" t="b">
        <v>1</v>
      </c>
      <c r="AJ206">
        <v>60</v>
      </c>
      <c r="AK206" s="3966">
        <v>19413</v>
      </c>
      <c r="AL206" s="2814" t="s">
        <v>2129</v>
      </c>
      <c r="AM206" s="2814" t="s">
        <v>2129</v>
      </c>
      <c r="AN206" s="2814" t="s">
        <v>2129</v>
      </c>
      <c r="AO206" s="3953" t="s">
        <v>2129</v>
      </c>
      <c r="AP206" s="2814" t="s">
        <v>2129</v>
      </c>
      <c r="AQ206" s="3954" t="s">
        <v>2129</v>
      </c>
      <c r="AR206" t="s">
        <v>2129</v>
      </c>
      <c r="AS206" t="s">
        <v>2129</v>
      </c>
      <c r="AU206" t="s">
        <v>2129</v>
      </c>
      <c r="AW206" t="s">
        <v>2129</v>
      </c>
      <c r="AX206" t="s">
        <v>2129</v>
      </c>
      <c r="AY206" t="s">
        <v>2129</v>
      </c>
      <c r="AZ206" s="3946" t="s">
        <v>2129</v>
      </c>
      <c r="BA206" t="s">
        <v>2129</v>
      </c>
      <c r="BB206" s="3947" t="s">
        <v>2129</v>
      </c>
      <c r="BC206" s="1958" t="s">
        <v>2129</v>
      </c>
      <c r="BD206" s="1958" t="s">
        <v>2129</v>
      </c>
      <c r="BE206" s="1958" t="s">
        <v>2129</v>
      </c>
      <c r="BF206" s="3937" t="s">
        <v>2129</v>
      </c>
      <c r="BG206" s="3938" t="s">
        <v>2129</v>
      </c>
      <c r="BH206" s="3938" t="s">
        <v>2129</v>
      </c>
      <c r="BI206" s="3937" t="s">
        <v>2129</v>
      </c>
      <c r="BJ206" s="3938" t="s">
        <v>2129</v>
      </c>
      <c r="BK206" s="3939" t="s">
        <v>2129</v>
      </c>
      <c r="BL206" s="3938" t="s">
        <v>2129</v>
      </c>
      <c r="BM206" s="3938" t="s">
        <v>2129</v>
      </c>
      <c r="BN206" s="3939" t="s">
        <v>2129</v>
      </c>
      <c r="BO206" s="3937" t="s">
        <v>2129</v>
      </c>
      <c r="BP206" s="3988" t="s">
        <v>2129</v>
      </c>
      <c r="BQ206" s="3988"/>
      <c r="BR206" s="3988"/>
      <c r="BS206" s="2694"/>
    </row>
    <row r="207" spans="1:71" ht="13">
      <c r="A207">
        <v>2016</v>
      </c>
      <c r="B207" s="3979" t="s">
        <v>2880</v>
      </c>
      <c r="C207" s="2694" t="s">
        <v>2129</v>
      </c>
      <c r="D207" s="2694" t="s">
        <v>2129</v>
      </c>
      <c r="E207" s="2694" t="s">
        <v>2129</v>
      </c>
      <c r="F207" s="3974" t="s">
        <v>2129</v>
      </c>
      <c r="G207" s="3975" t="s">
        <v>2129</v>
      </c>
      <c r="H207" s="3976" t="s">
        <v>2129</v>
      </c>
      <c r="I207" s="2694">
        <v>40</v>
      </c>
      <c r="J207" s="3992" t="s">
        <v>3474</v>
      </c>
      <c r="K207" s="2694">
        <v>2</v>
      </c>
      <c r="L207" s="2694" t="b">
        <v>1</v>
      </c>
      <c r="M207" s="2694" t="s">
        <v>2129</v>
      </c>
      <c r="N207" s="2477">
        <v>5458826</v>
      </c>
      <c r="O207" s="2477">
        <v>0</v>
      </c>
      <c r="P207" s="2477">
        <v>0</v>
      </c>
      <c r="Q207" s="2477">
        <v>0</v>
      </c>
      <c r="R207" s="2477">
        <v>0</v>
      </c>
      <c r="S207" s="2695">
        <v>6004708.6000000006</v>
      </c>
      <c r="T207" s="2477">
        <v>931764</v>
      </c>
      <c r="U207" s="2477" t="b">
        <v>1</v>
      </c>
      <c r="V207" s="2477">
        <v>465882</v>
      </c>
      <c r="W207" s="2477">
        <v>1436479</v>
      </c>
      <c r="X207" s="3937">
        <v>5525905</v>
      </c>
      <c r="Y207" s="3938">
        <v>4089426</v>
      </c>
      <c r="Z207" s="3938" t="b">
        <v>1</v>
      </c>
      <c r="AA207" s="3938">
        <v>51117.824999999997</v>
      </c>
      <c r="AB207" s="3938">
        <v>42353</v>
      </c>
      <c r="AC207" s="3938">
        <v>58824</v>
      </c>
      <c r="AD207" s="3938" t="s">
        <v>2129</v>
      </c>
      <c r="AE207" s="3938">
        <v>5500</v>
      </c>
      <c r="AF207" s="3938"/>
      <c r="AG207">
        <v>232</v>
      </c>
      <c r="AH207" s="3965">
        <v>80</v>
      </c>
      <c r="AI207" s="3965" t="b">
        <v>1</v>
      </c>
      <c r="AJ207">
        <v>200</v>
      </c>
      <c r="AK207" s="3966">
        <v>20448</v>
      </c>
      <c r="AL207" s="2814" t="s">
        <v>2129</v>
      </c>
      <c r="AM207" s="2814" t="s">
        <v>2129</v>
      </c>
      <c r="AN207" s="2814" t="s">
        <v>2129</v>
      </c>
      <c r="AO207" s="3953" t="s">
        <v>2129</v>
      </c>
      <c r="AP207" s="2814" t="s">
        <v>2129</v>
      </c>
      <c r="AQ207" s="3954" t="s">
        <v>2129</v>
      </c>
      <c r="AR207" t="s">
        <v>2129</v>
      </c>
      <c r="AS207" t="s">
        <v>2129</v>
      </c>
      <c r="AU207" t="s">
        <v>2129</v>
      </c>
      <c r="AW207" t="s">
        <v>2129</v>
      </c>
      <c r="AX207" t="s">
        <v>2129</v>
      </c>
      <c r="AY207" t="s">
        <v>2129</v>
      </c>
      <c r="AZ207" s="3946" t="s">
        <v>2129</v>
      </c>
      <c r="BA207" t="s">
        <v>2129</v>
      </c>
      <c r="BB207" s="3947" t="s">
        <v>2129</v>
      </c>
      <c r="BC207" s="1958" t="s">
        <v>2129</v>
      </c>
      <c r="BD207" s="1958" t="s">
        <v>2129</v>
      </c>
      <c r="BE207" s="1958" t="s">
        <v>2129</v>
      </c>
      <c r="BF207" s="3937" t="s">
        <v>2129</v>
      </c>
      <c r="BG207" s="3938" t="s">
        <v>2129</v>
      </c>
      <c r="BH207" s="3938" t="s">
        <v>2129</v>
      </c>
      <c r="BI207" s="3937" t="s">
        <v>2129</v>
      </c>
      <c r="BJ207" s="3938" t="s">
        <v>2129</v>
      </c>
      <c r="BK207" s="3939" t="s">
        <v>2129</v>
      </c>
      <c r="BL207" s="3938" t="s">
        <v>2129</v>
      </c>
      <c r="BM207" s="3938" t="s">
        <v>2129</v>
      </c>
      <c r="BN207" s="3939" t="s">
        <v>2129</v>
      </c>
      <c r="BO207" s="3937" t="s">
        <v>2129</v>
      </c>
      <c r="BP207" s="3988" t="s">
        <v>2129</v>
      </c>
      <c r="BQ207" s="3988"/>
      <c r="BR207" s="3988"/>
      <c r="BS207" s="2694"/>
    </row>
    <row r="208" spans="1:71" ht="13">
      <c r="A208">
        <v>2018</v>
      </c>
      <c r="B208" s="3979" t="s">
        <v>3411</v>
      </c>
      <c r="C208" s="2694" t="s">
        <v>2129</v>
      </c>
      <c r="D208" s="2694" t="s">
        <v>2129</v>
      </c>
      <c r="E208" s="2694" t="s">
        <v>2129</v>
      </c>
      <c r="F208" s="3974" t="s">
        <v>2129</v>
      </c>
      <c r="G208" s="3975" t="s">
        <v>2129</v>
      </c>
      <c r="H208" s="3976" t="s">
        <v>2129</v>
      </c>
      <c r="I208" s="2694">
        <v>9</v>
      </c>
      <c r="J208" s="3992" t="s">
        <v>3503</v>
      </c>
      <c r="K208" s="2694">
        <v>5</v>
      </c>
      <c r="L208" s="2694" t="b">
        <v>0</v>
      </c>
      <c r="M208" s="2694" t="s">
        <v>2129</v>
      </c>
      <c r="N208" s="2477">
        <v>1229413</v>
      </c>
      <c r="O208" s="2477">
        <v>0</v>
      </c>
      <c r="P208" s="2477">
        <v>0</v>
      </c>
      <c r="Q208" s="2477">
        <v>0</v>
      </c>
      <c r="R208" s="2477">
        <v>0</v>
      </c>
      <c r="S208" s="2695">
        <v>1352354.3</v>
      </c>
      <c r="T208" s="2477">
        <v>1352354</v>
      </c>
      <c r="U208" s="2477" t="b">
        <v>0</v>
      </c>
      <c r="V208" s="2477">
        <v>270470.8</v>
      </c>
      <c r="W208" s="2477">
        <v>0</v>
      </c>
      <c r="X208" s="3937">
        <v>1698572</v>
      </c>
      <c r="Y208" s="3938">
        <v>1698572</v>
      </c>
      <c r="Z208" s="3938" t="b">
        <v>0</v>
      </c>
      <c r="AA208" s="3938">
        <v>30883.127272727274</v>
      </c>
      <c r="AB208" s="3938"/>
      <c r="AC208" s="3938"/>
      <c r="AD208" s="3938" t="s">
        <v>2129</v>
      </c>
      <c r="AE208" s="3938"/>
      <c r="AF208" s="3938"/>
      <c r="AG208">
        <v>92</v>
      </c>
      <c r="AH208" s="3965">
        <v>55</v>
      </c>
      <c r="AI208" s="3965" t="b">
        <v>0</v>
      </c>
      <c r="AJ208">
        <v>88</v>
      </c>
      <c r="AK208" s="3966">
        <v>19302</v>
      </c>
      <c r="AL208" s="2814" t="s">
        <v>2129</v>
      </c>
      <c r="AM208" s="2814" t="s">
        <v>2129</v>
      </c>
      <c r="AN208" s="2814" t="s">
        <v>2129</v>
      </c>
      <c r="AO208" s="3953" t="s">
        <v>2129</v>
      </c>
      <c r="AP208" s="2814" t="s">
        <v>2129</v>
      </c>
      <c r="AQ208" s="3954" t="s">
        <v>2129</v>
      </c>
      <c r="AR208" t="s">
        <v>2129</v>
      </c>
      <c r="AS208" t="s">
        <v>2129</v>
      </c>
      <c r="AU208" t="s">
        <v>2129</v>
      </c>
      <c r="AW208" t="s">
        <v>2129</v>
      </c>
      <c r="AX208" t="s">
        <v>2129</v>
      </c>
      <c r="AY208" t="s">
        <v>2129</v>
      </c>
      <c r="AZ208" s="3946" t="s">
        <v>2129</v>
      </c>
      <c r="BA208" t="s">
        <v>2129</v>
      </c>
      <c r="BB208" s="3947" t="s">
        <v>2129</v>
      </c>
      <c r="BC208" s="1958" t="s">
        <v>2129</v>
      </c>
      <c r="BD208" s="1958" t="s">
        <v>2129</v>
      </c>
      <c r="BE208" s="1958" t="s">
        <v>2129</v>
      </c>
      <c r="BF208" s="3937" t="s">
        <v>2129</v>
      </c>
      <c r="BG208" s="3938" t="s">
        <v>2129</v>
      </c>
      <c r="BH208" s="3938" t="s">
        <v>2129</v>
      </c>
      <c r="BI208" s="3937" t="s">
        <v>2129</v>
      </c>
      <c r="BJ208" s="3938" t="s">
        <v>2129</v>
      </c>
      <c r="BK208" s="3939" t="s">
        <v>2129</v>
      </c>
      <c r="BL208" s="3938" t="s">
        <v>2129</v>
      </c>
      <c r="BM208" s="3938" t="s">
        <v>2129</v>
      </c>
      <c r="BN208" s="3939" t="s">
        <v>2129</v>
      </c>
      <c r="BO208" s="3937" t="s">
        <v>2129</v>
      </c>
      <c r="BP208" s="3988" t="s">
        <v>2129</v>
      </c>
      <c r="BQ208" s="3988"/>
      <c r="BR208" s="3988"/>
      <c r="BS208" s="2694"/>
    </row>
    <row r="209" spans="1:71" ht="13">
      <c r="A209">
        <v>2019</v>
      </c>
      <c r="B209" s="3979" t="s">
        <v>6959</v>
      </c>
      <c r="C209" s="2694" t="s">
        <v>3791</v>
      </c>
      <c r="D209" s="2694" t="s">
        <v>2129</v>
      </c>
      <c r="E209" s="2694" t="s">
        <v>2129</v>
      </c>
      <c r="F209" s="3974" t="s">
        <v>2129</v>
      </c>
      <c r="G209" s="3975" t="s">
        <v>2129</v>
      </c>
      <c r="H209" s="3976" t="s">
        <v>2129</v>
      </c>
      <c r="I209" s="2694">
        <v>27</v>
      </c>
      <c r="J209" s="3992" t="s">
        <v>3481</v>
      </c>
      <c r="K209" s="2694">
        <v>10</v>
      </c>
      <c r="L209" s="2694" t="b">
        <v>1</v>
      </c>
      <c r="M209" s="2694" t="s">
        <v>2129</v>
      </c>
      <c r="N209" s="2477">
        <v>971383</v>
      </c>
      <c r="O209" s="2477">
        <v>0</v>
      </c>
      <c r="P209" s="2477">
        <v>0</v>
      </c>
      <c r="Q209" s="2477">
        <v>18600</v>
      </c>
      <c r="R209" s="2477">
        <v>0</v>
      </c>
      <c r="S209" s="2695">
        <v>1087121.3</v>
      </c>
      <c r="T209" s="2477">
        <v>1087121</v>
      </c>
      <c r="U209" s="2477" t="b">
        <v>0</v>
      </c>
      <c r="V209" s="2477">
        <v>108712.1</v>
      </c>
      <c r="W209" s="2477">
        <v>3709321</v>
      </c>
      <c r="X209" s="3937">
        <v>5235571</v>
      </c>
      <c r="Y209" s="3938">
        <v>1526250</v>
      </c>
      <c r="Z209" s="3938" t="b">
        <v>1</v>
      </c>
      <c r="AA209" s="3938">
        <v>33916.666666666664</v>
      </c>
      <c r="AB209" s="3938"/>
      <c r="AC209" s="3938"/>
      <c r="AD209" s="3938">
        <v>2276.4561115668585</v>
      </c>
      <c r="AE209" s="3938">
        <v>3800</v>
      </c>
      <c r="AF209" s="3938"/>
      <c r="AG209">
        <v>369</v>
      </c>
      <c r="AH209" s="3965">
        <v>45</v>
      </c>
      <c r="AI209" s="3965" t="b">
        <v>1</v>
      </c>
      <c r="AJ209">
        <v>57</v>
      </c>
      <c r="AK209" s="3966">
        <v>26777</v>
      </c>
      <c r="AL209" s="2814">
        <v>583</v>
      </c>
      <c r="AM209" s="2814" t="s">
        <v>2129</v>
      </c>
      <c r="AN209" s="2814" t="s">
        <v>2129</v>
      </c>
      <c r="AO209" s="3953" t="s">
        <v>2129</v>
      </c>
      <c r="AP209" s="2814" t="s">
        <v>2129</v>
      </c>
      <c r="AQ209" s="3954" t="s">
        <v>2129</v>
      </c>
      <c r="AR209">
        <v>538</v>
      </c>
      <c r="AS209" t="s">
        <v>2129</v>
      </c>
      <c r="AU209" t="s">
        <v>2129</v>
      </c>
      <c r="AW209">
        <v>13</v>
      </c>
      <c r="AX209" t="s">
        <v>2129</v>
      </c>
      <c r="AY209" t="s">
        <v>2129</v>
      </c>
      <c r="AZ209" s="3946" t="s">
        <v>2129</v>
      </c>
      <c r="BA209" t="s">
        <v>2129</v>
      </c>
      <c r="BB209" s="3947" t="s">
        <v>2129</v>
      </c>
      <c r="BC209" s="1958">
        <v>15610991</v>
      </c>
      <c r="BD209" s="1958" t="s">
        <v>2129</v>
      </c>
      <c r="BE209" s="1958" t="s">
        <v>2129</v>
      </c>
      <c r="BF209" s="3937" t="s">
        <v>2129</v>
      </c>
      <c r="BG209" s="3938" t="s">
        <v>2129</v>
      </c>
      <c r="BH209" s="3938" t="s">
        <v>2129</v>
      </c>
      <c r="BI209" s="3937">
        <v>14132573</v>
      </c>
      <c r="BJ209" s="3938" t="s">
        <v>2129</v>
      </c>
      <c r="BK209" s="3939" t="s">
        <v>2129</v>
      </c>
      <c r="BL209" s="3938" t="s">
        <v>2129</v>
      </c>
      <c r="BM209" s="3938" t="s">
        <v>2129</v>
      </c>
      <c r="BN209" s="3939" t="s">
        <v>2129</v>
      </c>
      <c r="BO209" s="3937">
        <v>7141750</v>
      </c>
      <c r="BP209" s="3988" t="s">
        <v>2129</v>
      </c>
      <c r="BQ209" s="3988"/>
      <c r="BR209" s="3988"/>
      <c r="BS209" s="2694"/>
    </row>
    <row r="210" spans="1:71" ht="13">
      <c r="A210">
        <v>2021</v>
      </c>
      <c r="B210" s="3979" t="s">
        <v>3413</v>
      </c>
      <c r="C210" s="2694" t="s">
        <v>2129</v>
      </c>
      <c r="D210" s="2694" t="s">
        <v>2129</v>
      </c>
      <c r="E210" s="2694" t="s">
        <v>2129</v>
      </c>
      <c r="F210" s="3974" t="s">
        <v>2129</v>
      </c>
      <c r="G210" s="3975" t="s">
        <v>2129</v>
      </c>
      <c r="H210" s="3976" t="s">
        <v>2129</v>
      </c>
      <c r="I210" s="2694">
        <v>11</v>
      </c>
      <c r="J210" s="3992" t="s">
        <v>3546</v>
      </c>
      <c r="K210" s="2694">
        <v>7</v>
      </c>
      <c r="L210" s="2694" t="b">
        <v>0</v>
      </c>
      <c r="M210" s="2694" t="s">
        <v>2129</v>
      </c>
      <c r="N210" s="2477">
        <v>4818826</v>
      </c>
      <c r="O210" s="2477">
        <v>194120</v>
      </c>
      <c r="P210" s="2477">
        <v>0</v>
      </c>
      <c r="Q210" s="2477">
        <v>0</v>
      </c>
      <c r="R210" s="2477">
        <v>0</v>
      </c>
      <c r="S210" s="2695">
        <v>5514240.6000000006</v>
      </c>
      <c r="T210" s="2477">
        <v>5514240</v>
      </c>
      <c r="U210" s="2477" t="b">
        <v>0</v>
      </c>
      <c r="V210" s="2477">
        <v>787748.57142857148</v>
      </c>
      <c r="W210" s="2477">
        <v>0</v>
      </c>
      <c r="X210" s="3937">
        <v>4757781</v>
      </c>
      <c r="Y210" s="3938">
        <v>4757781</v>
      </c>
      <c r="Z210" s="3938" t="b">
        <v>1</v>
      </c>
      <c r="AA210" s="3938">
        <v>31096.607843137255</v>
      </c>
      <c r="AB210" s="3938"/>
      <c r="AC210" s="3938"/>
      <c r="AD210" s="3938" t="s">
        <v>2129</v>
      </c>
      <c r="AE210" s="3938"/>
      <c r="AF210" s="3938"/>
      <c r="AG210">
        <v>322</v>
      </c>
      <c r="AH210" s="3965">
        <v>153</v>
      </c>
      <c r="AI210" s="3965" t="b">
        <v>1</v>
      </c>
      <c r="AJ210">
        <v>252</v>
      </c>
      <c r="AK210" s="3966">
        <v>18881</v>
      </c>
      <c r="AL210" s="2814" t="s">
        <v>2129</v>
      </c>
      <c r="AM210" s="2814" t="s">
        <v>2129</v>
      </c>
      <c r="AN210" s="2814" t="s">
        <v>2129</v>
      </c>
      <c r="AO210" s="3953" t="s">
        <v>2129</v>
      </c>
      <c r="AP210" s="2814" t="s">
        <v>2129</v>
      </c>
      <c r="AQ210" s="3954" t="s">
        <v>2129</v>
      </c>
      <c r="AR210" t="s">
        <v>2129</v>
      </c>
      <c r="AS210" t="s">
        <v>2129</v>
      </c>
      <c r="AU210" t="s">
        <v>2129</v>
      </c>
      <c r="AW210" t="s">
        <v>2129</v>
      </c>
      <c r="AX210" t="s">
        <v>2129</v>
      </c>
      <c r="AY210" t="s">
        <v>2129</v>
      </c>
      <c r="AZ210" s="3946" t="s">
        <v>2129</v>
      </c>
      <c r="BA210" t="s">
        <v>2129</v>
      </c>
      <c r="BB210" s="3947" t="s">
        <v>2129</v>
      </c>
      <c r="BC210" s="1958" t="s">
        <v>2129</v>
      </c>
      <c r="BD210" s="1958" t="s">
        <v>2129</v>
      </c>
      <c r="BE210" s="1958" t="s">
        <v>2129</v>
      </c>
      <c r="BF210" s="3937" t="s">
        <v>2129</v>
      </c>
      <c r="BG210" s="3938" t="s">
        <v>2129</v>
      </c>
      <c r="BH210" s="3938" t="s">
        <v>2129</v>
      </c>
      <c r="BI210" s="3937" t="s">
        <v>2129</v>
      </c>
      <c r="BJ210" s="3938" t="s">
        <v>2129</v>
      </c>
      <c r="BK210" s="3939" t="s">
        <v>2129</v>
      </c>
      <c r="BL210" s="3938" t="s">
        <v>2129</v>
      </c>
      <c r="BM210" s="3938" t="s">
        <v>2129</v>
      </c>
      <c r="BN210" s="3939" t="s">
        <v>2129</v>
      </c>
      <c r="BO210" s="3937" t="s">
        <v>2129</v>
      </c>
      <c r="BP210" s="3988" t="s">
        <v>2129</v>
      </c>
      <c r="BQ210" s="3988"/>
      <c r="BR210" s="3988"/>
      <c r="BS210" s="2694"/>
    </row>
    <row r="211" spans="1:71" ht="13">
      <c r="A211">
        <v>2022</v>
      </c>
      <c r="B211" s="3979" t="s">
        <v>2878</v>
      </c>
      <c r="C211" s="2694" t="s">
        <v>2129</v>
      </c>
      <c r="D211" s="2694" t="s">
        <v>2129</v>
      </c>
      <c r="E211" s="2694" t="s">
        <v>2129</v>
      </c>
      <c r="F211" s="3974" t="s">
        <v>2129</v>
      </c>
      <c r="G211" s="3975" t="s">
        <v>2129</v>
      </c>
      <c r="H211" s="3976" t="s">
        <v>2129</v>
      </c>
      <c r="I211" s="2694">
        <v>12</v>
      </c>
      <c r="J211" s="3992" t="s">
        <v>3582</v>
      </c>
      <c r="K211" s="2694">
        <v>4</v>
      </c>
      <c r="L211" s="2694" t="b">
        <v>1</v>
      </c>
      <c r="M211" s="2694" t="s">
        <v>2129</v>
      </c>
      <c r="N211" s="2477">
        <v>2141180</v>
      </c>
      <c r="O211" s="2477">
        <v>0</v>
      </c>
      <c r="P211" s="2477">
        <v>0</v>
      </c>
      <c r="Q211" s="2477">
        <v>34050</v>
      </c>
      <c r="R211" s="2477">
        <v>0</v>
      </c>
      <c r="S211" s="2695">
        <v>2389348</v>
      </c>
      <c r="T211" s="2477">
        <v>1431699</v>
      </c>
      <c r="U211" s="2477" t="b">
        <v>1</v>
      </c>
      <c r="V211" s="2477">
        <v>357924.75</v>
      </c>
      <c r="W211" s="2477">
        <v>1429406</v>
      </c>
      <c r="X211" s="3937">
        <v>6742041</v>
      </c>
      <c r="Y211" s="3938">
        <v>5312635</v>
      </c>
      <c r="Z211" s="3938" t="b">
        <v>1</v>
      </c>
      <c r="AA211" s="3938">
        <v>62501.588235294119</v>
      </c>
      <c r="AB211" s="3938">
        <v>45722</v>
      </c>
      <c r="AC211" s="3938">
        <v>64973</v>
      </c>
      <c r="AD211" s="3938" t="s">
        <v>2129</v>
      </c>
      <c r="AE211" s="3938">
        <v>3000</v>
      </c>
      <c r="AF211" s="3938"/>
      <c r="AG211">
        <v>212</v>
      </c>
      <c r="AH211" s="3965">
        <v>85</v>
      </c>
      <c r="AI211" s="3965" t="b">
        <v>1</v>
      </c>
      <c r="AJ211">
        <v>268</v>
      </c>
      <c r="AK211" s="3966">
        <v>19824</v>
      </c>
      <c r="AL211" s="2814" t="s">
        <v>2129</v>
      </c>
      <c r="AM211" s="2814" t="s">
        <v>2129</v>
      </c>
      <c r="AN211" s="2814" t="s">
        <v>2129</v>
      </c>
      <c r="AO211" s="3953" t="s">
        <v>2129</v>
      </c>
      <c r="AP211" s="2814" t="s">
        <v>2129</v>
      </c>
      <c r="AQ211" s="3954" t="s">
        <v>2129</v>
      </c>
      <c r="AR211" t="s">
        <v>2129</v>
      </c>
      <c r="AS211" t="s">
        <v>2129</v>
      </c>
      <c r="AU211" t="s">
        <v>2129</v>
      </c>
      <c r="AW211" t="s">
        <v>2129</v>
      </c>
      <c r="AX211" t="s">
        <v>2129</v>
      </c>
      <c r="AY211" t="s">
        <v>2129</v>
      </c>
      <c r="AZ211" s="3946" t="s">
        <v>2129</v>
      </c>
      <c r="BA211" t="s">
        <v>2129</v>
      </c>
      <c r="BB211" s="3947" t="s">
        <v>2129</v>
      </c>
      <c r="BC211" s="1958" t="s">
        <v>2129</v>
      </c>
      <c r="BD211" s="1958" t="s">
        <v>2129</v>
      </c>
      <c r="BE211" s="1958" t="s">
        <v>2129</v>
      </c>
      <c r="BF211" s="3937" t="s">
        <v>2129</v>
      </c>
      <c r="BG211" s="3938" t="s">
        <v>2129</v>
      </c>
      <c r="BH211" s="3938" t="s">
        <v>2129</v>
      </c>
      <c r="BI211" s="3937" t="s">
        <v>2129</v>
      </c>
      <c r="BJ211" s="3938" t="s">
        <v>2129</v>
      </c>
      <c r="BK211" s="3939" t="s">
        <v>2129</v>
      </c>
      <c r="BL211" s="3938" t="s">
        <v>2129</v>
      </c>
      <c r="BM211" s="3938" t="s">
        <v>2129</v>
      </c>
      <c r="BN211" s="3939" t="s">
        <v>2129</v>
      </c>
      <c r="BO211" s="3937" t="s">
        <v>2129</v>
      </c>
      <c r="BP211" s="3988" t="s">
        <v>2129</v>
      </c>
      <c r="BQ211" s="3988"/>
      <c r="BR211" s="3988"/>
      <c r="BS211" s="2694"/>
    </row>
    <row r="212" spans="1:71" ht="13">
      <c r="A212">
        <v>2024</v>
      </c>
      <c r="B212" s="3979" t="s">
        <v>3414</v>
      </c>
      <c r="C212" s="2694" t="s">
        <v>2129</v>
      </c>
      <c r="D212" s="2694" t="s">
        <v>2129</v>
      </c>
      <c r="E212" s="2694" t="s">
        <v>2129</v>
      </c>
      <c r="F212" s="3974" t="s">
        <v>2129</v>
      </c>
      <c r="G212" s="3975" t="s">
        <v>2129</v>
      </c>
      <c r="H212" s="3976" t="s">
        <v>2129</v>
      </c>
      <c r="I212" s="2694">
        <v>1</v>
      </c>
      <c r="J212" s="3992" t="s">
        <v>2669</v>
      </c>
      <c r="K212" s="2694">
        <v>1</v>
      </c>
      <c r="L212" s="2694" t="b">
        <v>1</v>
      </c>
      <c r="M212" s="2694" t="s">
        <v>2129</v>
      </c>
      <c r="N212" s="2477">
        <v>282353</v>
      </c>
      <c r="O212" s="2477">
        <v>0</v>
      </c>
      <c r="P212" s="2477">
        <v>0</v>
      </c>
      <c r="Q212" s="2477">
        <v>0</v>
      </c>
      <c r="R212" s="2477">
        <v>0</v>
      </c>
      <c r="S212" s="2695">
        <v>310588.30000000005</v>
      </c>
      <c r="T212" s="2477">
        <v>310588</v>
      </c>
      <c r="U212" s="2477" t="b">
        <v>1</v>
      </c>
      <c r="V212" s="2477">
        <v>310588</v>
      </c>
      <c r="W212" s="2477">
        <v>0</v>
      </c>
      <c r="X212" s="3937">
        <v>12902435</v>
      </c>
      <c r="Y212" s="3938">
        <v>12902435</v>
      </c>
      <c r="Z212" s="3938" t="b">
        <v>1</v>
      </c>
      <c r="AA212" s="3938">
        <v>66166.333333333328</v>
      </c>
      <c r="AB212" s="3938"/>
      <c r="AC212" s="3938"/>
      <c r="AD212" s="3938" t="s">
        <v>2129</v>
      </c>
      <c r="AE212" s="3938"/>
      <c r="AF212" s="3938"/>
      <c r="AG212">
        <v>195</v>
      </c>
      <c r="AH212" s="3965">
        <v>195</v>
      </c>
      <c r="AI212" s="3965" t="b">
        <v>1</v>
      </c>
      <c r="AJ212">
        <v>333</v>
      </c>
      <c r="AK212" s="3966">
        <v>38747</v>
      </c>
      <c r="AL212" s="2814" t="s">
        <v>2129</v>
      </c>
      <c r="AM212" s="2814" t="s">
        <v>2129</v>
      </c>
      <c r="AN212" s="2814" t="s">
        <v>2129</v>
      </c>
      <c r="AO212" s="3953" t="s">
        <v>2129</v>
      </c>
      <c r="AP212" s="2814" t="s">
        <v>2129</v>
      </c>
      <c r="AQ212" s="3954" t="s">
        <v>2129</v>
      </c>
      <c r="AR212" t="s">
        <v>2129</v>
      </c>
      <c r="AS212" t="s">
        <v>2129</v>
      </c>
      <c r="AU212" t="s">
        <v>2129</v>
      </c>
      <c r="AW212" t="s">
        <v>2129</v>
      </c>
      <c r="AX212" t="s">
        <v>2129</v>
      </c>
      <c r="AY212" t="s">
        <v>2129</v>
      </c>
      <c r="AZ212" s="3946" t="s">
        <v>2129</v>
      </c>
      <c r="BA212" t="s">
        <v>2129</v>
      </c>
      <c r="BB212" s="3947" t="s">
        <v>2129</v>
      </c>
      <c r="BC212" s="1958" t="s">
        <v>2129</v>
      </c>
      <c r="BD212" s="1958" t="s">
        <v>2129</v>
      </c>
      <c r="BE212" s="1958" t="s">
        <v>2129</v>
      </c>
      <c r="BF212" s="3937" t="s">
        <v>2129</v>
      </c>
      <c r="BG212" s="3938" t="s">
        <v>2129</v>
      </c>
      <c r="BH212" s="3938" t="s">
        <v>2129</v>
      </c>
      <c r="BI212" s="3937" t="s">
        <v>2129</v>
      </c>
      <c r="BJ212" s="3938" t="s">
        <v>2129</v>
      </c>
      <c r="BK212" s="3939" t="s">
        <v>2129</v>
      </c>
      <c r="BL212" s="3938" t="s">
        <v>2129</v>
      </c>
      <c r="BM212" s="3938" t="s">
        <v>2129</v>
      </c>
      <c r="BN212" s="3939" t="s">
        <v>2129</v>
      </c>
      <c r="BO212" s="3937" t="s">
        <v>2129</v>
      </c>
      <c r="BP212" s="3988" t="s">
        <v>2129</v>
      </c>
      <c r="BQ212" s="3988"/>
      <c r="BR212" s="3988"/>
      <c r="BS212" s="2694"/>
    </row>
    <row r="213" spans="1:71" ht="13">
      <c r="A213">
        <v>2025</v>
      </c>
      <c r="B213" s="3979" t="s">
        <v>3415</v>
      </c>
      <c r="C213" s="2694" t="s">
        <v>2129</v>
      </c>
      <c r="D213" s="2694" t="s">
        <v>2129</v>
      </c>
      <c r="E213" s="2694" t="s">
        <v>2129</v>
      </c>
      <c r="F213" s="3974" t="s">
        <v>2129</v>
      </c>
      <c r="G213" s="3975" t="s">
        <v>2129</v>
      </c>
      <c r="H213" s="3976" t="s">
        <v>2129</v>
      </c>
      <c r="I213" s="2694">
        <v>3</v>
      </c>
      <c r="J213" s="3992" t="s">
        <v>3481</v>
      </c>
      <c r="K213" s="2694">
        <v>3</v>
      </c>
      <c r="L213" s="2694" t="b">
        <v>1</v>
      </c>
      <c r="M213" s="2694" t="s">
        <v>2129</v>
      </c>
      <c r="N213" s="2477">
        <v>682354</v>
      </c>
      <c r="O213" s="2477">
        <v>0</v>
      </c>
      <c r="P213" s="2477">
        <v>0</v>
      </c>
      <c r="Q213" s="2477">
        <v>5100</v>
      </c>
      <c r="R213" s="2477">
        <v>0</v>
      </c>
      <c r="S213" s="2695">
        <v>755689.4</v>
      </c>
      <c r="T213" s="2477">
        <v>755689</v>
      </c>
      <c r="U213" s="2477" t="b">
        <v>1</v>
      </c>
      <c r="V213" s="2477">
        <v>251896.33333333334</v>
      </c>
      <c r="W213" s="2477">
        <v>0</v>
      </c>
      <c r="X213" s="3937">
        <v>2859595</v>
      </c>
      <c r="Y213" s="3938">
        <v>2859595</v>
      </c>
      <c r="Z213" s="3938" t="b">
        <v>1</v>
      </c>
      <c r="AA213" s="3938">
        <v>79433.194444444438</v>
      </c>
      <c r="AB213" s="3938"/>
      <c r="AC213" s="3938"/>
      <c r="AD213" s="3938" t="s">
        <v>2129</v>
      </c>
      <c r="AE213" s="3938"/>
      <c r="AF213" s="3938"/>
      <c r="AG213">
        <v>128</v>
      </c>
      <c r="AH213" s="3965">
        <v>36</v>
      </c>
      <c r="AI213" s="3965" t="b">
        <v>1</v>
      </c>
      <c r="AJ213">
        <v>62</v>
      </c>
      <c r="AK213" s="3966">
        <v>46123</v>
      </c>
      <c r="AL213" s="2814" t="s">
        <v>2129</v>
      </c>
      <c r="AM213" s="2814" t="s">
        <v>2129</v>
      </c>
      <c r="AN213" s="2814" t="s">
        <v>2129</v>
      </c>
      <c r="AO213" s="3953" t="s">
        <v>2129</v>
      </c>
      <c r="AP213" s="2814" t="s">
        <v>2129</v>
      </c>
      <c r="AQ213" s="3954" t="s">
        <v>2129</v>
      </c>
      <c r="AR213" t="s">
        <v>2129</v>
      </c>
      <c r="AS213" t="s">
        <v>2129</v>
      </c>
      <c r="AU213" t="s">
        <v>2129</v>
      </c>
      <c r="AW213" t="s">
        <v>2129</v>
      </c>
      <c r="AX213" t="s">
        <v>2129</v>
      </c>
      <c r="AY213" t="s">
        <v>2129</v>
      </c>
      <c r="AZ213" s="3946" t="s">
        <v>2129</v>
      </c>
      <c r="BA213" t="s">
        <v>2129</v>
      </c>
      <c r="BB213" s="3947" t="s">
        <v>2129</v>
      </c>
      <c r="BC213" s="1958" t="s">
        <v>2129</v>
      </c>
      <c r="BD213" s="1958" t="s">
        <v>2129</v>
      </c>
      <c r="BE213" s="1958" t="s">
        <v>2129</v>
      </c>
      <c r="BF213" s="3937" t="s">
        <v>2129</v>
      </c>
      <c r="BG213" s="3938" t="s">
        <v>2129</v>
      </c>
      <c r="BH213" s="3938" t="s">
        <v>2129</v>
      </c>
      <c r="BI213" s="3937" t="s">
        <v>2129</v>
      </c>
      <c r="BJ213" s="3938" t="s">
        <v>2129</v>
      </c>
      <c r="BK213" s="3939" t="s">
        <v>2129</v>
      </c>
      <c r="BL213" s="3938" t="s">
        <v>2129</v>
      </c>
      <c r="BM213" s="3938" t="s">
        <v>2129</v>
      </c>
      <c r="BN213" s="3939" t="s">
        <v>2129</v>
      </c>
      <c r="BO213" s="3937" t="s">
        <v>2129</v>
      </c>
      <c r="BP213" s="3988" t="s">
        <v>2129</v>
      </c>
      <c r="BQ213" s="3988"/>
      <c r="BR213" s="3988"/>
      <c r="BS213" s="2694"/>
    </row>
    <row r="214" spans="1:71" ht="13">
      <c r="A214">
        <v>2026</v>
      </c>
      <c r="B214" s="3979" t="s">
        <v>2873</v>
      </c>
      <c r="C214" s="2694" t="s">
        <v>2129</v>
      </c>
      <c r="D214" s="2694" t="s">
        <v>2129</v>
      </c>
      <c r="E214" s="2694" t="s">
        <v>2129</v>
      </c>
      <c r="F214" s="3974" t="s">
        <v>2129</v>
      </c>
      <c r="G214" s="3975" t="s">
        <v>2129</v>
      </c>
      <c r="H214" s="3976" t="s">
        <v>2129</v>
      </c>
      <c r="I214" s="2694">
        <v>14</v>
      </c>
      <c r="J214" s="3992" t="s">
        <v>3582</v>
      </c>
      <c r="K214" s="2694">
        <v>4</v>
      </c>
      <c r="L214" s="2694" t="b">
        <v>1</v>
      </c>
      <c r="M214" s="2694" t="s">
        <v>2129</v>
      </c>
      <c r="N214" s="2477">
        <v>4146357</v>
      </c>
      <c r="O214" s="2477">
        <v>0</v>
      </c>
      <c r="P214" s="2477">
        <v>0</v>
      </c>
      <c r="Q214" s="2477">
        <v>10500</v>
      </c>
      <c r="R214" s="2477">
        <v>0</v>
      </c>
      <c r="S214" s="2695">
        <v>4571492.7</v>
      </c>
      <c r="T214" s="2477">
        <v>1362158</v>
      </c>
      <c r="U214" s="2477" t="b">
        <v>1</v>
      </c>
      <c r="V214" s="2477">
        <v>340539.5</v>
      </c>
      <c r="W214" s="2477">
        <v>181177</v>
      </c>
      <c r="X214" s="3937">
        <v>3548543</v>
      </c>
      <c r="Y214" s="3938">
        <v>3367366</v>
      </c>
      <c r="Z214" s="3938" t="b">
        <v>1</v>
      </c>
      <c r="AA214" s="3938">
        <v>36208.236559139783</v>
      </c>
      <c r="AB214" s="3938">
        <v>28236</v>
      </c>
      <c r="AC214" s="3938">
        <v>45883</v>
      </c>
      <c r="AD214" s="3938" t="s">
        <v>2129</v>
      </c>
      <c r="AE214" s="3938">
        <v>1100</v>
      </c>
      <c r="AF214" s="3938"/>
      <c r="AG214">
        <v>158</v>
      </c>
      <c r="AH214" s="3965">
        <v>93</v>
      </c>
      <c r="AI214" s="3965" t="b">
        <v>1</v>
      </c>
      <c r="AJ214">
        <v>186</v>
      </c>
      <c r="AK214" s="3966">
        <v>18105</v>
      </c>
      <c r="AL214" s="2814" t="s">
        <v>2129</v>
      </c>
      <c r="AM214" s="2814" t="s">
        <v>2129</v>
      </c>
      <c r="AN214" s="2814" t="s">
        <v>2129</v>
      </c>
      <c r="AO214" s="3953" t="s">
        <v>2129</v>
      </c>
      <c r="AP214" s="2814" t="s">
        <v>2129</v>
      </c>
      <c r="AQ214" s="3954" t="s">
        <v>2129</v>
      </c>
      <c r="AR214" t="s">
        <v>2129</v>
      </c>
      <c r="AS214" t="s">
        <v>2129</v>
      </c>
      <c r="AU214" t="s">
        <v>2129</v>
      </c>
      <c r="AW214" t="s">
        <v>2129</v>
      </c>
      <c r="AX214" t="s">
        <v>2129</v>
      </c>
      <c r="AY214" t="s">
        <v>2129</v>
      </c>
      <c r="AZ214" s="3946" t="s">
        <v>2129</v>
      </c>
      <c r="BA214" t="s">
        <v>2129</v>
      </c>
      <c r="BB214" s="3947" t="s">
        <v>2129</v>
      </c>
      <c r="BC214" s="1958" t="s">
        <v>2129</v>
      </c>
      <c r="BD214" s="1958" t="s">
        <v>2129</v>
      </c>
      <c r="BE214" s="1958" t="s">
        <v>2129</v>
      </c>
      <c r="BF214" s="3937" t="s">
        <v>2129</v>
      </c>
      <c r="BG214" s="3938" t="s">
        <v>2129</v>
      </c>
      <c r="BH214" s="3938" t="s">
        <v>2129</v>
      </c>
      <c r="BI214" s="3937" t="s">
        <v>2129</v>
      </c>
      <c r="BJ214" s="3938" t="s">
        <v>2129</v>
      </c>
      <c r="BK214" s="3939" t="s">
        <v>2129</v>
      </c>
      <c r="BL214" s="3938" t="s">
        <v>2129</v>
      </c>
      <c r="BM214" s="3938" t="s">
        <v>2129</v>
      </c>
      <c r="BN214" s="3939" t="s">
        <v>2129</v>
      </c>
      <c r="BO214" s="3937" t="s">
        <v>2129</v>
      </c>
      <c r="BP214" s="3988" t="s">
        <v>2129</v>
      </c>
      <c r="BQ214" s="3988"/>
      <c r="BR214" s="3988"/>
      <c r="BS214" s="2694"/>
    </row>
    <row r="215" spans="1:71" ht="13">
      <c r="A215">
        <v>2027</v>
      </c>
      <c r="B215" s="3979" t="s">
        <v>2875</v>
      </c>
      <c r="C215" s="2694" t="s">
        <v>2129</v>
      </c>
      <c r="D215" s="2694" t="s">
        <v>2129</v>
      </c>
      <c r="E215" s="2694" t="s">
        <v>2129</v>
      </c>
      <c r="F215" s="3974" t="s">
        <v>2129</v>
      </c>
      <c r="G215" s="3975" t="s">
        <v>2129</v>
      </c>
      <c r="H215" s="3976" t="s">
        <v>2129</v>
      </c>
      <c r="I215" s="2694">
        <v>16</v>
      </c>
      <c r="J215" s="3992" t="s">
        <v>5504</v>
      </c>
      <c r="K215" s="2694">
        <v>7</v>
      </c>
      <c r="L215" s="2694" t="b">
        <v>1</v>
      </c>
      <c r="M215" s="2694" t="s">
        <v>2129</v>
      </c>
      <c r="N215" s="2477">
        <v>8691299</v>
      </c>
      <c r="O215" s="2477">
        <v>388240</v>
      </c>
      <c r="P215" s="2477">
        <v>0</v>
      </c>
      <c r="Q215" s="2477">
        <v>0</v>
      </c>
      <c r="R215" s="2477">
        <v>0</v>
      </c>
      <c r="S215" s="2695">
        <v>9987492.9000000004</v>
      </c>
      <c r="T215" s="2477">
        <v>4375224</v>
      </c>
      <c r="U215" s="2477" t="b">
        <v>1</v>
      </c>
      <c r="V215" s="2477">
        <v>625032</v>
      </c>
      <c r="W215" s="2477">
        <v>1529660</v>
      </c>
      <c r="X215" s="3937">
        <v>9690417</v>
      </c>
      <c r="Y215" s="3938">
        <v>8160757</v>
      </c>
      <c r="Z215" s="3938" t="b">
        <v>1</v>
      </c>
      <c r="AA215" s="3938">
        <v>47723.725146198827</v>
      </c>
      <c r="AB215" s="3938">
        <v>24706</v>
      </c>
      <c r="AC215" s="3938">
        <v>47059</v>
      </c>
      <c r="AD215" s="3938" t="s">
        <v>2129</v>
      </c>
      <c r="AE215" s="3938">
        <v>3000</v>
      </c>
      <c r="AF215" s="3938"/>
      <c r="AG215">
        <v>192</v>
      </c>
      <c r="AH215" s="3965">
        <v>171</v>
      </c>
      <c r="AI215" s="3965" t="b">
        <v>1</v>
      </c>
      <c r="AJ215">
        <v>316</v>
      </c>
      <c r="AK215" s="3966">
        <v>25826</v>
      </c>
      <c r="AL215" s="2814" t="s">
        <v>2129</v>
      </c>
      <c r="AM215" s="2814" t="s">
        <v>2129</v>
      </c>
      <c r="AN215" s="2814" t="s">
        <v>2129</v>
      </c>
      <c r="AO215" s="3953" t="s">
        <v>2129</v>
      </c>
      <c r="AP215" s="2814" t="s">
        <v>2129</v>
      </c>
      <c r="AQ215" s="3954" t="s">
        <v>2129</v>
      </c>
      <c r="AR215" t="s">
        <v>2129</v>
      </c>
      <c r="AS215" t="s">
        <v>2129</v>
      </c>
      <c r="AU215" t="s">
        <v>2129</v>
      </c>
      <c r="AW215" t="s">
        <v>2129</v>
      </c>
      <c r="AX215" t="s">
        <v>2129</v>
      </c>
      <c r="AY215" t="s">
        <v>2129</v>
      </c>
      <c r="AZ215" s="3946" t="s">
        <v>2129</v>
      </c>
      <c r="BA215" t="s">
        <v>2129</v>
      </c>
      <c r="BB215" s="3947" t="s">
        <v>2129</v>
      </c>
      <c r="BC215" s="1958" t="s">
        <v>2129</v>
      </c>
      <c r="BD215" s="1958" t="s">
        <v>2129</v>
      </c>
      <c r="BE215" s="1958" t="s">
        <v>2129</v>
      </c>
      <c r="BF215" s="3937" t="s">
        <v>2129</v>
      </c>
      <c r="BG215" s="3938" t="s">
        <v>2129</v>
      </c>
      <c r="BH215" s="3938" t="s">
        <v>2129</v>
      </c>
      <c r="BI215" s="3937" t="s">
        <v>2129</v>
      </c>
      <c r="BJ215" s="3938" t="s">
        <v>2129</v>
      </c>
      <c r="BK215" s="3939" t="s">
        <v>2129</v>
      </c>
      <c r="BL215" s="3938" t="s">
        <v>2129</v>
      </c>
      <c r="BM215" s="3938" t="s">
        <v>2129</v>
      </c>
      <c r="BN215" s="3939" t="s">
        <v>2129</v>
      </c>
      <c r="BO215" s="3937" t="s">
        <v>2129</v>
      </c>
      <c r="BP215" s="3988" t="s">
        <v>2129</v>
      </c>
      <c r="BQ215" s="3988"/>
      <c r="BR215" s="3988"/>
      <c r="BS215" s="2694"/>
    </row>
    <row r="216" spans="1:71" ht="13">
      <c r="A216">
        <v>2028</v>
      </c>
      <c r="B216" s="3979" t="s">
        <v>3416</v>
      </c>
      <c r="C216" s="2694" t="s">
        <v>3791</v>
      </c>
      <c r="D216" s="2694" t="s">
        <v>2129</v>
      </c>
      <c r="E216" s="2694" t="s">
        <v>2129</v>
      </c>
      <c r="F216" s="3974" t="s">
        <v>2129</v>
      </c>
      <c r="G216" s="3975" t="s">
        <v>2129</v>
      </c>
      <c r="H216" s="3976" t="s">
        <v>2129</v>
      </c>
      <c r="I216" s="2694">
        <v>16</v>
      </c>
      <c r="J216" s="3992" t="s">
        <v>3581</v>
      </c>
      <c r="K216" s="2694">
        <v>2</v>
      </c>
      <c r="L216" s="2694" t="b">
        <v>0</v>
      </c>
      <c r="M216" s="2694" t="s">
        <v>2129</v>
      </c>
      <c r="N216" s="2477">
        <v>5399062</v>
      </c>
      <c r="O216" s="2477">
        <v>70590</v>
      </c>
      <c r="P216" s="2477">
        <v>0</v>
      </c>
      <c r="Q216" s="2477">
        <v>0</v>
      </c>
      <c r="R216" s="2477">
        <v>0</v>
      </c>
      <c r="S216" s="2695">
        <v>6016617.2000000002</v>
      </c>
      <c r="T216" s="2477">
        <v>2707295</v>
      </c>
      <c r="U216" s="2477" t="b">
        <v>0</v>
      </c>
      <c r="V216" s="2477">
        <v>1353647.5</v>
      </c>
      <c r="W216" s="2477">
        <v>603026</v>
      </c>
      <c r="X216" s="3937">
        <v>891017</v>
      </c>
      <c r="Y216" s="3938">
        <v>287991</v>
      </c>
      <c r="Z216" s="3938" t="b">
        <v>1</v>
      </c>
      <c r="AA216" s="3938">
        <v>15999.5</v>
      </c>
      <c r="AB216" s="3938"/>
      <c r="AC216" s="3938"/>
      <c r="AD216" s="3938">
        <v>1680.7178290049605</v>
      </c>
      <c r="AE216" s="3938"/>
      <c r="AF216" s="3938"/>
      <c r="AG216">
        <v>60</v>
      </c>
      <c r="AH216" s="3965">
        <v>18</v>
      </c>
      <c r="AI216" s="3965" t="b">
        <v>1</v>
      </c>
      <c r="AJ216">
        <v>18</v>
      </c>
      <c r="AK216" s="3966">
        <v>16000</v>
      </c>
      <c r="AL216" s="2814">
        <v>149</v>
      </c>
      <c r="AM216" s="2814" t="s">
        <v>2129</v>
      </c>
      <c r="AN216" s="2814" t="s">
        <v>2129</v>
      </c>
      <c r="AO216" s="3953" t="s">
        <v>2129</v>
      </c>
      <c r="AP216" s="2814" t="s">
        <v>2129</v>
      </c>
      <c r="AQ216" s="3954" t="s">
        <v>2129</v>
      </c>
      <c r="AR216">
        <v>131</v>
      </c>
      <c r="AS216" t="s">
        <v>2129</v>
      </c>
      <c r="AU216" t="s">
        <v>2129</v>
      </c>
      <c r="AW216">
        <v>11</v>
      </c>
      <c r="AX216" t="s">
        <v>2129</v>
      </c>
      <c r="AY216" t="s">
        <v>2129</v>
      </c>
      <c r="AZ216" s="3946" t="s">
        <v>2129</v>
      </c>
      <c r="BA216" t="s">
        <v>2129</v>
      </c>
      <c r="BB216" s="3947" t="s">
        <v>2129</v>
      </c>
      <c r="BC216" s="1958">
        <v>2384000</v>
      </c>
      <c r="BD216" s="1958" t="s">
        <v>2129</v>
      </c>
      <c r="BE216" s="1958" t="s">
        <v>2129</v>
      </c>
      <c r="BF216" s="3937" t="s">
        <v>2129</v>
      </c>
      <c r="BG216" s="3938" t="s">
        <v>2129</v>
      </c>
      <c r="BH216" s="3938" t="s">
        <v>2129</v>
      </c>
      <c r="BI216" s="3937">
        <v>29780245</v>
      </c>
      <c r="BJ216" s="3938" t="s">
        <v>2129</v>
      </c>
      <c r="BK216" s="3939" t="s">
        <v>2129</v>
      </c>
      <c r="BL216" s="3938" t="s">
        <v>2129</v>
      </c>
      <c r="BM216" s="3938" t="s">
        <v>2129</v>
      </c>
      <c r="BN216" s="3939" t="s">
        <v>2129</v>
      </c>
      <c r="BO216" s="3937">
        <v>1825250</v>
      </c>
      <c r="BP216" s="3988" t="s">
        <v>2129</v>
      </c>
      <c r="BQ216" s="3988">
        <v>29800</v>
      </c>
      <c r="BR216" s="3988"/>
      <c r="BS216" s="2694"/>
    </row>
    <row r="217" spans="1:71" ht="13">
      <c r="A217">
        <v>2030</v>
      </c>
      <c r="B217" s="3979" t="s">
        <v>3417</v>
      </c>
      <c r="C217" s="2694" t="s">
        <v>2129</v>
      </c>
      <c r="D217" s="2694" t="s">
        <v>2129</v>
      </c>
      <c r="E217" s="2694" t="s">
        <v>2129</v>
      </c>
      <c r="F217" s="3974" t="s">
        <v>2129</v>
      </c>
      <c r="G217" s="3975" t="s">
        <v>2129</v>
      </c>
      <c r="H217" s="3976" t="s">
        <v>2129</v>
      </c>
      <c r="I217" s="2694">
        <v>3</v>
      </c>
      <c r="J217" s="3992" t="s">
        <v>3481</v>
      </c>
      <c r="K217" s="2694">
        <v>1</v>
      </c>
      <c r="L217" s="2694" t="b">
        <v>0</v>
      </c>
      <c r="M217" s="2694" t="s">
        <v>2129</v>
      </c>
      <c r="N217" s="2477">
        <v>398589</v>
      </c>
      <c r="O217" s="2477">
        <v>0</v>
      </c>
      <c r="P217" s="2477">
        <v>0</v>
      </c>
      <c r="Q217" s="2477">
        <v>0</v>
      </c>
      <c r="R217" s="2477">
        <v>0</v>
      </c>
      <c r="S217" s="2695">
        <v>438447.9</v>
      </c>
      <c r="T217" s="2477">
        <v>438447</v>
      </c>
      <c r="U217" s="2477" t="b">
        <v>0</v>
      </c>
      <c r="V217" s="2477">
        <v>438447</v>
      </c>
      <c r="W217" s="2477">
        <v>0</v>
      </c>
      <c r="X217" s="3937">
        <v>2211422</v>
      </c>
      <c r="Y217" s="3938">
        <v>2211422</v>
      </c>
      <c r="Z217" s="3938" t="b">
        <v>1</v>
      </c>
      <c r="AA217" s="3938">
        <v>26643.638554216868</v>
      </c>
      <c r="AB217" s="3938"/>
      <c r="AC217" s="3938"/>
      <c r="AD217" s="3938" t="s">
        <v>2129</v>
      </c>
      <c r="AE217" s="3938"/>
      <c r="AF217" s="3938"/>
      <c r="AG217">
        <v>120</v>
      </c>
      <c r="AH217" s="3965">
        <v>83</v>
      </c>
      <c r="AI217" s="3965" t="b">
        <v>1</v>
      </c>
      <c r="AJ217">
        <v>113</v>
      </c>
      <c r="AK217" s="3966">
        <v>19571</v>
      </c>
      <c r="AL217" s="2814" t="s">
        <v>2129</v>
      </c>
      <c r="AM217" s="2814" t="s">
        <v>2129</v>
      </c>
      <c r="AN217" s="2814" t="s">
        <v>2129</v>
      </c>
      <c r="AO217" s="3953" t="s">
        <v>2129</v>
      </c>
      <c r="AP217" s="2814" t="s">
        <v>2129</v>
      </c>
      <c r="AQ217" s="3954" t="s">
        <v>2129</v>
      </c>
      <c r="AR217" t="s">
        <v>2129</v>
      </c>
      <c r="AS217" t="s">
        <v>2129</v>
      </c>
      <c r="AU217" t="s">
        <v>2129</v>
      </c>
      <c r="AW217" t="s">
        <v>2129</v>
      </c>
      <c r="AX217" t="s">
        <v>2129</v>
      </c>
      <c r="AY217" t="s">
        <v>2129</v>
      </c>
      <c r="AZ217" s="3946" t="s">
        <v>2129</v>
      </c>
      <c r="BA217" t="s">
        <v>2129</v>
      </c>
      <c r="BB217" s="3947" t="s">
        <v>2129</v>
      </c>
      <c r="BC217" s="1958" t="s">
        <v>2129</v>
      </c>
      <c r="BD217" s="1958" t="s">
        <v>2129</v>
      </c>
      <c r="BE217" s="1958" t="s">
        <v>2129</v>
      </c>
      <c r="BF217" s="3937" t="s">
        <v>2129</v>
      </c>
      <c r="BG217" s="3938" t="s">
        <v>2129</v>
      </c>
      <c r="BH217" s="3938" t="s">
        <v>2129</v>
      </c>
      <c r="BI217" s="3937" t="s">
        <v>2129</v>
      </c>
      <c r="BJ217" s="3938" t="s">
        <v>2129</v>
      </c>
      <c r="BK217" s="3939" t="s">
        <v>2129</v>
      </c>
      <c r="BL217" s="3938" t="s">
        <v>2129</v>
      </c>
      <c r="BM217" s="3938" t="s">
        <v>2129</v>
      </c>
      <c r="BN217" s="3939" t="s">
        <v>2129</v>
      </c>
      <c r="BO217" s="3937" t="s">
        <v>2129</v>
      </c>
      <c r="BP217" s="3988" t="s">
        <v>2129</v>
      </c>
      <c r="BQ217" s="3988"/>
      <c r="BR217" s="3988"/>
      <c r="BS217" s="2694"/>
    </row>
    <row r="218" spans="1:71" ht="13">
      <c r="A218">
        <v>2032</v>
      </c>
      <c r="B218" s="3979" t="s">
        <v>2876</v>
      </c>
      <c r="C218" s="2694" t="s">
        <v>2129</v>
      </c>
      <c r="D218" s="2694" t="s">
        <v>2129</v>
      </c>
      <c r="E218" s="2694" t="s">
        <v>2129</v>
      </c>
      <c r="F218" s="3974" t="s">
        <v>2129</v>
      </c>
      <c r="G218" s="3975" t="s">
        <v>2129</v>
      </c>
      <c r="H218" s="3976" t="s">
        <v>2129</v>
      </c>
      <c r="I218" s="2694">
        <v>23</v>
      </c>
      <c r="J218" s="3992" t="s">
        <v>3615</v>
      </c>
      <c r="K218" s="2694">
        <v>4</v>
      </c>
      <c r="L218" s="2694" t="b">
        <v>1</v>
      </c>
      <c r="M218" s="2694" t="s">
        <v>2129</v>
      </c>
      <c r="N218" s="2477">
        <v>3827198</v>
      </c>
      <c r="O218" s="2477">
        <v>51768</v>
      </c>
      <c r="P218" s="2477">
        <v>0</v>
      </c>
      <c r="Q218" s="2477">
        <v>0</v>
      </c>
      <c r="R218" s="2477">
        <v>0</v>
      </c>
      <c r="S218" s="2695">
        <v>4266862.6000000006</v>
      </c>
      <c r="T218" s="2477">
        <v>1734933</v>
      </c>
      <c r="U218" s="2477" t="b">
        <v>0</v>
      </c>
      <c r="V218" s="2477">
        <v>433733.25</v>
      </c>
      <c r="W218" s="2477">
        <v>56944</v>
      </c>
      <c r="X218" s="3937">
        <v>1560732</v>
      </c>
      <c r="Y218" s="3938">
        <v>1503788</v>
      </c>
      <c r="Z218" s="3938" t="b">
        <v>1</v>
      </c>
      <c r="AA218" s="3938">
        <v>23496.6875</v>
      </c>
      <c r="AB218" s="3938">
        <v>12942</v>
      </c>
      <c r="AC218" s="3938">
        <v>36471</v>
      </c>
      <c r="AD218" s="3938" t="s">
        <v>2129</v>
      </c>
      <c r="AE218" s="3938">
        <v>1300</v>
      </c>
      <c r="AF218" s="3938"/>
      <c r="AG218">
        <v>78</v>
      </c>
      <c r="AH218" s="3965">
        <v>64</v>
      </c>
      <c r="AI218" s="3965" t="b">
        <v>1</v>
      </c>
      <c r="AJ218">
        <v>108</v>
      </c>
      <c r="AK218" s="3966">
        <v>13924</v>
      </c>
      <c r="AL218" s="2814" t="s">
        <v>2129</v>
      </c>
      <c r="AM218" s="2814" t="s">
        <v>2129</v>
      </c>
      <c r="AN218" s="2814" t="s">
        <v>2129</v>
      </c>
      <c r="AO218" s="3953" t="s">
        <v>2129</v>
      </c>
      <c r="AP218" s="2814" t="s">
        <v>2129</v>
      </c>
      <c r="AQ218" s="3954" t="s">
        <v>2129</v>
      </c>
      <c r="AR218" t="s">
        <v>2129</v>
      </c>
      <c r="AS218" t="s">
        <v>2129</v>
      </c>
      <c r="AU218" t="s">
        <v>2129</v>
      </c>
      <c r="AW218" t="s">
        <v>2129</v>
      </c>
      <c r="AX218" t="s">
        <v>2129</v>
      </c>
      <c r="AY218" t="s">
        <v>2129</v>
      </c>
      <c r="AZ218" s="3946" t="s">
        <v>2129</v>
      </c>
      <c r="BA218" t="s">
        <v>2129</v>
      </c>
      <c r="BB218" s="3947" t="s">
        <v>2129</v>
      </c>
      <c r="BC218" s="1958" t="s">
        <v>2129</v>
      </c>
      <c r="BD218" s="1958" t="s">
        <v>2129</v>
      </c>
      <c r="BE218" s="1958" t="s">
        <v>2129</v>
      </c>
      <c r="BF218" s="3937" t="s">
        <v>2129</v>
      </c>
      <c r="BG218" s="3938" t="s">
        <v>2129</v>
      </c>
      <c r="BH218" s="3938" t="s">
        <v>2129</v>
      </c>
      <c r="BI218" s="3937" t="s">
        <v>2129</v>
      </c>
      <c r="BJ218" s="3938" t="s">
        <v>2129</v>
      </c>
      <c r="BK218" s="3939" t="s">
        <v>2129</v>
      </c>
      <c r="BL218" s="3938" t="s">
        <v>2129</v>
      </c>
      <c r="BM218" s="3938" t="s">
        <v>2129</v>
      </c>
      <c r="BN218" s="3939" t="s">
        <v>2129</v>
      </c>
      <c r="BO218" s="3937" t="s">
        <v>2129</v>
      </c>
      <c r="BP218" s="3988" t="s">
        <v>2129</v>
      </c>
      <c r="BQ218" s="3988"/>
      <c r="BR218" s="3988"/>
      <c r="BS218" s="2694"/>
    </row>
    <row r="219" spans="1:71" ht="13">
      <c r="A219">
        <v>2034</v>
      </c>
      <c r="B219" s="3979" t="s">
        <v>3418</v>
      </c>
      <c r="C219" s="2694" t="s">
        <v>2129</v>
      </c>
      <c r="D219" s="2694" t="s">
        <v>2129</v>
      </c>
      <c r="E219" s="2694" t="s">
        <v>2129</v>
      </c>
      <c r="F219" s="3974" t="s">
        <v>2129</v>
      </c>
      <c r="G219" s="3975" t="s">
        <v>2129</v>
      </c>
      <c r="H219" s="3976" t="s">
        <v>2129</v>
      </c>
      <c r="I219" s="2694">
        <v>2</v>
      </c>
      <c r="J219" s="3992" t="s">
        <v>3592</v>
      </c>
      <c r="K219" s="2694">
        <v>1</v>
      </c>
      <c r="L219" s="2694" t="b">
        <v>0</v>
      </c>
      <c r="M219" s="2694" t="s">
        <v>2129</v>
      </c>
      <c r="N219" s="2477">
        <v>141177</v>
      </c>
      <c r="O219" s="2477">
        <v>0</v>
      </c>
      <c r="P219" s="2477">
        <v>0</v>
      </c>
      <c r="Q219" s="2477">
        <v>0</v>
      </c>
      <c r="R219" s="2477">
        <v>0</v>
      </c>
      <c r="S219" s="2695">
        <v>155294.70000000001</v>
      </c>
      <c r="T219" s="2477">
        <v>310588</v>
      </c>
      <c r="U219" s="2477" t="b">
        <v>0</v>
      </c>
      <c r="V219" s="2477">
        <v>310588</v>
      </c>
      <c r="W219" s="2477">
        <v>0</v>
      </c>
      <c r="X219" s="3937">
        <v>1309679</v>
      </c>
      <c r="Y219" s="3938">
        <v>1309679</v>
      </c>
      <c r="Z219" s="3938" t="b">
        <v>1</v>
      </c>
      <c r="AA219" s="3938">
        <v>14551.988888888889</v>
      </c>
      <c r="AB219" s="3938"/>
      <c r="AC219" s="3938"/>
      <c r="AD219" s="3938" t="s">
        <v>2129</v>
      </c>
      <c r="AE219" s="3938"/>
      <c r="AF219" s="3938"/>
      <c r="AG219">
        <v>155</v>
      </c>
      <c r="AH219" s="3965">
        <v>90</v>
      </c>
      <c r="AI219" s="3965" t="b">
        <v>1</v>
      </c>
      <c r="AJ219">
        <v>90</v>
      </c>
      <c r="AK219" s="3966">
        <v>14552</v>
      </c>
      <c r="AL219" s="2814" t="s">
        <v>2129</v>
      </c>
      <c r="AM219" s="2814" t="s">
        <v>2129</v>
      </c>
      <c r="AN219" s="2814" t="s">
        <v>2129</v>
      </c>
      <c r="AO219" s="3953" t="s">
        <v>2129</v>
      </c>
      <c r="AP219" s="2814" t="s">
        <v>2129</v>
      </c>
      <c r="AQ219" s="3954" t="s">
        <v>2129</v>
      </c>
      <c r="AR219" t="s">
        <v>2129</v>
      </c>
      <c r="AS219" t="s">
        <v>2129</v>
      </c>
      <c r="AU219" t="s">
        <v>2129</v>
      </c>
      <c r="AW219" t="s">
        <v>2129</v>
      </c>
      <c r="AX219" t="s">
        <v>2129</v>
      </c>
      <c r="AY219" t="s">
        <v>2129</v>
      </c>
      <c r="AZ219" s="3946" t="s">
        <v>2129</v>
      </c>
      <c r="BA219" t="s">
        <v>2129</v>
      </c>
      <c r="BB219" s="3947" t="s">
        <v>2129</v>
      </c>
      <c r="BC219" s="1958" t="s">
        <v>2129</v>
      </c>
      <c r="BD219" s="1958" t="s">
        <v>2129</v>
      </c>
      <c r="BE219" s="1958" t="s">
        <v>2129</v>
      </c>
      <c r="BF219" s="3937" t="s">
        <v>2129</v>
      </c>
      <c r="BG219" s="3938" t="s">
        <v>2129</v>
      </c>
      <c r="BH219" s="3938" t="s">
        <v>2129</v>
      </c>
      <c r="BI219" s="3937" t="s">
        <v>2129</v>
      </c>
      <c r="BJ219" s="3938" t="s">
        <v>2129</v>
      </c>
      <c r="BK219" s="3939" t="s">
        <v>2129</v>
      </c>
      <c r="BL219" s="3938" t="s">
        <v>2129</v>
      </c>
      <c r="BM219" s="3938" t="s">
        <v>2129</v>
      </c>
      <c r="BN219" s="3939" t="s">
        <v>2129</v>
      </c>
      <c r="BO219" s="3937" t="s">
        <v>2129</v>
      </c>
      <c r="BP219" s="3988" t="s">
        <v>2129</v>
      </c>
      <c r="BQ219" s="3988"/>
      <c r="BR219" s="3988"/>
      <c r="BS219" s="2694"/>
    </row>
    <row r="220" spans="1:71" ht="13">
      <c r="A220">
        <v>2036</v>
      </c>
      <c r="B220" s="3979" t="s">
        <v>3419</v>
      </c>
      <c r="C220" s="2694" t="s">
        <v>2129</v>
      </c>
      <c r="D220" s="2694" t="s">
        <v>2129</v>
      </c>
      <c r="E220" s="2694" t="s">
        <v>2129</v>
      </c>
      <c r="F220" s="3974" t="s">
        <v>2129</v>
      </c>
      <c r="G220" s="3975" t="s">
        <v>2129</v>
      </c>
      <c r="H220" s="3976" t="s">
        <v>2129</v>
      </c>
      <c r="I220" s="2694">
        <v>0</v>
      </c>
      <c r="J220" s="3992" t="s">
        <v>2854</v>
      </c>
      <c r="K220" s="2694">
        <v>0</v>
      </c>
      <c r="L220" s="2694" t="b">
        <v>0</v>
      </c>
      <c r="M220" s="2694" t="s">
        <v>2129</v>
      </c>
      <c r="N220" s="2477">
        <v>0</v>
      </c>
      <c r="O220" s="2477">
        <v>0</v>
      </c>
      <c r="P220" s="2477">
        <v>0</v>
      </c>
      <c r="Q220" s="2477">
        <v>0</v>
      </c>
      <c r="R220" s="2477">
        <v>0</v>
      </c>
      <c r="S220" s="2695">
        <v>0</v>
      </c>
      <c r="T220" s="2477">
        <v>0</v>
      </c>
      <c r="U220" s="2477" t="b">
        <v>1</v>
      </c>
      <c r="V220" s="2477" t="s">
        <v>2129</v>
      </c>
      <c r="W220" s="2477">
        <v>0</v>
      </c>
      <c r="X220" s="3937">
        <v>1720570</v>
      </c>
      <c r="Y220" s="3938">
        <v>1720570</v>
      </c>
      <c r="Z220" s="3938" t="b">
        <v>1</v>
      </c>
      <c r="AA220" s="3938">
        <v>11470.466666666667</v>
      </c>
      <c r="AB220" s="3938"/>
      <c r="AC220" s="3938"/>
      <c r="AD220" s="3938" t="s">
        <v>2129</v>
      </c>
      <c r="AE220" s="3938"/>
      <c r="AF220" s="3938"/>
      <c r="AG220">
        <v>234</v>
      </c>
      <c r="AH220" s="3965">
        <v>150</v>
      </c>
      <c r="AI220" s="3965" t="b">
        <v>1</v>
      </c>
      <c r="AJ220">
        <v>150</v>
      </c>
      <c r="AK220" s="3966">
        <v>11471</v>
      </c>
      <c r="AL220" s="2814" t="s">
        <v>2129</v>
      </c>
      <c r="AM220" s="2814" t="s">
        <v>2129</v>
      </c>
      <c r="AN220" s="2814" t="s">
        <v>2129</v>
      </c>
      <c r="AO220" s="3953" t="s">
        <v>2129</v>
      </c>
      <c r="AP220" s="2814" t="s">
        <v>2129</v>
      </c>
      <c r="AQ220" s="3954" t="s">
        <v>2129</v>
      </c>
      <c r="AR220" t="s">
        <v>2129</v>
      </c>
      <c r="AS220" t="s">
        <v>2129</v>
      </c>
      <c r="AU220" t="s">
        <v>2129</v>
      </c>
      <c r="AW220" t="s">
        <v>2129</v>
      </c>
      <c r="AX220" t="s">
        <v>2129</v>
      </c>
      <c r="AY220" t="s">
        <v>2129</v>
      </c>
      <c r="AZ220" s="3946" t="s">
        <v>2129</v>
      </c>
      <c r="BA220" t="s">
        <v>2129</v>
      </c>
      <c r="BB220" s="3947" t="s">
        <v>2129</v>
      </c>
      <c r="BC220" s="1958" t="s">
        <v>2129</v>
      </c>
      <c r="BD220" s="1958" t="s">
        <v>2129</v>
      </c>
      <c r="BE220" s="1958" t="s">
        <v>2129</v>
      </c>
      <c r="BF220" s="3937" t="s">
        <v>2129</v>
      </c>
      <c r="BG220" s="3938" t="s">
        <v>2129</v>
      </c>
      <c r="BH220" s="3938" t="s">
        <v>2129</v>
      </c>
      <c r="BI220" s="3937" t="s">
        <v>2129</v>
      </c>
      <c r="BJ220" s="3938" t="s">
        <v>2129</v>
      </c>
      <c r="BK220" s="3939" t="s">
        <v>2129</v>
      </c>
      <c r="BL220" s="3938" t="s">
        <v>2129</v>
      </c>
      <c r="BM220" s="3938" t="s">
        <v>2129</v>
      </c>
      <c r="BN220" s="3939" t="s">
        <v>2129</v>
      </c>
      <c r="BO220" s="3937" t="s">
        <v>2129</v>
      </c>
      <c r="BP220" s="3988" t="s">
        <v>2129</v>
      </c>
      <c r="BQ220" s="3988"/>
      <c r="BR220" s="3988"/>
      <c r="BS220" s="2694"/>
    </row>
    <row r="221" spans="1:71" ht="13">
      <c r="A221">
        <v>2037</v>
      </c>
      <c r="B221" s="3979" t="s">
        <v>3420</v>
      </c>
      <c r="C221" s="2694" t="s">
        <v>3791</v>
      </c>
      <c r="D221" s="2694" t="s">
        <v>2129</v>
      </c>
      <c r="E221" s="2694" t="s">
        <v>2129</v>
      </c>
      <c r="F221" s="3974" t="s">
        <v>2129</v>
      </c>
      <c r="G221" s="3975" t="s">
        <v>2129</v>
      </c>
      <c r="H221" s="3976" t="s">
        <v>2129</v>
      </c>
      <c r="I221" s="2694">
        <v>8</v>
      </c>
      <c r="J221" s="3992" t="s">
        <v>3520</v>
      </c>
      <c r="K221" s="2694">
        <v>2</v>
      </c>
      <c r="L221" s="2694" t="b">
        <v>1</v>
      </c>
      <c r="M221" s="2694" t="s">
        <v>2129</v>
      </c>
      <c r="N221" s="2477">
        <v>423532</v>
      </c>
      <c r="O221" s="2477">
        <v>0</v>
      </c>
      <c r="P221" s="2477">
        <v>0</v>
      </c>
      <c r="Q221" s="2477">
        <v>0</v>
      </c>
      <c r="R221" s="2477">
        <v>0</v>
      </c>
      <c r="S221" s="2695">
        <v>465885.2</v>
      </c>
      <c r="T221" s="2477">
        <v>266588</v>
      </c>
      <c r="U221" s="2477" t="b">
        <v>1</v>
      </c>
      <c r="V221" s="2477">
        <v>133294</v>
      </c>
      <c r="W221" s="2477">
        <v>4942901</v>
      </c>
      <c r="X221" s="3937">
        <v>6067486</v>
      </c>
      <c r="Y221" s="3938">
        <v>1124585</v>
      </c>
      <c r="Z221" s="3938" t="b">
        <v>1</v>
      </c>
      <c r="AA221" s="3938">
        <v>23927.340425531915</v>
      </c>
      <c r="AB221" s="3938">
        <v>11177</v>
      </c>
      <c r="AC221" s="3938">
        <v>22353</v>
      </c>
      <c r="AD221" s="3938">
        <v>1448.7407407407409</v>
      </c>
      <c r="AE221" s="3938">
        <v>0</v>
      </c>
      <c r="AF221" s="3938"/>
      <c r="AG221">
        <v>265</v>
      </c>
      <c r="AH221" s="3965">
        <v>47</v>
      </c>
      <c r="AI221" s="3965" t="b">
        <v>1</v>
      </c>
      <c r="AJ221">
        <v>65</v>
      </c>
      <c r="AK221" s="3966">
        <v>17302</v>
      </c>
      <c r="AL221" s="2814">
        <v>675</v>
      </c>
      <c r="AM221" s="2814" t="s">
        <v>2129</v>
      </c>
      <c r="AN221" s="2814" t="s">
        <v>2129</v>
      </c>
      <c r="AO221" s="3953" t="s">
        <v>2129</v>
      </c>
      <c r="AP221" s="2814" t="s">
        <v>2129</v>
      </c>
      <c r="AQ221" s="3954" t="s">
        <v>2129</v>
      </c>
      <c r="AR221">
        <v>628</v>
      </c>
      <c r="AS221" t="s">
        <v>2129</v>
      </c>
      <c r="AU221" t="s">
        <v>2129</v>
      </c>
      <c r="AW221">
        <v>11</v>
      </c>
      <c r="AX221" t="s">
        <v>2129</v>
      </c>
      <c r="AY221" t="s">
        <v>2129</v>
      </c>
      <c r="AZ221" s="3946" t="s">
        <v>2129</v>
      </c>
      <c r="BA221" t="s">
        <v>2129</v>
      </c>
      <c r="BB221" s="3947" t="s">
        <v>2129</v>
      </c>
      <c r="BC221" s="1958">
        <v>11678850</v>
      </c>
      <c r="BD221" s="1958" t="s">
        <v>2129</v>
      </c>
      <c r="BE221" s="1958" t="s">
        <v>2129</v>
      </c>
      <c r="BF221" s="3937" t="s">
        <v>2129</v>
      </c>
      <c r="BG221" s="3938" t="s">
        <v>2129</v>
      </c>
      <c r="BH221" s="3938" t="s">
        <v>2129</v>
      </c>
      <c r="BI221" s="3937">
        <v>2932468</v>
      </c>
      <c r="BJ221" s="3938" t="s">
        <v>2129</v>
      </c>
      <c r="BK221" s="3939" t="s">
        <v>2129</v>
      </c>
      <c r="BL221" s="3938" t="s">
        <v>2129</v>
      </c>
      <c r="BM221" s="3938" t="s">
        <v>2129</v>
      </c>
      <c r="BN221" s="3939" t="s">
        <v>2129</v>
      </c>
      <c r="BO221" s="3937">
        <v>8268750</v>
      </c>
      <c r="BP221" s="3988" t="s">
        <v>2129</v>
      </c>
      <c r="BQ221" s="3988"/>
      <c r="BR221" s="3988"/>
      <c r="BS221" s="2694"/>
    </row>
    <row r="222" spans="1:71" ht="13">
      <c r="A222">
        <v>2038</v>
      </c>
      <c r="B222" s="3979" t="s">
        <v>3421</v>
      </c>
      <c r="C222" s="2694" t="s">
        <v>2129</v>
      </c>
      <c r="D222" s="2694" t="s">
        <v>2129</v>
      </c>
      <c r="E222" s="2694" t="s">
        <v>2129</v>
      </c>
      <c r="F222" s="3974" t="s">
        <v>2129</v>
      </c>
      <c r="G222" s="3975" t="s">
        <v>2129</v>
      </c>
      <c r="H222" s="3976" t="s">
        <v>2129</v>
      </c>
      <c r="I222" s="2694">
        <v>11</v>
      </c>
      <c r="J222" s="3992" t="s">
        <v>3615</v>
      </c>
      <c r="K222" s="2694">
        <v>9</v>
      </c>
      <c r="L222" s="2694" t="b">
        <v>0</v>
      </c>
      <c r="M222" s="2694" t="s">
        <v>2129</v>
      </c>
      <c r="N222" s="2477">
        <v>8339299</v>
      </c>
      <c r="O222" s="2477">
        <v>0</v>
      </c>
      <c r="P222" s="2477">
        <v>0</v>
      </c>
      <c r="Q222" s="2477">
        <v>0</v>
      </c>
      <c r="R222" s="2477">
        <v>30000</v>
      </c>
      <c r="S222" s="2695">
        <v>9203228.9000000004</v>
      </c>
      <c r="T222" s="2477">
        <v>9203228</v>
      </c>
      <c r="U222" s="2477" t="b">
        <v>0</v>
      </c>
      <c r="V222" s="2477">
        <v>1022580.8888888889</v>
      </c>
      <c r="W222" s="2477">
        <v>0</v>
      </c>
      <c r="X222" s="3937">
        <v>3366082</v>
      </c>
      <c r="Y222" s="3938">
        <v>3366082</v>
      </c>
      <c r="Z222" s="3938" t="b">
        <v>1</v>
      </c>
      <c r="AA222" s="3938">
        <v>28050.683333333334</v>
      </c>
      <c r="AB222" s="3938"/>
      <c r="AC222" s="3938"/>
      <c r="AD222" s="3938" t="s">
        <v>2129</v>
      </c>
      <c r="AE222" s="3938"/>
      <c r="AF222" s="3938"/>
      <c r="AG222">
        <v>408</v>
      </c>
      <c r="AH222" s="3965">
        <v>120</v>
      </c>
      <c r="AI222" s="3965" t="b">
        <v>1</v>
      </c>
      <c r="AJ222">
        <v>232</v>
      </c>
      <c r="AK222" s="3966">
        <v>14509</v>
      </c>
      <c r="AL222" s="2814" t="s">
        <v>2129</v>
      </c>
      <c r="AM222" s="2814" t="s">
        <v>2129</v>
      </c>
      <c r="AN222" s="2814" t="s">
        <v>2129</v>
      </c>
      <c r="AO222" s="3953" t="s">
        <v>2129</v>
      </c>
      <c r="AP222" s="2814" t="s">
        <v>2129</v>
      </c>
      <c r="AQ222" s="3954" t="s">
        <v>2129</v>
      </c>
      <c r="AR222" t="s">
        <v>2129</v>
      </c>
      <c r="AS222" t="s">
        <v>2129</v>
      </c>
      <c r="AU222" t="s">
        <v>2129</v>
      </c>
      <c r="AW222" t="s">
        <v>2129</v>
      </c>
      <c r="AX222" t="s">
        <v>2129</v>
      </c>
      <c r="AY222" t="s">
        <v>2129</v>
      </c>
      <c r="AZ222" s="3946" t="s">
        <v>2129</v>
      </c>
      <c r="BA222" t="s">
        <v>2129</v>
      </c>
      <c r="BB222" s="3947" t="s">
        <v>2129</v>
      </c>
      <c r="BC222" s="1958" t="s">
        <v>2129</v>
      </c>
      <c r="BD222" s="1958" t="s">
        <v>2129</v>
      </c>
      <c r="BE222" s="1958" t="s">
        <v>2129</v>
      </c>
      <c r="BF222" s="3937" t="s">
        <v>2129</v>
      </c>
      <c r="BG222" s="3938" t="s">
        <v>2129</v>
      </c>
      <c r="BH222" s="3938" t="s">
        <v>2129</v>
      </c>
      <c r="BI222" s="3937" t="s">
        <v>2129</v>
      </c>
      <c r="BJ222" s="3938" t="s">
        <v>2129</v>
      </c>
      <c r="BK222" s="3939" t="s">
        <v>2129</v>
      </c>
      <c r="BL222" s="3938" t="s">
        <v>2129</v>
      </c>
      <c r="BM222" s="3938" t="s">
        <v>2129</v>
      </c>
      <c r="BN222" s="3939" t="s">
        <v>2129</v>
      </c>
      <c r="BO222" s="3937" t="s">
        <v>2129</v>
      </c>
      <c r="BP222" s="3988" t="s">
        <v>2129</v>
      </c>
      <c r="BQ222" s="3988"/>
      <c r="BR222" s="3988"/>
      <c r="BS222" s="2694"/>
    </row>
    <row r="223" spans="1:71" ht="12.65" customHeight="1">
      <c r="A223">
        <v>2040</v>
      </c>
      <c r="B223" s="3979" t="s">
        <v>3422</v>
      </c>
      <c r="C223" s="2694" t="s">
        <v>2129</v>
      </c>
      <c r="D223" s="2694" t="s">
        <v>2129</v>
      </c>
      <c r="E223" s="2694" t="s">
        <v>2129</v>
      </c>
      <c r="F223" s="3974" t="s">
        <v>2129</v>
      </c>
      <c r="G223" s="3975" t="s">
        <v>2129</v>
      </c>
      <c r="H223" s="3976" t="s">
        <v>2129</v>
      </c>
      <c r="I223" s="2694">
        <v>0</v>
      </c>
      <c r="J223" s="3992" t="s">
        <v>4943</v>
      </c>
      <c r="K223" s="2694">
        <v>5</v>
      </c>
      <c r="L223" s="2694" t="b">
        <v>0</v>
      </c>
      <c r="M223" s="2694" t="s">
        <v>2129</v>
      </c>
      <c r="N223" s="2477">
        <v>1552942</v>
      </c>
      <c r="O223" s="2477">
        <v>82354</v>
      </c>
      <c r="P223" s="2477">
        <v>0</v>
      </c>
      <c r="Q223" s="2477">
        <v>0</v>
      </c>
      <c r="R223" s="2477">
        <v>15000</v>
      </c>
      <c r="S223" s="2695">
        <v>1813825.6</v>
      </c>
      <c r="T223" s="2477">
        <v>3586768</v>
      </c>
      <c r="U223" s="2477" t="b">
        <v>0</v>
      </c>
      <c r="V223" s="2477">
        <v>717353.6</v>
      </c>
      <c r="W223" s="2477">
        <v>0</v>
      </c>
      <c r="X223" s="3937">
        <v>1863576</v>
      </c>
      <c r="Y223" s="3938">
        <v>1863576</v>
      </c>
      <c r="Z223" s="3938" t="b">
        <v>1</v>
      </c>
      <c r="AA223" s="3938">
        <v>31059.599999999999</v>
      </c>
      <c r="AB223" s="3938"/>
      <c r="AC223" s="3938"/>
      <c r="AD223" s="3938" t="s">
        <v>2129</v>
      </c>
      <c r="AE223" s="3938"/>
      <c r="AF223" s="3938"/>
      <c r="AG223">
        <v>489</v>
      </c>
      <c r="AH223" s="3965">
        <v>60</v>
      </c>
      <c r="AI223" s="3965" t="b">
        <v>1</v>
      </c>
      <c r="AJ223">
        <v>120</v>
      </c>
      <c r="AK223" s="3966">
        <v>15530</v>
      </c>
      <c r="AL223" s="2814" t="s">
        <v>2129</v>
      </c>
      <c r="AM223" s="2814" t="s">
        <v>2129</v>
      </c>
      <c r="AN223" s="2814" t="s">
        <v>2129</v>
      </c>
      <c r="AO223" s="3953" t="s">
        <v>2129</v>
      </c>
      <c r="AP223" s="2814" t="s">
        <v>2129</v>
      </c>
      <c r="AQ223" s="3954" t="s">
        <v>2129</v>
      </c>
      <c r="AR223" t="s">
        <v>2129</v>
      </c>
      <c r="AS223" t="s">
        <v>2129</v>
      </c>
      <c r="AU223" t="s">
        <v>2129</v>
      </c>
      <c r="AW223" t="s">
        <v>2129</v>
      </c>
      <c r="AX223" t="s">
        <v>2129</v>
      </c>
      <c r="AY223" t="s">
        <v>2129</v>
      </c>
      <c r="AZ223" s="3946" t="s">
        <v>2129</v>
      </c>
      <c r="BA223" t="s">
        <v>2129</v>
      </c>
      <c r="BB223" s="3947" t="s">
        <v>2129</v>
      </c>
      <c r="BC223" s="1958" t="s">
        <v>2129</v>
      </c>
      <c r="BD223" s="1958" t="s">
        <v>2129</v>
      </c>
      <c r="BE223" s="1958" t="s">
        <v>2129</v>
      </c>
      <c r="BF223" s="3937" t="s">
        <v>2129</v>
      </c>
      <c r="BG223" s="3938" t="s">
        <v>2129</v>
      </c>
      <c r="BH223" s="3938" t="s">
        <v>2129</v>
      </c>
      <c r="BI223" s="3937" t="s">
        <v>2129</v>
      </c>
      <c r="BJ223" s="3938" t="s">
        <v>2129</v>
      </c>
      <c r="BK223" s="3939" t="s">
        <v>2129</v>
      </c>
      <c r="BL223" s="3938" t="s">
        <v>2129</v>
      </c>
      <c r="BM223" s="3938" t="s">
        <v>2129</v>
      </c>
      <c r="BN223" s="3939" t="s">
        <v>2129</v>
      </c>
      <c r="BO223" s="3937" t="s">
        <v>2129</v>
      </c>
      <c r="BP223" s="3988" t="s">
        <v>2129</v>
      </c>
      <c r="BQ223" s="3988"/>
      <c r="BR223" s="3988"/>
      <c r="BS223" s="2694"/>
    </row>
    <row r="224" spans="1:71" ht="13">
      <c r="A224">
        <v>2041</v>
      </c>
      <c r="B224" s="3979" t="s">
        <v>2882</v>
      </c>
      <c r="C224" s="2694" t="s">
        <v>2129</v>
      </c>
      <c r="D224" s="2694" t="s">
        <v>2129</v>
      </c>
      <c r="E224" s="2694" t="s">
        <v>2129</v>
      </c>
      <c r="F224" s="3974" t="s">
        <v>2129</v>
      </c>
      <c r="G224" s="3975" t="s">
        <v>2129</v>
      </c>
      <c r="H224" s="3976" t="s">
        <v>2129</v>
      </c>
      <c r="I224" s="2694">
        <v>9</v>
      </c>
      <c r="J224" s="3992" t="s">
        <v>3546</v>
      </c>
      <c r="K224" s="2694">
        <v>3</v>
      </c>
      <c r="L224" s="2694" t="b">
        <v>1</v>
      </c>
      <c r="M224" s="2694" t="s">
        <v>2129</v>
      </c>
      <c r="N224" s="2477">
        <v>4929032</v>
      </c>
      <c r="O224" s="2477">
        <v>0</v>
      </c>
      <c r="P224" s="2477">
        <v>0</v>
      </c>
      <c r="Q224" s="2477">
        <v>0</v>
      </c>
      <c r="R224" s="2477">
        <v>0</v>
      </c>
      <c r="S224" s="2695">
        <v>5421935.2000000002</v>
      </c>
      <c r="T224" s="2477">
        <v>2834022</v>
      </c>
      <c r="U224" s="2477" t="b">
        <v>1</v>
      </c>
      <c r="V224" s="2477">
        <v>944674</v>
      </c>
      <c r="W224" s="2477">
        <v>1388585</v>
      </c>
      <c r="X224" s="3937">
        <v>2475693</v>
      </c>
      <c r="Y224" s="3938">
        <v>1087108</v>
      </c>
      <c r="Z224" s="3938" t="b">
        <v>1</v>
      </c>
      <c r="AA224" s="3938">
        <v>13588.85</v>
      </c>
      <c r="AB224" s="3938">
        <v>8236</v>
      </c>
      <c r="AC224" s="3938">
        <v>24706</v>
      </c>
      <c r="AD224" s="3938" t="s">
        <v>2129</v>
      </c>
      <c r="AE224" s="3938"/>
      <c r="AF224" s="3938"/>
      <c r="AG224">
        <v>232</v>
      </c>
      <c r="AH224" s="3965">
        <v>80</v>
      </c>
      <c r="AI224" s="3965" t="b">
        <v>1</v>
      </c>
      <c r="AJ224">
        <v>120</v>
      </c>
      <c r="AK224" s="3966">
        <v>9060</v>
      </c>
      <c r="AL224" s="2814" t="s">
        <v>2129</v>
      </c>
      <c r="AM224" s="2814" t="s">
        <v>2129</v>
      </c>
      <c r="AN224" s="2814" t="s">
        <v>2129</v>
      </c>
      <c r="AO224" s="3953" t="s">
        <v>2129</v>
      </c>
      <c r="AP224" s="2814" t="s">
        <v>2129</v>
      </c>
      <c r="AQ224" s="3954" t="s">
        <v>2129</v>
      </c>
      <c r="AR224" t="s">
        <v>2129</v>
      </c>
      <c r="AS224" t="s">
        <v>2129</v>
      </c>
      <c r="AU224" t="s">
        <v>2129</v>
      </c>
      <c r="AW224" t="s">
        <v>2129</v>
      </c>
      <c r="AX224" t="s">
        <v>2129</v>
      </c>
      <c r="AY224" t="s">
        <v>2129</v>
      </c>
      <c r="AZ224" s="3946" t="s">
        <v>2129</v>
      </c>
      <c r="BA224" t="s">
        <v>2129</v>
      </c>
      <c r="BB224" s="3947" t="s">
        <v>2129</v>
      </c>
      <c r="BC224" s="1958" t="s">
        <v>2129</v>
      </c>
      <c r="BD224" s="1958" t="s">
        <v>2129</v>
      </c>
      <c r="BE224" s="1958" t="s">
        <v>2129</v>
      </c>
      <c r="BF224" s="3937" t="s">
        <v>2129</v>
      </c>
      <c r="BG224" s="3938" t="s">
        <v>2129</v>
      </c>
      <c r="BH224" s="3938" t="s">
        <v>2129</v>
      </c>
      <c r="BI224" s="3937" t="s">
        <v>2129</v>
      </c>
      <c r="BJ224" s="3938" t="s">
        <v>2129</v>
      </c>
      <c r="BK224" s="3939" t="s">
        <v>2129</v>
      </c>
      <c r="BL224" s="3938" t="s">
        <v>2129</v>
      </c>
      <c r="BM224" s="3938" t="s">
        <v>2129</v>
      </c>
      <c r="BN224" s="3939" t="s">
        <v>2129</v>
      </c>
      <c r="BO224" s="3937" t="s">
        <v>2129</v>
      </c>
      <c r="BP224" s="3988" t="s">
        <v>2129</v>
      </c>
      <c r="BQ224" s="3988"/>
      <c r="BR224" s="3988"/>
      <c r="BS224" s="2694"/>
    </row>
    <row r="225" spans="1:71" ht="13">
      <c r="A225">
        <v>2042</v>
      </c>
      <c r="B225" s="3979" t="s">
        <v>3423</v>
      </c>
      <c r="C225" s="2694" t="s">
        <v>2129</v>
      </c>
      <c r="D225" s="2694" t="s">
        <v>2129</v>
      </c>
      <c r="E225" s="2694" t="s">
        <v>2129</v>
      </c>
      <c r="F225" s="3974" t="s">
        <v>2129</v>
      </c>
      <c r="G225" s="3975" t="s">
        <v>2129</v>
      </c>
      <c r="H225" s="3976" t="s">
        <v>2129</v>
      </c>
      <c r="I225" s="2694">
        <v>10</v>
      </c>
      <c r="J225" s="3992" t="s">
        <v>3474</v>
      </c>
      <c r="K225" s="2694">
        <v>4</v>
      </c>
      <c r="L225" s="2694" t="b">
        <v>1</v>
      </c>
      <c r="M225" s="2694" t="s">
        <v>2129</v>
      </c>
      <c r="N225" s="2477">
        <v>2353680</v>
      </c>
      <c r="O225" s="2477">
        <v>388242</v>
      </c>
      <c r="P225" s="2477">
        <v>0</v>
      </c>
      <c r="Q225" s="2477">
        <v>0</v>
      </c>
      <c r="R225" s="2477">
        <v>0</v>
      </c>
      <c r="S225" s="2695">
        <v>3016114.2</v>
      </c>
      <c r="T225" s="2477">
        <v>1589734</v>
      </c>
      <c r="U225" s="2477" t="b">
        <v>1</v>
      </c>
      <c r="V225" s="2477">
        <v>397433.5</v>
      </c>
      <c r="W225" s="2477">
        <v>395993</v>
      </c>
      <c r="X225" s="3937">
        <v>3983304</v>
      </c>
      <c r="Y225" s="3938">
        <v>3587311</v>
      </c>
      <c r="Z225" s="3938" t="b">
        <v>1</v>
      </c>
      <c r="AA225" s="3938">
        <v>40764.897727272728</v>
      </c>
      <c r="AB225" s="3938">
        <v>37059</v>
      </c>
      <c r="AC225" s="3938">
        <v>37059</v>
      </c>
      <c r="AD225" s="3938" t="s">
        <v>2129</v>
      </c>
      <c r="AE225" s="3938"/>
      <c r="AF225" s="3938"/>
      <c r="AG225">
        <v>746</v>
      </c>
      <c r="AH225" s="3965">
        <v>88</v>
      </c>
      <c r="AI225" s="3965" t="b">
        <v>1</v>
      </c>
      <c r="AJ225">
        <v>122</v>
      </c>
      <c r="AK225" s="3966">
        <v>29405</v>
      </c>
      <c r="AL225" s="2814" t="s">
        <v>2129</v>
      </c>
      <c r="AM225" s="2814" t="s">
        <v>2129</v>
      </c>
      <c r="AN225" s="2814" t="s">
        <v>2129</v>
      </c>
      <c r="AO225" s="3953" t="s">
        <v>2129</v>
      </c>
      <c r="AP225" s="2814" t="s">
        <v>2129</v>
      </c>
      <c r="AQ225" s="3954" t="s">
        <v>2129</v>
      </c>
      <c r="AR225" t="s">
        <v>2129</v>
      </c>
      <c r="AS225" t="s">
        <v>2129</v>
      </c>
      <c r="AU225" t="s">
        <v>2129</v>
      </c>
      <c r="AW225" t="s">
        <v>2129</v>
      </c>
      <c r="AX225" t="s">
        <v>2129</v>
      </c>
      <c r="AY225" t="s">
        <v>2129</v>
      </c>
      <c r="AZ225" s="3946" t="s">
        <v>2129</v>
      </c>
      <c r="BA225" t="s">
        <v>2129</v>
      </c>
      <c r="BB225" s="3947" t="s">
        <v>2129</v>
      </c>
      <c r="BC225" s="1958" t="s">
        <v>2129</v>
      </c>
      <c r="BD225" s="1958" t="s">
        <v>2129</v>
      </c>
      <c r="BE225" s="1958" t="s">
        <v>2129</v>
      </c>
      <c r="BF225" s="3937" t="s">
        <v>2129</v>
      </c>
      <c r="BG225" s="3938" t="s">
        <v>2129</v>
      </c>
      <c r="BH225" s="3938" t="s">
        <v>2129</v>
      </c>
      <c r="BI225" s="3937" t="s">
        <v>2129</v>
      </c>
      <c r="BJ225" s="3938" t="s">
        <v>2129</v>
      </c>
      <c r="BK225" s="3939" t="s">
        <v>2129</v>
      </c>
      <c r="BL225" s="3938" t="s">
        <v>2129</v>
      </c>
      <c r="BM225" s="3938" t="s">
        <v>2129</v>
      </c>
      <c r="BN225" s="3939" t="s">
        <v>2129</v>
      </c>
      <c r="BO225" s="3937" t="s">
        <v>2129</v>
      </c>
      <c r="BP225" s="3988" t="s">
        <v>2129</v>
      </c>
      <c r="BQ225" s="3988"/>
      <c r="BR225" s="3988"/>
      <c r="BS225" s="2694"/>
    </row>
    <row r="226" spans="1:71" ht="13">
      <c r="A226">
        <v>2043</v>
      </c>
      <c r="B226" s="3979" t="s">
        <v>3424</v>
      </c>
      <c r="C226" s="2694" t="s">
        <v>3791</v>
      </c>
      <c r="D226" s="2694" t="s">
        <v>2129</v>
      </c>
      <c r="E226" s="2694" t="s">
        <v>2129</v>
      </c>
      <c r="F226" s="3974" t="s">
        <v>2129</v>
      </c>
      <c r="G226" s="3975" t="s">
        <v>2129</v>
      </c>
      <c r="H226" s="3976" t="s">
        <v>2129</v>
      </c>
      <c r="I226" s="2694">
        <v>0</v>
      </c>
      <c r="J226" s="3992" t="s">
        <v>3481</v>
      </c>
      <c r="K226" s="2694">
        <v>2</v>
      </c>
      <c r="L226" s="2694" t="b">
        <v>0</v>
      </c>
      <c r="M226" s="2694" t="s">
        <v>2129</v>
      </c>
      <c r="N226" s="2477">
        <v>465884</v>
      </c>
      <c r="O226" s="2477">
        <v>0</v>
      </c>
      <c r="P226" s="2477">
        <v>0</v>
      </c>
      <c r="Q226" s="2477">
        <v>0</v>
      </c>
      <c r="R226" s="2477">
        <v>0</v>
      </c>
      <c r="S226" s="2695">
        <v>512472.4</v>
      </c>
      <c r="T226" s="2477">
        <v>2200001</v>
      </c>
      <c r="U226" s="2477" t="b">
        <v>0</v>
      </c>
      <c r="V226" s="2477">
        <v>1100000.5</v>
      </c>
      <c r="W226" s="2477">
        <v>441753</v>
      </c>
      <c r="X226" s="3937">
        <v>680453</v>
      </c>
      <c r="Y226" s="3938">
        <v>238700</v>
      </c>
      <c r="Z226" s="3938" t="b">
        <v>1</v>
      </c>
      <c r="AA226" s="3938">
        <v>12563.157894736842</v>
      </c>
      <c r="AB226" s="3938"/>
      <c r="AC226" s="3938"/>
      <c r="AD226" s="3938">
        <v>591.35389570172185</v>
      </c>
      <c r="AE226" s="3938"/>
      <c r="AF226" s="3938"/>
      <c r="AG226">
        <v>63</v>
      </c>
      <c r="AH226" s="3965">
        <v>19</v>
      </c>
      <c r="AI226" s="3965" t="b">
        <v>1</v>
      </c>
      <c r="AJ226">
        <v>19</v>
      </c>
      <c r="AK226" s="3966">
        <v>12564</v>
      </c>
      <c r="AL226" s="2814">
        <v>351</v>
      </c>
      <c r="AM226" s="2814" t="s">
        <v>2129</v>
      </c>
      <c r="AN226" s="2814" t="s">
        <v>2129</v>
      </c>
      <c r="AO226" s="3953" t="s">
        <v>2129</v>
      </c>
      <c r="AP226" s="2814" t="s">
        <v>2129</v>
      </c>
      <c r="AQ226" s="3954" t="s">
        <v>2129</v>
      </c>
      <c r="AR226">
        <v>332</v>
      </c>
      <c r="AS226" t="s">
        <v>2129</v>
      </c>
      <c r="AU226" t="s">
        <v>2129</v>
      </c>
      <c r="AW226">
        <v>22</v>
      </c>
      <c r="AX226" t="s">
        <v>2129</v>
      </c>
      <c r="AY226" t="s">
        <v>2129</v>
      </c>
      <c r="AZ226" s="3946" t="s">
        <v>2129</v>
      </c>
      <c r="BA226" t="s">
        <v>2129</v>
      </c>
      <c r="BB226" s="3947" t="s">
        <v>2129</v>
      </c>
      <c r="BC226" s="1958">
        <v>4409964</v>
      </c>
      <c r="BD226" s="1958" t="s">
        <v>2129</v>
      </c>
      <c r="BE226" s="1958" t="s">
        <v>2129</v>
      </c>
      <c r="BF226" s="3937" t="s">
        <v>2129</v>
      </c>
      <c r="BG226" s="3938" t="s">
        <v>2129</v>
      </c>
      <c r="BH226" s="3938" t="s">
        <v>2129</v>
      </c>
      <c r="BI226" s="3937">
        <v>48400022</v>
      </c>
      <c r="BJ226" s="3938" t="s">
        <v>2129</v>
      </c>
      <c r="BK226" s="3939" t="s">
        <v>2129</v>
      </c>
      <c r="BL226" s="3938" t="s">
        <v>2129</v>
      </c>
      <c r="BM226" s="3938" t="s">
        <v>2129</v>
      </c>
      <c r="BN226" s="3939" t="s">
        <v>2129</v>
      </c>
      <c r="BO226" s="3937">
        <v>4299750</v>
      </c>
      <c r="BP226" s="3988" t="s">
        <v>2129</v>
      </c>
      <c r="BQ226" s="3988"/>
      <c r="BR226" s="3988"/>
      <c r="BS226" s="2694"/>
    </row>
    <row r="227" spans="1:71" ht="13">
      <c r="A227">
        <v>2044</v>
      </c>
      <c r="B227" s="3979" t="s">
        <v>3425</v>
      </c>
      <c r="C227" s="2694" t="s">
        <v>2129</v>
      </c>
      <c r="D227" s="2694" t="s">
        <v>2129</v>
      </c>
      <c r="E227" s="2694" t="s">
        <v>2129</v>
      </c>
      <c r="F227" s="3974" t="s">
        <v>2129</v>
      </c>
      <c r="G227" s="3975" t="s">
        <v>2129</v>
      </c>
      <c r="H227" s="3976" t="s">
        <v>2129</v>
      </c>
      <c r="I227" s="2694">
        <v>0</v>
      </c>
      <c r="J227" s="3992" t="s">
        <v>2854</v>
      </c>
      <c r="K227" s="2694">
        <v>0</v>
      </c>
      <c r="L227" s="2694" t="b">
        <v>0</v>
      </c>
      <c r="M227" s="2694" t="s">
        <v>2129</v>
      </c>
      <c r="N227" s="2477">
        <v>0</v>
      </c>
      <c r="O227" s="2477">
        <v>0</v>
      </c>
      <c r="P227" s="2477">
        <v>0</v>
      </c>
      <c r="Q227" s="2477">
        <v>0</v>
      </c>
      <c r="R227" s="2477">
        <v>0</v>
      </c>
      <c r="S227" s="2695">
        <v>0</v>
      </c>
      <c r="T227" s="2477">
        <v>0</v>
      </c>
      <c r="U227" s="2477" t="b">
        <v>1</v>
      </c>
      <c r="V227" s="2477" t="s">
        <v>2129</v>
      </c>
      <c r="W227" s="2477">
        <v>0</v>
      </c>
      <c r="X227" s="3937">
        <v>1077265</v>
      </c>
      <c r="Y227" s="3938">
        <v>1077265</v>
      </c>
      <c r="Z227" s="3938" t="b">
        <v>1</v>
      </c>
      <c r="AA227" s="3938">
        <v>12241.647727272728</v>
      </c>
      <c r="AB227" s="3938"/>
      <c r="AC227" s="3938"/>
      <c r="AD227" s="3938" t="s">
        <v>2129</v>
      </c>
      <c r="AE227" s="3938"/>
      <c r="AF227" s="3938"/>
      <c r="AG227">
        <v>158</v>
      </c>
      <c r="AH227" s="3965">
        <v>88</v>
      </c>
      <c r="AI227" s="3965" t="b">
        <v>1</v>
      </c>
      <c r="AJ227">
        <v>100</v>
      </c>
      <c r="AK227" s="3966">
        <v>10773</v>
      </c>
      <c r="AL227" s="2814" t="s">
        <v>2129</v>
      </c>
      <c r="AM227" s="2814" t="s">
        <v>2129</v>
      </c>
      <c r="AN227" s="2814" t="s">
        <v>2129</v>
      </c>
      <c r="AO227" s="3953" t="s">
        <v>2129</v>
      </c>
      <c r="AP227" s="2814" t="s">
        <v>2129</v>
      </c>
      <c r="AQ227" s="3954" t="s">
        <v>2129</v>
      </c>
      <c r="AR227" t="s">
        <v>2129</v>
      </c>
      <c r="AS227" t="s">
        <v>2129</v>
      </c>
      <c r="AU227" t="s">
        <v>2129</v>
      </c>
      <c r="AW227" t="s">
        <v>2129</v>
      </c>
      <c r="AX227" t="s">
        <v>2129</v>
      </c>
      <c r="AY227" t="s">
        <v>2129</v>
      </c>
      <c r="AZ227" s="3946" t="s">
        <v>2129</v>
      </c>
      <c r="BA227" t="s">
        <v>2129</v>
      </c>
      <c r="BB227" s="3947" t="s">
        <v>2129</v>
      </c>
      <c r="BC227" s="1958" t="s">
        <v>2129</v>
      </c>
      <c r="BD227" s="1958" t="s">
        <v>2129</v>
      </c>
      <c r="BE227" s="1958" t="s">
        <v>2129</v>
      </c>
      <c r="BF227" s="3937" t="s">
        <v>2129</v>
      </c>
      <c r="BG227" s="3938" t="s">
        <v>2129</v>
      </c>
      <c r="BH227" s="3938" t="s">
        <v>2129</v>
      </c>
      <c r="BI227" s="3937" t="s">
        <v>2129</v>
      </c>
      <c r="BJ227" s="3938" t="s">
        <v>2129</v>
      </c>
      <c r="BK227" s="3939" t="s">
        <v>2129</v>
      </c>
      <c r="BL227" s="3938" t="s">
        <v>2129</v>
      </c>
      <c r="BM227" s="3938" t="s">
        <v>2129</v>
      </c>
      <c r="BN227" s="3939" t="s">
        <v>2129</v>
      </c>
      <c r="BO227" s="3937" t="s">
        <v>2129</v>
      </c>
      <c r="BP227" s="3988" t="s">
        <v>2129</v>
      </c>
      <c r="BQ227" s="3988"/>
      <c r="BR227" s="3988"/>
      <c r="BS227" s="2694"/>
    </row>
    <row r="228" spans="1:71" ht="13">
      <c r="A228">
        <v>2045</v>
      </c>
      <c r="B228" s="3979" t="s">
        <v>2877</v>
      </c>
      <c r="C228" s="2694" t="s">
        <v>2129</v>
      </c>
      <c r="D228" s="2694" t="s">
        <v>2129</v>
      </c>
      <c r="E228" s="2694" t="s">
        <v>2129</v>
      </c>
      <c r="F228" s="3974" t="s">
        <v>2129</v>
      </c>
      <c r="G228" s="3975" t="s">
        <v>2129</v>
      </c>
      <c r="H228" s="3976" t="s">
        <v>2129</v>
      </c>
      <c r="I228" s="2694">
        <v>0</v>
      </c>
      <c r="J228" s="3992" t="s">
        <v>3503</v>
      </c>
      <c r="K228" s="2694">
        <v>4</v>
      </c>
      <c r="L228" s="2694" t="b">
        <v>0</v>
      </c>
      <c r="M228" s="2694" t="s">
        <v>2129</v>
      </c>
      <c r="N228" s="2477">
        <v>1529416</v>
      </c>
      <c r="O228" s="2477">
        <v>0</v>
      </c>
      <c r="P228" s="2477">
        <v>0</v>
      </c>
      <c r="Q228" s="2477">
        <v>0</v>
      </c>
      <c r="R228" s="2477">
        <v>0</v>
      </c>
      <c r="S228" s="2695">
        <v>1682357.6</v>
      </c>
      <c r="T228" s="2477">
        <v>1100003</v>
      </c>
      <c r="U228" s="2477" t="b">
        <v>0</v>
      </c>
      <c r="V228" s="2477">
        <v>275000.75</v>
      </c>
      <c r="W228" s="2477">
        <v>77649</v>
      </c>
      <c r="X228" s="3937">
        <v>1163444</v>
      </c>
      <c r="Y228" s="3938">
        <v>1085795</v>
      </c>
      <c r="Z228" s="3938" t="b">
        <v>1</v>
      </c>
      <c r="AA228" s="3938">
        <v>11429.421052631578</v>
      </c>
      <c r="AB228" s="3938">
        <v>9412</v>
      </c>
      <c r="AC228" s="3938">
        <v>14118</v>
      </c>
      <c r="AD228" s="3938" t="s">
        <v>2129</v>
      </c>
      <c r="AE228" s="3938"/>
      <c r="AF228" s="3938"/>
      <c r="AG228">
        <v>98</v>
      </c>
      <c r="AH228" s="3965">
        <v>95</v>
      </c>
      <c r="AI228" s="3965" t="b">
        <v>1</v>
      </c>
      <c r="AJ228">
        <v>113</v>
      </c>
      <c r="AK228" s="3966">
        <v>9609</v>
      </c>
      <c r="AL228" s="2814" t="s">
        <v>2129</v>
      </c>
      <c r="AM228" s="2814" t="s">
        <v>2129</v>
      </c>
      <c r="AN228" s="2814" t="s">
        <v>2129</v>
      </c>
      <c r="AO228" s="3953" t="s">
        <v>2129</v>
      </c>
      <c r="AP228" s="2814" t="s">
        <v>2129</v>
      </c>
      <c r="AQ228" s="3954" t="s">
        <v>2129</v>
      </c>
      <c r="AR228" t="s">
        <v>2129</v>
      </c>
      <c r="AS228" t="s">
        <v>2129</v>
      </c>
      <c r="AU228" t="s">
        <v>2129</v>
      </c>
      <c r="AW228" t="s">
        <v>2129</v>
      </c>
      <c r="AX228" t="s">
        <v>2129</v>
      </c>
      <c r="AY228" t="s">
        <v>2129</v>
      </c>
      <c r="AZ228" s="3946" t="s">
        <v>2129</v>
      </c>
      <c r="BA228" t="s">
        <v>2129</v>
      </c>
      <c r="BB228" s="3947" t="s">
        <v>2129</v>
      </c>
      <c r="BC228" s="1958" t="s">
        <v>2129</v>
      </c>
      <c r="BD228" s="1958" t="s">
        <v>2129</v>
      </c>
      <c r="BE228" s="1958" t="s">
        <v>2129</v>
      </c>
      <c r="BF228" s="3937" t="s">
        <v>2129</v>
      </c>
      <c r="BG228" s="3938" t="s">
        <v>2129</v>
      </c>
      <c r="BH228" s="3938" t="s">
        <v>2129</v>
      </c>
      <c r="BI228" s="3937" t="s">
        <v>2129</v>
      </c>
      <c r="BJ228" s="3938" t="s">
        <v>2129</v>
      </c>
      <c r="BK228" s="3939" t="s">
        <v>2129</v>
      </c>
      <c r="BL228" s="3938" t="s">
        <v>2129</v>
      </c>
      <c r="BM228" s="3938" t="s">
        <v>2129</v>
      </c>
      <c r="BN228" s="3939" t="s">
        <v>2129</v>
      </c>
      <c r="BO228" s="3937" t="s">
        <v>2129</v>
      </c>
      <c r="BP228" s="3988" t="s">
        <v>2129</v>
      </c>
      <c r="BQ228" s="3988"/>
      <c r="BR228" s="3988"/>
      <c r="BS228" s="2694"/>
    </row>
    <row r="229" spans="1:71" ht="13">
      <c r="A229">
        <v>2046</v>
      </c>
      <c r="B229" s="3979" t="s">
        <v>3426</v>
      </c>
      <c r="C229" s="2694" t="s">
        <v>2129</v>
      </c>
      <c r="D229" s="2694" t="s">
        <v>2129</v>
      </c>
      <c r="E229" s="2694" t="s">
        <v>2129</v>
      </c>
      <c r="F229" s="3974" t="s">
        <v>2129</v>
      </c>
      <c r="G229" s="3975" t="s">
        <v>2129</v>
      </c>
      <c r="H229" s="3976" t="s">
        <v>2129</v>
      </c>
      <c r="I229" s="2694">
        <v>1</v>
      </c>
      <c r="J229" s="3992" t="s">
        <v>3592</v>
      </c>
      <c r="K229" s="2694">
        <v>116</v>
      </c>
      <c r="L229" s="2694" t="b">
        <v>0</v>
      </c>
      <c r="M229" s="2694" t="s">
        <v>2129</v>
      </c>
      <c r="N229" s="2477">
        <v>15011792</v>
      </c>
      <c r="O229" s="2477">
        <v>0</v>
      </c>
      <c r="P229" s="2477">
        <v>0</v>
      </c>
      <c r="Q229" s="2477">
        <v>0</v>
      </c>
      <c r="R229" s="2477">
        <v>0</v>
      </c>
      <c r="S229" s="2695">
        <v>16512971.200000001</v>
      </c>
      <c r="T229" s="2477">
        <v>16512971</v>
      </c>
      <c r="U229" s="2477" t="b">
        <v>0</v>
      </c>
      <c r="V229" s="2477">
        <v>142353.19827586206</v>
      </c>
      <c r="W229" s="2477">
        <v>0</v>
      </c>
      <c r="X229" s="3937">
        <v>4529412</v>
      </c>
      <c r="Y229" s="3938">
        <v>4529412</v>
      </c>
      <c r="Z229" s="3938" t="b">
        <v>1</v>
      </c>
      <c r="AA229" s="3938">
        <v>47678.021052631579</v>
      </c>
      <c r="AB229" s="3938"/>
      <c r="AC229" s="3938"/>
      <c r="AD229" s="3938" t="s">
        <v>2129</v>
      </c>
      <c r="AE229" s="3938"/>
      <c r="AF229" s="3938"/>
      <c r="AG229">
        <v>95</v>
      </c>
      <c r="AH229" s="3965">
        <v>95</v>
      </c>
      <c r="AI229" s="3965" t="b">
        <v>1</v>
      </c>
      <c r="AJ229">
        <v>2</v>
      </c>
      <c r="AK229" s="3966">
        <v>2264706</v>
      </c>
      <c r="AL229" s="2814" t="s">
        <v>2129</v>
      </c>
      <c r="AM229" s="2814" t="s">
        <v>2129</v>
      </c>
      <c r="AN229" s="2814" t="s">
        <v>2129</v>
      </c>
      <c r="AO229" s="3953" t="s">
        <v>2129</v>
      </c>
      <c r="AP229" s="2814" t="s">
        <v>2129</v>
      </c>
      <c r="AQ229" s="3954" t="s">
        <v>2129</v>
      </c>
      <c r="AR229" t="s">
        <v>2129</v>
      </c>
      <c r="AS229" t="s">
        <v>2129</v>
      </c>
      <c r="AU229" t="s">
        <v>2129</v>
      </c>
      <c r="AW229" t="s">
        <v>2129</v>
      </c>
      <c r="AX229" t="s">
        <v>2129</v>
      </c>
      <c r="AY229" t="s">
        <v>2129</v>
      </c>
      <c r="AZ229" s="3946" t="s">
        <v>2129</v>
      </c>
      <c r="BA229" t="s">
        <v>2129</v>
      </c>
      <c r="BB229" s="3947" t="s">
        <v>2129</v>
      </c>
      <c r="BC229" s="1958" t="s">
        <v>2129</v>
      </c>
      <c r="BD229" s="1958" t="s">
        <v>2129</v>
      </c>
      <c r="BE229" s="1958" t="s">
        <v>2129</v>
      </c>
      <c r="BF229" s="3937" t="s">
        <v>2129</v>
      </c>
      <c r="BG229" s="3938" t="s">
        <v>2129</v>
      </c>
      <c r="BH229" s="3938" t="s">
        <v>2129</v>
      </c>
      <c r="BI229" s="3937" t="s">
        <v>2129</v>
      </c>
      <c r="BJ229" s="3938" t="s">
        <v>2129</v>
      </c>
      <c r="BK229" s="3939" t="s">
        <v>2129</v>
      </c>
      <c r="BL229" s="3938" t="s">
        <v>2129</v>
      </c>
      <c r="BM229" s="3938" t="s">
        <v>2129</v>
      </c>
      <c r="BN229" s="3939" t="s">
        <v>2129</v>
      </c>
      <c r="BO229" s="3937" t="s">
        <v>2129</v>
      </c>
      <c r="BP229" s="3988" t="s">
        <v>2129</v>
      </c>
      <c r="BQ229" s="3988"/>
      <c r="BR229" s="3988"/>
      <c r="BS229" s="2694"/>
    </row>
    <row r="230" spans="1:71" ht="13">
      <c r="A230">
        <v>2048</v>
      </c>
      <c r="B230" s="3979" t="s">
        <v>3427</v>
      </c>
      <c r="C230" s="2694" t="s">
        <v>3791</v>
      </c>
      <c r="D230" s="2694" t="s">
        <v>2129</v>
      </c>
      <c r="E230" s="2694" t="s">
        <v>2129</v>
      </c>
      <c r="F230" s="3974" t="s">
        <v>2129</v>
      </c>
      <c r="G230" s="3975" t="s">
        <v>2129</v>
      </c>
      <c r="H230" s="3976" t="s">
        <v>2129</v>
      </c>
      <c r="I230" s="2694">
        <v>3</v>
      </c>
      <c r="J230" s="3992">
        <v>0</v>
      </c>
      <c r="K230" s="2694">
        <v>0</v>
      </c>
      <c r="L230" s="2694" t="b">
        <v>0</v>
      </c>
      <c r="M230" s="2694" t="s">
        <v>2129</v>
      </c>
      <c r="N230" s="2477">
        <v>0</v>
      </c>
      <c r="O230" s="2477">
        <v>0</v>
      </c>
      <c r="P230" s="2477">
        <v>0</v>
      </c>
      <c r="Q230" s="2477">
        <v>0</v>
      </c>
      <c r="R230" s="2477">
        <v>0</v>
      </c>
      <c r="S230" s="2695">
        <v>0</v>
      </c>
      <c r="T230" s="2477">
        <v>0</v>
      </c>
      <c r="U230" s="2477" t="b">
        <v>1</v>
      </c>
      <c r="V230" s="2477" t="s">
        <v>2129</v>
      </c>
      <c r="W230" s="2477">
        <v>8551074</v>
      </c>
      <c r="X230" s="3937">
        <v>12346074</v>
      </c>
      <c r="Y230" s="3938">
        <v>3795000</v>
      </c>
      <c r="Z230" s="3938" t="b">
        <v>1</v>
      </c>
      <c r="AA230" s="3938">
        <v>33584.070796460175</v>
      </c>
      <c r="AB230" s="3938"/>
      <c r="AC230" s="3938"/>
      <c r="AD230" s="3938">
        <v>1923.0769230769233</v>
      </c>
      <c r="AE230" s="3938"/>
      <c r="AF230" s="3938"/>
      <c r="AG230" t="s">
        <v>2131</v>
      </c>
      <c r="AH230" s="3965">
        <v>113</v>
      </c>
      <c r="AI230" s="3965" t="b">
        <v>1</v>
      </c>
      <c r="AJ230">
        <v>143</v>
      </c>
      <c r="AK230" s="3966">
        <v>26539</v>
      </c>
      <c r="AL230" s="2814">
        <v>1716</v>
      </c>
      <c r="AM230" s="2814" t="s">
        <v>2129</v>
      </c>
      <c r="AN230" s="2814" t="s">
        <v>2129</v>
      </c>
      <c r="AO230" s="3953" t="s">
        <v>2129</v>
      </c>
      <c r="AP230" s="2814" t="s">
        <v>2129</v>
      </c>
      <c r="AQ230" s="3954" t="s">
        <v>2129</v>
      </c>
      <c r="AR230">
        <v>1603</v>
      </c>
      <c r="AS230" t="s">
        <v>2129</v>
      </c>
      <c r="AU230" t="s">
        <v>2129</v>
      </c>
      <c r="AW230">
        <v>20</v>
      </c>
      <c r="AX230" t="s">
        <v>2129</v>
      </c>
      <c r="AY230" t="s">
        <v>2129</v>
      </c>
      <c r="AZ230" s="3946" t="s">
        <v>2129</v>
      </c>
      <c r="BA230" t="s">
        <v>2129</v>
      </c>
      <c r="BB230" s="3947" t="s">
        <v>2129</v>
      </c>
      <c r="BC230" s="1958">
        <v>45540924</v>
      </c>
      <c r="BD230" s="1958" t="s">
        <v>2129</v>
      </c>
      <c r="BE230" s="1958" t="s">
        <v>2129</v>
      </c>
      <c r="BF230" s="3937" t="s">
        <v>2129</v>
      </c>
      <c r="BG230" s="3938" t="s">
        <v>2129</v>
      </c>
      <c r="BH230" s="3938" t="s">
        <v>2129</v>
      </c>
      <c r="BI230" s="3937" t="s">
        <v>2129</v>
      </c>
      <c r="BJ230" s="3938" t="s">
        <v>2129</v>
      </c>
      <c r="BK230" s="3939" t="s">
        <v>2129</v>
      </c>
      <c r="BL230" s="3938" t="s">
        <v>2129</v>
      </c>
      <c r="BM230" s="3938" t="s">
        <v>2129</v>
      </c>
      <c r="BN230" s="3939" t="s">
        <v>2129</v>
      </c>
      <c r="BO230" s="3937">
        <v>21021000</v>
      </c>
      <c r="BP230" s="3988" t="s">
        <v>2129</v>
      </c>
      <c r="BQ230" s="3988">
        <v>343200</v>
      </c>
      <c r="BR230" s="3988"/>
      <c r="BS230" s="2694"/>
    </row>
    <row r="231" spans="1:71" ht="13">
      <c r="A231">
        <v>2050</v>
      </c>
      <c r="B231" s="3979" t="s">
        <v>3428</v>
      </c>
      <c r="C231" s="2694" t="s">
        <v>3791</v>
      </c>
      <c r="D231" s="2694" t="s">
        <v>2129</v>
      </c>
      <c r="E231" s="2694" t="s">
        <v>2129</v>
      </c>
      <c r="F231" s="3974" t="s">
        <v>2129</v>
      </c>
      <c r="G231" s="3975" t="s">
        <v>2129</v>
      </c>
      <c r="H231" s="3976" t="s">
        <v>2129</v>
      </c>
      <c r="I231" s="2694">
        <v>3</v>
      </c>
      <c r="J231" s="3992">
        <v>0</v>
      </c>
      <c r="K231" s="2694">
        <v>0</v>
      </c>
      <c r="L231" s="2694" t="b">
        <v>0</v>
      </c>
      <c r="M231" s="2694" t="s">
        <v>2129</v>
      </c>
      <c r="N231" s="2477">
        <v>0</v>
      </c>
      <c r="O231" s="2477">
        <v>0</v>
      </c>
      <c r="P231" s="2477">
        <v>0</v>
      </c>
      <c r="Q231" s="2477">
        <v>0</v>
      </c>
      <c r="R231" s="2477">
        <v>0</v>
      </c>
      <c r="S231" s="2695">
        <v>0</v>
      </c>
      <c r="T231" s="2477">
        <v>0</v>
      </c>
      <c r="U231" s="2477" t="b">
        <v>1</v>
      </c>
      <c r="V231" s="2477" t="s">
        <v>2129</v>
      </c>
      <c r="W231" s="2477">
        <v>5282037</v>
      </c>
      <c r="X231" s="3937">
        <v>6173037</v>
      </c>
      <c r="Y231" s="3938">
        <v>891000</v>
      </c>
      <c r="Z231" s="3938" t="b">
        <v>1</v>
      </c>
      <c r="AA231" s="3938">
        <v>29700</v>
      </c>
      <c r="AB231" s="3938"/>
      <c r="AC231" s="3938"/>
      <c r="AD231" s="3938">
        <v>1510.2974828375288</v>
      </c>
      <c r="AE231" s="3938"/>
      <c r="AF231" s="3938"/>
      <c r="AG231" t="s">
        <v>2131</v>
      </c>
      <c r="AH231" s="3965">
        <v>30</v>
      </c>
      <c r="AI231" s="3965" t="b">
        <v>1</v>
      </c>
      <c r="AJ231">
        <v>30</v>
      </c>
      <c r="AK231" s="3966">
        <v>29700</v>
      </c>
      <c r="AL231" s="2814">
        <v>513</v>
      </c>
      <c r="AM231" s="2814" t="s">
        <v>2129</v>
      </c>
      <c r="AN231" s="2814" t="s">
        <v>2129</v>
      </c>
      <c r="AO231" s="3953" t="s">
        <v>2129</v>
      </c>
      <c r="AP231" s="2814" t="s">
        <v>2129</v>
      </c>
      <c r="AQ231" s="3954" t="s">
        <v>2129</v>
      </c>
      <c r="AR231">
        <v>483</v>
      </c>
      <c r="AS231" t="s">
        <v>2129</v>
      </c>
      <c r="AU231" t="s">
        <v>2129</v>
      </c>
      <c r="AW231">
        <v>26</v>
      </c>
      <c r="AX231" t="s">
        <v>2129</v>
      </c>
      <c r="AY231" t="s">
        <v>2129</v>
      </c>
      <c r="AZ231" s="3946" t="s">
        <v>2129</v>
      </c>
      <c r="BA231" t="s">
        <v>2129</v>
      </c>
      <c r="BB231" s="3947" t="s">
        <v>2129</v>
      </c>
      <c r="BC231" s="1958">
        <v>15236100</v>
      </c>
      <c r="BD231" s="1958" t="s">
        <v>2129</v>
      </c>
      <c r="BE231" s="1958" t="s">
        <v>2129</v>
      </c>
      <c r="BF231" s="3937" t="s">
        <v>2129</v>
      </c>
      <c r="BG231" s="3938" t="s">
        <v>2129</v>
      </c>
      <c r="BH231" s="3938" t="s">
        <v>2129</v>
      </c>
      <c r="BI231" s="3937" t="s">
        <v>2129</v>
      </c>
      <c r="BJ231" s="3938" t="s">
        <v>2129</v>
      </c>
      <c r="BK231" s="3939" t="s">
        <v>2129</v>
      </c>
      <c r="BL231" s="3938" t="s">
        <v>2129</v>
      </c>
      <c r="BM231" s="3938" t="s">
        <v>2129</v>
      </c>
      <c r="BN231" s="3939" t="s">
        <v>2129</v>
      </c>
      <c r="BO231" s="3937">
        <v>6284250</v>
      </c>
      <c r="BP231" s="3988" t="s">
        <v>2129</v>
      </c>
      <c r="BQ231" s="3988">
        <v>102600</v>
      </c>
      <c r="BR231" s="3988"/>
      <c r="BS231" s="2694"/>
    </row>
    <row r="232" spans="1:71" ht="13">
      <c r="A232">
        <v>2051</v>
      </c>
      <c r="B232" s="3979" t="s">
        <v>3429</v>
      </c>
      <c r="C232" s="2694" t="s">
        <v>2129</v>
      </c>
      <c r="D232" s="2694" t="s">
        <v>2129</v>
      </c>
      <c r="E232" s="2694" t="s">
        <v>2129</v>
      </c>
      <c r="F232" s="3974" t="s">
        <v>2129</v>
      </c>
      <c r="G232" s="3975" t="s">
        <v>2129</v>
      </c>
      <c r="H232" s="3976" t="s">
        <v>2129</v>
      </c>
      <c r="I232" s="2694">
        <v>3</v>
      </c>
      <c r="J232" s="3992" t="s">
        <v>3592</v>
      </c>
      <c r="K232" s="2694">
        <v>3</v>
      </c>
      <c r="L232" s="2694" t="b">
        <v>1</v>
      </c>
      <c r="M232" s="2694" t="s">
        <v>2129</v>
      </c>
      <c r="N232" s="2477">
        <v>1411767</v>
      </c>
      <c r="O232" s="2477">
        <v>0</v>
      </c>
      <c r="P232" s="2477"/>
      <c r="Q232" s="2477"/>
      <c r="R232" s="2477">
        <v>121000</v>
      </c>
      <c r="S232" s="2695">
        <v>1673943.7000000002</v>
      </c>
      <c r="T232" s="2477">
        <v>1673943</v>
      </c>
      <c r="U232" s="2477" t="b">
        <v>1</v>
      </c>
      <c r="V232" s="2477">
        <v>557981</v>
      </c>
      <c r="W232" s="2477">
        <v>3580497</v>
      </c>
      <c r="X232" s="3937">
        <v>13733412</v>
      </c>
      <c r="Y232" s="3938">
        <v>10152915</v>
      </c>
      <c r="Z232" s="3938" t="b">
        <v>1</v>
      </c>
      <c r="AA232" s="3938">
        <v>49047.89855072464</v>
      </c>
      <c r="AB232" s="3938">
        <v>44589</v>
      </c>
      <c r="AC232" s="3938">
        <v>44589</v>
      </c>
      <c r="AD232" s="3938" t="s">
        <v>2129</v>
      </c>
      <c r="AE232" s="3938">
        <v>3277</v>
      </c>
      <c r="AF232" s="3938"/>
      <c r="AG232">
        <v>605</v>
      </c>
      <c r="AH232" s="3965">
        <v>207</v>
      </c>
      <c r="AI232" s="3965" t="b">
        <v>1</v>
      </c>
      <c r="AJ232">
        <v>414</v>
      </c>
      <c r="AK232" s="3966">
        <v>24524</v>
      </c>
      <c r="AL232" s="2814" t="s">
        <v>2129</v>
      </c>
      <c r="AM232" s="2814" t="s">
        <v>2129</v>
      </c>
      <c r="AN232" s="2814" t="s">
        <v>2129</v>
      </c>
      <c r="AO232" s="3953" t="s">
        <v>2129</v>
      </c>
      <c r="AP232" s="2814" t="s">
        <v>2129</v>
      </c>
      <c r="AQ232" s="3954" t="s">
        <v>2129</v>
      </c>
      <c r="AR232" t="s">
        <v>2129</v>
      </c>
      <c r="AS232" t="s">
        <v>2129</v>
      </c>
      <c r="AU232" t="s">
        <v>2129</v>
      </c>
      <c r="AW232" t="s">
        <v>2129</v>
      </c>
      <c r="AX232" t="s">
        <v>2129</v>
      </c>
      <c r="AY232" t="s">
        <v>2129</v>
      </c>
      <c r="AZ232" s="3946" t="s">
        <v>2129</v>
      </c>
      <c r="BA232" t="s">
        <v>2129</v>
      </c>
      <c r="BB232" s="3947" t="s">
        <v>2129</v>
      </c>
      <c r="BC232" s="1958" t="s">
        <v>2129</v>
      </c>
      <c r="BD232" s="1958" t="s">
        <v>2129</v>
      </c>
      <c r="BE232" s="1958" t="s">
        <v>2129</v>
      </c>
      <c r="BF232" s="3937" t="s">
        <v>2129</v>
      </c>
      <c r="BG232" s="3938" t="s">
        <v>2129</v>
      </c>
      <c r="BH232" s="3938" t="s">
        <v>2129</v>
      </c>
      <c r="BI232" s="3937" t="s">
        <v>2129</v>
      </c>
      <c r="BJ232" s="3938" t="s">
        <v>2129</v>
      </c>
      <c r="BK232" s="3939" t="s">
        <v>2129</v>
      </c>
      <c r="BL232" s="3938" t="s">
        <v>2129</v>
      </c>
      <c r="BM232" s="3938" t="s">
        <v>2129</v>
      </c>
      <c r="BN232" s="3939" t="s">
        <v>2129</v>
      </c>
      <c r="BO232" s="3937" t="s">
        <v>2129</v>
      </c>
      <c r="BP232" s="3988" t="s">
        <v>2129</v>
      </c>
      <c r="BQ232" s="3988"/>
      <c r="BR232" s="3988"/>
      <c r="BS232" s="2694"/>
    </row>
    <row r="233" spans="1:71" ht="12.75" customHeight="1">
      <c r="A233">
        <v>3000</v>
      </c>
      <c r="B233" s="3981" t="s">
        <v>3430</v>
      </c>
      <c r="C233" s="2694" t="s">
        <v>2129</v>
      </c>
      <c r="D233" s="2694" t="s">
        <v>2129</v>
      </c>
      <c r="E233" s="2694" t="s">
        <v>2129</v>
      </c>
      <c r="F233" s="3974" t="s">
        <v>2129</v>
      </c>
      <c r="G233" s="3975" t="s">
        <v>2129</v>
      </c>
      <c r="H233" s="3976" t="s">
        <v>2129</v>
      </c>
      <c r="I233" s="2694">
        <v>0</v>
      </c>
      <c r="J233" s="3992" t="s">
        <v>2129</v>
      </c>
      <c r="K233" s="2694">
        <v>0</v>
      </c>
      <c r="L233" s="2694" t="b">
        <v>1</v>
      </c>
      <c r="M233" s="2694" t="s">
        <v>2129</v>
      </c>
      <c r="N233" s="2477">
        <v>0</v>
      </c>
      <c r="O233" s="2477">
        <v>0</v>
      </c>
      <c r="P233" s="2477"/>
      <c r="Q233" s="2477">
        <v>0</v>
      </c>
      <c r="R233" s="2477">
        <v>0</v>
      </c>
      <c r="S233" s="2695"/>
      <c r="T233" s="2477">
        <v>0</v>
      </c>
      <c r="U233" s="2477" t="b">
        <v>1</v>
      </c>
      <c r="V233" s="2477" t="s">
        <v>2129</v>
      </c>
      <c r="W233" s="2477">
        <v>0</v>
      </c>
      <c r="X233" s="3937">
        <v>2750022</v>
      </c>
      <c r="Y233" s="3938">
        <v>2750022</v>
      </c>
      <c r="Z233" s="3938" t="b">
        <v>1</v>
      </c>
      <c r="AA233" s="3938">
        <v>16176.6</v>
      </c>
      <c r="AB233" s="3938"/>
      <c r="AC233" s="3938"/>
      <c r="AD233" s="3938" t="s">
        <v>2129</v>
      </c>
      <c r="AE233" s="3938">
        <v>0</v>
      </c>
      <c r="AF233" s="3938"/>
      <c r="AG233" t="s">
        <v>2131</v>
      </c>
      <c r="AH233" s="3965">
        <v>170</v>
      </c>
      <c r="AI233" s="3965" t="b">
        <v>1</v>
      </c>
      <c r="AJ233">
        <v>340</v>
      </c>
      <c r="AK233" s="3966">
        <v>8089</v>
      </c>
      <c r="AL233" s="2814" t="s">
        <v>2129</v>
      </c>
      <c r="AM233" s="2814" t="s">
        <v>2129</v>
      </c>
      <c r="AN233" s="2814" t="s">
        <v>2129</v>
      </c>
      <c r="AO233" s="3953" t="s">
        <v>2129</v>
      </c>
      <c r="AP233" s="2814" t="s">
        <v>2129</v>
      </c>
      <c r="AQ233" s="3954" t="s">
        <v>2129</v>
      </c>
      <c r="AR233" t="s">
        <v>2129</v>
      </c>
      <c r="AS233" t="s">
        <v>2129</v>
      </c>
      <c r="AU233" t="s">
        <v>2129</v>
      </c>
      <c r="AW233" t="s">
        <v>2129</v>
      </c>
      <c r="AX233" t="s">
        <v>2129</v>
      </c>
      <c r="AY233" t="s">
        <v>2129</v>
      </c>
      <c r="AZ233" s="3946" t="s">
        <v>2129</v>
      </c>
      <c r="BA233" t="s">
        <v>2129</v>
      </c>
      <c r="BB233" s="3947" t="s">
        <v>2129</v>
      </c>
      <c r="BC233" s="1958" t="s">
        <v>2129</v>
      </c>
      <c r="BD233" s="1958" t="s">
        <v>2129</v>
      </c>
      <c r="BE233" s="1958" t="s">
        <v>2129</v>
      </c>
      <c r="BF233" s="3937" t="s">
        <v>2129</v>
      </c>
      <c r="BG233" s="3938" t="s">
        <v>2129</v>
      </c>
      <c r="BH233" s="3938" t="s">
        <v>2129</v>
      </c>
      <c r="BI233" s="3937" t="s">
        <v>2129</v>
      </c>
      <c r="BJ233" s="3938" t="s">
        <v>2129</v>
      </c>
      <c r="BK233" s="3939" t="s">
        <v>2129</v>
      </c>
      <c r="BL233" s="3938" t="s">
        <v>2129</v>
      </c>
      <c r="BM233" s="3938" t="s">
        <v>2129</v>
      </c>
      <c r="BN233" s="3939" t="s">
        <v>2129</v>
      </c>
      <c r="BO233" s="3937" t="s">
        <v>2129</v>
      </c>
      <c r="BP233" s="3988" t="s">
        <v>2129</v>
      </c>
      <c r="BQ233" s="3988"/>
      <c r="BR233" s="3988"/>
      <c r="BS233" s="2694"/>
    </row>
    <row r="234" spans="1:71" ht="13">
      <c r="A234">
        <v>3001</v>
      </c>
      <c r="B234" s="3981" t="s">
        <v>3431</v>
      </c>
      <c r="C234" s="2694" t="s">
        <v>2129</v>
      </c>
      <c r="D234" s="2694" t="s">
        <v>2129</v>
      </c>
      <c r="E234" s="2694" t="s">
        <v>2129</v>
      </c>
      <c r="F234" s="3974" t="s">
        <v>2129</v>
      </c>
      <c r="G234" s="3975" t="s">
        <v>2129</v>
      </c>
      <c r="H234" s="3976" t="s">
        <v>2129</v>
      </c>
      <c r="I234" s="2694">
        <v>0</v>
      </c>
      <c r="J234" s="3992" t="s">
        <v>2129</v>
      </c>
      <c r="K234" s="2694">
        <v>0</v>
      </c>
      <c r="L234" s="2694" t="b">
        <v>1</v>
      </c>
      <c r="M234" s="2694" t="s">
        <v>2129</v>
      </c>
      <c r="N234" s="2477"/>
      <c r="O234" s="2477"/>
      <c r="P234" s="2477"/>
      <c r="Q234" s="2477"/>
      <c r="R234" s="2477"/>
      <c r="S234" s="2695"/>
      <c r="T234" s="2477">
        <v>0</v>
      </c>
      <c r="U234" s="2477" t="b">
        <v>1</v>
      </c>
      <c r="V234" s="2477" t="s">
        <v>2129</v>
      </c>
      <c r="W234" s="2477">
        <v>0</v>
      </c>
      <c r="X234" s="3937">
        <v>9695919</v>
      </c>
      <c r="Y234" s="3938">
        <v>9695919</v>
      </c>
      <c r="Z234" s="3938" t="b">
        <v>1</v>
      </c>
      <c r="AA234" s="3938">
        <v>96959.19</v>
      </c>
      <c r="AB234" s="3938"/>
      <c r="AC234" s="3938"/>
      <c r="AD234" s="3938" t="s">
        <v>2129</v>
      </c>
      <c r="AE234" s="3938"/>
      <c r="AF234" s="3938"/>
      <c r="AG234" t="s">
        <v>3432</v>
      </c>
      <c r="AH234" s="3965">
        <v>100</v>
      </c>
      <c r="AI234" s="3965" t="b">
        <v>1</v>
      </c>
      <c r="AJ234">
        <v>196</v>
      </c>
      <c r="AK234" s="3966">
        <v>49469</v>
      </c>
      <c r="AL234" s="2814" t="s">
        <v>2129</v>
      </c>
      <c r="AM234" s="2814" t="s">
        <v>2129</v>
      </c>
      <c r="AN234" s="2814" t="s">
        <v>2129</v>
      </c>
      <c r="AO234" s="3953" t="s">
        <v>2129</v>
      </c>
      <c r="AP234" s="2814" t="s">
        <v>2129</v>
      </c>
      <c r="AQ234" s="3954" t="s">
        <v>2129</v>
      </c>
      <c r="AR234" t="s">
        <v>2129</v>
      </c>
      <c r="AS234" t="s">
        <v>2129</v>
      </c>
      <c r="AU234" t="s">
        <v>2129</v>
      </c>
      <c r="AW234" t="s">
        <v>2129</v>
      </c>
      <c r="AX234" t="s">
        <v>2129</v>
      </c>
      <c r="AY234" t="s">
        <v>2129</v>
      </c>
      <c r="AZ234" s="3946" t="s">
        <v>2129</v>
      </c>
      <c r="BA234" t="s">
        <v>2129</v>
      </c>
      <c r="BB234" s="3947" t="s">
        <v>2129</v>
      </c>
      <c r="BC234" s="1958" t="s">
        <v>2129</v>
      </c>
      <c r="BD234" s="1958" t="s">
        <v>2129</v>
      </c>
      <c r="BE234" s="1958" t="s">
        <v>2129</v>
      </c>
      <c r="BF234" s="3937" t="s">
        <v>2129</v>
      </c>
      <c r="BG234" s="3938" t="s">
        <v>2129</v>
      </c>
      <c r="BH234" s="3938" t="s">
        <v>2129</v>
      </c>
      <c r="BI234" s="3937" t="s">
        <v>2129</v>
      </c>
      <c r="BJ234" s="3938" t="s">
        <v>2129</v>
      </c>
      <c r="BK234" s="3939" t="s">
        <v>2129</v>
      </c>
      <c r="BL234" s="3938" t="s">
        <v>2129</v>
      </c>
      <c r="BM234" s="3938" t="s">
        <v>2129</v>
      </c>
      <c r="BN234" s="3939" t="s">
        <v>2129</v>
      </c>
      <c r="BO234" s="3937" t="s">
        <v>2129</v>
      </c>
      <c r="BP234" s="3988" t="s">
        <v>2129</v>
      </c>
      <c r="BQ234" s="3988"/>
      <c r="BR234" s="3988"/>
      <c r="BS234" s="2694"/>
    </row>
    <row r="235" spans="1:71" ht="13">
      <c r="A235">
        <v>3002</v>
      </c>
      <c r="B235" s="3980" t="s">
        <v>3433</v>
      </c>
      <c r="C235" s="2694" t="s">
        <v>2129</v>
      </c>
      <c r="D235" s="2694" t="s">
        <v>2129</v>
      </c>
      <c r="E235" s="2694" t="s">
        <v>2129</v>
      </c>
      <c r="F235" s="3974" t="s">
        <v>2129</v>
      </c>
      <c r="G235" s="3975" t="s">
        <v>2129</v>
      </c>
      <c r="H235" s="3976" t="s">
        <v>2129</v>
      </c>
      <c r="I235" s="2694">
        <v>0</v>
      </c>
      <c r="J235" s="3992" t="s">
        <v>2129</v>
      </c>
      <c r="K235" s="2694">
        <v>0</v>
      </c>
      <c r="L235" s="2694" t="b">
        <v>1</v>
      </c>
      <c r="M235" s="2694" t="s">
        <v>2129</v>
      </c>
      <c r="N235" s="2477">
        <v>0</v>
      </c>
      <c r="O235" s="2477"/>
      <c r="P235" s="2477"/>
      <c r="Q235" s="2477"/>
      <c r="R235" s="2477"/>
      <c r="S235" s="2695"/>
      <c r="T235" s="2477">
        <v>0</v>
      </c>
      <c r="U235" s="2477" t="b">
        <v>1</v>
      </c>
      <c r="V235" s="2477" t="s">
        <v>2129</v>
      </c>
      <c r="W235" s="2477">
        <v>0</v>
      </c>
      <c r="X235" s="3937">
        <v>12096483</v>
      </c>
      <c r="Y235" s="3938">
        <v>12096483</v>
      </c>
      <c r="Z235" s="3938" t="b">
        <v>1</v>
      </c>
      <c r="AA235" s="3938">
        <v>95247.897637795279</v>
      </c>
      <c r="AB235" s="3938"/>
      <c r="AC235" s="3938"/>
      <c r="AD235" s="3938" t="s">
        <v>2129</v>
      </c>
      <c r="AE235" s="3938"/>
      <c r="AF235" s="3938"/>
      <c r="AH235" s="3965">
        <v>127</v>
      </c>
      <c r="AI235" s="3965" t="b">
        <v>1</v>
      </c>
      <c r="AJ235">
        <v>254</v>
      </c>
      <c r="AK235" s="3966">
        <v>47624</v>
      </c>
      <c r="AL235" s="2814" t="s">
        <v>2129</v>
      </c>
      <c r="AM235" s="2814" t="s">
        <v>2129</v>
      </c>
      <c r="AN235" s="2814" t="s">
        <v>2129</v>
      </c>
      <c r="AO235" s="3953" t="s">
        <v>2129</v>
      </c>
      <c r="AP235" s="2814" t="s">
        <v>2129</v>
      </c>
      <c r="AQ235" s="3954" t="s">
        <v>2129</v>
      </c>
      <c r="AR235" t="s">
        <v>2129</v>
      </c>
      <c r="AS235" t="s">
        <v>2129</v>
      </c>
      <c r="AU235" t="s">
        <v>2129</v>
      </c>
      <c r="AW235" t="s">
        <v>2129</v>
      </c>
      <c r="AX235" t="s">
        <v>2129</v>
      </c>
      <c r="AY235" t="s">
        <v>2129</v>
      </c>
      <c r="AZ235" s="3946" t="s">
        <v>2129</v>
      </c>
      <c r="BA235" t="s">
        <v>2129</v>
      </c>
      <c r="BB235" s="3947" t="s">
        <v>2129</v>
      </c>
      <c r="BC235" s="1958" t="s">
        <v>2129</v>
      </c>
      <c r="BD235" s="1958" t="s">
        <v>2129</v>
      </c>
      <c r="BE235" s="1958" t="s">
        <v>2129</v>
      </c>
      <c r="BF235" s="3937" t="s">
        <v>2129</v>
      </c>
      <c r="BG235" s="3938" t="s">
        <v>2129</v>
      </c>
      <c r="BH235" s="3938" t="s">
        <v>2129</v>
      </c>
      <c r="BI235" s="3937" t="s">
        <v>2129</v>
      </c>
      <c r="BJ235" s="3938" t="s">
        <v>2129</v>
      </c>
      <c r="BK235" s="3939" t="s">
        <v>2129</v>
      </c>
      <c r="BL235" s="3938" t="s">
        <v>2129</v>
      </c>
      <c r="BM235" s="3938" t="s">
        <v>2129</v>
      </c>
      <c r="BN235" s="3939" t="s">
        <v>2129</v>
      </c>
      <c r="BO235" s="3937" t="s">
        <v>2129</v>
      </c>
      <c r="BP235" s="3988" t="s">
        <v>2129</v>
      </c>
      <c r="BQ235" s="3988"/>
      <c r="BR235" s="3988"/>
      <c r="BS235" s="2694"/>
    </row>
    <row r="236" spans="1:71" ht="13">
      <c r="A236">
        <v>3003</v>
      </c>
      <c r="B236" s="3980" t="s">
        <v>3434</v>
      </c>
      <c r="C236" s="2694" t="s">
        <v>2129</v>
      </c>
      <c r="D236" s="2694" t="s">
        <v>2129</v>
      </c>
      <c r="E236" s="2694" t="s">
        <v>2129</v>
      </c>
      <c r="F236" s="3974" t="s">
        <v>2129</v>
      </c>
      <c r="G236" s="3975" t="s">
        <v>2129</v>
      </c>
      <c r="H236" s="3976" t="s">
        <v>2129</v>
      </c>
      <c r="I236" s="2694">
        <v>3</v>
      </c>
      <c r="J236" s="3992" t="s">
        <v>2129</v>
      </c>
      <c r="K236" s="2694">
        <v>0</v>
      </c>
      <c r="L236" s="2694" t="b">
        <v>1</v>
      </c>
      <c r="M236" s="2694" t="s">
        <v>2129</v>
      </c>
      <c r="N236" s="2477">
        <v>0</v>
      </c>
      <c r="O236" s="2477"/>
      <c r="P236" s="2477"/>
      <c r="Q236" s="2477"/>
      <c r="R236" s="2477"/>
      <c r="S236" s="2695"/>
      <c r="T236" s="2477">
        <v>0</v>
      </c>
      <c r="U236" s="2477" t="b">
        <v>1</v>
      </c>
      <c r="V236" s="2477" t="s">
        <v>2129</v>
      </c>
      <c r="W236" s="2477">
        <v>0</v>
      </c>
      <c r="X236" s="3937">
        <v>16858878</v>
      </c>
      <c r="Y236" s="3938">
        <v>16858878</v>
      </c>
      <c r="Z236" s="3938" t="b">
        <v>1</v>
      </c>
      <c r="AA236" s="3938">
        <v>95247.898305084746</v>
      </c>
      <c r="AB236" s="3938"/>
      <c r="AC236" s="3938"/>
      <c r="AD236" s="3938" t="s">
        <v>2129</v>
      </c>
      <c r="AE236" s="3938"/>
      <c r="AF236" s="3938"/>
      <c r="AH236" s="3965">
        <v>177</v>
      </c>
      <c r="AI236" s="3965" t="b">
        <v>1</v>
      </c>
      <c r="AJ236">
        <v>354</v>
      </c>
      <c r="AK236" s="3966">
        <v>47624</v>
      </c>
      <c r="AL236" s="2814" t="s">
        <v>2129</v>
      </c>
      <c r="AM236" s="2814" t="s">
        <v>2129</v>
      </c>
      <c r="AN236" s="2814" t="s">
        <v>2129</v>
      </c>
      <c r="AO236" s="3953" t="s">
        <v>2129</v>
      </c>
      <c r="AP236" s="2814" t="s">
        <v>2129</v>
      </c>
      <c r="AQ236" s="3954" t="s">
        <v>2129</v>
      </c>
      <c r="AR236" t="s">
        <v>2129</v>
      </c>
      <c r="AS236" t="s">
        <v>2129</v>
      </c>
      <c r="AU236" t="s">
        <v>2129</v>
      </c>
      <c r="AW236" t="s">
        <v>2129</v>
      </c>
      <c r="AX236" t="s">
        <v>2129</v>
      </c>
      <c r="AY236" t="s">
        <v>2129</v>
      </c>
      <c r="AZ236" s="3946" t="s">
        <v>2129</v>
      </c>
      <c r="BA236" t="s">
        <v>2129</v>
      </c>
      <c r="BB236" s="3947" t="s">
        <v>2129</v>
      </c>
      <c r="BC236" s="1958" t="s">
        <v>2129</v>
      </c>
      <c r="BD236" s="1958" t="s">
        <v>2129</v>
      </c>
      <c r="BE236" s="1958" t="s">
        <v>2129</v>
      </c>
      <c r="BF236" s="3937" t="s">
        <v>2129</v>
      </c>
      <c r="BG236" s="3938" t="s">
        <v>2129</v>
      </c>
      <c r="BH236" s="3938" t="s">
        <v>2129</v>
      </c>
      <c r="BI236" s="3937" t="s">
        <v>2129</v>
      </c>
      <c r="BJ236" s="3938" t="s">
        <v>2129</v>
      </c>
      <c r="BK236" s="3939" t="s">
        <v>2129</v>
      </c>
      <c r="BL236" s="3938" t="s">
        <v>2129</v>
      </c>
      <c r="BM236" s="3938" t="s">
        <v>2129</v>
      </c>
      <c r="BN236" s="3939" t="s">
        <v>2129</v>
      </c>
      <c r="BO236" s="3937" t="s">
        <v>2129</v>
      </c>
      <c r="BP236" s="3988" t="s">
        <v>2129</v>
      </c>
      <c r="BQ236" s="3988"/>
      <c r="BR236" s="3988"/>
      <c r="BS236" s="2694"/>
    </row>
    <row r="237" spans="1:71" ht="13">
      <c r="A237">
        <v>3004</v>
      </c>
      <c r="B237" s="3979" t="s">
        <v>3435</v>
      </c>
      <c r="C237" s="2694" t="s">
        <v>2129</v>
      </c>
      <c r="D237" s="2694" t="s">
        <v>2129</v>
      </c>
      <c r="E237" s="2694" t="s">
        <v>3694</v>
      </c>
      <c r="F237" s="3974" t="s">
        <v>2129</v>
      </c>
      <c r="G237" s="3975" t="s">
        <v>2129</v>
      </c>
      <c r="H237" s="3976" t="s">
        <v>2129</v>
      </c>
      <c r="I237" s="2694">
        <v>0</v>
      </c>
      <c r="J237" s="3992" t="s">
        <v>2129</v>
      </c>
      <c r="K237" s="2694">
        <v>0</v>
      </c>
      <c r="L237" s="2694" t="b">
        <v>1</v>
      </c>
      <c r="M237" s="2694" t="s">
        <v>2129</v>
      </c>
      <c r="N237" s="2477"/>
      <c r="O237" s="2477"/>
      <c r="P237" s="2477"/>
      <c r="Q237" s="2477"/>
      <c r="R237" s="2477"/>
      <c r="S237" s="2695"/>
      <c r="T237" s="2477">
        <v>0</v>
      </c>
      <c r="U237" s="2477" t="b">
        <v>1</v>
      </c>
      <c r="V237" s="2477" t="s">
        <v>2129</v>
      </c>
      <c r="W237" s="2477">
        <v>-120351</v>
      </c>
      <c r="X237" s="3937">
        <v>449075</v>
      </c>
      <c r="Y237" s="3938">
        <v>569426</v>
      </c>
      <c r="Z237" s="3938" t="b">
        <v>1</v>
      </c>
      <c r="AA237" s="3938">
        <v>14235.65</v>
      </c>
      <c r="AB237" s="3938"/>
      <c r="AC237" s="3938"/>
      <c r="AD237" s="3938" t="s">
        <v>2129</v>
      </c>
      <c r="AE237" s="3938"/>
      <c r="AF237" s="3938"/>
      <c r="AH237" s="3965">
        <v>40</v>
      </c>
      <c r="AI237" s="3965" t="b">
        <v>1</v>
      </c>
      <c r="AJ237">
        <v>40</v>
      </c>
      <c r="AK237" s="3966">
        <v>14236</v>
      </c>
      <c r="AL237" s="2814" t="s">
        <v>2129</v>
      </c>
      <c r="AM237" s="2814" t="s">
        <v>2129</v>
      </c>
      <c r="AN237" s="2814">
        <v>1500</v>
      </c>
      <c r="AO237" s="3953" t="s">
        <v>2129</v>
      </c>
      <c r="AP237" s="2814" t="s">
        <v>2129</v>
      </c>
      <c r="AQ237" s="3954" t="s">
        <v>2129</v>
      </c>
      <c r="AR237" t="s">
        <v>2129</v>
      </c>
      <c r="AS237" t="s">
        <v>2129</v>
      </c>
      <c r="AU237" t="s">
        <v>2129</v>
      </c>
      <c r="AW237" t="s">
        <v>2129</v>
      </c>
      <c r="AX237" t="s">
        <v>2129</v>
      </c>
      <c r="AY237">
        <v>30</v>
      </c>
      <c r="AZ237" s="3946" t="s">
        <v>2129</v>
      </c>
      <c r="BA237" t="s">
        <v>2129</v>
      </c>
      <c r="BB237" s="3947" t="s">
        <v>2129</v>
      </c>
      <c r="BC237" s="1958" t="s">
        <v>2129</v>
      </c>
      <c r="BD237" s="1958" t="s">
        <v>2129</v>
      </c>
      <c r="BE237" s="1958">
        <v>21354000</v>
      </c>
      <c r="BF237" s="3937" t="s">
        <v>2129</v>
      </c>
      <c r="BG237" s="3938" t="s">
        <v>2129</v>
      </c>
      <c r="BH237" s="3938" t="s">
        <v>2129</v>
      </c>
      <c r="BI237" s="3937" t="s">
        <v>2129</v>
      </c>
      <c r="BJ237" s="3938" t="s">
        <v>2129</v>
      </c>
      <c r="BK237" s="3939" t="s">
        <v>2129</v>
      </c>
      <c r="BL237" s="3938" t="s">
        <v>2129</v>
      </c>
      <c r="BM237" s="3938" t="s">
        <v>2129</v>
      </c>
      <c r="BN237" s="3939" t="s">
        <v>2129</v>
      </c>
      <c r="BO237" s="3937" t="s">
        <v>2129</v>
      </c>
      <c r="BP237" s="3988" t="s">
        <v>2129</v>
      </c>
      <c r="BQ237" s="3988"/>
      <c r="BR237" s="3988"/>
      <c r="BS237" s="2694"/>
    </row>
    <row r="238" spans="1:71" ht="13">
      <c r="A238">
        <v>3005</v>
      </c>
      <c r="B238" s="3980" t="s">
        <v>3436</v>
      </c>
      <c r="C238" s="2694" t="s">
        <v>3791</v>
      </c>
      <c r="D238" s="2694" t="s">
        <v>2129</v>
      </c>
      <c r="E238" s="2694" t="s">
        <v>2129</v>
      </c>
      <c r="F238" s="3974" t="s">
        <v>2129</v>
      </c>
      <c r="G238" s="3975" t="s">
        <v>2129</v>
      </c>
      <c r="H238" s="3976" t="s">
        <v>2129</v>
      </c>
      <c r="I238" s="2694">
        <v>0</v>
      </c>
      <c r="J238" s="3992" t="s">
        <v>2129</v>
      </c>
      <c r="K238" s="2694">
        <v>0</v>
      </c>
      <c r="L238" s="2694" t="b">
        <v>1</v>
      </c>
      <c r="M238" s="2694" t="s">
        <v>2129</v>
      </c>
      <c r="N238" s="2477"/>
      <c r="O238" s="2477"/>
      <c r="P238" s="2477"/>
      <c r="Q238" s="2477"/>
      <c r="R238" s="2477"/>
      <c r="S238" s="2695"/>
      <c r="T238" s="2477">
        <v>0</v>
      </c>
      <c r="U238" s="2477" t="b">
        <v>1</v>
      </c>
      <c r="V238" s="2477" t="s">
        <v>2129</v>
      </c>
      <c r="W238" s="2477">
        <v>-1358786</v>
      </c>
      <c r="X238" s="3937">
        <v>3996520</v>
      </c>
      <c r="Y238" s="3938">
        <v>5355306</v>
      </c>
      <c r="Z238" s="3938" t="b">
        <v>1</v>
      </c>
      <c r="AA238" s="3938">
        <v>38252.185714285712</v>
      </c>
      <c r="AB238" s="3938"/>
      <c r="AC238" s="3938"/>
      <c r="AD238" s="3938">
        <v>14462.073994058874</v>
      </c>
      <c r="AE238" s="3938"/>
      <c r="AF238" s="3938"/>
      <c r="AH238" s="3965">
        <v>140</v>
      </c>
      <c r="AI238" s="3965" t="b">
        <v>1</v>
      </c>
      <c r="AJ238">
        <v>280</v>
      </c>
      <c r="AK238" s="3966">
        <v>19127</v>
      </c>
      <c r="AL238" s="2814">
        <v>322</v>
      </c>
      <c r="AM238" s="2814" t="s">
        <v>2129</v>
      </c>
      <c r="AN238" s="2814" t="s">
        <v>2129</v>
      </c>
      <c r="AO238" s="3953" t="s">
        <v>2129</v>
      </c>
      <c r="AP238" s="2814" t="s">
        <v>2129</v>
      </c>
      <c r="AQ238" s="3954" t="s">
        <v>2129</v>
      </c>
      <c r="AR238">
        <v>182</v>
      </c>
      <c r="AS238" t="s">
        <v>2129</v>
      </c>
      <c r="AU238" t="s">
        <v>2129</v>
      </c>
      <c r="AW238">
        <v>22</v>
      </c>
      <c r="AX238" t="s">
        <v>2129</v>
      </c>
      <c r="AY238" t="s">
        <v>2129</v>
      </c>
      <c r="AZ238" s="3946" t="s">
        <v>2129</v>
      </c>
      <c r="BA238" t="s">
        <v>2129</v>
      </c>
      <c r="BB238" s="3947" t="s">
        <v>2129</v>
      </c>
      <c r="BC238" s="1958">
        <v>6158894</v>
      </c>
      <c r="BD238" s="1958" t="s">
        <v>2129</v>
      </c>
      <c r="BE238" s="1958" t="s">
        <v>2129</v>
      </c>
      <c r="BF238" s="3937" t="s">
        <v>2129</v>
      </c>
      <c r="BG238" s="3938" t="s">
        <v>2129</v>
      </c>
      <c r="BH238" s="3938" t="s">
        <v>2129</v>
      </c>
      <c r="BI238" s="3937" t="s">
        <v>2129</v>
      </c>
      <c r="BJ238" s="3938" t="s">
        <v>2129</v>
      </c>
      <c r="BK238" s="3939" t="s">
        <v>2129</v>
      </c>
      <c r="BL238" s="3938" t="s">
        <v>2129</v>
      </c>
      <c r="BM238" s="3938" t="s">
        <v>2129</v>
      </c>
      <c r="BN238" s="3939" t="s">
        <v>2129</v>
      </c>
      <c r="BO238" s="3937">
        <v>3944500</v>
      </c>
      <c r="BP238" s="3988" t="s">
        <v>2129</v>
      </c>
      <c r="BQ238" s="3988">
        <v>161000</v>
      </c>
      <c r="BR238" s="3988"/>
      <c r="BS238" s="2694"/>
    </row>
    <row r="239" spans="1:71" ht="13">
      <c r="A239">
        <v>3006</v>
      </c>
      <c r="B239" s="3982" t="s">
        <v>3437</v>
      </c>
      <c r="C239" s="2694" t="s">
        <v>2129</v>
      </c>
      <c r="D239" s="2694" t="s">
        <v>2129</v>
      </c>
      <c r="E239" s="2694" t="s">
        <v>3694</v>
      </c>
      <c r="F239" s="3974" t="s">
        <v>2129</v>
      </c>
      <c r="G239" s="3975" t="s">
        <v>2129</v>
      </c>
      <c r="H239" s="3976" t="s">
        <v>2129</v>
      </c>
      <c r="I239" s="2694">
        <v>0</v>
      </c>
      <c r="J239" s="3992" t="s">
        <v>2129</v>
      </c>
      <c r="K239" s="2694">
        <v>0</v>
      </c>
      <c r="L239" s="2694" t="b">
        <v>1</v>
      </c>
      <c r="M239" s="2694" t="s">
        <v>2129</v>
      </c>
      <c r="N239" s="2477"/>
      <c r="O239" s="2477"/>
      <c r="P239" s="2477"/>
      <c r="Q239" s="2477"/>
      <c r="R239" s="2477"/>
      <c r="S239" s="2695"/>
      <c r="T239" s="2477">
        <v>0</v>
      </c>
      <c r="U239" s="2477" t="b">
        <v>1</v>
      </c>
      <c r="V239" s="2477" t="s">
        <v>2129</v>
      </c>
      <c r="W239" s="2477">
        <v>0</v>
      </c>
      <c r="X239" s="3937">
        <v>8689516</v>
      </c>
      <c r="Y239" s="3938">
        <v>8689516</v>
      </c>
      <c r="Z239" s="3938" t="b">
        <v>1</v>
      </c>
      <c r="AA239" s="3938">
        <v>28965.053333333333</v>
      </c>
      <c r="AB239" s="3938"/>
      <c r="AC239" s="3938"/>
      <c r="AD239" s="3938" t="s">
        <v>2129</v>
      </c>
      <c r="AE239" s="3938"/>
      <c r="AF239" s="3938"/>
      <c r="AH239" s="3965">
        <v>300</v>
      </c>
      <c r="AI239" s="3965" t="b">
        <v>1</v>
      </c>
      <c r="AJ239">
        <v>600</v>
      </c>
      <c r="AK239" s="3966">
        <v>14483</v>
      </c>
      <c r="AL239" s="2814" t="s">
        <v>2129</v>
      </c>
      <c r="AM239" s="2814" t="s">
        <v>2129</v>
      </c>
      <c r="AN239" s="2814">
        <v>9000</v>
      </c>
      <c r="AO239" s="3953" t="s">
        <v>2129</v>
      </c>
      <c r="AP239" s="2814" t="s">
        <v>2129</v>
      </c>
      <c r="AQ239" s="3954" t="s">
        <v>2129</v>
      </c>
      <c r="AR239" t="s">
        <v>2129</v>
      </c>
      <c r="AS239" t="s">
        <v>2129</v>
      </c>
      <c r="AU239" t="s">
        <v>2129</v>
      </c>
      <c r="AW239" t="s">
        <v>2129</v>
      </c>
      <c r="AX239" t="s">
        <v>2129</v>
      </c>
      <c r="AY239">
        <v>30</v>
      </c>
      <c r="AZ239" s="3946" t="s">
        <v>2129</v>
      </c>
      <c r="BA239" t="s">
        <v>2129</v>
      </c>
      <c r="BB239" s="3947" t="s">
        <v>2129</v>
      </c>
      <c r="BC239" s="1958" t="s">
        <v>2129</v>
      </c>
      <c r="BD239" s="1958" t="s">
        <v>2129</v>
      </c>
      <c r="BE239" s="1958">
        <v>130347000</v>
      </c>
      <c r="BF239" s="3937" t="s">
        <v>2129</v>
      </c>
      <c r="BG239" s="3938" t="s">
        <v>2129</v>
      </c>
      <c r="BH239" s="3938" t="s">
        <v>2129</v>
      </c>
      <c r="BI239" s="3937" t="s">
        <v>2129</v>
      </c>
      <c r="BJ239" s="3938" t="s">
        <v>2129</v>
      </c>
      <c r="BK239" s="3939" t="s">
        <v>2129</v>
      </c>
      <c r="BL239" s="3938" t="s">
        <v>2129</v>
      </c>
      <c r="BM239" s="3938" t="s">
        <v>2129</v>
      </c>
      <c r="BN239" s="3939" t="s">
        <v>2129</v>
      </c>
      <c r="BO239" s="3937" t="s">
        <v>2129</v>
      </c>
      <c r="BP239" s="3988" t="s">
        <v>2129</v>
      </c>
      <c r="BQ239" s="3988"/>
      <c r="BR239" s="3988"/>
      <c r="BS239" s="2694"/>
    </row>
    <row r="240" spans="1:71" ht="13">
      <c r="A240">
        <v>3007</v>
      </c>
      <c r="B240" s="3980" t="s">
        <v>3438</v>
      </c>
      <c r="C240" s="2694" t="s">
        <v>2129</v>
      </c>
      <c r="D240" s="2694" t="s">
        <v>2129</v>
      </c>
      <c r="E240" s="2694" t="s">
        <v>2129</v>
      </c>
      <c r="F240" s="3974" t="s">
        <v>2129</v>
      </c>
      <c r="G240" s="3975" t="s">
        <v>2129</v>
      </c>
      <c r="H240" s="3976" t="s">
        <v>2129</v>
      </c>
      <c r="I240" s="2694">
        <v>0</v>
      </c>
      <c r="J240" s="3992" t="s">
        <v>2129</v>
      </c>
      <c r="K240" s="2694">
        <v>0</v>
      </c>
      <c r="L240" s="2694" t="b">
        <v>1</v>
      </c>
      <c r="M240" s="2694" t="s">
        <v>2129</v>
      </c>
      <c r="N240" s="2477"/>
      <c r="O240" s="2477"/>
      <c r="P240" s="2477"/>
      <c r="Q240" s="2477"/>
      <c r="R240" s="2477"/>
      <c r="S240" s="2695"/>
      <c r="T240" s="2477">
        <v>0</v>
      </c>
      <c r="U240" s="2477" t="b">
        <v>1</v>
      </c>
      <c r="V240" s="2477" t="s">
        <v>2129</v>
      </c>
      <c r="W240" s="2477">
        <v>0</v>
      </c>
      <c r="X240" s="3937">
        <v>1176450</v>
      </c>
      <c r="Y240" s="3938">
        <v>1176450</v>
      </c>
      <c r="Z240" s="3938" t="b">
        <v>1</v>
      </c>
      <c r="AA240" s="3938">
        <v>12650</v>
      </c>
      <c r="AB240" s="3938"/>
      <c r="AC240" s="3938"/>
      <c r="AD240" s="3938" t="s">
        <v>2129</v>
      </c>
      <c r="AE240" s="3938"/>
      <c r="AF240" s="3938"/>
      <c r="AH240" s="3965">
        <v>93</v>
      </c>
      <c r="AI240" s="3965" t="b">
        <v>1</v>
      </c>
      <c r="AJ240">
        <v>93</v>
      </c>
      <c r="AK240" s="3966">
        <v>12650</v>
      </c>
      <c r="AL240" s="2814" t="s">
        <v>2129</v>
      </c>
      <c r="AM240" s="2814" t="s">
        <v>2129</v>
      </c>
      <c r="AN240" s="2814" t="s">
        <v>2129</v>
      </c>
      <c r="AO240" s="3953" t="s">
        <v>2129</v>
      </c>
      <c r="AP240" s="2814" t="s">
        <v>2129</v>
      </c>
      <c r="AQ240" s="3954" t="s">
        <v>2129</v>
      </c>
      <c r="AR240" t="s">
        <v>2129</v>
      </c>
      <c r="AS240" t="s">
        <v>2129</v>
      </c>
      <c r="AU240" t="s">
        <v>2129</v>
      </c>
      <c r="AW240" t="s">
        <v>2129</v>
      </c>
      <c r="AX240" t="s">
        <v>2129</v>
      </c>
      <c r="AY240" t="s">
        <v>2129</v>
      </c>
      <c r="AZ240" s="3946" t="s">
        <v>2129</v>
      </c>
      <c r="BA240" t="s">
        <v>2129</v>
      </c>
      <c r="BB240" s="3947" t="s">
        <v>2129</v>
      </c>
      <c r="BC240" s="1958" t="s">
        <v>2129</v>
      </c>
      <c r="BD240" s="1958" t="s">
        <v>2129</v>
      </c>
      <c r="BE240" s="1958" t="s">
        <v>2129</v>
      </c>
      <c r="BF240" s="3937" t="s">
        <v>2129</v>
      </c>
      <c r="BG240" s="3938" t="s">
        <v>2129</v>
      </c>
      <c r="BH240" s="3938" t="s">
        <v>2129</v>
      </c>
      <c r="BI240" s="3937" t="s">
        <v>2129</v>
      </c>
      <c r="BJ240" s="3938" t="s">
        <v>2129</v>
      </c>
      <c r="BK240" s="3939" t="s">
        <v>2129</v>
      </c>
      <c r="BL240" s="3938" t="s">
        <v>2129</v>
      </c>
      <c r="BM240" s="3938" t="s">
        <v>2129</v>
      </c>
      <c r="BN240" s="3939" t="s">
        <v>2129</v>
      </c>
      <c r="BO240" s="3937" t="s">
        <v>2129</v>
      </c>
      <c r="BP240" s="3988" t="s">
        <v>2129</v>
      </c>
      <c r="BQ240" s="3988"/>
      <c r="BR240" s="3988"/>
      <c r="BS240" s="2694"/>
    </row>
    <row r="241" spans="1:71" ht="13">
      <c r="A241">
        <v>3008</v>
      </c>
      <c r="B241" s="3980" t="s">
        <v>3439</v>
      </c>
      <c r="C241" s="2694" t="s">
        <v>2129</v>
      </c>
      <c r="D241" s="2694" t="s">
        <v>2129</v>
      </c>
      <c r="E241" s="2694" t="s">
        <v>2129</v>
      </c>
      <c r="F241" s="3974" t="s">
        <v>2129</v>
      </c>
      <c r="G241" s="3975" t="s">
        <v>2129</v>
      </c>
      <c r="H241" s="3976" t="s">
        <v>2129</v>
      </c>
      <c r="I241" s="2694">
        <v>0</v>
      </c>
      <c r="J241" s="3992" t="s">
        <v>2129</v>
      </c>
      <c r="K241" s="2694">
        <v>0</v>
      </c>
      <c r="L241" s="2694" t="b">
        <v>1</v>
      </c>
      <c r="M241" s="2694" t="s">
        <v>2129</v>
      </c>
      <c r="N241" s="2477"/>
      <c r="O241" s="2477"/>
      <c r="P241" s="2477"/>
      <c r="Q241" s="2477"/>
      <c r="R241" s="2477"/>
      <c r="S241" s="2695"/>
      <c r="T241" s="2477">
        <v>0</v>
      </c>
      <c r="U241" s="2477" t="b">
        <v>1</v>
      </c>
      <c r="V241" s="2477" t="s">
        <v>2129</v>
      </c>
      <c r="W241" s="2477">
        <v>0</v>
      </c>
      <c r="X241" s="3937">
        <v>4079498.5</v>
      </c>
      <c r="Y241" s="3938">
        <v>4079498.5</v>
      </c>
      <c r="Z241" s="3938" t="b">
        <v>1</v>
      </c>
      <c r="AA241" s="3938">
        <v>34281.5</v>
      </c>
      <c r="AB241" s="3938"/>
      <c r="AC241" s="3938"/>
      <c r="AD241" s="3938" t="s">
        <v>2129</v>
      </c>
      <c r="AE241" s="3938"/>
      <c r="AF241" s="3938"/>
      <c r="AH241" s="3965">
        <v>119</v>
      </c>
      <c r="AI241" s="3965" t="b">
        <v>1</v>
      </c>
      <c r="AJ241">
        <v>119</v>
      </c>
      <c r="AK241" s="3966">
        <v>34282</v>
      </c>
      <c r="AL241" s="2814" t="s">
        <v>2129</v>
      </c>
      <c r="AM241" s="2814" t="s">
        <v>2129</v>
      </c>
      <c r="AN241" s="2814" t="s">
        <v>2129</v>
      </c>
      <c r="AO241" s="3953" t="s">
        <v>2129</v>
      </c>
      <c r="AP241" s="2814" t="s">
        <v>2129</v>
      </c>
      <c r="AQ241" s="3954" t="s">
        <v>2129</v>
      </c>
      <c r="AR241" t="s">
        <v>2129</v>
      </c>
      <c r="AS241" t="s">
        <v>2129</v>
      </c>
      <c r="AU241" t="s">
        <v>2129</v>
      </c>
      <c r="AW241" t="s">
        <v>2129</v>
      </c>
      <c r="AX241" t="s">
        <v>2129</v>
      </c>
      <c r="AY241" t="s">
        <v>2129</v>
      </c>
      <c r="AZ241" s="3946" t="s">
        <v>2129</v>
      </c>
      <c r="BA241" t="s">
        <v>2129</v>
      </c>
      <c r="BB241" s="3947" t="s">
        <v>2129</v>
      </c>
      <c r="BC241" s="1958" t="s">
        <v>2129</v>
      </c>
      <c r="BD241" s="1958" t="s">
        <v>2129</v>
      </c>
      <c r="BE241" s="1958" t="s">
        <v>2129</v>
      </c>
      <c r="BF241" s="3937" t="s">
        <v>2129</v>
      </c>
      <c r="BG241" s="3938" t="s">
        <v>2129</v>
      </c>
      <c r="BH241" s="3938" t="s">
        <v>2129</v>
      </c>
      <c r="BI241" s="3937" t="s">
        <v>2129</v>
      </c>
      <c r="BJ241" s="3938" t="s">
        <v>2129</v>
      </c>
      <c r="BK241" s="3939" t="s">
        <v>2129</v>
      </c>
      <c r="BL241" s="3938" t="s">
        <v>2129</v>
      </c>
      <c r="BM241" s="3938" t="s">
        <v>2129</v>
      </c>
      <c r="BN241" s="3939" t="s">
        <v>2129</v>
      </c>
      <c r="BO241" s="3937" t="s">
        <v>2129</v>
      </c>
      <c r="BP241" s="3988" t="s">
        <v>2129</v>
      </c>
      <c r="BQ241" s="3988"/>
      <c r="BR241" s="3988"/>
      <c r="BS241" s="2694"/>
    </row>
    <row r="242" spans="1:71" ht="13">
      <c r="A242">
        <v>3009</v>
      </c>
      <c r="B242" s="3980" t="s">
        <v>3440</v>
      </c>
      <c r="C242" s="2694" t="s">
        <v>2129</v>
      </c>
      <c r="D242" s="2694" t="s">
        <v>2129</v>
      </c>
      <c r="E242" s="2694" t="s">
        <v>2129</v>
      </c>
      <c r="F242" s="3974" t="s">
        <v>2129</v>
      </c>
      <c r="G242" s="3975" t="s">
        <v>2129</v>
      </c>
      <c r="H242" s="3976" t="s">
        <v>2129</v>
      </c>
      <c r="I242" s="2694">
        <v>0</v>
      </c>
      <c r="J242" s="3992" t="s">
        <v>2129</v>
      </c>
      <c r="K242" s="2694">
        <v>0</v>
      </c>
      <c r="L242" s="2694" t="b">
        <v>1</v>
      </c>
      <c r="M242" s="2694" t="s">
        <v>2129</v>
      </c>
      <c r="N242" s="2477"/>
      <c r="O242" s="2477"/>
      <c r="P242" s="2477"/>
      <c r="Q242" s="2477"/>
      <c r="R242" s="2477"/>
      <c r="S242" s="2695"/>
      <c r="T242" s="2477">
        <v>0</v>
      </c>
      <c r="U242" s="2477" t="b">
        <v>1</v>
      </c>
      <c r="V242" s="2477" t="s">
        <v>2129</v>
      </c>
      <c r="W242" s="2477">
        <v>0</v>
      </c>
      <c r="X242" s="3937">
        <v>367482.5</v>
      </c>
      <c r="Y242" s="3938">
        <v>367482.5</v>
      </c>
      <c r="Z242" s="3938" t="b">
        <v>1</v>
      </c>
      <c r="AA242" s="3938">
        <v>10499.5</v>
      </c>
      <c r="AB242" s="3938"/>
      <c r="AC242" s="3938"/>
      <c r="AD242" s="3938" t="s">
        <v>2129</v>
      </c>
      <c r="AE242" s="3938"/>
      <c r="AF242" s="3938"/>
      <c r="AH242" s="3965">
        <v>35</v>
      </c>
      <c r="AI242" s="3965" t="b">
        <v>1</v>
      </c>
      <c r="AJ242">
        <v>35</v>
      </c>
      <c r="AK242" s="3966">
        <v>10500</v>
      </c>
      <c r="AL242" s="2814" t="s">
        <v>2129</v>
      </c>
      <c r="AM242" s="2814" t="s">
        <v>2129</v>
      </c>
      <c r="AN242" s="2814" t="s">
        <v>2129</v>
      </c>
      <c r="AO242" s="3953" t="s">
        <v>2129</v>
      </c>
      <c r="AP242" s="2814" t="s">
        <v>2129</v>
      </c>
      <c r="AQ242" s="3954" t="s">
        <v>2129</v>
      </c>
      <c r="AR242" t="s">
        <v>2129</v>
      </c>
      <c r="AS242" t="s">
        <v>2129</v>
      </c>
      <c r="AU242" t="s">
        <v>2129</v>
      </c>
      <c r="AW242" t="s">
        <v>2129</v>
      </c>
      <c r="AX242" t="s">
        <v>2129</v>
      </c>
      <c r="AY242" t="s">
        <v>2129</v>
      </c>
      <c r="AZ242" s="3946" t="s">
        <v>2129</v>
      </c>
      <c r="BA242" t="s">
        <v>2129</v>
      </c>
      <c r="BB242" s="3947" t="s">
        <v>2129</v>
      </c>
      <c r="BC242" s="1958" t="s">
        <v>2129</v>
      </c>
      <c r="BD242" s="1958" t="s">
        <v>2129</v>
      </c>
      <c r="BE242" s="1958" t="s">
        <v>2129</v>
      </c>
      <c r="BF242" s="3937" t="s">
        <v>2129</v>
      </c>
      <c r="BG242" s="3938" t="s">
        <v>2129</v>
      </c>
      <c r="BH242" s="3938" t="s">
        <v>2129</v>
      </c>
      <c r="BI242" s="3937" t="s">
        <v>2129</v>
      </c>
      <c r="BJ242" s="3938" t="s">
        <v>2129</v>
      </c>
      <c r="BK242" s="3939" t="s">
        <v>2129</v>
      </c>
      <c r="BL242" s="3938" t="s">
        <v>2129</v>
      </c>
      <c r="BM242" s="3938" t="s">
        <v>2129</v>
      </c>
      <c r="BN242" s="3939" t="s">
        <v>2129</v>
      </c>
      <c r="BO242" s="3937" t="s">
        <v>2129</v>
      </c>
      <c r="BP242" s="3988" t="s">
        <v>2129</v>
      </c>
      <c r="BQ242" s="3988"/>
      <c r="BR242" s="3988"/>
      <c r="BS242" s="2694"/>
    </row>
    <row r="243" spans="1:71" ht="13">
      <c r="A243">
        <v>3010</v>
      </c>
      <c r="B243" s="3980" t="s">
        <v>3441</v>
      </c>
      <c r="C243" s="2694" t="s">
        <v>2129</v>
      </c>
      <c r="D243" s="2694" t="s">
        <v>2129</v>
      </c>
      <c r="E243" s="2694" t="s">
        <v>2129</v>
      </c>
      <c r="F243" s="3974" t="s">
        <v>2129</v>
      </c>
      <c r="G243" s="3975" t="s">
        <v>2129</v>
      </c>
      <c r="H243" s="3976" t="s">
        <v>2129</v>
      </c>
      <c r="I243" s="2694">
        <v>0</v>
      </c>
      <c r="J243" s="3992" t="s">
        <v>2129</v>
      </c>
      <c r="K243" s="2694">
        <v>0</v>
      </c>
      <c r="L243" s="2694" t="b">
        <v>1</v>
      </c>
      <c r="M243" s="2694" t="s">
        <v>2129</v>
      </c>
      <c r="N243" s="2477"/>
      <c r="O243" s="2477"/>
      <c r="P243" s="2477"/>
      <c r="Q243" s="2477"/>
      <c r="R243" s="2477"/>
      <c r="S243" s="2695"/>
      <c r="T243" s="2477">
        <v>0</v>
      </c>
      <c r="U243" s="2477" t="b">
        <v>1</v>
      </c>
      <c r="V243" s="2477" t="s">
        <v>2129</v>
      </c>
      <c r="W243" s="2477">
        <v>0</v>
      </c>
      <c r="X243" s="3937">
        <v>356983</v>
      </c>
      <c r="Y243" s="3938">
        <v>356983</v>
      </c>
      <c r="Z243" s="3938" t="b">
        <v>1</v>
      </c>
      <c r="AA243" s="3938">
        <v>10499.5</v>
      </c>
      <c r="AB243" s="3938"/>
      <c r="AC243" s="3938"/>
      <c r="AD243" s="3938" t="s">
        <v>2129</v>
      </c>
      <c r="AE243" s="3938"/>
      <c r="AF243" s="3938"/>
      <c r="AH243" s="3965">
        <v>34</v>
      </c>
      <c r="AI243" s="3965" t="b">
        <v>1</v>
      </c>
      <c r="AJ243">
        <v>34</v>
      </c>
      <c r="AK243" s="3966">
        <v>10500</v>
      </c>
      <c r="AL243" s="2814" t="s">
        <v>2129</v>
      </c>
      <c r="AM243" s="2814" t="s">
        <v>2129</v>
      </c>
      <c r="AN243" s="2814" t="s">
        <v>2129</v>
      </c>
      <c r="AO243" s="3953" t="s">
        <v>2129</v>
      </c>
      <c r="AP243" s="2814" t="s">
        <v>2129</v>
      </c>
      <c r="AQ243" s="3954" t="s">
        <v>2129</v>
      </c>
      <c r="AR243" t="s">
        <v>2129</v>
      </c>
      <c r="AS243" t="s">
        <v>2129</v>
      </c>
      <c r="AU243" t="s">
        <v>2129</v>
      </c>
      <c r="AW243" t="s">
        <v>2129</v>
      </c>
      <c r="AX243" t="s">
        <v>2129</v>
      </c>
      <c r="AY243" t="s">
        <v>2129</v>
      </c>
      <c r="AZ243" s="3946" t="s">
        <v>2129</v>
      </c>
      <c r="BA243" t="s">
        <v>2129</v>
      </c>
      <c r="BB243" s="3947" t="s">
        <v>2129</v>
      </c>
      <c r="BC243" s="1958" t="s">
        <v>2129</v>
      </c>
      <c r="BD243" s="1958" t="s">
        <v>2129</v>
      </c>
      <c r="BE243" s="1958" t="s">
        <v>2129</v>
      </c>
      <c r="BF243" s="3937" t="s">
        <v>2129</v>
      </c>
      <c r="BG243" s="3938" t="s">
        <v>2129</v>
      </c>
      <c r="BH243" s="3938" t="s">
        <v>2129</v>
      </c>
      <c r="BI243" s="3937" t="s">
        <v>2129</v>
      </c>
      <c r="BJ243" s="3938" t="s">
        <v>2129</v>
      </c>
      <c r="BK243" s="3939" t="s">
        <v>2129</v>
      </c>
      <c r="BL243" s="3938" t="s">
        <v>2129</v>
      </c>
      <c r="BM243" s="3938" t="s">
        <v>2129</v>
      </c>
      <c r="BN243" s="3939" t="s">
        <v>2129</v>
      </c>
      <c r="BO243" s="3937" t="s">
        <v>2129</v>
      </c>
      <c r="BP243" s="3988" t="s">
        <v>2129</v>
      </c>
      <c r="BQ243" s="3988"/>
      <c r="BR243" s="3988"/>
      <c r="BS243" s="2694"/>
    </row>
    <row r="244" spans="1:71" ht="13">
      <c r="A244">
        <v>3011</v>
      </c>
      <c r="B244" s="3980" t="s">
        <v>3442</v>
      </c>
      <c r="C244" s="2694" t="s">
        <v>2129</v>
      </c>
      <c r="D244" s="2694" t="s">
        <v>2129</v>
      </c>
      <c r="E244" s="2694" t="s">
        <v>2129</v>
      </c>
      <c r="F244" s="3974" t="s">
        <v>2129</v>
      </c>
      <c r="G244" s="3975" t="s">
        <v>2129</v>
      </c>
      <c r="H244" s="3976" t="s">
        <v>2129</v>
      </c>
      <c r="I244" s="2694">
        <v>0</v>
      </c>
      <c r="J244" s="3992" t="s">
        <v>2129</v>
      </c>
      <c r="K244" s="2694">
        <v>0</v>
      </c>
      <c r="L244" s="2694" t="b">
        <v>1</v>
      </c>
      <c r="M244" s="2694" t="s">
        <v>2129</v>
      </c>
      <c r="N244" s="2477"/>
      <c r="O244" s="2477"/>
      <c r="P244" s="2477"/>
      <c r="Q244" s="2477"/>
      <c r="R244" s="2477"/>
      <c r="S244" s="2695"/>
      <c r="T244" s="2477">
        <v>0</v>
      </c>
      <c r="U244" s="2477" t="b">
        <v>1</v>
      </c>
      <c r="V244" s="2477" t="s">
        <v>2129</v>
      </c>
      <c r="W244" s="2477">
        <v>0</v>
      </c>
      <c r="X244" s="3937">
        <v>367482.5</v>
      </c>
      <c r="Y244" s="3938">
        <v>367482.5</v>
      </c>
      <c r="Z244" s="3938" t="b">
        <v>1</v>
      </c>
      <c r="AA244" s="3938">
        <v>10499.5</v>
      </c>
      <c r="AB244" s="3938"/>
      <c r="AC244" s="3938"/>
      <c r="AD244" s="3938" t="s">
        <v>2129</v>
      </c>
      <c r="AE244" s="3938"/>
      <c r="AF244" s="3938"/>
      <c r="AH244" s="3965">
        <v>35</v>
      </c>
      <c r="AI244" s="3965" t="b">
        <v>1</v>
      </c>
      <c r="AJ244">
        <v>35</v>
      </c>
      <c r="AK244" s="3966">
        <v>10500</v>
      </c>
      <c r="AL244" s="2814" t="s">
        <v>2129</v>
      </c>
      <c r="AM244" s="2814" t="s">
        <v>2129</v>
      </c>
      <c r="AN244" s="2814" t="s">
        <v>2129</v>
      </c>
      <c r="AO244" s="3953" t="s">
        <v>2129</v>
      </c>
      <c r="AP244" s="2814" t="s">
        <v>2129</v>
      </c>
      <c r="AQ244" s="3954" t="s">
        <v>2129</v>
      </c>
      <c r="AR244" t="s">
        <v>2129</v>
      </c>
      <c r="AS244" t="s">
        <v>2129</v>
      </c>
      <c r="AU244" t="s">
        <v>2129</v>
      </c>
      <c r="AW244" t="s">
        <v>2129</v>
      </c>
      <c r="AX244" t="s">
        <v>2129</v>
      </c>
      <c r="AY244" t="s">
        <v>2129</v>
      </c>
      <c r="AZ244" s="3946" t="s">
        <v>2129</v>
      </c>
      <c r="BA244" t="s">
        <v>2129</v>
      </c>
      <c r="BB244" s="3947" t="s">
        <v>2129</v>
      </c>
      <c r="BC244" s="1958" t="s">
        <v>2129</v>
      </c>
      <c r="BD244" s="1958" t="s">
        <v>2129</v>
      </c>
      <c r="BE244" s="1958" t="s">
        <v>2129</v>
      </c>
      <c r="BF244" s="3937" t="s">
        <v>2129</v>
      </c>
      <c r="BG244" s="3938" t="s">
        <v>2129</v>
      </c>
      <c r="BH244" s="3938" t="s">
        <v>2129</v>
      </c>
      <c r="BI244" s="3937" t="s">
        <v>2129</v>
      </c>
      <c r="BJ244" s="3938" t="s">
        <v>2129</v>
      </c>
      <c r="BK244" s="3939" t="s">
        <v>2129</v>
      </c>
      <c r="BL244" s="3938" t="s">
        <v>2129</v>
      </c>
      <c r="BM244" s="3938" t="s">
        <v>2129</v>
      </c>
      <c r="BN244" s="3939" t="s">
        <v>2129</v>
      </c>
      <c r="BO244" s="3937" t="s">
        <v>2129</v>
      </c>
      <c r="BP244" s="3988" t="s">
        <v>2129</v>
      </c>
      <c r="BQ244" s="3988"/>
      <c r="BR244" s="3988"/>
      <c r="BS244" s="2694"/>
    </row>
    <row r="245" spans="1:71" ht="13">
      <c r="A245">
        <v>3012</v>
      </c>
      <c r="B245" s="3980" t="s">
        <v>3443</v>
      </c>
      <c r="C245" s="2694" t="s">
        <v>2129</v>
      </c>
      <c r="D245" s="2694" t="s">
        <v>2129</v>
      </c>
      <c r="E245" s="2694" t="s">
        <v>2129</v>
      </c>
      <c r="F245" s="3974" t="s">
        <v>2129</v>
      </c>
      <c r="G245" s="3975" t="s">
        <v>2129</v>
      </c>
      <c r="H245" s="3976" t="s">
        <v>2129</v>
      </c>
      <c r="I245" s="2694">
        <v>0</v>
      </c>
      <c r="J245" s="3992" t="s">
        <v>2129</v>
      </c>
      <c r="K245" s="2694">
        <v>0</v>
      </c>
      <c r="L245" s="2694" t="b">
        <v>1</v>
      </c>
      <c r="M245" s="2694" t="s">
        <v>2129</v>
      </c>
      <c r="N245" s="2477"/>
      <c r="O245" s="2477"/>
      <c r="P245" s="2477"/>
      <c r="Q245" s="2477"/>
      <c r="R245" s="2477"/>
      <c r="S245" s="2695"/>
      <c r="T245" s="2477">
        <v>0</v>
      </c>
      <c r="U245" s="2477" t="b">
        <v>1</v>
      </c>
      <c r="V245" s="2477" t="s">
        <v>2129</v>
      </c>
      <c r="W245" s="2477">
        <v>0</v>
      </c>
      <c r="X245" s="3937">
        <v>356983</v>
      </c>
      <c r="Y245" s="3938">
        <v>356983</v>
      </c>
      <c r="Z245" s="3938" t="b">
        <v>1</v>
      </c>
      <c r="AA245" s="3938">
        <v>10499.5</v>
      </c>
      <c r="AB245" s="3938"/>
      <c r="AC245" s="3938"/>
      <c r="AD245" s="3938" t="s">
        <v>2129</v>
      </c>
      <c r="AE245" s="3938"/>
      <c r="AF245" s="3938"/>
      <c r="AH245" s="3965">
        <v>34</v>
      </c>
      <c r="AI245" s="3965" t="b">
        <v>1</v>
      </c>
      <c r="AJ245">
        <v>34</v>
      </c>
      <c r="AK245" s="3966">
        <v>10500</v>
      </c>
      <c r="AL245" s="2814" t="s">
        <v>2129</v>
      </c>
      <c r="AM245" s="2814" t="s">
        <v>2129</v>
      </c>
      <c r="AN245" s="2814" t="s">
        <v>2129</v>
      </c>
      <c r="AO245" s="3953" t="s">
        <v>2129</v>
      </c>
      <c r="AP245" s="2814" t="s">
        <v>2129</v>
      </c>
      <c r="AQ245" s="3954" t="s">
        <v>2129</v>
      </c>
      <c r="AR245" t="s">
        <v>2129</v>
      </c>
      <c r="AS245" t="s">
        <v>2129</v>
      </c>
      <c r="AU245" t="s">
        <v>2129</v>
      </c>
      <c r="AW245" t="s">
        <v>2129</v>
      </c>
      <c r="AX245" t="s">
        <v>2129</v>
      </c>
      <c r="AY245" t="s">
        <v>2129</v>
      </c>
      <c r="AZ245" s="3946" t="s">
        <v>2129</v>
      </c>
      <c r="BA245" t="s">
        <v>2129</v>
      </c>
      <c r="BB245" s="3947" t="s">
        <v>2129</v>
      </c>
      <c r="BC245" s="1958" t="s">
        <v>2129</v>
      </c>
      <c r="BD245" s="1958" t="s">
        <v>2129</v>
      </c>
      <c r="BE245" s="1958" t="s">
        <v>2129</v>
      </c>
      <c r="BF245" s="3937" t="s">
        <v>2129</v>
      </c>
      <c r="BG245" s="3938" t="s">
        <v>2129</v>
      </c>
      <c r="BH245" s="3938" t="s">
        <v>2129</v>
      </c>
      <c r="BI245" s="3937" t="s">
        <v>2129</v>
      </c>
      <c r="BJ245" s="3938" t="s">
        <v>2129</v>
      </c>
      <c r="BK245" s="3939" t="s">
        <v>2129</v>
      </c>
      <c r="BL245" s="3938" t="s">
        <v>2129</v>
      </c>
      <c r="BM245" s="3938" t="s">
        <v>2129</v>
      </c>
      <c r="BN245" s="3939" t="s">
        <v>2129</v>
      </c>
      <c r="BO245" s="3937" t="s">
        <v>2129</v>
      </c>
      <c r="BP245" s="3988" t="s">
        <v>2129</v>
      </c>
      <c r="BQ245" s="3988"/>
      <c r="BR245" s="3988"/>
      <c r="BS245" s="2694"/>
    </row>
    <row r="246" spans="1:71" ht="13">
      <c r="A246">
        <v>3013</v>
      </c>
      <c r="B246" s="3980" t="s">
        <v>3444</v>
      </c>
      <c r="C246" s="2694" t="s">
        <v>2129</v>
      </c>
      <c r="D246" s="2694" t="s">
        <v>2129</v>
      </c>
      <c r="E246" s="2694" t="s">
        <v>2129</v>
      </c>
      <c r="F246" s="3974" t="s">
        <v>2129</v>
      </c>
      <c r="G246" s="3975" t="s">
        <v>2129</v>
      </c>
      <c r="H246" s="3976" t="s">
        <v>2129</v>
      </c>
      <c r="I246" s="2694">
        <v>0</v>
      </c>
      <c r="J246" s="3992" t="s">
        <v>2129</v>
      </c>
      <c r="K246" s="2694">
        <v>0</v>
      </c>
      <c r="L246" s="2694"/>
      <c r="M246" s="2694"/>
      <c r="N246" s="2477"/>
      <c r="O246" s="2477"/>
      <c r="P246" s="2477"/>
      <c r="Q246" s="2477"/>
      <c r="R246" s="2477"/>
      <c r="S246" s="2695"/>
      <c r="T246" s="2477">
        <v>0</v>
      </c>
      <c r="U246" s="2477"/>
      <c r="V246" s="2477" t="s">
        <v>2129</v>
      </c>
      <c r="W246" s="2477">
        <v>0</v>
      </c>
      <c r="X246" s="3937">
        <v>982272.5</v>
      </c>
      <c r="Y246" s="3938">
        <v>982272.5</v>
      </c>
      <c r="Z246" s="3938"/>
      <c r="AA246" s="3938">
        <v>10126.5206185567</v>
      </c>
      <c r="AB246" s="3938"/>
      <c r="AC246" s="3938"/>
      <c r="AD246" s="3938" t="s">
        <v>2129</v>
      </c>
      <c r="AE246" s="3938"/>
      <c r="AF246" s="3938"/>
      <c r="AH246" s="3965">
        <v>97</v>
      </c>
      <c r="AI246" s="3965"/>
      <c r="AJ246">
        <v>97</v>
      </c>
      <c r="AK246" s="3966">
        <v>10127</v>
      </c>
      <c r="AL246" s="2814" t="s">
        <v>2129</v>
      </c>
      <c r="AM246" s="2814" t="s">
        <v>2129</v>
      </c>
      <c r="AN246" s="2814" t="s">
        <v>2129</v>
      </c>
      <c r="AO246" s="3953" t="s">
        <v>2129</v>
      </c>
      <c r="AP246" s="2814" t="s">
        <v>2129</v>
      </c>
      <c r="AQ246" s="3954" t="s">
        <v>2129</v>
      </c>
      <c r="AR246" t="s">
        <v>2129</v>
      </c>
      <c r="AS246" t="s">
        <v>2129</v>
      </c>
      <c r="AU246" t="s">
        <v>2129</v>
      </c>
      <c r="AW246" t="s">
        <v>2129</v>
      </c>
      <c r="AX246" t="s">
        <v>2129</v>
      </c>
      <c r="AY246" t="s">
        <v>2129</v>
      </c>
      <c r="AZ246" s="3946" t="s">
        <v>2129</v>
      </c>
      <c r="BA246" t="s">
        <v>2129</v>
      </c>
      <c r="BB246" s="3947" t="s">
        <v>2129</v>
      </c>
      <c r="BC246" s="1958" t="s">
        <v>2129</v>
      </c>
      <c r="BD246" s="1958" t="s">
        <v>2129</v>
      </c>
      <c r="BE246" s="1958" t="s">
        <v>2129</v>
      </c>
      <c r="BF246" s="3937" t="s">
        <v>2129</v>
      </c>
      <c r="BG246" s="3938" t="s">
        <v>2129</v>
      </c>
      <c r="BH246" s="3938" t="s">
        <v>2129</v>
      </c>
      <c r="BI246" s="3937" t="s">
        <v>2129</v>
      </c>
      <c r="BJ246" s="3938" t="s">
        <v>2129</v>
      </c>
      <c r="BK246" s="3939" t="s">
        <v>2129</v>
      </c>
      <c r="BL246" s="3938" t="s">
        <v>2129</v>
      </c>
      <c r="BM246" s="3938" t="s">
        <v>2129</v>
      </c>
      <c r="BN246" s="3939" t="s">
        <v>2129</v>
      </c>
      <c r="BO246" s="3937" t="s">
        <v>2129</v>
      </c>
      <c r="BP246" s="3988" t="s">
        <v>2129</v>
      </c>
      <c r="BQ246" s="3988"/>
      <c r="BR246" s="3988"/>
      <c r="BS246" s="2694"/>
    </row>
    <row r="247" spans="1:71" ht="13">
      <c r="A247">
        <v>3014</v>
      </c>
      <c r="B247" s="3980" t="s">
        <v>3445</v>
      </c>
      <c r="C247" s="2694" t="s">
        <v>2129</v>
      </c>
      <c r="D247" s="2694" t="s">
        <v>2129</v>
      </c>
      <c r="E247" s="2694" t="s">
        <v>3694</v>
      </c>
      <c r="F247" s="3974" t="s">
        <v>2129</v>
      </c>
      <c r="G247" s="3975" t="s">
        <v>2129</v>
      </c>
      <c r="H247" s="3976" t="s">
        <v>2129</v>
      </c>
      <c r="I247" s="2694">
        <v>0</v>
      </c>
      <c r="J247" s="3992" t="s">
        <v>2129</v>
      </c>
      <c r="K247" s="2694">
        <v>0</v>
      </c>
      <c r="L247" s="2694"/>
      <c r="M247" s="2694"/>
      <c r="N247" s="2477"/>
      <c r="O247" s="2477"/>
      <c r="P247" s="2477"/>
      <c r="Q247" s="2477"/>
      <c r="R247" s="2477"/>
      <c r="S247" s="2695"/>
      <c r="T247" s="2477">
        <v>0</v>
      </c>
      <c r="U247" s="2477"/>
      <c r="V247" s="2477" t="s">
        <v>2129</v>
      </c>
      <c r="W247" s="2477">
        <v>0</v>
      </c>
      <c r="X247" s="3937">
        <v>2049300</v>
      </c>
      <c r="Y247" s="3938">
        <v>2049300</v>
      </c>
      <c r="Z247" s="3938"/>
      <c r="AA247" s="3938">
        <v>22770</v>
      </c>
      <c r="AB247" s="3938"/>
      <c r="AC247" s="3938"/>
      <c r="AD247" s="3938" t="s">
        <v>2129</v>
      </c>
      <c r="AE247" s="3938"/>
      <c r="AF247" s="3938"/>
      <c r="AH247" s="3965">
        <v>90</v>
      </c>
      <c r="AI247" s="3965"/>
      <c r="AJ247">
        <v>90</v>
      </c>
      <c r="AK247" s="3966">
        <v>22770</v>
      </c>
      <c r="AL247" s="2814" t="s">
        <v>2129</v>
      </c>
      <c r="AM247" s="2814" t="s">
        <v>2129</v>
      </c>
      <c r="AN247" s="2814">
        <v>1500</v>
      </c>
      <c r="AO247" s="3953" t="s">
        <v>2129</v>
      </c>
      <c r="AP247" s="2814" t="s">
        <v>2129</v>
      </c>
      <c r="AQ247" s="3954" t="s">
        <v>2129</v>
      </c>
      <c r="AR247" t="s">
        <v>2129</v>
      </c>
      <c r="AS247" t="s">
        <v>2129</v>
      </c>
      <c r="AU247" t="s">
        <v>2129</v>
      </c>
      <c r="AW247" t="s">
        <v>2129</v>
      </c>
      <c r="AX247" t="s">
        <v>2129</v>
      </c>
      <c r="AY247">
        <v>30</v>
      </c>
      <c r="AZ247" s="3946" t="s">
        <v>2129</v>
      </c>
      <c r="BA247" t="s">
        <v>2129</v>
      </c>
      <c r="BB247" s="3947" t="s">
        <v>2129</v>
      </c>
      <c r="BC247" s="1958" t="s">
        <v>2129</v>
      </c>
      <c r="BD247" s="1958" t="s">
        <v>2129</v>
      </c>
      <c r="BE247" s="1958">
        <v>34155000</v>
      </c>
      <c r="BF247" s="3937" t="s">
        <v>2129</v>
      </c>
      <c r="BG247" s="3938" t="s">
        <v>2129</v>
      </c>
      <c r="BH247" s="3938" t="s">
        <v>2129</v>
      </c>
      <c r="BI247" s="3937" t="s">
        <v>2129</v>
      </c>
      <c r="BJ247" s="3938" t="s">
        <v>2129</v>
      </c>
      <c r="BK247" s="3939" t="s">
        <v>2129</v>
      </c>
      <c r="BL247" s="3938" t="s">
        <v>2129</v>
      </c>
      <c r="BM247" s="3938" t="s">
        <v>2129</v>
      </c>
      <c r="BN247" s="3939" t="s">
        <v>2129</v>
      </c>
      <c r="BO247" s="3937" t="s">
        <v>2129</v>
      </c>
      <c r="BP247" s="3988" t="s">
        <v>2129</v>
      </c>
      <c r="BQ247" s="3988"/>
      <c r="BR247" s="3988"/>
      <c r="BS247" s="2694"/>
    </row>
    <row r="248" spans="1:71" ht="13">
      <c r="A248">
        <v>3015</v>
      </c>
      <c r="B248" s="3980" t="s">
        <v>3446</v>
      </c>
      <c r="C248" s="2694" t="s">
        <v>2129</v>
      </c>
      <c r="D248" s="2694" t="s">
        <v>2129</v>
      </c>
      <c r="E248" s="2694" t="s">
        <v>2129</v>
      </c>
      <c r="F248" s="3974" t="s">
        <v>2129</v>
      </c>
      <c r="G248" s="3975" t="s">
        <v>2129</v>
      </c>
      <c r="H248" s="3976" t="s">
        <v>2129</v>
      </c>
      <c r="I248" s="2694">
        <v>0</v>
      </c>
      <c r="J248" s="3992" t="s">
        <v>2129</v>
      </c>
      <c r="K248" s="2694">
        <v>0</v>
      </c>
      <c r="L248" s="2694"/>
      <c r="M248" s="2694"/>
      <c r="N248" s="2477"/>
      <c r="O248" s="2477"/>
      <c r="P248" s="2477"/>
      <c r="Q248" s="2477"/>
      <c r="R248" s="2477"/>
      <c r="S248" s="2695"/>
      <c r="T248" s="2477">
        <v>0</v>
      </c>
      <c r="U248" s="2477"/>
      <c r="V248" s="2477" t="s">
        <v>2129</v>
      </c>
      <c r="W248" s="2477">
        <v>0</v>
      </c>
      <c r="X248" s="3937">
        <v>2101067.5949999997</v>
      </c>
      <c r="Y248" s="3938">
        <v>2101067.5949999997</v>
      </c>
      <c r="Z248" s="3938"/>
      <c r="AA248" s="3938">
        <v>23345.195499999998</v>
      </c>
      <c r="AB248" s="3938"/>
      <c r="AC248" s="3938"/>
      <c r="AD248" s="3938" t="s">
        <v>2129</v>
      </c>
      <c r="AE248" s="3938"/>
      <c r="AF248" s="3938"/>
      <c r="AH248" s="3965">
        <v>90</v>
      </c>
      <c r="AI248" s="3965"/>
      <c r="AJ248">
        <v>90</v>
      </c>
      <c r="AK248" s="3966">
        <v>23346</v>
      </c>
      <c r="AL248" s="2814" t="s">
        <v>2129</v>
      </c>
      <c r="AM248" s="2814" t="s">
        <v>2129</v>
      </c>
      <c r="AN248" s="2814" t="s">
        <v>2129</v>
      </c>
      <c r="AO248" s="3953" t="s">
        <v>2129</v>
      </c>
      <c r="AP248" s="2814" t="s">
        <v>2129</v>
      </c>
      <c r="AQ248" s="3954" t="s">
        <v>2129</v>
      </c>
      <c r="AR248" t="s">
        <v>2129</v>
      </c>
      <c r="AS248" t="s">
        <v>2129</v>
      </c>
      <c r="AU248" t="s">
        <v>2129</v>
      </c>
      <c r="AW248" t="s">
        <v>2129</v>
      </c>
      <c r="AX248" t="s">
        <v>2129</v>
      </c>
      <c r="AY248" t="s">
        <v>2129</v>
      </c>
      <c r="AZ248" s="3946" t="s">
        <v>2129</v>
      </c>
      <c r="BA248" t="s">
        <v>2129</v>
      </c>
      <c r="BB248" s="3947" t="s">
        <v>2129</v>
      </c>
      <c r="BC248" s="1958" t="s">
        <v>2129</v>
      </c>
      <c r="BD248" s="1958" t="s">
        <v>2129</v>
      </c>
      <c r="BE248" s="1958" t="s">
        <v>2129</v>
      </c>
      <c r="BF248" s="3937" t="s">
        <v>2129</v>
      </c>
      <c r="BG248" s="3938" t="s">
        <v>2129</v>
      </c>
      <c r="BH248" s="3938" t="s">
        <v>2129</v>
      </c>
      <c r="BI248" s="3937" t="s">
        <v>2129</v>
      </c>
      <c r="BJ248" s="3938" t="s">
        <v>2129</v>
      </c>
      <c r="BK248" s="3939" t="s">
        <v>2129</v>
      </c>
      <c r="BL248" s="3938" t="s">
        <v>2129</v>
      </c>
      <c r="BM248" s="3938" t="s">
        <v>2129</v>
      </c>
      <c r="BN248" s="3939" t="s">
        <v>2129</v>
      </c>
      <c r="BO248" s="3937" t="s">
        <v>2129</v>
      </c>
      <c r="BP248" s="3988" t="s">
        <v>2129</v>
      </c>
      <c r="BQ248" s="3988"/>
      <c r="BR248" s="3988"/>
      <c r="BS248" s="2694"/>
    </row>
    <row r="249" spans="1:71" ht="13">
      <c r="A249">
        <v>3016</v>
      </c>
      <c r="B249" s="3980" t="s">
        <v>3447</v>
      </c>
      <c r="C249" s="2694" t="s">
        <v>2129</v>
      </c>
      <c r="D249" s="2694" t="s">
        <v>2129</v>
      </c>
      <c r="E249" s="2694" t="s">
        <v>2129</v>
      </c>
      <c r="F249" s="3974" t="s">
        <v>2129</v>
      </c>
      <c r="G249" s="3975" t="s">
        <v>2129</v>
      </c>
      <c r="H249" s="3976" t="s">
        <v>2129</v>
      </c>
      <c r="I249" s="2694">
        <v>0</v>
      </c>
      <c r="J249" s="3992">
        <v>0</v>
      </c>
      <c r="K249" s="2694">
        <v>0</v>
      </c>
      <c r="L249" s="2694"/>
      <c r="M249" s="2694"/>
      <c r="N249" s="2477"/>
      <c r="O249" s="2477"/>
      <c r="P249" s="2477"/>
      <c r="Q249" s="2477"/>
      <c r="R249" s="2477"/>
      <c r="S249" s="2695"/>
      <c r="T249" s="2477">
        <v>0</v>
      </c>
      <c r="U249" s="2477"/>
      <c r="V249" s="2477" t="s">
        <v>2129</v>
      </c>
      <c r="W249" s="2477"/>
      <c r="X249" s="3937">
        <v>0</v>
      </c>
      <c r="Y249" s="3938">
        <v>117645</v>
      </c>
      <c r="Z249" s="3938"/>
      <c r="AA249" s="3938">
        <v>11764.5</v>
      </c>
      <c r="AB249" s="3938"/>
      <c r="AC249" s="3938"/>
      <c r="AD249" s="3938" t="s">
        <v>2129</v>
      </c>
      <c r="AE249" s="3938"/>
      <c r="AF249" s="3938"/>
      <c r="AH249" s="3965">
        <v>10</v>
      </c>
      <c r="AI249" s="3965"/>
      <c r="AJ249">
        <v>10</v>
      </c>
      <c r="AK249" s="3966">
        <v>11765</v>
      </c>
      <c r="AL249" s="2814" t="s">
        <v>2129</v>
      </c>
      <c r="AM249" s="2814" t="s">
        <v>2129</v>
      </c>
      <c r="AN249" s="2814" t="s">
        <v>2129</v>
      </c>
      <c r="AO249" s="3953" t="s">
        <v>2129</v>
      </c>
      <c r="AP249" s="2814" t="s">
        <v>2129</v>
      </c>
      <c r="AQ249" s="3954" t="s">
        <v>2129</v>
      </c>
      <c r="AR249" t="s">
        <v>2129</v>
      </c>
      <c r="AS249" t="s">
        <v>2129</v>
      </c>
      <c r="AU249" t="s">
        <v>2129</v>
      </c>
      <c r="AW249" t="s">
        <v>2129</v>
      </c>
      <c r="AX249" t="s">
        <v>2129</v>
      </c>
      <c r="AY249" t="s">
        <v>2129</v>
      </c>
      <c r="AZ249" s="3946" t="s">
        <v>2129</v>
      </c>
      <c r="BA249" t="s">
        <v>2129</v>
      </c>
      <c r="BB249" s="3947" t="s">
        <v>2129</v>
      </c>
      <c r="BC249" s="1958" t="s">
        <v>2129</v>
      </c>
      <c r="BD249" s="1958" t="s">
        <v>2129</v>
      </c>
      <c r="BE249" s="1958" t="s">
        <v>2129</v>
      </c>
      <c r="BF249" s="3937" t="s">
        <v>2129</v>
      </c>
      <c r="BG249" s="3938" t="s">
        <v>2129</v>
      </c>
      <c r="BH249" s="3938" t="s">
        <v>2129</v>
      </c>
      <c r="BI249" s="3937" t="s">
        <v>2129</v>
      </c>
      <c r="BJ249" s="3938" t="s">
        <v>2129</v>
      </c>
      <c r="BK249" s="3939" t="s">
        <v>2129</v>
      </c>
      <c r="BL249" s="3938" t="s">
        <v>2129</v>
      </c>
      <c r="BM249" s="3938" t="s">
        <v>2129</v>
      </c>
      <c r="BN249" s="3939" t="s">
        <v>2129</v>
      </c>
      <c r="BO249" s="3937" t="s">
        <v>2129</v>
      </c>
      <c r="BP249" s="3988" t="s">
        <v>2129</v>
      </c>
      <c r="BQ249" s="3988"/>
      <c r="BR249" s="3988"/>
      <c r="BS249" s="2694"/>
    </row>
    <row r="250" spans="1:71" ht="13">
      <c r="A250">
        <v>3017</v>
      </c>
      <c r="B250" s="3980" t="s">
        <v>3448</v>
      </c>
      <c r="C250" s="2694" t="s">
        <v>2129</v>
      </c>
      <c r="D250" s="2694" t="s">
        <v>2129</v>
      </c>
      <c r="E250" s="2694" t="s">
        <v>2129</v>
      </c>
      <c r="F250" s="3974" t="s">
        <v>2129</v>
      </c>
      <c r="G250" s="3975" t="s">
        <v>2129</v>
      </c>
      <c r="H250" s="3976" t="s">
        <v>2129</v>
      </c>
      <c r="I250" s="2694">
        <v>0</v>
      </c>
      <c r="J250" s="3992">
        <v>0</v>
      </c>
      <c r="K250" s="2694">
        <v>0</v>
      </c>
      <c r="L250" s="2694"/>
      <c r="M250" s="2694"/>
      <c r="N250" s="2477"/>
      <c r="O250" s="2477"/>
      <c r="P250" s="2477"/>
      <c r="Q250" s="2477"/>
      <c r="R250" s="2477"/>
      <c r="S250" s="2695"/>
      <c r="T250" s="2477">
        <v>0</v>
      </c>
      <c r="U250" s="2477"/>
      <c r="V250" s="2477" t="s">
        <v>2129</v>
      </c>
      <c r="W250" s="2477"/>
      <c r="X250" s="3937">
        <v>0</v>
      </c>
      <c r="Y250" s="3938">
        <v>1138500</v>
      </c>
      <c r="Z250" s="3938"/>
      <c r="AA250" s="3938">
        <v>12650</v>
      </c>
      <c r="AB250" s="3938"/>
      <c r="AC250" s="3938"/>
      <c r="AD250" s="3938" t="s">
        <v>2129</v>
      </c>
      <c r="AE250" s="3938"/>
      <c r="AF250" s="3938"/>
      <c r="AH250" s="3965">
        <v>90</v>
      </c>
      <c r="AI250" s="3965"/>
      <c r="AJ250">
        <v>90</v>
      </c>
      <c r="AK250" s="3966">
        <v>12650</v>
      </c>
      <c r="AL250" s="2814" t="s">
        <v>2129</v>
      </c>
      <c r="AM250" s="2814" t="s">
        <v>2129</v>
      </c>
      <c r="AN250" s="2814" t="s">
        <v>2129</v>
      </c>
      <c r="AO250" s="3953" t="s">
        <v>2129</v>
      </c>
      <c r="AP250" s="2814" t="s">
        <v>2129</v>
      </c>
      <c r="AQ250" s="3954" t="s">
        <v>2129</v>
      </c>
      <c r="AR250" t="s">
        <v>2129</v>
      </c>
      <c r="AS250" t="s">
        <v>2129</v>
      </c>
      <c r="AU250" t="s">
        <v>2129</v>
      </c>
      <c r="AW250" t="s">
        <v>2129</v>
      </c>
      <c r="AX250" t="s">
        <v>2129</v>
      </c>
      <c r="AY250" t="s">
        <v>2129</v>
      </c>
      <c r="AZ250" s="3946" t="s">
        <v>2129</v>
      </c>
      <c r="BA250" t="s">
        <v>2129</v>
      </c>
      <c r="BB250" s="3947" t="s">
        <v>2129</v>
      </c>
      <c r="BC250" s="1958" t="s">
        <v>2129</v>
      </c>
      <c r="BD250" s="1958" t="s">
        <v>2129</v>
      </c>
      <c r="BE250" s="1958" t="s">
        <v>2129</v>
      </c>
      <c r="BF250" s="3937" t="s">
        <v>2129</v>
      </c>
      <c r="BG250" s="3938" t="s">
        <v>2129</v>
      </c>
      <c r="BH250" s="3938" t="s">
        <v>2129</v>
      </c>
      <c r="BI250" s="3937" t="s">
        <v>2129</v>
      </c>
      <c r="BJ250" s="3938" t="s">
        <v>2129</v>
      </c>
      <c r="BK250" s="3939" t="s">
        <v>2129</v>
      </c>
      <c r="BL250" s="3938" t="s">
        <v>2129</v>
      </c>
      <c r="BM250" s="3938" t="s">
        <v>2129</v>
      </c>
      <c r="BN250" s="3939" t="s">
        <v>2129</v>
      </c>
      <c r="BO250" s="3937" t="s">
        <v>2129</v>
      </c>
      <c r="BP250" s="3988" t="s">
        <v>2129</v>
      </c>
      <c r="BQ250" s="3988"/>
      <c r="BR250" s="3988"/>
      <c r="BS250" s="2694"/>
    </row>
    <row r="251" spans="1:71" ht="13">
      <c r="A251">
        <v>3018</v>
      </c>
      <c r="B251" s="3980" t="s">
        <v>3449</v>
      </c>
      <c r="C251" s="2694" t="s">
        <v>2129</v>
      </c>
      <c r="D251" s="2694" t="s">
        <v>2129</v>
      </c>
      <c r="E251" s="2694" t="s">
        <v>2129</v>
      </c>
      <c r="F251" s="3974" t="s">
        <v>2129</v>
      </c>
      <c r="G251" s="3975" t="s">
        <v>2129</v>
      </c>
      <c r="H251" s="3976" t="s">
        <v>2129</v>
      </c>
      <c r="I251" s="2694">
        <v>0</v>
      </c>
      <c r="J251" s="3992">
        <v>0</v>
      </c>
      <c r="K251" s="2694">
        <v>0</v>
      </c>
      <c r="L251" s="2694"/>
      <c r="M251" s="2694"/>
      <c r="N251" s="2477"/>
      <c r="O251" s="2477"/>
      <c r="P251" s="2477"/>
      <c r="Q251" s="2477"/>
      <c r="R251" s="2477"/>
      <c r="S251" s="2695"/>
      <c r="T251" s="2477">
        <v>0</v>
      </c>
      <c r="U251" s="2477"/>
      <c r="V251" s="2477" t="s">
        <v>2129</v>
      </c>
      <c r="W251" s="2477"/>
      <c r="X251" s="3937">
        <v>0</v>
      </c>
      <c r="Y251" s="3938">
        <v>1138500</v>
      </c>
      <c r="Z251" s="3938"/>
      <c r="AA251" s="3938">
        <v>11385</v>
      </c>
      <c r="AB251" s="3938"/>
      <c r="AC251" s="3938"/>
      <c r="AD251" s="3938" t="s">
        <v>2129</v>
      </c>
      <c r="AE251" s="3938"/>
      <c r="AF251" s="3938"/>
      <c r="AH251" s="3965">
        <v>100</v>
      </c>
      <c r="AI251" s="3965"/>
      <c r="AJ251">
        <v>100</v>
      </c>
      <c r="AK251" s="3966">
        <v>11385</v>
      </c>
      <c r="AL251" s="2814" t="s">
        <v>2129</v>
      </c>
      <c r="AM251" s="2814" t="s">
        <v>2129</v>
      </c>
      <c r="AN251" s="2814" t="s">
        <v>2129</v>
      </c>
      <c r="AO251" s="3953" t="s">
        <v>2129</v>
      </c>
      <c r="AP251" s="2814" t="s">
        <v>2129</v>
      </c>
      <c r="AQ251" s="3954" t="s">
        <v>2129</v>
      </c>
      <c r="AR251" t="s">
        <v>2129</v>
      </c>
      <c r="AS251" t="s">
        <v>2129</v>
      </c>
      <c r="AU251" t="s">
        <v>2129</v>
      </c>
      <c r="AW251" t="s">
        <v>2129</v>
      </c>
      <c r="AX251" t="s">
        <v>2129</v>
      </c>
      <c r="AY251" t="s">
        <v>2129</v>
      </c>
      <c r="AZ251" s="3946" t="s">
        <v>2129</v>
      </c>
      <c r="BA251" t="s">
        <v>2129</v>
      </c>
      <c r="BB251" s="3947" t="s">
        <v>2129</v>
      </c>
      <c r="BC251" s="1958" t="s">
        <v>2129</v>
      </c>
      <c r="BD251" s="1958" t="s">
        <v>2129</v>
      </c>
      <c r="BE251" s="1958" t="s">
        <v>2129</v>
      </c>
      <c r="BF251" s="3937" t="s">
        <v>2129</v>
      </c>
      <c r="BG251" s="3938" t="s">
        <v>2129</v>
      </c>
      <c r="BH251" s="3938" t="s">
        <v>2129</v>
      </c>
      <c r="BI251" s="3937" t="s">
        <v>2129</v>
      </c>
      <c r="BJ251" s="3938" t="s">
        <v>2129</v>
      </c>
      <c r="BK251" s="3939" t="s">
        <v>2129</v>
      </c>
      <c r="BL251" s="3938" t="s">
        <v>2129</v>
      </c>
      <c r="BM251" s="3938" t="s">
        <v>2129</v>
      </c>
      <c r="BN251" s="3939" t="s">
        <v>2129</v>
      </c>
      <c r="BO251" s="3937" t="s">
        <v>2129</v>
      </c>
      <c r="BP251" s="3988" t="s">
        <v>2129</v>
      </c>
      <c r="BQ251" s="3988"/>
      <c r="BR251" s="3988"/>
      <c r="BS251" s="2694"/>
    </row>
    <row r="252" spans="1:71" ht="13">
      <c r="A252">
        <v>3019</v>
      </c>
      <c r="B252" s="3980" t="s">
        <v>3450</v>
      </c>
      <c r="C252" s="2694" t="s">
        <v>2129</v>
      </c>
      <c r="D252" s="2694" t="s">
        <v>2129</v>
      </c>
      <c r="E252" s="2694" t="s">
        <v>2129</v>
      </c>
      <c r="F252" s="3974" t="s">
        <v>2129</v>
      </c>
      <c r="G252" s="3975" t="s">
        <v>2129</v>
      </c>
      <c r="H252" s="3976" t="s">
        <v>2129</v>
      </c>
      <c r="I252" s="2694">
        <v>0</v>
      </c>
      <c r="J252" s="3992">
        <v>0</v>
      </c>
      <c r="K252" s="2694">
        <v>0</v>
      </c>
      <c r="L252" s="2694"/>
      <c r="M252" s="2694"/>
      <c r="N252" s="2477"/>
      <c r="O252" s="2477"/>
      <c r="P252" s="2477"/>
      <c r="Q252" s="2477"/>
      <c r="R252" s="2477"/>
      <c r="S252" s="2695"/>
      <c r="T252" s="2477">
        <v>0</v>
      </c>
      <c r="U252" s="2477"/>
      <c r="V252" s="2477" t="s">
        <v>2129</v>
      </c>
      <c r="W252" s="2477"/>
      <c r="X252" s="3937">
        <v>0</v>
      </c>
      <c r="Y252" s="3938">
        <v>4370069</v>
      </c>
      <c r="Z252" s="3938"/>
      <c r="AA252" s="3938">
        <v>43700.69</v>
      </c>
      <c r="AB252" s="3938"/>
      <c r="AC252" s="3938"/>
      <c r="AD252" s="3938" t="s">
        <v>2129</v>
      </c>
      <c r="AE252" s="3938"/>
      <c r="AF252" s="3938"/>
      <c r="AH252" s="3965">
        <v>100</v>
      </c>
      <c r="AI252" s="3965"/>
      <c r="AJ252">
        <v>100</v>
      </c>
      <c r="AK252" s="3966">
        <v>43701</v>
      </c>
      <c r="AL252" s="2814" t="s">
        <v>2129</v>
      </c>
      <c r="AM252" s="2814" t="s">
        <v>2129</v>
      </c>
      <c r="AN252" s="2814" t="s">
        <v>2129</v>
      </c>
      <c r="AO252" s="3953" t="s">
        <v>2129</v>
      </c>
      <c r="AP252" s="2814" t="s">
        <v>2129</v>
      </c>
      <c r="AQ252" s="3954" t="s">
        <v>2129</v>
      </c>
      <c r="AR252" t="s">
        <v>2129</v>
      </c>
      <c r="AS252" t="s">
        <v>2129</v>
      </c>
      <c r="AU252" t="s">
        <v>2129</v>
      </c>
      <c r="AW252" t="s">
        <v>2129</v>
      </c>
      <c r="AX252" t="s">
        <v>2129</v>
      </c>
      <c r="AY252" t="s">
        <v>2129</v>
      </c>
      <c r="AZ252" s="3946" t="s">
        <v>2129</v>
      </c>
      <c r="BA252" t="s">
        <v>2129</v>
      </c>
      <c r="BB252" s="3947" t="s">
        <v>2129</v>
      </c>
      <c r="BC252" s="1958" t="s">
        <v>2129</v>
      </c>
      <c r="BD252" s="1958" t="s">
        <v>2129</v>
      </c>
      <c r="BE252" s="1958" t="s">
        <v>2129</v>
      </c>
      <c r="BF252" s="3937" t="s">
        <v>2129</v>
      </c>
      <c r="BG252" s="3938" t="s">
        <v>2129</v>
      </c>
      <c r="BH252" s="3938" t="s">
        <v>2129</v>
      </c>
      <c r="BI252" s="3937" t="s">
        <v>2129</v>
      </c>
      <c r="BJ252" s="3938" t="s">
        <v>2129</v>
      </c>
      <c r="BK252" s="3939" t="s">
        <v>2129</v>
      </c>
      <c r="BL252" s="3938" t="s">
        <v>2129</v>
      </c>
      <c r="BM252" s="3938" t="s">
        <v>2129</v>
      </c>
      <c r="BN252" s="3939" t="s">
        <v>2129</v>
      </c>
      <c r="BO252" s="3937" t="s">
        <v>2129</v>
      </c>
      <c r="BP252" s="3988" t="s">
        <v>2129</v>
      </c>
      <c r="BQ252" s="3988"/>
      <c r="BR252" s="3988"/>
      <c r="BS252" s="2694"/>
    </row>
    <row r="253" spans="1:71" ht="13">
      <c r="A253">
        <v>3025</v>
      </c>
      <c r="B253" s="3980" t="s">
        <v>3451</v>
      </c>
      <c r="C253" s="2694" t="s">
        <v>2129</v>
      </c>
      <c r="D253" s="2694" t="s">
        <v>2129</v>
      </c>
      <c r="E253" s="2694" t="s">
        <v>2129</v>
      </c>
      <c r="F253" s="3974" t="s">
        <v>2129</v>
      </c>
      <c r="G253" s="3975" t="s">
        <v>2129</v>
      </c>
      <c r="H253" s="3976" t="s">
        <v>2129</v>
      </c>
      <c r="I253" s="2694">
        <v>0</v>
      </c>
      <c r="J253" s="3992" t="s">
        <v>5501</v>
      </c>
      <c r="K253" s="2694">
        <v>5</v>
      </c>
      <c r="L253" s="2694"/>
      <c r="M253" s="2694"/>
      <c r="N253" s="2477"/>
      <c r="O253" s="2477"/>
      <c r="P253" s="2477"/>
      <c r="Q253" s="2477"/>
      <c r="R253" s="2477"/>
      <c r="S253" s="2695"/>
      <c r="T253" s="2477">
        <v>84704</v>
      </c>
      <c r="U253" s="2477"/>
      <c r="V253" s="2477">
        <v>16940.8</v>
      </c>
      <c r="W253" s="2477"/>
      <c r="X253" s="3937">
        <v>0</v>
      </c>
      <c r="Y253" s="3938">
        <v>3261192</v>
      </c>
      <c r="Z253" s="3938"/>
      <c r="AA253" s="3938">
        <v>81529.8</v>
      </c>
      <c r="AB253" s="3938">
        <v>11765</v>
      </c>
      <c r="AC253" s="3938">
        <v>17648</v>
      </c>
      <c r="AD253" s="3938" t="s">
        <v>2129</v>
      </c>
      <c r="AE253" s="3938"/>
      <c r="AF253" s="3938"/>
      <c r="AG253">
        <v>42</v>
      </c>
      <c r="AH253" s="3965">
        <v>40</v>
      </c>
      <c r="AI253" s="3965"/>
      <c r="AJ253">
        <v>63</v>
      </c>
      <c r="AK253" s="3966">
        <v>51765</v>
      </c>
      <c r="AL253" s="2814" t="s">
        <v>2129</v>
      </c>
      <c r="AM253" s="2814" t="s">
        <v>2129</v>
      </c>
      <c r="AN253" s="2814" t="s">
        <v>2129</v>
      </c>
      <c r="AO253" s="3953" t="s">
        <v>2129</v>
      </c>
      <c r="AP253" s="2814" t="s">
        <v>2129</v>
      </c>
      <c r="AQ253" s="3954" t="s">
        <v>2129</v>
      </c>
      <c r="AR253" t="s">
        <v>2129</v>
      </c>
      <c r="AS253" t="s">
        <v>2129</v>
      </c>
      <c r="AU253" t="s">
        <v>2129</v>
      </c>
      <c r="AW253" t="s">
        <v>2129</v>
      </c>
      <c r="AX253" t="s">
        <v>2129</v>
      </c>
      <c r="AY253" t="s">
        <v>2129</v>
      </c>
      <c r="AZ253" s="3946" t="s">
        <v>2129</v>
      </c>
      <c r="BA253" t="s">
        <v>2129</v>
      </c>
      <c r="BB253" s="3947" t="s">
        <v>2129</v>
      </c>
      <c r="BC253" s="1958" t="s">
        <v>2129</v>
      </c>
      <c r="BD253" s="1958" t="s">
        <v>2129</v>
      </c>
      <c r="BE253" s="1958" t="s">
        <v>2129</v>
      </c>
      <c r="BF253" s="3937" t="s">
        <v>2129</v>
      </c>
      <c r="BG253" s="3938" t="s">
        <v>2129</v>
      </c>
      <c r="BH253" s="3938" t="s">
        <v>2129</v>
      </c>
      <c r="BI253" s="3937" t="s">
        <v>2129</v>
      </c>
      <c r="BJ253" s="3938" t="s">
        <v>2129</v>
      </c>
      <c r="BK253" s="3939" t="s">
        <v>2129</v>
      </c>
      <c r="BL253" s="3938" t="s">
        <v>2129</v>
      </c>
      <c r="BM253" s="3938" t="s">
        <v>2129</v>
      </c>
      <c r="BN253" s="3939" t="s">
        <v>2129</v>
      </c>
      <c r="BO253" s="3937" t="s">
        <v>2129</v>
      </c>
      <c r="BP253" s="3988" t="s">
        <v>2129</v>
      </c>
      <c r="BQ253" s="3988"/>
      <c r="BR253" s="3988"/>
      <c r="BS253" s="2694"/>
    </row>
    <row r="254" spans="1:71" ht="13">
      <c r="A254">
        <v>3026</v>
      </c>
      <c r="B254" s="3980" t="s">
        <v>3452</v>
      </c>
      <c r="C254" s="2694" t="s">
        <v>2129</v>
      </c>
      <c r="D254" s="2694" t="s">
        <v>2129</v>
      </c>
      <c r="E254" s="2694" t="s">
        <v>2129</v>
      </c>
      <c r="F254" s="3974" t="s">
        <v>2129</v>
      </c>
      <c r="G254" s="3975" t="s">
        <v>2129</v>
      </c>
      <c r="H254" s="3976" t="s">
        <v>2129</v>
      </c>
      <c r="I254" s="2694">
        <v>0</v>
      </c>
      <c r="J254" s="3992">
        <v>0</v>
      </c>
      <c r="K254" s="3925"/>
      <c r="L254" s="3925" t="b">
        <v>0</v>
      </c>
      <c r="M254" s="3925" t="s">
        <v>2129</v>
      </c>
      <c r="N254" s="3926">
        <v>0</v>
      </c>
      <c r="O254" s="3926">
        <v>0</v>
      </c>
      <c r="P254" s="3926">
        <v>0</v>
      </c>
      <c r="Q254" s="3926">
        <v>0</v>
      </c>
      <c r="R254" s="3926">
        <v>0</v>
      </c>
      <c r="S254" s="3927">
        <v>0</v>
      </c>
      <c r="T254" s="3926"/>
      <c r="U254" s="3926" t="b">
        <v>1</v>
      </c>
      <c r="V254" s="3926"/>
      <c r="W254" s="3926">
        <v>0</v>
      </c>
      <c r="X254" s="3969">
        <v>0</v>
      </c>
      <c r="Y254" s="3970"/>
      <c r="Z254" s="3970" t="b">
        <v>1</v>
      </c>
      <c r="AA254" s="3970"/>
      <c r="AB254" s="3970"/>
      <c r="AC254" s="3970"/>
      <c r="AD254" s="3970" t="s">
        <v>2129</v>
      </c>
      <c r="AE254" s="3970"/>
      <c r="AF254" s="3970"/>
      <c r="AG254" s="191" t="s">
        <v>2131</v>
      </c>
      <c r="AH254" s="3971"/>
      <c r="AI254" s="3971" t="b">
        <v>1</v>
      </c>
      <c r="AJ254" s="191" t="s">
        <v>2131</v>
      </c>
      <c r="AK254" s="3972"/>
      <c r="AL254" s="2814" t="s">
        <v>2129</v>
      </c>
      <c r="AM254" s="2814" t="s">
        <v>2129</v>
      </c>
      <c r="AN254" s="2814" t="s">
        <v>2129</v>
      </c>
      <c r="AO254" s="3953" t="s">
        <v>2129</v>
      </c>
      <c r="AP254" s="2814" t="s">
        <v>2129</v>
      </c>
      <c r="AQ254" s="3954" t="s">
        <v>2129</v>
      </c>
      <c r="AR254" t="s">
        <v>2129</v>
      </c>
      <c r="AS254" t="s">
        <v>2129</v>
      </c>
      <c r="AU254" t="s">
        <v>2129</v>
      </c>
      <c r="AW254" t="s">
        <v>2129</v>
      </c>
      <c r="AX254" t="s">
        <v>2129</v>
      </c>
      <c r="AY254" t="s">
        <v>2129</v>
      </c>
      <c r="AZ254" s="3946" t="s">
        <v>2129</v>
      </c>
      <c r="BA254" t="s">
        <v>2129</v>
      </c>
      <c r="BB254" s="3947" t="s">
        <v>2129</v>
      </c>
      <c r="BC254" s="1958" t="s">
        <v>2129</v>
      </c>
      <c r="BD254" s="1958" t="s">
        <v>2129</v>
      </c>
      <c r="BE254" s="1958" t="s">
        <v>2129</v>
      </c>
      <c r="BF254" s="3937" t="s">
        <v>2129</v>
      </c>
      <c r="BG254" s="3938" t="s">
        <v>2129</v>
      </c>
      <c r="BH254" s="3938" t="s">
        <v>2129</v>
      </c>
      <c r="BI254" s="3937" t="s">
        <v>2129</v>
      </c>
      <c r="BJ254" s="3938" t="s">
        <v>2129</v>
      </c>
      <c r="BK254" s="3939" t="s">
        <v>2129</v>
      </c>
      <c r="BL254" s="3938" t="s">
        <v>2129</v>
      </c>
      <c r="BM254" s="3938" t="s">
        <v>2129</v>
      </c>
      <c r="BN254" s="3939" t="s">
        <v>2129</v>
      </c>
      <c r="BO254" s="3937" t="s">
        <v>2129</v>
      </c>
      <c r="BP254" s="3988" t="s">
        <v>2129</v>
      </c>
      <c r="BQ254" s="3988"/>
      <c r="BR254" s="3988"/>
      <c r="BS254" s="2694"/>
    </row>
    <row r="255" spans="1:71" ht="13">
      <c r="A255">
        <v>3028</v>
      </c>
      <c r="B255" s="3980" t="s">
        <v>6980</v>
      </c>
      <c r="C255" s="2694" t="s">
        <v>2129</v>
      </c>
      <c r="D255" s="2694" t="s">
        <v>2129</v>
      </c>
      <c r="E255" s="2694" t="s">
        <v>2129</v>
      </c>
      <c r="F255" s="3974" t="s">
        <v>2129</v>
      </c>
      <c r="G255" s="3975" t="s">
        <v>2129</v>
      </c>
      <c r="H255" s="3976" t="s">
        <v>2129</v>
      </c>
      <c r="I255" s="2694">
        <v>0</v>
      </c>
      <c r="J255" s="3992">
        <v>0</v>
      </c>
      <c r="K255" s="2694">
        <v>4</v>
      </c>
      <c r="L255" s="2694" t="b">
        <v>0</v>
      </c>
      <c r="M255" s="2694" t="s">
        <v>2129</v>
      </c>
      <c r="N255" s="2477">
        <v>0</v>
      </c>
      <c r="O255" s="2477">
        <v>0</v>
      </c>
      <c r="P255" s="2477">
        <v>0</v>
      </c>
      <c r="Q255" s="2477">
        <v>0</v>
      </c>
      <c r="R255" s="2477">
        <v>0</v>
      </c>
      <c r="S255" s="2695">
        <v>0</v>
      </c>
      <c r="T255" s="2477">
        <v>99057</v>
      </c>
      <c r="U255" s="2477" t="b">
        <v>1</v>
      </c>
      <c r="V255" s="2477">
        <v>24764.25</v>
      </c>
      <c r="W255" s="2477">
        <v>-792314</v>
      </c>
      <c r="X255" s="3937">
        <v>0</v>
      </c>
      <c r="Y255" s="3938">
        <v>792314</v>
      </c>
      <c r="Z255" s="3938" t="b">
        <v>1</v>
      </c>
      <c r="AA255" s="3938">
        <v>14148.464285714286</v>
      </c>
      <c r="AB255" s="3938"/>
      <c r="AC255" s="3938"/>
      <c r="AD255" s="3938" t="s">
        <v>2129</v>
      </c>
      <c r="AE255" s="3938"/>
      <c r="AF255" s="3938"/>
      <c r="AG255" t="s">
        <v>2131</v>
      </c>
      <c r="AH255" s="3965">
        <v>56</v>
      </c>
      <c r="AI255" s="3971" t="b">
        <v>1</v>
      </c>
      <c r="AJ255">
        <v>220</v>
      </c>
      <c r="AK255" s="3966">
        <v>3602</v>
      </c>
      <c r="AL255" s="2814" t="s">
        <v>2129</v>
      </c>
      <c r="AM255" s="2814" t="s">
        <v>2129</v>
      </c>
      <c r="AN255" s="2814" t="s">
        <v>2129</v>
      </c>
      <c r="AO255" s="3953" t="s">
        <v>2129</v>
      </c>
      <c r="AP255" s="2814" t="s">
        <v>2129</v>
      </c>
      <c r="AQ255" s="3954" t="s">
        <v>2129</v>
      </c>
      <c r="AR255" t="s">
        <v>2129</v>
      </c>
      <c r="AS255" t="s">
        <v>2129</v>
      </c>
      <c r="AU255" t="s">
        <v>2129</v>
      </c>
      <c r="AW255" t="s">
        <v>2129</v>
      </c>
      <c r="AX255" t="s">
        <v>2129</v>
      </c>
      <c r="AY255" t="s">
        <v>2129</v>
      </c>
      <c r="AZ255" s="3946" t="s">
        <v>2129</v>
      </c>
      <c r="BA255" t="s">
        <v>2129</v>
      </c>
      <c r="BB255" s="3947" t="s">
        <v>2129</v>
      </c>
      <c r="BC255" s="1958" t="s">
        <v>2129</v>
      </c>
      <c r="BD255" s="1958" t="s">
        <v>2129</v>
      </c>
      <c r="BE255" s="1958" t="s">
        <v>2129</v>
      </c>
      <c r="BF255" s="3937" t="s">
        <v>2129</v>
      </c>
      <c r="BG255" s="3938" t="s">
        <v>2129</v>
      </c>
      <c r="BH255" s="3938" t="s">
        <v>2129</v>
      </c>
      <c r="BI255" s="3937" t="s">
        <v>2129</v>
      </c>
      <c r="BJ255" s="3938" t="s">
        <v>2129</v>
      </c>
      <c r="BK255" s="3939" t="s">
        <v>2129</v>
      </c>
      <c r="BL255" s="3938" t="s">
        <v>2129</v>
      </c>
      <c r="BM255" s="3938" t="s">
        <v>2129</v>
      </c>
      <c r="BN255" s="3939" t="s">
        <v>2129</v>
      </c>
      <c r="BO255" s="3937" t="s">
        <v>2129</v>
      </c>
      <c r="BP255" s="3988" t="s">
        <v>2129</v>
      </c>
      <c r="BQ255" s="3988"/>
      <c r="BR255" s="3988"/>
      <c r="BS255" s="2694"/>
    </row>
    <row r="256" spans="1:71" ht="13">
      <c r="A256">
        <v>3029</v>
      </c>
      <c r="B256" s="3980" t="s">
        <v>6981</v>
      </c>
      <c r="C256" s="2694" t="s">
        <v>2129</v>
      </c>
      <c r="D256" s="2694" t="s">
        <v>2129</v>
      </c>
      <c r="E256" s="2694" t="s">
        <v>2129</v>
      </c>
      <c r="F256" s="3974" t="s">
        <v>2129</v>
      </c>
      <c r="G256" s="3975" t="s">
        <v>2129</v>
      </c>
      <c r="H256" s="3976" t="s">
        <v>2129</v>
      </c>
      <c r="I256" s="2694">
        <v>0</v>
      </c>
      <c r="J256" s="3992">
        <v>0</v>
      </c>
      <c r="K256" s="2694">
        <v>0</v>
      </c>
      <c r="L256" s="2694" t="b">
        <v>0</v>
      </c>
      <c r="M256" s="2694" t="s">
        <v>2129</v>
      </c>
      <c r="N256" s="2477">
        <v>0</v>
      </c>
      <c r="O256" s="2477">
        <v>0</v>
      </c>
      <c r="P256" s="2477">
        <v>0</v>
      </c>
      <c r="Q256" s="2477">
        <v>0</v>
      </c>
      <c r="R256" s="2477">
        <v>0</v>
      </c>
      <c r="S256" s="2695">
        <v>0</v>
      </c>
      <c r="T256" s="2477">
        <v>0</v>
      </c>
      <c r="U256" s="2477" t="b">
        <v>1</v>
      </c>
      <c r="V256" s="2477" t="s">
        <v>2129</v>
      </c>
      <c r="W256" s="2477">
        <v>-485752</v>
      </c>
      <c r="X256" s="3937">
        <v>0</v>
      </c>
      <c r="Y256" s="3938">
        <v>485752</v>
      </c>
      <c r="Z256" s="3938" t="b">
        <v>1</v>
      </c>
      <c r="AA256" s="3938">
        <v>121438</v>
      </c>
      <c r="AB256" s="3938"/>
      <c r="AC256" s="3938"/>
      <c r="AD256" s="3938" t="s">
        <v>2129</v>
      </c>
      <c r="AE256" s="3938"/>
      <c r="AF256" s="3938"/>
      <c r="AG256" t="s">
        <v>2131</v>
      </c>
      <c r="AH256" s="3965">
        <v>4</v>
      </c>
      <c r="AI256" s="3971" t="b">
        <v>1</v>
      </c>
      <c r="AJ256">
        <v>8</v>
      </c>
      <c r="AK256" s="3966">
        <v>60719</v>
      </c>
      <c r="AL256" s="2814" t="s">
        <v>2129</v>
      </c>
      <c r="AM256" s="2814" t="s">
        <v>2129</v>
      </c>
      <c r="AN256" s="2814" t="s">
        <v>2129</v>
      </c>
      <c r="AO256" s="3953" t="s">
        <v>2129</v>
      </c>
      <c r="AP256" s="2814" t="s">
        <v>2129</v>
      </c>
      <c r="AQ256" s="3954" t="s">
        <v>2129</v>
      </c>
      <c r="AR256" t="s">
        <v>2129</v>
      </c>
      <c r="AS256" t="s">
        <v>2129</v>
      </c>
      <c r="AU256" t="s">
        <v>2129</v>
      </c>
      <c r="AW256" t="s">
        <v>2129</v>
      </c>
      <c r="AX256" t="s">
        <v>2129</v>
      </c>
      <c r="AY256" t="s">
        <v>2129</v>
      </c>
      <c r="AZ256" s="3946" t="s">
        <v>2129</v>
      </c>
      <c r="BA256" t="s">
        <v>2129</v>
      </c>
      <c r="BB256" s="3947" t="s">
        <v>2129</v>
      </c>
      <c r="BC256" s="1958" t="s">
        <v>2129</v>
      </c>
      <c r="BD256" s="1958" t="s">
        <v>2129</v>
      </c>
      <c r="BE256" s="1958" t="s">
        <v>2129</v>
      </c>
      <c r="BF256" s="3937" t="s">
        <v>2129</v>
      </c>
      <c r="BG256" s="3938" t="s">
        <v>2129</v>
      </c>
      <c r="BH256" s="3938" t="s">
        <v>2129</v>
      </c>
      <c r="BI256" s="3937" t="s">
        <v>2129</v>
      </c>
      <c r="BJ256" s="3938" t="s">
        <v>2129</v>
      </c>
      <c r="BK256" s="3939" t="s">
        <v>2129</v>
      </c>
      <c r="BL256" s="3938" t="s">
        <v>2129</v>
      </c>
      <c r="BM256" s="3938" t="s">
        <v>2129</v>
      </c>
      <c r="BN256" s="3939" t="s">
        <v>2129</v>
      </c>
      <c r="BO256" s="3937" t="s">
        <v>2129</v>
      </c>
      <c r="BP256" s="3988" t="s">
        <v>2129</v>
      </c>
      <c r="BQ256" s="3988"/>
      <c r="BR256" s="3988"/>
      <c r="BS256" s="2694"/>
    </row>
    <row r="257" spans="1:71" ht="13">
      <c r="A257">
        <v>3030</v>
      </c>
      <c r="B257" s="3980" t="s">
        <v>6979</v>
      </c>
      <c r="C257" s="2694" t="s">
        <v>2129</v>
      </c>
      <c r="D257" s="2694" t="s">
        <v>2129</v>
      </c>
      <c r="E257" s="2694" t="s">
        <v>2129</v>
      </c>
      <c r="F257" s="3974" t="s">
        <v>2129</v>
      </c>
      <c r="G257" s="3975" t="s">
        <v>2129</v>
      </c>
      <c r="H257" s="3976" t="s">
        <v>2129</v>
      </c>
      <c r="I257" s="2694">
        <v>0</v>
      </c>
      <c r="J257" s="3992">
        <v>0</v>
      </c>
      <c r="K257" s="2694">
        <v>0</v>
      </c>
      <c r="L257" s="2694" t="b">
        <v>0</v>
      </c>
      <c r="M257" s="2694" t="s">
        <v>2129</v>
      </c>
      <c r="N257" s="2477">
        <v>0</v>
      </c>
      <c r="O257" s="2477">
        <v>0</v>
      </c>
      <c r="P257" s="2477">
        <v>0</v>
      </c>
      <c r="Q257" s="2477">
        <v>0</v>
      </c>
      <c r="R257" s="2477">
        <v>0</v>
      </c>
      <c r="S257" s="2695">
        <v>0</v>
      </c>
      <c r="T257" s="2477">
        <v>0</v>
      </c>
      <c r="U257" s="2477" t="b">
        <v>1</v>
      </c>
      <c r="V257" s="2477" t="s">
        <v>2129</v>
      </c>
      <c r="W257" s="2477">
        <v>-2497730</v>
      </c>
      <c r="X257" s="3937">
        <v>0</v>
      </c>
      <c r="Y257" s="3938">
        <v>2497730</v>
      </c>
      <c r="Z257" s="3938" t="b">
        <v>1</v>
      </c>
      <c r="AA257" s="3938">
        <v>17969.280575539568</v>
      </c>
      <c r="AB257" s="3938"/>
      <c r="AC257" s="3938"/>
      <c r="AD257" s="3938" t="s">
        <v>2129</v>
      </c>
      <c r="AE257" s="3938"/>
      <c r="AF257" s="3938"/>
      <c r="AG257" t="s">
        <v>2131</v>
      </c>
      <c r="AH257" s="3965">
        <v>139</v>
      </c>
      <c r="AI257" s="3971" t="b">
        <v>1</v>
      </c>
      <c r="AJ257">
        <v>158</v>
      </c>
      <c r="AK257" s="3966">
        <v>15809</v>
      </c>
      <c r="AL257" s="2814" t="s">
        <v>2129</v>
      </c>
      <c r="AM257" s="2814" t="s">
        <v>2129</v>
      </c>
      <c r="AN257" s="2814" t="s">
        <v>2129</v>
      </c>
      <c r="AO257" s="3953" t="s">
        <v>2129</v>
      </c>
      <c r="AP257" s="2814" t="s">
        <v>2129</v>
      </c>
      <c r="AQ257" s="3954" t="s">
        <v>2129</v>
      </c>
      <c r="AR257" t="s">
        <v>2129</v>
      </c>
      <c r="AS257" t="s">
        <v>2129</v>
      </c>
      <c r="AU257" t="s">
        <v>2129</v>
      </c>
      <c r="AW257" t="s">
        <v>2129</v>
      </c>
      <c r="AX257" t="s">
        <v>2129</v>
      </c>
      <c r="AY257" t="s">
        <v>2129</v>
      </c>
      <c r="AZ257" s="3946" t="s">
        <v>2129</v>
      </c>
      <c r="BA257" t="s">
        <v>2129</v>
      </c>
      <c r="BB257" s="3947" t="s">
        <v>2129</v>
      </c>
      <c r="BC257" s="1958" t="s">
        <v>2129</v>
      </c>
      <c r="BD257" s="1958" t="s">
        <v>2129</v>
      </c>
      <c r="BE257" s="1958" t="s">
        <v>2129</v>
      </c>
      <c r="BF257" s="3937" t="s">
        <v>2129</v>
      </c>
      <c r="BG257" s="3938" t="s">
        <v>2129</v>
      </c>
      <c r="BH257" s="3938" t="s">
        <v>2129</v>
      </c>
      <c r="BI257" s="3937" t="s">
        <v>2129</v>
      </c>
      <c r="BJ257" s="3938" t="s">
        <v>2129</v>
      </c>
      <c r="BK257" s="3939" t="s">
        <v>2129</v>
      </c>
      <c r="BL257" s="3938" t="s">
        <v>2129</v>
      </c>
      <c r="BM257" s="3938" t="s">
        <v>2129</v>
      </c>
      <c r="BN257" s="3939" t="s">
        <v>2129</v>
      </c>
      <c r="BO257" s="3937" t="s">
        <v>2129</v>
      </c>
      <c r="BP257" s="3988" t="s">
        <v>2129</v>
      </c>
      <c r="BQ257" s="3988"/>
      <c r="BR257" s="3988"/>
      <c r="BS257" s="2694"/>
    </row>
    <row r="258" spans="1:71" ht="13">
      <c r="A258">
        <v>3031</v>
      </c>
      <c r="B258" s="3980" t="s">
        <v>6982</v>
      </c>
      <c r="C258" s="2694" t="s">
        <v>3791</v>
      </c>
      <c r="D258" s="2694" t="s">
        <v>2129</v>
      </c>
      <c r="E258" s="2694" t="s">
        <v>2129</v>
      </c>
      <c r="F258" s="3974" t="s">
        <v>3791</v>
      </c>
      <c r="G258" s="3975" t="s">
        <v>2129</v>
      </c>
      <c r="H258" s="3976" t="s">
        <v>2129</v>
      </c>
      <c r="I258" s="2694">
        <v>0</v>
      </c>
      <c r="J258" s="3992">
        <v>0</v>
      </c>
      <c r="K258" s="2694">
        <v>2</v>
      </c>
      <c r="L258" s="2694" t="b">
        <v>0</v>
      </c>
      <c r="M258" s="2694" t="s">
        <v>2129</v>
      </c>
      <c r="N258" s="2477">
        <v>0</v>
      </c>
      <c r="O258" s="2477">
        <v>0</v>
      </c>
      <c r="P258" s="2477">
        <v>0</v>
      </c>
      <c r="Q258" s="2477">
        <v>0</v>
      </c>
      <c r="R258" s="2477">
        <v>0</v>
      </c>
      <c r="S258" s="2695">
        <v>0</v>
      </c>
      <c r="T258" s="2477">
        <v>2795294</v>
      </c>
      <c r="U258" s="2477" t="b">
        <v>1</v>
      </c>
      <c r="V258" s="2477">
        <v>1397647</v>
      </c>
      <c r="W258" s="2477">
        <v>-1288152</v>
      </c>
      <c r="X258" s="3937">
        <v>0</v>
      </c>
      <c r="Y258" s="3938">
        <v>1288152</v>
      </c>
      <c r="Z258" s="3938" t="b">
        <v>1</v>
      </c>
      <c r="AA258" s="3938">
        <v>21469.200000000001</v>
      </c>
      <c r="AB258" s="3938"/>
      <c r="AC258" s="3938"/>
      <c r="AD258" s="3938">
        <v>3237.3762251822068</v>
      </c>
      <c r="AE258" s="3938"/>
      <c r="AF258" s="3938"/>
      <c r="AG258" t="s">
        <v>2131</v>
      </c>
      <c r="AH258" s="3965">
        <v>60</v>
      </c>
      <c r="AI258" s="3971" t="b">
        <v>1</v>
      </c>
      <c r="AJ258">
        <v>87</v>
      </c>
      <c r="AK258" s="3966">
        <v>14807</v>
      </c>
      <c r="AL258" s="2814">
        <v>346</v>
      </c>
      <c r="AM258" s="2814" t="s">
        <v>2129</v>
      </c>
      <c r="AN258" s="2814" t="s">
        <v>2129</v>
      </c>
      <c r="AO258" s="3953">
        <v>634</v>
      </c>
      <c r="AP258" s="2814" t="s">
        <v>2129</v>
      </c>
      <c r="AQ258" s="3954" t="s">
        <v>2129</v>
      </c>
      <c r="AR258">
        <v>286</v>
      </c>
      <c r="AS258" t="s">
        <v>2129</v>
      </c>
      <c r="AU258">
        <v>574</v>
      </c>
      <c r="AW258">
        <v>9</v>
      </c>
      <c r="AX258" t="s">
        <v>2129</v>
      </c>
      <c r="AY258" t="s">
        <v>2129</v>
      </c>
      <c r="AZ258" s="3946">
        <v>16</v>
      </c>
      <c r="BA258" t="s">
        <v>2129</v>
      </c>
      <c r="BB258" s="3947" t="s">
        <v>2129</v>
      </c>
      <c r="BC258" s="1958">
        <v>5123222</v>
      </c>
      <c r="BD258" s="1958" t="s">
        <v>2129</v>
      </c>
      <c r="BE258" s="1958" t="s">
        <v>2129</v>
      </c>
      <c r="BF258" s="3937">
        <v>9387638</v>
      </c>
      <c r="BG258" s="3938" t="s">
        <v>2129</v>
      </c>
      <c r="BH258" s="3938" t="s">
        <v>2129</v>
      </c>
      <c r="BI258" s="3937">
        <v>25157646</v>
      </c>
      <c r="BJ258" s="3938" t="s">
        <v>2129</v>
      </c>
      <c r="BK258" s="3939" t="s">
        <v>2129</v>
      </c>
      <c r="BL258" s="3938">
        <v>44724704</v>
      </c>
      <c r="BM258" s="3938" t="s">
        <v>2129</v>
      </c>
      <c r="BN258" s="3939" t="s">
        <v>2129</v>
      </c>
      <c r="BO258" s="3937">
        <v>4238500</v>
      </c>
      <c r="BP258" s="3988">
        <v>7766500</v>
      </c>
      <c r="BQ258" s="3988"/>
      <c r="BR258" s="3988"/>
      <c r="BS258" s="2694"/>
    </row>
    <row r="259" spans="1:71" ht="13">
      <c r="A259">
        <v>3033</v>
      </c>
      <c r="B259" s="3980" t="s">
        <v>6984</v>
      </c>
      <c r="C259" s="2694" t="s">
        <v>3791</v>
      </c>
      <c r="D259" s="2694" t="s">
        <v>2129</v>
      </c>
      <c r="E259" s="2694" t="s">
        <v>2129</v>
      </c>
      <c r="F259" s="3974" t="s">
        <v>2129</v>
      </c>
      <c r="G259" s="3975" t="s">
        <v>2129</v>
      </c>
      <c r="H259" s="3976" t="s">
        <v>2129</v>
      </c>
      <c r="I259" s="2694">
        <v>0</v>
      </c>
      <c r="J259" s="3992">
        <v>0</v>
      </c>
      <c r="K259" s="2694">
        <v>2</v>
      </c>
      <c r="L259" s="2694" t="b">
        <v>0</v>
      </c>
      <c r="M259" s="2694" t="s">
        <v>2129</v>
      </c>
      <c r="N259" s="2477">
        <v>0</v>
      </c>
      <c r="O259" s="2477">
        <v>0</v>
      </c>
      <c r="P259" s="2477">
        <v>0</v>
      </c>
      <c r="Q259" s="2477">
        <v>0</v>
      </c>
      <c r="R259" s="2477">
        <v>0</v>
      </c>
      <c r="S259" s="2695">
        <v>0</v>
      </c>
      <c r="T259" s="2477">
        <v>3235294</v>
      </c>
      <c r="U259" s="2477" t="b">
        <v>1</v>
      </c>
      <c r="V259" s="2477">
        <v>1617647</v>
      </c>
      <c r="W259" s="2477">
        <v>-1654400</v>
      </c>
      <c r="X259" s="3937">
        <v>0</v>
      </c>
      <c r="Y259" s="3938">
        <v>1654400</v>
      </c>
      <c r="Z259" s="3938" t="b">
        <v>1</v>
      </c>
      <c r="AA259" s="3938">
        <v>11902.158273381296</v>
      </c>
      <c r="AB259" s="3938"/>
      <c r="AC259" s="3938"/>
      <c r="AD259" s="3938">
        <v>1951.9792342634653</v>
      </c>
      <c r="AE259" s="3938"/>
      <c r="AF259" s="3938"/>
      <c r="AG259" t="s">
        <v>2131</v>
      </c>
      <c r="AH259" s="3965">
        <v>139</v>
      </c>
      <c r="AI259" s="3971"/>
      <c r="AJ259">
        <v>68</v>
      </c>
      <c r="AK259" s="3966">
        <v>24330</v>
      </c>
      <c r="AL259" s="2814">
        <v>737</v>
      </c>
      <c r="AM259" s="2814" t="s">
        <v>2129</v>
      </c>
      <c r="AN259" s="2814" t="s">
        <v>2129</v>
      </c>
      <c r="AO259" s="3953" t="s">
        <v>2129</v>
      </c>
      <c r="AP259" s="2814" t="s">
        <v>2129</v>
      </c>
      <c r="AQ259" s="3954" t="s">
        <v>2129</v>
      </c>
      <c r="AR259">
        <v>598</v>
      </c>
      <c r="AS259" t="s">
        <v>2129</v>
      </c>
      <c r="AU259" t="s">
        <v>2129</v>
      </c>
      <c r="AW259">
        <v>24</v>
      </c>
      <c r="AX259" t="s">
        <v>2129</v>
      </c>
      <c r="AY259" t="s">
        <v>2129</v>
      </c>
      <c r="AZ259" s="3946" t="s">
        <v>2129</v>
      </c>
      <c r="BA259" t="s">
        <v>2129</v>
      </c>
      <c r="BB259" s="3947" t="s">
        <v>2129</v>
      </c>
      <c r="BC259" s="1958">
        <v>17931210</v>
      </c>
      <c r="BD259" s="1958" t="s">
        <v>2129</v>
      </c>
      <c r="BE259" s="1958" t="s">
        <v>2129</v>
      </c>
      <c r="BF259" s="3937" t="s">
        <v>2129</v>
      </c>
      <c r="BG259" s="3938" t="s">
        <v>2129</v>
      </c>
      <c r="BH259" s="3938" t="s">
        <v>2129</v>
      </c>
      <c r="BI259" s="3937">
        <v>77647056</v>
      </c>
      <c r="BJ259" s="3938" t="s">
        <v>2129</v>
      </c>
      <c r="BK259" s="3939" t="s">
        <v>2129</v>
      </c>
      <c r="BL259" s="3938" t="s">
        <v>2129</v>
      </c>
      <c r="BM259" s="3938" t="s">
        <v>2129</v>
      </c>
      <c r="BN259" s="3939" t="s">
        <v>2129</v>
      </c>
      <c r="BO259" s="3937">
        <v>9028250</v>
      </c>
      <c r="BP259" s="3988" t="s">
        <v>2129</v>
      </c>
      <c r="BQ259" s="3988"/>
      <c r="BR259" s="3988"/>
      <c r="BS259" s="2694"/>
    </row>
    <row r="260" spans="1:71" ht="13">
      <c r="A260">
        <v>3034</v>
      </c>
      <c r="B260" s="3980" t="s">
        <v>6978</v>
      </c>
      <c r="C260" s="2694" t="s">
        <v>3791</v>
      </c>
      <c r="D260" s="2694" t="s">
        <v>2129</v>
      </c>
      <c r="E260" s="2694" t="s">
        <v>2129</v>
      </c>
      <c r="F260" s="3974" t="s">
        <v>2129</v>
      </c>
      <c r="G260" s="3975" t="s">
        <v>2129</v>
      </c>
      <c r="H260" s="3976" t="s">
        <v>2129</v>
      </c>
      <c r="I260" s="2694">
        <v>0</v>
      </c>
      <c r="J260" s="3992">
        <v>0</v>
      </c>
      <c r="K260" s="2694">
        <v>2</v>
      </c>
      <c r="L260" s="2694" t="b">
        <v>0</v>
      </c>
      <c r="M260" s="2694" t="s">
        <v>2129</v>
      </c>
      <c r="N260" s="2477">
        <v>0</v>
      </c>
      <c r="O260" s="2477">
        <v>0</v>
      </c>
      <c r="P260" s="2477">
        <v>0</v>
      </c>
      <c r="Q260" s="2477">
        <v>0</v>
      </c>
      <c r="R260" s="2477">
        <v>0</v>
      </c>
      <c r="S260" s="2695">
        <v>0</v>
      </c>
      <c r="T260" s="2477">
        <v>4400001</v>
      </c>
      <c r="U260" s="2477" t="b">
        <v>1</v>
      </c>
      <c r="V260" s="2477">
        <v>2200000.5</v>
      </c>
      <c r="W260" s="2477">
        <v>-737665</v>
      </c>
      <c r="X260" s="3937">
        <v>0</v>
      </c>
      <c r="Y260" s="3938">
        <v>737665</v>
      </c>
      <c r="Z260" s="3938" t="b">
        <v>1</v>
      </c>
      <c r="AA260" s="3938">
        <v>38824.473684210527</v>
      </c>
      <c r="AB260" s="3938"/>
      <c r="AC260" s="3938"/>
      <c r="AD260" s="3938">
        <v>2181.7953268263827</v>
      </c>
      <c r="AE260" s="3938"/>
      <c r="AF260" s="3938"/>
      <c r="AG260" t="s">
        <v>2131</v>
      </c>
      <c r="AH260" s="3965">
        <v>19</v>
      </c>
      <c r="AI260" s="3971" t="b">
        <v>1</v>
      </c>
      <c r="AJ260">
        <v>19</v>
      </c>
      <c r="AK260" s="3966">
        <v>38825</v>
      </c>
      <c r="AL260" s="2814">
        <v>294</v>
      </c>
      <c r="AM260" s="2814" t="s">
        <v>2129</v>
      </c>
      <c r="AN260" s="2814" t="s">
        <v>2129</v>
      </c>
      <c r="AO260" s="3953" t="s">
        <v>2129</v>
      </c>
      <c r="AP260" s="2814" t="s">
        <v>2129</v>
      </c>
      <c r="AQ260" s="3954" t="s">
        <v>2129</v>
      </c>
      <c r="AR260">
        <v>275</v>
      </c>
      <c r="AS260" t="s">
        <v>2129</v>
      </c>
      <c r="AU260" t="s">
        <v>2129</v>
      </c>
      <c r="AW260">
        <v>19</v>
      </c>
      <c r="AX260" t="s">
        <v>2129</v>
      </c>
      <c r="AY260" t="s">
        <v>2129</v>
      </c>
      <c r="AZ260" s="3946" t="s">
        <v>2129</v>
      </c>
      <c r="BA260" t="s">
        <v>2129</v>
      </c>
      <c r="BB260" s="3947" t="s">
        <v>2129</v>
      </c>
      <c r="BC260" s="1958">
        <v>11414550</v>
      </c>
      <c r="BD260" s="1958" t="s">
        <v>2129</v>
      </c>
      <c r="BE260" s="1958" t="s">
        <v>2129</v>
      </c>
      <c r="BF260" s="3937" t="s">
        <v>2129</v>
      </c>
      <c r="BG260" s="3938" t="s">
        <v>2129</v>
      </c>
      <c r="BH260" s="3938" t="s">
        <v>2129</v>
      </c>
      <c r="BI260" s="3937">
        <v>83600019</v>
      </c>
      <c r="BJ260" s="3938" t="s">
        <v>2129</v>
      </c>
      <c r="BK260" s="3939" t="s">
        <v>2129</v>
      </c>
      <c r="BL260" s="3938" t="s">
        <v>2129</v>
      </c>
      <c r="BM260" s="3938" t="s">
        <v>2129</v>
      </c>
      <c r="BN260" s="3939" t="s">
        <v>2129</v>
      </c>
      <c r="BO260" s="3937">
        <v>3601500</v>
      </c>
      <c r="BP260" s="3988" t="s">
        <v>2129</v>
      </c>
      <c r="BQ260" s="3988">
        <v>147000</v>
      </c>
      <c r="BR260" s="3988"/>
      <c r="BS260" s="2694"/>
    </row>
    <row r="261" spans="1:71" ht="13">
      <c r="A261">
        <v>3036</v>
      </c>
      <c r="B261" s="3980" t="s">
        <v>6985</v>
      </c>
      <c r="C261" s="2694" t="s">
        <v>3791</v>
      </c>
      <c r="D261" s="2694" t="s">
        <v>2129</v>
      </c>
      <c r="E261" s="2694" t="s">
        <v>2129</v>
      </c>
      <c r="F261" s="3974" t="s">
        <v>2129</v>
      </c>
      <c r="G261" s="3975" t="s">
        <v>2129</v>
      </c>
      <c r="H261" s="3976" t="s">
        <v>2129</v>
      </c>
      <c r="I261" s="2694">
        <v>0</v>
      </c>
      <c r="J261" s="3992">
        <v>0</v>
      </c>
      <c r="K261" s="2694">
        <v>1</v>
      </c>
      <c r="L261" s="2694" t="b">
        <v>0</v>
      </c>
      <c r="M261" s="2694" t="s">
        <v>2129</v>
      </c>
      <c r="N261" s="2477">
        <v>0</v>
      </c>
      <c r="O261" s="2477">
        <v>0</v>
      </c>
      <c r="P261" s="2477">
        <v>0</v>
      </c>
      <c r="Q261" s="2477">
        <v>0</v>
      </c>
      <c r="R261" s="2477">
        <v>0</v>
      </c>
      <c r="S261" s="2695">
        <v>0</v>
      </c>
      <c r="T261" s="2477">
        <v>310588</v>
      </c>
      <c r="U261" s="2477" t="b">
        <v>1</v>
      </c>
      <c r="V261" s="2477">
        <v>310588</v>
      </c>
      <c r="W261" s="2477">
        <v>-1265000</v>
      </c>
      <c r="X261" s="3937">
        <v>0</v>
      </c>
      <c r="Y261" s="3938">
        <v>1265000</v>
      </c>
      <c r="Z261" s="3938" t="b">
        <v>1</v>
      </c>
      <c r="AA261" s="3938">
        <v>25300</v>
      </c>
      <c r="AB261" s="3938"/>
      <c r="AC261" s="3938"/>
      <c r="AD261" s="3938">
        <v>1216.8141592920356</v>
      </c>
      <c r="AE261" s="3938"/>
      <c r="AF261" s="3938"/>
      <c r="AG261" t="s">
        <v>2131</v>
      </c>
      <c r="AH261" s="3965">
        <v>50</v>
      </c>
      <c r="AI261" s="3971" t="b">
        <v>1</v>
      </c>
      <c r="AJ261">
        <v>50</v>
      </c>
      <c r="AK261" s="3966">
        <v>25300</v>
      </c>
      <c r="AL261" s="2814">
        <v>904</v>
      </c>
      <c r="AM261" s="2814" t="s">
        <v>2129</v>
      </c>
      <c r="AN261" s="2814" t="s">
        <v>2129</v>
      </c>
      <c r="AO261" s="3953" t="s">
        <v>2129</v>
      </c>
      <c r="AP261" s="2814" t="s">
        <v>2129</v>
      </c>
      <c r="AQ261" s="3954" t="s">
        <v>2129</v>
      </c>
      <c r="AR261">
        <v>854</v>
      </c>
      <c r="AS261" t="s">
        <v>2129</v>
      </c>
      <c r="AU261" t="s">
        <v>2129</v>
      </c>
      <c r="AW261">
        <v>28</v>
      </c>
      <c r="AX261" t="s">
        <v>2129</v>
      </c>
      <c r="AY261" t="s">
        <v>2129</v>
      </c>
      <c r="AZ261" s="3946" t="s">
        <v>2129</v>
      </c>
      <c r="BA261" t="s">
        <v>2129</v>
      </c>
      <c r="BB261" s="3947" t="s">
        <v>2129</v>
      </c>
      <c r="BC261" s="1958">
        <v>22871200</v>
      </c>
      <c r="BD261" s="1958" t="s">
        <v>2129</v>
      </c>
      <c r="BE261" s="1958" t="s">
        <v>2129</v>
      </c>
      <c r="BF261" s="3937" t="s">
        <v>2129</v>
      </c>
      <c r="BG261" s="3938" t="s">
        <v>2129</v>
      </c>
      <c r="BH261" s="3938" t="s">
        <v>2129</v>
      </c>
      <c r="BI261" s="3937">
        <v>8696464</v>
      </c>
      <c r="BJ261" s="3938" t="s">
        <v>2129</v>
      </c>
      <c r="BK261" s="3939" t="s">
        <v>2129</v>
      </c>
      <c r="BL261" s="3938" t="s">
        <v>2129</v>
      </c>
      <c r="BM261" s="3938" t="s">
        <v>2129</v>
      </c>
      <c r="BN261" s="3939" t="s">
        <v>2129</v>
      </c>
      <c r="BO261" s="3937">
        <v>11074000</v>
      </c>
      <c r="BP261" s="3988" t="s">
        <v>2129</v>
      </c>
      <c r="BQ261" s="3988">
        <v>180800</v>
      </c>
      <c r="BR261" s="3988"/>
      <c r="BS261" s="2694"/>
    </row>
    <row r="262" spans="1:71" ht="13">
      <c r="A262">
        <v>3037</v>
      </c>
      <c r="B262" s="3980" t="s">
        <v>6986</v>
      </c>
      <c r="C262" s="2694" t="s">
        <v>2129</v>
      </c>
      <c r="D262" s="2694" t="s">
        <v>2129</v>
      </c>
      <c r="E262" s="2694" t="s">
        <v>2129</v>
      </c>
      <c r="F262" s="3974" t="s">
        <v>3791</v>
      </c>
      <c r="G262" s="3975" t="s">
        <v>2129</v>
      </c>
      <c r="H262" s="3976" t="s">
        <v>2129</v>
      </c>
      <c r="I262" s="2694">
        <v>0</v>
      </c>
      <c r="J262" s="3992">
        <v>0</v>
      </c>
      <c r="K262" s="2694">
        <v>0</v>
      </c>
      <c r="L262" s="2694" t="b">
        <v>0</v>
      </c>
      <c r="M262" s="2694" t="s">
        <v>2129</v>
      </c>
      <c r="N262" s="2477">
        <v>0</v>
      </c>
      <c r="O262" s="2477">
        <v>0</v>
      </c>
      <c r="P262" s="2477">
        <v>0</v>
      </c>
      <c r="Q262" s="2477">
        <v>0</v>
      </c>
      <c r="R262" s="2477">
        <v>0</v>
      </c>
      <c r="S262" s="2695">
        <v>0</v>
      </c>
      <c r="T262" s="2477">
        <v>0</v>
      </c>
      <c r="U262" s="2477" t="b">
        <v>1</v>
      </c>
      <c r="V262" s="2477" t="s">
        <v>2129</v>
      </c>
      <c r="W262" s="2477">
        <v>-5903425</v>
      </c>
      <c r="X262" s="3937">
        <v>0</v>
      </c>
      <c r="Y262" s="3938">
        <v>5903425</v>
      </c>
      <c r="Z262" s="3938" t="b">
        <v>1</v>
      </c>
      <c r="AA262" s="3938">
        <v>31569.117647058825</v>
      </c>
      <c r="AB262" s="3938"/>
      <c r="AC262" s="3938"/>
      <c r="AD262" s="3938" t="s">
        <v>2129</v>
      </c>
      <c r="AE262" s="3938"/>
      <c r="AF262" s="3938"/>
      <c r="AG262" t="s">
        <v>2131</v>
      </c>
      <c r="AH262" s="3965">
        <v>187</v>
      </c>
      <c r="AI262" s="3971" t="b">
        <v>1</v>
      </c>
      <c r="AJ262">
        <v>265</v>
      </c>
      <c r="AK262" s="3966">
        <v>22278</v>
      </c>
      <c r="AL262" s="2814" t="s">
        <v>2129</v>
      </c>
      <c r="AM262" s="2814" t="s">
        <v>2129</v>
      </c>
      <c r="AN262" s="2814" t="s">
        <v>2129</v>
      </c>
      <c r="AO262" s="3953">
        <v>480</v>
      </c>
      <c r="AP262" s="2814" t="s">
        <v>2129</v>
      </c>
      <c r="AQ262" s="3954" t="s">
        <v>2129</v>
      </c>
      <c r="AR262" t="s">
        <v>2129</v>
      </c>
      <c r="AS262" t="s">
        <v>2129</v>
      </c>
      <c r="AU262">
        <v>293</v>
      </c>
      <c r="AW262" t="s">
        <v>2129</v>
      </c>
      <c r="AX262" t="s">
        <v>2129</v>
      </c>
      <c r="AY262" t="s">
        <v>2129</v>
      </c>
      <c r="AZ262" s="3946">
        <v>15</v>
      </c>
      <c r="BA262" t="s">
        <v>2129</v>
      </c>
      <c r="BB262" s="3947" t="s">
        <v>2129</v>
      </c>
      <c r="BC262" s="1958" t="s">
        <v>2129</v>
      </c>
      <c r="BD262" s="1958" t="s">
        <v>2129</v>
      </c>
      <c r="BE262" s="1958" t="s">
        <v>2129</v>
      </c>
      <c r="BF262" s="3937">
        <v>10693440</v>
      </c>
      <c r="BG262" s="3938" t="s">
        <v>2129</v>
      </c>
      <c r="BH262" s="3938" t="s">
        <v>2129</v>
      </c>
      <c r="BI262" s="3937" t="s">
        <v>2129</v>
      </c>
      <c r="BJ262" s="3938" t="s">
        <v>2129</v>
      </c>
      <c r="BK262" s="3939" t="s">
        <v>2129</v>
      </c>
      <c r="BL262" s="3938" t="s">
        <v>2129</v>
      </c>
      <c r="BM262" s="3938" t="s">
        <v>2129</v>
      </c>
      <c r="BN262" s="3939" t="s">
        <v>2129</v>
      </c>
      <c r="BO262" s="3937" t="s">
        <v>2129</v>
      </c>
      <c r="BP262" s="3988">
        <v>5880000</v>
      </c>
      <c r="BQ262" s="3988"/>
      <c r="BR262" s="3988"/>
      <c r="BS262" s="2694"/>
    </row>
    <row r="263" spans="1:71" ht="13">
      <c r="A263">
        <v>3038</v>
      </c>
      <c r="B263" s="3980" t="s">
        <v>6987</v>
      </c>
      <c r="C263" s="2694" t="s">
        <v>2129</v>
      </c>
      <c r="D263" s="2694" t="s">
        <v>2129</v>
      </c>
      <c r="E263" s="2694" t="s">
        <v>3694</v>
      </c>
      <c r="F263" s="3974" t="s">
        <v>2129</v>
      </c>
      <c r="G263" s="3975" t="s">
        <v>2129</v>
      </c>
      <c r="H263" s="3976" t="s">
        <v>2129</v>
      </c>
      <c r="I263" s="2694">
        <v>0</v>
      </c>
      <c r="J263" s="3992">
        <v>0</v>
      </c>
      <c r="K263" s="2694">
        <v>2</v>
      </c>
      <c r="L263" s="2694" t="b">
        <v>0</v>
      </c>
      <c r="M263" s="2694" t="s">
        <v>2129</v>
      </c>
      <c r="N263" s="2477">
        <v>0</v>
      </c>
      <c r="O263" s="2477">
        <v>0</v>
      </c>
      <c r="P263" s="2477">
        <v>0</v>
      </c>
      <c r="Q263" s="2477">
        <v>0</v>
      </c>
      <c r="R263" s="2477">
        <v>0</v>
      </c>
      <c r="S263" s="2695">
        <v>0</v>
      </c>
      <c r="T263" s="2477">
        <v>155294</v>
      </c>
      <c r="U263" s="2477" t="b">
        <v>1</v>
      </c>
      <c r="V263" s="2477">
        <v>77647</v>
      </c>
      <c r="W263" s="2477">
        <v>-3890326</v>
      </c>
      <c r="X263" s="3937">
        <v>0</v>
      </c>
      <c r="Y263" s="3938">
        <v>3890326</v>
      </c>
      <c r="Z263" s="3938" t="b">
        <v>1</v>
      </c>
      <c r="AA263" s="3938">
        <v>14408.614814814815</v>
      </c>
      <c r="AB263" s="3938"/>
      <c r="AC263" s="3938"/>
      <c r="AD263" s="3938" t="s">
        <v>2129</v>
      </c>
      <c r="AE263" s="3938"/>
      <c r="AF263" s="3938"/>
      <c r="AG263" t="s">
        <v>2131</v>
      </c>
      <c r="AH263" s="3965">
        <v>270</v>
      </c>
      <c r="AI263" s="3971" t="b">
        <v>1</v>
      </c>
      <c r="AJ263">
        <v>270</v>
      </c>
      <c r="AK263" s="3966">
        <v>14409</v>
      </c>
      <c r="AL263" s="2814" t="s">
        <v>2129</v>
      </c>
      <c r="AM263" s="2814" t="s">
        <v>2129</v>
      </c>
      <c r="AN263" s="2814">
        <v>1260</v>
      </c>
      <c r="AO263" s="3953" t="s">
        <v>2129</v>
      </c>
      <c r="AP263" s="2814" t="s">
        <v>2129</v>
      </c>
      <c r="AQ263" s="3954" t="s">
        <v>2129</v>
      </c>
      <c r="AR263" t="s">
        <v>2129</v>
      </c>
      <c r="AS263" t="s">
        <v>2129</v>
      </c>
      <c r="AU263" t="s">
        <v>2129</v>
      </c>
      <c r="AW263" t="s">
        <v>2129</v>
      </c>
      <c r="AX263" t="s">
        <v>2129</v>
      </c>
      <c r="AY263">
        <v>30</v>
      </c>
      <c r="AZ263" s="3946" t="s">
        <v>2129</v>
      </c>
      <c r="BA263" t="s">
        <v>2129</v>
      </c>
      <c r="BB263" s="3947" t="s">
        <v>2129</v>
      </c>
      <c r="BC263" s="1958" t="s">
        <v>2129</v>
      </c>
      <c r="BD263" s="1958" t="s">
        <v>2129</v>
      </c>
      <c r="BE263" s="1958">
        <v>18155340</v>
      </c>
      <c r="BF263" s="3937" t="s">
        <v>2129</v>
      </c>
      <c r="BG263" s="3938" t="s">
        <v>2129</v>
      </c>
      <c r="BH263" s="3938" t="s">
        <v>2129</v>
      </c>
      <c r="BI263" s="3937" t="s">
        <v>2129</v>
      </c>
      <c r="BJ263" s="3938" t="s">
        <v>2129</v>
      </c>
      <c r="BK263" s="3939">
        <v>4658820</v>
      </c>
      <c r="BL263" s="3938" t="s">
        <v>2129</v>
      </c>
      <c r="BM263" s="3938" t="s">
        <v>2129</v>
      </c>
      <c r="BN263" s="3939" t="s">
        <v>2129</v>
      </c>
      <c r="BO263" s="3937" t="s">
        <v>2129</v>
      </c>
      <c r="BP263" s="3988" t="s">
        <v>2129</v>
      </c>
      <c r="BQ263" s="3988"/>
      <c r="BR263" s="3988"/>
      <c r="BS263" s="2694"/>
    </row>
    <row r="264" spans="1:71" ht="13">
      <c r="A264">
        <v>3039</v>
      </c>
      <c r="B264" s="3980" t="s">
        <v>6988</v>
      </c>
      <c r="C264" s="2694" t="s">
        <v>2129</v>
      </c>
      <c r="D264" s="2694" t="s">
        <v>2129</v>
      </c>
      <c r="E264" s="2694" t="s">
        <v>3694</v>
      </c>
      <c r="F264" s="3974" t="s">
        <v>2129</v>
      </c>
      <c r="G264" s="3975" t="s">
        <v>2129</v>
      </c>
      <c r="H264" s="3976" t="s">
        <v>2129</v>
      </c>
      <c r="I264" s="2694">
        <v>0</v>
      </c>
      <c r="J264" s="3992">
        <v>0</v>
      </c>
      <c r="K264" s="2694">
        <v>0</v>
      </c>
      <c r="L264" s="2694" t="b">
        <v>0</v>
      </c>
      <c r="M264" s="2694" t="s">
        <v>2129</v>
      </c>
      <c r="N264" s="2477">
        <v>0</v>
      </c>
      <c r="O264" s="2477">
        <v>0</v>
      </c>
      <c r="P264" s="2477">
        <v>0</v>
      </c>
      <c r="Q264" s="2477">
        <v>0</v>
      </c>
      <c r="R264" s="2477">
        <v>0</v>
      </c>
      <c r="S264" s="2695">
        <v>0</v>
      </c>
      <c r="T264" s="2477">
        <v>0</v>
      </c>
      <c r="U264" s="2477" t="b">
        <v>1</v>
      </c>
      <c r="V264" s="2477" t="s">
        <v>2129</v>
      </c>
      <c r="W264" s="2477">
        <v>-1314266</v>
      </c>
      <c r="X264" s="3937">
        <v>0</v>
      </c>
      <c r="Y264" s="3938">
        <v>1314266</v>
      </c>
      <c r="Z264" s="3938" t="b">
        <v>1</v>
      </c>
      <c r="AA264" s="3938">
        <v>14934.84090909091</v>
      </c>
      <c r="AB264" s="3938"/>
      <c r="AC264" s="3938"/>
      <c r="AD264" s="3938" t="s">
        <v>2129</v>
      </c>
      <c r="AE264" s="3938"/>
      <c r="AF264" s="3938"/>
      <c r="AG264" t="s">
        <v>2131</v>
      </c>
      <c r="AH264" s="3965">
        <v>88</v>
      </c>
      <c r="AI264" s="3971" t="b">
        <v>1</v>
      </c>
      <c r="AJ264">
        <v>100</v>
      </c>
      <c r="AK264" s="3966">
        <v>13143</v>
      </c>
      <c r="AL264" s="2814" t="s">
        <v>2129</v>
      </c>
      <c r="AM264" s="2814" t="s">
        <v>2129</v>
      </c>
      <c r="AN264" s="2814">
        <v>1500</v>
      </c>
      <c r="AO264" s="3953" t="s">
        <v>2129</v>
      </c>
      <c r="AP264" s="2814" t="s">
        <v>2129</v>
      </c>
      <c r="AQ264" s="3954" t="s">
        <v>2129</v>
      </c>
      <c r="AR264" t="s">
        <v>2129</v>
      </c>
      <c r="AS264" t="s">
        <v>2129</v>
      </c>
      <c r="AU264" t="s">
        <v>2129</v>
      </c>
      <c r="AW264" t="s">
        <v>2129</v>
      </c>
      <c r="AX264" t="s">
        <v>2129</v>
      </c>
      <c r="AY264">
        <v>30</v>
      </c>
      <c r="AZ264" s="3946" t="s">
        <v>2129</v>
      </c>
      <c r="BA264" t="s">
        <v>2129</v>
      </c>
      <c r="BB264" s="3947" t="s">
        <v>2129</v>
      </c>
      <c r="BC264" s="1958" t="s">
        <v>2129</v>
      </c>
      <c r="BD264" s="1958" t="s">
        <v>2129</v>
      </c>
      <c r="BE264" s="1958">
        <v>19714500</v>
      </c>
      <c r="BF264" s="3937" t="s">
        <v>2129</v>
      </c>
      <c r="BG264" s="3938" t="s">
        <v>2129</v>
      </c>
      <c r="BH264" s="3938" t="s">
        <v>2129</v>
      </c>
      <c r="BI264" s="3937" t="s">
        <v>2129</v>
      </c>
      <c r="BJ264" s="3938" t="s">
        <v>2129</v>
      </c>
      <c r="BK264" s="3939" t="s">
        <v>2129</v>
      </c>
      <c r="BL264" s="3938" t="s">
        <v>2129</v>
      </c>
      <c r="BM264" s="3938" t="s">
        <v>2129</v>
      </c>
      <c r="BN264" s="3939" t="s">
        <v>2129</v>
      </c>
      <c r="BO264" s="3937" t="s">
        <v>2129</v>
      </c>
      <c r="BP264" s="3988" t="s">
        <v>2129</v>
      </c>
      <c r="BQ264" s="3988"/>
      <c r="BR264" s="3988"/>
      <c r="BS264" s="2694"/>
    </row>
    <row r="265" spans="1:71" ht="13">
      <c r="A265">
        <v>3040</v>
      </c>
      <c r="B265" s="3980" t="s">
        <v>6989</v>
      </c>
      <c r="C265" s="2694" t="s">
        <v>2129</v>
      </c>
      <c r="D265" s="2694" t="s">
        <v>2129</v>
      </c>
      <c r="E265" s="2694" t="s">
        <v>3694</v>
      </c>
      <c r="F265" s="3974" t="s">
        <v>2129</v>
      </c>
      <c r="G265" s="3975" t="s">
        <v>2129</v>
      </c>
      <c r="H265" s="3976" t="s">
        <v>2129</v>
      </c>
      <c r="I265" s="2694">
        <v>0</v>
      </c>
      <c r="J265" s="3992">
        <v>0</v>
      </c>
      <c r="K265" s="2694">
        <v>0</v>
      </c>
      <c r="L265" s="2694" t="b">
        <v>0</v>
      </c>
      <c r="M265" s="2694" t="s">
        <v>2129</v>
      </c>
      <c r="N265" s="2477">
        <v>0</v>
      </c>
      <c r="O265" s="2477">
        <v>0</v>
      </c>
      <c r="P265" s="2477">
        <v>0</v>
      </c>
      <c r="Q265" s="2477">
        <v>0</v>
      </c>
      <c r="R265" s="2477">
        <v>0</v>
      </c>
      <c r="S265" s="2695">
        <v>0</v>
      </c>
      <c r="T265" s="2477">
        <v>0</v>
      </c>
      <c r="U265" s="2477" t="b">
        <v>1</v>
      </c>
      <c r="V265" s="2477" t="s">
        <v>2129</v>
      </c>
      <c r="W265" s="2477">
        <v>-1314266</v>
      </c>
      <c r="X265" s="3937">
        <v>0</v>
      </c>
      <c r="Y265" s="3938">
        <v>1314266</v>
      </c>
      <c r="Z265" s="3938" t="b">
        <v>1</v>
      </c>
      <c r="AA265" s="3938">
        <v>14934.84090909091</v>
      </c>
      <c r="AB265" s="3938"/>
      <c r="AC265" s="3938"/>
      <c r="AD265" s="3938" t="s">
        <v>2129</v>
      </c>
      <c r="AE265" s="3938"/>
      <c r="AF265" s="3938"/>
      <c r="AG265" t="s">
        <v>2131</v>
      </c>
      <c r="AH265" s="3965">
        <v>88</v>
      </c>
      <c r="AI265" s="3971" t="b">
        <v>1</v>
      </c>
      <c r="AJ265">
        <v>35</v>
      </c>
      <c r="AK265" s="3966">
        <v>37551</v>
      </c>
      <c r="AL265" s="2814" t="s">
        <v>2129</v>
      </c>
      <c r="AM265" s="2814" t="s">
        <v>2129</v>
      </c>
      <c r="AN265" s="2814">
        <v>900</v>
      </c>
      <c r="AO265" s="3953" t="s">
        <v>2129</v>
      </c>
      <c r="AP265" s="2814" t="s">
        <v>2129</v>
      </c>
      <c r="AQ265" s="3954" t="s">
        <v>2129</v>
      </c>
      <c r="AR265" t="s">
        <v>2129</v>
      </c>
      <c r="AS265" t="s">
        <v>2129</v>
      </c>
      <c r="AU265" t="s">
        <v>2129</v>
      </c>
      <c r="AW265" t="s">
        <v>2129</v>
      </c>
      <c r="AX265" t="s">
        <v>2129</v>
      </c>
      <c r="AY265">
        <v>30</v>
      </c>
      <c r="AZ265" s="3946" t="s">
        <v>2129</v>
      </c>
      <c r="BA265" t="s">
        <v>2129</v>
      </c>
      <c r="BB265" s="3947" t="s">
        <v>2129</v>
      </c>
      <c r="BC265" s="1958" t="s">
        <v>2129</v>
      </c>
      <c r="BD265" s="1958" t="s">
        <v>2129</v>
      </c>
      <c r="BE265" s="1958">
        <v>33795900</v>
      </c>
      <c r="BF265" s="3937" t="s">
        <v>2129</v>
      </c>
      <c r="BG265" s="3938" t="s">
        <v>2129</v>
      </c>
      <c r="BH265" s="3938" t="s">
        <v>2129</v>
      </c>
      <c r="BI265" s="3937" t="s">
        <v>2129</v>
      </c>
      <c r="BJ265" s="3938" t="s">
        <v>2129</v>
      </c>
      <c r="BK265" s="3939" t="s">
        <v>2129</v>
      </c>
      <c r="BL265" s="3938" t="s">
        <v>2129</v>
      </c>
      <c r="BM265" s="3938" t="s">
        <v>2129</v>
      </c>
      <c r="BN265" s="3939" t="s">
        <v>2129</v>
      </c>
      <c r="BO265" s="3937" t="s">
        <v>2129</v>
      </c>
      <c r="BP265" s="3988" t="s">
        <v>2129</v>
      </c>
      <c r="BQ265" s="3988"/>
      <c r="BR265" s="3988"/>
      <c r="BS265" s="2694"/>
    </row>
    <row r="266" spans="1:71" ht="13">
      <c r="A266">
        <v>3041</v>
      </c>
      <c r="B266" s="3980" t="s">
        <v>6990</v>
      </c>
      <c r="C266" s="2694" t="s">
        <v>2129</v>
      </c>
      <c r="D266" s="2694" t="s">
        <v>2129</v>
      </c>
      <c r="E266" s="2694" t="s">
        <v>3694</v>
      </c>
      <c r="F266" s="3974" t="s">
        <v>2129</v>
      </c>
      <c r="G266" s="3975" t="s">
        <v>2129</v>
      </c>
      <c r="H266" s="3976" t="s">
        <v>2129</v>
      </c>
      <c r="I266" s="2694">
        <v>0</v>
      </c>
      <c r="J266" s="3992">
        <v>0</v>
      </c>
      <c r="K266" s="2694">
        <v>3</v>
      </c>
      <c r="L266" s="2694" t="b">
        <v>0</v>
      </c>
      <c r="M266" s="2694" t="s">
        <v>2129</v>
      </c>
      <c r="N266" s="2477">
        <v>0</v>
      </c>
      <c r="O266" s="2477">
        <v>0</v>
      </c>
      <c r="P266" s="2477">
        <v>0</v>
      </c>
      <c r="Q266" s="2477">
        <v>0</v>
      </c>
      <c r="R266" s="2477">
        <v>0</v>
      </c>
      <c r="S266" s="2695">
        <v>0</v>
      </c>
      <c r="T266" s="2477">
        <v>2576384</v>
      </c>
      <c r="U266" s="2477" t="b">
        <v>1</v>
      </c>
      <c r="V266" s="2477">
        <v>858794.66666666663</v>
      </c>
      <c r="W266" s="2477">
        <v>-1630596</v>
      </c>
      <c r="X266" s="3937">
        <v>0</v>
      </c>
      <c r="Y266" s="3938">
        <v>1630596</v>
      </c>
      <c r="Z266" s="3938" t="b">
        <v>1</v>
      </c>
      <c r="AA266" s="3938">
        <v>20382.45</v>
      </c>
      <c r="AB266" s="3938"/>
      <c r="AC266" s="3938"/>
      <c r="AD266" s="3938" t="s">
        <v>2129</v>
      </c>
      <c r="AE266" s="3938"/>
      <c r="AF266" s="3938"/>
      <c r="AG266" t="s">
        <v>2131</v>
      </c>
      <c r="AH266" s="3965">
        <v>80</v>
      </c>
      <c r="AI266" s="3971" t="b">
        <v>1</v>
      </c>
      <c r="AJ266">
        <v>35</v>
      </c>
      <c r="AK266" s="3966">
        <v>46589</v>
      </c>
      <c r="AL266" s="2814" t="s">
        <v>2129</v>
      </c>
      <c r="AM266" s="2814" t="s">
        <v>2129</v>
      </c>
      <c r="AN266" s="2814">
        <v>600</v>
      </c>
      <c r="AO266" s="3953" t="s">
        <v>2129</v>
      </c>
      <c r="AP266" s="2814" t="s">
        <v>2129</v>
      </c>
      <c r="AQ266" s="3954" t="s">
        <v>2129</v>
      </c>
      <c r="AR266" t="s">
        <v>2129</v>
      </c>
      <c r="AS266" t="s">
        <v>2129</v>
      </c>
      <c r="AU266" t="s">
        <v>2129</v>
      </c>
      <c r="AW266" t="s">
        <v>2129</v>
      </c>
      <c r="AX266" t="s">
        <v>2129</v>
      </c>
      <c r="AY266">
        <v>30</v>
      </c>
      <c r="AZ266" s="3946" t="s">
        <v>2129</v>
      </c>
      <c r="BA266" t="s">
        <v>2129</v>
      </c>
      <c r="BB266" s="3947" t="s">
        <v>2129</v>
      </c>
      <c r="BC266" s="1958" t="s">
        <v>2129</v>
      </c>
      <c r="BD266" s="1958" t="s">
        <v>2129</v>
      </c>
      <c r="BE266" s="1958">
        <v>27953400</v>
      </c>
      <c r="BF266" s="3937" t="s">
        <v>2129</v>
      </c>
      <c r="BG266" s="3938" t="s">
        <v>2129</v>
      </c>
      <c r="BH266" s="3938" t="s">
        <v>2129</v>
      </c>
      <c r="BI266" s="3937" t="s">
        <v>2129</v>
      </c>
      <c r="BJ266" s="3938" t="s">
        <v>2129</v>
      </c>
      <c r="BK266" s="3939">
        <v>77291520</v>
      </c>
      <c r="BL266" s="3938" t="s">
        <v>2129</v>
      </c>
      <c r="BM266" s="3938" t="s">
        <v>2129</v>
      </c>
      <c r="BN266" s="3939" t="s">
        <v>2129</v>
      </c>
      <c r="BO266" s="3937" t="s">
        <v>2129</v>
      </c>
      <c r="BP266" s="3988" t="s">
        <v>2129</v>
      </c>
      <c r="BQ266" s="3988"/>
      <c r="BR266" s="3988"/>
      <c r="BS266" s="2694"/>
    </row>
    <row r="267" spans="1:71" ht="13">
      <c r="A267">
        <v>3042</v>
      </c>
      <c r="B267" s="3980" t="s">
        <v>6991</v>
      </c>
      <c r="C267" s="2694" t="s">
        <v>2129</v>
      </c>
      <c r="D267" s="2694" t="s">
        <v>2129</v>
      </c>
      <c r="E267" s="2694" t="s">
        <v>3694</v>
      </c>
      <c r="F267" s="3974" t="s">
        <v>2129</v>
      </c>
      <c r="G267" s="3975" t="s">
        <v>2129</v>
      </c>
      <c r="H267" s="3976" t="s">
        <v>2129</v>
      </c>
      <c r="I267" s="2694">
        <v>0</v>
      </c>
      <c r="J267" s="3992">
        <v>0</v>
      </c>
      <c r="K267" s="2694">
        <v>0</v>
      </c>
      <c r="L267" s="2694" t="b">
        <v>0</v>
      </c>
      <c r="M267" s="2694" t="s">
        <v>2129</v>
      </c>
      <c r="N267" s="2477">
        <v>0</v>
      </c>
      <c r="O267" s="2477">
        <v>0</v>
      </c>
      <c r="P267" s="2477">
        <v>0</v>
      </c>
      <c r="Q267" s="2477">
        <v>0</v>
      </c>
      <c r="R267" s="2477">
        <v>0</v>
      </c>
      <c r="S267" s="2695">
        <v>0</v>
      </c>
      <c r="T267" s="2477">
        <v>0</v>
      </c>
      <c r="U267" s="2477" t="b">
        <v>1</v>
      </c>
      <c r="V267" s="2477" t="s">
        <v>2129</v>
      </c>
      <c r="W267" s="2477">
        <v>-4875728</v>
      </c>
      <c r="X267" s="3937">
        <v>0</v>
      </c>
      <c r="Y267" s="3938">
        <v>4875728</v>
      </c>
      <c r="Z267" s="3938" t="b">
        <v>1</v>
      </c>
      <c r="AA267" s="3938">
        <v>34826.62857142857</v>
      </c>
      <c r="AB267" s="3938"/>
      <c r="AC267" s="3938"/>
      <c r="AD267" s="3938" t="s">
        <v>2129</v>
      </c>
      <c r="AE267" s="3938"/>
      <c r="AF267" s="3938"/>
      <c r="AG267" t="s">
        <v>2131</v>
      </c>
      <c r="AH267" s="3965">
        <v>140</v>
      </c>
      <c r="AI267" s="3971" t="b">
        <v>1</v>
      </c>
      <c r="AJ267">
        <v>35</v>
      </c>
      <c r="AK267" s="3966">
        <v>139307</v>
      </c>
      <c r="AL267" s="2814" t="s">
        <v>2129</v>
      </c>
      <c r="AM267" s="2814" t="s">
        <v>2129</v>
      </c>
      <c r="AN267" s="2814">
        <v>900</v>
      </c>
      <c r="AO267" s="3953" t="s">
        <v>2129</v>
      </c>
      <c r="AP267" s="2814" t="s">
        <v>2129</v>
      </c>
      <c r="AQ267" s="3954" t="s">
        <v>2129</v>
      </c>
      <c r="AR267" t="s">
        <v>2129</v>
      </c>
      <c r="AS267" t="s">
        <v>2129</v>
      </c>
      <c r="AU267" t="s">
        <v>2129</v>
      </c>
      <c r="AW267" t="s">
        <v>2129</v>
      </c>
      <c r="AX267" t="s">
        <v>2129</v>
      </c>
      <c r="AY267">
        <v>30</v>
      </c>
      <c r="AZ267" s="3946" t="s">
        <v>2129</v>
      </c>
      <c r="BA267" t="s">
        <v>2129</v>
      </c>
      <c r="BB267" s="3947" t="s">
        <v>2129</v>
      </c>
      <c r="BC267" s="1958" t="s">
        <v>2129</v>
      </c>
      <c r="BD267" s="1958" t="s">
        <v>2129</v>
      </c>
      <c r="BE267" s="1958">
        <v>125376300</v>
      </c>
      <c r="BF267" s="3937" t="s">
        <v>2129</v>
      </c>
      <c r="BG267" s="3938" t="s">
        <v>2129</v>
      </c>
      <c r="BH267" s="3938" t="s">
        <v>2129</v>
      </c>
      <c r="BI267" s="3937" t="s">
        <v>2129</v>
      </c>
      <c r="BJ267" s="3938" t="s">
        <v>2129</v>
      </c>
      <c r="BK267" s="3939" t="s">
        <v>2129</v>
      </c>
      <c r="BL267" s="3938" t="s">
        <v>2129</v>
      </c>
      <c r="BM267" s="3938" t="s">
        <v>2129</v>
      </c>
      <c r="BN267" s="3939" t="s">
        <v>2129</v>
      </c>
      <c r="BO267" s="3937" t="s">
        <v>2129</v>
      </c>
      <c r="BP267" s="3988" t="s">
        <v>2129</v>
      </c>
      <c r="BQ267" s="3988"/>
      <c r="BR267" s="3988">
        <v>450000</v>
      </c>
      <c r="BS267" s="2694"/>
    </row>
    <row r="268" spans="1:71" ht="13">
      <c r="A268">
        <v>3043</v>
      </c>
      <c r="B268" s="3980" t="s">
        <v>6992</v>
      </c>
      <c r="C268" s="2694" t="s">
        <v>2129</v>
      </c>
      <c r="D268" s="2694" t="s">
        <v>2129</v>
      </c>
      <c r="E268" s="2694" t="s">
        <v>3694</v>
      </c>
      <c r="F268" s="3974" t="s">
        <v>2129</v>
      </c>
      <c r="G268" s="3975" t="s">
        <v>2129</v>
      </c>
      <c r="H268" s="3976" t="s">
        <v>2129</v>
      </c>
      <c r="I268" s="2694">
        <v>0</v>
      </c>
      <c r="J268" s="3992">
        <v>0</v>
      </c>
      <c r="K268" s="2694">
        <v>0</v>
      </c>
      <c r="L268" s="2694" t="b">
        <v>0</v>
      </c>
      <c r="M268" s="2694" t="s">
        <v>2129</v>
      </c>
      <c r="N268" s="2477">
        <v>0</v>
      </c>
      <c r="O268" s="2477">
        <v>0</v>
      </c>
      <c r="P268" s="2477">
        <v>0</v>
      </c>
      <c r="Q268" s="2477">
        <v>0</v>
      </c>
      <c r="R268" s="2477">
        <v>0</v>
      </c>
      <c r="S268" s="2695">
        <v>0</v>
      </c>
      <c r="T268" s="2477">
        <v>0</v>
      </c>
      <c r="U268" s="2477" t="b">
        <v>1</v>
      </c>
      <c r="V268" s="2477" t="s">
        <v>2129</v>
      </c>
      <c r="W268" s="2477">
        <v>-2348219.5</v>
      </c>
      <c r="X268" s="3937">
        <v>0</v>
      </c>
      <c r="Y268" s="3938">
        <v>2348219.5</v>
      </c>
      <c r="Z268" s="3938" t="b">
        <v>1</v>
      </c>
      <c r="AA268" s="3938">
        <v>26091.327777777777</v>
      </c>
      <c r="AB268" s="3938"/>
      <c r="AC268" s="3938"/>
      <c r="AD268" s="3938" t="s">
        <v>2129</v>
      </c>
      <c r="AE268" s="3938"/>
      <c r="AF268" s="3938"/>
      <c r="AG268" t="s">
        <v>2131</v>
      </c>
      <c r="AH268" s="3965">
        <v>90</v>
      </c>
      <c r="AI268" s="3971" t="b">
        <v>1</v>
      </c>
      <c r="AJ268">
        <v>35</v>
      </c>
      <c r="AK268" s="3966">
        <v>67092</v>
      </c>
      <c r="AL268" s="2814" t="s">
        <v>2129</v>
      </c>
      <c r="AM268" s="2814" t="s">
        <v>2129</v>
      </c>
      <c r="AN268" s="2814">
        <v>1200</v>
      </c>
      <c r="AO268" s="3953" t="s">
        <v>2129</v>
      </c>
      <c r="AP268" s="2814" t="s">
        <v>2129</v>
      </c>
      <c r="AQ268" s="3954" t="s">
        <v>2129</v>
      </c>
      <c r="AR268" t="s">
        <v>2129</v>
      </c>
      <c r="AS268" t="s">
        <v>2129</v>
      </c>
      <c r="AU268" t="s">
        <v>2129</v>
      </c>
      <c r="AW268" t="s">
        <v>2129</v>
      </c>
      <c r="AX268" t="s">
        <v>2129</v>
      </c>
      <c r="AY268">
        <v>30</v>
      </c>
      <c r="AZ268" s="3946" t="s">
        <v>2129</v>
      </c>
      <c r="BA268" t="s">
        <v>2129</v>
      </c>
      <c r="BB268" s="3947" t="s">
        <v>2129</v>
      </c>
      <c r="BC268" s="1958" t="s">
        <v>2129</v>
      </c>
      <c r="BD268" s="1958" t="s">
        <v>2129</v>
      </c>
      <c r="BE268" s="1958">
        <v>80510400</v>
      </c>
      <c r="BF268" s="3937" t="s">
        <v>2129</v>
      </c>
      <c r="BG268" s="3938" t="s">
        <v>2129</v>
      </c>
      <c r="BH268" s="3938" t="s">
        <v>2129</v>
      </c>
      <c r="BI268" s="3937" t="s">
        <v>2129</v>
      </c>
      <c r="BJ268" s="3938" t="s">
        <v>2129</v>
      </c>
      <c r="BK268" s="3939" t="s">
        <v>2129</v>
      </c>
      <c r="BL268" s="3938" t="s">
        <v>2129</v>
      </c>
      <c r="BM268" s="3938" t="s">
        <v>2129</v>
      </c>
      <c r="BN268" s="3939" t="s">
        <v>2129</v>
      </c>
      <c r="BO268" s="3937" t="s">
        <v>2129</v>
      </c>
      <c r="BP268" s="3988" t="s">
        <v>2129</v>
      </c>
      <c r="BQ268" s="3988">
        <v>600000</v>
      </c>
      <c r="BR268" s="3988">
        <v>600000</v>
      </c>
      <c r="BS268" s="2694"/>
    </row>
    <row r="269" spans="1:71" ht="13">
      <c r="A269">
        <v>3044</v>
      </c>
      <c r="B269" s="3980" t="s">
        <v>6993</v>
      </c>
      <c r="C269" s="2694" t="s">
        <v>2129</v>
      </c>
      <c r="D269" s="2694" t="s">
        <v>2129</v>
      </c>
      <c r="E269" s="2694" t="s">
        <v>3694</v>
      </c>
      <c r="F269" s="3974" t="s">
        <v>2129</v>
      </c>
      <c r="G269" s="3975" t="s">
        <v>2129</v>
      </c>
      <c r="H269" s="3976" t="s">
        <v>2129</v>
      </c>
      <c r="I269" s="2694">
        <v>0</v>
      </c>
      <c r="J269" s="3992">
        <v>0</v>
      </c>
      <c r="K269" s="2694">
        <v>0</v>
      </c>
      <c r="L269" s="2694" t="b">
        <v>0</v>
      </c>
      <c r="M269" s="2694" t="s">
        <v>2129</v>
      </c>
      <c r="N269" s="2477">
        <v>0</v>
      </c>
      <c r="O269" s="2477">
        <v>0</v>
      </c>
      <c r="P269" s="2477">
        <v>0</v>
      </c>
      <c r="Q269" s="2477">
        <v>0</v>
      </c>
      <c r="R269" s="2477">
        <v>0</v>
      </c>
      <c r="S269" s="2695">
        <v>0</v>
      </c>
      <c r="T269" s="2477">
        <v>0</v>
      </c>
      <c r="U269" s="2477" t="b">
        <v>1</v>
      </c>
      <c r="V269" s="2477" t="s">
        <v>2129</v>
      </c>
      <c r="W269" s="2477">
        <v>-442750</v>
      </c>
      <c r="X269" s="3937">
        <v>0</v>
      </c>
      <c r="Y269" s="3938">
        <v>442750</v>
      </c>
      <c r="Z269" s="3938" t="b">
        <v>1</v>
      </c>
      <c r="AA269" s="3938">
        <v>12650</v>
      </c>
      <c r="AB269" s="3938"/>
      <c r="AC269" s="3938"/>
      <c r="AD269" s="3938" t="s">
        <v>2129</v>
      </c>
      <c r="AE269" s="3938"/>
      <c r="AF269" s="3938"/>
      <c r="AG269" t="s">
        <v>2131</v>
      </c>
      <c r="AH269" s="3965">
        <v>35</v>
      </c>
      <c r="AI269" s="3971" t="b">
        <v>1</v>
      </c>
      <c r="AJ269">
        <v>35</v>
      </c>
      <c r="AK269" s="3966">
        <v>12650</v>
      </c>
      <c r="AL269" s="2814" t="s">
        <v>2129</v>
      </c>
      <c r="AM269" s="2814" t="s">
        <v>2129</v>
      </c>
      <c r="AN269" s="2814">
        <v>900</v>
      </c>
      <c r="AO269" s="3953" t="s">
        <v>2129</v>
      </c>
      <c r="AP269" s="2814" t="s">
        <v>2129</v>
      </c>
      <c r="AQ269" s="3954" t="s">
        <v>2129</v>
      </c>
      <c r="AR269" t="s">
        <v>2129</v>
      </c>
      <c r="AS269" t="s">
        <v>2129</v>
      </c>
      <c r="AU269" t="s">
        <v>2129</v>
      </c>
      <c r="AW269" t="s">
        <v>2129</v>
      </c>
      <c r="AX269" t="s">
        <v>2129</v>
      </c>
      <c r="AY269">
        <v>30</v>
      </c>
      <c r="AZ269" s="3946" t="s">
        <v>2129</v>
      </c>
      <c r="BA269" t="s">
        <v>2129</v>
      </c>
      <c r="BB269" s="3947" t="s">
        <v>2129</v>
      </c>
      <c r="BC269" s="1958" t="s">
        <v>2129</v>
      </c>
      <c r="BD269" s="1958" t="s">
        <v>2129</v>
      </c>
      <c r="BE269" s="1958">
        <v>11385000</v>
      </c>
      <c r="BF269" s="3937" t="s">
        <v>2129</v>
      </c>
      <c r="BG269" s="3938" t="s">
        <v>2129</v>
      </c>
      <c r="BH269" s="3938" t="s">
        <v>2129</v>
      </c>
      <c r="BI269" s="3937" t="s">
        <v>2129</v>
      </c>
      <c r="BJ269" s="3938" t="s">
        <v>2129</v>
      </c>
      <c r="BK269" s="3939" t="s">
        <v>2129</v>
      </c>
      <c r="BL269" s="3938" t="s">
        <v>2129</v>
      </c>
      <c r="BM269" s="3938" t="s">
        <v>2129</v>
      </c>
      <c r="BN269" s="3939" t="s">
        <v>2129</v>
      </c>
      <c r="BO269" s="3937" t="s">
        <v>2129</v>
      </c>
      <c r="BP269" s="3988" t="s">
        <v>2129</v>
      </c>
      <c r="BQ269" s="3988">
        <v>450000</v>
      </c>
      <c r="BR269" s="3988">
        <v>450000</v>
      </c>
      <c r="BS269" s="2694"/>
    </row>
    <row r="270" spans="1:71" ht="13">
      <c r="A270">
        <v>3045</v>
      </c>
      <c r="B270" s="3980" t="s">
        <v>6994</v>
      </c>
      <c r="C270" s="2694" t="s">
        <v>2129</v>
      </c>
      <c r="D270" s="2694" t="s">
        <v>2129</v>
      </c>
      <c r="E270" s="2694" t="s">
        <v>3694</v>
      </c>
      <c r="F270" s="3974" t="s">
        <v>2129</v>
      </c>
      <c r="G270" s="3975" t="s">
        <v>2129</v>
      </c>
      <c r="H270" s="3976" t="s">
        <v>2129</v>
      </c>
      <c r="I270" s="2694">
        <v>0</v>
      </c>
      <c r="J270" s="3992">
        <v>0</v>
      </c>
      <c r="K270" s="2694">
        <v>0</v>
      </c>
      <c r="L270" s="2694" t="b">
        <v>0</v>
      </c>
      <c r="M270" s="2694" t="s">
        <v>2129</v>
      </c>
      <c r="N270" s="2477">
        <v>0</v>
      </c>
      <c r="O270" s="2477">
        <v>0</v>
      </c>
      <c r="P270" s="2477">
        <v>0</v>
      </c>
      <c r="Q270" s="2477">
        <v>0</v>
      </c>
      <c r="R270" s="2477">
        <v>0</v>
      </c>
      <c r="S270" s="2695">
        <v>0</v>
      </c>
      <c r="T270" s="2477">
        <v>0</v>
      </c>
      <c r="U270" s="2477" t="b">
        <v>1</v>
      </c>
      <c r="V270" s="2477" t="s">
        <v>2129</v>
      </c>
      <c r="W270" s="2477">
        <v>-1826280</v>
      </c>
      <c r="X270" s="3937">
        <v>0</v>
      </c>
      <c r="Y270" s="3938">
        <v>1826280</v>
      </c>
      <c r="Z270" s="3938" t="b">
        <v>1</v>
      </c>
      <c r="AA270" s="3938">
        <v>40584</v>
      </c>
      <c r="AB270" s="3938"/>
      <c r="AC270" s="3938"/>
      <c r="AD270" s="3938" t="s">
        <v>2129</v>
      </c>
      <c r="AE270" s="3938"/>
      <c r="AF270" s="3938"/>
      <c r="AG270" t="s">
        <v>2131</v>
      </c>
      <c r="AH270" s="3965">
        <v>45</v>
      </c>
      <c r="AI270" s="3971" t="b">
        <v>1</v>
      </c>
      <c r="AJ270">
        <v>35</v>
      </c>
      <c r="AK270" s="3966">
        <v>52180</v>
      </c>
      <c r="AL270" s="2814" t="s">
        <v>2129</v>
      </c>
      <c r="AM270" s="2814" t="s">
        <v>2129</v>
      </c>
      <c r="AN270" s="2814">
        <v>1500</v>
      </c>
      <c r="AO270" s="3953" t="s">
        <v>2129</v>
      </c>
      <c r="AP270" s="2814" t="s">
        <v>2129</v>
      </c>
      <c r="AQ270" s="3954" t="s">
        <v>2129</v>
      </c>
      <c r="AR270" t="s">
        <v>2129</v>
      </c>
      <c r="AS270" t="s">
        <v>2129</v>
      </c>
      <c r="AU270" t="s">
        <v>2129</v>
      </c>
      <c r="AW270" t="s">
        <v>2129</v>
      </c>
      <c r="AX270" t="s">
        <v>2129</v>
      </c>
      <c r="AY270">
        <v>30</v>
      </c>
      <c r="AZ270" s="3946" t="s">
        <v>2129</v>
      </c>
      <c r="BA270" t="s">
        <v>2129</v>
      </c>
      <c r="BB270" s="3947" t="s">
        <v>2129</v>
      </c>
      <c r="BC270" s="1958" t="s">
        <v>2129</v>
      </c>
      <c r="BD270" s="1958" t="s">
        <v>2129</v>
      </c>
      <c r="BE270" s="1958">
        <v>78270000</v>
      </c>
      <c r="BF270" s="3937" t="s">
        <v>2129</v>
      </c>
      <c r="BG270" s="3938" t="s">
        <v>2129</v>
      </c>
      <c r="BH270" s="3938" t="s">
        <v>2129</v>
      </c>
      <c r="BI270" s="3937" t="s">
        <v>2129</v>
      </c>
      <c r="BJ270" s="3938" t="s">
        <v>2129</v>
      </c>
      <c r="BK270" s="3939" t="s">
        <v>2129</v>
      </c>
      <c r="BL270" s="3938" t="s">
        <v>2129</v>
      </c>
      <c r="BM270" s="3938" t="s">
        <v>2129</v>
      </c>
      <c r="BN270" s="3939" t="s">
        <v>2129</v>
      </c>
      <c r="BO270" s="3937" t="s">
        <v>2129</v>
      </c>
      <c r="BP270" s="3988" t="s">
        <v>2129</v>
      </c>
      <c r="BQ270" s="3988">
        <v>750000</v>
      </c>
      <c r="BR270" s="3988">
        <v>750000</v>
      </c>
      <c r="BS270" s="2694"/>
    </row>
    <row r="271" spans="1:71" ht="13">
      <c r="A271">
        <v>3046</v>
      </c>
      <c r="B271" s="3980" t="s">
        <v>6995</v>
      </c>
      <c r="C271" s="2694" t="s">
        <v>2129</v>
      </c>
      <c r="D271" s="2694" t="s">
        <v>2129</v>
      </c>
      <c r="E271" s="2694" t="s">
        <v>3694</v>
      </c>
      <c r="F271" s="3974" t="s">
        <v>2129</v>
      </c>
      <c r="G271" s="3975" t="s">
        <v>2129</v>
      </c>
      <c r="H271" s="3976" t="s">
        <v>2129</v>
      </c>
      <c r="I271" s="2694">
        <v>0</v>
      </c>
      <c r="J271" s="3992">
        <v>0</v>
      </c>
      <c r="K271" s="2694">
        <v>0</v>
      </c>
      <c r="L271" s="2694" t="b">
        <v>0</v>
      </c>
      <c r="M271" s="2694" t="s">
        <v>2129</v>
      </c>
      <c r="N271" s="2477">
        <v>0</v>
      </c>
      <c r="O271" s="2477">
        <v>0</v>
      </c>
      <c r="P271" s="2477">
        <v>0</v>
      </c>
      <c r="Q271" s="2477">
        <v>0</v>
      </c>
      <c r="R271" s="2477">
        <v>0</v>
      </c>
      <c r="S271" s="2695">
        <v>0</v>
      </c>
      <c r="T271" s="2477">
        <v>0</v>
      </c>
      <c r="U271" s="2477" t="b">
        <v>1</v>
      </c>
      <c r="V271" s="2477" t="s">
        <v>2129</v>
      </c>
      <c r="W271" s="2477">
        <v>-2080993</v>
      </c>
      <c r="X271" s="3937">
        <v>0</v>
      </c>
      <c r="Y271" s="3938">
        <v>2080993</v>
      </c>
      <c r="Z271" s="3938" t="b">
        <v>1</v>
      </c>
      <c r="AA271" s="3938">
        <v>23647.647727272728</v>
      </c>
      <c r="AB271" s="3938"/>
      <c r="AC271" s="3938"/>
      <c r="AD271" s="3938" t="s">
        <v>2129</v>
      </c>
      <c r="AE271" s="3938"/>
      <c r="AF271" s="3938"/>
      <c r="AG271" t="s">
        <v>2131</v>
      </c>
      <c r="AH271" s="3965">
        <v>88</v>
      </c>
      <c r="AI271" s="3971" t="b">
        <v>1</v>
      </c>
      <c r="AJ271">
        <v>90</v>
      </c>
      <c r="AK271" s="3966">
        <v>23123</v>
      </c>
      <c r="AL271" s="2814" t="s">
        <v>2129</v>
      </c>
      <c r="AM271" s="2814" t="s">
        <v>2129</v>
      </c>
      <c r="AN271" s="2814">
        <v>3000</v>
      </c>
      <c r="AO271" s="3953" t="s">
        <v>2129</v>
      </c>
      <c r="AP271" s="2814" t="s">
        <v>2129</v>
      </c>
      <c r="AQ271" s="3954" t="s">
        <v>2129</v>
      </c>
      <c r="AR271" t="s">
        <v>2129</v>
      </c>
      <c r="AS271" t="s">
        <v>2129</v>
      </c>
      <c r="AU271" t="s">
        <v>2129</v>
      </c>
      <c r="AW271" t="s">
        <v>2129</v>
      </c>
      <c r="AX271" t="s">
        <v>2129</v>
      </c>
      <c r="AY271">
        <v>30</v>
      </c>
      <c r="AZ271" s="3946" t="s">
        <v>2129</v>
      </c>
      <c r="BA271" t="s">
        <v>2129</v>
      </c>
      <c r="BB271" s="3947" t="s">
        <v>2129</v>
      </c>
      <c r="BC271" s="1958" t="s">
        <v>2129</v>
      </c>
      <c r="BD271" s="1958" t="s">
        <v>2129</v>
      </c>
      <c r="BE271" s="1958">
        <v>69369000</v>
      </c>
      <c r="BF271" s="3937" t="s">
        <v>2129</v>
      </c>
      <c r="BG271" s="3938" t="s">
        <v>2129</v>
      </c>
      <c r="BH271" s="3938" t="s">
        <v>2129</v>
      </c>
      <c r="BI271" s="3937" t="s">
        <v>2129</v>
      </c>
      <c r="BJ271" s="3938" t="s">
        <v>2129</v>
      </c>
      <c r="BK271" s="3939" t="s">
        <v>2129</v>
      </c>
      <c r="BL271" s="3938" t="s">
        <v>2129</v>
      </c>
      <c r="BM271" s="3938" t="s">
        <v>2129</v>
      </c>
      <c r="BN271" s="3939" t="s">
        <v>2129</v>
      </c>
      <c r="BO271" s="3937" t="s">
        <v>2129</v>
      </c>
      <c r="BP271" s="3988" t="s">
        <v>2129</v>
      </c>
      <c r="BQ271" s="3988"/>
      <c r="BR271" s="3988">
        <v>600000</v>
      </c>
      <c r="BS271" s="2694"/>
    </row>
    <row r="272" spans="1:71" ht="13">
      <c r="A272" t="s">
        <v>3453</v>
      </c>
      <c r="B272" s="3979" t="s">
        <v>3454</v>
      </c>
      <c r="C272" s="2694" t="s">
        <v>2129</v>
      </c>
      <c r="D272" s="2694" t="s">
        <v>2129</v>
      </c>
      <c r="E272" s="2694" t="s">
        <v>2129</v>
      </c>
      <c r="F272" s="3974" t="s">
        <v>2129</v>
      </c>
      <c r="G272" s="3975" t="s">
        <v>2129</v>
      </c>
      <c r="H272" s="3976" t="s">
        <v>2129</v>
      </c>
      <c r="I272" s="2694"/>
      <c r="J272" s="2694"/>
      <c r="K272" s="2694">
        <v>0</v>
      </c>
      <c r="L272" s="2694" t="b">
        <v>1</v>
      </c>
      <c r="M272" s="2694" t="s">
        <v>2129</v>
      </c>
      <c r="N272" s="2477"/>
      <c r="O272" s="2477"/>
      <c r="P272" s="2477"/>
      <c r="Q272" s="2477"/>
      <c r="R272" s="2477"/>
      <c r="S272" s="2695"/>
      <c r="T272" s="2477">
        <v>0</v>
      </c>
      <c r="U272" s="2477" t="b">
        <v>1</v>
      </c>
      <c r="V272" s="2477" t="s">
        <v>2129</v>
      </c>
      <c r="W272" s="2477"/>
      <c r="X272" s="3937">
        <v>0</v>
      </c>
      <c r="Y272" s="3938">
        <v>0</v>
      </c>
      <c r="Z272" s="3938" t="b">
        <v>1</v>
      </c>
      <c r="AA272" s="3938"/>
      <c r="AB272" s="3938"/>
      <c r="AC272" s="3938"/>
      <c r="AD272" s="3938" t="s">
        <v>2129</v>
      </c>
      <c r="AE272" s="3938"/>
      <c r="AF272" s="3938"/>
      <c r="AH272">
        <v>300</v>
      </c>
      <c r="AI272" t="b">
        <v>1</v>
      </c>
      <c r="AJ272"/>
      <c r="AK272" s="3966" t="e">
        <v>#DIV/0!</v>
      </c>
      <c r="AL272" s="2814" t="s">
        <v>2129</v>
      </c>
      <c r="AM272" s="2814" t="s">
        <v>2129</v>
      </c>
      <c r="AN272" s="2814" t="s">
        <v>2129</v>
      </c>
      <c r="AO272" s="3953" t="s">
        <v>2129</v>
      </c>
      <c r="AP272" s="2814" t="s">
        <v>2129</v>
      </c>
      <c r="AQ272" s="3954" t="s">
        <v>2129</v>
      </c>
      <c r="AR272" t="s">
        <v>2129</v>
      </c>
      <c r="AS272" t="s">
        <v>2129</v>
      </c>
      <c r="AU272" t="s">
        <v>2129</v>
      </c>
      <c r="AW272" t="s">
        <v>2129</v>
      </c>
      <c r="AX272" t="s">
        <v>2129</v>
      </c>
      <c r="AY272" t="s">
        <v>2129</v>
      </c>
      <c r="AZ272" s="3946" t="s">
        <v>2129</v>
      </c>
      <c r="BA272" t="s">
        <v>2129</v>
      </c>
      <c r="BB272" s="3947" t="s">
        <v>2129</v>
      </c>
      <c r="BC272" s="1958" t="s">
        <v>2129</v>
      </c>
      <c r="BD272" s="1958" t="s">
        <v>2129</v>
      </c>
      <c r="BE272" s="1958" t="s">
        <v>2129</v>
      </c>
      <c r="BF272" s="3937" t="s">
        <v>2129</v>
      </c>
      <c r="BG272" s="3938" t="s">
        <v>2129</v>
      </c>
      <c r="BH272" s="3938" t="s">
        <v>2129</v>
      </c>
      <c r="BI272" s="3937" t="s">
        <v>2129</v>
      </c>
      <c r="BJ272" s="3938" t="s">
        <v>2129</v>
      </c>
      <c r="BK272" s="3939" t="s">
        <v>2129</v>
      </c>
      <c r="BL272" s="3938" t="s">
        <v>2129</v>
      </c>
      <c r="BM272" s="3938" t="s">
        <v>2129</v>
      </c>
      <c r="BN272" s="3939" t="s">
        <v>2129</v>
      </c>
      <c r="BO272" s="3937" t="s">
        <v>2129</v>
      </c>
      <c r="BP272" s="3988" t="s">
        <v>2129</v>
      </c>
      <c r="BQ272" s="3988"/>
      <c r="BR272" s="3988"/>
      <c r="BS272" s="2694"/>
    </row>
    <row r="273" spans="1:71" ht="13">
      <c r="A273" t="s">
        <v>3453</v>
      </c>
      <c r="B273" s="3979" t="s">
        <v>3455</v>
      </c>
      <c r="C273" s="2694" t="s">
        <v>2129</v>
      </c>
      <c r="D273" s="2694" t="s">
        <v>2129</v>
      </c>
      <c r="E273" s="2694" t="s">
        <v>2129</v>
      </c>
      <c r="F273" s="3974" t="s">
        <v>2129</v>
      </c>
      <c r="G273" s="3975" t="s">
        <v>2129</v>
      </c>
      <c r="H273" s="3976" t="s">
        <v>2129</v>
      </c>
      <c r="I273" s="2694"/>
      <c r="J273" s="2694"/>
      <c r="K273" s="2694"/>
      <c r="L273" s="2694" t="b">
        <v>1</v>
      </c>
      <c r="M273" s="2694" t="s">
        <v>2129</v>
      </c>
      <c r="N273" s="2477"/>
      <c r="O273" s="2477"/>
      <c r="P273" s="2477"/>
      <c r="Q273" s="2477"/>
      <c r="R273" s="2477"/>
      <c r="S273" s="2695"/>
      <c r="T273" s="2477"/>
      <c r="U273" s="2477" t="b">
        <v>1</v>
      </c>
      <c r="V273" s="2477" t="s">
        <v>2129</v>
      </c>
      <c r="W273" s="2477"/>
      <c r="X273" s="3937">
        <v>0</v>
      </c>
      <c r="Y273" s="3938">
        <v>0</v>
      </c>
      <c r="Z273" s="3938" t="b">
        <v>1</v>
      </c>
      <c r="AA273" s="3938"/>
      <c r="AB273" s="3938"/>
      <c r="AC273" s="3938"/>
      <c r="AD273" s="3938" t="s">
        <v>2129</v>
      </c>
      <c r="AE273" s="3938"/>
      <c r="AF273" s="3938"/>
      <c r="AG273" t="s">
        <v>3308</v>
      </c>
      <c r="AH273" s="3965">
        <v>300</v>
      </c>
      <c r="AI273" s="3965" t="b">
        <v>1</v>
      </c>
      <c r="AJ273" t="s">
        <v>3308</v>
      </c>
      <c r="AK273" s="3966" t="e">
        <v>#VALUE!</v>
      </c>
      <c r="AL273" s="2814" t="s">
        <v>2129</v>
      </c>
      <c r="AM273" s="2814" t="s">
        <v>2129</v>
      </c>
      <c r="AN273" s="2814" t="s">
        <v>2129</v>
      </c>
      <c r="AO273" s="3953" t="s">
        <v>2129</v>
      </c>
      <c r="AP273" s="2814" t="s">
        <v>2129</v>
      </c>
      <c r="AQ273" s="3954" t="s">
        <v>2129</v>
      </c>
      <c r="AR273" t="s">
        <v>2129</v>
      </c>
      <c r="AS273" t="s">
        <v>2129</v>
      </c>
      <c r="AU273" t="s">
        <v>2129</v>
      </c>
      <c r="AW273" t="s">
        <v>2129</v>
      </c>
      <c r="AX273" t="s">
        <v>2129</v>
      </c>
      <c r="AY273" t="s">
        <v>2129</v>
      </c>
      <c r="AZ273" s="3946" t="s">
        <v>2129</v>
      </c>
      <c r="BA273" t="s">
        <v>2129</v>
      </c>
      <c r="BB273" s="3947" t="s">
        <v>2129</v>
      </c>
      <c r="BC273" s="1958" t="s">
        <v>2129</v>
      </c>
      <c r="BD273" s="1958" t="s">
        <v>2129</v>
      </c>
      <c r="BE273" s="1958" t="s">
        <v>2129</v>
      </c>
      <c r="BF273" s="3937" t="s">
        <v>2129</v>
      </c>
      <c r="BG273" s="3938" t="s">
        <v>2129</v>
      </c>
      <c r="BH273" s="3938" t="s">
        <v>2129</v>
      </c>
      <c r="BI273" s="3937" t="s">
        <v>2129</v>
      </c>
      <c r="BJ273" s="3938" t="s">
        <v>2129</v>
      </c>
      <c r="BK273" s="3939" t="s">
        <v>2129</v>
      </c>
      <c r="BL273" s="3938" t="s">
        <v>2129</v>
      </c>
      <c r="BM273" s="3938" t="s">
        <v>2129</v>
      </c>
      <c r="BN273" s="3939" t="s">
        <v>2129</v>
      </c>
      <c r="BO273" s="3937" t="s">
        <v>2129</v>
      </c>
      <c r="BP273" s="3988" t="s">
        <v>2129</v>
      </c>
      <c r="BQ273" s="3988"/>
      <c r="BR273" s="3988"/>
      <c r="BS273" s="2694"/>
    </row>
    <row r="274" spans="1:71" ht="13">
      <c r="A274" t="s">
        <v>3453</v>
      </c>
      <c r="B274" s="3979" t="s">
        <v>3456</v>
      </c>
      <c r="C274" s="2694" t="s">
        <v>2129</v>
      </c>
      <c r="D274" s="2694" t="s">
        <v>2129</v>
      </c>
      <c r="E274" s="2694" t="s">
        <v>2129</v>
      </c>
      <c r="F274" s="3974" t="s">
        <v>2129</v>
      </c>
      <c r="G274" s="3975" t="s">
        <v>2129</v>
      </c>
      <c r="H274" s="3976" t="s">
        <v>2129</v>
      </c>
      <c r="I274" s="2694"/>
      <c r="J274" s="2694"/>
      <c r="K274" s="2694"/>
      <c r="L274" s="2694" t="b">
        <v>1</v>
      </c>
      <c r="M274" s="2694" t="s">
        <v>2129</v>
      </c>
      <c r="N274" s="2477"/>
      <c r="O274" s="2477"/>
      <c r="P274" s="2477"/>
      <c r="Q274" s="2477"/>
      <c r="R274" s="2477"/>
      <c r="S274" s="2695"/>
      <c r="T274" s="2477"/>
      <c r="U274" s="2477" t="b">
        <v>1</v>
      </c>
      <c r="V274" s="2477" t="s">
        <v>2129</v>
      </c>
      <c r="W274" s="2477"/>
      <c r="X274" s="3937">
        <v>0</v>
      </c>
      <c r="Y274" s="3938">
        <v>0</v>
      </c>
      <c r="Z274" s="3938" t="b">
        <v>1</v>
      </c>
      <c r="AA274" s="3938"/>
      <c r="AB274" s="3938"/>
      <c r="AC274" s="3938"/>
      <c r="AD274" s="3938" t="s">
        <v>2129</v>
      </c>
      <c r="AE274" s="3938"/>
      <c r="AF274" s="3938"/>
      <c r="AH274" s="3965">
        <v>300</v>
      </c>
      <c r="AI274" s="3965" t="b">
        <v>1</v>
      </c>
      <c r="AJ274"/>
      <c r="AK274" s="3966" t="e">
        <v>#DIV/0!</v>
      </c>
      <c r="AL274" s="2814" t="s">
        <v>2129</v>
      </c>
      <c r="AM274" s="2814" t="s">
        <v>2129</v>
      </c>
      <c r="AN274" s="2814" t="s">
        <v>2129</v>
      </c>
      <c r="AO274" s="3953" t="s">
        <v>2129</v>
      </c>
      <c r="AP274" s="2814" t="s">
        <v>2129</v>
      </c>
      <c r="AQ274" s="3954" t="s">
        <v>2129</v>
      </c>
      <c r="AR274" t="s">
        <v>2129</v>
      </c>
      <c r="AS274" t="s">
        <v>2129</v>
      </c>
      <c r="AU274" t="s">
        <v>2129</v>
      </c>
      <c r="AW274" t="s">
        <v>2129</v>
      </c>
      <c r="AX274" t="s">
        <v>2129</v>
      </c>
      <c r="AY274" t="s">
        <v>2129</v>
      </c>
      <c r="AZ274" s="3946" t="s">
        <v>2129</v>
      </c>
      <c r="BA274" t="s">
        <v>2129</v>
      </c>
      <c r="BB274" s="3947" t="s">
        <v>2129</v>
      </c>
      <c r="BC274" s="1958" t="s">
        <v>2129</v>
      </c>
      <c r="BD274" s="1958" t="s">
        <v>2129</v>
      </c>
      <c r="BE274" s="1958" t="s">
        <v>2129</v>
      </c>
      <c r="BF274" s="3937" t="s">
        <v>2129</v>
      </c>
      <c r="BG274" s="3938" t="s">
        <v>2129</v>
      </c>
      <c r="BH274" s="3938" t="s">
        <v>2129</v>
      </c>
      <c r="BI274" s="3937" t="s">
        <v>2129</v>
      </c>
      <c r="BJ274" s="3938" t="s">
        <v>2129</v>
      </c>
      <c r="BK274" s="3939" t="s">
        <v>2129</v>
      </c>
      <c r="BL274" s="3938" t="s">
        <v>2129</v>
      </c>
      <c r="BM274" s="3938" t="s">
        <v>2129</v>
      </c>
      <c r="BN274" s="3939" t="s">
        <v>2129</v>
      </c>
      <c r="BO274" s="3937" t="s">
        <v>2129</v>
      </c>
      <c r="BP274" s="3988" t="s">
        <v>2129</v>
      </c>
      <c r="BQ274" s="3988"/>
      <c r="BR274" s="3988"/>
      <c r="BS274" s="2694"/>
    </row>
    <row r="275" spans="1:71" ht="13">
      <c r="A275" t="s">
        <v>3453</v>
      </c>
      <c r="B275" s="3979" t="s">
        <v>3457</v>
      </c>
      <c r="C275" s="2694" t="s">
        <v>2129</v>
      </c>
      <c r="D275" s="2694" t="s">
        <v>2129</v>
      </c>
      <c r="E275" s="2694" t="s">
        <v>2129</v>
      </c>
      <c r="F275" s="3974" t="s">
        <v>2129</v>
      </c>
      <c r="G275" s="3975" t="s">
        <v>2129</v>
      </c>
      <c r="H275" s="3976" t="s">
        <v>2129</v>
      </c>
      <c r="I275" s="2694"/>
      <c r="J275" s="2694"/>
      <c r="K275" s="2694"/>
      <c r="L275" s="2694" t="b">
        <v>1</v>
      </c>
      <c r="M275" s="2694" t="s">
        <v>2129</v>
      </c>
      <c r="N275" s="2477"/>
      <c r="O275" s="2477"/>
      <c r="P275" s="2477"/>
      <c r="Q275" s="2477"/>
      <c r="R275" s="2477"/>
      <c r="S275" s="2695"/>
      <c r="T275" s="2477"/>
      <c r="U275" s="2477" t="b">
        <v>1</v>
      </c>
      <c r="V275" s="2477" t="s">
        <v>2129</v>
      </c>
      <c r="W275" s="2477"/>
      <c r="X275" s="3937">
        <v>0</v>
      </c>
      <c r="Y275" s="3938">
        <v>0</v>
      </c>
      <c r="Z275" s="3938" t="b">
        <v>1</v>
      </c>
      <c r="AA275" s="3938"/>
      <c r="AB275" s="3938"/>
      <c r="AC275" s="3938"/>
      <c r="AD275" s="3938" t="s">
        <v>2129</v>
      </c>
      <c r="AE275" s="3938"/>
      <c r="AF275" s="3938"/>
      <c r="AH275" s="3965">
        <v>300</v>
      </c>
      <c r="AI275" s="3965" t="b">
        <v>1</v>
      </c>
      <c r="AJ275"/>
      <c r="AK275" s="3966" t="e">
        <v>#DIV/0!</v>
      </c>
      <c r="AL275" s="2814" t="s">
        <v>2129</v>
      </c>
      <c r="AM275" s="2814" t="s">
        <v>2129</v>
      </c>
      <c r="AN275" s="2814" t="s">
        <v>2129</v>
      </c>
      <c r="AO275" s="3953" t="s">
        <v>2129</v>
      </c>
      <c r="AP275" s="2814" t="s">
        <v>2129</v>
      </c>
      <c r="AQ275" s="3954" t="s">
        <v>2129</v>
      </c>
      <c r="AR275" t="s">
        <v>2129</v>
      </c>
      <c r="AS275" t="s">
        <v>2129</v>
      </c>
      <c r="AU275" t="s">
        <v>2129</v>
      </c>
      <c r="AW275" t="s">
        <v>2129</v>
      </c>
      <c r="AX275" t="s">
        <v>2129</v>
      </c>
      <c r="AY275" t="s">
        <v>2129</v>
      </c>
      <c r="AZ275" s="3946" t="s">
        <v>2129</v>
      </c>
      <c r="BA275" t="s">
        <v>2129</v>
      </c>
      <c r="BB275" s="3947" t="s">
        <v>2129</v>
      </c>
      <c r="BC275" s="1958" t="s">
        <v>2129</v>
      </c>
      <c r="BD275" s="1958" t="s">
        <v>2129</v>
      </c>
      <c r="BE275" s="1958" t="s">
        <v>2129</v>
      </c>
      <c r="BF275" s="3937" t="s">
        <v>2129</v>
      </c>
      <c r="BG275" s="3938" t="s">
        <v>2129</v>
      </c>
      <c r="BH275" s="3938" t="s">
        <v>2129</v>
      </c>
      <c r="BI275" s="3937" t="s">
        <v>2129</v>
      </c>
      <c r="BJ275" s="3938" t="s">
        <v>2129</v>
      </c>
      <c r="BK275" s="3939" t="s">
        <v>2129</v>
      </c>
      <c r="BL275" s="3938" t="s">
        <v>2129</v>
      </c>
      <c r="BM275" s="3938" t="s">
        <v>2129</v>
      </c>
      <c r="BN275" s="3939" t="s">
        <v>2129</v>
      </c>
      <c r="BO275" s="3937" t="s">
        <v>2129</v>
      </c>
      <c r="BP275" s="3988" t="s">
        <v>2129</v>
      </c>
      <c r="BQ275" s="3988"/>
      <c r="BR275" s="3988"/>
      <c r="BS275" s="2694"/>
    </row>
    <row r="276" spans="1:71" ht="13">
      <c r="A276" t="s">
        <v>3453</v>
      </c>
      <c r="B276" s="3979" t="s">
        <v>3458</v>
      </c>
      <c r="C276" s="2694" t="s">
        <v>2129</v>
      </c>
      <c r="D276" s="2694" t="s">
        <v>2129</v>
      </c>
      <c r="E276" s="2694" t="s">
        <v>2129</v>
      </c>
      <c r="F276" s="3974" t="s">
        <v>2129</v>
      </c>
      <c r="G276" s="3975" t="s">
        <v>2129</v>
      </c>
      <c r="H276" s="3976" t="s">
        <v>2129</v>
      </c>
      <c r="I276" s="2694"/>
      <c r="J276" s="2694"/>
      <c r="K276" s="2694"/>
      <c r="L276" s="2694" t="b">
        <v>1</v>
      </c>
      <c r="M276" s="2694" t="s">
        <v>2129</v>
      </c>
      <c r="N276" s="2477"/>
      <c r="O276" s="2477"/>
      <c r="P276" s="2477"/>
      <c r="Q276" s="2477"/>
      <c r="R276" s="2477"/>
      <c r="S276" s="2695"/>
      <c r="T276" s="2477"/>
      <c r="U276" s="2477" t="b">
        <v>1</v>
      </c>
      <c r="V276" s="2477" t="s">
        <v>2129</v>
      </c>
      <c r="W276" s="2477"/>
      <c r="X276" s="3937">
        <v>0</v>
      </c>
      <c r="Y276" s="3938">
        <v>0</v>
      </c>
      <c r="Z276" s="3938" t="b">
        <v>1</v>
      </c>
      <c r="AA276" s="3938"/>
      <c r="AB276" s="3938"/>
      <c r="AC276" s="3938"/>
      <c r="AD276" s="3938" t="s">
        <v>2129</v>
      </c>
      <c r="AE276" s="3938"/>
      <c r="AF276" s="3938"/>
      <c r="AH276" s="3965">
        <v>300</v>
      </c>
      <c r="AI276" s="3965" t="b">
        <v>1</v>
      </c>
      <c r="AJ276"/>
      <c r="AK276" s="3966" t="e">
        <v>#DIV/0!</v>
      </c>
      <c r="AL276" s="2814" t="s">
        <v>2129</v>
      </c>
      <c r="AM276" s="2814" t="s">
        <v>2129</v>
      </c>
      <c r="AN276" s="2814" t="s">
        <v>2129</v>
      </c>
      <c r="AO276" s="3953" t="s">
        <v>2129</v>
      </c>
      <c r="AP276" s="2814" t="s">
        <v>2129</v>
      </c>
      <c r="AQ276" s="3954" t="s">
        <v>2129</v>
      </c>
      <c r="AR276" t="s">
        <v>2129</v>
      </c>
      <c r="AS276" t="s">
        <v>2129</v>
      </c>
      <c r="AU276" t="s">
        <v>2129</v>
      </c>
      <c r="AW276" t="s">
        <v>2129</v>
      </c>
      <c r="AX276" t="s">
        <v>2129</v>
      </c>
      <c r="AY276" t="s">
        <v>2129</v>
      </c>
      <c r="AZ276" s="3946" t="s">
        <v>2129</v>
      </c>
      <c r="BA276" t="s">
        <v>2129</v>
      </c>
      <c r="BB276" s="3947" t="s">
        <v>2129</v>
      </c>
      <c r="BC276" s="1958" t="s">
        <v>2129</v>
      </c>
      <c r="BD276" s="1958" t="s">
        <v>2129</v>
      </c>
      <c r="BE276" s="1958" t="s">
        <v>2129</v>
      </c>
      <c r="BF276" s="3937" t="s">
        <v>2129</v>
      </c>
      <c r="BG276" s="3938" t="s">
        <v>2129</v>
      </c>
      <c r="BH276" s="3938" t="s">
        <v>2129</v>
      </c>
      <c r="BI276" s="3937" t="s">
        <v>2129</v>
      </c>
      <c r="BJ276" s="3938" t="s">
        <v>2129</v>
      </c>
      <c r="BK276" s="3939" t="s">
        <v>2129</v>
      </c>
      <c r="BL276" s="3938" t="s">
        <v>2129</v>
      </c>
      <c r="BM276" s="3938" t="s">
        <v>2129</v>
      </c>
      <c r="BN276" s="3939" t="s">
        <v>2129</v>
      </c>
      <c r="BO276" s="3937" t="s">
        <v>2129</v>
      </c>
      <c r="BP276" s="3988" t="s">
        <v>2129</v>
      </c>
      <c r="BQ276" s="3988"/>
      <c r="BR276" s="3988"/>
      <c r="BS276" s="2694"/>
    </row>
    <row r="277" spans="1:71" ht="13">
      <c r="A277" t="s">
        <v>3453</v>
      </c>
      <c r="B277" s="3979" t="s">
        <v>3459</v>
      </c>
      <c r="C277" s="2694" t="s">
        <v>2129</v>
      </c>
      <c r="D277" s="2694" t="s">
        <v>2129</v>
      </c>
      <c r="E277" s="2694" t="s">
        <v>2129</v>
      </c>
      <c r="F277" s="3974" t="s">
        <v>2129</v>
      </c>
      <c r="G277" s="3975" t="s">
        <v>2129</v>
      </c>
      <c r="H277" s="3976" t="s">
        <v>2129</v>
      </c>
      <c r="I277" s="2694"/>
      <c r="J277" s="2694"/>
      <c r="K277" s="2694"/>
      <c r="L277" s="2694" t="b">
        <v>1</v>
      </c>
      <c r="M277" s="2694" t="s">
        <v>2129</v>
      </c>
      <c r="N277" s="2477"/>
      <c r="O277" s="2477"/>
      <c r="P277" s="2477"/>
      <c r="Q277" s="2477"/>
      <c r="R277" s="2477"/>
      <c r="S277" s="2695"/>
      <c r="T277" s="2477"/>
      <c r="U277" s="2477" t="b">
        <v>1</v>
      </c>
      <c r="V277" s="2477" t="s">
        <v>2129</v>
      </c>
      <c r="W277" s="2477"/>
      <c r="X277" s="3937">
        <v>0</v>
      </c>
      <c r="Y277" s="3938">
        <v>0</v>
      </c>
      <c r="Z277" s="3938" t="b">
        <v>1</v>
      </c>
      <c r="AA277" s="3938"/>
      <c r="AB277" s="3938"/>
      <c r="AC277" s="3938"/>
      <c r="AD277" s="3938" t="s">
        <v>2129</v>
      </c>
      <c r="AE277" s="3938"/>
      <c r="AF277" s="3938"/>
      <c r="AH277" s="3965">
        <v>300</v>
      </c>
      <c r="AI277" s="3965" t="b">
        <v>1</v>
      </c>
      <c r="AJ277"/>
      <c r="AK277" s="3966" t="e">
        <v>#DIV/0!</v>
      </c>
      <c r="AL277" s="2814" t="s">
        <v>2129</v>
      </c>
      <c r="AM277" s="2814" t="s">
        <v>2129</v>
      </c>
      <c r="AN277" s="2814" t="s">
        <v>2129</v>
      </c>
      <c r="AO277" s="3953" t="s">
        <v>2129</v>
      </c>
      <c r="AP277" s="2814" t="s">
        <v>2129</v>
      </c>
      <c r="AQ277" s="3954" t="s">
        <v>2129</v>
      </c>
      <c r="AR277" t="s">
        <v>2129</v>
      </c>
      <c r="AS277" t="s">
        <v>2129</v>
      </c>
      <c r="AU277" t="s">
        <v>2129</v>
      </c>
      <c r="AW277" t="s">
        <v>2129</v>
      </c>
      <c r="AX277" t="s">
        <v>2129</v>
      </c>
      <c r="AY277" t="s">
        <v>2129</v>
      </c>
      <c r="AZ277" s="3946" t="s">
        <v>2129</v>
      </c>
      <c r="BA277" t="s">
        <v>2129</v>
      </c>
      <c r="BB277" s="3947" t="s">
        <v>2129</v>
      </c>
      <c r="BC277" s="1958" t="s">
        <v>2129</v>
      </c>
      <c r="BD277" s="1958" t="s">
        <v>2129</v>
      </c>
      <c r="BE277" s="1958" t="s">
        <v>2129</v>
      </c>
      <c r="BF277" s="3937" t="s">
        <v>2129</v>
      </c>
      <c r="BG277" s="3938" t="s">
        <v>2129</v>
      </c>
      <c r="BH277" s="3938" t="s">
        <v>2129</v>
      </c>
      <c r="BI277" s="3937" t="s">
        <v>2129</v>
      </c>
      <c r="BJ277" s="3938" t="s">
        <v>2129</v>
      </c>
      <c r="BK277" s="3939" t="s">
        <v>2129</v>
      </c>
      <c r="BL277" s="3938" t="s">
        <v>2129</v>
      </c>
      <c r="BM277" s="3938" t="s">
        <v>2129</v>
      </c>
      <c r="BN277" s="3939" t="s">
        <v>2129</v>
      </c>
      <c r="BO277" s="3937" t="s">
        <v>2129</v>
      </c>
      <c r="BP277" s="3988" t="s">
        <v>2129</v>
      </c>
      <c r="BQ277" s="3988"/>
      <c r="BR277" s="3988"/>
      <c r="BS277" s="2694"/>
    </row>
    <row r="278" spans="1:71" ht="13">
      <c r="A278" t="s">
        <v>3453</v>
      </c>
      <c r="B278" s="3979" t="s">
        <v>3460</v>
      </c>
      <c r="C278" s="2694" t="s">
        <v>2129</v>
      </c>
      <c r="D278" s="2694" t="s">
        <v>2129</v>
      </c>
      <c r="E278" s="2694" t="s">
        <v>2129</v>
      </c>
      <c r="F278" s="3974" t="s">
        <v>2129</v>
      </c>
      <c r="G278" s="3975" t="s">
        <v>2129</v>
      </c>
      <c r="H278" s="3976" t="s">
        <v>2129</v>
      </c>
      <c r="I278" s="2694"/>
      <c r="J278" s="2694"/>
      <c r="K278" s="2694"/>
      <c r="L278" s="2694" t="b">
        <v>1</v>
      </c>
      <c r="M278" s="2694" t="s">
        <v>2129</v>
      </c>
      <c r="N278" s="2477"/>
      <c r="O278" s="2477"/>
      <c r="P278" s="2477"/>
      <c r="Q278" s="2477"/>
      <c r="R278" s="2477"/>
      <c r="S278" s="2695"/>
      <c r="T278" s="2477"/>
      <c r="U278" s="2477" t="b">
        <v>1</v>
      </c>
      <c r="V278" s="2477" t="s">
        <v>2129</v>
      </c>
      <c r="W278" s="2477"/>
      <c r="X278" s="3937"/>
      <c r="Y278" s="3938">
        <v>0</v>
      </c>
      <c r="Z278" s="3938" t="b">
        <v>1</v>
      </c>
      <c r="AA278" s="3938"/>
      <c r="AB278" s="3938"/>
      <c r="AC278" s="3938"/>
      <c r="AD278" s="3938" t="s">
        <v>2129</v>
      </c>
      <c r="AE278" s="3938"/>
      <c r="AF278" s="3938"/>
      <c r="AH278" s="3965">
        <v>300</v>
      </c>
      <c r="AI278" s="3965" t="b">
        <v>1</v>
      </c>
      <c r="AJ278"/>
      <c r="AK278" s="3966" t="e">
        <v>#DIV/0!</v>
      </c>
      <c r="AL278" s="2814" t="s">
        <v>2129</v>
      </c>
      <c r="AM278" s="2814" t="s">
        <v>2129</v>
      </c>
      <c r="AN278" s="2814" t="s">
        <v>2129</v>
      </c>
      <c r="AO278" s="3953" t="s">
        <v>2129</v>
      </c>
      <c r="AP278" s="2814" t="s">
        <v>2129</v>
      </c>
      <c r="AQ278" s="3954" t="s">
        <v>2129</v>
      </c>
      <c r="AR278" t="s">
        <v>2129</v>
      </c>
      <c r="AS278" t="s">
        <v>2129</v>
      </c>
      <c r="AU278" t="s">
        <v>2129</v>
      </c>
      <c r="AW278" t="s">
        <v>2129</v>
      </c>
      <c r="AX278" t="s">
        <v>2129</v>
      </c>
      <c r="AY278" t="s">
        <v>2129</v>
      </c>
      <c r="AZ278" s="3946" t="s">
        <v>2129</v>
      </c>
      <c r="BA278" t="s">
        <v>2129</v>
      </c>
      <c r="BB278" s="3947" t="s">
        <v>2129</v>
      </c>
      <c r="BC278" s="1958" t="s">
        <v>2129</v>
      </c>
      <c r="BD278" s="1958" t="s">
        <v>2129</v>
      </c>
      <c r="BE278" s="1958" t="s">
        <v>2129</v>
      </c>
      <c r="BF278" s="3937" t="s">
        <v>2129</v>
      </c>
      <c r="BG278" s="3938" t="s">
        <v>2129</v>
      </c>
      <c r="BH278" s="3938" t="s">
        <v>2129</v>
      </c>
      <c r="BI278" s="3937" t="s">
        <v>2129</v>
      </c>
      <c r="BJ278" s="3938" t="s">
        <v>2129</v>
      </c>
      <c r="BK278" s="3939" t="s">
        <v>2129</v>
      </c>
      <c r="BL278" s="3938" t="s">
        <v>2129</v>
      </c>
      <c r="BM278" s="3938" t="s">
        <v>2129</v>
      </c>
      <c r="BN278" s="3939" t="s">
        <v>2129</v>
      </c>
      <c r="BO278" s="3937" t="s">
        <v>2129</v>
      </c>
      <c r="BP278" s="3988" t="s">
        <v>2129</v>
      </c>
      <c r="BQ278" s="3988"/>
      <c r="BR278" s="3988"/>
      <c r="BS278" s="2694"/>
    </row>
    <row r="279" spans="1:71" ht="13">
      <c r="A279" t="s">
        <v>3453</v>
      </c>
      <c r="B279" s="3979" t="s">
        <v>3461</v>
      </c>
      <c r="C279" s="2694" t="s">
        <v>2129</v>
      </c>
      <c r="D279" s="2694" t="s">
        <v>2129</v>
      </c>
      <c r="E279" s="2694" t="s">
        <v>2129</v>
      </c>
      <c r="F279" s="3974" t="s">
        <v>2129</v>
      </c>
      <c r="G279" s="3975" t="s">
        <v>2129</v>
      </c>
      <c r="H279" s="3976" t="s">
        <v>2129</v>
      </c>
      <c r="I279" s="2694"/>
      <c r="J279" s="2694"/>
      <c r="K279" s="2694"/>
      <c r="L279" s="2694" t="b">
        <v>1</v>
      </c>
      <c r="M279" s="2694" t="s">
        <v>2129</v>
      </c>
      <c r="N279" s="2477"/>
      <c r="O279" s="2477"/>
      <c r="P279" s="2477"/>
      <c r="Q279" s="2477"/>
      <c r="R279" s="2477"/>
      <c r="S279" s="2695"/>
      <c r="T279" s="2477"/>
      <c r="U279" s="2477" t="b">
        <v>1</v>
      </c>
      <c r="V279" s="2477" t="s">
        <v>2129</v>
      </c>
      <c r="W279" s="2477"/>
      <c r="X279" s="3937"/>
      <c r="Y279" s="3938">
        <v>0</v>
      </c>
      <c r="Z279" s="3938" t="b">
        <v>1</v>
      </c>
      <c r="AA279" s="3938"/>
      <c r="AB279" s="3938"/>
      <c r="AC279" s="3938"/>
      <c r="AD279" s="3938" t="s">
        <v>2129</v>
      </c>
      <c r="AE279" s="3938"/>
      <c r="AF279" s="3938"/>
      <c r="AH279" s="3965">
        <v>300</v>
      </c>
      <c r="AI279" s="3965" t="b">
        <v>1</v>
      </c>
      <c r="AJ279"/>
      <c r="AK279" s="3966" t="e">
        <v>#DIV/0!</v>
      </c>
      <c r="AL279" s="2814" t="s">
        <v>2129</v>
      </c>
      <c r="AM279" s="2814" t="s">
        <v>2129</v>
      </c>
      <c r="AN279" s="2814" t="s">
        <v>2129</v>
      </c>
      <c r="AO279" s="3953" t="s">
        <v>2129</v>
      </c>
      <c r="AP279" s="2814" t="s">
        <v>2129</v>
      </c>
      <c r="AQ279" s="3954" t="s">
        <v>2129</v>
      </c>
      <c r="AR279" t="s">
        <v>2129</v>
      </c>
      <c r="AS279" t="s">
        <v>2129</v>
      </c>
      <c r="AU279" t="s">
        <v>2129</v>
      </c>
      <c r="AW279" t="s">
        <v>2129</v>
      </c>
      <c r="AX279" t="s">
        <v>2129</v>
      </c>
      <c r="AY279" t="s">
        <v>2129</v>
      </c>
      <c r="AZ279" s="3946" t="s">
        <v>2129</v>
      </c>
      <c r="BA279" t="s">
        <v>2129</v>
      </c>
      <c r="BB279" s="3947" t="s">
        <v>2129</v>
      </c>
      <c r="BC279" s="1958" t="s">
        <v>2129</v>
      </c>
      <c r="BD279" s="1958" t="s">
        <v>2129</v>
      </c>
      <c r="BE279" s="1958" t="s">
        <v>2129</v>
      </c>
      <c r="BF279" s="3937" t="s">
        <v>2129</v>
      </c>
      <c r="BG279" s="3938" t="s">
        <v>2129</v>
      </c>
      <c r="BH279" s="3938" t="s">
        <v>2129</v>
      </c>
      <c r="BI279" s="3937" t="s">
        <v>2129</v>
      </c>
      <c r="BJ279" s="3938" t="s">
        <v>2129</v>
      </c>
      <c r="BK279" s="3939" t="s">
        <v>2129</v>
      </c>
      <c r="BL279" s="3938" t="s">
        <v>2129</v>
      </c>
      <c r="BM279" s="3938" t="s">
        <v>2129</v>
      </c>
      <c r="BN279" s="3939" t="s">
        <v>2129</v>
      </c>
      <c r="BO279" s="3937" t="s">
        <v>2129</v>
      </c>
      <c r="BP279" s="3988" t="s">
        <v>2129</v>
      </c>
      <c r="BQ279" s="3988"/>
      <c r="BR279" s="3988"/>
      <c r="BS279" s="2694"/>
    </row>
    <row r="280" spans="1:71" ht="13">
      <c r="A280" t="s">
        <v>3453</v>
      </c>
      <c r="B280" s="3980" t="s">
        <v>6983</v>
      </c>
      <c r="C280" s="2694" t="s">
        <v>2129</v>
      </c>
      <c r="D280" s="2694" t="s">
        <v>2129</v>
      </c>
      <c r="E280" s="2694" t="s">
        <v>2129</v>
      </c>
      <c r="F280" s="3974" t="s">
        <v>2129</v>
      </c>
      <c r="G280" s="3975" t="s">
        <v>2129</v>
      </c>
      <c r="H280" s="3976" t="s">
        <v>2129</v>
      </c>
      <c r="I280" s="2694">
        <v>0</v>
      </c>
      <c r="J280" s="3992" t="e">
        <v>#N/A</v>
      </c>
      <c r="K280" s="2694">
        <v>0</v>
      </c>
      <c r="L280" s="2694" t="b">
        <v>0</v>
      </c>
      <c r="M280" s="2694" t="s">
        <v>2129</v>
      </c>
      <c r="N280" s="2477">
        <v>0</v>
      </c>
      <c r="O280" s="2477">
        <v>0</v>
      </c>
      <c r="P280" s="2477">
        <v>0</v>
      </c>
      <c r="Q280" s="2477">
        <v>0</v>
      </c>
      <c r="R280" s="2477">
        <v>0</v>
      </c>
      <c r="S280" s="2695">
        <v>0</v>
      </c>
      <c r="T280" s="2477">
        <v>0</v>
      </c>
      <c r="U280" s="2477" t="b">
        <v>1</v>
      </c>
      <c r="V280" s="2477" t="s">
        <v>2129</v>
      </c>
      <c r="W280" s="2477">
        <v>0</v>
      </c>
      <c r="X280" s="3937">
        <v>0</v>
      </c>
      <c r="Y280" s="3938">
        <v>0</v>
      </c>
      <c r="Z280" s="3938" t="b">
        <v>1</v>
      </c>
      <c r="AA280" s="3938">
        <v>0</v>
      </c>
      <c r="AB280" s="3938"/>
      <c r="AC280" s="3938"/>
      <c r="AD280" s="3938" t="s">
        <v>2129</v>
      </c>
      <c r="AE280" s="3938"/>
      <c r="AF280" s="3938"/>
      <c r="AG280" t="s">
        <v>2131</v>
      </c>
      <c r="AH280" s="3965">
        <v>185</v>
      </c>
      <c r="AI280" s="3971" t="b">
        <v>1</v>
      </c>
      <c r="AJ280">
        <v>305</v>
      </c>
      <c r="AK280" s="3966">
        <v>0</v>
      </c>
      <c r="AL280" s="2814" t="s">
        <v>2129</v>
      </c>
      <c r="AM280" s="2814" t="s">
        <v>2129</v>
      </c>
      <c r="AN280" s="2814" t="s">
        <v>2129</v>
      </c>
      <c r="AO280" s="3953" t="s">
        <v>2129</v>
      </c>
      <c r="AP280" s="2814" t="s">
        <v>2129</v>
      </c>
      <c r="AQ280" s="3954" t="s">
        <v>2129</v>
      </c>
      <c r="AR280" t="s">
        <v>2129</v>
      </c>
      <c r="AS280" t="s">
        <v>2129</v>
      </c>
      <c r="AU280" t="s">
        <v>2129</v>
      </c>
      <c r="AW280" t="s">
        <v>2129</v>
      </c>
      <c r="AX280" t="s">
        <v>2129</v>
      </c>
      <c r="AY280" t="s">
        <v>2129</v>
      </c>
      <c r="AZ280" s="3946" t="s">
        <v>2129</v>
      </c>
      <c r="BA280" t="s">
        <v>2129</v>
      </c>
      <c r="BB280" s="3947" t="s">
        <v>2129</v>
      </c>
      <c r="BC280" s="1958" t="s">
        <v>2129</v>
      </c>
      <c r="BD280" s="1958" t="s">
        <v>2129</v>
      </c>
      <c r="BE280" s="1958" t="s">
        <v>2129</v>
      </c>
      <c r="BF280" s="3937" t="s">
        <v>2129</v>
      </c>
      <c r="BG280" s="3938" t="s">
        <v>2129</v>
      </c>
      <c r="BH280" s="3938" t="s">
        <v>2129</v>
      </c>
      <c r="BI280" s="3937" t="s">
        <v>2129</v>
      </c>
      <c r="BJ280" s="3938" t="s">
        <v>2129</v>
      </c>
      <c r="BK280" s="3939" t="s">
        <v>2129</v>
      </c>
      <c r="BL280" s="3938" t="s">
        <v>2129</v>
      </c>
      <c r="BM280" s="3938" t="s">
        <v>2129</v>
      </c>
      <c r="BN280" s="3939" t="s">
        <v>2129</v>
      </c>
      <c r="BO280" s="3937" t="s">
        <v>2129</v>
      </c>
      <c r="BP280" s="3988" t="s">
        <v>2129</v>
      </c>
      <c r="BQ280" s="3988"/>
      <c r="BR280" s="3988"/>
      <c r="BS280" s="2694"/>
    </row>
    <row r="281" spans="1:71" ht="13">
      <c r="A281" t="s">
        <v>3453</v>
      </c>
      <c r="B281" s="3979" t="s">
        <v>3462</v>
      </c>
      <c r="C281" s="2694" t="s">
        <v>2129</v>
      </c>
      <c r="D281" s="2694" t="s">
        <v>2129</v>
      </c>
      <c r="E281" s="2694" t="s">
        <v>2129</v>
      </c>
      <c r="F281" s="3974" t="s">
        <v>2129</v>
      </c>
      <c r="G281" s="3975" t="s">
        <v>2129</v>
      </c>
      <c r="H281" s="3976" t="s">
        <v>2129</v>
      </c>
      <c r="I281" s="2694"/>
      <c r="J281" s="2694"/>
      <c r="K281" s="2694"/>
      <c r="L281" s="2694" t="b">
        <v>1</v>
      </c>
      <c r="M281" s="2694" t="s">
        <v>2129</v>
      </c>
      <c r="N281" s="2477"/>
      <c r="O281" s="2477"/>
      <c r="P281" s="2477"/>
      <c r="Q281" s="2477"/>
      <c r="R281" s="2477"/>
      <c r="S281" s="2695"/>
      <c r="T281" s="2477"/>
      <c r="U281" s="2477" t="b">
        <v>1</v>
      </c>
      <c r="V281" s="2477" t="s">
        <v>2129</v>
      </c>
      <c r="W281" s="2477"/>
      <c r="X281" s="3937"/>
      <c r="Y281" s="3938">
        <v>0</v>
      </c>
      <c r="Z281" s="3938" t="b">
        <v>1</v>
      </c>
      <c r="AA281" s="3938"/>
      <c r="AB281" s="3938"/>
      <c r="AC281" s="3938"/>
      <c r="AD281" s="3938" t="s">
        <v>2129</v>
      </c>
      <c r="AE281" s="3938"/>
      <c r="AF281" s="3938"/>
      <c r="AH281" s="3965"/>
      <c r="AI281" s="3965" t="b">
        <v>1</v>
      </c>
      <c r="AJ281"/>
      <c r="AK281" s="3966" t="e">
        <v>#DIV/0!</v>
      </c>
      <c r="AL281" s="2814" t="s">
        <v>2129</v>
      </c>
      <c r="AM281" s="2814" t="s">
        <v>2129</v>
      </c>
      <c r="AN281" s="2814" t="s">
        <v>2129</v>
      </c>
      <c r="AO281" s="3953" t="s">
        <v>2129</v>
      </c>
      <c r="AP281" s="2814" t="s">
        <v>2129</v>
      </c>
      <c r="AQ281" s="3954" t="s">
        <v>2129</v>
      </c>
      <c r="AR281" t="s">
        <v>2129</v>
      </c>
      <c r="AS281" t="s">
        <v>2129</v>
      </c>
      <c r="AU281" t="s">
        <v>2129</v>
      </c>
      <c r="AW281" t="s">
        <v>2129</v>
      </c>
      <c r="AX281" t="s">
        <v>2129</v>
      </c>
      <c r="AY281" t="s">
        <v>2129</v>
      </c>
      <c r="AZ281" s="3946" t="s">
        <v>2129</v>
      </c>
      <c r="BA281" t="s">
        <v>2129</v>
      </c>
      <c r="BB281" s="3947" t="s">
        <v>2129</v>
      </c>
      <c r="BC281" s="1958" t="s">
        <v>2129</v>
      </c>
      <c r="BD281" s="1958" t="s">
        <v>2129</v>
      </c>
      <c r="BE281" s="1958" t="s">
        <v>2129</v>
      </c>
      <c r="BF281" s="3937" t="s">
        <v>2129</v>
      </c>
      <c r="BG281" s="3938" t="s">
        <v>2129</v>
      </c>
      <c r="BH281" s="3938" t="s">
        <v>2129</v>
      </c>
      <c r="BI281" s="3937" t="s">
        <v>2129</v>
      </c>
      <c r="BJ281" s="3938" t="s">
        <v>2129</v>
      </c>
      <c r="BK281" s="3939" t="s">
        <v>2129</v>
      </c>
      <c r="BL281" s="3938" t="s">
        <v>2129</v>
      </c>
      <c r="BM281" s="3938" t="s">
        <v>2129</v>
      </c>
      <c r="BN281" s="3939" t="s">
        <v>2129</v>
      </c>
      <c r="BO281" s="3937" t="s">
        <v>2129</v>
      </c>
      <c r="BP281" s="3988" t="s">
        <v>2129</v>
      </c>
      <c r="BQ281" s="3988"/>
      <c r="BR281" s="3988"/>
      <c r="BS281" s="2694"/>
    </row>
    <row r="282" spans="1:71" ht="13">
      <c r="A282" t="s">
        <v>3453</v>
      </c>
      <c r="B282" s="3979" t="s">
        <v>3463</v>
      </c>
      <c r="C282" s="2694" t="s">
        <v>2129</v>
      </c>
      <c r="D282" s="2694" t="s">
        <v>2129</v>
      </c>
      <c r="E282" s="2694" t="s">
        <v>2129</v>
      </c>
      <c r="F282" s="3974" t="s">
        <v>2129</v>
      </c>
      <c r="G282" s="3975" t="s">
        <v>2129</v>
      </c>
      <c r="H282" s="3976" t="s">
        <v>2129</v>
      </c>
      <c r="I282" s="2694"/>
      <c r="J282" s="2694"/>
      <c r="K282" s="2694">
        <v>0</v>
      </c>
      <c r="L282" s="2694" t="b">
        <v>1</v>
      </c>
      <c r="M282" s="2694" t="s">
        <v>2129</v>
      </c>
      <c r="N282" s="2477">
        <v>0</v>
      </c>
      <c r="O282" s="2477">
        <v>0</v>
      </c>
      <c r="P282" s="2477">
        <v>0</v>
      </c>
      <c r="Q282" s="2477">
        <v>0</v>
      </c>
      <c r="R282" s="2477">
        <v>0</v>
      </c>
      <c r="S282" s="2695"/>
      <c r="T282" s="2477">
        <v>0</v>
      </c>
      <c r="U282" s="2477" t="b">
        <v>1</v>
      </c>
      <c r="V282" s="2477" t="s">
        <v>2129</v>
      </c>
      <c r="W282" s="2477"/>
      <c r="X282" s="3937"/>
      <c r="Y282" s="3938">
        <v>0</v>
      </c>
      <c r="Z282" s="3938" t="b">
        <v>1</v>
      </c>
      <c r="AA282" s="3938"/>
      <c r="AB282" s="3938"/>
      <c r="AC282" s="3938"/>
      <c r="AD282" s="3938" t="s">
        <v>2129</v>
      </c>
      <c r="AE282" s="3938"/>
      <c r="AF282" s="3938"/>
      <c r="AI282" t="b">
        <v>1</v>
      </c>
      <c r="AJ282">
        <v>0</v>
      </c>
      <c r="AK282" s="3966" t="e">
        <v>#DIV/0!</v>
      </c>
      <c r="AL282" s="2814" t="s">
        <v>2129</v>
      </c>
      <c r="AM282" s="2814" t="s">
        <v>2129</v>
      </c>
      <c r="AN282" s="2814" t="s">
        <v>2129</v>
      </c>
      <c r="AO282" s="3946" t="s">
        <v>2129</v>
      </c>
      <c r="AQ282" s="3954" t="s">
        <v>2129</v>
      </c>
      <c r="AR282" t="s">
        <v>2129</v>
      </c>
      <c r="AU282" t="s">
        <v>2129</v>
      </c>
      <c r="AW282" t="s">
        <v>2129</v>
      </c>
      <c r="AX282" t="s">
        <v>2129</v>
      </c>
      <c r="AY282" t="s">
        <v>2129</v>
      </c>
      <c r="AZ282" s="3946" t="s">
        <v>2129</v>
      </c>
      <c r="BA282" t="s">
        <v>2129</v>
      </c>
      <c r="BB282" s="3947" t="s">
        <v>2129</v>
      </c>
      <c r="BC282" s="1958" t="s">
        <v>2129</v>
      </c>
      <c r="BD282" s="1958" t="s">
        <v>2129</v>
      </c>
      <c r="BE282" s="1958" t="s">
        <v>2129</v>
      </c>
      <c r="BF282" s="3937" t="s">
        <v>2129</v>
      </c>
      <c r="BG282" s="3938" t="s">
        <v>2129</v>
      </c>
      <c r="BH282" s="3938" t="s">
        <v>2129</v>
      </c>
      <c r="BI282" s="3937" t="s">
        <v>2129</v>
      </c>
      <c r="BJ282" s="3938" t="s">
        <v>2129</v>
      </c>
      <c r="BK282" s="3939" t="s">
        <v>2129</v>
      </c>
      <c r="BL282" s="3938" t="s">
        <v>2129</v>
      </c>
      <c r="BM282" s="3938" t="s">
        <v>2129</v>
      </c>
      <c r="BN282" s="3939" t="s">
        <v>2129</v>
      </c>
      <c r="BO282" s="3937" t="s">
        <v>2129</v>
      </c>
      <c r="BP282" s="3988" t="s">
        <v>2129</v>
      </c>
      <c r="BQ282" s="3988"/>
      <c r="BR282" s="3988"/>
      <c r="BS282" s="2694"/>
    </row>
    <row r="283" spans="1:71" s="2696" customFormat="1" ht="13.5" customHeight="1">
      <c r="B283" s="3949" t="s">
        <v>127</v>
      </c>
      <c r="C283" s="2697"/>
      <c r="D283" s="2697"/>
      <c r="E283" s="2697"/>
      <c r="F283" s="3977"/>
      <c r="G283" s="2697"/>
      <c r="H283" s="3978"/>
      <c r="I283" s="2697"/>
      <c r="J283" s="2697"/>
      <c r="K283" s="2697"/>
      <c r="L283" s="2697"/>
      <c r="M283" s="2753">
        <f>SUM(M1:M282)</f>
        <v>0</v>
      </c>
      <c r="N283" s="2698"/>
      <c r="O283" s="2698"/>
      <c r="P283" s="2698"/>
      <c r="Q283" s="2698"/>
      <c r="R283" s="2698"/>
      <c r="S283" s="2699"/>
      <c r="T283" s="2698"/>
      <c r="U283" s="2698"/>
      <c r="V283" s="2698"/>
      <c r="W283" s="2698"/>
      <c r="X283" s="3973"/>
      <c r="Y283" s="3941"/>
      <c r="Z283" s="3941"/>
      <c r="AA283" s="3941"/>
      <c r="AB283" s="3941"/>
      <c r="AC283" s="3941"/>
      <c r="AD283" s="3941"/>
      <c r="AE283" s="3941"/>
      <c r="AF283" s="3941"/>
      <c r="AG283" s="3941"/>
      <c r="AK283" s="3949"/>
      <c r="AO283" s="3948"/>
      <c r="AQ283" s="3949"/>
      <c r="AZ283" s="3948"/>
      <c r="BB283" s="3949"/>
      <c r="BC283" s="2700">
        <f>SUM(BC1:BC282)</f>
        <v>1720770931</v>
      </c>
      <c r="BD283" s="2700">
        <f>SUM(BD1:BD282)</f>
        <v>959319162</v>
      </c>
      <c r="BE283" s="2700">
        <f>SUM(BE1:BE282)</f>
        <v>1980375600</v>
      </c>
      <c r="BF283" s="3940">
        <f t="shared" ref="BF283:BN283" si="15">SUM(BF2:BF282)</f>
        <v>344907436</v>
      </c>
      <c r="BG283" s="3941">
        <f t="shared" si="15"/>
        <v>624655701</v>
      </c>
      <c r="BH283" s="3941">
        <f t="shared" si="15"/>
        <v>300216120</v>
      </c>
      <c r="BI283" s="3940">
        <f t="shared" si="15"/>
        <v>691185467</v>
      </c>
      <c r="BJ283" s="3941">
        <f t="shared" si="15"/>
        <v>1898926146</v>
      </c>
      <c r="BK283" s="3942">
        <f t="shared" si="15"/>
        <v>87385650</v>
      </c>
      <c r="BL283" s="3941">
        <f t="shared" si="15"/>
        <v>321313565</v>
      </c>
      <c r="BM283" s="3941">
        <f t="shared" si="15"/>
        <v>855630459</v>
      </c>
      <c r="BN283" s="3942">
        <f t="shared" si="15"/>
        <v>0</v>
      </c>
      <c r="BO283" s="3941">
        <f t="shared" ref="BO283:BQ283" si="16">SUM(BO2:BO282)</f>
        <v>726706750</v>
      </c>
      <c r="BP283" s="3989">
        <f t="shared" si="16"/>
        <v>195448750</v>
      </c>
      <c r="BQ283" s="3989">
        <f t="shared" si="16"/>
        <v>3836700</v>
      </c>
      <c r="BR283" s="3989">
        <f>SUM(BR2:BR282)</f>
        <v>2850000</v>
      </c>
      <c r="BS283" s="2697"/>
    </row>
    <row r="284" spans="1:71" ht="13.5" customHeight="1">
      <c r="BG284" s="863"/>
      <c r="BH284" s="863"/>
    </row>
    <row r="285" spans="1:71" ht="13.5" customHeight="1">
      <c r="BG285" s="863"/>
      <c r="BH285" s="863"/>
    </row>
    <row r="286" spans="1:71" ht="33" customHeight="1"/>
  </sheetData>
  <autoFilter ref="A1:BT283" xr:uid="{8DEFF6DE-2D06-41DE-B70D-3F3588FC768F}"/>
  <phoneticPr fontId="2"/>
  <hyperlinks>
    <hyperlink ref="B2" location="'0001_アパホテル&lt;尾張一宮駅&gt;'!A1" display="0001_アパホテル&lt;尾張一宮駅&gt;" xr:uid="{E96B1E55-D400-409F-A67D-C3DA2BAA3CEF}"/>
    <hyperlink ref="B3" location="'0002_東横INN名古屋尾張一宮駅前'!A1" display="0002_東横INN名古屋尾張一宮駅前" xr:uid="{C3AE4243-9F0C-4BE3-B2A3-7AFCFCE38036}"/>
    <hyperlink ref="B4" location="'0004_ホテルルートイン一宮駅前'!A1" display="0004_ホテルルートイン一宮駅前" xr:uid="{3340DB23-3F8D-459F-B5B5-B8CCFE4108FE}"/>
    <hyperlink ref="B5" location="'0007_一宮グリーンホテル'!A1" display="0007_一宮グリーンホテル" xr:uid="{194156D0-F818-47AB-AB65-A366E0061097}"/>
    <hyperlink ref="B6" location="'008_ホテルプラザ勝川'!A1" display="008_ホテルプラザ勝川" xr:uid="{3C667590-A4F8-4050-B566-DB0662942DDF}"/>
    <hyperlink ref="B7" location="'0010_春日井中央ホテル'!A1" display="0010_春日井中央ホテル" xr:uid="{F6E30946-8F5F-48D0-A76C-FB72A5E707AE}"/>
    <hyperlink ref="B8" location="'0012_ルートイングランティア小牧'!Print_Area" display="0012_ルートイングランティア小牧" xr:uid="{18E7C74D-146D-4DC9-848E-048B20F1BAFA}"/>
    <hyperlink ref="B9" location="'0015_名鉄小牧ホテル'!A1" display="0015_名鉄小牧ホテル" xr:uid="{FDA80978-D55E-460C-8F82-837CA2371183}"/>
    <hyperlink ref="B10" location="'0020_あいち健康の森　健康科学総合センター'!A1" display="0020_あいち健康の森　健康科学総合センター" xr:uid="{90183A83-1E6B-437C-8516-2DE44065E62A}"/>
    <hyperlink ref="B11" location="'0021_公立学校共済組合　名古屋宿泊所　ホテルルブラ王山'!A1" display="0021_公立学校共済組合　名古屋宿泊所　ホテルルブラ王山" xr:uid="{462122C9-9C82-43E8-91CC-2B6C0CC01740}"/>
    <hyperlink ref="B12" location="'0022_ホテルルートイン　名古屋今池駅前'!A1" display="0022_ホテルルートイン　名古屋今池駅前" xr:uid="{AE558F32-8641-4475-8CB0-BF78134D5596}"/>
    <hyperlink ref="B14" location="'0024_ホテルメルパルク名古屋'!A1" display="0024_ホテルメルパルク名古屋" xr:uid="{DEE6A876-4AB2-445F-A13E-9E3FCEBD79AD}"/>
    <hyperlink ref="B15" location="'0026_名鉄イン名古屋駅前'!A1" display="0026_名鉄イン名古屋駅前" xr:uid="{AFE7CBBF-E1FE-41AA-94B6-576855799933}"/>
    <hyperlink ref="B16" location="'0027_HOTEL LiVEMAX名古屋桜通口'!A1" display="0027_HOTEL LiVEMAX名古屋桜通口" xr:uid="{28F11252-062D-415B-B387-8DF64E085798}"/>
    <hyperlink ref="B18" location="'0034_サイプレスホテル名古屋駅前'!A1" display="0034_サイプレスホテル名古屋駅前" xr:uid="{74D499EE-2918-440E-94DC-83F198F13354}"/>
    <hyperlink ref="B19" location="'0038_東横INN名古屋駅桜通口本館'!A1" display="0038_東横INN名古屋駅桜通口本館" xr:uid="{36544CF5-9399-404B-A0D7-47EE7C4AE48E}"/>
    <hyperlink ref="B20" location="'0039_ザサイプレスメルキュールホテル名古屋'!A1" display="0039_ザサイプレスメルキュールホテル名古屋" xr:uid="{106DD5D8-939A-4F76-8E70-5341042472C5}"/>
    <hyperlink ref="B21" location="'0040_名古屋マリオットアソシアホテル'!A1" display="0040_名古屋マリオットアソシアホテル" xr:uid="{9E7B8DAF-8C6B-4A36-A6D9-3D9D9BA27D1A}"/>
    <hyperlink ref="B22" location="'0041_三交イン名古屋新幹線口'!A1" display="0041_三交イン名古屋新幹線口" xr:uid="{05F31251-FF8A-4B6D-9AA4-0A1E824D2CC6}"/>
    <hyperlink ref="B23" location="'0042_スーパーホテル名古屋駅前'!A1" display="0042_スーパーホテル名古屋駅前" xr:uid="{660FEBD1-6FC8-40F8-B520-73F1F236099D}"/>
    <hyperlink ref="B24" location="'0043_チサンイン名古屋'!A1" display="0043_チサンイン名古屋" xr:uid="{B3671C76-59D8-4257-9A77-FC5B2F2DD5E1}"/>
    <hyperlink ref="B25" location="'0044_ホテルパレス名古屋'!A1" display="0044_ホテルパレス名古屋" xr:uid="{1311DCF5-F71D-4528-BFF8-8EAEA707C0D0}"/>
    <hyperlink ref="B28" location="'0047_東横INN名古屋駅新幹線口'!A1" display="0047_東横INN名古屋駅新幹線口" xr:uid="{CDD2A0DD-BC11-41FE-A1C6-FA86E5FF1B44}"/>
    <hyperlink ref="B29" location="'0049_名鉄グランドホテル'!A1" display="0049_名鉄グランドホテル" xr:uid="{4CD5D6E8-E3E3-467E-9FC8-CBC10E2347C5}"/>
    <hyperlink ref="B30" location="'0050_ダイワロイネットホテル名古屋駅前'!A1" display="0050_ダイワロイネットホテル名古屋駅前" xr:uid="{B08DDC6A-EABE-4752-8829-8E28BE855715}"/>
    <hyperlink ref="B31" location="'0051_ダイワロイネットホテル名古屋新幹線口'!A1" display="0051_ダイワロイネットホテル名古屋新幹線口" xr:uid="{CBEAF95D-60A3-40DA-B10E-E0B0557B6AC9}"/>
    <hyperlink ref="B32" location="'0052_名鉄イン名古屋桜通'!A1" display="0052_名鉄イン名古屋桜通" xr:uid="{26C99CBE-75A6-4C65-95EA-81B6DBB6AFDA}"/>
    <hyperlink ref="B33" location="'0053_ヴィアイン名古屋新幹線口'!A1" display="0053_ヴィアイン名古屋新幹線口" xr:uid="{833EE579-BCAE-4CB7-B8A8-DCE78F536A17}"/>
    <hyperlink ref="B34" location="'0054_ザロイヤルパークキャンバス名古屋'!A1" display="0054_ザロイヤルパークキャンバス名古屋" xr:uid="{B668F0E9-0D60-4C2F-84B7-8B8420226D2F}"/>
    <hyperlink ref="B35" location="'0055_ホテルリソル名古屋'!A1" display="0055_ホテルリソル名古屋" xr:uid="{9D39947F-AA0E-48C2-8007-F2DD35AB8B3B}"/>
    <hyperlink ref="B36" location="'0056_ストリングスホテル 名古屋'!A1" display="0056_ストリングスホテル 名古屋" xr:uid="{F316C801-F695-464F-9B92-1CBE5D23A949}"/>
    <hyperlink ref="B37" location="'0057_リッチモンドホテル名古屋新幹線口'!A1" display="0057_リッチモンドホテル名古屋新幹線口" xr:uid="{A5D5BC4C-DC25-404E-AC9B-C94BED484635}"/>
    <hyperlink ref="B39" location="'0059_三井ガーデンホテル名古屋プレミア'!A1" display="0059_三井ガーデンホテル名古屋プレミア" xr:uid="{8AED6C03-A458-4D7E-8342-B2491A98056F}"/>
    <hyperlink ref="B40" location="'0060_ダイワロイネットホテル名古屋太閤通口'!A1" display="0060_ダイワロイネットホテル名古屋太閤通口" xr:uid="{9E44390B-4D90-400C-B716-8A0A0F6BCE71}"/>
    <hyperlink ref="B41" location="'0061_名鉄イン名古屋駅新幹線口'!A1" display="0061_名鉄イン名古屋駅新幹線口" xr:uid="{4427F145-6DA4-49FC-A753-15F5E63C7A20}"/>
    <hyperlink ref="B42" location="'0062_名古屋JRゲートタワーホテル'!A1" display="0062_名古屋JRゲートタワーホテル" xr:uid="{9ADEF935-94D6-4D3A-928D-8BA28EE6B223}"/>
    <hyperlink ref="B43" location="'0063_HOTEL LiVEMAX名駅'!A1" display="0063_HOTEL LiVEMAX名駅" xr:uid="{5212DE29-7DC2-40A0-B82A-461476C113B1}"/>
    <hyperlink ref="B44" location="'0064_名古屋プリンスホテルスカイタワー'!A1" display="0064_名古屋プリンスホテルスカイタワー" xr:uid="{70931244-FEE2-4D13-8B3C-0ECB5D7AC03F}"/>
    <hyperlink ref="B45" location="'0065_くれたけインプレミアム名古屋納屋橋'!A1" display="0065_くれたけインプレミアム名古屋納屋橋" xr:uid="{49C77BDE-4A4B-4F05-ABF6-2FD13019335D}"/>
    <hyperlink ref="B46" location="'0066_三交イン名古屋新幹線口ANNEX'!A1" display="0066_三交イン名古屋新幹線口ANNEX" xr:uid="{25B65924-3D62-4F44-BBDD-AD48DAC75A32}"/>
    <hyperlink ref="B47" location="'0067_東横INN名駅南'!A1" display="0067_東横INN名駅南" xr:uid="{9F0CA591-1F63-40DC-B26C-6A0413D55C0A}"/>
    <hyperlink ref="B48" location="'0068_HOTELLiVEMAXBUDGET名古屋太閤通口'!A1" display="0068_HOTELLiVEMAXBUDGET名古屋太閤通口" xr:uid="{1FECCE47-CE9A-4810-AEF4-B991EB71D721}"/>
    <hyperlink ref="B49" location="'0069_ヴィアイン名古屋駅前椿町'!A1" display="0069_ヴィアイン名古屋駅前椿町" xr:uid="{22B22534-54AC-4714-A7CD-7FDFCED6A37D}"/>
    <hyperlink ref="B50" location="'0070_ベッセルホテルカンパーナ名古屋'!A1" display="0070_ベッセルホテルカンパーナ名古屋" xr:uid="{8F9E9153-721B-465B-A327-F2D0B26A2F38}"/>
    <hyperlink ref="B51" location="'0071_アットインホテル名古屋駅'!A1" display="0071_アットインホテル名古屋駅" xr:uid="{7644F402-24C0-4A4F-9063-FADDDEA4BE6E}"/>
    <hyperlink ref="B52" location="'0073_Hamilton Hotel-BLUE-名駅南'!A1" display="0073_Hamilton Hotel-BLUE-名駅南" xr:uid="{787BBDA2-6E43-49FF-8484-59809DD7C5C3}"/>
    <hyperlink ref="B53" location="'0074_スマイルホテル名古屋新幹線口'!A1" display="0074_スマイルホテル名古屋新幹線口" xr:uid="{5A86D27F-28B3-468C-B737-7A5988C445CB}"/>
    <hyperlink ref="B54" location="'0075_R&amp;Bホテル名古屋新幹線口'!A1" display="0075_R&amp;Bホテル名古屋新幹線口" xr:uid="{8B0B75E3-F29B-4BFC-AEEA-9FD2306861EB}"/>
    <hyperlink ref="B55" location="'0076_コンフォートホテル名古屋新幹線口'!A1" display="0076_コンフォートホテル名古屋新幹線口" xr:uid="{362CC475-86C6-4A18-8EEB-C35F421A0E0E}"/>
    <hyperlink ref="B56" location="'0077_相鉄フレッサイン名古屋駅桜通口'!A1" display="0077_相鉄フレッサイン名古屋駅桜通口" xr:uid="{4FC39530-07F3-4E12-9757-309ED1362244}"/>
    <hyperlink ref="B57" location="'0078_三交インGrande名古屋-HOTEL＆SPA-'!A1" display="0078_三交インGrande名古屋-HOTEL＆SPA-" xr:uid="{DE68553B-E1AF-44DB-9EEB-3D6DB4C1E5ED}"/>
    <hyperlink ref="B58" location="'0079_ニッコースタイル名古屋'!A1" display="0079_ニッコースタイル名古屋" xr:uid="{25A22079-2C59-443A-94DE-B931D2819B24}"/>
    <hyperlink ref="B59" location="'0080_アパホテル&lt;名古屋駅新幹線口北&gt;'!A1" display="0080_アパホテル&lt;名古屋駅新幹線口北&gt;" xr:uid="{2F7747A2-C856-46D1-A948-2A06DBDFCF3B}"/>
    <hyperlink ref="B60" location="'0081_イビススタイルズ名古屋'!A1" display="0081_イビススタイルズ名古屋" xr:uid="{01DA1F7A-D7F2-4940-A9A8-C6CBDB8DA9B0}"/>
    <hyperlink ref="B61" location="'0082_アパホテル&lt;名古屋駅新幹線口南&gt;'!A1" display="0082_アパホテル&lt;名古屋駅新幹線口南&gt;" xr:uid="{B1666F82-6410-4613-B67F-50DB725286A5}"/>
    <hyperlink ref="B62" location="'0083_R&amp;Bホテル名古屋駅前'!A1" display="0083_R&amp;Bホテル名古屋駅前" xr:uid="{D375F3B7-F711-4290-94C6-C795C5AA21E4}"/>
    <hyperlink ref="B63" location="'0084_コンフォートホテル名古屋名駅南'!A1" display="0084_コンフォートホテル名古屋名駅南" xr:uid="{0774D4D1-338A-4F50-9B66-3D49D96DE09D}"/>
    <hyperlink ref="B64" location="'0090_名古屋観光ホテル'!A1" display="0090_名古屋観光ホテル" xr:uid="{8C542B7E-0335-4DE7-B80D-84BC876AC2E2}"/>
    <hyperlink ref="B65" location="'0092_国家公務員共済組合連合会名古屋共済会館'!A1" display="0092_国家公務員共済組合連合会名古屋共済会館" xr:uid="{4D102135-E323-48FE-A6B6-F1961E210EB9}"/>
    <hyperlink ref="B66" location="'0093_都心の天然温泉名古屋クラウンホテル'!A1" display="0093_都心の天然温泉名古屋クラウンホテル" xr:uid="{377D657F-84D3-4FBA-8FA7-C776B74F2E62}"/>
    <hyperlink ref="B67" location="'0094_ヒルトン名古屋'!A1" display="0094_ヒルトン名古屋" xr:uid="{3001E1B6-E813-4840-9461-235E7FB93A4C}"/>
    <hyperlink ref="B68" location="'0096_アイリス愛知'!A1" display="0096_アイリス愛知" xr:uid="{C74F1F6F-1EEC-4BAD-AA73-D6F1B03781CA}"/>
    <hyperlink ref="B69" location="'0099_名古屋ガーデンパレス'!A1" display="0099_名古屋ガーデンパレス" xr:uid="{605EC678-5282-4B40-BFF4-4B62F410A6AD}"/>
    <hyperlink ref="B70" location="'0101_東京第一ホテル錦'!A1" display="0101_東京第一ホテル錦" xr:uid="{84FC9996-3916-45C6-958F-0E91B03D02F6}"/>
    <hyperlink ref="B71" location="'0105_ANAクラウンプラザホテルグランコート名古屋'!A1" display="0105_ANAクラウンプラザホテルグランコート名古屋" xr:uid="{549E01CD-268C-44C0-B78C-DD82F525F995}"/>
    <hyperlink ref="B73" location="'0114_リッチモンドホテル名古屋納屋橋'!A1" display="0114_リッチモンドホテル名古屋納屋橋" xr:uid="{5718E1BB-6215-448D-B3C8-E1079DEEC12C}"/>
    <hyperlink ref="B74" location="'0115_ザ・ビー名古屋'!A1" display="0115_ザ・ビー名古屋" xr:uid="{42F2E885-A3B6-434A-8DE5-EF8CE29A251B}"/>
    <hyperlink ref="B75" location="'0117_ホテルウィングインターナショナル名古屋'!A1" display="0117_ホテルウィングインターナショナル名古屋" xr:uid="{AE3E0231-5AB0-4B89-86E6-E83BF4AF698A}"/>
    <hyperlink ref="B76" location="'0121_名古屋東急ホテル'!A1" display="0121_名古屋東急ホテル" xr:uid="{394EBE41-0C6F-4E78-90F2-F919509ED9D8}"/>
    <hyperlink ref="B77" location="'0127_名古屋クレストンホテル'!A1" display="0127_名古屋クレストンホテル" xr:uid="{F05A04BF-8334-4A4E-876F-E69735C44CB3}"/>
    <hyperlink ref="B78" location="'0130_ホテル シルク・トゥリー名古屋'!A1" display="0130_ホテル シルク・トゥリー名古屋" xr:uid="{9FA57909-BCA3-477D-AA47-D62EA9E42976}"/>
    <hyperlink ref="B79" location="'0133_アパホテル＜名古屋栄＞'!A1" display="0133_アパホテル＜名古屋栄＞" xr:uid="{8E162C9A-9813-46E3-A2B4-3DEF706E57BB}"/>
    <hyperlink ref="B80" location="'0139_ドーミーインPREMIUM名古屋栄'!A1" display="0139_ドーミーインPREMIUM名古屋栄" xr:uid="{2969564B-D557-46B7-B489-723BD8B1206A}"/>
    <hyperlink ref="B82" location="'0141_プリンセスガーデンホテル'!A1" display="0141_プリンセスガーデンホテル" xr:uid="{E46D1D65-CCE1-4269-A671-CECABCCFD963}"/>
    <hyperlink ref="B83" location="'0146_ホテルビスタ名古屋〔錦〕 '!A1" display="0146_ホテルビスタ名古屋〔錦〕 " xr:uid="{F6AF3CD9-5495-413B-9330-42615DFCCC86}"/>
    <hyperlink ref="B84" location="'0154_ダイワロイネットホテル名古屋納屋橋'!A1" display="0154_ダイワロイネットホテル名古屋納屋橋" xr:uid="{740A2624-E8F4-498F-914C-62AF4851F4B9}"/>
    <hyperlink ref="B86" location="'0158_ベッセルイン栄駅前'!A1" display="0158_ベッセルイン栄駅前" xr:uid="{1BC3A076-FDEB-4C74-BE5C-8CDFCD9772E3}"/>
    <hyperlink ref="B87" location="'0159_ホテルJALシティ名古屋 錦'!A1" display="0159_ホテルJALシティ名古屋 錦" xr:uid="{A0E38109-4A49-4840-A3F1-C9FA7DB8CD61}"/>
    <hyperlink ref="B88" location="'0160_西鉄ホテルクルーム名古屋'!A1" display="0160_西鉄ホテルクルーム名古屋" xr:uid="{816E8D9A-59CF-4C8F-BEFA-417C1A958DF2}"/>
    <hyperlink ref="B89" location="'0161_ダイワロイネットホテル名古屋伏見'!A1" display="0161_ダイワロイネットホテル名古屋伏見" xr:uid="{A5121EA1-BE42-47D1-A139-8B9D994F6618}"/>
    <hyperlink ref="B91" location="'0167_グリーンリッチホテル名古屋錦'!A1" display="0167_グリーンリッチホテル名古屋錦" xr:uid="{D2B000C4-6CB1-4B9C-ABB6-477A75C3858F}"/>
    <hyperlink ref="B93" location="'0172_サイプレスガーデンホテル'!A1" display="0172_サイプレスガーデンホテル" xr:uid="{C128501E-5507-4FFA-82AF-BAC2D93BF5F7}"/>
    <hyperlink ref="B94" location="'0177_邦和セミナープラザ'!A1" display="0177_邦和セミナープラザ" xr:uid="{ED4C279B-DE35-4BE7-A3C3-2844A6E7A3B3}"/>
    <hyperlink ref="B95" location="'179_LEGOLAND Japan Hotel'!A1" display="179_LEGOLAND Japan Hotel" xr:uid="{6E131047-7FEE-4911-8090-B86D1518FF83}"/>
    <hyperlink ref="B96" location="'180_名古屋笠寺ホテル'!A1" display="180_名古屋笠寺ホテル" xr:uid="{96DBF0F3-C434-440B-BD10-D0C12E412FEC}"/>
    <hyperlink ref="B97" location="'0184_犬山セントラルホテル'!A1" display="0184_犬山セントラルホテル" xr:uid="{5554E7F6-5179-447A-A366-DEBE5F2B2B88}"/>
    <hyperlink ref="B98" location="'0186_フォーポイントフレックスbyシェラトン名古屋駅'!Print_Area" display="0186_フォーポイントフレックスbyシェラトン名古屋駅" xr:uid="{C6B71FC8-BD0B-4318-8247-E86C8E0C0EFF}"/>
    <hyperlink ref="B99" location="'188_名鉄イン刈谷'!A1" display="188_名鉄イン刈谷" xr:uid="{449C01A7-D3B8-4C80-B8C5-B0FE381E0260}"/>
    <hyperlink ref="B100" location="'189_コンフォートホテル刈谷'!A1" display="189_コンフォートホテル刈谷" xr:uid="{3106D58A-AFE2-4A4A-8FE4-812AA1F90B08}"/>
    <hyperlink ref="B101" location="'0192_パークホテル刈谷'!A1" display="0192_パークホテル刈谷" xr:uid="{AE23DC1D-D3C2-44C3-B730-481A98A725B1}"/>
    <hyperlink ref="B102" location="'0193_アクセスイン刈谷'!A1" display="0193_アクセスイン刈谷" xr:uid="{138B13A2-0BDF-468D-8BB1-4FDBCB02E219}"/>
    <hyperlink ref="B104" location="'0200_アットインホテル豊田市駅'!A1" display="0200_アットインホテル豊田市駅" xr:uid="{67731FB4-C8D7-44E8-9BEA-35C7EA957A61}"/>
    <hyperlink ref="B105" location="'0201_全トヨタ労連研修センター つどいの丘'!A1" display="0201_全トヨタ労連研修センター つどいの丘" xr:uid="{C096C525-76FC-4088-8B85-14C3531B3147}"/>
    <hyperlink ref="B106" location="'0206_トヨタキャッスルホテル'!A1" display="0206_トヨタキャッスルホテル" xr:uid="{D4E19D01-5231-45EA-8AA4-C34C32E853E7}"/>
    <hyperlink ref="B107" location="'0207_豊田プレステージホテル'!A1" display="0207_豊田プレステージホテル" xr:uid="{37D14389-3D4C-4BA5-A9C7-B1543E1D9655}"/>
    <hyperlink ref="B108" location="'0208_東横INN豊田駅前'!A1" display="0208_東横INN豊田駅前" xr:uid="{66825A38-A439-4A9F-84A0-FB59EFB0158B}"/>
    <hyperlink ref="B109" location="'0210_名鉄トヨタホテル'!A1" display="0210_名鉄トヨタホテル" xr:uid="{4EE39D73-026E-4889-AE8F-18C29032C46D}"/>
    <hyperlink ref="B110" location="'0211_ホテル松風'!A1" display="0211_ホテル松風" xr:uid="{52129A45-A038-47BF-BD6C-4B297986A705}"/>
    <hyperlink ref="B111" location="'0212_ホテルルートイン豊田陣中'!A1" display="0212_ホテルルートイン豊田陣中" xr:uid="{D9EE5FC0-231D-4DF9-93C3-A7D3B0942790}"/>
    <hyperlink ref="B112" location="'0213_ホテルルートイン豊田元町'!Print_Area" display="0213_ホテルルートイン豊田元町" xr:uid="{7E3BD5AA-C291-43C1-828D-F2F01CE84A77}"/>
    <hyperlink ref="B113" location="'0214_HOTEL LiVEMAX愛知豊田駅前'!A1" display="0214_HOTEL LiVEMAX愛知豊田駅前" xr:uid="{DF1C90F8-0995-4E64-A149-A6905E98ECCF}"/>
    <hyperlink ref="B114" location="'0219_東横INN三河安城駅新幹線南口2'!A1" display="0219_東横INN三河安城駅新幹線南口2" xr:uid="{192934DC-A535-4387-A4B9-B2F11830C8AB}"/>
    <hyperlink ref="B115" location="'0220_東横INN三河安城駅新幹線南口1'!A1" display="0220_東横INN三河安城駅新幹線南口1" xr:uid="{F0D7285A-4D7B-493E-8444-B9C5144B1E23}"/>
    <hyperlink ref="B116" location="'0221_ホテルグランドティアラ南名古屋'!A1" display="0221_ホテルグランドティアラ南名古屋" xr:uid="{3C3A285A-C9EF-4CCE-A969-5D6B7841CC9D}"/>
    <hyperlink ref="B117" location="'0222_HOTEL LiVEMAX三河安城駅前'!A1" display="0222_HOTEL LiVEMAX三河安城駅前" xr:uid="{79272D9A-B4EE-4769-9F80-5C25ABD063BA}"/>
    <hyperlink ref="B118" location="'0223_天然温泉三州の湯ドーミーインEXPRESS三河安城'!A1" display="0223_天然温泉三州の湯ドーミーインEXPRESS三河安城" xr:uid="{ADAD80ED-585C-46C1-B093-AED2F99CB83A}"/>
    <hyperlink ref="B119" location="'0227_ホテルクラウンパレス知立'!A1" display="0227_ホテルクラウンパレス知立" xr:uid="{A3E9FB65-17CB-4AC7-A42B-AF2318E2F8A7}"/>
    <hyperlink ref="B120" location="'0228_東横INN名鉄知立駅前'!A1" display="0228_東横INN名鉄知立駅前" xr:uid="{6AA1B4A5-C1DF-4783-97F4-BBCB782138DD}"/>
    <hyperlink ref="B121" location="'0229_岡崎オーワホテル'!A1" display="0229_岡崎オーワホテル" xr:uid="{11900772-EE4C-483C-94DA-32B9E5188045}"/>
    <hyperlink ref="B122" location="'0231_グランドイン東岡崎'!A1" display="0231_グランドイン東岡崎" xr:uid="{F4CDE3C1-1476-454C-AD06-EFD1E87D0CE6}"/>
    <hyperlink ref="B123" location="'0232_HOTEL LiVEＭAX岡崎'!A1" display="0232_HOTEL LiVEＭAX岡崎" xr:uid="{EE8F35CC-B95F-420A-99ED-A760514E1F0A}"/>
    <hyperlink ref="B124" location="'0234_MyHotelOkazaKi'!A1" display="0234_MyHotelOkazaKi" xr:uid="{54AC1F71-5835-4ACC-8B09-C279DEF508C6}"/>
    <hyperlink ref="B125" location="'0238_岡崎ニューグランドホテル'!A1" display="0238_岡崎ニューグランドホテル" xr:uid="{DA836371-3A91-4EE0-B6E8-FBB8BC84CC3A}"/>
    <hyperlink ref="B126" location="'0239_アクセスイン西尾'!A1" display="0239_アクセスイン西尾" xr:uid="{A1B98ED1-38FB-482F-BF24-158C775B9164}"/>
    <hyperlink ref="B127" location="'0240_株式会社竜宮ホテル'!A1" display="0240_株式会社竜宮ホテル" xr:uid="{C853D456-635C-478F-8312-F9CCDA5C2765}"/>
    <hyperlink ref="B128" location="'0241_株式会社三河湾リゾート・リンクス'!A1" display="0241_株式会社三河湾リゾート・リンクス" xr:uid="{428EFA63-2BFC-4C56-AF92-BB8BCE6ABB1F}"/>
    <hyperlink ref="B129" location="'0242_吉良かん'!A1" display="0242_吉良かん" xr:uid="{0B84D6B1-9773-460E-8DE0-C529FB071FB7}"/>
    <hyperlink ref="B130" location="'0243_三河湾ヒルズ・ホテル'!A1" display="0243_三河湾ヒルズ・ホテル" xr:uid="{E6DFBB60-567F-4089-8517-C39215B2478E}"/>
    <hyperlink ref="B131" location="'0245_変なホテルラグーナテンボス'!A1" display="0245_変なホテルラグーナテンボス" xr:uid="{DF6C8DD7-3713-484A-B059-3C508E49A7D6}"/>
    <hyperlink ref="B132" location="'0247_株式会社鈴岡'!A1" display="0247_株式会社鈴岡" xr:uid="{5F596D03-88F7-43F1-99B9-C10FC2E7108A}"/>
    <hyperlink ref="B133" location="'0249_ホテル明山荘'!A1" display="0249_ホテル明山荘" xr:uid="{547EECE9-9208-43EC-B454-6B72F5587529}"/>
    <hyperlink ref="B134" location="'0250_松風園'!A1" display="0250_松風園" xr:uid="{736F72A9-5F3C-4ACB-B014-1F54B29B0E4A}"/>
    <hyperlink ref="B135" location="'0251_株式会社三谷温泉ひがきホテル'!A1" display="0251_株式会社三谷温泉ひがきホテル" xr:uid="{DB78C408-1BF3-48DE-AA0D-E8476BF6FC94}"/>
    <hyperlink ref="B136" location="'0252_株式会社平野屋'!A1" display="0252_株式会社平野屋" xr:uid="{A278AC6B-908A-4315-B488-493E476CA46E}"/>
    <hyperlink ref="B137" location="'0253_蒲郡ホテル'!A1" display="0253_蒲郡ホテル" xr:uid="{39C39BD5-DB0E-4C5A-A89C-07E298CC9EB9}"/>
    <hyperlink ref="B139" location="'0257_和のリゾートはづ'!A1" display="0257_和のリゾートはづ" xr:uid="{822F1775-7323-4A60-BA6F-07ED7739160E}"/>
    <hyperlink ref="B140" location="'0260_蒲郡クラシックホテル'!A1" display="0260_蒲郡クラシックホテル" xr:uid="{8643536F-D581-479F-ACD0-D1E587DB576C}"/>
    <hyperlink ref="B141" location="'0261_ホテル竹島'!A1" display="0261_ホテル竹島" xr:uid="{C5F1D943-D208-4E09-9611-322F2B3789E0}"/>
    <hyperlink ref="B143" location="'0269_ホテルルートイン豊川インター'!A1" display="0269_ホテルルートイン豊川インター" xr:uid="{C11FC5E7-F14E-4138-881C-8938A36BBD61}"/>
    <hyperlink ref="B145" location="'0275_シーパレスリゾート'!A1" display="0275_シーパレスリゾート" xr:uid="{F7E35368-D6FF-4BE4-AE79-C7CA8BB6C97B}"/>
    <hyperlink ref="B146" location="'0278_ホテルアソシア豊橋'!A1" display="0278_ホテルアソシア豊橋" xr:uid="{DDB18684-3089-4FA8-A684-7116EAF205A9}"/>
    <hyperlink ref="B147" location="'0281_ロワジール豊橋'!A1" display="0281_ロワジール豊橋" xr:uid="{824DAD8E-D07F-47A4-97D4-D7AABA67AD43}"/>
    <hyperlink ref="B148" location="'0282_ホテルアークリッシュ豊橋'!A1" display="0282_ホテルアークリッシュ豊橋" xr:uid="{546B34F5-ED4E-4D8D-8B17-5719A47E8206}"/>
    <hyperlink ref="B149" location="'0283_東横INN豊橋駅東口'!A1" display="0283_東横INN豊橋駅東口" xr:uid="{58476F17-EA21-4CE9-9631-9CA9C94758B8}"/>
    <hyperlink ref="B150" location="'0287_コンフォートホテル豊橋'!A1" display="0287_コンフォートホテル豊橋" xr:uid="{FF5E0FB9-98CB-40E1-9577-EACB91C888EF}"/>
    <hyperlink ref="B151" location="'0288_ホテルルートイン豊橋駅前'!A1" display="0288_ホテルルートイン豊橋駅前" xr:uid="{4DAAD9DB-E28C-43E8-8B8F-D9D06E19ADAF}"/>
    <hyperlink ref="B152" location="'0290_ジャストインプレミアム豊橋駅新幹線口'!A1" display="0290_ジャストインプレミアム豊橋駅新幹線口" xr:uid="{E9957B4C-049F-4950-AED6-B90246327343}"/>
    <hyperlink ref="B153" location="'0292_マーレホテル東海'!A1" display="0292_マーレホテル東海" xr:uid="{81A26ADD-0878-41B4-BB5E-1ABC99250EF5}"/>
    <hyperlink ref="B154" location="'0293_ザ・カトーホテル'!A1" display="0293_ザ・カトーホテル" xr:uid="{A748DA1E-2ECC-48B7-A726-59634941C08D}"/>
    <hyperlink ref="B155" location="'0295_東海シティホテル'!A1" display="0295_東海シティホテル" xr:uid="{83BA0565-B933-4D4D-ACE2-F2C108BA3CC8}"/>
    <hyperlink ref="B156" location="'0298_フォーポイントバイシェラトン名古屋中部空港'!A1" display="0298_フォーポイントバイシェラトン名古屋中部空港" xr:uid="{81B05394-6BD3-4162-8463-CC38C8440E21}"/>
    <hyperlink ref="B157" location="'0299_東横INN中部国際空港2'!A1" display="0299_東横INN中部国際空港2" xr:uid="{1585CDBE-AE33-4076-B20B-ADB1DD1DA3E2}"/>
    <hyperlink ref="B158" location="'0300_東横INN中部国際空港1'!A1" display="0300_東横INN中部国際空港1" xr:uid="{92C9EC37-45C0-42EA-89BE-4031AD806B56}"/>
    <hyperlink ref="B160" location="'0302_中部国際空港セントレアホテル'!A1" display="0302_中部国際空港セントレアホテル" xr:uid="{2DC31513-0C6C-4A61-A45E-EEA964B2740E}"/>
    <hyperlink ref="B161" location="'0303_J・HOTEL ANNEX'!A1" display="0303_J・HOTEL ANNEX" xr:uid="{DD5ACF38-5735-4F4E-99A5-1539ED9ED373}"/>
    <hyperlink ref="B162" location="'0304_J・ホテルりんくう'!A1" display="0304_J・ホテルりんくう" xr:uid="{84F081F1-5B23-454A-9A38-7AC220B80971}"/>
    <hyperlink ref="B163" location="'0305_ホテルルートイン常滑駅前グランドアネックス'!A1" display="0305_ホテルルートイン常滑駅前グランドアネックス" xr:uid="{986EE2AE-45FC-43BF-9592-F134B5A1A4BC}"/>
    <hyperlink ref="B164" location="'0306_ホテルルートイン常滑駅前'!A1" display="0306_ホテルルートイン常滑駅前" xr:uid="{3793358E-A46F-4949-A257-EE231C0A0CE0}"/>
    <hyperlink ref="B165" location="'0307_スプリングサニーホテル名古屋常滑駅前'!A1" display="0307_スプリングサニーホテル名古屋常滑駅前" xr:uid="{7751C031-BC9C-4066-8487-7F3480F4A8C7}"/>
    <hyperlink ref="B166" location="'0319_ホテルルートイン半田亀崎'!A1" display="0319_ホテルルートイン半田亀崎" xr:uid="{39F15724-1EA3-464F-917F-A0CA78C1A648}"/>
    <hyperlink ref="B167" location="'0320_アズイン半田インター'!A1" display="0320_アズイン半田インター" xr:uid="{1856DB4F-4AA7-4780-9AEC-382517F057D7}"/>
    <hyperlink ref="B168" location="'0321_半田ステーションホテル'!A1" display="0321_半田ステーションホテル" xr:uid="{CB011480-0467-4A0A-8373-5C43995BA7D0}"/>
    <hyperlink ref="B169" location="'0322_名鉄イン知多半田駅前'!A1" display="0322_名鉄イン知多半田駅前" xr:uid="{BE8237D7-E180-43C3-B562-C5F640BFE94B}"/>
    <hyperlink ref="B170" location="'0323_センターワンホテル半田'!A1" display="0323_センターワンホテル半田" xr:uid="{B7C88B74-2D28-4FD6-9B29-F7766CFA00B8}"/>
    <hyperlink ref="B171" location="'0324_カンデオホテルズ半田'!A1" display="0324_カンデオホテルズ半田" xr:uid="{1774B67E-589D-450C-820D-6C4950A8EBC5}"/>
    <hyperlink ref="B172" location="'1002ルートイングランティア東海Spa＆Relaxation'!A1" display="1002ルートイングランティア東海Spa＆Relaxation" xr:uid="{EE9E70A9-491F-4E1A-9981-900529AD89F0}"/>
    <hyperlink ref="B173" location="'1003_ホテルルートイン新城'!A1" display="1003_ホテルルートイン新城" xr:uid="{209BA79C-87C5-463A-8929-41597054EAEA}"/>
    <hyperlink ref="B174" location="'1004_モンブランホテルラフィネ名古屋駅前'!A1" display="1004_モンブランホテルラフィネ名古屋駅前" xr:uid="{B09E80FF-A68A-4016-8385-34B3559E381C}"/>
    <hyperlink ref="B175" location="'1006_相鉄フレッサイン名古屋駅新幹線口'!A1" display="1006_相鉄フレッサイン名古屋駅新幹線口" xr:uid="{C086797C-4C8B-457E-9EAB-454DF1C609C2}"/>
    <hyperlink ref="B176" location="'1007_ホテルミュースタイル犬山エクスペリエンス'!A1" display="1007_ホテルミュースタイル犬山エクスペリエンス" xr:uid="{F087B57E-8EF4-48C9-862A-884551E0B82D}"/>
    <hyperlink ref="B177" location="'1008_ホテルインディゴ犬山有楽苑'!A1" display="1008_ホテルインディゴ犬山有楽苑" xr:uid="{10D7D4B4-C738-4E59-B3D4-3764D18F2040}"/>
    <hyperlink ref="B178" location="'1010_天の丸'!A1" display="1010_天の丸" xr:uid="{C1E2AECB-47C9-47E4-A97B-79AFDBE595AF}"/>
    <hyperlink ref="B179" location="'1012_ホテルたつき'!A1" display="1012_ホテルたつき" xr:uid="{0A5AB6DF-DFC3-4D14-BE76-09E7E08B7C01}"/>
    <hyperlink ref="B180" location="'1013_西浦グランドホテル吉慶'!A1" display="1013_西浦グランドホテル吉慶" xr:uid="{0B490670-07BA-4111-879A-82F2A363ED6E}"/>
    <hyperlink ref="B181" location="'1015_ホテル三河　海陽閣'!A1" display="1015_ホテル三河　海陽閣" xr:uid="{76F1DCD9-B722-4912-AA34-2FB3FC32E9AE}"/>
    <hyperlink ref="B182" location="'1016_くれたけインプレミアム名駅南'!A1" display="1016_くれたけインプレミアム名駅南" xr:uid="{803A3719-FDB6-4D78-948F-F4D3D71E8B08}"/>
    <hyperlink ref="B183" location="'1017_HOTEL LiVEMAX名古屋桜通口'!A1" display="1017_HOTEL LiVEMAX名古屋桜通口" xr:uid="{7EA2D3D1-A0F9-45E4-B4A7-018AE5B54ABD}"/>
    <hyperlink ref="B184" location="'1018_アパホテル&lt;名古屋駅前&gt;'!A1" display="1018_アパホテル&lt;名古屋駅前&gt;" xr:uid="{8D756CAA-53C0-478C-BFCD-5DE616D6B776}"/>
    <hyperlink ref="B185" location="'1021_コートヤードバイマリオット名古屋'!A1" display="1021_コートヤードバイマリオット名古屋" xr:uid="{C3764D5C-D773-4BCE-A663-8F2E2F741A2B}"/>
    <hyperlink ref="B186" location="'1027_TIAD'!A1" display="1027_TIAD" xr:uid="{A1353793-A3B1-43C0-9A2B-07517E6916CE}"/>
    <hyperlink ref="B187" location="'1028_蒲郡ホテル＜別館＞'!A1" display="1028_蒲郡ホテル＜別館＞" xr:uid="{6F221DDB-F32A-434F-8852-CB836A7C26F1}"/>
    <hyperlink ref="B188" location="'1029_伊良湖オーシャンリゾート'!A1" display="1029_伊良湖オーシャンリゾート" xr:uid="{A3E2E75A-0853-411B-B90D-E7B1CB72D6C2}"/>
    <hyperlink ref="B189" location="'1030_伊良湖シーパーク＆スパ'!A1" display="1030_伊良湖シーパーク＆スパ" xr:uid="{0BA813A9-330D-454A-A697-76B7BDE090F1}"/>
    <hyperlink ref="B190" location="'1032_ザロイヤルパークアイコニック名古屋'!A1" display="1032_ザロイヤルパークアイコニック名古屋" xr:uid="{B60C3C29-9616-4DAB-B9C0-312909DAA10C}"/>
    <hyperlink ref="B191" location="'1033_エスパシオ　ナゴヤキャッスル'!A1" display="1033_エスパシオ　ナゴヤキャッスル" xr:uid="{3A691D07-7BF6-4A93-92BD-DCDA404AD265}"/>
    <hyperlink ref="B192" location="'1034_コンラッド名古屋'!A1" display="1034_コンラッド名古屋" xr:uid="{2E6CD145-F006-4186-B524-04BCB58F240C}"/>
    <hyperlink ref="B193" location="'1035_JICA中部'!A1" display="1035_JICA中部" xr:uid="{254533E9-67BB-4703-B6F6-A32C914D1784}"/>
    <hyperlink ref="B194" location="'1036_衣浦グランドホテル'!A1" display="1036_衣浦グランドホテル" xr:uid="{32E6250A-7A1C-4518-98A0-47AEF0D0CBC3}"/>
    <hyperlink ref="B198" location="'2001_アパホテル&lt;岐阜羽島駅前&gt;'!A1" display="2001_アパホテル&lt;岐阜羽島駅前&gt;" xr:uid="{CEFAE436-87D8-439E-93BA-6CF384B83F40}"/>
    <hyperlink ref="B199" location="'2007_シェラトン都ホテル大阪'!A1" display="2007_シェラトン都ホテル大阪" xr:uid="{26B58152-886A-4940-9606-14CB276D1FD6}"/>
    <hyperlink ref="B200" location="'2008_ホテルアゴーラリージェンシー大阪堺'!A1" display="2008_ホテルアゴーラリージェンシー大阪堺" xr:uid="{F5D00391-CA97-473C-B5DE-A3A4472F5CBA}"/>
    <hyperlink ref="B201" location="'2009_帝国ホテル大阪'!A1" display="2009_帝国ホテル大阪" xr:uid="{F26ADEC8-1E08-4079-9CD0-872ED3E09D28}"/>
    <hyperlink ref="B202" location="'2010_神戸西神オリエンタルホテル'!A1" display="2010_神戸西神オリエンタルホテル" xr:uid="{B8B1F47C-8FF6-45EE-B560-5220FC8F4572}"/>
    <hyperlink ref="B203" location="'2011_ANAクラウンプラザホテル神戸'!A1" display="2011_ANAクラウンプラザホテル神戸" xr:uid="{713F2FC7-4BDC-4442-99C2-32620CA4EB39}"/>
    <hyperlink ref="B204" location="'2012_シーサイドホテル舞子ビラ神戸'!A1" display="2012_シーサイドホテル舞子ビラ神戸" xr:uid="{530F3C08-A9C2-47CA-B22B-371CC2804672}"/>
    <hyperlink ref="B205" location="'2013_ホテルオークラ神戸'!A1" display="2013_ホテルオークラ神戸" xr:uid="{6694A110-A351-417D-A71F-1AF1EF932AC5}"/>
    <hyperlink ref="B206" location="'2015_京都ホテルオークラ '!A1" display="2015_京都ホテルオークラ " xr:uid="{7053F73C-4A79-45D3-BF6A-7182AEEA0736}"/>
    <hyperlink ref="B207" location="'2016_つま恋リゾート彩の郷'!A1" display="2016_つま恋リゾート彩の郷" xr:uid="{34210083-185A-4884-9332-8FEFA6E4C85A}"/>
    <hyperlink ref="B208" location="'2018_掛川グランドホテル'!A1" display="2018_掛川グランドホテル" xr:uid="{041B0C1B-5896-446C-9FD1-AC90D519724A}"/>
    <hyperlink ref="B209" location="'2019_グランドメルキュール浜名湖＆スパ'!Print_Area" display="2019_グランドメルキュール浜名湖リゾート＆スパ" xr:uid="{E1E51C10-FB30-437B-BB29-3EE6F3412A1F}"/>
    <hyperlink ref="B210" location="'2021_オークラアクトシティホテル浜松'!A1" display="2021_オークラアクトシティホテル浜松" xr:uid="{682D71B7-ADE5-46E6-ADE4-95F576B20F94}"/>
    <hyperlink ref="B211" location="'2022_ホテルラフォーレ修善寺'!A1" display="2022_ホテルラフォーレ修善寺" xr:uid="{1BB8C3B0-5860-49D2-B1AC-C44E7AEA7CA1}"/>
    <hyperlink ref="B212" location="'2024_富士山三島東急ホテル'!A1" display="2024_富士山三島東急ホテル" xr:uid="{5B53E64C-847F-434C-9ED0-B1ED465112A1}"/>
    <hyperlink ref="B213" location="'2025_伊豆マリオット修善寺'!A1" display="2025_伊豆マリオット修善寺" xr:uid="{D4F59E0D-D0A0-4E2D-9C47-AEB47C064C59}"/>
    <hyperlink ref="B214" location="'2026_岐阜グランドホテル'!A1" display="2026_岐阜グランドホテル" xr:uid="{7EA29F4E-94BC-4F78-AAE0-C71D42A0F49E}"/>
    <hyperlink ref="B215" location="'2027_都ホテル岐阜長良川'!A1" display="2027_都ホテル岐阜長良川" xr:uid="{1CE6F855-E399-47F8-90F9-BF8845373E3C}"/>
    <hyperlink ref="B216" location="'2028_ホテルグランヴェール岐山（公立共済やすらぎの里）'!A1" display="2028_ホテルグランヴェール岐山（公立共済やすらぎの里）" xr:uid="{703AC409-6A14-4A95-9AFD-42842B2CB92E}"/>
    <hyperlink ref="B217" location="'2030_ホテルリソル岐阜'!A1" display="2030_ホテルリソル岐阜" xr:uid="{499AEFB4-03BE-4230-B8D4-90CD1FDB15F4}"/>
    <hyperlink ref="B218" location="'2032_大垣フォーラムホテル'!A1" display="2032_大垣フォーラムホテル" xr:uid="{2104F61C-950D-4610-ACF8-F2DE11CE91D8}"/>
    <hyperlink ref="B219" location="'2034_ホテルルートイン各務原'!A1" display="2034_ホテルルートイン各務原" xr:uid="{7649E243-A14E-4EF9-BF2D-8486150067F9}"/>
    <hyperlink ref="B220" location="'2036_ホテルルートイン羽島駅前'!A1" display="2036_ホテルルートイン羽島駅前" xr:uid="{BF13B11B-E7DF-41CE-9A05-2E1903163DF9}"/>
    <hyperlink ref="B221" location="'2037_ホテルコーヨー'!A1" display="2037_ホテルコーヨー" xr:uid="{28169402-1AB6-42BD-AE19-B76F5A97998C}"/>
    <hyperlink ref="B222" location="'2038_京都 東急ホテル'!A1" display="2038_京都 東急ホテル" xr:uid="{670D1DCB-4E8E-4CBE-BA53-4C6A0EBF3E3C}"/>
    <hyperlink ref="B223" location="'2040_リーガロイヤルホテル京都'!A1" display="2040_リーガロイヤルホテル京都" xr:uid="{B288A133-1C37-4E58-9936-C3275D60B616}"/>
    <hyperlink ref="B224" location="'2041_ホテルコンコルド浜松'!A1" display="2041_ホテルコンコルド浜松" xr:uid="{FFDE9444-0E5D-43EE-A30C-DEC20FA88C33}"/>
    <hyperlink ref="B225" location="'2042_神戸ポートピアホテル'!A1" display="2042_神戸ポートピアホテル" xr:uid="{12F94650-6F7E-4715-BDB3-8BDC94B9C5BE}"/>
    <hyperlink ref="B226" location="'2043_パレスホテル掛川'!A1" display="2043_パレスホテル掛川" xr:uid="{C8F434D9-90A8-4F9B-ABA9-36FC3823113A}"/>
    <hyperlink ref="B227" location="'2044_くれたけインプレミアム大垣駅前'!A1" display="2044_くれたけインプレミアム大垣駅前" xr:uid="{F89D21C6-46AD-474C-BD02-4B1BDDB43E3B}"/>
    <hyperlink ref="B228" location="'2045_クインテッサホテル大垣'!A1" display="2045_クインテッサホテル大垣" xr:uid="{3C685DED-DF11-42BA-9113-104E072C27FC}"/>
    <hyperlink ref="B229" location="'2046_ホテルナガシマ'!A1" display="2046_ホテルナガシマ" xr:uid="{7657E82D-E795-4E7E-BBAA-8702E95C174B}"/>
    <hyperlink ref="B230" location="'2048_東京イーストサイドホテル櫂会'!A1" display="2048_東京イーストサイドホテル櫂会" xr:uid="{AD0E4360-D4FF-4C74-9D82-8822C641761C}"/>
    <hyperlink ref="B231" location="'2050_二子玉川エクセルホテル東急'!A1" display="2050_二子玉川エクセルホテル東急" xr:uid="{F122E836-72A9-4C32-9138-931660592897}"/>
    <hyperlink ref="B232" location="'2051_東京ベイ潮見プリンスホテル'!A1" display="2051_東京ベイ潮見プリンスホテル" xr:uid="{603708A8-56B3-4E68-B4E1-C17FC0B6F85D}"/>
    <hyperlink ref="B234" location="'3001-_グランドニッコー東京　台場'!Print_Area" display="3001_グランドニッコー東京 台場" xr:uid="{7FF56366-8724-4AA6-984D-ACB59347ADE8}"/>
    <hyperlink ref="B272" location="'-_ホテルイースト21東京'!A1" display="-_ホテルイースト21東京" xr:uid="{F357C920-52B9-4B25-BE8F-9AD07D765FDC}"/>
    <hyperlink ref="B282" location="'オリジナル'!A1" display="オリジナル" xr:uid="{76F2319C-6CE3-471B-A6BB-607B74410775}"/>
    <hyperlink ref="B72" location="'0111_アパホテル&lt;名古屋錦&gt; EXCELLENT'!Print_Area" display="0111_アパホテル&lt;名古屋錦&gt; EXCELLENT" xr:uid="{E5C70BDF-52E2-4BE8-BA62-045EE5B4C15F}"/>
    <hyperlink ref="B81" location="'0140_名古屋金山ホテル'!Print_Area" display="'0140_名古屋金山ホテル'!Print_Area" xr:uid="{96CF8975-7FDC-4DE6-B13D-2327BC642117}"/>
    <hyperlink ref="B92" location="'0168_ホテルフォルツァ栄'!Print_Area" display="'0168_ホテルフォルツァ栄'!Print_Area" xr:uid="{561BC84B-65A4-4327-9E19-26B6E0E9B0B8}"/>
    <hyperlink ref="B235" location="'3002-_長島温泉ガーデンホテルオリーブ'!Print_Area" display="'3002-_長島温泉ガーデンホテルオリーブ'!Print_Area" xr:uid="{DC5F3C3A-4B99-4DE6-A803-882F81C70E57}"/>
    <hyperlink ref="B236" location="'3003-_長島温泉 ホテル花水木'!Print_Area" display="'3003-_長島温泉 ホテル花水木'!Print_Area" xr:uid="{D4B9E9AD-E889-4B65-BFF4-855499CB7B55}"/>
    <hyperlink ref="B238" location="'3005-_アパホテル新大阪駅前'!Print_Area" display="'3005-_アパホテル新大阪駅前'!Print_Area" xr:uid="{965961C7-7D75-4756-A4E7-70A005A4EEBD}"/>
    <hyperlink ref="B239" location="'3006-_アパホテル＆リゾート東京ベイ潮見'!Print_Area" display="3006-_アパホテル＆リゾート東京ベイ潮見" xr:uid="{27BC384C-D23E-4170-B51D-CD478A190EFA}"/>
    <hyperlink ref="B237" location="'3004_東横イン富士山三島駅'!Print_Area" display="3004_東横イン富士山三島駅" xr:uid="{52D72156-BAA9-4504-8116-17277C4AC4DF}"/>
    <hyperlink ref="B273" location="'2052_オースタット国際ホテル多治見'!A1" display="2052_オースタット国際ホテル多治見" xr:uid="{A71E6E8C-2F4A-4601-8CEC-1F1673D253C9}"/>
    <hyperlink ref="B274" location="'-_THE OKURA TOKYO'!A1" display="-_THE OKURA TOKYO" xr:uid="{3D0B7E94-1A40-48B8-9C0D-8A2AA6B6B225}"/>
    <hyperlink ref="B275" location="'-_帝国ホテル　東京'!A1" display="-_帝国ホテル　東京" xr:uid="{6BB34E01-0C6D-49AF-B171-BFB2ADD53D98}"/>
    <hyperlink ref="B276" location="'-_ルートイン愛知東郷町'!A1" display="-_ルートイン愛知東郷町" xr:uid="{59AE2543-572E-4597-BCD1-72C60BB97A7E}"/>
    <hyperlink ref="B277" location="'-_東横イン浜松駅北口'!A1" display="-_東横イン浜松駅北口" xr:uid="{20859BFE-57C5-446E-9F85-8BBBD5526616}"/>
    <hyperlink ref="B278" location="'-_東横イン京都四条烏丸'!A1" display="-_東横イン京都四条烏丸" xr:uid="{C893E6C9-6123-4520-AAAD-4926842B501A}"/>
    <hyperlink ref="B279" location="'-_東横イン神戸三ノ宮1'!A1" display="-_東横イン神戸三ノ宮1" xr:uid="{7CC8251F-DE57-4A6E-A3F3-C97F1C56ABF1}"/>
    <hyperlink ref="B281" location="'-_東横イン大阪なんば日本橋'!A1" display="-_東横イン大阪なんば日本橋" xr:uid="{0FA57328-2478-4359-B59F-8D7BDE587031}"/>
    <hyperlink ref="B233" location="'3000_ルートイン愛知東郷町'!Print_Area" display="ホテルルートイン愛知東郷町" xr:uid="{EB432896-8105-479C-9EA2-125718B20C04}"/>
    <hyperlink ref="B138" location="'0256_ホテル東海園'!Print_Area" display="'0256_ホテル東海園'!Print_Area" xr:uid="{4A041929-5434-42D0-A9E6-1BF598DF0822}"/>
    <hyperlink ref="B197" location="'1039_ベストウェスタンプラス名古屋栄'!Print_Area" display="'1039_ベストウェスタンプラス名古屋栄'!Print_Area" xr:uid="{57AC8CD0-66F4-4E90-9B81-2C4F2B78F9D3}"/>
    <hyperlink ref="B240" location="'3007_the b 三軒茶屋'!Print_Area" display="'3007_the b 三軒茶屋'!Print_Area" xr:uid="{1EEA8138-7806-430E-9D23-F1CF790D14BB}"/>
    <hyperlink ref="B241" location="'3008_相鉄グランドフレッサ東京ベイ有明'!Print_Area" display="'3008_相鉄グランドフレッサ東京ベイ有明'!Print_Area" xr:uid="{81B48627-B30B-4203-9542-693E79B4D5CF}"/>
    <hyperlink ref="B242" location="'3009_東横イン大阪なんば日本橋'!Print_Area" display="3009_東横イン大阪なんば日本橋" xr:uid="{6C18C405-711E-4466-8906-B28D0E8B7AEA}"/>
    <hyperlink ref="B243" location="'3010_東横イン浜松駅北口'!Print_Area" display="'3010_東横イン浜松駅北口'!Print_Area" xr:uid="{7A6F367F-FF19-4A1B-8F30-B4D9BAAE8A85}"/>
    <hyperlink ref="B244" location="'3011_東横イン神戸三ノ宮1'!Print_Area" display="'3011_東横イン神戸三ノ宮1'!Print_Area" xr:uid="{D313938A-779D-41E0-AB79-7BB880DC7848}"/>
    <hyperlink ref="B245" location="'3012_東横イン熱海駅前'!Print_Area" display="'3012_東横イン熱海駅前'!Print_Area" xr:uid="{114F2BA8-6621-424F-A91E-C9BA5E2DBF3C}"/>
    <hyperlink ref="B246" location="'3013_ウインドシティホテル'!Print_Area" display="'3013_ウインドシティホテル'!Print_Area" xr:uid="{063BCA43-A635-4102-B159-72B7C005B8B5}"/>
    <hyperlink ref="B247" location="'3014_コンフォートホテル浜松'!Print_Area" display="'3014_コンフォートホテル浜松'!Print_Area" xr:uid="{1E3B8A18-275A-4AA0-8FDE-CE41B1A09E10}"/>
    <hyperlink ref="B248" location="'3015_アパホテル＜神戸三宮＞'!Print_Area" display="'3015_アパホテル＜神戸三宮＞'!Print_Area" xr:uid="{12F010EF-E90D-413C-92FF-F6A8660189D9}"/>
    <hyperlink ref="B249" location="'3016_ホテルルートイン浜松駅東'!Print_Area" display="'3016_ホテルルートイン浜松駅東'!Print_Area" xr:uid="{838E73F5-C1E9-4334-9204-9C60C638F2E4}"/>
    <hyperlink ref="B250" location="'3017_the b 神戸'!Print_Area" display="'3017_the b 神戸'!Print_Area" xr:uid="{98DAAF49-91F0-416B-ABC9-91C550C4930E}"/>
    <hyperlink ref="B251" location="'3018_R＆B東京東陽町'!Print_Area" display="'3018_R＆B東京東陽町'!Print_Area" xr:uid="{F4E0DA9F-1CFD-40CA-BBE4-13E1FC1B6DE7}"/>
    <hyperlink ref="B252" location="'3019_ヴィラフォンテーヌグランド東京有明'!Print_Area" display="'3019_ヴィラフォンテーヌグランド東京有明'!Print_Area" xr:uid="{21AE212F-ACC6-4AC7-A358-56095DFC6B0F}"/>
    <hyperlink ref="B38" location="'0058_ナゴヤエキアクセスホテル'!Print_Area" display="'0058_ナゴヤエキアクセスホテル'!Print_Area" xr:uid="{D3516930-79E9-4328-8E83-C35D17EB82E7}"/>
    <hyperlink ref="B17" location="'0028_第一富士ホテル'!Print_Area" display="'0028_第一富士ホテル'!Print_Area" xr:uid="{B3C580C9-6AB6-4D05-B5F0-5EB154F6A87E}"/>
    <hyperlink ref="B26" location="'0045_名古屋フラワーホテル'!Print_Area" display="'0045_名古屋フラワーホテル'!Print_Area" xr:uid="{C56C3B02-483C-47E8-9D51-E52D35A95300}"/>
    <hyperlink ref="B27" location="'0046_名古屋フラワーホテル　別館PARTⅡ'!Print_Area" display="'0046_名古屋フラワーホテル　別館PARTⅡ'!Print_Area" xr:uid="{59090064-FCDD-47FD-AB70-65286BFED89D}"/>
    <hyperlink ref="B159" location="'0301_コンフォートホテル中部国際空港'!Print_Area" display="'0301_コンフォートホテル中部国際空港'!Print_Area" xr:uid="{47B6B241-FC70-4A2E-96E2-854EA9899E50}"/>
    <hyperlink ref="B103" location="'0195_ロイヤルホテルうお八'!Print_Area" display="'0195_ロイヤルホテルうお八'!Print_Area" xr:uid="{000FAECC-2765-4A39-B268-F99DD92D6995}"/>
    <hyperlink ref="B253" location="'3025_トヨタスポーツセンター'!Print_Area" display="'3025_トヨタスポーツセンター'!Print_Area" xr:uid="{8E350249-87A1-4517-BC8D-09DD4B9FB375}"/>
    <hyperlink ref="B258" location="'3031_ホテルワイナリーヒル'!Print_Area" display="3031_ホテルワイナリーヒル" xr:uid="{009EDA74-3462-41AC-8B8C-AFC32EC44081}"/>
    <hyperlink ref="B259" location="'3033_グランドホテル浜松'!Print_Area" display="3033_グランドホテル浜松" xr:uid="{2731502A-0EA8-4AD3-BB1A-487F3E90F606}"/>
    <hyperlink ref="B13" location="'0023_第二富士ホテル'!A1" display="'0023_第二富士ホテル'!A1" xr:uid="{9655DDB2-B71E-4DD7-B552-A74DD2612669}"/>
    <hyperlink ref="B85" location="'0156_アパホテル&lt;名古屋栄北&gt;'!Print_Area" display="'0156_アパホテル&lt;名古屋栄北&gt;'!Print_Area" xr:uid="{B11DE8B2-5FD3-42E1-A020-E930DE0A8DEA}"/>
    <hyperlink ref="B142" location="'0266_ウインドシティホテル'!Print_Area" display="'0266_ウインドシティホテル'!Print_Area" xr:uid="{B865D1AB-4734-4C0C-9A00-E20A594F2245}"/>
    <hyperlink ref="B195" location="'1037_ルートインGrand名古屋藤が丘駅前'!Print_Area" display="'1037_ルートインGrand名古屋藤が丘駅前'!Print_Area" xr:uid="{B5110391-8B33-4307-B595-DEA6F53BC1BD}"/>
    <hyperlink ref="B255" location="'3028_愛知県野外教育センター'!Print_Area" display="3028_愛知県野外教育センター" xr:uid="{CC3402C5-A647-4264-AA0B-5B0637587A9A}"/>
    <hyperlink ref="B256" location="'3029_カントリーハウス　ル・シュール'!Print_Area" display="3029_カントリーハウス　ル・シュール" xr:uid="{5DA47169-7366-4F4E-9692-0C5B1B1EFC1A}"/>
    <hyperlink ref="B257" location="'3030_多治見天然温泉 ホテルルートイン多治見インター'!Print_Area" display="3030_多治見天然温泉 ホテルルートイン多治見インター" xr:uid="{07B7E966-9690-4B10-8A73-83AB6177168E}"/>
    <hyperlink ref="B260" location="'3034_グランドプリンスホテル大阪ベイ'!Print_Area" display="3034_グランドプリンスホテル大阪ベイ" xr:uid="{866F34F4-D377-4B36-80F4-1C7ED0A424F5}"/>
    <hyperlink ref="B280" location="'3029_チサンスタンダード大阪新今宮'!A1" display="'3029_チサンスタンダード大阪新今宮'!A1" xr:uid="{62C444AA-A48D-4865-9DFE-BF641C60F58D}"/>
    <hyperlink ref="B261" location="'3036_吉祥寺東急REIホテル'!Print_Area" display="3036_吉祥寺東急REIホテル" xr:uid="{4BDD9240-1481-4C21-9BFA-0F007F6CB113}"/>
    <hyperlink ref="B263" location="'3038_ナゴヤグランドホテル'!Print_Area" display="3038_ナゴヤグランドホテル" xr:uid="{CA6140E7-569B-4368-997C-D55D9BC4FAFC}"/>
    <hyperlink ref="B262" location="'3037_アパホテル名古屋伏見駅北'!Print_Area" display="3037_アパホテル名古屋伏見駅北" xr:uid="{6EAABF28-AAC7-492F-B6FE-EB220FCEEE9B}"/>
    <hyperlink ref="B264" location="'3039_くれたけイン浜松駅南口プレミアム'!Print_Area" display="3039_くれたけイン浜松駅南口プレミアム" xr:uid="{A216294A-AD16-474A-85F2-2B7A708024F4}"/>
    <hyperlink ref="B265" location="'3040_浜松ステーションホテル'!Print_Area" display="3040_浜松ステーションホテル" xr:uid="{19FC1A52-B9C8-4A3B-ACD3-D174F3D69D7C}"/>
    <hyperlink ref="B266" location="'3041_ホテルソリッソ浜松'!Print_Area" display="3041_ホテルソリッソ浜松" xr:uid="{0AEDCC44-DFED-421E-8632-7B604D80C096}"/>
    <hyperlink ref="B267" location="'3042_ヴィアインあべの天王寺'!Print_Area" display="3042_ヴィアインあべの天王寺" xr:uid="{6A8AB8AD-2502-4547-9DDA-61F63C4C0427}"/>
    <hyperlink ref="B268" location="'3043_アパホテル〈天王寺駅前〉'!Print_Area" display="3043_アパホテル〈天王寺駅前〉" xr:uid="{7E41CF4B-A771-41BE-AF6B-D6E18BAA82A0}"/>
    <hyperlink ref="B269" location="'3044_東横インあべの天王寺'!Print_Area" display="3044_東横インあべの天王寺" xr:uid="{4626A9B3-769F-4A73-9AAE-CA79849C4D76}"/>
    <hyperlink ref="B270" location="'3045_コンフォートホテル大阪心斎橋'!Print_Area" display="3045_コンフォートホテル大阪心斎橋" xr:uid="{12826A5F-0099-4A4A-9CC6-92FAB4AE7BCE}"/>
    <hyperlink ref="B271" location="'3046_ホテルリブマックス東京潮見駅前'!Print_Area" display="3046_ホテルリブマックス東京潮見駅前" xr:uid="{17065BE5-8943-4DCD-977D-AB9259953459}"/>
    <hyperlink ref="B144" location="'0271_コンフォートホテル豊川'!Print_Area" display="0271_コンフォートホテル豊川" xr:uid="{85709E8A-4F22-43AE-B750-5C421CA569B2}"/>
    <hyperlink ref="B90" location="'0166_東横INN名古屋金山'!Print_Area" display="0166_東横INN名古屋金山" xr:uid="{DF7077D7-C5FA-497D-979A-5F9BF768C064}"/>
    <hyperlink ref="B196" location="'1038_東横イン名古屋駅桜通口新館'!Print_Area" display="1038_東横イン名古屋駅桜通口新館" xr:uid="{8BC033E6-A7C8-47B3-B445-62B3EF1AEE13}"/>
  </hyperlinks>
  <pageMargins left="0.7" right="0.7" top="0.75" bottom="0.75" header="0.3" footer="0.3"/>
  <pageSetup paperSize="9" scale="14"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C6CA-7526-44C0-AC79-2272EB3339DB}">
  <sheetPr codeName="Sheet294">
    <tabColor rgb="FFFF0000"/>
    <pageSetUpPr fitToPage="1"/>
  </sheetPr>
  <dimension ref="A1:CK161"/>
  <sheetViews>
    <sheetView view="pageBreakPreview" zoomScale="40" zoomScaleNormal="40" zoomScaleSheetLayoutView="40" workbookViewId="0">
      <pane xSplit="6" ySplit="4" topLeftCell="G18" activePane="bottomRight" state="frozen"/>
      <selection pane="topRight" activeCell="F1" sqref="F1"/>
      <selection pane="bottomLeft" activeCell="A5" sqref="A5"/>
      <selection pane="bottomRight" activeCell="A24" sqref="A24"/>
    </sheetView>
  </sheetViews>
  <sheetFormatPr defaultColWidth="9.453125" defaultRowHeight="35" outlineLevelCol="2"/>
  <cols>
    <col min="1" max="1" width="15.1796875" style="197" customWidth="1"/>
    <col min="2" max="2" width="18.26953125" style="197" customWidth="1"/>
    <col min="3" max="3" width="9.81640625" style="197" customWidth="1"/>
    <col min="4" max="5" width="11.26953125" style="854" customWidth="1"/>
    <col min="6" max="6" width="60.1796875" style="197" customWidth="1"/>
    <col min="7" max="11" width="15.54296875" style="842" customWidth="1"/>
    <col min="12" max="12" width="15.54296875" style="198" customWidth="1"/>
    <col min="13" max="13" width="15.54296875" style="199" customWidth="1"/>
    <col min="14" max="14" width="21.453125" style="199" customWidth="1"/>
    <col min="15" max="15" width="11.7265625" style="198" customWidth="1"/>
    <col min="16" max="18" width="14.81640625" style="199" customWidth="1"/>
    <col min="19" max="19" width="40.453125" style="199" customWidth="1"/>
    <col min="20" max="20" width="14" style="197" hidden="1" customWidth="1"/>
    <col min="21" max="21" width="11" style="844" hidden="1" customWidth="1"/>
    <col min="22" max="22" width="49.1796875" style="3287" customWidth="1"/>
    <col min="23" max="23" width="12.54296875" style="202" customWidth="1"/>
    <col min="24" max="24" width="12.54296875" style="200" customWidth="1"/>
    <col min="25" max="25" width="12.54296875" style="858" customWidth="1"/>
    <col min="26" max="26" width="53" style="3485" hidden="1" customWidth="1" outlineLevel="1"/>
    <col min="27" max="27" width="13.1796875" style="3288" hidden="1" customWidth="1" collapsed="1"/>
    <col min="28" max="28" width="13.1796875" style="3288" hidden="1" customWidth="1"/>
    <col min="29" max="29" width="63.453125" style="3485" hidden="1" customWidth="1" outlineLevel="1"/>
    <col min="30" max="30" width="12.54296875" style="3288" hidden="1" customWidth="1" outlineLevel="1" collapsed="1"/>
    <col min="31" max="31" width="12.54296875" style="3288" hidden="1" customWidth="1" outlineLevel="1"/>
    <col min="32" max="32" width="69" style="3485" hidden="1" customWidth="1" outlineLevel="2"/>
    <col min="33" max="33" width="12.54296875" style="3288" hidden="1" customWidth="1" outlineLevel="1" collapsed="1"/>
    <col min="34" max="34" width="12.54296875" style="3288" hidden="1" customWidth="1" outlineLevel="1"/>
    <col min="35" max="35" width="69" style="3485" hidden="1" customWidth="1" outlineLevel="2"/>
    <col min="36" max="36" width="12.54296875" style="3288" hidden="1" customWidth="1" outlineLevel="1" collapsed="1"/>
    <col min="37" max="37" width="12.54296875" style="3288" hidden="1" customWidth="1" outlineLevel="1"/>
    <col min="38" max="38" width="69" style="3485" hidden="1" customWidth="1" outlineLevel="2"/>
    <col min="39" max="39" width="12.54296875" style="3288" hidden="1" customWidth="1" outlineLevel="1" collapsed="1"/>
    <col min="40" max="40" width="12.54296875" style="3288" hidden="1" customWidth="1" outlineLevel="1"/>
    <col min="41" max="42" width="29.7265625" style="3288" customWidth="1" outlineLevel="1"/>
    <col min="43" max="43" width="20.54296875" style="3288" customWidth="1" outlineLevel="1"/>
    <col min="44" max="44" width="16.453125" style="859" hidden="1" customWidth="1"/>
    <col min="45" max="45" width="11.81640625" style="859" hidden="1" customWidth="1"/>
    <col min="46" max="46" width="18.1796875" style="854" hidden="1" customWidth="1"/>
    <col min="47" max="49" width="11.1796875" style="854" hidden="1" customWidth="1"/>
    <col min="50" max="50" width="11.1796875" style="858" customWidth="1"/>
    <col min="51" max="52" width="11.1796875" style="861" customWidth="1"/>
    <col min="53" max="57" width="11.1796875" style="858" customWidth="1"/>
    <col min="58" max="59" width="11.1796875" style="861" customWidth="1"/>
    <col min="60" max="64" width="11.1796875" style="858" customWidth="1"/>
    <col min="65" max="67" width="11.1796875" style="861" customWidth="1"/>
    <col min="68" max="68" width="11.1796875" style="858" customWidth="1"/>
    <col min="69" max="69" width="11.1796875" style="861" customWidth="1"/>
    <col min="70" max="71" width="11.1796875" style="858" customWidth="1"/>
    <col min="72" max="73" width="11.1796875" style="861" customWidth="1"/>
    <col min="74" max="78" width="11.1796875" style="858" customWidth="1"/>
    <col min="79" max="80" width="11.1796875" style="861" customWidth="1"/>
    <col min="81" max="84" width="11.1796875" style="858" customWidth="1"/>
    <col min="85" max="85" width="8.54296875" style="858" customWidth="1"/>
    <col min="86" max="86" width="23.453125" style="3746" customWidth="1"/>
    <col min="87" max="87" width="2.26953125" style="200" customWidth="1"/>
    <col min="88" max="89" width="39.54296875" style="862" customWidth="1"/>
    <col min="90" max="16384" width="9.453125" style="202"/>
  </cols>
  <sheetData>
    <row r="1" spans="1:89" ht="90" customHeight="1" thickTop="1" thickBot="1">
      <c r="A1" s="2829" t="s">
        <v>3464</v>
      </c>
      <c r="D1" s="2830"/>
      <c r="E1" s="2830"/>
      <c r="F1" s="2831"/>
      <c r="G1" s="2832"/>
      <c r="H1" s="2832"/>
      <c r="I1" s="2832"/>
      <c r="J1" s="2832"/>
      <c r="K1" s="2832"/>
      <c r="T1" s="2830"/>
      <c r="U1" s="197"/>
      <c r="V1" s="3284"/>
      <c r="W1" s="2833"/>
      <c r="X1" s="2833"/>
      <c r="Y1" s="2833"/>
      <c r="Z1" s="3285"/>
      <c r="AA1" s="6566" t="s">
        <v>2443</v>
      </c>
      <c r="AB1" s="6567"/>
      <c r="AC1" s="6568"/>
      <c r="AD1" s="3284"/>
      <c r="AE1" s="3284"/>
      <c r="AF1" s="3285"/>
      <c r="AG1" s="3284"/>
      <c r="AH1" s="3284"/>
      <c r="AI1" s="3285"/>
      <c r="AJ1" s="3284"/>
      <c r="AK1" s="3284"/>
      <c r="AL1" s="3285"/>
      <c r="AM1" s="3284"/>
      <c r="AN1" s="3284"/>
      <c r="AO1" s="3284"/>
      <c r="AP1" s="3284"/>
      <c r="AQ1" s="3284"/>
      <c r="AR1" s="2833"/>
      <c r="AS1" s="2833"/>
      <c r="AT1" s="2834"/>
      <c r="AU1" s="2834"/>
      <c r="AV1" s="2834"/>
      <c r="AW1" s="2834"/>
      <c r="AX1" s="2836"/>
      <c r="AY1" s="2837"/>
      <c r="AZ1" s="2838"/>
      <c r="BA1" s="2836"/>
      <c r="BB1" s="2836"/>
      <c r="BC1" s="2836"/>
      <c r="BD1" s="2836"/>
      <c r="BE1" s="2836"/>
      <c r="BF1" s="2837"/>
      <c r="BG1" s="2837"/>
      <c r="BH1" s="2836"/>
      <c r="BI1" s="2836"/>
      <c r="BJ1" s="2839"/>
      <c r="BK1" s="2839"/>
      <c r="BL1" s="2839"/>
      <c r="BM1" s="201"/>
      <c r="BN1" s="201"/>
      <c r="BO1" s="201"/>
      <c r="BP1" s="2839"/>
      <c r="BQ1" s="201"/>
      <c r="BR1" s="2839"/>
      <c r="BS1" s="2839"/>
      <c r="BT1" s="201"/>
      <c r="BU1" s="201"/>
      <c r="BV1" s="2839"/>
      <c r="BW1" s="2839"/>
      <c r="BX1" s="2839"/>
      <c r="BY1" s="2839"/>
      <c r="BZ1" s="2839"/>
      <c r="CA1" s="201"/>
      <c r="CB1" s="201"/>
      <c r="CC1" s="2839"/>
      <c r="CD1" s="6466" t="s">
        <v>2443</v>
      </c>
      <c r="CE1" s="6467"/>
      <c r="CF1" s="6468"/>
      <c r="CG1" s="3733"/>
      <c r="CH1" s="3733"/>
      <c r="CI1" s="2840"/>
      <c r="CJ1" s="2841"/>
      <c r="CK1" s="2841"/>
    </row>
    <row r="2" spans="1:89" ht="30.65" hidden="1" customHeight="1" thickTop="1" thickBot="1">
      <c r="A2" s="2842"/>
      <c r="D2" s="3602" t="s">
        <v>2779</v>
      </c>
      <c r="E2" s="3602"/>
      <c r="F2" s="2831"/>
      <c r="G2" s="6401" t="s">
        <v>2779</v>
      </c>
      <c r="H2" s="6401"/>
      <c r="I2" s="6402" t="s">
        <v>2780</v>
      </c>
      <c r="J2" s="6402"/>
      <c r="K2" s="3602" t="s">
        <v>2779</v>
      </c>
      <c r="T2" s="2843"/>
      <c r="U2" s="3603" t="s">
        <v>2781</v>
      </c>
      <c r="Y2" s="2839"/>
      <c r="Z2" s="3285"/>
      <c r="AC2" s="6403" t="s">
        <v>2782</v>
      </c>
      <c r="AD2" s="6404"/>
      <c r="AE2" s="6404"/>
      <c r="AF2" s="6404"/>
      <c r="AG2" s="6404"/>
      <c r="AH2" s="6404"/>
      <c r="AI2" s="6404"/>
      <c r="AJ2" s="6404"/>
      <c r="AK2" s="6404"/>
      <c r="AL2" s="6404"/>
      <c r="AM2" s="6404"/>
      <c r="AN2" s="6404"/>
      <c r="AO2" s="3752"/>
      <c r="AP2" s="3752"/>
      <c r="AQ2" s="3752"/>
      <c r="AR2" s="2833"/>
      <c r="AS2" s="2833"/>
      <c r="AT2" s="2834"/>
      <c r="AU2" s="2834"/>
      <c r="AV2" s="2834"/>
      <c r="AW2" s="2834"/>
      <c r="AX2" s="2836"/>
      <c r="AY2" s="2837"/>
      <c r="AZ2" s="2837"/>
      <c r="BA2" s="2836"/>
      <c r="BB2" s="2836"/>
      <c r="BC2" s="2836"/>
      <c r="BD2" s="2836"/>
      <c r="BE2" s="2836"/>
      <c r="BF2" s="2837"/>
      <c r="BG2" s="2837"/>
      <c r="BH2" s="2836"/>
      <c r="BI2" s="2836"/>
      <c r="BJ2" s="2836"/>
      <c r="BK2" s="2844"/>
      <c r="BL2" s="2844"/>
      <c r="BM2" s="2845" t="s">
        <v>2444</v>
      </c>
      <c r="BN2" s="2846"/>
      <c r="BO2" s="2846"/>
      <c r="BP2" s="2844"/>
      <c r="BQ2" s="2846"/>
      <c r="BR2" s="2844"/>
      <c r="BS2" s="2844"/>
      <c r="BT2" s="2837"/>
      <c r="BU2" s="2837"/>
      <c r="BV2" s="2836"/>
      <c r="BW2" s="2836"/>
      <c r="BX2" s="2836"/>
      <c r="BY2" s="2836"/>
      <c r="BZ2" s="2836"/>
      <c r="CA2" s="2837"/>
      <c r="CB2" s="2847" t="s">
        <v>2445</v>
      </c>
      <c r="CC2" s="2836"/>
      <c r="CD2" s="2836"/>
      <c r="CE2" s="2836"/>
      <c r="CF2" s="2848"/>
      <c r="CG2" s="2848"/>
      <c r="CH2" s="3736"/>
      <c r="CI2" s="2840"/>
      <c r="CJ2" s="2849"/>
      <c r="CK2" s="2849"/>
    </row>
    <row r="3" spans="1:89" s="214" customFormat="1" ht="35.15" customHeight="1" thickTop="1">
      <c r="A3" s="6393" t="s">
        <v>2078</v>
      </c>
      <c r="B3" s="6394"/>
      <c r="C3" s="6395" t="s">
        <v>2079</v>
      </c>
      <c r="D3" s="6396" t="s">
        <v>2080</v>
      </c>
      <c r="E3" s="6237" t="s">
        <v>6953</v>
      </c>
      <c r="F3" s="203" t="s">
        <v>2081</v>
      </c>
      <c r="G3" s="6397" t="s">
        <v>2082</v>
      </c>
      <c r="H3" s="6397"/>
      <c r="I3" s="6397" t="s">
        <v>3465</v>
      </c>
      <c r="J3" s="6397"/>
      <c r="K3" s="6569" t="s">
        <v>3466</v>
      </c>
      <c r="L3" s="6408" t="s">
        <v>2083</v>
      </c>
      <c r="M3" s="6408" t="s">
        <v>2084</v>
      </c>
      <c r="N3" s="6408" t="s">
        <v>2085</v>
      </c>
      <c r="O3" s="6408" t="s">
        <v>2086</v>
      </c>
      <c r="P3" s="6409" t="s">
        <v>2087</v>
      </c>
      <c r="Q3" s="6410"/>
      <c r="R3" s="6411"/>
      <c r="S3" s="204" t="s">
        <v>2088</v>
      </c>
      <c r="T3" s="3283" t="s">
        <v>2501</v>
      </c>
      <c r="U3" s="6405" t="s">
        <v>2502</v>
      </c>
      <c r="V3" s="6450" t="s">
        <v>3467</v>
      </c>
      <c r="W3" s="6381"/>
      <c r="X3" s="6381"/>
      <c r="Y3" s="6381"/>
      <c r="Z3" s="3289"/>
      <c r="AA3" s="6382" t="s">
        <v>2504</v>
      </c>
      <c r="AB3" s="6383"/>
      <c r="AC3" s="6384" t="s">
        <v>2795</v>
      </c>
      <c r="AD3" s="6385"/>
      <c r="AE3" s="6386"/>
      <c r="AF3" s="6384" t="s">
        <v>2796</v>
      </c>
      <c r="AG3" s="6385"/>
      <c r="AH3" s="6386"/>
      <c r="AI3" s="6384" t="s">
        <v>2797</v>
      </c>
      <c r="AJ3" s="6385"/>
      <c r="AK3" s="6386"/>
      <c r="AL3" s="6384" t="s">
        <v>2798</v>
      </c>
      <c r="AM3" s="6385"/>
      <c r="AN3" s="6412"/>
      <c r="AO3" s="6368" t="s">
        <v>2096</v>
      </c>
      <c r="AP3" s="6368" t="s">
        <v>2793</v>
      </c>
      <c r="AQ3" s="6379" t="s">
        <v>2794</v>
      </c>
      <c r="AR3" s="6573" t="s">
        <v>2092</v>
      </c>
      <c r="AS3" s="6414" t="s">
        <v>2093</v>
      </c>
      <c r="AT3" s="6576" t="s">
        <v>2095</v>
      </c>
      <c r="AU3" s="3604"/>
      <c r="AV3" s="3604"/>
      <c r="AW3" s="3604"/>
      <c r="AX3" s="205">
        <v>46269</v>
      </c>
      <c r="AY3" s="206">
        <v>46270</v>
      </c>
      <c r="AZ3" s="206">
        <v>46271</v>
      </c>
      <c r="BA3" s="205">
        <v>46272</v>
      </c>
      <c r="BB3" s="205">
        <v>46273</v>
      </c>
      <c r="BC3" s="205">
        <v>46274</v>
      </c>
      <c r="BD3" s="205">
        <v>46275</v>
      </c>
      <c r="BE3" s="205">
        <v>46276</v>
      </c>
      <c r="BF3" s="206">
        <v>46277</v>
      </c>
      <c r="BG3" s="206">
        <v>46278</v>
      </c>
      <c r="BH3" s="205">
        <v>46279</v>
      </c>
      <c r="BI3" s="205">
        <v>46280</v>
      </c>
      <c r="BJ3" s="205">
        <v>46281</v>
      </c>
      <c r="BK3" s="205">
        <v>46282</v>
      </c>
      <c r="BL3" s="207">
        <v>46283</v>
      </c>
      <c r="BM3" s="208">
        <v>46284</v>
      </c>
      <c r="BN3" s="209">
        <v>46285</v>
      </c>
      <c r="BO3" s="206">
        <v>46286</v>
      </c>
      <c r="BP3" s="205">
        <v>46287</v>
      </c>
      <c r="BQ3" s="206">
        <v>46288</v>
      </c>
      <c r="BR3" s="205">
        <v>46289</v>
      </c>
      <c r="BS3" s="205">
        <v>46290</v>
      </c>
      <c r="BT3" s="206">
        <v>46291</v>
      </c>
      <c r="BU3" s="206">
        <v>46292</v>
      </c>
      <c r="BV3" s="205">
        <v>46293</v>
      </c>
      <c r="BW3" s="205">
        <v>46294</v>
      </c>
      <c r="BX3" s="205">
        <v>46295</v>
      </c>
      <c r="BY3" s="205">
        <v>46296</v>
      </c>
      <c r="BZ3" s="205">
        <v>46297</v>
      </c>
      <c r="CA3" s="210">
        <v>46298</v>
      </c>
      <c r="CB3" s="208">
        <v>46299</v>
      </c>
      <c r="CC3" s="211">
        <v>46300</v>
      </c>
      <c r="CD3" s="205">
        <v>46301</v>
      </c>
      <c r="CE3" s="205">
        <v>46302</v>
      </c>
      <c r="CF3" s="212">
        <v>46303</v>
      </c>
      <c r="CG3" s="3747"/>
      <c r="CH3" s="3748"/>
      <c r="CI3" s="213"/>
      <c r="CJ3" s="6387" t="s">
        <v>2099</v>
      </c>
      <c r="CK3" s="6389" t="s">
        <v>2100</v>
      </c>
    </row>
    <row r="4" spans="1:89" s="245" customFormat="1" ht="50.5" customHeight="1" thickBot="1">
      <c r="A4" s="3605" t="s">
        <v>2101</v>
      </c>
      <c r="B4" s="3606" t="s">
        <v>2102</v>
      </c>
      <c r="C4" s="6564"/>
      <c r="D4" s="6565"/>
      <c r="E4" s="6238" t="s">
        <v>6954</v>
      </c>
      <c r="F4" s="3607" t="s">
        <v>2103</v>
      </c>
      <c r="G4" s="3608" t="s">
        <v>2104</v>
      </c>
      <c r="H4" s="3608" t="s">
        <v>2105</v>
      </c>
      <c r="I4" s="3608" t="s">
        <v>2803</v>
      </c>
      <c r="J4" s="3608" t="s">
        <v>2105</v>
      </c>
      <c r="K4" s="6407"/>
      <c r="L4" s="6570"/>
      <c r="M4" s="6570"/>
      <c r="N4" s="6570"/>
      <c r="O4" s="6570"/>
      <c r="P4" s="3610" t="s">
        <v>2106</v>
      </c>
      <c r="Q4" s="3611" t="s">
        <v>2107</v>
      </c>
      <c r="R4" s="3609" t="s">
        <v>2108</v>
      </c>
      <c r="S4" s="3612" t="s">
        <v>2109</v>
      </c>
      <c r="T4" s="3613"/>
      <c r="U4" s="6406"/>
      <c r="V4" s="3614" t="s">
        <v>2110</v>
      </c>
      <c r="W4" s="3615" t="s">
        <v>2111</v>
      </c>
      <c r="X4" s="3616" t="s">
        <v>2112</v>
      </c>
      <c r="Y4" s="3617" t="s">
        <v>2113</v>
      </c>
      <c r="Z4" s="3618" t="s">
        <v>2111</v>
      </c>
      <c r="AA4" s="3619" t="s">
        <v>2505</v>
      </c>
      <c r="AB4" s="3620" t="s">
        <v>2506</v>
      </c>
      <c r="AC4" s="3621" t="s">
        <v>2795</v>
      </c>
      <c r="AD4" s="3622" t="s">
        <v>2505</v>
      </c>
      <c r="AE4" s="3623" t="s">
        <v>2506</v>
      </c>
      <c r="AF4" s="3621" t="s">
        <v>2796</v>
      </c>
      <c r="AG4" s="3622" t="s">
        <v>2505</v>
      </c>
      <c r="AH4" s="3623" t="s">
        <v>2506</v>
      </c>
      <c r="AI4" s="3624" t="s">
        <v>2797</v>
      </c>
      <c r="AJ4" s="3622" t="s">
        <v>2505</v>
      </c>
      <c r="AK4" s="3623" t="s">
        <v>2506</v>
      </c>
      <c r="AL4" s="3624" t="s">
        <v>2798</v>
      </c>
      <c r="AM4" s="3622" t="s">
        <v>2505</v>
      </c>
      <c r="AN4" s="3625" t="s">
        <v>2506</v>
      </c>
      <c r="AO4" s="6369"/>
      <c r="AP4" s="6369"/>
      <c r="AQ4" s="6380"/>
      <c r="AR4" s="6574"/>
      <c r="AS4" s="6575"/>
      <c r="AT4" s="6577"/>
      <c r="AU4" s="3626"/>
      <c r="AV4" s="3626"/>
      <c r="AW4" s="3626"/>
      <c r="AX4" s="3627" t="s">
        <v>2116</v>
      </c>
      <c r="AY4" s="3628" t="s">
        <v>2117</v>
      </c>
      <c r="AZ4" s="3628" t="s">
        <v>2118</v>
      </c>
      <c r="BA4" s="3627" t="s">
        <v>2119</v>
      </c>
      <c r="BB4" s="3627" t="s">
        <v>2120</v>
      </c>
      <c r="BC4" s="3629" t="s">
        <v>2121</v>
      </c>
      <c r="BD4" s="3629" t="s">
        <v>2122</v>
      </c>
      <c r="BE4" s="3629" t="s">
        <v>2116</v>
      </c>
      <c r="BF4" s="3630" t="s">
        <v>2117</v>
      </c>
      <c r="BG4" s="3630" t="s">
        <v>2118</v>
      </c>
      <c r="BH4" s="3629" t="s">
        <v>2123</v>
      </c>
      <c r="BI4" s="3629" t="s">
        <v>2124</v>
      </c>
      <c r="BJ4" s="3629" t="s">
        <v>2125</v>
      </c>
      <c r="BK4" s="3629" t="s">
        <v>2126</v>
      </c>
      <c r="BL4" s="3631" t="s">
        <v>2116</v>
      </c>
      <c r="BM4" s="3632" t="s">
        <v>2117</v>
      </c>
      <c r="BN4" s="3633" t="s">
        <v>2118</v>
      </c>
      <c r="BO4" s="3630" t="s">
        <v>2123</v>
      </c>
      <c r="BP4" s="3629" t="s">
        <v>2811</v>
      </c>
      <c r="BQ4" s="3630" t="s">
        <v>2125</v>
      </c>
      <c r="BR4" s="3629" t="s">
        <v>2126</v>
      </c>
      <c r="BS4" s="3629" t="s">
        <v>2116</v>
      </c>
      <c r="BT4" s="3630" t="s">
        <v>2117</v>
      </c>
      <c r="BU4" s="3630" t="s">
        <v>2118</v>
      </c>
      <c r="BV4" s="3629" t="s">
        <v>2123</v>
      </c>
      <c r="BW4" s="3629" t="s">
        <v>2124</v>
      </c>
      <c r="BX4" s="3629" t="s">
        <v>2125</v>
      </c>
      <c r="BY4" s="3629" t="s">
        <v>2126</v>
      </c>
      <c r="BZ4" s="3629" t="s">
        <v>2116</v>
      </c>
      <c r="CA4" s="3634" t="s">
        <v>2117</v>
      </c>
      <c r="CB4" s="3632" t="s">
        <v>2118</v>
      </c>
      <c r="CC4" s="3635" t="s">
        <v>2123</v>
      </c>
      <c r="CD4" s="3629" t="s">
        <v>2124</v>
      </c>
      <c r="CE4" s="3629" t="s">
        <v>2125</v>
      </c>
      <c r="CF4" s="3636" t="s">
        <v>2126</v>
      </c>
      <c r="CG4" s="3749"/>
      <c r="CH4" s="3930" t="s">
        <v>2812</v>
      </c>
      <c r="CI4" s="244"/>
      <c r="CJ4" s="6388"/>
      <c r="CK4" s="6390"/>
    </row>
    <row r="5" spans="1:89" ht="46" customHeight="1">
      <c r="A5" s="2862" t="s">
        <v>3468</v>
      </c>
      <c r="B5" s="2863" t="s">
        <v>7</v>
      </c>
      <c r="C5" s="372">
        <v>1</v>
      </c>
      <c r="D5" s="2871">
        <v>172</v>
      </c>
      <c r="E5" s="6244" t="s">
        <v>6955</v>
      </c>
      <c r="F5" s="373" t="s">
        <v>3469</v>
      </c>
      <c r="G5" s="733" t="s">
        <v>3470</v>
      </c>
      <c r="H5" s="3637" t="s">
        <v>3471</v>
      </c>
      <c r="I5" s="3637" t="s">
        <v>3472</v>
      </c>
      <c r="J5" s="3637" t="s">
        <v>3473</v>
      </c>
      <c r="K5" s="3637">
        <v>203</v>
      </c>
      <c r="L5" s="2873" t="s">
        <v>3474</v>
      </c>
      <c r="M5" s="2874" t="s">
        <v>2167</v>
      </c>
      <c r="N5" s="2874" t="s">
        <v>2132</v>
      </c>
      <c r="O5" s="2873" t="s">
        <v>3475</v>
      </c>
      <c r="P5" s="2874" t="s">
        <v>2133</v>
      </c>
      <c r="Q5" s="2874" t="s">
        <v>2134</v>
      </c>
      <c r="R5" s="2874" t="s">
        <v>2133</v>
      </c>
      <c r="S5" s="2874" t="s">
        <v>2168</v>
      </c>
      <c r="T5" s="377" t="s">
        <v>2133</v>
      </c>
      <c r="U5" s="372" t="s">
        <v>2136</v>
      </c>
      <c r="V5" s="387" t="s">
        <v>3476</v>
      </c>
      <c r="W5" s="540" t="s">
        <v>2138</v>
      </c>
      <c r="X5" s="541">
        <v>33</v>
      </c>
      <c r="Y5" s="3321">
        <f>SUM(X5:X6)</f>
        <v>76</v>
      </c>
      <c r="Z5" s="3322" t="str">
        <f>IFERROR(VLOOKUP($V5,[53]競技情報DB!$A$6:$H$181,3,),"－")</f>
        <v>名古屋市総合体育館［レインボープール］</v>
      </c>
      <c r="AA5" s="3323"/>
      <c r="AB5" s="3324"/>
      <c r="AC5" s="3638" t="str">
        <f>IFERROR(VLOOKUP($V5,[53]アジア練習会場!$A$3:$E$107,2,),"－")</f>
        <v>－</v>
      </c>
      <c r="AD5" s="3639">
        <v>36</v>
      </c>
      <c r="AE5" s="3640">
        <v>39</v>
      </c>
      <c r="AF5" s="3638" t="str">
        <f>IFERROR(VLOOKUP($V5,[53]アジア練習会場!$A$3:$E$107,3,),"－")</f>
        <v>－</v>
      </c>
      <c r="AG5" s="3639"/>
      <c r="AH5" s="3640"/>
      <c r="AI5" s="3641" t="str">
        <f>IFERROR(VLOOKUP($V5,[53]アジア練習会場!$A$3:$E$107,4,),"－")</f>
        <v>－</v>
      </c>
      <c r="AJ5" s="3639"/>
      <c r="AK5" s="3640"/>
      <c r="AL5" s="3641" t="str">
        <f>IFERROR(VLOOKUP($V5,[53]アジア練習会場!$A$3:$E$107,5,),"－")</f>
        <v>－</v>
      </c>
      <c r="AM5" s="3639"/>
      <c r="AN5" s="3642"/>
      <c r="AO5" s="3753" cm="1">
        <f t="array" ref="AO5">_xlfn.LET(
  _xlpm.rng, AX5:CF5,
  _xlpm.header, $AX$3:$CF$3,
  _xlpm.idx, _xlfn.XMATCH(TRUE, _xlpm.rng&lt;&gt;0),
  _xlpm.dt, INDEX(_xlpm.header, _xlpm.idx),
  IF(YEAR(_xlpm.dt)&lt;&gt;2026, DATE(2026, MONTH(_xlpm.dt), DAY(_xlpm.dt)), _xlpm.dt)
)</f>
        <v>46281</v>
      </c>
      <c r="AP5" s="3753" cm="1">
        <f t="array" ref="AP5">_xlfn.LET(
  _xlpm.rng, AX5:CF5,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46297</v>
      </c>
      <c r="AQ5" s="3754">
        <f>AP5-AO5</f>
        <v>16</v>
      </c>
      <c r="AR5" s="3643">
        <f>$H5-MAX(AX5:CF5)</f>
        <v>175</v>
      </c>
      <c r="AS5" s="394">
        <f>+AR5/$H5</f>
        <v>0.6972111553784861</v>
      </c>
      <c r="AT5" s="3644" t="str">
        <f>F5&amp;"　"&amp;"合計"</f>
        <v>サイプレス　ガーデンホテル　合計</v>
      </c>
      <c r="AU5" s="395"/>
      <c r="AV5" s="395"/>
      <c r="AW5" s="395"/>
      <c r="AX5" s="470">
        <v>0</v>
      </c>
      <c r="AY5" s="397">
        <v>0</v>
      </c>
      <c r="AZ5" s="397">
        <v>0</v>
      </c>
      <c r="BA5" s="397">
        <v>0</v>
      </c>
      <c r="BB5" s="397">
        <v>0</v>
      </c>
      <c r="BC5" s="397">
        <v>0</v>
      </c>
      <c r="BD5" s="397">
        <v>0</v>
      </c>
      <c r="BE5" s="397">
        <v>0</v>
      </c>
      <c r="BF5" s="397">
        <v>0</v>
      </c>
      <c r="BG5" s="397">
        <v>0</v>
      </c>
      <c r="BH5" s="397">
        <v>0</v>
      </c>
      <c r="BI5" s="397">
        <v>0</v>
      </c>
      <c r="BJ5" s="397">
        <v>15</v>
      </c>
      <c r="BK5" s="397">
        <v>25</v>
      </c>
      <c r="BL5" s="397">
        <v>28</v>
      </c>
      <c r="BM5" s="397">
        <v>28</v>
      </c>
      <c r="BN5" s="397">
        <v>68</v>
      </c>
      <c r="BO5" s="397">
        <v>68</v>
      </c>
      <c r="BP5" s="397">
        <v>68</v>
      </c>
      <c r="BQ5" s="397">
        <v>76</v>
      </c>
      <c r="BR5" s="397">
        <v>76</v>
      </c>
      <c r="BS5" s="397">
        <v>76</v>
      </c>
      <c r="BT5" s="397">
        <v>70</v>
      </c>
      <c r="BU5" s="397">
        <v>70</v>
      </c>
      <c r="BV5" s="397">
        <v>70</v>
      </c>
      <c r="BW5" s="397">
        <v>70</v>
      </c>
      <c r="BX5" s="397">
        <v>70</v>
      </c>
      <c r="BY5" s="397">
        <v>27</v>
      </c>
      <c r="BZ5" s="397">
        <v>27</v>
      </c>
      <c r="CA5" s="397">
        <v>0</v>
      </c>
      <c r="CB5" s="397">
        <v>0</v>
      </c>
      <c r="CC5" s="397">
        <v>0</v>
      </c>
      <c r="CD5" s="397">
        <v>0</v>
      </c>
      <c r="CE5" s="397">
        <v>0</v>
      </c>
      <c r="CF5" s="472">
        <v>0</v>
      </c>
      <c r="CG5" s="3712"/>
      <c r="CH5" s="3751" cm="1">
        <f t="array" ref="CH5">SUM(IF(ISNUMBER($AX5:$CF5),$AX5:$CF5, 0))</f>
        <v>932</v>
      </c>
      <c r="CI5" s="290"/>
      <c r="CJ5" s="332"/>
      <c r="CK5" s="333"/>
    </row>
    <row r="6" spans="1:89" s="521" customFormat="1" ht="46" customHeight="1" thickBot="1">
      <c r="A6" s="2862"/>
      <c r="B6" s="2863"/>
      <c r="C6" s="420"/>
      <c r="D6" s="421" t="s">
        <v>2129</v>
      </c>
      <c r="E6" s="426"/>
      <c r="F6" s="422"/>
      <c r="G6" s="2875">
        <v>0</v>
      </c>
      <c r="H6" s="2875">
        <v>0</v>
      </c>
      <c r="I6" s="2875">
        <v>0</v>
      </c>
      <c r="J6" s="2875">
        <v>0</v>
      </c>
      <c r="K6" s="2875">
        <v>0</v>
      </c>
      <c r="L6" s="2877">
        <v>0</v>
      </c>
      <c r="M6" s="2878">
        <v>0</v>
      </c>
      <c r="N6" s="2878"/>
      <c r="O6" s="2877">
        <v>0</v>
      </c>
      <c r="P6" s="2878">
        <v>0</v>
      </c>
      <c r="Q6" s="2878">
        <v>0</v>
      </c>
      <c r="R6" s="2878">
        <v>0</v>
      </c>
      <c r="S6" s="2878">
        <v>0</v>
      </c>
      <c r="T6" s="426" t="s">
        <v>2129</v>
      </c>
      <c r="U6" s="420"/>
      <c r="V6" s="714" t="s">
        <v>6830</v>
      </c>
      <c r="W6" s="437" t="s">
        <v>6831</v>
      </c>
      <c r="X6" s="438">
        <v>43</v>
      </c>
      <c r="Y6" s="3342"/>
      <c r="Z6" s="3353" t="str">
        <f>IFERROR(VLOOKUP($V6,[53]競技情報DB!$A$6:$H$181,3,),"－")</f>
        <v>－</v>
      </c>
      <c r="AA6" s="3354"/>
      <c r="AB6" s="3355"/>
      <c r="AC6" s="3645" t="str">
        <f>IFERROR(VLOOKUP($V6,[53]アジア練習会場!$A$3:$E$107,2,),"－")</f>
        <v>－</v>
      </c>
      <c r="AD6" s="3646">
        <v>35.6</v>
      </c>
      <c r="AE6" s="3647">
        <v>39</v>
      </c>
      <c r="AF6" s="3645" t="str">
        <f>IFERROR(VLOOKUP($V6,[53]アジア練習会場!$A$3:$E$107,3,),"－")</f>
        <v>－</v>
      </c>
      <c r="AG6" s="3646"/>
      <c r="AH6" s="3647"/>
      <c r="AI6" s="3648" t="str">
        <f>IFERROR(VLOOKUP($V6,[53]アジア練習会場!$A$3:$E$107,4,),"－")</f>
        <v>－</v>
      </c>
      <c r="AJ6" s="3646"/>
      <c r="AK6" s="3647"/>
      <c r="AL6" s="3648" t="str">
        <f>IFERROR(VLOOKUP($V6,[53]アジア練習会場!$A$3:$E$107,5,),"－")</f>
        <v>－</v>
      </c>
      <c r="AM6" s="3646"/>
      <c r="AN6" s="3649"/>
      <c r="AO6" s="3755"/>
      <c r="AP6" s="3755"/>
      <c r="AQ6" s="3756"/>
      <c r="AR6" s="3650"/>
      <c r="AS6" s="435"/>
      <c r="AT6" s="3651"/>
      <c r="AU6" s="3852"/>
      <c r="AV6" s="3852"/>
      <c r="AW6" s="3852"/>
      <c r="AX6" s="613"/>
      <c r="AY6" s="506"/>
      <c r="AZ6" s="506"/>
      <c r="BA6" s="506"/>
      <c r="BB6" s="506"/>
      <c r="BC6" s="506"/>
      <c r="BD6" s="506"/>
      <c r="BE6" s="506"/>
      <c r="BF6" s="506"/>
      <c r="BG6" s="506"/>
      <c r="BH6" s="506"/>
      <c r="BI6" s="506"/>
      <c r="BJ6" s="506"/>
      <c r="BK6" s="506"/>
      <c r="BL6" s="506"/>
      <c r="BM6" s="506"/>
      <c r="BN6" s="506"/>
      <c r="BO6" s="506"/>
      <c r="BP6" s="506"/>
      <c r="BQ6" s="506"/>
      <c r="BR6" s="506"/>
      <c r="BS6" s="506"/>
      <c r="BT6" s="506"/>
      <c r="BU6" s="506"/>
      <c r="BV6" s="506"/>
      <c r="BW6" s="506"/>
      <c r="BX6" s="506"/>
      <c r="BY6" s="506"/>
      <c r="BZ6" s="506"/>
      <c r="CA6" s="506"/>
      <c r="CB6" s="506"/>
      <c r="CC6" s="506"/>
      <c r="CD6" s="506"/>
      <c r="CE6" s="506"/>
      <c r="CF6" s="520"/>
      <c r="CG6" s="3712"/>
      <c r="CH6" s="3737"/>
      <c r="CI6" s="290"/>
      <c r="CJ6" s="332"/>
      <c r="CK6" s="333"/>
    </row>
    <row r="7" spans="1:89" ht="46" customHeight="1">
      <c r="A7" s="2862"/>
      <c r="B7" s="2863"/>
      <c r="C7" s="372">
        <f>C5+1</f>
        <v>2</v>
      </c>
      <c r="D7" s="2871">
        <v>180</v>
      </c>
      <c r="E7" s="6244" t="s">
        <v>6955</v>
      </c>
      <c r="F7" s="373" t="s">
        <v>3477</v>
      </c>
      <c r="G7" s="2872" t="s">
        <v>3478</v>
      </c>
      <c r="H7" s="3329" t="s">
        <v>3479</v>
      </c>
      <c r="I7" s="3329" t="s">
        <v>3480</v>
      </c>
      <c r="J7" s="3329" t="s">
        <v>3480</v>
      </c>
      <c r="K7" s="3329">
        <v>78</v>
      </c>
      <c r="L7" s="2873" t="s">
        <v>3481</v>
      </c>
      <c r="M7" s="2874" t="s">
        <v>2167</v>
      </c>
      <c r="N7" s="2874" t="s">
        <v>2132</v>
      </c>
      <c r="O7" s="2873" t="s">
        <v>3482</v>
      </c>
      <c r="P7" s="2874" t="s">
        <v>2134</v>
      </c>
      <c r="Q7" s="2874" t="s">
        <v>2206</v>
      </c>
      <c r="R7" s="2874" t="s">
        <v>2131</v>
      </c>
      <c r="S7" s="2874" t="s">
        <v>2240</v>
      </c>
      <c r="T7" s="377" t="s">
        <v>2133</v>
      </c>
      <c r="U7" s="372" t="s">
        <v>2136</v>
      </c>
      <c r="V7" s="387" t="s">
        <v>3483</v>
      </c>
      <c r="W7" s="540" t="s">
        <v>2138</v>
      </c>
      <c r="X7" s="541">
        <v>36</v>
      </c>
      <c r="Y7" s="3321">
        <f>SUM(X7:X9)</f>
        <v>94</v>
      </c>
      <c r="Z7" s="3322" t="str">
        <f>IFERROR(VLOOKUP($V7,[53]競技情報DB!$A$6:$H$181,3,),"－")</f>
        <v>名古屋市総合体育館［レインボープール］</v>
      </c>
      <c r="AA7" s="3323"/>
      <c r="AB7" s="3324"/>
      <c r="AC7" s="3638" t="str">
        <f>IFERROR(VLOOKUP($V7,[53]アジア練習会場!$A$3:$E$107,2,),"－")</f>
        <v>－</v>
      </c>
      <c r="AD7" s="3639">
        <v>34.700000000000003</v>
      </c>
      <c r="AE7" s="3640">
        <v>37</v>
      </c>
      <c r="AF7" s="3638" t="str">
        <f>IFERROR(VLOOKUP($V7,[53]アジア練習会場!$A$3:$E$107,3,),"－")</f>
        <v>－</v>
      </c>
      <c r="AG7" s="3639">
        <v>33.700000000000003</v>
      </c>
      <c r="AH7" s="3640">
        <v>36</v>
      </c>
      <c r="AI7" s="3641" t="str">
        <f>IFERROR(VLOOKUP($V7,[53]アジア練習会場!$A$3:$E$107,4,),"－")</f>
        <v>－</v>
      </c>
      <c r="AJ7" s="3639">
        <v>28.1</v>
      </c>
      <c r="AK7" s="3640">
        <v>32</v>
      </c>
      <c r="AL7" s="3641" t="str">
        <f>IFERROR(VLOOKUP($V7,[53]アジア練習会場!$A$3:$E$107,5,),"－")</f>
        <v>－</v>
      </c>
      <c r="AM7" s="3639"/>
      <c r="AN7" s="3642"/>
      <c r="AO7" s="3757" cm="1">
        <f t="array" ref="AO7">_xlfn.LET(
  _xlpm.rng, AX7:CF7,
  _xlpm.header, $AX$3:$CF$3,
  _xlpm.idx, _xlfn.XMATCH(TRUE, _xlpm.rng&lt;&gt;0),
  _xlpm.dt, INDEX(_xlpm.header, _xlpm.idx),
  IF(YEAR(_xlpm.dt)&lt;&gt;2026, DATE(2026, MONTH(_xlpm.dt), DAY(_xlpm.dt)), _xlpm.dt)
)</f>
        <v>46281</v>
      </c>
      <c r="AP7" s="3757" cm="1">
        <f t="array" ref="AP7">_xlfn.LET(
  _xlpm.rng, AX7:CF7,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46300</v>
      </c>
      <c r="AQ7" s="3758">
        <f>AP7-AO7</f>
        <v>19</v>
      </c>
      <c r="AR7" s="3643">
        <f>$H7-MAX(AX7:CF7)</f>
        <v>114</v>
      </c>
      <c r="AS7" s="394">
        <f>+AR7/$H7</f>
        <v>0.59067357512953367</v>
      </c>
      <c r="AT7" s="3644" t="str">
        <f>F7&amp;"　"&amp;"合計"</f>
        <v>名古屋笠寺ホテル　合計</v>
      </c>
      <c r="AU7" s="395"/>
      <c r="AV7" s="395"/>
      <c r="AW7" s="395"/>
      <c r="AX7" s="470">
        <v>0</v>
      </c>
      <c r="AY7" s="397">
        <v>0</v>
      </c>
      <c r="AZ7" s="397">
        <v>0</v>
      </c>
      <c r="BA7" s="397">
        <v>0</v>
      </c>
      <c r="BB7" s="397">
        <v>0</v>
      </c>
      <c r="BC7" s="397">
        <v>0</v>
      </c>
      <c r="BD7" s="397">
        <v>0</v>
      </c>
      <c r="BE7" s="397">
        <v>0</v>
      </c>
      <c r="BF7" s="397">
        <v>0</v>
      </c>
      <c r="BG7" s="397">
        <v>0</v>
      </c>
      <c r="BH7" s="397">
        <v>0</v>
      </c>
      <c r="BI7" s="397">
        <v>0</v>
      </c>
      <c r="BJ7" s="397">
        <v>20</v>
      </c>
      <c r="BK7" s="397">
        <v>36</v>
      </c>
      <c r="BL7" s="397">
        <v>36</v>
      </c>
      <c r="BM7" s="397">
        <v>36</v>
      </c>
      <c r="BN7" s="397">
        <v>36</v>
      </c>
      <c r="BO7" s="397">
        <v>36</v>
      </c>
      <c r="BP7" s="397">
        <v>36</v>
      </c>
      <c r="BQ7" s="397">
        <v>37</v>
      </c>
      <c r="BR7" s="397">
        <v>41</v>
      </c>
      <c r="BS7" s="397">
        <v>47</v>
      </c>
      <c r="BT7" s="397">
        <v>48</v>
      </c>
      <c r="BU7" s="397">
        <v>52</v>
      </c>
      <c r="BV7" s="397">
        <v>58</v>
      </c>
      <c r="BW7" s="397">
        <v>79</v>
      </c>
      <c r="BX7" s="397">
        <v>79</v>
      </c>
      <c r="BY7" s="397">
        <v>79</v>
      </c>
      <c r="BZ7" s="397">
        <v>79</v>
      </c>
      <c r="CA7" s="397">
        <v>43</v>
      </c>
      <c r="CB7" s="397">
        <v>43</v>
      </c>
      <c r="CC7" s="397">
        <v>43</v>
      </c>
      <c r="CD7" s="397">
        <v>0</v>
      </c>
      <c r="CE7" s="397">
        <v>0</v>
      </c>
      <c r="CF7" s="472">
        <v>0</v>
      </c>
      <c r="CG7" s="3712"/>
      <c r="CH7" s="3751" cm="1">
        <f t="array" ref="CH7">SUM(IF(ISNUMBER($AX7:$CF7),$AX7:$CF7, 0))</f>
        <v>964</v>
      </c>
      <c r="CI7" s="290"/>
      <c r="CJ7" s="332"/>
      <c r="CK7" s="333"/>
    </row>
    <row r="8" spans="1:89" ht="46" customHeight="1">
      <c r="A8" s="2862"/>
      <c r="B8" s="2863"/>
      <c r="C8" s="296"/>
      <c r="D8" s="297"/>
      <c r="E8" s="302"/>
      <c r="F8" s="298"/>
      <c r="G8" s="2864"/>
      <c r="H8" s="2864"/>
      <c r="I8" s="2864">
        <v>0</v>
      </c>
      <c r="J8" s="2864">
        <v>0</v>
      </c>
      <c r="K8" s="2864">
        <v>0</v>
      </c>
      <c r="L8" s="2865"/>
      <c r="M8" s="2866"/>
      <c r="N8" s="2866"/>
      <c r="O8" s="2865"/>
      <c r="P8" s="2866"/>
      <c r="Q8" s="2866"/>
      <c r="R8" s="2866"/>
      <c r="S8" s="2866"/>
      <c r="T8" s="302"/>
      <c r="U8" s="296"/>
      <c r="V8" s="413" t="s">
        <v>2192</v>
      </c>
      <c r="W8" s="313" t="s">
        <v>2138</v>
      </c>
      <c r="X8" s="314">
        <v>43</v>
      </c>
      <c r="Y8" s="315"/>
      <c r="Z8" s="3308" t="str">
        <f>IFERROR(VLOOKUP($V8,[53]競技情報DB!$A$6:$H$181,3,),"－")</f>
        <v>名古屋市総合体育館［レインボーホール］</v>
      </c>
      <c r="AA8" s="3316"/>
      <c r="AB8" s="3317"/>
      <c r="AC8" s="3652" t="str">
        <f>IFERROR(VLOOKUP($V8,[53]アジア練習会場!$A$3:$E$107,2,),"－")</f>
        <v>ポートメッセなごや第二展示館</v>
      </c>
      <c r="AD8" s="3653">
        <v>0.9</v>
      </c>
      <c r="AE8" s="3654">
        <v>2</v>
      </c>
      <c r="AF8" s="3655" t="str">
        <f>IFERROR(VLOOKUP($V8,[53]アジア練習会場!$A$3:$E$107,3,),"－")</f>
        <v>ー</v>
      </c>
      <c r="AG8" s="3656"/>
      <c r="AH8" s="3657"/>
      <c r="AI8" s="3658" t="str">
        <f>IFERROR(VLOOKUP($V8,[53]アジア練習会場!$A$3:$E$107,4,),"－")</f>
        <v>ー</v>
      </c>
      <c r="AJ8" s="3656"/>
      <c r="AK8" s="3657"/>
      <c r="AL8" s="3658" t="str">
        <f>IFERROR(VLOOKUP($V8,[53]アジア練習会場!$A$3:$E$107,5,),"－")</f>
        <v>ー</v>
      </c>
      <c r="AM8" s="3656"/>
      <c r="AN8" s="3659"/>
      <c r="AO8" s="3759"/>
      <c r="AP8" s="3759"/>
      <c r="AQ8" s="3760"/>
      <c r="AR8" s="3660"/>
      <c r="AS8" s="311"/>
      <c r="AT8" s="3661"/>
      <c r="AU8" s="3853"/>
      <c r="AV8" s="3853"/>
      <c r="AW8" s="3853"/>
      <c r="AX8" s="339"/>
      <c r="AY8" s="336"/>
      <c r="AZ8" s="336"/>
      <c r="BA8" s="336"/>
      <c r="BB8" s="336"/>
      <c r="BC8" s="336"/>
      <c r="BD8" s="336"/>
      <c r="BE8" s="336"/>
      <c r="BF8" s="336"/>
      <c r="BG8" s="336"/>
      <c r="BH8" s="336"/>
      <c r="BI8" s="336"/>
      <c r="BJ8" s="336"/>
      <c r="BK8" s="336"/>
      <c r="BL8" s="336"/>
      <c r="BM8" s="336"/>
      <c r="BN8" s="336"/>
      <c r="BO8" s="336"/>
      <c r="BP8" s="336"/>
      <c r="BQ8" s="336"/>
      <c r="BR8" s="336"/>
      <c r="BS8" s="336"/>
      <c r="BT8" s="336"/>
      <c r="BU8" s="336"/>
      <c r="BV8" s="336"/>
      <c r="BW8" s="336"/>
      <c r="BX8" s="336"/>
      <c r="BY8" s="336"/>
      <c r="BZ8" s="336"/>
      <c r="CA8" s="336"/>
      <c r="CB8" s="336"/>
      <c r="CC8" s="336"/>
      <c r="CD8" s="336"/>
      <c r="CE8" s="336"/>
      <c r="CF8" s="340"/>
      <c r="CG8" s="3712"/>
      <c r="CH8" s="3737"/>
      <c r="CI8" s="290"/>
      <c r="CJ8" s="332"/>
      <c r="CK8" s="333"/>
    </row>
    <row r="9" spans="1:89" s="521" customFormat="1" ht="46" customHeight="1" thickBot="1">
      <c r="A9" s="2862"/>
      <c r="B9" s="2863"/>
      <c r="C9" s="420"/>
      <c r="D9" s="421" t="s">
        <v>2129</v>
      </c>
      <c r="E9" s="426"/>
      <c r="F9" s="422"/>
      <c r="G9" s="2875">
        <v>0</v>
      </c>
      <c r="H9" s="2875">
        <v>0</v>
      </c>
      <c r="I9" s="2875">
        <v>0</v>
      </c>
      <c r="J9" s="2875">
        <v>0</v>
      </c>
      <c r="K9" s="2875">
        <v>0</v>
      </c>
      <c r="L9" s="2877">
        <v>0</v>
      </c>
      <c r="M9" s="2878">
        <v>0</v>
      </c>
      <c r="N9" s="2878"/>
      <c r="O9" s="2877">
        <v>0</v>
      </c>
      <c r="P9" s="2878">
        <v>0</v>
      </c>
      <c r="Q9" s="2878">
        <v>0</v>
      </c>
      <c r="R9" s="2878">
        <v>0</v>
      </c>
      <c r="S9" s="2878">
        <v>0</v>
      </c>
      <c r="T9" s="426" t="s">
        <v>2129</v>
      </c>
      <c r="U9" s="420"/>
      <c r="V9" s="714" t="s">
        <v>2193</v>
      </c>
      <c r="W9" s="437" t="s">
        <v>2138</v>
      </c>
      <c r="X9" s="438">
        <v>15</v>
      </c>
      <c r="Y9" s="3342"/>
      <c r="Z9" s="3353" t="str">
        <f>IFERROR(VLOOKUP($V9,[53]競技情報DB!$A$6:$H$181,3,),"－")</f>
        <v>名古屋市総合体育館［レインボーホール］</v>
      </c>
      <c r="AA9" s="3354"/>
      <c r="AB9" s="3355"/>
      <c r="AC9" s="3645" t="str">
        <f>IFERROR(VLOOKUP($V9,[53]アジア練習会場!$A$3:$E$107,2,),"－")</f>
        <v>ポートメッセなごや第二展示館</v>
      </c>
      <c r="AD9" s="3646">
        <v>35</v>
      </c>
      <c r="AE9" s="3647">
        <v>37</v>
      </c>
      <c r="AF9" s="3645" t="str">
        <f>IFERROR(VLOOKUP($V9,[53]アジア練習会場!$A$3:$E$107,3,),"－")</f>
        <v>ー</v>
      </c>
      <c r="AG9" s="3646">
        <v>34</v>
      </c>
      <c r="AH9" s="3647">
        <v>36</v>
      </c>
      <c r="AI9" s="3648" t="str">
        <f>IFERROR(VLOOKUP($V9,[53]アジア練習会場!$A$3:$E$107,4,),"－")</f>
        <v>ー</v>
      </c>
      <c r="AJ9" s="3646">
        <v>28</v>
      </c>
      <c r="AK9" s="3647">
        <v>32</v>
      </c>
      <c r="AL9" s="3648" t="str">
        <f>IFERROR(VLOOKUP($V9,[53]アジア練習会場!$A$3:$E$107,5,),"－")</f>
        <v>ー</v>
      </c>
      <c r="AM9" s="3646"/>
      <c r="AN9" s="3649"/>
      <c r="AO9" s="3755"/>
      <c r="AP9" s="3755"/>
      <c r="AQ9" s="3756"/>
      <c r="AR9" s="3650"/>
      <c r="AS9" s="435"/>
      <c r="AT9" s="3651"/>
      <c r="AU9" s="3852"/>
      <c r="AV9" s="3852"/>
      <c r="AW9" s="3852"/>
      <c r="AX9" s="613"/>
      <c r="AY9" s="506"/>
      <c r="AZ9" s="506"/>
      <c r="BA9" s="506"/>
      <c r="BB9" s="506"/>
      <c r="BC9" s="506"/>
      <c r="BD9" s="506"/>
      <c r="BE9" s="506"/>
      <c r="BF9" s="506"/>
      <c r="BG9" s="506"/>
      <c r="BH9" s="506"/>
      <c r="BI9" s="506"/>
      <c r="BJ9" s="506"/>
      <c r="BK9" s="506"/>
      <c r="BL9" s="506"/>
      <c r="BM9" s="506"/>
      <c r="BN9" s="506"/>
      <c r="BO9" s="506"/>
      <c r="BP9" s="506"/>
      <c r="BQ9" s="506"/>
      <c r="BR9" s="506"/>
      <c r="BS9" s="506"/>
      <c r="BT9" s="506"/>
      <c r="BU9" s="506"/>
      <c r="BV9" s="506"/>
      <c r="BW9" s="506"/>
      <c r="BX9" s="506"/>
      <c r="BY9" s="506"/>
      <c r="BZ9" s="506"/>
      <c r="CA9" s="506"/>
      <c r="CB9" s="506"/>
      <c r="CC9" s="506"/>
      <c r="CD9" s="506"/>
      <c r="CE9" s="506"/>
      <c r="CF9" s="520"/>
      <c r="CG9" s="3712"/>
      <c r="CH9" s="3737"/>
      <c r="CI9" s="290"/>
      <c r="CJ9" s="332"/>
      <c r="CK9" s="333"/>
    </row>
    <row r="10" spans="1:89" ht="46" customHeight="1">
      <c r="A10" s="2862"/>
      <c r="B10" s="2863"/>
      <c r="C10" s="372">
        <f>C7+1</f>
        <v>3</v>
      </c>
      <c r="D10" s="2871">
        <v>160</v>
      </c>
      <c r="E10" s="6243" t="s">
        <v>6955</v>
      </c>
      <c r="F10" s="373" t="s">
        <v>3106</v>
      </c>
      <c r="G10" s="2872" t="s">
        <v>3484</v>
      </c>
      <c r="H10" s="3329" t="s">
        <v>3485</v>
      </c>
      <c r="I10" s="3329" t="s">
        <v>3486</v>
      </c>
      <c r="J10" s="3329" t="s">
        <v>3487</v>
      </c>
      <c r="K10" s="3329">
        <v>263</v>
      </c>
      <c r="L10" s="2873" t="s">
        <v>2854</v>
      </c>
      <c r="M10" s="2874" t="s">
        <v>2167</v>
      </c>
      <c r="N10" s="2874" t="s">
        <v>2132</v>
      </c>
      <c r="O10" s="2873" t="s">
        <v>3488</v>
      </c>
      <c r="P10" s="2874" t="s">
        <v>2134</v>
      </c>
      <c r="Q10" s="2874" t="s">
        <v>2134</v>
      </c>
      <c r="R10" s="2874" t="s">
        <v>2133</v>
      </c>
      <c r="S10" s="2874" t="s">
        <v>2168</v>
      </c>
      <c r="T10" s="377" t="s">
        <v>2133</v>
      </c>
      <c r="U10" s="372" t="s">
        <v>2136</v>
      </c>
      <c r="V10" s="387" t="s">
        <v>6832</v>
      </c>
      <c r="W10" s="540" t="s">
        <v>2138</v>
      </c>
      <c r="X10" s="541">
        <v>220</v>
      </c>
      <c r="Y10" s="3321">
        <f>SUM(X10:X12)</f>
        <v>220</v>
      </c>
      <c r="Z10" s="3322" t="str">
        <f>IFERROR(VLOOKUP($V10,[53]競技情報DB!$A$6:$H$181,3,),"－")</f>
        <v>－</v>
      </c>
      <c r="AA10" s="3323"/>
      <c r="AB10" s="3324"/>
      <c r="AC10" s="3638" t="str">
        <f>IFERROR(VLOOKUP($V10,[53]アジア練習会場!$A$3:$E$107,2,),"－")</f>
        <v>－</v>
      </c>
      <c r="AD10" s="3639">
        <v>34.700000000000003</v>
      </c>
      <c r="AE10" s="3640">
        <v>37</v>
      </c>
      <c r="AF10" s="3638" t="str">
        <f>IFERROR(VLOOKUP($V10,[53]アジア練習会場!$A$3:$E$107,3,),"－")</f>
        <v>－</v>
      </c>
      <c r="AG10" s="3639">
        <v>33.700000000000003</v>
      </c>
      <c r="AH10" s="3640">
        <v>36</v>
      </c>
      <c r="AI10" s="3641" t="str">
        <f>IFERROR(VLOOKUP($V10,[53]アジア練習会場!$A$3:$E$107,4,),"－")</f>
        <v>－</v>
      </c>
      <c r="AJ10" s="3639">
        <v>28.1</v>
      </c>
      <c r="AK10" s="3640">
        <v>32</v>
      </c>
      <c r="AL10" s="3641" t="str">
        <f>IFERROR(VLOOKUP($V10,[53]アジア練習会場!$A$3:$E$107,5,),"－")</f>
        <v>－</v>
      </c>
      <c r="AM10" s="3639"/>
      <c r="AN10" s="3642"/>
      <c r="AO10" s="3757" cm="1">
        <f t="array" ref="AO10">_xlfn.LET(
  _xlpm.rng, AX10:CF10,
  _xlpm.header, $AX$3:$CF$3,
  _xlpm.idx, _xlfn.XMATCH(TRUE, _xlpm.rng&lt;&gt;0),
  _xlpm.dt, INDEX(_xlpm.header, _xlpm.idx),
  IF(YEAR(_xlpm.dt)&lt;&gt;2026, DATE(2026, MONTH(_xlpm.dt), DAY(_xlpm.dt)), _xlpm.dt)
)</f>
        <v>46285</v>
      </c>
      <c r="AP10" s="3757" cm="1">
        <f t="array" ref="AP10">_xlfn.LET(
  _xlpm.rng, AX10:CF10,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10" s="3758">
        <f>AP10-AO10</f>
        <v>10</v>
      </c>
      <c r="AR10" s="3643">
        <f>$H10-MAX(AX10:CF10)</f>
        <v>66</v>
      </c>
      <c r="AS10" s="394">
        <f>+AR10/$H10</f>
        <v>0.23076923076923078</v>
      </c>
      <c r="AT10" s="3644" t="str">
        <f>F10&amp;"　"&amp;"合計"</f>
        <v>西鉄ホテルクルーム名古屋　合計</v>
      </c>
      <c r="AU10" s="395"/>
      <c r="AV10" s="395"/>
      <c r="AW10" s="395"/>
      <c r="AX10" s="470">
        <v>0</v>
      </c>
      <c r="AY10" s="397">
        <v>0</v>
      </c>
      <c r="AZ10" s="397">
        <v>0</v>
      </c>
      <c r="BA10" s="397">
        <v>0</v>
      </c>
      <c r="BB10" s="397">
        <v>0</v>
      </c>
      <c r="BC10" s="397">
        <v>0</v>
      </c>
      <c r="BD10" s="397">
        <v>0</v>
      </c>
      <c r="BE10" s="397">
        <v>0</v>
      </c>
      <c r="BF10" s="397">
        <v>0</v>
      </c>
      <c r="BG10" s="397">
        <v>0</v>
      </c>
      <c r="BH10" s="397">
        <v>0</v>
      </c>
      <c r="BI10" s="397">
        <v>0</v>
      </c>
      <c r="BJ10" s="397">
        <v>0</v>
      </c>
      <c r="BK10" s="397">
        <v>0</v>
      </c>
      <c r="BL10" s="397">
        <v>0</v>
      </c>
      <c r="BM10" s="397">
        <v>0</v>
      </c>
      <c r="BN10" s="397">
        <v>220</v>
      </c>
      <c r="BO10" s="397">
        <v>220</v>
      </c>
      <c r="BP10" s="397">
        <v>220</v>
      </c>
      <c r="BQ10" s="397">
        <v>220</v>
      </c>
      <c r="BR10" s="397">
        <v>220</v>
      </c>
      <c r="BS10" s="397">
        <v>220</v>
      </c>
      <c r="BT10" s="397">
        <v>220</v>
      </c>
      <c r="BU10" s="397">
        <v>220</v>
      </c>
      <c r="BV10" s="397">
        <v>220</v>
      </c>
      <c r="BW10" s="397">
        <v>220</v>
      </c>
      <c r="BX10" s="397">
        <v>220</v>
      </c>
      <c r="BY10" s="397">
        <v>0</v>
      </c>
      <c r="BZ10" s="397">
        <v>0</v>
      </c>
      <c r="CA10" s="397">
        <v>0</v>
      </c>
      <c r="CB10" s="397">
        <v>0</v>
      </c>
      <c r="CC10" s="397">
        <v>0</v>
      </c>
      <c r="CD10" s="397">
        <v>0</v>
      </c>
      <c r="CE10" s="397">
        <v>0</v>
      </c>
      <c r="CF10" s="472">
        <v>0</v>
      </c>
      <c r="CG10" s="3712"/>
      <c r="CH10" s="3751" cm="1">
        <f t="array" ref="CH10">SUM(IF(ISNUMBER($AX10:$CF10),$AX10:$CF10, 0))</f>
        <v>2420</v>
      </c>
      <c r="CI10" s="290"/>
      <c r="CJ10" s="332"/>
      <c r="CK10" s="333"/>
    </row>
    <row r="11" spans="1:89" ht="46" customHeight="1">
      <c r="A11" s="2862"/>
      <c r="B11" s="2863"/>
      <c r="C11" s="296"/>
      <c r="D11" s="297"/>
      <c r="E11" s="302"/>
      <c r="F11" s="298"/>
      <c r="G11" s="2864"/>
      <c r="H11" s="2864"/>
      <c r="I11" s="2864">
        <v>0</v>
      </c>
      <c r="J11" s="2864">
        <v>0</v>
      </c>
      <c r="K11" s="2864">
        <v>0</v>
      </c>
      <c r="L11" s="2865"/>
      <c r="M11" s="2866"/>
      <c r="N11" s="2866"/>
      <c r="O11" s="2865"/>
      <c r="P11" s="2866"/>
      <c r="Q11" s="2866"/>
      <c r="R11" s="2866"/>
      <c r="S11" s="2866"/>
      <c r="T11" s="302"/>
      <c r="U11" s="296"/>
      <c r="V11" s="413"/>
      <c r="W11" s="313" t="s">
        <v>2134</v>
      </c>
      <c r="X11" s="314">
        <v>0</v>
      </c>
      <c r="Y11" s="315"/>
      <c r="Z11" s="3308" t="str">
        <f>IFERROR(VLOOKUP($V11,[53]競技情報DB!$A$6:$H$181,3,),"－")</f>
        <v>－</v>
      </c>
      <c r="AA11" s="3316"/>
      <c r="AB11" s="3317"/>
      <c r="AC11" s="3652" t="str">
        <f>IFERROR(VLOOKUP($V11,[53]アジア練習会場!$A$3:$E$107,2,),"－")</f>
        <v>－</v>
      </c>
      <c r="AD11" s="3653">
        <v>0.9</v>
      </c>
      <c r="AE11" s="3654">
        <v>2</v>
      </c>
      <c r="AF11" s="3655" t="str">
        <f>IFERROR(VLOOKUP($V11,[53]アジア練習会場!$A$3:$E$107,3,),"－")</f>
        <v>－</v>
      </c>
      <c r="AG11" s="3656"/>
      <c r="AH11" s="3657"/>
      <c r="AI11" s="3658" t="str">
        <f>IFERROR(VLOOKUP($V11,[53]アジア練習会場!$A$3:$E$107,4,),"－")</f>
        <v>－</v>
      </c>
      <c r="AJ11" s="3656"/>
      <c r="AK11" s="3657"/>
      <c r="AL11" s="3658" t="str">
        <f>IFERROR(VLOOKUP($V11,[53]アジア練習会場!$A$3:$E$107,5,),"－")</f>
        <v>－</v>
      </c>
      <c r="AM11" s="3656"/>
      <c r="AN11" s="3659"/>
      <c r="AO11" s="3759"/>
      <c r="AP11" s="3759"/>
      <c r="AQ11" s="3760"/>
      <c r="AR11" s="3660"/>
      <c r="AS11" s="311"/>
      <c r="AT11" s="3661"/>
      <c r="AU11" s="3853"/>
      <c r="AV11" s="3853"/>
      <c r="AW11" s="3853"/>
      <c r="AX11" s="339"/>
      <c r="AY11" s="336"/>
      <c r="AZ11" s="336"/>
      <c r="BA11" s="336"/>
      <c r="BB11" s="336"/>
      <c r="BC11" s="336"/>
      <c r="BD11" s="336"/>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c r="CC11" s="336"/>
      <c r="CD11" s="336"/>
      <c r="CE11" s="336"/>
      <c r="CF11" s="340"/>
      <c r="CG11" s="3712"/>
      <c r="CH11" s="3737"/>
      <c r="CI11" s="290"/>
      <c r="CJ11" s="332"/>
      <c r="CK11" s="333"/>
    </row>
    <row r="12" spans="1:89" s="521" customFormat="1" ht="46" customHeight="1" thickBot="1">
      <c r="A12" s="2862"/>
      <c r="B12" s="2863"/>
      <c r="C12" s="420"/>
      <c r="D12" s="421" t="s">
        <v>2129</v>
      </c>
      <c r="E12" s="426"/>
      <c r="F12" s="422"/>
      <c r="G12" s="2875">
        <v>0</v>
      </c>
      <c r="H12" s="2875">
        <v>0</v>
      </c>
      <c r="I12" s="2875">
        <v>0</v>
      </c>
      <c r="J12" s="2875">
        <v>0</v>
      </c>
      <c r="K12" s="2875">
        <v>0</v>
      </c>
      <c r="L12" s="2877">
        <v>0</v>
      </c>
      <c r="M12" s="2878">
        <v>0</v>
      </c>
      <c r="N12" s="2878"/>
      <c r="O12" s="2877">
        <v>0</v>
      </c>
      <c r="P12" s="2878">
        <v>0</v>
      </c>
      <c r="Q12" s="2878">
        <v>0</v>
      </c>
      <c r="R12" s="2878">
        <v>0</v>
      </c>
      <c r="S12" s="2878">
        <v>0</v>
      </c>
      <c r="T12" s="426" t="s">
        <v>2129</v>
      </c>
      <c r="U12" s="420"/>
      <c r="V12" s="714"/>
      <c r="W12" s="437" t="s">
        <v>2134</v>
      </c>
      <c r="X12" s="438">
        <v>0</v>
      </c>
      <c r="Y12" s="3342"/>
      <c r="Z12" s="3353" t="str">
        <f>IFERROR(VLOOKUP($V12,[53]競技情報DB!$A$6:$H$181,3,),"－")</f>
        <v>－</v>
      </c>
      <c r="AA12" s="3354"/>
      <c r="AB12" s="3355"/>
      <c r="AC12" s="3645" t="str">
        <f>IFERROR(VLOOKUP($V12,[53]アジア練習会場!$A$3:$E$107,2,),"－")</f>
        <v>－</v>
      </c>
      <c r="AD12" s="3646">
        <v>35</v>
      </c>
      <c r="AE12" s="3647">
        <v>37</v>
      </c>
      <c r="AF12" s="3645" t="str">
        <f>IFERROR(VLOOKUP($V12,[53]アジア練習会場!$A$3:$E$107,3,),"－")</f>
        <v>－</v>
      </c>
      <c r="AG12" s="3646">
        <v>34</v>
      </c>
      <c r="AH12" s="3647">
        <v>36</v>
      </c>
      <c r="AI12" s="3648" t="str">
        <f>IFERROR(VLOOKUP($V12,[53]アジア練習会場!$A$3:$E$107,4,),"－")</f>
        <v>－</v>
      </c>
      <c r="AJ12" s="3646">
        <v>28</v>
      </c>
      <c r="AK12" s="3647">
        <v>32</v>
      </c>
      <c r="AL12" s="3648" t="str">
        <f>IFERROR(VLOOKUP($V12,[53]アジア練習会場!$A$3:$E$107,5,),"－")</f>
        <v>－</v>
      </c>
      <c r="AM12" s="3646"/>
      <c r="AN12" s="3649"/>
      <c r="AO12" s="3755"/>
      <c r="AP12" s="3755"/>
      <c r="AQ12" s="3756"/>
      <c r="AR12" s="3650"/>
      <c r="AS12" s="435"/>
      <c r="AT12" s="3651"/>
      <c r="AU12" s="3852"/>
      <c r="AV12" s="3852"/>
      <c r="AW12" s="3852"/>
      <c r="AX12" s="613"/>
      <c r="AY12" s="506"/>
      <c r="AZ12" s="506"/>
      <c r="BA12" s="506"/>
      <c r="BB12" s="506"/>
      <c r="BC12" s="506"/>
      <c r="BD12" s="506"/>
      <c r="BE12" s="506"/>
      <c r="BF12" s="506"/>
      <c r="BG12" s="506"/>
      <c r="BH12" s="506"/>
      <c r="BI12" s="506"/>
      <c r="BJ12" s="506"/>
      <c r="BK12" s="506"/>
      <c r="BL12" s="506"/>
      <c r="BM12" s="506"/>
      <c r="BN12" s="506"/>
      <c r="BO12" s="506"/>
      <c r="BP12" s="506"/>
      <c r="BQ12" s="506"/>
      <c r="BR12" s="506"/>
      <c r="BS12" s="506"/>
      <c r="BT12" s="506"/>
      <c r="BU12" s="506"/>
      <c r="BV12" s="506"/>
      <c r="BW12" s="506"/>
      <c r="BX12" s="506"/>
      <c r="BY12" s="506"/>
      <c r="BZ12" s="506"/>
      <c r="CA12" s="506"/>
      <c r="CB12" s="506"/>
      <c r="CC12" s="506"/>
      <c r="CD12" s="506"/>
      <c r="CE12" s="506"/>
      <c r="CF12" s="520"/>
      <c r="CG12" s="3712"/>
      <c r="CH12" s="3737"/>
      <c r="CI12" s="290"/>
      <c r="CJ12" s="332"/>
      <c r="CK12" s="333"/>
    </row>
    <row r="13" spans="1:89" ht="46" customHeight="1">
      <c r="A13" s="2862"/>
      <c r="B13" s="2863"/>
      <c r="C13" s="372">
        <f>C10+1</f>
        <v>4</v>
      </c>
      <c r="D13" s="2871">
        <v>167</v>
      </c>
      <c r="E13" s="6244" t="s">
        <v>6955</v>
      </c>
      <c r="F13" s="373" t="s">
        <v>2833</v>
      </c>
      <c r="G13" s="2872" t="s">
        <v>3489</v>
      </c>
      <c r="H13" s="3329" t="s">
        <v>3490</v>
      </c>
      <c r="I13" s="3329" t="s">
        <v>3491</v>
      </c>
      <c r="J13" s="3329" t="s">
        <v>3492</v>
      </c>
      <c r="K13" s="3329">
        <v>107</v>
      </c>
      <c r="L13" s="2873" t="s">
        <v>2129</v>
      </c>
      <c r="M13" s="2874" t="s">
        <v>3493</v>
      </c>
      <c r="N13" s="2874" t="s">
        <v>2132</v>
      </c>
      <c r="O13" s="2873" t="s">
        <v>3494</v>
      </c>
      <c r="P13" s="2874" t="s">
        <v>2134</v>
      </c>
      <c r="Q13" s="2874" t="s">
        <v>2134</v>
      </c>
      <c r="R13" s="2874" t="s">
        <v>2133</v>
      </c>
      <c r="S13" s="2874" t="s">
        <v>3495</v>
      </c>
      <c r="T13" s="377" t="s">
        <v>2133</v>
      </c>
      <c r="U13" s="372" t="s">
        <v>2136</v>
      </c>
      <c r="V13" s="703" t="s">
        <v>6833</v>
      </c>
      <c r="W13" s="540" t="s">
        <v>2138</v>
      </c>
      <c r="X13" s="541">
        <v>66</v>
      </c>
      <c r="Y13" s="3321">
        <f>SUM(X13:X14)</f>
        <v>66</v>
      </c>
      <c r="Z13" s="3322" t="str">
        <f>IFERROR(VLOOKUP($V13,[53]競技情報DB!$A$6:$H$181,3,),"－")</f>
        <v>名古屋市東山公園テニスセンター</v>
      </c>
      <c r="AA13" s="3323"/>
      <c r="AB13" s="3324"/>
      <c r="AC13" s="3638" t="str">
        <f>IFERROR(VLOOKUP($V13,[53]アジア練習会場!$A$3:$E$107,2,),"－")</f>
        <v>競技会場に設置</v>
      </c>
      <c r="AD13" s="3639">
        <v>36.200000000000003</v>
      </c>
      <c r="AE13" s="3640">
        <v>42</v>
      </c>
      <c r="AF13" s="3638" t="str">
        <f>IFERROR(VLOOKUP($V13,[53]アジア練習会場!$A$3:$E$107,3,),"－")</f>
        <v>ー</v>
      </c>
      <c r="AG13" s="3639"/>
      <c r="AH13" s="3640"/>
      <c r="AI13" s="3641" t="str">
        <f>IFERROR(VLOOKUP($V13,[53]アジア練習会場!$A$3:$E$107,4,),"－")</f>
        <v>ー</v>
      </c>
      <c r="AJ13" s="3639"/>
      <c r="AK13" s="3640"/>
      <c r="AL13" s="3641" t="str">
        <f>IFERROR(VLOOKUP($V13,[53]アジア練習会場!$A$3:$E$107,5,),"－")</f>
        <v>ー</v>
      </c>
      <c r="AM13" s="3639"/>
      <c r="AN13" s="3642"/>
      <c r="AO13" s="3757" cm="1">
        <f t="array" ref="AO13">_xlfn.LET(
  _xlpm.rng, AX13:CF13,
  _xlpm.header, $AX$3:$CF$3,
  _xlpm.idx, _xlfn.XMATCH(TRUE, _xlpm.rng&lt;&gt;0),
  _xlpm.dt, INDEX(_xlpm.header, _xlpm.idx),
  IF(YEAR(_xlpm.dt)&lt;&gt;2026, DATE(2026, MONTH(_xlpm.dt), DAY(_xlpm.dt)), _xlpm.dt)
)</f>
        <v>46278</v>
      </c>
      <c r="AP13" s="3757" cm="1">
        <f t="array" ref="AP13">_xlfn.LET(
  _xlpm.rng, AX13:CF13,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46289</v>
      </c>
      <c r="AQ13" s="3758">
        <f>AP13-AO13</f>
        <v>11</v>
      </c>
      <c r="AR13" s="3643">
        <f>$H13-MAX(AX13:CF13)</f>
        <v>87</v>
      </c>
      <c r="AS13" s="394">
        <f>+AR13/$H13</f>
        <v>0.56862745098039214</v>
      </c>
      <c r="AT13" s="3644" t="str">
        <f>F13&amp;"　"&amp;"合計"</f>
        <v>グリーンリッチホテル名古屋錦　合計</v>
      </c>
      <c r="AU13" s="395"/>
      <c r="AV13" s="395"/>
      <c r="AW13" s="395"/>
      <c r="AX13" s="470">
        <v>0</v>
      </c>
      <c r="AY13" s="397">
        <v>0</v>
      </c>
      <c r="AZ13" s="397">
        <v>0</v>
      </c>
      <c r="BA13" s="397">
        <v>0</v>
      </c>
      <c r="BB13" s="397">
        <v>0</v>
      </c>
      <c r="BC13" s="397">
        <v>0</v>
      </c>
      <c r="BD13" s="397">
        <v>0</v>
      </c>
      <c r="BE13" s="397">
        <v>0</v>
      </c>
      <c r="BF13" s="397">
        <v>0</v>
      </c>
      <c r="BG13" s="397">
        <v>1</v>
      </c>
      <c r="BH13" s="397">
        <v>1</v>
      </c>
      <c r="BI13" s="397">
        <v>66</v>
      </c>
      <c r="BJ13" s="397">
        <v>66</v>
      </c>
      <c r="BK13" s="397">
        <v>66</v>
      </c>
      <c r="BL13" s="397">
        <v>66</v>
      </c>
      <c r="BM13" s="397">
        <v>66</v>
      </c>
      <c r="BN13" s="397">
        <v>66</v>
      </c>
      <c r="BO13" s="397">
        <v>66</v>
      </c>
      <c r="BP13" s="397">
        <v>66</v>
      </c>
      <c r="BQ13" s="397">
        <v>66</v>
      </c>
      <c r="BR13" s="397">
        <v>66</v>
      </c>
      <c r="BS13" s="397">
        <v>0</v>
      </c>
      <c r="BT13" s="397">
        <v>0</v>
      </c>
      <c r="BU13" s="397">
        <v>0</v>
      </c>
      <c r="BV13" s="397">
        <v>0</v>
      </c>
      <c r="BW13" s="397">
        <v>0</v>
      </c>
      <c r="BX13" s="397">
        <v>0</v>
      </c>
      <c r="BY13" s="397">
        <v>0</v>
      </c>
      <c r="BZ13" s="397">
        <v>0</v>
      </c>
      <c r="CA13" s="397">
        <v>0</v>
      </c>
      <c r="CB13" s="397">
        <v>0</v>
      </c>
      <c r="CC13" s="397">
        <v>0</v>
      </c>
      <c r="CD13" s="397">
        <v>0</v>
      </c>
      <c r="CE13" s="397">
        <v>0</v>
      </c>
      <c r="CF13" s="472">
        <v>0</v>
      </c>
      <c r="CG13" s="3712"/>
      <c r="CH13" s="3751" cm="1">
        <f t="array" ref="CH13">SUM(IF(ISNUMBER($AX13:$CF13),$AX13:$CF13, 0))</f>
        <v>662</v>
      </c>
      <c r="CI13" s="290"/>
      <c r="CJ13" s="332"/>
      <c r="CK13" s="333"/>
    </row>
    <row r="14" spans="1:89" s="521" customFormat="1" ht="46" customHeight="1" thickBot="1">
      <c r="A14" s="2862"/>
      <c r="B14" s="2863"/>
      <c r="C14" s="420"/>
      <c r="D14" s="421" t="s">
        <v>2129</v>
      </c>
      <c r="E14" s="426"/>
      <c r="F14" s="422"/>
      <c r="G14" s="2875">
        <v>0</v>
      </c>
      <c r="H14" s="2875">
        <v>0</v>
      </c>
      <c r="I14" s="2875">
        <v>0</v>
      </c>
      <c r="J14" s="2875">
        <v>0</v>
      </c>
      <c r="K14" s="2875">
        <v>0</v>
      </c>
      <c r="L14" s="2877">
        <v>0</v>
      </c>
      <c r="M14" s="2878">
        <v>0</v>
      </c>
      <c r="N14" s="2878"/>
      <c r="O14" s="2877">
        <v>0</v>
      </c>
      <c r="P14" s="2878">
        <v>0</v>
      </c>
      <c r="Q14" s="2878">
        <v>0</v>
      </c>
      <c r="R14" s="2878">
        <v>0</v>
      </c>
      <c r="S14" s="2878">
        <v>0</v>
      </c>
      <c r="T14" s="426" t="s">
        <v>2129</v>
      </c>
      <c r="U14" s="420"/>
      <c r="V14" s="714"/>
      <c r="W14" s="437"/>
      <c r="X14" s="438"/>
      <c r="Y14" s="3342"/>
      <c r="Z14" s="3353" t="str">
        <f>IFERROR(VLOOKUP($V14,[53]競技情報DB!$A$6:$H$181,3,),"－")</f>
        <v>－</v>
      </c>
      <c r="AA14" s="3354"/>
      <c r="AB14" s="3355"/>
      <c r="AC14" s="3645" t="str">
        <f>IFERROR(VLOOKUP($V14,[53]アジア練習会場!$A$3:$E$107,2,),"－")</f>
        <v>－</v>
      </c>
      <c r="AD14" s="3646"/>
      <c r="AE14" s="3647"/>
      <c r="AF14" s="3645" t="str">
        <f>IFERROR(VLOOKUP($V14,[53]アジア練習会場!$A$3:$E$107,3,),"－")</f>
        <v>－</v>
      </c>
      <c r="AG14" s="3646"/>
      <c r="AH14" s="3647"/>
      <c r="AI14" s="3648" t="str">
        <f>IFERROR(VLOOKUP($V14,[53]アジア練習会場!$A$3:$E$107,4,),"－")</f>
        <v>－</v>
      </c>
      <c r="AJ14" s="3646"/>
      <c r="AK14" s="3647"/>
      <c r="AL14" s="3648" t="str">
        <f>IFERROR(VLOOKUP($V14,[53]アジア練習会場!$A$3:$E$107,5,),"－")</f>
        <v>－</v>
      </c>
      <c r="AM14" s="3646"/>
      <c r="AN14" s="3649"/>
      <c r="AO14" s="3755"/>
      <c r="AP14" s="3755"/>
      <c r="AQ14" s="3756"/>
      <c r="AR14" s="3650"/>
      <c r="AS14" s="435"/>
      <c r="AT14" s="3651"/>
      <c r="AU14" s="3852"/>
      <c r="AV14" s="3852"/>
      <c r="AW14" s="3852"/>
      <c r="AX14" s="613"/>
      <c r="AY14" s="506"/>
      <c r="AZ14" s="506"/>
      <c r="BA14" s="506"/>
      <c r="BB14" s="506"/>
      <c r="BC14" s="506"/>
      <c r="BD14" s="506"/>
      <c r="BE14" s="506"/>
      <c r="BF14" s="506"/>
      <c r="BG14" s="506"/>
      <c r="BH14" s="506"/>
      <c r="BI14" s="506"/>
      <c r="BJ14" s="506"/>
      <c r="BK14" s="506"/>
      <c r="BL14" s="506"/>
      <c r="BM14" s="506"/>
      <c r="BN14" s="506"/>
      <c r="BO14" s="506"/>
      <c r="BP14" s="506"/>
      <c r="BQ14" s="506"/>
      <c r="BR14" s="506"/>
      <c r="BS14" s="506"/>
      <c r="BT14" s="506"/>
      <c r="BU14" s="506"/>
      <c r="BV14" s="506"/>
      <c r="BW14" s="506"/>
      <c r="BX14" s="506"/>
      <c r="BY14" s="506"/>
      <c r="BZ14" s="506"/>
      <c r="CA14" s="506"/>
      <c r="CB14" s="506"/>
      <c r="CC14" s="506"/>
      <c r="CD14" s="506"/>
      <c r="CE14" s="506"/>
      <c r="CF14" s="520"/>
      <c r="CG14" s="3712"/>
      <c r="CH14" s="3737"/>
      <c r="CI14" s="290"/>
      <c r="CJ14" s="332"/>
      <c r="CK14" s="333"/>
    </row>
    <row r="15" spans="1:89" ht="46" customHeight="1">
      <c r="A15" s="2862"/>
      <c r="B15" s="2863"/>
      <c r="C15" s="296">
        <f>C13+1</f>
        <v>5</v>
      </c>
      <c r="D15" s="297">
        <v>156</v>
      </c>
      <c r="E15" s="6246" t="s">
        <v>6955</v>
      </c>
      <c r="F15" s="298" t="s">
        <v>3496</v>
      </c>
      <c r="G15" s="2864" t="s">
        <v>3497</v>
      </c>
      <c r="H15" s="2864" t="s">
        <v>3497</v>
      </c>
      <c r="I15" s="2864" t="s">
        <v>3497</v>
      </c>
      <c r="J15" s="2864" t="s">
        <v>3497</v>
      </c>
      <c r="K15" s="2864">
        <v>117</v>
      </c>
      <c r="L15" s="2865" t="s">
        <v>2854</v>
      </c>
      <c r="M15" s="2866" t="s">
        <v>2129</v>
      </c>
      <c r="N15" s="2866" t="s">
        <v>2129</v>
      </c>
      <c r="O15" s="2865" t="s">
        <v>2129</v>
      </c>
      <c r="P15" s="2866" t="s">
        <v>2129</v>
      </c>
      <c r="Q15" s="2866" t="s">
        <v>2129</v>
      </c>
      <c r="R15" s="2866" t="s">
        <v>2129</v>
      </c>
      <c r="S15" s="2866" t="s">
        <v>2129</v>
      </c>
      <c r="T15" s="302" t="s">
        <v>2133</v>
      </c>
      <c r="U15" s="296" t="s">
        <v>2136</v>
      </c>
      <c r="V15" s="703" t="s">
        <v>6834</v>
      </c>
      <c r="W15" s="528" t="s">
        <v>2138</v>
      </c>
      <c r="X15" s="529">
        <v>94</v>
      </c>
      <c r="Y15" s="3307">
        <f>SUM(X15:X16)</f>
        <v>148</v>
      </c>
      <c r="Z15" s="3350" t="str">
        <f>IFERROR(VLOOKUP($V15,[53]競技情報DB!$A$6:$H$181,3,),"－")</f>
        <v>名古屋市瑞穂公園体育館</v>
      </c>
      <c r="AA15" s="3351"/>
      <c r="AB15" s="3352"/>
      <c r="AC15" s="3662" t="str">
        <f>IFERROR(VLOOKUP($V15,[53]アジア練習会場!$A$3:$E$107,2,),"－")</f>
        <v>北名古屋市健康ドーム</v>
      </c>
      <c r="AD15" s="3663">
        <v>21.7</v>
      </c>
      <c r="AE15" s="3664">
        <v>26</v>
      </c>
      <c r="AF15" s="3662" t="str">
        <f>IFERROR(VLOOKUP($V15,[53]アジア練習会場!$A$3:$E$107,3,),"－")</f>
        <v>ー</v>
      </c>
      <c r="AG15" s="3663">
        <v>20.7</v>
      </c>
      <c r="AH15" s="3664">
        <v>28</v>
      </c>
      <c r="AI15" s="3665" t="str">
        <f>IFERROR(VLOOKUP($V15,[53]アジア練習会場!$A$3:$E$107,4,),"－")</f>
        <v>ー</v>
      </c>
      <c r="AJ15" s="3663">
        <v>22.8</v>
      </c>
      <c r="AK15" s="3664">
        <v>27</v>
      </c>
      <c r="AL15" s="3665" t="str">
        <f>IFERROR(VLOOKUP($V15,[53]アジア練習会場!$A$3:$E$107,5,),"－")</f>
        <v>ー</v>
      </c>
      <c r="AM15" s="3663">
        <v>14.7</v>
      </c>
      <c r="AN15" s="3666">
        <v>17</v>
      </c>
      <c r="AO15" s="3757" cm="1">
        <f t="array" ref="AO15">_xlfn.LET(
  _xlpm.rng, AX15:CF15,
  _xlpm.header, $AX$3:$CF$3,
  _xlpm.idx, _xlfn.XMATCH(TRUE, _xlpm.rng&lt;&gt;0),
  _xlpm.dt, INDEX(_xlpm.header, _xlpm.idx),
  IF(YEAR(_xlpm.dt)&lt;&gt;2026, DATE(2026, MONTH(_xlpm.dt), DAY(_xlpm.dt)), _xlpm.dt)
)</f>
        <v>46280</v>
      </c>
      <c r="AP15" s="3757" cm="1">
        <f t="array" ref="AP15">_xlfn.LET(
  _xlpm.rng, AX15:CF15,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46300</v>
      </c>
      <c r="AQ15" s="3758">
        <f>AP15-AO15</f>
        <v>20</v>
      </c>
      <c r="AR15" s="3660">
        <f>$H15-MAX(AX15:CF15)</f>
        <v>202</v>
      </c>
      <c r="AS15" s="311">
        <f>+AR15/$H15</f>
        <v>0.57714285714285718</v>
      </c>
      <c r="AT15" s="3667" t="str">
        <f>F15&amp;"　"&amp;"合計"</f>
        <v>アパホテル＜名古屋栄北＞　合計</v>
      </c>
      <c r="AU15" s="3854"/>
      <c r="AV15" s="3854"/>
      <c r="AW15" s="3854"/>
      <c r="AX15" s="496">
        <v>0</v>
      </c>
      <c r="AY15" s="494">
        <v>0</v>
      </c>
      <c r="AZ15" s="494">
        <v>0</v>
      </c>
      <c r="BA15" s="494">
        <v>0</v>
      </c>
      <c r="BB15" s="494">
        <v>0</v>
      </c>
      <c r="BC15" s="494">
        <v>0</v>
      </c>
      <c r="BD15" s="494">
        <v>0</v>
      </c>
      <c r="BE15" s="494">
        <v>0</v>
      </c>
      <c r="BF15" s="494">
        <v>0</v>
      </c>
      <c r="BG15" s="494">
        <v>0</v>
      </c>
      <c r="BH15" s="494">
        <v>0</v>
      </c>
      <c r="BI15" s="494">
        <v>1</v>
      </c>
      <c r="BJ15" s="494">
        <v>1</v>
      </c>
      <c r="BK15" s="494">
        <v>94</v>
      </c>
      <c r="BL15" s="494">
        <v>94</v>
      </c>
      <c r="BM15" s="494">
        <v>94</v>
      </c>
      <c r="BN15" s="494">
        <v>148</v>
      </c>
      <c r="BO15" s="494">
        <v>148</v>
      </c>
      <c r="BP15" s="494">
        <v>148</v>
      </c>
      <c r="BQ15" s="494">
        <v>148</v>
      </c>
      <c r="BR15" s="494">
        <v>148</v>
      </c>
      <c r="BS15" s="494">
        <v>148</v>
      </c>
      <c r="BT15" s="494">
        <v>148</v>
      </c>
      <c r="BU15" s="494">
        <v>148</v>
      </c>
      <c r="BV15" s="494">
        <v>148</v>
      </c>
      <c r="BW15" s="494">
        <v>148</v>
      </c>
      <c r="BX15" s="494">
        <v>148</v>
      </c>
      <c r="BY15" s="494">
        <v>148</v>
      </c>
      <c r="BZ15" s="494">
        <v>148</v>
      </c>
      <c r="CA15" s="494">
        <v>148</v>
      </c>
      <c r="CB15" s="494">
        <v>148</v>
      </c>
      <c r="CC15" s="494">
        <v>54</v>
      </c>
      <c r="CD15" s="494">
        <v>0</v>
      </c>
      <c r="CE15" s="494">
        <v>0</v>
      </c>
      <c r="CF15" s="499">
        <v>0</v>
      </c>
      <c r="CG15" s="3712"/>
      <c r="CH15" s="3751" cm="1">
        <f t="array" ref="CH15">SUM(IF(ISNUMBER($AX15:$CF15),$AX15:$CF15, 0))</f>
        <v>2558</v>
      </c>
      <c r="CI15" s="290"/>
      <c r="CJ15" s="332"/>
      <c r="CK15" s="333"/>
    </row>
    <row r="16" spans="1:89" s="521" customFormat="1" ht="46" customHeight="1" thickBot="1">
      <c r="A16" s="2862"/>
      <c r="B16" s="2863"/>
      <c r="C16" s="296"/>
      <c r="D16" s="297" t="s">
        <v>2129</v>
      </c>
      <c r="E16" s="302"/>
      <c r="F16" s="298"/>
      <c r="G16" s="2864">
        <v>0</v>
      </c>
      <c r="H16" s="2864">
        <v>0</v>
      </c>
      <c r="I16" s="2864">
        <v>0</v>
      </c>
      <c r="J16" s="3668"/>
      <c r="K16" s="2864">
        <v>0</v>
      </c>
      <c r="L16" s="2865">
        <v>0</v>
      </c>
      <c r="M16" s="2866">
        <v>0</v>
      </c>
      <c r="N16" s="2866">
        <v>0</v>
      </c>
      <c r="O16" s="2865">
        <v>0</v>
      </c>
      <c r="P16" s="2866">
        <v>0</v>
      </c>
      <c r="Q16" s="2866">
        <v>0</v>
      </c>
      <c r="R16" s="2866">
        <v>0</v>
      </c>
      <c r="S16" s="2866">
        <v>0</v>
      </c>
      <c r="T16" s="302" t="s">
        <v>2129</v>
      </c>
      <c r="U16" s="296"/>
      <c r="V16" s="3349" t="s">
        <v>6835</v>
      </c>
      <c r="W16" s="487" t="s">
        <v>2138</v>
      </c>
      <c r="X16" s="488">
        <v>54</v>
      </c>
      <c r="Y16" s="3307"/>
      <c r="Z16" s="3374" t="str">
        <f>IFERROR(VLOOKUP($V16,[53]競技情報DB!$A$6:$H$181,3,),"－")</f>
        <v>名古屋市国際展示場［ポートメッセなごや］</v>
      </c>
      <c r="AA16" s="3316"/>
      <c r="AB16" s="3317"/>
      <c r="AC16" s="3669" t="str">
        <f>IFERROR(VLOOKUP($V16,[53]アジア練習会場!$A$3:$E$107,2,),"－")</f>
        <v>競技会場に設置</v>
      </c>
      <c r="AD16" s="3653"/>
      <c r="AE16" s="3654"/>
      <c r="AF16" s="3669" t="str">
        <f>IFERROR(VLOOKUP($V16,[53]アジア練習会場!$A$3:$E$107,3,),"－")</f>
        <v>ー</v>
      </c>
      <c r="AG16" s="3678"/>
      <c r="AH16" s="3679"/>
      <c r="AI16" s="3682" t="str">
        <f>IFERROR(VLOOKUP($V16,[53]アジア練習会場!$A$3:$E$107,4,),"－")</f>
        <v>ー</v>
      </c>
      <c r="AJ16" s="3678"/>
      <c r="AK16" s="3679"/>
      <c r="AL16" s="3682" t="str">
        <f>IFERROR(VLOOKUP($V16,[53]アジア練習会場!$A$3:$E$107,5,),"－")</f>
        <v>ー</v>
      </c>
      <c r="AM16" s="3678"/>
      <c r="AN16" s="3683"/>
      <c r="AO16" s="3759"/>
      <c r="AP16" s="3759"/>
      <c r="AQ16" s="3760"/>
      <c r="AR16" s="3660"/>
      <c r="AS16" s="311"/>
      <c r="AT16" s="3675"/>
      <c r="AU16" s="3853"/>
      <c r="AV16" s="3853"/>
      <c r="AW16" s="3853"/>
      <c r="AX16" s="339"/>
      <c r="AY16" s="336"/>
      <c r="AZ16" s="336"/>
      <c r="BA16" s="336"/>
      <c r="BB16" s="336"/>
      <c r="BC16" s="336"/>
      <c r="BD16" s="336"/>
      <c r="BE16" s="336"/>
      <c r="BF16" s="336"/>
      <c r="BG16" s="336"/>
      <c r="BH16" s="336"/>
      <c r="BI16" s="336"/>
      <c r="BJ16" s="336"/>
      <c r="BK16" s="336"/>
      <c r="BL16" s="336"/>
      <c r="BM16" s="336"/>
      <c r="BN16" s="336"/>
      <c r="BO16" s="336"/>
      <c r="BP16" s="336"/>
      <c r="BQ16" s="336"/>
      <c r="BR16" s="336"/>
      <c r="BS16" s="336"/>
      <c r="BT16" s="336"/>
      <c r="BU16" s="336"/>
      <c r="BV16" s="336"/>
      <c r="BW16" s="336"/>
      <c r="BX16" s="336"/>
      <c r="BY16" s="336"/>
      <c r="BZ16" s="336"/>
      <c r="CA16" s="336"/>
      <c r="CB16" s="336"/>
      <c r="CC16" s="321"/>
      <c r="CD16" s="336"/>
      <c r="CE16" s="336"/>
      <c r="CF16" s="340"/>
      <c r="CG16" s="3712"/>
      <c r="CH16" s="3737"/>
      <c r="CI16" s="290"/>
      <c r="CJ16" s="332"/>
      <c r="CK16" s="333"/>
    </row>
    <row r="17" spans="1:89" ht="46" customHeight="1">
      <c r="A17" s="2862"/>
      <c r="B17" s="2863"/>
      <c r="C17" s="372">
        <f>C15+1</f>
        <v>6</v>
      </c>
      <c r="D17" s="2871">
        <v>140</v>
      </c>
      <c r="E17" s="6244" t="s">
        <v>6955</v>
      </c>
      <c r="F17" s="373" t="s">
        <v>6836</v>
      </c>
      <c r="G17" s="2872"/>
      <c r="H17" s="2872"/>
      <c r="I17" s="2872"/>
      <c r="J17" s="6090"/>
      <c r="K17" s="2872"/>
      <c r="L17" s="2873"/>
      <c r="M17" s="2874"/>
      <c r="N17" s="2874"/>
      <c r="O17" s="2873"/>
      <c r="P17" s="2874"/>
      <c r="Q17" s="2874"/>
      <c r="R17" s="2874"/>
      <c r="S17" s="2874"/>
      <c r="T17" s="377"/>
      <c r="U17" s="372"/>
      <c r="V17" s="387" t="s">
        <v>6837</v>
      </c>
      <c r="W17" s="388" t="s">
        <v>2138</v>
      </c>
      <c r="X17" s="389">
        <v>115</v>
      </c>
      <c r="Y17" s="390">
        <f>SUM(X17:X18)</f>
        <v>115</v>
      </c>
      <c r="Z17" s="4395"/>
      <c r="AA17" s="4396"/>
      <c r="AB17" s="4397"/>
      <c r="AC17" s="5926"/>
      <c r="AD17" s="4398"/>
      <c r="AE17" s="4399"/>
      <c r="AF17" s="5926"/>
      <c r="AG17" s="4398"/>
      <c r="AH17" s="4399"/>
      <c r="AI17" s="4400"/>
      <c r="AJ17" s="4398"/>
      <c r="AK17" s="4399"/>
      <c r="AL17" s="4400"/>
      <c r="AM17" s="4398"/>
      <c r="AN17" s="4401"/>
      <c r="AO17" s="3757" cm="1">
        <f t="array" ref="AO17">_xlfn.LET(
  _xlpm.rng, AX17:CF17,
  _xlpm.header, $AX$3:$CF$3,
  _xlpm.idx, _xlfn.XMATCH(TRUE, _xlpm.rng&lt;&gt;0),
  _xlpm.dt, INDEX(_xlpm.header, _xlpm.idx),
  IF(YEAR(_xlpm.dt)&lt;&gt;2026, DATE(2026, MONTH(_xlpm.dt), DAY(_xlpm.dt)), _xlpm.dt)
)</f>
        <v>46282</v>
      </c>
      <c r="AP17" s="3757" cm="1">
        <f t="array" ref="AP17">_xlfn.LET(
  _xlpm.rng, AX17:CF17,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17" s="3758">
        <f>AP17-AO17</f>
        <v>13</v>
      </c>
      <c r="AR17" s="3643"/>
      <c r="AS17" s="394"/>
      <c r="AT17" s="6093"/>
      <c r="AU17" s="5925"/>
      <c r="AV17" s="5925"/>
      <c r="AW17" s="5925"/>
      <c r="AX17" s="470">
        <v>0</v>
      </c>
      <c r="AY17" s="397">
        <v>0</v>
      </c>
      <c r="AZ17" s="397">
        <v>0</v>
      </c>
      <c r="BA17" s="397">
        <v>0</v>
      </c>
      <c r="BB17" s="397">
        <v>0</v>
      </c>
      <c r="BC17" s="397">
        <v>0</v>
      </c>
      <c r="BD17" s="397">
        <v>0</v>
      </c>
      <c r="BE17" s="397">
        <v>0</v>
      </c>
      <c r="BF17" s="397">
        <v>0</v>
      </c>
      <c r="BG17" s="397">
        <v>0</v>
      </c>
      <c r="BH17" s="397">
        <v>0</v>
      </c>
      <c r="BI17" s="397">
        <v>0</v>
      </c>
      <c r="BJ17" s="397">
        <v>0</v>
      </c>
      <c r="BK17" s="4412">
        <v>16</v>
      </c>
      <c r="BL17" s="4412">
        <v>17</v>
      </c>
      <c r="BM17" s="4412">
        <v>17</v>
      </c>
      <c r="BN17" s="4412">
        <v>115</v>
      </c>
      <c r="BO17" s="4412">
        <v>115</v>
      </c>
      <c r="BP17" s="4412">
        <v>115</v>
      </c>
      <c r="BQ17" s="4412">
        <v>115</v>
      </c>
      <c r="BR17" s="4412">
        <v>115</v>
      </c>
      <c r="BS17" s="4412">
        <v>115</v>
      </c>
      <c r="BT17" s="4412">
        <v>115</v>
      </c>
      <c r="BU17" s="4412">
        <v>115</v>
      </c>
      <c r="BV17" s="4412">
        <v>115</v>
      </c>
      <c r="BW17" s="4412">
        <v>115</v>
      </c>
      <c r="BX17" s="4412">
        <v>115</v>
      </c>
      <c r="BY17" s="397">
        <v>0</v>
      </c>
      <c r="BZ17" s="397">
        <v>0</v>
      </c>
      <c r="CA17" s="397">
        <v>0</v>
      </c>
      <c r="CB17" s="397">
        <v>0</v>
      </c>
      <c r="CC17" s="397">
        <v>0</v>
      </c>
      <c r="CD17" s="397">
        <v>0</v>
      </c>
      <c r="CE17" s="397">
        <v>0</v>
      </c>
      <c r="CF17" s="472">
        <v>0</v>
      </c>
      <c r="CG17" s="3712"/>
      <c r="CH17" s="3738" cm="1">
        <f t="array" ref="CH17">SUM(IF(ISNUMBER($AX17:$CF17),$AX17:$CF17, 0))</f>
        <v>1315</v>
      </c>
      <c r="CI17" s="290"/>
      <c r="CJ17" s="332"/>
      <c r="CK17" s="333"/>
    </row>
    <row r="18" spans="1:89" ht="46" customHeight="1" thickBot="1">
      <c r="A18" s="2862"/>
      <c r="B18" s="2863"/>
      <c r="C18" s="420"/>
      <c r="D18" s="421"/>
      <c r="E18" s="426"/>
      <c r="F18" s="422"/>
      <c r="G18" s="2875"/>
      <c r="H18" s="2875"/>
      <c r="I18" s="2875"/>
      <c r="J18" s="3684"/>
      <c r="K18" s="2875"/>
      <c r="L18" s="2877"/>
      <c r="M18" s="2878"/>
      <c r="N18" s="2878"/>
      <c r="O18" s="2877"/>
      <c r="P18" s="2878"/>
      <c r="Q18" s="2878"/>
      <c r="R18" s="2878"/>
      <c r="S18" s="2878"/>
      <c r="T18" s="426"/>
      <c r="U18" s="420"/>
      <c r="V18" s="3341"/>
      <c r="W18" s="478"/>
      <c r="X18" s="479"/>
      <c r="Y18" s="439"/>
      <c r="Z18" s="3374"/>
      <c r="AA18" s="4393"/>
      <c r="AB18" s="4394"/>
      <c r="AC18" s="3669"/>
      <c r="AD18" s="3678"/>
      <c r="AE18" s="3679"/>
      <c r="AF18" s="3669"/>
      <c r="AG18" s="3678"/>
      <c r="AH18" s="3679"/>
      <c r="AI18" s="3682"/>
      <c r="AJ18" s="3678"/>
      <c r="AK18" s="3679"/>
      <c r="AL18" s="3682"/>
      <c r="AM18" s="3678"/>
      <c r="AN18" s="3683"/>
      <c r="AO18" s="3759"/>
      <c r="AP18" s="3759"/>
      <c r="AQ18" s="3760"/>
      <c r="AR18" s="3660"/>
      <c r="AS18" s="311"/>
      <c r="AT18" s="3661"/>
      <c r="AU18" s="3853"/>
      <c r="AV18" s="3853"/>
      <c r="AW18" s="3853"/>
      <c r="AX18" s="339"/>
      <c r="AY18" s="336"/>
      <c r="AZ18" s="336"/>
      <c r="BA18" s="336"/>
      <c r="BB18" s="336"/>
      <c r="BC18" s="336"/>
      <c r="BD18" s="336"/>
      <c r="BE18" s="336"/>
      <c r="BF18" s="336"/>
      <c r="BG18" s="336"/>
      <c r="BH18" s="336"/>
      <c r="BI18" s="336"/>
      <c r="BJ18" s="336"/>
      <c r="BK18" s="336"/>
      <c r="BL18" s="336"/>
      <c r="BM18" s="336"/>
      <c r="BN18" s="336"/>
      <c r="BO18" s="336"/>
      <c r="BP18" s="336"/>
      <c r="BQ18" s="336"/>
      <c r="BR18" s="336"/>
      <c r="BS18" s="336"/>
      <c r="BT18" s="336"/>
      <c r="BU18" s="336"/>
      <c r="BV18" s="336"/>
      <c r="BW18" s="336"/>
      <c r="BX18" s="336"/>
      <c r="BY18" s="336"/>
      <c r="BZ18" s="336"/>
      <c r="CA18" s="336"/>
      <c r="CB18" s="336"/>
      <c r="CC18" s="336"/>
      <c r="CD18" s="336"/>
      <c r="CE18" s="336"/>
      <c r="CF18" s="340"/>
      <c r="CG18" s="3712"/>
      <c r="CH18" s="3737"/>
      <c r="CI18" s="290"/>
      <c r="CJ18" s="332"/>
      <c r="CK18" s="333"/>
    </row>
    <row r="19" spans="1:89" ht="46" customHeight="1">
      <c r="A19" s="2862"/>
      <c r="B19" s="2863"/>
      <c r="C19" s="296">
        <f>C17+1</f>
        <v>7</v>
      </c>
      <c r="D19" s="297">
        <v>133</v>
      </c>
      <c r="E19" s="6246" t="s">
        <v>6955</v>
      </c>
      <c r="F19" s="298" t="s">
        <v>3505</v>
      </c>
      <c r="G19" s="2908" t="s">
        <v>3506</v>
      </c>
      <c r="H19" s="2908" t="s">
        <v>3507</v>
      </c>
      <c r="I19" s="2908" t="s">
        <v>3508</v>
      </c>
      <c r="J19" s="2908" t="s">
        <v>3508</v>
      </c>
      <c r="K19" s="2908">
        <v>249</v>
      </c>
      <c r="L19" s="2865" t="s">
        <v>2854</v>
      </c>
      <c r="M19" s="2866" t="s">
        <v>2245</v>
      </c>
      <c r="N19" s="2866" t="s">
        <v>2229</v>
      </c>
      <c r="O19" s="2865" t="s">
        <v>3509</v>
      </c>
      <c r="P19" s="2866" t="s">
        <v>2134</v>
      </c>
      <c r="Q19" s="2866" t="s">
        <v>2134</v>
      </c>
      <c r="R19" s="2866" t="s">
        <v>2133</v>
      </c>
      <c r="S19" s="2866" t="s">
        <v>2168</v>
      </c>
      <c r="T19" s="302" t="s">
        <v>2133</v>
      </c>
      <c r="U19" s="296" t="s">
        <v>2136</v>
      </c>
      <c r="V19" s="703" t="s">
        <v>2198</v>
      </c>
      <c r="W19" s="528" t="s">
        <v>2138</v>
      </c>
      <c r="X19" s="529">
        <v>162</v>
      </c>
      <c r="Y19" s="3307">
        <f>SUM(X19:X22)</f>
        <v>264</v>
      </c>
      <c r="Z19" s="3350" t="str">
        <f>IFERROR(VLOOKUP($V19,[53]競技情報DB!$A$6:$H$181,3,),"－")</f>
        <v>名古屋市東山公園テニスセンター</v>
      </c>
      <c r="AA19" s="3351"/>
      <c r="AB19" s="3352"/>
      <c r="AC19" s="3662" t="str">
        <f>IFERROR(VLOOKUP($V19,[53]アジア練習会場!$A$3:$E$107,2,),"－")</f>
        <v>競技会場に設置</v>
      </c>
      <c r="AD19" s="3663">
        <v>27.4</v>
      </c>
      <c r="AE19" s="3664">
        <v>25</v>
      </c>
      <c r="AF19" s="3662" t="str">
        <f>IFERROR(VLOOKUP($V19,[53]アジア練習会場!$A$3:$E$107,3,),"－")</f>
        <v>ー</v>
      </c>
      <c r="AG19" s="3663"/>
      <c r="AH19" s="3664"/>
      <c r="AI19" s="3665" t="str">
        <f>IFERROR(VLOOKUP($V19,[53]アジア練習会場!$A$3:$E$107,4,),"－")</f>
        <v>ー</v>
      </c>
      <c r="AJ19" s="3663"/>
      <c r="AK19" s="3664"/>
      <c r="AL19" s="3665" t="str">
        <f>IFERROR(VLOOKUP($V19,[53]アジア練習会場!$A$3:$E$107,5,),"－")</f>
        <v>ー</v>
      </c>
      <c r="AM19" s="3663"/>
      <c r="AN19" s="3666"/>
      <c r="AO19" s="3757" cm="1">
        <f t="array" ref="AO19">_xlfn.LET(
  _xlpm.rng, AX19:CF19,
  _xlpm.header, $AX$3:$CF$3,
  _xlpm.idx, _xlfn.XMATCH(TRUE, _xlpm.rng&lt;&gt;0),
  _xlpm.dt, INDEX(_xlpm.header, _xlpm.idx),
  IF(YEAR(_xlpm.dt)&lt;&gt;2026, DATE(2026, MONTH(_xlpm.dt), DAY(_xlpm.dt)), _xlpm.dt)
)</f>
        <v>46270</v>
      </c>
      <c r="AP19" s="3757" cm="1">
        <f t="array" ref="AP19">_xlfn.LET(
  _xlpm.rng, AX19:CF19,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19" s="3758">
        <f>AP19-AO19</f>
        <v>29</v>
      </c>
      <c r="AR19" s="3660">
        <f>$H19-MAX(AX19:CF19)</f>
        <v>137</v>
      </c>
      <c r="AS19" s="311">
        <f>+AR19/$H19</f>
        <v>0.34164588528678302</v>
      </c>
      <c r="AT19" s="3667" t="str">
        <f>F19&amp;"　"&amp;"合計"</f>
        <v>アパホテル＜名古屋栄＞　合計</v>
      </c>
      <c r="AU19" s="6104"/>
      <c r="AV19" s="395"/>
      <c r="AW19" s="395"/>
      <c r="AX19" s="470">
        <v>0</v>
      </c>
      <c r="AY19" s="397">
        <v>1</v>
      </c>
      <c r="AZ19" s="397">
        <v>1</v>
      </c>
      <c r="BA19" s="397">
        <v>77</v>
      </c>
      <c r="BB19" s="397">
        <v>77</v>
      </c>
      <c r="BC19" s="397">
        <v>77</v>
      </c>
      <c r="BD19" s="397">
        <v>77</v>
      </c>
      <c r="BE19" s="397">
        <v>77</v>
      </c>
      <c r="BF19" s="397">
        <v>77</v>
      </c>
      <c r="BG19" s="397">
        <v>77</v>
      </c>
      <c r="BH19" s="397">
        <v>77</v>
      </c>
      <c r="BI19" s="397">
        <v>77</v>
      </c>
      <c r="BJ19" s="397">
        <v>77</v>
      </c>
      <c r="BK19" s="397">
        <v>77</v>
      </c>
      <c r="BL19" s="397">
        <v>77</v>
      </c>
      <c r="BM19" s="397">
        <v>78</v>
      </c>
      <c r="BN19" s="397">
        <v>78</v>
      </c>
      <c r="BO19" s="397">
        <v>90</v>
      </c>
      <c r="BP19" s="397">
        <v>91</v>
      </c>
      <c r="BQ19" s="397">
        <v>96</v>
      </c>
      <c r="BR19" s="397">
        <v>99</v>
      </c>
      <c r="BS19" s="397">
        <v>264</v>
      </c>
      <c r="BT19" s="397">
        <v>264</v>
      </c>
      <c r="BU19" s="397">
        <v>251</v>
      </c>
      <c r="BV19" s="397">
        <v>174</v>
      </c>
      <c r="BW19" s="397">
        <v>174</v>
      </c>
      <c r="BX19" s="397">
        <v>162</v>
      </c>
      <c r="BY19" s="397">
        <v>162</v>
      </c>
      <c r="BZ19" s="397">
        <v>162</v>
      </c>
      <c r="CA19" s="397">
        <v>162</v>
      </c>
      <c r="CB19" s="397">
        <v>162</v>
      </c>
      <c r="CC19" s="397">
        <v>0</v>
      </c>
      <c r="CD19" s="397">
        <v>0</v>
      </c>
      <c r="CE19" s="397">
        <v>0</v>
      </c>
      <c r="CF19" s="472">
        <v>0</v>
      </c>
      <c r="CG19" s="3712"/>
      <c r="CH19" s="3737" cm="1">
        <f t="array" ref="CH19">SUM(IF(ISNUMBER($AX19:$CF19),$AX19:$CF19, 0))</f>
        <v>3395</v>
      </c>
      <c r="CI19" s="290"/>
      <c r="CJ19" s="291"/>
      <c r="CK19" s="292"/>
    </row>
    <row r="20" spans="1:89" ht="46" customHeight="1">
      <c r="A20" s="2862"/>
      <c r="B20" s="2863"/>
      <c r="C20" s="296"/>
      <c r="D20" s="297" t="s">
        <v>2129</v>
      </c>
      <c r="E20" s="302"/>
      <c r="F20" s="298"/>
      <c r="G20" s="2864">
        <v>0</v>
      </c>
      <c r="H20" s="2864">
        <v>0</v>
      </c>
      <c r="I20" s="2864">
        <v>0</v>
      </c>
      <c r="J20" s="2864">
        <v>0</v>
      </c>
      <c r="K20" s="2864">
        <v>0</v>
      </c>
      <c r="L20" s="2865">
        <v>0</v>
      </c>
      <c r="M20" s="2866">
        <v>0</v>
      </c>
      <c r="N20" s="2866"/>
      <c r="O20" s="2865">
        <v>0</v>
      </c>
      <c r="P20" s="2866">
        <v>0</v>
      </c>
      <c r="Q20" s="2866">
        <v>0</v>
      </c>
      <c r="R20" s="2866">
        <v>0</v>
      </c>
      <c r="S20" s="2866">
        <v>0</v>
      </c>
      <c r="T20" s="302"/>
      <c r="U20" s="296"/>
      <c r="V20" s="413" t="s">
        <v>6838</v>
      </c>
      <c r="W20" s="313" t="s">
        <v>2138</v>
      </c>
      <c r="X20" s="314">
        <v>77</v>
      </c>
      <c r="Y20" s="3307"/>
      <c r="Z20" s="3308" t="str">
        <f>IFERROR(VLOOKUP($V20,[53]競技情報DB!$A$6:$H$181,3,),"－")</f>
        <v>愛知県新体育館［愛知国際アリーナ］</v>
      </c>
      <c r="AA20" s="3309"/>
      <c r="AB20" s="3310"/>
      <c r="AC20" s="3655" t="str">
        <f>IFERROR(VLOOKUP($V20,[53]アジア練習会場!$A$3:$E$107,2,),"－")</f>
        <v>－</v>
      </c>
      <c r="AD20" s="3656">
        <v>17.8</v>
      </c>
      <c r="AE20" s="3657">
        <v>28</v>
      </c>
      <c r="AF20" s="3655" t="str">
        <f>IFERROR(VLOOKUP($V20,[53]アジア練習会場!$A$3:$E$107,3,),"－")</f>
        <v>－</v>
      </c>
      <c r="AG20" s="3656"/>
      <c r="AH20" s="3657"/>
      <c r="AI20" s="3658" t="str">
        <f>IFERROR(VLOOKUP($V20,[53]アジア練習会場!$A$3:$E$107,4,),"－")</f>
        <v>－</v>
      </c>
      <c r="AJ20" s="3656"/>
      <c r="AK20" s="3657"/>
      <c r="AL20" s="3658" t="str">
        <f>IFERROR(VLOOKUP($V20,[53]アジア練習会場!$A$3:$E$107,5,),"－")</f>
        <v>－</v>
      </c>
      <c r="AM20" s="3656"/>
      <c r="AN20" s="3659"/>
      <c r="AO20" s="3759"/>
      <c r="AP20" s="3759"/>
      <c r="AQ20" s="3760"/>
      <c r="AR20" s="3660"/>
      <c r="AS20" s="311"/>
      <c r="AT20" s="3675"/>
      <c r="AU20" s="416"/>
      <c r="AV20" s="416"/>
      <c r="AW20" s="416"/>
      <c r="AX20" s="503"/>
      <c r="AY20" s="321"/>
      <c r="AZ20" s="321"/>
      <c r="BA20" s="321"/>
      <c r="BB20" s="321"/>
      <c r="BC20" s="321"/>
      <c r="BD20" s="321"/>
      <c r="BE20" s="321"/>
      <c r="BF20" s="321"/>
      <c r="BG20" s="321"/>
      <c r="BH20" s="321"/>
      <c r="BI20" s="321"/>
      <c r="BJ20" s="321"/>
      <c r="BK20" s="321"/>
      <c r="BL20" s="321"/>
      <c r="BM20" s="321"/>
      <c r="BN20" s="321"/>
      <c r="BO20" s="321"/>
      <c r="BP20" s="321"/>
      <c r="BQ20" s="321"/>
      <c r="BR20" s="321"/>
      <c r="BS20" s="321"/>
      <c r="BT20" s="321"/>
      <c r="BU20" s="321"/>
      <c r="BV20" s="321"/>
      <c r="BW20" s="321"/>
      <c r="BX20" s="321"/>
      <c r="BY20" s="321"/>
      <c r="BZ20" s="321"/>
      <c r="CA20" s="321"/>
      <c r="CB20" s="321"/>
      <c r="CC20" s="321"/>
      <c r="CD20" s="321"/>
      <c r="CE20" s="321"/>
      <c r="CF20" s="507"/>
      <c r="CG20" s="3712"/>
      <c r="CH20" s="3737"/>
      <c r="CI20" s="290"/>
      <c r="CJ20" s="332"/>
      <c r="CK20" s="333"/>
    </row>
    <row r="21" spans="1:89" ht="46" customHeight="1">
      <c r="A21" s="2862"/>
      <c r="B21" s="2863"/>
      <c r="C21" s="296"/>
      <c r="D21" s="297"/>
      <c r="E21" s="302"/>
      <c r="F21" s="298"/>
      <c r="G21" s="2864"/>
      <c r="H21" s="2864"/>
      <c r="I21" s="2864">
        <v>0</v>
      </c>
      <c r="J21" s="2864">
        <v>0</v>
      </c>
      <c r="K21" s="2864">
        <v>0</v>
      </c>
      <c r="L21" s="2865"/>
      <c r="M21" s="2866"/>
      <c r="N21" s="2866"/>
      <c r="O21" s="2865"/>
      <c r="P21" s="2866"/>
      <c r="Q21" s="2866"/>
      <c r="R21" s="2866"/>
      <c r="S21" s="2866"/>
      <c r="T21" s="302"/>
      <c r="U21" s="296"/>
      <c r="V21" s="413" t="s">
        <v>6839</v>
      </c>
      <c r="W21" s="313" t="s">
        <v>2138</v>
      </c>
      <c r="X21" s="314">
        <v>12</v>
      </c>
      <c r="Y21" s="3307"/>
      <c r="Z21" s="3308" t="str">
        <f>IFERROR(VLOOKUP($V21,[53]競技情報DB!$A$6:$H$181,3,),"－")</f>
        <v>名古屋市競輪場BMXレースコース</v>
      </c>
      <c r="AA21" s="3309"/>
      <c r="AB21" s="3310"/>
      <c r="AC21" s="3655" t="str">
        <f>IFERROR(VLOOKUP($V21,[53]アジア練習会場!$A$3:$E$107,2,),"－")</f>
        <v>競技会場に設置</v>
      </c>
      <c r="AD21" s="3656">
        <v>17.8</v>
      </c>
      <c r="AE21" s="3657">
        <v>28</v>
      </c>
      <c r="AF21" s="3655" t="str">
        <f>IFERROR(VLOOKUP($V21,[53]アジア練習会場!$A$3:$E$107,3,),"－")</f>
        <v>ー</v>
      </c>
      <c r="AG21" s="3656"/>
      <c r="AH21" s="3657"/>
      <c r="AI21" s="3658" t="str">
        <f>IFERROR(VLOOKUP($V21,[53]アジア練習会場!$A$3:$E$107,4,),"－")</f>
        <v>ー</v>
      </c>
      <c r="AJ21" s="3656"/>
      <c r="AK21" s="3657"/>
      <c r="AL21" s="3658" t="str">
        <f>IFERROR(VLOOKUP($V21,[53]アジア練習会場!$A$3:$E$107,5,),"－")</f>
        <v>ー</v>
      </c>
      <c r="AM21" s="3656"/>
      <c r="AN21" s="3659"/>
      <c r="AO21" s="3759"/>
      <c r="AP21" s="3759"/>
      <c r="AQ21" s="3760"/>
      <c r="AR21" s="3660"/>
      <c r="AS21" s="311"/>
      <c r="AT21" s="3661"/>
      <c r="AU21" s="3853"/>
      <c r="AV21" s="3853"/>
      <c r="AW21" s="3853"/>
      <c r="AX21" s="339"/>
      <c r="AY21" s="336"/>
      <c r="AZ21" s="336"/>
      <c r="BA21" s="336"/>
      <c r="BB21" s="336"/>
      <c r="BC21" s="336"/>
      <c r="BD21" s="336"/>
      <c r="BE21" s="336"/>
      <c r="BF21" s="336"/>
      <c r="BG21" s="336"/>
      <c r="BH21" s="336"/>
      <c r="BI21" s="336"/>
      <c r="BJ21" s="336"/>
      <c r="BK21" s="336"/>
      <c r="BL21" s="336"/>
      <c r="BM21" s="336"/>
      <c r="BN21" s="336"/>
      <c r="BO21" s="336"/>
      <c r="BP21" s="336"/>
      <c r="BQ21" s="336"/>
      <c r="BR21" s="336"/>
      <c r="BS21" s="336"/>
      <c r="BT21" s="336"/>
      <c r="BU21" s="336"/>
      <c r="BV21" s="336"/>
      <c r="BW21" s="336"/>
      <c r="BX21" s="336"/>
      <c r="BY21" s="336"/>
      <c r="BZ21" s="336"/>
      <c r="CA21" s="336"/>
      <c r="CB21" s="336"/>
      <c r="CC21" s="336"/>
      <c r="CD21" s="336"/>
      <c r="CE21" s="336"/>
      <c r="CF21" s="340"/>
      <c r="CG21" s="3712"/>
      <c r="CH21" s="3737"/>
      <c r="CI21" s="290"/>
      <c r="CJ21" s="332"/>
      <c r="CK21" s="333"/>
    </row>
    <row r="22" spans="1:89" ht="46" customHeight="1">
      <c r="A22" s="2862"/>
      <c r="B22" s="2863"/>
      <c r="C22" s="420"/>
      <c r="D22" s="421"/>
      <c r="E22" s="426"/>
      <c r="F22" s="422"/>
      <c r="G22" s="2875"/>
      <c r="H22" s="2875"/>
      <c r="I22" s="2875">
        <v>0</v>
      </c>
      <c r="J22" s="2875">
        <v>0</v>
      </c>
      <c r="K22" s="2875">
        <v>0</v>
      </c>
      <c r="L22" s="2877"/>
      <c r="M22" s="2878"/>
      <c r="N22" s="2878"/>
      <c r="O22" s="2877"/>
      <c r="P22" s="2878"/>
      <c r="Q22" s="2878"/>
      <c r="R22" s="2878"/>
      <c r="S22" s="2878"/>
      <c r="T22" s="426"/>
      <c r="U22" s="420"/>
      <c r="V22" s="714" t="s">
        <v>6840</v>
      </c>
      <c r="W22" s="437" t="s">
        <v>2138</v>
      </c>
      <c r="X22" s="438">
        <v>13</v>
      </c>
      <c r="Y22" s="439"/>
      <c r="Z22" s="3353" t="str">
        <f>IFERROR(VLOOKUP($V22,[53]競技情報DB!$A$6:$H$181,3,),"－")</f>
        <v>小幡緑地</v>
      </c>
      <c r="AA22" s="3354"/>
      <c r="AB22" s="3355"/>
      <c r="AC22" s="3645" t="str">
        <f>IFERROR(VLOOKUP($V22,[53]アジア練習会場!$A$3:$E$107,2,),"－")</f>
        <v>a</v>
      </c>
      <c r="AD22" s="3646">
        <v>0.9</v>
      </c>
      <c r="AE22" s="3647">
        <v>2</v>
      </c>
      <c r="AF22" s="3645" t="str">
        <f>IFERROR(VLOOKUP($V22,[53]アジア練習会場!$A$3:$E$107,3,),"－")</f>
        <v>ー</v>
      </c>
      <c r="AG22" s="3646"/>
      <c r="AH22" s="3647"/>
      <c r="AI22" s="3648" t="str">
        <f>IFERROR(VLOOKUP($V22,[53]アジア練習会場!$A$3:$E$107,4,),"－")</f>
        <v>ー</v>
      </c>
      <c r="AJ22" s="3646"/>
      <c r="AK22" s="3647"/>
      <c r="AL22" s="3648" t="str">
        <f>IFERROR(VLOOKUP($V22,[53]アジア練習会場!$A$3:$E$107,5,),"－")</f>
        <v>ー</v>
      </c>
      <c r="AM22" s="3646"/>
      <c r="AN22" s="3649"/>
      <c r="AO22" s="3755"/>
      <c r="AP22" s="3755"/>
      <c r="AQ22" s="3756"/>
      <c r="AR22" s="3650"/>
      <c r="AS22" s="435"/>
      <c r="AT22" s="3676"/>
      <c r="AU22" s="443"/>
      <c r="AV22" s="443"/>
      <c r="AW22" s="3853"/>
      <c r="AX22" s="339"/>
      <c r="AY22" s="336"/>
      <c r="AZ22" s="336"/>
      <c r="BA22" s="336"/>
      <c r="BB22" s="336"/>
      <c r="BC22" s="336"/>
      <c r="BD22" s="336"/>
      <c r="BE22" s="336"/>
      <c r="BF22" s="336"/>
      <c r="BG22" s="336"/>
      <c r="BH22" s="336"/>
      <c r="BI22" s="336"/>
      <c r="BJ22" s="336"/>
      <c r="BK22" s="336"/>
      <c r="BL22" s="336"/>
      <c r="BM22" s="336"/>
      <c r="BN22" s="336"/>
      <c r="BO22" s="336"/>
      <c r="BP22" s="336"/>
      <c r="BQ22" s="336"/>
      <c r="BR22" s="336"/>
      <c r="BS22" s="336"/>
      <c r="BT22" s="336"/>
      <c r="BU22" s="336"/>
      <c r="BV22" s="336"/>
      <c r="BW22" s="336"/>
      <c r="BX22" s="336"/>
      <c r="BY22" s="336"/>
      <c r="BZ22" s="336"/>
      <c r="CA22" s="336"/>
      <c r="CB22" s="336"/>
      <c r="CC22" s="336"/>
      <c r="CD22" s="336"/>
      <c r="CE22" s="336"/>
      <c r="CF22" s="340"/>
      <c r="CG22" s="3712"/>
      <c r="CH22" s="3737"/>
      <c r="CI22" s="290"/>
      <c r="CJ22" s="332"/>
      <c r="CK22" s="333"/>
    </row>
    <row r="23" spans="1:89" ht="46" customHeight="1">
      <c r="A23" s="2862"/>
      <c r="B23" s="2863"/>
      <c r="C23" s="296">
        <f>C19+1</f>
        <v>8</v>
      </c>
      <c r="D23" s="297">
        <v>1039</v>
      </c>
      <c r="E23" s="6246" t="s">
        <v>6955</v>
      </c>
      <c r="F23" s="298" t="s">
        <v>2463</v>
      </c>
      <c r="G23" s="717" t="s">
        <v>3510</v>
      </c>
      <c r="H23" s="3677" t="s">
        <v>3484</v>
      </c>
      <c r="I23" s="3677" t="s">
        <v>3510</v>
      </c>
      <c r="J23" s="3677" t="s">
        <v>3484</v>
      </c>
      <c r="K23" s="3677">
        <v>105</v>
      </c>
      <c r="L23" s="2865" t="s">
        <v>2129</v>
      </c>
      <c r="M23" s="2866" t="s">
        <v>2131</v>
      </c>
      <c r="N23" s="2866" t="s">
        <v>2132</v>
      </c>
      <c r="O23" s="2865" t="s">
        <v>3494</v>
      </c>
      <c r="P23" s="2866" t="s">
        <v>2134</v>
      </c>
      <c r="Q23" s="2866" t="s">
        <v>2134</v>
      </c>
      <c r="R23" s="2866" t="s">
        <v>2134</v>
      </c>
      <c r="S23" s="2866" t="s">
        <v>2702</v>
      </c>
      <c r="T23" s="377" t="s">
        <v>2133</v>
      </c>
      <c r="U23" s="296" t="s">
        <v>2136</v>
      </c>
      <c r="V23" s="703" t="s">
        <v>6841</v>
      </c>
      <c r="W23" s="528" t="s">
        <v>2138</v>
      </c>
      <c r="X23" s="529">
        <v>101</v>
      </c>
      <c r="Y23" s="390">
        <f>SUM(X23:X24)</f>
        <v>192</v>
      </c>
      <c r="Z23" s="3350" t="str">
        <f>IFERROR(VLOOKUP($V23,[53]競技情報DB!$A$6:$H$181,3,),"－")</f>
        <v>名古屋市総合体育館［レインボーホール］</v>
      </c>
      <c r="AA23" s="3351"/>
      <c r="AB23" s="3352"/>
      <c r="AC23" s="3662" t="str">
        <f>IFERROR(VLOOKUP($V23,[53]アジア練習会場!$A$3:$E$107,2,),"－")</f>
        <v>ポートメッセなごや第二展示館</v>
      </c>
      <c r="AD23" s="3678">
        <v>0.9</v>
      </c>
      <c r="AE23" s="3679">
        <v>2</v>
      </c>
      <c r="AF23" s="3662" t="str">
        <f>IFERROR(VLOOKUP($V23,[53]アジア練習会場!$A$3:$E$107,3,),"－")</f>
        <v>ー</v>
      </c>
      <c r="AG23" s="3663"/>
      <c r="AH23" s="3664"/>
      <c r="AI23" s="3665" t="str">
        <f>IFERROR(VLOOKUP($V23,[53]アジア練習会場!$A$3:$E$107,4,),"－")</f>
        <v>ー</v>
      </c>
      <c r="AJ23" s="3663"/>
      <c r="AK23" s="3664"/>
      <c r="AL23" s="3665" t="str">
        <f>IFERROR(VLOOKUP($V23,[53]アジア練習会場!$A$3:$E$107,5,),"－")</f>
        <v>ー</v>
      </c>
      <c r="AM23" s="3663"/>
      <c r="AN23" s="3666"/>
      <c r="AO23" s="3757" cm="1">
        <f t="array" ref="AO23">_xlfn.LET(
  _xlpm.rng, AX23:CF23,
  _xlpm.header, $AX$3:$CF$3,
  _xlpm.idx, _xlfn.XMATCH(TRUE, _xlpm.rng&lt;&gt;0),
  _xlpm.dt, INDEX(_xlpm.header, _xlpm.idx),
  IF(YEAR(_xlpm.dt)&lt;&gt;2026, DATE(2026, MONTH(_xlpm.dt), DAY(_xlpm.dt)), _xlpm.dt)
)</f>
        <v>46278</v>
      </c>
      <c r="AP23" s="3757" cm="1">
        <f t="array" ref="AP23">_xlfn.LET(
  _xlpm.rng, AX23:CF23,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23" s="3758">
        <f>AP23-AO23</f>
        <v>21</v>
      </c>
      <c r="AR23" s="3643">
        <f>$H23-MAX(AX23:CF23)</f>
        <v>140</v>
      </c>
      <c r="AS23" s="394">
        <f>+AR23/$H23</f>
        <v>0.57851239669421484</v>
      </c>
      <c r="AT23" s="3644" t="str">
        <f>F23&amp;"　"&amp;"合計"</f>
        <v>ベストウェスタンプラス名古屋栄　合計</v>
      </c>
      <c r="AU23" s="395"/>
      <c r="AV23" s="395"/>
      <c r="AW23" s="395"/>
      <c r="AX23" s="696">
        <v>0</v>
      </c>
      <c r="AY23" s="398">
        <v>0</v>
      </c>
      <c r="AZ23" s="398">
        <v>0</v>
      </c>
      <c r="BA23" s="398">
        <v>0</v>
      </c>
      <c r="BB23" s="398">
        <v>0</v>
      </c>
      <c r="BC23" s="398">
        <v>0</v>
      </c>
      <c r="BD23" s="398">
        <v>0</v>
      </c>
      <c r="BE23" s="398">
        <v>0</v>
      </c>
      <c r="BF23" s="398">
        <v>0</v>
      </c>
      <c r="BG23" s="398">
        <v>1</v>
      </c>
      <c r="BH23" s="398">
        <v>2</v>
      </c>
      <c r="BI23" s="398">
        <v>9</v>
      </c>
      <c r="BJ23" s="398">
        <v>66</v>
      </c>
      <c r="BK23" s="398">
        <v>101</v>
      </c>
      <c r="BL23" s="398">
        <v>101</v>
      </c>
      <c r="BM23" s="398">
        <v>101</v>
      </c>
      <c r="BN23" s="398">
        <v>101</v>
      </c>
      <c r="BO23" s="398">
        <v>101</v>
      </c>
      <c r="BP23" s="398">
        <v>101</v>
      </c>
      <c r="BQ23" s="398">
        <v>101</v>
      </c>
      <c r="BR23" s="398">
        <v>101</v>
      </c>
      <c r="BS23" s="398">
        <v>102</v>
      </c>
      <c r="BT23" s="398">
        <v>101</v>
      </c>
      <c r="BU23" s="398">
        <v>91</v>
      </c>
      <c r="BV23" s="398">
        <v>91</v>
      </c>
      <c r="BW23" s="398">
        <v>91</v>
      </c>
      <c r="BX23" s="398">
        <v>91</v>
      </c>
      <c r="BY23" s="398">
        <v>91</v>
      </c>
      <c r="BZ23" s="398">
        <v>91</v>
      </c>
      <c r="CA23" s="398">
        <v>91</v>
      </c>
      <c r="CB23" s="398">
        <v>91</v>
      </c>
      <c r="CC23" s="398">
        <v>0</v>
      </c>
      <c r="CD23" s="398">
        <v>0</v>
      </c>
      <c r="CE23" s="398">
        <v>0</v>
      </c>
      <c r="CF23" s="472">
        <v>0</v>
      </c>
      <c r="CG23" s="3712"/>
      <c r="CH23" s="3737" cm="1">
        <f t="array" ref="CH23">SUM(IF(ISNUMBER($AX23:$CF23),$AX23:$CF23, 0))</f>
        <v>1817</v>
      </c>
      <c r="CI23" s="290"/>
      <c r="CJ23" s="332"/>
      <c r="CK23" s="333"/>
    </row>
    <row r="24" spans="1:89" ht="46" customHeight="1">
      <c r="A24" s="2862"/>
      <c r="B24" s="2863"/>
      <c r="C24" s="296"/>
      <c r="D24" s="297"/>
      <c r="E24" s="302"/>
      <c r="F24" s="298"/>
      <c r="G24" s="2864"/>
      <c r="H24" s="2908"/>
      <c r="I24" s="2908"/>
      <c r="J24" s="3680"/>
      <c r="K24" s="2908">
        <v>0</v>
      </c>
      <c r="L24" s="2865"/>
      <c r="M24" s="2866"/>
      <c r="N24" s="2866"/>
      <c r="O24" s="2865"/>
      <c r="P24" s="2866"/>
      <c r="Q24" s="2866"/>
      <c r="R24" s="2866"/>
      <c r="S24" s="2866"/>
      <c r="T24" s="302"/>
      <c r="U24" s="296"/>
      <c r="V24" s="3341" t="s">
        <v>6842</v>
      </c>
      <c r="W24" s="478" t="s">
        <v>2138</v>
      </c>
      <c r="X24" s="479">
        <v>91</v>
      </c>
      <c r="Y24" s="3365"/>
      <c r="Z24" s="3343" t="str">
        <f>IFERROR(VLOOKUP($V24,[53]競技情報DB!$A$6:$H$181,3,),"－")</f>
        <v>愛知国際アリーナ</v>
      </c>
      <c r="AA24" s="3366"/>
      <c r="AB24" s="3367"/>
      <c r="AC24" s="3681" t="str">
        <f>IFERROR(VLOOKUP($V24,[53]アジア練習会場!$A$3:$E$107,2,),"－")</f>
        <v>愛知県体育館or露橋スポーツセンター</v>
      </c>
      <c r="AD24" s="3646"/>
      <c r="AE24" s="3647"/>
      <c r="AF24" s="3673" t="str">
        <f>IFERROR(VLOOKUP($V24,[53]アジア練習会場!$A$3:$E$107,3,),"－")</f>
        <v>ー</v>
      </c>
      <c r="AG24" s="3671"/>
      <c r="AH24" s="3672"/>
      <c r="AI24" s="3673" t="str">
        <f>IFERROR(VLOOKUP($V24,[53]アジア練習会場!$A$3:$E$107,4,),"－")</f>
        <v>ー</v>
      </c>
      <c r="AJ24" s="3671"/>
      <c r="AK24" s="3672"/>
      <c r="AL24" s="3673" t="str">
        <f>IFERROR(VLOOKUP($V24,[53]アジア練習会場!$A$3:$E$107,5,),"－")</f>
        <v>ー</v>
      </c>
      <c r="AM24" s="3671"/>
      <c r="AN24" s="3674"/>
      <c r="AO24" s="3759"/>
      <c r="AP24" s="3759"/>
      <c r="AQ24" s="3760"/>
      <c r="AR24" s="3660"/>
      <c r="AS24" s="311"/>
      <c r="AT24" s="3667"/>
      <c r="AU24" s="3854"/>
      <c r="AV24" s="3854"/>
      <c r="AW24" s="3854"/>
      <c r="AX24" s="498"/>
      <c r="AY24" s="493"/>
      <c r="AZ24" s="493"/>
      <c r="BA24" s="493"/>
      <c r="BB24" s="493"/>
      <c r="BC24" s="493"/>
      <c r="BD24" s="493"/>
      <c r="BE24" s="493"/>
      <c r="BF24" s="493"/>
      <c r="BG24" s="493"/>
      <c r="BH24" s="493"/>
      <c r="BI24" s="493"/>
      <c r="BJ24" s="493"/>
      <c r="BK24" s="493"/>
      <c r="BL24" s="493"/>
      <c r="BM24" s="493"/>
      <c r="BN24" s="493"/>
      <c r="BO24" s="493"/>
      <c r="BP24" s="493"/>
      <c r="BQ24" s="493"/>
      <c r="BR24" s="493"/>
      <c r="BS24" s="493"/>
      <c r="BT24" s="493"/>
      <c r="BU24" s="493"/>
      <c r="BV24" s="493"/>
      <c r="BW24" s="493"/>
      <c r="BX24" s="493"/>
      <c r="BY24" s="493"/>
      <c r="BZ24" s="493"/>
      <c r="CA24" s="493"/>
      <c r="CB24" s="493"/>
      <c r="CC24" s="493"/>
      <c r="CD24" s="493"/>
      <c r="CE24" s="493"/>
      <c r="CF24" s="499"/>
      <c r="CG24" s="3712"/>
      <c r="CH24" s="3737"/>
      <c r="CI24" s="290"/>
      <c r="CJ24" s="332"/>
      <c r="CK24" s="333"/>
    </row>
    <row r="25" spans="1:89" ht="46" customHeight="1">
      <c r="A25" s="2862"/>
      <c r="B25" s="2863"/>
      <c r="C25" s="372">
        <f>C23+1</f>
        <v>9</v>
      </c>
      <c r="D25" s="2871">
        <v>96</v>
      </c>
      <c r="E25" s="6243" t="s">
        <v>6955</v>
      </c>
      <c r="F25" s="373" t="s">
        <v>3513</v>
      </c>
      <c r="G25" s="2872" t="s">
        <v>2853</v>
      </c>
      <c r="H25" s="3329" t="s">
        <v>2853</v>
      </c>
      <c r="I25" s="3329" t="s">
        <v>3514</v>
      </c>
      <c r="J25" s="3329" t="s">
        <v>3515</v>
      </c>
      <c r="K25" s="3329">
        <v>85</v>
      </c>
      <c r="L25" s="2873" t="s">
        <v>3516</v>
      </c>
      <c r="M25" s="2874" t="s">
        <v>2167</v>
      </c>
      <c r="N25" s="2874" t="s">
        <v>2132</v>
      </c>
      <c r="O25" s="2873" t="s">
        <v>2853</v>
      </c>
      <c r="P25" s="2874" t="s">
        <v>2134</v>
      </c>
      <c r="Q25" s="2874" t="s">
        <v>2134</v>
      </c>
      <c r="R25" s="2874" t="s">
        <v>2134</v>
      </c>
      <c r="S25" s="2874" t="s">
        <v>2240</v>
      </c>
      <c r="T25" s="377" t="s">
        <v>2133</v>
      </c>
      <c r="U25" s="372" t="s">
        <v>2136</v>
      </c>
      <c r="V25" s="3418" t="s">
        <v>2154</v>
      </c>
      <c r="W25" s="540" t="s">
        <v>2138</v>
      </c>
      <c r="X25" s="541">
        <v>85</v>
      </c>
      <c r="Y25" s="390">
        <f>SUM(X25:X26)</f>
        <v>85</v>
      </c>
      <c r="Z25" s="3322" t="str">
        <f>IFERROR(VLOOKUP($V25,[53]競技情報DB!$A$6:$H$181,3,),"－")</f>
        <v>稲永スポーツセンター</v>
      </c>
      <c r="AA25" s="3323"/>
      <c r="AB25" s="3324"/>
      <c r="AC25" s="3638" t="str">
        <f>IFERROR(VLOOKUP($V25,[53]アジア練習会場!$A$3:$E$107,2,),"－")</f>
        <v>愛知県体育館</v>
      </c>
      <c r="AD25" s="3639">
        <v>21</v>
      </c>
      <c r="AE25" s="3640">
        <v>27</v>
      </c>
      <c r="AF25" s="3638" t="str">
        <f>IFERROR(VLOOKUP($V25,[53]アジア練習会場!$A$3:$E$107,3,),"－")</f>
        <v>ー</v>
      </c>
      <c r="AG25" s="3639"/>
      <c r="AH25" s="3640"/>
      <c r="AI25" s="3641" t="str">
        <f>IFERROR(VLOOKUP($V25,[53]アジア練習会場!$A$3:$E$107,4,),"－")</f>
        <v>ー</v>
      </c>
      <c r="AJ25" s="3639"/>
      <c r="AK25" s="3640"/>
      <c r="AL25" s="3641" t="str">
        <f>IFERROR(VLOOKUP($V25,[53]アジア練習会場!$A$3:$E$107,5,),"－")</f>
        <v>ー</v>
      </c>
      <c r="AM25" s="3639"/>
      <c r="AN25" s="3642"/>
      <c r="AO25" s="3757" cm="1">
        <f t="array" ref="AO25">_xlfn.LET(
  _xlpm.rng, AX25:CF25,
  _xlpm.header, $AX$3:$CF$3,
  _xlpm.idx, _xlfn.XMATCH(TRUE, _xlpm.rng&lt;&gt;0),
  _xlpm.dt, INDEX(_xlpm.header, _xlpm.idx),
  IF(YEAR(_xlpm.dt)&lt;&gt;2026, DATE(2026, MONTH(_xlpm.dt), DAY(_xlpm.dt)), _xlpm.dt)
)</f>
        <v>46290</v>
      </c>
      <c r="AP25" s="3757" cm="1">
        <f t="array" ref="AP25">_xlfn.LET(
  _xlpm.rng, AX25:CF25,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25" s="3758">
        <f>AP25-AO25</f>
        <v>9</v>
      </c>
      <c r="AR25" s="3643">
        <f>$H25-MAX(AX25:CF25)</f>
        <v>-13</v>
      </c>
      <c r="AS25" s="394">
        <f>+AR25/$H25</f>
        <v>-0.18055555555555555</v>
      </c>
      <c r="AT25" s="3644" t="str">
        <f>F25&amp;"　"&amp;"合計"</f>
        <v>アイリス 愛知　合計</v>
      </c>
      <c r="AU25" s="395"/>
      <c r="AV25" s="395"/>
      <c r="AW25" s="395"/>
      <c r="AX25" s="470">
        <v>0</v>
      </c>
      <c r="AY25" s="397">
        <v>0</v>
      </c>
      <c r="AZ25" s="397">
        <v>0</v>
      </c>
      <c r="BA25" s="397">
        <v>0</v>
      </c>
      <c r="BB25" s="397">
        <v>0</v>
      </c>
      <c r="BC25" s="397">
        <v>0</v>
      </c>
      <c r="BD25" s="397">
        <v>0</v>
      </c>
      <c r="BE25" s="397">
        <v>0</v>
      </c>
      <c r="BF25" s="397">
        <v>0</v>
      </c>
      <c r="BG25" s="397">
        <v>0</v>
      </c>
      <c r="BH25" s="397">
        <v>0</v>
      </c>
      <c r="BI25" s="397">
        <v>0</v>
      </c>
      <c r="BJ25" s="397">
        <v>0</v>
      </c>
      <c r="BK25" s="397">
        <v>0</v>
      </c>
      <c r="BL25" s="397">
        <v>0</v>
      </c>
      <c r="BM25" s="397">
        <v>0</v>
      </c>
      <c r="BN25" s="397">
        <v>0</v>
      </c>
      <c r="BO25" s="397">
        <v>0</v>
      </c>
      <c r="BP25" s="397">
        <v>0</v>
      </c>
      <c r="BQ25" s="397">
        <v>0</v>
      </c>
      <c r="BR25" s="397">
        <v>0</v>
      </c>
      <c r="BS25" s="397">
        <v>1</v>
      </c>
      <c r="BT25" s="397">
        <v>1</v>
      </c>
      <c r="BU25" s="397">
        <v>85</v>
      </c>
      <c r="BV25" s="397">
        <v>85</v>
      </c>
      <c r="BW25" s="397">
        <v>85</v>
      </c>
      <c r="BX25" s="397">
        <v>85</v>
      </c>
      <c r="BY25" s="397">
        <v>85</v>
      </c>
      <c r="BZ25" s="397">
        <v>85</v>
      </c>
      <c r="CA25" s="397">
        <v>85</v>
      </c>
      <c r="CB25" s="397">
        <v>85</v>
      </c>
      <c r="CC25" s="397">
        <v>0</v>
      </c>
      <c r="CD25" s="397">
        <v>0</v>
      </c>
      <c r="CE25" s="397">
        <v>0</v>
      </c>
      <c r="CF25" s="472">
        <v>0</v>
      </c>
      <c r="CG25" s="3712"/>
      <c r="CH25" s="3737" cm="1">
        <f t="array" ref="CH25">SUM(IF(ISNUMBER($AX25:$CF25),$AX25:$CF25, 0))</f>
        <v>682</v>
      </c>
      <c r="CI25" s="290"/>
      <c r="CJ25" s="332"/>
      <c r="CK25" s="333"/>
    </row>
    <row r="26" spans="1:89" ht="46" customHeight="1">
      <c r="A26" s="2862"/>
      <c r="B26" s="2863"/>
      <c r="C26" s="420"/>
      <c r="D26" s="421"/>
      <c r="E26" s="426"/>
      <c r="F26" s="422"/>
      <c r="G26" s="2875"/>
      <c r="H26" s="2875"/>
      <c r="I26" s="2875">
        <v>0</v>
      </c>
      <c r="J26" s="3684"/>
      <c r="K26" s="2875">
        <v>0</v>
      </c>
      <c r="L26" s="2877"/>
      <c r="M26" s="2878"/>
      <c r="N26" s="2878"/>
      <c r="O26" s="2877"/>
      <c r="P26" s="2878"/>
      <c r="Q26" s="2878"/>
      <c r="R26" s="2878"/>
      <c r="S26" s="2878"/>
      <c r="T26" s="426"/>
      <c r="U26" s="420"/>
      <c r="V26" s="714"/>
      <c r="W26" s="437" t="s">
        <v>2134</v>
      </c>
      <c r="X26" s="438">
        <v>0</v>
      </c>
      <c r="Y26" s="3342"/>
      <c r="Z26" s="3343" t="str">
        <f>IFERROR(VLOOKUP($V26,[53]競技情報DB!$A$6:$H$181,3,),"－")</f>
        <v>－</v>
      </c>
      <c r="AA26" s="3366"/>
      <c r="AB26" s="3367"/>
      <c r="AC26" s="3670" t="str">
        <f>IFERROR(VLOOKUP($V26,[53]アジア練習会場!$A$3:$E$107,2,),"－")</f>
        <v>－</v>
      </c>
      <c r="AD26" s="3671">
        <v>21</v>
      </c>
      <c r="AE26" s="3672">
        <v>27</v>
      </c>
      <c r="AF26" s="3645" t="str">
        <f>IFERROR(VLOOKUP($V26,[53]アジア練習会場!$A$3:$E$107,3,),"－")</f>
        <v>－</v>
      </c>
      <c r="AG26" s="3646"/>
      <c r="AH26" s="3647"/>
      <c r="AI26" s="3648" t="str">
        <f>IFERROR(VLOOKUP($V26,[53]アジア練習会場!$A$3:$E$107,4,),"－")</f>
        <v>－</v>
      </c>
      <c r="AJ26" s="3646"/>
      <c r="AK26" s="3647"/>
      <c r="AL26" s="3648" t="str">
        <f>IFERROR(VLOOKUP($V26,[53]アジア練習会場!$A$3:$E$107,5,),"－")</f>
        <v>－</v>
      </c>
      <c r="AM26" s="3646"/>
      <c r="AN26" s="3649"/>
      <c r="AO26" s="3755"/>
      <c r="AP26" s="3755"/>
      <c r="AQ26" s="3756"/>
      <c r="AR26" s="3650"/>
      <c r="AS26" s="435"/>
      <c r="AT26" s="3676"/>
      <c r="AU26" s="443"/>
      <c r="AV26" s="443"/>
      <c r="AW26" s="443"/>
      <c r="AX26" s="448"/>
      <c r="AY26" s="445"/>
      <c r="AZ26" s="445"/>
      <c r="BA26" s="445"/>
      <c r="BB26" s="445"/>
      <c r="BC26" s="445"/>
      <c r="BD26" s="445"/>
      <c r="BE26" s="445"/>
      <c r="BF26" s="445"/>
      <c r="BG26" s="445"/>
      <c r="BH26" s="445"/>
      <c r="BI26" s="445"/>
      <c r="BJ26" s="445"/>
      <c r="BK26" s="445"/>
      <c r="BL26" s="445"/>
      <c r="BM26" s="445"/>
      <c r="BN26" s="445"/>
      <c r="BO26" s="445"/>
      <c r="BP26" s="445"/>
      <c r="BQ26" s="445"/>
      <c r="BR26" s="445"/>
      <c r="BS26" s="445"/>
      <c r="BT26" s="445"/>
      <c r="BU26" s="445"/>
      <c r="BV26" s="445"/>
      <c r="BW26" s="445"/>
      <c r="BX26" s="445"/>
      <c r="BY26" s="445"/>
      <c r="BZ26" s="445"/>
      <c r="CA26" s="445"/>
      <c r="CB26" s="445"/>
      <c r="CC26" s="445"/>
      <c r="CD26" s="445"/>
      <c r="CE26" s="445"/>
      <c r="CF26" s="449"/>
      <c r="CG26" s="3712"/>
      <c r="CH26" s="3737"/>
      <c r="CI26" s="290"/>
      <c r="CJ26" s="332"/>
      <c r="CK26" s="333"/>
    </row>
    <row r="27" spans="1:89" ht="46" customHeight="1">
      <c r="A27" s="2862"/>
      <c r="B27" s="2863"/>
      <c r="C27" s="372">
        <f>C25+1</f>
        <v>10</v>
      </c>
      <c r="D27" s="297">
        <v>1035</v>
      </c>
      <c r="E27" s="302"/>
      <c r="F27" s="298" t="s">
        <v>6843</v>
      </c>
      <c r="G27" s="2864"/>
      <c r="H27" s="2864"/>
      <c r="I27" s="2864"/>
      <c r="J27" s="3668"/>
      <c r="K27" s="2864"/>
      <c r="L27" s="2865"/>
      <c r="M27" s="2866"/>
      <c r="N27" s="2866"/>
      <c r="O27" s="2865"/>
      <c r="P27" s="2866"/>
      <c r="Q27" s="2866"/>
      <c r="R27" s="2866"/>
      <c r="S27" s="2866"/>
      <c r="T27" s="302"/>
      <c r="U27" s="296"/>
      <c r="V27" s="3349" t="s">
        <v>6846</v>
      </c>
      <c r="W27" s="487" t="s">
        <v>6831</v>
      </c>
      <c r="X27" s="488">
        <v>44</v>
      </c>
      <c r="Y27" s="390">
        <f>SUM(X27:X28)</f>
        <v>44</v>
      </c>
      <c r="Z27" s="3374"/>
      <c r="AA27" s="4393"/>
      <c r="AB27" s="4394"/>
      <c r="AC27" s="3669"/>
      <c r="AD27" s="3678"/>
      <c r="AE27" s="3679"/>
      <c r="AF27" s="3669"/>
      <c r="AG27" s="3678"/>
      <c r="AH27" s="3679"/>
      <c r="AI27" s="3682"/>
      <c r="AJ27" s="3678"/>
      <c r="AK27" s="3679"/>
      <c r="AL27" s="3682"/>
      <c r="AM27" s="3678"/>
      <c r="AN27" s="3683"/>
      <c r="AO27" s="3757" cm="1">
        <f t="array" ref="AO27">_xlfn.LET(
  _xlpm.rng, AX27:CF27,
  _xlpm.header, $AX$3:$CF$3,
  _xlpm.idx, _xlfn.XMATCH(TRUE, _xlpm.rng&lt;&gt;0),
  _xlpm.dt, INDEX(_xlpm.header, _xlpm.idx),
  IF(YEAR(_xlpm.dt)&lt;&gt;2026, DATE(2026, MONTH(_xlpm.dt), DAY(_xlpm.dt)), _xlpm.dt)
)</f>
        <v>46283</v>
      </c>
      <c r="AP27" s="3757" cm="1">
        <f t="array" ref="AP27">_xlfn.LET(
  _xlpm.rng, AX27:CF27,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27" s="3758">
        <f>AP27-AO27</f>
        <v>15</v>
      </c>
      <c r="AR27" s="3660"/>
      <c r="AS27" s="311"/>
      <c r="AT27" s="3661"/>
      <c r="AU27" s="3853"/>
      <c r="AV27" s="3853"/>
      <c r="AW27" s="3853"/>
      <c r="AX27" s="470">
        <v>0</v>
      </c>
      <c r="AY27" s="397">
        <v>0</v>
      </c>
      <c r="AZ27" s="397">
        <v>0</v>
      </c>
      <c r="BA27" s="397">
        <v>0</v>
      </c>
      <c r="BB27" s="397">
        <v>0</v>
      </c>
      <c r="BC27" s="397">
        <v>0</v>
      </c>
      <c r="BD27" s="397">
        <v>0</v>
      </c>
      <c r="BE27" s="397">
        <v>0</v>
      </c>
      <c r="BF27" s="397">
        <v>0</v>
      </c>
      <c r="BG27" s="397">
        <v>0</v>
      </c>
      <c r="BH27" s="397">
        <v>0</v>
      </c>
      <c r="BI27" s="397">
        <v>0</v>
      </c>
      <c r="BJ27" s="397">
        <v>0</v>
      </c>
      <c r="BK27" s="4412">
        <v>0</v>
      </c>
      <c r="BL27" s="337">
        <v>1</v>
      </c>
      <c r="BM27" s="337">
        <v>30</v>
      </c>
      <c r="BN27" s="337">
        <v>44</v>
      </c>
      <c r="BO27" s="337">
        <v>44</v>
      </c>
      <c r="BP27" s="337">
        <v>44</v>
      </c>
      <c r="BQ27" s="337">
        <v>44</v>
      </c>
      <c r="BR27" s="337">
        <v>44</v>
      </c>
      <c r="BS27" s="337">
        <v>44</v>
      </c>
      <c r="BT27" s="337">
        <v>44</v>
      </c>
      <c r="BU27" s="337">
        <v>44</v>
      </c>
      <c r="BV27" s="337">
        <v>44</v>
      </c>
      <c r="BW27" s="337">
        <v>44</v>
      </c>
      <c r="BX27" s="337">
        <v>44</v>
      </c>
      <c r="BY27" s="337">
        <v>44</v>
      </c>
      <c r="BZ27" s="337">
        <v>44</v>
      </c>
      <c r="CA27" s="337">
        <v>44</v>
      </c>
      <c r="CB27" s="397">
        <v>0</v>
      </c>
      <c r="CC27" s="397">
        <v>0</v>
      </c>
      <c r="CD27" s="397">
        <v>0</v>
      </c>
      <c r="CE27" s="397">
        <v>0</v>
      </c>
      <c r="CF27" s="472">
        <v>0</v>
      </c>
      <c r="CG27" s="3712"/>
      <c r="CH27" s="3738" cm="1">
        <f t="array" ref="CH27">SUM(IF(ISNUMBER($AX27:$CF27),$AX27:$CF27, 0))</f>
        <v>647</v>
      </c>
      <c r="CI27" s="290"/>
      <c r="CJ27" s="332"/>
      <c r="CK27" s="333"/>
    </row>
    <row r="28" spans="1:89" ht="46" customHeight="1">
      <c r="A28" s="2862"/>
      <c r="B28" s="2863"/>
      <c r="C28" s="296"/>
      <c r="D28" s="297"/>
      <c r="E28" s="302"/>
      <c r="F28" s="298"/>
      <c r="G28" s="2864"/>
      <c r="H28" s="2864"/>
      <c r="I28" s="2864"/>
      <c r="J28" s="3668"/>
      <c r="K28" s="2864"/>
      <c r="L28" s="2865"/>
      <c r="M28" s="2866"/>
      <c r="N28" s="2866"/>
      <c r="O28" s="2865"/>
      <c r="P28" s="2866"/>
      <c r="Q28" s="2866"/>
      <c r="R28" s="2866"/>
      <c r="S28" s="2866"/>
      <c r="T28" s="302"/>
      <c r="U28" s="296"/>
      <c r="V28" s="3349"/>
      <c r="W28" s="487"/>
      <c r="X28" s="488"/>
      <c r="Y28" s="3307"/>
      <c r="Z28" s="3374"/>
      <c r="AA28" s="4393"/>
      <c r="AB28" s="4394"/>
      <c r="AC28" s="3669"/>
      <c r="AD28" s="3678"/>
      <c r="AE28" s="3679"/>
      <c r="AF28" s="3669"/>
      <c r="AG28" s="3678"/>
      <c r="AH28" s="3679"/>
      <c r="AI28" s="3682"/>
      <c r="AJ28" s="3678"/>
      <c r="AK28" s="3679"/>
      <c r="AL28" s="3682"/>
      <c r="AM28" s="3678"/>
      <c r="AN28" s="3683"/>
      <c r="AO28" s="3759"/>
      <c r="AP28" s="3759"/>
      <c r="AQ28" s="3760"/>
      <c r="AR28" s="3660"/>
      <c r="AS28" s="311"/>
      <c r="AT28" s="3661"/>
      <c r="AU28" s="3853"/>
      <c r="AV28" s="3853"/>
      <c r="AW28" s="3853"/>
      <c r="AX28" s="3712"/>
      <c r="AY28" s="337"/>
      <c r="AZ28" s="337"/>
      <c r="BA28" s="337"/>
      <c r="BB28" s="337"/>
      <c r="BC28" s="337"/>
      <c r="BD28" s="337"/>
      <c r="BE28" s="337"/>
      <c r="BF28" s="337"/>
      <c r="BG28" s="337"/>
      <c r="BH28" s="337"/>
      <c r="BI28" s="337"/>
      <c r="BJ28" s="336"/>
      <c r="BK28" s="506"/>
      <c r="BL28" s="519"/>
      <c r="BM28" s="519"/>
      <c r="BN28" s="519"/>
      <c r="BO28" s="519"/>
      <c r="BP28" s="519"/>
      <c r="BQ28" s="519"/>
      <c r="BR28" s="519"/>
      <c r="BS28" s="519"/>
      <c r="BT28" s="519"/>
      <c r="BU28" s="519"/>
      <c r="BV28" s="519"/>
      <c r="BW28" s="519"/>
      <c r="BX28" s="519"/>
      <c r="BY28" s="519"/>
      <c r="BZ28" s="519"/>
      <c r="CA28" s="519"/>
      <c r="CB28" s="519"/>
      <c r="CC28" s="519"/>
      <c r="CD28" s="519"/>
      <c r="CE28" s="519"/>
      <c r="CF28" s="520"/>
      <c r="CG28" s="3712"/>
      <c r="CH28" s="3737"/>
      <c r="CI28" s="290"/>
      <c r="CJ28" s="332"/>
      <c r="CK28" s="333"/>
    </row>
    <row r="29" spans="1:89" ht="46" customHeight="1">
      <c r="A29" s="2862"/>
      <c r="B29" s="2863"/>
      <c r="C29" s="372">
        <f>C27+1</f>
        <v>11</v>
      </c>
      <c r="D29" s="2871">
        <v>67</v>
      </c>
      <c r="E29" s="6244" t="s">
        <v>6955</v>
      </c>
      <c r="F29" s="373" t="s">
        <v>6844</v>
      </c>
      <c r="G29" s="2872"/>
      <c r="H29" s="2872"/>
      <c r="I29" s="2872"/>
      <c r="J29" s="6090"/>
      <c r="K29" s="2872"/>
      <c r="L29" s="2873"/>
      <c r="M29" s="2874"/>
      <c r="N29" s="2874"/>
      <c r="O29" s="2873"/>
      <c r="P29" s="2874"/>
      <c r="Q29" s="2874"/>
      <c r="R29" s="2874"/>
      <c r="S29" s="2874"/>
      <c r="T29" s="377"/>
      <c r="U29" s="372"/>
      <c r="V29" s="3418" t="s">
        <v>6847</v>
      </c>
      <c r="W29" s="540"/>
      <c r="X29" s="541">
        <v>160</v>
      </c>
      <c r="Y29" s="390">
        <f>SUM(X29:X30)</f>
        <v>160</v>
      </c>
      <c r="Z29" s="4395"/>
      <c r="AA29" s="4396"/>
      <c r="AB29" s="4397"/>
      <c r="AC29" s="5926"/>
      <c r="AD29" s="4398"/>
      <c r="AE29" s="4399"/>
      <c r="AF29" s="5926"/>
      <c r="AG29" s="4398"/>
      <c r="AH29" s="4399"/>
      <c r="AI29" s="4400"/>
      <c r="AJ29" s="4398"/>
      <c r="AK29" s="4399"/>
      <c r="AL29" s="4400"/>
      <c r="AM29" s="4398"/>
      <c r="AN29" s="4401"/>
      <c r="AO29" s="3757" cm="1">
        <f t="array" ref="AO29">_xlfn.LET(
  _xlpm.rng, AX29:CF29,
  _xlpm.header, $AX$3:$CF$3,
  _xlpm.idx, _xlfn.XMATCH(TRUE, _xlpm.rng&lt;&gt;0),
  _xlpm.dt, INDEX(_xlpm.header, _xlpm.idx),
  IF(YEAR(_xlpm.dt)&lt;&gt;2026, DATE(2026, MONTH(_xlpm.dt), DAY(_xlpm.dt)), _xlpm.dt)
)</f>
        <v>46270</v>
      </c>
      <c r="AP29" s="3757" cm="1">
        <f t="array" ref="AP29">_xlfn.LET(
  _xlpm.rng, AX29:CF29,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29" s="3758">
        <f>AP29-AO29</f>
        <v>29</v>
      </c>
      <c r="AR29" s="3643"/>
      <c r="AS29" s="394"/>
      <c r="AT29" s="6093"/>
      <c r="AU29" s="5925"/>
      <c r="AV29" s="5925"/>
      <c r="AW29" s="5925"/>
      <c r="AX29" s="470">
        <v>0</v>
      </c>
      <c r="AY29" s="2879">
        <v>160</v>
      </c>
      <c r="AZ29" s="2879">
        <v>160</v>
      </c>
      <c r="BA29" s="2879">
        <v>160</v>
      </c>
      <c r="BB29" s="2879">
        <v>160</v>
      </c>
      <c r="BC29" s="2879">
        <v>160</v>
      </c>
      <c r="BD29" s="2879">
        <v>160</v>
      </c>
      <c r="BE29" s="2879">
        <v>160</v>
      </c>
      <c r="BF29" s="2879">
        <v>160</v>
      </c>
      <c r="BG29" s="2879">
        <v>160</v>
      </c>
      <c r="BH29" s="2879">
        <v>160</v>
      </c>
      <c r="BI29" s="2879">
        <v>160</v>
      </c>
      <c r="BJ29" s="4412">
        <v>160</v>
      </c>
      <c r="BK29" s="4412">
        <v>160</v>
      </c>
      <c r="BL29" s="2879">
        <v>160</v>
      </c>
      <c r="BM29" s="2879">
        <v>160</v>
      </c>
      <c r="BN29" s="2879">
        <v>160</v>
      </c>
      <c r="BO29" s="2879">
        <v>160</v>
      </c>
      <c r="BP29" s="2879">
        <v>160</v>
      </c>
      <c r="BQ29" s="2879">
        <v>160</v>
      </c>
      <c r="BR29" s="2879">
        <v>160</v>
      </c>
      <c r="BS29" s="2879">
        <v>160</v>
      </c>
      <c r="BT29" s="2879">
        <v>160</v>
      </c>
      <c r="BU29" s="2879">
        <v>160</v>
      </c>
      <c r="BV29" s="2879">
        <v>160</v>
      </c>
      <c r="BW29" s="2879">
        <v>160</v>
      </c>
      <c r="BX29" s="2879">
        <v>160</v>
      </c>
      <c r="BY29" s="2879">
        <v>160</v>
      </c>
      <c r="BZ29" s="2879">
        <v>160</v>
      </c>
      <c r="CA29" s="2879">
        <v>160</v>
      </c>
      <c r="CB29" s="2879">
        <v>160</v>
      </c>
      <c r="CC29" s="4412">
        <v>0</v>
      </c>
      <c r="CD29" s="4412">
        <v>0</v>
      </c>
      <c r="CE29" s="4412">
        <v>0</v>
      </c>
      <c r="CF29" s="2918">
        <v>0</v>
      </c>
      <c r="CG29" s="3712"/>
      <c r="CH29" s="3738" cm="1">
        <f t="array" ref="CH29">SUM(IF(ISNUMBER($AX29:$CF29),$AX29:$CF29, 0))</f>
        <v>4800</v>
      </c>
      <c r="CI29" s="290"/>
      <c r="CJ29" s="332"/>
      <c r="CK29" s="333"/>
    </row>
    <row r="30" spans="1:89" ht="46" customHeight="1">
      <c r="A30" s="2862"/>
      <c r="B30" s="2863"/>
      <c r="C30" s="420"/>
      <c r="D30" s="421"/>
      <c r="E30" s="426"/>
      <c r="F30" s="422"/>
      <c r="G30" s="2875"/>
      <c r="H30" s="2875"/>
      <c r="I30" s="2875"/>
      <c r="J30" s="3684"/>
      <c r="K30" s="2875"/>
      <c r="L30" s="2877"/>
      <c r="M30" s="2878"/>
      <c r="N30" s="2878"/>
      <c r="O30" s="2877"/>
      <c r="P30" s="2878"/>
      <c r="Q30" s="2878"/>
      <c r="R30" s="2878"/>
      <c r="S30" s="2878"/>
      <c r="T30" s="426"/>
      <c r="U30" s="420"/>
      <c r="V30" s="3341"/>
      <c r="W30" s="478"/>
      <c r="X30" s="479"/>
      <c r="Y30" s="3342"/>
      <c r="Z30" s="3343"/>
      <c r="AA30" s="3366"/>
      <c r="AB30" s="3367"/>
      <c r="AC30" s="3670"/>
      <c r="AD30" s="3671"/>
      <c r="AE30" s="3672"/>
      <c r="AF30" s="3670"/>
      <c r="AG30" s="3671"/>
      <c r="AH30" s="3672"/>
      <c r="AI30" s="3673"/>
      <c r="AJ30" s="3671"/>
      <c r="AK30" s="3672"/>
      <c r="AL30" s="3673"/>
      <c r="AM30" s="3671"/>
      <c r="AN30" s="3674"/>
      <c r="AO30" s="3755"/>
      <c r="AP30" s="3755"/>
      <c r="AQ30" s="3756"/>
      <c r="AR30" s="3650"/>
      <c r="AS30" s="435"/>
      <c r="AT30" s="3676"/>
      <c r="AU30" s="443"/>
      <c r="AV30" s="443"/>
      <c r="AW30" s="443"/>
      <c r="AX30" s="6100"/>
      <c r="AY30" s="519"/>
      <c r="AZ30" s="519"/>
      <c r="BA30" s="519"/>
      <c r="BB30" s="519"/>
      <c r="BC30" s="519"/>
      <c r="BD30" s="519"/>
      <c r="BE30" s="519"/>
      <c r="BF30" s="519"/>
      <c r="BG30" s="519"/>
      <c r="BH30" s="519"/>
      <c r="BI30" s="519"/>
      <c r="BJ30" s="506"/>
      <c r="BK30" s="506"/>
      <c r="BL30" s="519"/>
      <c r="BM30" s="519"/>
      <c r="BN30" s="519"/>
      <c r="BO30" s="519"/>
      <c r="BP30" s="519"/>
      <c r="BQ30" s="519"/>
      <c r="BR30" s="519"/>
      <c r="BS30" s="519"/>
      <c r="BT30" s="519"/>
      <c r="BU30" s="519"/>
      <c r="BV30" s="519"/>
      <c r="BW30" s="519"/>
      <c r="BX30" s="519"/>
      <c r="BY30" s="519"/>
      <c r="BZ30" s="519"/>
      <c r="CA30" s="519"/>
      <c r="CB30" s="519"/>
      <c r="CC30" s="519"/>
      <c r="CD30" s="519"/>
      <c r="CE30" s="519"/>
      <c r="CF30" s="520"/>
      <c r="CG30" s="3712"/>
      <c r="CH30" s="3737"/>
      <c r="CI30" s="290"/>
      <c r="CJ30" s="332"/>
      <c r="CK30" s="333"/>
    </row>
    <row r="31" spans="1:89" ht="46" customHeight="1">
      <c r="A31" s="2862"/>
      <c r="B31" s="2863"/>
      <c r="C31" s="372">
        <f>C29+1</f>
        <v>12</v>
      </c>
      <c r="D31" s="297">
        <v>166</v>
      </c>
      <c r="E31" s="6246" t="s">
        <v>6955</v>
      </c>
      <c r="F31" s="298" t="s">
        <v>6845</v>
      </c>
      <c r="G31" s="2864"/>
      <c r="H31" s="2864"/>
      <c r="I31" s="2864"/>
      <c r="J31" s="3668"/>
      <c r="K31" s="2864"/>
      <c r="L31" s="2865"/>
      <c r="M31" s="2866"/>
      <c r="N31" s="2866"/>
      <c r="O31" s="2865"/>
      <c r="P31" s="2866"/>
      <c r="Q31" s="2866"/>
      <c r="R31" s="2866"/>
      <c r="S31" s="2866"/>
      <c r="T31" s="302"/>
      <c r="U31" s="296"/>
      <c r="V31" s="3418" t="s">
        <v>6848</v>
      </c>
      <c r="W31" s="487"/>
      <c r="X31" s="488">
        <v>30</v>
      </c>
      <c r="Y31" s="390">
        <f>SUM(X31:X32)</f>
        <v>30</v>
      </c>
      <c r="Z31" s="3374"/>
      <c r="AA31" s="4393"/>
      <c r="AB31" s="4394"/>
      <c r="AC31" s="3669"/>
      <c r="AD31" s="3678"/>
      <c r="AE31" s="3679"/>
      <c r="AF31" s="3669"/>
      <c r="AG31" s="3678"/>
      <c r="AH31" s="3679"/>
      <c r="AI31" s="3682"/>
      <c r="AJ31" s="3678"/>
      <c r="AK31" s="3679"/>
      <c r="AL31" s="3682"/>
      <c r="AM31" s="3678"/>
      <c r="AN31" s="3683"/>
      <c r="AO31" s="3757" cm="1">
        <f t="array" ref="AO31">_xlfn.LET(
  _xlpm.rng, AX31:CF31,
  _xlpm.header, $AX$3:$CF$3,
  _xlpm.idx, _xlfn.XMATCH(TRUE, _xlpm.rng&lt;&gt;0),
  _xlpm.dt, INDEX(_xlpm.header, _xlpm.idx),
  IF(YEAR(_xlpm.dt)&lt;&gt;2026, DATE(2026, MONTH(_xlpm.dt), DAY(_xlpm.dt)), _xlpm.dt)
)</f>
        <v>46270</v>
      </c>
      <c r="AP31" s="3757" cm="1">
        <f t="array" ref="AP31">_xlfn.LET(
  _xlpm.rng, AX31:CF31,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46302</v>
      </c>
      <c r="AQ31" s="3758">
        <f>AP31-AO31</f>
        <v>32</v>
      </c>
      <c r="AR31" s="3660"/>
      <c r="AS31" s="311"/>
      <c r="AT31" s="3661"/>
      <c r="AU31" s="3853"/>
      <c r="AV31" s="3853"/>
      <c r="AW31" s="3853"/>
      <c r="AX31" s="470">
        <v>0</v>
      </c>
      <c r="AY31" s="494">
        <v>30</v>
      </c>
      <c r="AZ31" s="494">
        <v>30</v>
      </c>
      <c r="BA31" s="494">
        <v>30</v>
      </c>
      <c r="BB31" s="494">
        <v>30</v>
      </c>
      <c r="BC31" s="494">
        <v>30</v>
      </c>
      <c r="BD31" s="494">
        <v>30</v>
      </c>
      <c r="BE31" s="494">
        <v>30</v>
      </c>
      <c r="BF31" s="494">
        <v>30</v>
      </c>
      <c r="BG31" s="494">
        <v>30</v>
      </c>
      <c r="BH31" s="494">
        <v>30</v>
      </c>
      <c r="BI31" s="494">
        <v>30</v>
      </c>
      <c r="BJ31" s="493">
        <v>30</v>
      </c>
      <c r="BK31" s="493">
        <v>30</v>
      </c>
      <c r="BL31" s="494">
        <v>30</v>
      </c>
      <c r="BM31" s="494">
        <v>30</v>
      </c>
      <c r="BN31" s="494">
        <v>30</v>
      </c>
      <c r="BO31" s="494">
        <v>30</v>
      </c>
      <c r="BP31" s="494">
        <v>30</v>
      </c>
      <c r="BQ31" s="494">
        <v>30</v>
      </c>
      <c r="BR31" s="494">
        <v>30</v>
      </c>
      <c r="BS31" s="494">
        <v>30</v>
      </c>
      <c r="BT31" s="494">
        <v>30</v>
      </c>
      <c r="BU31" s="494">
        <v>30</v>
      </c>
      <c r="BV31" s="494">
        <v>30</v>
      </c>
      <c r="BW31" s="494">
        <v>30</v>
      </c>
      <c r="BX31" s="494">
        <v>30</v>
      </c>
      <c r="BY31" s="494">
        <v>30</v>
      </c>
      <c r="BZ31" s="494">
        <v>30</v>
      </c>
      <c r="CA31" s="494">
        <v>30</v>
      </c>
      <c r="CB31" s="494">
        <v>30</v>
      </c>
      <c r="CC31" s="494">
        <v>30</v>
      </c>
      <c r="CD31" s="494">
        <v>30</v>
      </c>
      <c r="CE31" s="494">
        <v>30</v>
      </c>
      <c r="CF31" s="472">
        <v>0</v>
      </c>
      <c r="CG31" s="3712"/>
      <c r="CH31" s="3738" cm="1">
        <f t="array" ref="CH31">SUM(IF(ISNUMBER($AX31:$CF31),$AX31:$CF31, 0))</f>
        <v>990</v>
      </c>
      <c r="CI31" s="290"/>
      <c r="CJ31" s="332"/>
      <c r="CK31" s="333"/>
    </row>
    <row r="32" spans="1:89" ht="46" customHeight="1">
      <c r="A32" s="2862"/>
      <c r="B32" s="2863"/>
      <c r="C32" s="296"/>
      <c r="D32" s="297"/>
      <c r="E32" s="302"/>
      <c r="F32" s="298"/>
      <c r="G32" s="2864"/>
      <c r="H32" s="2864"/>
      <c r="I32" s="2864"/>
      <c r="J32" s="3668"/>
      <c r="K32" s="2864"/>
      <c r="L32" s="2865"/>
      <c r="M32" s="2866"/>
      <c r="N32" s="2866"/>
      <c r="O32" s="2865"/>
      <c r="P32" s="2866"/>
      <c r="Q32" s="2866"/>
      <c r="R32" s="2866"/>
      <c r="S32" s="2866"/>
      <c r="T32" s="302"/>
      <c r="U32" s="296"/>
      <c r="V32" s="3349"/>
      <c r="W32" s="487"/>
      <c r="X32" s="488"/>
      <c r="Y32" s="3307"/>
      <c r="Z32" s="3374"/>
      <c r="AA32" s="4393"/>
      <c r="AB32" s="4394"/>
      <c r="AC32" s="3669"/>
      <c r="AD32" s="3678"/>
      <c r="AE32" s="3679"/>
      <c r="AF32" s="3669"/>
      <c r="AG32" s="3678"/>
      <c r="AH32" s="3679"/>
      <c r="AI32" s="3682"/>
      <c r="AJ32" s="3678"/>
      <c r="AK32" s="3679"/>
      <c r="AL32" s="3682"/>
      <c r="AM32" s="3678"/>
      <c r="AN32" s="3683"/>
      <c r="AO32" s="3759"/>
      <c r="AP32" s="3759"/>
      <c r="AQ32" s="3760"/>
      <c r="AR32" s="3660"/>
      <c r="AS32" s="311"/>
      <c r="AT32" s="3661"/>
      <c r="AU32" s="3853"/>
      <c r="AV32" s="3853"/>
      <c r="AW32" s="3853"/>
      <c r="AX32" s="3712"/>
      <c r="AY32" s="337"/>
      <c r="AZ32" s="337"/>
      <c r="BA32" s="337"/>
      <c r="BB32" s="337"/>
      <c r="BC32" s="337"/>
      <c r="BD32" s="337"/>
      <c r="BE32" s="337"/>
      <c r="BF32" s="337"/>
      <c r="BG32" s="337"/>
      <c r="BH32" s="337"/>
      <c r="BI32" s="337"/>
      <c r="BJ32" s="336"/>
      <c r="BK32" s="336"/>
      <c r="BL32" s="337"/>
      <c r="BM32" s="337"/>
      <c r="BN32" s="337"/>
      <c r="BO32" s="337"/>
      <c r="BP32" s="337"/>
      <c r="BQ32" s="337"/>
      <c r="BR32" s="337"/>
      <c r="BS32" s="337"/>
      <c r="BT32" s="337"/>
      <c r="BU32" s="337"/>
      <c r="BV32" s="337"/>
      <c r="BW32" s="337"/>
      <c r="BX32" s="337"/>
      <c r="BY32" s="337"/>
      <c r="BZ32" s="337"/>
      <c r="CA32" s="337"/>
      <c r="CB32" s="337"/>
      <c r="CC32" s="337"/>
      <c r="CD32" s="337"/>
      <c r="CE32" s="337"/>
      <c r="CF32" s="340"/>
      <c r="CG32" s="3712"/>
      <c r="CH32" s="3737"/>
      <c r="CI32" s="290"/>
      <c r="CJ32" s="332"/>
      <c r="CK32" s="333"/>
    </row>
    <row r="33" spans="1:89" ht="46" customHeight="1">
      <c r="A33" s="2862"/>
      <c r="B33" s="2863"/>
      <c r="C33" s="372">
        <f>C31+1</f>
        <v>13</v>
      </c>
      <c r="D33" s="2871">
        <v>23</v>
      </c>
      <c r="E33" s="6244" t="s">
        <v>6955</v>
      </c>
      <c r="F33" s="572" t="s">
        <v>3517</v>
      </c>
      <c r="G33" s="2872" t="s">
        <v>3490</v>
      </c>
      <c r="H33" s="2872" t="s">
        <v>3518</v>
      </c>
      <c r="I33" s="2872" t="s">
        <v>3519</v>
      </c>
      <c r="J33" s="2872" t="s">
        <v>3519</v>
      </c>
      <c r="K33" s="2872">
        <v>125</v>
      </c>
      <c r="L33" s="2873" t="s">
        <v>3520</v>
      </c>
      <c r="M33" s="2874" t="s">
        <v>2131</v>
      </c>
      <c r="N33" s="2874" t="s">
        <v>2229</v>
      </c>
      <c r="O33" s="2873" t="s">
        <v>3521</v>
      </c>
      <c r="P33" s="2874" t="s">
        <v>2134</v>
      </c>
      <c r="Q33" s="2874" t="s">
        <v>2134</v>
      </c>
      <c r="R33" s="2874" t="s">
        <v>2131</v>
      </c>
      <c r="S33" s="2874" t="s">
        <v>2168</v>
      </c>
      <c r="T33" s="377" t="s">
        <v>2133</v>
      </c>
      <c r="U33" s="372" t="s">
        <v>2136</v>
      </c>
      <c r="V33" s="3418" t="s">
        <v>6849</v>
      </c>
      <c r="W33" s="540" t="s">
        <v>2138</v>
      </c>
      <c r="X33" s="541">
        <v>55</v>
      </c>
      <c r="Y33" s="3369">
        <f>SUM(X33:X36)</f>
        <v>269</v>
      </c>
      <c r="Z33" s="3322" t="str">
        <f>IFERROR(VLOOKUP($V33,[53]競技情報DB!$A$6:$H$181,3,),"－")</f>
        <v>名古屋市瑞穂公園ラグビー場</v>
      </c>
      <c r="AA33" s="3323"/>
      <c r="AB33" s="3324"/>
      <c r="AC33" s="3638" t="str">
        <f>IFERROR(VLOOKUP($V33,[53]アジア練習会場!$A$3:$E$107,2,),"－")</f>
        <v>－</v>
      </c>
      <c r="AD33" s="3639">
        <v>51.5</v>
      </c>
      <c r="AE33" s="3640">
        <v>66</v>
      </c>
      <c r="AF33" s="3638" t="str">
        <f>IFERROR(VLOOKUP($V33,[53]アジア練習会場!$A$3:$E$107,3,),"－")</f>
        <v>－</v>
      </c>
      <c r="AG33" s="3639"/>
      <c r="AH33" s="3640"/>
      <c r="AI33" s="3641" t="str">
        <f>IFERROR(VLOOKUP($V33,[53]アジア練習会場!$A$3:$E$107,4,),"－")</f>
        <v>－</v>
      </c>
      <c r="AJ33" s="3639"/>
      <c r="AK33" s="3640"/>
      <c r="AL33" s="3641" t="str">
        <f>IFERROR(VLOOKUP($V33,[53]アジア練習会場!$A$3:$E$107,5,),"－")</f>
        <v>－</v>
      </c>
      <c r="AM33" s="3639"/>
      <c r="AN33" s="3642"/>
      <c r="AO33" s="3757" cm="1">
        <f t="array" ref="AO33">_xlfn.LET(
  _xlpm.rng, AX33:CF33,
  _xlpm.header, $AX$3:$CF$3,
  _xlpm.idx, _xlfn.XMATCH(TRUE, _xlpm.rng&lt;&gt;0),
  _xlpm.dt, INDEX(_xlpm.header, _xlpm.idx),
  IF(YEAR(_xlpm.dt)&lt;&gt;2026, DATE(2026, MONTH(_xlpm.dt), DAY(_xlpm.dt)), _xlpm.dt)
)</f>
        <v>46279</v>
      </c>
      <c r="AP33" s="3757" cm="1">
        <f t="array" ref="AP33">_xlfn.LET(
  _xlpm.rng, AX33:CF33,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46300</v>
      </c>
      <c r="AQ33" s="3758">
        <f>AP33-AO33</f>
        <v>21</v>
      </c>
      <c r="AR33" s="3643">
        <f>$H33-MAX(AX33:CF33)</f>
        <v>15</v>
      </c>
      <c r="AS33" s="647">
        <f>+AR33/$H33</f>
        <v>9.49367088607595E-2</v>
      </c>
      <c r="AT33" s="3644" t="str">
        <f>F33&amp;"　"&amp;"合計"</f>
        <v>第二富士ホテル　合計</v>
      </c>
      <c r="AU33" s="395"/>
      <c r="AV33" s="395"/>
      <c r="AW33" s="395"/>
      <c r="AX33" s="696">
        <v>0</v>
      </c>
      <c r="AY33" s="398">
        <v>0</v>
      </c>
      <c r="AZ33" s="398">
        <v>0</v>
      </c>
      <c r="BA33" s="398">
        <v>0</v>
      </c>
      <c r="BB33" s="398">
        <v>0</v>
      </c>
      <c r="BC33" s="398">
        <v>0</v>
      </c>
      <c r="BD33" s="398">
        <v>0</v>
      </c>
      <c r="BE33" s="398">
        <v>0</v>
      </c>
      <c r="BF33" s="398">
        <v>0</v>
      </c>
      <c r="BG33" s="398">
        <v>0</v>
      </c>
      <c r="BH33" s="398">
        <v>2</v>
      </c>
      <c r="BI33" s="398">
        <v>3</v>
      </c>
      <c r="BJ33" s="397">
        <v>93</v>
      </c>
      <c r="BK33" s="397">
        <v>143</v>
      </c>
      <c r="BL33" s="398">
        <v>143</v>
      </c>
      <c r="BM33" s="398">
        <v>143</v>
      </c>
      <c r="BN33" s="398">
        <v>143</v>
      </c>
      <c r="BO33" s="398">
        <v>143</v>
      </c>
      <c r="BP33" s="398">
        <v>143</v>
      </c>
      <c r="BQ33" s="398">
        <v>143</v>
      </c>
      <c r="BR33" s="398">
        <v>92</v>
      </c>
      <c r="BS33" s="398">
        <v>92</v>
      </c>
      <c r="BT33" s="398">
        <v>7</v>
      </c>
      <c r="BU33" s="398">
        <v>7</v>
      </c>
      <c r="BV33" s="398">
        <v>132</v>
      </c>
      <c r="BW33" s="398">
        <v>132</v>
      </c>
      <c r="BX33" s="398">
        <v>132</v>
      </c>
      <c r="BY33" s="398">
        <v>132</v>
      </c>
      <c r="BZ33" s="398">
        <v>132</v>
      </c>
      <c r="CA33" s="398">
        <v>132</v>
      </c>
      <c r="CB33" s="398">
        <v>132</v>
      </c>
      <c r="CC33" s="398">
        <v>61</v>
      </c>
      <c r="CD33" s="398">
        <v>0</v>
      </c>
      <c r="CE33" s="398">
        <v>0</v>
      </c>
      <c r="CF33" s="472">
        <v>0</v>
      </c>
      <c r="CG33" s="3712"/>
      <c r="CH33" s="3737" cm="1">
        <f t="array" ref="CH33">SUM(IF(ISNUMBER($AX33:$CF33),$AX33:$CF33, 0))</f>
        <v>2282</v>
      </c>
      <c r="CI33" s="573"/>
      <c r="CJ33" s="574"/>
      <c r="CK33" s="575"/>
    </row>
    <row r="34" spans="1:89" ht="46" customHeight="1">
      <c r="A34" s="2862"/>
      <c r="B34" s="2863"/>
      <c r="C34" s="296"/>
      <c r="D34" s="297"/>
      <c r="E34" s="302"/>
      <c r="F34" s="298"/>
      <c r="G34" s="2864"/>
      <c r="H34" s="2864"/>
      <c r="I34" s="2864">
        <v>0</v>
      </c>
      <c r="J34" s="2864">
        <v>0</v>
      </c>
      <c r="K34" s="2864">
        <v>0</v>
      </c>
      <c r="L34" s="2865"/>
      <c r="M34" s="2866"/>
      <c r="N34" s="2866"/>
      <c r="O34" s="2865"/>
      <c r="P34" s="2866"/>
      <c r="Q34" s="2866"/>
      <c r="R34" s="2866"/>
      <c r="S34" s="2866"/>
      <c r="T34" s="302"/>
      <c r="U34" s="296"/>
      <c r="V34" s="413" t="s">
        <v>2164</v>
      </c>
      <c r="W34" s="313" t="s">
        <v>2138</v>
      </c>
      <c r="X34" s="314">
        <v>71</v>
      </c>
      <c r="Y34" s="3307"/>
      <c r="Z34" s="3308" t="str">
        <f>IFERROR(VLOOKUP($V34,[53]競技情報DB!$A$6:$H$181,3,),"－")</f>
        <v>愛知県武道館</v>
      </c>
      <c r="AA34" s="3309"/>
      <c r="AB34" s="3310"/>
      <c r="AC34" s="3655" t="str">
        <f>IFERROR(VLOOKUP($V34,[53]アジア練習会場!$A$3:$E$107,2,),"－")</f>
        <v>親水公園総合体育館</v>
      </c>
      <c r="AD34" s="3656">
        <v>17.8</v>
      </c>
      <c r="AE34" s="3657">
        <v>28</v>
      </c>
      <c r="AF34" s="3655" t="str">
        <f>IFERROR(VLOOKUP($V34,[53]アジア練習会場!$A$3:$E$107,3,),"－")</f>
        <v>ー</v>
      </c>
      <c r="AG34" s="3656"/>
      <c r="AH34" s="3657"/>
      <c r="AI34" s="3658" t="str">
        <f>IFERROR(VLOOKUP($V34,[53]アジア練習会場!$A$3:$E$107,4,),"－")</f>
        <v>ー</v>
      </c>
      <c r="AJ34" s="3656"/>
      <c r="AK34" s="3657"/>
      <c r="AL34" s="3658" t="str">
        <f>IFERROR(VLOOKUP($V34,[53]アジア練習会場!$A$3:$E$107,5,),"－")</f>
        <v>ー</v>
      </c>
      <c r="AM34" s="3656"/>
      <c r="AN34" s="3659"/>
      <c r="AO34" s="3759"/>
      <c r="AP34" s="3759"/>
      <c r="AQ34" s="3760"/>
      <c r="AR34" s="3660"/>
      <c r="AS34" s="311"/>
      <c r="AT34" s="3661"/>
      <c r="AU34" s="3853"/>
      <c r="AV34" s="3853"/>
      <c r="AW34" s="3853"/>
      <c r="AX34" s="339"/>
      <c r="AY34" s="336"/>
      <c r="AZ34" s="336"/>
      <c r="BA34" s="336"/>
      <c r="BB34" s="336"/>
      <c r="BC34" s="336"/>
      <c r="BD34" s="336"/>
      <c r="BE34" s="336"/>
      <c r="BF34" s="336"/>
      <c r="BG34" s="336"/>
      <c r="BH34" s="336"/>
      <c r="BI34" s="336"/>
      <c r="BJ34" s="336"/>
      <c r="BK34" s="336"/>
      <c r="BL34" s="336"/>
      <c r="BM34" s="336"/>
      <c r="BN34" s="336"/>
      <c r="BO34" s="336"/>
      <c r="BP34" s="336"/>
      <c r="BQ34" s="336"/>
      <c r="BR34" s="336"/>
      <c r="BS34" s="336"/>
      <c r="BT34" s="336"/>
      <c r="BU34" s="336"/>
      <c r="BV34" s="336"/>
      <c r="BW34" s="336"/>
      <c r="BX34" s="336"/>
      <c r="BY34" s="336"/>
      <c r="BZ34" s="336"/>
      <c r="CA34" s="336"/>
      <c r="CB34" s="336"/>
      <c r="CC34" s="336"/>
      <c r="CD34" s="336"/>
      <c r="CE34" s="336"/>
      <c r="CF34" s="340"/>
      <c r="CG34" s="3712"/>
      <c r="CH34" s="3737"/>
      <c r="CI34" s="290"/>
      <c r="CJ34" s="332"/>
      <c r="CK34" s="333"/>
    </row>
    <row r="35" spans="1:89" ht="46" customHeight="1">
      <c r="A35" s="2862"/>
      <c r="B35" s="2863"/>
      <c r="C35" s="296"/>
      <c r="D35" s="297"/>
      <c r="E35" s="302"/>
      <c r="F35" s="298"/>
      <c r="G35" s="2864"/>
      <c r="H35" s="2864"/>
      <c r="I35" s="2864"/>
      <c r="J35" s="2864"/>
      <c r="K35" s="2864"/>
      <c r="L35" s="2865"/>
      <c r="M35" s="2866"/>
      <c r="N35" s="2866"/>
      <c r="O35" s="2865"/>
      <c r="P35" s="2866"/>
      <c r="Q35" s="2866"/>
      <c r="R35" s="2866"/>
      <c r="S35" s="2866"/>
      <c r="T35" s="302"/>
      <c r="U35" s="3723"/>
      <c r="V35" s="3314" t="s">
        <v>2162</v>
      </c>
      <c r="W35" s="459" t="s">
        <v>2138</v>
      </c>
      <c r="X35" s="460">
        <v>92</v>
      </c>
      <c r="Y35" s="6096"/>
      <c r="Z35" s="3374"/>
      <c r="AA35" s="3316"/>
      <c r="AB35" s="3317"/>
      <c r="AC35" s="3669"/>
      <c r="AD35" s="3653"/>
      <c r="AE35" s="3654"/>
      <c r="AF35" s="3669"/>
      <c r="AG35" s="3678"/>
      <c r="AH35" s="3679"/>
      <c r="AI35" s="3682"/>
      <c r="AJ35" s="3678"/>
      <c r="AK35" s="3679"/>
      <c r="AL35" s="3682"/>
      <c r="AM35" s="3678"/>
      <c r="AN35" s="3683"/>
      <c r="AO35" s="3759"/>
      <c r="AP35" s="3759"/>
      <c r="AQ35" s="3760"/>
      <c r="AR35" s="3660"/>
      <c r="AS35" s="311"/>
      <c r="AT35" s="3661"/>
      <c r="AU35" s="3853"/>
      <c r="AV35" s="3853"/>
      <c r="AW35" s="3853"/>
      <c r="AX35" s="339"/>
      <c r="AY35" s="336"/>
      <c r="AZ35" s="336"/>
      <c r="BA35" s="336"/>
      <c r="BB35" s="336"/>
      <c r="BC35" s="336"/>
      <c r="BD35" s="336"/>
      <c r="BE35" s="336"/>
      <c r="BF35" s="336"/>
      <c r="BG35" s="336"/>
      <c r="BH35" s="336"/>
      <c r="BI35" s="336"/>
      <c r="BJ35" s="336"/>
      <c r="BK35" s="336"/>
      <c r="BL35" s="336"/>
      <c r="BM35" s="336"/>
      <c r="BN35" s="336"/>
      <c r="BO35" s="336"/>
      <c r="BP35" s="336"/>
      <c r="BQ35" s="336"/>
      <c r="BR35" s="336"/>
      <c r="BS35" s="336"/>
      <c r="BT35" s="336"/>
      <c r="BU35" s="336"/>
      <c r="BV35" s="336"/>
      <c r="BW35" s="336"/>
      <c r="BX35" s="336"/>
      <c r="BY35" s="336"/>
      <c r="BZ35" s="336"/>
      <c r="CA35" s="336"/>
      <c r="CB35" s="336"/>
      <c r="CC35" s="336"/>
      <c r="CD35" s="336"/>
      <c r="CE35" s="336"/>
      <c r="CF35" s="340"/>
      <c r="CG35" s="3712"/>
      <c r="CH35" s="3737"/>
      <c r="CI35" s="290"/>
      <c r="CJ35" s="332"/>
      <c r="CK35" s="333"/>
    </row>
    <row r="36" spans="1:89" s="521" customFormat="1" ht="46" customHeight="1" thickBot="1">
      <c r="A36" s="2862"/>
      <c r="B36" s="2863"/>
      <c r="C36" s="420"/>
      <c r="D36" s="421" t="s">
        <v>2129</v>
      </c>
      <c r="E36" s="426"/>
      <c r="F36" s="612"/>
      <c r="G36" s="2875">
        <v>0</v>
      </c>
      <c r="H36" s="2875">
        <v>0</v>
      </c>
      <c r="I36" s="2875">
        <v>0</v>
      </c>
      <c r="J36" s="2875">
        <v>0</v>
      </c>
      <c r="K36" s="2875">
        <v>0</v>
      </c>
      <c r="L36" s="2877">
        <v>0</v>
      </c>
      <c r="M36" s="2878">
        <v>0</v>
      </c>
      <c r="N36" s="2878">
        <v>0</v>
      </c>
      <c r="O36" s="2877">
        <v>0</v>
      </c>
      <c r="P36" s="2878">
        <v>0</v>
      </c>
      <c r="Q36" s="2878">
        <v>0</v>
      </c>
      <c r="R36" s="2878">
        <v>0</v>
      </c>
      <c r="S36" s="2878">
        <v>0</v>
      </c>
      <c r="T36" s="302"/>
      <c r="U36" s="3361"/>
      <c r="V36" s="714" t="s">
        <v>2821</v>
      </c>
      <c r="W36" s="437" t="s">
        <v>2138</v>
      </c>
      <c r="X36" s="438">
        <v>51</v>
      </c>
      <c r="Y36" s="3362"/>
      <c r="Z36" s="3343" t="str">
        <f>IFERROR(VLOOKUP($V36,[53]競技情報DB!$A$6:$H$181,3,),"－")</f>
        <v>愛知県武道館</v>
      </c>
      <c r="AA36" s="3354"/>
      <c r="AB36" s="3355"/>
      <c r="AC36" s="3670" t="str">
        <f>IFERROR(VLOOKUP($V36,[53]アジア練習会場!$A$3:$E$107,2,),"－")</f>
        <v>－</v>
      </c>
      <c r="AD36" s="3646"/>
      <c r="AE36" s="3647"/>
      <c r="AF36" s="3670" t="str">
        <f>IFERROR(VLOOKUP($V36,[53]アジア練習会場!$A$3:$E$107,3,),"－")</f>
        <v>－</v>
      </c>
      <c r="AG36" s="3671"/>
      <c r="AH36" s="3672"/>
      <c r="AI36" s="3673" t="str">
        <f>IFERROR(VLOOKUP($V36,[53]アジア練習会場!$A$3:$E$107,4,),"－")</f>
        <v>－</v>
      </c>
      <c r="AJ36" s="3671"/>
      <c r="AK36" s="3672"/>
      <c r="AL36" s="3673" t="str">
        <f>IFERROR(VLOOKUP($V36,[53]アジア練習会場!$A$3:$E$107,5,),"－")</f>
        <v>－</v>
      </c>
      <c r="AM36" s="3671"/>
      <c r="AN36" s="3674"/>
      <c r="AO36" s="3755"/>
      <c r="AP36" s="3755"/>
      <c r="AQ36" s="3756"/>
      <c r="AR36" s="3650"/>
      <c r="AS36" s="652"/>
      <c r="AT36" s="3651"/>
      <c r="AU36" s="443"/>
      <c r="AV36" s="443"/>
      <c r="AW36" s="443"/>
      <c r="AX36" s="448"/>
      <c r="AY36" s="445"/>
      <c r="AZ36" s="445"/>
      <c r="BA36" s="445"/>
      <c r="BB36" s="445"/>
      <c r="BC36" s="445"/>
      <c r="BD36" s="445"/>
      <c r="BE36" s="445"/>
      <c r="BF36" s="445"/>
      <c r="BG36" s="445"/>
      <c r="BH36" s="445"/>
      <c r="BI36" s="445"/>
      <c r="BJ36" s="445"/>
      <c r="BK36" s="445"/>
      <c r="BL36" s="445"/>
      <c r="BM36" s="445"/>
      <c r="BN36" s="445"/>
      <c r="BO36" s="445"/>
      <c r="BP36" s="445"/>
      <c r="BQ36" s="445"/>
      <c r="BR36" s="445"/>
      <c r="BS36" s="445"/>
      <c r="BT36" s="445"/>
      <c r="BU36" s="445"/>
      <c r="BV36" s="445"/>
      <c r="BW36" s="445"/>
      <c r="BX36" s="445"/>
      <c r="BY36" s="336"/>
      <c r="BZ36" s="445"/>
      <c r="CA36" s="445"/>
      <c r="CB36" s="445"/>
      <c r="CC36" s="445"/>
      <c r="CD36" s="445"/>
      <c r="CE36" s="445"/>
      <c r="CF36" s="449"/>
      <c r="CG36" s="3712"/>
      <c r="CH36" s="3737"/>
      <c r="CI36" s="573"/>
      <c r="CJ36" s="614"/>
      <c r="CK36" s="615"/>
    </row>
    <row r="37" spans="1:89" ht="46" customHeight="1">
      <c r="A37" s="2862"/>
      <c r="B37" s="2863"/>
      <c r="C37" s="296">
        <f>C33+1</f>
        <v>14</v>
      </c>
      <c r="D37" s="297">
        <v>21</v>
      </c>
      <c r="E37" s="6246" t="s">
        <v>6955</v>
      </c>
      <c r="F37" s="298" t="s">
        <v>3522</v>
      </c>
      <c r="G37" s="2864" t="s">
        <v>3523</v>
      </c>
      <c r="H37" s="2864" t="s">
        <v>3524</v>
      </c>
      <c r="I37" s="2864" t="s">
        <v>3523</v>
      </c>
      <c r="J37" s="2864" t="s">
        <v>3524</v>
      </c>
      <c r="K37" s="2864">
        <v>51</v>
      </c>
      <c r="L37" s="2865" t="s">
        <v>3525</v>
      </c>
      <c r="M37" s="2866" t="s">
        <v>2167</v>
      </c>
      <c r="N37" s="2866" t="s">
        <v>2132</v>
      </c>
      <c r="O37" s="2865" t="s">
        <v>3526</v>
      </c>
      <c r="P37" s="2866" t="s">
        <v>2134</v>
      </c>
      <c r="Q37" s="2866" t="s">
        <v>2134</v>
      </c>
      <c r="R37" s="2866" t="s">
        <v>2134</v>
      </c>
      <c r="S37" s="2866" t="s">
        <v>2168</v>
      </c>
      <c r="T37" s="377" t="s">
        <v>2133</v>
      </c>
      <c r="U37" s="296" t="s">
        <v>2136</v>
      </c>
      <c r="V37" s="703" t="s">
        <v>2524</v>
      </c>
      <c r="W37" s="528" t="s">
        <v>2138</v>
      </c>
      <c r="X37" s="529">
        <v>39</v>
      </c>
      <c r="Y37" s="390">
        <f>SUM(X37:X38)</f>
        <v>39</v>
      </c>
      <c r="Z37" s="3350" t="str">
        <f>IFERROR(VLOOKUP($V37,[53]競技情報DB!$A$6:$H$181,3,),"－")</f>
        <v>安城市総合公園ソフトボール場</v>
      </c>
      <c r="AA37" s="3351"/>
      <c r="AB37" s="3352"/>
      <c r="AC37" s="3662" t="str">
        <f>IFERROR(VLOOKUP($V37,[53]アジア練習会場!$A$3:$E$107,2,),"－")</f>
        <v>競技会場に設置</v>
      </c>
      <c r="AD37" s="3663">
        <v>51.7</v>
      </c>
      <c r="AE37" s="3664">
        <v>67</v>
      </c>
      <c r="AF37" s="3662" t="str">
        <f>IFERROR(VLOOKUP($V37,[53]アジア練習会場!$A$3:$E$107,3,),"－")</f>
        <v>ー</v>
      </c>
      <c r="AG37" s="3663"/>
      <c r="AH37" s="3664"/>
      <c r="AI37" s="3665" t="str">
        <f>IFERROR(VLOOKUP($V37,[53]アジア練習会場!$A$3:$E$107,4,),"－")</f>
        <v>ー</v>
      </c>
      <c r="AJ37" s="3663"/>
      <c r="AK37" s="3664"/>
      <c r="AL37" s="3665" t="str">
        <f>IFERROR(VLOOKUP($V37,[53]アジア練習会場!$A$3:$E$107,5,),"－")</f>
        <v>ー</v>
      </c>
      <c r="AM37" s="3663"/>
      <c r="AN37" s="3666"/>
      <c r="AO37" s="3757" cm="1">
        <f t="array" ref="AO37">_xlfn.LET(
  _xlpm.rng, AX37:CF37,
  _xlpm.header, $AX$3:$CF$3,
  _xlpm.idx, _xlfn.XMATCH(TRUE, _xlpm.rng&lt;&gt;0),
  _xlpm.dt, INDEX(_xlpm.header, _xlpm.idx),
  IF(YEAR(_xlpm.dt)&lt;&gt;2026, DATE(2026, MONTH(_xlpm.dt), DAY(_xlpm.dt)), _xlpm.dt)
)</f>
        <v>46286</v>
      </c>
      <c r="AP37" s="3757" cm="1">
        <f t="array" ref="AP37">_xlfn.LET(
  _xlpm.rng, AX37:CF37,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37" s="3758">
        <f>AP37-AO37</f>
        <v>13</v>
      </c>
      <c r="AR37" s="3660">
        <f>$H37-MAX(AX37:CF37)</f>
        <v>35</v>
      </c>
      <c r="AS37" s="311">
        <f>+AR37/$H37</f>
        <v>0.47297297297297297</v>
      </c>
      <c r="AT37" s="3667" t="str">
        <f>F37&amp;"　"&amp;"合計"</f>
        <v>公立学校共済組合　名古屋宿泊所　ホテルルブラ王山　合計</v>
      </c>
      <c r="AU37" s="3854"/>
      <c r="AV37" s="3854"/>
      <c r="AW37" s="3854"/>
      <c r="AX37" s="496">
        <v>0</v>
      </c>
      <c r="AY37" s="494">
        <v>0</v>
      </c>
      <c r="AZ37" s="494">
        <v>0</v>
      </c>
      <c r="BA37" s="494">
        <v>0</v>
      </c>
      <c r="BB37" s="494">
        <v>0</v>
      </c>
      <c r="BC37" s="494">
        <v>0</v>
      </c>
      <c r="BD37" s="494">
        <v>0</v>
      </c>
      <c r="BE37" s="494">
        <v>0</v>
      </c>
      <c r="BF37" s="494">
        <v>0</v>
      </c>
      <c r="BG37" s="494">
        <v>0</v>
      </c>
      <c r="BH37" s="494">
        <v>0</v>
      </c>
      <c r="BI37" s="494">
        <v>0</v>
      </c>
      <c r="BJ37" s="494">
        <v>0</v>
      </c>
      <c r="BK37" s="494">
        <v>0</v>
      </c>
      <c r="BL37" s="494">
        <v>0</v>
      </c>
      <c r="BM37" s="494">
        <v>0</v>
      </c>
      <c r="BN37" s="494">
        <v>0</v>
      </c>
      <c r="BO37" s="494">
        <v>1</v>
      </c>
      <c r="BP37" s="494">
        <v>39</v>
      </c>
      <c r="BQ37" s="494">
        <v>39</v>
      </c>
      <c r="BR37" s="494">
        <v>39</v>
      </c>
      <c r="BS37" s="494">
        <v>39</v>
      </c>
      <c r="BT37" s="494">
        <v>39</v>
      </c>
      <c r="BU37" s="494">
        <v>39</v>
      </c>
      <c r="BV37" s="494">
        <v>39</v>
      </c>
      <c r="BW37" s="494">
        <v>39</v>
      </c>
      <c r="BX37" s="494">
        <v>39</v>
      </c>
      <c r="BY37" s="397">
        <v>39</v>
      </c>
      <c r="BZ37" s="494">
        <v>39</v>
      </c>
      <c r="CA37" s="494">
        <v>39</v>
      </c>
      <c r="CB37" s="494">
        <v>39</v>
      </c>
      <c r="CC37" s="494">
        <v>0</v>
      </c>
      <c r="CD37" s="494">
        <v>0</v>
      </c>
      <c r="CE37" s="494">
        <v>0</v>
      </c>
      <c r="CF37" s="499">
        <v>0</v>
      </c>
      <c r="CG37" s="3712"/>
      <c r="CH37" s="3737" cm="1">
        <f t="array" ref="CH37">SUM(IF(ISNUMBER($AX37:$CF37),$AX37:$CF37, 0))</f>
        <v>508</v>
      </c>
      <c r="CI37" s="290"/>
      <c r="CJ37" s="332"/>
      <c r="CK37" s="333"/>
    </row>
    <row r="38" spans="1:89" ht="46" customHeight="1">
      <c r="A38" s="2862"/>
      <c r="B38" s="2863"/>
      <c r="C38" s="420"/>
      <c r="D38" s="297" t="s">
        <v>2129</v>
      </c>
      <c r="E38" s="302"/>
      <c r="F38" s="298"/>
      <c r="G38" s="2864">
        <v>0</v>
      </c>
      <c r="H38" s="2864">
        <v>0</v>
      </c>
      <c r="I38" s="2864">
        <v>0</v>
      </c>
      <c r="J38" s="2864">
        <v>0</v>
      </c>
      <c r="K38" s="2864">
        <v>0</v>
      </c>
      <c r="L38" s="2865">
        <v>0</v>
      </c>
      <c r="M38" s="2866">
        <v>0</v>
      </c>
      <c r="N38" s="2866">
        <v>0</v>
      </c>
      <c r="O38" s="2865">
        <v>0</v>
      </c>
      <c r="P38" s="2866">
        <v>0</v>
      </c>
      <c r="Q38" s="2866">
        <v>0</v>
      </c>
      <c r="R38" s="2866">
        <v>0</v>
      </c>
      <c r="S38" s="2866">
        <v>0</v>
      </c>
      <c r="T38" s="302"/>
      <c r="U38" s="296"/>
      <c r="V38" s="3341"/>
      <c r="W38" s="478" t="s">
        <v>2134</v>
      </c>
      <c r="X38" s="479">
        <v>0</v>
      </c>
      <c r="Y38" s="3342"/>
      <c r="Z38" s="3343" t="str">
        <f>IFERROR(VLOOKUP($V38,[53]競技情報DB!$A$6:$H$181,3,),"－")</f>
        <v>－</v>
      </c>
      <c r="AA38" s="3354"/>
      <c r="AB38" s="3355"/>
      <c r="AC38" s="3670" t="str">
        <f>IFERROR(VLOOKUP($V38,[53]アジア練習会場!$A$3:$E$107,2,),"－")</f>
        <v>－</v>
      </c>
      <c r="AD38" s="3646"/>
      <c r="AE38" s="3647"/>
      <c r="AF38" s="3670" t="str">
        <f>IFERROR(VLOOKUP($V38,[53]アジア練習会場!$A$3:$E$107,3,),"－")</f>
        <v>－</v>
      </c>
      <c r="AG38" s="3671"/>
      <c r="AH38" s="3672"/>
      <c r="AI38" s="3673" t="str">
        <f>IFERROR(VLOOKUP($V38,[53]アジア練習会場!$A$3:$E$107,4,),"－")</f>
        <v>－</v>
      </c>
      <c r="AJ38" s="3671"/>
      <c r="AK38" s="3672"/>
      <c r="AL38" s="3673" t="str">
        <f>IFERROR(VLOOKUP($V38,[53]アジア練習会場!$A$3:$E$107,5,),"－")</f>
        <v>－</v>
      </c>
      <c r="AM38" s="3671"/>
      <c r="AN38" s="3674"/>
      <c r="AO38" s="3755"/>
      <c r="AP38" s="3755"/>
      <c r="AQ38" s="3756"/>
      <c r="AR38" s="3650"/>
      <c r="AS38" s="311"/>
      <c r="AT38" s="3685"/>
      <c r="AU38" s="3853"/>
      <c r="AV38" s="3853"/>
      <c r="AW38" s="3853"/>
      <c r="AX38" s="448"/>
      <c r="AY38" s="445"/>
      <c r="AZ38" s="445"/>
      <c r="BA38" s="445"/>
      <c r="BB38" s="445"/>
      <c r="BC38" s="445"/>
      <c r="BD38" s="445"/>
      <c r="BE38" s="445"/>
      <c r="BF38" s="445"/>
      <c r="BG38" s="445"/>
      <c r="BH38" s="445"/>
      <c r="BI38" s="445"/>
      <c r="BJ38" s="445"/>
      <c r="BK38" s="445"/>
      <c r="BL38" s="445"/>
      <c r="BM38" s="445"/>
      <c r="BN38" s="445"/>
      <c r="BO38" s="445"/>
      <c r="BP38" s="445"/>
      <c r="BQ38" s="445"/>
      <c r="BR38" s="445"/>
      <c r="BS38" s="445"/>
      <c r="BT38" s="445"/>
      <c r="BU38" s="445"/>
      <c r="BV38" s="445"/>
      <c r="BW38" s="445"/>
      <c r="BX38" s="445"/>
      <c r="BY38" s="445"/>
      <c r="BZ38" s="445"/>
      <c r="CA38" s="336"/>
      <c r="CB38" s="445"/>
      <c r="CC38" s="445"/>
      <c r="CD38" s="445"/>
      <c r="CE38" s="445"/>
      <c r="CF38" s="449"/>
      <c r="CG38" s="3712"/>
      <c r="CH38" s="3737"/>
      <c r="CI38" s="290"/>
      <c r="CJ38" s="332"/>
      <c r="CK38" s="333"/>
    </row>
    <row r="39" spans="1:89" ht="46" customHeight="1">
      <c r="A39" s="2862"/>
      <c r="B39" s="2863"/>
      <c r="C39" s="372">
        <f>C37+1</f>
        <v>15</v>
      </c>
      <c r="D39" s="2871">
        <v>130</v>
      </c>
      <c r="E39" s="6244" t="s">
        <v>6955</v>
      </c>
      <c r="F39" s="373" t="s">
        <v>3527</v>
      </c>
      <c r="G39" s="2872" t="s">
        <v>3528</v>
      </c>
      <c r="H39" s="2872" t="s">
        <v>3529</v>
      </c>
      <c r="I39" s="2872" t="s">
        <v>3480</v>
      </c>
      <c r="J39" s="2872" t="s">
        <v>3480</v>
      </c>
      <c r="K39" s="2872">
        <v>81</v>
      </c>
      <c r="L39" s="2873" t="s">
        <v>3481</v>
      </c>
      <c r="M39" s="2874" t="s">
        <v>2129</v>
      </c>
      <c r="N39" s="2874" t="s">
        <v>2129</v>
      </c>
      <c r="O39" s="2873" t="s">
        <v>2129</v>
      </c>
      <c r="P39" s="2874" t="s">
        <v>2129</v>
      </c>
      <c r="Q39" s="2874" t="s">
        <v>2129</v>
      </c>
      <c r="R39" s="2874" t="s">
        <v>2129</v>
      </c>
      <c r="S39" s="2874" t="s">
        <v>2129</v>
      </c>
      <c r="T39" s="377" t="s">
        <v>2133</v>
      </c>
      <c r="U39" s="372" t="s">
        <v>2136</v>
      </c>
      <c r="V39" s="387" t="s">
        <v>3530</v>
      </c>
      <c r="W39" s="388" t="s">
        <v>2138</v>
      </c>
      <c r="X39" s="389">
        <v>80</v>
      </c>
      <c r="Y39" s="390">
        <f>SUM(X39:X40)</f>
        <v>80</v>
      </c>
      <c r="Z39" s="3322" t="str">
        <f>IFERROR(VLOOKUP($V39,[53]競技情報DB!$A$6:$H$181,3,),"－")</f>
        <v>愛知県武道館</v>
      </c>
      <c r="AA39" s="3323"/>
      <c r="AB39" s="3324"/>
      <c r="AC39" s="3638" t="str">
        <f>IFERROR(VLOOKUP($V39,[53]アジア練習会場!$A$3:$E$107,2,),"－")</f>
        <v>甚目寺総合体育館or露橋スポーツセンター</v>
      </c>
      <c r="AD39" s="3639">
        <v>51.7</v>
      </c>
      <c r="AE39" s="3640">
        <v>67</v>
      </c>
      <c r="AF39" s="3638" t="str">
        <f>IFERROR(VLOOKUP($V39,[53]アジア練習会場!$A$3:$E$107,3,),"－")</f>
        <v>ー</v>
      </c>
      <c r="AG39" s="3639"/>
      <c r="AH39" s="3640"/>
      <c r="AI39" s="3641" t="str">
        <f>IFERROR(VLOOKUP($V39,[53]アジア練習会場!$A$3:$E$107,4,),"－")</f>
        <v>ー</v>
      </c>
      <c r="AJ39" s="3639"/>
      <c r="AK39" s="3640"/>
      <c r="AL39" s="3641" t="str">
        <f>IFERROR(VLOOKUP($V39,[53]アジア練習会場!$A$3:$E$107,5,),"－")</f>
        <v>ー</v>
      </c>
      <c r="AM39" s="3639"/>
      <c r="AN39" s="3642"/>
      <c r="AO39" s="3757" cm="1">
        <f t="array" ref="AO39">_xlfn.LET(
  _xlpm.rng, AX39:CF39,
  _xlpm.header, $AX$3:$CF$3,
  _xlpm.idx, _xlfn.XMATCH(TRUE, _xlpm.rng&lt;&gt;0),
  _xlpm.dt, INDEX(_xlpm.header, _xlpm.idx),
  IF(YEAR(_xlpm.dt)&lt;&gt;2026, DATE(2026, MONTH(_xlpm.dt), DAY(_xlpm.dt)), _xlpm.dt)
)</f>
        <v>46287</v>
      </c>
      <c r="AP39" s="3757" cm="1">
        <f t="array" ref="AP39">_xlfn.LET(
  _xlpm.rng, AX39:CF39,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39" s="3758">
        <f>AP39-AO39</f>
        <v>8</v>
      </c>
      <c r="AR39" s="3660">
        <f>$H39-MAX(AX39:CF39)</f>
        <v>131</v>
      </c>
      <c r="AS39" s="394">
        <f>+AR39/$H39</f>
        <v>0.62085308056872035</v>
      </c>
      <c r="AT39" s="3644" t="str">
        <f>F39&amp;"　"&amp;"合計"</f>
        <v>ホテル　シルク・トゥリー名古屋　合計</v>
      </c>
      <c r="AU39" s="395"/>
      <c r="AV39" s="395"/>
      <c r="AW39" s="395"/>
      <c r="AX39" s="696">
        <v>0</v>
      </c>
      <c r="AY39" s="398">
        <v>0</v>
      </c>
      <c r="AZ39" s="398">
        <v>0</v>
      </c>
      <c r="BA39" s="398">
        <v>0</v>
      </c>
      <c r="BB39" s="398">
        <v>0</v>
      </c>
      <c r="BC39" s="398">
        <v>0</v>
      </c>
      <c r="BD39" s="398">
        <v>0</v>
      </c>
      <c r="BE39" s="398">
        <v>0</v>
      </c>
      <c r="BF39" s="398">
        <v>0</v>
      </c>
      <c r="BG39" s="398">
        <v>0</v>
      </c>
      <c r="BH39" s="398">
        <v>0</v>
      </c>
      <c r="BI39" s="398">
        <v>0</v>
      </c>
      <c r="BJ39" s="398">
        <v>0</v>
      </c>
      <c r="BK39" s="398">
        <v>0</v>
      </c>
      <c r="BL39" s="398">
        <v>0</v>
      </c>
      <c r="BM39" s="398">
        <v>0</v>
      </c>
      <c r="BN39" s="398">
        <v>0</v>
      </c>
      <c r="BO39" s="398">
        <v>0</v>
      </c>
      <c r="BP39" s="398">
        <v>1</v>
      </c>
      <c r="BQ39" s="398">
        <v>1</v>
      </c>
      <c r="BR39" s="398">
        <v>80</v>
      </c>
      <c r="BS39" s="398">
        <v>80</v>
      </c>
      <c r="BT39" s="398">
        <v>80</v>
      </c>
      <c r="BU39" s="398">
        <v>80</v>
      </c>
      <c r="BV39" s="398">
        <v>80</v>
      </c>
      <c r="BW39" s="398">
        <v>80</v>
      </c>
      <c r="BX39" s="398">
        <v>80</v>
      </c>
      <c r="BY39" s="398">
        <v>0</v>
      </c>
      <c r="BZ39" s="398">
        <v>0</v>
      </c>
      <c r="CA39" s="398">
        <v>0</v>
      </c>
      <c r="CB39" s="398">
        <v>0</v>
      </c>
      <c r="CC39" s="398">
        <v>0</v>
      </c>
      <c r="CD39" s="398">
        <v>0</v>
      </c>
      <c r="CE39" s="398">
        <v>0</v>
      </c>
      <c r="CF39" s="472">
        <v>0</v>
      </c>
      <c r="CG39" s="3712"/>
      <c r="CH39" s="3737" cm="1">
        <f t="array" ref="CH39">SUM(IF(ISNUMBER($AX39:$CF39),$AX39:$CF39, 0))</f>
        <v>562</v>
      </c>
      <c r="CI39" s="290"/>
      <c r="CJ39" s="404"/>
      <c r="CK39" s="405"/>
    </row>
    <row r="40" spans="1:89" s="561" customFormat="1" ht="46" customHeight="1">
      <c r="A40" s="2862"/>
      <c r="B40" s="2863"/>
      <c r="C40" s="420"/>
      <c r="D40" s="421" t="s">
        <v>2129</v>
      </c>
      <c r="E40" s="426"/>
      <c r="F40" s="422"/>
      <c r="G40" s="2875">
        <v>0</v>
      </c>
      <c r="H40" s="2875">
        <v>0</v>
      </c>
      <c r="I40" s="2875">
        <v>0</v>
      </c>
      <c r="J40" s="3684"/>
      <c r="K40" s="2875">
        <v>0</v>
      </c>
      <c r="L40" s="2877">
        <v>0</v>
      </c>
      <c r="M40" s="2878">
        <v>0</v>
      </c>
      <c r="N40" s="2878">
        <v>0</v>
      </c>
      <c r="O40" s="2877">
        <v>0</v>
      </c>
      <c r="P40" s="2878">
        <v>0</v>
      </c>
      <c r="Q40" s="2878">
        <v>0</v>
      </c>
      <c r="R40" s="2878">
        <v>0</v>
      </c>
      <c r="S40" s="2878">
        <v>0</v>
      </c>
      <c r="T40" s="302"/>
      <c r="U40" s="420"/>
      <c r="V40" s="714"/>
      <c r="W40" s="437" t="s">
        <v>2134</v>
      </c>
      <c r="X40" s="438">
        <v>0</v>
      </c>
      <c r="Y40" s="3342"/>
      <c r="Z40" s="3353" t="str">
        <f>IFERROR(VLOOKUP($V40,[53]競技情報DB!$A$6:$H$181,3,),"－")</f>
        <v>－</v>
      </c>
      <c r="AA40" s="3354"/>
      <c r="AB40" s="3355"/>
      <c r="AC40" s="3645" t="str">
        <f>IFERROR(VLOOKUP($V40,[53]アジア練習会場!$A$3:$E$107,2,),"－")</f>
        <v>－</v>
      </c>
      <c r="AD40" s="3646"/>
      <c r="AE40" s="3647"/>
      <c r="AF40" s="3645" t="str">
        <f>IFERROR(VLOOKUP($V40,[53]アジア練習会場!$A$3:$E$107,3,),"－")</f>
        <v>－</v>
      </c>
      <c r="AG40" s="3646"/>
      <c r="AH40" s="3647"/>
      <c r="AI40" s="3648" t="str">
        <f>IFERROR(VLOOKUP($V40,[53]アジア練習会場!$A$3:$E$107,4,),"－")</f>
        <v>－</v>
      </c>
      <c r="AJ40" s="3646"/>
      <c r="AK40" s="3647"/>
      <c r="AL40" s="3648" t="str">
        <f>IFERROR(VLOOKUP($V40,[53]アジア練習会場!$A$3:$E$107,5,),"－")</f>
        <v>－</v>
      </c>
      <c r="AM40" s="3646"/>
      <c r="AN40" s="3649"/>
      <c r="AO40" s="3755"/>
      <c r="AP40" s="3755"/>
      <c r="AQ40" s="3756"/>
      <c r="AR40" s="3650"/>
      <c r="AS40" s="435"/>
      <c r="AT40" s="3651"/>
      <c r="AU40" s="443"/>
      <c r="AV40" s="443"/>
      <c r="AW40" s="443"/>
      <c r="AX40" s="448"/>
      <c r="AY40" s="445"/>
      <c r="AZ40" s="445"/>
      <c r="BA40" s="445"/>
      <c r="BB40" s="445"/>
      <c r="BC40" s="445"/>
      <c r="BD40" s="445"/>
      <c r="BE40" s="445"/>
      <c r="BF40" s="445"/>
      <c r="BG40" s="445"/>
      <c r="BH40" s="445"/>
      <c r="BI40" s="445"/>
      <c r="BJ40" s="445"/>
      <c r="BK40" s="445"/>
      <c r="BL40" s="445"/>
      <c r="BM40" s="445"/>
      <c r="BN40" s="445"/>
      <c r="BO40" s="445"/>
      <c r="BP40" s="445"/>
      <c r="BQ40" s="445"/>
      <c r="BR40" s="445"/>
      <c r="BS40" s="445"/>
      <c r="BT40" s="445"/>
      <c r="BU40" s="445"/>
      <c r="BV40" s="445"/>
      <c r="BW40" s="445"/>
      <c r="BX40" s="445"/>
      <c r="BY40" s="445"/>
      <c r="BZ40" s="445"/>
      <c r="CA40" s="445"/>
      <c r="CB40" s="445"/>
      <c r="CC40" s="445"/>
      <c r="CD40" s="445"/>
      <c r="CE40" s="445"/>
      <c r="CF40" s="449"/>
      <c r="CG40" s="3712"/>
      <c r="CH40" s="3737"/>
      <c r="CI40" s="290"/>
      <c r="CJ40" s="450"/>
      <c r="CK40" s="451"/>
    </row>
    <row r="41" spans="1:89" ht="46" customHeight="1">
      <c r="A41" s="2862"/>
      <c r="B41" s="2863"/>
      <c r="C41" s="372">
        <f>C39+1</f>
        <v>16</v>
      </c>
      <c r="D41" s="297">
        <v>64</v>
      </c>
      <c r="E41" s="6245" t="s">
        <v>6955</v>
      </c>
      <c r="F41" s="298" t="s">
        <v>6850</v>
      </c>
      <c r="G41" s="2864"/>
      <c r="H41" s="2864"/>
      <c r="I41" s="2864"/>
      <c r="J41" s="3668"/>
      <c r="K41" s="2864"/>
      <c r="L41" s="2865"/>
      <c r="M41" s="2866"/>
      <c r="N41" s="2866"/>
      <c r="O41" s="2865"/>
      <c r="P41" s="2866"/>
      <c r="Q41" s="2866"/>
      <c r="R41" s="2866"/>
      <c r="S41" s="2866"/>
      <c r="T41" s="302"/>
      <c r="U41" s="296"/>
      <c r="V41" s="387" t="s">
        <v>3531</v>
      </c>
      <c r="W41" s="388" t="s">
        <v>2138</v>
      </c>
      <c r="X41" s="389">
        <v>130</v>
      </c>
      <c r="Y41" s="390">
        <f>SUM(X41:X42)</f>
        <v>130</v>
      </c>
      <c r="Z41" s="3374"/>
      <c r="AA41" s="4393"/>
      <c r="AB41" s="4394"/>
      <c r="AC41" s="3669"/>
      <c r="AD41" s="3678"/>
      <c r="AE41" s="3679"/>
      <c r="AF41" s="3669"/>
      <c r="AG41" s="3678"/>
      <c r="AH41" s="3679"/>
      <c r="AI41" s="3682"/>
      <c r="AJ41" s="3678"/>
      <c r="AK41" s="3679"/>
      <c r="AL41" s="3682"/>
      <c r="AM41" s="3678"/>
      <c r="AN41" s="3683"/>
      <c r="AO41" s="3757" cm="1">
        <f t="array" ref="AO41">_xlfn.LET(
  _xlpm.rng, AX41:CF41,
  _xlpm.header, $AX$3:$CF$3,
  _xlpm.idx, _xlfn.XMATCH(TRUE, _xlpm.rng&lt;&gt;0),
  _xlpm.dt, INDEX(_xlpm.header, _xlpm.idx),
  IF(YEAR(_xlpm.dt)&lt;&gt;2026, DATE(2026, MONTH(_xlpm.dt), DAY(_xlpm.dt)), _xlpm.dt)
)</f>
        <v>46272</v>
      </c>
      <c r="AP41" s="3757" cm="1">
        <f t="array" ref="AP41">_xlfn.LET(
  _xlpm.rng, AX41:CF41,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41" s="3758">
        <f>AP41-AO41</f>
        <v>27</v>
      </c>
      <c r="AR41" s="3660"/>
      <c r="AS41" s="311"/>
      <c r="AT41" s="3661"/>
      <c r="AU41" s="3853"/>
      <c r="AV41" s="3853"/>
      <c r="AW41" s="3853"/>
      <c r="AX41" s="6094">
        <v>0</v>
      </c>
      <c r="AY41" s="2879">
        <v>0</v>
      </c>
      <c r="AZ41" s="2879">
        <v>0</v>
      </c>
      <c r="BA41" s="337">
        <v>10</v>
      </c>
      <c r="BB41" s="337">
        <v>10</v>
      </c>
      <c r="BC41" s="337">
        <v>44</v>
      </c>
      <c r="BD41" s="337">
        <v>130</v>
      </c>
      <c r="BE41" s="337">
        <v>124</v>
      </c>
      <c r="BF41" s="337">
        <v>118</v>
      </c>
      <c r="BG41" s="337">
        <v>125</v>
      </c>
      <c r="BH41" s="337">
        <v>125</v>
      </c>
      <c r="BI41" s="337">
        <v>125</v>
      </c>
      <c r="BJ41" s="337">
        <v>125</v>
      </c>
      <c r="BK41" s="337">
        <v>125</v>
      </c>
      <c r="BL41" s="337">
        <v>125</v>
      </c>
      <c r="BM41" s="337">
        <v>125</v>
      </c>
      <c r="BN41" s="337">
        <v>125</v>
      </c>
      <c r="BO41" s="337">
        <v>125</v>
      </c>
      <c r="BP41" s="337">
        <v>125</v>
      </c>
      <c r="BQ41" s="337">
        <v>125</v>
      </c>
      <c r="BR41" s="337">
        <v>125</v>
      </c>
      <c r="BS41" s="337">
        <v>88</v>
      </c>
      <c r="BT41" s="337">
        <v>88</v>
      </c>
      <c r="BU41" s="337">
        <v>71</v>
      </c>
      <c r="BV41" s="337">
        <v>65</v>
      </c>
      <c r="BW41" s="337">
        <v>65</v>
      </c>
      <c r="BX41" s="337">
        <v>65</v>
      </c>
      <c r="BY41" s="337">
        <v>60</v>
      </c>
      <c r="BZ41" s="337">
        <v>55</v>
      </c>
      <c r="CA41" s="337">
        <v>55</v>
      </c>
      <c r="CB41" s="337">
        <v>47</v>
      </c>
      <c r="CC41" s="337">
        <v>0</v>
      </c>
      <c r="CD41" s="337">
        <v>0</v>
      </c>
      <c r="CE41" s="337">
        <v>0</v>
      </c>
      <c r="CF41" s="340">
        <v>0</v>
      </c>
      <c r="CG41" s="3712"/>
      <c r="CH41" s="3738" cm="1">
        <f t="array" ref="CH41">SUM(IF(ISNUMBER($AX41:$CF41),$AX41:$CF41, 0))</f>
        <v>2595</v>
      </c>
      <c r="CI41" s="290"/>
      <c r="CJ41" s="332"/>
      <c r="CK41" s="333"/>
    </row>
    <row r="42" spans="1:89" ht="46" customHeight="1">
      <c r="A42" s="2862"/>
      <c r="B42" s="2863"/>
      <c r="C42" s="296"/>
      <c r="D42" s="297"/>
      <c r="E42" s="302"/>
      <c r="F42" s="298"/>
      <c r="G42" s="2864"/>
      <c r="H42" s="2864"/>
      <c r="I42" s="2864"/>
      <c r="J42" s="3668"/>
      <c r="K42" s="2864"/>
      <c r="L42" s="2865"/>
      <c r="M42" s="2866"/>
      <c r="N42" s="2866"/>
      <c r="O42" s="2865"/>
      <c r="P42" s="2866"/>
      <c r="Q42" s="2866"/>
      <c r="R42" s="2866"/>
      <c r="S42" s="2866"/>
      <c r="T42" s="302"/>
      <c r="U42" s="296"/>
      <c r="V42" s="3349"/>
      <c r="W42" s="487"/>
      <c r="X42" s="488"/>
      <c r="Y42" s="3307"/>
      <c r="Z42" s="3374"/>
      <c r="AA42" s="4393"/>
      <c r="AB42" s="4394"/>
      <c r="AC42" s="3669"/>
      <c r="AD42" s="3678"/>
      <c r="AE42" s="3679"/>
      <c r="AF42" s="3669"/>
      <c r="AG42" s="3678"/>
      <c r="AH42" s="3679"/>
      <c r="AI42" s="3682"/>
      <c r="AJ42" s="3678"/>
      <c r="AK42" s="3679"/>
      <c r="AL42" s="3682"/>
      <c r="AM42" s="3678"/>
      <c r="AN42" s="3683"/>
      <c r="AO42" s="3759"/>
      <c r="AP42" s="3759"/>
      <c r="AQ42" s="3760"/>
      <c r="AR42" s="3660"/>
      <c r="AS42" s="311"/>
      <c r="AT42" s="3661"/>
      <c r="AU42" s="3853"/>
      <c r="AV42" s="3853"/>
      <c r="AW42" s="3853"/>
      <c r="AX42" s="6100"/>
      <c r="AY42" s="519"/>
      <c r="AZ42" s="519"/>
      <c r="BA42" s="519"/>
      <c r="BB42" s="519"/>
      <c r="BC42" s="519"/>
      <c r="BD42" s="519"/>
      <c r="BE42" s="519"/>
      <c r="BF42" s="519"/>
      <c r="BG42" s="519"/>
      <c r="BH42" s="519"/>
      <c r="BI42" s="519"/>
      <c r="BJ42" s="519"/>
      <c r="BK42" s="519"/>
      <c r="BL42" s="519"/>
      <c r="BM42" s="519"/>
      <c r="BN42" s="519"/>
      <c r="BO42" s="519"/>
      <c r="BP42" s="519"/>
      <c r="BQ42" s="519"/>
      <c r="BR42" s="519"/>
      <c r="BS42" s="519"/>
      <c r="BT42" s="519"/>
      <c r="BU42" s="519"/>
      <c r="BV42" s="519"/>
      <c r="BW42" s="519"/>
      <c r="BX42" s="519"/>
      <c r="BY42" s="519"/>
      <c r="BZ42" s="519"/>
      <c r="CA42" s="519"/>
      <c r="CB42" s="519"/>
      <c r="CC42" s="519"/>
      <c r="CD42" s="519"/>
      <c r="CE42" s="519"/>
      <c r="CF42" s="520"/>
      <c r="CG42" s="3712"/>
      <c r="CH42" s="3737"/>
      <c r="CI42" s="290"/>
      <c r="CJ42" s="332"/>
      <c r="CK42" s="333"/>
    </row>
    <row r="43" spans="1:89" ht="46" customHeight="1">
      <c r="A43" s="2862"/>
      <c r="B43" s="2863"/>
      <c r="C43" s="372">
        <f>C41+1</f>
        <v>17</v>
      </c>
      <c r="D43" s="2871">
        <v>1037</v>
      </c>
      <c r="E43" s="6244" t="s">
        <v>6955</v>
      </c>
      <c r="F43" s="373" t="s">
        <v>3532</v>
      </c>
      <c r="G43" s="2872" t="s">
        <v>3533</v>
      </c>
      <c r="H43" s="2872" t="s">
        <v>3534</v>
      </c>
      <c r="I43" s="2872" t="s">
        <v>2129</v>
      </c>
      <c r="J43" s="2872" t="s">
        <v>2129</v>
      </c>
      <c r="K43" s="2872">
        <v>27</v>
      </c>
      <c r="L43" s="2873" t="s">
        <v>2129</v>
      </c>
      <c r="M43" s="2874" t="s">
        <v>2245</v>
      </c>
      <c r="N43" s="2874" t="s">
        <v>2129</v>
      </c>
      <c r="O43" s="2873" t="s">
        <v>2129</v>
      </c>
      <c r="P43" s="2874" t="s">
        <v>2129</v>
      </c>
      <c r="Q43" s="2874" t="s">
        <v>2129</v>
      </c>
      <c r="R43" s="2874" t="s">
        <v>2129</v>
      </c>
      <c r="S43" s="2874" t="s">
        <v>2129</v>
      </c>
      <c r="T43" s="377" t="s">
        <v>2133</v>
      </c>
      <c r="U43" s="372" t="s">
        <v>2136</v>
      </c>
      <c r="V43" s="387" t="s">
        <v>2375</v>
      </c>
      <c r="W43" s="388" t="s">
        <v>6852</v>
      </c>
      <c r="X43" s="389">
        <v>62</v>
      </c>
      <c r="Y43" s="3321">
        <f>SUM(X43:X45)</f>
        <v>151</v>
      </c>
      <c r="Z43" s="3322" t="str">
        <f>IFERROR(VLOOKUP($V43,[53]競技情報DB!$A$6:$H$181,3,),"－")</f>
        <v>岡崎市中央総合公園総合体育館</v>
      </c>
      <c r="AA43" s="3323"/>
      <c r="AB43" s="3324"/>
      <c r="AC43" s="3638" t="str">
        <f>IFERROR(VLOOKUP($V43,[53]アジア練習会場!$A$3:$E$107,2,),"－")</f>
        <v>愛知県農協体育館</v>
      </c>
      <c r="AD43" s="3639">
        <v>16</v>
      </c>
      <c r="AE43" s="3640">
        <v>22</v>
      </c>
      <c r="AF43" s="3638" t="str">
        <f>IFERROR(VLOOKUP($V43,[53]アジア練習会場!$A$3:$E$107,3,),"－")</f>
        <v>トヨタスポーツセンター第二体育館</v>
      </c>
      <c r="AG43" s="3639"/>
      <c r="AH43" s="3640"/>
      <c r="AI43" s="3641" t="str">
        <f>IFERROR(VLOOKUP($V43,[53]アジア練習会場!$A$3:$E$107,4,),"－")</f>
        <v>ー</v>
      </c>
      <c r="AJ43" s="3639"/>
      <c r="AK43" s="3640"/>
      <c r="AL43" s="3641" t="str">
        <f>IFERROR(VLOOKUP($V43,[53]アジア練習会場!$A$3:$E$107,5,),"－")</f>
        <v>ー</v>
      </c>
      <c r="AM43" s="3639"/>
      <c r="AN43" s="3642"/>
      <c r="AO43" s="3757" cm="1">
        <f t="array" ref="AO43">_xlfn.LET(
  _xlpm.rng, AX43:CF43,
  _xlpm.header, $AX$3:$CF$3,
  _xlpm.idx, _xlfn.XMATCH(TRUE, _xlpm.rng&lt;&gt;0),
  _xlpm.dt, INDEX(_xlpm.header, _xlpm.idx),
  IF(YEAR(_xlpm.dt)&lt;&gt;2026, DATE(2026, MONTH(_xlpm.dt), DAY(_xlpm.dt)), _xlpm.dt)
)</f>
        <v>46275</v>
      </c>
      <c r="AP43" s="3757" cm="1">
        <f t="array" ref="AP43">_xlfn.LET(
  _xlpm.rng, AX43:CF43,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46300</v>
      </c>
      <c r="AQ43" s="3758">
        <f>AP43-AO43</f>
        <v>25</v>
      </c>
      <c r="AR43" s="3643">
        <f>$H43-MAX(AX43:CF43)</f>
        <v>140</v>
      </c>
      <c r="AS43" s="394">
        <f>+AR43/$H43</f>
        <v>0.48109965635738833</v>
      </c>
      <c r="AT43" s="3644" t="str">
        <f>F43&amp;"　"&amp;"合計"</f>
        <v>ホテルルートインGrand名古屋藤が丘　合計</v>
      </c>
      <c r="AU43" s="395"/>
      <c r="AV43" s="395"/>
      <c r="AW43" s="395"/>
      <c r="AX43" s="696">
        <v>0</v>
      </c>
      <c r="AY43" s="398">
        <v>0</v>
      </c>
      <c r="AZ43" s="398">
        <v>0</v>
      </c>
      <c r="BA43" s="398">
        <v>0</v>
      </c>
      <c r="BB43" s="398">
        <v>0</v>
      </c>
      <c r="BC43" s="398">
        <v>0</v>
      </c>
      <c r="BD43" s="398">
        <v>1</v>
      </c>
      <c r="BE43" s="398">
        <v>2</v>
      </c>
      <c r="BF43" s="398">
        <v>27</v>
      </c>
      <c r="BG43" s="398">
        <v>151</v>
      </c>
      <c r="BH43" s="398">
        <v>151</v>
      </c>
      <c r="BI43" s="398">
        <v>151</v>
      </c>
      <c r="BJ43" s="398">
        <v>151</v>
      </c>
      <c r="BK43" s="398">
        <v>151</v>
      </c>
      <c r="BL43" s="398">
        <v>151</v>
      </c>
      <c r="BM43" s="398">
        <v>151</v>
      </c>
      <c r="BN43" s="398">
        <v>151</v>
      </c>
      <c r="BO43" s="398">
        <v>151</v>
      </c>
      <c r="BP43" s="398">
        <v>151</v>
      </c>
      <c r="BQ43" s="398">
        <v>151</v>
      </c>
      <c r="BR43" s="398">
        <v>151</v>
      </c>
      <c r="BS43" s="398">
        <v>151</v>
      </c>
      <c r="BT43" s="398">
        <v>151</v>
      </c>
      <c r="BU43" s="398">
        <v>151</v>
      </c>
      <c r="BV43" s="398">
        <v>151</v>
      </c>
      <c r="BW43" s="398">
        <v>151</v>
      </c>
      <c r="BX43" s="398">
        <v>151</v>
      </c>
      <c r="BY43" s="397">
        <v>151</v>
      </c>
      <c r="BZ43" s="397">
        <v>151</v>
      </c>
      <c r="CA43" s="494">
        <v>151</v>
      </c>
      <c r="CB43" s="494">
        <v>151</v>
      </c>
      <c r="CC43" s="494">
        <v>125</v>
      </c>
      <c r="CD43" s="494">
        <v>0</v>
      </c>
      <c r="CE43" s="494">
        <v>0</v>
      </c>
      <c r="CF43" s="499">
        <v>0</v>
      </c>
      <c r="CG43" s="3712"/>
      <c r="CH43" s="3737" cm="1">
        <f t="array" ref="CH43">SUM(IF(ISNUMBER($AX43:$CF43),$AX43:$CF43, 0))</f>
        <v>3477</v>
      </c>
      <c r="CI43" s="290"/>
      <c r="CJ43" s="332"/>
      <c r="CK43" s="333"/>
    </row>
    <row r="44" spans="1:89" ht="46" customHeight="1">
      <c r="A44" s="2862"/>
      <c r="B44" s="2863"/>
      <c r="C44" s="296"/>
      <c r="D44" s="297"/>
      <c r="E44" s="302"/>
      <c r="F44" s="298"/>
      <c r="G44" s="2864"/>
      <c r="H44" s="2864"/>
      <c r="I44" s="2864"/>
      <c r="J44" s="2864"/>
      <c r="K44" s="2864"/>
      <c r="L44" s="2865"/>
      <c r="M44" s="2866"/>
      <c r="N44" s="2866"/>
      <c r="O44" s="2865"/>
      <c r="P44" s="2866"/>
      <c r="Q44" s="2866"/>
      <c r="R44" s="2866"/>
      <c r="S44" s="2866"/>
      <c r="T44" s="302"/>
      <c r="U44" s="296"/>
      <c r="V44" s="3349" t="s">
        <v>6853</v>
      </c>
      <c r="W44" s="487" t="s">
        <v>6852</v>
      </c>
      <c r="X44" s="488">
        <v>63</v>
      </c>
      <c r="Y44" s="3307"/>
      <c r="Z44" s="3374"/>
      <c r="AA44" s="4393"/>
      <c r="AB44" s="4394"/>
      <c r="AC44" s="3669"/>
      <c r="AD44" s="3678"/>
      <c r="AE44" s="3679"/>
      <c r="AF44" s="3669"/>
      <c r="AG44" s="3678"/>
      <c r="AH44" s="3679"/>
      <c r="AI44" s="3682"/>
      <c r="AJ44" s="3678"/>
      <c r="AK44" s="3679"/>
      <c r="AL44" s="3682"/>
      <c r="AM44" s="3678"/>
      <c r="AN44" s="3683"/>
      <c r="AO44" s="3905"/>
      <c r="AP44" s="3905"/>
      <c r="AQ44" s="3906"/>
      <c r="AR44" s="3660"/>
      <c r="AS44" s="311"/>
      <c r="AT44" s="3661"/>
      <c r="AU44" s="3853"/>
      <c r="AV44" s="3853"/>
      <c r="AW44" s="3853"/>
      <c r="AX44" s="3712"/>
      <c r="AY44" s="337"/>
      <c r="AZ44" s="337"/>
      <c r="BA44" s="337"/>
      <c r="BB44" s="337"/>
      <c r="BC44" s="337"/>
      <c r="BD44" s="337"/>
      <c r="BE44" s="337"/>
      <c r="BF44" s="337"/>
      <c r="BG44" s="337"/>
      <c r="BH44" s="337"/>
      <c r="BI44" s="337"/>
      <c r="BJ44" s="337"/>
      <c r="BK44" s="337"/>
      <c r="BL44" s="337"/>
      <c r="BM44" s="337"/>
      <c r="BN44" s="337"/>
      <c r="BO44" s="337"/>
      <c r="BP44" s="337"/>
      <c r="BQ44" s="337"/>
      <c r="BR44" s="337"/>
      <c r="BS44" s="337"/>
      <c r="BT44" s="337"/>
      <c r="BU44" s="337"/>
      <c r="BV44" s="337"/>
      <c r="BW44" s="337"/>
      <c r="BX44" s="337"/>
      <c r="BY44" s="336"/>
      <c r="BZ44" s="336"/>
      <c r="CA44" s="337"/>
      <c r="CB44" s="337"/>
      <c r="CC44" s="337"/>
      <c r="CD44" s="337"/>
      <c r="CE44" s="337"/>
      <c r="CF44" s="340"/>
      <c r="CG44" s="3712"/>
      <c r="CH44" s="3737"/>
      <c r="CI44" s="290"/>
      <c r="CJ44" s="332"/>
      <c r="CK44" s="333"/>
    </row>
    <row r="45" spans="1:89" ht="46" customHeight="1" thickBot="1">
      <c r="A45" s="3686"/>
      <c r="B45" s="2867"/>
      <c r="C45" s="343"/>
      <c r="D45" s="344" t="s">
        <v>2129</v>
      </c>
      <c r="E45" s="349"/>
      <c r="F45" s="345"/>
      <c r="G45" s="2868">
        <v>0</v>
      </c>
      <c r="H45" s="2868">
        <v>0</v>
      </c>
      <c r="I45" s="2868">
        <v>0</v>
      </c>
      <c r="J45" s="2868">
        <v>0</v>
      </c>
      <c r="K45" s="2868">
        <v>0</v>
      </c>
      <c r="L45" s="2869">
        <v>0</v>
      </c>
      <c r="M45" s="2870">
        <v>0</v>
      </c>
      <c r="N45" s="2870">
        <v>0</v>
      </c>
      <c r="O45" s="2869">
        <v>0</v>
      </c>
      <c r="P45" s="2870">
        <v>0</v>
      </c>
      <c r="Q45" s="2870">
        <v>0</v>
      </c>
      <c r="R45" s="2870">
        <v>0</v>
      </c>
      <c r="S45" s="2870">
        <v>0</v>
      </c>
      <c r="T45" s="349"/>
      <c r="U45" s="343"/>
      <c r="V45" s="3687" t="s">
        <v>6851</v>
      </c>
      <c r="W45" s="583" t="s">
        <v>2823</v>
      </c>
      <c r="X45" s="584">
        <v>26</v>
      </c>
      <c r="Y45" s="3332"/>
      <c r="Z45" s="3688" t="str">
        <f>IFERROR(VLOOKUP($V45,[53]競技情報DB!$A$6:$H$181,3,),"－")</f>
        <v>口論義運動公園</v>
      </c>
      <c r="AA45" s="3334"/>
      <c r="AB45" s="3335"/>
      <c r="AC45" s="3689" t="str">
        <f>IFERROR(VLOOKUP($V45,[53]アジア練習会場!$A$3:$E$107,2,),"－")</f>
        <v>－</v>
      </c>
      <c r="AD45" s="3690"/>
      <c r="AE45" s="3691"/>
      <c r="AF45" s="3689" t="str">
        <f>IFERROR(VLOOKUP($V45,[53]アジア練習会場!$A$3:$E$107,3,),"－")</f>
        <v>－</v>
      </c>
      <c r="AG45" s="3692"/>
      <c r="AH45" s="3693"/>
      <c r="AI45" s="3694" t="str">
        <f>IFERROR(VLOOKUP($V45,[53]アジア練習会場!$A$3:$E$107,4,),"－")</f>
        <v>－</v>
      </c>
      <c r="AJ45" s="3692"/>
      <c r="AK45" s="3693"/>
      <c r="AL45" s="3694" t="str">
        <f>IFERROR(VLOOKUP($V45,[53]アジア練習会場!$A$3:$E$107,5,),"－")</f>
        <v>－</v>
      </c>
      <c r="AM45" s="3692"/>
      <c r="AN45" s="3695"/>
      <c r="AO45" s="3761"/>
      <c r="AP45" s="3761"/>
      <c r="AQ45" s="3762"/>
      <c r="AR45" s="3696"/>
      <c r="AS45" s="358"/>
      <c r="AT45" s="3697"/>
      <c r="AU45" s="3855"/>
      <c r="AV45" s="3855"/>
      <c r="AW45" s="3855"/>
      <c r="AX45" s="3698"/>
      <c r="AY45" s="368"/>
      <c r="AZ45" s="368"/>
      <c r="BA45" s="368"/>
      <c r="BB45" s="368"/>
      <c r="BC45" s="368"/>
      <c r="BD45" s="368"/>
      <c r="BE45" s="368"/>
      <c r="BF45" s="368"/>
      <c r="BG45" s="368"/>
      <c r="BH45" s="368"/>
      <c r="BI45" s="368"/>
      <c r="BJ45" s="368"/>
      <c r="BK45" s="368"/>
      <c r="BL45" s="368"/>
      <c r="BM45" s="368"/>
      <c r="BN45" s="368"/>
      <c r="BO45" s="368"/>
      <c r="BP45" s="368"/>
      <c r="BQ45" s="368"/>
      <c r="BR45" s="368"/>
      <c r="BS45" s="368"/>
      <c r="BT45" s="368"/>
      <c r="BU45" s="368"/>
      <c r="BV45" s="368"/>
      <c r="BW45" s="368"/>
      <c r="BX45" s="368"/>
      <c r="BY45" s="368"/>
      <c r="BZ45" s="368"/>
      <c r="CA45" s="368"/>
      <c r="CB45" s="368"/>
      <c r="CC45" s="368"/>
      <c r="CD45" s="368"/>
      <c r="CE45" s="368"/>
      <c r="CF45" s="369"/>
      <c r="CG45" s="3712"/>
      <c r="CH45" s="3737"/>
      <c r="CI45" s="290"/>
      <c r="CJ45" s="332"/>
      <c r="CK45" s="333"/>
    </row>
    <row r="46" spans="1:89" ht="46" customHeight="1">
      <c r="A46" s="2862" t="s">
        <v>2466</v>
      </c>
      <c r="B46" s="2863" t="s">
        <v>4</v>
      </c>
      <c r="C46" s="296">
        <f>C43+1</f>
        <v>18</v>
      </c>
      <c r="D46" s="297">
        <v>4</v>
      </c>
      <c r="E46" s="6246" t="s">
        <v>6955</v>
      </c>
      <c r="F46" s="298" t="s">
        <v>3535</v>
      </c>
      <c r="G46" s="2864" t="s">
        <v>3536</v>
      </c>
      <c r="H46" s="2864" t="s">
        <v>3536</v>
      </c>
      <c r="I46" s="2864" t="s">
        <v>3509</v>
      </c>
      <c r="J46" s="2864" t="s">
        <v>3509</v>
      </c>
      <c r="K46" s="2864">
        <v>101</v>
      </c>
      <c r="L46" s="2865" t="s">
        <v>2854</v>
      </c>
      <c r="M46" s="2866" t="s">
        <v>2245</v>
      </c>
      <c r="N46" s="2866" t="s">
        <v>2229</v>
      </c>
      <c r="O46" s="2865" t="s">
        <v>3537</v>
      </c>
      <c r="P46" s="2866" t="s">
        <v>2134</v>
      </c>
      <c r="Q46" s="2866" t="s">
        <v>2134</v>
      </c>
      <c r="R46" s="2866" t="s">
        <v>2133</v>
      </c>
      <c r="S46" s="2866" t="s">
        <v>3538</v>
      </c>
      <c r="T46" s="302" t="s">
        <v>2133</v>
      </c>
      <c r="U46" s="296" t="s">
        <v>2136</v>
      </c>
      <c r="V46" s="703" t="s">
        <v>2178</v>
      </c>
      <c r="W46" s="528" t="s">
        <v>2179</v>
      </c>
      <c r="X46" s="529">
        <v>90</v>
      </c>
      <c r="Y46" s="3307">
        <f>SUM(X46:X48)</f>
        <v>90</v>
      </c>
      <c r="Z46" s="3350" t="str">
        <f>IFERROR(VLOOKUP($V46,[53]競技情報DB!$A$6:$H$181,3,),"－")</f>
        <v>一宮市総合体育館</v>
      </c>
      <c r="AA46" s="3351"/>
      <c r="AB46" s="3352"/>
      <c r="AC46" s="3662" t="str">
        <f>IFERROR(VLOOKUP($V46,[53]アジア練習会場!$A$3:$E$107,2,),"－")</f>
        <v>－</v>
      </c>
      <c r="AD46" s="3663">
        <v>0.9</v>
      </c>
      <c r="AE46" s="3664">
        <v>4</v>
      </c>
      <c r="AF46" s="3662" t="str">
        <f>IFERROR(VLOOKUP($V46,[53]アジア練習会場!$A$3:$E$107,3,),"－")</f>
        <v>－</v>
      </c>
      <c r="AG46" s="3663"/>
      <c r="AH46" s="3664"/>
      <c r="AI46" s="3665" t="str">
        <f>IFERROR(VLOOKUP($V46,[53]アジア練習会場!$A$3:$E$107,4,),"－")</f>
        <v>－</v>
      </c>
      <c r="AJ46" s="3663"/>
      <c r="AK46" s="3664"/>
      <c r="AL46" s="3665" t="str">
        <f>IFERROR(VLOOKUP($V46,[53]アジア練習会場!$A$3:$E$107,5,),"－")</f>
        <v>－</v>
      </c>
      <c r="AM46" s="3663"/>
      <c r="AN46" s="3666"/>
      <c r="AO46" s="3757" cm="1">
        <f t="array" ref="AO46">_xlfn.LET(
  _xlpm.rng, AX46:CF46,
  _xlpm.header, $AX$3:$CF$3,
  _xlpm.idx, _xlfn.XMATCH(TRUE, _xlpm.rng&lt;&gt;0),
  _xlpm.dt, INDEX(_xlpm.header, _xlpm.idx),
  IF(YEAR(_xlpm.dt)&lt;&gt;2026, DATE(2026, MONTH(_xlpm.dt), DAY(_xlpm.dt)), _xlpm.dt)
)</f>
        <v>46280</v>
      </c>
      <c r="AP46" s="3757" cm="1">
        <f t="array" ref="AP46">_xlfn.LET(
  _xlpm.rng, AX46:CF46,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46" s="3758">
        <f>AP46-AO46</f>
        <v>15</v>
      </c>
      <c r="AR46" s="3660">
        <f>$H46-MAX(AX46:CF46)</f>
        <v>59</v>
      </c>
      <c r="AS46" s="311">
        <f>+AR46/$H46</f>
        <v>0.39597315436241609</v>
      </c>
      <c r="AT46" s="3667" t="str">
        <f>F46&amp;"　"&amp;"合計"</f>
        <v>ホテル　ルートイン一宮駅前　合計</v>
      </c>
      <c r="AU46" s="3854"/>
      <c r="AV46" s="3854"/>
      <c r="AW46" s="3854"/>
      <c r="AX46" s="496">
        <v>0</v>
      </c>
      <c r="AY46" s="494">
        <v>0</v>
      </c>
      <c r="AZ46" s="494">
        <v>0</v>
      </c>
      <c r="BA46" s="494">
        <v>0</v>
      </c>
      <c r="BB46" s="494">
        <v>0</v>
      </c>
      <c r="BC46" s="494">
        <v>0</v>
      </c>
      <c r="BD46" s="494">
        <v>0</v>
      </c>
      <c r="BE46" s="494">
        <v>0</v>
      </c>
      <c r="BF46" s="494">
        <v>0</v>
      </c>
      <c r="BG46" s="494">
        <v>0</v>
      </c>
      <c r="BH46" s="494">
        <v>0</v>
      </c>
      <c r="BI46" s="494">
        <v>1</v>
      </c>
      <c r="BJ46" s="494">
        <v>1</v>
      </c>
      <c r="BK46" s="494">
        <v>90</v>
      </c>
      <c r="BL46" s="494">
        <v>90</v>
      </c>
      <c r="BM46" s="494">
        <v>90</v>
      </c>
      <c r="BN46" s="494">
        <v>90</v>
      </c>
      <c r="BO46" s="494">
        <v>90</v>
      </c>
      <c r="BP46" s="494">
        <v>90</v>
      </c>
      <c r="BQ46" s="494">
        <v>90</v>
      </c>
      <c r="BR46" s="494">
        <v>90</v>
      </c>
      <c r="BS46" s="494">
        <v>90</v>
      </c>
      <c r="BT46" s="494">
        <v>90</v>
      </c>
      <c r="BU46" s="494">
        <v>90</v>
      </c>
      <c r="BV46" s="494">
        <v>90</v>
      </c>
      <c r="BW46" s="494">
        <v>90</v>
      </c>
      <c r="BX46" s="494">
        <v>90</v>
      </c>
      <c r="BY46" s="494">
        <v>0</v>
      </c>
      <c r="BZ46" s="494">
        <v>0</v>
      </c>
      <c r="CA46" s="494">
        <v>0</v>
      </c>
      <c r="CB46" s="494">
        <v>0</v>
      </c>
      <c r="CC46" s="494">
        <v>0</v>
      </c>
      <c r="CD46" s="494">
        <v>0</v>
      </c>
      <c r="CE46" s="494">
        <v>0</v>
      </c>
      <c r="CF46" s="499">
        <v>0</v>
      </c>
      <c r="CG46" s="3712"/>
      <c r="CH46" s="3737" cm="1">
        <f t="array" ref="CH46">SUM(IF(ISNUMBER($AX46:$CF46),$AX46:$CF46, 0))</f>
        <v>1262</v>
      </c>
      <c r="CI46" s="290"/>
      <c r="CJ46" s="404"/>
      <c r="CK46" s="405"/>
    </row>
    <row r="47" spans="1:89" ht="46" customHeight="1">
      <c r="A47" s="2862"/>
      <c r="B47" s="2863"/>
      <c r="C47" s="296"/>
      <c r="D47" s="297"/>
      <c r="E47" s="302"/>
      <c r="F47" s="298"/>
      <c r="G47" s="2864"/>
      <c r="H47" s="2864"/>
      <c r="I47" s="2864">
        <v>0</v>
      </c>
      <c r="J47" s="2864" t="s">
        <v>3539</v>
      </c>
      <c r="K47" s="2864">
        <v>0</v>
      </c>
      <c r="L47" s="2865"/>
      <c r="M47" s="2866"/>
      <c r="N47" s="2866"/>
      <c r="O47" s="2865"/>
      <c r="P47" s="2866"/>
      <c r="Q47" s="2866"/>
      <c r="R47" s="2866"/>
      <c r="S47" s="2866"/>
      <c r="T47" s="302" t="s">
        <v>2129</v>
      </c>
      <c r="U47" s="296"/>
      <c r="V47" s="413"/>
      <c r="W47" s="313" t="s">
        <v>2134</v>
      </c>
      <c r="X47" s="314">
        <v>0</v>
      </c>
      <c r="Y47" s="315"/>
      <c r="Z47" s="3308" t="str">
        <f>IFERROR(VLOOKUP($V47,[53]競技情報DB!$A$6:$H$181,3,),"－")</f>
        <v>－</v>
      </c>
      <c r="AA47" s="3316"/>
      <c r="AB47" s="3317"/>
      <c r="AC47" s="3652" t="str">
        <f>IFERROR(VLOOKUP($V47,[53]アジア練習会場!$A$3:$E$107,2,),"－")</f>
        <v>－</v>
      </c>
      <c r="AD47" s="3653">
        <v>5.3</v>
      </c>
      <c r="AE47" s="3654">
        <v>15</v>
      </c>
      <c r="AF47" s="3655" t="str">
        <f>IFERROR(VLOOKUP($V47,[53]アジア練習会場!$A$3:$E$107,3,),"－")</f>
        <v>－</v>
      </c>
      <c r="AG47" s="3656">
        <v>15.6</v>
      </c>
      <c r="AH47" s="3657">
        <v>30</v>
      </c>
      <c r="AI47" s="3658" t="str">
        <f>IFERROR(VLOOKUP($V47,[53]アジア練習会場!$A$3:$E$107,4,),"－")</f>
        <v>－</v>
      </c>
      <c r="AJ47" s="3656"/>
      <c r="AK47" s="3657"/>
      <c r="AL47" s="3658" t="str">
        <f>IFERROR(VLOOKUP($V47,[53]アジア練習会場!$A$3:$E$107,5,),"－")</f>
        <v>－</v>
      </c>
      <c r="AM47" s="3656"/>
      <c r="AN47" s="3659"/>
      <c r="AO47" s="3759"/>
      <c r="AP47" s="3759"/>
      <c r="AQ47" s="3760"/>
      <c r="AR47" s="3660"/>
      <c r="AS47" s="311"/>
      <c r="AT47" s="3661"/>
      <c r="AU47" s="3853"/>
      <c r="AV47" s="3853"/>
      <c r="AW47" s="3853"/>
      <c r="AX47" s="339"/>
      <c r="AY47" s="336"/>
      <c r="AZ47" s="336"/>
      <c r="BA47" s="336"/>
      <c r="BB47" s="336"/>
      <c r="BC47" s="336"/>
      <c r="BD47" s="336"/>
      <c r="BE47" s="336"/>
      <c r="BF47" s="336"/>
      <c r="BG47" s="336"/>
      <c r="BH47" s="336"/>
      <c r="BI47" s="336"/>
      <c r="BJ47" s="336"/>
      <c r="BK47" s="336"/>
      <c r="BL47" s="336"/>
      <c r="BM47" s="336"/>
      <c r="BN47" s="336"/>
      <c r="BO47" s="336"/>
      <c r="BP47" s="336"/>
      <c r="BQ47" s="336"/>
      <c r="BR47" s="336"/>
      <c r="BS47" s="336"/>
      <c r="BT47" s="336"/>
      <c r="BU47" s="336"/>
      <c r="BV47" s="336"/>
      <c r="BW47" s="336"/>
      <c r="BX47" s="336"/>
      <c r="BY47" s="336"/>
      <c r="BZ47" s="336"/>
      <c r="CA47" s="336"/>
      <c r="CB47" s="336"/>
      <c r="CC47" s="336"/>
      <c r="CD47" s="336"/>
      <c r="CE47" s="336"/>
      <c r="CF47" s="340"/>
      <c r="CG47" s="3712"/>
      <c r="CH47" s="3737"/>
      <c r="CI47" s="290"/>
      <c r="CJ47" s="332"/>
      <c r="CK47" s="333"/>
    </row>
    <row r="48" spans="1:89" s="561" customFormat="1" ht="46" customHeight="1">
      <c r="A48" s="2862"/>
      <c r="B48" s="3368"/>
      <c r="C48" s="420"/>
      <c r="D48" s="421" t="s">
        <v>2129</v>
      </c>
      <c r="E48" s="426"/>
      <c r="F48" s="422"/>
      <c r="G48" s="2875">
        <v>0</v>
      </c>
      <c r="H48" s="2875">
        <v>0</v>
      </c>
      <c r="I48" s="2875">
        <v>0</v>
      </c>
      <c r="J48" s="3684"/>
      <c r="K48" s="2875">
        <v>0</v>
      </c>
      <c r="L48" s="2877">
        <v>0</v>
      </c>
      <c r="M48" s="2878">
        <v>0</v>
      </c>
      <c r="N48" s="2878">
        <v>0</v>
      </c>
      <c r="O48" s="2877">
        <v>0</v>
      </c>
      <c r="P48" s="2878">
        <v>0</v>
      </c>
      <c r="Q48" s="2878">
        <v>0</v>
      </c>
      <c r="R48" s="2878">
        <v>0</v>
      </c>
      <c r="S48" s="2878">
        <v>0</v>
      </c>
      <c r="T48" s="426" t="s">
        <v>2129</v>
      </c>
      <c r="U48" s="420"/>
      <c r="V48" s="3341"/>
      <c r="W48" s="437" t="s">
        <v>2134</v>
      </c>
      <c r="X48" s="438">
        <v>0</v>
      </c>
      <c r="Y48" s="3342"/>
      <c r="Z48" s="3353" t="str">
        <f>IFERROR(VLOOKUP($V48,[53]競技情報DB!$A$6:$H$181,3,),"－")</f>
        <v>－</v>
      </c>
      <c r="AA48" s="3354"/>
      <c r="AB48" s="3355"/>
      <c r="AC48" s="3645" t="str">
        <f>IFERROR(VLOOKUP($V48,[53]アジア練習会場!$A$3:$E$107,2,),"－")</f>
        <v>－</v>
      </c>
      <c r="AD48" s="3646">
        <v>5.3</v>
      </c>
      <c r="AE48" s="3647">
        <v>15</v>
      </c>
      <c r="AF48" s="3645" t="str">
        <f>IFERROR(VLOOKUP($V48,[53]アジア練習会場!$A$3:$E$107,3,),"－")</f>
        <v>－</v>
      </c>
      <c r="AG48" s="3646">
        <v>15.6</v>
      </c>
      <c r="AH48" s="3647">
        <v>30</v>
      </c>
      <c r="AI48" s="3648" t="str">
        <f>IFERROR(VLOOKUP($V48,[53]アジア練習会場!$A$3:$E$107,4,),"－")</f>
        <v>－</v>
      </c>
      <c r="AJ48" s="3646"/>
      <c r="AK48" s="3647"/>
      <c r="AL48" s="3648" t="str">
        <f>IFERROR(VLOOKUP($V48,[53]アジア練習会場!$A$3:$E$107,5,),"－")</f>
        <v>－</v>
      </c>
      <c r="AM48" s="3646"/>
      <c r="AN48" s="3649"/>
      <c r="AO48" s="3755"/>
      <c r="AP48" s="3755"/>
      <c r="AQ48" s="3756"/>
      <c r="AR48" s="3650"/>
      <c r="AS48" s="435"/>
      <c r="AT48" s="3651"/>
      <c r="AU48" s="443"/>
      <c r="AV48" s="443"/>
      <c r="AW48" s="443"/>
      <c r="AX48" s="448"/>
      <c r="AY48" s="445"/>
      <c r="AZ48" s="445"/>
      <c r="BA48" s="445"/>
      <c r="BB48" s="445"/>
      <c r="BC48" s="445"/>
      <c r="BD48" s="445"/>
      <c r="BE48" s="445"/>
      <c r="BF48" s="445"/>
      <c r="BG48" s="445"/>
      <c r="BH48" s="445"/>
      <c r="BI48" s="445"/>
      <c r="BJ48" s="445"/>
      <c r="BK48" s="445"/>
      <c r="BL48" s="445"/>
      <c r="BM48" s="445"/>
      <c r="BN48" s="445"/>
      <c r="BO48" s="445"/>
      <c r="BP48" s="445"/>
      <c r="BQ48" s="445"/>
      <c r="BR48" s="445"/>
      <c r="BS48" s="445"/>
      <c r="BT48" s="445"/>
      <c r="BU48" s="445"/>
      <c r="BV48" s="445"/>
      <c r="BW48" s="445"/>
      <c r="BX48" s="445"/>
      <c r="BY48" s="445"/>
      <c r="BZ48" s="445"/>
      <c r="CA48" s="445"/>
      <c r="CB48" s="445"/>
      <c r="CC48" s="445"/>
      <c r="CD48" s="445"/>
      <c r="CE48" s="445"/>
      <c r="CF48" s="449"/>
      <c r="CG48" s="3712"/>
      <c r="CH48" s="3737"/>
      <c r="CI48" s="290"/>
      <c r="CJ48" s="450"/>
      <c r="CK48" s="451"/>
    </row>
    <row r="49" spans="1:89" ht="46" customHeight="1">
      <c r="A49" s="2862"/>
      <c r="B49" s="2863" t="s">
        <v>6854</v>
      </c>
      <c r="C49" s="372">
        <f>C46+1</f>
        <v>19</v>
      </c>
      <c r="D49" s="297">
        <v>1007</v>
      </c>
      <c r="E49" s="6246" t="s">
        <v>4985</v>
      </c>
      <c r="F49" s="298" t="s">
        <v>6855</v>
      </c>
      <c r="G49" s="2864"/>
      <c r="H49" s="2864"/>
      <c r="I49" s="2864"/>
      <c r="J49" s="3668"/>
      <c r="K49" s="2864"/>
      <c r="L49" s="2865"/>
      <c r="M49" s="2866"/>
      <c r="N49" s="2866"/>
      <c r="O49" s="2865"/>
      <c r="P49" s="2866"/>
      <c r="Q49" s="2866"/>
      <c r="R49" s="2866"/>
      <c r="S49" s="2866"/>
      <c r="T49" s="302"/>
      <c r="U49" s="296"/>
      <c r="V49" s="3349" t="s">
        <v>6857</v>
      </c>
      <c r="W49" s="487" t="s">
        <v>6858</v>
      </c>
      <c r="X49" s="488">
        <v>27</v>
      </c>
      <c r="Y49" s="3307">
        <f>SUM(X49:X50)</f>
        <v>27</v>
      </c>
      <c r="Z49" s="3374"/>
      <c r="AA49" s="4393"/>
      <c r="AB49" s="4394"/>
      <c r="AC49" s="3669"/>
      <c r="AD49" s="3678"/>
      <c r="AE49" s="3679"/>
      <c r="AF49" s="3669"/>
      <c r="AG49" s="3678"/>
      <c r="AH49" s="3679"/>
      <c r="AI49" s="3682"/>
      <c r="AJ49" s="3678"/>
      <c r="AK49" s="3679"/>
      <c r="AL49" s="3682"/>
      <c r="AM49" s="3678"/>
      <c r="AN49" s="3683"/>
      <c r="AO49" s="3759" cm="1">
        <f t="array" ref="AO49">_xlfn.LET(
  _xlpm.rng, AX49:CF49,
  _xlpm.header, $AX$3:$CF$3,
  _xlpm.idx, _xlfn.XMATCH(TRUE, _xlpm.rng&lt;&gt;0),
  _xlpm.dt, INDEX(_xlpm.header, _xlpm.idx),
  IF(YEAR(_xlpm.dt)&lt;&gt;2026, DATE(2026, MONTH(_xlpm.dt), DAY(_xlpm.dt)), _xlpm.dt)
)</f>
        <v>46290</v>
      </c>
      <c r="AP49" s="3759" cm="1">
        <f t="array" ref="AP49">_xlfn.LET(
  _xlpm.rng, AX49:CF49,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49" s="3760">
        <f>AP49-AO49</f>
        <v>9</v>
      </c>
      <c r="AR49" s="3660"/>
      <c r="AS49" s="311"/>
      <c r="AT49" s="3661"/>
      <c r="AU49" s="3853"/>
      <c r="AV49" s="3853"/>
      <c r="AW49" s="3853"/>
      <c r="AX49" s="6094">
        <v>0</v>
      </c>
      <c r="AY49" s="2879">
        <v>0</v>
      </c>
      <c r="AZ49" s="4412">
        <v>0</v>
      </c>
      <c r="BA49" s="4412">
        <v>0</v>
      </c>
      <c r="BB49" s="4412">
        <v>0</v>
      </c>
      <c r="BC49" s="4412">
        <v>0</v>
      </c>
      <c r="BD49" s="4412">
        <v>0</v>
      </c>
      <c r="BE49" s="4412">
        <v>0</v>
      </c>
      <c r="BF49" s="4412">
        <v>0</v>
      </c>
      <c r="BG49" s="4412">
        <v>0</v>
      </c>
      <c r="BH49" s="4412">
        <v>0</v>
      </c>
      <c r="BI49" s="4412">
        <v>0</v>
      </c>
      <c r="BJ49" s="4412">
        <v>0</v>
      </c>
      <c r="BK49" s="4412">
        <v>0</v>
      </c>
      <c r="BL49" s="4412">
        <v>0</v>
      </c>
      <c r="BM49" s="4412">
        <v>0</v>
      </c>
      <c r="BN49" s="4412">
        <v>0</v>
      </c>
      <c r="BO49" s="4412">
        <v>0</v>
      </c>
      <c r="BP49" s="4412">
        <v>0</v>
      </c>
      <c r="BQ49" s="4412">
        <v>0</v>
      </c>
      <c r="BR49" s="4412">
        <v>0</v>
      </c>
      <c r="BS49" s="337">
        <v>1</v>
      </c>
      <c r="BT49" s="337">
        <v>1</v>
      </c>
      <c r="BU49" s="337">
        <v>27</v>
      </c>
      <c r="BV49" s="337">
        <v>27</v>
      </c>
      <c r="BW49" s="337">
        <v>27</v>
      </c>
      <c r="BX49" s="337">
        <v>27</v>
      </c>
      <c r="BY49" s="337">
        <v>27</v>
      </c>
      <c r="BZ49" s="337">
        <v>27</v>
      </c>
      <c r="CA49" s="337">
        <v>27</v>
      </c>
      <c r="CB49" s="337">
        <v>27</v>
      </c>
      <c r="CC49" s="337">
        <v>0</v>
      </c>
      <c r="CD49" s="337">
        <v>0</v>
      </c>
      <c r="CE49" s="337">
        <v>0</v>
      </c>
      <c r="CF49" s="340">
        <v>0</v>
      </c>
      <c r="CG49" s="3712"/>
      <c r="CH49" s="3738" cm="1">
        <f t="array" ref="CH49">SUM(IF(ISNUMBER($AX49:$CF49),$AX49:$CF49, 0))</f>
        <v>218</v>
      </c>
      <c r="CI49" s="290"/>
      <c r="CJ49" s="332"/>
      <c r="CK49" s="333"/>
    </row>
    <row r="50" spans="1:89" ht="46" customHeight="1">
      <c r="A50" s="2862"/>
      <c r="B50" s="2863"/>
      <c r="C50" s="296"/>
      <c r="D50" s="297"/>
      <c r="E50" s="302"/>
      <c r="F50" s="298"/>
      <c r="G50" s="2864"/>
      <c r="H50" s="2864"/>
      <c r="I50" s="2864"/>
      <c r="J50" s="3668"/>
      <c r="K50" s="2864"/>
      <c r="L50" s="2865"/>
      <c r="M50" s="2866"/>
      <c r="N50" s="2866"/>
      <c r="O50" s="2865"/>
      <c r="P50" s="2866"/>
      <c r="Q50" s="2866"/>
      <c r="R50" s="2866"/>
      <c r="S50" s="2866"/>
      <c r="T50" s="302"/>
      <c r="U50" s="296"/>
      <c r="V50" s="3349"/>
      <c r="W50" s="487"/>
      <c r="X50" s="488"/>
      <c r="Y50" s="3307"/>
      <c r="Z50" s="3374"/>
      <c r="AA50" s="4393"/>
      <c r="AB50" s="4394"/>
      <c r="AC50" s="3669"/>
      <c r="AD50" s="3678"/>
      <c r="AE50" s="3679"/>
      <c r="AF50" s="3669"/>
      <c r="AG50" s="3678"/>
      <c r="AH50" s="3679"/>
      <c r="AI50" s="3682"/>
      <c r="AJ50" s="3678"/>
      <c r="AK50" s="3679"/>
      <c r="AL50" s="3682"/>
      <c r="AM50" s="3678"/>
      <c r="AN50" s="3683"/>
      <c r="AO50" s="3759"/>
      <c r="AP50" s="3759"/>
      <c r="AQ50" s="3760"/>
      <c r="AR50" s="3660"/>
      <c r="AS50" s="311"/>
      <c r="AT50" s="3661"/>
      <c r="AU50" s="3853"/>
      <c r="AV50" s="3853"/>
      <c r="AW50" s="3853"/>
      <c r="AX50" s="6100"/>
      <c r="AY50" s="519"/>
      <c r="AZ50" s="519"/>
      <c r="BA50" s="519"/>
      <c r="BB50" s="519"/>
      <c r="BC50" s="519"/>
      <c r="BD50" s="519"/>
      <c r="BE50" s="519"/>
      <c r="BF50" s="519"/>
      <c r="BG50" s="519"/>
      <c r="BH50" s="519"/>
      <c r="BI50" s="519"/>
      <c r="BJ50" s="519"/>
      <c r="BK50" s="519"/>
      <c r="BL50" s="519"/>
      <c r="BM50" s="519"/>
      <c r="BN50" s="519"/>
      <c r="BO50" s="519"/>
      <c r="BP50" s="519"/>
      <c r="BQ50" s="519"/>
      <c r="BR50" s="519"/>
      <c r="BS50" s="519"/>
      <c r="BT50" s="519"/>
      <c r="BU50" s="519"/>
      <c r="BV50" s="519"/>
      <c r="BW50" s="519"/>
      <c r="BX50" s="519"/>
      <c r="BY50" s="519"/>
      <c r="BZ50" s="519"/>
      <c r="CA50" s="519"/>
      <c r="CB50" s="519"/>
      <c r="CC50" s="519"/>
      <c r="CD50" s="519"/>
      <c r="CE50" s="519"/>
      <c r="CF50" s="520"/>
      <c r="CG50" s="3712"/>
      <c r="CH50" s="3737"/>
      <c r="CI50" s="290"/>
      <c r="CJ50" s="332"/>
      <c r="CK50" s="333"/>
    </row>
    <row r="51" spans="1:89" ht="46" customHeight="1">
      <c r="A51" s="2862"/>
      <c r="B51" s="2863"/>
      <c r="C51" s="372">
        <f>C49+1</f>
        <v>20</v>
      </c>
      <c r="D51" s="2871">
        <v>1008</v>
      </c>
      <c r="E51" s="6244" t="s">
        <v>6955</v>
      </c>
      <c r="F51" s="373" t="s">
        <v>6856</v>
      </c>
      <c r="G51" s="2872"/>
      <c r="H51" s="2872"/>
      <c r="I51" s="2872"/>
      <c r="J51" s="6090"/>
      <c r="K51" s="2872"/>
      <c r="L51" s="2873"/>
      <c r="M51" s="2874"/>
      <c r="N51" s="2874"/>
      <c r="O51" s="2873"/>
      <c r="P51" s="2874"/>
      <c r="Q51" s="2874"/>
      <c r="R51" s="2874"/>
      <c r="S51" s="2874"/>
      <c r="T51" s="377"/>
      <c r="U51" s="372"/>
      <c r="V51" s="3418" t="s">
        <v>6859</v>
      </c>
      <c r="W51" s="540" t="s">
        <v>6860</v>
      </c>
      <c r="X51" s="541">
        <v>113</v>
      </c>
      <c r="Y51" s="390">
        <f>SUM(X51:X52)</f>
        <v>113</v>
      </c>
      <c r="Z51" s="4395"/>
      <c r="AA51" s="4396"/>
      <c r="AB51" s="4397"/>
      <c r="AC51" s="5926"/>
      <c r="AD51" s="4398"/>
      <c r="AE51" s="4399"/>
      <c r="AF51" s="5926"/>
      <c r="AG51" s="4398"/>
      <c r="AH51" s="4399"/>
      <c r="AI51" s="4400"/>
      <c r="AJ51" s="4398"/>
      <c r="AK51" s="4399"/>
      <c r="AL51" s="4400"/>
      <c r="AM51" s="4398"/>
      <c r="AN51" s="4401"/>
      <c r="AO51" s="6091" cm="1">
        <f t="array" ref="AO51">_xlfn.LET(
  _xlpm.rng, AX51:CF51,
  _xlpm.header, $AX$3:$CF$3,
  _xlpm.idx, _xlfn.XMATCH(TRUE, _xlpm.rng&lt;&gt;0),
  _xlpm.dt, INDEX(_xlpm.header, _xlpm.idx),
  IF(YEAR(_xlpm.dt)&lt;&gt;2026, DATE(2026, MONTH(_xlpm.dt), DAY(_xlpm.dt)), _xlpm.dt)
)</f>
        <v>46278</v>
      </c>
      <c r="AP51" s="6091" cm="1">
        <f t="array" ref="AP51">_xlfn.LET(
  _xlpm.rng, AX51:CF51,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51" s="6092">
        <f>AP51-AO51</f>
        <v>21</v>
      </c>
      <c r="AR51" s="3643"/>
      <c r="AS51" s="394"/>
      <c r="AT51" s="6093"/>
      <c r="AU51" s="5925"/>
      <c r="AV51" s="5925"/>
      <c r="AW51" s="5925"/>
      <c r="AX51" s="337">
        <v>0</v>
      </c>
      <c r="AY51" s="337">
        <v>0</v>
      </c>
      <c r="AZ51" s="337">
        <v>0</v>
      </c>
      <c r="BA51" s="337">
        <v>0</v>
      </c>
      <c r="BB51" s="337">
        <v>0</v>
      </c>
      <c r="BC51" s="337">
        <v>0</v>
      </c>
      <c r="BD51" s="337">
        <v>0</v>
      </c>
      <c r="BE51" s="337">
        <v>0</v>
      </c>
      <c r="BF51" s="337">
        <v>0</v>
      </c>
      <c r="BG51" s="337">
        <v>1</v>
      </c>
      <c r="BH51" s="337">
        <v>1</v>
      </c>
      <c r="BI51" s="337">
        <v>113</v>
      </c>
      <c r="BJ51" s="337">
        <v>113</v>
      </c>
      <c r="BK51" s="337">
        <v>113</v>
      </c>
      <c r="BL51" s="337">
        <v>113</v>
      </c>
      <c r="BM51" s="337">
        <v>113</v>
      </c>
      <c r="BN51" s="337">
        <v>113</v>
      </c>
      <c r="BO51" s="337">
        <v>113</v>
      </c>
      <c r="BP51" s="337">
        <v>113</v>
      </c>
      <c r="BQ51" s="337">
        <v>113</v>
      </c>
      <c r="BR51" s="337">
        <v>113</v>
      </c>
      <c r="BS51" s="337">
        <v>113</v>
      </c>
      <c r="BT51" s="337">
        <v>113</v>
      </c>
      <c r="BU51" s="337">
        <v>113</v>
      </c>
      <c r="BV51" s="337">
        <v>113</v>
      </c>
      <c r="BW51" s="337">
        <v>113</v>
      </c>
      <c r="BX51" s="337">
        <v>113</v>
      </c>
      <c r="BY51" s="337">
        <v>113</v>
      </c>
      <c r="BZ51" s="337">
        <v>113</v>
      </c>
      <c r="CA51" s="337">
        <v>113</v>
      </c>
      <c r="CB51" s="337">
        <v>113</v>
      </c>
      <c r="CC51" s="337">
        <v>0</v>
      </c>
      <c r="CD51" s="337">
        <v>0</v>
      </c>
      <c r="CE51" s="337">
        <v>0</v>
      </c>
      <c r="CF51" s="340">
        <v>0</v>
      </c>
      <c r="CG51" s="3712"/>
      <c r="CH51" s="3738" cm="1">
        <f t="array" ref="CH51">SUM(IF(ISNUMBER($AX51:$CF51),$AX51:$CF51, 0))</f>
        <v>2262</v>
      </c>
      <c r="CI51" s="290"/>
      <c r="CJ51" s="332"/>
      <c r="CK51" s="333"/>
    </row>
    <row r="52" spans="1:89" ht="46" customHeight="1">
      <c r="A52" s="2862"/>
      <c r="B52" s="2863"/>
      <c r="C52" s="296"/>
      <c r="D52" s="297"/>
      <c r="E52" s="302"/>
      <c r="F52" s="298"/>
      <c r="G52" s="2864"/>
      <c r="H52" s="2864"/>
      <c r="I52" s="2864"/>
      <c r="J52" s="3668"/>
      <c r="K52" s="2864"/>
      <c r="L52" s="2865"/>
      <c r="M52" s="2866"/>
      <c r="N52" s="2866"/>
      <c r="O52" s="2865"/>
      <c r="P52" s="2866"/>
      <c r="Q52" s="2866"/>
      <c r="R52" s="2866"/>
      <c r="S52" s="2866"/>
      <c r="T52" s="302"/>
      <c r="U52" s="296"/>
      <c r="V52" s="3349"/>
      <c r="W52" s="487"/>
      <c r="X52" s="488"/>
      <c r="Y52" s="315"/>
      <c r="Z52" s="3374"/>
      <c r="AA52" s="4393"/>
      <c r="AB52" s="4394"/>
      <c r="AC52" s="3669"/>
      <c r="AD52" s="3678"/>
      <c r="AE52" s="3679"/>
      <c r="AF52" s="3669"/>
      <c r="AG52" s="3678"/>
      <c r="AH52" s="3679"/>
      <c r="AI52" s="3682"/>
      <c r="AJ52" s="3678"/>
      <c r="AK52" s="3679"/>
      <c r="AL52" s="3682"/>
      <c r="AM52" s="3678"/>
      <c r="AN52" s="3683"/>
      <c r="AO52" s="3759"/>
      <c r="AP52" s="3759"/>
      <c r="AQ52" s="3760"/>
      <c r="AR52" s="3660"/>
      <c r="AS52" s="311"/>
      <c r="AT52" s="3661"/>
      <c r="AU52" s="3853"/>
      <c r="AV52" s="3853"/>
      <c r="AW52" s="3853"/>
      <c r="AX52" s="6100"/>
      <c r="AY52" s="519"/>
      <c r="AZ52" s="519"/>
      <c r="BA52" s="519"/>
      <c r="BB52" s="519"/>
      <c r="BC52" s="519"/>
      <c r="BD52" s="519"/>
      <c r="BE52" s="519"/>
      <c r="BF52" s="519"/>
      <c r="BG52" s="519"/>
      <c r="BH52" s="519"/>
      <c r="BI52" s="519"/>
      <c r="BJ52" s="519"/>
      <c r="BK52" s="519"/>
      <c r="BL52" s="519"/>
      <c r="BM52" s="519"/>
      <c r="BN52" s="519"/>
      <c r="BO52" s="519"/>
      <c r="BP52" s="519"/>
      <c r="BQ52" s="519"/>
      <c r="BR52" s="519"/>
      <c r="BS52" s="519"/>
      <c r="BT52" s="519"/>
      <c r="BU52" s="519"/>
      <c r="BV52" s="519"/>
      <c r="BW52" s="519"/>
      <c r="BX52" s="519"/>
      <c r="BY52" s="519"/>
      <c r="BZ52" s="519"/>
      <c r="CA52" s="519"/>
      <c r="CB52" s="519"/>
      <c r="CC52" s="519"/>
      <c r="CD52" s="519"/>
      <c r="CE52" s="519"/>
      <c r="CF52" s="520"/>
      <c r="CG52" s="3712"/>
      <c r="CH52" s="3737"/>
      <c r="CI52" s="290"/>
      <c r="CJ52" s="332"/>
      <c r="CK52" s="333"/>
    </row>
    <row r="53" spans="1:89" ht="46" customHeight="1">
      <c r="A53" s="2862"/>
      <c r="B53" s="296" t="s">
        <v>5</v>
      </c>
      <c r="C53" s="372">
        <f>C51+1</f>
        <v>21</v>
      </c>
      <c r="D53" s="2871">
        <v>8</v>
      </c>
      <c r="E53" s="6244" t="s">
        <v>6955</v>
      </c>
      <c r="F53" s="572" t="s">
        <v>3544</v>
      </c>
      <c r="G53" s="2872" t="s">
        <v>3542</v>
      </c>
      <c r="H53" s="2872" t="s">
        <v>3545</v>
      </c>
      <c r="I53" s="2872" t="s">
        <v>3501</v>
      </c>
      <c r="J53" s="2872" t="s">
        <v>2853</v>
      </c>
      <c r="K53" s="2872">
        <v>78</v>
      </c>
      <c r="L53" s="2873" t="s">
        <v>3546</v>
      </c>
      <c r="M53" s="2874" t="s">
        <v>2167</v>
      </c>
      <c r="N53" s="3371" t="s">
        <v>2132</v>
      </c>
      <c r="O53" s="2873" t="s">
        <v>3494</v>
      </c>
      <c r="P53" s="2914" t="s">
        <v>2134</v>
      </c>
      <c r="Q53" s="2874" t="s">
        <v>2134</v>
      </c>
      <c r="R53" s="2874" t="s">
        <v>2134</v>
      </c>
      <c r="S53" s="2874" t="s">
        <v>2317</v>
      </c>
      <c r="T53" s="377" t="s">
        <v>2133</v>
      </c>
      <c r="U53" s="372" t="s">
        <v>2136</v>
      </c>
      <c r="V53" s="387" t="s">
        <v>3547</v>
      </c>
      <c r="W53" s="388" t="s">
        <v>2214</v>
      </c>
      <c r="X53" s="389">
        <v>77</v>
      </c>
      <c r="Y53" s="3307">
        <f>SUM(X53:X54)</f>
        <v>77</v>
      </c>
      <c r="Z53" s="3322" t="str">
        <f>IFERROR(VLOOKUP($V53,[53]競技情報DB!$A$6:$H$181,3,),"－")</f>
        <v>豊田合成記念体育館［エントリオ］</v>
      </c>
      <c r="AA53" s="3323"/>
      <c r="AB53" s="3324"/>
      <c r="AC53" s="3638" t="str">
        <f>IFERROR(VLOOKUP($V53,[53]アジア練習会場!$A$3:$E$107,2,),"－")</f>
        <v>－</v>
      </c>
      <c r="AD53" s="3639">
        <v>10.6</v>
      </c>
      <c r="AE53" s="3640">
        <v>20</v>
      </c>
      <c r="AF53" s="3638" t="str">
        <f>IFERROR(VLOOKUP($V53,[53]アジア練習会場!$A$3:$E$107,3,),"－")</f>
        <v>－</v>
      </c>
      <c r="AG53" s="3639"/>
      <c r="AH53" s="3640"/>
      <c r="AI53" s="3641" t="str">
        <f>IFERROR(VLOOKUP($V53,[53]アジア練習会場!$A$3:$E$107,4,),"－")</f>
        <v>－</v>
      </c>
      <c r="AJ53" s="3639"/>
      <c r="AK53" s="3640"/>
      <c r="AL53" s="3641" t="str">
        <f>IFERROR(VLOOKUP($V53,[53]アジア練習会場!$A$3:$E$107,5,),"－")</f>
        <v>－</v>
      </c>
      <c r="AM53" s="3639"/>
      <c r="AN53" s="3642"/>
      <c r="AO53" s="3757" cm="1">
        <f t="array" ref="AO53">_xlfn.LET(
  _xlpm.rng, AX53:CF53,
  _xlpm.header, $AX$3:$CF$3,
  _xlpm.idx, _xlfn.XMATCH(TRUE, _xlpm.rng&lt;&gt;0),
  _xlpm.dt, INDEX(_xlpm.header, _xlpm.idx),
  IF(YEAR(_xlpm.dt)&lt;&gt;2026, DATE(2026, MONTH(_xlpm.dt), DAY(_xlpm.dt)), _xlpm.dt)
)</f>
        <v>46280</v>
      </c>
      <c r="AP53" s="3757" cm="1">
        <f t="array" ref="AP53">_xlfn.LET(
  _xlpm.rng, AX53:CF53,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46300</v>
      </c>
      <c r="AQ53" s="3758">
        <f>AP53-AO53</f>
        <v>20</v>
      </c>
      <c r="AR53" s="3660">
        <f>$H53-MAX(AX53:CF53)</f>
        <v>25</v>
      </c>
      <c r="AS53" s="647">
        <f>+AR53/$H53</f>
        <v>0.24509803921568626</v>
      </c>
      <c r="AT53" s="3644" t="str">
        <f>F53&amp;"　"&amp;"合計"</f>
        <v>ホテルプラザ勝川　合計</v>
      </c>
      <c r="AU53" s="395"/>
      <c r="AV53" s="395"/>
      <c r="AW53" s="395"/>
      <c r="AX53" s="696">
        <v>0</v>
      </c>
      <c r="AY53" s="398">
        <v>0</v>
      </c>
      <c r="AZ53" s="398">
        <v>0</v>
      </c>
      <c r="BA53" s="398">
        <v>0</v>
      </c>
      <c r="BB53" s="398">
        <v>0</v>
      </c>
      <c r="BC53" s="398">
        <v>0</v>
      </c>
      <c r="BD53" s="398">
        <v>0</v>
      </c>
      <c r="BE53" s="398">
        <v>0</v>
      </c>
      <c r="BF53" s="398">
        <v>0</v>
      </c>
      <c r="BG53" s="398">
        <v>0</v>
      </c>
      <c r="BH53" s="398">
        <v>0</v>
      </c>
      <c r="BI53" s="398">
        <v>6</v>
      </c>
      <c r="BJ53" s="398">
        <v>6</v>
      </c>
      <c r="BK53" s="398">
        <v>77</v>
      </c>
      <c r="BL53" s="398">
        <v>77</v>
      </c>
      <c r="BM53" s="398">
        <v>77</v>
      </c>
      <c r="BN53" s="398">
        <v>77</v>
      </c>
      <c r="BO53" s="398">
        <v>77</v>
      </c>
      <c r="BP53" s="398">
        <v>77</v>
      </c>
      <c r="BQ53" s="398">
        <v>77</v>
      </c>
      <c r="BR53" s="398">
        <v>77</v>
      </c>
      <c r="BS53" s="398">
        <v>77</v>
      </c>
      <c r="BT53" s="398">
        <v>77</v>
      </c>
      <c r="BU53" s="398">
        <v>77</v>
      </c>
      <c r="BV53" s="398">
        <v>77</v>
      </c>
      <c r="BW53" s="398">
        <v>77</v>
      </c>
      <c r="BX53" s="398">
        <v>77</v>
      </c>
      <c r="BY53" s="398">
        <v>3</v>
      </c>
      <c r="BZ53" s="398">
        <v>2</v>
      </c>
      <c r="CA53" s="398">
        <v>2</v>
      </c>
      <c r="CB53" s="398">
        <v>2</v>
      </c>
      <c r="CC53" s="398">
        <v>2</v>
      </c>
      <c r="CD53" s="398">
        <v>0</v>
      </c>
      <c r="CE53" s="398">
        <v>0</v>
      </c>
      <c r="CF53" s="472">
        <v>0</v>
      </c>
      <c r="CG53" s="3712"/>
      <c r="CH53" s="3737" cm="1">
        <f t="array" ref="CH53">SUM(IF(ISNUMBER($AX53:$CF53),$AX53:$CF53, 0))</f>
        <v>1101</v>
      </c>
      <c r="CI53" s="573"/>
      <c r="CJ53" s="574"/>
      <c r="CK53" s="575"/>
    </row>
    <row r="54" spans="1:89" s="521" customFormat="1" ht="46" customHeight="1" thickBot="1">
      <c r="A54" s="2862"/>
      <c r="B54" s="3368"/>
      <c r="C54" s="296"/>
      <c r="D54" s="297" t="s">
        <v>2129</v>
      </c>
      <c r="E54" s="302"/>
      <c r="F54" s="3372"/>
      <c r="G54" s="2864">
        <v>0</v>
      </c>
      <c r="H54" s="2864">
        <v>0</v>
      </c>
      <c r="I54" s="2864">
        <v>0</v>
      </c>
      <c r="J54" s="2864">
        <v>0</v>
      </c>
      <c r="K54" s="2864">
        <v>0</v>
      </c>
      <c r="L54" s="2865">
        <v>0</v>
      </c>
      <c r="M54" s="2866">
        <v>0</v>
      </c>
      <c r="N54" s="2866"/>
      <c r="O54" s="2865"/>
      <c r="P54" s="2915"/>
      <c r="Q54" s="2866"/>
      <c r="R54" s="2866"/>
      <c r="S54" s="2866"/>
      <c r="T54" s="302"/>
      <c r="U54" s="296"/>
      <c r="V54" s="3349"/>
      <c r="W54" s="487" t="s">
        <v>2134</v>
      </c>
      <c r="X54" s="488">
        <v>0</v>
      </c>
      <c r="Y54" s="3363"/>
      <c r="Z54" s="3374" t="str">
        <f>IFERROR(VLOOKUP($V54,[53]競技情報DB!$A$6:$H$181,3,),"－")</f>
        <v>－</v>
      </c>
      <c r="AA54" s="3316"/>
      <c r="AB54" s="3317"/>
      <c r="AC54" s="3669" t="str">
        <f>IFERROR(VLOOKUP($V54,[53]アジア練習会場!$A$3:$E$107,2,),"－")</f>
        <v>－</v>
      </c>
      <c r="AD54" s="3653"/>
      <c r="AE54" s="3654"/>
      <c r="AF54" s="3669" t="str">
        <f>IFERROR(VLOOKUP($V54,[53]アジア練習会場!$A$3:$E$107,3,),"－")</f>
        <v>－</v>
      </c>
      <c r="AG54" s="3678"/>
      <c r="AH54" s="3679"/>
      <c r="AI54" s="3682" t="str">
        <f>IFERROR(VLOOKUP($V54,[53]アジア練習会場!$A$3:$E$107,4,),"－")</f>
        <v>－</v>
      </c>
      <c r="AJ54" s="3678"/>
      <c r="AK54" s="3679"/>
      <c r="AL54" s="3682" t="str">
        <f>IFERROR(VLOOKUP($V54,[53]アジア練習会場!$A$3:$E$107,5,),"－")</f>
        <v>－</v>
      </c>
      <c r="AM54" s="3678"/>
      <c r="AN54" s="3683"/>
      <c r="AO54" s="3759"/>
      <c r="AP54" s="3759"/>
      <c r="AQ54" s="3760"/>
      <c r="AR54" s="3660"/>
      <c r="AS54" s="656"/>
      <c r="AT54" s="3675"/>
      <c r="AU54" s="3853"/>
      <c r="AV54" s="3853"/>
      <c r="AW54" s="3853"/>
      <c r="AX54" s="339"/>
      <c r="AY54" s="336"/>
      <c r="AZ54" s="336"/>
      <c r="BA54" s="336"/>
      <c r="BB54" s="336"/>
      <c r="BC54" s="336"/>
      <c r="BD54" s="336"/>
      <c r="BE54" s="336"/>
      <c r="BF54" s="336"/>
      <c r="BG54" s="336"/>
      <c r="BH54" s="336"/>
      <c r="BI54" s="336"/>
      <c r="BJ54" s="336"/>
      <c r="BK54" s="336"/>
      <c r="BL54" s="336"/>
      <c r="BM54" s="336"/>
      <c r="BN54" s="336"/>
      <c r="BO54" s="336"/>
      <c r="BP54" s="336"/>
      <c r="BQ54" s="336"/>
      <c r="BR54" s="336"/>
      <c r="BS54" s="336"/>
      <c r="BT54" s="336"/>
      <c r="BU54" s="336"/>
      <c r="BV54" s="336"/>
      <c r="BW54" s="336"/>
      <c r="BX54" s="336"/>
      <c r="BY54" s="336"/>
      <c r="BZ54" s="336"/>
      <c r="CA54" s="336"/>
      <c r="CB54" s="336"/>
      <c r="CC54" s="336"/>
      <c r="CD54" s="336"/>
      <c r="CE54" s="336"/>
      <c r="CF54" s="340"/>
      <c r="CG54" s="3712"/>
      <c r="CH54" s="3737"/>
      <c r="CI54" s="573"/>
      <c r="CJ54" s="614"/>
      <c r="CK54" s="615"/>
    </row>
    <row r="55" spans="1:89" ht="46" customHeight="1">
      <c r="A55" s="2851" t="s">
        <v>2260</v>
      </c>
      <c r="B55" s="2852" t="s">
        <v>15</v>
      </c>
      <c r="C55" s="248">
        <f>C53+1</f>
        <v>22</v>
      </c>
      <c r="D55" s="249">
        <v>1002</v>
      </c>
      <c r="E55" s="6248" t="s">
        <v>6955</v>
      </c>
      <c r="F55" s="593" t="s">
        <v>3548</v>
      </c>
      <c r="G55" s="2854" t="s">
        <v>3549</v>
      </c>
      <c r="H55" s="2854" t="s">
        <v>3549</v>
      </c>
      <c r="I55" s="2854" t="s">
        <v>3542</v>
      </c>
      <c r="J55" s="2854" t="s">
        <v>3542</v>
      </c>
      <c r="K55" s="2854">
        <v>66</v>
      </c>
      <c r="L55" s="2904" t="s">
        <v>2129</v>
      </c>
      <c r="M55" s="2857" t="s">
        <v>2245</v>
      </c>
      <c r="N55" s="2857" t="s">
        <v>2132</v>
      </c>
      <c r="O55" s="2904" t="s">
        <v>3550</v>
      </c>
      <c r="P55" s="2917" t="s">
        <v>2134</v>
      </c>
      <c r="Q55" s="2857" t="s">
        <v>2206</v>
      </c>
      <c r="R55" s="2857" t="s">
        <v>2133</v>
      </c>
      <c r="S55" s="2857" t="s">
        <v>2317</v>
      </c>
      <c r="T55" s="258" t="s">
        <v>2133</v>
      </c>
      <c r="U55" s="248" t="s">
        <v>2136</v>
      </c>
      <c r="V55" s="3297" t="s">
        <v>3551</v>
      </c>
      <c r="W55" s="269" t="s">
        <v>2150</v>
      </c>
      <c r="X55" s="270">
        <v>73</v>
      </c>
      <c r="Y55" s="3358">
        <f>SUM(X55:X56)</f>
        <v>107</v>
      </c>
      <c r="Z55" s="3299" t="str">
        <f>IFERROR(VLOOKUP($V55,[53]競技情報DB!$A$6:$H$181,3,),"－")</f>
        <v>東海市民体育館</v>
      </c>
      <c r="AA55" s="3300"/>
      <c r="AB55" s="3301"/>
      <c r="AC55" s="3699" t="str">
        <f>IFERROR(VLOOKUP($V55,[53]アジア練習会場!$A$3:$E$107,2,),"－")</f>
        <v>－</v>
      </c>
      <c r="AD55" s="3700">
        <v>21.6</v>
      </c>
      <c r="AE55" s="3701">
        <v>37</v>
      </c>
      <c r="AF55" s="3699" t="str">
        <f>IFERROR(VLOOKUP($V55,[53]アジア練習会場!$A$3:$E$107,3,),"－")</f>
        <v>－</v>
      </c>
      <c r="AG55" s="3700"/>
      <c r="AH55" s="3701"/>
      <c r="AI55" s="3702" t="str">
        <f>IFERROR(VLOOKUP($V55,[53]アジア練習会場!$A$3:$E$107,4,),"－")</f>
        <v>－</v>
      </c>
      <c r="AJ55" s="3700"/>
      <c r="AK55" s="3701"/>
      <c r="AL55" s="3702" t="str">
        <f>IFERROR(VLOOKUP($V55,[53]アジア練習会場!$A$3:$E$107,5,),"－")</f>
        <v>－</v>
      </c>
      <c r="AM55" s="3700"/>
      <c r="AN55" s="3703"/>
      <c r="AO55" s="3757" cm="1">
        <f t="array" ref="AO55">_xlfn.LET(
  _xlpm.rng, AX55:CF55,
  _xlpm.header, $AX$3:$CF$3,
  _xlpm.idx, _xlfn.XMATCH(TRUE, _xlpm.rng&lt;&gt;0),
  _xlpm.dt, INDEX(_xlpm.header, _xlpm.idx),
  IF(YEAR(_xlpm.dt)&lt;&gt;2026, DATE(2026, MONTH(_xlpm.dt), DAY(_xlpm.dt)), _xlpm.dt)
)</f>
        <v>46281</v>
      </c>
      <c r="AP55" s="3757" cm="1">
        <f t="array" ref="AP55">_xlfn.LET(
  _xlpm.rng, AX55:CF55,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46292</v>
      </c>
      <c r="AQ55" s="3758">
        <f>AP55-AO55</f>
        <v>11</v>
      </c>
      <c r="AR55" s="3704">
        <f>$H55-MAX(AX55:CF55)</f>
        <v>105</v>
      </c>
      <c r="AS55" s="680">
        <f>+AR55/$H55</f>
        <v>0.49528301886792453</v>
      </c>
      <c r="AT55" s="3705" t="str">
        <f>F55&amp;"　"&amp;"合計"</f>
        <v>ルートイングランティア東海Spa &amp; Relaxation　合計</v>
      </c>
      <c r="AU55" s="3856"/>
      <c r="AV55" s="3856"/>
      <c r="AW55" s="3856"/>
      <c r="AX55" s="3706">
        <v>0</v>
      </c>
      <c r="AY55" s="280">
        <v>0</v>
      </c>
      <c r="AZ55" s="280">
        <v>0</v>
      </c>
      <c r="BA55" s="280">
        <v>0</v>
      </c>
      <c r="BB55" s="280">
        <v>0</v>
      </c>
      <c r="BC55" s="280">
        <v>0</v>
      </c>
      <c r="BD55" s="280">
        <v>0</v>
      </c>
      <c r="BE55" s="280">
        <v>0</v>
      </c>
      <c r="BF55" s="280">
        <v>0</v>
      </c>
      <c r="BG55" s="280">
        <v>0</v>
      </c>
      <c r="BH55" s="280">
        <v>0</v>
      </c>
      <c r="BI55" s="280">
        <v>0</v>
      </c>
      <c r="BJ55" s="280">
        <v>2</v>
      </c>
      <c r="BK55" s="280">
        <v>2</v>
      </c>
      <c r="BL55" s="280">
        <v>107</v>
      </c>
      <c r="BM55" s="280">
        <v>107</v>
      </c>
      <c r="BN55" s="280">
        <v>107</v>
      </c>
      <c r="BO55" s="280">
        <v>107</v>
      </c>
      <c r="BP55" s="280">
        <v>107</v>
      </c>
      <c r="BQ55" s="280">
        <v>107</v>
      </c>
      <c r="BR55" s="280">
        <v>107</v>
      </c>
      <c r="BS55" s="280">
        <v>107</v>
      </c>
      <c r="BT55" s="280">
        <v>107</v>
      </c>
      <c r="BU55" s="280">
        <v>107</v>
      </c>
      <c r="BV55" s="280">
        <v>0</v>
      </c>
      <c r="BW55" s="280">
        <v>0</v>
      </c>
      <c r="BX55" s="280">
        <v>0</v>
      </c>
      <c r="BY55" s="280">
        <v>0</v>
      </c>
      <c r="BZ55" s="280">
        <v>0</v>
      </c>
      <c r="CA55" s="280">
        <v>0</v>
      </c>
      <c r="CB55" s="280">
        <v>0</v>
      </c>
      <c r="CC55" s="280">
        <v>0</v>
      </c>
      <c r="CD55" s="280">
        <v>0</v>
      </c>
      <c r="CE55" s="280">
        <v>0</v>
      </c>
      <c r="CF55" s="606">
        <v>0</v>
      </c>
      <c r="CG55" s="3712"/>
      <c r="CH55" s="3737" cm="1">
        <f t="array" ref="CH55">SUM(IF(ISNUMBER($AX55:$CF55),$AX55:$CF55, 0))</f>
        <v>1074</v>
      </c>
      <c r="CI55" s="573"/>
      <c r="CJ55" s="610"/>
      <c r="CK55" s="611"/>
    </row>
    <row r="56" spans="1:89" s="521" customFormat="1" ht="46" customHeight="1" thickBot="1">
      <c r="A56" s="2862"/>
      <c r="B56" s="2863"/>
      <c r="C56" s="296"/>
      <c r="D56" s="297" t="s">
        <v>2129</v>
      </c>
      <c r="E56" s="302"/>
      <c r="F56" s="609"/>
      <c r="G56" s="2864">
        <v>0</v>
      </c>
      <c r="H56" s="2864">
        <v>0</v>
      </c>
      <c r="I56" s="2864">
        <v>0</v>
      </c>
      <c r="J56" s="2864">
        <v>0</v>
      </c>
      <c r="K56" s="2864">
        <v>0</v>
      </c>
      <c r="L56" s="2865">
        <v>0</v>
      </c>
      <c r="M56" s="2866">
        <v>0</v>
      </c>
      <c r="N56" s="2866">
        <v>0</v>
      </c>
      <c r="O56" s="2865">
        <v>0</v>
      </c>
      <c r="P56" s="2915">
        <v>0</v>
      </c>
      <c r="Q56" s="2866">
        <v>0</v>
      </c>
      <c r="R56" s="2866">
        <v>0</v>
      </c>
      <c r="S56" s="2866">
        <v>0</v>
      </c>
      <c r="T56" s="426"/>
      <c r="U56" s="296"/>
      <c r="V56" s="3341" t="s">
        <v>6861</v>
      </c>
      <c r="W56" s="478" t="s">
        <v>6862</v>
      </c>
      <c r="X56" s="479">
        <v>34</v>
      </c>
      <c r="Y56" s="3363"/>
      <c r="Z56" s="3343" t="str">
        <f>IFERROR(VLOOKUP($V56,[53]競技情報DB!$A$6:$H$181,3,),"－")</f>
        <v>－</v>
      </c>
      <c r="AA56" s="3354"/>
      <c r="AB56" s="3355"/>
      <c r="AC56" s="3670" t="str">
        <f>IFERROR(VLOOKUP($V56,[53]アジア練習会場!$A$3:$E$107,2,),"－")</f>
        <v>－</v>
      </c>
      <c r="AD56" s="3646"/>
      <c r="AE56" s="3647"/>
      <c r="AF56" s="3670" t="str">
        <f>IFERROR(VLOOKUP($V56,[53]アジア練習会場!$A$3:$E$107,3,),"－")</f>
        <v>－</v>
      </c>
      <c r="AG56" s="3671"/>
      <c r="AH56" s="3672"/>
      <c r="AI56" s="3673" t="str">
        <f>IFERROR(VLOOKUP($V56,[53]アジア練習会場!$A$3:$E$107,4,),"－")</f>
        <v>－</v>
      </c>
      <c r="AJ56" s="3671"/>
      <c r="AK56" s="3672"/>
      <c r="AL56" s="3673" t="str">
        <f>IFERROR(VLOOKUP($V56,[53]アジア練習会場!$A$3:$E$107,5,),"－")</f>
        <v>－</v>
      </c>
      <c r="AM56" s="3671"/>
      <c r="AN56" s="3674"/>
      <c r="AO56" s="3755"/>
      <c r="AP56" s="3755"/>
      <c r="AQ56" s="3756"/>
      <c r="AR56" s="3650"/>
      <c r="AS56" s="656"/>
      <c r="AT56" s="3675"/>
      <c r="AU56" s="3853"/>
      <c r="AV56" s="3853"/>
      <c r="AW56" s="3853"/>
      <c r="AX56" s="448"/>
      <c r="AY56" s="445"/>
      <c r="AZ56" s="445"/>
      <c r="BA56" s="445"/>
      <c r="BB56" s="445"/>
      <c r="BC56" s="445"/>
      <c r="BD56" s="445"/>
      <c r="BE56" s="445"/>
      <c r="BF56" s="445"/>
      <c r="BG56" s="445"/>
      <c r="BH56" s="445"/>
      <c r="BI56" s="445"/>
      <c r="BJ56" s="445"/>
      <c r="BK56" s="445"/>
      <c r="BL56" s="445"/>
      <c r="BM56" s="445"/>
      <c r="BN56" s="445"/>
      <c r="BO56" s="445"/>
      <c r="BP56" s="445"/>
      <c r="BQ56" s="445"/>
      <c r="BR56" s="445"/>
      <c r="BS56" s="445"/>
      <c r="BT56" s="445"/>
      <c r="BU56" s="445"/>
      <c r="BV56" s="445"/>
      <c r="BW56" s="445"/>
      <c r="BX56" s="445"/>
      <c r="BY56" s="445"/>
      <c r="BZ56" s="445"/>
      <c r="CA56" s="445"/>
      <c r="CB56" s="445"/>
      <c r="CC56" s="445"/>
      <c r="CD56" s="445"/>
      <c r="CE56" s="445"/>
      <c r="CF56" s="449"/>
      <c r="CG56" s="3712"/>
      <c r="CH56" s="3737"/>
      <c r="CI56" s="573"/>
      <c r="CJ56" s="610"/>
      <c r="CK56" s="611"/>
    </row>
    <row r="57" spans="1:89" ht="46" customHeight="1">
      <c r="A57" s="2862"/>
      <c r="B57" s="2863" t="s">
        <v>14</v>
      </c>
      <c r="C57" s="372">
        <f>C55+1</f>
        <v>23</v>
      </c>
      <c r="D57" s="2871">
        <v>307</v>
      </c>
      <c r="E57" s="6244" t="s">
        <v>6955</v>
      </c>
      <c r="F57" s="572" t="s">
        <v>3552</v>
      </c>
      <c r="G57" s="2872" t="s">
        <v>3553</v>
      </c>
      <c r="H57" s="2872" t="s">
        <v>3554</v>
      </c>
      <c r="I57" s="2872" t="s">
        <v>3555</v>
      </c>
      <c r="J57" s="2872" t="s">
        <v>3556</v>
      </c>
      <c r="K57" s="2872">
        <v>152</v>
      </c>
      <c r="L57" s="2873" t="s">
        <v>2129</v>
      </c>
      <c r="M57" s="2874" t="s">
        <v>2245</v>
      </c>
      <c r="N57" s="2874" t="s">
        <v>2132</v>
      </c>
      <c r="O57" s="2873" t="s">
        <v>3480</v>
      </c>
      <c r="P57" s="2914" t="s">
        <v>2134</v>
      </c>
      <c r="Q57" s="2874" t="s">
        <v>2134</v>
      </c>
      <c r="R57" s="2874" t="s">
        <v>2131</v>
      </c>
      <c r="S57" s="2874" t="s">
        <v>2274</v>
      </c>
      <c r="T57" s="377" t="s">
        <v>2133</v>
      </c>
      <c r="U57" s="372" t="s">
        <v>2136</v>
      </c>
      <c r="V57" s="387" t="s">
        <v>2267</v>
      </c>
      <c r="W57" s="388" t="s">
        <v>2261</v>
      </c>
      <c r="X57" s="389">
        <v>14</v>
      </c>
      <c r="Y57" s="3369">
        <f>SUM(X57:X60)</f>
        <v>185</v>
      </c>
      <c r="Z57" s="3322" t="str">
        <f>IFERROR(VLOOKUP($V57,[53]競技情報DB!$A$6:$H$181,3,),"－")</f>
        <v>愛知県国際展示場［Aichi Sky Expo］</v>
      </c>
      <c r="AA57" s="3323"/>
      <c r="AB57" s="3324"/>
      <c r="AC57" s="3638" t="str">
        <f>IFERROR(VLOOKUP($V57,[53]アジア練習会場!$A$3:$E$107,2,),"－")</f>
        <v>競技会場に設置</v>
      </c>
      <c r="AD57" s="3639">
        <v>21.4</v>
      </c>
      <c r="AE57" s="3640">
        <v>34</v>
      </c>
      <c r="AF57" s="3638" t="str">
        <f>IFERROR(VLOOKUP($V57,[53]アジア練習会場!$A$3:$E$107,3,),"－")</f>
        <v>ー</v>
      </c>
      <c r="AG57" s="3639"/>
      <c r="AH57" s="3640"/>
      <c r="AI57" s="3641" t="str">
        <f>IFERROR(VLOOKUP($V57,[53]アジア練習会場!$A$3:$E$107,4,),"－")</f>
        <v>ー</v>
      </c>
      <c r="AJ57" s="3639"/>
      <c r="AK57" s="3640"/>
      <c r="AL57" s="3641" t="str">
        <f>IFERROR(VLOOKUP($V57,[53]アジア練習会場!$A$3:$E$107,5,),"－")</f>
        <v>ー</v>
      </c>
      <c r="AM57" s="3639"/>
      <c r="AN57" s="3642"/>
      <c r="AO57" s="3757" cm="1">
        <f t="array" ref="AO57">_xlfn.LET(
  _xlpm.rng, AX57:CF57,
  _xlpm.header, $AX$3:$CF$3,
  _xlpm.idx, _xlfn.XMATCH(TRUE, _xlpm.rng&lt;&gt;0),
  _xlpm.dt, INDEX(_xlpm.header, _xlpm.idx),
  IF(YEAR(_xlpm.dt)&lt;&gt;2026, DATE(2026, MONTH(_xlpm.dt), DAY(_xlpm.dt)), _xlpm.dt)
)</f>
        <v>46279</v>
      </c>
      <c r="AP57" s="3757" cm="1">
        <f t="array" ref="AP57">_xlfn.LET(
  _xlpm.rng, AX57:CF57,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57" s="3758">
        <f>AP57-AO57</f>
        <v>20</v>
      </c>
      <c r="AR57" s="3660">
        <f>$H57-MAX(AX57:CF57)</f>
        <v>201</v>
      </c>
      <c r="AS57" s="647">
        <f>+AR57/$H57</f>
        <v>0.56779661016949157</v>
      </c>
      <c r="AT57" s="3644" t="str">
        <f>F57&amp;"　"&amp;"合計"</f>
        <v>スプリングサニーホテル名古屋常滑駅前　合計</v>
      </c>
      <c r="AU57" s="395"/>
      <c r="AV57" s="395"/>
      <c r="AW57" s="395"/>
      <c r="AX57" s="696">
        <v>0</v>
      </c>
      <c r="AY57" s="398">
        <v>0</v>
      </c>
      <c r="AZ57" s="398">
        <v>0</v>
      </c>
      <c r="BA57" s="398">
        <v>0</v>
      </c>
      <c r="BB57" s="398">
        <v>0</v>
      </c>
      <c r="BC57" s="398">
        <v>0</v>
      </c>
      <c r="BD57" s="398">
        <v>0</v>
      </c>
      <c r="BE57" s="398">
        <v>0</v>
      </c>
      <c r="BF57" s="398">
        <v>0</v>
      </c>
      <c r="BG57" s="398">
        <v>0</v>
      </c>
      <c r="BH57" s="398">
        <v>1</v>
      </c>
      <c r="BI57" s="398">
        <v>55</v>
      </c>
      <c r="BJ57" s="398">
        <v>55</v>
      </c>
      <c r="BK57" s="398">
        <v>112</v>
      </c>
      <c r="BL57" s="398">
        <v>117</v>
      </c>
      <c r="BM57" s="398">
        <v>152</v>
      </c>
      <c r="BN57" s="398">
        <v>152</v>
      </c>
      <c r="BO57" s="398">
        <v>152</v>
      </c>
      <c r="BP57" s="398">
        <v>152</v>
      </c>
      <c r="BQ57" s="398">
        <v>152</v>
      </c>
      <c r="BR57" s="398">
        <v>152</v>
      </c>
      <c r="BS57" s="398">
        <v>152</v>
      </c>
      <c r="BT57" s="398">
        <v>152</v>
      </c>
      <c r="BU57" s="398">
        <v>153</v>
      </c>
      <c r="BV57" s="398">
        <v>153</v>
      </c>
      <c r="BW57" s="398">
        <v>33</v>
      </c>
      <c r="BX57" s="398">
        <v>33</v>
      </c>
      <c r="BY57" s="398">
        <v>33</v>
      </c>
      <c r="BZ57" s="398">
        <v>33</v>
      </c>
      <c r="CA57" s="398">
        <v>33</v>
      </c>
      <c r="CB57" s="398">
        <v>33</v>
      </c>
      <c r="CC57" s="398">
        <v>0</v>
      </c>
      <c r="CD57" s="398">
        <v>0</v>
      </c>
      <c r="CE57" s="398">
        <v>0</v>
      </c>
      <c r="CF57" s="472">
        <v>0</v>
      </c>
      <c r="CG57" s="3712"/>
      <c r="CH57" s="3737" cm="1">
        <f t="array" ref="CH57">SUM(IF(ISNUMBER($AX57:$CF57),$AX57:$CF57, 0))</f>
        <v>2060</v>
      </c>
      <c r="CI57" s="573"/>
      <c r="CJ57" s="574"/>
      <c r="CK57" s="575"/>
    </row>
    <row r="58" spans="1:89" ht="46" customHeight="1">
      <c r="A58" s="2862"/>
      <c r="B58" s="2863"/>
      <c r="C58" s="296"/>
      <c r="D58" s="297"/>
      <c r="E58" s="302"/>
      <c r="F58" s="298"/>
      <c r="G58" s="2864"/>
      <c r="H58" s="2864"/>
      <c r="I58" s="2864">
        <v>0</v>
      </c>
      <c r="J58" s="2864">
        <v>0</v>
      </c>
      <c r="K58" s="2864">
        <v>0</v>
      </c>
      <c r="L58" s="2865"/>
      <c r="M58" s="2866"/>
      <c r="N58" s="2866"/>
      <c r="O58" s="2865"/>
      <c r="P58" s="2866"/>
      <c r="Q58" s="2866"/>
      <c r="R58" s="2866"/>
      <c r="S58" s="2866"/>
      <c r="T58" s="302" t="s">
        <v>2129</v>
      </c>
      <c r="U58" s="296"/>
      <c r="V58" s="413" t="s">
        <v>2165</v>
      </c>
      <c r="W58" s="313" t="s">
        <v>2261</v>
      </c>
      <c r="X58" s="314">
        <v>33</v>
      </c>
      <c r="Y58" s="315"/>
      <c r="Z58" s="3308" t="str">
        <f>IFERROR(VLOOKUP($V58,[53]競技情報DB!$A$6:$H$181,3,),"－")</f>
        <v>愛知県国際展示場［Aichi Sky Expo］</v>
      </c>
      <c r="AA58" s="3316"/>
      <c r="AB58" s="3317"/>
      <c r="AC58" s="3652" t="str">
        <f>IFERROR(VLOOKUP($V58,[53]アジア練習会場!$A$3:$E$107,2,),"－")</f>
        <v>競技会場に設置</v>
      </c>
      <c r="AD58" s="3653">
        <v>5.7</v>
      </c>
      <c r="AE58" s="3654">
        <v>15</v>
      </c>
      <c r="AF58" s="3655" t="str">
        <f>IFERROR(VLOOKUP($V58,[53]アジア練習会場!$A$3:$E$107,3,),"－")</f>
        <v>ー</v>
      </c>
      <c r="AG58" s="3656">
        <v>16.100000000000001</v>
      </c>
      <c r="AH58" s="3657">
        <v>30</v>
      </c>
      <c r="AI58" s="3658" t="str">
        <f>IFERROR(VLOOKUP($V58,[53]アジア練習会場!$A$3:$E$107,4,),"－")</f>
        <v>ー</v>
      </c>
      <c r="AJ58" s="3656"/>
      <c r="AK58" s="3657"/>
      <c r="AL58" s="3658" t="str">
        <f>IFERROR(VLOOKUP($V58,[53]アジア練習会場!$A$3:$E$107,5,),"－")</f>
        <v>ー</v>
      </c>
      <c r="AM58" s="3656"/>
      <c r="AN58" s="3659"/>
      <c r="AO58" s="3759"/>
      <c r="AP58" s="3759"/>
      <c r="AQ58" s="3760"/>
      <c r="AR58" s="3660"/>
      <c r="AS58" s="311"/>
      <c r="AT58" s="3661"/>
      <c r="AU58" s="3853"/>
      <c r="AV58" s="3853"/>
      <c r="AW58" s="3853"/>
      <c r="AX58" s="339"/>
      <c r="AY58" s="336"/>
      <c r="AZ58" s="336"/>
      <c r="BA58" s="336"/>
      <c r="BB58" s="336"/>
      <c r="BC58" s="336"/>
      <c r="BD58" s="336"/>
      <c r="BE58" s="336"/>
      <c r="BF58" s="336"/>
      <c r="BG58" s="336"/>
      <c r="BH58" s="336"/>
      <c r="BI58" s="336"/>
      <c r="BJ58" s="336"/>
      <c r="BK58" s="336"/>
      <c r="BL58" s="336"/>
      <c r="BM58" s="336"/>
      <c r="BN58" s="336"/>
      <c r="BO58" s="336"/>
      <c r="BP58" s="336"/>
      <c r="BQ58" s="336"/>
      <c r="BR58" s="336"/>
      <c r="BS58" s="336"/>
      <c r="BT58" s="336"/>
      <c r="BU58" s="336"/>
      <c r="BV58" s="336"/>
      <c r="BW58" s="336"/>
      <c r="BX58" s="336"/>
      <c r="BY58" s="336"/>
      <c r="BZ58" s="336"/>
      <c r="CA58" s="336"/>
      <c r="CB58" s="336"/>
      <c r="CC58" s="336"/>
      <c r="CD58" s="336"/>
      <c r="CE58" s="336"/>
      <c r="CF58" s="340"/>
      <c r="CG58" s="3712"/>
      <c r="CH58" s="3737"/>
      <c r="CI58" s="290"/>
      <c r="CJ58" s="332"/>
      <c r="CK58" s="333"/>
    </row>
    <row r="59" spans="1:89" ht="46" customHeight="1">
      <c r="A59" s="2862"/>
      <c r="B59" s="2863"/>
      <c r="C59" s="296"/>
      <c r="D59" s="297"/>
      <c r="E59" s="302"/>
      <c r="F59" s="298"/>
      <c r="G59" s="2864"/>
      <c r="H59" s="2864"/>
      <c r="I59" s="2864">
        <v>0</v>
      </c>
      <c r="J59" s="2864">
        <v>0</v>
      </c>
      <c r="K59" s="2864">
        <v>0</v>
      </c>
      <c r="L59" s="2865"/>
      <c r="M59" s="2866"/>
      <c r="N59" s="2866"/>
      <c r="O59" s="2865"/>
      <c r="P59" s="2866"/>
      <c r="Q59" s="2866"/>
      <c r="R59" s="2866"/>
      <c r="S59" s="2866"/>
      <c r="T59" s="302" t="s">
        <v>2129</v>
      </c>
      <c r="U59" s="296"/>
      <c r="V59" s="413" t="s">
        <v>2263</v>
      </c>
      <c r="W59" s="313" t="s">
        <v>2261</v>
      </c>
      <c r="X59" s="314">
        <v>26</v>
      </c>
      <c r="Y59" s="315"/>
      <c r="Z59" s="3308" t="str">
        <f>IFERROR(VLOOKUP($V59,[53]競技情報DB!$A$6:$H$181,3,),"－")</f>
        <v>愛知県国際展示場［Aichi Sky Expo］</v>
      </c>
      <c r="AA59" s="3316"/>
      <c r="AB59" s="3317"/>
      <c r="AC59" s="3652" t="str">
        <f>IFERROR(VLOOKUP($V59,[53]アジア練習会場!$A$3:$E$107,2,),"－")</f>
        <v>競技会場に設置</v>
      </c>
      <c r="AD59" s="3653">
        <v>5.7</v>
      </c>
      <c r="AE59" s="3654">
        <v>15</v>
      </c>
      <c r="AF59" s="3655" t="str">
        <f>IFERROR(VLOOKUP($V59,[53]アジア練習会場!$A$3:$E$107,3,),"－")</f>
        <v>ー</v>
      </c>
      <c r="AG59" s="3656">
        <v>16.100000000000001</v>
      </c>
      <c r="AH59" s="3657">
        <v>30</v>
      </c>
      <c r="AI59" s="3658" t="str">
        <f>IFERROR(VLOOKUP($V59,[53]アジア練習会場!$A$3:$E$107,4,),"－")</f>
        <v>ー</v>
      </c>
      <c r="AJ59" s="3656"/>
      <c r="AK59" s="3657"/>
      <c r="AL59" s="3658" t="str">
        <f>IFERROR(VLOOKUP($V59,[53]アジア練習会場!$A$3:$E$107,5,),"－")</f>
        <v>ー</v>
      </c>
      <c r="AM59" s="3656"/>
      <c r="AN59" s="3659"/>
      <c r="AO59" s="3759"/>
      <c r="AP59" s="3759"/>
      <c r="AQ59" s="3760"/>
      <c r="AR59" s="3660"/>
      <c r="AS59" s="311"/>
      <c r="AT59" s="3661"/>
      <c r="AU59" s="3853"/>
      <c r="AV59" s="3853"/>
      <c r="AW59" s="3853"/>
      <c r="AX59" s="339"/>
      <c r="AY59" s="336"/>
      <c r="AZ59" s="336"/>
      <c r="BA59" s="336"/>
      <c r="BB59" s="336"/>
      <c r="BC59" s="336"/>
      <c r="BD59" s="336"/>
      <c r="BE59" s="336"/>
      <c r="BF59" s="336"/>
      <c r="BG59" s="336"/>
      <c r="BH59" s="336"/>
      <c r="BI59" s="336"/>
      <c r="BJ59" s="336"/>
      <c r="BK59" s="336"/>
      <c r="BL59" s="336"/>
      <c r="BM59" s="336"/>
      <c r="BN59" s="336"/>
      <c r="BO59" s="336"/>
      <c r="BP59" s="336"/>
      <c r="BQ59" s="336"/>
      <c r="BR59" s="336"/>
      <c r="BS59" s="336"/>
      <c r="BT59" s="336"/>
      <c r="BU59" s="336"/>
      <c r="BV59" s="336"/>
      <c r="BW59" s="336"/>
      <c r="BX59" s="336"/>
      <c r="BY59" s="336"/>
      <c r="BZ59" s="336"/>
      <c r="CA59" s="336"/>
      <c r="CB59" s="336"/>
      <c r="CC59" s="336"/>
      <c r="CD59" s="336"/>
      <c r="CE59" s="336"/>
      <c r="CF59" s="340"/>
      <c r="CG59" s="3712"/>
      <c r="CH59" s="3737"/>
      <c r="CI59" s="290"/>
      <c r="CJ59" s="332"/>
      <c r="CK59" s="333"/>
    </row>
    <row r="60" spans="1:89" s="521" customFormat="1" ht="46" customHeight="1" thickBot="1">
      <c r="A60" s="2862"/>
      <c r="B60" s="2863"/>
      <c r="C60" s="420"/>
      <c r="D60" s="421" t="s">
        <v>2129</v>
      </c>
      <c r="E60" s="426"/>
      <c r="F60" s="612"/>
      <c r="G60" s="2875">
        <v>0</v>
      </c>
      <c r="H60" s="2875">
        <v>0</v>
      </c>
      <c r="I60" s="2875">
        <v>0</v>
      </c>
      <c r="J60" s="2875">
        <v>0</v>
      </c>
      <c r="K60" s="2875">
        <v>0</v>
      </c>
      <c r="L60" s="2877">
        <v>0</v>
      </c>
      <c r="M60" s="2878">
        <v>0</v>
      </c>
      <c r="N60" s="2878">
        <v>0</v>
      </c>
      <c r="O60" s="2877">
        <v>0</v>
      </c>
      <c r="P60" s="2916">
        <v>0</v>
      </c>
      <c r="Q60" s="2878">
        <v>0</v>
      </c>
      <c r="R60" s="2878">
        <v>0</v>
      </c>
      <c r="S60" s="2878">
        <v>0</v>
      </c>
      <c r="T60" s="426"/>
      <c r="U60" s="420"/>
      <c r="V60" s="3341" t="s">
        <v>2276</v>
      </c>
      <c r="W60" s="478" t="s">
        <v>2261</v>
      </c>
      <c r="X60" s="479">
        <v>112</v>
      </c>
      <c r="Y60" s="3365"/>
      <c r="Z60" s="3343" t="str">
        <f>IFERROR(VLOOKUP($V60,[53]競技情報DB!$A$6:$H$181,3,),"－")</f>
        <v>愛知県国際展示場［Aichi Sky Expo］</v>
      </c>
      <c r="AA60" s="3354"/>
      <c r="AB60" s="3355"/>
      <c r="AC60" s="3670" t="str">
        <f>IFERROR(VLOOKUP($V60,[53]アジア練習会場!$A$3:$E$107,2,),"－")</f>
        <v>競技会場に設置</v>
      </c>
      <c r="AD60" s="3646"/>
      <c r="AE60" s="3647" t="s">
        <v>3557</v>
      </c>
      <c r="AF60" s="3670" t="str">
        <f>IFERROR(VLOOKUP($V60,[53]アジア練習会場!$A$3:$E$107,3,),"－")</f>
        <v>ー</v>
      </c>
      <c r="AG60" s="3671"/>
      <c r="AH60" s="3672"/>
      <c r="AI60" s="3673" t="str">
        <f>IFERROR(VLOOKUP($V60,[53]アジア練習会場!$A$3:$E$107,4,),"－")</f>
        <v>ー</v>
      </c>
      <c r="AJ60" s="3671"/>
      <c r="AK60" s="3672"/>
      <c r="AL60" s="3673" t="str">
        <f>IFERROR(VLOOKUP($V60,[53]アジア練習会場!$A$3:$E$107,5,),"－")</f>
        <v>ー</v>
      </c>
      <c r="AM60" s="3671"/>
      <c r="AN60" s="3674"/>
      <c r="AO60" s="3755"/>
      <c r="AP60" s="3755"/>
      <c r="AQ60" s="3756"/>
      <c r="AR60" s="3650"/>
      <c r="AS60" s="652"/>
      <c r="AT60" s="3651"/>
      <c r="AU60" s="443"/>
      <c r="AV60" s="443"/>
      <c r="AW60" s="443"/>
      <c r="AX60" s="448"/>
      <c r="AY60" s="445"/>
      <c r="AZ60" s="445"/>
      <c r="BA60" s="445"/>
      <c r="BB60" s="445"/>
      <c r="BC60" s="445"/>
      <c r="BD60" s="445"/>
      <c r="BE60" s="445"/>
      <c r="BF60" s="445"/>
      <c r="BG60" s="445"/>
      <c r="BH60" s="445"/>
      <c r="BI60" s="445"/>
      <c r="BJ60" s="445"/>
      <c r="BK60" s="445"/>
      <c r="BL60" s="445"/>
      <c r="BM60" s="445"/>
      <c r="BN60" s="445"/>
      <c r="BO60" s="445"/>
      <c r="BP60" s="445"/>
      <c r="BQ60" s="445"/>
      <c r="BR60" s="445"/>
      <c r="BS60" s="445"/>
      <c r="BT60" s="445"/>
      <c r="BU60" s="445"/>
      <c r="BV60" s="445"/>
      <c r="BW60" s="445"/>
      <c r="BX60" s="445"/>
      <c r="BY60" s="445"/>
      <c r="BZ60" s="445"/>
      <c r="CA60" s="445"/>
      <c r="CB60" s="445"/>
      <c r="CC60" s="336"/>
      <c r="CD60" s="445"/>
      <c r="CE60" s="445"/>
      <c r="CF60" s="449"/>
      <c r="CG60" s="3712"/>
      <c r="CH60" s="3737"/>
      <c r="CI60" s="573"/>
      <c r="CJ60" s="614"/>
      <c r="CK60" s="615"/>
    </row>
    <row r="61" spans="1:89" ht="46" customHeight="1">
      <c r="A61" s="2862"/>
      <c r="B61" s="2863"/>
      <c r="C61" s="372">
        <f>C57+1</f>
        <v>24</v>
      </c>
      <c r="D61" s="2871">
        <v>301</v>
      </c>
      <c r="E61" s="6243" t="s">
        <v>6955</v>
      </c>
      <c r="F61" s="572" t="s">
        <v>3558</v>
      </c>
      <c r="G61" s="2872" t="s">
        <v>3559</v>
      </c>
      <c r="H61" s="2872" t="s">
        <v>3560</v>
      </c>
      <c r="I61" s="2872" t="s">
        <v>3561</v>
      </c>
      <c r="J61" s="2872" t="s">
        <v>3562</v>
      </c>
      <c r="K61" s="2872">
        <v>71</v>
      </c>
      <c r="L61" s="2873" t="s">
        <v>2129</v>
      </c>
      <c r="M61" s="2874" t="s">
        <v>2245</v>
      </c>
      <c r="N61" s="2874" t="s">
        <v>2229</v>
      </c>
      <c r="O61" s="2873" t="s">
        <v>3480</v>
      </c>
      <c r="P61" s="2914" t="s">
        <v>2133</v>
      </c>
      <c r="Q61" s="2874" t="s">
        <v>2134</v>
      </c>
      <c r="R61" s="2874" t="s">
        <v>2133</v>
      </c>
      <c r="S61" s="2874" t="s">
        <v>2160</v>
      </c>
      <c r="T61" s="377" t="s">
        <v>2133</v>
      </c>
      <c r="U61" s="372" t="s">
        <v>2136</v>
      </c>
      <c r="V61" s="387" t="s">
        <v>2266</v>
      </c>
      <c r="W61" s="388" t="s">
        <v>2261</v>
      </c>
      <c r="X61" s="389">
        <v>71</v>
      </c>
      <c r="Y61" s="3369">
        <f>SUM(X61:X62)</f>
        <v>71</v>
      </c>
      <c r="Z61" s="3322" t="str">
        <f>IFERROR(VLOOKUP($V61,[53]競技情報DB!$A$6:$H$181,3,),"－")</f>
        <v>愛知県国際展示場［Aichi Sky Expo］</v>
      </c>
      <c r="AA61" s="3323"/>
      <c r="AB61" s="3324"/>
      <c r="AC61" s="3638" t="str">
        <f>IFERROR(VLOOKUP($V61,[53]アジア練習会場!$A$3:$E$107,2,),"－")</f>
        <v>－</v>
      </c>
      <c r="AD61" s="3639">
        <v>0</v>
      </c>
      <c r="AE61" s="3640">
        <v>1</v>
      </c>
      <c r="AF61" s="3638" t="str">
        <f>IFERROR(VLOOKUP($V61,[53]アジア練習会場!$A$3:$E$107,3,),"－")</f>
        <v>－</v>
      </c>
      <c r="AG61" s="3639"/>
      <c r="AH61" s="3640"/>
      <c r="AI61" s="3641" t="str">
        <f>IFERROR(VLOOKUP($V61,[53]アジア練習会場!$A$3:$E$107,4,),"－")</f>
        <v>－</v>
      </c>
      <c r="AJ61" s="3639"/>
      <c r="AK61" s="3640"/>
      <c r="AL61" s="3641" t="str">
        <f>IFERROR(VLOOKUP($V61,[53]アジア練習会場!$A$3:$E$107,5,),"－")</f>
        <v>－</v>
      </c>
      <c r="AM61" s="3639"/>
      <c r="AN61" s="3642"/>
      <c r="AO61" s="3757" cm="1">
        <f t="array" ref="AO61">_xlfn.LET(
  _xlpm.rng, AX61:CF61,
  _xlpm.header, $AX$3:$CF$3,
  _xlpm.idx, _xlfn.XMATCH(TRUE, _xlpm.rng&lt;&gt;0),
  _xlpm.dt, INDEX(_xlpm.header, _xlpm.idx),
  IF(YEAR(_xlpm.dt)&lt;&gt;2026, DATE(2026, MONTH(_xlpm.dt), DAY(_xlpm.dt)), _xlpm.dt)
)</f>
        <v>46283</v>
      </c>
      <c r="AP61" s="3757" cm="1">
        <f t="array" ref="AP61">_xlfn.LET(
  _xlpm.rng, AX61:CF61,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61" s="3758">
        <f>AP61-AO61</f>
        <v>15</v>
      </c>
      <c r="AR61" s="3660">
        <f>$H61-MAX(AX61:CF61)</f>
        <v>434</v>
      </c>
      <c r="AS61" s="647">
        <f>+AR61/$H61</f>
        <v>0.85940594059405939</v>
      </c>
      <c r="AT61" s="3644" t="str">
        <f>F61&amp;"　"&amp;"合計"</f>
        <v>コンフォートホテル中部国際空港　合計</v>
      </c>
      <c r="AU61" s="395"/>
      <c r="AV61" s="395"/>
      <c r="AW61" s="395"/>
      <c r="AX61" s="696">
        <v>0</v>
      </c>
      <c r="AY61" s="398">
        <v>0</v>
      </c>
      <c r="AZ61" s="398">
        <v>0</v>
      </c>
      <c r="BA61" s="398">
        <v>0</v>
      </c>
      <c r="BB61" s="398">
        <v>0</v>
      </c>
      <c r="BC61" s="398">
        <v>0</v>
      </c>
      <c r="BD61" s="398">
        <v>0</v>
      </c>
      <c r="BE61" s="398">
        <v>0</v>
      </c>
      <c r="BF61" s="398">
        <v>0</v>
      </c>
      <c r="BG61" s="398">
        <v>0</v>
      </c>
      <c r="BH61" s="398">
        <v>0</v>
      </c>
      <c r="BI61" s="398">
        <v>0</v>
      </c>
      <c r="BJ61" s="398">
        <v>0</v>
      </c>
      <c r="BK61" s="398">
        <v>0</v>
      </c>
      <c r="BL61" s="398">
        <v>1</v>
      </c>
      <c r="BM61" s="398">
        <v>1</v>
      </c>
      <c r="BN61" s="398">
        <v>71</v>
      </c>
      <c r="BO61" s="398">
        <v>71</v>
      </c>
      <c r="BP61" s="398">
        <v>71</v>
      </c>
      <c r="BQ61" s="398">
        <v>71</v>
      </c>
      <c r="BR61" s="398">
        <v>71</v>
      </c>
      <c r="BS61" s="398">
        <v>71</v>
      </c>
      <c r="BT61" s="398">
        <v>71</v>
      </c>
      <c r="BU61" s="398">
        <v>71</v>
      </c>
      <c r="BV61" s="398">
        <v>71</v>
      </c>
      <c r="BW61" s="398">
        <v>71</v>
      </c>
      <c r="BX61" s="398">
        <v>71</v>
      </c>
      <c r="BY61" s="398">
        <v>71</v>
      </c>
      <c r="BZ61" s="398">
        <v>71</v>
      </c>
      <c r="CA61" s="398">
        <v>71</v>
      </c>
      <c r="CB61" s="398">
        <v>0</v>
      </c>
      <c r="CC61" s="398">
        <v>0</v>
      </c>
      <c r="CD61" s="398">
        <v>0</v>
      </c>
      <c r="CE61" s="398">
        <v>0</v>
      </c>
      <c r="CF61" s="472">
        <v>0</v>
      </c>
      <c r="CG61" s="3712"/>
      <c r="CH61" s="3737" cm="1">
        <f t="array" ref="CH61">SUM(IF(ISNUMBER($AX61:$CF61),$AX61:$CF61, 0))</f>
        <v>996</v>
      </c>
      <c r="CI61" s="573"/>
      <c r="CJ61" s="574"/>
      <c r="CK61" s="575"/>
    </row>
    <row r="62" spans="1:89" s="521" customFormat="1" ht="46" customHeight="1" thickBot="1">
      <c r="A62" s="3686"/>
      <c r="B62" s="2867"/>
      <c r="C62" s="343"/>
      <c r="D62" s="344" t="s">
        <v>2129</v>
      </c>
      <c r="E62" s="349"/>
      <c r="F62" s="577"/>
      <c r="G62" s="2868">
        <v>0</v>
      </c>
      <c r="H62" s="2868">
        <v>0</v>
      </c>
      <c r="I62" s="2868">
        <v>0</v>
      </c>
      <c r="J62" s="2868"/>
      <c r="K62" s="2868">
        <v>0</v>
      </c>
      <c r="L62" s="2869">
        <v>0</v>
      </c>
      <c r="M62" s="2870">
        <v>0</v>
      </c>
      <c r="N62" s="2870">
        <v>0</v>
      </c>
      <c r="O62" s="2869">
        <v>0</v>
      </c>
      <c r="P62" s="3707">
        <v>0</v>
      </c>
      <c r="Q62" s="2870">
        <v>0</v>
      </c>
      <c r="R62" s="2870">
        <v>0</v>
      </c>
      <c r="S62" s="2870">
        <v>0</v>
      </c>
      <c r="T62" s="349" t="s">
        <v>2129</v>
      </c>
      <c r="U62" s="343"/>
      <c r="V62" s="3687"/>
      <c r="W62" s="583" t="s">
        <v>2134</v>
      </c>
      <c r="X62" s="584">
        <v>0</v>
      </c>
      <c r="Y62" s="3708"/>
      <c r="Z62" s="3688" t="str">
        <f>IFERROR(VLOOKUP($V62,[53]競技情報DB!$A$6:$H$181,3,),"－")</f>
        <v>－</v>
      </c>
      <c r="AA62" s="3334"/>
      <c r="AB62" s="3335"/>
      <c r="AC62" s="3689" t="str">
        <f>IFERROR(VLOOKUP($V62,[53]アジア練習会場!$A$3:$E$107,2,),"－")</f>
        <v>－</v>
      </c>
      <c r="AD62" s="3690"/>
      <c r="AE62" s="3691"/>
      <c r="AF62" s="3689" t="str">
        <f>IFERROR(VLOOKUP($V62,[53]アジア練習会場!$A$3:$E$107,3,),"－")</f>
        <v>－</v>
      </c>
      <c r="AG62" s="3692"/>
      <c r="AH62" s="3693"/>
      <c r="AI62" s="3694" t="str">
        <f>IFERROR(VLOOKUP($V62,[53]アジア練習会場!$A$3:$E$107,4,),"－")</f>
        <v>－</v>
      </c>
      <c r="AJ62" s="3692"/>
      <c r="AK62" s="3693"/>
      <c r="AL62" s="3694" t="str">
        <f>IFERROR(VLOOKUP($V62,[53]アジア練習会場!$A$3:$E$107,5,),"－")</f>
        <v>－</v>
      </c>
      <c r="AM62" s="3692"/>
      <c r="AN62" s="3695"/>
      <c r="AO62" s="3761"/>
      <c r="AP62" s="3761"/>
      <c r="AQ62" s="3762"/>
      <c r="AR62" s="3696"/>
      <c r="AS62" s="3709"/>
      <c r="AT62" s="3697"/>
      <c r="AU62" s="3855"/>
      <c r="AV62" s="3855"/>
      <c r="AW62" s="3855"/>
      <c r="AX62" s="3698"/>
      <c r="AY62" s="368"/>
      <c r="AZ62" s="368"/>
      <c r="BA62" s="368"/>
      <c r="BB62" s="368"/>
      <c r="BC62" s="368"/>
      <c r="BD62" s="368"/>
      <c r="BE62" s="368"/>
      <c r="BF62" s="368"/>
      <c r="BG62" s="368"/>
      <c r="BH62" s="368"/>
      <c r="BI62" s="368"/>
      <c r="BJ62" s="368"/>
      <c r="BK62" s="368"/>
      <c r="BL62" s="368"/>
      <c r="BM62" s="368"/>
      <c r="BN62" s="368"/>
      <c r="BO62" s="368"/>
      <c r="BP62" s="368"/>
      <c r="BQ62" s="368"/>
      <c r="BR62" s="368"/>
      <c r="BS62" s="368"/>
      <c r="BT62" s="368"/>
      <c r="BU62" s="368"/>
      <c r="BV62" s="368"/>
      <c r="BW62" s="368"/>
      <c r="BX62" s="368"/>
      <c r="BY62" s="368"/>
      <c r="BZ62" s="368"/>
      <c r="CA62" s="368"/>
      <c r="CB62" s="368"/>
      <c r="CC62" s="368"/>
      <c r="CD62" s="368"/>
      <c r="CE62" s="368"/>
      <c r="CF62" s="369"/>
      <c r="CG62" s="3712"/>
      <c r="CH62" s="3737"/>
      <c r="CI62" s="573"/>
      <c r="CJ62" s="614"/>
      <c r="CK62" s="615"/>
    </row>
    <row r="63" spans="1:89" ht="46" customHeight="1">
      <c r="A63" s="2862" t="s">
        <v>2474</v>
      </c>
      <c r="B63" s="2863" t="s">
        <v>18</v>
      </c>
      <c r="C63" s="296">
        <f>C61+1</f>
        <v>25</v>
      </c>
      <c r="D63" s="297">
        <v>1036</v>
      </c>
      <c r="E63" s="6246" t="s">
        <v>6955</v>
      </c>
      <c r="F63" s="609" t="s">
        <v>3563</v>
      </c>
      <c r="G63" s="2864" t="s">
        <v>2129</v>
      </c>
      <c r="H63" s="2864" t="s">
        <v>2129</v>
      </c>
      <c r="I63" s="2864" t="s">
        <v>2129</v>
      </c>
      <c r="J63" s="2864" t="s">
        <v>2129</v>
      </c>
      <c r="K63" s="2864">
        <v>126</v>
      </c>
      <c r="L63" s="2865" t="s">
        <v>2129</v>
      </c>
      <c r="M63" s="2866" t="s">
        <v>2129</v>
      </c>
      <c r="N63" s="2866" t="s">
        <v>2129</v>
      </c>
      <c r="O63" s="2865" t="s">
        <v>2129</v>
      </c>
      <c r="P63" s="2915" t="s">
        <v>2129</v>
      </c>
      <c r="Q63" s="2866" t="s">
        <v>2129</v>
      </c>
      <c r="R63" s="2866" t="s">
        <v>2129</v>
      </c>
      <c r="S63" s="2866" t="s">
        <v>2129</v>
      </c>
      <c r="T63" s="302" t="s">
        <v>2133</v>
      </c>
      <c r="U63" s="296" t="s">
        <v>2136</v>
      </c>
      <c r="V63" s="703" t="s">
        <v>2525</v>
      </c>
      <c r="W63" s="528" t="s">
        <v>2158</v>
      </c>
      <c r="X63" s="529">
        <v>58</v>
      </c>
      <c r="Y63" s="3363">
        <f>SUM(X63:X64)</f>
        <v>125</v>
      </c>
      <c r="Z63" s="3350" t="str">
        <f>IFERROR(VLOOKUP($V63,[53]競技情報DB!$A$6:$H$181,3,),"－")</f>
        <v>安城市総合運動公園陸上競技場他</v>
      </c>
      <c r="AA63" s="3351"/>
      <c r="AB63" s="3352"/>
      <c r="AC63" s="3662" t="str">
        <f>IFERROR(VLOOKUP($V63,[53]アジア練習会場!$A$3:$E$107,2,),"－")</f>
        <v>競技会場に設置</v>
      </c>
      <c r="AD63" s="3663">
        <v>7.5</v>
      </c>
      <c r="AE63" s="3664">
        <v>14</v>
      </c>
      <c r="AF63" s="3662" t="str">
        <f>IFERROR(VLOOKUP($V63,[53]アジア練習会場!$A$3:$E$107,3,),"－")</f>
        <v>ー</v>
      </c>
      <c r="AG63" s="3663">
        <v>3.6</v>
      </c>
      <c r="AH63" s="3664">
        <v>8</v>
      </c>
      <c r="AI63" s="3665" t="str">
        <f>IFERROR(VLOOKUP($V63,[53]アジア練習会場!$A$3:$E$107,4,),"－")</f>
        <v>ー</v>
      </c>
      <c r="AJ63" s="3663"/>
      <c r="AK63" s="3664"/>
      <c r="AL63" s="3665" t="str">
        <f>IFERROR(VLOOKUP($V63,[53]アジア練習会場!$A$3:$E$107,5,),"－")</f>
        <v>ー</v>
      </c>
      <c r="AM63" s="3663"/>
      <c r="AN63" s="3666"/>
      <c r="AO63" s="3757" cm="1">
        <f t="array" ref="AO63">_xlfn.LET(
  _xlpm.rng, AX63:CF63,
  _xlpm.header, $AX$3:$CF$3,
  _xlpm.idx, _xlfn.XMATCH(TRUE, _xlpm.rng&lt;&gt;0),
  _xlpm.dt, INDEX(_xlpm.header, _xlpm.idx),
  IF(YEAR(_xlpm.dt)&lt;&gt;2026, DATE(2026, MONTH(_xlpm.dt), DAY(_xlpm.dt)), _xlpm.dt)
)</f>
        <v>46276</v>
      </c>
      <c r="AP63" s="3757" cm="1">
        <f t="array" ref="AP63">_xlfn.LET(
  _xlpm.rng, AX63:CF63,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63" s="3758">
        <f>AP63-AO63</f>
        <v>23</v>
      </c>
      <c r="AR63" s="3710" t="e">
        <f>$H63-MAX(AX63:CF63)</f>
        <v>#VALUE!</v>
      </c>
      <c r="AS63" s="3711" t="e">
        <f>+AR63/$H63</f>
        <v>#VALUE!</v>
      </c>
      <c r="AT63" s="3667" t="str">
        <f>F63&amp;"　"&amp;"合計"</f>
        <v>衣浦グランドホテル　合計</v>
      </c>
      <c r="AU63" s="3854"/>
      <c r="AV63" s="3854"/>
      <c r="AW63" s="3854"/>
      <c r="AX63" s="496">
        <v>0</v>
      </c>
      <c r="AY63" s="494">
        <v>0</v>
      </c>
      <c r="AZ63" s="494">
        <v>0</v>
      </c>
      <c r="BA63" s="494">
        <v>0</v>
      </c>
      <c r="BB63" s="494">
        <v>0</v>
      </c>
      <c r="BC63" s="494">
        <v>0</v>
      </c>
      <c r="BD63" s="494">
        <v>0</v>
      </c>
      <c r="BE63" s="494">
        <v>2</v>
      </c>
      <c r="BF63" s="494">
        <v>7</v>
      </c>
      <c r="BG63" s="494">
        <v>58</v>
      </c>
      <c r="BH63" s="494">
        <v>58</v>
      </c>
      <c r="BI63" s="494">
        <v>59</v>
      </c>
      <c r="BJ63" s="494">
        <v>125</v>
      </c>
      <c r="BK63" s="494">
        <v>125</v>
      </c>
      <c r="BL63" s="494">
        <v>125</v>
      </c>
      <c r="BM63" s="494">
        <v>125</v>
      </c>
      <c r="BN63" s="494">
        <v>125</v>
      </c>
      <c r="BO63" s="494">
        <v>125</v>
      </c>
      <c r="BP63" s="494">
        <v>67</v>
      </c>
      <c r="BQ63" s="494">
        <v>67</v>
      </c>
      <c r="BR63" s="494">
        <v>67</v>
      </c>
      <c r="BS63" s="494">
        <v>67</v>
      </c>
      <c r="BT63" s="494">
        <v>67</v>
      </c>
      <c r="BU63" s="494">
        <v>67</v>
      </c>
      <c r="BV63" s="494">
        <v>67</v>
      </c>
      <c r="BW63" s="494">
        <v>67</v>
      </c>
      <c r="BX63" s="494">
        <v>67</v>
      </c>
      <c r="BY63" s="494">
        <v>67</v>
      </c>
      <c r="BZ63" s="494">
        <v>67</v>
      </c>
      <c r="CA63" s="494">
        <v>67</v>
      </c>
      <c r="CB63" s="494">
        <v>67</v>
      </c>
      <c r="CC63" s="494">
        <v>0</v>
      </c>
      <c r="CD63" s="494">
        <v>0</v>
      </c>
      <c r="CE63" s="494">
        <v>0</v>
      </c>
      <c r="CF63" s="499">
        <v>0</v>
      </c>
      <c r="CG63" s="3712"/>
      <c r="CH63" s="3737" cm="1">
        <f t="array" ref="CH63">SUM(IF(ISNUMBER($AX63:$CF63),$AX63:$CF63, 0))</f>
        <v>1805</v>
      </c>
      <c r="CI63" s="573"/>
      <c r="CJ63" s="610"/>
      <c r="CK63" s="611"/>
    </row>
    <row r="64" spans="1:89" s="561" customFormat="1" ht="46" customHeight="1">
      <c r="A64" s="2862"/>
      <c r="B64" s="296"/>
      <c r="C64" s="420"/>
      <c r="D64" s="421" t="s">
        <v>2129</v>
      </c>
      <c r="E64" s="426"/>
      <c r="F64" s="612"/>
      <c r="G64" s="2875">
        <v>0</v>
      </c>
      <c r="H64" s="2875">
        <v>0</v>
      </c>
      <c r="I64" s="2875">
        <v>0</v>
      </c>
      <c r="J64" s="2875"/>
      <c r="K64" s="2875">
        <v>0</v>
      </c>
      <c r="L64" s="2877">
        <v>0</v>
      </c>
      <c r="M64" s="2878">
        <v>0</v>
      </c>
      <c r="N64" s="2878">
        <v>0</v>
      </c>
      <c r="O64" s="2877">
        <v>0</v>
      </c>
      <c r="P64" s="2916">
        <v>0</v>
      </c>
      <c r="Q64" s="2878">
        <v>0</v>
      </c>
      <c r="R64" s="2878">
        <v>0</v>
      </c>
      <c r="S64" s="2878">
        <v>0</v>
      </c>
      <c r="T64" s="426"/>
      <c r="U64" s="420"/>
      <c r="V64" s="3341" t="s">
        <v>3564</v>
      </c>
      <c r="W64" s="478" t="s">
        <v>2282</v>
      </c>
      <c r="X64" s="479">
        <v>67</v>
      </c>
      <c r="Y64" s="3365"/>
      <c r="Z64" s="3343" t="str">
        <f>IFERROR(VLOOKUP($V64,[53]競技情報DB!$A$6:$H$181,3,),"－")</f>
        <v>碧南緑地ビーチコート</v>
      </c>
      <c r="AA64" s="3366"/>
      <c r="AB64" s="3367"/>
      <c r="AC64" s="3670" t="str">
        <f>IFERROR(VLOOKUP($V64,[53]アジア練習会場!$A$3:$E$107,2,),"－")</f>
        <v>－</v>
      </c>
      <c r="AD64" s="3671">
        <v>23</v>
      </c>
      <c r="AE64" s="3672">
        <v>40</v>
      </c>
      <c r="AF64" s="3670" t="str">
        <f>IFERROR(VLOOKUP($V64,[53]アジア練習会場!$A$3:$E$107,3,),"－")</f>
        <v>－</v>
      </c>
      <c r="AG64" s="3671"/>
      <c r="AH64" s="3672"/>
      <c r="AI64" s="3673" t="str">
        <f>IFERROR(VLOOKUP($V64,[53]アジア練習会場!$A$3:$E$107,4,),"－")</f>
        <v>－</v>
      </c>
      <c r="AJ64" s="3671"/>
      <c r="AK64" s="3672"/>
      <c r="AL64" s="3673" t="str">
        <f>IFERROR(VLOOKUP($V64,[53]アジア練習会場!$A$3:$E$107,5,),"－")</f>
        <v>－</v>
      </c>
      <c r="AM64" s="3671"/>
      <c r="AN64" s="3674"/>
      <c r="AO64" s="3755"/>
      <c r="AP64" s="3755"/>
      <c r="AQ64" s="3756"/>
      <c r="AR64" s="3650"/>
      <c r="AS64" s="652"/>
      <c r="AT64" s="3651"/>
      <c r="AU64" s="443"/>
      <c r="AV64" s="443"/>
      <c r="AW64" s="443"/>
      <c r="AX64" s="448"/>
      <c r="AY64" s="445"/>
      <c r="AZ64" s="445"/>
      <c r="BA64" s="445"/>
      <c r="BB64" s="445"/>
      <c r="BC64" s="445"/>
      <c r="BD64" s="445"/>
      <c r="BE64" s="445"/>
      <c r="BF64" s="445"/>
      <c r="BG64" s="445"/>
      <c r="BH64" s="506"/>
      <c r="BI64" s="506"/>
      <c r="BJ64" s="445"/>
      <c r="BK64" s="445"/>
      <c r="BL64" s="445"/>
      <c r="BM64" s="445"/>
      <c r="BN64" s="445"/>
      <c r="BO64" s="445"/>
      <c r="BP64" s="445"/>
      <c r="BQ64" s="445"/>
      <c r="BR64" s="445"/>
      <c r="BS64" s="445"/>
      <c r="BT64" s="445"/>
      <c r="BU64" s="445"/>
      <c r="BV64" s="445"/>
      <c r="BW64" s="445"/>
      <c r="BX64" s="445"/>
      <c r="BY64" s="445"/>
      <c r="BZ64" s="445"/>
      <c r="CA64" s="445"/>
      <c r="CB64" s="336"/>
      <c r="CC64" s="445"/>
      <c r="CD64" s="445"/>
      <c r="CE64" s="445"/>
      <c r="CF64" s="449"/>
      <c r="CG64" s="3712"/>
      <c r="CH64" s="3737"/>
      <c r="CI64" s="573"/>
      <c r="CJ64" s="614"/>
      <c r="CK64" s="615"/>
    </row>
    <row r="65" spans="1:89" ht="46" customHeight="1">
      <c r="A65" s="2862"/>
      <c r="B65" s="296" t="s">
        <v>8</v>
      </c>
      <c r="C65" s="372">
        <f>C63+1</f>
        <v>26</v>
      </c>
      <c r="D65" s="2871">
        <v>207</v>
      </c>
      <c r="E65" s="6244" t="s">
        <v>6955</v>
      </c>
      <c r="F65" s="572" t="s">
        <v>3565</v>
      </c>
      <c r="G65" s="2872" t="s">
        <v>3566</v>
      </c>
      <c r="H65" s="2872" t="s">
        <v>3567</v>
      </c>
      <c r="I65" s="2872" t="s">
        <v>3566</v>
      </c>
      <c r="J65" s="2872" t="s">
        <v>3567</v>
      </c>
      <c r="K65" s="2872">
        <v>59</v>
      </c>
      <c r="L65" s="2873" t="s">
        <v>3481</v>
      </c>
      <c r="M65" s="2874" t="s">
        <v>2131</v>
      </c>
      <c r="N65" s="2874" t="s">
        <v>2132</v>
      </c>
      <c r="O65" s="2873" t="s">
        <v>3487</v>
      </c>
      <c r="P65" s="2914" t="s">
        <v>2134</v>
      </c>
      <c r="Q65" s="2874" t="s">
        <v>2134</v>
      </c>
      <c r="R65" s="2874" t="s">
        <v>2131</v>
      </c>
      <c r="S65" s="2874" t="s">
        <v>2168</v>
      </c>
      <c r="T65" s="377" t="s">
        <v>2133</v>
      </c>
      <c r="U65" s="372" t="s">
        <v>2482</v>
      </c>
      <c r="V65" s="387" t="s">
        <v>2510</v>
      </c>
      <c r="W65" s="388" t="s">
        <v>2256</v>
      </c>
      <c r="X65" s="389">
        <v>59</v>
      </c>
      <c r="Y65" s="3369">
        <f>SUM(X65:X66)</f>
        <v>108</v>
      </c>
      <c r="Z65" s="3322" t="str">
        <f>IFERROR(VLOOKUP($V65,[53]競技情報DB!$A$6:$H$181,3,),"－")</f>
        <v>スカイホール豊田</v>
      </c>
      <c r="AA65" s="3323"/>
      <c r="AB65" s="3324"/>
      <c r="AC65" s="3638" t="str">
        <f>IFERROR(VLOOKUP($V65,[53]アジア練習会場!$A$3:$E$107,2,),"－")</f>
        <v>－</v>
      </c>
      <c r="AD65" s="3639">
        <v>20.100000000000001</v>
      </c>
      <c r="AE65" s="3640">
        <v>35</v>
      </c>
      <c r="AF65" s="3638" t="str">
        <f>IFERROR(VLOOKUP($V65,[53]アジア練習会場!$A$3:$E$107,3,),"－")</f>
        <v>－</v>
      </c>
      <c r="AG65" s="3639"/>
      <c r="AH65" s="3640"/>
      <c r="AI65" s="3641" t="str">
        <f>IFERROR(VLOOKUP($V65,[53]アジア練習会場!$A$3:$E$107,4,),"－")</f>
        <v>－</v>
      </c>
      <c r="AJ65" s="3639"/>
      <c r="AK65" s="3640"/>
      <c r="AL65" s="3641" t="str">
        <f>IFERROR(VLOOKUP($V65,[53]アジア練習会場!$A$3:$E$107,5,),"－")</f>
        <v>－</v>
      </c>
      <c r="AM65" s="3639"/>
      <c r="AN65" s="3642"/>
      <c r="AO65" s="3757" cm="1">
        <f t="array" ref="AO65">_xlfn.LET(
  _xlpm.rng, AX65:CF65,
  _xlpm.header, $AX$3:$CF$3,
  _xlpm.idx, _xlfn.XMATCH(TRUE, _xlpm.rng&lt;&gt;0),
  _xlpm.dt, INDEX(_xlpm.header, _xlpm.idx),
  IF(YEAR(_xlpm.dt)&lt;&gt;2026, DATE(2026, MONTH(_xlpm.dt), DAY(_xlpm.dt)), _xlpm.dt)
)</f>
        <v>46279</v>
      </c>
      <c r="AP65" s="3757" cm="1">
        <f t="array" ref="AP65">_xlfn.LET(
  _xlpm.rng, AX65:CF65,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65" s="3758">
        <f>AP65-AO65</f>
        <v>20</v>
      </c>
      <c r="AR65" s="3660">
        <f>$H65-MAX(AX65:CF65)</f>
        <v>11</v>
      </c>
      <c r="AS65" s="647">
        <f>+AR65/$H65</f>
        <v>9.2436974789915971E-2</v>
      </c>
      <c r="AT65" s="3661" t="str">
        <f>F65&amp;"　"&amp;"合計"</f>
        <v>豊田プレステージホテル　合計</v>
      </c>
      <c r="AU65" s="3853"/>
      <c r="AV65" s="3853"/>
      <c r="AW65" s="3853"/>
      <c r="AX65" s="696">
        <v>0</v>
      </c>
      <c r="AY65" s="398">
        <v>0</v>
      </c>
      <c r="AZ65" s="398">
        <v>0</v>
      </c>
      <c r="BA65" s="398">
        <v>0</v>
      </c>
      <c r="BB65" s="398">
        <v>0</v>
      </c>
      <c r="BC65" s="398">
        <v>0</v>
      </c>
      <c r="BD65" s="398">
        <v>0</v>
      </c>
      <c r="BE65" s="398">
        <v>0</v>
      </c>
      <c r="BF65" s="398">
        <v>0</v>
      </c>
      <c r="BG65" s="398">
        <v>0</v>
      </c>
      <c r="BH65" s="398">
        <v>2</v>
      </c>
      <c r="BI65" s="398">
        <v>2</v>
      </c>
      <c r="BJ65" s="398">
        <v>6</v>
      </c>
      <c r="BK65" s="398">
        <v>59</v>
      </c>
      <c r="BL65" s="398">
        <v>59</v>
      </c>
      <c r="BM65" s="398">
        <v>66</v>
      </c>
      <c r="BN65" s="398">
        <v>66</v>
      </c>
      <c r="BO65" s="398">
        <v>66</v>
      </c>
      <c r="BP65" s="398">
        <v>66</v>
      </c>
      <c r="BQ65" s="398">
        <v>66</v>
      </c>
      <c r="BR65" s="398">
        <v>66</v>
      </c>
      <c r="BS65" s="398">
        <v>66</v>
      </c>
      <c r="BT65" s="398">
        <v>108</v>
      </c>
      <c r="BU65" s="398">
        <v>108</v>
      </c>
      <c r="BV65" s="398">
        <v>108</v>
      </c>
      <c r="BW65" s="398">
        <v>108</v>
      </c>
      <c r="BX65" s="398">
        <v>49</v>
      </c>
      <c r="BY65" s="398">
        <v>49</v>
      </c>
      <c r="BZ65" s="398">
        <v>49</v>
      </c>
      <c r="CA65" s="398">
        <v>49</v>
      </c>
      <c r="CB65" s="398">
        <v>49</v>
      </c>
      <c r="CC65" s="398">
        <v>0</v>
      </c>
      <c r="CD65" s="398">
        <v>0</v>
      </c>
      <c r="CE65" s="398">
        <v>0</v>
      </c>
      <c r="CF65" s="472">
        <v>0</v>
      </c>
      <c r="CG65" s="3712"/>
      <c r="CH65" s="3737" cm="1">
        <f t="array" ref="CH65">SUM(IF(ISNUMBER($AX65:$CF65),$AX65:$CF65, 0))</f>
        <v>1267</v>
      </c>
      <c r="CI65" s="573"/>
      <c r="CJ65" s="610"/>
      <c r="CK65" s="611"/>
    </row>
    <row r="66" spans="1:89" ht="46" customHeight="1">
      <c r="A66" s="2862"/>
      <c r="B66" s="2863"/>
      <c r="C66" s="420"/>
      <c r="D66" s="421" t="s">
        <v>2129</v>
      </c>
      <c r="E66" s="426"/>
      <c r="F66" s="612"/>
      <c r="G66" s="2875">
        <v>0</v>
      </c>
      <c r="H66" s="2875">
        <v>0</v>
      </c>
      <c r="I66" s="2875">
        <v>0</v>
      </c>
      <c r="J66" s="2875">
        <v>0</v>
      </c>
      <c r="K66" s="2875">
        <v>0</v>
      </c>
      <c r="L66" s="2877">
        <v>0</v>
      </c>
      <c r="M66" s="2878">
        <v>0</v>
      </c>
      <c r="N66" s="2878">
        <v>0</v>
      </c>
      <c r="O66" s="2877">
        <v>0</v>
      </c>
      <c r="P66" s="2916">
        <v>0</v>
      </c>
      <c r="Q66" s="2878">
        <v>0</v>
      </c>
      <c r="R66" s="2878">
        <v>0</v>
      </c>
      <c r="S66" s="2878">
        <v>0</v>
      </c>
      <c r="T66" s="426" t="s">
        <v>2129</v>
      </c>
      <c r="U66" s="420"/>
      <c r="V66" s="3341" t="s">
        <v>2303</v>
      </c>
      <c r="W66" s="478" t="s">
        <v>2256</v>
      </c>
      <c r="X66" s="479">
        <v>49</v>
      </c>
      <c r="Y66" s="3365"/>
      <c r="Z66" s="3343" t="str">
        <f>IFERROR(VLOOKUP($V66,[53]競技情報DB!$A$6:$H$181,3,),"－")</f>
        <v>矢作川カヌースラロームコース</v>
      </c>
      <c r="AA66" s="3354"/>
      <c r="AB66" s="3355"/>
      <c r="AC66" s="3670" t="str">
        <f>IFERROR(VLOOKUP($V66,[53]アジア練習会場!$A$3:$E$107,2,),"－")</f>
        <v>競技会場に設置</v>
      </c>
      <c r="AD66" s="3646"/>
      <c r="AE66" s="3647"/>
      <c r="AF66" s="3670" t="str">
        <f>IFERROR(VLOOKUP($V66,[53]アジア練習会場!$A$3:$E$107,3,),"－")</f>
        <v>ー</v>
      </c>
      <c r="AG66" s="3671"/>
      <c r="AH66" s="3672"/>
      <c r="AI66" s="3673" t="str">
        <f>IFERROR(VLOOKUP($V66,[53]アジア練習会場!$A$3:$E$107,4,),"－")</f>
        <v>ー</v>
      </c>
      <c r="AJ66" s="3671"/>
      <c r="AK66" s="3672"/>
      <c r="AL66" s="3673" t="str">
        <f>IFERROR(VLOOKUP($V66,[53]アジア練習会場!$A$3:$E$107,5,),"－")</f>
        <v>ー</v>
      </c>
      <c r="AM66" s="3671"/>
      <c r="AN66" s="3674"/>
      <c r="AO66" s="3755"/>
      <c r="AP66" s="3755"/>
      <c r="AQ66" s="3756"/>
      <c r="AR66" s="3650"/>
      <c r="AS66" s="652"/>
      <c r="AT66" s="3661"/>
      <c r="AU66" s="3853"/>
      <c r="AV66" s="3853"/>
      <c r="AW66" s="3853"/>
      <c r="AX66" s="3712"/>
      <c r="AY66" s="337"/>
      <c r="AZ66" s="337"/>
      <c r="BA66" s="337"/>
      <c r="BB66" s="337"/>
      <c r="BC66" s="337"/>
      <c r="BD66" s="337"/>
      <c r="BE66" s="337"/>
      <c r="BF66" s="337"/>
      <c r="BG66" s="337"/>
      <c r="BH66" s="337"/>
      <c r="BI66" s="337"/>
      <c r="BJ66" s="337"/>
      <c r="BK66" s="337"/>
      <c r="BL66" s="337"/>
      <c r="BM66" s="337"/>
      <c r="BN66" s="337"/>
      <c r="BO66" s="337"/>
      <c r="BP66" s="337"/>
      <c r="BQ66" s="337"/>
      <c r="BR66" s="337"/>
      <c r="BS66" s="337"/>
      <c r="BT66" s="337"/>
      <c r="BU66" s="337"/>
      <c r="BV66" s="337"/>
      <c r="BW66" s="337"/>
      <c r="BX66" s="337"/>
      <c r="BY66" s="337"/>
      <c r="BZ66" s="337"/>
      <c r="CA66" s="337"/>
      <c r="CB66" s="337"/>
      <c r="CC66" s="337"/>
      <c r="CD66" s="337"/>
      <c r="CE66" s="337"/>
      <c r="CF66" s="340"/>
      <c r="CG66" s="3712"/>
      <c r="CH66" s="3737"/>
      <c r="CI66" s="573"/>
      <c r="CJ66" s="610"/>
      <c r="CK66" s="611"/>
    </row>
    <row r="67" spans="1:89" ht="46" customHeight="1">
      <c r="A67" s="2862"/>
      <c r="B67" s="2863"/>
      <c r="C67" s="372">
        <f>C65+1</f>
        <v>27</v>
      </c>
      <c r="D67" s="297">
        <v>208</v>
      </c>
      <c r="E67" s="6246" t="s">
        <v>6955</v>
      </c>
      <c r="F67" s="609" t="s">
        <v>6864</v>
      </c>
      <c r="G67" s="2864"/>
      <c r="H67" s="2864"/>
      <c r="I67" s="2864"/>
      <c r="J67" s="2864"/>
      <c r="K67" s="2864"/>
      <c r="L67" s="2865"/>
      <c r="M67" s="2866"/>
      <c r="N67" s="2866"/>
      <c r="O67" s="2865"/>
      <c r="P67" s="2915"/>
      <c r="Q67" s="2866"/>
      <c r="R67" s="2866"/>
      <c r="S67" s="2866"/>
      <c r="T67" s="302"/>
      <c r="U67" s="296"/>
      <c r="V67" s="387" t="s">
        <v>6865</v>
      </c>
      <c r="W67" s="388"/>
      <c r="X67" s="389">
        <v>10</v>
      </c>
      <c r="Y67" s="3369">
        <f>SUM(X67:X68)</f>
        <v>10</v>
      </c>
      <c r="Z67" s="3374"/>
      <c r="AA67" s="4393"/>
      <c r="AB67" s="4394"/>
      <c r="AC67" s="3669"/>
      <c r="AD67" s="3678"/>
      <c r="AE67" s="3679"/>
      <c r="AF67" s="3669"/>
      <c r="AG67" s="3678"/>
      <c r="AH67" s="3679"/>
      <c r="AI67" s="3682"/>
      <c r="AJ67" s="3678"/>
      <c r="AK67" s="3679"/>
      <c r="AL67" s="3682"/>
      <c r="AM67" s="3678"/>
      <c r="AN67" s="3683"/>
      <c r="AO67" s="3757" cm="1">
        <f t="array" ref="AO67">_xlfn.LET(
  _xlpm.rng, AX67:CF67,
  _xlpm.header, $AX$3:$CF$3,
  _xlpm.idx, _xlfn.XMATCH(TRUE, _xlpm.rng&lt;&gt;0),
  _xlpm.dt, INDEX(_xlpm.header, _xlpm.idx),
  IF(YEAR(_xlpm.dt)&lt;&gt;2026, DATE(2026, MONTH(_xlpm.dt), DAY(_xlpm.dt)), _xlpm.dt)
)</f>
        <v>46279</v>
      </c>
      <c r="AP67" s="3757" cm="1">
        <f t="array" ref="AP67">_xlfn.LET(
  _xlpm.rng, AX67:CF67,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67" s="3758">
        <f>AP67-AO67</f>
        <v>20</v>
      </c>
      <c r="AR67" s="3660"/>
      <c r="AS67" s="656"/>
      <c r="AT67" s="3661"/>
      <c r="AU67" s="3853"/>
      <c r="AV67" s="3853"/>
      <c r="AW67" s="3853"/>
      <c r="AX67" s="696">
        <v>0</v>
      </c>
      <c r="AY67" s="398">
        <v>0</v>
      </c>
      <c r="AZ67" s="398">
        <v>0</v>
      </c>
      <c r="BA67" s="398">
        <v>0</v>
      </c>
      <c r="BB67" s="398">
        <v>0</v>
      </c>
      <c r="BC67" s="398">
        <v>0</v>
      </c>
      <c r="BD67" s="398">
        <v>0</v>
      </c>
      <c r="BE67" s="398">
        <v>0</v>
      </c>
      <c r="BF67" s="398">
        <v>0</v>
      </c>
      <c r="BG67" s="398">
        <v>0</v>
      </c>
      <c r="BH67" s="398">
        <v>10</v>
      </c>
      <c r="BI67" s="398">
        <v>10</v>
      </c>
      <c r="BJ67" s="398">
        <v>10</v>
      </c>
      <c r="BK67" s="398">
        <v>10</v>
      </c>
      <c r="BL67" s="398">
        <v>10</v>
      </c>
      <c r="BM67" s="398">
        <v>10</v>
      </c>
      <c r="BN67" s="398">
        <v>10</v>
      </c>
      <c r="BO67" s="398">
        <v>10</v>
      </c>
      <c r="BP67" s="398">
        <v>10</v>
      </c>
      <c r="BQ67" s="398">
        <v>10</v>
      </c>
      <c r="BR67" s="398">
        <v>10</v>
      </c>
      <c r="BS67" s="398">
        <v>10</v>
      </c>
      <c r="BT67" s="398">
        <v>10</v>
      </c>
      <c r="BU67" s="398">
        <v>10</v>
      </c>
      <c r="BV67" s="398">
        <v>10</v>
      </c>
      <c r="BW67" s="398">
        <v>10</v>
      </c>
      <c r="BX67" s="398">
        <v>10</v>
      </c>
      <c r="BY67" s="398">
        <v>10</v>
      </c>
      <c r="BZ67" s="398">
        <v>10</v>
      </c>
      <c r="CA67" s="398">
        <v>10</v>
      </c>
      <c r="CB67" s="398">
        <v>10</v>
      </c>
      <c r="CC67" s="398">
        <v>0</v>
      </c>
      <c r="CD67" s="398">
        <v>0</v>
      </c>
      <c r="CE67" s="398">
        <v>0</v>
      </c>
      <c r="CF67" s="472">
        <v>0</v>
      </c>
      <c r="CG67" s="3712"/>
      <c r="CH67" s="3738" cm="1">
        <f t="array" ref="CH67">SUM(IF(ISNUMBER($AX67:$CF67),$AX67:$CF67, 0))</f>
        <v>210</v>
      </c>
      <c r="CI67" s="573"/>
      <c r="CJ67" s="610"/>
      <c r="CK67" s="611"/>
    </row>
    <row r="68" spans="1:89" ht="46" customHeight="1">
      <c r="A68" s="2862"/>
      <c r="B68" s="2863"/>
      <c r="C68" s="296"/>
      <c r="D68" s="297"/>
      <c r="E68" s="302"/>
      <c r="F68" s="609"/>
      <c r="G68" s="2864"/>
      <c r="H68" s="2864"/>
      <c r="I68" s="2864"/>
      <c r="J68" s="2864"/>
      <c r="K68" s="2864"/>
      <c r="L68" s="2865"/>
      <c r="M68" s="2866"/>
      <c r="N68" s="2866"/>
      <c r="O68" s="2865"/>
      <c r="P68" s="2915"/>
      <c r="Q68" s="2866"/>
      <c r="R68" s="2866"/>
      <c r="S68" s="2866"/>
      <c r="T68" s="302"/>
      <c r="U68" s="296"/>
      <c r="V68" s="3341"/>
      <c r="W68" s="478"/>
      <c r="X68" s="479"/>
      <c r="Y68" s="3365"/>
      <c r="Z68" s="3374"/>
      <c r="AA68" s="4393"/>
      <c r="AB68" s="4394"/>
      <c r="AC68" s="3669"/>
      <c r="AD68" s="3678"/>
      <c r="AE68" s="3679"/>
      <c r="AF68" s="3669"/>
      <c r="AG68" s="3678"/>
      <c r="AH68" s="3679"/>
      <c r="AI68" s="3682"/>
      <c r="AJ68" s="3678"/>
      <c r="AK68" s="3679"/>
      <c r="AL68" s="3682"/>
      <c r="AM68" s="3678"/>
      <c r="AN68" s="3683"/>
      <c r="AO68" s="3759"/>
      <c r="AP68" s="3759"/>
      <c r="AQ68" s="3760"/>
      <c r="AR68" s="3660"/>
      <c r="AS68" s="656"/>
      <c r="AT68" s="3661"/>
      <c r="AU68" s="3853"/>
      <c r="AV68" s="3853"/>
      <c r="AW68" s="3853"/>
      <c r="AX68" s="3712"/>
      <c r="AY68" s="337"/>
      <c r="AZ68" s="337"/>
      <c r="BA68" s="337"/>
      <c r="BB68" s="337"/>
      <c r="BC68" s="337"/>
      <c r="BD68" s="337"/>
      <c r="BE68" s="337"/>
      <c r="BF68" s="337"/>
      <c r="BG68" s="337"/>
      <c r="BH68" s="337"/>
      <c r="BI68" s="337"/>
      <c r="BJ68" s="337"/>
      <c r="BK68" s="337"/>
      <c r="BL68" s="337"/>
      <c r="BM68" s="337"/>
      <c r="BN68" s="337"/>
      <c r="BO68" s="337"/>
      <c r="BP68" s="337"/>
      <c r="BQ68" s="337"/>
      <c r="BR68" s="337"/>
      <c r="BS68" s="337"/>
      <c r="BT68" s="337"/>
      <c r="BU68" s="337"/>
      <c r="BV68" s="337"/>
      <c r="BW68" s="337"/>
      <c r="BX68" s="337"/>
      <c r="BY68" s="337"/>
      <c r="BZ68" s="337"/>
      <c r="CA68" s="337"/>
      <c r="CB68" s="337"/>
      <c r="CC68" s="337"/>
      <c r="CD68" s="337"/>
      <c r="CE68" s="337"/>
      <c r="CF68" s="340"/>
      <c r="CG68" s="3712"/>
      <c r="CH68" s="3737"/>
      <c r="CI68" s="573"/>
      <c r="CJ68" s="610"/>
      <c r="CK68" s="611"/>
    </row>
    <row r="69" spans="1:89" s="564" customFormat="1" ht="46" customHeight="1">
      <c r="A69" s="2862"/>
      <c r="B69" s="296"/>
      <c r="C69" s="372">
        <f>C67+1</f>
        <v>28</v>
      </c>
      <c r="D69" s="2871">
        <v>195</v>
      </c>
      <c r="E69" s="6244" t="s">
        <v>6955</v>
      </c>
      <c r="F69" s="572" t="s">
        <v>2534</v>
      </c>
      <c r="G69" s="2872" t="s">
        <v>3550</v>
      </c>
      <c r="H69" s="2872" t="s">
        <v>3482</v>
      </c>
      <c r="I69" s="2872" t="s">
        <v>3568</v>
      </c>
      <c r="J69" s="2872" t="s">
        <v>3569</v>
      </c>
      <c r="K69" s="2872">
        <v>98</v>
      </c>
      <c r="L69" s="2873" t="s">
        <v>3570</v>
      </c>
      <c r="M69" s="2874" t="s">
        <v>2131</v>
      </c>
      <c r="N69" s="2874" t="s">
        <v>2132</v>
      </c>
      <c r="O69" s="2873" t="s">
        <v>3487</v>
      </c>
      <c r="P69" s="2914" t="s">
        <v>2134</v>
      </c>
      <c r="Q69" s="2874" t="s">
        <v>2134</v>
      </c>
      <c r="R69" s="2874" t="s">
        <v>2131</v>
      </c>
      <c r="S69" s="2874" t="s">
        <v>2240</v>
      </c>
      <c r="T69" s="377" t="s">
        <v>2133</v>
      </c>
      <c r="U69" s="372" t="s">
        <v>2136</v>
      </c>
      <c r="V69" s="387" t="s">
        <v>2141</v>
      </c>
      <c r="W69" s="388" t="s">
        <v>2816</v>
      </c>
      <c r="X69" s="389">
        <v>49</v>
      </c>
      <c r="Y69" s="3369">
        <f>SUM(X69:X70)</f>
        <v>49</v>
      </c>
      <c r="Z69" s="3322" t="str">
        <f>IFERROR(VLOOKUP($V69,[53]競技情報DB!$A$6:$H$181,3,),"－")</f>
        <v>三好池</v>
      </c>
      <c r="AA69" s="3323"/>
      <c r="AB69" s="3324"/>
      <c r="AC69" s="3638" t="str">
        <f>IFERROR(VLOOKUP($V69,[53]アジア練習会場!$A$3:$E$107,2,),"－")</f>
        <v>競技会場に設置</v>
      </c>
      <c r="AD69" s="3639">
        <v>2.7</v>
      </c>
      <c r="AE69" s="3640">
        <v>5</v>
      </c>
      <c r="AF69" s="3638" t="str">
        <f>IFERROR(VLOOKUP($V69,[53]アジア練習会場!$A$3:$E$107,3,),"－")</f>
        <v>ー</v>
      </c>
      <c r="AG69" s="3639"/>
      <c r="AH69" s="3640"/>
      <c r="AI69" s="3641" t="str">
        <f>IFERROR(VLOOKUP($V69,[53]アジア練習会場!$A$3:$E$107,4,),"－")</f>
        <v>ー</v>
      </c>
      <c r="AJ69" s="3639"/>
      <c r="AK69" s="3640"/>
      <c r="AL69" s="3641" t="str">
        <f>IFERROR(VLOOKUP($V69,[53]アジア練習会場!$A$3:$E$107,5,),"－")</f>
        <v>ー</v>
      </c>
      <c r="AM69" s="3639"/>
      <c r="AN69" s="3642"/>
      <c r="AO69" s="3757" cm="1">
        <f t="array" ref="AO69">_xlfn.LET(
  _xlpm.rng, AX69:CF69,
  _xlpm.header, $AX$3:$CF$3,
  _xlpm.idx, _xlfn.XMATCH(TRUE, _xlpm.rng&lt;&gt;0),
  _xlpm.dt, INDEX(_xlpm.header, _xlpm.idx),
  IF(YEAR(_xlpm.dt)&lt;&gt;2026, DATE(2026, MONTH(_xlpm.dt), DAY(_xlpm.dt)), _xlpm.dt)
)</f>
        <v>46283</v>
      </c>
      <c r="AP69" s="3757" cm="1">
        <f t="array" ref="AP69">_xlfn.LET(
  _xlpm.rng, AX69:CF69,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46293</v>
      </c>
      <c r="AQ69" s="3758">
        <f>AP69-AO69</f>
        <v>10</v>
      </c>
      <c r="AR69" s="3660">
        <f>$H69-MAX(AX69:CF69)</f>
        <v>167</v>
      </c>
      <c r="AS69" s="656">
        <f>+AR69/$H69</f>
        <v>0.77314814814814814</v>
      </c>
      <c r="AT69" s="3644" t="str">
        <f>F69&amp;"　"&amp;"合計"</f>
        <v>ロイヤルホテルうお八　合計</v>
      </c>
      <c r="AU69" s="395"/>
      <c r="AV69" s="395"/>
      <c r="AW69" s="395"/>
      <c r="AX69" s="696">
        <v>0</v>
      </c>
      <c r="AY69" s="398">
        <v>0</v>
      </c>
      <c r="AZ69" s="398">
        <v>0</v>
      </c>
      <c r="BA69" s="398">
        <v>0</v>
      </c>
      <c r="BB69" s="398">
        <v>0</v>
      </c>
      <c r="BC69" s="398">
        <v>0</v>
      </c>
      <c r="BD69" s="398">
        <v>0</v>
      </c>
      <c r="BE69" s="398">
        <v>0</v>
      </c>
      <c r="BF69" s="398">
        <v>0</v>
      </c>
      <c r="BG69" s="398">
        <v>0</v>
      </c>
      <c r="BH69" s="398">
        <v>0</v>
      </c>
      <c r="BI69" s="398">
        <v>0</v>
      </c>
      <c r="BJ69" s="398">
        <v>0</v>
      </c>
      <c r="BK69" s="398">
        <v>0</v>
      </c>
      <c r="BL69" s="398">
        <v>1</v>
      </c>
      <c r="BM69" s="398">
        <v>8</v>
      </c>
      <c r="BN69" s="398">
        <v>49</v>
      </c>
      <c r="BO69" s="398">
        <v>49</v>
      </c>
      <c r="BP69" s="398">
        <v>49</v>
      </c>
      <c r="BQ69" s="398">
        <v>49</v>
      </c>
      <c r="BR69" s="398">
        <v>49</v>
      </c>
      <c r="BS69" s="398">
        <v>49</v>
      </c>
      <c r="BT69" s="398">
        <v>49</v>
      </c>
      <c r="BU69" s="398">
        <v>49</v>
      </c>
      <c r="BV69" s="398">
        <v>49</v>
      </c>
      <c r="BW69" s="398">
        <v>0</v>
      </c>
      <c r="BX69" s="398">
        <v>0</v>
      </c>
      <c r="BY69" s="398">
        <v>0</v>
      </c>
      <c r="BZ69" s="398">
        <v>0</v>
      </c>
      <c r="CA69" s="398">
        <v>0</v>
      </c>
      <c r="CB69" s="398">
        <v>0</v>
      </c>
      <c r="CC69" s="398">
        <v>0</v>
      </c>
      <c r="CD69" s="398">
        <v>0</v>
      </c>
      <c r="CE69" s="398">
        <v>0</v>
      </c>
      <c r="CF69" s="472">
        <v>0</v>
      </c>
      <c r="CG69" s="3712"/>
      <c r="CH69" s="3737" cm="1">
        <f t="array" ref="CH69">SUM(IF(ISNUMBER($AX69:$CF69),$AX69:$CF69, 0))</f>
        <v>450</v>
      </c>
      <c r="CI69" s="573"/>
      <c r="CJ69" s="574"/>
      <c r="CK69" s="575"/>
    </row>
    <row r="70" spans="1:89" s="521" customFormat="1" ht="46" customHeight="1" thickBot="1">
      <c r="A70" s="2862"/>
      <c r="B70" s="2863"/>
      <c r="C70" s="296"/>
      <c r="D70" s="297" t="s">
        <v>2129</v>
      </c>
      <c r="E70" s="302"/>
      <c r="F70" s="3372"/>
      <c r="G70" s="2864">
        <v>0</v>
      </c>
      <c r="H70" s="2864">
        <v>0</v>
      </c>
      <c r="I70" s="2864">
        <v>0</v>
      </c>
      <c r="J70" s="3668"/>
      <c r="K70" s="2864">
        <v>0</v>
      </c>
      <c r="L70" s="2865">
        <v>0</v>
      </c>
      <c r="M70" s="2866">
        <v>0</v>
      </c>
      <c r="N70" s="2866">
        <v>0</v>
      </c>
      <c r="O70" s="2865">
        <v>0</v>
      </c>
      <c r="P70" s="2915">
        <v>0</v>
      </c>
      <c r="Q70" s="2866">
        <v>0</v>
      </c>
      <c r="R70" s="2866">
        <v>0</v>
      </c>
      <c r="S70" s="2866">
        <v>0</v>
      </c>
      <c r="T70" s="302"/>
      <c r="U70" s="296"/>
      <c r="V70" s="3341"/>
      <c r="W70" s="478" t="s">
        <v>2134</v>
      </c>
      <c r="X70" s="479">
        <v>0</v>
      </c>
      <c r="Y70" s="3363"/>
      <c r="Z70" s="3343" t="str">
        <f>IFERROR(VLOOKUP($V70,[53]競技情報DB!$A$6:$H$181,3,),"－")</f>
        <v>－</v>
      </c>
      <c r="AA70" s="3354"/>
      <c r="AB70" s="3355"/>
      <c r="AC70" s="3670" t="str">
        <f>IFERROR(VLOOKUP($V70,[53]アジア練習会場!$A$3:$E$107,2,),"－")</f>
        <v>－</v>
      </c>
      <c r="AD70" s="3646"/>
      <c r="AE70" s="3647"/>
      <c r="AF70" s="3670" t="str">
        <f>IFERROR(VLOOKUP($V70,[53]アジア練習会場!$A$3:$E$107,3,),"－")</f>
        <v>－</v>
      </c>
      <c r="AG70" s="3671"/>
      <c r="AH70" s="3672"/>
      <c r="AI70" s="3673" t="str">
        <f>IFERROR(VLOOKUP($V70,[53]アジア練習会場!$A$3:$E$107,4,),"－")</f>
        <v>－</v>
      </c>
      <c r="AJ70" s="3671"/>
      <c r="AK70" s="3672"/>
      <c r="AL70" s="3673" t="str">
        <f>IFERROR(VLOOKUP($V70,[53]アジア練習会場!$A$3:$E$107,5,),"－")</f>
        <v>－</v>
      </c>
      <c r="AM70" s="3671"/>
      <c r="AN70" s="3674"/>
      <c r="AO70" s="3755"/>
      <c r="AP70" s="3755"/>
      <c r="AQ70" s="3756"/>
      <c r="AR70" s="3650"/>
      <c r="AS70" s="656"/>
      <c r="AT70" s="3675"/>
      <c r="AU70" s="3853"/>
      <c r="AV70" s="3853"/>
      <c r="AW70" s="3853"/>
      <c r="AX70" s="448"/>
      <c r="AY70" s="445"/>
      <c r="AZ70" s="445"/>
      <c r="BA70" s="445"/>
      <c r="BB70" s="445"/>
      <c r="BC70" s="445"/>
      <c r="BD70" s="445"/>
      <c r="BE70" s="445"/>
      <c r="BF70" s="445"/>
      <c r="BG70" s="445"/>
      <c r="BH70" s="336"/>
      <c r="BI70" s="336"/>
      <c r="BJ70" s="336"/>
      <c r="BK70" s="336"/>
      <c r="BL70" s="336"/>
      <c r="BM70" s="336"/>
      <c r="BN70" s="336"/>
      <c r="BO70" s="336"/>
      <c r="BP70" s="336"/>
      <c r="BQ70" s="336"/>
      <c r="BR70" s="336"/>
      <c r="BS70" s="336"/>
      <c r="BT70" s="336"/>
      <c r="BU70" s="336"/>
      <c r="BV70" s="336"/>
      <c r="BW70" s="336"/>
      <c r="BX70" s="336"/>
      <c r="BY70" s="336"/>
      <c r="BZ70" s="336"/>
      <c r="CA70" s="336"/>
      <c r="CB70" s="445"/>
      <c r="CC70" s="445"/>
      <c r="CD70" s="445"/>
      <c r="CE70" s="445"/>
      <c r="CF70" s="449"/>
      <c r="CG70" s="3712"/>
      <c r="CH70" s="3737"/>
      <c r="CI70" s="573"/>
      <c r="CJ70" s="610"/>
      <c r="CK70" s="611"/>
    </row>
    <row r="71" spans="1:89" ht="46" customHeight="1">
      <c r="A71" s="2862"/>
      <c r="B71" s="2863"/>
      <c r="C71" s="372">
        <f>C69+1</f>
        <v>29</v>
      </c>
      <c r="D71" s="2871">
        <v>212</v>
      </c>
      <c r="E71" s="377"/>
      <c r="F71" s="572" t="s">
        <v>6866</v>
      </c>
      <c r="G71" s="2872"/>
      <c r="H71" s="2872"/>
      <c r="I71" s="2872"/>
      <c r="J71" s="2872"/>
      <c r="K71" s="2872"/>
      <c r="L71" s="2873"/>
      <c r="M71" s="2874"/>
      <c r="N71" s="2874"/>
      <c r="O71" s="2873"/>
      <c r="P71" s="2914"/>
      <c r="Q71" s="2874"/>
      <c r="R71" s="2874"/>
      <c r="S71" s="2874"/>
      <c r="T71" s="302"/>
      <c r="U71" s="296"/>
      <c r="V71" s="387" t="s">
        <v>2289</v>
      </c>
      <c r="W71" s="388" t="s">
        <v>6868</v>
      </c>
      <c r="X71" s="389">
        <v>74</v>
      </c>
      <c r="Y71" s="3369">
        <f>SUM(X71:X72)</f>
        <v>74</v>
      </c>
      <c r="Z71" s="3374"/>
      <c r="AA71" s="4393"/>
      <c r="AB71" s="4394"/>
      <c r="AC71" s="3669"/>
      <c r="AD71" s="3678"/>
      <c r="AE71" s="3679"/>
      <c r="AF71" s="3669"/>
      <c r="AG71" s="3678"/>
      <c r="AH71" s="3679"/>
      <c r="AI71" s="3682"/>
      <c r="AJ71" s="3678"/>
      <c r="AK71" s="3679"/>
      <c r="AL71" s="3682"/>
      <c r="AM71" s="3678"/>
      <c r="AN71" s="3683"/>
      <c r="AO71" s="3757" cm="1">
        <f t="array" ref="AO71">_xlfn.LET(
  _xlpm.rng, AX71:CF71,
  _xlpm.header, $AX$3:$CF$3,
  _xlpm.idx, _xlfn.XMATCH(TRUE, _xlpm.rng&lt;&gt;0),
  _xlpm.dt, INDEX(_xlpm.header, _xlpm.idx),
  IF(YEAR(_xlpm.dt)&lt;&gt;2026, DATE(2026, MONTH(_xlpm.dt), DAY(_xlpm.dt)), _xlpm.dt)
)</f>
        <v>46280</v>
      </c>
      <c r="AP71" s="3757" cm="1">
        <f t="array" ref="AP71">_xlfn.LET(
  _xlpm.rng, AX71:CF71,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71" s="3758">
        <f>AP71-AO71</f>
        <v>18</v>
      </c>
      <c r="AR71" s="3660"/>
      <c r="AS71" s="656"/>
      <c r="AT71" s="3661"/>
      <c r="AU71" s="3853"/>
      <c r="AV71" s="3853"/>
      <c r="AW71" s="3853"/>
      <c r="AX71" s="696">
        <v>0</v>
      </c>
      <c r="AY71" s="398">
        <v>0</v>
      </c>
      <c r="AZ71" s="398">
        <v>0</v>
      </c>
      <c r="BA71" s="398">
        <v>0</v>
      </c>
      <c r="BB71" s="398">
        <v>0</v>
      </c>
      <c r="BC71" s="398">
        <v>0</v>
      </c>
      <c r="BD71" s="398">
        <v>0</v>
      </c>
      <c r="BE71" s="398">
        <v>0</v>
      </c>
      <c r="BF71" s="398">
        <v>0</v>
      </c>
      <c r="BG71" s="398">
        <v>0</v>
      </c>
      <c r="BH71" s="398">
        <v>0</v>
      </c>
      <c r="BI71" s="2879">
        <v>2</v>
      </c>
      <c r="BJ71" s="2879">
        <v>2</v>
      </c>
      <c r="BK71" s="2879">
        <v>74</v>
      </c>
      <c r="BL71" s="2879">
        <v>74</v>
      </c>
      <c r="BM71" s="2879">
        <v>74</v>
      </c>
      <c r="BN71" s="2879">
        <v>74</v>
      </c>
      <c r="BO71" s="2879">
        <v>74</v>
      </c>
      <c r="BP71" s="2879">
        <v>74</v>
      </c>
      <c r="BQ71" s="2879">
        <v>74</v>
      </c>
      <c r="BR71" s="2879">
        <v>74</v>
      </c>
      <c r="BS71" s="2879">
        <v>74</v>
      </c>
      <c r="BT71" s="2879">
        <v>74</v>
      </c>
      <c r="BU71" s="2879">
        <v>74</v>
      </c>
      <c r="BV71" s="2879">
        <v>74</v>
      </c>
      <c r="BW71" s="2879">
        <v>74</v>
      </c>
      <c r="BX71" s="2879">
        <v>74</v>
      </c>
      <c r="BY71" s="2879">
        <v>74</v>
      </c>
      <c r="BZ71" s="2879">
        <v>74</v>
      </c>
      <c r="CA71" s="4412">
        <v>74</v>
      </c>
      <c r="CB71" s="398">
        <v>0</v>
      </c>
      <c r="CC71" s="398">
        <v>0</v>
      </c>
      <c r="CD71" s="398">
        <v>0</v>
      </c>
      <c r="CE71" s="398">
        <v>0</v>
      </c>
      <c r="CF71" s="472">
        <v>0</v>
      </c>
      <c r="CG71" s="3712"/>
      <c r="CH71" s="3738" cm="1">
        <f t="array" ref="CH71">SUM(IF(ISNUMBER($AX71:$CF71),$AX71:$CF71, 0))</f>
        <v>1262</v>
      </c>
      <c r="CI71" s="573"/>
      <c r="CJ71" s="610"/>
      <c r="CK71" s="611"/>
    </row>
    <row r="72" spans="1:89" ht="46" customHeight="1">
      <c r="A72" s="2862"/>
      <c r="B72" s="2863"/>
      <c r="C72" s="420"/>
      <c r="D72" s="421"/>
      <c r="E72" s="426"/>
      <c r="F72" s="612"/>
      <c r="G72" s="2875"/>
      <c r="H72" s="2875"/>
      <c r="I72" s="2875"/>
      <c r="J72" s="2875"/>
      <c r="K72" s="2875"/>
      <c r="L72" s="2877"/>
      <c r="M72" s="2878"/>
      <c r="N72" s="2878"/>
      <c r="O72" s="2877"/>
      <c r="P72" s="2916"/>
      <c r="Q72" s="2878"/>
      <c r="R72" s="2878"/>
      <c r="S72" s="2878"/>
      <c r="T72" s="302"/>
      <c r="U72" s="296"/>
      <c r="V72" s="3341"/>
      <c r="W72" s="478"/>
      <c r="X72" s="479"/>
      <c r="Y72" s="3365"/>
      <c r="Z72" s="3374"/>
      <c r="AA72" s="4393"/>
      <c r="AB72" s="4394"/>
      <c r="AC72" s="3669"/>
      <c r="AD72" s="3678"/>
      <c r="AE72" s="3679"/>
      <c r="AF72" s="3669"/>
      <c r="AG72" s="3678"/>
      <c r="AH72" s="3679"/>
      <c r="AI72" s="3682"/>
      <c r="AJ72" s="3678"/>
      <c r="AK72" s="3679"/>
      <c r="AL72" s="3682"/>
      <c r="AM72" s="3678"/>
      <c r="AN72" s="3683"/>
      <c r="AO72" s="3759"/>
      <c r="AP72" s="3759"/>
      <c r="AQ72" s="3760"/>
      <c r="AR72" s="3660"/>
      <c r="AS72" s="656"/>
      <c r="AT72" s="3661"/>
      <c r="AU72" s="3853"/>
      <c r="AV72" s="3853"/>
      <c r="AW72" s="3853"/>
      <c r="AX72" s="3712"/>
      <c r="AY72" s="337"/>
      <c r="AZ72" s="337"/>
      <c r="BA72" s="337"/>
      <c r="BB72" s="337"/>
      <c r="BC72" s="337"/>
      <c r="BD72" s="337"/>
      <c r="BE72" s="337"/>
      <c r="BF72" s="337"/>
      <c r="BG72" s="337"/>
      <c r="BH72" s="337"/>
      <c r="BI72" s="322"/>
      <c r="BJ72" s="322"/>
      <c r="BK72" s="322"/>
      <c r="BL72" s="322"/>
      <c r="BM72" s="322"/>
      <c r="BN72" s="322"/>
      <c r="BO72" s="322"/>
      <c r="BP72" s="322"/>
      <c r="BQ72" s="322"/>
      <c r="BR72" s="322"/>
      <c r="BS72" s="322"/>
      <c r="BT72" s="322"/>
      <c r="BU72" s="322"/>
      <c r="BV72" s="322"/>
      <c r="BW72" s="322"/>
      <c r="BX72" s="322"/>
      <c r="BY72" s="322"/>
      <c r="BZ72" s="322"/>
      <c r="CA72" s="321"/>
      <c r="CB72" s="337"/>
      <c r="CC72" s="337"/>
      <c r="CD72" s="337"/>
      <c r="CE72" s="337"/>
      <c r="CF72" s="340"/>
      <c r="CG72" s="3712"/>
      <c r="CH72" s="3737"/>
      <c r="CI72" s="573"/>
      <c r="CJ72" s="610"/>
      <c r="CK72" s="611"/>
    </row>
    <row r="73" spans="1:89" ht="46" customHeight="1">
      <c r="A73" s="2862"/>
      <c r="B73" s="2863"/>
      <c r="C73" s="296">
        <f>C71+1</f>
        <v>30</v>
      </c>
      <c r="D73" s="297">
        <v>213</v>
      </c>
      <c r="E73" s="302"/>
      <c r="F73" s="609" t="s">
        <v>6867</v>
      </c>
      <c r="G73" s="2864"/>
      <c r="H73" s="2864"/>
      <c r="I73" s="2864"/>
      <c r="J73" s="2864"/>
      <c r="K73" s="2864"/>
      <c r="L73" s="2865"/>
      <c r="M73" s="2866"/>
      <c r="N73" s="2866"/>
      <c r="O73" s="2865"/>
      <c r="P73" s="2915"/>
      <c r="Q73" s="2866"/>
      <c r="R73" s="2866"/>
      <c r="S73" s="2866"/>
      <c r="T73" s="302"/>
      <c r="U73" s="296"/>
      <c r="V73" s="387" t="s">
        <v>2292</v>
      </c>
      <c r="W73" s="388" t="s">
        <v>6868</v>
      </c>
      <c r="X73" s="389">
        <v>70</v>
      </c>
      <c r="Y73" s="3369">
        <f>SUM(X73:X74)</f>
        <v>70</v>
      </c>
      <c r="Z73" s="3374"/>
      <c r="AA73" s="4393"/>
      <c r="AB73" s="4394"/>
      <c r="AC73" s="3669"/>
      <c r="AD73" s="3678"/>
      <c r="AE73" s="3679"/>
      <c r="AF73" s="3669"/>
      <c r="AG73" s="3678"/>
      <c r="AH73" s="3679"/>
      <c r="AI73" s="3682"/>
      <c r="AJ73" s="3678"/>
      <c r="AK73" s="3679"/>
      <c r="AL73" s="3682"/>
      <c r="AM73" s="3678"/>
      <c r="AN73" s="3683"/>
      <c r="AO73" s="3757" cm="1">
        <f t="array" ref="AO73">_xlfn.LET(
  _xlpm.rng, AX73:CF73,
  _xlpm.header, $AX$3:$CF$3,
  _xlpm.idx, _xlfn.XMATCH(TRUE, _xlpm.rng&lt;&gt;0),
  _xlpm.dt, INDEX(_xlpm.header, _xlpm.idx),
  IF(YEAR(_xlpm.dt)&lt;&gt;2026, DATE(2026, MONTH(_xlpm.dt), DAY(_xlpm.dt)), _xlpm.dt)
)</f>
        <v>46282</v>
      </c>
      <c r="AP73" s="3757" cm="1">
        <f t="array" ref="AP73">_xlfn.LET(
  _xlpm.rng, AX73:CF73,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73" s="3758">
        <f>AP73-AO73</f>
        <v>16</v>
      </c>
      <c r="AR73" s="3660"/>
      <c r="AS73" s="656"/>
      <c r="AT73" s="3661"/>
      <c r="AU73" s="3853"/>
      <c r="AV73" s="3853"/>
      <c r="AW73" s="3853"/>
      <c r="AX73" s="696">
        <v>0</v>
      </c>
      <c r="AY73" s="398">
        <v>0</v>
      </c>
      <c r="AZ73" s="398">
        <v>0</v>
      </c>
      <c r="BA73" s="398">
        <v>0</v>
      </c>
      <c r="BB73" s="398">
        <v>0</v>
      </c>
      <c r="BC73" s="398">
        <v>0</v>
      </c>
      <c r="BD73" s="398">
        <v>0</v>
      </c>
      <c r="BE73" s="398">
        <v>0</v>
      </c>
      <c r="BF73" s="398">
        <v>0</v>
      </c>
      <c r="BG73" s="398">
        <v>0</v>
      </c>
      <c r="BH73" s="398">
        <v>0</v>
      </c>
      <c r="BI73" s="398">
        <v>0</v>
      </c>
      <c r="BJ73" s="398">
        <v>0</v>
      </c>
      <c r="BK73" s="398">
        <v>70</v>
      </c>
      <c r="BL73" s="398">
        <v>70</v>
      </c>
      <c r="BM73" s="398">
        <v>70</v>
      </c>
      <c r="BN73" s="398">
        <v>70</v>
      </c>
      <c r="BO73" s="398">
        <v>70</v>
      </c>
      <c r="BP73" s="398">
        <v>70</v>
      </c>
      <c r="BQ73" s="398">
        <v>70</v>
      </c>
      <c r="BR73" s="398">
        <v>70</v>
      </c>
      <c r="BS73" s="398">
        <v>70</v>
      </c>
      <c r="BT73" s="398">
        <v>70</v>
      </c>
      <c r="BU73" s="398">
        <v>70</v>
      </c>
      <c r="BV73" s="398">
        <v>70</v>
      </c>
      <c r="BW73" s="398">
        <v>70</v>
      </c>
      <c r="BX73" s="398">
        <v>70</v>
      </c>
      <c r="BY73" s="398">
        <v>70</v>
      </c>
      <c r="BZ73" s="398">
        <v>70</v>
      </c>
      <c r="CA73" s="397">
        <v>70</v>
      </c>
      <c r="CB73" s="398">
        <v>0</v>
      </c>
      <c r="CC73" s="398">
        <v>0</v>
      </c>
      <c r="CD73" s="398">
        <v>0</v>
      </c>
      <c r="CE73" s="398">
        <v>0</v>
      </c>
      <c r="CF73" s="472">
        <v>0</v>
      </c>
      <c r="CG73" s="3712"/>
      <c r="CH73" s="3738" cm="1">
        <f t="array" ref="CH73">SUM(IF(ISNUMBER($AX73:$CF73),$AX73:$CF73, 0))</f>
        <v>1190</v>
      </c>
      <c r="CI73" s="573"/>
      <c r="CJ73" s="610"/>
      <c r="CK73" s="611"/>
    </row>
    <row r="74" spans="1:89" ht="46" customHeight="1">
      <c r="A74" s="2862"/>
      <c r="B74" s="2863"/>
      <c r="C74" s="296"/>
      <c r="D74" s="297"/>
      <c r="E74" s="302"/>
      <c r="F74" s="609"/>
      <c r="G74" s="2864"/>
      <c r="H74" s="2864"/>
      <c r="I74" s="2864"/>
      <c r="J74" s="2864"/>
      <c r="K74" s="2864"/>
      <c r="L74" s="2865"/>
      <c r="M74" s="2866"/>
      <c r="N74" s="2866"/>
      <c r="O74" s="2865"/>
      <c r="P74" s="2915"/>
      <c r="Q74" s="2866"/>
      <c r="R74" s="2866"/>
      <c r="S74" s="2866"/>
      <c r="T74" s="302"/>
      <c r="U74" s="296"/>
      <c r="V74" s="3341"/>
      <c r="W74" s="478"/>
      <c r="X74" s="479"/>
      <c r="Y74" s="3365"/>
      <c r="Z74" s="3374"/>
      <c r="AA74" s="4393"/>
      <c r="AB74" s="4394"/>
      <c r="AC74" s="3669"/>
      <c r="AD74" s="3678"/>
      <c r="AE74" s="3679"/>
      <c r="AF74" s="3669"/>
      <c r="AG74" s="3678"/>
      <c r="AH74" s="3679"/>
      <c r="AI74" s="3682"/>
      <c r="AJ74" s="3678"/>
      <c r="AK74" s="3679"/>
      <c r="AL74" s="3682"/>
      <c r="AM74" s="3678"/>
      <c r="AN74" s="3683"/>
      <c r="AO74" s="3759"/>
      <c r="AP74" s="3759"/>
      <c r="AQ74" s="3760"/>
      <c r="AR74" s="3660"/>
      <c r="AS74" s="656"/>
      <c r="AT74" s="3661"/>
      <c r="AU74" s="3853"/>
      <c r="AV74" s="3853"/>
      <c r="AW74" s="3853"/>
      <c r="AX74" s="3712"/>
      <c r="AY74" s="337"/>
      <c r="AZ74" s="337"/>
      <c r="BA74" s="337"/>
      <c r="BB74" s="337"/>
      <c r="BC74" s="337"/>
      <c r="BD74" s="337"/>
      <c r="BE74" s="337"/>
      <c r="BF74" s="337"/>
      <c r="BG74" s="337"/>
      <c r="BH74" s="337"/>
      <c r="BI74" s="337"/>
      <c r="BJ74" s="337"/>
      <c r="BK74" s="337"/>
      <c r="BL74" s="337"/>
      <c r="BM74" s="337"/>
      <c r="BN74" s="337"/>
      <c r="BO74" s="337"/>
      <c r="BP74" s="337"/>
      <c r="BQ74" s="337"/>
      <c r="BR74" s="337"/>
      <c r="BS74" s="337"/>
      <c r="BT74" s="337"/>
      <c r="BU74" s="337"/>
      <c r="BV74" s="337"/>
      <c r="BW74" s="337"/>
      <c r="BX74" s="337"/>
      <c r="BY74" s="337"/>
      <c r="BZ74" s="337"/>
      <c r="CA74" s="337"/>
      <c r="CB74" s="337"/>
      <c r="CC74" s="337"/>
      <c r="CD74" s="337"/>
      <c r="CE74" s="337"/>
      <c r="CF74" s="340"/>
      <c r="CG74" s="3712"/>
      <c r="CH74" s="3737"/>
      <c r="CI74" s="573"/>
      <c r="CJ74" s="610"/>
      <c r="CK74" s="611"/>
    </row>
    <row r="75" spans="1:89" ht="46" customHeight="1">
      <c r="A75" s="2862"/>
      <c r="B75" s="2863" t="s">
        <v>6869</v>
      </c>
      <c r="C75" s="372">
        <f>C73+1</f>
        <v>31</v>
      </c>
      <c r="D75" s="2871">
        <v>229</v>
      </c>
      <c r="E75" s="6244" t="s">
        <v>6955</v>
      </c>
      <c r="F75" s="373" t="s">
        <v>3573</v>
      </c>
      <c r="G75" s="2872" t="s">
        <v>3574</v>
      </c>
      <c r="H75" s="2872" t="s">
        <v>3567</v>
      </c>
      <c r="I75" s="2872" t="s">
        <v>3574</v>
      </c>
      <c r="J75" s="2872" t="s">
        <v>3567</v>
      </c>
      <c r="K75" s="2872">
        <v>96</v>
      </c>
      <c r="L75" s="2873" t="s">
        <v>3481</v>
      </c>
      <c r="M75" s="2874" t="s">
        <v>2167</v>
      </c>
      <c r="N75" s="2874" t="s">
        <v>2132</v>
      </c>
      <c r="O75" s="2873" t="s">
        <v>3494</v>
      </c>
      <c r="P75" s="2874" t="s">
        <v>2134</v>
      </c>
      <c r="Q75" s="2874" t="s">
        <v>2134</v>
      </c>
      <c r="R75" s="2874" t="s">
        <v>2134</v>
      </c>
      <c r="S75" s="2874" t="s">
        <v>2317</v>
      </c>
      <c r="T75" s="377" t="s">
        <v>2133</v>
      </c>
      <c r="U75" s="372" t="s">
        <v>2136</v>
      </c>
      <c r="V75" s="387" t="s">
        <v>2453</v>
      </c>
      <c r="W75" s="388" t="s">
        <v>2315</v>
      </c>
      <c r="X75" s="389">
        <v>34</v>
      </c>
      <c r="Y75" s="3369">
        <f>SUM(X75:X76)</f>
        <v>34</v>
      </c>
      <c r="Z75" s="3322" t="str">
        <f>IFERROR(VLOOKUP($V75,[53]競技情報DB!$A$6:$H$181,3,),"－")</f>
        <v>岡崎中央総合公園多目的広場</v>
      </c>
      <c r="AA75" s="3323"/>
      <c r="AB75" s="3324"/>
      <c r="AC75" s="3638" t="str">
        <f>IFERROR(VLOOKUP($V75,[53]アジア練習会場!$A$3:$E$107,2,),"－")</f>
        <v>競技会場に設置</v>
      </c>
      <c r="AD75" s="3639">
        <v>10.8</v>
      </c>
      <c r="AE75" s="3640">
        <v>24</v>
      </c>
      <c r="AF75" s="3638" t="str">
        <f>IFERROR(VLOOKUP($V75,[53]アジア練習会場!$A$3:$E$107,3,),"－")</f>
        <v>ー</v>
      </c>
      <c r="AG75" s="3639"/>
      <c r="AH75" s="3640"/>
      <c r="AI75" s="3641" t="str">
        <f>IFERROR(VLOOKUP($V75,[53]アジア練習会場!$A$3:$E$107,4,),"－")</f>
        <v>ー</v>
      </c>
      <c r="AJ75" s="3639"/>
      <c r="AK75" s="3640"/>
      <c r="AL75" s="3641" t="str">
        <f>IFERROR(VLOOKUP($V75,[53]アジア練習会場!$A$3:$E$107,5,),"－")</f>
        <v>ー</v>
      </c>
      <c r="AM75" s="3639"/>
      <c r="AN75" s="3642"/>
      <c r="AO75" s="3757" cm="1">
        <f t="array" ref="AO75">_xlfn.LET(
  _xlpm.rng, AX75:CF75,
  _xlpm.header, $AX$3:$CF$3,
  _xlpm.idx, _xlfn.XMATCH(TRUE, _xlpm.rng&lt;&gt;0),
  _xlpm.dt, INDEX(_xlpm.header, _xlpm.idx),
  IF(YEAR(_xlpm.dt)&lt;&gt;2026, DATE(2026, MONTH(_xlpm.dt), DAY(_xlpm.dt)), _xlpm.dt)
)</f>
        <v>46286</v>
      </c>
      <c r="AP75" s="3757" cm="1">
        <f t="array" ref="AP75">_xlfn.LET(
  _xlpm.rng, AX75:CF75,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75" s="3758">
        <f>AP75-AO75</f>
        <v>13</v>
      </c>
      <c r="AR75" s="3643">
        <f>$H75-MAX(AX75:CF75)</f>
        <v>85</v>
      </c>
      <c r="AS75" s="394">
        <f>+AR75/$H75</f>
        <v>0.7142857142857143</v>
      </c>
      <c r="AT75" s="3644" t="str">
        <f>F75&amp;"　"&amp;"合計"</f>
        <v>岡崎オーワホテル　合計</v>
      </c>
      <c r="AU75" s="395"/>
      <c r="AV75" s="395"/>
      <c r="AW75" s="395"/>
      <c r="AX75" s="470">
        <v>0</v>
      </c>
      <c r="AY75" s="397">
        <v>0</v>
      </c>
      <c r="AZ75" s="397">
        <v>0</v>
      </c>
      <c r="BA75" s="397">
        <v>0</v>
      </c>
      <c r="BB75" s="397">
        <v>0</v>
      </c>
      <c r="BC75" s="397">
        <v>0</v>
      </c>
      <c r="BD75" s="397">
        <v>0</v>
      </c>
      <c r="BE75" s="397">
        <v>0</v>
      </c>
      <c r="BF75" s="397">
        <v>0</v>
      </c>
      <c r="BG75" s="397">
        <v>0</v>
      </c>
      <c r="BH75" s="397">
        <v>0</v>
      </c>
      <c r="BI75" s="397">
        <v>0</v>
      </c>
      <c r="BJ75" s="397">
        <v>0</v>
      </c>
      <c r="BK75" s="397">
        <v>0</v>
      </c>
      <c r="BL75" s="397">
        <v>0</v>
      </c>
      <c r="BM75" s="397">
        <v>0</v>
      </c>
      <c r="BN75" s="397">
        <v>0</v>
      </c>
      <c r="BO75" s="397">
        <v>3</v>
      </c>
      <c r="BP75" s="397">
        <v>5</v>
      </c>
      <c r="BQ75" s="397">
        <v>34</v>
      </c>
      <c r="BR75" s="397">
        <v>34</v>
      </c>
      <c r="BS75" s="397">
        <v>34</v>
      </c>
      <c r="BT75" s="397">
        <v>34</v>
      </c>
      <c r="BU75" s="397">
        <v>34</v>
      </c>
      <c r="BV75" s="397">
        <v>34</v>
      </c>
      <c r="BW75" s="397">
        <v>34</v>
      </c>
      <c r="BX75" s="397">
        <v>34</v>
      </c>
      <c r="BY75" s="397">
        <v>34</v>
      </c>
      <c r="BZ75" s="397">
        <v>34</v>
      </c>
      <c r="CA75" s="397">
        <v>34</v>
      </c>
      <c r="CB75" s="397">
        <v>34</v>
      </c>
      <c r="CC75" s="397">
        <v>0</v>
      </c>
      <c r="CD75" s="397">
        <v>0</v>
      </c>
      <c r="CE75" s="397">
        <v>0</v>
      </c>
      <c r="CF75" s="472">
        <v>0</v>
      </c>
      <c r="CG75" s="3712"/>
      <c r="CH75" s="3737" cm="1">
        <f t="array" ref="CH75">SUM(IF(ISNUMBER($AX75:$CF75),$AX75:$CF75, 0))</f>
        <v>416</v>
      </c>
      <c r="CI75" s="290"/>
      <c r="CJ75" s="332"/>
      <c r="CK75" s="333"/>
    </row>
    <row r="76" spans="1:89" ht="46" customHeight="1" thickBot="1">
      <c r="A76" s="3686"/>
      <c r="B76" s="2867"/>
      <c r="C76" s="343"/>
      <c r="D76" s="344" t="s">
        <v>2129</v>
      </c>
      <c r="E76" s="349"/>
      <c r="F76" s="345"/>
      <c r="G76" s="2868">
        <v>0</v>
      </c>
      <c r="H76" s="2868">
        <v>0</v>
      </c>
      <c r="I76" s="2868">
        <v>0</v>
      </c>
      <c r="J76" s="2868">
        <v>0</v>
      </c>
      <c r="K76" s="2868">
        <v>0</v>
      </c>
      <c r="L76" s="2869">
        <v>0</v>
      </c>
      <c r="M76" s="2870">
        <v>0</v>
      </c>
      <c r="N76" s="2870">
        <v>0</v>
      </c>
      <c r="O76" s="2869">
        <v>0</v>
      </c>
      <c r="P76" s="2870">
        <v>0</v>
      </c>
      <c r="Q76" s="2870">
        <v>0</v>
      </c>
      <c r="R76" s="2870">
        <v>0</v>
      </c>
      <c r="S76" s="2870">
        <v>0</v>
      </c>
      <c r="T76" s="349" t="s">
        <v>2129</v>
      </c>
      <c r="U76" s="343"/>
      <c r="V76" s="3330"/>
      <c r="W76" s="3331"/>
      <c r="X76" s="361"/>
      <c r="Y76" s="3332"/>
      <c r="Z76" s="3333" t="str">
        <f>IFERROR(VLOOKUP($V76,[53]競技情報DB!$A$6:$H$181,3,),"－")</f>
        <v>－</v>
      </c>
      <c r="AA76" s="3334"/>
      <c r="AB76" s="3335"/>
      <c r="AC76" s="3714" t="str">
        <f>IFERROR(VLOOKUP($V76,[53]アジア練習会場!$A$3:$E$107,2,),"－")</f>
        <v>－</v>
      </c>
      <c r="AD76" s="3692">
        <v>10.8</v>
      </c>
      <c r="AE76" s="3691">
        <v>24</v>
      </c>
      <c r="AF76" s="3714" t="str">
        <f>IFERROR(VLOOKUP($V76,[53]アジア練習会場!$A$3:$E$107,3,),"－")</f>
        <v>－</v>
      </c>
      <c r="AG76" s="3690"/>
      <c r="AH76" s="3691"/>
      <c r="AI76" s="3715" t="str">
        <f>IFERROR(VLOOKUP($V76,[53]アジア練習会場!$A$3:$E$107,4,),"－")</f>
        <v>－</v>
      </c>
      <c r="AJ76" s="3690"/>
      <c r="AK76" s="3691"/>
      <c r="AL76" s="3715" t="str">
        <f>IFERROR(VLOOKUP($V76,[53]アジア練習会場!$A$3:$E$107,5,),"－")</f>
        <v>－</v>
      </c>
      <c r="AM76" s="3690"/>
      <c r="AN76" s="3716"/>
      <c r="AO76" s="3761"/>
      <c r="AP76" s="3761"/>
      <c r="AQ76" s="3762"/>
      <c r="AR76" s="3696"/>
      <c r="AS76" s="358"/>
      <c r="AT76" s="3697"/>
      <c r="AU76" s="3857"/>
      <c r="AV76" s="3857"/>
      <c r="AW76" s="3857"/>
      <c r="AX76" s="719"/>
      <c r="AY76" s="589"/>
      <c r="AZ76" s="589"/>
      <c r="BA76" s="589"/>
      <c r="BB76" s="589"/>
      <c r="BC76" s="589"/>
      <c r="BD76" s="589"/>
      <c r="BE76" s="589"/>
      <c r="BF76" s="589"/>
      <c r="BG76" s="589"/>
      <c r="BH76" s="589"/>
      <c r="BI76" s="589"/>
      <c r="BJ76" s="589"/>
      <c r="BK76" s="589"/>
      <c r="BL76" s="589"/>
      <c r="BM76" s="589"/>
      <c r="BN76" s="589"/>
      <c r="BO76" s="589"/>
      <c r="BP76" s="589"/>
      <c r="BQ76" s="589"/>
      <c r="BR76" s="589"/>
      <c r="BS76" s="589"/>
      <c r="BT76" s="589"/>
      <c r="BU76" s="589"/>
      <c r="BV76" s="589"/>
      <c r="BW76" s="589"/>
      <c r="BX76" s="589"/>
      <c r="BY76" s="589"/>
      <c r="BZ76" s="589"/>
      <c r="CA76" s="589"/>
      <c r="CB76" s="589"/>
      <c r="CC76" s="589"/>
      <c r="CD76" s="589"/>
      <c r="CE76" s="589"/>
      <c r="CF76" s="590"/>
      <c r="CG76" s="3712"/>
      <c r="CH76" s="3737"/>
      <c r="CI76" s="290"/>
      <c r="CJ76" s="332"/>
      <c r="CK76" s="333"/>
    </row>
    <row r="77" spans="1:89" ht="46" customHeight="1">
      <c r="A77" s="2862" t="s">
        <v>3575</v>
      </c>
      <c r="B77" s="2863" t="s">
        <v>11</v>
      </c>
      <c r="C77" s="296">
        <f>C75+1</f>
        <v>32</v>
      </c>
      <c r="D77" s="297">
        <v>253</v>
      </c>
      <c r="E77" s="6246" t="s">
        <v>6955</v>
      </c>
      <c r="F77" s="298" t="s">
        <v>3576</v>
      </c>
      <c r="G77" s="2864" t="s">
        <v>3577</v>
      </c>
      <c r="H77" s="717">
        <v>350</v>
      </c>
      <c r="I77" s="717" t="s">
        <v>3577</v>
      </c>
      <c r="J77" s="717" t="s">
        <v>3578</v>
      </c>
      <c r="K77" s="717">
        <v>160</v>
      </c>
      <c r="L77" s="2865" t="s">
        <v>3481</v>
      </c>
      <c r="M77" s="2866" t="s">
        <v>2167</v>
      </c>
      <c r="N77" s="2866" t="s">
        <v>2229</v>
      </c>
      <c r="O77" s="2865" t="s">
        <v>3579</v>
      </c>
      <c r="P77" s="2915" t="s">
        <v>2134</v>
      </c>
      <c r="Q77" s="2866" t="s">
        <v>2134</v>
      </c>
      <c r="R77" s="2866" t="s">
        <v>2133</v>
      </c>
      <c r="S77" s="2866" t="s">
        <v>2240</v>
      </c>
      <c r="T77" s="302" t="s">
        <v>2133</v>
      </c>
      <c r="U77" s="296" t="s">
        <v>2136</v>
      </c>
      <c r="V77" s="703" t="s">
        <v>2326</v>
      </c>
      <c r="W77" s="528" t="s">
        <v>2324</v>
      </c>
      <c r="X77" s="529">
        <v>80</v>
      </c>
      <c r="Y77" s="3307">
        <f>SUM(X77:X79)</f>
        <v>122</v>
      </c>
      <c r="Z77" s="3350" t="str">
        <f>IFERROR(VLOOKUP($V77,[53]競技情報DB!$A$6:$H$181,3,),"－")</f>
        <v>西尾市総合体育館</v>
      </c>
      <c r="AA77" s="3351"/>
      <c r="AB77" s="3352"/>
      <c r="AC77" s="3662" t="str">
        <f>IFERROR(VLOOKUP($V77,[53]アジア練習会場!$A$3:$E$107,2,),"－")</f>
        <v>－</v>
      </c>
      <c r="AD77" s="3663">
        <v>13.2</v>
      </c>
      <c r="AE77" s="3664">
        <v>24</v>
      </c>
      <c r="AF77" s="3662" t="str">
        <f>IFERROR(VLOOKUP($V77,[53]アジア練習会場!$A$3:$E$107,3,),"－")</f>
        <v>－</v>
      </c>
      <c r="AG77" s="3663">
        <v>10.8</v>
      </c>
      <c r="AH77" s="3664">
        <v>20</v>
      </c>
      <c r="AI77" s="3665" t="str">
        <f>IFERROR(VLOOKUP($V77,[53]アジア練習会場!$A$3:$E$107,4,),"－")</f>
        <v>－</v>
      </c>
      <c r="AJ77" s="3663"/>
      <c r="AK77" s="3664"/>
      <c r="AL77" s="3665" t="str">
        <f>IFERROR(VLOOKUP($V77,[53]アジア練習会場!$A$3:$E$107,5,),"－")</f>
        <v>－</v>
      </c>
      <c r="AM77" s="3663"/>
      <c r="AN77" s="3666"/>
      <c r="AO77" s="3757" cm="1">
        <f t="array" ref="AO77">_xlfn.LET(
  _xlpm.rng, AX77:CF77,
  _xlpm.header, $AX$3:$CF$3,
  _xlpm.idx, _xlfn.XMATCH(TRUE, _xlpm.rng&lt;&gt;0),
  _xlpm.dt, INDEX(_xlpm.header, _xlpm.idx),
  IF(YEAR(_xlpm.dt)&lt;&gt;2026, DATE(2026, MONTH(_xlpm.dt), DAY(_xlpm.dt)), _xlpm.dt)
)</f>
        <v>46280</v>
      </c>
      <c r="AP77" s="3757" cm="1">
        <f t="array" ref="AP77">_xlfn.LET(
  _xlpm.rng, AX77:CF77,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77" s="3758">
        <f>AP77-AO77</f>
        <v>18</v>
      </c>
      <c r="AR77" s="3660">
        <f>$H77-MAX(AX77:CF77)</f>
        <v>228</v>
      </c>
      <c r="AS77" s="311">
        <f>+AR77/$H77</f>
        <v>0.65142857142857147</v>
      </c>
      <c r="AT77" s="3667" t="str">
        <f>F77&amp;"　"&amp;"合計"</f>
        <v>蒲郡ホテル　合計</v>
      </c>
      <c r="AU77" s="3854"/>
      <c r="AV77" s="3854"/>
      <c r="AW77" s="3854"/>
      <c r="AX77" s="496">
        <v>0</v>
      </c>
      <c r="AY77" s="494">
        <v>0</v>
      </c>
      <c r="AZ77" s="494">
        <v>0</v>
      </c>
      <c r="BA77" s="494">
        <v>0</v>
      </c>
      <c r="BB77" s="494">
        <v>0</v>
      </c>
      <c r="BC77" s="494">
        <v>0</v>
      </c>
      <c r="BD77" s="494">
        <v>0</v>
      </c>
      <c r="BE77" s="494">
        <v>0</v>
      </c>
      <c r="BF77" s="494">
        <v>0</v>
      </c>
      <c r="BG77" s="494">
        <v>0</v>
      </c>
      <c r="BH77" s="494">
        <v>0</v>
      </c>
      <c r="BI77" s="494">
        <v>1</v>
      </c>
      <c r="BJ77" s="494">
        <v>6</v>
      </c>
      <c r="BK77" s="494">
        <v>43</v>
      </c>
      <c r="BL77" s="494">
        <v>122</v>
      </c>
      <c r="BM77" s="494">
        <v>122</v>
      </c>
      <c r="BN77" s="494">
        <v>122</v>
      </c>
      <c r="BO77" s="494">
        <v>122</v>
      </c>
      <c r="BP77" s="494">
        <v>122</v>
      </c>
      <c r="BQ77" s="494">
        <v>122</v>
      </c>
      <c r="BR77" s="494">
        <v>122</v>
      </c>
      <c r="BS77" s="494">
        <v>80</v>
      </c>
      <c r="BT77" s="494">
        <v>80</v>
      </c>
      <c r="BU77" s="494">
        <v>80</v>
      </c>
      <c r="BV77" s="494">
        <v>80</v>
      </c>
      <c r="BW77" s="494">
        <v>80</v>
      </c>
      <c r="BX77" s="494">
        <v>80</v>
      </c>
      <c r="BY77" s="494">
        <v>80</v>
      </c>
      <c r="BZ77" s="494">
        <v>80</v>
      </c>
      <c r="CA77" s="494">
        <v>80</v>
      </c>
      <c r="CB77" s="494">
        <v>0</v>
      </c>
      <c r="CC77" s="494">
        <v>0</v>
      </c>
      <c r="CD77" s="494">
        <v>0</v>
      </c>
      <c r="CE77" s="494">
        <v>0</v>
      </c>
      <c r="CF77" s="499">
        <v>0</v>
      </c>
      <c r="CG77" s="3712"/>
      <c r="CH77" s="3737" cm="1">
        <f t="array" ref="CH77">SUM(IF(ISNUMBER($AX77:$CF77),$AX77:$CF77, 0))</f>
        <v>1624</v>
      </c>
      <c r="CI77" s="573"/>
      <c r="CJ77" s="332"/>
      <c r="CK77" s="333"/>
    </row>
    <row r="78" spans="1:89" ht="46" customHeight="1">
      <c r="A78" s="2862"/>
      <c r="B78" s="2863"/>
      <c r="C78" s="296"/>
      <c r="D78" s="297"/>
      <c r="E78" s="302"/>
      <c r="F78" s="298"/>
      <c r="G78" s="2864"/>
      <c r="H78" s="717"/>
      <c r="I78" s="717"/>
      <c r="J78" s="717"/>
      <c r="K78" s="717"/>
      <c r="L78" s="2865"/>
      <c r="M78" s="2866"/>
      <c r="N78" s="2866"/>
      <c r="O78" s="2865"/>
      <c r="P78" s="2915"/>
      <c r="Q78" s="2866"/>
      <c r="R78" s="2866"/>
      <c r="S78" s="2866"/>
      <c r="T78" s="302"/>
      <c r="U78" s="296"/>
      <c r="V78" s="3349" t="s">
        <v>6870</v>
      </c>
      <c r="W78" s="487" t="s">
        <v>6872</v>
      </c>
      <c r="X78" s="488">
        <v>24</v>
      </c>
      <c r="Y78" s="3307"/>
      <c r="Z78" s="3374"/>
      <c r="AA78" s="4393"/>
      <c r="AB78" s="4394"/>
      <c r="AC78" s="3669"/>
      <c r="AD78" s="3678"/>
      <c r="AE78" s="3679"/>
      <c r="AF78" s="3669"/>
      <c r="AG78" s="3678"/>
      <c r="AH78" s="3679"/>
      <c r="AI78" s="3682"/>
      <c r="AJ78" s="3678"/>
      <c r="AK78" s="3679"/>
      <c r="AL78" s="3682"/>
      <c r="AM78" s="3678"/>
      <c r="AN78" s="3683"/>
      <c r="AO78" s="3905"/>
      <c r="AP78" s="3905"/>
      <c r="AQ78" s="3906"/>
      <c r="AR78" s="3660"/>
      <c r="AS78" s="311"/>
      <c r="AT78" s="3661"/>
      <c r="AU78" s="3853"/>
      <c r="AV78" s="3853"/>
      <c r="AW78" s="3853"/>
      <c r="AX78" s="3712"/>
      <c r="AY78" s="337"/>
      <c r="AZ78" s="337"/>
      <c r="BA78" s="337"/>
      <c r="BB78" s="337"/>
      <c r="BC78" s="337"/>
      <c r="BD78" s="337"/>
      <c r="BE78" s="337"/>
      <c r="BF78" s="337"/>
      <c r="BG78" s="337"/>
      <c r="BH78" s="337"/>
      <c r="BI78" s="337"/>
      <c r="BJ78" s="337"/>
      <c r="BK78" s="337"/>
      <c r="BL78" s="337"/>
      <c r="BM78" s="337"/>
      <c r="BN78" s="337"/>
      <c r="BO78" s="337"/>
      <c r="BP78" s="337"/>
      <c r="BQ78" s="337"/>
      <c r="BR78" s="337"/>
      <c r="BS78" s="337"/>
      <c r="BT78" s="337"/>
      <c r="BU78" s="337"/>
      <c r="BV78" s="337"/>
      <c r="BW78" s="337"/>
      <c r="BX78" s="337"/>
      <c r="BY78" s="337"/>
      <c r="BZ78" s="337"/>
      <c r="CA78" s="337"/>
      <c r="CB78" s="337"/>
      <c r="CC78" s="337"/>
      <c r="CD78" s="337"/>
      <c r="CE78" s="337"/>
      <c r="CF78" s="340"/>
      <c r="CG78" s="3712"/>
      <c r="CH78" s="3737"/>
      <c r="CI78" s="573"/>
      <c r="CJ78" s="332"/>
      <c r="CK78" s="333"/>
    </row>
    <row r="79" spans="1:89" s="521" customFormat="1" ht="46" customHeight="1" thickBot="1">
      <c r="A79" s="2862"/>
      <c r="B79" s="2863"/>
      <c r="C79" s="296"/>
      <c r="D79" s="297" t="s">
        <v>2129</v>
      </c>
      <c r="E79" s="302"/>
      <c r="F79" s="422"/>
      <c r="G79" s="2864">
        <v>0</v>
      </c>
      <c r="H79" s="3717"/>
      <c r="I79" s="3717">
        <v>0</v>
      </c>
      <c r="J79" s="3717">
        <v>0</v>
      </c>
      <c r="K79" s="3717">
        <v>0</v>
      </c>
      <c r="L79" s="2865">
        <v>0</v>
      </c>
      <c r="M79" s="2866">
        <v>0</v>
      </c>
      <c r="N79" s="2866">
        <v>0</v>
      </c>
      <c r="O79" s="2865">
        <v>0</v>
      </c>
      <c r="P79" s="2915">
        <v>0</v>
      </c>
      <c r="Q79" s="2866">
        <v>0</v>
      </c>
      <c r="R79" s="2866">
        <v>0</v>
      </c>
      <c r="S79" s="2866">
        <v>0</v>
      </c>
      <c r="T79" s="302" t="s">
        <v>2129</v>
      </c>
      <c r="U79" s="296"/>
      <c r="V79" s="3341" t="s">
        <v>6871</v>
      </c>
      <c r="W79" s="478" t="s">
        <v>2331</v>
      </c>
      <c r="X79" s="479">
        <v>18</v>
      </c>
      <c r="Y79" s="3307"/>
      <c r="Z79" s="3343" t="str">
        <f>IFERROR(VLOOKUP($V79,[53]競技情報DB!$A$6:$H$181,3,),"－")</f>
        <v>－</v>
      </c>
      <c r="AA79" s="3354"/>
      <c r="AB79" s="3355"/>
      <c r="AC79" s="3670" t="str">
        <f>IFERROR(VLOOKUP($V79,[53]アジア練習会場!$A$3:$E$107,2,),"－")</f>
        <v>－</v>
      </c>
      <c r="AD79" s="3646">
        <v>19.100000000000001</v>
      </c>
      <c r="AE79" s="3647">
        <v>33</v>
      </c>
      <c r="AF79" s="3670" t="str">
        <f>IFERROR(VLOOKUP($V79,[53]アジア練習会場!$A$3:$E$107,3,),"－")</f>
        <v>－</v>
      </c>
      <c r="AG79" s="3671">
        <v>1.6</v>
      </c>
      <c r="AH79" s="3672">
        <v>6</v>
      </c>
      <c r="AI79" s="3673" t="str">
        <f>IFERROR(VLOOKUP($V79,[53]アジア練習会場!$A$3:$E$107,4,),"－")</f>
        <v>－</v>
      </c>
      <c r="AJ79" s="3671"/>
      <c r="AK79" s="3672"/>
      <c r="AL79" s="3673" t="str">
        <f>IFERROR(VLOOKUP($V79,[53]アジア練習会場!$A$3:$E$107,5,),"－")</f>
        <v>－</v>
      </c>
      <c r="AM79" s="3671"/>
      <c r="AN79" s="3674"/>
      <c r="AO79" s="3755"/>
      <c r="AP79" s="3755"/>
      <c r="AQ79" s="3756"/>
      <c r="AR79" s="3650"/>
      <c r="AS79" s="311"/>
      <c r="AT79" s="3675"/>
      <c r="AU79" s="416"/>
      <c r="AV79" s="416"/>
      <c r="AW79" s="416"/>
      <c r="AX79" s="505"/>
      <c r="AY79" s="322"/>
      <c r="AZ79" s="322"/>
      <c r="BA79" s="322"/>
      <c r="BB79" s="322"/>
      <c r="BC79" s="322"/>
      <c r="BD79" s="322"/>
      <c r="BE79" s="322"/>
      <c r="BF79" s="322"/>
      <c r="BG79" s="322"/>
      <c r="BH79" s="322"/>
      <c r="BI79" s="322"/>
      <c r="BJ79" s="322"/>
      <c r="BK79" s="322"/>
      <c r="BL79" s="322"/>
      <c r="BM79" s="322"/>
      <c r="BN79" s="322"/>
      <c r="BO79" s="322"/>
      <c r="BP79" s="322"/>
      <c r="BQ79" s="322"/>
      <c r="BR79" s="322"/>
      <c r="BS79" s="322"/>
      <c r="BT79" s="322"/>
      <c r="BU79" s="322"/>
      <c r="BV79" s="322"/>
      <c r="BW79" s="322"/>
      <c r="BX79" s="322"/>
      <c r="BY79" s="322"/>
      <c r="BZ79" s="322"/>
      <c r="CA79" s="322"/>
      <c r="CB79" s="322"/>
      <c r="CC79" s="506"/>
      <c r="CD79" s="322"/>
      <c r="CE79" s="322"/>
      <c r="CF79" s="507"/>
      <c r="CG79" s="3712"/>
      <c r="CH79" s="3737"/>
      <c r="CI79" s="573"/>
      <c r="CJ79" s="332"/>
      <c r="CK79" s="333"/>
    </row>
    <row r="80" spans="1:89" ht="46" customHeight="1">
      <c r="A80" s="2862"/>
      <c r="B80" s="296" t="s">
        <v>6873</v>
      </c>
      <c r="C80" s="372">
        <f>C77+1</f>
        <v>33</v>
      </c>
      <c r="D80" s="2871">
        <v>269</v>
      </c>
      <c r="E80" s="377"/>
      <c r="F80" s="572" t="s">
        <v>6874</v>
      </c>
      <c r="G80" s="2872"/>
      <c r="H80" s="2872"/>
      <c r="I80" s="2872"/>
      <c r="J80" s="2872"/>
      <c r="K80" s="2872"/>
      <c r="L80" s="2873"/>
      <c r="M80" s="2874"/>
      <c r="N80" s="2874"/>
      <c r="O80" s="2873"/>
      <c r="P80" s="2914"/>
      <c r="Q80" s="2874"/>
      <c r="R80" s="2874"/>
      <c r="S80" s="2874"/>
      <c r="T80" s="302"/>
      <c r="U80" s="296"/>
      <c r="V80" s="387" t="s">
        <v>6876</v>
      </c>
      <c r="W80" s="388" t="s">
        <v>6872</v>
      </c>
      <c r="X80" s="389">
        <v>65</v>
      </c>
      <c r="Y80" s="3369">
        <f>SUM(X80:X81)</f>
        <v>65</v>
      </c>
      <c r="Z80" s="3374"/>
      <c r="AA80" s="4393"/>
      <c r="AB80" s="4394"/>
      <c r="AC80" s="3669"/>
      <c r="AD80" s="3678"/>
      <c r="AE80" s="3679"/>
      <c r="AF80" s="3669"/>
      <c r="AG80" s="3678"/>
      <c r="AH80" s="3679"/>
      <c r="AI80" s="3682"/>
      <c r="AJ80" s="3678"/>
      <c r="AK80" s="3679"/>
      <c r="AL80" s="3682"/>
      <c r="AM80" s="3678"/>
      <c r="AN80" s="3683"/>
      <c r="AO80" s="3757" cm="1">
        <f t="array" ref="AO80">_xlfn.LET(
  _xlpm.rng, AX80:CF80,
  _xlpm.header, $AX$3:$CF$3,
  _xlpm.idx, _xlfn.XMATCH(TRUE, _xlpm.rng&lt;&gt;0),
  _xlpm.dt, INDEX(_xlpm.header, _xlpm.idx),
  IF(YEAR(_xlpm.dt)&lt;&gt;2026, DATE(2026, MONTH(_xlpm.dt), DAY(_xlpm.dt)), _xlpm.dt)
)</f>
        <v>46286</v>
      </c>
      <c r="AP80" s="3757" cm="1">
        <f t="array" ref="AP80">_xlfn.LET(
  _xlpm.rng, AX80:CF80,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80" s="3758">
        <f>AP80-AO80</f>
        <v>13</v>
      </c>
      <c r="AR80" s="3660"/>
      <c r="AS80" s="656"/>
      <c r="AT80" s="3661"/>
      <c r="AU80" s="3853"/>
      <c r="AV80" s="3853"/>
      <c r="AW80" s="3853"/>
      <c r="AX80" s="696">
        <v>0</v>
      </c>
      <c r="AY80" s="398">
        <v>0</v>
      </c>
      <c r="AZ80" s="398">
        <v>0</v>
      </c>
      <c r="BA80" s="398">
        <v>0</v>
      </c>
      <c r="BB80" s="398">
        <v>0</v>
      </c>
      <c r="BC80" s="398">
        <v>0</v>
      </c>
      <c r="BD80" s="398">
        <v>0</v>
      </c>
      <c r="BE80" s="397">
        <v>0</v>
      </c>
      <c r="BF80" s="397">
        <v>0</v>
      </c>
      <c r="BG80" s="397">
        <v>0</v>
      </c>
      <c r="BH80" s="397">
        <v>0</v>
      </c>
      <c r="BI80" s="397">
        <v>0</v>
      </c>
      <c r="BJ80" s="397">
        <v>0</v>
      </c>
      <c r="BK80" s="397">
        <v>0</v>
      </c>
      <c r="BL80" s="397">
        <v>0</v>
      </c>
      <c r="BM80" s="397">
        <v>0</v>
      </c>
      <c r="BN80" s="397">
        <v>0</v>
      </c>
      <c r="BO80" s="2879">
        <v>2</v>
      </c>
      <c r="BP80" s="2879">
        <v>2</v>
      </c>
      <c r="BQ80" s="2879">
        <v>65</v>
      </c>
      <c r="BR80" s="2879">
        <v>65</v>
      </c>
      <c r="BS80" s="2879">
        <v>65</v>
      </c>
      <c r="BT80" s="2879">
        <v>65</v>
      </c>
      <c r="BU80" s="2879">
        <v>65</v>
      </c>
      <c r="BV80" s="2879">
        <v>65</v>
      </c>
      <c r="BW80" s="2879">
        <v>65</v>
      </c>
      <c r="BX80" s="2879">
        <v>65</v>
      </c>
      <c r="BY80" s="2879">
        <v>65</v>
      </c>
      <c r="BZ80" s="2879">
        <v>65</v>
      </c>
      <c r="CA80" s="2879">
        <v>65</v>
      </c>
      <c r="CB80" s="2879">
        <v>65</v>
      </c>
      <c r="CC80" s="4412">
        <v>0</v>
      </c>
      <c r="CD80" s="2879">
        <v>0</v>
      </c>
      <c r="CE80" s="2879">
        <v>0</v>
      </c>
      <c r="CF80" s="2918">
        <v>0</v>
      </c>
      <c r="CG80" s="3712"/>
      <c r="CH80" s="3738" cm="1">
        <f t="array" ref="CH80">SUM(IF(ISNUMBER($AX80:$CF80),$AX80:$CF80, 0))</f>
        <v>784</v>
      </c>
      <c r="CI80" s="290"/>
      <c r="CJ80" s="332"/>
      <c r="CK80" s="333"/>
    </row>
    <row r="81" spans="1:89" ht="46" customHeight="1">
      <c r="A81" s="2862"/>
      <c r="B81" s="296"/>
      <c r="C81" s="420"/>
      <c r="D81" s="421"/>
      <c r="E81" s="426"/>
      <c r="F81" s="612"/>
      <c r="G81" s="2875"/>
      <c r="H81" s="2875"/>
      <c r="I81" s="2875"/>
      <c r="J81" s="2875"/>
      <c r="K81" s="2875"/>
      <c r="L81" s="2877"/>
      <c r="M81" s="2878"/>
      <c r="N81" s="2878"/>
      <c r="O81" s="2877"/>
      <c r="P81" s="2916"/>
      <c r="Q81" s="2878"/>
      <c r="R81" s="2878"/>
      <c r="S81" s="2878"/>
      <c r="T81" s="302"/>
      <c r="U81" s="296"/>
      <c r="V81" s="3341"/>
      <c r="W81" s="478"/>
      <c r="X81" s="479"/>
      <c r="Y81" s="3365"/>
      <c r="Z81" s="3374"/>
      <c r="AA81" s="4393"/>
      <c r="AB81" s="4394"/>
      <c r="AC81" s="3669"/>
      <c r="AD81" s="3678"/>
      <c r="AE81" s="3679"/>
      <c r="AF81" s="3669"/>
      <c r="AG81" s="3678"/>
      <c r="AH81" s="3679"/>
      <c r="AI81" s="3682"/>
      <c r="AJ81" s="3678"/>
      <c r="AK81" s="3679"/>
      <c r="AL81" s="3682"/>
      <c r="AM81" s="3678"/>
      <c r="AN81" s="3683"/>
      <c r="AO81" s="3759"/>
      <c r="AP81" s="3759"/>
      <c r="AQ81" s="3760"/>
      <c r="AR81" s="3660"/>
      <c r="AS81" s="656"/>
      <c r="AT81" s="3661"/>
      <c r="AU81" s="3853"/>
      <c r="AV81" s="3853"/>
      <c r="AW81" s="3853"/>
      <c r="AX81" s="6100"/>
      <c r="AY81" s="519"/>
      <c r="AZ81" s="519"/>
      <c r="BA81" s="519"/>
      <c r="BB81" s="519"/>
      <c r="BC81" s="519"/>
      <c r="BD81" s="519"/>
      <c r="BE81" s="519"/>
      <c r="BF81" s="519"/>
      <c r="BG81" s="519"/>
      <c r="BH81" s="519"/>
      <c r="BI81" s="519"/>
      <c r="BJ81" s="519"/>
      <c r="BK81" s="519"/>
      <c r="BL81" s="519"/>
      <c r="BM81" s="519"/>
      <c r="BN81" s="519"/>
      <c r="BO81" s="519"/>
      <c r="BP81" s="519"/>
      <c r="BQ81" s="519"/>
      <c r="BR81" s="519"/>
      <c r="BS81" s="519"/>
      <c r="BT81" s="519"/>
      <c r="BU81" s="519"/>
      <c r="BV81" s="519"/>
      <c r="BW81" s="519"/>
      <c r="BX81" s="519"/>
      <c r="BY81" s="519"/>
      <c r="BZ81" s="519"/>
      <c r="CA81" s="519"/>
      <c r="CB81" s="519"/>
      <c r="CC81" s="519"/>
      <c r="CD81" s="519"/>
      <c r="CE81" s="519"/>
      <c r="CF81" s="520"/>
      <c r="CG81" s="3712"/>
      <c r="CH81" s="3737"/>
      <c r="CI81" s="290"/>
      <c r="CJ81" s="332"/>
      <c r="CK81" s="333"/>
    </row>
    <row r="82" spans="1:89" ht="46" customHeight="1">
      <c r="A82" s="2862"/>
      <c r="B82" s="296"/>
      <c r="C82" s="296">
        <f>C80+1</f>
        <v>34</v>
      </c>
      <c r="D82" s="297">
        <v>271</v>
      </c>
      <c r="E82" s="302"/>
      <c r="F82" s="609" t="s">
        <v>6875</v>
      </c>
      <c r="G82" s="2864"/>
      <c r="H82" s="2864"/>
      <c r="I82" s="2864"/>
      <c r="J82" s="2864"/>
      <c r="K82" s="2864"/>
      <c r="L82" s="2865"/>
      <c r="M82" s="2866"/>
      <c r="N82" s="2866"/>
      <c r="O82" s="2865"/>
      <c r="P82" s="2915"/>
      <c r="Q82" s="2866"/>
      <c r="R82" s="2866"/>
      <c r="S82" s="2866"/>
      <c r="T82" s="302"/>
      <c r="U82" s="296"/>
      <c r="V82" s="387" t="s">
        <v>6877</v>
      </c>
      <c r="W82" s="388" t="s">
        <v>6878</v>
      </c>
      <c r="X82" s="389">
        <v>68</v>
      </c>
      <c r="Y82" s="3369">
        <f>SUM(X82:X83)</f>
        <v>68</v>
      </c>
      <c r="Z82" s="3374"/>
      <c r="AA82" s="4393"/>
      <c r="AB82" s="4394"/>
      <c r="AC82" s="3669"/>
      <c r="AD82" s="3678"/>
      <c r="AE82" s="3679"/>
      <c r="AF82" s="3669"/>
      <c r="AG82" s="3678"/>
      <c r="AH82" s="3679"/>
      <c r="AI82" s="3682"/>
      <c r="AJ82" s="3678"/>
      <c r="AK82" s="3679"/>
      <c r="AL82" s="3682"/>
      <c r="AM82" s="3678"/>
      <c r="AN82" s="3683"/>
      <c r="AO82" s="3757" cm="1">
        <f t="array" ref="AO82">_xlfn.LET(
  _xlpm.rng, AX82:CF82,
  _xlpm.header, $AX$3:$CF$3,
  _xlpm.idx, _xlfn.XMATCH(TRUE, _xlpm.rng&lt;&gt;0),
  _xlpm.dt, INDEX(_xlpm.header, _xlpm.idx),
  IF(YEAR(_xlpm.dt)&lt;&gt;2026, DATE(2026, MONTH(_xlpm.dt), DAY(_xlpm.dt)), _xlpm.dt)
)</f>
        <v>46288</v>
      </c>
      <c r="AP82" s="3757" cm="1">
        <f t="array" ref="AP82">_xlfn.LET(
  _xlpm.rng, AX82:CF82,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82" s="3758">
        <f>AP82-AO82</f>
        <v>11</v>
      </c>
      <c r="AR82" s="3660"/>
      <c r="AS82" s="656"/>
      <c r="AT82" s="3661"/>
      <c r="AU82" s="3853"/>
      <c r="AV82" s="3853"/>
      <c r="AW82" s="3853"/>
      <c r="AX82" s="696">
        <v>0</v>
      </c>
      <c r="AY82" s="398">
        <v>0</v>
      </c>
      <c r="AZ82" s="398">
        <v>0</v>
      </c>
      <c r="BA82" s="398">
        <v>0</v>
      </c>
      <c r="BB82" s="398">
        <v>0</v>
      </c>
      <c r="BC82" s="398">
        <v>0</v>
      </c>
      <c r="BD82" s="398">
        <v>0</v>
      </c>
      <c r="BE82" s="397">
        <v>0</v>
      </c>
      <c r="BF82" s="397">
        <v>0</v>
      </c>
      <c r="BG82" s="397">
        <v>0</v>
      </c>
      <c r="BH82" s="397">
        <v>0</v>
      </c>
      <c r="BI82" s="397">
        <v>0</v>
      </c>
      <c r="BJ82" s="397">
        <v>0</v>
      </c>
      <c r="BK82" s="397">
        <v>0</v>
      </c>
      <c r="BL82" s="397">
        <v>0</v>
      </c>
      <c r="BM82" s="397">
        <v>0</v>
      </c>
      <c r="BN82" s="397">
        <v>0</v>
      </c>
      <c r="BO82" s="397">
        <v>0</v>
      </c>
      <c r="BP82" s="397">
        <v>0</v>
      </c>
      <c r="BQ82" s="494">
        <v>68</v>
      </c>
      <c r="BR82" s="494">
        <v>68</v>
      </c>
      <c r="BS82" s="494">
        <v>68</v>
      </c>
      <c r="BT82" s="494">
        <v>68</v>
      </c>
      <c r="BU82" s="494">
        <v>68</v>
      </c>
      <c r="BV82" s="494">
        <v>68</v>
      </c>
      <c r="BW82" s="494">
        <v>68</v>
      </c>
      <c r="BX82" s="494">
        <v>68</v>
      </c>
      <c r="BY82" s="494">
        <v>68</v>
      </c>
      <c r="BZ82" s="494">
        <v>68</v>
      </c>
      <c r="CA82" s="494">
        <v>68</v>
      </c>
      <c r="CB82" s="494">
        <v>68</v>
      </c>
      <c r="CC82" s="4412">
        <v>0</v>
      </c>
      <c r="CD82" s="2879">
        <v>0</v>
      </c>
      <c r="CE82" s="2879">
        <v>0</v>
      </c>
      <c r="CF82" s="2918">
        <v>0</v>
      </c>
      <c r="CG82" s="3712"/>
      <c r="CH82" s="3738" cm="1">
        <f t="array" ref="CH82">SUM(IF(ISNUMBER($AX82:$CF82),$AX82:$CF82, 0))</f>
        <v>816</v>
      </c>
      <c r="CI82" s="290"/>
      <c r="CJ82" s="332"/>
      <c r="CK82" s="333"/>
    </row>
    <row r="83" spans="1:89" ht="46" customHeight="1">
      <c r="A83" s="2862"/>
      <c r="B83" s="296"/>
      <c r="C83" s="420"/>
      <c r="D83" s="421"/>
      <c r="E83" s="426"/>
      <c r="F83" s="612"/>
      <c r="G83" s="2875"/>
      <c r="H83" s="2875"/>
      <c r="I83" s="2875"/>
      <c r="J83" s="2875"/>
      <c r="K83" s="2875"/>
      <c r="L83" s="2877"/>
      <c r="M83" s="2878"/>
      <c r="N83" s="2878"/>
      <c r="O83" s="2877"/>
      <c r="P83" s="2916"/>
      <c r="Q83" s="2878"/>
      <c r="R83" s="2878"/>
      <c r="S83" s="2878"/>
      <c r="T83" s="426"/>
      <c r="U83" s="420"/>
      <c r="V83" s="3341"/>
      <c r="W83" s="478"/>
      <c r="X83" s="479"/>
      <c r="Y83" s="3365"/>
      <c r="Z83" s="3374"/>
      <c r="AA83" s="4393"/>
      <c r="AB83" s="4394"/>
      <c r="AC83" s="3669"/>
      <c r="AD83" s="3678"/>
      <c r="AE83" s="3679"/>
      <c r="AF83" s="3669"/>
      <c r="AG83" s="3678"/>
      <c r="AH83" s="3679"/>
      <c r="AI83" s="3682"/>
      <c r="AJ83" s="3678"/>
      <c r="AK83" s="3679"/>
      <c r="AL83" s="3682"/>
      <c r="AM83" s="3678"/>
      <c r="AN83" s="3683"/>
      <c r="AO83" s="3759"/>
      <c r="AP83" s="3759"/>
      <c r="AQ83" s="3760"/>
      <c r="AR83" s="3660"/>
      <c r="AS83" s="656"/>
      <c r="AT83" s="3661"/>
      <c r="AU83" s="3853"/>
      <c r="AV83" s="3853"/>
      <c r="AW83" s="3853"/>
      <c r="AX83" s="3712"/>
      <c r="AY83" s="337"/>
      <c r="AZ83" s="337"/>
      <c r="BA83" s="337"/>
      <c r="BB83" s="337"/>
      <c r="BC83" s="337"/>
      <c r="BD83" s="337"/>
      <c r="BE83" s="337"/>
      <c r="BF83" s="337"/>
      <c r="BG83" s="337"/>
      <c r="BH83" s="337"/>
      <c r="BI83" s="337"/>
      <c r="BJ83" s="337"/>
      <c r="BK83" s="337"/>
      <c r="BL83" s="337"/>
      <c r="BM83" s="337"/>
      <c r="BN83" s="337"/>
      <c r="BO83" s="337"/>
      <c r="BP83" s="337"/>
      <c r="BQ83" s="337"/>
      <c r="BR83" s="337"/>
      <c r="BS83" s="337"/>
      <c r="BT83" s="337"/>
      <c r="BU83" s="337"/>
      <c r="BV83" s="337"/>
      <c r="BW83" s="337"/>
      <c r="BX83" s="337"/>
      <c r="BY83" s="337"/>
      <c r="BZ83" s="337"/>
      <c r="CA83" s="337"/>
      <c r="CB83" s="337"/>
      <c r="CC83" s="337"/>
      <c r="CD83" s="337"/>
      <c r="CE83" s="337"/>
      <c r="CF83" s="340"/>
      <c r="CG83" s="3712"/>
      <c r="CH83" s="3737"/>
      <c r="CI83" s="290"/>
      <c r="CJ83" s="332"/>
      <c r="CK83" s="333"/>
    </row>
    <row r="84" spans="1:89" s="3441" customFormat="1" ht="46" customHeight="1">
      <c r="A84" s="3421"/>
      <c r="B84" s="304" t="s">
        <v>13</v>
      </c>
      <c r="C84" s="304">
        <f>C82+1</f>
        <v>35</v>
      </c>
      <c r="D84" s="3423">
        <v>282</v>
      </c>
      <c r="E84" s="6247" t="s">
        <v>6955</v>
      </c>
      <c r="F84" s="3718" t="s">
        <v>3583</v>
      </c>
      <c r="G84" s="299" t="s">
        <v>3584</v>
      </c>
      <c r="H84" s="299" t="s">
        <v>3585</v>
      </c>
      <c r="I84" s="299" t="s">
        <v>3586</v>
      </c>
      <c r="J84" s="299" t="s">
        <v>3586</v>
      </c>
      <c r="K84" s="299">
        <v>72</v>
      </c>
      <c r="L84" s="300" t="s">
        <v>3570</v>
      </c>
      <c r="M84" s="301" t="s">
        <v>2167</v>
      </c>
      <c r="N84" s="301" t="s">
        <v>2132</v>
      </c>
      <c r="O84" s="300" t="s">
        <v>3587</v>
      </c>
      <c r="P84" s="301" t="s">
        <v>2133</v>
      </c>
      <c r="Q84" s="301" t="s">
        <v>2134</v>
      </c>
      <c r="R84" s="301" t="s">
        <v>2131</v>
      </c>
      <c r="S84" s="301" t="s">
        <v>2168</v>
      </c>
      <c r="T84" s="3425" t="s">
        <v>2133</v>
      </c>
      <c r="U84" s="3426" t="s">
        <v>2136</v>
      </c>
      <c r="V84" s="3349" t="s">
        <v>2369</v>
      </c>
      <c r="W84" s="3427" t="s">
        <v>2364</v>
      </c>
      <c r="X84" s="3428">
        <v>72</v>
      </c>
      <c r="Y84" s="3369">
        <f>SUM(X84:X85)</f>
        <v>133</v>
      </c>
      <c r="Z84" s="3350" t="str">
        <f>IFERROR(VLOOKUP($V84,[53]競技情報DB!$A$6:$H$181,3,),"－")</f>
        <v>豊橋市総合体育館</v>
      </c>
      <c r="AA84" s="3351"/>
      <c r="AB84" s="3352"/>
      <c r="AC84" s="3662" t="str">
        <f>IFERROR(VLOOKUP($V84,[53]アジア練習会場!$A$3:$E$107,2,),"－")</f>
        <v>豊川市総合体育館</v>
      </c>
      <c r="AD84" s="3663">
        <v>5.4</v>
      </c>
      <c r="AE84" s="3664">
        <v>10</v>
      </c>
      <c r="AF84" s="3662" t="str">
        <f>IFERROR(VLOOKUP($V84,[53]アジア練習会場!$A$3:$E$107,3,),"－")</f>
        <v>ー</v>
      </c>
      <c r="AG84" s="3639">
        <v>7.8</v>
      </c>
      <c r="AH84" s="3640">
        <v>15</v>
      </c>
      <c r="AI84" s="3665" t="str">
        <f>IFERROR(VLOOKUP($V84,[53]アジア練習会場!$A$3:$E$107,4,),"－")</f>
        <v>ー</v>
      </c>
      <c r="AJ84" s="3639"/>
      <c r="AK84" s="3640"/>
      <c r="AL84" s="3665" t="str">
        <f>IFERROR(VLOOKUP($V84,[53]アジア練習会場!$A$3:$E$107,5,),"－")</f>
        <v>ー</v>
      </c>
      <c r="AM84" s="3639"/>
      <c r="AN84" s="3642"/>
      <c r="AO84" s="3757" cm="1">
        <f t="array" ref="AO84">_xlfn.LET(
  _xlpm.rng, AX84:CF84,
  _xlpm.header, $AX$3:$CF$3,
  _xlpm.idx, _xlfn.XMATCH(TRUE, _xlpm.rng&lt;&gt;0),
  _xlpm.dt, INDEX(_xlpm.header, _xlpm.idx),
  IF(YEAR(_xlpm.dt)&lt;&gt;2026, DATE(2026, MONTH(_xlpm.dt), DAY(_xlpm.dt)), _xlpm.dt)
)</f>
        <v>46280</v>
      </c>
      <c r="AP84" s="3757" cm="1">
        <f t="array" ref="AP84">_xlfn.LET(
  _xlpm.rng, AX84:CF84,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84" s="3758">
        <f>AP84-AO84</f>
        <v>19</v>
      </c>
      <c r="AR84" s="3719">
        <f>$H84-MAX(AX84:CF84)</f>
        <v>37</v>
      </c>
      <c r="AS84" s="3431">
        <f>+AR84/$H84</f>
        <v>0.33944954128440369</v>
      </c>
      <c r="AT84" s="3720" t="str">
        <f>F84&amp;"　"&amp;"合計"</f>
        <v>ホテルアークリッシュ豊橋　合計</v>
      </c>
      <c r="AU84" s="3858"/>
      <c r="AV84" s="3858"/>
      <c r="AW84" s="3858"/>
      <c r="AX84" s="3434">
        <v>0</v>
      </c>
      <c r="AY84" s="3435">
        <v>0</v>
      </c>
      <c r="AZ84" s="3435">
        <v>0</v>
      </c>
      <c r="BA84" s="3435">
        <v>0</v>
      </c>
      <c r="BB84" s="3435">
        <v>0</v>
      </c>
      <c r="BC84" s="3435">
        <v>0</v>
      </c>
      <c r="BD84" s="3435">
        <v>0</v>
      </c>
      <c r="BE84" s="3435">
        <v>0</v>
      </c>
      <c r="BF84" s="398">
        <v>0</v>
      </c>
      <c r="BG84" s="398">
        <v>0</v>
      </c>
      <c r="BH84" s="3435">
        <v>0</v>
      </c>
      <c r="BI84" s="3435">
        <v>2</v>
      </c>
      <c r="BJ84" s="3435">
        <v>2</v>
      </c>
      <c r="BK84" s="3435">
        <v>61</v>
      </c>
      <c r="BL84" s="3435">
        <v>61</v>
      </c>
      <c r="BM84" s="3435">
        <v>61</v>
      </c>
      <c r="BN84" s="3435">
        <v>61</v>
      </c>
      <c r="BO84" s="3435">
        <v>61</v>
      </c>
      <c r="BP84" s="3435">
        <v>61</v>
      </c>
      <c r="BQ84" s="3435">
        <v>61</v>
      </c>
      <c r="BR84" s="3435">
        <v>61</v>
      </c>
      <c r="BS84" s="3435">
        <v>0</v>
      </c>
      <c r="BT84" s="3435">
        <v>1</v>
      </c>
      <c r="BU84" s="3435">
        <v>1</v>
      </c>
      <c r="BV84" s="3435">
        <v>72</v>
      </c>
      <c r="BW84" s="3435">
        <v>72</v>
      </c>
      <c r="BX84" s="3435">
        <v>72</v>
      </c>
      <c r="BY84" s="3435">
        <v>72</v>
      </c>
      <c r="BZ84" s="3435">
        <v>72</v>
      </c>
      <c r="CA84" s="3435">
        <v>72</v>
      </c>
      <c r="CB84" s="3435">
        <v>72</v>
      </c>
      <c r="CC84" s="398">
        <v>0</v>
      </c>
      <c r="CD84" s="3435">
        <v>0</v>
      </c>
      <c r="CE84" s="3435">
        <v>0</v>
      </c>
      <c r="CF84" s="3437">
        <v>0</v>
      </c>
      <c r="CG84" s="3734"/>
      <c r="CH84" s="3738" cm="1">
        <f t="array" ref="CH84">SUM(IF(ISNUMBER($AX84:$CF84),$AX84:$CF84, 0))</f>
        <v>998</v>
      </c>
      <c r="CI84" s="3438"/>
      <c r="CJ84" s="3439"/>
      <c r="CK84" s="3440"/>
    </row>
    <row r="85" spans="1:89" s="3456" customFormat="1" ht="46" customHeight="1" thickBot="1">
      <c r="A85" s="3421"/>
      <c r="B85" s="3422"/>
      <c r="C85" s="428"/>
      <c r="D85" s="3442" t="s">
        <v>2129</v>
      </c>
      <c r="E85" s="6239"/>
      <c r="F85" s="3713"/>
      <c r="G85" s="423">
        <v>0</v>
      </c>
      <c r="H85" s="423">
        <v>0</v>
      </c>
      <c r="I85" s="423">
        <v>0</v>
      </c>
      <c r="J85" s="423">
        <v>0</v>
      </c>
      <c r="K85" s="423">
        <v>0</v>
      </c>
      <c r="L85" s="424">
        <v>0</v>
      </c>
      <c r="M85" s="425">
        <v>0</v>
      </c>
      <c r="N85" s="425">
        <v>0</v>
      </c>
      <c r="O85" s="424">
        <v>0</v>
      </c>
      <c r="P85" s="425">
        <v>0</v>
      </c>
      <c r="Q85" s="425">
        <v>0</v>
      </c>
      <c r="R85" s="425">
        <v>0</v>
      </c>
      <c r="S85" s="425">
        <v>0</v>
      </c>
      <c r="T85" s="3444"/>
      <c r="U85" s="3445"/>
      <c r="V85" s="714" t="s">
        <v>2367</v>
      </c>
      <c r="W85" s="3446" t="s">
        <v>2364</v>
      </c>
      <c r="X85" s="3447">
        <v>61</v>
      </c>
      <c r="Y85" s="3448"/>
      <c r="Z85" s="3343" t="str">
        <f>IFERROR(VLOOKUP($V85,[53]競技情報DB!$A$6:$H$181,3,),"－")</f>
        <v>豊橋市総合体育館</v>
      </c>
      <c r="AA85" s="3354"/>
      <c r="AB85" s="3355"/>
      <c r="AC85" s="3670" t="str">
        <f>IFERROR(VLOOKUP($V85,[53]アジア練習会場!$A$3:$E$107,2,),"－")</f>
        <v>豊川市総合体育館</v>
      </c>
      <c r="AD85" s="3646"/>
      <c r="AE85" s="3647"/>
      <c r="AF85" s="3670" t="str">
        <f>IFERROR(VLOOKUP($V85,[53]アジア練習会場!$A$3:$E$107,3,),"－")</f>
        <v>ー</v>
      </c>
      <c r="AG85" s="3671"/>
      <c r="AH85" s="3672"/>
      <c r="AI85" s="3673" t="str">
        <f>IFERROR(VLOOKUP($V85,[53]アジア練習会場!$A$3:$E$107,4,),"－")</f>
        <v>ー</v>
      </c>
      <c r="AJ85" s="3671"/>
      <c r="AK85" s="3672"/>
      <c r="AL85" s="3673" t="str">
        <f>IFERROR(VLOOKUP($V85,[53]アジア練習会場!$A$3:$E$107,5,),"－")</f>
        <v>ー</v>
      </c>
      <c r="AM85" s="3671"/>
      <c r="AN85" s="3674"/>
      <c r="AO85" s="3755"/>
      <c r="AP85" s="3755"/>
      <c r="AQ85" s="3756"/>
      <c r="AR85" s="3721"/>
      <c r="AS85" s="3450"/>
      <c r="AT85" s="3722"/>
      <c r="AU85" s="3859"/>
      <c r="AV85" s="3859"/>
      <c r="AW85" s="3859"/>
      <c r="AX85" s="3455"/>
      <c r="AY85" s="2206"/>
      <c r="AZ85" s="2206"/>
      <c r="BA85" s="2206"/>
      <c r="BB85" s="2206"/>
      <c r="BC85" s="2206"/>
      <c r="BD85" s="2206"/>
      <c r="BE85" s="2206"/>
      <c r="BF85" s="2206"/>
      <c r="BG85" s="2206"/>
      <c r="BH85" s="2206"/>
      <c r="BI85" s="2206"/>
      <c r="BJ85" s="2206"/>
      <c r="BK85" s="2206"/>
      <c r="BL85" s="2206"/>
      <c r="BM85" s="2206"/>
      <c r="BN85" s="2206"/>
      <c r="BO85" s="2206"/>
      <c r="BP85" s="2206"/>
      <c r="BQ85" s="2206"/>
      <c r="BR85" s="2206"/>
      <c r="BS85" s="2206"/>
      <c r="BT85" s="2206"/>
      <c r="BU85" s="2206"/>
      <c r="BV85" s="2206"/>
      <c r="BW85" s="2206"/>
      <c r="BX85" s="2206"/>
      <c r="BY85" s="2206"/>
      <c r="BZ85" s="2206"/>
      <c r="CA85" s="2206"/>
      <c r="CB85" s="2206"/>
      <c r="CC85" s="2206"/>
      <c r="CD85" s="2206"/>
      <c r="CE85" s="2206"/>
      <c r="CF85" s="2201"/>
      <c r="CG85" s="3734"/>
      <c r="CH85" s="3738"/>
      <c r="CI85" s="3438"/>
      <c r="CJ85" s="3439"/>
      <c r="CK85" s="3440"/>
    </row>
    <row r="86" spans="1:89" s="3441" customFormat="1" ht="46" customHeight="1">
      <c r="A86" s="641"/>
      <c r="B86" s="304"/>
      <c r="C86" s="372">
        <f>C84+1</f>
        <v>36</v>
      </c>
      <c r="D86" s="2871">
        <v>283</v>
      </c>
      <c r="E86" s="6244" t="s">
        <v>6955</v>
      </c>
      <c r="F86" s="572" t="s">
        <v>6879</v>
      </c>
      <c r="G86" s="2872"/>
      <c r="H86" s="2872"/>
      <c r="I86" s="2872"/>
      <c r="J86" s="2872"/>
      <c r="K86" s="2872"/>
      <c r="L86" s="2873"/>
      <c r="M86" s="2874"/>
      <c r="N86" s="2874"/>
      <c r="O86" s="2873"/>
      <c r="P86" s="2914"/>
      <c r="Q86" s="2874"/>
      <c r="R86" s="2874"/>
      <c r="S86" s="2874"/>
      <c r="T86" s="302"/>
      <c r="U86" s="296"/>
      <c r="V86" s="387" t="s">
        <v>3588</v>
      </c>
      <c r="W86" s="388"/>
      <c r="X86" s="389">
        <v>60</v>
      </c>
      <c r="Y86" s="3369">
        <f>SUM(X86:X87)</f>
        <v>60</v>
      </c>
      <c r="Z86" s="3374"/>
      <c r="AA86" s="4393"/>
      <c r="AB86" s="4394"/>
      <c r="AC86" s="3669"/>
      <c r="AD86" s="3678"/>
      <c r="AE86" s="3679"/>
      <c r="AF86" s="3669"/>
      <c r="AG86" s="3678"/>
      <c r="AH86" s="3679"/>
      <c r="AI86" s="3682"/>
      <c r="AJ86" s="3678"/>
      <c r="AK86" s="3679"/>
      <c r="AL86" s="3682"/>
      <c r="AM86" s="3678"/>
      <c r="AN86" s="3683"/>
      <c r="AO86" s="3757" cm="1">
        <f t="array" ref="AO86">_xlfn.LET(
  _xlpm.rng, AX86:CF86,
  _xlpm.header, $AX$3:$CF$3,
  _xlpm.idx, _xlfn.XMATCH(TRUE, _xlpm.rng&lt;&gt;0),
  _xlpm.dt, INDEX(_xlpm.header, _xlpm.idx),
  IF(YEAR(_xlpm.dt)&lt;&gt;2026, DATE(2026, MONTH(_xlpm.dt), DAY(_xlpm.dt)), _xlpm.dt)
)</f>
        <v>46276</v>
      </c>
      <c r="AP86" s="3757" cm="1">
        <f t="array" ref="AP86">_xlfn.LET(
  _xlpm.rng, AX86:CF86,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86" s="3758">
        <f>AP86-AO86</f>
        <v>23</v>
      </c>
      <c r="AR86" s="3719"/>
      <c r="AS86" s="3431"/>
      <c r="AT86" s="6097"/>
      <c r="AU86" s="3860"/>
      <c r="AV86" s="3860"/>
      <c r="AW86" s="3860"/>
      <c r="AX86" s="3434">
        <v>0</v>
      </c>
      <c r="AY86" s="3435">
        <v>0</v>
      </c>
      <c r="AZ86" s="3435">
        <v>0</v>
      </c>
      <c r="BA86" s="3435">
        <v>0</v>
      </c>
      <c r="BB86" s="3435">
        <v>0</v>
      </c>
      <c r="BC86" s="3435">
        <v>0</v>
      </c>
      <c r="BD86" s="3435">
        <v>0</v>
      </c>
      <c r="BE86" s="2204">
        <v>60</v>
      </c>
      <c r="BF86" s="2204">
        <v>60</v>
      </c>
      <c r="BG86" s="2204">
        <v>60</v>
      </c>
      <c r="BH86" s="2204">
        <v>60</v>
      </c>
      <c r="BI86" s="2204">
        <v>60</v>
      </c>
      <c r="BJ86" s="2204">
        <v>60</v>
      </c>
      <c r="BK86" s="2204">
        <v>60</v>
      </c>
      <c r="BL86" s="2204">
        <v>60</v>
      </c>
      <c r="BM86" s="2204">
        <v>60</v>
      </c>
      <c r="BN86" s="2204">
        <v>60</v>
      </c>
      <c r="BO86" s="2204">
        <v>60</v>
      </c>
      <c r="BP86" s="2204">
        <v>60</v>
      </c>
      <c r="BQ86" s="2204">
        <v>60</v>
      </c>
      <c r="BR86" s="2204">
        <v>60</v>
      </c>
      <c r="BS86" s="2204">
        <v>60</v>
      </c>
      <c r="BT86" s="2204">
        <v>60</v>
      </c>
      <c r="BU86" s="2204">
        <v>60</v>
      </c>
      <c r="BV86" s="2204">
        <v>60</v>
      </c>
      <c r="BW86" s="2204">
        <v>60</v>
      </c>
      <c r="BX86" s="2204">
        <v>60</v>
      </c>
      <c r="BY86" s="2204">
        <v>60</v>
      </c>
      <c r="BZ86" s="2204">
        <v>60</v>
      </c>
      <c r="CA86" s="2204">
        <v>60</v>
      </c>
      <c r="CB86" s="2204">
        <v>60</v>
      </c>
      <c r="CC86" s="398">
        <v>0</v>
      </c>
      <c r="CD86" s="3435">
        <v>0</v>
      </c>
      <c r="CE86" s="3435">
        <v>0</v>
      </c>
      <c r="CF86" s="3437">
        <v>0</v>
      </c>
      <c r="CG86" s="3734"/>
      <c r="CH86" s="3738" cm="1">
        <f t="array" ref="CH86">SUM(IF(ISNUMBER($AX86:$CF86),$AX86:$CF86, 0))</f>
        <v>1440</v>
      </c>
      <c r="CI86" s="3438"/>
      <c r="CJ86" s="3439"/>
      <c r="CK86" s="3440"/>
    </row>
    <row r="87" spans="1:89" s="3441" customFormat="1" ht="46" customHeight="1">
      <c r="A87" s="641"/>
      <c r="B87" s="304"/>
      <c r="C87" s="420"/>
      <c r="D87" s="421"/>
      <c r="E87" s="426"/>
      <c r="F87" s="612"/>
      <c r="G87" s="2875"/>
      <c r="H87" s="2875"/>
      <c r="I87" s="2875"/>
      <c r="J87" s="2875"/>
      <c r="K87" s="2875"/>
      <c r="L87" s="2877"/>
      <c r="M87" s="2878"/>
      <c r="N87" s="2878"/>
      <c r="O87" s="2877"/>
      <c r="P87" s="2916"/>
      <c r="Q87" s="2878"/>
      <c r="R87" s="2878"/>
      <c r="S87" s="2878"/>
      <c r="T87" s="302"/>
      <c r="U87" s="296"/>
      <c r="V87" s="3341"/>
      <c r="W87" s="478"/>
      <c r="X87" s="479"/>
      <c r="Y87" s="3365"/>
      <c r="Z87" s="3374"/>
      <c r="AA87" s="4393"/>
      <c r="AB87" s="4394"/>
      <c r="AC87" s="3669"/>
      <c r="AD87" s="3678"/>
      <c r="AE87" s="3679"/>
      <c r="AF87" s="3669"/>
      <c r="AG87" s="3678"/>
      <c r="AH87" s="3679"/>
      <c r="AI87" s="3682"/>
      <c r="AJ87" s="3678"/>
      <c r="AK87" s="3679"/>
      <c r="AL87" s="3682"/>
      <c r="AM87" s="3678"/>
      <c r="AN87" s="3683"/>
      <c r="AO87" s="3759"/>
      <c r="AP87" s="3759"/>
      <c r="AQ87" s="3760"/>
      <c r="AR87" s="3719"/>
      <c r="AS87" s="3431"/>
      <c r="AT87" s="6097"/>
      <c r="AU87" s="3860"/>
      <c r="AV87" s="3860"/>
      <c r="AW87" s="3860"/>
      <c r="AX87" s="6101"/>
      <c r="AY87" s="6102"/>
      <c r="AZ87" s="6102"/>
      <c r="BA87" s="6102"/>
      <c r="BB87" s="6102"/>
      <c r="BC87" s="6102"/>
      <c r="BD87" s="6102"/>
      <c r="BE87" s="6102"/>
      <c r="BF87" s="6102"/>
      <c r="BG87" s="6102"/>
      <c r="BH87" s="6102"/>
      <c r="BI87" s="6102"/>
      <c r="BJ87" s="6102"/>
      <c r="BK87" s="6102"/>
      <c r="BL87" s="6102"/>
      <c r="BM87" s="6102"/>
      <c r="BN87" s="6102"/>
      <c r="BO87" s="6102"/>
      <c r="BP87" s="6102"/>
      <c r="BQ87" s="6102"/>
      <c r="BR87" s="6102"/>
      <c r="BS87" s="6102"/>
      <c r="BT87" s="6102"/>
      <c r="BU87" s="6102"/>
      <c r="BV87" s="6102"/>
      <c r="BW87" s="6102"/>
      <c r="BX87" s="6102"/>
      <c r="BY87" s="6102"/>
      <c r="BZ87" s="6102"/>
      <c r="CA87" s="6102"/>
      <c r="CB87" s="6102"/>
      <c r="CC87" s="6102"/>
      <c r="CD87" s="6102"/>
      <c r="CE87" s="6102"/>
      <c r="CF87" s="6103"/>
      <c r="CG87" s="3734"/>
      <c r="CH87" s="3738"/>
      <c r="CI87" s="3438"/>
      <c r="CJ87" s="3439"/>
      <c r="CK87" s="3440"/>
    </row>
    <row r="88" spans="1:89" ht="46" customHeight="1">
      <c r="A88" s="3421"/>
      <c r="B88" s="296" t="s">
        <v>3589</v>
      </c>
      <c r="C88" s="372">
        <f>C86+1</f>
        <v>37</v>
      </c>
      <c r="D88" s="2871">
        <v>1003</v>
      </c>
      <c r="E88" s="6244" t="s">
        <v>6961</v>
      </c>
      <c r="F88" s="572" t="s">
        <v>6880</v>
      </c>
      <c r="G88" s="2872"/>
      <c r="H88" s="2872"/>
      <c r="I88" s="2872"/>
      <c r="J88" s="2872"/>
      <c r="K88" s="2872"/>
      <c r="L88" s="2873"/>
      <c r="M88" s="2874"/>
      <c r="N88" s="2874"/>
      <c r="O88" s="2873"/>
      <c r="P88" s="2914"/>
      <c r="Q88" s="2874"/>
      <c r="R88" s="2874"/>
      <c r="S88" s="2874"/>
      <c r="T88" s="302"/>
      <c r="U88" s="296"/>
      <c r="V88" s="387" t="s">
        <v>6881</v>
      </c>
      <c r="W88" s="388" t="s">
        <v>6882</v>
      </c>
      <c r="X88" s="389">
        <v>66</v>
      </c>
      <c r="Y88" s="3369">
        <f>SUM(X88:X89)</f>
        <v>66</v>
      </c>
      <c r="Z88" s="3374"/>
      <c r="AA88" s="4393"/>
      <c r="AB88" s="4394"/>
      <c r="AC88" s="3669"/>
      <c r="AD88" s="3678"/>
      <c r="AE88" s="3679"/>
      <c r="AF88" s="3669"/>
      <c r="AG88" s="3678"/>
      <c r="AH88" s="3679"/>
      <c r="AI88" s="3682"/>
      <c r="AJ88" s="3678"/>
      <c r="AK88" s="3679"/>
      <c r="AL88" s="3682"/>
      <c r="AM88" s="3678"/>
      <c r="AN88" s="3683"/>
      <c r="AO88" s="3757" cm="1">
        <f t="array" ref="AO88">_xlfn.LET(
  _xlpm.rng, AX88:CF88,
  _xlpm.header, $AX$3:$CF$3,
  _xlpm.idx, _xlfn.XMATCH(TRUE, _xlpm.rng&lt;&gt;0),
  _xlpm.dt, INDEX(_xlpm.header, _xlpm.idx),
  IF(YEAR(_xlpm.dt)&lt;&gt;2026, DATE(2026, MONTH(_xlpm.dt), DAY(_xlpm.dt)), _xlpm.dt)
)</f>
        <v>46280</v>
      </c>
      <c r="AP88" s="3757" cm="1">
        <f t="array" ref="AP88">_xlfn.LET(
  _xlpm.rng, AX88:CF88,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46289</v>
      </c>
      <c r="AQ88" s="3758">
        <f>AP88-AO88</f>
        <v>9</v>
      </c>
      <c r="AR88" s="3660"/>
      <c r="AS88" s="656"/>
      <c r="AT88" s="3661"/>
      <c r="AU88" s="3853"/>
      <c r="AV88" s="3853"/>
      <c r="AW88" s="3853"/>
      <c r="AX88" s="3434">
        <v>0</v>
      </c>
      <c r="AY88" s="398">
        <v>0</v>
      </c>
      <c r="AZ88" s="398">
        <v>0</v>
      </c>
      <c r="BA88" s="398">
        <v>0</v>
      </c>
      <c r="BB88" s="398">
        <v>0</v>
      </c>
      <c r="BC88" s="398">
        <v>0</v>
      </c>
      <c r="BD88" s="398">
        <v>0</v>
      </c>
      <c r="BE88" s="398">
        <v>0</v>
      </c>
      <c r="BF88" s="397">
        <v>0</v>
      </c>
      <c r="BG88" s="397">
        <v>0</v>
      </c>
      <c r="BH88" s="397">
        <v>0</v>
      </c>
      <c r="BI88" s="337">
        <v>1</v>
      </c>
      <c r="BJ88" s="337">
        <v>1</v>
      </c>
      <c r="BK88" s="337">
        <v>66</v>
      </c>
      <c r="BL88" s="337">
        <v>66</v>
      </c>
      <c r="BM88" s="337">
        <v>66</v>
      </c>
      <c r="BN88" s="337">
        <v>66</v>
      </c>
      <c r="BO88" s="337">
        <v>66</v>
      </c>
      <c r="BP88" s="337">
        <v>66</v>
      </c>
      <c r="BQ88" s="337">
        <v>66</v>
      </c>
      <c r="BR88" s="337">
        <v>66</v>
      </c>
      <c r="BS88" s="397">
        <v>0</v>
      </c>
      <c r="BT88" s="397">
        <v>0</v>
      </c>
      <c r="BU88" s="397">
        <v>0</v>
      </c>
      <c r="BV88" s="398">
        <v>0</v>
      </c>
      <c r="BW88" s="398">
        <v>0</v>
      </c>
      <c r="BX88" s="398">
        <v>0</v>
      </c>
      <c r="BY88" s="398">
        <v>0</v>
      </c>
      <c r="BZ88" s="398">
        <v>0</v>
      </c>
      <c r="CA88" s="398">
        <v>0</v>
      </c>
      <c r="CB88" s="397">
        <v>0</v>
      </c>
      <c r="CC88" s="398">
        <v>0</v>
      </c>
      <c r="CD88" s="398">
        <v>0</v>
      </c>
      <c r="CE88" s="398">
        <v>0</v>
      </c>
      <c r="CF88" s="472">
        <v>0</v>
      </c>
      <c r="CG88" s="3712"/>
      <c r="CH88" s="3738" cm="1">
        <f t="array" ref="CH88">SUM(IF(ISNUMBER($AX88:$CF88),$AX88:$CF88, 0))</f>
        <v>530</v>
      </c>
      <c r="CI88" s="573"/>
      <c r="CJ88" s="610"/>
      <c r="CK88" s="611"/>
    </row>
    <row r="89" spans="1:89" ht="46" customHeight="1">
      <c r="A89" s="3421"/>
      <c r="B89" s="3723"/>
      <c r="C89" s="420"/>
      <c r="D89" s="421"/>
      <c r="E89" s="426"/>
      <c r="F89" s="612"/>
      <c r="G89" s="2875"/>
      <c r="H89" s="2875"/>
      <c r="I89" s="2875"/>
      <c r="J89" s="2875"/>
      <c r="K89" s="2875"/>
      <c r="L89" s="2877"/>
      <c r="M89" s="2878"/>
      <c r="N89" s="2878"/>
      <c r="O89" s="2877"/>
      <c r="P89" s="2916"/>
      <c r="Q89" s="2878"/>
      <c r="R89" s="2878"/>
      <c r="S89" s="2878"/>
      <c r="T89" s="302"/>
      <c r="U89" s="296"/>
      <c r="V89" s="3341"/>
      <c r="W89" s="478"/>
      <c r="X89" s="479"/>
      <c r="Y89" s="3365"/>
      <c r="Z89" s="3374"/>
      <c r="AA89" s="4393"/>
      <c r="AB89" s="4394"/>
      <c r="AC89" s="3669"/>
      <c r="AD89" s="3678"/>
      <c r="AE89" s="3679"/>
      <c r="AF89" s="3669"/>
      <c r="AG89" s="3678"/>
      <c r="AH89" s="3679"/>
      <c r="AI89" s="3682"/>
      <c r="AJ89" s="3678"/>
      <c r="AK89" s="3679"/>
      <c r="AL89" s="3682"/>
      <c r="AM89" s="3678"/>
      <c r="AN89" s="3683"/>
      <c r="AO89" s="3759"/>
      <c r="AP89" s="3759"/>
      <c r="AQ89" s="3760"/>
      <c r="AR89" s="3660"/>
      <c r="AS89" s="656"/>
      <c r="AT89" s="3661"/>
      <c r="AU89" s="3853"/>
      <c r="AV89" s="3853"/>
      <c r="AW89" s="3853"/>
      <c r="AX89" s="6100"/>
      <c r="AY89" s="519"/>
      <c r="AZ89" s="519"/>
      <c r="BA89" s="519"/>
      <c r="BB89" s="519"/>
      <c r="BC89" s="519"/>
      <c r="BD89" s="519"/>
      <c r="BE89" s="519"/>
      <c r="BF89" s="519"/>
      <c r="BG89" s="519"/>
      <c r="BH89" s="519"/>
      <c r="BI89" s="519"/>
      <c r="BJ89" s="519"/>
      <c r="BK89" s="519"/>
      <c r="BL89" s="519"/>
      <c r="BM89" s="519"/>
      <c r="BN89" s="519"/>
      <c r="BO89" s="519"/>
      <c r="BP89" s="519"/>
      <c r="BQ89" s="519"/>
      <c r="BR89" s="519"/>
      <c r="BS89" s="519"/>
      <c r="BT89" s="519"/>
      <c r="BU89" s="519"/>
      <c r="BV89" s="519"/>
      <c r="BW89" s="519"/>
      <c r="BX89" s="519"/>
      <c r="BY89" s="519"/>
      <c r="BZ89" s="519"/>
      <c r="CA89" s="519"/>
      <c r="CB89" s="519"/>
      <c r="CC89" s="519"/>
      <c r="CD89" s="519"/>
      <c r="CE89" s="519"/>
      <c r="CF89" s="520"/>
      <c r="CG89" s="3712"/>
      <c r="CH89" s="3737"/>
      <c r="CI89" s="573"/>
      <c r="CJ89" s="610"/>
      <c r="CK89" s="611"/>
    </row>
    <row r="90" spans="1:89" ht="46" customHeight="1">
      <c r="A90" s="3421"/>
      <c r="B90" s="296" t="s">
        <v>3590</v>
      </c>
      <c r="C90" s="372">
        <f>C88+1</f>
        <v>38</v>
      </c>
      <c r="D90" s="2871">
        <v>1030</v>
      </c>
      <c r="E90" s="6244" t="s">
        <v>6955</v>
      </c>
      <c r="F90" s="572" t="s">
        <v>6883</v>
      </c>
      <c r="G90" s="2872"/>
      <c r="H90" s="2872"/>
      <c r="I90" s="2872"/>
      <c r="J90" s="2872"/>
      <c r="K90" s="2872"/>
      <c r="L90" s="2873"/>
      <c r="M90" s="2874"/>
      <c r="N90" s="2874"/>
      <c r="O90" s="2873"/>
      <c r="P90" s="2914"/>
      <c r="Q90" s="2874"/>
      <c r="R90" s="2874"/>
      <c r="S90" s="2874"/>
      <c r="T90" s="302"/>
      <c r="U90" s="296"/>
      <c r="V90" s="387" t="s">
        <v>2362</v>
      </c>
      <c r="W90" s="388" t="s">
        <v>6884</v>
      </c>
      <c r="X90" s="389">
        <v>40</v>
      </c>
      <c r="Y90" s="3369">
        <f>SUM(X90:X91)</f>
        <v>40</v>
      </c>
      <c r="Z90" s="3374"/>
      <c r="AA90" s="4393"/>
      <c r="AB90" s="4394"/>
      <c r="AC90" s="3669"/>
      <c r="AD90" s="3678"/>
      <c r="AE90" s="3679"/>
      <c r="AF90" s="3669"/>
      <c r="AG90" s="3678"/>
      <c r="AH90" s="3679"/>
      <c r="AI90" s="3682"/>
      <c r="AJ90" s="3678"/>
      <c r="AK90" s="3679"/>
      <c r="AL90" s="3682"/>
      <c r="AM90" s="3678"/>
      <c r="AN90" s="3683"/>
      <c r="AO90" s="3757" cm="1">
        <f t="array" ref="AO90">_xlfn.LET(
  _xlpm.rng, AX90:CF90,
  _xlpm.header, $AX$3:$CF$3,
  _xlpm.idx, _xlfn.XMATCH(TRUE, _xlpm.rng&lt;&gt;0),
  _xlpm.dt, INDEX(_xlpm.header, _xlpm.idx),
  IF(YEAR(_xlpm.dt)&lt;&gt;2026, DATE(2026, MONTH(_xlpm.dt), DAY(_xlpm.dt)), _xlpm.dt)
)</f>
        <v>46285</v>
      </c>
      <c r="AP90" s="3757" cm="1">
        <f t="array" ref="AP90">_xlfn.LET(
  _xlpm.rng, AX90:CF90,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90" s="3758">
        <f>AP90-AO90</f>
        <v>10</v>
      </c>
      <c r="AR90" s="3660"/>
      <c r="AS90" s="656"/>
      <c r="AT90" s="3661"/>
      <c r="AU90" s="6098"/>
      <c r="AV90" s="5925"/>
      <c r="AW90" s="5925"/>
      <c r="AX90" s="493">
        <v>0</v>
      </c>
      <c r="AY90" s="493">
        <v>0</v>
      </c>
      <c r="AZ90" s="493">
        <v>0</v>
      </c>
      <c r="BA90" s="493">
        <v>0</v>
      </c>
      <c r="BB90" s="493">
        <v>0</v>
      </c>
      <c r="BC90" s="493">
        <v>0</v>
      </c>
      <c r="BD90" s="493">
        <v>0</v>
      </c>
      <c r="BE90" s="493">
        <v>0</v>
      </c>
      <c r="BF90" s="493">
        <v>0</v>
      </c>
      <c r="BG90" s="493">
        <v>0</v>
      </c>
      <c r="BH90" s="493">
        <v>0</v>
      </c>
      <c r="BI90" s="493">
        <v>0</v>
      </c>
      <c r="BJ90" s="493">
        <v>0</v>
      </c>
      <c r="BK90" s="493">
        <v>0</v>
      </c>
      <c r="BL90" s="493">
        <v>0</v>
      </c>
      <c r="BM90" s="493">
        <v>0</v>
      </c>
      <c r="BN90" s="494">
        <v>1</v>
      </c>
      <c r="BO90" s="494">
        <v>1</v>
      </c>
      <c r="BP90" s="494">
        <v>40</v>
      </c>
      <c r="BQ90" s="494">
        <v>40</v>
      </c>
      <c r="BR90" s="494">
        <v>40</v>
      </c>
      <c r="BS90" s="494">
        <v>40</v>
      </c>
      <c r="BT90" s="494">
        <v>40</v>
      </c>
      <c r="BU90" s="494">
        <v>40</v>
      </c>
      <c r="BV90" s="494">
        <v>40</v>
      </c>
      <c r="BW90" s="494">
        <v>40</v>
      </c>
      <c r="BX90" s="494">
        <v>40</v>
      </c>
      <c r="BY90" s="493">
        <v>0</v>
      </c>
      <c r="BZ90" s="493">
        <v>0</v>
      </c>
      <c r="CA90" s="493">
        <v>0</v>
      </c>
      <c r="CB90" s="493">
        <v>0</v>
      </c>
      <c r="CC90" s="493">
        <v>0</v>
      </c>
      <c r="CD90" s="493">
        <v>0</v>
      </c>
      <c r="CE90" s="493">
        <v>0</v>
      </c>
      <c r="CF90" s="499">
        <v>0</v>
      </c>
      <c r="CG90" s="3712"/>
      <c r="CH90" s="3738" cm="1">
        <f t="array" ref="CH90">SUM(IF(ISNUMBER($AX90:$CF90),$AX90:$CF90, 0))</f>
        <v>362</v>
      </c>
      <c r="CI90" s="573"/>
      <c r="CJ90" s="610"/>
      <c r="CK90" s="611"/>
    </row>
    <row r="91" spans="1:89" ht="46" customHeight="1" thickBot="1">
      <c r="A91" s="3421"/>
      <c r="B91" s="3723"/>
      <c r="C91" s="420"/>
      <c r="D91" s="421"/>
      <c r="E91" s="426"/>
      <c r="F91" s="612"/>
      <c r="G91" s="2875"/>
      <c r="H91" s="2875"/>
      <c r="I91" s="2875"/>
      <c r="J91" s="2875"/>
      <c r="K91" s="2875"/>
      <c r="L91" s="2877"/>
      <c r="M91" s="2878"/>
      <c r="N91" s="2878"/>
      <c r="O91" s="2877"/>
      <c r="P91" s="2916"/>
      <c r="Q91" s="2878"/>
      <c r="R91" s="2878"/>
      <c r="S91" s="2878"/>
      <c r="T91" s="302"/>
      <c r="U91" s="296"/>
      <c r="V91" s="3341"/>
      <c r="W91" s="478"/>
      <c r="X91" s="479"/>
      <c r="Y91" s="3365"/>
      <c r="Z91" s="3374"/>
      <c r="AA91" s="4393"/>
      <c r="AB91" s="4394"/>
      <c r="AC91" s="3669"/>
      <c r="AD91" s="3678"/>
      <c r="AE91" s="3679"/>
      <c r="AF91" s="3669"/>
      <c r="AG91" s="3678"/>
      <c r="AH91" s="3679"/>
      <c r="AI91" s="3682"/>
      <c r="AJ91" s="3678"/>
      <c r="AK91" s="3679"/>
      <c r="AL91" s="3682"/>
      <c r="AM91" s="3678"/>
      <c r="AN91" s="3683"/>
      <c r="AO91" s="3759"/>
      <c r="AP91" s="3759"/>
      <c r="AQ91" s="3760"/>
      <c r="AR91" s="3660"/>
      <c r="AS91" s="656"/>
      <c r="AT91" s="3661"/>
      <c r="AU91" s="6099"/>
      <c r="AV91" s="443"/>
      <c r="AW91" s="443"/>
      <c r="AX91" s="6095"/>
      <c r="AY91" s="446"/>
      <c r="AZ91" s="446"/>
      <c r="BA91" s="446"/>
      <c r="BB91" s="446"/>
      <c r="BC91" s="446"/>
      <c r="BD91" s="446"/>
      <c r="BE91" s="446"/>
      <c r="BF91" s="446"/>
      <c r="BG91" s="446"/>
      <c r="BH91" s="446"/>
      <c r="BI91" s="446"/>
      <c r="BJ91" s="446"/>
      <c r="BK91" s="446"/>
      <c r="BL91" s="446"/>
      <c r="BM91" s="446"/>
      <c r="BN91" s="446"/>
      <c r="BO91" s="446"/>
      <c r="BP91" s="446"/>
      <c r="BQ91" s="446"/>
      <c r="BR91" s="446"/>
      <c r="BS91" s="446"/>
      <c r="BT91" s="446"/>
      <c r="BU91" s="446"/>
      <c r="BV91" s="446"/>
      <c r="BW91" s="446"/>
      <c r="BX91" s="446"/>
      <c r="BY91" s="446"/>
      <c r="BZ91" s="446"/>
      <c r="CA91" s="446"/>
      <c r="CB91" s="446"/>
      <c r="CC91" s="446"/>
      <c r="CD91" s="446"/>
      <c r="CE91" s="446"/>
      <c r="CF91" s="449"/>
      <c r="CG91" s="3712"/>
      <c r="CH91" s="3737"/>
      <c r="CI91" s="573"/>
      <c r="CJ91" s="610"/>
      <c r="CK91" s="611"/>
    </row>
    <row r="92" spans="1:89" ht="46" customHeight="1" thickTop="1">
      <c r="A92" s="6105"/>
      <c r="B92" s="3378" t="s">
        <v>3593</v>
      </c>
      <c r="C92" s="3379">
        <f>C90+1</f>
        <v>39</v>
      </c>
      <c r="D92" s="3380">
        <v>2028</v>
      </c>
      <c r="E92" s="6249" t="s">
        <v>6955</v>
      </c>
      <c r="F92" s="3381" t="s">
        <v>3594</v>
      </c>
      <c r="G92" s="3382" t="s">
        <v>3526</v>
      </c>
      <c r="H92" s="3382" t="s">
        <v>3579</v>
      </c>
      <c r="I92" s="3382" t="s">
        <v>3586</v>
      </c>
      <c r="J92" s="3382" t="s">
        <v>3586</v>
      </c>
      <c r="K92" s="3382">
        <v>14</v>
      </c>
      <c r="L92" s="3383" t="s">
        <v>3581</v>
      </c>
      <c r="M92" s="3384" t="s">
        <v>2167</v>
      </c>
      <c r="N92" s="3384" t="s">
        <v>2132</v>
      </c>
      <c r="O92" s="3383" t="s">
        <v>3595</v>
      </c>
      <c r="P92" s="3384" t="s">
        <v>2134</v>
      </c>
      <c r="Q92" s="3384" t="s">
        <v>2134</v>
      </c>
      <c r="R92" s="3384" t="s">
        <v>2131</v>
      </c>
      <c r="S92" s="3384" t="s">
        <v>2240</v>
      </c>
      <c r="T92" s="3386" t="s">
        <v>2133</v>
      </c>
      <c r="U92" s="3379" t="s">
        <v>2169</v>
      </c>
      <c r="V92" s="3387" t="s">
        <v>3596</v>
      </c>
      <c r="W92" s="3388" t="s">
        <v>2378</v>
      </c>
      <c r="X92" s="3389">
        <v>14</v>
      </c>
      <c r="Y92" s="3390">
        <f>SUM(X92:X93)</f>
        <v>14</v>
      </c>
      <c r="Z92" s="3391" t="str">
        <f>IFERROR(VLOOKUP($V92,[53]競技情報DB!$A$6:$H$181,3,),"－")</f>
        <v>長良川競技場</v>
      </c>
      <c r="AA92" s="3392"/>
      <c r="AB92" s="3393"/>
      <c r="AC92" s="6106" t="str">
        <f>IFERROR(VLOOKUP($V92,[53]アジア練習会場!$A$3:$E$107,2,),"－")</f>
        <v>－</v>
      </c>
      <c r="AD92" s="6107">
        <v>9.4</v>
      </c>
      <c r="AE92" s="6108">
        <v>18</v>
      </c>
      <c r="AF92" s="6109" t="str">
        <f>IFERROR(VLOOKUP($V92,[53]アジア練習会場!$A$3:$E$107,3,),"－")</f>
        <v>－</v>
      </c>
      <c r="AG92" s="6107"/>
      <c r="AH92" s="6108"/>
      <c r="AI92" s="6106" t="str">
        <f>IFERROR(VLOOKUP($V92,[53]アジア練習会場!$A$3:$E$107,4,),"－")</f>
        <v>－</v>
      </c>
      <c r="AJ92" s="6107"/>
      <c r="AK92" s="6108"/>
      <c r="AL92" s="6106" t="str">
        <f>IFERROR(VLOOKUP($V92,[53]アジア練習会場!$A$3:$E$107,5,),"－")</f>
        <v>－</v>
      </c>
      <c r="AM92" s="6107"/>
      <c r="AN92" s="6110"/>
      <c r="AO92" s="6111" cm="1">
        <f t="array" ref="AO92">_xlfn.LET(
  _xlpm.rng, AX92:CF92,
  _xlpm.header, $AX$3:$CF$3,
  _xlpm.idx, _xlfn.XMATCH(TRUE, _xlpm.rng&lt;&gt;0),
  _xlpm.dt, INDEX(_xlpm.header, _xlpm.idx),
  IF(YEAR(_xlpm.dt)&lt;&gt;2026, DATE(2026, MONTH(_xlpm.dt), DAY(_xlpm.dt)), _xlpm.dt)
)</f>
        <v>46276</v>
      </c>
      <c r="AP92" s="6111" cm="1">
        <f t="array" ref="AP92">_xlfn.LET(
  _xlpm.rng, AX92:CF92,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46287</v>
      </c>
      <c r="AQ92" s="6112">
        <f>AP92-AO92</f>
        <v>11</v>
      </c>
      <c r="AR92" s="6113">
        <f>$H92-MAX(AX92:CF92)</f>
        <v>50</v>
      </c>
      <c r="AS92" s="3395">
        <f>+AR92/$H92</f>
        <v>0.78125</v>
      </c>
      <c r="AT92" s="6114" t="str">
        <f>F92&amp;"　"&amp;"合計"</f>
        <v>ホテルグランヴェール岐山（公立共済やすらぎの里）　合計</v>
      </c>
      <c r="AU92" s="6115"/>
      <c r="AV92" s="6115"/>
      <c r="AW92" s="6115"/>
      <c r="AX92" s="6116">
        <v>0</v>
      </c>
      <c r="AY92" s="3400">
        <v>0</v>
      </c>
      <c r="AZ92" s="3400">
        <v>0</v>
      </c>
      <c r="BA92" s="3400">
        <v>0</v>
      </c>
      <c r="BB92" s="3400">
        <v>0</v>
      </c>
      <c r="BC92" s="3400">
        <v>0</v>
      </c>
      <c r="BD92" s="3400">
        <v>0</v>
      </c>
      <c r="BE92" s="3400">
        <v>6</v>
      </c>
      <c r="BF92" s="3400">
        <v>6</v>
      </c>
      <c r="BG92" s="3400">
        <v>11</v>
      </c>
      <c r="BH92" s="3400">
        <v>14</v>
      </c>
      <c r="BI92" s="3400">
        <v>14</v>
      </c>
      <c r="BJ92" s="3400">
        <v>14</v>
      </c>
      <c r="BK92" s="3400">
        <v>14</v>
      </c>
      <c r="BL92" s="3400">
        <v>14</v>
      </c>
      <c r="BM92" s="3400">
        <v>14</v>
      </c>
      <c r="BN92" s="3400">
        <v>14</v>
      </c>
      <c r="BO92" s="3400">
        <v>14</v>
      </c>
      <c r="BP92" s="3400">
        <v>14</v>
      </c>
      <c r="BQ92" s="3400">
        <v>0</v>
      </c>
      <c r="BR92" s="3400">
        <v>0</v>
      </c>
      <c r="BS92" s="3400">
        <v>0</v>
      </c>
      <c r="BT92" s="3400">
        <v>0</v>
      </c>
      <c r="BU92" s="3400">
        <v>0</v>
      </c>
      <c r="BV92" s="3400">
        <v>0</v>
      </c>
      <c r="BW92" s="3400">
        <v>0</v>
      </c>
      <c r="BX92" s="3400">
        <v>0</v>
      </c>
      <c r="BY92" s="3400">
        <v>0</v>
      </c>
      <c r="BZ92" s="3400">
        <v>0</v>
      </c>
      <c r="CA92" s="3400">
        <v>0</v>
      </c>
      <c r="CB92" s="3400">
        <v>0</v>
      </c>
      <c r="CC92" s="3400">
        <v>0</v>
      </c>
      <c r="CD92" s="3400">
        <v>0</v>
      </c>
      <c r="CE92" s="3400">
        <v>0</v>
      </c>
      <c r="CF92" s="3402">
        <v>0</v>
      </c>
      <c r="CG92" s="3712"/>
      <c r="CH92" s="3737" cm="1">
        <f t="array" ref="CH92">SUM(IF(ISNUMBER($AX92:$CF92),$AX92:$CF92, 0))</f>
        <v>149</v>
      </c>
      <c r="CI92" s="573"/>
      <c r="CJ92" s="610"/>
      <c r="CK92" s="611"/>
    </row>
    <row r="93" spans="1:89" s="561" customFormat="1" ht="46" customHeight="1">
      <c r="A93" s="2862"/>
      <c r="B93" s="296"/>
      <c r="C93" s="420"/>
      <c r="D93" s="421" t="s">
        <v>2129</v>
      </c>
      <c r="E93" s="426"/>
      <c r="F93" s="612"/>
      <c r="G93" s="2875">
        <v>0</v>
      </c>
      <c r="H93" s="2875">
        <v>0</v>
      </c>
      <c r="I93" s="2875">
        <v>0</v>
      </c>
      <c r="J93" s="2875">
        <v>0</v>
      </c>
      <c r="K93" s="2875">
        <v>0</v>
      </c>
      <c r="L93" s="2877">
        <v>0</v>
      </c>
      <c r="M93" s="2878">
        <v>0</v>
      </c>
      <c r="N93" s="2878">
        <v>0</v>
      </c>
      <c r="O93" s="2877">
        <v>0</v>
      </c>
      <c r="P93" s="2916">
        <v>0</v>
      </c>
      <c r="Q93" s="2878">
        <v>0</v>
      </c>
      <c r="R93" s="2878">
        <v>0</v>
      </c>
      <c r="S93" s="2878">
        <v>0</v>
      </c>
      <c r="T93" s="426" t="s">
        <v>2129</v>
      </c>
      <c r="U93" s="420"/>
      <c r="V93" s="3341"/>
      <c r="W93" s="478" t="s">
        <v>2134</v>
      </c>
      <c r="X93" s="479">
        <v>0</v>
      </c>
      <c r="Y93" s="3365"/>
      <c r="Z93" s="3343" t="str">
        <f>IFERROR(VLOOKUP($V93,[53]競技情報DB!$A$6:$H$181,3,),"－")</f>
        <v>－</v>
      </c>
      <c r="AA93" s="3354"/>
      <c r="AB93" s="3355"/>
      <c r="AC93" s="3670" t="str">
        <f>IFERROR(VLOOKUP($V93,[53]アジア練習会場!$A$3:$E$107,2,),"－")</f>
        <v>－</v>
      </c>
      <c r="AD93" s="3646"/>
      <c r="AE93" s="3647"/>
      <c r="AF93" s="3670" t="str">
        <f>IFERROR(VLOOKUP($V93,[53]アジア練習会場!$A$3:$E$107,3,),"－")</f>
        <v>－</v>
      </c>
      <c r="AG93" s="3671"/>
      <c r="AH93" s="3672"/>
      <c r="AI93" s="3673" t="str">
        <f>IFERROR(VLOOKUP($V93,[53]アジア練習会場!$A$3:$E$107,4,),"－")</f>
        <v>－</v>
      </c>
      <c r="AJ93" s="3671"/>
      <c r="AK93" s="3672"/>
      <c r="AL93" s="3673" t="str">
        <f>IFERROR(VLOOKUP($V93,[53]アジア練習会場!$A$3:$E$107,5,),"－")</f>
        <v>－</v>
      </c>
      <c r="AM93" s="3671"/>
      <c r="AN93" s="3674"/>
      <c r="AO93" s="3755"/>
      <c r="AP93" s="3755"/>
      <c r="AQ93" s="3756"/>
      <c r="AR93" s="3650"/>
      <c r="AS93" s="652"/>
      <c r="AT93" s="3651"/>
      <c r="AU93" s="443"/>
      <c r="AV93" s="443"/>
      <c r="AW93" s="443"/>
      <c r="AX93" s="448"/>
      <c r="AY93" s="445"/>
      <c r="AZ93" s="445"/>
      <c r="BA93" s="445"/>
      <c r="BB93" s="445"/>
      <c r="BC93" s="445"/>
      <c r="BD93" s="445"/>
      <c r="BE93" s="445"/>
      <c r="BF93" s="445"/>
      <c r="BG93" s="445"/>
      <c r="BH93" s="445"/>
      <c r="BI93" s="445"/>
      <c r="BJ93" s="445"/>
      <c r="BK93" s="445"/>
      <c r="BL93" s="445"/>
      <c r="BM93" s="445"/>
      <c r="BN93" s="445"/>
      <c r="BO93" s="445"/>
      <c r="BP93" s="445"/>
      <c r="BQ93" s="445"/>
      <c r="BR93" s="445"/>
      <c r="BS93" s="445"/>
      <c r="BT93" s="445"/>
      <c r="BU93" s="445"/>
      <c r="BV93" s="445"/>
      <c r="BW93" s="445"/>
      <c r="BX93" s="445"/>
      <c r="BY93" s="336"/>
      <c r="BZ93" s="445"/>
      <c r="CA93" s="445"/>
      <c r="CB93" s="445"/>
      <c r="CC93" s="445"/>
      <c r="CD93" s="445"/>
      <c r="CE93" s="445"/>
      <c r="CF93" s="449"/>
      <c r="CG93" s="3712"/>
      <c r="CH93" s="3737"/>
      <c r="CI93" s="573"/>
      <c r="CJ93" s="614"/>
      <c r="CK93" s="615"/>
    </row>
    <row r="94" spans="1:89" ht="46" customHeight="1">
      <c r="A94" s="2862"/>
      <c r="B94" s="296" t="s">
        <v>3598</v>
      </c>
      <c r="C94" s="296">
        <f>C92+1</f>
        <v>40</v>
      </c>
      <c r="D94" s="297">
        <v>2037</v>
      </c>
      <c r="E94" s="6246" t="s">
        <v>6955</v>
      </c>
      <c r="F94" s="373" t="s">
        <v>2392</v>
      </c>
      <c r="G94" s="2864" t="s">
        <v>3599</v>
      </c>
      <c r="H94" s="2864" t="s">
        <v>3600</v>
      </c>
      <c r="I94" s="2864" t="s">
        <v>3472</v>
      </c>
      <c r="J94" s="2864" t="s">
        <v>3601</v>
      </c>
      <c r="K94" s="2864">
        <v>48</v>
      </c>
      <c r="L94" s="2864" t="s">
        <v>3520</v>
      </c>
      <c r="M94" s="2864" t="s">
        <v>2245</v>
      </c>
      <c r="N94" s="2864" t="s">
        <v>2132</v>
      </c>
      <c r="O94" s="2864" t="s">
        <v>3602</v>
      </c>
      <c r="P94" s="2864" t="s">
        <v>2134</v>
      </c>
      <c r="Q94" s="2864" t="s">
        <v>2134</v>
      </c>
      <c r="R94" s="2864" t="s">
        <v>2133</v>
      </c>
      <c r="S94" s="3724" t="s">
        <v>3603</v>
      </c>
      <c r="T94" s="2864" t="s">
        <v>2133</v>
      </c>
      <c r="U94" s="296" t="s">
        <v>2169</v>
      </c>
      <c r="V94" s="703" t="s">
        <v>3604</v>
      </c>
      <c r="W94" s="528" t="s">
        <v>6863</v>
      </c>
      <c r="X94" s="529">
        <v>64</v>
      </c>
      <c r="Y94" s="3369">
        <f>SUM(X94:X95)</f>
        <v>64</v>
      </c>
      <c r="Z94" s="3350" t="str">
        <f>IFERROR(VLOOKUP($V94,[53]競技情報DB!$A$6:$H$181,3,),"－")</f>
        <v>長良川国際レガッタコース</v>
      </c>
      <c r="AA94" s="3351"/>
      <c r="AB94" s="3352"/>
      <c r="AC94" s="3665" t="str">
        <f>IFERROR(VLOOKUP($V94,[53]アジア練習会場!$A$3:$E$107,2,),"－")</f>
        <v>競技会場に設置</v>
      </c>
      <c r="AD94" s="3663">
        <v>9.4</v>
      </c>
      <c r="AE94" s="3664">
        <v>18</v>
      </c>
      <c r="AF94" s="3662" t="str">
        <f>IFERROR(VLOOKUP($V94,[53]アジア練習会場!$A$3:$E$107,3,),"－")</f>
        <v>ー</v>
      </c>
      <c r="AG94" s="3663"/>
      <c r="AH94" s="3664"/>
      <c r="AI94" s="3665" t="str">
        <f>IFERROR(VLOOKUP($V94,[53]アジア練習会場!$A$3:$E$107,4,),"－")</f>
        <v>ー</v>
      </c>
      <c r="AJ94" s="3663"/>
      <c r="AK94" s="3664"/>
      <c r="AL94" s="3665" t="str">
        <f>IFERROR(VLOOKUP($V94,[53]アジア練習会場!$A$3:$E$107,5,),"－")</f>
        <v>ー</v>
      </c>
      <c r="AM94" s="3639"/>
      <c r="AN94" s="3642"/>
      <c r="AO94" s="3757" cm="1">
        <f t="array" ref="AO94">_xlfn.LET(
  _xlpm.rng, AX94:CF94,
  _xlpm.header, $AX$3:$CF$3,
  _xlpm.idx, _xlfn.XMATCH(TRUE, _xlpm.rng&lt;&gt;0),
  _xlpm.dt, INDEX(_xlpm.header, _xlpm.idx),
  IF(YEAR(_xlpm.dt)&lt;&gt;2026, DATE(2026, MONTH(_xlpm.dt), DAY(_xlpm.dt)), _xlpm.dt)
)</f>
        <v>46280</v>
      </c>
      <c r="AP94" s="3757" cm="1">
        <f t="array" ref="AP94">_xlfn.LET(
  _xlpm.rng, AX94:CF94,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46291</v>
      </c>
      <c r="AQ94" s="3758">
        <f>AP94-AO94</f>
        <v>11</v>
      </c>
      <c r="AR94" s="3660">
        <f>$H94-MAX(AX94:CF94)</f>
        <v>233</v>
      </c>
      <c r="AS94" s="656">
        <f>+AR94/$H94</f>
        <v>0.78451178451178449</v>
      </c>
      <c r="AT94" s="3667" t="str">
        <f>F96&amp;"　"&amp;"合計"</f>
        <v>ホテルワイナリーヒル　合計</v>
      </c>
      <c r="AU94" s="3854"/>
      <c r="AV94" s="3854"/>
      <c r="AW94" s="3854"/>
      <c r="AX94" s="696">
        <v>0</v>
      </c>
      <c r="AY94" s="398">
        <v>0</v>
      </c>
      <c r="AZ94" s="398">
        <v>0</v>
      </c>
      <c r="BA94" s="398">
        <v>0</v>
      </c>
      <c r="BB94" s="398">
        <v>0</v>
      </c>
      <c r="BC94" s="398">
        <v>0</v>
      </c>
      <c r="BD94" s="398">
        <v>0</v>
      </c>
      <c r="BE94" s="398">
        <v>0</v>
      </c>
      <c r="BF94" s="398">
        <v>0</v>
      </c>
      <c r="BG94" s="398">
        <v>0</v>
      </c>
      <c r="BH94" s="398">
        <v>0</v>
      </c>
      <c r="BI94" s="398">
        <v>1</v>
      </c>
      <c r="BJ94" s="398">
        <v>34</v>
      </c>
      <c r="BK94" s="398">
        <v>64</v>
      </c>
      <c r="BL94" s="398">
        <v>64</v>
      </c>
      <c r="BM94" s="398">
        <v>64</v>
      </c>
      <c r="BN94" s="398">
        <v>64</v>
      </c>
      <c r="BO94" s="398">
        <v>64</v>
      </c>
      <c r="BP94" s="398">
        <v>64</v>
      </c>
      <c r="BQ94" s="398">
        <v>64</v>
      </c>
      <c r="BR94" s="398">
        <v>64</v>
      </c>
      <c r="BS94" s="398">
        <v>64</v>
      </c>
      <c r="BT94" s="398">
        <v>64</v>
      </c>
      <c r="BU94" s="398">
        <v>0</v>
      </c>
      <c r="BV94" s="398">
        <v>0</v>
      </c>
      <c r="BW94" s="398">
        <v>0</v>
      </c>
      <c r="BX94" s="398">
        <v>0</v>
      </c>
      <c r="BY94" s="398">
        <v>0</v>
      </c>
      <c r="BZ94" s="398">
        <v>0</v>
      </c>
      <c r="CA94" s="398">
        <v>0</v>
      </c>
      <c r="CB94" s="398">
        <v>0</v>
      </c>
      <c r="CC94" s="398">
        <v>0</v>
      </c>
      <c r="CD94" s="398">
        <v>0</v>
      </c>
      <c r="CE94" s="398">
        <v>0</v>
      </c>
      <c r="CF94" s="472">
        <v>0</v>
      </c>
      <c r="CG94" s="3712"/>
      <c r="CH94" s="3737" cm="1">
        <f t="array" ref="CH94">SUM(IF(ISNUMBER($AX94:$CF94),$AX94:$CF94, 0))</f>
        <v>675</v>
      </c>
      <c r="CI94" s="573"/>
      <c r="CJ94" s="610"/>
      <c r="CK94" s="611"/>
    </row>
    <row r="95" spans="1:89" s="561" customFormat="1" ht="46" customHeight="1">
      <c r="A95" s="2862"/>
      <c r="B95" s="296"/>
      <c r="C95" s="420"/>
      <c r="D95" s="421" t="s">
        <v>2129</v>
      </c>
      <c r="E95" s="426"/>
      <c r="F95" s="422"/>
      <c r="G95" s="2875">
        <v>0</v>
      </c>
      <c r="H95" s="2875">
        <v>0</v>
      </c>
      <c r="I95" s="2875">
        <v>0</v>
      </c>
      <c r="J95" s="2875">
        <v>0</v>
      </c>
      <c r="K95" s="2875">
        <v>0</v>
      </c>
      <c r="L95" s="2877">
        <v>0</v>
      </c>
      <c r="M95" s="2878">
        <v>0</v>
      </c>
      <c r="N95" s="2878">
        <v>0</v>
      </c>
      <c r="O95" s="2877">
        <v>0</v>
      </c>
      <c r="P95" s="2916">
        <v>0</v>
      </c>
      <c r="Q95" s="2878">
        <v>0</v>
      </c>
      <c r="R95" s="2878">
        <v>0</v>
      </c>
      <c r="S95" s="2878">
        <v>0</v>
      </c>
      <c r="T95" s="426" t="s">
        <v>2129</v>
      </c>
      <c r="U95" s="420"/>
      <c r="V95" s="3341"/>
      <c r="W95" s="478" t="s">
        <v>2134</v>
      </c>
      <c r="X95" s="479">
        <v>0</v>
      </c>
      <c r="Y95" s="3365"/>
      <c r="Z95" s="3343" t="str">
        <f>IFERROR(VLOOKUP($V95,[53]競技情報DB!$A$6:$H$181,3,),"－")</f>
        <v>－</v>
      </c>
      <c r="AA95" s="3354"/>
      <c r="AB95" s="3355"/>
      <c r="AC95" s="3670" t="str">
        <f>IFERROR(VLOOKUP($V95,[53]アジア練習会場!$A$3:$E$107,2,),"－")</f>
        <v>－</v>
      </c>
      <c r="AD95" s="3646"/>
      <c r="AE95" s="3647"/>
      <c r="AF95" s="3670" t="str">
        <f>IFERROR(VLOOKUP($V95,[53]アジア練習会場!$A$3:$E$107,3,),"－")</f>
        <v>－</v>
      </c>
      <c r="AG95" s="3671"/>
      <c r="AH95" s="3672"/>
      <c r="AI95" s="3673" t="str">
        <f>IFERROR(VLOOKUP($V95,[53]アジア練習会場!$A$3:$E$107,4,),"－")</f>
        <v>－</v>
      </c>
      <c r="AJ95" s="3671"/>
      <c r="AK95" s="3672"/>
      <c r="AL95" s="3673" t="str">
        <f>IFERROR(VLOOKUP($V95,[53]アジア練習会場!$A$3:$E$107,5,),"－")</f>
        <v>－</v>
      </c>
      <c r="AM95" s="3671"/>
      <c r="AN95" s="3674"/>
      <c r="AO95" s="3755"/>
      <c r="AP95" s="3755"/>
      <c r="AQ95" s="3756"/>
      <c r="AR95" s="3650"/>
      <c r="AS95" s="652"/>
      <c r="AT95" s="3651"/>
      <c r="AU95" s="443"/>
      <c r="AV95" s="443"/>
      <c r="AW95" s="443"/>
      <c r="AX95" s="448"/>
      <c r="AY95" s="445"/>
      <c r="AZ95" s="445"/>
      <c r="BA95" s="445"/>
      <c r="BB95" s="445"/>
      <c r="BC95" s="445"/>
      <c r="BD95" s="445"/>
      <c r="BE95" s="445"/>
      <c r="BF95" s="445"/>
      <c r="BG95" s="445"/>
      <c r="BH95" s="445"/>
      <c r="BI95" s="445"/>
      <c r="BJ95" s="445"/>
      <c r="BK95" s="445"/>
      <c r="BL95" s="445"/>
      <c r="BM95" s="445"/>
      <c r="BN95" s="445"/>
      <c r="BO95" s="445"/>
      <c r="BP95" s="445"/>
      <c r="BQ95" s="445"/>
      <c r="BR95" s="445"/>
      <c r="BS95" s="445"/>
      <c r="BT95" s="445"/>
      <c r="BU95" s="445"/>
      <c r="BV95" s="445"/>
      <c r="BW95" s="445"/>
      <c r="BX95" s="445"/>
      <c r="BY95" s="336"/>
      <c r="BZ95" s="445"/>
      <c r="CA95" s="445"/>
      <c r="CB95" s="445"/>
      <c r="CC95" s="445"/>
      <c r="CD95" s="445"/>
      <c r="CE95" s="445"/>
      <c r="CF95" s="449"/>
      <c r="CG95" s="3712"/>
      <c r="CH95" s="3737"/>
      <c r="CI95" s="573"/>
      <c r="CJ95" s="614"/>
      <c r="CK95" s="615"/>
    </row>
    <row r="96" spans="1:89" s="564" customFormat="1" ht="46" customHeight="1">
      <c r="A96" s="2862"/>
      <c r="B96" s="2863" t="s">
        <v>3605</v>
      </c>
      <c r="C96" s="372">
        <f>C94+1</f>
        <v>41</v>
      </c>
      <c r="D96" s="2871">
        <v>3031</v>
      </c>
      <c r="E96" s="6246" t="s">
        <v>6955</v>
      </c>
      <c r="F96" s="298" t="s">
        <v>3606</v>
      </c>
      <c r="G96" s="2872" t="s">
        <v>2129</v>
      </c>
      <c r="H96" s="2872" t="s">
        <v>2129</v>
      </c>
      <c r="I96" s="2872" t="s">
        <v>2129</v>
      </c>
      <c r="J96" s="2872" t="s">
        <v>2129</v>
      </c>
      <c r="K96" s="2872">
        <v>69</v>
      </c>
      <c r="L96" s="2873" t="s">
        <v>2129</v>
      </c>
      <c r="M96" s="2874" t="s">
        <v>2129</v>
      </c>
      <c r="N96" s="2874" t="s">
        <v>2129</v>
      </c>
      <c r="O96" s="2873" t="s">
        <v>2129</v>
      </c>
      <c r="P96" s="2874" t="s">
        <v>2129</v>
      </c>
      <c r="Q96" s="2874" t="s">
        <v>2129</v>
      </c>
      <c r="R96" s="2874" t="s">
        <v>2129</v>
      </c>
      <c r="S96" s="2874" t="s">
        <v>2129</v>
      </c>
      <c r="T96" s="377" t="s">
        <v>2133</v>
      </c>
      <c r="U96" s="372" t="s">
        <v>2169</v>
      </c>
      <c r="V96" s="387" t="s">
        <v>3607</v>
      </c>
      <c r="W96" s="388" t="s">
        <v>2396</v>
      </c>
      <c r="X96" s="389">
        <v>26</v>
      </c>
      <c r="Y96" s="3369">
        <f>SUM(X96:X97)</f>
        <v>40</v>
      </c>
      <c r="Z96" s="3322" t="str">
        <f>IFERROR(VLOOKUP($V96,[53]競技情報DB!$A$6:$H$181,3,),"－")</f>
        <v>伊豆ベロドローム</v>
      </c>
      <c r="AA96" s="3323"/>
      <c r="AB96" s="3324"/>
      <c r="AC96" s="3638" t="str">
        <f>IFERROR(VLOOKUP($V96,[53]アジア練習会場!$A$3:$E$107,2,),"－")</f>
        <v>競技会場に設置</v>
      </c>
      <c r="AD96" s="3639">
        <v>5.8</v>
      </c>
      <c r="AE96" s="3640">
        <v>14</v>
      </c>
      <c r="AF96" s="3638" t="str">
        <f>IFERROR(VLOOKUP($V96,[53]アジア練習会場!$A$3:$E$107,3,),"－")</f>
        <v>ー</v>
      </c>
      <c r="AG96" s="3639">
        <v>47.6</v>
      </c>
      <c r="AH96" s="3640">
        <v>48</v>
      </c>
      <c r="AI96" s="3641" t="str">
        <f>IFERROR(VLOOKUP($V96,[53]アジア練習会場!$A$3:$E$107,4,),"－")</f>
        <v>ー</v>
      </c>
      <c r="AJ96" s="3663"/>
      <c r="AK96" s="3664"/>
      <c r="AL96" s="3641" t="str">
        <f>IFERROR(VLOOKUP($V96,[53]アジア練習会場!$A$3:$E$107,5,),"－")</f>
        <v>ー</v>
      </c>
      <c r="AM96" s="3639"/>
      <c r="AN96" s="3642"/>
      <c r="AO96" s="3757" cm="1">
        <f t="array" ref="AO96">_xlfn.LET(
  _xlpm.rng, AX96:CF96,
  _xlpm.header, $AX$3:$CF$3,
  _xlpm.idx, _xlfn.XMATCH(TRUE, _xlpm.rng&lt;&gt;0),
  _xlpm.dt, INDEX(_xlpm.header, _xlpm.idx),
  IF(YEAR(_xlpm.dt)&lt;&gt;2026, DATE(2026, MONTH(_xlpm.dt), DAY(_xlpm.dt)), _xlpm.dt)
)</f>
        <v>46289</v>
      </c>
      <c r="AP96" s="3757" cm="1">
        <f t="array" ref="AP96">_xlfn.LET(
  _xlpm.rng, AX96:CF96,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96" s="3758">
        <f>AP96-AO96</f>
        <v>9</v>
      </c>
      <c r="AR96" s="3660" t="e">
        <f>$H96-MAX(AX96:CF96)</f>
        <v>#VALUE!</v>
      </c>
      <c r="AS96" s="647" t="e">
        <f>+AR96/$H96</f>
        <v>#VALUE!</v>
      </c>
      <c r="AT96" s="3644" t="str">
        <f>F98&amp;"　"&amp;"合計"</f>
        <v>グランドホテル浜松　合計</v>
      </c>
      <c r="AU96" s="395"/>
      <c r="AV96" s="395"/>
      <c r="AW96" s="395"/>
      <c r="AX96" s="696">
        <v>0</v>
      </c>
      <c r="AY96" s="398">
        <v>0</v>
      </c>
      <c r="AZ96" s="398">
        <v>0</v>
      </c>
      <c r="BA96" s="398">
        <v>0</v>
      </c>
      <c r="BB96" s="398">
        <v>0</v>
      </c>
      <c r="BC96" s="398">
        <v>0</v>
      </c>
      <c r="BD96" s="398">
        <v>0</v>
      </c>
      <c r="BE96" s="398">
        <v>0</v>
      </c>
      <c r="BF96" s="398">
        <v>0</v>
      </c>
      <c r="BG96" s="398">
        <v>0</v>
      </c>
      <c r="BH96" s="398">
        <v>0</v>
      </c>
      <c r="BI96" s="398">
        <v>0</v>
      </c>
      <c r="BJ96" s="398">
        <v>0</v>
      </c>
      <c r="BK96" s="398">
        <v>0</v>
      </c>
      <c r="BL96" s="398">
        <v>0</v>
      </c>
      <c r="BM96" s="398">
        <v>0</v>
      </c>
      <c r="BN96" s="398">
        <v>0</v>
      </c>
      <c r="BO96" s="398">
        <v>0</v>
      </c>
      <c r="BP96" s="398">
        <v>0</v>
      </c>
      <c r="BQ96" s="398">
        <v>0</v>
      </c>
      <c r="BR96" s="398">
        <v>15</v>
      </c>
      <c r="BS96" s="398">
        <v>15</v>
      </c>
      <c r="BT96" s="398">
        <v>38</v>
      </c>
      <c r="BU96" s="398">
        <v>38</v>
      </c>
      <c r="BV96" s="398">
        <v>40</v>
      </c>
      <c r="BW96" s="398">
        <v>40</v>
      </c>
      <c r="BX96" s="398">
        <v>40</v>
      </c>
      <c r="BY96" s="398">
        <v>40</v>
      </c>
      <c r="BZ96" s="398">
        <v>40</v>
      </c>
      <c r="CA96" s="398">
        <v>40</v>
      </c>
      <c r="CB96" s="398">
        <v>0</v>
      </c>
      <c r="CC96" s="398">
        <v>0</v>
      </c>
      <c r="CD96" s="398">
        <v>0</v>
      </c>
      <c r="CE96" s="398">
        <v>0</v>
      </c>
      <c r="CF96" s="472">
        <v>0</v>
      </c>
      <c r="CG96" s="3712"/>
      <c r="CH96" s="3737" cm="1">
        <f t="array" ref="CH96">SUM(IF(ISNUMBER($AX96:$CF96),$AX96:$CF96, 0))</f>
        <v>346</v>
      </c>
      <c r="CI96" s="290"/>
      <c r="CJ96" s="404"/>
      <c r="CK96" s="405"/>
    </row>
    <row r="97" spans="1:89" s="521" customFormat="1" ht="46" customHeight="1" thickBot="1">
      <c r="A97" s="2862"/>
      <c r="B97" s="2863"/>
      <c r="C97" s="420"/>
      <c r="D97" s="421" t="s">
        <v>2129</v>
      </c>
      <c r="E97" s="426"/>
      <c r="F97" s="612"/>
      <c r="G97" s="2875">
        <v>0</v>
      </c>
      <c r="H97" s="2875">
        <v>0</v>
      </c>
      <c r="I97" s="2875">
        <v>0</v>
      </c>
      <c r="J97" s="2875">
        <v>0</v>
      </c>
      <c r="K97" s="2875">
        <v>0</v>
      </c>
      <c r="L97" s="2877">
        <v>0</v>
      </c>
      <c r="M97" s="2878">
        <v>0</v>
      </c>
      <c r="N97" s="2878">
        <v>0</v>
      </c>
      <c r="O97" s="2877">
        <v>0</v>
      </c>
      <c r="P97" s="2878">
        <v>0</v>
      </c>
      <c r="Q97" s="2878">
        <v>0</v>
      </c>
      <c r="R97" s="2878">
        <v>0</v>
      </c>
      <c r="S97" s="2878">
        <v>0</v>
      </c>
      <c r="T97" s="426" t="s">
        <v>2129</v>
      </c>
      <c r="U97" s="420"/>
      <c r="V97" s="3341" t="s">
        <v>3608</v>
      </c>
      <c r="W97" s="478">
        <v>0</v>
      </c>
      <c r="X97" s="479">
        <v>14</v>
      </c>
      <c r="Y97" s="3365"/>
      <c r="Z97" s="3343">
        <f>IFERROR(VLOOKUP($V97,[53]競技情報DB!$A$6:$H$181,3,),"－")</f>
        <v>0</v>
      </c>
      <c r="AA97" s="3354"/>
      <c r="AB97" s="3355"/>
      <c r="AC97" s="3670" t="str">
        <f>IFERROR(VLOOKUP($V97,[53]アジア練習会場!$A$3:$E$107,2,),"－")</f>
        <v>－</v>
      </c>
      <c r="AD97" s="3646"/>
      <c r="AE97" s="3647"/>
      <c r="AF97" s="3670" t="str">
        <f>IFERROR(VLOOKUP($V97,[53]アジア練習会場!$A$3:$E$107,3,),"－")</f>
        <v>－</v>
      </c>
      <c r="AG97" s="3671"/>
      <c r="AH97" s="3672"/>
      <c r="AI97" s="3673" t="str">
        <f>IFERROR(VLOOKUP($V97,[53]アジア練習会場!$A$3:$E$107,4,),"－")</f>
        <v>－</v>
      </c>
      <c r="AJ97" s="3671"/>
      <c r="AK97" s="3672"/>
      <c r="AL97" s="3673" t="str">
        <f>IFERROR(VLOOKUP($V97,[53]アジア練習会場!$A$3:$E$107,5,),"－")</f>
        <v>－</v>
      </c>
      <c r="AM97" s="3671"/>
      <c r="AN97" s="3674"/>
      <c r="AO97" s="3755"/>
      <c r="AP97" s="3755"/>
      <c r="AQ97" s="3756"/>
      <c r="AR97" s="3650"/>
      <c r="AS97" s="652"/>
      <c r="AT97" s="3651"/>
      <c r="AU97" s="443"/>
      <c r="AV97" s="443"/>
      <c r="AW97" s="443"/>
      <c r="AX97" s="448"/>
      <c r="AY97" s="445"/>
      <c r="AZ97" s="445"/>
      <c r="BA97" s="445"/>
      <c r="BB97" s="445"/>
      <c r="BC97" s="445"/>
      <c r="BD97" s="445"/>
      <c r="BE97" s="445"/>
      <c r="BF97" s="445"/>
      <c r="BG97" s="445"/>
      <c r="BH97" s="445"/>
      <c r="BI97" s="445"/>
      <c r="BJ97" s="445"/>
      <c r="BK97" s="445"/>
      <c r="BL97" s="445"/>
      <c r="BM97" s="445"/>
      <c r="BN97" s="445"/>
      <c r="BO97" s="445"/>
      <c r="BP97" s="445"/>
      <c r="BQ97" s="445"/>
      <c r="BR97" s="336"/>
      <c r="BS97" s="445"/>
      <c r="BT97" s="445"/>
      <c r="BU97" s="445"/>
      <c r="BV97" s="445"/>
      <c r="BW97" s="445"/>
      <c r="BX97" s="445"/>
      <c r="BY97" s="445"/>
      <c r="BZ97" s="445"/>
      <c r="CA97" s="445"/>
      <c r="CB97" s="445"/>
      <c r="CC97" s="445"/>
      <c r="CD97" s="445"/>
      <c r="CE97" s="445"/>
      <c r="CF97" s="449"/>
      <c r="CG97" s="3712"/>
      <c r="CH97" s="3737"/>
      <c r="CI97" s="290"/>
      <c r="CJ97" s="450"/>
      <c r="CK97" s="451"/>
    </row>
    <row r="98" spans="1:89" s="564" customFormat="1" ht="46" customHeight="1">
      <c r="A98" s="2862"/>
      <c r="B98" s="296" t="s">
        <v>3609</v>
      </c>
      <c r="C98" s="372">
        <f>C96+1</f>
        <v>42</v>
      </c>
      <c r="D98" s="2871">
        <v>3033</v>
      </c>
      <c r="E98" s="6244" t="s">
        <v>6955</v>
      </c>
      <c r="F98" s="373" t="s">
        <v>3610</v>
      </c>
      <c r="G98" s="2872" t="s">
        <v>2129</v>
      </c>
      <c r="H98" s="2872" t="s">
        <v>2129</v>
      </c>
      <c r="I98" s="2872" t="s">
        <v>2129</v>
      </c>
      <c r="J98" s="2872" t="s">
        <v>2129</v>
      </c>
      <c r="K98" s="2872">
        <v>64</v>
      </c>
      <c r="L98" s="2873" t="s">
        <v>2129</v>
      </c>
      <c r="M98" s="2874" t="s">
        <v>2129</v>
      </c>
      <c r="N98" s="2874" t="s">
        <v>2129</v>
      </c>
      <c r="O98" s="2873" t="s">
        <v>2129</v>
      </c>
      <c r="P98" s="2874" t="s">
        <v>2129</v>
      </c>
      <c r="Q98" s="2874" t="s">
        <v>2129</v>
      </c>
      <c r="R98" s="2874" t="s">
        <v>2129</v>
      </c>
      <c r="S98" s="2874" t="s">
        <v>2129</v>
      </c>
      <c r="T98" s="377" t="s">
        <v>2133</v>
      </c>
      <c r="U98" s="372" t="s">
        <v>2169</v>
      </c>
      <c r="V98" s="387" t="s">
        <v>2410</v>
      </c>
      <c r="W98" s="388" t="s">
        <v>2408</v>
      </c>
      <c r="X98" s="389">
        <v>55</v>
      </c>
      <c r="Y98" s="3369">
        <f>SUM(X98:X99)</f>
        <v>69</v>
      </c>
      <c r="Z98" s="3322" t="str">
        <f>IFERROR(VLOOKUP($V98,[53]競技情報DB!$A$6:$H$181,3,),"－")</f>
        <v>古橋廣之進記念浜松市総合水泳場［ToBiO］</v>
      </c>
      <c r="AA98" s="3323"/>
      <c r="AB98" s="3324"/>
      <c r="AC98" s="3638" t="str">
        <f>IFERROR(VLOOKUP($V98,[53]アジア練習会場!$A$3:$E$107,2,),"－")</f>
        <v>競技会場に設置</v>
      </c>
      <c r="AD98" s="3639">
        <v>9.3000000000000007</v>
      </c>
      <c r="AE98" s="3640">
        <v>24</v>
      </c>
      <c r="AF98" s="3638" t="str">
        <f>IFERROR(VLOOKUP($V98,[53]アジア練習会場!$A$3:$E$107,3,),"－")</f>
        <v>ー</v>
      </c>
      <c r="AG98" s="3639"/>
      <c r="AH98" s="3640"/>
      <c r="AI98" s="3641" t="str">
        <f>IFERROR(VLOOKUP($V98,[53]アジア練習会場!$A$3:$E$107,4,),"－")</f>
        <v>ー</v>
      </c>
      <c r="AJ98" s="3639"/>
      <c r="AK98" s="3640"/>
      <c r="AL98" s="3641" t="str">
        <f>IFERROR(VLOOKUP($V98,[53]アジア練習会場!$A$3:$E$107,5,),"－")</f>
        <v>ー</v>
      </c>
      <c r="AM98" s="3639"/>
      <c r="AN98" s="3642"/>
      <c r="AO98" s="3757" cm="1">
        <f t="array" ref="AO98">_xlfn.LET(
  _xlpm.rng, AX98:CF98,
  _xlpm.header, $AX$3:$CF$3,
  _xlpm.idx, _xlfn.XMATCH(TRUE, _xlpm.rng&lt;&gt;0),
  _xlpm.dt, INDEX(_xlpm.header, _xlpm.idx),
  IF(YEAR(_xlpm.dt)&lt;&gt;2026, DATE(2026, MONTH(_xlpm.dt), DAY(_xlpm.dt)), _xlpm.dt)
)</f>
        <v>46274</v>
      </c>
      <c r="AP98" s="3757" cm="1">
        <f t="array" ref="AP98">_xlfn.LET(
  _xlpm.rng, AX98:CF98,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98" s="3758">
        <f>AP98-AO98</f>
        <v>24</v>
      </c>
      <c r="AR98" s="3660" t="e">
        <f>$H98-MAX(AX98:CF98)</f>
        <v>#VALUE!</v>
      </c>
      <c r="AS98" s="647" t="e">
        <f>+AR98/$H98</f>
        <v>#VALUE!</v>
      </c>
      <c r="AT98" s="3644" t="str">
        <f>F94&amp;"　"&amp;"合計"</f>
        <v>ホテルコーヨー　合計</v>
      </c>
      <c r="AU98" s="395"/>
      <c r="AV98" s="395"/>
      <c r="AW98" s="395"/>
      <c r="AX98" s="696">
        <v>0</v>
      </c>
      <c r="AY98" s="398">
        <v>0</v>
      </c>
      <c r="AZ98" s="398">
        <v>0</v>
      </c>
      <c r="BA98" s="398">
        <v>0</v>
      </c>
      <c r="BB98" s="398">
        <v>0</v>
      </c>
      <c r="BC98" s="398">
        <v>14</v>
      </c>
      <c r="BD98" s="398">
        <v>14</v>
      </c>
      <c r="BE98" s="398">
        <v>14</v>
      </c>
      <c r="BF98" s="398">
        <v>14</v>
      </c>
      <c r="BG98" s="398">
        <v>14</v>
      </c>
      <c r="BH98" s="398">
        <v>14</v>
      </c>
      <c r="BI98" s="398">
        <v>14</v>
      </c>
      <c r="BJ98" s="398">
        <v>14</v>
      </c>
      <c r="BK98" s="398">
        <v>14</v>
      </c>
      <c r="BL98" s="398">
        <v>14</v>
      </c>
      <c r="BM98" s="398">
        <v>14</v>
      </c>
      <c r="BN98" s="398">
        <v>14</v>
      </c>
      <c r="BO98" s="398">
        <v>15</v>
      </c>
      <c r="BP98" s="398">
        <v>15</v>
      </c>
      <c r="BQ98" s="398">
        <v>69</v>
      </c>
      <c r="BR98" s="398">
        <v>69</v>
      </c>
      <c r="BS98" s="398">
        <v>69</v>
      </c>
      <c r="BT98" s="398">
        <v>69</v>
      </c>
      <c r="BU98" s="398">
        <v>69</v>
      </c>
      <c r="BV98" s="398">
        <v>69</v>
      </c>
      <c r="BW98" s="398">
        <v>69</v>
      </c>
      <c r="BX98" s="398">
        <v>14</v>
      </c>
      <c r="BY98" s="398">
        <v>14</v>
      </c>
      <c r="BZ98" s="398">
        <v>14</v>
      </c>
      <c r="CA98" s="398">
        <v>14</v>
      </c>
      <c r="CB98" s="398">
        <v>0</v>
      </c>
      <c r="CC98" s="398">
        <v>0</v>
      </c>
      <c r="CD98" s="398">
        <v>0</v>
      </c>
      <c r="CE98" s="398">
        <v>0</v>
      </c>
      <c r="CF98" s="472">
        <v>0</v>
      </c>
      <c r="CG98" s="3712"/>
      <c r="CH98" s="3737" cm="1">
        <f t="array" ref="CH98">SUM(IF(ISNUMBER($AX98:$CF98),$AX98:$CF98, 0))</f>
        <v>737</v>
      </c>
      <c r="CI98" s="290"/>
      <c r="CJ98" s="404"/>
      <c r="CK98" s="405"/>
    </row>
    <row r="99" spans="1:89" s="521" customFormat="1" ht="46" customHeight="1" thickBot="1">
      <c r="A99" s="2862"/>
      <c r="B99" s="296"/>
      <c r="C99" s="420"/>
      <c r="D99" s="421" t="s">
        <v>2129</v>
      </c>
      <c r="E99" s="426"/>
      <c r="F99" s="422"/>
      <c r="G99" s="2875">
        <v>0</v>
      </c>
      <c r="H99" s="2875">
        <v>0</v>
      </c>
      <c r="I99" s="2875">
        <v>0</v>
      </c>
      <c r="J99" s="2875">
        <v>0</v>
      </c>
      <c r="K99" s="2875">
        <v>0</v>
      </c>
      <c r="L99" s="2877">
        <v>0</v>
      </c>
      <c r="M99" s="2878">
        <v>0</v>
      </c>
      <c r="N99" s="2878">
        <v>0</v>
      </c>
      <c r="O99" s="2877">
        <v>0</v>
      </c>
      <c r="P99" s="2878">
        <v>0</v>
      </c>
      <c r="Q99" s="2878">
        <v>0</v>
      </c>
      <c r="R99" s="2878">
        <v>0</v>
      </c>
      <c r="S99" s="2878">
        <v>0</v>
      </c>
      <c r="T99" s="426" t="s">
        <v>2129</v>
      </c>
      <c r="U99" s="420"/>
      <c r="V99" s="3341" t="s">
        <v>3611</v>
      </c>
      <c r="W99" s="478">
        <v>0</v>
      </c>
      <c r="X99" s="479">
        <v>14</v>
      </c>
      <c r="Y99" s="3365"/>
      <c r="Z99" s="3343">
        <f>IFERROR(VLOOKUP($V99,[53]競技情報DB!$A$6:$H$181,3,),"－")</f>
        <v>0</v>
      </c>
      <c r="AA99" s="3354"/>
      <c r="AB99" s="3355"/>
      <c r="AC99" s="3670" t="str">
        <f>IFERROR(VLOOKUP($V99,[53]アジア練習会場!$A$3:$E$107,2,),"－")</f>
        <v>－</v>
      </c>
      <c r="AD99" s="3646"/>
      <c r="AE99" s="3647"/>
      <c r="AF99" s="3670" t="str">
        <f>IFERROR(VLOOKUP($V99,[53]アジア練習会場!$A$3:$E$107,3,),"－")</f>
        <v>－</v>
      </c>
      <c r="AG99" s="3671"/>
      <c r="AH99" s="3672"/>
      <c r="AI99" s="3673" t="str">
        <f>IFERROR(VLOOKUP($V99,[53]アジア練習会場!$A$3:$E$107,4,),"－")</f>
        <v>－</v>
      </c>
      <c r="AJ99" s="3671"/>
      <c r="AK99" s="3672"/>
      <c r="AL99" s="3673" t="str">
        <f>IFERROR(VLOOKUP($V99,[53]アジア練習会場!$A$3:$E$107,5,),"－")</f>
        <v>－</v>
      </c>
      <c r="AM99" s="3671"/>
      <c r="AN99" s="3674"/>
      <c r="AO99" s="3755"/>
      <c r="AP99" s="3755"/>
      <c r="AQ99" s="3756"/>
      <c r="AR99" s="3650"/>
      <c r="AS99" s="652"/>
      <c r="AT99" s="3651"/>
      <c r="AU99" s="443"/>
      <c r="AV99" s="443"/>
      <c r="AW99" s="443"/>
      <c r="AX99" s="448"/>
      <c r="AY99" s="445"/>
      <c r="AZ99" s="445"/>
      <c r="BA99" s="445"/>
      <c r="BB99" s="445"/>
      <c r="BC99" s="445"/>
      <c r="BD99" s="445"/>
      <c r="BE99" s="445"/>
      <c r="BF99" s="445"/>
      <c r="BG99" s="445"/>
      <c r="BH99" s="445"/>
      <c r="BI99" s="445"/>
      <c r="BJ99" s="445"/>
      <c r="BK99" s="445"/>
      <c r="BL99" s="445"/>
      <c r="BM99" s="445"/>
      <c r="BN99" s="445"/>
      <c r="BO99" s="445"/>
      <c r="BP99" s="445"/>
      <c r="BQ99" s="445"/>
      <c r="BR99" s="445"/>
      <c r="BS99" s="445"/>
      <c r="BT99" s="445"/>
      <c r="BU99" s="445"/>
      <c r="BV99" s="445"/>
      <c r="BW99" s="445"/>
      <c r="BX99" s="445"/>
      <c r="BY99" s="445"/>
      <c r="BZ99" s="445"/>
      <c r="CA99" s="445"/>
      <c r="CB99" s="445"/>
      <c r="CC99" s="445"/>
      <c r="CD99" s="445"/>
      <c r="CE99" s="445"/>
      <c r="CF99" s="449"/>
      <c r="CG99" s="3712"/>
      <c r="CH99" s="3737"/>
      <c r="CI99" s="290"/>
      <c r="CJ99" s="450"/>
      <c r="CK99" s="451"/>
    </row>
    <row r="100" spans="1:89" ht="46" customHeight="1">
      <c r="A100" s="2862"/>
      <c r="B100" s="296"/>
      <c r="C100" s="372">
        <f>C98+1</f>
        <v>43</v>
      </c>
      <c r="D100" s="2871">
        <v>2019</v>
      </c>
      <c r="E100" s="6244" t="s">
        <v>4985</v>
      </c>
      <c r="F100" s="373" t="s">
        <v>6885</v>
      </c>
      <c r="G100" s="2872" t="s">
        <v>2129</v>
      </c>
      <c r="H100" s="2872" t="s">
        <v>2129</v>
      </c>
      <c r="I100" s="2872" t="s">
        <v>2129</v>
      </c>
      <c r="J100" s="2872" t="s">
        <v>2129</v>
      </c>
      <c r="K100" s="2872"/>
      <c r="L100" s="2873" t="s">
        <v>2129</v>
      </c>
      <c r="M100" s="2874" t="s">
        <v>2129</v>
      </c>
      <c r="N100" s="2874" t="s">
        <v>2129</v>
      </c>
      <c r="O100" s="2873" t="s">
        <v>2129</v>
      </c>
      <c r="P100" s="2874" t="s">
        <v>2129</v>
      </c>
      <c r="Q100" s="2874" t="s">
        <v>2129</v>
      </c>
      <c r="R100" s="2874" t="s">
        <v>2129</v>
      </c>
      <c r="S100" s="2874" t="s">
        <v>2129</v>
      </c>
      <c r="T100" s="377" t="s">
        <v>2133</v>
      </c>
      <c r="U100" s="372" t="s">
        <v>2169</v>
      </c>
      <c r="V100" s="387" t="s">
        <v>6886</v>
      </c>
      <c r="W100" s="388" t="s">
        <v>6888</v>
      </c>
      <c r="X100" s="389">
        <v>35</v>
      </c>
      <c r="Y100" s="3369">
        <f>SUM(X100:X101)</f>
        <v>56</v>
      </c>
      <c r="Z100" s="3322" t="str">
        <f>IFERROR(VLOOKUP($V100,[53]競技情報DB!$A$6:$H$181,3,),"－")</f>
        <v>岡崎市中央総合公園／豊橋市民球場</v>
      </c>
      <c r="AA100" s="3323"/>
      <c r="AB100" s="3324"/>
      <c r="AC100" s="3638" t="str">
        <f>IFERROR(VLOOKUP($V100,[53]アジア練習会場!$A$3:$E$107,2,),"－")</f>
        <v>競技会場に設置</v>
      </c>
      <c r="AD100" s="3639">
        <v>9.3000000000000007</v>
      </c>
      <c r="AE100" s="3640">
        <v>24</v>
      </c>
      <c r="AF100" s="3638" t="str">
        <f>IFERROR(VLOOKUP($V100,[53]アジア練習会場!$A$3:$E$107,3,),"－")</f>
        <v>ー</v>
      </c>
      <c r="AG100" s="3639"/>
      <c r="AH100" s="3640"/>
      <c r="AI100" s="3641" t="str">
        <f>IFERROR(VLOOKUP($V100,[53]アジア練習会場!$A$3:$E$107,4,),"－")</f>
        <v>ー</v>
      </c>
      <c r="AJ100" s="3639"/>
      <c r="AK100" s="3640"/>
      <c r="AL100" s="3641" t="str">
        <f>IFERROR(VLOOKUP($V100,[53]アジア練習会場!$A$3:$E$107,5,),"－")</f>
        <v>ー</v>
      </c>
      <c r="AM100" s="3639"/>
      <c r="AN100" s="3642"/>
      <c r="AO100" s="3757" cm="1">
        <f t="array" ref="AO100">_xlfn.LET(
  _xlpm.rng, AX100:CF100,
  _xlpm.header, $AX$3:$CF$3,
  _xlpm.idx, _xlfn.XMATCH(TRUE, _xlpm.rng&lt;&gt;0),
  _xlpm.dt, INDEX(_xlpm.header, _xlpm.idx),
  IF(YEAR(_xlpm.dt)&lt;&gt;2026, DATE(2026, MONTH(_xlpm.dt), DAY(_xlpm.dt)), _xlpm.dt)
)</f>
        <v>46280</v>
      </c>
      <c r="AP100" s="3757" cm="1">
        <f t="array" ref="AP100">_xlfn.LET(
  _xlpm.rng, AX100:CF100,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46293</v>
      </c>
      <c r="AQ100" s="3758">
        <f>AP100-AO100</f>
        <v>13</v>
      </c>
      <c r="AR100" s="3660"/>
      <c r="AS100" s="656"/>
      <c r="AT100" s="3661"/>
      <c r="AU100" s="3853"/>
      <c r="AV100" s="3853"/>
      <c r="AW100" s="3853"/>
      <c r="AX100" s="398">
        <v>0</v>
      </c>
      <c r="AY100" s="398">
        <v>0</v>
      </c>
      <c r="AZ100" s="398">
        <v>0</v>
      </c>
      <c r="BA100" s="398">
        <v>0</v>
      </c>
      <c r="BB100" s="398">
        <v>0</v>
      </c>
      <c r="BC100" s="398">
        <v>0</v>
      </c>
      <c r="BD100" s="398">
        <v>0</v>
      </c>
      <c r="BE100" s="398">
        <v>0</v>
      </c>
      <c r="BF100" s="398">
        <v>0</v>
      </c>
      <c r="BG100" s="398">
        <v>0</v>
      </c>
      <c r="BH100" s="398">
        <v>0</v>
      </c>
      <c r="BI100" s="337">
        <v>1</v>
      </c>
      <c r="BJ100" s="337">
        <v>6</v>
      </c>
      <c r="BK100" s="337">
        <v>6</v>
      </c>
      <c r="BL100" s="337">
        <v>10</v>
      </c>
      <c r="BM100" s="337">
        <v>56</v>
      </c>
      <c r="BN100" s="337">
        <v>56</v>
      </c>
      <c r="BO100" s="337">
        <v>56</v>
      </c>
      <c r="BP100" s="337">
        <v>56</v>
      </c>
      <c r="BQ100" s="337">
        <v>56</v>
      </c>
      <c r="BR100" s="337">
        <v>56</v>
      </c>
      <c r="BS100" s="337">
        <v>56</v>
      </c>
      <c r="BT100" s="337">
        <v>56</v>
      </c>
      <c r="BU100" s="337">
        <v>56</v>
      </c>
      <c r="BV100" s="337">
        <v>56</v>
      </c>
      <c r="BW100" s="2879">
        <v>0</v>
      </c>
      <c r="BX100" s="2879">
        <v>0</v>
      </c>
      <c r="BY100" s="2879">
        <v>0</v>
      </c>
      <c r="BZ100" s="2879">
        <v>0</v>
      </c>
      <c r="CA100" s="2879">
        <v>0</v>
      </c>
      <c r="CB100" s="2879">
        <v>0</v>
      </c>
      <c r="CC100" s="2879">
        <v>0</v>
      </c>
      <c r="CD100" s="2879">
        <v>0</v>
      </c>
      <c r="CE100" s="2879">
        <v>0</v>
      </c>
      <c r="CF100" s="2918">
        <v>0</v>
      </c>
      <c r="CG100" s="3712"/>
      <c r="CH100" s="3738" cm="1">
        <f t="array" ref="CH100">SUM(IF(ISNUMBER($AX100:$CF100),$AX100:$CF100, 0))</f>
        <v>583</v>
      </c>
      <c r="CI100" s="290"/>
      <c r="CJ100" s="332"/>
      <c r="CK100" s="333"/>
    </row>
    <row r="101" spans="1:89" ht="46" customHeight="1">
      <c r="A101" s="2862"/>
      <c r="B101" s="296"/>
      <c r="C101" s="420"/>
      <c r="D101" s="421" t="s">
        <v>2129</v>
      </c>
      <c r="E101" s="426"/>
      <c r="F101" s="422"/>
      <c r="G101" s="2875">
        <v>0</v>
      </c>
      <c r="H101" s="2875">
        <v>0</v>
      </c>
      <c r="I101" s="2875">
        <v>0</v>
      </c>
      <c r="J101" s="2875">
        <v>0</v>
      </c>
      <c r="K101" s="2875">
        <v>0</v>
      </c>
      <c r="L101" s="2877">
        <v>0</v>
      </c>
      <c r="M101" s="2878">
        <v>0</v>
      </c>
      <c r="N101" s="2878">
        <v>0</v>
      </c>
      <c r="O101" s="2877">
        <v>0</v>
      </c>
      <c r="P101" s="2878">
        <v>0</v>
      </c>
      <c r="Q101" s="2878">
        <v>0</v>
      </c>
      <c r="R101" s="2878">
        <v>0</v>
      </c>
      <c r="S101" s="2878">
        <v>0</v>
      </c>
      <c r="T101" s="426" t="s">
        <v>2129</v>
      </c>
      <c r="U101" s="420"/>
      <c r="V101" s="3341" t="s">
        <v>6887</v>
      </c>
      <c r="W101" s="478" t="s">
        <v>6888</v>
      </c>
      <c r="X101" s="479">
        <v>21</v>
      </c>
      <c r="Y101" s="3365"/>
      <c r="Z101" s="3343" t="str">
        <f>IFERROR(VLOOKUP($V101,[53]競技情報DB!$A$6:$H$181,3,),"－")</f>
        <v>岡崎市中央総合公園／豊橋市民球場</v>
      </c>
      <c r="AA101" s="3354"/>
      <c r="AB101" s="3355"/>
      <c r="AC101" s="3670" t="str">
        <f>IFERROR(VLOOKUP($V101,[53]アジア練習会場!$A$3:$E$107,2,),"－")</f>
        <v>競技会場に設置</v>
      </c>
      <c r="AD101" s="3646"/>
      <c r="AE101" s="3647"/>
      <c r="AF101" s="3670" t="str">
        <f>IFERROR(VLOOKUP($V101,[53]アジア練習会場!$A$3:$E$107,3,),"－")</f>
        <v>ー</v>
      </c>
      <c r="AG101" s="3671"/>
      <c r="AH101" s="3672"/>
      <c r="AI101" s="3673" t="str">
        <f>IFERROR(VLOOKUP($V101,[53]アジア練習会場!$A$3:$E$107,4,),"－")</f>
        <v>ー</v>
      </c>
      <c r="AJ101" s="3671"/>
      <c r="AK101" s="3672"/>
      <c r="AL101" s="3673" t="str">
        <f>IFERROR(VLOOKUP($V101,[53]アジア練習会場!$A$3:$E$107,5,),"－")</f>
        <v>ー</v>
      </c>
      <c r="AM101" s="3671"/>
      <c r="AN101" s="3674"/>
      <c r="AO101" s="3755"/>
      <c r="AP101" s="3755"/>
      <c r="AQ101" s="3756"/>
      <c r="AR101" s="3660"/>
      <c r="AS101" s="656"/>
      <c r="AT101" s="3661"/>
      <c r="AU101" s="3853"/>
      <c r="AV101" s="3853"/>
      <c r="AW101" s="3853"/>
      <c r="AX101" s="6100"/>
      <c r="AY101" s="519"/>
      <c r="AZ101" s="519"/>
      <c r="BA101" s="519"/>
      <c r="BB101" s="519"/>
      <c r="BC101" s="519"/>
      <c r="BD101" s="519"/>
      <c r="BE101" s="519"/>
      <c r="BF101" s="519"/>
      <c r="BG101" s="519"/>
      <c r="BH101" s="519"/>
      <c r="BI101" s="519"/>
      <c r="BJ101" s="519"/>
      <c r="BK101" s="519"/>
      <c r="BL101" s="519"/>
      <c r="BM101" s="519"/>
      <c r="BN101" s="519"/>
      <c r="BO101" s="519"/>
      <c r="BP101" s="519"/>
      <c r="BQ101" s="519"/>
      <c r="BR101" s="519"/>
      <c r="BS101" s="519"/>
      <c r="BT101" s="519"/>
      <c r="BU101" s="519"/>
      <c r="BV101" s="519"/>
      <c r="BW101" s="519"/>
      <c r="BX101" s="519"/>
      <c r="BY101" s="519"/>
      <c r="BZ101" s="519"/>
      <c r="CA101" s="519"/>
      <c r="CB101" s="519"/>
      <c r="CC101" s="519"/>
      <c r="CD101" s="519"/>
      <c r="CE101" s="519"/>
      <c r="CF101" s="520"/>
      <c r="CG101" s="3712"/>
      <c r="CH101" s="3737"/>
      <c r="CI101" s="290"/>
      <c r="CJ101" s="332"/>
      <c r="CK101" s="333"/>
    </row>
    <row r="102" spans="1:89" s="564" customFormat="1" ht="46" customHeight="1">
      <c r="A102" s="2862"/>
      <c r="B102" s="2863" t="s">
        <v>3612</v>
      </c>
      <c r="C102" s="372">
        <f>C100+1</f>
        <v>44</v>
      </c>
      <c r="D102" s="2871">
        <v>2043</v>
      </c>
      <c r="E102" s="6244" t="s">
        <v>6955</v>
      </c>
      <c r="F102" s="373" t="s">
        <v>3613</v>
      </c>
      <c r="G102" s="2872" t="s">
        <v>3543</v>
      </c>
      <c r="H102" s="2872" t="s">
        <v>2853</v>
      </c>
      <c r="I102" s="2872" t="s">
        <v>3586</v>
      </c>
      <c r="J102" s="2872" t="s">
        <v>3614</v>
      </c>
      <c r="K102" s="2872">
        <v>19</v>
      </c>
      <c r="L102" s="2873" t="s">
        <v>3615</v>
      </c>
      <c r="M102" s="2874" t="s">
        <v>2134</v>
      </c>
      <c r="N102" s="2874" t="s">
        <v>2132</v>
      </c>
      <c r="O102" s="2873" t="s">
        <v>2131</v>
      </c>
      <c r="P102" s="2874" t="s">
        <v>2134</v>
      </c>
      <c r="Q102" s="2874" t="s">
        <v>2134</v>
      </c>
      <c r="R102" s="2874" t="s">
        <v>2131</v>
      </c>
      <c r="S102" s="2874" t="s">
        <v>2235</v>
      </c>
      <c r="T102" s="377" t="s">
        <v>2133</v>
      </c>
      <c r="U102" s="372" t="s">
        <v>2169</v>
      </c>
      <c r="V102" s="387" t="s">
        <v>3616</v>
      </c>
      <c r="W102" s="388" t="s">
        <v>2405</v>
      </c>
      <c r="X102" s="389">
        <v>19</v>
      </c>
      <c r="Y102" s="3369">
        <f>SUM(X102:X103)</f>
        <v>19</v>
      </c>
      <c r="Z102" s="3322" t="str">
        <f>IFERROR(VLOOKUP($V102,[53]競技情報DB!$A$6:$H$181,3,),"－")</f>
        <v>小笠山総合運動公園エコパスタジアム</v>
      </c>
      <c r="AA102" s="3323"/>
      <c r="AB102" s="3324"/>
      <c r="AC102" s="3638" t="str">
        <f>IFERROR(VLOOKUP($V102,[53]アジア練習会場!$A$3:$E$107,2,),"－")</f>
        <v>－</v>
      </c>
      <c r="AD102" s="3639">
        <v>9.3000000000000007</v>
      </c>
      <c r="AE102" s="3640">
        <v>24</v>
      </c>
      <c r="AF102" s="3638" t="str">
        <f>IFERROR(VLOOKUP($V102,[53]アジア練習会場!$A$3:$E$107,3,),"－")</f>
        <v>－</v>
      </c>
      <c r="AG102" s="3639"/>
      <c r="AH102" s="3640"/>
      <c r="AI102" s="3641" t="str">
        <f>IFERROR(VLOOKUP($V102,[53]アジア練習会場!$A$3:$E$107,4,),"－")</f>
        <v>－</v>
      </c>
      <c r="AJ102" s="3639"/>
      <c r="AK102" s="3640"/>
      <c r="AL102" s="3641" t="str">
        <f>IFERROR(VLOOKUP($V102,[53]アジア練習会場!$A$3:$E$107,5,),"－")</f>
        <v>－</v>
      </c>
      <c r="AM102" s="3639"/>
      <c r="AN102" s="3642"/>
      <c r="AO102" s="3757" cm="1">
        <f t="array" ref="AO102">_xlfn.LET(
  _xlpm.rng, AX102:CF102,
  _xlpm.header, $AX$3:$CF$3,
  _xlpm.idx, _xlfn.XMATCH(TRUE, _xlpm.rng&lt;&gt;0),
  _xlpm.dt, INDEX(_xlpm.header, _xlpm.idx),
  IF(YEAR(_xlpm.dt)&lt;&gt;2026, DATE(2026, MONTH(_xlpm.dt), DAY(_xlpm.dt)), _xlpm.dt)
)</f>
        <v>46276</v>
      </c>
      <c r="AP102" s="3757" cm="1">
        <f t="array" ref="AP102">_xlfn.LET(
  _xlpm.rng, AX102:CF102,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46298</v>
      </c>
      <c r="AQ102" s="3758">
        <f>AP102-AO102</f>
        <v>22</v>
      </c>
      <c r="AR102" s="3660">
        <f>$H102-MAX(AX102:CF102)</f>
        <v>53</v>
      </c>
      <c r="AS102" s="647">
        <f>+AR102/$H102</f>
        <v>0.73611111111111116</v>
      </c>
      <c r="AT102" s="3644" t="str">
        <f>F102&amp;"　"&amp;"合計"</f>
        <v>パレスホテル掛川　合計</v>
      </c>
      <c r="AU102" s="395"/>
      <c r="AV102" s="395"/>
      <c r="AW102" s="395"/>
      <c r="AX102" s="696">
        <v>0</v>
      </c>
      <c r="AY102" s="398">
        <v>0</v>
      </c>
      <c r="AZ102" s="398">
        <v>0</v>
      </c>
      <c r="BA102" s="398">
        <v>0</v>
      </c>
      <c r="BB102" s="398">
        <v>0</v>
      </c>
      <c r="BC102" s="398">
        <v>0</v>
      </c>
      <c r="BD102" s="398">
        <v>0</v>
      </c>
      <c r="BE102" s="398">
        <v>6</v>
      </c>
      <c r="BF102" s="398">
        <v>6</v>
      </c>
      <c r="BG102" s="398">
        <v>11</v>
      </c>
      <c r="BH102" s="398">
        <v>15</v>
      </c>
      <c r="BI102" s="398">
        <v>15</v>
      </c>
      <c r="BJ102" s="398">
        <v>15</v>
      </c>
      <c r="BK102" s="398">
        <v>15</v>
      </c>
      <c r="BL102" s="398">
        <v>15</v>
      </c>
      <c r="BM102" s="398">
        <v>15</v>
      </c>
      <c r="BN102" s="398">
        <v>15</v>
      </c>
      <c r="BO102" s="398">
        <v>15</v>
      </c>
      <c r="BP102" s="398">
        <v>15</v>
      </c>
      <c r="BQ102" s="398">
        <v>15</v>
      </c>
      <c r="BR102" s="398">
        <v>15</v>
      </c>
      <c r="BS102" s="398">
        <v>15</v>
      </c>
      <c r="BT102" s="398">
        <v>15</v>
      </c>
      <c r="BU102" s="398">
        <v>19</v>
      </c>
      <c r="BV102" s="398">
        <v>19</v>
      </c>
      <c r="BW102" s="398">
        <v>19</v>
      </c>
      <c r="BX102" s="398">
        <v>19</v>
      </c>
      <c r="BY102" s="398">
        <v>19</v>
      </c>
      <c r="BZ102" s="398">
        <v>19</v>
      </c>
      <c r="CA102" s="398">
        <v>19</v>
      </c>
      <c r="CB102" s="398">
        <v>0</v>
      </c>
      <c r="CC102" s="398">
        <v>0</v>
      </c>
      <c r="CD102" s="398">
        <v>0</v>
      </c>
      <c r="CE102" s="398">
        <v>0</v>
      </c>
      <c r="CF102" s="472">
        <v>0</v>
      </c>
      <c r="CG102" s="3712"/>
      <c r="CH102" s="3737" cm="1">
        <f t="array" ref="CH102">SUM(IF(ISNUMBER($AX102:$CF102),$AX102:$CF102, 0))</f>
        <v>351</v>
      </c>
      <c r="CI102" s="290"/>
      <c r="CJ102" s="404"/>
      <c r="CK102" s="405"/>
    </row>
    <row r="103" spans="1:89" s="521" customFormat="1" ht="46" customHeight="1" thickBot="1">
      <c r="A103" s="2862"/>
      <c r="B103" s="2863"/>
      <c r="C103" s="420"/>
      <c r="D103" s="421" t="s">
        <v>2129</v>
      </c>
      <c r="E103" s="426"/>
      <c r="F103" s="422"/>
      <c r="G103" s="2875">
        <v>0</v>
      </c>
      <c r="H103" s="2875">
        <v>0</v>
      </c>
      <c r="I103" s="2875">
        <v>0</v>
      </c>
      <c r="J103" s="2875">
        <v>0</v>
      </c>
      <c r="K103" s="2875">
        <v>0</v>
      </c>
      <c r="L103" s="2877">
        <v>0</v>
      </c>
      <c r="M103" s="2878">
        <v>0</v>
      </c>
      <c r="N103" s="2878">
        <v>0</v>
      </c>
      <c r="O103" s="2877">
        <v>0</v>
      </c>
      <c r="P103" s="2878">
        <v>0</v>
      </c>
      <c r="Q103" s="2878">
        <v>0</v>
      </c>
      <c r="R103" s="2878">
        <v>0</v>
      </c>
      <c r="S103" s="2878">
        <v>0</v>
      </c>
      <c r="T103" s="426" t="s">
        <v>2129</v>
      </c>
      <c r="U103" s="420"/>
      <c r="V103" s="3341"/>
      <c r="W103" s="478" t="s">
        <v>2134</v>
      </c>
      <c r="X103" s="479">
        <v>0</v>
      </c>
      <c r="Y103" s="3365"/>
      <c r="Z103" s="3343" t="str">
        <f>IFERROR(VLOOKUP($V103,[53]競技情報DB!$A$6:$H$181,3,),"－")</f>
        <v>－</v>
      </c>
      <c r="AA103" s="3354"/>
      <c r="AB103" s="3355"/>
      <c r="AC103" s="3670" t="str">
        <f>IFERROR(VLOOKUP($V103,[53]アジア練習会場!$A$3:$E$107,2,),"－")</f>
        <v>－</v>
      </c>
      <c r="AD103" s="3646"/>
      <c r="AE103" s="3647"/>
      <c r="AF103" s="3670" t="str">
        <f>IFERROR(VLOOKUP($V103,[53]アジア練習会場!$A$3:$E$107,3,),"－")</f>
        <v>－</v>
      </c>
      <c r="AG103" s="3671"/>
      <c r="AH103" s="3672"/>
      <c r="AI103" s="3673" t="str">
        <f>IFERROR(VLOOKUP($V103,[53]アジア練習会場!$A$3:$E$107,4,),"－")</f>
        <v>－</v>
      </c>
      <c r="AJ103" s="3671"/>
      <c r="AK103" s="3672"/>
      <c r="AL103" s="3673" t="str">
        <f>IFERROR(VLOOKUP($V103,[53]アジア練習会場!$A$3:$E$107,5,),"－")</f>
        <v>－</v>
      </c>
      <c r="AM103" s="3671"/>
      <c r="AN103" s="3674"/>
      <c r="AO103" s="3755"/>
      <c r="AP103" s="3755"/>
      <c r="AQ103" s="3756"/>
      <c r="AR103" s="3650"/>
      <c r="AS103" s="652"/>
      <c r="AT103" s="3651"/>
      <c r="AU103" s="443"/>
      <c r="AV103" s="443"/>
      <c r="AW103" s="443"/>
      <c r="AX103" s="448"/>
      <c r="AY103" s="445"/>
      <c r="AZ103" s="445"/>
      <c r="BA103" s="445"/>
      <c r="BB103" s="445"/>
      <c r="BC103" s="445"/>
      <c r="BD103" s="445"/>
      <c r="BE103" s="445"/>
      <c r="BF103" s="445"/>
      <c r="BG103" s="445"/>
      <c r="BH103" s="445"/>
      <c r="BI103" s="445"/>
      <c r="BJ103" s="445"/>
      <c r="BK103" s="445"/>
      <c r="BL103" s="445"/>
      <c r="BM103" s="445"/>
      <c r="BN103" s="445"/>
      <c r="BO103" s="445"/>
      <c r="BP103" s="445"/>
      <c r="BQ103" s="445"/>
      <c r="BR103" s="445"/>
      <c r="BS103" s="445"/>
      <c r="BT103" s="445"/>
      <c r="BU103" s="445"/>
      <c r="BV103" s="445"/>
      <c r="BW103" s="445"/>
      <c r="BX103" s="445"/>
      <c r="BY103" s="445"/>
      <c r="BZ103" s="445"/>
      <c r="CA103" s="445"/>
      <c r="CB103" s="445"/>
      <c r="CC103" s="445"/>
      <c r="CD103" s="445"/>
      <c r="CE103" s="445"/>
      <c r="CF103" s="449"/>
      <c r="CG103" s="3712"/>
      <c r="CH103" s="3737"/>
      <c r="CI103" s="290"/>
      <c r="CJ103" s="450"/>
      <c r="CK103" s="451"/>
    </row>
    <row r="104" spans="1:89" ht="46" customHeight="1">
      <c r="A104" s="2862"/>
      <c r="B104" s="296" t="s">
        <v>3617</v>
      </c>
      <c r="C104" s="296">
        <f>C102+1</f>
        <v>45</v>
      </c>
      <c r="D104" s="297">
        <v>3034</v>
      </c>
      <c r="E104" s="6245" t="s">
        <v>6955</v>
      </c>
      <c r="F104" s="298" t="s">
        <v>3618</v>
      </c>
      <c r="G104" s="2864" t="s">
        <v>2129</v>
      </c>
      <c r="H104" s="2864" t="s">
        <v>2129</v>
      </c>
      <c r="I104" s="2864" t="s">
        <v>2129</v>
      </c>
      <c r="J104" s="2864" t="s">
        <v>2129</v>
      </c>
      <c r="K104" s="2864">
        <v>33</v>
      </c>
      <c r="L104" s="2865" t="s">
        <v>2129</v>
      </c>
      <c r="M104" s="2866" t="s">
        <v>2129</v>
      </c>
      <c r="N104" s="2866" t="s">
        <v>2129</v>
      </c>
      <c r="O104" s="2865" t="s">
        <v>2129</v>
      </c>
      <c r="P104" s="2874" t="s">
        <v>2129</v>
      </c>
      <c r="Q104" s="2866" t="s">
        <v>2129</v>
      </c>
      <c r="R104" s="2866" t="s">
        <v>2129</v>
      </c>
      <c r="S104" s="2866" t="s">
        <v>2129</v>
      </c>
      <c r="T104" s="302" t="s">
        <v>2133</v>
      </c>
      <c r="U104" s="296" t="s">
        <v>2169</v>
      </c>
      <c r="V104" s="703" t="s">
        <v>3619</v>
      </c>
      <c r="W104" s="528" t="s">
        <v>2417</v>
      </c>
      <c r="X104" s="529">
        <v>19</v>
      </c>
      <c r="Y104" s="3369">
        <f>SUM(X104:X105)</f>
        <v>19</v>
      </c>
      <c r="Z104" s="3350" t="str">
        <f>IFERROR(VLOOKUP($V104,[53]競技情報DB!$A$6:$H$181,3,),"－")</f>
        <v>長居陸上競技場</v>
      </c>
      <c r="AA104" s="3351"/>
      <c r="AB104" s="3352"/>
      <c r="AC104" s="3665" t="str">
        <f>IFERROR(VLOOKUP($V104,[53]アジア練習会場!$A$3:$E$107,2,),"－")</f>
        <v>－</v>
      </c>
      <c r="AD104" s="3663">
        <v>9.4</v>
      </c>
      <c r="AE104" s="3664">
        <v>18</v>
      </c>
      <c r="AF104" s="3662" t="str">
        <f>IFERROR(VLOOKUP($V104,[53]アジア練習会場!$A$3:$E$107,3,),"－")</f>
        <v>－</v>
      </c>
      <c r="AG104" s="3663"/>
      <c r="AH104" s="3664"/>
      <c r="AI104" s="3665" t="str">
        <f>IFERROR(VLOOKUP($V104,[53]アジア練習会場!$A$3:$E$107,4,),"－")</f>
        <v>－</v>
      </c>
      <c r="AJ104" s="3663"/>
      <c r="AK104" s="3664"/>
      <c r="AL104" s="3665" t="str">
        <f>IFERROR(VLOOKUP($V104,[53]アジア練習会場!$A$3:$E$107,5,),"－")</f>
        <v>－</v>
      </c>
      <c r="AM104" s="3639"/>
      <c r="AN104" s="3642"/>
      <c r="AO104" s="3757" cm="1">
        <f t="array" ref="AO104">_xlfn.LET(
  _xlpm.rng, AX104:CF104,
  _xlpm.header, $AX$3:$CF$3,
  _xlpm.idx, _xlfn.XMATCH(TRUE, _xlpm.rng&lt;&gt;0),
  _xlpm.dt, INDEX(_xlpm.header, _xlpm.idx),
  IF(YEAR(_xlpm.dt)&lt;&gt;2026, DATE(2026, MONTH(_xlpm.dt), DAY(_xlpm.dt)), _xlpm.dt)
)</f>
        <v>46276</v>
      </c>
      <c r="AP104" s="3757" cm="1">
        <f t="array" ref="AP104">_xlfn.LET(
  _xlpm.rng, AX104:CF104,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104" s="3758">
        <f>AP104-AO104</f>
        <v>19</v>
      </c>
      <c r="AR104" s="3660" t="e">
        <f>$H104-MAX(AX104:CF104)</f>
        <v>#VALUE!</v>
      </c>
      <c r="AS104" s="656" t="e">
        <f>+AR104/$H104</f>
        <v>#VALUE!</v>
      </c>
      <c r="AT104" s="3667" t="str">
        <f>F104&amp;"　"&amp;"合計"</f>
        <v>グランドプリンスホテル大阪ベイ　合計</v>
      </c>
      <c r="AU104" s="3854"/>
      <c r="AV104" s="3854"/>
      <c r="AW104" s="3854"/>
      <c r="AX104" s="696">
        <v>0</v>
      </c>
      <c r="AY104" s="398">
        <v>0</v>
      </c>
      <c r="AZ104" s="398">
        <v>0</v>
      </c>
      <c r="BA104" s="398">
        <v>0</v>
      </c>
      <c r="BB104" s="398">
        <v>0</v>
      </c>
      <c r="BC104" s="398">
        <v>0</v>
      </c>
      <c r="BD104" s="398">
        <v>0</v>
      </c>
      <c r="BE104" s="398">
        <v>6</v>
      </c>
      <c r="BF104" s="398">
        <v>6</v>
      </c>
      <c r="BG104" s="398">
        <v>11</v>
      </c>
      <c r="BH104" s="398">
        <v>15</v>
      </c>
      <c r="BI104" s="398">
        <v>15</v>
      </c>
      <c r="BJ104" s="398">
        <v>15</v>
      </c>
      <c r="BK104" s="398">
        <v>15</v>
      </c>
      <c r="BL104" s="398">
        <v>15</v>
      </c>
      <c r="BM104" s="398">
        <v>15</v>
      </c>
      <c r="BN104" s="398">
        <v>15</v>
      </c>
      <c r="BO104" s="398">
        <v>15</v>
      </c>
      <c r="BP104" s="398">
        <v>15</v>
      </c>
      <c r="BQ104" s="398">
        <v>15</v>
      </c>
      <c r="BR104" s="398">
        <v>15</v>
      </c>
      <c r="BS104" s="398">
        <v>15</v>
      </c>
      <c r="BT104" s="398">
        <v>15</v>
      </c>
      <c r="BU104" s="398">
        <v>19</v>
      </c>
      <c r="BV104" s="398">
        <v>19</v>
      </c>
      <c r="BW104" s="398">
        <v>19</v>
      </c>
      <c r="BX104" s="398">
        <v>19</v>
      </c>
      <c r="BY104" s="398">
        <v>0</v>
      </c>
      <c r="BZ104" s="398">
        <v>0</v>
      </c>
      <c r="CA104" s="398">
        <v>0</v>
      </c>
      <c r="CB104" s="398">
        <v>0</v>
      </c>
      <c r="CC104" s="398">
        <v>0</v>
      </c>
      <c r="CD104" s="398">
        <v>0</v>
      </c>
      <c r="CE104" s="398">
        <v>0</v>
      </c>
      <c r="CF104" s="472">
        <v>0</v>
      </c>
      <c r="CG104" s="3712"/>
      <c r="CH104" s="3737" cm="1">
        <f t="array" ref="CH104">SUM(IF(ISNUMBER($AX104:$CF104),$AX104:$CF104, 0))</f>
        <v>294</v>
      </c>
      <c r="CI104" s="573"/>
      <c r="CJ104" s="610"/>
      <c r="CK104" s="611"/>
    </row>
    <row r="105" spans="1:89" s="561" customFormat="1" ht="46" customHeight="1">
      <c r="A105" s="2862"/>
      <c r="B105" s="296"/>
      <c r="C105" s="420"/>
      <c r="D105" s="421" t="s">
        <v>2129</v>
      </c>
      <c r="E105" s="426"/>
      <c r="F105" s="612"/>
      <c r="G105" s="2875">
        <v>0</v>
      </c>
      <c r="H105" s="2875">
        <v>0</v>
      </c>
      <c r="I105" s="2875">
        <v>0</v>
      </c>
      <c r="J105" s="2875">
        <v>0</v>
      </c>
      <c r="K105" s="2875">
        <v>0</v>
      </c>
      <c r="L105" s="2877">
        <v>0</v>
      </c>
      <c r="M105" s="2878">
        <v>0</v>
      </c>
      <c r="N105" s="2878">
        <v>0</v>
      </c>
      <c r="O105" s="2877">
        <v>0</v>
      </c>
      <c r="P105" s="2916">
        <v>0</v>
      </c>
      <c r="Q105" s="2878">
        <v>0</v>
      </c>
      <c r="R105" s="2878">
        <v>0</v>
      </c>
      <c r="S105" s="2878">
        <v>0</v>
      </c>
      <c r="T105" s="426" t="s">
        <v>2129</v>
      </c>
      <c r="U105" s="420"/>
      <c r="V105" s="3341"/>
      <c r="W105" s="478">
        <v>0</v>
      </c>
      <c r="X105" s="479"/>
      <c r="Y105" s="3365"/>
      <c r="Z105" s="3343" t="str">
        <f>IFERROR(VLOOKUP($V105,[53]競技情報DB!$A$6:$H$181,3,),"－")</f>
        <v>－</v>
      </c>
      <c r="AA105" s="3354"/>
      <c r="AB105" s="3355"/>
      <c r="AC105" s="3670" t="str">
        <f>IFERROR(VLOOKUP($V105,[53]アジア練習会場!$A$3:$E$107,2,),"－")</f>
        <v>－</v>
      </c>
      <c r="AD105" s="3646"/>
      <c r="AE105" s="3647"/>
      <c r="AF105" s="3670" t="str">
        <f>IFERROR(VLOOKUP($V105,[53]アジア練習会場!$A$3:$E$107,3,),"－")</f>
        <v>－</v>
      </c>
      <c r="AG105" s="3671"/>
      <c r="AH105" s="3672"/>
      <c r="AI105" s="3673" t="str">
        <f>IFERROR(VLOOKUP($V105,[53]アジア練習会場!$A$3:$E$107,4,),"－")</f>
        <v>－</v>
      </c>
      <c r="AJ105" s="3671"/>
      <c r="AK105" s="3672"/>
      <c r="AL105" s="3673" t="str">
        <f>IFERROR(VLOOKUP($V105,[53]アジア練習会場!$A$3:$E$107,5,),"－")</f>
        <v>－</v>
      </c>
      <c r="AM105" s="3671"/>
      <c r="AN105" s="3674"/>
      <c r="AO105" s="3755"/>
      <c r="AP105" s="3755"/>
      <c r="AQ105" s="3756"/>
      <c r="AR105" s="3650"/>
      <c r="AS105" s="652"/>
      <c r="AT105" s="3651"/>
      <c r="AU105" s="443"/>
      <c r="AV105" s="443"/>
      <c r="AW105" s="443"/>
      <c r="AX105" s="448"/>
      <c r="AY105" s="445"/>
      <c r="AZ105" s="445"/>
      <c r="BA105" s="445"/>
      <c r="BB105" s="445"/>
      <c r="BC105" s="445"/>
      <c r="BD105" s="445"/>
      <c r="BE105" s="445"/>
      <c r="BF105" s="445"/>
      <c r="BG105" s="445"/>
      <c r="BH105" s="445"/>
      <c r="BI105" s="445"/>
      <c r="BJ105" s="445"/>
      <c r="BK105" s="445"/>
      <c r="BL105" s="445"/>
      <c r="BM105" s="445"/>
      <c r="BN105" s="445"/>
      <c r="BO105" s="445"/>
      <c r="BP105" s="445"/>
      <c r="BQ105" s="445"/>
      <c r="BR105" s="445"/>
      <c r="BS105" s="445"/>
      <c r="BT105" s="445"/>
      <c r="BU105" s="445"/>
      <c r="BV105" s="445"/>
      <c r="BW105" s="445"/>
      <c r="BX105" s="445"/>
      <c r="BY105" s="336"/>
      <c r="BZ105" s="445"/>
      <c r="CA105" s="445"/>
      <c r="CB105" s="445"/>
      <c r="CC105" s="445"/>
      <c r="CD105" s="445"/>
      <c r="CE105" s="445"/>
      <c r="CF105" s="449"/>
      <c r="CG105" s="3712"/>
      <c r="CH105" s="3737"/>
      <c r="CI105" s="573"/>
      <c r="CJ105" s="614"/>
      <c r="CK105" s="615"/>
    </row>
    <row r="106" spans="1:89" ht="46" customHeight="1">
      <c r="A106" s="2862"/>
      <c r="B106" s="296"/>
      <c r="C106" s="296">
        <f>C104+1</f>
        <v>46</v>
      </c>
      <c r="D106" s="297">
        <v>3005</v>
      </c>
      <c r="E106" s="302"/>
      <c r="F106" s="298" t="s">
        <v>6889</v>
      </c>
      <c r="G106" s="2864" t="s">
        <v>2129</v>
      </c>
      <c r="H106" s="2864" t="s">
        <v>2129</v>
      </c>
      <c r="I106" s="2864" t="s">
        <v>2129</v>
      </c>
      <c r="J106" s="2864" t="s">
        <v>2129</v>
      </c>
      <c r="K106" s="2864"/>
      <c r="L106" s="2865" t="s">
        <v>2129</v>
      </c>
      <c r="M106" s="2866" t="s">
        <v>2129</v>
      </c>
      <c r="N106" s="2866" t="s">
        <v>2129</v>
      </c>
      <c r="O106" s="2865" t="s">
        <v>2129</v>
      </c>
      <c r="P106" s="2874" t="s">
        <v>2129</v>
      </c>
      <c r="Q106" s="2866" t="s">
        <v>2129</v>
      </c>
      <c r="R106" s="2866" t="s">
        <v>2129</v>
      </c>
      <c r="S106" s="2866" t="s">
        <v>2129</v>
      </c>
      <c r="T106" s="302" t="s">
        <v>2133</v>
      </c>
      <c r="U106" s="296" t="s">
        <v>2169</v>
      </c>
      <c r="V106" s="703" t="s">
        <v>3620</v>
      </c>
      <c r="W106" s="528"/>
      <c r="X106" s="529">
        <v>14</v>
      </c>
      <c r="Y106" s="3369">
        <f>SUM(X106:X107)</f>
        <v>14</v>
      </c>
      <c r="Z106" s="3350">
        <f>IFERROR(VLOOKUP($V106,[53]競技情報DB!$A$6:$H$181,3,),"－")</f>
        <v>0</v>
      </c>
      <c r="AA106" s="3351"/>
      <c r="AB106" s="3352"/>
      <c r="AC106" s="3665" t="str">
        <f>IFERROR(VLOOKUP($V106,[53]アジア練習会場!$A$3:$E$107,2,),"－")</f>
        <v>－</v>
      </c>
      <c r="AD106" s="3663">
        <v>9.4</v>
      </c>
      <c r="AE106" s="3664">
        <v>18</v>
      </c>
      <c r="AF106" s="3662" t="str">
        <f>IFERROR(VLOOKUP($V106,[53]アジア練習会場!$A$3:$E$107,3,),"－")</f>
        <v>－</v>
      </c>
      <c r="AG106" s="3663"/>
      <c r="AH106" s="3664"/>
      <c r="AI106" s="3665" t="str">
        <f>IFERROR(VLOOKUP($V106,[53]アジア練習会場!$A$3:$E$107,4,),"－")</f>
        <v>－</v>
      </c>
      <c r="AJ106" s="3663"/>
      <c r="AK106" s="3664"/>
      <c r="AL106" s="3665" t="str">
        <f>IFERROR(VLOOKUP($V106,[53]アジア練習会場!$A$3:$E$107,5,),"－")</f>
        <v>－</v>
      </c>
      <c r="AM106" s="3639"/>
      <c r="AN106" s="3642"/>
      <c r="AO106" s="3757" cm="1">
        <f t="array" ref="AO106">_xlfn.LET(
  _xlpm.rng, AX106:CF106,
  _xlpm.header, $AX$3:$CF$3,
  _xlpm.idx, _xlfn.XMATCH(TRUE, _xlpm.rng&lt;&gt;0),
  _xlpm.dt, INDEX(_xlpm.header, _xlpm.idx),
  IF(YEAR(_xlpm.dt)&lt;&gt;2026, DATE(2026, MONTH(_xlpm.dt), DAY(_xlpm.dt)), _xlpm.dt)
)</f>
        <v>46273</v>
      </c>
      <c r="AP106" s="3757" cm="1">
        <f t="array" ref="AP106">_xlfn.LET(
  _xlpm.rng, AX106:CF106,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46295</v>
      </c>
      <c r="AQ106" s="3758">
        <f>AP106-AO106</f>
        <v>22</v>
      </c>
      <c r="AR106" s="3660"/>
      <c r="AS106" s="656"/>
      <c r="AT106" s="3661"/>
      <c r="AU106" s="3853"/>
      <c r="AV106" s="3853"/>
      <c r="AW106" s="3853"/>
      <c r="AX106" s="6094">
        <v>0</v>
      </c>
      <c r="AY106" s="2879">
        <v>0</v>
      </c>
      <c r="AZ106" s="2879">
        <v>0</v>
      </c>
      <c r="BA106" s="2879">
        <v>0</v>
      </c>
      <c r="BB106" s="337">
        <v>14</v>
      </c>
      <c r="BC106" s="337">
        <v>14</v>
      </c>
      <c r="BD106" s="337">
        <v>14</v>
      </c>
      <c r="BE106" s="337">
        <v>14</v>
      </c>
      <c r="BF106" s="337">
        <v>14</v>
      </c>
      <c r="BG106" s="337">
        <v>14</v>
      </c>
      <c r="BH106" s="337">
        <v>14</v>
      </c>
      <c r="BI106" s="337">
        <v>14</v>
      </c>
      <c r="BJ106" s="337">
        <v>14</v>
      </c>
      <c r="BK106" s="337">
        <v>14</v>
      </c>
      <c r="BL106" s="337">
        <v>14</v>
      </c>
      <c r="BM106" s="337">
        <v>14</v>
      </c>
      <c r="BN106" s="337">
        <v>14</v>
      </c>
      <c r="BO106" s="337">
        <v>14</v>
      </c>
      <c r="BP106" s="337">
        <v>14</v>
      </c>
      <c r="BQ106" s="337">
        <v>14</v>
      </c>
      <c r="BR106" s="337">
        <v>14</v>
      </c>
      <c r="BS106" s="337">
        <v>14</v>
      </c>
      <c r="BT106" s="337">
        <v>14</v>
      </c>
      <c r="BU106" s="337">
        <v>14</v>
      </c>
      <c r="BV106" s="337">
        <v>14</v>
      </c>
      <c r="BW106" s="337">
        <v>14</v>
      </c>
      <c r="BX106" s="337">
        <v>14</v>
      </c>
      <c r="BY106" s="398">
        <v>0</v>
      </c>
      <c r="BZ106" s="398">
        <v>0</v>
      </c>
      <c r="CA106" s="398">
        <v>0</v>
      </c>
      <c r="CB106" s="398">
        <v>0</v>
      </c>
      <c r="CC106" s="398">
        <v>0</v>
      </c>
      <c r="CD106" s="398">
        <v>0</v>
      </c>
      <c r="CE106" s="398">
        <v>0</v>
      </c>
      <c r="CF106" s="472">
        <v>0</v>
      </c>
      <c r="CG106" s="3712"/>
      <c r="CH106" s="3738" cm="1">
        <f t="array" ref="CH106">SUM(IF(ISNUMBER($AX106:$CF106),$AX106:$CF106, 0))</f>
        <v>322</v>
      </c>
      <c r="CI106" s="573"/>
      <c r="CJ106" s="610"/>
      <c r="CK106" s="611"/>
    </row>
    <row r="107" spans="1:89" ht="46" customHeight="1">
      <c r="A107" s="2862"/>
      <c r="B107" s="296"/>
      <c r="C107" s="420"/>
      <c r="D107" s="421" t="s">
        <v>2129</v>
      </c>
      <c r="E107" s="426"/>
      <c r="F107" s="612"/>
      <c r="G107" s="2875">
        <v>0</v>
      </c>
      <c r="H107" s="2875">
        <v>0</v>
      </c>
      <c r="I107" s="2875">
        <v>0</v>
      </c>
      <c r="J107" s="2875">
        <v>0</v>
      </c>
      <c r="K107" s="2875">
        <v>0</v>
      </c>
      <c r="L107" s="2877">
        <v>0</v>
      </c>
      <c r="M107" s="2878">
        <v>0</v>
      </c>
      <c r="N107" s="2878">
        <v>0</v>
      </c>
      <c r="O107" s="2877">
        <v>0</v>
      </c>
      <c r="P107" s="2916">
        <v>0</v>
      </c>
      <c r="Q107" s="2878">
        <v>0</v>
      </c>
      <c r="R107" s="2878">
        <v>0</v>
      </c>
      <c r="S107" s="2878">
        <v>0</v>
      </c>
      <c r="T107" s="426" t="s">
        <v>2129</v>
      </c>
      <c r="U107" s="420"/>
      <c r="V107" s="3341"/>
      <c r="W107" s="478">
        <v>0</v>
      </c>
      <c r="X107" s="479"/>
      <c r="Y107" s="3365"/>
      <c r="Z107" s="3343" t="str">
        <f>IFERROR(VLOOKUP($V107,[53]競技情報DB!$A$6:$H$181,3,),"－")</f>
        <v>－</v>
      </c>
      <c r="AA107" s="3354"/>
      <c r="AB107" s="3355"/>
      <c r="AC107" s="3670" t="str">
        <f>IFERROR(VLOOKUP($V107,[53]アジア練習会場!$A$3:$E$107,2,),"－")</f>
        <v>－</v>
      </c>
      <c r="AD107" s="3646"/>
      <c r="AE107" s="3647"/>
      <c r="AF107" s="3670" t="str">
        <f>IFERROR(VLOOKUP($V107,[53]アジア練習会場!$A$3:$E$107,3,),"－")</f>
        <v>－</v>
      </c>
      <c r="AG107" s="3671"/>
      <c r="AH107" s="3672"/>
      <c r="AI107" s="3673" t="str">
        <f>IFERROR(VLOOKUP($V107,[53]アジア練習会場!$A$3:$E$107,4,),"－")</f>
        <v>－</v>
      </c>
      <c r="AJ107" s="3671"/>
      <c r="AK107" s="3672"/>
      <c r="AL107" s="3673" t="str">
        <f>IFERROR(VLOOKUP($V107,[53]アジア練習会場!$A$3:$E$107,5,),"－")</f>
        <v>－</v>
      </c>
      <c r="AM107" s="3671"/>
      <c r="AN107" s="3674"/>
      <c r="AO107" s="3755"/>
      <c r="AP107" s="3755"/>
      <c r="AQ107" s="3756"/>
      <c r="AR107" s="3660"/>
      <c r="AS107" s="656"/>
      <c r="AT107" s="3661"/>
      <c r="AU107" s="3853"/>
      <c r="AV107" s="3853"/>
      <c r="AW107" s="3853"/>
      <c r="AX107" s="6100"/>
      <c r="AY107" s="519"/>
      <c r="AZ107" s="519"/>
      <c r="BA107" s="519"/>
      <c r="BB107" s="519"/>
      <c r="BC107" s="519"/>
      <c r="BD107" s="519"/>
      <c r="BE107" s="519"/>
      <c r="BF107" s="519"/>
      <c r="BG107" s="519"/>
      <c r="BH107" s="519"/>
      <c r="BI107" s="519"/>
      <c r="BJ107" s="519"/>
      <c r="BK107" s="519"/>
      <c r="BL107" s="519"/>
      <c r="BM107" s="519"/>
      <c r="BN107" s="519"/>
      <c r="BO107" s="519"/>
      <c r="BP107" s="519"/>
      <c r="BQ107" s="519"/>
      <c r="BR107" s="519"/>
      <c r="BS107" s="519"/>
      <c r="BT107" s="519"/>
      <c r="BU107" s="519"/>
      <c r="BV107" s="519"/>
      <c r="BW107" s="519"/>
      <c r="BX107" s="519"/>
      <c r="BY107" s="519"/>
      <c r="BZ107" s="519"/>
      <c r="CA107" s="519"/>
      <c r="CB107" s="519"/>
      <c r="CC107" s="519"/>
      <c r="CD107" s="519"/>
      <c r="CE107" s="519"/>
      <c r="CF107" s="520"/>
      <c r="CG107" s="3712"/>
      <c r="CH107" s="3737"/>
      <c r="CI107" s="573"/>
      <c r="CJ107" s="610"/>
      <c r="CK107" s="611"/>
    </row>
    <row r="108" spans="1:89" s="564" customFormat="1" ht="46" customHeight="1">
      <c r="A108" s="2862"/>
      <c r="B108" s="296" t="s">
        <v>3621</v>
      </c>
      <c r="C108" s="372">
        <f>C106+1</f>
        <v>47</v>
      </c>
      <c r="D108" s="2871">
        <v>2050</v>
      </c>
      <c r="E108" s="6244" t="s">
        <v>6955</v>
      </c>
      <c r="F108" s="373" t="s">
        <v>3622</v>
      </c>
      <c r="G108" s="2872" t="s">
        <v>2129</v>
      </c>
      <c r="H108" s="2872" t="s">
        <v>2129</v>
      </c>
      <c r="I108" s="2872" t="s">
        <v>2129</v>
      </c>
      <c r="J108" s="2872" t="s">
        <v>2129</v>
      </c>
      <c r="K108" s="2872">
        <v>61</v>
      </c>
      <c r="L108" s="2873" t="s">
        <v>2129</v>
      </c>
      <c r="M108" s="2874" t="s">
        <v>2129</v>
      </c>
      <c r="N108" s="2874" t="s">
        <v>2129</v>
      </c>
      <c r="O108" s="2873" t="s">
        <v>2129</v>
      </c>
      <c r="P108" s="2874" t="s">
        <v>2129</v>
      </c>
      <c r="Q108" s="2874" t="s">
        <v>2129</v>
      </c>
      <c r="R108" s="2874" t="s">
        <v>2129</v>
      </c>
      <c r="S108" s="2874" t="s">
        <v>2129</v>
      </c>
      <c r="T108" s="377" t="s">
        <v>2133</v>
      </c>
      <c r="U108" s="372" t="s">
        <v>2169</v>
      </c>
      <c r="V108" s="387" t="s">
        <v>6890</v>
      </c>
      <c r="W108" s="388" t="s">
        <v>2419</v>
      </c>
      <c r="X108" s="389">
        <v>30</v>
      </c>
      <c r="Y108" s="3369">
        <f>SUM(X108:X109)</f>
        <v>30</v>
      </c>
      <c r="Z108" s="3322" t="str">
        <f>IFERROR(VLOOKUP($V108,[53]競技情報DB!$A$6:$H$181,3,),"－")</f>
        <v>－</v>
      </c>
      <c r="AA108" s="3323"/>
      <c r="AB108" s="3324"/>
      <c r="AC108" s="3638" t="str">
        <f>IFERROR(VLOOKUP($V108,[53]アジア練習会場!$A$3:$E$107,2,),"－")</f>
        <v>－</v>
      </c>
      <c r="AD108" s="3639">
        <v>5.8</v>
      </c>
      <c r="AE108" s="3640">
        <v>14</v>
      </c>
      <c r="AF108" s="3638" t="str">
        <f>IFERROR(VLOOKUP($V108,[53]アジア練習会場!$A$3:$E$107,3,),"－")</f>
        <v>－</v>
      </c>
      <c r="AG108" s="3639">
        <v>47.6</v>
      </c>
      <c r="AH108" s="3640">
        <v>48</v>
      </c>
      <c r="AI108" s="3641" t="str">
        <f>IFERROR(VLOOKUP($V108,[53]アジア練習会場!$A$3:$E$107,4,),"－")</f>
        <v>－</v>
      </c>
      <c r="AJ108" s="3663"/>
      <c r="AK108" s="3664"/>
      <c r="AL108" s="3641" t="str">
        <f>IFERROR(VLOOKUP($V108,[53]アジア練習会場!$A$3:$E$107,5,),"－")</f>
        <v>－</v>
      </c>
      <c r="AM108" s="3639"/>
      <c r="AN108" s="3642"/>
      <c r="AO108" s="3757" cm="1">
        <f t="array" ref="AO108">_xlfn.LET(
  _xlpm.rng, AX108:CF108,
  _xlpm.header, $AX$3:$CF$3,
  _xlpm.idx, _xlfn.XMATCH(TRUE, _xlpm.rng&lt;&gt;0),
  _xlpm.dt, INDEX(_xlpm.header, _xlpm.idx),
  IF(YEAR(_xlpm.dt)&lt;&gt;2026, DATE(2026, MONTH(_xlpm.dt), DAY(_xlpm.dt)), _xlpm.dt)
)</f>
        <v>46271</v>
      </c>
      <c r="AP108" s="3757" cm="1">
        <f t="array" ref="AP108">_xlfn.LET(
  _xlpm.rng, AX108:CF108,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46297</v>
      </c>
      <c r="AQ108" s="3758">
        <f>AP108-AO108</f>
        <v>26</v>
      </c>
      <c r="AR108" s="3660" t="e">
        <f>$H108-MAX(AX108:CF108)</f>
        <v>#VALUE!</v>
      </c>
      <c r="AS108" s="647" t="e">
        <f>+AR108/$H108</f>
        <v>#VALUE!</v>
      </c>
      <c r="AT108" s="3644" t="str">
        <f>F108&amp;"　"&amp;"合計"</f>
        <v>二子玉川エクセルホテル東急　合計</v>
      </c>
      <c r="AU108" s="395"/>
      <c r="AV108" s="395"/>
      <c r="AW108" s="395"/>
      <c r="AX108" s="696">
        <v>0</v>
      </c>
      <c r="AY108" s="398">
        <v>0</v>
      </c>
      <c r="AZ108" s="398">
        <v>3</v>
      </c>
      <c r="BA108" s="398">
        <v>3</v>
      </c>
      <c r="BB108" s="398">
        <v>3</v>
      </c>
      <c r="BC108" s="398">
        <v>3</v>
      </c>
      <c r="BD108" s="398">
        <v>3</v>
      </c>
      <c r="BE108" s="398">
        <v>3</v>
      </c>
      <c r="BF108" s="398">
        <v>10</v>
      </c>
      <c r="BG108" s="398">
        <v>15</v>
      </c>
      <c r="BH108" s="398">
        <v>20</v>
      </c>
      <c r="BI108" s="398">
        <v>24</v>
      </c>
      <c r="BJ108" s="398">
        <v>24</v>
      </c>
      <c r="BK108" s="398">
        <v>24</v>
      </c>
      <c r="BL108" s="398">
        <v>24</v>
      </c>
      <c r="BM108" s="398">
        <v>29</v>
      </c>
      <c r="BN108" s="398">
        <v>29</v>
      </c>
      <c r="BO108" s="398">
        <v>30</v>
      </c>
      <c r="BP108" s="398">
        <v>23</v>
      </c>
      <c r="BQ108" s="398">
        <v>23</v>
      </c>
      <c r="BR108" s="398">
        <v>28</v>
      </c>
      <c r="BS108" s="398">
        <v>24</v>
      </c>
      <c r="BT108" s="398">
        <v>24</v>
      </c>
      <c r="BU108" s="398">
        <v>24</v>
      </c>
      <c r="BV108" s="398">
        <v>24</v>
      </c>
      <c r="BW108" s="398">
        <v>24</v>
      </c>
      <c r="BX108" s="398">
        <v>24</v>
      </c>
      <c r="BY108" s="398">
        <v>24</v>
      </c>
      <c r="BZ108" s="398">
        <v>24</v>
      </c>
      <c r="CA108" s="398">
        <v>0</v>
      </c>
      <c r="CB108" s="398">
        <v>0</v>
      </c>
      <c r="CC108" s="398">
        <v>0</v>
      </c>
      <c r="CD108" s="398">
        <v>0</v>
      </c>
      <c r="CE108" s="398">
        <v>0</v>
      </c>
      <c r="CF108" s="472">
        <v>0</v>
      </c>
      <c r="CG108" s="3712"/>
      <c r="CH108" s="3737" cm="1">
        <f t="array" ref="CH108">SUM(IF(ISNUMBER($AX108:$CF108),$AX108:$CF108, 0))</f>
        <v>513</v>
      </c>
      <c r="CI108" s="290"/>
      <c r="CJ108" s="404"/>
      <c r="CK108" s="405"/>
    </row>
    <row r="109" spans="1:89" s="521" customFormat="1" ht="46" customHeight="1" thickBot="1">
      <c r="A109" s="2862"/>
      <c r="B109" s="296"/>
      <c r="C109" s="420"/>
      <c r="D109" s="421" t="s">
        <v>2129</v>
      </c>
      <c r="E109" s="426"/>
      <c r="F109" s="422"/>
      <c r="G109" s="2875">
        <v>0</v>
      </c>
      <c r="H109" s="2875">
        <v>0</v>
      </c>
      <c r="I109" s="2875">
        <v>0</v>
      </c>
      <c r="J109" s="2875">
        <v>0</v>
      </c>
      <c r="K109" s="2875">
        <v>0</v>
      </c>
      <c r="L109" s="2877">
        <v>0</v>
      </c>
      <c r="M109" s="2878">
        <v>0</v>
      </c>
      <c r="N109" s="2878">
        <v>0</v>
      </c>
      <c r="O109" s="2877">
        <v>0</v>
      </c>
      <c r="P109" s="2878">
        <v>0</v>
      </c>
      <c r="Q109" s="2878">
        <v>0</v>
      </c>
      <c r="R109" s="2878">
        <v>0</v>
      </c>
      <c r="S109" s="2878">
        <v>0</v>
      </c>
      <c r="T109" s="426" t="s">
        <v>2129</v>
      </c>
      <c r="U109" s="420"/>
      <c r="V109" s="3341"/>
      <c r="W109" s="478" t="s">
        <v>2134</v>
      </c>
      <c r="X109" s="479">
        <v>0</v>
      </c>
      <c r="Y109" s="3365"/>
      <c r="Z109" s="3343" t="str">
        <f>IFERROR(VLOOKUP($V109,[53]競技情報DB!$A$6:$H$181,3,),"－")</f>
        <v>－</v>
      </c>
      <c r="AA109" s="3354"/>
      <c r="AB109" s="3355"/>
      <c r="AC109" s="3670" t="str">
        <f>IFERROR(VLOOKUP($V109,[53]アジア練習会場!$A$3:$E$107,2,),"－")</f>
        <v>－</v>
      </c>
      <c r="AD109" s="3646"/>
      <c r="AE109" s="3647"/>
      <c r="AF109" s="3670" t="str">
        <f>IFERROR(VLOOKUP($V109,[53]アジア練習会場!$A$3:$E$107,3,),"－")</f>
        <v>－</v>
      </c>
      <c r="AG109" s="3671"/>
      <c r="AH109" s="3672"/>
      <c r="AI109" s="3673" t="str">
        <f>IFERROR(VLOOKUP($V109,[53]アジア練習会場!$A$3:$E$107,4,),"－")</f>
        <v>－</v>
      </c>
      <c r="AJ109" s="3671"/>
      <c r="AK109" s="3672"/>
      <c r="AL109" s="3673" t="str">
        <f>IFERROR(VLOOKUP($V109,[53]アジア練習会場!$A$3:$E$107,5,),"－")</f>
        <v>－</v>
      </c>
      <c r="AM109" s="3671"/>
      <c r="AN109" s="3674"/>
      <c r="AO109" s="3755"/>
      <c r="AP109" s="3755"/>
      <c r="AQ109" s="3756"/>
      <c r="AR109" s="3650"/>
      <c r="AS109" s="652"/>
      <c r="AT109" s="3651"/>
      <c r="AU109" s="443"/>
      <c r="AV109" s="443"/>
      <c r="AW109" s="443"/>
      <c r="AX109" s="448"/>
      <c r="AY109" s="445"/>
      <c r="AZ109" s="445"/>
      <c r="BA109" s="445"/>
      <c r="BB109" s="445"/>
      <c r="BC109" s="445"/>
      <c r="BD109" s="445"/>
      <c r="BE109" s="445"/>
      <c r="BF109" s="445"/>
      <c r="BG109" s="445"/>
      <c r="BH109" s="445"/>
      <c r="BI109" s="445"/>
      <c r="BJ109" s="445"/>
      <c r="BK109" s="445"/>
      <c r="BL109" s="445"/>
      <c r="BM109" s="445"/>
      <c r="BN109" s="445"/>
      <c r="BO109" s="445"/>
      <c r="BP109" s="445"/>
      <c r="BQ109" s="445"/>
      <c r="BR109" s="506"/>
      <c r="BS109" s="445"/>
      <c r="BT109" s="445"/>
      <c r="BU109" s="445"/>
      <c r="BV109" s="445"/>
      <c r="BW109" s="445"/>
      <c r="BX109" s="445"/>
      <c r="BY109" s="445"/>
      <c r="BZ109" s="445"/>
      <c r="CA109" s="445"/>
      <c r="CB109" s="445"/>
      <c r="CC109" s="445"/>
      <c r="CD109" s="445"/>
      <c r="CE109" s="445"/>
      <c r="CF109" s="449"/>
      <c r="CG109" s="3712"/>
      <c r="CH109" s="3737"/>
      <c r="CI109" s="290"/>
      <c r="CJ109" s="450"/>
      <c r="CK109" s="451"/>
    </row>
    <row r="110" spans="1:89" ht="46" customHeight="1">
      <c r="A110" s="2862"/>
      <c r="B110" s="296"/>
      <c r="C110" s="372">
        <f>C108+1</f>
        <v>48</v>
      </c>
      <c r="D110" s="2871">
        <v>3036</v>
      </c>
      <c r="E110" s="6244" t="s">
        <v>6955</v>
      </c>
      <c r="F110" s="373" t="s">
        <v>6891</v>
      </c>
      <c r="G110" s="2872" t="s">
        <v>2129</v>
      </c>
      <c r="H110" s="2872" t="s">
        <v>2129</v>
      </c>
      <c r="I110" s="2872" t="s">
        <v>2129</v>
      </c>
      <c r="J110" s="2872" t="s">
        <v>2129</v>
      </c>
      <c r="K110" s="2872"/>
      <c r="L110" s="2873" t="s">
        <v>2129</v>
      </c>
      <c r="M110" s="2874" t="s">
        <v>2129</v>
      </c>
      <c r="N110" s="2874" t="s">
        <v>2129</v>
      </c>
      <c r="O110" s="2873" t="s">
        <v>2129</v>
      </c>
      <c r="P110" s="2874" t="s">
        <v>2129</v>
      </c>
      <c r="Q110" s="2874" t="s">
        <v>2129</v>
      </c>
      <c r="R110" s="2874" t="s">
        <v>2129</v>
      </c>
      <c r="S110" s="2874" t="s">
        <v>2129</v>
      </c>
      <c r="T110" s="377" t="s">
        <v>2133</v>
      </c>
      <c r="U110" s="372" t="s">
        <v>2169</v>
      </c>
      <c r="V110" s="387" t="s">
        <v>6892</v>
      </c>
      <c r="W110" s="388" t="s">
        <v>2419</v>
      </c>
      <c r="X110" s="389">
        <v>60</v>
      </c>
      <c r="Y110" s="3369">
        <f>SUM(X110:X111)</f>
        <v>60</v>
      </c>
      <c r="Z110" s="3322" t="str">
        <f>IFERROR(VLOOKUP($V110,[53]競技情報DB!$A$6:$H$181,3,),"－")</f>
        <v>－</v>
      </c>
      <c r="AA110" s="3323"/>
      <c r="AB110" s="3324"/>
      <c r="AC110" s="3638" t="str">
        <f>IFERROR(VLOOKUP($V110,[53]アジア練習会場!$A$3:$E$107,2,),"－")</f>
        <v>－</v>
      </c>
      <c r="AD110" s="3639">
        <v>5.8</v>
      </c>
      <c r="AE110" s="3640">
        <v>14</v>
      </c>
      <c r="AF110" s="3638" t="str">
        <f>IFERROR(VLOOKUP($V110,[53]アジア練習会場!$A$3:$E$107,3,),"－")</f>
        <v>－</v>
      </c>
      <c r="AG110" s="3639">
        <v>47.6</v>
      </c>
      <c r="AH110" s="3640">
        <v>48</v>
      </c>
      <c r="AI110" s="3641" t="str">
        <f>IFERROR(VLOOKUP($V110,[53]アジア練習会場!$A$3:$E$107,4,),"－")</f>
        <v>－</v>
      </c>
      <c r="AJ110" s="3663"/>
      <c r="AK110" s="3664"/>
      <c r="AL110" s="3641" t="str">
        <f>IFERROR(VLOOKUP($V110,[53]アジア練習会場!$A$3:$E$107,5,),"－")</f>
        <v>－</v>
      </c>
      <c r="AM110" s="3639"/>
      <c r="AN110" s="3642"/>
      <c r="AO110" s="3757" cm="1">
        <f t="array" ref="AO110">_xlfn.LET(
  _xlpm.rng, AX110:CF110,
  _xlpm.header, $AX$3:$CF$3,
  _xlpm.idx, _xlfn.XMATCH(TRUE, _xlpm.rng&lt;&gt;0),
  _xlpm.dt, INDEX(_xlpm.header, _xlpm.idx),
  IF(YEAR(_xlpm.dt)&lt;&gt;2026, DATE(2026, MONTH(_xlpm.dt), DAY(_xlpm.dt)), _xlpm.dt)
)</f>
        <v>46271</v>
      </c>
      <c r="AP110" s="3757" cm="1">
        <f t="array" ref="AP110">_xlfn.LET(
  _xlpm.rng, AX110:CF110,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46299</v>
      </c>
      <c r="AQ110" s="3758">
        <f>AP110-AO110</f>
        <v>28</v>
      </c>
      <c r="AR110" s="3660"/>
      <c r="AS110" s="656"/>
      <c r="AT110" s="3661"/>
      <c r="AU110" s="3853"/>
      <c r="AV110" s="3853"/>
      <c r="AW110" s="3853"/>
      <c r="AX110" s="696">
        <v>0</v>
      </c>
      <c r="AY110" s="398">
        <v>0</v>
      </c>
      <c r="AZ110" s="337">
        <v>2</v>
      </c>
      <c r="BA110" s="337">
        <v>2</v>
      </c>
      <c r="BB110" s="337">
        <v>2</v>
      </c>
      <c r="BC110" s="337">
        <v>2</v>
      </c>
      <c r="BD110" s="337">
        <v>2</v>
      </c>
      <c r="BE110" s="337">
        <v>2</v>
      </c>
      <c r="BF110" s="337">
        <v>12</v>
      </c>
      <c r="BG110" s="337">
        <v>29</v>
      </c>
      <c r="BH110" s="337">
        <v>29</v>
      </c>
      <c r="BI110" s="337">
        <v>29</v>
      </c>
      <c r="BJ110" s="337">
        <v>32</v>
      </c>
      <c r="BK110" s="337">
        <v>49</v>
      </c>
      <c r="BL110" s="337">
        <v>53</v>
      </c>
      <c r="BM110" s="337">
        <v>55</v>
      </c>
      <c r="BN110" s="337">
        <v>58</v>
      </c>
      <c r="BO110" s="337">
        <v>60</v>
      </c>
      <c r="BP110" s="337">
        <v>47</v>
      </c>
      <c r="BQ110" s="337">
        <v>47</v>
      </c>
      <c r="BR110" s="337">
        <v>52</v>
      </c>
      <c r="BS110" s="337">
        <v>44</v>
      </c>
      <c r="BT110" s="337">
        <v>42</v>
      </c>
      <c r="BU110" s="337">
        <v>42</v>
      </c>
      <c r="BV110" s="337">
        <v>42</v>
      </c>
      <c r="BW110" s="337">
        <v>42</v>
      </c>
      <c r="BX110" s="337">
        <v>42</v>
      </c>
      <c r="BY110" s="337">
        <v>42</v>
      </c>
      <c r="BZ110" s="337">
        <v>42</v>
      </c>
      <c r="CA110" s="337">
        <v>1</v>
      </c>
      <c r="CB110" s="337">
        <v>1</v>
      </c>
      <c r="CC110" s="398">
        <v>0</v>
      </c>
      <c r="CD110" s="398">
        <v>0</v>
      </c>
      <c r="CE110" s="398">
        <v>0</v>
      </c>
      <c r="CF110" s="472">
        <v>0</v>
      </c>
      <c r="CG110" s="3712"/>
      <c r="CH110" s="3738" cm="1">
        <f t="array" ref="CH110">SUM(IF(ISNUMBER($AX110:$CF110),$AX110:$CF110, 0))</f>
        <v>904</v>
      </c>
      <c r="CI110" s="290"/>
      <c r="CJ110" s="332"/>
      <c r="CK110" s="333"/>
    </row>
    <row r="111" spans="1:89" ht="46" customHeight="1">
      <c r="A111" s="2862"/>
      <c r="B111" s="296"/>
      <c r="C111" s="420"/>
      <c r="D111" s="421" t="s">
        <v>2129</v>
      </c>
      <c r="E111" s="426"/>
      <c r="F111" s="422"/>
      <c r="G111" s="2875">
        <v>0</v>
      </c>
      <c r="H111" s="2875">
        <v>0</v>
      </c>
      <c r="I111" s="2875">
        <v>0</v>
      </c>
      <c r="J111" s="2875">
        <v>0</v>
      </c>
      <c r="K111" s="2875">
        <v>0</v>
      </c>
      <c r="L111" s="2877">
        <v>0</v>
      </c>
      <c r="M111" s="2878">
        <v>0</v>
      </c>
      <c r="N111" s="2878">
        <v>0</v>
      </c>
      <c r="O111" s="2877">
        <v>0</v>
      </c>
      <c r="P111" s="2878">
        <v>0</v>
      </c>
      <c r="Q111" s="2878">
        <v>0</v>
      </c>
      <c r="R111" s="2878">
        <v>0</v>
      </c>
      <c r="S111" s="2878">
        <v>0</v>
      </c>
      <c r="T111" s="426" t="s">
        <v>2129</v>
      </c>
      <c r="U111" s="420"/>
      <c r="V111" s="3341"/>
      <c r="W111" s="478" t="s">
        <v>2134</v>
      </c>
      <c r="X111" s="479">
        <v>0</v>
      </c>
      <c r="Y111" s="3365"/>
      <c r="Z111" s="3343" t="str">
        <f>IFERROR(VLOOKUP($V111,[53]競技情報DB!$A$6:$H$181,3,),"－")</f>
        <v>－</v>
      </c>
      <c r="AA111" s="3354"/>
      <c r="AB111" s="3355"/>
      <c r="AC111" s="3670" t="str">
        <f>IFERROR(VLOOKUP($V111,[53]アジア練習会場!$A$3:$E$107,2,),"－")</f>
        <v>－</v>
      </c>
      <c r="AD111" s="3646"/>
      <c r="AE111" s="3647"/>
      <c r="AF111" s="3670" t="str">
        <f>IFERROR(VLOOKUP($V111,[53]アジア練習会場!$A$3:$E$107,3,),"－")</f>
        <v>－</v>
      </c>
      <c r="AG111" s="3671"/>
      <c r="AH111" s="3672"/>
      <c r="AI111" s="3673" t="str">
        <f>IFERROR(VLOOKUP($V111,[53]アジア練習会場!$A$3:$E$107,4,),"－")</f>
        <v>－</v>
      </c>
      <c r="AJ111" s="3671"/>
      <c r="AK111" s="3672"/>
      <c r="AL111" s="3673" t="str">
        <f>IFERROR(VLOOKUP($V111,[53]アジア練習会場!$A$3:$E$107,5,),"－")</f>
        <v>－</v>
      </c>
      <c r="AM111" s="3671"/>
      <c r="AN111" s="3674"/>
      <c r="AO111" s="3755"/>
      <c r="AP111" s="3755"/>
      <c r="AQ111" s="3756"/>
      <c r="AR111" s="3660"/>
      <c r="AS111" s="656"/>
      <c r="AT111" s="3661"/>
      <c r="AU111" s="3853"/>
      <c r="AV111" s="3853"/>
      <c r="AW111" s="3853"/>
      <c r="AX111" s="6100"/>
      <c r="AY111" s="519"/>
      <c r="AZ111" s="519"/>
      <c r="BA111" s="519"/>
      <c r="BB111" s="519"/>
      <c r="BC111" s="519"/>
      <c r="BD111" s="519"/>
      <c r="BE111" s="519"/>
      <c r="BF111" s="519"/>
      <c r="BG111" s="519"/>
      <c r="BH111" s="519"/>
      <c r="BI111" s="519"/>
      <c r="BJ111" s="519"/>
      <c r="BK111" s="519"/>
      <c r="BL111" s="519"/>
      <c r="BM111" s="519"/>
      <c r="BN111" s="519"/>
      <c r="BO111" s="519"/>
      <c r="BP111" s="519"/>
      <c r="BQ111" s="519"/>
      <c r="BR111" s="519"/>
      <c r="BS111" s="519"/>
      <c r="BT111" s="519"/>
      <c r="BU111" s="519"/>
      <c r="BV111" s="519"/>
      <c r="BW111" s="519"/>
      <c r="BX111" s="519"/>
      <c r="BY111" s="519"/>
      <c r="BZ111" s="519"/>
      <c r="CA111" s="519"/>
      <c r="CB111" s="519"/>
      <c r="CC111" s="519"/>
      <c r="CD111" s="519"/>
      <c r="CE111" s="519"/>
      <c r="CF111" s="520"/>
      <c r="CG111" s="3712"/>
      <c r="CH111" s="3737"/>
      <c r="CI111" s="290"/>
      <c r="CJ111" s="332"/>
      <c r="CK111" s="333"/>
    </row>
    <row r="112" spans="1:89" s="564" customFormat="1" ht="46" customHeight="1">
      <c r="A112" s="2862"/>
      <c r="B112" s="2863" t="s">
        <v>3621</v>
      </c>
      <c r="C112" s="372">
        <f>C110+1</f>
        <v>49</v>
      </c>
      <c r="D112" s="2871">
        <v>2048</v>
      </c>
      <c r="E112" s="6244" t="s">
        <v>6955</v>
      </c>
      <c r="F112" s="373" t="s">
        <v>3623</v>
      </c>
      <c r="G112" s="2872" t="s">
        <v>2129</v>
      </c>
      <c r="H112" s="2872" t="s">
        <v>2129</v>
      </c>
      <c r="I112" s="2872" t="s">
        <v>2129</v>
      </c>
      <c r="J112" s="2872" t="s">
        <v>2129</v>
      </c>
      <c r="K112" s="2872">
        <v>142</v>
      </c>
      <c r="L112" s="2873" t="s">
        <v>2129</v>
      </c>
      <c r="M112" s="2874" t="s">
        <v>2129</v>
      </c>
      <c r="N112" s="2874" t="s">
        <v>2129</v>
      </c>
      <c r="O112" s="2873" t="s">
        <v>2129</v>
      </c>
      <c r="P112" s="2874" t="s">
        <v>2129</v>
      </c>
      <c r="Q112" s="2874" t="s">
        <v>2129</v>
      </c>
      <c r="R112" s="2874" t="s">
        <v>2129</v>
      </c>
      <c r="S112" s="2874" t="s">
        <v>2129</v>
      </c>
      <c r="T112" s="377" t="s">
        <v>2133</v>
      </c>
      <c r="U112" s="372" t="s">
        <v>2169</v>
      </c>
      <c r="V112" s="387" t="s">
        <v>2422</v>
      </c>
      <c r="W112" s="388" t="s">
        <v>2419</v>
      </c>
      <c r="X112" s="389">
        <v>76</v>
      </c>
      <c r="Y112" s="3369">
        <f>SUM(X112:X114)</f>
        <v>142</v>
      </c>
      <c r="Z112" s="3322" t="str">
        <f>IFERROR(VLOOKUP($V112,[53]競技情報DB!$A$6:$H$181,3,),"－")</f>
        <v>東京アクアティクスセンター</v>
      </c>
      <c r="AA112" s="3323"/>
      <c r="AB112" s="3324"/>
      <c r="AC112" s="3638" t="str">
        <f>IFERROR(VLOOKUP($V112,[53]アジア練習会場!$A$3:$E$107,2,),"－")</f>
        <v>競技会場に設置</v>
      </c>
      <c r="AD112" s="3639">
        <v>9.3000000000000007</v>
      </c>
      <c r="AE112" s="3640">
        <v>24</v>
      </c>
      <c r="AF112" s="3638" t="str">
        <f>IFERROR(VLOOKUP($V112,[53]アジア練習会場!$A$3:$E$107,3,),"－")</f>
        <v>ー</v>
      </c>
      <c r="AG112" s="3639"/>
      <c r="AH112" s="3640"/>
      <c r="AI112" s="3641" t="str">
        <f>IFERROR(VLOOKUP($V112,[53]アジア練習会場!$A$3:$E$107,4,),"－")</f>
        <v>ー</v>
      </c>
      <c r="AJ112" s="3639"/>
      <c r="AK112" s="3640"/>
      <c r="AL112" s="3641" t="str">
        <f>IFERROR(VLOOKUP($V112,[53]アジア練習会場!$A$3:$E$107,5,),"－")</f>
        <v>ー</v>
      </c>
      <c r="AM112" s="3639"/>
      <c r="AN112" s="3642"/>
      <c r="AO112" s="3757" cm="1">
        <f t="array" ref="AO112">_xlfn.LET(
  _xlpm.rng, AX112:CF112,
  _xlpm.header, $AX$3:$CF$3,
  _xlpm.idx, _xlfn.XMATCH(TRUE, _xlpm.rng&lt;&gt;0),
  _xlpm.dt, INDEX(_xlpm.header, _xlpm.idx),
  IF(YEAR(_xlpm.dt)&lt;&gt;2026, DATE(2026, MONTH(_xlpm.dt), DAY(_xlpm.dt)), _xlpm.dt)
)</f>
        <v>46277</v>
      </c>
      <c r="AP112" s="3757" cm="1">
        <f t="array" ref="AP112">_xlfn.LET(
  _xlpm.rng, AX112:CF112,
  _xlpm.header, $AX$3:$CF$3,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46297</v>
      </c>
      <c r="AQ112" s="3758">
        <f>AP112-AO112</f>
        <v>20</v>
      </c>
      <c r="AR112" s="3660" t="e">
        <f>$H112-MAX(AX112:CF112)</f>
        <v>#VALUE!</v>
      </c>
      <c r="AS112" s="647" t="e">
        <f>+AR112/$H112</f>
        <v>#VALUE!</v>
      </c>
      <c r="AT112" s="3644" t="str">
        <f>F112&amp;"　"&amp;"合計"</f>
        <v>東京イーストサイドホテル櫂会　合計</v>
      </c>
      <c r="AU112" s="395"/>
      <c r="AV112" s="395"/>
      <c r="AW112" s="395"/>
      <c r="AX112" s="696">
        <v>0</v>
      </c>
      <c r="AY112" s="398">
        <v>0</v>
      </c>
      <c r="AZ112" s="398">
        <v>0</v>
      </c>
      <c r="BA112" s="398">
        <v>0</v>
      </c>
      <c r="BB112" s="398">
        <v>0</v>
      </c>
      <c r="BC112" s="398">
        <v>0</v>
      </c>
      <c r="BD112" s="398">
        <v>0</v>
      </c>
      <c r="BE112" s="398">
        <v>0</v>
      </c>
      <c r="BF112" s="398">
        <v>28</v>
      </c>
      <c r="BG112" s="398">
        <v>28</v>
      </c>
      <c r="BH112" s="398">
        <v>28</v>
      </c>
      <c r="BI112" s="398">
        <v>29</v>
      </c>
      <c r="BJ112" s="398">
        <v>29</v>
      </c>
      <c r="BK112" s="398">
        <v>104</v>
      </c>
      <c r="BL112" s="398">
        <v>104</v>
      </c>
      <c r="BM112" s="398">
        <v>104</v>
      </c>
      <c r="BN112" s="398">
        <v>104</v>
      </c>
      <c r="BO112" s="398">
        <v>105</v>
      </c>
      <c r="BP112" s="398">
        <v>127</v>
      </c>
      <c r="BQ112" s="398">
        <v>142</v>
      </c>
      <c r="BR112" s="398">
        <v>142</v>
      </c>
      <c r="BS112" s="398">
        <v>142</v>
      </c>
      <c r="BT112" s="398">
        <v>142</v>
      </c>
      <c r="BU112" s="398">
        <v>66</v>
      </c>
      <c r="BV112" s="398">
        <v>66</v>
      </c>
      <c r="BW112" s="398">
        <v>66</v>
      </c>
      <c r="BX112" s="398">
        <v>66</v>
      </c>
      <c r="BY112" s="398">
        <v>66</v>
      </c>
      <c r="BZ112" s="398">
        <v>28</v>
      </c>
      <c r="CA112" s="398">
        <v>0</v>
      </c>
      <c r="CB112" s="398">
        <v>0</v>
      </c>
      <c r="CC112" s="398">
        <v>0</v>
      </c>
      <c r="CD112" s="398">
        <v>0</v>
      </c>
      <c r="CE112" s="398">
        <v>0</v>
      </c>
      <c r="CF112" s="472">
        <v>0</v>
      </c>
      <c r="CG112" s="3712"/>
      <c r="CH112" s="3737" cm="1">
        <f t="array" ref="CH112">SUM(IF(ISNUMBER($AX112:$CF112),$AX112:$CF112, 0))</f>
        <v>1716</v>
      </c>
      <c r="CI112" s="290"/>
      <c r="CJ112" s="404"/>
      <c r="CK112" s="405"/>
    </row>
    <row r="113" spans="1:89" ht="46" customHeight="1">
      <c r="A113" s="2862"/>
      <c r="B113" s="2863"/>
      <c r="C113" s="296"/>
      <c r="D113" s="297"/>
      <c r="E113" s="302"/>
      <c r="F113" s="298"/>
      <c r="G113" s="2864"/>
      <c r="H113" s="2864"/>
      <c r="I113" s="2864">
        <v>0</v>
      </c>
      <c r="J113" s="2864">
        <v>0</v>
      </c>
      <c r="K113" s="2864">
        <v>0</v>
      </c>
      <c r="L113" s="2865"/>
      <c r="M113" s="2866"/>
      <c r="N113" s="2866"/>
      <c r="O113" s="2865"/>
      <c r="P113" s="2866"/>
      <c r="Q113" s="2866"/>
      <c r="R113" s="2866"/>
      <c r="S113" s="2866"/>
      <c r="T113" s="302" t="s">
        <v>2129</v>
      </c>
      <c r="U113" s="296"/>
      <c r="V113" s="413" t="s">
        <v>2425</v>
      </c>
      <c r="W113" s="313" t="s">
        <v>2419</v>
      </c>
      <c r="X113" s="314">
        <v>38</v>
      </c>
      <c r="Y113" s="315"/>
      <c r="Z113" s="3308" t="str">
        <f>IFERROR(VLOOKUP($V113,[53]競技情報DB!$A$6:$H$181,3,),"－")</f>
        <v>東京アクアティクスセンター</v>
      </c>
      <c r="AA113" s="3316"/>
      <c r="AB113" s="3317"/>
      <c r="AC113" s="3652" t="str">
        <f>IFERROR(VLOOKUP($V113,[53]アジア練習会場!$A$3:$E$107,2,),"－")</f>
        <v>競技会場に設置</v>
      </c>
      <c r="AD113" s="3653">
        <v>5.7</v>
      </c>
      <c r="AE113" s="3654">
        <v>15</v>
      </c>
      <c r="AF113" s="3655" t="str">
        <f>IFERROR(VLOOKUP($V113,[53]アジア練習会場!$A$3:$E$107,3,),"－")</f>
        <v>ー</v>
      </c>
      <c r="AG113" s="3656">
        <v>16.100000000000001</v>
      </c>
      <c r="AH113" s="3657">
        <v>30</v>
      </c>
      <c r="AI113" s="3658" t="str">
        <f>IFERROR(VLOOKUP($V113,[53]アジア練習会場!$A$3:$E$107,4,),"－")</f>
        <v>ー</v>
      </c>
      <c r="AJ113" s="3656"/>
      <c r="AK113" s="3657"/>
      <c r="AL113" s="3658" t="str">
        <f>IFERROR(VLOOKUP($V113,[53]アジア練習会場!$A$3:$E$107,5,),"－")</f>
        <v>ー</v>
      </c>
      <c r="AM113" s="3656"/>
      <c r="AN113" s="3659"/>
      <c r="AO113" s="3759"/>
      <c r="AP113" s="3759"/>
      <c r="AQ113" s="3760"/>
      <c r="AR113" s="3660"/>
      <c r="AS113" s="311"/>
      <c r="AT113" s="3661"/>
      <c r="AU113" s="3853"/>
      <c r="AV113" s="3853"/>
      <c r="AW113" s="3853"/>
      <c r="AX113" s="339"/>
      <c r="AY113" s="336"/>
      <c r="AZ113" s="336"/>
      <c r="BA113" s="336"/>
      <c r="BB113" s="336"/>
      <c r="BC113" s="336"/>
      <c r="BD113" s="336"/>
      <c r="BE113" s="336"/>
      <c r="BF113" s="336"/>
      <c r="BG113" s="336"/>
      <c r="BH113" s="336"/>
      <c r="BI113" s="336"/>
      <c r="BJ113" s="336"/>
      <c r="BK113" s="336"/>
      <c r="BL113" s="336"/>
      <c r="BM113" s="336"/>
      <c r="BN113" s="336"/>
      <c r="BO113" s="336"/>
      <c r="BP113" s="336"/>
      <c r="BQ113" s="336"/>
      <c r="BR113" s="336"/>
      <c r="BS113" s="336"/>
      <c r="BT113" s="336"/>
      <c r="BU113" s="336"/>
      <c r="BV113" s="336"/>
      <c r="BW113" s="336"/>
      <c r="BX113" s="336"/>
      <c r="BY113" s="336"/>
      <c r="BZ113" s="336"/>
      <c r="CA113" s="336"/>
      <c r="CB113" s="336"/>
      <c r="CC113" s="336"/>
      <c r="CD113" s="336"/>
      <c r="CE113" s="336"/>
      <c r="CF113" s="340"/>
      <c r="CG113" s="3712"/>
      <c r="CH113" s="3737"/>
      <c r="CI113" s="290"/>
      <c r="CJ113" s="332"/>
      <c r="CK113" s="333"/>
    </row>
    <row r="114" spans="1:89" s="521" customFormat="1" ht="46" customHeight="1" thickBot="1">
      <c r="A114" s="2862"/>
      <c r="B114" s="420"/>
      <c r="C114" s="420"/>
      <c r="D114" s="421" t="s">
        <v>2129</v>
      </c>
      <c r="E114" s="426"/>
      <c r="F114" s="422"/>
      <c r="G114" s="2875">
        <v>0</v>
      </c>
      <c r="H114" s="2875">
        <v>0</v>
      </c>
      <c r="I114" s="2864">
        <v>0</v>
      </c>
      <c r="J114" s="2864">
        <v>0</v>
      </c>
      <c r="K114" s="2864">
        <v>0</v>
      </c>
      <c r="L114" s="2865">
        <v>0</v>
      </c>
      <c r="M114" s="2866">
        <v>0</v>
      </c>
      <c r="N114" s="2866">
        <v>0</v>
      </c>
      <c r="O114" s="2865">
        <v>0</v>
      </c>
      <c r="P114" s="2878">
        <v>0</v>
      </c>
      <c r="Q114" s="2878">
        <v>0</v>
      </c>
      <c r="R114" s="2878">
        <v>0</v>
      </c>
      <c r="S114" s="2878">
        <v>0</v>
      </c>
      <c r="T114" s="426" t="s">
        <v>2129</v>
      </c>
      <c r="U114" s="420"/>
      <c r="V114" s="3341" t="s">
        <v>3624</v>
      </c>
      <c r="W114" s="478">
        <v>0</v>
      </c>
      <c r="X114" s="479">
        <v>28</v>
      </c>
      <c r="Y114" s="3365"/>
      <c r="Z114" s="3343">
        <f>IFERROR(VLOOKUP($V114,[53]競技情報DB!$A$6:$H$181,3,),"－")</f>
        <v>0</v>
      </c>
      <c r="AA114" s="3354"/>
      <c r="AB114" s="3355"/>
      <c r="AC114" s="3670" t="str">
        <f>IFERROR(VLOOKUP($V114,[53]アジア練習会場!$A$3:$E$107,2,),"－")</f>
        <v>－</v>
      </c>
      <c r="AD114" s="3646"/>
      <c r="AE114" s="3647"/>
      <c r="AF114" s="3670" t="str">
        <f>IFERROR(VLOOKUP($V114,[53]アジア練習会場!$A$3:$E$107,3,),"－")</f>
        <v>－</v>
      </c>
      <c r="AG114" s="3671"/>
      <c r="AH114" s="3672"/>
      <c r="AI114" s="3673" t="str">
        <f>IFERROR(VLOOKUP($V114,[53]アジア練習会場!$A$3:$E$107,4,),"－")</f>
        <v>－</v>
      </c>
      <c r="AJ114" s="3671"/>
      <c r="AK114" s="3672"/>
      <c r="AL114" s="3673" t="str">
        <f>IFERROR(VLOOKUP($V114,[53]アジア練習会場!$A$3:$E$107,5,),"－")</f>
        <v>－</v>
      </c>
      <c r="AM114" s="3671"/>
      <c r="AN114" s="3674"/>
      <c r="AO114" s="3755"/>
      <c r="AP114" s="3755"/>
      <c r="AQ114" s="3756"/>
      <c r="AR114" s="3650"/>
      <c r="AS114" s="652"/>
      <c r="AT114" s="3651"/>
      <c r="AU114" s="443"/>
      <c r="AV114" s="443"/>
      <c r="AW114" s="443"/>
      <c r="AX114" s="448"/>
      <c r="AY114" s="445"/>
      <c r="AZ114" s="445"/>
      <c r="BA114" s="445"/>
      <c r="BB114" s="445"/>
      <c r="BC114" s="445"/>
      <c r="BD114" s="445"/>
      <c r="BE114" s="445"/>
      <c r="BF114" s="445"/>
      <c r="BG114" s="445"/>
      <c r="BH114" s="445"/>
      <c r="BI114" s="445"/>
      <c r="BJ114" s="445"/>
      <c r="BK114" s="445"/>
      <c r="BL114" s="445"/>
      <c r="BM114" s="445"/>
      <c r="BN114" s="445"/>
      <c r="BO114" s="445"/>
      <c r="BP114" s="445"/>
      <c r="BQ114" s="445"/>
      <c r="BR114" s="445"/>
      <c r="BS114" s="445"/>
      <c r="BT114" s="445"/>
      <c r="BU114" s="445"/>
      <c r="BV114" s="445"/>
      <c r="BW114" s="445"/>
      <c r="BX114" s="445"/>
      <c r="BY114" s="445"/>
      <c r="BZ114" s="445"/>
      <c r="CA114" s="445"/>
      <c r="CB114" s="445"/>
      <c r="CC114" s="445"/>
      <c r="CD114" s="445"/>
      <c r="CE114" s="445"/>
      <c r="CF114" s="449"/>
      <c r="CG114" s="3712"/>
      <c r="CH114" s="3737"/>
      <c r="CI114" s="290"/>
      <c r="CJ114" s="450"/>
      <c r="CK114" s="451"/>
    </row>
    <row r="115" spans="1:89" s="786" customFormat="1" ht="45.75" customHeight="1" thickBot="1">
      <c r="A115" s="775"/>
      <c r="B115" s="775"/>
      <c r="C115" s="775"/>
      <c r="D115" s="775"/>
      <c r="E115" s="775"/>
      <c r="F115" s="776"/>
      <c r="G115" s="818"/>
      <c r="H115" s="818"/>
      <c r="I115" s="6578" t="s">
        <v>3625</v>
      </c>
      <c r="J115" s="6579"/>
      <c r="K115" s="6579"/>
      <c r="L115" s="6579"/>
      <c r="M115" s="6579"/>
      <c r="N115" s="6579"/>
      <c r="O115" s="6580"/>
      <c r="P115" s="6391" t="s">
        <v>2887</v>
      </c>
      <c r="Q115" s="6391"/>
      <c r="R115" s="6391"/>
      <c r="S115" s="6392"/>
      <c r="T115" s="3725">
        <f>COUNTIF(T$5:U$14,"○")</f>
        <v>4</v>
      </c>
      <c r="U115" s="775"/>
      <c r="V115" s="3726">
        <f>SUM(Y5:Z45)</f>
        <v>2163</v>
      </c>
      <c r="X115" s="782"/>
      <c r="Y115" s="783"/>
      <c r="Z115" s="3476"/>
      <c r="AA115" s="3477"/>
      <c r="AB115" s="3477"/>
      <c r="AC115" s="3476"/>
      <c r="AD115" s="3477"/>
      <c r="AE115" s="3477"/>
      <c r="AF115" s="3476"/>
      <c r="AG115" s="3477"/>
      <c r="AH115" s="3477"/>
      <c r="AI115" s="3476"/>
      <c r="AJ115" s="3477"/>
      <c r="AK115" s="3477"/>
      <c r="AL115" s="3476"/>
      <c r="AM115" s="3477"/>
      <c r="AN115" s="3477"/>
      <c r="AO115" s="3477"/>
      <c r="AP115" s="3477"/>
      <c r="AQ115" s="3477"/>
      <c r="AR115" s="784"/>
      <c r="AS115" s="784"/>
      <c r="AT115" s="785"/>
      <c r="AU115" s="785"/>
      <c r="AV115" s="785"/>
      <c r="AW115" s="785"/>
      <c r="AX115" s="801">
        <f t="shared" ref="AX115:CF115" si="0">SUM(AX5:AX114)</f>
        <v>0</v>
      </c>
      <c r="AY115" s="801">
        <f t="shared" si="0"/>
        <v>191</v>
      </c>
      <c r="AZ115" s="801">
        <f t="shared" si="0"/>
        <v>196</v>
      </c>
      <c r="BA115" s="801">
        <f t="shared" si="0"/>
        <v>282</v>
      </c>
      <c r="BB115" s="801">
        <f t="shared" si="0"/>
        <v>296</v>
      </c>
      <c r="BC115" s="801">
        <f t="shared" si="0"/>
        <v>344</v>
      </c>
      <c r="BD115" s="801">
        <f t="shared" si="0"/>
        <v>431</v>
      </c>
      <c r="BE115" s="801">
        <f t="shared" si="0"/>
        <v>506</v>
      </c>
      <c r="BF115" s="801">
        <f t="shared" si="0"/>
        <v>575</v>
      </c>
      <c r="BG115" s="801">
        <f t="shared" si="0"/>
        <v>797</v>
      </c>
      <c r="BH115" s="801">
        <f t="shared" si="0"/>
        <v>829</v>
      </c>
      <c r="BI115" s="801">
        <f t="shared" si="0"/>
        <v>1090</v>
      </c>
      <c r="BJ115" s="801">
        <f t="shared" si="0"/>
        <v>1390</v>
      </c>
      <c r="BK115" s="801">
        <f t="shared" si="0"/>
        <v>2305</v>
      </c>
      <c r="BL115" s="801">
        <f t="shared" si="0"/>
        <v>2509</v>
      </c>
      <c r="BM115" s="801">
        <f t="shared" si="0"/>
        <v>2641</v>
      </c>
      <c r="BN115" s="801">
        <f t="shared" si="0"/>
        <v>3182</v>
      </c>
      <c r="BO115" s="801">
        <f t="shared" si="0"/>
        <v>3205</v>
      </c>
      <c r="BP115" s="801">
        <f t="shared" si="0"/>
        <v>3230</v>
      </c>
      <c r="BQ115" s="801">
        <f t="shared" si="0"/>
        <v>3459</v>
      </c>
      <c r="BR115" s="801">
        <f t="shared" si="0"/>
        <v>3519</v>
      </c>
      <c r="BS115" s="801">
        <f t="shared" si="0"/>
        <v>3409</v>
      </c>
      <c r="BT115" s="801">
        <f t="shared" si="0"/>
        <v>3382</v>
      </c>
      <c r="BU115" s="801">
        <f t="shared" si="0"/>
        <v>3325</v>
      </c>
      <c r="BV115" s="801">
        <f t="shared" si="0"/>
        <v>3339</v>
      </c>
      <c r="BW115" s="801">
        <f t="shared" si="0"/>
        <v>3135</v>
      </c>
      <c r="BX115" s="801">
        <f t="shared" si="0"/>
        <v>3009</v>
      </c>
      <c r="BY115" s="801">
        <f t="shared" si="0"/>
        <v>2309</v>
      </c>
      <c r="BZ115" s="801">
        <f t="shared" si="0"/>
        <v>2265</v>
      </c>
      <c r="CA115" s="801">
        <f t="shared" si="0"/>
        <v>2109</v>
      </c>
      <c r="CB115" s="801">
        <f t="shared" si="0"/>
        <v>1689</v>
      </c>
      <c r="CC115" s="801">
        <f t="shared" si="0"/>
        <v>315</v>
      </c>
      <c r="CD115" s="801">
        <f t="shared" si="0"/>
        <v>30</v>
      </c>
      <c r="CE115" s="801">
        <f t="shared" si="0"/>
        <v>30</v>
      </c>
      <c r="CF115" s="805">
        <f t="shared" si="0"/>
        <v>0</v>
      </c>
      <c r="CG115" s="3735"/>
      <c r="CH115" s="3739"/>
      <c r="CI115" s="782"/>
      <c r="CJ115" s="782"/>
      <c r="CK115" s="782"/>
    </row>
    <row r="116" spans="1:89" s="786" customFormat="1" ht="45.75" customHeight="1" thickTop="1">
      <c r="A116" s="775"/>
      <c r="B116" s="775"/>
      <c r="C116" s="775"/>
      <c r="D116" s="775"/>
      <c r="E116" s="775"/>
      <c r="F116" s="776"/>
      <c r="G116" s="818"/>
      <c r="H116" s="818"/>
      <c r="I116" s="6581"/>
      <c r="J116" s="6582"/>
      <c r="K116" s="6582"/>
      <c r="L116" s="6582"/>
      <c r="M116" s="6582"/>
      <c r="N116" s="6582"/>
      <c r="O116" s="6583"/>
      <c r="P116" s="6371" t="s">
        <v>2429</v>
      </c>
      <c r="Q116" s="6371"/>
      <c r="R116" s="6371"/>
      <c r="S116" s="6372"/>
      <c r="T116" s="795">
        <f>COUNTIF(T$15:T$76,"○")</f>
        <v>17</v>
      </c>
      <c r="U116" s="3727"/>
      <c r="V116" s="3728">
        <f>SUM(Y46:Y91)</f>
        <v>1694</v>
      </c>
      <c r="W116" s="3727"/>
      <c r="X116" s="3727"/>
      <c r="Y116" s="3727"/>
      <c r="Z116" s="3727"/>
      <c r="AA116" s="3477"/>
      <c r="AB116" s="3477"/>
      <c r="AC116" s="3476"/>
      <c r="AD116" s="3477"/>
      <c r="AE116" s="3477"/>
      <c r="AF116" s="3476"/>
      <c r="AG116" s="3477"/>
      <c r="AH116" s="3477"/>
      <c r="AI116" s="3476"/>
      <c r="AJ116" s="3477"/>
      <c r="AK116" s="3477"/>
      <c r="AL116" s="3476"/>
      <c r="AM116" s="3477"/>
      <c r="AN116" s="3477"/>
      <c r="AO116" s="3477"/>
      <c r="AP116" s="3477"/>
      <c r="AQ116" s="3477"/>
      <c r="AR116" s="784"/>
      <c r="AS116" s="784"/>
      <c r="AT116" s="785"/>
      <c r="AU116" s="785"/>
      <c r="AV116" s="785"/>
      <c r="AW116" s="785"/>
      <c r="AX116" s="783"/>
      <c r="AY116" s="810"/>
      <c r="AZ116" s="810"/>
      <c r="BA116" s="783"/>
      <c r="BB116" s="783"/>
      <c r="BC116" s="783"/>
      <c r="BD116" s="783"/>
      <c r="BE116" s="783"/>
      <c r="BF116" s="810"/>
      <c r="BG116" s="810"/>
      <c r="BH116" s="783"/>
      <c r="BI116" s="783"/>
      <c r="BJ116" s="783"/>
      <c r="BK116" s="783"/>
      <c r="BL116" s="783"/>
      <c r="BM116" s="810"/>
      <c r="BN116" s="810"/>
      <c r="BO116" s="810"/>
      <c r="BP116" s="783"/>
      <c r="BQ116" s="810"/>
      <c r="BR116" s="783"/>
      <c r="BS116" s="783"/>
      <c r="BT116" s="810"/>
      <c r="BU116" s="810"/>
      <c r="BV116" s="783"/>
      <c r="BW116" s="783"/>
      <c r="BX116" s="783"/>
      <c r="BY116" s="783"/>
      <c r="BZ116" s="783"/>
      <c r="CA116" s="810"/>
      <c r="CB116" s="810"/>
      <c r="CC116" s="783"/>
      <c r="CD116" s="783"/>
      <c r="CE116" s="783"/>
      <c r="CF116" s="811"/>
      <c r="CG116" s="811"/>
      <c r="CH116" s="3740"/>
      <c r="CI116" s="782"/>
      <c r="CJ116" s="782"/>
      <c r="CK116" s="782"/>
    </row>
    <row r="117" spans="1:89" s="786" customFormat="1" ht="45.75" customHeight="1" thickBot="1">
      <c r="A117" s="775"/>
      <c r="B117" s="775"/>
      <c r="C117" s="775"/>
      <c r="D117" s="775"/>
      <c r="E117" s="775"/>
      <c r="F117" s="776"/>
      <c r="G117" s="776"/>
      <c r="H117" s="776"/>
      <c r="I117" s="6581"/>
      <c r="J117" s="6582"/>
      <c r="K117" s="6582"/>
      <c r="L117" s="6582"/>
      <c r="M117" s="6582"/>
      <c r="N117" s="6582"/>
      <c r="O117" s="6583"/>
      <c r="P117" s="6374" t="s">
        <v>2430</v>
      </c>
      <c r="Q117" s="6374"/>
      <c r="R117" s="6374"/>
      <c r="S117" s="6375"/>
      <c r="T117" s="806">
        <f>COUNTIF(T$77:T$114,"○")</f>
        <v>13</v>
      </c>
      <c r="U117" s="3727"/>
      <c r="V117" s="3729">
        <f>SUM(Y92:Z114)</f>
        <v>527</v>
      </c>
      <c r="X117" s="782"/>
      <c r="Y117" s="783"/>
      <c r="Z117" s="3476"/>
      <c r="AA117" s="3477"/>
      <c r="AB117" s="3477"/>
      <c r="AC117" s="3476"/>
      <c r="AD117" s="3477"/>
      <c r="AE117" s="3477"/>
      <c r="AF117" s="3476"/>
      <c r="AG117" s="3477"/>
      <c r="AH117" s="3477"/>
      <c r="AI117" s="3476"/>
      <c r="AJ117" s="3477"/>
      <c r="AK117" s="3477"/>
      <c r="AL117" s="3476"/>
      <c r="AM117" s="3477"/>
      <c r="AN117" s="3477"/>
      <c r="AO117" s="3477"/>
      <c r="AP117" s="3477"/>
      <c r="AQ117" s="3477"/>
      <c r="AR117" s="784"/>
      <c r="AS117" s="784"/>
      <c r="AT117" s="785"/>
      <c r="AU117" s="785"/>
      <c r="AV117" s="785"/>
      <c r="AW117" s="785"/>
      <c r="AX117" s="783"/>
      <c r="AY117" s="810"/>
      <c r="AZ117" s="810"/>
      <c r="BA117" s="783"/>
      <c r="BB117" s="783"/>
      <c r="BC117" s="783"/>
      <c r="BD117" s="783"/>
      <c r="BE117" s="783"/>
      <c r="BF117" s="810"/>
      <c r="BG117" s="810"/>
      <c r="BH117" s="783"/>
      <c r="BI117" s="783"/>
      <c r="BJ117" s="783"/>
      <c r="BK117" s="783"/>
      <c r="BL117" s="783"/>
      <c r="BM117" s="810"/>
      <c r="BN117" s="810"/>
      <c r="BO117" s="810"/>
      <c r="BP117" s="783"/>
      <c r="BQ117" s="810"/>
      <c r="BR117" s="783"/>
      <c r="BS117" s="783"/>
      <c r="BT117" s="810"/>
      <c r="BU117" s="810"/>
      <c r="BV117" s="783"/>
      <c r="BW117" s="783"/>
      <c r="BX117" s="783"/>
      <c r="BY117" s="783"/>
      <c r="BZ117" s="783"/>
      <c r="CA117" s="810"/>
      <c r="CB117" s="810"/>
      <c r="CC117" s="783"/>
      <c r="CD117" s="783"/>
      <c r="CE117" s="783"/>
      <c r="CF117" s="811"/>
      <c r="CG117" s="811"/>
      <c r="CH117" s="3740"/>
      <c r="CI117" s="782"/>
      <c r="CJ117" s="782"/>
      <c r="CK117" s="782"/>
    </row>
    <row r="118" spans="1:89" s="786" customFormat="1" ht="45.75" customHeight="1" thickTop="1" thickBot="1">
      <c r="A118" s="775"/>
      <c r="B118" s="775"/>
      <c r="C118" s="775"/>
      <c r="D118" s="775"/>
      <c r="E118" s="775"/>
      <c r="F118" s="776"/>
      <c r="G118" s="776"/>
      <c r="H118" s="776"/>
      <c r="I118" s="6584"/>
      <c r="J118" s="6585"/>
      <c r="K118" s="6585"/>
      <c r="L118" s="6585"/>
      <c r="M118" s="6585"/>
      <c r="N118" s="6585"/>
      <c r="O118" s="6586"/>
      <c r="P118" s="6377" t="s">
        <v>2432</v>
      </c>
      <c r="Q118" s="6377"/>
      <c r="R118" s="6377"/>
      <c r="S118" s="6378"/>
      <c r="T118" s="3730">
        <f>SUM(T115:T117)</f>
        <v>34</v>
      </c>
      <c r="U118" s="775"/>
      <c r="V118" s="3731">
        <f>SUM(V115:V117)</f>
        <v>4384</v>
      </c>
      <c r="W118" s="3727"/>
      <c r="X118" s="3727"/>
      <c r="Y118" s="3727"/>
      <c r="Z118" s="3727"/>
      <c r="AA118" s="3477"/>
      <c r="AB118" s="3477"/>
      <c r="AC118" s="3476"/>
      <c r="AD118" s="3477"/>
      <c r="AE118" s="3477"/>
      <c r="AF118" s="3476"/>
      <c r="AG118" s="3477"/>
      <c r="AH118" s="3477"/>
      <c r="AI118" s="3476"/>
      <c r="AJ118" s="3477"/>
      <c r="AK118" s="3477"/>
      <c r="AL118" s="3476"/>
      <c r="AM118" s="3477"/>
      <c r="AN118" s="3477"/>
      <c r="AO118" s="3477"/>
      <c r="AP118" s="3477"/>
      <c r="AQ118" s="3477"/>
      <c r="AR118" s="784"/>
      <c r="AS118" s="784"/>
      <c r="AT118" s="785"/>
      <c r="AU118" s="785"/>
      <c r="AV118" s="785"/>
      <c r="AW118" s="785"/>
      <c r="AX118" s="783"/>
      <c r="AY118" s="810"/>
      <c r="AZ118" s="810"/>
      <c r="BA118" s="783"/>
      <c r="BB118" s="783"/>
      <c r="BC118" s="783"/>
      <c r="BD118" s="783"/>
      <c r="BE118" s="783"/>
      <c r="BF118" s="810"/>
      <c r="BG118" s="810"/>
      <c r="BH118" s="783"/>
      <c r="BI118" s="783"/>
      <c r="BJ118" s="783"/>
      <c r="BK118" s="783"/>
      <c r="BL118" s="783"/>
      <c r="BM118" s="810"/>
      <c r="BN118" s="810"/>
      <c r="BO118" s="810"/>
      <c r="BP118" s="783"/>
      <c r="BQ118" s="810"/>
      <c r="BR118" s="783"/>
      <c r="BS118" s="783"/>
      <c r="BT118" s="810"/>
      <c r="BU118" s="810"/>
      <c r="BV118" s="783"/>
      <c r="BW118" s="783"/>
      <c r="BX118" s="783"/>
      <c r="BY118" s="783"/>
      <c r="BZ118" s="783"/>
      <c r="CA118" s="810"/>
      <c r="CB118" s="810"/>
      <c r="CC118" s="783"/>
      <c r="CD118" s="783"/>
      <c r="CE118" s="783"/>
      <c r="CF118" s="811"/>
      <c r="CG118" s="811"/>
      <c r="CH118" s="3740"/>
      <c r="CI118" s="782"/>
      <c r="CJ118" s="782"/>
      <c r="CK118" s="782"/>
    </row>
    <row r="119" spans="1:89" s="786" customFormat="1" ht="45.75" customHeight="1">
      <c r="A119" s="775"/>
      <c r="B119" s="775"/>
      <c r="C119" s="775"/>
      <c r="D119" s="775"/>
      <c r="E119" s="775"/>
      <c r="F119" s="776"/>
      <c r="G119" s="776"/>
      <c r="H119" s="776"/>
      <c r="I119" s="776"/>
      <c r="J119" s="776"/>
      <c r="K119" s="776"/>
      <c r="L119" s="776"/>
      <c r="M119" s="776"/>
      <c r="N119" s="776"/>
      <c r="O119" s="3732"/>
      <c r="P119" s="820"/>
      <c r="Q119" s="820"/>
      <c r="R119" s="820"/>
      <c r="S119" s="820"/>
      <c r="T119" s="821"/>
      <c r="U119" s="822"/>
      <c r="V119" s="3481"/>
      <c r="W119" s="3727"/>
      <c r="X119" s="3727"/>
      <c r="Y119" s="3727"/>
      <c r="Z119" s="3727"/>
      <c r="AA119" s="3477"/>
      <c r="AB119" s="3477"/>
      <c r="AC119" s="3476"/>
      <c r="AD119" s="3477"/>
      <c r="AE119" s="3477"/>
      <c r="AF119" s="3476"/>
      <c r="AG119" s="3477"/>
      <c r="AH119" s="3477"/>
      <c r="AI119" s="3476"/>
      <c r="AJ119" s="3477"/>
      <c r="AK119" s="3477"/>
      <c r="AL119" s="3476"/>
      <c r="AM119" s="3477"/>
      <c r="AN119" s="3477"/>
      <c r="AO119" s="3477"/>
      <c r="AP119" s="3477"/>
      <c r="AQ119" s="3477"/>
      <c r="AR119" s="784"/>
      <c r="AS119" s="784"/>
      <c r="AT119" s="785"/>
      <c r="AU119" s="785"/>
      <c r="AV119" s="785"/>
      <c r="AW119" s="785"/>
      <c r="AX119" s="783"/>
      <c r="AY119" s="810"/>
      <c r="AZ119" s="810"/>
      <c r="BA119" s="783"/>
      <c r="BB119" s="783"/>
      <c r="BC119" s="783"/>
      <c r="BD119" s="783"/>
      <c r="BE119" s="783"/>
      <c r="BF119" s="810"/>
      <c r="BG119" s="810"/>
      <c r="BH119" s="783"/>
      <c r="BI119" s="783"/>
      <c r="BJ119" s="783"/>
      <c r="BK119" s="783"/>
      <c r="BL119" s="783"/>
      <c r="BM119" s="810"/>
      <c r="BN119" s="810"/>
      <c r="BO119" s="810"/>
      <c r="BP119" s="783"/>
      <c r="BQ119" s="810"/>
      <c r="BR119" s="783"/>
      <c r="BS119" s="783"/>
      <c r="BT119" s="810"/>
      <c r="BU119" s="810"/>
      <c r="BV119" s="783"/>
      <c r="BW119" s="783"/>
      <c r="BX119" s="783"/>
      <c r="BY119" s="783"/>
      <c r="BZ119" s="783"/>
      <c r="CA119" s="810"/>
      <c r="CB119" s="810"/>
      <c r="CC119" s="783"/>
      <c r="CD119" s="783"/>
      <c r="CE119" s="783"/>
      <c r="CF119" s="811"/>
      <c r="CG119" s="811"/>
      <c r="CH119" s="3740"/>
      <c r="CI119" s="812"/>
      <c r="CJ119" s="782"/>
      <c r="CK119" s="782"/>
    </row>
    <row r="120" spans="1:89" s="786" customFormat="1" ht="52" customHeight="1">
      <c r="A120" s="775"/>
      <c r="B120" s="775"/>
      <c r="C120" s="775"/>
      <c r="D120" s="775"/>
      <c r="E120" s="775"/>
      <c r="F120" s="776"/>
      <c r="G120" s="776"/>
      <c r="H120" s="776"/>
      <c r="I120" s="776"/>
      <c r="J120" s="776"/>
      <c r="K120" s="776"/>
      <c r="L120" s="776"/>
      <c r="M120" s="776"/>
      <c r="N120" s="776"/>
      <c r="O120" s="3732"/>
      <c r="P120" s="820"/>
      <c r="Q120" s="820"/>
      <c r="R120" s="820"/>
      <c r="S120" s="820"/>
      <c r="T120" s="834">
        <f>COUNTIF(T$5:T$114,"○")-T118</f>
        <v>0</v>
      </c>
      <c r="U120" s="822"/>
      <c r="V120" s="3481"/>
      <c r="W120" s="6571"/>
      <c r="X120" s="6572"/>
      <c r="Y120" s="6572"/>
      <c r="Z120" s="6572"/>
      <c r="AA120" s="6572"/>
      <c r="AB120" s="6572"/>
      <c r="AC120" s="6572"/>
      <c r="AD120" s="6572"/>
      <c r="AE120" s="6572"/>
      <c r="AF120" s="6572"/>
      <c r="AG120" s="3477"/>
      <c r="AH120" s="3477"/>
      <c r="AI120" s="3476"/>
      <c r="AJ120" s="3477"/>
      <c r="AK120" s="3477"/>
      <c r="AL120" s="3476"/>
      <c r="AM120" s="3477"/>
      <c r="AN120" s="3477"/>
      <c r="AO120" s="3477"/>
      <c r="AP120" s="3477"/>
      <c r="AQ120" s="3477"/>
      <c r="AR120" s="784"/>
      <c r="AS120" s="784"/>
      <c r="AT120" s="785"/>
      <c r="AU120" s="785"/>
      <c r="AV120" s="785"/>
      <c r="AW120" s="785"/>
      <c r="AX120" s="783"/>
      <c r="AY120" s="810"/>
      <c r="AZ120" s="810"/>
      <c r="BA120" s="783"/>
      <c r="BB120" s="783"/>
      <c r="BC120" s="783"/>
      <c r="BD120" s="783"/>
      <c r="BE120" s="783"/>
      <c r="BF120" s="810"/>
      <c r="BG120" s="810"/>
      <c r="BH120" s="783"/>
      <c r="BI120" s="783"/>
      <c r="BJ120" s="783"/>
      <c r="BK120" s="783"/>
      <c r="BL120" s="783"/>
      <c r="BM120" s="810"/>
      <c r="BN120" s="810"/>
      <c r="BO120" s="810"/>
      <c r="BP120" s="783"/>
      <c r="BQ120" s="810"/>
      <c r="BR120" s="783"/>
      <c r="BS120" s="783"/>
      <c r="BT120" s="810"/>
      <c r="BU120" s="810"/>
      <c r="BV120" s="783"/>
      <c r="BW120" s="783"/>
      <c r="BX120" s="783"/>
      <c r="BY120" s="783"/>
      <c r="BZ120" s="783"/>
      <c r="CA120" s="810"/>
      <c r="CB120" s="810"/>
      <c r="CC120" s="783"/>
      <c r="CD120" s="783"/>
      <c r="CE120" s="783"/>
      <c r="CF120" s="783"/>
      <c r="CG120" s="783"/>
      <c r="CH120" s="3741"/>
      <c r="CI120" s="782"/>
      <c r="CJ120" s="782"/>
      <c r="CK120" s="782"/>
    </row>
    <row r="121" spans="1:89" s="786" customFormat="1" ht="42" customHeight="1">
      <c r="A121" s="816"/>
      <c r="B121" s="785"/>
      <c r="C121" s="785"/>
      <c r="D121" s="817"/>
      <c r="E121" s="817"/>
      <c r="F121" s="785"/>
      <c r="G121" s="818"/>
      <c r="H121" s="818"/>
      <c r="I121" s="818"/>
      <c r="J121" s="818"/>
      <c r="K121" s="818"/>
      <c r="L121" s="819"/>
      <c r="M121" s="820"/>
      <c r="N121" s="820"/>
      <c r="O121" s="819"/>
      <c r="P121" s="820"/>
      <c r="Q121" s="820"/>
      <c r="R121" s="820"/>
      <c r="S121" s="820"/>
      <c r="T121" s="821"/>
      <c r="U121" s="822"/>
      <c r="V121" s="3481"/>
      <c r="W121" s="828"/>
      <c r="X121" s="829"/>
      <c r="Y121" s="830"/>
      <c r="Z121" s="3476"/>
      <c r="AA121" s="3482"/>
      <c r="AB121" s="3482"/>
      <c r="AC121" s="3476"/>
      <c r="AD121" s="3482"/>
      <c r="AE121" s="3482"/>
      <c r="AF121" s="3476"/>
      <c r="AG121" s="3482"/>
      <c r="AH121" s="3482"/>
      <c r="AI121" s="3476"/>
      <c r="AJ121" s="3482"/>
      <c r="AK121" s="3482"/>
      <c r="AL121" s="3476"/>
      <c r="AM121" s="3482"/>
      <c r="AN121" s="3482"/>
      <c r="AO121" s="3482"/>
      <c r="AP121" s="3482"/>
      <c r="AQ121" s="3482"/>
      <c r="AR121" s="784"/>
      <c r="AS121" s="784"/>
      <c r="AT121" s="831"/>
      <c r="AU121" s="831"/>
      <c r="AV121" s="831"/>
      <c r="AW121" s="831"/>
      <c r="AX121" s="830"/>
      <c r="AY121" s="833"/>
      <c r="AZ121" s="833"/>
      <c r="BA121" s="830"/>
      <c r="BB121" s="830"/>
      <c r="BC121" s="830"/>
      <c r="BD121" s="830"/>
      <c r="BE121" s="830"/>
      <c r="BF121" s="833"/>
      <c r="BG121" s="833"/>
      <c r="BH121" s="830"/>
      <c r="BI121" s="830"/>
      <c r="BJ121" s="830"/>
      <c r="BK121" s="830"/>
      <c r="BL121" s="830"/>
      <c r="BM121" s="833"/>
      <c r="BN121" s="833"/>
      <c r="BO121" s="833"/>
      <c r="BP121" s="830"/>
      <c r="BQ121" s="833"/>
      <c r="BR121" s="830"/>
      <c r="BS121" s="830"/>
      <c r="BT121" s="833"/>
      <c r="BU121" s="833"/>
      <c r="BV121" s="830"/>
      <c r="BW121" s="830"/>
      <c r="BX121" s="830"/>
      <c r="BY121" s="830"/>
      <c r="BZ121" s="830"/>
      <c r="CA121" s="833"/>
      <c r="CB121" s="833"/>
      <c r="CC121" s="830"/>
      <c r="CD121" s="830"/>
      <c r="CE121" s="830"/>
      <c r="CF121" s="830"/>
      <c r="CG121" s="830"/>
      <c r="CH121" s="3742"/>
      <c r="CI121" s="782"/>
      <c r="CJ121" s="782"/>
      <c r="CK121" s="782"/>
    </row>
    <row r="122" spans="1:89" s="786" customFormat="1" ht="42" hidden="1" customHeight="1" thickTop="1">
      <c r="A122" s="816"/>
      <c r="B122" s="782"/>
      <c r="C122" s="834"/>
      <c r="D122" s="817"/>
      <c r="E122" s="817"/>
      <c r="F122" s="782" t="s">
        <v>2433</v>
      </c>
      <c r="G122" s="818"/>
      <c r="H122" s="818"/>
      <c r="I122" s="818"/>
      <c r="J122" s="818"/>
      <c r="K122" s="818"/>
      <c r="L122" s="819"/>
      <c r="M122" s="820"/>
      <c r="N122" s="820"/>
      <c r="O122" s="819"/>
      <c r="P122" s="820"/>
      <c r="Q122" s="820"/>
      <c r="R122" s="820"/>
      <c r="S122" s="820"/>
      <c r="T122" s="821"/>
      <c r="U122" s="822"/>
      <c r="V122" s="3481"/>
      <c r="W122" s="828"/>
      <c r="X122" s="830" t="s">
        <v>2434</v>
      </c>
      <c r="Y122" s="826">
        <f>SUM(Y5:Y114)-[53]競技情報DB!H80</f>
        <v>53</v>
      </c>
      <c r="Z122" s="3483"/>
      <c r="AA122" s="3484"/>
      <c r="AB122" s="3484"/>
      <c r="AC122" s="3483"/>
      <c r="AD122" s="3484"/>
      <c r="AE122" s="3484"/>
      <c r="AF122" s="3483"/>
      <c r="AG122" s="3484"/>
      <c r="AH122" s="3484"/>
      <c r="AI122" s="3483"/>
      <c r="AJ122" s="3484"/>
      <c r="AK122" s="3484"/>
      <c r="AL122" s="3483"/>
      <c r="AM122" s="3484"/>
      <c r="AN122" s="3484"/>
      <c r="AO122" s="3484"/>
      <c r="AP122" s="3484"/>
      <c r="AQ122" s="3484"/>
      <c r="AR122" s="835"/>
      <c r="AS122" s="830" t="s">
        <v>2434</v>
      </c>
      <c r="AT122" s="831" t="s">
        <v>2174</v>
      </c>
      <c r="AU122" s="831"/>
      <c r="AV122" s="831"/>
      <c r="AW122" s="831"/>
      <c r="AX122" s="836" t="e">
        <f>+#REF!-AX117</f>
        <v>#REF!</v>
      </c>
      <c r="AY122" s="837" t="e">
        <f>+#REF!-AY117</f>
        <v>#REF!</v>
      </c>
      <c r="AZ122" s="837" t="e">
        <f>+#REF!-AZ117</f>
        <v>#REF!</v>
      </c>
      <c r="BA122" s="836" t="e">
        <f>+#REF!-BA117</f>
        <v>#REF!</v>
      </c>
      <c r="BB122" s="836" t="e">
        <f>+#REF!-BB117</f>
        <v>#REF!</v>
      </c>
      <c r="BC122" s="836" t="e">
        <f>+#REF!-BC117</f>
        <v>#REF!</v>
      </c>
      <c r="BD122" s="836" t="e">
        <f>+#REF!-BD117</f>
        <v>#REF!</v>
      </c>
      <c r="BE122" s="836" t="e">
        <f>+#REF!-BE117</f>
        <v>#REF!</v>
      </c>
      <c r="BF122" s="837" t="e">
        <f>+#REF!-BF117</f>
        <v>#REF!</v>
      </c>
      <c r="BG122" s="837" t="e">
        <f>+#REF!-BG117</f>
        <v>#REF!</v>
      </c>
      <c r="BH122" s="836" t="e">
        <f>+#REF!-BH117</f>
        <v>#REF!</v>
      </c>
      <c r="BI122" s="836" t="e">
        <f>+#REF!-BI117</f>
        <v>#REF!</v>
      </c>
      <c r="BJ122" s="836" t="e">
        <f>+#REF!-BJ117</f>
        <v>#REF!</v>
      </c>
      <c r="BK122" s="836" t="e">
        <f>+#REF!-BK117</f>
        <v>#REF!</v>
      </c>
      <c r="BL122" s="836" t="e">
        <f>+#REF!-BL117</f>
        <v>#REF!</v>
      </c>
      <c r="BM122" s="837" t="e">
        <f>+#REF!-BM117</f>
        <v>#REF!</v>
      </c>
      <c r="BN122" s="837" t="e">
        <f>+#REF!-BN117</f>
        <v>#REF!</v>
      </c>
      <c r="BO122" s="837" t="e">
        <f>+#REF!-BO117</f>
        <v>#REF!</v>
      </c>
      <c r="BP122" s="836" t="e">
        <f>+#REF!-BP117</f>
        <v>#REF!</v>
      </c>
      <c r="BQ122" s="837" t="e">
        <f>+#REF!-BQ117</f>
        <v>#REF!</v>
      </c>
      <c r="BR122" s="836" t="e">
        <f>+#REF!-BR117</f>
        <v>#REF!</v>
      </c>
      <c r="BS122" s="836" t="e">
        <f>+#REF!-BS117</f>
        <v>#REF!</v>
      </c>
      <c r="BT122" s="837" t="e">
        <f>+#REF!-BT117</f>
        <v>#REF!</v>
      </c>
      <c r="BU122" s="837" t="e">
        <f>+#REF!-BU117</f>
        <v>#REF!</v>
      </c>
      <c r="BV122" s="836" t="e">
        <f>+#REF!-BV117</f>
        <v>#REF!</v>
      </c>
      <c r="BW122" s="836" t="e">
        <f>+#REF!-BW117</f>
        <v>#REF!</v>
      </c>
      <c r="BX122" s="836" t="e">
        <f>+#REF!-BX117</f>
        <v>#REF!</v>
      </c>
      <c r="BY122" s="836" t="e">
        <f>+#REF!-BY117</f>
        <v>#REF!</v>
      </c>
      <c r="BZ122" s="836" t="e">
        <f>+#REF!-BZ117</f>
        <v>#REF!</v>
      </c>
      <c r="CA122" s="837" t="e">
        <f>+#REF!-CA117</f>
        <v>#REF!</v>
      </c>
      <c r="CB122" s="837" t="e">
        <f>+#REF!-CB117</f>
        <v>#REF!</v>
      </c>
      <c r="CC122" s="836" t="e">
        <f>+#REF!-CC117</f>
        <v>#REF!</v>
      </c>
      <c r="CD122" s="836" t="e">
        <f>+#REF!-CD117</f>
        <v>#REF!</v>
      </c>
      <c r="CE122" s="836" t="e">
        <f>+#REF!-CE117</f>
        <v>#REF!</v>
      </c>
      <c r="CF122" s="836" t="e">
        <f>+#REF!-CF117</f>
        <v>#REF!</v>
      </c>
      <c r="CG122" s="836"/>
      <c r="CH122" s="3743"/>
      <c r="CI122" s="782"/>
      <c r="CJ122" s="782"/>
      <c r="CK122" s="782"/>
    </row>
    <row r="123" spans="1:89" s="786" customFormat="1" ht="42" customHeight="1">
      <c r="A123" s="816"/>
      <c r="B123" s="785"/>
      <c r="C123" s="785"/>
      <c r="D123" s="817"/>
      <c r="E123" s="817"/>
      <c r="F123" s="785"/>
      <c r="G123" s="818"/>
      <c r="H123" s="818"/>
      <c r="I123" s="818"/>
      <c r="J123" s="818"/>
      <c r="K123" s="818"/>
      <c r="L123" s="819"/>
      <c r="M123" s="820"/>
      <c r="N123" s="820"/>
      <c r="O123" s="819"/>
      <c r="P123" s="820"/>
      <c r="Q123" s="820"/>
      <c r="R123" s="820"/>
      <c r="S123" s="820"/>
      <c r="T123" s="821"/>
      <c r="U123" s="822"/>
      <c r="V123" s="3481"/>
      <c r="W123" s="828"/>
      <c r="X123" s="2934" t="s">
        <v>2433</v>
      </c>
      <c r="Y123" s="2934">
        <f>SUM(Y5:Y114)-[53]競技情報DB!H80</f>
        <v>53</v>
      </c>
      <c r="Z123" s="3483"/>
      <c r="AA123" s="3482"/>
      <c r="AB123" s="3482"/>
      <c r="AC123" s="3483"/>
      <c r="AD123" s="3482"/>
      <c r="AE123" s="3482"/>
      <c r="AF123" s="3483"/>
      <c r="AG123" s="3482"/>
      <c r="AH123" s="3482"/>
      <c r="AI123" s="3483"/>
      <c r="AJ123" s="3482"/>
      <c r="AK123" s="3482"/>
      <c r="AL123" s="3483"/>
      <c r="AM123" s="3482"/>
      <c r="AN123" s="3482"/>
      <c r="AO123" s="3482"/>
      <c r="AP123" s="3482"/>
      <c r="AQ123" s="3482"/>
      <c r="AR123" s="835"/>
      <c r="AS123" s="835"/>
      <c r="AT123" s="831" t="s">
        <v>2175</v>
      </c>
      <c r="AU123" s="831"/>
      <c r="AV123" s="831"/>
      <c r="AW123" s="831"/>
      <c r="AX123" s="837">
        <f>+[53]競技情報DB!I80-AX115</f>
        <v>0</v>
      </c>
      <c r="AY123" s="837">
        <f>+[53]競技情報DB!J80-AY115</f>
        <v>-21</v>
      </c>
      <c r="AZ123" s="837">
        <f>+[53]競技情報DB!K80-AZ115</f>
        <v>-18</v>
      </c>
      <c r="BA123" s="837">
        <f>+[53]競技情報DB!L80-BA115</f>
        <v>-103</v>
      </c>
      <c r="BB123" s="837">
        <f>+[53]競技情報DB!M80-BB115</f>
        <v>65</v>
      </c>
      <c r="BC123" s="837">
        <f>+[53]競技情報DB!N80-BC115</f>
        <v>101</v>
      </c>
      <c r="BD123" s="837">
        <f>+[53]競技情報DB!O80-BD115</f>
        <v>58</v>
      </c>
      <c r="BE123" s="837">
        <f>+[53]競技情報DB!P80-BE115</f>
        <v>56</v>
      </c>
      <c r="BF123" s="837">
        <f>+[53]競技情報DB!Q80-BF115</f>
        <v>81</v>
      </c>
      <c r="BG123" s="837">
        <f>+[53]競技情報DB!R80-BG115</f>
        <v>36</v>
      </c>
      <c r="BH123" s="837">
        <f>+[53]競技情報DB!S80-BH115</f>
        <v>8</v>
      </c>
      <c r="BI123" s="837">
        <f>+[53]競技情報DB!T80-BI115</f>
        <v>34</v>
      </c>
      <c r="BJ123" s="837">
        <f>+[53]競技情報DB!U80-BJ115</f>
        <v>66</v>
      </c>
      <c r="BK123" s="837">
        <f>+[53]競技情報DB!V80-BK115</f>
        <v>24</v>
      </c>
      <c r="BL123" s="837">
        <f>+[53]競技情報DB!W80-BL115</f>
        <v>-6</v>
      </c>
      <c r="BM123" s="837">
        <f>+[53]競技情報DB!X80-BM115</f>
        <v>-30</v>
      </c>
      <c r="BN123" s="837">
        <f>+[53]競技情報DB!Y80-BN115</f>
        <v>-47</v>
      </c>
      <c r="BO123" s="837">
        <f>+[53]競技情報DB!Z80-BO115</f>
        <v>-25</v>
      </c>
      <c r="BP123" s="837">
        <f>+[53]競技情報DB!AA80-BP115</f>
        <v>-4</v>
      </c>
      <c r="BQ123" s="837">
        <f>+[53]競技情報DB!AB80-BQ115</f>
        <v>-57</v>
      </c>
      <c r="BR123" s="837">
        <f>+[53]競技情報DB!AC80-BR115</f>
        <v>-54</v>
      </c>
      <c r="BS123" s="837">
        <f>+[53]競技情報DB!AD80-BS115</f>
        <v>18</v>
      </c>
      <c r="BT123" s="837">
        <f>+[53]競技情報DB!AE80-BT115</f>
        <v>75</v>
      </c>
      <c r="BU123" s="837">
        <f>+[53]競技情報DB!AF80-BU115</f>
        <v>63</v>
      </c>
      <c r="BV123" s="837">
        <f>+[53]競技情報DB!AG80-BV115</f>
        <v>95</v>
      </c>
      <c r="BW123" s="837">
        <f>+[53]競技情報DB!AH80-BW115</f>
        <v>67</v>
      </c>
      <c r="BX123" s="837">
        <f>+[53]競技情報DB!AI80-BX115</f>
        <v>67</v>
      </c>
      <c r="BY123" s="837">
        <f>+[53]競技情報DB!AJ80-BY115</f>
        <v>134</v>
      </c>
      <c r="BZ123" s="837">
        <f>+[53]競技情報DB!AK80-BZ115</f>
        <v>62</v>
      </c>
      <c r="CA123" s="837">
        <f>+[53]競技情報DB!AL80-CA115</f>
        <v>19</v>
      </c>
      <c r="CB123" s="837">
        <f>+[53]競技情報DB!AM80-CB115</f>
        <v>-8</v>
      </c>
      <c r="CC123" s="837">
        <f>+[53]競技情報DB!AN80-CC115</f>
        <v>-23</v>
      </c>
      <c r="CD123" s="837">
        <f>+[53]競技情報DB!AO80-CD115</f>
        <v>-20</v>
      </c>
      <c r="CE123" s="837">
        <f>+[53]競技情報DB!AP80-CE115</f>
        <v>-20</v>
      </c>
      <c r="CF123" s="837">
        <f>+[53]競技情報DB!AR80-CF115</f>
        <v>0</v>
      </c>
      <c r="CG123" s="837"/>
      <c r="CH123" s="3744"/>
      <c r="CI123" s="840"/>
      <c r="CJ123" s="782"/>
      <c r="CK123" s="782"/>
    </row>
    <row r="124" spans="1:89" s="786" customFormat="1" ht="42" customHeight="1">
      <c r="A124" s="816"/>
      <c r="B124" s="785"/>
      <c r="C124" s="785"/>
      <c r="D124" s="817"/>
      <c r="E124" s="817"/>
      <c r="F124" s="785"/>
      <c r="G124" s="818"/>
      <c r="H124" s="818"/>
      <c r="I124" s="818"/>
      <c r="J124" s="818"/>
      <c r="K124" s="818"/>
      <c r="L124" s="819"/>
      <c r="M124" s="820"/>
      <c r="N124" s="820"/>
      <c r="O124" s="819"/>
      <c r="P124" s="820"/>
      <c r="Q124" s="820"/>
      <c r="R124" s="820"/>
      <c r="S124" s="820"/>
      <c r="T124" s="821"/>
      <c r="U124" s="822"/>
      <c r="V124" s="3481"/>
      <c r="W124" s="828"/>
      <c r="X124" s="2934"/>
      <c r="Y124" s="836"/>
      <c r="Z124" s="3483"/>
      <c r="AA124" s="3482"/>
      <c r="AB124" s="3482"/>
      <c r="AC124" s="3483"/>
      <c r="AD124" s="3482"/>
      <c r="AE124" s="3482"/>
      <c r="AF124" s="3483"/>
      <c r="AG124" s="3482"/>
      <c r="AH124" s="3482"/>
      <c r="AI124" s="3483"/>
      <c r="AJ124" s="3482"/>
      <c r="AK124" s="3482"/>
      <c r="AL124" s="3483"/>
      <c r="AM124" s="3482"/>
      <c r="AN124" s="3482"/>
      <c r="AO124" s="3482"/>
      <c r="AP124" s="3482"/>
      <c r="AQ124" s="3482"/>
      <c r="AR124" s="835"/>
      <c r="AS124" s="835"/>
      <c r="AT124" s="831"/>
      <c r="AU124" s="831"/>
      <c r="AV124" s="831"/>
      <c r="AW124" s="831"/>
      <c r="AX124" s="830"/>
      <c r="AY124" s="833"/>
      <c r="AZ124" s="833"/>
      <c r="BA124" s="830"/>
      <c r="BB124" s="830"/>
      <c r="BC124" s="830"/>
      <c r="BD124" s="830"/>
      <c r="BE124" s="830"/>
      <c r="BF124" s="833"/>
      <c r="BG124" s="833"/>
      <c r="BH124" s="830"/>
      <c r="BI124" s="830"/>
      <c r="BJ124" s="830"/>
      <c r="BK124" s="830"/>
      <c r="BL124" s="830"/>
      <c r="BM124" s="833"/>
      <c r="BN124" s="833"/>
      <c r="BO124" s="833"/>
      <c r="BP124" s="830"/>
      <c r="BQ124" s="833"/>
      <c r="BR124" s="830"/>
      <c r="BS124" s="830"/>
      <c r="BT124" s="833"/>
      <c r="BU124" s="833"/>
      <c r="BV124" s="830"/>
      <c r="BW124" s="830"/>
      <c r="BX124" s="830"/>
      <c r="BY124" s="830"/>
      <c r="BZ124" s="830"/>
      <c r="CA124" s="833"/>
      <c r="CB124" s="833"/>
      <c r="CC124" s="830"/>
      <c r="CD124" s="830"/>
      <c r="CE124" s="830"/>
      <c r="CF124" s="830"/>
      <c r="CG124" s="830"/>
      <c r="CH124" s="3742"/>
      <c r="CI124" s="782"/>
      <c r="CJ124" s="782"/>
      <c r="CK124" s="782"/>
    </row>
    <row r="125" spans="1:89" s="786" customFormat="1" ht="42" customHeight="1">
      <c r="A125" s="816"/>
      <c r="B125" s="785"/>
      <c r="C125" s="785"/>
      <c r="D125" s="817"/>
      <c r="E125" s="817"/>
      <c r="F125" s="785"/>
      <c r="G125" s="818"/>
      <c r="H125" s="818"/>
      <c r="I125" s="818"/>
      <c r="J125" s="818"/>
      <c r="K125" s="818"/>
      <c r="L125" s="819"/>
      <c r="M125" s="820"/>
      <c r="N125" s="820"/>
      <c r="O125" s="819"/>
      <c r="P125" s="199"/>
      <c r="Q125" s="199"/>
      <c r="R125" s="199"/>
      <c r="S125" s="199"/>
      <c r="T125" s="843"/>
      <c r="U125" s="844"/>
      <c r="V125" s="3287"/>
      <c r="W125" s="828"/>
      <c r="X125" s="829"/>
      <c r="Y125" s="830"/>
      <c r="Z125" s="3483"/>
      <c r="AA125" s="3482"/>
      <c r="AB125" s="3482"/>
      <c r="AC125" s="3483"/>
      <c r="AD125" s="3482"/>
      <c r="AE125" s="3482"/>
      <c r="AF125" s="3483"/>
      <c r="AG125" s="3482"/>
      <c r="AH125" s="3482"/>
      <c r="AI125" s="3483"/>
      <c r="AJ125" s="3482"/>
      <c r="AK125" s="3482"/>
      <c r="AL125" s="3483"/>
      <c r="AM125" s="3482"/>
      <c r="AN125" s="3482"/>
      <c r="AO125" s="3482"/>
      <c r="AP125" s="3482"/>
      <c r="AQ125" s="3482"/>
      <c r="AR125" s="835"/>
      <c r="AS125" s="835"/>
      <c r="AT125" s="831"/>
      <c r="AU125" s="831"/>
      <c r="AV125" s="831"/>
      <c r="AW125" s="831"/>
      <c r="AX125" s="830"/>
      <c r="AY125" s="833"/>
      <c r="AZ125" s="833"/>
      <c r="BA125" s="830"/>
      <c r="BB125" s="830"/>
      <c r="BC125" s="830"/>
      <c r="BD125" s="830"/>
      <c r="BE125" s="830"/>
      <c r="BF125" s="833"/>
      <c r="BG125" s="833"/>
      <c r="BH125" s="830"/>
      <c r="BI125" s="830"/>
      <c r="BJ125" s="830"/>
      <c r="BK125" s="830"/>
      <c r="BL125" s="830"/>
      <c r="BM125" s="833"/>
      <c r="BN125" s="833"/>
      <c r="BO125" s="833"/>
      <c r="BP125" s="830"/>
      <c r="BQ125" s="833"/>
      <c r="BR125" s="830"/>
      <c r="BS125" s="830"/>
      <c r="BT125" s="833"/>
      <c r="BU125" s="833"/>
      <c r="BV125" s="830"/>
      <c r="BW125" s="830"/>
      <c r="BX125" s="830"/>
      <c r="BY125" s="830"/>
      <c r="BZ125" s="830"/>
      <c r="CA125" s="833"/>
      <c r="CB125" s="833"/>
      <c r="CC125" s="830"/>
      <c r="CD125" s="830"/>
      <c r="CE125" s="830"/>
      <c r="CF125" s="830"/>
      <c r="CG125" s="830"/>
      <c r="CH125" s="3742"/>
      <c r="CI125" s="782"/>
      <c r="CJ125" s="841"/>
      <c r="CK125" s="841"/>
    </row>
    <row r="126" spans="1:89" s="786" customFormat="1" ht="42" customHeight="1">
      <c r="A126" s="816"/>
      <c r="B126" s="785"/>
      <c r="C126" s="785"/>
      <c r="D126" s="817"/>
      <c r="E126" s="817"/>
      <c r="F126" s="785"/>
      <c r="G126" s="818"/>
      <c r="H126" s="818"/>
      <c r="I126" s="818"/>
      <c r="J126" s="818"/>
      <c r="K126" s="818"/>
      <c r="L126" s="819"/>
      <c r="M126" s="820"/>
      <c r="N126" s="820"/>
      <c r="O126" s="819"/>
      <c r="P126" s="199"/>
      <c r="Q126" s="199"/>
      <c r="R126" s="852" t="s">
        <v>2436</v>
      </c>
      <c r="S126" s="199"/>
      <c r="T126" s="846"/>
      <c r="U126" s="844" t="s">
        <v>2136</v>
      </c>
      <c r="V126" s="3287"/>
      <c r="W126" s="828"/>
      <c r="X126" s="829"/>
      <c r="Y126" s="830"/>
      <c r="Z126" s="3483"/>
      <c r="AA126" s="3482"/>
      <c r="AB126" s="3482"/>
      <c r="AC126" s="3483"/>
      <c r="AD126" s="3482"/>
      <c r="AE126" s="3482"/>
      <c r="AF126" s="3483"/>
      <c r="AG126" s="3482"/>
      <c r="AH126" s="3482"/>
      <c r="AI126" s="3483"/>
      <c r="AJ126" s="3482"/>
      <c r="AK126" s="3482"/>
      <c r="AL126" s="3483"/>
      <c r="AM126" s="3482"/>
      <c r="AN126" s="3482"/>
      <c r="AO126" s="3482"/>
      <c r="AP126" s="3482"/>
      <c r="AQ126" s="3482"/>
      <c r="AR126" s="835"/>
      <c r="AS126" s="835"/>
      <c r="AT126" s="831"/>
      <c r="AU126" s="831"/>
      <c r="AV126" s="831"/>
      <c r="AW126" s="831"/>
      <c r="AX126" s="830"/>
      <c r="AY126" s="833"/>
      <c r="AZ126" s="833"/>
      <c r="BA126" s="830"/>
      <c r="BB126" s="830"/>
      <c r="BC126" s="830"/>
      <c r="BD126" s="830"/>
      <c r="BE126" s="830"/>
      <c r="BF126" s="833"/>
      <c r="BG126" s="833"/>
      <c r="BH126" s="830"/>
      <c r="BI126" s="830"/>
      <c r="BJ126" s="830"/>
      <c r="BK126" s="830"/>
      <c r="BL126" s="830"/>
      <c r="BM126" s="833"/>
      <c r="BN126" s="833"/>
      <c r="BO126" s="833"/>
      <c r="BP126" s="830"/>
      <c r="BQ126" s="833"/>
      <c r="BR126" s="830"/>
      <c r="BS126" s="830"/>
      <c r="BT126" s="833"/>
      <c r="BU126" s="833"/>
      <c r="BV126" s="830"/>
      <c r="BW126" s="830"/>
      <c r="BX126" s="830"/>
      <c r="BY126" s="830"/>
      <c r="BZ126" s="830"/>
      <c r="CA126" s="833"/>
      <c r="CB126" s="833"/>
      <c r="CC126" s="830"/>
      <c r="CD126" s="830"/>
      <c r="CE126" s="830"/>
      <c r="CF126" s="830"/>
      <c r="CG126" s="830"/>
      <c r="CH126" s="3742"/>
      <c r="CI126" s="782"/>
      <c r="CJ126" s="841"/>
      <c r="CK126" s="841"/>
    </row>
    <row r="127" spans="1:89" s="786" customFormat="1" ht="20.5" customHeight="1">
      <c r="A127" s="816"/>
      <c r="B127" s="197"/>
      <c r="C127" s="197"/>
      <c r="D127" s="2935"/>
      <c r="E127" s="2935"/>
      <c r="F127" s="197"/>
      <c r="G127" s="842"/>
      <c r="H127" s="842"/>
      <c r="I127" s="842"/>
      <c r="J127" s="842"/>
      <c r="K127" s="842"/>
      <c r="L127" s="198"/>
      <c r="M127" s="199"/>
      <c r="N127" s="199"/>
      <c r="O127" s="198"/>
      <c r="P127" s="199"/>
      <c r="Q127" s="199"/>
      <c r="R127" s="852" t="s">
        <v>2438</v>
      </c>
      <c r="S127" s="199"/>
      <c r="T127" s="846"/>
      <c r="U127" s="844" t="s">
        <v>2440</v>
      </c>
      <c r="V127" s="3287"/>
      <c r="W127" s="202"/>
      <c r="X127" s="200"/>
      <c r="Y127" s="848"/>
      <c r="Z127" s="3485"/>
      <c r="AA127" s="3288"/>
      <c r="AB127" s="3288"/>
      <c r="AC127" s="3485"/>
      <c r="AD127" s="3288"/>
      <c r="AE127" s="3288"/>
      <c r="AF127" s="3485"/>
      <c r="AG127" s="3288"/>
      <c r="AH127" s="3288"/>
      <c r="AI127" s="3485"/>
      <c r="AJ127" s="3288"/>
      <c r="AK127" s="3288"/>
      <c r="AL127" s="3485"/>
      <c r="AM127" s="3288"/>
      <c r="AN127" s="3288"/>
      <c r="AO127" s="3288"/>
      <c r="AP127" s="3288"/>
      <c r="AQ127" s="3288"/>
      <c r="AR127" s="849"/>
      <c r="AS127" s="849"/>
      <c r="AT127" s="850"/>
      <c r="AU127" s="850"/>
      <c r="AV127" s="850"/>
      <c r="AW127" s="850"/>
      <c r="AX127" s="848"/>
      <c r="AY127" s="201"/>
      <c r="AZ127" s="201"/>
      <c r="BA127" s="848"/>
      <c r="BB127" s="848"/>
      <c r="BC127" s="848"/>
      <c r="BD127" s="848"/>
      <c r="BE127" s="848"/>
      <c r="BF127" s="201"/>
      <c r="BG127" s="201"/>
      <c r="BH127" s="848"/>
      <c r="BI127" s="848"/>
      <c r="BJ127" s="848"/>
      <c r="BK127" s="848"/>
      <c r="BL127" s="848"/>
      <c r="BM127" s="201"/>
      <c r="BN127" s="201"/>
      <c r="BO127" s="201"/>
      <c r="BP127" s="848"/>
      <c r="BQ127" s="201"/>
      <c r="BR127" s="848"/>
      <c r="BS127" s="848"/>
      <c r="BT127" s="201"/>
      <c r="BU127" s="201"/>
      <c r="BV127" s="848"/>
      <c r="BW127" s="848"/>
      <c r="BX127" s="848"/>
      <c r="BY127" s="848"/>
      <c r="BZ127" s="848"/>
      <c r="CA127" s="201"/>
      <c r="CB127" s="201"/>
      <c r="CC127" s="848"/>
      <c r="CD127" s="848"/>
      <c r="CE127" s="848"/>
      <c r="CF127" s="848"/>
      <c r="CG127" s="848"/>
      <c r="CH127" s="3745"/>
      <c r="CI127" s="847"/>
      <c r="CJ127" s="851"/>
      <c r="CK127" s="851"/>
    </row>
    <row r="128" spans="1:89" s="786" customFormat="1" ht="20.5" customHeight="1">
      <c r="A128" s="816"/>
      <c r="B128" s="197"/>
      <c r="C128" s="197"/>
      <c r="D128" s="850"/>
      <c r="E128" s="850"/>
      <c r="F128" s="197"/>
      <c r="G128" s="842"/>
      <c r="H128" s="842"/>
      <c r="I128" s="842"/>
      <c r="J128" s="842"/>
      <c r="K128" s="842"/>
      <c r="L128" s="198"/>
      <c r="M128" s="852">
        <f>COUNTIF($M$5:$M$114,"宿泊施設")</f>
        <v>0</v>
      </c>
      <c r="N128" s="852">
        <f>COUNTIF($M$5:$M$114,"宿泊施設")</f>
        <v>0</v>
      </c>
      <c r="O128" s="853">
        <f>COUNTIF($M$5:$M$114,"宿泊施設")</f>
        <v>0</v>
      </c>
      <c r="P128" s="199"/>
      <c r="Q128" s="199"/>
      <c r="R128" s="199"/>
      <c r="S128" s="199"/>
      <c r="T128" s="846"/>
      <c r="U128" s="844" t="s">
        <v>2498</v>
      </c>
      <c r="V128" s="3287"/>
      <c r="W128" s="202"/>
      <c r="X128" s="200"/>
      <c r="Y128" s="848"/>
      <c r="Z128" s="3485"/>
      <c r="AA128" s="3288"/>
      <c r="AB128" s="3288"/>
      <c r="AC128" s="3485"/>
      <c r="AD128" s="3288"/>
      <c r="AE128" s="3288"/>
      <c r="AF128" s="3485"/>
      <c r="AG128" s="3288"/>
      <c r="AH128" s="3288"/>
      <c r="AI128" s="3485"/>
      <c r="AJ128" s="3288"/>
      <c r="AK128" s="3288"/>
      <c r="AL128" s="3485"/>
      <c r="AM128" s="3288"/>
      <c r="AN128" s="3288"/>
      <c r="AO128" s="3288"/>
      <c r="AP128" s="3288"/>
      <c r="AQ128" s="3288"/>
      <c r="AR128" s="849"/>
      <c r="AS128" s="849"/>
      <c r="AT128" s="850"/>
      <c r="AU128" s="850"/>
      <c r="AV128" s="850"/>
      <c r="AW128" s="850"/>
      <c r="AX128" s="848"/>
      <c r="AY128" s="201"/>
      <c r="AZ128" s="201"/>
      <c r="BA128" s="848"/>
      <c r="BB128" s="848"/>
      <c r="BC128" s="848"/>
      <c r="BD128" s="848"/>
      <c r="BE128" s="848"/>
      <c r="BF128" s="201"/>
      <c r="BG128" s="201"/>
      <c r="BH128" s="848"/>
      <c r="BI128" s="848"/>
      <c r="BJ128" s="848"/>
      <c r="BK128" s="848"/>
      <c r="BL128" s="848"/>
      <c r="BM128" s="201"/>
      <c r="BN128" s="201"/>
      <c r="BO128" s="201"/>
      <c r="BP128" s="848"/>
      <c r="BQ128" s="201"/>
      <c r="BR128" s="848"/>
      <c r="BS128" s="848"/>
      <c r="BT128" s="201"/>
      <c r="BU128" s="201"/>
      <c r="BV128" s="848"/>
      <c r="BW128" s="848"/>
      <c r="BX128" s="848"/>
      <c r="BY128" s="848"/>
      <c r="BZ128" s="848"/>
      <c r="CA128" s="201"/>
      <c r="CB128" s="201"/>
      <c r="CC128" s="848"/>
      <c r="CD128" s="848"/>
      <c r="CE128" s="848"/>
      <c r="CF128" s="848"/>
      <c r="CG128" s="848"/>
      <c r="CH128" s="3745"/>
      <c r="CI128" s="847"/>
      <c r="CJ128" s="851"/>
      <c r="CK128" s="851"/>
    </row>
    <row r="129" spans="1:89" s="786" customFormat="1" ht="20.5" customHeight="1">
      <c r="A129" s="816"/>
      <c r="B129" s="197"/>
      <c r="C129" s="197"/>
      <c r="D129" s="850"/>
      <c r="E129" s="850"/>
      <c r="F129" s="197"/>
      <c r="G129" s="842"/>
      <c r="H129" s="842"/>
      <c r="I129" s="842"/>
      <c r="J129" s="842"/>
      <c r="K129" s="842"/>
      <c r="L129" s="198"/>
      <c r="M129" s="852">
        <f>COUNTIF($M$5:$M$114,"ケータリング")</f>
        <v>0</v>
      </c>
      <c r="N129" s="852">
        <f>COUNTIF($M$5:$M$114,"ケータリング")</f>
        <v>0</v>
      </c>
      <c r="O129" s="853">
        <f>COUNTIF($M$5:$M$114,"ケータリング")</f>
        <v>0</v>
      </c>
      <c r="P129" s="199"/>
      <c r="Q129" s="199"/>
      <c r="R129" s="199"/>
      <c r="S129" s="199"/>
      <c r="T129" s="197"/>
      <c r="U129" s="844"/>
      <c r="V129" s="3287"/>
      <c r="W129" s="202"/>
      <c r="X129" s="200"/>
      <c r="Y129" s="848"/>
      <c r="Z129" s="3485"/>
      <c r="AA129" s="3288"/>
      <c r="AB129" s="3288"/>
      <c r="AC129" s="3485"/>
      <c r="AD129" s="3288"/>
      <c r="AE129" s="3288"/>
      <c r="AF129" s="3485"/>
      <c r="AG129" s="3288"/>
      <c r="AH129" s="3288"/>
      <c r="AI129" s="3485"/>
      <c r="AJ129" s="3288"/>
      <c r="AK129" s="3288"/>
      <c r="AL129" s="3485"/>
      <c r="AM129" s="3288"/>
      <c r="AN129" s="3288"/>
      <c r="AO129" s="3288"/>
      <c r="AP129" s="3288"/>
      <c r="AQ129" s="3288"/>
      <c r="AR129" s="849"/>
      <c r="AS129" s="849"/>
      <c r="AT129" s="850"/>
      <c r="AU129" s="850"/>
      <c r="AV129" s="850"/>
      <c r="AW129" s="850"/>
      <c r="AX129" s="848"/>
      <c r="AY129" s="201"/>
      <c r="AZ129" s="201"/>
      <c r="BA129" s="848"/>
      <c r="BB129" s="848"/>
      <c r="BC129" s="848"/>
      <c r="BD129" s="848"/>
      <c r="BE129" s="848"/>
      <c r="BF129" s="201"/>
      <c r="BG129" s="201"/>
      <c r="BH129" s="848"/>
      <c r="BI129" s="848"/>
      <c r="BJ129" s="848"/>
      <c r="BK129" s="848"/>
      <c r="BL129" s="848"/>
      <c r="BM129" s="201"/>
      <c r="BN129" s="201"/>
      <c r="BO129" s="201"/>
      <c r="BP129" s="848"/>
      <c r="BQ129" s="201"/>
      <c r="BR129" s="848"/>
      <c r="BS129" s="848"/>
      <c r="BT129" s="201"/>
      <c r="BU129" s="201"/>
      <c r="BV129" s="848"/>
      <c r="BW129" s="848"/>
      <c r="BX129" s="848"/>
      <c r="BY129" s="848"/>
      <c r="BZ129" s="848"/>
      <c r="CA129" s="201"/>
      <c r="CB129" s="201"/>
      <c r="CC129" s="848"/>
      <c r="CD129" s="848"/>
      <c r="CE129" s="848"/>
      <c r="CF129" s="848"/>
      <c r="CG129" s="848"/>
      <c r="CH129" s="3745"/>
      <c r="CI129" s="847"/>
      <c r="CJ129" s="851"/>
      <c r="CK129" s="851"/>
    </row>
    <row r="130" spans="1:89" s="786" customFormat="1" ht="20.5" customHeight="1">
      <c r="A130" s="816"/>
      <c r="B130" s="197"/>
      <c r="C130" s="197"/>
      <c r="D130" s="850"/>
      <c r="E130" s="850"/>
      <c r="F130" s="197"/>
      <c r="G130" s="842"/>
      <c r="H130" s="842"/>
      <c r="I130" s="842"/>
      <c r="J130" s="842"/>
      <c r="K130" s="842"/>
      <c r="L130" s="198"/>
      <c r="M130" s="199"/>
      <c r="N130" s="199"/>
      <c r="O130" s="198"/>
      <c r="P130" s="199"/>
      <c r="Q130" s="199"/>
      <c r="R130" s="199"/>
      <c r="S130" s="199"/>
      <c r="T130" s="197"/>
      <c r="U130" s="844"/>
      <c r="V130" s="3287"/>
      <c r="W130" s="202"/>
      <c r="X130" s="200"/>
      <c r="Y130" s="848"/>
      <c r="Z130" s="3485"/>
      <c r="AA130" s="3288"/>
      <c r="AB130" s="3288"/>
      <c r="AC130" s="3485"/>
      <c r="AD130" s="3288"/>
      <c r="AE130" s="3288"/>
      <c r="AF130" s="3485"/>
      <c r="AG130" s="3288"/>
      <c r="AH130" s="3288"/>
      <c r="AI130" s="3485"/>
      <c r="AJ130" s="3288"/>
      <c r="AK130" s="3288"/>
      <c r="AL130" s="3485"/>
      <c r="AM130" s="3288"/>
      <c r="AN130" s="3288"/>
      <c r="AO130" s="3288"/>
      <c r="AP130" s="3288"/>
      <c r="AQ130" s="3288"/>
      <c r="AR130" s="849"/>
      <c r="AS130" s="849"/>
      <c r="AT130" s="850"/>
      <c r="AU130" s="850"/>
      <c r="AV130" s="850"/>
      <c r="AW130" s="850"/>
      <c r="AX130" s="848"/>
      <c r="AY130" s="201"/>
      <c r="AZ130" s="201"/>
      <c r="BA130" s="848"/>
      <c r="BB130" s="848"/>
      <c r="BC130" s="848"/>
      <c r="BD130" s="848"/>
      <c r="BE130" s="848"/>
      <c r="BF130" s="201"/>
      <c r="BG130" s="201"/>
      <c r="BH130" s="848"/>
      <c r="BI130" s="848"/>
      <c r="BJ130" s="848"/>
      <c r="BK130" s="848"/>
      <c r="BL130" s="848"/>
      <c r="BM130" s="201"/>
      <c r="BN130" s="201"/>
      <c r="BO130" s="201"/>
      <c r="BP130" s="848"/>
      <c r="BQ130" s="201"/>
      <c r="BR130" s="848"/>
      <c r="BS130" s="848"/>
      <c r="BT130" s="201"/>
      <c r="BU130" s="201"/>
      <c r="BV130" s="848"/>
      <c r="BW130" s="848"/>
      <c r="BX130" s="848"/>
      <c r="BY130" s="848"/>
      <c r="BZ130" s="848"/>
      <c r="CA130" s="201"/>
      <c r="CB130" s="201"/>
      <c r="CC130" s="848"/>
      <c r="CD130" s="848"/>
      <c r="CE130" s="848"/>
      <c r="CF130" s="848"/>
      <c r="CG130" s="848"/>
      <c r="CH130" s="3745"/>
      <c r="CI130" s="847"/>
      <c r="CJ130" s="851"/>
      <c r="CK130" s="851"/>
    </row>
    <row r="143" spans="1:89" s="842" customFormat="1">
      <c r="A143" s="197"/>
      <c r="B143" s="197"/>
      <c r="C143" s="197"/>
      <c r="D143" s="854"/>
      <c r="E143" s="854"/>
      <c r="F143" s="855"/>
      <c r="L143" s="198"/>
      <c r="M143" s="199"/>
      <c r="N143" s="199"/>
      <c r="O143" s="198"/>
      <c r="P143" s="199"/>
      <c r="Q143" s="199"/>
      <c r="R143" s="199"/>
      <c r="S143" s="199"/>
      <c r="T143" s="197"/>
      <c r="U143" s="844"/>
      <c r="V143" s="3287"/>
      <c r="W143" s="202"/>
      <c r="X143" s="200"/>
      <c r="Y143" s="858"/>
      <c r="Z143" s="3485"/>
      <c r="AA143" s="3288"/>
      <c r="AB143" s="3288"/>
      <c r="AC143" s="3485"/>
      <c r="AD143" s="3288"/>
      <c r="AE143" s="3288"/>
      <c r="AF143" s="3485"/>
      <c r="AG143" s="3288"/>
      <c r="AH143" s="3288"/>
      <c r="AI143" s="3485"/>
      <c r="AJ143" s="3288"/>
      <c r="AK143" s="3288"/>
      <c r="AL143" s="3485"/>
      <c r="AM143" s="3288"/>
      <c r="AN143" s="3288"/>
      <c r="AO143" s="3288"/>
      <c r="AP143" s="3288"/>
      <c r="AQ143" s="3288"/>
      <c r="AR143" s="859"/>
      <c r="AS143" s="859"/>
      <c r="AT143" s="854"/>
      <c r="AU143" s="854"/>
      <c r="AV143" s="854"/>
      <c r="AW143" s="854"/>
      <c r="AX143" s="858"/>
      <c r="AY143" s="861"/>
      <c r="AZ143" s="861"/>
      <c r="BA143" s="858"/>
      <c r="BB143" s="858"/>
      <c r="BC143" s="858"/>
      <c r="BD143" s="858"/>
      <c r="BE143" s="858"/>
      <c r="BF143" s="861"/>
      <c r="BG143" s="861"/>
      <c r="BH143" s="858"/>
      <c r="BI143" s="858"/>
      <c r="BJ143" s="858"/>
      <c r="BK143" s="858"/>
      <c r="BL143" s="858"/>
      <c r="BM143" s="861"/>
      <c r="BN143" s="861"/>
      <c r="BO143" s="861"/>
      <c r="BP143" s="858"/>
      <c r="BQ143" s="861"/>
      <c r="BR143" s="858"/>
      <c r="BS143" s="858"/>
      <c r="BT143" s="861"/>
      <c r="BU143" s="861"/>
      <c r="BV143" s="858"/>
      <c r="BW143" s="858"/>
      <c r="BX143" s="858"/>
      <c r="BY143" s="858"/>
      <c r="BZ143" s="858"/>
      <c r="CA143" s="861"/>
      <c r="CB143" s="861"/>
      <c r="CC143" s="858"/>
      <c r="CD143" s="858"/>
      <c r="CE143" s="858"/>
      <c r="CF143" s="858"/>
      <c r="CG143" s="858"/>
      <c r="CH143" s="3746"/>
      <c r="CI143" s="200"/>
      <c r="CJ143" s="862"/>
      <c r="CK143" s="862"/>
    </row>
    <row r="147" spans="1:89" s="842" customFormat="1">
      <c r="A147" s="197"/>
      <c r="B147" s="197"/>
      <c r="C147" s="197"/>
      <c r="D147" s="854"/>
      <c r="E147" s="854"/>
      <c r="F147" s="855"/>
      <c r="L147" s="198"/>
      <c r="M147" s="199"/>
      <c r="N147" s="199"/>
      <c r="O147" s="198"/>
      <c r="P147" s="199"/>
      <c r="Q147" s="199"/>
      <c r="R147" s="199"/>
      <c r="S147" s="199"/>
      <c r="T147" s="197"/>
      <c r="U147" s="844"/>
      <c r="V147" s="3287"/>
      <c r="W147" s="202"/>
      <c r="X147" s="200"/>
      <c r="Y147" s="858"/>
      <c r="Z147" s="3485"/>
      <c r="AA147" s="3288"/>
      <c r="AB147" s="3288"/>
      <c r="AC147" s="3485"/>
      <c r="AD147" s="3288"/>
      <c r="AE147" s="3288"/>
      <c r="AF147" s="3485"/>
      <c r="AG147" s="3288"/>
      <c r="AH147" s="3288"/>
      <c r="AI147" s="3485"/>
      <c r="AJ147" s="3288"/>
      <c r="AK147" s="3288"/>
      <c r="AL147" s="3485"/>
      <c r="AM147" s="3288"/>
      <c r="AN147" s="3288"/>
      <c r="AO147" s="3288"/>
      <c r="AP147" s="3288"/>
      <c r="AQ147" s="3288"/>
      <c r="AR147" s="859"/>
      <c r="AS147" s="859"/>
      <c r="AT147" s="854"/>
      <c r="AU147" s="854"/>
      <c r="AV147" s="854"/>
      <c r="AW147" s="854"/>
      <c r="AX147" s="858"/>
      <c r="AY147" s="861"/>
      <c r="AZ147" s="861"/>
      <c r="BA147" s="858"/>
      <c r="BB147" s="858"/>
      <c r="BC147" s="858"/>
      <c r="BD147" s="858"/>
      <c r="BE147" s="858"/>
      <c r="BF147" s="861"/>
      <c r="BG147" s="861"/>
      <c r="BH147" s="858"/>
      <c r="BI147" s="858"/>
      <c r="BJ147" s="858"/>
      <c r="BK147" s="858"/>
      <c r="BL147" s="858"/>
      <c r="BM147" s="861"/>
      <c r="BN147" s="861"/>
      <c r="BO147" s="861"/>
      <c r="BP147" s="858"/>
      <c r="BQ147" s="861"/>
      <c r="BR147" s="858"/>
      <c r="BS147" s="858"/>
      <c r="BT147" s="861"/>
      <c r="BU147" s="861"/>
      <c r="BV147" s="858"/>
      <c r="BW147" s="858"/>
      <c r="BX147" s="858"/>
      <c r="BY147" s="858"/>
      <c r="BZ147" s="858"/>
      <c r="CA147" s="861"/>
      <c r="CB147" s="861"/>
      <c r="CC147" s="858"/>
      <c r="CD147" s="858"/>
      <c r="CE147" s="858"/>
      <c r="CF147" s="858"/>
      <c r="CG147" s="858"/>
      <c r="CH147" s="3746"/>
      <c r="CI147" s="200"/>
      <c r="CJ147" s="862"/>
      <c r="CK147" s="862"/>
    </row>
    <row r="157" spans="1:89" s="842" customFormat="1">
      <c r="A157" s="197"/>
      <c r="B157" s="197"/>
      <c r="C157" s="197"/>
      <c r="D157" s="854"/>
      <c r="E157" s="854"/>
      <c r="F157" s="855"/>
      <c r="L157" s="198"/>
      <c r="M157" s="199"/>
      <c r="N157" s="199"/>
      <c r="O157" s="198"/>
      <c r="P157" s="199"/>
      <c r="Q157" s="199"/>
      <c r="R157" s="199"/>
      <c r="S157" s="199"/>
      <c r="T157" s="197"/>
      <c r="U157" s="844"/>
      <c r="V157" s="3287"/>
      <c r="W157" s="202"/>
      <c r="X157" s="200"/>
      <c r="Y157" s="858"/>
      <c r="Z157" s="3485"/>
      <c r="AA157" s="3288"/>
      <c r="AB157" s="3288"/>
      <c r="AC157" s="3485"/>
      <c r="AD157" s="3288"/>
      <c r="AE157" s="3288"/>
      <c r="AF157" s="3485"/>
      <c r="AG157" s="3288"/>
      <c r="AH157" s="3288"/>
      <c r="AI157" s="3485"/>
      <c r="AJ157" s="3288"/>
      <c r="AK157" s="3288"/>
      <c r="AL157" s="3485"/>
      <c r="AM157" s="3288"/>
      <c r="AN157" s="3288"/>
      <c r="AO157" s="3288"/>
      <c r="AP157" s="3288"/>
      <c r="AQ157" s="3288"/>
      <c r="AR157" s="859"/>
      <c r="AS157" s="859"/>
      <c r="AT157" s="854"/>
      <c r="AU157" s="854"/>
      <c r="AV157" s="854"/>
      <c r="AW157" s="854"/>
      <c r="AX157" s="858"/>
      <c r="AY157" s="861"/>
      <c r="AZ157" s="861"/>
      <c r="BA157" s="858"/>
      <c r="BB157" s="858"/>
      <c r="BC157" s="858"/>
      <c r="BD157" s="858"/>
      <c r="BE157" s="858"/>
      <c r="BF157" s="861"/>
      <c r="BG157" s="861"/>
      <c r="BH157" s="858"/>
      <c r="BI157" s="858"/>
      <c r="BJ157" s="858"/>
      <c r="BK157" s="858"/>
      <c r="BL157" s="858"/>
      <c r="BM157" s="861"/>
      <c r="BN157" s="861"/>
      <c r="BO157" s="861"/>
      <c r="BP157" s="858"/>
      <c r="BQ157" s="861"/>
      <c r="BR157" s="858"/>
      <c r="BS157" s="858"/>
      <c r="BT157" s="861"/>
      <c r="BU157" s="861"/>
      <c r="BV157" s="858"/>
      <c r="BW157" s="858"/>
      <c r="BX157" s="858"/>
      <c r="BY157" s="858"/>
      <c r="BZ157" s="858"/>
      <c r="CA157" s="861"/>
      <c r="CB157" s="861"/>
      <c r="CC157" s="858"/>
      <c r="CD157" s="858"/>
      <c r="CE157" s="858"/>
      <c r="CF157" s="858"/>
      <c r="CG157" s="858"/>
      <c r="CH157" s="3746"/>
      <c r="CI157" s="200"/>
      <c r="CJ157" s="862"/>
      <c r="CK157" s="862"/>
    </row>
    <row r="161" spans="1:89" s="842" customFormat="1">
      <c r="A161" s="197"/>
      <c r="B161" s="197"/>
      <c r="C161" s="197"/>
      <c r="D161" s="854"/>
      <c r="E161" s="854"/>
      <c r="F161" s="855"/>
      <c r="L161" s="198"/>
      <c r="M161" s="199"/>
      <c r="N161" s="199"/>
      <c r="O161" s="198"/>
      <c r="P161" s="199"/>
      <c r="Q161" s="199"/>
      <c r="R161" s="199"/>
      <c r="S161" s="199"/>
      <c r="T161" s="197"/>
      <c r="U161" s="844"/>
      <c r="V161" s="3287"/>
      <c r="W161" s="202"/>
      <c r="X161" s="200"/>
      <c r="Y161" s="858"/>
      <c r="Z161" s="3485"/>
      <c r="AA161" s="3288"/>
      <c r="AB161" s="3288"/>
      <c r="AC161" s="3485"/>
      <c r="AD161" s="3288"/>
      <c r="AE161" s="3288"/>
      <c r="AF161" s="3485"/>
      <c r="AG161" s="3288"/>
      <c r="AH161" s="3288"/>
      <c r="AI161" s="3485"/>
      <c r="AJ161" s="3288"/>
      <c r="AK161" s="3288"/>
      <c r="AL161" s="3485"/>
      <c r="AM161" s="3288"/>
      <c r="AN161" s="3288"/>
      <c r="AO161" s="3288"/>
      <c r="AP161" s="3288"/>
      <c r="AQ161" s="3288"/>
      <c r="AR161" s="859"/>
      <c r="AS161" s="859"/>
      <c r="AT161" s="854"/>
      <c r="AU161" s="854"/>
      <c r="AV161" s="854"/>
      <c r="AW161" s="854"/>
      <c r="AX161" s="858"/>
      <c r="AY161" s="861"/>
      <c r="AZ161" s="861"/>
      <c r="BA161" s="858"/>
      <c r="BB161" s="858"/>
      <c r="BC161" s="858"/>
      <c r="BD161" s="858"/>
      <c r="BE161" s="858"/>
      <c r="BF161" s="861"/>
      <c r="BG161" s="861"/>
      <c r="BH161" s="858"/>
      <c r="BI161" s="858"/>
      <c r="BJ161" s="858"/>
      <c r="BK161" s="858"/>
      <c r="BL161" s="858"/>
      <c r="BM161" s="861"/>
      <c r="BN161" s="861"/>
      <c r="BO161" s="861"/>
      <c r="BP161" s="858"/>
      <c r="BQ161" s="861"/>
      <c r="BR161" s="858"/>
      <c r="BS161" s="858"/>
      <c r="BT161" s="861"/>
      <c r="BU161" s="861"/>
      <c r="BV161" s="858"/>
      <c r="BW161" s="858"/>
      <c r="BX161" s="858"/>
      <c r="BY161" s="858"/>
      <c r="BZ161" s="858"/>
      <c r="CA161" s="861"/>
      <c r="CB161" s="861"/>
      <c r="CC161" s="858"/>
      <c r="CD161" s="858"/>
      <c r="CE161" s="858"/>
      <c r="CF161" s="858"/>
      <c r="CG161" s="858"/>
      <c r="CH161" s="3746"/>
      <c r="CI161" s="200"/>
      <c r="CJ161" s="862"/>
      <c r="CK161" s="862"/>
    </row>
  </sheetData>
  <sheetProtection formatColumns="0"/>
  <autoFilter ref="A4:CK118" xr:uid="{7DDDC6CA-7526-44C0-AC79-2272EB3339DB}"/>
  <mergeCells count="37">
    <mergeCell ref="I115:O118"/>
    <mergeCell ref="P115:S115"/>
    <mergeCell ref="P116:S116"/>
    <mergeCell ref="P117:S117"/>
    <mergeCell ref="P118:S118"/>
    <mergeCell ref="W120:AF120"/>
    <mergeCell ref="AL3:AN3"/>
    <mergeCell ref="AR3:AR4"/>
    <mergeCell ref="AS3:AS4"/>
    <mergeCell ref="AT3:AT4"/>
    <mergeCell ref="AI3:AK3"/>
    <mergeCell ref="CJ3:CJ4"/>
    <mergeCell ref="CK3:CK4"/>
    <mergeCell ref="AO3:AO4"/>
    <mergeCell ref="AP3:AP4"/>
    <mergeCell ref="AQ3:AQ4"/>
    <mergeCell ref="P3:R3"/>
    <mergeCell ref="AA1:AC1"/>
    <mergeCell ref="CD1:CF1"/>
    <mergeCell ref="G2:H2"/>
    <mergeCell ref="I2:J2"/>
    <mergeCell ref="AC2:AN2"/>
    <mergeCell ref="K3:K4"/>
    <mergeCell ref="L3:L4"/>
    <mergeCell ref="M3:M4"/>
    <mergeCell ref="N3:N4"/>
    <mergeCell ref="O3:O4"/>
    <mergeCell ref="U3:U4"/>
    <mergeCell ref="V3:Y3"/>
    <mergeCell ref="AA3:AB3"/>
    <mergeCell ref="AC3:AE3"/>
    <mergeCell ref="AF3:AH3"/>
    <mergeCell ref="A3:B3"/>
    <mergeCell ref="C3:C4"/>
    <mergeCell ref="D3:D4"/>
    <mergeCell ref="G3:H3"/>
    <mergeCell ref="I3:J3"/>
  </mergeCells>
  <phoneticPr fontId="2"/>
  <conditionalFormatting sqref="A55:B55 B84:C85 B114:C114 B86:B91 C75 B92:C112">
    <cfRule type="containsText" dxfId="957" priority="43" operator="containsText" text="NGホテル">
      <formula>NOT(ISERROR(SEARCH("NGホテル",A55)))</formula>
    </cfRule>
    <cfRule type="containsText" dxfId="956" priority="44" operator="containsText" text="追加">
      <formula>NOT(ISERROR(SEARCH("追加",A55)))</formula>
    </cfRule>
  </conditionalFormatting>
  <conditionalFormatting sqref="B122">
    <cfRule type="duplicateValues" dxfId="955" priority="49"/>
  </conditionalFormatting>
  <conditionalFormatting sqref="C15 C36 B53:C53 C54 C69:C70 A77:C78 C79">
    <cfRule type="containsText" dxfId="954" priority="56" operator="containsText" text="NGホテル">
      <formula>NOT(ISERROR(SEARCH("NGホテル",A15)))</formula>
    </cfRule>
    <cfRule type="containsText" dxfId="953" priority="57" operator="containsText" text="追加">
      <formula>NOT(ISERROR(SEARCH("追加",A15)))</formula>
    </cfRule>
  </conditionalFormatting>
  <conditionalFormatting sqref="C19">
    <cfRule type="containsText" dxfId="952" priority="47" operator="containsText" text="NGホテル">
      <formula>NOT(ISERROR(SEARCH("NGホテル",C19)))</formula>
    </cfRule>
    <cfRule type="containsText" dxfId="951" priority="48" operator="containsText" text="追加">
      <formula>NOT(ISERROR(SEARCH("追加",C19)))</formula>
    </cfRule>
  </conditionalFormatting>
  <conditionalFormatting sqref="C33">
    <cfRule type="containsText" dxfId="950" priority="51" operator="containsText" text="NGホテル">
      <formula>NOT(ISERROR(SEARCH("NGホテル",C33)))</formula>
    </cfRule>
    <cfRule type="containsText" dxfId="949" priority="52" operator="containsText" text="追加">
      <formula>NOT(ISERROR(SEARCH("追加",C33)))</formula>
    </cfRule>
  </conditionalFormatting>
  <conditionalFormatting sqref="K95:K114 K5:K93">
    <cfRule type="expression" dxfId="948" priority="42">
      <formula>J5&lt;K5</formula>
    </cfRule>
  </conditionalFormatting>
  <conditionalFormatting sqref="M95:O114 M5:O93">
    <cfRule type="cellIs" dxfId="947" priority="40" operator="equal">
      <formula>"ケータリング"</formula>
    </cfRule>
    <cfRule type="expression" dxfId="946" priority="41">
      <formula>#REF!="ケータリング"</formula>
    </cfRule>
  </conditionalFormatting>
  <conditionalFormatting sqref="P33:R33 P36:R36">
    <cfRule type="containsText" dxfId="945" priority="54" operator="containsText" text="未調査">
      <formula>NOT(ISERROR(SEARCH("未調査",P33)))</formula>
    </cfRule>
    <cfRule type="containsText" dxfId="944" priority="58" operator="containsText" text="ケータリング">
      <formula>NOT(ISERROR(SEARCH("ケータリング",P33)))</formula>
    </cfRule>
  </conditionalFormatting>
  <conditionalFormatting sqref="P53:R57">
    <cfRule type="cellIs" dxfId="943" priority="39" operator="lessThan">
      <formula>0</formula>
    </cfRule>
  </conditionalFormatting>
  <conditionalFormatting sqref="P95:R95">
    <cfRule type="cellIs" dxfId="942" priority="35" operator="lessThan">
      <formula>0</formula>
    </cfRule>
  </conditionalFormatting>
  <conditionalFormatting sqref="P96:R96">
    <cfRule type="containsText" dxfId="941" priority="36" operator="containsText" text="未調査">
      <formula>NOT(ISERROR(SEARCH("未調査",P96)))</formula>
    </cfRule>
    <cfRule type="containsText" dxfId="940" priority="37" operator="containsText" text="ケータリング">
      <formula>NOT(ISERROR(SEARCH("ケータリング",P96)))</formula>
    </cfRule>
  </conditionalFormatting>
  <conditionalFormatting sqref="P98:R98">
    <cfRule type="containsText" dxfId="939" priority="33" operator="containsText" text="未調査">
      <formula>NOT(ISERROR(SEARCH("未調査",P98)))</formula>
    </cfRule>
    <cfRule type="containsText" dxfId="938" priority="34" operator="containsText" text="ケータリング">
      <formula>NOT(ISERROR(SEARCH("ケータリング",P98)))</formula>
    </cfRule>
  </conditionalFormatting>
  <conditionalFormatting sqref="P102:R102">
    <cfRule type="containsText" dxfId="937" priority="31" operator="containsText" text="未調査">
      <formula>NOT(ISERROR(SEARCH("未調査",P102)))</formula>
    </cfRule>
    <cfRule type="containsText" dxfId="936" priority="32" operator="containsText" text="ケータリング">
      <formula>NOT(ISERROR(SEARCH("ケータリング",P102)))</formula>
    </cfRule>
  </conditionalFormatting>
  <conditionalFormatting sqref="P108:R108">
    <cfRule type="containsText" dxfId="935" priority="29" operator="containsText" text="未調査">
      <formula>NOT(ISERROR(SEARCH("未調査",P108)))</formula>
    </cfRule>
    <cfRule type="containsText" dxfId="934" priority="30" operator="containsText" text="ケータリング">
      <formula>NOT(ISERROR(SEARCH("ケータリング",P108)))</formula>
    </cfRule>
  </conditionalFormatting>
  <conditionalFormatting sqref="P112:R112">
    <cfRule type="containsText" dxfId="933" priority="26" operator="containsText" text="未調査">
      <formula>NOT(ISERROR(SEARCH("未調査",P112)))</formula>
    </cfRule>
    <cfRule type="containsText" dxfId="932" priority="27" operator="containsText" text="ケータリング">
      <formula>NOT(ISERROR(SEARCH("ケータリング",P112)))</formula>
    </cfRule>
  </conditionalFormatting>
  <conditionalFormatting sqref="P1:S2 P3 S3:S4 P77:R79 Q92:R92 P93:R93 P60:R74">
    <cfRule type="cellIs" dxfId="931" priority="53" operator="lessThan">
      <formula>0</formula>
    </cfRule>
  </conditionalFormatting>
  <conditionalFormatting sqref="P119:S1048576">
    <cfRule type="cellIs" dxfId="930" priority="55" operator="lessThan">
      <formula>0</formula>
    </cfRule>
  </conditionalFormatting>
  <conditionalFormatting sqref="Q104:R104 P105:R105 Q106:R106 P107:R107">
    <cfRule type="cellIs" dxfId="929" priority="28" operator="lessThan">
      <formula>0</formula>
    </cfRule>
  </conditionalFormatting>
  <conditionalFormatting sqref="U1:U3 U115:U1048576">
    <cfRule type="containsText" dxfId="928" priority="50" operator="containsText" text="不可">
      <formula>NOT(ISERROR(SEARCH("不可",U1)))</formula>
    </cfRule>
  </conditionalFormatting>
  <conditionalFormatting sqref="AB5:AB114">
    <cfRule type="cellIs" dxfId="927" priority="38" operator="greaterThan">
      <formula>"45分"</formula>
    </cfRule>
  </conditionalFormatting>
  <conditionalFormatting sqref="C17">
    <cfRule type="containsText" dxfId="926" priority="24" operator="containsText" text="NGホテル">
      <formula>NOT(ISERROR(SEARCH("NGホテル",C17)))</formula>
    </cfRule>
    <cfRule type="containsText" dxfId="925" priority="25" operator="containsText" text="追加">
      <formula>NOT(ISERROR(SEARCH("追加",C17)))</formula>
    </cfRule>
  </conditionalFormatting>
  <conditionalFormatting sqref="C67">
    <cfRule type="containsText" dxfId="924" priority="22" operator="containsText" text="NGホテル">
      <formula>NOT(ISERROR(SEARCH("NGホテル",C67)))</formula>
    </cfRule>
    <cfRule type="containsText" dxfId="923" priority="23" operator="containsText" text="追加">
      <formula>NOT(ISERROR(SEARCH("追加",C67)))</formula>
    </cfRule>
  </conditionalFormatting>
  <conditionalFormatting sqref="C71">
    <cfRule type="containsText" dxfId="922" priority="20" operator="containsText" text="NGホテル">
      <formula>NOT(ISERROR(SEARCH("NGホテル",C71)))</formula>
    </cfRule>
    <cfRule type="containsText" dxfId="921" priority="21" operator="containsText" text="追加">
      <formula>NOT(ISERROR(SEARCH("追加",C71)))</formula>
    </cfRule>
  </conditionalFormatting>
  <conditionalFormatting sqref="C73">
    <cfRule type="containsText" dxfId="920" priority="18" operator="containsText" text="NGホテル">
      <formula>NOT(ISERROR(SEARCH("NGホテル",C73)))</formula>
    </cfRule>
    <cfRule type="containsText" dxfId="919" priority="19" operator="containsText" text="追加">
      <formula>NOT(ISERROR(SEARCH("追加",C73)))</formula>
    </cfRule>
  </conditionalFormatting>
  <conditionalFormatting sqref="P80:R83">
    <cfRule type="cellIs" dxfId="918" priority="17" operator="lessThan">
      <formula>0</formula>
    </cfRule>
  </conditionalFormatting>
  <conditionalFormatting sqref="C80">
    <cfRule type="containsText" dxfId="917" priority="15" operator="containsText" text="NGホテル">
      <formula>NOT(ISERROR(SEARCH("NGホテル",C80)))</formula>
    </cfRule>
    <cfRule type="containsText" dxfId="916" priority="16" operator="containsText" text="追加">
      <formula>NOT(ISERROR(SEARCH("追加",C80)))</formula>
    </cfRule>
  </conditionalFormatting>
  <conditionalFormatting sqref="C82">
    <cfRule type="containsText" dxfId="915" priority="13" operator="containsText" text="NGホテル">
      <formula>NOT(ISERROR(SEARCH("NGホテル",C82)))</formula>
    </cfRule>
    <cfRule type="containsText" dxfId="914" priority="14" operator="containsText" text="追加">
      <formula>NOT(ISERROR(SEARCH("追加",C82)))</formula>
    </cfRule>
  </conditionalFormatting>
  <conditionalFormatting sqref="P86:R87">
    <cfRule type="cellIs" dxfId="913" priority="12" operator="lessThan">
      <formula>0</formula>
    </cfRule>
  </conditionalFormatting>
  <conditionalFormatting sqref="C86">
    <cfRule type="containsText" dxfId="912" priority="10" operator="containsText" text="NGホテル">
      <formula>NOT(ISERROR(SEARCH("NGホテル",C86)))</formula>
    </cfRule>
    <cfRule type="containsText" dxfId="911" priority="11" operator="containsText" text="追加">
      <formula>NOT(ISERROR(SEARCH("追加",C86)))</formula>
    </cfRule>
  </conditionalFormatting>
  <conditionalFormatting sqref="P88:R91">
    <cfRule type="cellIs" dxfId="910" priority="9" operator="lessThan">
      <formula>0</formula>
    </cfRule>
  </conditionalFormatting>
  <conditionalFormatting sqref="C88">
    <cfRule type="containsText" dxfId="909" priority="7" operator="containsText" text="NGホテル">
      <formula>NOT(ISERROR(SEARCH("NGホテル",C88)))</formula>
    </cfRule>
    <cfRule type="containsText" dxfId="908" priority="8" operator="containsText" text="追加">
      <formula>NOT(ISERROR(SEARCH("追加",C88)))</formula>
    </cfRule>
  </conditionalFormatting>
  <conditionalFormatting sqref="C90">
    <cfRule type="containsText" dxfId="907" priority="5" operator="containsText" text="NGホテル">
      <formula>NOT(ISERROR(SEARCH("NGホテル",C90)))</formula>
    </cfRule>
    <cfRule type="containsText" dxfId="906" priority="6" operator="containsText" text="追加">
      <formula>NOT(ISERROR(SEARCH("追加",C90)))</formula>
    </cfRule>
  </conditionalFormatting>
  <conditionalFormatting sqref="P100:R100">
    <cfRule type="containsText" dxfId="905" priority="3" operator="containsText" text="未調査">
      <formula>NOT(ISERROR(SEARCH("未調査",P100)))</formula>
    </cfRule>
    <cfRule type="containsText" dxfId="904" priority="4" operator="containsText" text="ケータリング">
      <formula>NOT(ISERROR(SEARCH("ケータリング",P100)))</formula>
    </cfRule>
  </conditionalFormatting>
  <conditionalFormatting sqref="P110:R110">
    <cfRule type="containsText" dxfId="903" priority="1" operator="containsText" text="未調査">
      <formula>NOT(ISERROR(SEARCH("未調査",P110)))</formula>
    </cfRule>
    <cfRule type="containsText" dxfId="902" priority="2" operator="containsText" text="ケータリング">
      <formula>NOT(ISERROR(SEARCH("ケータリング",P110)))</formula>
    </cfRule>
  </conditionalFormatting>
  <conditionalFormatting sqref="V5:V114">
    <cfRule type="duplicateValues" dxfId="901" priority="187"/>
  </conditionalFormatting>
  <dataValidations count="3">
    <dataValidation showInputMessage="1" showErrorMessage="1" sqref="AO61:AR61 AR5:CH5 AO92:AR92 AO53:AR53 AO55:AR55 AO65:AR65 Z69 AO75:AR75 Z63 Y53:Z53 Z55 Z65 AT63:CH63 Y75:Z75 AT61:CH61 Y84:Z84 Z77:Z78 Z43:Z44 AM14:AQ14 CI36:CI37 AT69:CH69 AO7:CH7 BY17:CF17 AX115:CH115 AO25:CH25 AT37:CH37 Z57 AO16:AQ18 W21:Y22 Y23:Z23 Z5 Y111 AT55:CH55 CC80:CF80 Y25:Z25 AT75:CH75 AO84:CH84 AS36:AS37 AO37:AR37 Y37:Z37 AO46:CI46 AO19:CI19 AT53:CH53 AO39:CH39 AR23:CH24 AS114 Z46 Y39:Z39 Z61 Z92 Z15 AO63:AR63 Y94:Z94 AO98:AR98 AO94:AR94 AO96:AR96 AT92:CH92 AT94:CH94 Y96:Z96 Y98:Z98 CI114:CK114 Y112:Z112 AO112:AR112 AO102:AR102 AT98:CH98 Y102:Z102 Y104:Z104 AT108:CH108 AO104:AR104 AO108:AR108 AO10:CH10 AT96:CH96 AT102:CH102 Y108:Z108 CI9:CI10 Y10:Z10 CI5:CI7 Z7 AO13:CH13 CI12:CI18 AT112:CH112 Y13:Z13 AO113:AQ114 AO69:AR69 AO57:AR57 AT57:CH57 Z33 AR33:CI33 AL5:AN13 AO5:AQ6 AO8:AQ9 AO11:AQ12 AO40:AQ42 AO38:AQ38 AO26:AQ36 AO45:AQ45 AO47:AQ52 AO54:AQ54 AO56:AQ56 AO58:AQ60 AO62:AQ62 AO66:AQ68 AO76:AQ76 AO93:AQ93 AO95:AQ95 AO97:AQ97 Y113:Y114 AO103:AQ103 Y101 Y107 Y5:Y9 Y11:Y12 Y24 Y26:Y36 Y38 Y99 Y95 Y97 AO99:AQ101 Y103 AO105:AQ107 Y100:Z100 AO109:AQ111 Y105 Y106:Z106 Y109 Y110:Z110 AM15:CH15 AX17:BJ17 AO77:CH78 AT104:CH104 AX110:AY110 AX106:BA106 BY106:CF106 CC110:CF110 BW100:CF100 AX100:BH100 AX90:BM90 BY90:CF90 AX88:BH88 BS88:CF88 CH86 CH80 CH82 CH73 CH71 CH17 CH27 CH29 CH31 CH41 CH49 CH51 CH67 CH88 CH90 CH100 CH106 CH110 AX27:BK27 CB27:CF27 CC29:CF29 CF31 AX29 AX31 AX41:AZ41 CC41:CF41 AX49:BR49 CC49:CF49 CC51:CF51 AX51:BF51 AX71:BH71 AX73:BJ73 CB71:CF71 CB73:CF73 CC82:CF82 AX80:BN80 AX82:BP82 CC86:CF86 AX86:BD86 CI48:CI57 AS53:AS57 AO20:AQ24 AL23:AN33 CI23:CI25 Y40:Y52 AO43:CH44 CI39:CI44 AO64:AQ64 Y54:Y74 AO70:AQ74 AS60:AS75 CI60:CI76 Y76:Y83 AO79:AQ83 AS80:AS83 AO85:AQ91 Y85:Y93 CI77:CK112 AA34:AN114 W23:X114 AS88:AS112 AA5:AK33 W5:X20 Y14:Y19 AM16:AN22 AL14:AL22" xr:uid="{2D02C83F-83D1-4E54-89C1-281D21D05C74}"/>
    <dataValidation type="list" allowBlank="1" showInputMessage="1" showErrorMessage="1" sqref="V1:X1 X122 Y128:Y1048576 CI115:CI122 AX124:CI1048576 CJ115:CK1048576 CF120:CH121 AM122:AQ122 AR1:AS2 AF121:AF1048576 AL115:AL1048576 Y1:Z2 AI115:AI1048576 Z121:Z1048576 AC121:AC1048576 AR115:AW1048576 Y115:Z115 AA122:AB122 Y117:Z117 AX116:CE121 AC115:AC119 AF115:AF119 AD122:AE122 AG122:AH122 AJ122:AK122 AD1:AQ1" xr:uid="{74B52CE9-E2B4-4E3A-A88B-7F19A6BB9C4D}">
      <formula1>#REF!</formula1>
    </dataValidation>
    <dataValidation type="list" allowBlank="1" showInputMessage="1" showErrorMessage="1" sqref="U5:U114" xr:uid="{97384C4A-732C-448C-81EC-9E99E0A9E1CB}">
      <formula1>$U$126:$U$128</formula1>
    </dataValidation>
  </dataValidations>
  <printOptions horizontalCentered="1"/>
  <pageMargins left="0.23622047244094491" right="0.23622047244094491" top="0.74803149606299213" bottom="0.74803149606299213" header="0.31496062992125984" footer="0.31496062992125984"/>
  <pageSetup paperSize="8" scale="18" fitToHeight="0" pageOrder="overThenDown" orientation="landscape" r:id="rId1"/>
  <headerFooter>
    <oddFooter>&amp;C&amp;14&amp;P / &amp;N ページ</oddFooter>
  </headerFooter>
  <rowBreaks count="2" manualBreakCount="2">
    <brk id="45" max="79" man="1"/>
    <brk id="76" max="16383" man="1"/>
  </rowBreaks>
  <colBreaks count="1" manualBreakCount="1">
    <brk id="49" max="110" man="1"/>
  </colBreaks>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B3CA-ACE6-4FD7-818E-E83C9A1B0B98}">
  <sheetPr codeName="Sheet295">
    <tabColor rgb="FFFFC000"/>
    <pageSetUpPr fitToPage="1"/>
  </sheetPr>
  <dimension ref="A1:CA44"/>
  <sheetViews>
    <sheetView view="pageBreakPreview" zoomScale="55" zoomScaleNormal="49" zoomScaleSheetLayoutView="55" workbookViewId="0">
      <selection activeCell="K27" sqref="K27"/>
    </sheetView>
  </sheetViews>
  <sheetFormatPr defaultColWidth="9.453125" defaultRowHeight="13" outlineLevelCol="1"/>
  <cols>
    <col min="2" max="2" width="5" customWidth="1"/>
    <col min="3" max="3" width="8.7265625" customWidth="1"/>
    <col min="4" max="4" width="7.7265625" customWidth="1"/>
    <col min="5" max="5" width="31.1796875" bestFit="1" customWidth="1"/>
    <col min="6" max="7" width="5.26953125" customWidth="1"/>
    <col min="8" max="8" width="9.81640625" style="1064" customWidth="1"/>
    <col min="9" max="9" width="9.81640625" customWidth="1"/>
    <col min="10" max="10" width="13.7265625" customWidth="1"/>
    <col min="11" max="12" width="7.7265625" customWidth="1"/>
    <col min="13" max="13" width="37.7265625" bestFit="1" customWidth="1"/>
    <col min="14" max="14" width="6.1796875" customWidth="1"/>
    <col min="15" max="30" width="6.453125" hidden="1" customWidth="1" outlineLevel="1"/>
    <col min="31" max="31" width="5.54296875" customWidth="1" collapsed="1"/>
    <col min="32" max="32" width="5.54296875" customWidth="1"/>
    <col min="33" max="48" width="6.453125" hidden="1" customWidth="1" outlineLevel="1"/>
    <col min="49" max="49" width="5.54296875" customWidth="1" collapsed="1"/>
    <col min="50" max="50" width="5.54296875" customWidth="1"/>
    <col min="51" max="51" width="4.453125" customWidth="1"/>
    <col min="52" max="58" width="3.453125" customWidth="1"/>
    <col min="59" max="59" width="5.54296875" customWidth="1"/>
    <col min="60" max="60" width="3.453125" customWidth="1"/>
    <col min="61" max="61" width="70.1796875" customWidth="1"/>
    <col min="62" max="62" width="12.1796875" style="1064" bestFit="1" customWidth="1"/>
    <col min="63" max="68" width="4.453125" customWidth="1"/>
    <col min="69" max="69" width="8.81640625" customWidth="1"/>
    <col min="70" max="73" width="4.453125" customWidth="1"/>
    <col min="74" max="75" width="12.54296875" customWidth="1"/>
    <col min="76" max="76" width="29" customWidth="1"/>
    <col min="77" max="77" width="7.1796875" customWidth="1"/>
  </cols>
  <sheetData>
    <row r="1" spans="1:79" ht="45" customHeight="1">
      <c r="B1" s="3601" t="s">
        <v>3626</v>
      </c>
      <c r="C1" s="3600"/>
      <c r="D1" s="3600"/>
      <c r="E1" s="3600"/>
      <c r="F1" s="3600"/>
      <c r="G1" s="3600"/>
      <c r="H1" s="3600"/>
      <c r="I1" s="3600"/>
      <c r="J1" s="3600"/>
      <c r="K1" s="3600"/>
      <c r="L1" s="3600"/>
      <c r="M1" s="3600"/>
      <c r="N1" s="3600"/>
      <c r="O1" s="3600"/>
      <c r="P1" s="3600"/>
      <c r="Q1" s="3600"/>
      <c r="R1" s="3600"/>
      <c r="S1" s="3600"/>
      <c r="T1" s="3600"/>
      <c r="U1" s="3600"/>
      <c r="V1" s="3600"/>
      <c r="W1" s="3600"/>
      <c r="X1" s="3600"/>
      <c r="Y1" s="3600"/>
      <c r="Z1" s="3600"/>
      <c r="AA1" s="3600"/>
      <c r="AB1" s="3600"/>
      <c r="AC1" s="3600"/>
      <c r="AD1" s="3600"/>
      <c r="AE1" s="3600"/>
      <c r="AF1" s="3600"/>
      <c r="AG1" s="3600"/>
      <c r="AH1" s="3600"/>
      <c r="AI1" s="3600"/>
      <c r="AJ1" s="3600"/>
      <c r="AK1" s="3600"/>
      <c r="AL1" s="3600"/>
      <c r="AM1" s="3600"/>
      <c r="AN1" s="3600"/>
      <c r="AO1" s="3600"/>
      <c r="AP1" s="3600"/>
      <c r="AQ1" s="3600"/>
      <c r="AR1" s="3600"/>
      <c r="AS1" s="3600"/>
      <c r="AT1" s="3600"/>
      <c r="AU1" s="3600"/>
      <c r="AV1" s="3600"/>
      <c r="AW1" s="3600"/>
      <c r="AX1" s="3600"/>
      <c r="AY1" s="3600"/>
      <c r="AZ1" s="3600"/>
      <c r="BA1" s="3600"/>
      <c r="BB1" s="3600"/>
      <c r="BC1" s="3600"/>
      <c r="BD1" s="3600"/>
      <c r="BE1" s="3600"/>
      <c r="BF1" s="3600"/>
      <c r="BG1" s="3600"/>
      <c r="BH1" s="3600"/>
      <c r="BI1" s="3490"/>
    </row>
    <row r="2" spans="1:79" s="1078" customFormat="1" ht="11.15" customHeight="1">
      <c r="B2" s="1080"/>
      <c r="C2" s="3491"/>
      <c r="D2" s="1080"/>
      <c r="E2" s="1080"/>
      <c r="F2" s="3492"/>
      <c r="G2" s="3492"/>
      <c r="H2" s="3493"/>
      <c r="I2" s="3494"/>
      <c r="O2" s="3495"/>
      <c r="P2" s="3495"/>
      <c r="Q2" s="3495"/>
      <c r="R2" s="3495"/>
      <c r="S2" s="3495"/>
      <c r="T2" s="3495"/>
      <c r="U2" s="3495"/>
      <c r="V2" s="3495"/>
      <c r="W2" s="3495"/>
      <c r="X2" s="3495"/>
      <c r="Y2" s="3495"/>
      <c r="Z2" s="3495"/>
      <c r="AA2" s="3495"/>
      <c r="AB2" s="3495"/>
      <c r="AC2" s="3495"/>
      <c r="AD2" s="3495"/>
      <c r="AE2" s="1125"/>
      <c r="AF2" s="3496"/>
      <c r="AG2" s="3497"/>
      <c r="AH2" s="3497"/>
      <c r="AI2" s="3497"/>
      <c r="AJ2" s="3497"/>
      <c r="AK2" s="3497"/>
      <c r="AL2" s="3497"/>
      <c r="AM2" s="3497"/>
      <c r="AN2" s="3497"/>
      <c r="AO2" s="3497"/>
      <c r="AP2" s="3497"/>
      <c r="AQ2" s="3497"/>
      <c r="AR2" s="3497"/>
      <c r="AS2" s="3497"/>
      <c r="AT2" s="3497"/>
      <c r="AU2" s="3497"/>
      <c r="AV2" s="1125"/>
      <c r="AW2" s="1125"/>
      <c r="AX2" s="3496"/>
      <c r="AY2" s="3498"/>
      <c r="AZ2" s="1080"/>
      <c r="BA2" s="1080"/>
      <c r="BB2" s="1080"/>
      <c r="BC2" s="1080"/>
      <c r="BD2" s="1080"/>
      <c r="BE2" s="1080"/>
      <c r="BF2" s="1080"/>
      <c r="BG2" s="1080"/>
      <c r="BH2" s="1080"/>
      <c r="BI2" s="1059"/>
      <c r="BJ2" s="3499"/>
      <c r="BK2" s="1550"/>
      <c r="BL2" s="1550"/>
      <c r="BM2" s="1550"/>
      <c r="BN2" s="1550"/>
      <c r="BO2" s="1550"/>
      <c r="BP2" s="1550"/>
      <c r="BQ2" s="1550"/>
      <c r="BR2" s="1550"/>
      <c r="BS2" s="1550"/>
      <c r="BT2" s="1550"/>
      <c r="BU2" s="1550"/>
      <c r="BV2" s="1550"/>
      <c r="BW2" s="1550"/>
      <c r="BX2" s="1550"/>
      <c r="BY2" s="1550"/>
      <c r="BZ2" s="1550"/>
    </row>
    <row r="3" spans="1:79" s="3502" customFormat="1" ht="15.65" customHeight="1">
      <c r="B3" s="6558" t="s">
        <v>3110</v>
      </c>
      <c r="C3" s="6558"/>
      <c r="D3" s="6558"/>
      <c r="E3" s="6558"/>
      <c r="F3" s="6558"/>
      <c r="G3" s="6560" t="s">
        <v>3627</v>
      </c>
      <c r="H3" s="6562" t="s">
        <v>3628</v>
      </c>
      <c r="I3" s="6562"/>
      <c r="J3" s="6563" t="s">
        <v>3112</v>
      </c>
      <c r="K3" s="6563"/>
      <c r="L3" s="6563"/>
      <c r="M3" s="6563"/>
      <c r="N3" s="6563"/>
      <c r="O3" s="6563"/>
      <c r="P3" s="6563"/>
      <c r="Q3" s="6563"/>
      <c r="R3" s="6563"/>
      <c r="S3" s="6563"/>
      <c r="T3" s="6563"/>
      <c r="U3" s="6563"/>
      <c r="V3" s="6563"/>
      <c r="W3" s="6563"/>
      <c r="X3" s="6563"/>
      <c r="Y3" s="6563"/>
      <c r="Z3" s="6563"/>
      <c r="AA3" s="6563"/>
      <c r="AB3" s="6563"/>
      <c r="AC3" s="6563"/>
      <c r="AD3" s="6563"/>
      <c r="AE3" s="6563"/>
      <c r="AF3" s="6563"/>
      <c r="AG3" s="6563"/>
      <c r="AH3" s="6563"/>
      <c r="AI3" s="6563"/>
      <c r="AJ3" s="6563"/>
      <c r="AK3" s="6563"/>
      <c r="AL3" s="6563"/>
      <c r="AM3" s="6563"/>
      <c r="AN3" s="6563"/>
      <c r="AO3" s="6563"/>
      <c r="AP3" s="6563"/>
      <c r="AQ3" s="6563"/>
      <c r="AR3" s="6563"/>
      <c r="AS3" s="6563"/>
      <c r="AT3" s="6563"/>
      <c r="AU3" s="6563"/>
      <c r="AV3" s="6563"/>
      <c r="AW3" s="6563"/>
      <c r="AX3" s="6563"/>
      <c r="AY3" s="6563"/>
      <c r="AZ3" s="6563"/>
      <c r="BA3" s="6563"/>
      <c r="BB3" s="6563"/>
      <c r="BC3" s="6563"/>
      <c r="BD3" s="6563"/>
      <c r="BE3" s="6563"/>
      <c r="BF3" s="6563"/>
      <c r="BG3" s="6563"/>
      <c r="BH3" s="6563"/>
      <c r="BI3" s="3501"/>
      <c r="BJ3" s="3499"/>
      <c r="BK3" s="1550"/>
      <c r="BL3" s="1550"/>
      <c r="BM3" s="1550"/>
      <c r="BN3" s="1550"/>
      <c r="BO3" s="1550"/>
      <c r="BP3" s="1550"/>
      <c r="BQ3" s="1550"/>
      <c r="BR3" s="1550"/>
      <c r="BS3" s="1550"/>
      <c r="BT3" s="1550"/>
      <c r="BU3" s="1550"/>
      <c r="BV3" s="1550"/>
      <c r="BW3" s="1550"/>
      <c r="BX3" s="1550"/>
      <c r="BY3" s="1550"/>
      <c r="BZ3" s="1550"/>
    </row>
    <row r="4" spans="1:79" s="3502" customFormat="1" ht="15.65" customHeight="1">
      <c r="B4" s="6558"/>
      <c r="C4" s="6558"/>
      <c r="D4" s="6558"/>
      <c r="E4" s="6558"/>
      <c r="F4" s="6558"/>
      <c r="G4" s="6594"/>
      <c r="H4" s="6562"/>
      <c r="I4" s="6562"/>
      <c r="J4" s="3501" t="s">
        <v>2566</v>
      </c>
      <c r="K4" s="3503" t="s">
        <v>2552</v>
      </c>
      <c r="L4" s="3503" t="s">
        <v>6965</v>
      </c>
      <c r="M4" s="3504"/>
      <c r="N4" s="3500" t="s">
        <v>2553</v>
      </c>
      <c r="O4" s="6563" t="s">
        <v>2554</v>
      </c>
      <c r="P4" s="6563"/>
      <c r="Q4" s="6563"/>
      <c r="R4" s="6563"/>
      <c r="S4" s="6563"/>
      <c r="T4" s="6563"/>
      <c r="U4" s="6563"/>
      <c r="V4" s="6563"/>
      <c r="W4" s="6563"/>
      <c r="X4" s="6563"/>
      <c r="Y4" s="6563"/>
      <c r="Z4" s="6563"/>
      <c r="AA4" s="6563"/>
      <c r="AB4" s="6563"/>
      <c r="AC4" s="6563"/>
      <c r="AD4" s="6563"/>
      <c r="AE4" s="6563"/>
      <c r="AF4" s="6563"/>
      <c r="AG4" s="6563" t="s">
        <v>2555</v>
      </c>
      <c r="AH4" s="6563"/>
      <c r="AI4" s="6563"/>
      <c r="AJ4" s="6563"/>
      <c r="AK4" s="6563"/>
      <c r="AL4" s="6563"/>
      <c r="AM4" s="6563"/>
      <c r="AN4" s="6563"/>
      <c r="AO4" s="6563"/>
      <c r="AP4" s="6563"/>
      <c r="AQ4" s="6563"/>
      <c r="AR4" s="6563"/>
      <c r="AS4" s="6563"/>
      <c r="AT4" s="6563"/>
      <c r="AU4" s="6563"/>
      <c r="AV4" s="6563"/>
      <c r="AW4" s="6563"/>
      <c r="AX4" s="6563"/>
      <c r="AY4" s="6563"/>
      <c r="AZ4" s="6563" t="s">
        <v>2556</v>
      </c>
      <c r="BA4" s="6563"/>
      <c r="BB4" s="6563" t="s">
        <v>2557</v>
      </c>
      <c r="BC4" s="6563"/>
      <c r="BD4" s="6563" t="s">
        <v>2558</v>
      </c>
      <c r="BE4" s="6563"/>
      <c r="BF4" s="6563"/>
      <c r="BG4" s="3500" t="s">
        <v>2088</v>
      </c>
      <c r="BH4" s="3500" t="s">
        <v>2559</v>
      </c>
      <c r="BI4" s="3500"/>
      <c r="BJ4" s="3499"/>
      <c r="BK4" s="1550"/>
      <c r="BL4" s="1550"/>
      <c r="BM4" s="1550"/>
      <c r="BN4" s="1550"/>
      <c r="BO4" s="1550"/>
      <c r="BP4" s="1550"/>
      <c r="BQ4" s="1550"/>
      <c r="BR4" s="1550"/>
      <c r="BS4" s="1550"/>
      <c r="BT4" s="1550"/>
      <c r="BU4" s="1550"/>
      <c r="BV4" s="1550"/>
      <c r="BW4" s="1550"/>
      <c r="BX4" s="1550"/>
      <c r="BY4" s="1550"/>
      <c r="BZ4" s="1550"/>
    </row>
    <row r="5" spans="1:79" s="3502" customFormat="1" ht="20.149999999999999" customHeight="1" thickBot="1">
      <c r="A5" s="3929" t="s">
        <v>3629</v>
      </c>
      <c r="B5" s="6558"/>
      <c r="C5" s="6558"/>
      <c r="D5" s="6558"/>
      <c r="E5" s="6558"/>
      <c r="F5" s="6558"/>
      <c r="G5" s="6594"/>
      <c r="H5" s="6587"/>
      <c r="I5" s="6587"/>
      <c r="J5" s="3501" t="s">
        <v>2598</v>
      </c>
      <c r="K5" s="3503" t="s">
        <v>2567</v>
      </c>
      <c r="L5" s="3503" t="s">
        <v>6966</v>
      </c>
      <c r="M5" s="3500" t="s">
        <v>2568</v>
      </c>
      <c r="N5" s="3505" t="s">
        <v>2101</v>
      </c>
      <c r="O5" s="3506" t="s">
        <v>2569</v>
      </c>
      <c r="P5" s="3506" t="s">
        <v>2570</v>
      </c>
      <c r="Q5" s="3506" t="s">
        <v>2571</v>
      </c>
      <c r="R5" s="3506" t="s">
        <v>2572</v>
      </c>
      <c r="S5" s="3506" t="s">
        <v>2573</v>
      </c>
      <c r="T5" s="3506" t="s">
        <v>2574</v>
      </c>
      <c r="U5" s="3506" t="s">
        <v>2575</v>
      </c>
      <c r="V5" s="3507" t="s">
        <v>2576</v>
      </c>
      <c r="W5" s="3507" t="s">
        <v>2577</v>
      </c>
      <c r="X5" s="3507" t="s">
        <v>2578</v>
      </c>
      <c r="Y5" s="3507" t="s">
        <v>2579</v>
      </c>
      <c r="Z5" s="3506" t="s">
        <v>2580</v>
      </c>
      <c r="AA5" s="3506" t="s">
        <v>2581</v>
      </c>
      <c r="AB5" s="3506" t="s">
        <v>2582</v>
      </c>
      <c r="AC5" s="3506" t="s">
        <v>2583</v>
      </c>
      <c r="AD5" s="3506" t="s">
        <v>2584</v>
      </c>
      <c r="AE5" s="3505" t="s">
        <v>2104</v>
      </c>
      <c r="AF5" s="3505" t="s">
        <v>2585</v>
      </c>
      <c r="AG5" s="3506" t="s">
        <v>2569</v>
      </c>
      <c r="AH5" s="3506" t="s">
        <v>2570</v>
      </c>
      <c r="AI5" s="3506" t="s">
        <v>2571</v>
      </c>
      <c r="AJ5" s="3506" t="s">
        <v>2572</v>
      </c>
      <c r="AK5" s="3506" t="s">
        <v>2573</v>
      </c>
      <c r="AL5" s="3506" t="s">
        <v>2574</v>
      </c>
      <c r="AM5" s="3506" t="s">
        <v>2575</v>
      </c>
      <c r="AN5" s="3507" t="s">
        <v>2576</v>
      </c>
      <c r="AO5" s="3507" t="s">
        <v>2577</v>
      </c>
      <c r="AP5" s="3507" t="s">
        <v>2578</v>
      </c>
      <c r="AQ5" s="3507" t="s">
        <v>2579</v>
      </c>
      <c r="AR5" s="3506" t="s">
        <v>2580</v>
      </c>
      <c r="AS5" s="3506" t="s">
        <v>2581</v>
      </c>
      <c r="AT5" s="3506" t="s">
        <v>2582</v>
      </c>
      <c r="AU5" s="3506" t="s">
        <v>2583</v>
      </c>
      <c r="AV5" s="3506" t="s">
        <v>2584</v>
      </c>
      <c r="AW5" s="3505" t="s">
        <v>2586</v>
      </c>
      <c r="AX5" s="3505" t="s">
        <v>2587</v>
      </c>
      <c r="AY5" s="3508" t="s">
        <v>2588</v>
      </c>
      <c r="AZ5" s="3505" t="s">
        <v>2589</v>
      </c>
      <c r="BA5" s="3505" t="s">
        <v>2590</v>
      </c>
      <c r="BB5" s="3505" t="s">
        <v>2591</v>
      </c>
      <c r="BC5" s="3505" t="s">
        <v>2592</v>
      </c>
      <c r="BD5" s="3505" t="s">
        <v>2593</v>
      </c>
      <c r="BE5" s="3505" t="s">
        <v>2594</v>
      </c>
      <c r="BF5" s="3505" t="s">
        <v>2595</v>
      </c>
      <c r="BG5" s="3505" t="s">
        <v>2109</v>
      </c>
      <c r="BH5" s="3509" t="s">
        <v>2596</v>
      </c>
      <c r="BI5" s="3509" t="s">
        <v>2600</v>
      </c>
      <c r="BJ5" s="3499" t="s">
        <v>3630</v>
      </c>
      <c r="BK5" s="1550"/>
      <c r="BL5" s="1550"/>
      <c r="BM5" s="1550"/>
      <c r="BN5" s="1550"/>
      <c r="BO5" s="1550"/>
      <c r="BP5" s="1550"/>
      <c r="BQ5" s="1550"/>
      <c r="BR5" s="1550"/>
      <c r="BS5" s="1550"/>
      <c r="BT5" s="1550"/>
      <c r="BU5" s="1550"/>
      <c r="BV5" s="1550"/>
      <c r="BW5" s="1550"/>
      <c r="BX5" s="1550"/>
      <c r="BY5" s="1550"/>
      <c r="BZ5" s="1550"/>
    </row>
    <row r="6" spans="1:79" s="1078" customFormat="1" ht="37" customHeight="1" thickTop="1">
      <c r="A6" s="1078">
        <f>G6*H6</f>
        <v>360</v>
      </c>
      <c r="B6" s="6591" t="s">
        <v>3631</v>
      </c>
      <c r="C6" s="6592"/>
      <c r="D6" s="6592"/>
      <c r="E6" s="6592"/>
      <c r="F6" s="6593"/>
      <c r="G6" s="6251">
        <v>18</v>
      </c>
      <c r="H6" s="3510">
        <v>20</v>
      </c>
      <c r="I6" s="3594">
        <f>SUM(H6:H21)</f>
        <v>1266.5</v>
      </c>
      <c r="J6" s="3511" t="s">
        <v>2695</v>
      </c>
      <c r="K6" s="3512">
        <v>159</v>
      </c>
      <c r="L6" s="6252" t="s">
        <v>6961</v>
      </c>
      <c r="M6" s="6125" t="s">
        <v>2832</v>
      </c>
      <c r="N6" s="3514" t="s">
        <v>2138</v>
      </c>
      <c r="O6" s="3515"/>
      <c r="P6" s="3515"/>
      <c r="Q6" s="3515"/>
      <c r="R6" s="3515"/>
      <c r="S6" s="3515"/>
      <c r="T6" s="3515"/>
      <c r="U6" s="3515"/>
      <c r="V6" s="3516"/>
      <c r="W6" s="3516"/>
      <c r="X6" s="3516"/>
      <c r="Y6" s="3516"/>
      <c r="Z6" s="3515"/>
      <c r="AA6" s="3515"/>
      <c r="AB6" s="3515"/>
      <c r="AC6" s="3515"/>
      <c r="AD6" s="3515"/>
      <c r="AE6" s="3517">
        <v>216</v>
      </c>
      <c r="AF6" s="3518">
        <v>333</v>
      </c>
      <c r="AG6" s="3515"/>
      <c r="AH6" s="3515"/>
      <c r="AI6" s="3515"/>
      <c r="AJ6" s="3515"/>
      <c r="AK6" s="3515"/>
      <c r="AL6" s="3515"/>
      <c r="AM6" s="3515"/>
      <c r="AN6" s="3515"/>
      <c r="AO6" s="3515"/>
      <c r="AP6" s="3515"/>
      <c r="AQ6" s="3515"/>
      <c r="AR6" s="3515"/>
      <c r="AS6" s="3515"/>
      <c r="AT6" s="3515"/>
      <c r="AU6" s="3515"/>
      <c r="AV6" s="3515"/>
      <c r="AW6" s="3517">
        <v>216</v>
      </c>
      <c r="AX6" s="3519">
        <v>333</v>
      </c>
      <c r="AY6" s="3520">
        <v>1</v>
      </c>
      <c r="AZ6" s="3514" t="s">
        <v>2610</v>
      </c>
      <c r="BA6" s="3514" t="s">
        <v>2610</v>
      </c>
      <c r="BB6" s="3514" t="s">
        <v>3632</v>
      </c>
      <c r="BC6" s="3514" t="s">
        <v>3632</v>
      </c>
      <c r="BD6" s="3514" t="s">
        <v>2133</v>
      </c>
      <c r="BE6" s="3514" t="s">
        <v>2133</v>
      </c>
      <c r="BF6" s="3514" t="s">
        <v>2133</v>
      </c>
      <c r="BG6" s="3514" t="s">
        <v>3633</v>
      </c>
      <c r="BH6" s="3521" t="s">
        <v>2647</v>
      </c>
      <c r="BI6" s="3522" t="s">
        <v>6911</v>
      </c>
      <c r="BJ6" s="3523" t="s">
        <v>3634</v>
      </c>
      <c r="BK6" s="1550"/>
      <c r="BL6" s="1550"/>
      <c r="BM6" s="1550"/>
      <c r="BN6" s="1550"/>
      <c r="BO6" s="1550"/>
      <c r="BP6" s="1550"/>
      <c r="BQ6" s="1550"/>
      <c r="BR6" s="1550"/>
      <c r="BS6" s="1550"/>
      <c r="BT6" s="1550"/>
      <c r="BU6" s="1550"/>
      <c r="BV6" s="1550"/>
      <c r="BW6" s="1550"/>
      <c r="BX6" s="1550"/>
      <c r="BY6" s="1550"/>
      <c r="BZ6" s="1550"/>
      <c r="CA6" s="1550"/>
    </row>
    <row r="7" spans="1:79" s="1078" customFormat="1" ht="37" customHeight="1">
      <c r="A7" s="1078">
        <f t="shared" ref="A7:A21" si="0">G7*H7</f>
        <v>720</v>
      </c>
      <c r="B7" s="3557"/>
      <c r="C7" s="3558"/>
      <c r="D7" s="3558"/>
      <c r="E7" s="3558"/>
      <c r="F7" s="3559"/>
      <c r="G7" s="3559">
        <v>18</v>
      </c>
      <c r="H7" s="3524">
        <v>40</v>
      </c>
      <c r="I7" s="3595"/>
      <c r="J7" s="3511" t="s">
        <v>2695</v>
      </c>
      <c r="K7" s="3512">
        <v>64</v>
      </c>
      <c r="L7" s="6252" t="s">
        <v>6961</v>
      </c>
      <c r="M7" s="6126" t="s">
        <v>2672</v>
      </c>
      <c r="N7" s="2033" t="s">
        <v>2138</v>
      </c>
      <c r="O7" s="2034"/>
      <c r="P7" s="2034"/>
      <c r="Q7" s="2034"/>
      <c r="R7" s="2034"/>
      <c r="S7" s="2034"/>
      <c r="T7" s="2034"/>
      <c r="U7" s="2034"/>
      <c r="V7" s="2035"/>
      <c r="W7" s="2035"/>
      <c r="X7" s="2035"/>
      <c r="Y7" s="2035"/>
      <c r="Z7" s="2034"/>
      <c r="AA7" s="2034"/>
      <c r="AB7" s="2034"/>
      <c r="AC7" s="2034"/>
      <c r="AD7" s="2034"/>
      <c r="AE7" s="2064">
        <v>170</v>
      </c>
      <c r="AF7" s="2033">
        <v>265</v>
      </c>
      <c r="AG7" s="2034" t="s">
        <v>2602</v>
      </c>
      <c r="AH7" s="2034" t="s">
        <v>3635</v>
      </c>
      <c r="AI7" s="2034" t="s">
        <v>2602</v>
      </c>
      <c r="AJ7" s="2034" t="s">
        <v>2734</v>
      </c>
      <c r="AK7" s="2034" t="s">
        <v>2602</v>
      </c>
      <c r="AL7" s="2034" t="s">
        <v>2602</v>
      </c>
      <c r="AM7" s="2034" t="s">
        <v>2602</v>
      </c>
      <c r="AN7" s="2035" t="s">
        <v>2602</v>
      </c>
      <c r="AO7" s="2035" t="s">
        <v>2602</v>
      </c>
      <c r="AP7" s="2035" t="s">
        <v>2602</v>
      </c>
      <c r="AQ7" s="2035" t="s">
        <v>2602</v>
      </c>
      <c r="AR7" s="2034" t="s">
        <v>2602</v>
      </c>
      <c r="AS7" s="2034" t="s">
        <v>2602</v>
      </c>
      <c r="AT7" s="2034" t="s">
        <v>2602</v>
      </c>
      <c r="AU7" s="2034" t="s">
        <v>2602</v>
      </c>
      <c r="AV7" s="2034" t="s">
        <v>2602</v>
      </c>
      <c r="AW7" s="2064">
        <v>170</v>
      </c>
      <c r="AX7" s="2033">
        <v>265</v>
      </c>
      <c r="AY7" s="3526">
        <v>1</v>
      </c>
      <c r="AZ7" s="2033" t="s">
        <v>2610</v>
      </c>
      <c r="BA7" s="2033" t="s">
        <v>2610</v>
      </c>
      <c r="BB7" s="2033">
        <v>0</v>
      </c>
      <c r="BC7" s="2033">
        <v>0</v>
      </c>
      <c r="BD7" s="2033" t="s">
        <v>2133</v>
      </c>
      <c r="BE7" s="2033" t="s">
        <v>2133</v>
      </c>
      <c r="BF7" s="2033" t="s">
        <v>2133</v>
      </c>
      <c r="BG7" s="2033" t="s">
        <v>3636</v>
      </c>
      <c r="BH7" s="3527" t="s">
        <v>2612</v>
      </c>
      <c r="BI7" s="3522" t="s">
        <v>6912</v>
      </c>
      <c r="BJ7" s="3528" t="s">
        <v>3637</v>
      </c>
      <c r="BK7" s="1550"/>
      <c r="BL7" s="1550"/>
      <c r="BM7" s="1550"/>
      <c r="BN7" s="1550"/>
      <c r="BO7" s="1550"/>
      <c r="BP7" s="1550"/>
      <c r="BQ7" s="1550"/>
      <c r="BR7" s="1550"/>
      <c r="BS7" s="1550"/>
      <c r="BT7" s="1550"/>
      <c r="BU7" s="1550"/>
      <c r="BV7" s="1550"/>
      <c r="BW7" s="1550"/>
      <c r="BX7" s="1550"/>
      <c r="BY7" s="1550"/>
      <c r="BZ7" s="1550"/>
      <c r="CA7" s="1550"/>
    </row>
    <row r="8" spans="1:79" s="1078" customFormat="1" ht="37" customHeight="1">
      <c r="A8" s="1078">
        <f t="shared" si="0"/>
        <v>3600</v>
      </c>
      <c r="B8" s="3557"/>
      <c r="C8" s="3558"/>
      <c r="D8" s="3558"/>
      <c r="E8" s="3558"/>
      <c r="F8" s="3559"/>
      <c r="G8" s="3559">
        <v>18</v>
      </c>
      <c r="H8" s="3524">
        <v>200</v>
      </c>
      <c r="I8" s="3595"/>
      <c r="J8" s="3511" t="s">
        <v>2695</v>
      </c>
      <c r="K8" s="3512">
        <v>40</v>
      </c>
      <c r="L8" s="6252" t="s">
        <v>6961</v>
      </c>
      <c r="M8" s="6126" t="s">
        <v>2630</v>
      </c>
      <c r="N8" s="2033" t="s">
        <v>2138</v>
      </c>
      <c r="O8" s="2034"/>
      <c r="P8" s="2034"/>
      <c r="Q8" s="2034"/>
      <c r="R8" s="2034"/>
      <c r="S8" s="2034"/>
      <c r="T8" s="2034"/>
      <c r="U8" s="2034"/>
      <c r="V8" s="2035"/>
      <c r="W8" s="2035"/>
      <c r="X8" s="2035"/>
      <c r="Y8" s="2035"/>
      <c r="Z8" s="2034"/>
      <c r="AA8" s="2034"/>
      <c r="AB8" s="2034"/>
      <c r="AC8" s="2034"/>
      <c r="AD8" s="2034"/>
      <c r="AE8" s="2038">
        <v>769</v>
      </c>
      <c r="AF8" s="2033" t="s">
        <v>2648</v>
      </c>
      <c r="AG8" s="2034" t="s">
        <v>2602</v>
      </c>
      <c r="AH8" s="2034" t="s">
        <v>2637</v>
      </c>
      <c r="AI8" s="2034" t="s">
        <v>2602</v>
      </c>
      <c r="AJ8" s="2034" t="s">
        <v>2638</v>
      </c>
      <c r="AK8" s="2034" t="s">
        <v>2602</v>
      </c>
      <c r="AL8" s="2034" t="s">
        <v>2602</v>
      </c>
      <c r="AM8" s="2034" t="s">
        <v>2602</v>
      </c>
      <c r="AN8" s="2035" t="s">
        <v>2602</v>
      </c>
      <c r="AO8" s="2035" t="s">
        <v>2602</v>
      </c>
      <c r="AP8" s="2035" t="s">
        <v>2602</v>
      </c>
      <c r="AQ8" s="2035" t="s">
        <v>2602</v>
      </c>
      <c r="AR8" s="2034" t="s">
        <v>2602</v>
      </c>
      <c r="AS8" s="2034" t="s">
        <v>2602</v>
      </c>
      <c r="AT8" s="2034" t="s">
        <v>2602</v>
      </c>
      <c r="AU8" s="2034" t="s">
        <v>2605</v>
      </c>
      <c r="AV8" s="2034" t="s">
        <v>2602</v>
      </c>
      <c r="AW8" s="2064">
        <v>750</v>
      </c>
      <c r="AX8" s="2033" t="s">
        <v>2648</v>
      </c>
      <c r="AY8" s="3526">
        <v>0.64599483204134367</v>
      </c>
      <c r="AZ8" s="2033" t="s">
        <v>2609</v>
      </c>
      <c r="BA8" s="2033" t="s">
        <v>2610</v>
      </c>
      <c r="BB8" s="2033">
        <v>25</v>
      </c>
      <c r="BC8" s="2033">
        <v>25</v>
      </c>
      <c r="BD8" s="2033" t="s">
        <v>2133</v>
      </c>
      <c r="BE8" s="2033" t="s">
        <v>2133</v>
      </c>
      <c r="BF8" s="2033" t="s">
        <v>2133</v>
      </c>
      <c r="BG8" s="2033" t="s">
        <v>2639</v>
      </c>
      <c r="BH8" s="3529" t="s">
        <v>2612</v>
      </c>
      <c r="BI8" s="3522" t="s">
        <v>6913</v>
      </c>
      <c r="BJ8" s="3528" t="s">
        <v>3637</v>
      </c>
      <c r="BK8" s="1550"/>
      <c r="BL8" s="1550"/>
      <c r="BM8" s="1550"/>
      <c r="BN8" s="1550"/>
      <c r="BO8" s="1550"/>
      <c r="BP8" s="1550"/>
      <c r="BQ8" s="1550"/>
      <c r="BR8" s="1550"/>
      <c r="BS8" s="1550"/>
      <c r="BT8" s="1550"/>
      <c r="BU8" s="1550"/>
      <c r="BV8" s="1550"/>
      <c r="BW8" s="1550"/>
      <c r="BX8" s="1550"/>
      <c r="BY8" s="1550"/>
      <c r="BZ8" s="1550"/>
      <c r="CA8" s="1550"/>
    </row>
    <row r="9" spans="1:79" s="1078" customFormat="1" ht="37" customHeight="1">
      <c r="A9" s="1078">
        <f t="shared" si="0"/>
        <v>1080</v>
      </c>
      <c r="B9" s="3557"/>
      <c r="C9" s="3558"/>
      <c r="D9" s="3558"/>
      <c r="E9" s="3558"/>
      <c r="F9" s="3559"/>
      <c r="G9" s="3559">
        <v>18</v>
      </c>
      <c r="H9" s="3524">
        <f>$AE9*0.5-3</f>
        <v>60</v>
      </c>
      <c r="I9" s="3595"/>
      <c r="J9" s="3511" t="s">
        <v>2695</v>
      </c>
      <c r="K9" s="3512">
        <v>56</v>
      </c>
      <c r="L9" s="6234"/>
      <c r="M9" s="6127" t="s">
        <v>2675</v>
      </c>
      <c r="N9" s="2033" t="s">
        <v>2138</v>
      </c>
      <c r="O9" s="2034" t="s">
        <v>2602</v>
      </c>
      <c r="P9" s="2034" t="s">
        <v>2662</v>
      </c>
      <c r="Q9" s="2034" t="s">
        <v>2676</v>
      </c>
      <c r="R9" s="2034" t="s">
        <v>2677</v>
      </c>
      <c r="S9" s="2034" t="s">
        <v>2602</v>
      </c>
      <c r="T9" s="2034" t="s">
        <v>2602</v>
      </c>
      <c r="U9" s="2034" t="s">
        <v>2602</v>
      </c>
      <c r="V9" s="2035" t="s">
        <v>2602</v>
      </c>
      <c r="W9" s="2035" t="s">
        <v>2602</v>
      </c>
      <c r="X9" s="2035" t="s">
        <v>2602</v>
      </c>
      <c r="Y9" s="2035" t="s">
        <v>2602</v>
      </c>
      <c r="Z9" s="2034" t="s">
        <v>2602</v>
      </c>
      <c r="AA9" s="2034" t="s">
        <v>2602</v>
      </c>
      <c r="AB9" s="2034" t="s">
        <v>2602</v>
      </c>
      <c r="AC9" s="2034" t="s">
        <v>2666</v>
      </c>
      <c r="AD9" s="2034" t="s">
        <v>2602</v>
      </c>
      <c r="AE9" s="2038">
        <v>126</v>
      </c>
      <c r="AF9" s="2033">
        <v>199</v>
      </c>
      <c r="AG9" s="2034" t="s">
        <v>2602</v>
      </c>
      <c r="AH9" s="2034" t="s">
        <v>2662</v>
      </c>
      <c r="AI9" s="2034" t="s">
        <v>2676</v>
      </c>
      <c r="AJ9" s="2034" t="s">
        <v>2678</v>
      </c>
      <c r="AK9" s="2034" t="s">
        <v>2602</v>
      </c>
      <c r="AL9" s="2034" t="s">
        <v>2602</v>
      </c>
      <c r="AM9" s="2034" t="s">
        <v>2602</v>
      </c>
      <c r="AN9" s="2035" t="s">
        <v>2602</v>
      </c>
      <c r="AO9" s="2035" t="s">
        <v>2602</v>
      </c>
      <c r="AP9" s="2035" t="s">
        <v>2602</v>
      </c>
      <c r="AQ9" s="2035" t="s">
        <v>2602</v>
      </c>
      <c r="AR9" s="2034" t="s">
        <v>2602</v>
      </c>
      <c r="AS9" s="3530" t="s">
        <v>2602</v>
      </c>
      <c r="AT9" s="2034" t="s">
        <v>2602</v>
      </c>
      <c r="AU9" s="2034" t="s">
        <v>2666</v>
      </c>
      <c r="AV9" s="2034" t="s">
        <v>2602</v>
      </c>
      <c r="AW9" s="2038">
        <v>116</v>
      </c>
      <c r="AX9" s="2033">
        <v>179</v>
      </c>
      <c r="AY9" s="3526">
        <v>0.92063492063492058</v>
      </c>
      <c r="AZ9" s="2033" t="s">
        <v>2609</v>
      </c>
      <c r="BA9" s="2033" t="s">
        <v>2610</v>
      </c>
      <c r="BB9" s="2033">
        <v>7</v>
      </c>
      <c r="BC9" s="2033">
        <v>7</v>
      </c>
      <c r="BD9" s="2033" t="s">
        <v>2133</v>
      </c>
      <c r="BE9" s="2033" t="s">
        <v>2133</v>
      </c>
      <c r="BF9" s="2033" t="s">
        <v>2133</v>
      </c>
      <c r="BG9" s="2033" t="s">
        <v>2679</v>
      </c>
      <c r="BH9" s="3521" t="s">
        <v>2612</v>
      </c>
      <c r="BI9" s="3522"/>
      <c r="BJ9" s="3528" t="s">
        <v>3637</v>
      </c>
      <c r="BK9" s="1550"/>
      <c r="BL9" s="1550"/>
      <c r="BM9" s="1550"/>
      <c r="BN9" s="1550"/>
      <c r="BO9" s="1550"/>
      <c r="BP9" s="1550"/>
      <c r="BQ9" s="1550"/>
      <c r="BR9" s="1550"/>
      <c r="BS9" s="1550"/>
      <c r="BT9" s="1550"/>
      <c r="BU9" s="1550"/>
      <c r="BV9" s="1550"/>
      <c r="BW9" s="1550"/>
      <c r="BX9" s="1550"/>
      <c r="BY9" s="1550"/>
      <c r="BZ9" s="1550"/>
      <c r="CA9" s="1550"/>
    </row>
    <row r="10" spans="1:79" s="1078" customFormat="1" ht="37" customHeight="1">
      <c r="A10" s="1078">
        <f t="shared" si="0"/>
        <v>1350</v>
      </c>
      <c r="B10" s="3557"/>
      <c r="C10" s="3558"/>
      <c r="D10" s="3558"/>
      <c r="E10" s="3558"/>
      <c r="F10" s="3559"/>
      <c r="G10" s="3559">
        <v>18</v>
      </c>
      <c r="H10" s="3524">
        <f>$AE10*0.5</f>
        <v>75</v>
      </c>
      <c r="I10" s="3595"/>
      <c r="J10" s="3511" t="s">
        <v>2695</v>
      </c>
      <c r="K10" s="3512">
        <v>1027</v>
      </c>
      <c r="L10" s="6252" t="s">
        <v>6961</v>
      </c>
      <c r="M10" s="6126" t="s">
        <v>2696</v>
      </c>
      <c r="N10" s="2033" t="s">
        <v>2138</v>
      </c>
      <c r="O10" s="2034" t="s">
        <v>2602</v>
      </c>
      <c r="P10" s="2034" t="s">
        <v>2697</v>
      </c>
      <c r="Q10" s="2034" t="s">
        <v>2602</v>
      </c>
      <c r="R10" s="2034" t="s">
        <v>2698</v>
      </c>
      <c r="S10" s="2034" t="s">
        <v>2602</v>
      </c>
      <c r="T10" s="2034" t="s">
        <v>2602</v>
      </c>
      <c r="U10" s="2034" t="s">
        <v>2602</v>
      </c>
      <c r="V10" s="2035" t="s">
        <v>2602</v>
      </c>
      <c r="W10" s="2035" t="s">
        <v>2602</v>
      </c>
      <c r="X10" s="2035" t="s">
        <v>2602</v>
      </c>
      <c r="Y10" s="2035" t="s">
        <v>2602</v>
      </c>
      <c r="Z10" s="2034" t="s">
        <v>2602</v>
      </c>
      <c r="AA10" s="2034" t="s">
        <v>2602</v>
      </c>
      <c r="AB10" s="2034" t="s">
        <v>2602</v>
      </c>
      <c r="AC10" s="2034" t="s">
        <v>2636</v>
      </c>
      <c r="AD10" s="2034" t="s">
        <v>2699</v>
      </c>
      <c r="AE10" s="2038">
        <v>150</v>
      </c>
      <c r="AF10" s="2033">
        <v>216</v>
      </c>
      <c r="AG10" s="2034" t="s">
        <v>2602</v>
      </c>
      <c r="AH10" s="2034" t="s">
        <v>2697</v>
      </c>
      <c r="AI10" s="2034" t="s">
        <v>2602</v>
      </c>
      <c r="AJ10" s="2034" t="s">
        <v>2698</v>
      </c>
      <c r="AK10" s="2034" t="s">
        <v>2602</v>
      </c>
      <c r="AL10" s="2034" t="s">
        <v>2602</v>
      </c>
      <c r="AM10" s="2034" t="s">
        <v>2602</v>
      </c>
      <c r="AN10" s="2035" t="s">
        <v>2602</v>
      </c>
      <c r="AO10" s="2035" t="s">
        <v>2602</v>
      </c>
      <c r="AP10" s="2035" t="s">
        <v>2602</v>
      </c>
      <c r="AQ10" s="2035" t="s">
        <v>2602</v>
      </c>
      <c r="AR10" s="2034" t="s">
        <v>2602</v>
      </c>
      <c r="AS10" s="2034" t="s">
        <v>2602</v>
      </c>
      <c r="AT10" s="2034" t="s">
        <v>2602</v>
      </c>
      <c r="AU10" s="2034" t="s">
        <v>2636</v>
      </c>
      <c r="AV10" s="2034" t="s">
        <v>2699</v>
      </c>
      <c r="AW10" s="2038">
        <v>150</v>
      </c>
      <c r="AX10" s="2033">
        <v>216</v>
      </c>
      <c r="AY10" s="3526">
        <v>1</v>
      </c>
      <c r="AZ10" s="2033" t="s">
        <v>2610</v>
      </c>
      <c r="BA10" s="2033" t="s">
        <v>2610</v>
      </c>
      <c r="BB10" s="2033" t="s">
        <v>2700</v>
      </c>
      <c r="BC10" s="2033" t="s">
        <v>2700</v>
      </c>
      <c r="BD10" s="2033" t="s">
        <v>2701</v>
      </c>
      <c r="BE10" s="2033" t="s">
        <v>2701</v>
      </c>
      <c r="BF10" s="2033" t="s">
        <v>2701</v>
      </c>
      <c r="BG10" s="2033" t="s">
        <v>2702</v>
      </c>
      <c r="BH10" s="3521" t="s">
        <v>2612</v>
      </c>
      <c r="BI10" s="3522" t="s">
        <v>6913</v>
      </c>
      <c r="BJ10" s="3528" t="s">
        <v>3637</v>
      </c>
      <c r="BK10" s="1550"/>
      <c r="BL10" s="1550"/>
      <c r="BM10" s="1550"/>
      <c r="BN10" s="1550"/>
      <c r="BO10" s="1550"/>
      <c r="BP10" s="1550"/>
      <c r="BQ10" s="1550"/>
      <c r="BR10" s="1550"/>
      <c r="BS10" s="1550"/>
      <c r="BT10" s="1550"/>
      <c r="BU10" s="1550"/>
      <c r="BV10" s="1550"/>
      <c r="BW10" s="1550"/>
      <c r="BX10" s="1550"/>
      <c r="BY10" s="1550"/>
      <c r="BZ10" s="1550"/>
      <c r="CA10" s="1550"/>
    </row>
    <row r="11" spans="1:79" s="1078" customFormat="1" ht="37" customHeight="1">
      <c r="A11" s="1078">
        <f t="shared" si="0"/>
        <v>1800</v>
      </c>
      <c r="B11" s="3557"/>
      <c r="C11" s="3558"/>
      <c r="D11" s="3558"/>
      <c r="E11" s="3558"/>
      <c r="F11" s="3559"/>
      <c r="G11" s="3559">
        <v>18</v>
      </c>
      <c r="H11" s="3524">
        <v>100</v>
      </c>
      <c r="I11" s="3595"/>
      <c r="J11" s="3531" t="s">
        <v>2695</v>
      </c>
      <c r="K11" s="3532">
        <v>90</v>
      </c>
      <c r="L11" s="6253"/>
      <c r="M11" s="3533" t="s">
        <v>3638</v>
      </c>
      <c r="N11" s="2033" t="s">
        <v>2138</v>
      </c>
      <c r="O11" s="2034" t="s">
        <v>2602</v>
      </c>
      <c r="P11" s="2034" t="s">
        <v>2703</v>
      </c>
      <c r="Q11" s="2034" t="s">
        <v>2602</v>
      </c>
      <c r="R11" s="2034" t="s">
        <v>2704</v>
      </c>
      <c r="S11" s="2034" t="s">
        <v>2602</v>
      </c>
      <c r="T11" s="2034" t="s">
        <v>2602</v>
      </c>
      <c r="U11" s="2034" t="s">
        <v>2602</v>
      </c>
      <c r="V11" s="2035" t="s">
        <v>2602</v>
      </c>
      <c r="W11" s="2035" t="s">
        <v>2602</v>
      </c>
      <c r="X11" s="2035" t="s">
        <v>2602</v>
      </c>
      <c r="Y11" s="2035" t="s">
        <v>2602</v>
      </c>
      <c r="Z11" s="2034" t="s">
        <v>2602</v>
      </c>
      <c r="AA11" s="2034" t="s">
        <v>2602</v>
      </c>
      <c r="AB11" s="2034" t="s">
        <v>2602</v>
      </c>
      <c r="AC11" s="2034" t="s">
        <v>2705</v>
      </c>
      <c r="AD11" s="2034" t="s">
        <v>2602</v>
      </c>
      <c r="AE11" s="2038">
        <v>257</v>
      </c>
      <c r="AF11" s="2033">
        <v>372</v>
      </c>
      <c r="AG11" s="2034" t="s">
        <v>2602</v>
      </c>
      <c r="AH11" s="2034" t="s">
        <v>2706</v>
      </c>
      <c r="AI11" s="2034" t="s">
        <v>2602</v>
      </c>
      <c r="AJ11" s="2034" t="s">
        <v>2707</v>
      </c>
      <c r="AK11" s="2034" t="s">
        <v>2602</v>
      </c>
      <c r="AL11" s="2034" t="s">
        <v>2602</v>
      </c>
      <c r="AM11" s="2034" t="s">
        <v>2602</v>
      </c>
      <c r="AN11" s="2035" t="s">
        <v>2602</v>
      </c>
      <c r="AO11" s="2035" t="s">
        <v>2602</v>
      </c>
      <c r="AP11" s="2035" t="s">
        <v>2602</v>
      </c>
      <c r="AQ11" s="2035" t="s">
        <v>2602</v>
      </c>
      <c r="AR11" s="2034" t="s">
        <v>2602</v>
      </c>
      <c r="AS11" s="2034" t="s">
        <v>2602</v>
      </c>
      <c r="AT11" s="2034" t="s">
        <v>2602</v>
      </c>
      <c r="AU11" s="2034" t="s">
        <v>2687</v>
      </c>
      <c r="AV11" s="2034" t="s">
        <v>2602</v>
      </c>
      <c r="AW11" s="2038">
        <v>170</v>
      </c>
      <c r="AX11" s="2033">
        <v>295</v>
      </c>
      <c r="AY11" s="3526">
        <v>0.77821011673151752</v>
      </c>
      <c r="AZ11" s="2033" t="s">
        <v>2609</v>
      </c>
      <c r="BA11" s="2033" t="s">
        <v>2610</v>
      </c>
      <c r="BB11" s="2033">
        <v>22</v>
      </c>
      <c r="BC11" s="2033">
        <v>22</v>
      </c>
      <c r="BD11" s="2033" t="s">
        <v>2133</v>
      </c>
      <c r="BE11" s="2033" t="s">
        <v>2133</v>
      </c>
      <c r="BF11" s="2033" t="s">
        <v>2133</v>
      </c>
      <c r="BG11" s="2033" t="s">
        <v>2235</v>
      </c>
      <c r="BH11" s="3534" t="s">
        <v>2612</v>
      </c>
      <c r="BI11" s="3535" t="s">
        <v>6914</v>
      </c>
      <c r="BJ11" s="3536" t="s">
        <v>3639</v>
      </c>
      <c r="BK11" s="1550"/>
      <c r="BL11" s="1550"/>
      <c r="BM11" s="1550"/>
      <c r="BN11" s="1550"/>
      <c r="BO11" s="1550"/>
      <c r="BP11" s="1550"/>
      <c r="BQ11" s="1550"/>
      <c r="BR11" s="1550"/>
      <c r="BS11" s="1550"/>
      <c r="BT11" s="1550"/>
      <c r="BU11" s="1550"/>
      <c r="BV11" s="1550"/>
      <c r="BW11" s="1550"/>
      <c r="BX11" s="1550"/>
      <c r="BY11" s="1550"/>
      <c r="BZ11" s="1550"/>
      <c r="CA11" s="1550"/>
    </row>
    <row r="12" spans="1:79" s="1078" customFormat="1" ht="37" customHeight="1">
      <c r="A12" s="1078">
        <f t="shared" si="0"/>
        <v>2340</v>
      </c>
      <c r="B12" s="3557"/>
      <c r="C12" s="3558"/>
      <c r="D12" s="3558"/>
      <c r="E12" s="3558"/>
      <c r="F12" s="3559"/>
      <c r="G12" s="3559">
        <v>18</v>
      </c>
      <c r="H12" s="3524">
        <f>$AW12</f>
        <v>130</v>
      </c>
      <c r="I12" s="3595"/>
      <c r="J12" s="3531" t="s">
        <v>2695</v>
      </c>
      <c r="K12" s="3532">
        <v>59</v>
      </c>
      <c r="L12" s="6253"/>
      <c r="M12" s="3533" t="s">
        <v>2681</v>
      </c>
      <c r="N12" s="2033" t="s">
        <v>2138</v>
      </c>
      <c r="O12" s="2034" t="s">
        <v>2602</v>
      </c>
      <c r="P12" s="2034" t="s">
        <v>2682</v>
      </c>
      <c r="Q12" s="2034" t="s">
        <v>2602</v>
      </c>
      <c r="R12" s="2034" t="s">
        <v>2683</v>
      </c>
      <c r="S12" s="2034" t="s">
        <v>2684</v>
      </c>
      <c r="T12" s="2034" t="s">
        <v>2602</v>
      </c>
      <c r="U12" s="2034" t="s">
        <v>2602</v>
      </c>
      <c r="V12" s="2035" t="s">
        <v>2602</v>
      </c>
      <c r="W12" s="2035" t="s">
        <v>2602</v>
      </c>
      <c r="X12" s="2035" t="s">
        <v>2602</v>
      </c>
      <c r="Y12" s="2035" t="s">
        <v>2602</v>
      </c>
      <c r="Z12" s="2034" t="s">
        <v>2602</v>
      </c>
      <c r="AA12" s="2034" t="s">
        <v>2602</v>
      </c>
      <c r="AB12" s="2034" t="s">
        <v>2602</v>
      </c>
      <c r="AC12" s="2034" t="s">
        <v>2684</v>
      </c>
      <c r="AD12" s="2034" t="s">
        <v>2602</v>
      </c>
      <c r="AE12" s="2038">
        <v>306</v>
      </c>
      <c r="AF12" s="2033">
        <v>386</v>
      </c>
      <c r="AG12" s="2034" t="s">
        <v>2602</v>
      </c>
      <c r="AH12" s="2034" t="s">
        <v>2685</v>
      </c>
      <c r="AI12" s="2034" t="s">
        <v>2602</v>
      </c>
      <c r="AJ12" s="2034" t="s">
        <v>2686</v>
      </c>
      <c r="AK12" s="2034" t="s">
        <v>2687</v>
      </c>
      <c r="AL12" s="2034" t="s">
        <v>2602</v>
      </c>
      <c r="AM12" s="2034" t="s">
        <v>2602</v>
      </c>
      <c r="AN12" s="2035" t="s">
        <v>2602</v>
      </c>
      <c r="AO12" s="2035" t="s">
        <v>2602</v>
      </c>
      <c r="AP12" s="2035" t="s">
        <v>2602</v>
      </c>
      <c r="AQ12" s="2035" t="s">
        <v>2602</v>
      </c>
      <c r="AR12" s="2034" t="s">
        <v>2602</v>
      </c>
      <c r="AS12" s="2034" t="s">
        <v>2602</v>
      </c>
      <c r="AT12" s="2034" t="s">
        <v>2602</v>
      </c>
      <c r="AU12" s="2034" t="s">
        <v>2602</v>
      </c>
      <c r="AV12" s="2034" t="s">
        <v>2602</v>
      </c>
      <c r="AW12" s="2038">
        <v>130</v>
      </c>
      <c r="AX12" s="2033">
        <v>163</v>
      </c>
      <c r="AY12" s="3526">
        <v>0.42483660130718953</v>
      </c>
      <c r="AZ12" s="2033" t="s">
        <v>2609</v>
      </c>
      <c r="BA12" s="2033" t="s">
        <v>2609</v>
      </c>
      <c r="BB12" s="2033">
        <v>0</v>
      </c>
      <c r="BC12" s="2033">
        <v>0</v>
      </c>
      <c r="BD12" s="2033" t="s">
        <v>2133</v>
      </c>
      <c r="BE12" s="2033" t="s">
        <v>2688</v>
      </c>
      <c r="BF12" s="2033" t="s">
        <v>2688</v>
      </c>
      <c r="BG12" s="2033" t="s">
        <v>2168</v>
      </c>
      <c r="BH12" s="3534" t="s">
        <v>2133</v>
      </c>
      <c r="BI12" s="3522"/>
      <c r="BJ12" s="3528" t="s">
        <v>3639</v>
      </c>
      <c r="BK12" s="1550"/>
      <c r="BL12" s="1550"/>
      <c r="BM12" s="1550"/>
      <c r="BN12" s="1550"/>
      <c r="BO12" s="1550"/>
      <c r="BP12" s="1550"/>
      <c r="BQ12" s="1550"/>
      <c r="BR12" s="1550"/>
      <c r="BS12" s="1550"/>
      <c r="BT12" s="1550"/>
      <c r="BU12" s="1550"/>
      <c r="BV12" s="1550"/>
      <c r="BW12" s="1550"/>
      <c r="BX12" s="1550"/>
      <c r="BY12" s="1550"/>
      <c r="BZ12" s="1550"/>
      <c r="CA12" s="1550"/>
    </row>
    <row r="13" spans="1:79" s="1078" customFormat="1" ht="37" customHeight="1">
      <c r="A13" s="1078">
        <f t="shared" si="0"/>
        <v>3150</v>
      </c>
      <c r="B13" s="3557"/>
      <c r="C13" s="3558"/>
      <c r="D13" s="3558"/>
      <c r="E13" s="3558"/>
      <c r="F13" s="3559"/>
      <c r="G13" s="3559">
        <v>18</v>
      </c>
      <c r="H13" s="3524">
        <f>$AE13*0.5</f>
        <v>175</v>
      </c>
      <c r="I13" s="3595"/>
      <c r="J13" s="3511" t="s">
        <v>2695</v>
      </c>
      <c r="K13" s="3512">
        <v>62</v>
      </c>
      <c r="L13" s="6252"/>
      <c r="M13" s="3525" t="s">
        <v>2692</v>
      </c>
      <c r="N13" s="2033" t="s">
        <v>2138</v>
      </c>
      <c r="O13" s="2034" t="s">
        <v>2602</v>
      </c>
      <c r="P13" s="2034" t="s">
        <v>2619</v>
      </c>
      <c r="Q13" s="2034" t="s">
        <v>2602</v>
      </c>
      <c r="R13" s="2034" t="s">
        <v>2620</v>
      </c>
      <c r="S13" s="2034" t="s">
        <v>2602</v>
      </c>
      <c r="T13" s="2034" t="s">
        <v>2602</v>
      </c>
      <c r="U13" s="2034" t="s">
        <v>2602</v>
      </c>
      <c r="V13" s="2035" t="s">
        <v>2602</v>
      </c>
      <c r="W13" s="2035" t="s">
        <v>2602</v>
      </c>
      <c r="X13" s="2035" t="s">
        <v>2602</v>
      </c>
      <c r="Y13" s="2035" t="s">
        <v>2602</v>
      </c>
      <c r="Z13" s="2034" t="s">
        <v>2602</v>
      </c>
      <c r="AA13" s="2034" t="s">
        <v>2602</v>
      </c>
      <c r="AB13" s="2034" t="s">
        <v>2602</v>
      </c>
      <c r="AC13" s="2034" t="s">
        <v>2602</v>
      </c>
      <c r="AD13" s="2034" t="s">
        <v>2602</v>
      </c>
      <c r="AE13" s="2038">
        <v>350</v>
      </c>
      <c r="AF13" s="2033">
        <v>490</v>
      </c>
      <c r="AG13" s="2034" t="s">
        <v>2602</v>
      </c>
      <c r="AH13" s="2034" t="s">
        <v>2619</v>
      </c>
      <c r="AI13" s="2034" t="s">
        <v>2602</v>
      </c>
      <c r="AJ13" s="2034" t="s">
        <v>2620</v>
      </c>
      <c r="AK13" s="2034" t="s">
        <v>2602</v>
      </c>
      <c r="AL13" s="2034" t="s">
        <v>2602</v>
      </c>
      <c r="AM13" s="2034" t="s">
        <v>2602</v>
      </c>
      <c r="AN13" s="2035" t="s">
        <v>2602</v>
      </c>
      <c r="AO13" s="2035" t="s">
        <v>2602</v>
      </c>
      <c r="AP13" s="2035" t="s">
        <v>2602</v>
      </c>
      <c r="AQ13" s="2035" t="s">
        <v>2602</v>
      </c>
      <c r="AR13" s="2034" t="s">
        <v>2602</v>
      </c>
      <c r="AS13" s="2034" t="s">
        <v>2602</v>
      </c>
      <c r="AT13" s="2034" t="s">
        <v>2602</v>
      </c>
      <c r="AU13" s="2034" t="s">
        <v>2602</v>
      </c>
      <c r="AV13" s="2034" t="s">
        <v>2602</v>
      </c>
      <c r="AW13" s="2038">
        <v>350</v>
      </c>
      <c r="AX13" s="2033">
        <v>490</v>
      </c>
      <c r="AY13" s="3526">
        <v>1</v>
      </c>
      <c r="AZ13" s="2033" t="s">
        <v>2610</v>
      </c>
      <c r="BA13" s="2033" t="s">
        <v>2610</v>
      </c>
      <c r="BB13" s="2033" t="s">
        <v>2693</v>
      </c>
      <c r="BC13" s="2033" t="s">
        <v>2694</v>
      </c>
      <c r="BD13" s="2033" t="s">
        <v>2133</v>
      </c>
      <c r="BE13" s="2033" t="s">
        <v>2688</v>
      </c>
      <c r="BF13" s="2033" t="s">
        <v>2688</v>
      </c>
      <c r="BG13" s="2033" t="s">
        <v>2639</v>
      </c>
      <c r="BH13" s="3521" t="s">
        <v>2612</v>
      </c>
      <c r="BI13" s="3522" t="s">
        <v>6915</v>
      </c>
      <c r="BJ13" s="3528" t="s">
        <v>3639</v>
      </c>
      <c r="BK13" s="1550"/>
      <c r="BL13" s="1550"/>
      <c r="BM13" s="1550"/>
      <c r="BN13" s="1550"/>
      <c r="BO13" s="1550"/>
      <c r="BP13" s="1550"/>
      <c r="BQ13" s="1550"/>
      <c r="BR13" s="1550"/>
      <c r="BS13" s="1550"/>
      <c r="BT13" s="1550"/>
      <c r="BU13" s="1550"/>
      <c r="BV13" s="1550"/>
      <c r="BW13" s="1550"/>
      <c r="BX13" s="1550"/>
      <c r="BY13" s="1550"/>
      <c r="BZ13" s="1550"/>
      <c r="CA13" s="1550"/>
    </row>
    <row r="14" spans="1:79" s="1078" customFormat="1" ht="37" customHeight="1">
      <c r="A14" s="1078">
        <f t="shared" si="0"/>
        <v>1944</v>
      </c>
      <c r="B14" s="3557"/>
      <c r="C14" s="3558"/>
      <c r="D14" s="3558"/>
      <c r="E14" s="3558"/>
      <c r="F14" s="3559"/>
      <c r="G14" s="3559">
        <v>18</v>
      </c>
      <c r="H14" s="3524">
        <f>$AW14</f>
        <v>108</v>
      </c>
      <c r="I14" s="3595"/>
      <c r="J14" s="3537" t="s">
        <v>2695</v>
      </c>
      <c r="K14" s="3538">
        <v>1032</v>
      </c>
      <c r="L14" s="3538"/>
      <c r="M14" s="3539" t="s">
        <v>3640</v>
      </c>
      <c r="N14" s="2033" t="s">
        <v>2138</v>
      </c>
      <c r="O14" s="2034" t="s">
        <v>2602</v>
      </c>
      <c r="P14" s="2034" t="s">
        <v>2602</v>
      </c>
      <c r="Q14" s="2034" t="s">
        <v>2602</v>
      </c>
      <c r="R14" s="2034" t="s">
        <v>2602</v>
      </c>
      <c r="S14" s="2034" t="s">
        <v>2602</v>
      </c>
      <c r="T14" s="2034" t="s">
        <v>2602</v>
      </c>
      <c r="U14" s="2034" t="s">
        <v>2602</v>
      </c>
      <c r="V14" s="2035" t="s">
        <v>2602</v>
      </c>
      <c r="W14" s="2035" t="s">
        <v>2602</v>
      </c>
      <c r="X14" s="2035" t="s">
        <v>2602</v>
      </c>
      <c r="Y14" s="2035" t="s">
        <v>2602</v>
      </c>
      <c r="Z14" s="2034" t="s">
        <v>2602</v>
      </c>
      <c r="AA14" s="2034" t="s">
        <v>2602</v>
      </c>
      <c r="AB14" s="2034" t="s">
        <v>2602</v>
      </c>
      <c r="AC14" s="2034" t="s">
        <v>2602</v>
      </c>
      <c r="AD14" s="2034" t="s">
        <v>2602</v>
      </c>
      <c r="AE14" s="2038">
        <v>228</v>
      </c>
      <c r="AF14" s="2033" t="s">
        <v>2648</v>
      </c>
      <c r="AG14" s="2034" t="s">
        <v>2602</v>
      </c>
      <c r="AH14" s="2034" t="s">
        <v>2602</v>
      </c>
      <c r="AI14" s="2034" t="s">
        <v>2602</v>
      </c>
      <c r="AJ14" s="2034" t="s">
        <v>2602</v>
      </c>
      <c r="AK14" s="2034" t="s">
        <v>2602</v>
      </c>
      <c r="AL14" s="2034" t="s">
        <v>2602</v>
      </c>
      <c r="AM14" s="2034" t="s">
        <v>2602</v>
      </c>
      <c r="AN14" s="2035" t="s">
        <v>2602</v>
      </c>
      <c r="AO14" s="2035" t="s">
        <v>2602</v>
      </c>
      <c r="AP14" s="2035" t="s">
        <v>2602</v>
      </c>
      <c r="AQ14" s="2035" t="s">
        <v>2602</v>
      </c>
      <c r="AR14" s="2034" t="s">
        <v>2602</v>
      </c>
      <c r="AS14" s="2034" t="s">
        <v>2602</v>
      </c>
      <c r="AT14" s="2034" t="s">
        <v>2602</v>
      </c>
      <c r="AU14" s="2034" t="s">
        <v>2602</v>
      </c>
      <c r="AV14" s="2034" t="s">
        <v>2602</v>
      </c>
      <c r="AW14" s="2038">
        <v>108</v>
      </c>
      <c r="AX14" s="2033" t="s">
        <v>2648</v>
      </c>
      <c r="AY14" s="3526">
        <v>0.47368421052631576</v>
      </c>
      <c r="AZ14" s="2033" t="s">
        <v>2609</v>
      </c>
      <c r="BA14" s="2033" t="s">
        <v>2610</v>
      </c>
      <c r="BB14" s="2033">
        <v>0</v>
      </c>
      <c r="BC14" s="2033">
        <v>0</v>
      </c>
      <c r="BD14" s="2033" t="s">
        <v>2963</v>
      </c>
      <c r="BE14" s="2033" t="s">
        <v>2963</v>
      </c>
      <c r="BF14" s="2033" t="s">
        <v>2963</v>
      </c>
      <c r="BG14" s="2033" t="s">
        <v>3641</v>
      </c>
      <c r="BH14" s="3540" t="s">
        <v>2963</v>
      </c>
      <c r="BI14" s="3522"/>
      <c r="BJ14" s="3528" t="s">
        <v>3639</v>
      </c>
      <c r="BK14" s="1550"/>
      <c r="BL14" s="1550"/>
      <c r="BM14" s="1550"/>
      <c r="BN14" s="1550"/>
      <c r="BO14" s="1550"/>
      <c r="BP14" s="1550"/>
      <c r="BQ14" s="1550"/>
      <c r="BR14" s="1550"/>
      <c r="BS14" s="1550"/>
      <c r="BT14" s="1550"/>
      <c r="BU14" s="1550"/>
      <c r="BV14" s="1550"/>
      <c r="BW14" s="1550"/>
      <c r="BX14" s="1550"/>
      <c r="BY14" s="1550"/>
      <c r="BZ14" s="1550"/>
      <c r="CA14" s="1550"/>
    </row>
    <row r="15" spans="1:79" s="1078" customFormat="1" ht="37" customHeight="1">
      <c r="A15" s="1078">
        <f t="shared" si="0"/>
        <v>1791</v>
      </c>
      <c r="B15" s="3557"/>
      <c r="C15" s="3558"/>
      <c r="D15" s="3558"/>
      <c r="E15" s="3558"/>
      <c r="F15" s="3559"/>
      <c r="G15" s="3559">
        <v>18</v>
      </c>
      <c r="H15" s="3524">
        <f>$AE15*0.5+4</f>
        <v>99.5</v>
      </c>
      <c r="I15" s="3595"/>
      <c r="J15" s="3511" t="s">
        <v>2695</v>
      </c>
      <c r="K15" s="3512">
        <v>79</v>
      </c>
      <c r="L15" s="6252"/>
      <c r="M15" s="3513" t="s">
        <v>3642</v>
      </c>
      <c r="N15" s="2033" t="s">
        <v>2138</v>
      </c>
      <c r="O15" s="2034"/>
      <c r="P15" s="2034"/>
      <c r="Q15" s="2034"/>
      <c r="R15" s="2034"/>
      <c r="S15" s="2034"/>
      <c r="T15" s="2034"/>
      <c r="U15" s="2034"/>
      <c r="V15" s="2035"/>
      <c r="W15" s="2035"/>
      <c r="X15" s="2035"/>
      <c r="Y15" s="2035"/>
      <c r="Z15" s="2034"/>
      <c r="AA15" s="2034"/>
      <c r="AB15" s="2034"/>
      <c r="AC15" s="2034"/>
      <c r="AD15" s="2034"/>
      <c r="AE15" s="2064">
        <v>191</v>
      </c>
      <c r="AF15" s="3541">
        <v>292</v>
      </c>
      <c r="AG15" s="2034"/>
      <c r="AH15" s="2034"/>
      <c r="AI15" s="2034"/>
      <c r="AJ15" s="2034"/>
      <c r="AK15" s="2034"/>
      <c r="AL15" s="2034"/>
      <c r="AM15" s="2034"/>
      <c r="AN15" s="2034"/>
      <c r="AO15" s="2034"/>
      <c r="AP15" s="2034"/>
      <c r="AQ15" s="2034"/>
      <c r="AR15" s="2034"/>
      <c r="AS15" s="2034"/>
      <c r="AT15" s="2034"/>
      <c r="AU15" s="2034"/>
      <c r="AV15" s="2034"/>
      <c r="AW15" s="2064">
        <v>153</v>
      </c>
      <c r="AX15" s="3542">
        <v>260</v>
      </c>
      <c r="AY15" s="3526">
        <v>0.80104712041884818</v>
      </c>
      <c r="AZ15" s="2033" t="s">
        <v>2610</v>
      </c>
      <c r="BA15" s="2033" t="s">
        <v>2610</v>
      </c>
      <c r="BB15" s="2033" t="s">
        <v>3632</v>
      </c>
      <c r="BC15" s="2033" t="s">
        <v>3632</v>
      </c>
      <c r="BD15" s="2033" t="s">
        <v>2133</v>
      </c>
      <c r="BE15" s="2033" t="s">
        <v>2133</v>
      </c>
      <c r="BF15" s="2033" t="s">
        <v>2133</v>
      </c>
      <c r="BG15" s="2033" t="s">
        <v>3633</v>
      </c>
      <c r="BH15" s="3521" t="s">
        <v>2133</v>
      </c>
      <c r="BI15" s="3522"/>
      <c r="BJ15" s="3523" t="s">
        <v>3634</v>
      </c>
      <c r="BK15" s="1550"/>
      <c r="BL15" s="1550"/>
      <c r="BM15" s="1550"/>
      <c r="BN15" s="1550"/>
      <c r="BO15" s="1550"/>
      <c r="BP15" s="1550"/>
      <c r="BQ15" s="1550"/>
      <c r="BR15" s="1550"/>
      <c r="BS15" s="1550"/>
      <c r="BT15" s="1550"/>
      <c r="BU15" s="1550"/>
      <c r="BV15" s="1550"/>
      <c r="BW15" s="1550"/>
      <c r="BX15" s="1550"/>
      <c r="BY15" s="1550"/>
      <c r="BZ15" s="1550"/>
      <c r="CA15" s="1550"/>
    </row>
    <row r="16" spans="1:79" s="1078" customFormat="1" ht="37" customHeight="1">
      <c r="A16" s="1078">
        <f t="shared" si="0"/>
        <v>1251</v>
      </c>
      <c r="B16" s="3557"/>
      <c r="C16" s="3558"/>
      <c r="D16" s="3558"/>
      <c r="E16" s="3558"/>
      <c r="F16" s="3559"/>
      <c r="G16" s="3559">
        <v>18</v>
      </c>
      <c r="H16" s="3524">
        <f>$AE16*0.5-7</f>
        <v>69.5</v>
      </c>
      <c r="I16" s="3595"/>
      <c r="J16" s="3511" t="s">
        <v>2695</v>
      </c>
      <c r="K16" s="3512">
        <v>54</v>
      </c>
      <c r="L16" s="6252"/>
      <c r="M16" s="3513" t="s">
        <v>3643</v>
      </c>
      <c r="N16" s="2033" t="s">
        <v>2138</v>
      </c>
      <c r="O16" s="2034"/>
      <c r="P16" s="2034"/>
      <c r="Q16" s="2034"/>
      <c r="R16" s="2034"/>
      <c r="S16" s="2034"/>
      <c r="T16" s="2034"/>
      <c r="U16" s="2034"/>
      <c r="V16" s="2035"/>
      <c r="W16" s="2035"/>
      <c r="X16" s="2035"/>
      <c r="Y16" s="2035"/>
      <c r="Z16" s="2034"/>
      <c r="AA16" s="2034"/>
      <c r="AB16" s="2034"/>
      <c r="AC16" s="2034"/>
      <c r="AD16" s="2034"/>
      <c r="AE16" s="2064">
        <v>153</v>
      </c>
      <c r="AF16" s="3541">
        <v>179</v>
      </c>
      <c r="AG16" s="2034"/>
      <c r="AH16" s="2034"/>
      <c r="AI16" s="2034"/>
      <c r="AJ16" s="2034"/>
      <c r="AK16" s="2034"/>
      <c r="AL16" s="2034"/>
      <c r="AM16" s="2034"/>
      <c r="AN16" s="2034"/>
      <c r="AO16" s="2034"/>
      <c r="AP16" s="2034"/>
      <c r="AQ16" s="2034"/>
      <c r="AR16" s="2034"/>
      <c r="AS16" s="2034"/>
      <c r="AT16" s="2034"/>
      <c r="AU16" s="2034"/>
      <c r="AV16" s="2034"/>
      <c r="AW16" s="2064">
        <v>153</v>
      </c>
      <c r="AX16" s="3543">
        <v>179</v>
      </c>
      <c r="AY16" s="3526">
        <v>1</v>
      </c>
      <c r="AZ16" s="3526" t="s">
        <v>2610</v>
      </c>
      <c r="BA16" s="2033" t="s">
        <v>2610</v>
      </c>
      <c r="BB16" s="2033">
        <v>0</v>
      </c>
      <c r="BC16" s="2033">
        <v>0</v>
      </c>
      <c r="BD16" s="2033" t="s">
        <v>2133</v>
      </c>
      <c r="BE16" s="2033" t="s">
        <v>2133</v>
      </c>
      <c r="BF16" s="2033" t="s">
        <v>2133</v>
      </c>
      <c r="BG16" s="2033" t="s">
        <v>2168</v>
      </c>
      <c r="BH16" s="3521" t="s">
        <v>2133</v>
      </c>
      <c r="BI16" s="3522"/>
      <c r="BJ16" s="3523" t="s">
        <v>3634</v>
      </c>
      <c r="BK16" s="1550"/>
      <c r="BL16" s="1550"/>
      <c r="BM16" s="1550"/>
      <c r="BN16" s="1550"/>
      <c r="BO16" s="1550"/>
      <c r="BP16" s="1550"/>
      <c r="BQ16" s="1550"/>
      <c r="BR16" s="1550"/>
      <c r="BS16" s="1550"/>
      <c r="BT16" s="1550"/>
      <c r="BU16" s="1550"/>
      <c r="BV16" s="1550"/>
      <c r="BW16" s="1550"/>
      <c r="BX16" s="1550"/>
      <c r="BY16" s="1550"/>
      <c r="BZ16" s="1550"/>
      <c r="CA16" s="1550"/>
    </row>
    <row r="17" spans="1:79" s="1078" customFormat="1" ht="37" customHeight="1">
      <c r="A17" s="1078">
        <f t="shared" si="0"/>
        <v>900</v>
      </c>
      <c r="B17" s="3557"/>
      <c r="C17" s="3558"/>
      <c r="D17" s="3558"/>
      <c r="E17" s="3558"/>
      <c r="F17" s="3559"/>
      <c r="G17" s="3559">
        <v>18</v>
      </c>
      <c r="H17" s="3524">
        <f>$AW17</f>
        <v>50</v>
      </c>
      <c r="I17" s="3595"/>
      <c r="J17" s="3544" t="s">
        <v>2695</v>
      </c>
      <c r="K17" s="3545">
        <v>99</v>
      </c>
      <c r="L17" s="6254"/>
      <c r="M17" s="3546" t="s">
        <v>3644</v>
      </c>
      <c r="N17" s="2040" t="s">
        <v>2138</v>
      </c>
      <c r="O17" s="2041"/>
      <c r="P17" s="2041"/>
      <c r="Q17" s="2041"/>
      <c r="R17" s="2041"/>
      <c r="S17" s="2041"/>
      <c r="T17" s="2041"/>
      <c r="U17" s="2041"/>
      <c r="V17" s="2042"/>
      <c r="W17" s="2042"/>
      <c r="X17" s="2042"/>
      <c r="Y17" s="2042"/>
      <c r="Z17" s="2041"/>
      <c r="AA17" s="2041"/>
      <c r="AB17" s="2041"/>
      <c r="AC17" s="2041"/>
      <c r="AD17" s="2041"/>
      <c r="AE17" s="3547">
        <v>170</v>
      </c>
      <c r="AF17" s="3548">
        <v>196</v>
      </c>
      <c r="AG17" s="2041"/>
      <c r="AH17" s="2041"/>
      <c r="AI17" s="2041"/>
      <c r="AJ17" s="2041"/>
      <c r="AK17" s="2041"/>
      <c r="AL17" s="2041"/>
      <c r="AM17" s="2041"/>
      <c r="AN17" s="2041"/>
      <c r="AO17" s="2041"/>
      <c r="AP17" s="2041"/>
      <c r="AQ17" s="2041"/>
      <c r="AR17" s="2041"/>
      <c r="AS17" s="2041"/>
      <c r="AT17" s="2041"/>
      <c r="AU17" s="2041"/>
      <c r="AV17" s="2041"/>
      <c r="AW17" s="3547">
        <v>50</v>
      </c>
      <c r="AX17" s="3548">
        <v>50</v>
      </c>
      <c r="AY17" s="3549">
        <v>0.29411764705882354</v>
      </c>
      <c r="AZ17" s="2040" t="s">
        <v>2609</v>
      </c>
      <c r="BA17" s="2040" t="s">
        <v>2609</v>
      </c>
      <c r="BB17" s="2040">
        <v>3</v>
      </c>
      <c r="BC17" s="2040">
        <v>3</v>
      </c>
      <c r="BD17" s="2040" t="s">
        <v>2133</v>
      </c>
      <c r="BE17" s="2040" t="s">
        <v>2688</v>
      </c>
      <c r="BF17" s="2040" t="s">
        <v>2688</v>
      </c>
      <c r="BG17" s="2040" t="s">
        <v>2168</v>
      </c>
      <c r="BH17" s="3529" t="s">
        <v>2133</v>
      </c>
      <c r="BI17" s="3522"/>
      <c r="BJ17" s="3523" t="s">
        <v>3634</v>
      </c>
      <c r="BK17" s="1550"/>
      <c r="BL17" s="1550"/>
      <c r="BM17" s="1550"/>
      <c r="BN17" s="1550"/>
      <c r="BO17" s="1550"/>
      <c r="BP17" s="1550"/>
      <c r="BQ17" s="1550"/>
      <c r="BR17" s="1550"/>
      <c r="BS17" s="1550"/>
      <c r="BT17" s="1550"/>
      <c r="BU17" s="1550"/>
      <c r="BV17" s="1550"/>
      <c r="BW17" s="1550"/>
      <c r="BX17" s="1550"/>
      <c r="BY17" s="1550"/>
      <c r="BZ17" s="1550"/>
      <c r="CA17" s="1550"/>
    </row>
    <row r="18" spans="1:79" s="1078" customFormat="1" ht="37" customHeight="1">
      <c r="A18" s="1078">
        <f>G18*H18</f>
        <v>1206</v>
      </c>
      <c r="B18" s="3557"/>
      <c r="C18" s="3558"/>
      <c r="D18" s="3558"/>
      <c r="E18" s="3558"/>
      <c r="F18" s="3559"/>
      <c r="G18" s="3559">
        <v>18</v>
      </c>
      <c r="H18" s="3524">
        <f>$AW18</f>
        <v>67</v>
      </c>
      <c r="I18" s="3595"/>
      <c r="J18" s="3511" t="s">
        <v>2695</v>
      </c>
      <c r="K18" s="3512">
        <v>101</v>
      </c>
      <c r="L18" s="6252"/>
      <c r="M18" s="3513" t="s">
        <v>2717</v>
      </c>
      <c r="N18" s="2033" t="s">
        <v>2138</v>
      </c>
      <c r="O18" s="2034" t="s">
        <v>2718</v>
      </c>
      <c r="P18" s="2034" t="s">
        <v>2676</v>
      </c>
      <c r="Q18" s="2034" t="s">
        <v>2602</v>
      </c>
      <c r="R18" s="2034" t="s">
        <v>2719</v>
      </c>
      <c r="S18" s="2034" t="s">
        <v>2602</v>
      </c>
      <c r="T18" s="2034" t="s">
        <v>2602</v>
      </c>
      <c r="U18" s="2034" t="s">
        <v>2602</v>
      </c>
      <c r="V18" s="2035" t="s">
        <v>2602</v>
      </c>
      <c r="W18" s="2035" t="s">
        <v>2602</v>
      </c>
      <c r="X18" s="2035" t="s">
        <v>2602</v>
      </c>
      <c r="Y18" s="2035" t="s">
        <v>2602</v>
      </c>
      <c r="Z18" s="2034" t="s">
        <v>2602</v>
      </c>
      <c r="AA18" s="2034" t="s">
        <v>2602</v>
      </c>
      <c r="AB18" s="2034" t="s">
        <v>2602</v>
      </c>
      <c r="AC18" s="2034" t="s">
        <v>2602</v>
      </c>
      <c r="AD18" s="2034" t="s">
        <v>2602</v>
      </c>
      <c r="AE18" s="2038">
        <v>233</v>
      </c>
      <c r="AF18" s="2033">
        <v>274</v>
      </c>
      <c r="AG18" s="2034" t="s">
        <v>2720</v>
      </c>
      <c r="AH18" s="2034" t="s">
        <v>2721</v>
      </c>
      <c r="AI18" s="2034" t="s">
        <v>2602</v>
      </c>
      <c r="AJ18" s="2034" t="s">
        <v>2722</v>
      </c>
      <c r="AK18" s="2034" t="s">
        <v>2602</v>
      </c>
      <c r="AL18" s="2034" t="s">
        <v>2602</v>
      </c>
      <c r="AM18" s="2034" t="s">
        <v>2602</v>
      </c>
      <c r="AN18" s="2035" t="s">
        <v>2602</v>
      </c>
      <c r="AO18" s="2035" t="s">
        <v>2602</v>
      </c>
      <c r="AP18" s="2035" t="s">
        <v>2602</v>
      </c>
      <c r="AQ18" s="2035" t="s">
        <v>2602</v>
      </c>
      <c r="AR18" s="2034" t="s">
        <v>2602</v>
      </c>
      <c r="AS18" s="2034" t="s">
        <v>2602</v>
      </c>
      <c r="AT18" s="2034" t="s">
        <v>2602</v>
      </c>
      <c r="AU18" s="2034" t="s">
        <v>2602</v>
      </c>
      <c r="AV18" s="2034" t="s">
        <v>2602</v>
      </c>
      <c r="AW18" s="2038">
        <v>67</v>
      </c>
      <c r="AX18" s="2033">
        <v>72</v>
      </c>
      <c r="AY18" s="3526">
        <v>0.28755364806866951</v>
      </c>
      <c r="AZ18" s="2033" t="s">
        <v>2609</v>
      </c>
      <c r="BA18" s="2033" t="s">
        <v>2610</v>
      </c>
      <c r="BB18" s="2033">
        <v>6</v>
      </c>
      <c r="BC18" s="2033">
        <v>4</v>
      </c>
      <c r="BD18" s="2033" t="s">
        <v>2133</v>
      </c>
      <c r="BE18" s="2033" t="s">
        <v>2688</v>
      </c>
      <c r="BF18" s="2033" t="s">
        <v>2133</v>
      </c>
      <c r="BG18" s="2033" t="s">
        <v>2168</v>
      </c>
      <c r="BH18" s="3521" t="s">
        <v>2133</v>
      </c>
      <c r="BI18" s="3522"/>
      <c r="BJ18" s="3523" t="s">
        <v>3634</v>
      </c>
      <c r="BK18" s="1550"/>
      <c r="BL18" s="1550"/>
      <c r="BM18" s="1550"/>
      <c r="BN18" s="1550"/>
      <c r="BO18" s="1550"/>
      <c r="BP18" s="1550"/>
      <c r="BQ18" s="1550"/>
      <c r="BR18" s="1550"/>
      <c r="BS18" s="1550"/>
      <c r="BT18" s="1550"/>
      <c r="BU18" s="1550"/>
      <c r="BV18" s="1550"/>
      <c r="BW18" s="1550"/>
      <c r="BX18" s="1550"/>
      <c r="BY18" s="1550"/>
      <c r="BZ18" s="1550"/>
      <c r="CA18" s="1550"/>
    </row>
    <row r="19" spans="1:79" s="1078" customFormat="1" ht="37" hidden="1" customHeight="1">
      <c r="A19" s="1078">
        <f t="shared" si="0"/>
        <v>0</v>
      </c>
      <c r="B19" s="3557"/>
      <c r="C19" s="3558"/>
      <c r="D19" s="3558"/>
      <c r="E19" s="3558"/>
      <c r="F19" s="3559"/>
      <c r="G19" s="3559">
        <v>18</v>
      </c>
      <c r="H19" s="3524"/>
      <c r="I19" s="3595"/>
      <c r="J19" s="3511"/>
      <c r="K19" s="3512"/>
      <c r="L19" s="6252"/>
      <c r="M19" s="3513"/>
      <c r="N19" s="2033" t="s">
        <v>2138</v>
      </c>
      <c r="O19" s="2034"/>
      <c r="P19" s="2034"/>
      <c r="Q19" s="2034"/>
      <c r="R19" s="2034"/>
      <c r="S19" s="2034"/>
      <c r="T19" s="2034"/>
      <c r="U19" s="2034"/>
      <c r="V19" s="2035"/>
      <c r="W19" s="2035"/>
      <c r="X19" s="2035"/>
      <c r="Y19" s="2035"/>
      <c r="Z19" s="2034"/>
      <c r="AA19" s="2034"/>
      <c r="AB19" s="2034"/>
      <c r="AC19" s="2034"/>
      <c r="AD19" s="2034"/>
      <c r="AE19" s="2064">
        <v>190</v>
      </c>
      <c r="AF19" s="3541">
        <v>208</v>
      </c>
      <c r="AG19" s="2034"/>
      <c r="AH19" s="2034"/>
      <c r="AI19" s="2034"/>
      <c r="AJ19" s="2034"/>
      <c r="AK19" s="2034"/>
      <c r="AL19" s="2034"/>
      <c r="AM19" s="2034"/>
      <c r="AN19" s="2034"/>
      <c r="AO19" s="2034"/>
      <c r="AP19" s="2034"/>
      <c r="AQ19" s="2034"/>
      <c r="AR19" s="2034"/>
      <c r="AS19" s="2034"/>
      <c r="AT19" s="2034"/>
      <c r="AU19" s="2034"/>
      <c r="AV19" s="2034"/>
      <c r="AW19" s="2064">
        <v>97</v>
      </c>
      <c r="AX19" s="3542">
        <v>99</v>
      </c>
      <c r="AY19" s="3526">
        <v>0.51052631578947372</v>
      </c>
      <c r="AZ19" s="2033" t="s">
        <v>2609</v>
      </c>
      <c r="BA19" s="3541" t="s">
        <v>2610</v>
      </c>
      <c r="BB19" s="3541">
        <v>7</v>
      </c>
      <c r="BC19" s="3541">
        <v>5</v>
      </c>
      <c r="BD19" s="3541" t="s">
        <v>2133</v>
      </c>
      <c r="BE19" s="3541" t="s">
        <v>2133</v>
      </c>
      <c r="BF19" s="3541" t="s">
        <v>2133</v>
      </c>
      <c r="BG19" s="2033" t="s">
        <v>2168</v>
      </c>
      <c r="BH19" s="3550" t="s">
        <v>2133</v>
      </c>
      <c r="BI19" s="3522"/>
      <c r="BJ19" s="3523" t="s">
        <v>3634</v>
      </c>
      <c r="BK19" s="1550"/>
      <c r="BL19" s="1550"/>
      <c r="BM19" s="1550"/>
      <c r="BN19" s="1550"/>
      <c r="BO19" s="1550"/>
      <c r="BP19" s="1550"/>
      <c r="BQ19" s="1550"/>
      <c r="BR19" s="1550"/>
      <c r="BS19" s="1550"/>
      <c r="BT19" s="1550"/>
      <c r="BU19" s="1550"/>
      <c r="BV19" s="1550"/>
      <c r="BW19" s="1550"/>
      <c r="BX19" s="1550"/>
      <c r="BY19" s="1550"/>
      <c r="BZ19" s="1550"/>
      <c r="CA19" s="1550"/>
    </row>
    <row r="20" spans="1:79" s="1078" customFormat="1" ht="37" customHeight="1">
      <c r="A20" s="1078">
        <f t="shared" si="0"/>
        <v>1035</v>
      </c>
      <c r="B20" s="3557"/>
      <c r="C20" s="3558"/>
      <c r="D20" s="3558"/>
      <c r="E20" s="3558"/>
      <c r="F20" s="3559"/>
      <c r="G20" s="3559">
        <v>18</v>
      </c>
      <c r="H20" s="3524">
        <f>$AE20*0.5</f>
        <v>57.5</v>
      </c>
      <c r="I20" s="3595"/>
      <c r="J20" s="3511" t="s">
        <v>2695</v>
      </c>
      <c r="K20" s="3512">
        <v>39</v>
      </c>
      <c r="L20" s="6252"/>
      <c r="M20" s="3513" t="s">
        <v>3645</v>
      </c>
      <c r="N20" s="2033" t="s">
        <v>2138</v>
      </c>
      <c r="O20" s="2034"/>
      <c r="P20" s="2034"/>
      <c r="Q20" s="2034"/>
      <c r="R20" s="2034"/>
      <c r="S20" s="2034"/>
      <c r="T20" s="2034"/>
      <c r="U20" s="2034"/>
      <c r="V20" s="2035"/>
      <c r="W20" s="2035"/>
      <c r="X20" s="2035"/>
      <c r="Y20" s="2035"/>
      <c r="Z20" s="2034"/>
      <c r="AA20" s="2034"/>
      <c r="AB20" s="2034"/>
      <c r="AC20" s="2034"/>
      <c r="AD20" s="2034"/>
      <c r="AE20" s="2038">
        <v>115</v>
      </c>
      <c r="AF20" s="2033">
        <v>154</v>
      </c>
      <c r="AG20" s="2034"/>
      <c r="AH20" s="2034"/>
      <c r="AI20" s="2034"/>
      <c r="AJ20" s="2034"/>
      <c r="AK20" s="2034"/>
      <c r="AL20" s="2034"/>
      <c r="AM20" s="2034"/>
      <c r="AN20" s="2035"/>
      <c r="AO20" s="2035"/>
      <c r="AP20" s="2035"/>
      <c r="AQ20" s="2035"/>
      <c r="AR20" s="2034"/>
      <c r="AS20" s="2034"/>
      <c r="AT20" s="2034"/>
      <c r="AU20" s="2034"/>
      <c r="AV20" s="2034"/>
      <c r="AW20" s="2038">
        <v>115</v>
      </c>
      <c r="AX20" s="2033">
        <v>154</v>
      </c>
      <c r="AY20" s="3526">
        <v>1</v>
      </c>
      <c r="AZ20" s="2033" t="s">
        <v>2610</v>
      </c>
      <c r="BA20" s="2033" t="s">
        <v>2610</v>
      </c>
      <c r="BB20" s="2033">
        <v>3</v>
      </c>
      <c r="BC20" s="2033">
        <v>3</v>
      </c>
      <c r="BD20" s="2033" t="s">
        <v>2133</v>
      </c>
      <c r="BE20" s="2033" t="s">
        <v>2133</v>
      </c>
      <c r="BF20" s="2033" t="s">
        <v>2133</v>
      </c>
      <c r="BG20" s="2033" t="s">
        <v>2160</v>
      </c>
      <c r="BH20" s="3521" t="s">
        <v>2133</v>
      </c>
      <c r="BI20" s="3522"/>
      <c r="BJ20" s="3523" t="s">
        <v>3634</v>
      </c>
      <c r="BK20" s="1550"/>
      <c r="BL20" s="1550"/>
      <c r="BM20" s="1550"/>
      <c r="BN20" s="1550"/>
      <c r="BO20" s="1550"/>
      <c r="BP20" s="1550"/>
      <c r="BQ20" s="1550"/>
      <c r="BR20" s="1550"/>
      <c r="BS20" s="1550"/>
      <c r="BT20" s="1550"/>
      <c r="BU20" s="1550"/>
      <c r="BV20" s="1550"/>
      <c r="BW20" s="1550"/>
      <c r="BX20" s="1550"/>
      <c r="BY20" s="1550"/>
      <c r="BZ20" s="1550"/>
      <c r="CA20" s="1550"/>
    </row>
    <row r="21" spans="1:79" s="1078" customFormat="1" ht="37" customHeight="1" thickBot="1">
      <c r="A21" s="1078">
        <f t="shared" si="0"/>
        <v>270</v>
      </c>
      <c r="B21" s="3597"/>
      <c r="C21" s="3598"/>
      <c r="D21" s="3598"/>
      <c r="E21" s="3598"/>
      <c r="F21" s="3599"/>
      <c r="G21" s="3559">
        <v>18</v>
      </c>
      <c r="H21" s="3551">
        <f>$AW21</f>
        <v>15</v>
      </c>
      <c r="I21" s="3596"/>
      <c r="J21" s="3511" t="s">
        <v>2695</v>
      </c>
      <c r="K21" s="3512">
        <v>168</v>
      </c>
      <c r="L21" s="6252"/>
      <c r="M21" s="3513" t="s">
        <v>3646</v>
      </c>
      <c r="N21" s="2033" t="s">
        <v>2138</v>
      </c>
      <c r="O21" s="2034"/>
      <c r="P21" s="2034"/>
      <c r="Q21" s="2034"/>
      <c r="R21" s="2034"/>
      <c r="S21" s="2034"/>
      <c r="T21" s="2034"/>
      <c r="U21" s="2034"/>
      <c r="V21" s="2035"/>
      <c r="W21" s="2035"/>
      <c r="X21" s="2035"/>
      <c r="Y21" s="2035"/>
      <c r="Z21" s="2034"/>
      <c r="AA21" s="2034"/>
      <c r="AB21" s="2034"/>
      <c r="AC21" s="2034"/>
      <c r="AD21" s="2034"/>
      <c r="AE21" s="2064">
        <v>195</v>
      </c>
      <c r="AF21" s="3541">
        <v>247</v>
      </c>
      <c r="AG21" s="2034"/>
      <c r="AH21" s="2034"/>
      <c r="AI21" s="2034"/>
      <c r="AJ21" s="2034"/>
      <c r="AK21" s="2034"/>
      <c r="AL21" s="2034"/>
      <c r="AM21" s="2034"/>
      <c r="AN21" s="2034"/>
      <c r="AO21" s="2034"/>
      <c r="AP21" s="2034"/>
      <c r="AQ21" s="2034"/>
      <c r="AR21" s="2034"/>
      <c r="AS21" s="2034"/>
      <c r="AT21" s="2034"/>
      <c r="AU21" s="2034"/>
      <c r="AV21" s="2034"/>
      <c r="AW21" s="2064">
        <v>15</v>
      </c>
      <c r="AX21" s="3542">
        <v>19</v>
      </c>
      <c r="AY21" s="3526">
        <v>7.6923076923076927E-2</v>
      </c>
      <c r="AZ21" s="2033" t="s">
        <v>2609</v>
      </c>
      <c r="BA21" s="2033" t="s">
        <v>2609</v>
      </c>
      <c r="BB21" s="2033">
        <v>0</v>
      </c>
      <c r="BC21" s="2033">
        <v>0</v>
      </c>
      <c r="BD21" s="2033" t="s">
        <v>2133</v>
      </c>
      <c r="BE21" s="2033" t="s">
        <v>2688</v>
      </c>
      <c r="BF21" s="2033" t="s">
        <v>2688</v>
      </c>
      <c r="BG21" s="2033" t="s">
        <v>2168</v>
      </c>
      <c r="BH21" s="3521" t="s">
        <v>2133</v>
      </c>
      <c r="BI21" s="3522"/>
      <c r="BJ21" s="3523" t="s">
        <v>3634</v>
      </c>
      <c r="BK21" s="1550"/>
      <c r="BL21" s="1550"/>
      <c r="BM21" s="1550"/>
      <c r="BN21" s="1550"/>
      <c r="BO21" s="1550"/>
      <c r="BP21" s="1550"/>
      <c r="BQ21" s="1550"/>
      <c r="BR21" s="1550"/>
      <c r="BS21" s="1550"/>
      <c r="BT21" s="1550"/>
      <c r="BU21" s="1550"/>
      <c r="BV21" s="1550"/>
      <c r="BW21" s="1550"/>
      <c r="BX21" s="1550"/>
      <c r="BY21" s="1550"/>
      <c r="BZ21" s="1550"/>
      <c r="CA21" s="1550"/>
    </row>
    <row r="22" spans="1:79" s="1078" customFormat="1" ht="23.15" customHeight="1" thickTop="1">
      <c r="B22" s="6595" t="s">
        <v>3647</v>
      </c>
      <c r="C22" s="6596"/>
      <c r="D22" s="6596"/>
      <c r="E22" s="6596"/>
      <c r="F22" s="6597"/>
      <c r="G22" s="3805"/>
      <c r="H22" s="3552">
        <f>$AE22*0.5</f>
        <v>142</v>
      </c>
      <c r="I22" s="3553">
        <f>I6+H22</f>
        <v>1408.5</v>
      </c>
      <c r="J22" s="3511" t="s">
        <v>2695</v>
      </c>
      <c r="K22" s="3512"/>
      <c r="L22" s="6252"/>
      <c r="M22" s="3554" t="s">
        <v>3648</v>
      </c>
      <c r="N22" s="2033" t="s">
        <v>2138</v>
      </c>
      <c r="O22" s="2034"/>
      <c r="P22" s="2034"/>
      <c r="Q22" s="2034"/>
      <c r="R22" s="2034"/>
      <c r="S22" s="2034"/>
      <c r="T22" s="2034"/>
      <c r="U22" s="2034"/>
      <c r="V22" s="2035"/>
      <c r="W22" s="2035"/>
      <c r="X22" s="2035"/>
      <c r="Y22" s="2035"/>
      <c r="Z22" s="2034"/>
      <c r="AA22" s="2034"/>
      <c r="AB22" s="2034"/>
      <c r="AC22" s="2034"/>
      <c r="AD22" s="2034"/>
      <c r="AE22" s="2038">
        <v>284</v>
      </c>
      <c r="AF22" s="2033">
        <v>476</v>
      </c>
      <c r="AG22" s="2034"/>
      <c r="AH22" s="2034"/>
      <c r="AI22" s="2034"/>
      <c r="AJ22" s="2034"/>
      <c r="AK22" s="2034"/>
      <c r="AL22" s="2034"/>
      <c r="AM22" s="2034"/>
      <c r="AN22" s="2035"/>
      <c r="AO22" s="2035"/>
      <c r="AP22" s="2035"/>
      <c r="AQ22" s="2035"/>
      <c r="AR22" s="2034"/>
      <c r="AS22" s="2034"/>
      <c r="AT22" s="2034"/>
      <c r="AU22" s="2034"/>
      <c r="AV22" s="2034"/>
      <c r="AW22" s="2038">
        <v>284</v>
      </c>
      <c r="AX22" s="2033">
        <v>476</v>
      </c>
      <c r="AY22" s="3526">
        <v>1</v>
      </c>
      <c r="AZ22" s="2033" t="s">
        <v>2610</v>
      </c>
      <c r="BA22" s="2033" t="s">
        <v>2610</v>
      </c>
      <c r="BB22" s="3555" t="s">
        <v>3649</v>
      </c>
      <c r="BC22" s="3555" t="s">
        <v>3649</v>
      </c>
      <c r="BD22" s="2033" t="s">
        <v>2133</v>
      </c>
      <c r="BE22" s="2033" t="s">
        <v>2133</v>
      </c>
      <c r="BF22" s="2033" t="s">
        <v>2133</v>
      </c>
      <c r="BG22" s="2033" t="s">
        <v>2160</v>
      </c>
      <c r="BH22" s="3521" t="s">
        <v>2133</v>
      </c>
      <c r="BI22" s="3522"/>
      <c r="BJ22" s="3556" t="s">
        <v>3650</v>
      </c>
      <c r="BK22" s="1550"/>
      <c r="BL22" s="1550"/>
      <c r="BM22" s="1550"/>
      <c r="BN22" s="1550"/>
      <c r="BO22" s="1550"/>
      <c r="BP22" s="1550"/>
      <c r="BQ22" s="1550"/>
      <c r="BR22" s="1550"/>
      <c r="BS22" s="1550"/>
      <c r="BT22" s="1550"/>
      <c r="BU22" s="1550"/>
      <c r="BV22" s="1550"/>
      <c r="BW22" s="1550"/>
      <c r="BX22" s="1550"/>
      <c r="BY22" s="1550"/>
      <c r="BZ22" s="1550"/>
      <c r="CA22" s="1550"/>
    </row>
    <row r="23" spans="1:79" s="1078" customFormat="1" ht="23.15" customHeight="1">
      <c r="B23" s="3557"/>
      <c r="C23" s="3558"/>
      <c r="D23" s="3558"/>
      <c r="E23" s="3558"/>
      <c r="F23" s="3559"/>
      <c r="G23" s="3559"/>
      <c r="H23" s="3524">
        <f t="shared" ref="H23:H34" si="1">$AE23*0.5</f>
        <v>119</v>
      </c>
      <c r="I23" s="3553">
        <f>$I22+$H23</f>
        <v>1527.5</v>
      </c>
      <c r="J23" s="3511" t="s">
        <v>2695</v>
      </c>
      <c r="K23" s="3512"/>
      <c r="L23" s="6252"/>
      <c r="M23" s="3554" t="s">
        <v>2725</v>
      </c>
      <c r="N23" s="2033" t="s">
        <v>2138</v>
      </c>
      <c r="O23" s="2034" t="s">
        <v>2718</v>
      </c>
      <c r="P23" s="2034" t="s">
        <v>2676</v>
      </c>
      <c r="Q23" s="2034" t="s">
        <v>2602</v>
      </c>
      <c r="R23" s="2034" t="s">
        <v>2719</v>
      </c>
      <c r="S23" s="2034" t="s">
        <v>2602</v>
      </c>
      <c r="T23" s="2034" t="s">
        <v>2602</v>
      </c>
      <c r="U23" s="2034" t="s">
        <v>2602</v>
      </c>
      <c r="V23" s="2035" t="s">
        <v>2602</v>
      </c>
      <c r="W23" s="2035" t="s">
        <v>2602</v>
      </c>
      <c r="X23" s="2035" t="s">
        <v>2602</v>
      </c>
      <c r="Y23" s="2035" t="s">
        <v>2602</v>
      </c>
      <c r="Z23" s="2034" t="s">
        <v>2602</v>
      </c>
      <c r="AA23" s="2034" t="s">
        <v>2602</v>
      </c>
      <c r="AB23" s="2034" t="s">
        <v>2602</v>
      </c>
      <c r="AC23" s="2034" t="s">
        <v>2602</v>
      </c>
      <c r="AD23" s="2034" t="s">
        <v>2602</v>
      </c>
      <c r="AE23" s="2038">
        <v>238</v>
      </c>
      <c r="AF23" s="2033">
        <v>261</v>
      </c>
      <c r="AG23" s="2034" t="s">
        <v>2602</v>
      </c>
      <c r="AH23" s="2034" t="s">
        <v>2682</v>
      </c>
      <c r="AI23" s="2034" t="s">
        <v>2602</v>
      </c>
      <c r="AJ23" s="2034" t="s">
        <v>2636</v>
      </c>
      <c r="AK23" s="2034" t="s">
        <v>2602</v>
      </c>
      <c r="AL23" s="2034" t="s">
        <v>2726</v>
      </c>
      <c r="AM23" s="2034" t="s">
        <v>2602</v>
      </c>
      <c r="AN23" s="2035" t="s">
        <v>2602</v>
      </c>
      <c r="AO23" s="2035" t="s">
        <v>2602</v>
      </c>
      <c r="AP23" s="2035" t="s">
        <v>2602</v>
      </c>
      <c r="AQ23" s="2035" t="s">
        <v>2602</v>
      </c>
      <c r="AR23" s="2034" t="s">
        <v>2602</v>
      </c>
      <c r="AS23" s="2034" t="s">
        <v>2602</v>
      </c>
      <c r="AT23" s="2034" t="s">
        <v>2602</v>
      </c>
      <c r="AU23" s="2034" t="s">
        <v>2602</v>
      </c>
      <c r="AV23" s="2034" t="s">
        <v>2602</v>
      </c>
      <c r="AW23" s="2038">
        <v>238</v>
      </c>
      <c r="AX23" s="2033">
        <v>261</v>
      </c>
      <c r="AY23" s="3526">
        <v>1</v>
      </c>
      <c r="AZ23" s="2033" t="s">
        <v>2610</v>
      </c>
      <c r="BA23" s="2033" t="s">
        <v>2610</v>
      </c>
      <c r="BB23" s="2033">
        <v>0</v>
      </c>
      <c r="BC23" s="2033">
        <v>0</v>
      </c>
      <c r="BD23" s="2033" t="s">
        <v>2133</v>
      </c>
      <c r="BE23" s="2033" t="s">
        <v>2688</v>
      </c>
      <c r="BF23" s="2033" t="s">
        <v>2688</v>
      </c>
      <c r="BG23" s="2033" t="s">
        <v>2168</v>
      </c>
      <c r="BH23" s="3521" t="s">
        <v>2133</v>
      </c>
      <c r="BI23" s="3522"/>
      <c r="BJ23" s="3556" t="s">
        <v>3650</v>
      </c>
      <c r="BK23" s="1550"/>
      <c r="BL23" s="1550"/>
      <c r="BM23" s="1550"/>
      <c r="BN23" s="1550"/>
      <c r="BO23" s="1550"/>
      <c r="BP23" s="1550"/>
      <c r="BQ23" s="1550"/>
      <c r="BR23" s="1550"/>
      <c r="BS23" s="1550"/>
      <c r="BT23" s="1550"/>
      <c r="BU23" s="1550"/>
      <c r="BV23" s="1550"/>
      <c r="BW23" s="1550"/>
      <c r="BX23" s="1550"/>
      <c r="BY23" s="1550"/>
      <c r="BZ23" s="1550"/>
      <c r="CA23" s="1550"/>
    </row>
    <row r="24" spans="1:79" s="1078" customFormat="1" ht="23.15" customHeight="1">
      <c r="B24" s="6595"/>
      <c r="C24" s="6596"/>
      <c r="D24" s="6596"/>
      <c r="E24" s="6596"/>
      <c r="F24" s="6597"/>
      <c r="G24" s="3805"/>
      <c r="H24" s="3524">
        <f t="shared" si="1"/>
        <v>82.5</v>
      </c>
      <c r="I24" s="3553">
        <f>$I23+$H24</f>
        <v>1610</v>
      </c>
      <c r="J24" s="3560" t="s">
        <v>2695</v>
      </c>
      <c r="K24" s="3512"/>
      <c r="L24" s="6252"/>
      <c r="M24" s="3554" t="s">
        <v>3651</v>
      </c>
      <c r="N24" s="2033" t="s">
        <v>2138</v>
      </c>
      <c r="O24" s="2034"/>
      <c r="P24" s="2034"/>
      <c r="Q24" s="2034"/>
      <c r="R24" s="2034"/>
      <c r="S24" s="2034"/>
      <c r="T24" s="2034"/>
      <c r="U24" s="2034"/>
      <c r="V24" s="2035"/>
      <c r="W24" s="2035"/>
      <c r="X24" s="2035"/>
      <c r="Y24" s="2035"/>
      <c r="Z24" s="2034"/>
      <c r="AA24" s="2034"/>
      <c r="AB24" s="2034"/>
      <c r="AC24" s="2034"/>
      <c r="AD24" s="2034"/>
      <c r="AE24" s="2064" t="s">
        <v>3652</v>
      </c>
      <c r="AF24" s="3541" t="s">
        <v>3653</v>
      </c>
      <c r="AG24" s="2034"/>
      <c r="AH24" s="2034"/>
      <c r="AI24" s="2034"/>
      <c r="AJ24" s="2034"/>
      <c r="AK24" s="2034"/>
      <c r="AL24" s="2034"/>
      <c r="AM24" s="2034"/>
      <c r="AN24" s="2034"/>
      <c r="AO24" s="2034"/>
      <c r="AP24" s="2034"/>
      <c r="AQ24" s="2034"/>
      <c r="AR24" s="2034"/>
      <c r="AS24" s="2034"/>
      <c r="AT24" s="2034"/>
      <c r="AU24" s="2034"/>
      <c r="AV24" s="2034"/>
      <c r="AW24" s="2064" t="s">
        <v>3475</v>
      </c>
      <c r="AX24" s="3542" t="s">
        <v>3542</v>
      </c>
      <c r="AY24" s="3526">
        <v>0.42424242424242425</v>
      </c>
      <c r="AZ24" s="2033" t="s">
        <v>2609</v>
      </c>
      <c r="BA24" s="2033" t="s">
        <v>2610</v>
      </c>
      <c r="BB24" s="2033" t="s">
        <v>3592</v>
      </c>
      <c r="BC24" s="2033" t="s">
        <v>3592</v>
      </c>
      <c r="BD24" s="2033" t="s">
        <v>2688</v>
      </c>
      <c r="BE24" s="2033" t="s">
        <v>2688</v>
      </c>
      <c r="BF24" s="2033" t="s">
        <v>2688</v>
      </c>
      <c r="BG24" s="2033" t="s">
        <v>2129</v>
      </c>
      <c r="BH24" s="3521" t="s">
        <v>2129</v>
      </c>
      <c r="BI24" s="3522"/>
      <c r="BJ24" s="3556" t="s">
        <v>3650</v>
      </c>
      <c r="BK24" s="1550"/>
      <c r="BL24" s="1550"/>
      <c r="BM24" s="1550"/>
      <c r="BN24" s="1550"/>
      <c r="BO24" s="1550"/>
      <c r="BP24" s="1550"/>
      <c r="BQ24" s="1550"/>
      <c r="BR24" s="1550"/>
      <c r="BS24" s="1550"/>
      <c r="BT24" s="1550"/>
      <c r="BU24" s="1550"/>
      <c r="BV24" s="1550"/>
      <c r="BW24" s="1550"/>
      <c r="BX24" s="1550"/>
      <c r="BY24" s="1550"/>
      <c r="BZ24" s="1550"/>
      <c r="CA24" s="1550"/>
    </row>
    <row r="25" spans="1:79" s="1078" customFormat="1" ht="23.15" customHeight="1">
      <c r="B25" s="6595"/>
      <c r="C25" s="6596"/>
      <c r="D25" s="6596"/>
      <c r="E25" s="6596"/>
      <c r="F25" s="6597"/>
      <c r="G25" s="3805"/>
      <c r="H25" s="3524">
        <f t="shared" si="1"/>
        <v>64</v>
      </c>
      <c r="I25" s="3553">
        <f t="shared" ref="I25:I35" si="2">$I24+$H25</f>
        <v>1674</v>
      </c>
      <c r="J25" s="3560" t="s">
        <v>2695</v>
      </c>
      <c r="K25" s="3512"/>
      <c r="L25" s="6252"/>
      <c r="M25" s="3554" t="s">
        <v>3654</v>
      </c>
      <c r="N25" s="2033" t="s">
        <v>2138</v>
      </c>
      <c r="O25" s="2034"/>
      <c r="P25" s="2034"/>
      <c r="Q25" s="2034"/>
      <c r="R25" s="2034"/>
      <c r="S25" s="2034"/>
      <c r="T25" s="2034"/>
      <c r="U25" s="2034"/>
      <c r="V25" s="2035"/>
      <c r="W25" s="2035"/>
      <c r="X25" s="2035"/>
      <c r="Y25" s="2035"/>
      <c r="Z25" s="2034"/>
      <c r="AA25" s="2034"/>
      <c r="AB25" s="2034"/>
      <c r="AC25" s="2034"/>
      <c r="AD25" s="2034"/>
      <c r="AE25" s="2064" t="s">
        <v>3655</v>
      </c>
      <c r="AF25" s="3541" t="s">
        <v>3656</v>
      </c>
      <c r="AG25" s="2034"/>
      <c r="AH25" s="2034"/>
      <c r="AI25" s="2034"/>
      <c r="AJ25" s="2034"/>
      <c r="AK25" s="2034"/>
      <c r="AL25" s="2034"/>
      <c r="AM25" s="2034"/>
      <c r="AN25" s="2034"/>
      <c r="AO25" s="2034"/>
      <c r="AP25" s="2034"/>
      <c r="AQ25" s="2034"/>
      <c r="AR25" s="2034"/>
      <c r="AS25" s="2034"/>
      <c r="AT25" s="2034"/>
      <c r="AU25" s="2034"/>
      <c r="AV25" s="2034"/>
      <c r="AW25" s="2064" t="s">
        <v>3657</v>
      </c>
      <c r="AX25" s="3542" t="s">
        <v>3657</v>
      </c>
      <c r="AY25" s="3526">
        <v>0.3515625</v>
      </c>
      <c r="AZ25" s="2033" t="s">
        <v>2609</v>
      </c>
      <c r="BA25" s="2033" t="s">
        <v>2609</v>
      </c>
      <c r="BB25" s="2033" t="s">
        <v>2854</v>
      </c>
      <c r="BC25" s="2033" t="s">
        <v>2854</v>
      </c>
      <c r="BD25" s="2033" t="s">
        <v>2133</v>
      </c>
      <c r="BE25" s="2033" t="s">
        <v>2688</v>
      </c>
      <c r="BF25" s="2033" t="s">
        <v>2688</v>
      </c>
      <c r="BG25" s="2033" t="s">
        <v>2129</v>
      </c>
      <c r="BH25" s="3521" t="s">
        <v>2129</v>
      </c>
      <c r="BI25" s="3522"/>
      <c r="BJ25" s="3556" t="s">
        <v>3650</v>
      </c>
      <c r="BK25" s="1550"/>
      <c r="BL25" s="1550"/>
      <c r="BM25" s="1550"/>
      <c r="BN25" s="1550"/>
      <c r="BO25" s="1550"/>
      <c r="BP25" s="1550"/>
      <c r="BQ25" s="1550"/>
      <c r="BR25" s="1550"/>
      <c r="BS25" s="1550"/>
      <c r="BT25" s="1550"/>
      <c r="BU25" s="1550"/>
      <c r="BV25" s="1550"/>
      <c r="BW25" s="1550"/>
      <c r="BX25" s="1550"/>
      <c r="BY25" s="1550"/>
      <c r="BZ25" s="1550"/>
      <c r="CA25" s="1550"/>
    </row>
    <row r="26" spans="1:79" s="1078" customFormat="1" ht="23.15" customHeight="1">
      <c r="B26" s="6595"/>
      <c r="C26" s="6596"/>
      <c r="D26" s="6596"/>
      <c r="E26" s="6596"/>
      <c r="F26" s="6597"/>
      <c r="G26" s="3805"/>
      <c r="H26" s="3524">
        <f t="shared" si="1"/>
        <v>123</v>
      </c>
      <c r="I26" s="3553">
        <f t="shared" si="2"/>
        <v>1797</v>
      </c>
      <c r="J26" s="3560" t="s">
        <v>2695</v>
      </c>
      <c r="K26" s="3512"/>
      <c r="L26" s="6252"/>
      <c r="M26" s="3554" t="s">
        <v>3658</v>
      </c>
      <c r="N26" s="2033" t="s">
        <v>2138</v>
      </c>
      <c r="O26" s="2034"/>
      <c r="P26" s="2034"/>
      <c r="Q26" s="2034"/>
      <c r="R26" s="2034"/>
      <c r="S26" s="2034"/>
      <c r="T26" s="2034"/>
      <c r="U26" s="2034"/>
      <c r="V26" s="2035"/>
      <c r="W26" s="2035"/>
      <c r="X26" s="2035"/>
      <c r="Y26" s="2035"/>
      <c r="Z26" s="2034"/>
      <c r="AA26" s="2034"/>
      <c r="AB26" s="2034"/>
      <c r="AC26" s="2034"/>
      <c r="AD26" s="2034"/>
      <c r="AE26" s="2064" t="s">
        <v>3659</v>
      </c>
      <c r="AF26" s="3541" t="s">
        <v>3660</v>
      </c>
      <c r="AG26" s="2034"/>
      <c r="AH26" s="2034"/>
      <c r="AI26" s="2034"/>
      <c r="AJ26" s="2034"/>
      <c r="AK26" s="2034"/>
      <c r="AL26" s="2034"/>
      <c r="AM26" s="2034"/>
      <c r="AN26" s="2034"/>
      <c r="AO26" s="2034"/>
      <c r="AP26" s="2034"/>
      <c r="AQ26" s="2034"/>
      <c r="AR26" s="2034"/>
      <c r="AS26" s="2034"/>
      <c r="AT26" s="2034"/>
      <c r="AU26" s="2034"/>
      <c r="AV26" s="2034"/>
      <c r="AW26" s="2064" t="s">
        <v>3475</v>
      </c>
      <c r="AX26" s="3542" t="s">
        <v>3542</v>
      </c>
      <c r="AY26" s="3526">
        <v>0.28455284552845528</v>
      </c>
      <c r="AZ26" s="2033" t="s">
        <v>2609</v>
      </c>
      <c r="BA26" s="2033" t="s">
        <v>2609</v>
      </c>
      <c r="BB26" s="2033" t="s">
        <v>2854</v>
      </c>
      <c r="BC26" s="2033" t="s">
        <v>2854</v>
      </c>
      <c r="BD26" s="2033" t="s">
        <v>2133</v>
      </c>
      <c r="BE26" s="2033" t="s">
        <v>2688</v>
      </c>
      <c r="BF26" s="2033" t="s">
        <v>2688</v>
      </c>
      <c r="BG26" s="2033" t="s">
        <v>2129</v>
      </c>
      <c r="BH26" s="3521" t="s">
        <v>2129</v>
      </c>
      <c r="BI26" s="3522"/>
      <c r="BJ26" s="3556" t="s">
        <v>3650</v>
      </c>
      <c r="BK26" s="1550"/>
      <c r="BL26" s="1550"/>
      <c r="BM26" s="1550"/>
      <c r="BN26" s="1550"/>
      <c r="BO26" s="1550"/>
      <c r="BP26" s="1550"/>
      <c r="BQ26" s="1550"/>
      <c r="BR26" s="1550"/>
      <c r="BS26" s="1550"/>
      <c r="BT26" s="1550"/>
      <c r="BU26" s="1550"/>
      <c r="BV26" s="1550"/>
      <c r="BW26" s="1550"/>
      <c r="BX26" s="1550"/>
      <c r="BY26" s="1550"/>
      <c r="BZ26" s="1550"/>
      <c r="CA26" s="1550"/>
    </row>
    <row r="27" spans="1:79" s="1078" customFormat="1" ht="23.15" customHeight="1">
      <c r="B27" s="3561"/>
      <c r="C27" s="3562"/>
      <c r="D27" s="3562"/>
      <c r="E27" s="3562"/>
      <c r="F27" s="3563"/>
      <c r="G27" s="3558"/>
      <c r="H27" s="3524">
        <f t="shared" si="1"/>
        <v>116.5</v>
      </c>
      <c r="I27" s="3553">
        <f t="shared" si="2"/>
        <v>1913.5</v>
      </c>
      <c r="J27" s="3560" t="s">
        <v>2695</v>
      </c>
      <c r="K27" s="3512"/>
      <c r="L27" s="6252"/>
      <c r="M27" s="3554" t="s">
        <v>3661</v>
      </c>
      <c r="N27" s="2033" t="s">
        <v>2138</v>
      </c>
      <c r="O27" s="2034"/>
      <c r="P27" s="2034"/>
      <c r="Q27" s="2034"/>
      <c r="R27" s="2034"/>
      <c r="S27" s="2034"/>
      <c r="T27" s="2034"/>
      <c r="U27" s="2034"/>
      <c r="V27" s="2035"/>
      <c r="W27" s="2035"/>
      <c r="X27" s="2035"/>
      <c r="Y27" s="2035"/>
      <c r="Z27" s="2034"/>
      <c r="AA27" s="2034"/>
      <c r="AB27" s="2034"/>
      <c r="AC27" s="2034"/>
      <c r="AD27" s="2034"/>
      <c r="AE27" s="2064" t="s">
        <v>3662</v>
      </c>
      <c r="AF27" s="3541" t="s">
        <v>3663</v>
      </c>
      <c r="AG27" s="2034"/>
      <c r="AH27" s="2034"/>
      <c r="AI27" s="2034"/>
      <c r="AJ27" s="2034"/>
      <c r="AK27" s="2034"/>
      <c r="AL27" s="2034"/>
      <c r="AM27" s="2034"/>
      <c r="AN27" s="2034"/>
      <c r="AO27" s="2034"/>
      <c r="AP27" s="2034"/>
      <c r="AQ27" s="2034"/>
      <c r="AR27" s="2034"/>
      <c r="AS27" s="2034"/>
      <c r="AT27" s="2034"/>
      <c r="AU27" s="2034"/>
      <c r="AV27" s="2034"/>
      <c r="AW27" s="2064" t="s">
        <v>3526</v>
      </c>
      <c r="AX27" s="3542" t="s">
        <v>3475</v>
      </c>
      <c r="AY27" s="3526">
        <v>0.25751072961373389</v>
      </c>
      <c r="AZ27" s="2033" t="s">
        <v>2609</v>
      </c>
      <c r="BA27" s="2033" t="s">
        <v>2610</v>
      </c>
      <c r="BB27" s="2033" t="s">
        <v>2854</v>
      </c>
      <c r="BC27" s="2033" t="s">
        <v>2854</v>
      </c>
      <c r="BD27" s="2033" t="s">
        <v>2133</v>
      </c>
      <c r="BE27" s="2033" t="s">
        <v>2688</v>
      </c>
      <c r="BF27" s="2033" t="s">
        <v>2688</v>
      </c>
      <c r="BG27" s="2033" t="s">
        <v>2129</v>
      </c>
      <c r="BH27" s="3521" t="s">
        <v>2129</v>
      </c>
      <c r="BI27" s="3522"/>
      <c r="BJ27" s="3556" t="s">
        <v>3650</v>
      </c>
      <c r="BK27" s="1550"/>
      <c r="BL27" s="1550"/>
      <c r="BM27" s="1550"/>
      <c r="BN27" s="1550"/>
      <c r="BO27" s="1550"/>
      <c r="BP27" s="1550"/>
      <c r="BQ27" s="1550"/>
      <c r="BR27" s="1550"/>
      <c r="BS27" s="1550"/>
      <c r="BT27" s="1550"/>
      <c r="BU27" s="1550"/>
      <c r="BV27" s="1550"/>
      <c r="BW27" s="1550"/>
      <c r="BX27" s="1550"/>
      <c r="BY27" s="1550"/>
      <c r="BZ27" s="1550"/>
      <c r="CA27" s="1550"/>
    </row>
    <row r="28" spans="1:79" s="1078" customFormat="1" ht="23.15" customHeight="1">
      <c r="B28" s="3561"/>
      <c r="C28" s="3562"/>
      <c r="D28" s="3562"/>
      <c r="E28" s="3562"/>
      <c r="F28" s="3563"/>
      <c r="G28" s="3558"/>
      <c r="H28" s="3524">
        <f t="shared" si="1"/>
        <v>119.5</v>
      </c>
      <c r="I28" s="3553">
        <f t="shared" si="2"/>
        <v>2033</v>
      </c>
      <c r="J28" s="3560" t="s">
        <v>2695</v>
      </c>
      <c r="K28" s="3512"/>
      <c r="L28" s="6252"/>
      <c r="M28" s="3554" t="s">
        <v>3664</v>
      </c>
      <c r="N28" s="2033" t="s">
        <v>2138</v>
      </c>
      <c r="O28" s="2034"/>
      <c r="P28" s="2034"/>
      <c r="Q28" s="2034"/>
      <c r="R28" s="2034"/>
      <c r="S28" s="2034"/>
      <c r="T28" s="2034"/>
      <c r="U28" s="2034"/>
      <c r="V28" s="2035"/>
      <c r="W28" s="2035"/>
      <c r="X28" s="2035"/>
      <c r="Y28" s="2035"/>
      <c r="Z28" s="2034"/>
      <c r="AA28" s="2034"/>
      <c r="AB28" s="2034"/>
      <c r="AC28" s="2034"/>
      <c r="AD28" s="2034"/>
      <c r="AE28" s="2064" t="s">
        <v>3665</v>
      </c>
      <c r="AF28" s="3541" t="s">
        <v>3666</v>
      </c>
      <c r="AG28" s="2034"/>
      <c r="AH28" s="2034"/>
      <c r="AI28" s="2034"/>
      <c r="AJ28" s="2034"/>
      <c r="AK28" s="2034"/>
      <c r="AL28" s="2034"/>
      <c r="AM28" s="2034"/>
      <c r="AN28" s="2034"/>
      <c r="AO28" s="2034"/>
      <c r="AP28" s="2034"/>
      <c r="AQ28" s="2034"/>
      <c r="AR28" s="2034"/>
      <c r="AS28" s="2034"/>
      <c r="AT28" s="2034"/>
      <c r="AU28" s="2034"/>
      <c r="AV28" s="2034"/>
      <c r="AW28" s="2064" t="s">
        <v>3584</v>
      </c>
      <c r="AX28" s="3542" t="s">
        <v>3667</v>
      </c>
      <c r="AY28" s="3526">
        <v>0.3807531380753138</v>
      </c>
      <c r="AZ28" s="2033" t="s">
        <v>2609</v>
      </c>
      <c r="BA28" s="2033" t="s">
        <v>2610</v>
      </c>
      <c r="BB28" s="2033" t="s">
        <v>2669</v>
      </c>
      <c r="BC28" s="2033" t="s">
        <v>2669</v>
      </c>
      <c r="BD28" s="2033" t="s">
        <v>2133</v>
      </c>
      <c r="BE28" s="2033" t="s">
        <v>2133</v>
      </c>
      <c r="BF28" s="2033" t="s">
        <v>2133</v>
      </c>
      <c r="BG28" s="2033" t="s">
        <v>2129</v>
      </c>
      <c r="BH28" s="3521" t="s">
        <v>2129</v>
      </c>
      <c r="BI28" s="3522"/>
      <c r="BJ28" s="3556" t="s">
        <v>3650</v>
      </c>
      <c r="BK28" s="1550"/>
      <c r="BL28" s="1550"/>
      <c r="BM28" s="1550"/>
      <c r="BN28" s="1550"/>
      <c r="BO28" s="1550"/>
      <c r="BP28" s="1550"/>
      <c r="BQ28" s="1550"/>
      <c r="BR28" s="1550"/>
      <c r="BS28" s="1550"/>
      <c r="BT28" s="1550"/>
      <c r="BU28" s="1550"/>
      <c r="BV28" s="1550"/>
      <c r="BW28" s="1550"/>
      <c r="BX28" s="1550"/>
      <c r="BY28" s="1550"/>
      <c r="BZ28" s="1550"/>
      <c r="CA28" s="1550"/>
    </row>
    <row r="29" spans="1:79" s="1078" customFormat="1" ht="23.15" customHeight="1">
      <c r="B29" s="3561"/>
      <c r="C29" s="3562"/>
      <c r="D29" s="3562"/>
      <c r="E29" s="3562"/>
      <c r="F29" s="3563"/>
      <c r="G29" s="3558"/>
      <c r="H29" s="3524">
        <f t="shared" si="1"/>
        <v>94</v>
      </c>
      <c r="I29" s="3553">
        <f t="shared" si="2"/>
        <v>2127</v>
      </c>
      <c r="J29" s="3560" t="s">
        <v>2695</v>
      </c>
      <c r="K29" s="3512"/>
      <c r="L29" s="6252"/>
      <c r="M29" s="3554" t="s">
        <v>3668</v>
      </c>
      <c r="N29" s="2033" t="s">
        <v>2138</v>
      </c>
      <c r="O29" s="2034"/>
      <c r="P29" s="2034"/>
      <c r="Q29" s="2034"/>
      <c r="R29" s="2034"/>
      <c r="S29" s="2034"/>
      <c r="T29" s="2034"/>
      <c r="U29" s="2034"/>
      <c r="V29" s="2035"/>
      <c r="W29" s="2035"/>
      <c r="X29" s="2035"/>
      <c r="Y29" s="2035"/>
      <c r="Z29" s="2034"/>
      <c r="AA29" s="2034"/>
      <c r="AB29" s="2034"/>
      <c r="AC29" s="2034"/>
      <c r="AD29" s="2034"/>
      <c r="AE29" s="2064" t="s">
        <v>3669</v>
      </c>
      <c r="AF29" s="3541" t="s">
        <v>3670</v>
      </c>
      <c r="AG29" s="2034"/>
      <c r="AH29" s="2034"/>
      <c r="AI29" s="2034"/>
      <c r="AJ29" s="2034"/>
      <c r="AK29" s="2034"/>
      <c r="AL29" s="2034"/>
      <c r="AM29" s="2034"/>
      <c r="AN29" s="2034"/>
      <c r="AO29" s="2034"/>
      <c r="AP29" s="2034"/>
      <c r="AQ29" s="2034"/>
      <c r="AR29" s="2034"/>
      <c r="AS29" s="2034"/>
      <c r="AT29" s="2034"/>
      <c r="AU29" s="2034"/>
      <c r="AV29" s="2034"/>
      <c r="AW29" s="2064" t="s">
        <v>3568</v>
      </c>
      <c r="AX29" s="3542" t="s">
        <v>3542</v>
      </c>
      <c r="AY29" s="3526">
        <v>0.42553191489361702</v>
      </c>
      <c r="AZ29" s="2033" t="s">
        <v>2609</v>
      </c>
      <c r="BA29" s="2033" t="s">
        <v>2610</v>
      </c>
      <c r="BB29" s="2033" t="s">
        <v>2854</v>
      </c>
      <c r="BC29" s="2033" t="s">
        <v>2854</v>
      </c>
      <c r="BD29" s="2033" t="s">
        <v>2133</v>
      </c>
      <c r="BE29" s="2033" t="s">
        <v>2688</v>
      </c>
      <c r="BF29" s="2033" t="s">
        <v>2688</v>
      </c>
      <c r="BG29" s="2033" t="s">
        <v>2129</v>
      </c>
      <c r="BH29" s="3521" t="s">
        <v>2129</v>
      </c>
      <c r="BI29" s="3522"/>
      <c r="BJ29" s="3556" t="s">
        <v>3650</v>
      </c>
      <c r="BK29" s="1550"/>
      <c r="BL29" s="1550"/>
      <c r="BM29" s="1550"/>
      <c r="BN29" s="1550"/>
      <c r="BO29" s="1550"/>
      <c r="BP29" s="1550"/>
      <c r="BQ29" s="1550"/>
      <c r="BR29" s="1550"/>
      <c r="BS29" s="1550"/>
      <c r="BT29" s="1550"/>
      <c r="BU29" s="1550"/>
      <c r="BV29" s="1550"/>
      <c r="BW29" s="1550"/>
      <c r="BX29" s="1550"/>
      <c r="BY29" s="1550"/>
      <c r="BZ29" s="1550"/>
      <c r="CA29" s="1550"/>
    </row>
    <row r="30" spans="1:79" s="1078" customFormat="1" ht="23.15" customHeight="1">
      <c r="B30" s="3561"/>
      <c r="C30" s="3562"/>
      <c r="D30" s="3562"/>
      <c r="E30" s="3562"/>
      <c r="F30" s="3563"/>
      <c r="G30" s="3558"/>
      <c r="H30" s="3524">
        <f t="shared" si="1"/>
        <v>49</v>
      </c>
      <c r="I30" s="3553">
        <f t="shared" si="2"/>
        <v>2176</v>
      </c>
      <c r="J30" s="3560" t="s">
        <v>2695</v>
      </c>
      <c r="K30" s="3512"/>
      <c r="L30" s="6252" t="s">
        <v>6961</v>
      </c>
      <c r="M30" s="3554" t="s">
        <v>3671</v>
      </c>
      <c r="N30" s="2033" t="s">
        <v>2138</v>
      </c>
      <c r="O30" s="2034"/>
      <c r="P30" s="2034"/>
      <c r="Q30" s="2034"/>
      <c r="R30" s="2034"/>
      <c r="S30" s="2034"/>
      <c r="T30" s="2034"/>
      <c r="U30" s="2034"/>
      <c r="V30" s="2035"/>
      <c r="W30" s="2035"/>
      <c r="X30" s="2035"/>
      <c r="Y30" s="2035"/>
      <c r="Z30" s="2034"/>
      <c r="AA30" s="2034"/>
      <c r="AB30" s="2034"/>
      <c r="AC30" s="2034"/>
      <c r="AD30" s="2034"/>
      <c r="AE30" s="2064" t="s">
        <v>3672</v>
      </c>
      <c r="AF30" s="3541" t="s">
        <v>3673</v>
      </c>
      <c r="AG30" s="2034"/>
      <c r="AH30" s="2034"/>
      <c r="AI30" s="2034"/>
      <c r="AJ30" s="2034"/>
      <c r="AK30" s="2034"/>
      <c r="AL30" s="2034"/>
      <c r="AM30" s="2034"/>
      <c r="AN30" s="2034"/>
      <c r="AO30" s="2034"/>
      <c r="AP30" s="2034"/>
      <c r="AQ30" s="2034"/>
      <c r="AR30" s="2034"/>
      <c r="AS30" s="2034"/>
      <c r="AT30" s="2034"/>
      <c r="AU30" s="2034"/>
      <c r="AV30" s="2034"/>
      <c r="AW30" s="2064" t="s">
        <v>3674</v>
      </c>
      <c r="AX30" s="3542" t="s">
        <v>3674</v>
      </c>
      <c r="AY30" s="3526">
        <v>0.20408163265306123</v>
      </c>
      <c r="AZ30" s="2033" t="s">
        <v>2609</v>
      </c>
      <c r="BA30" s="2033" t="s">
        <v>2609</v>
      </c>
      <c r="BB30" s="2033" t="s">
        <v>2854</v>
      </c>
      <c r="BC30" s="2033" t="s">
        <v>2854</v>
      </c>
      <c r="BD30" s="2033" t="s">
        <v>2133</v>
      </c>
      <c r="BE30" s="2033" t="s">
        <v>2688</v>
      </c>
      <c r="BF30" s="2033" t="s">
        <v>2688</v>
      </c>
      <c r="BG30" s="2033" t="s">
        <v>2129</v>
      </c>
      <c r="BH30" s="3521" t="s">
        <v>2129</v>
      </c>
      <c r="BI30" s="3522"/>
      <c r="BJ30" s="3556" t="s">
        <v>3650</v>
      </c>
      <c r="BK30" s="1550"/>
      <c r="BL30" s="1550"/>
      <c r="BM30" s="1550"/>
      <c r="BN30" s="1550"/>
      <c r="BO30" s="1550"/>
      <c r="BP30" s="1550"/>
      <c r="BQ30" s="1550"/>
      <c r="BR30" s="1550"/>
      <c r="BS30" s="1550"/>
      <c r="BT30" s="1550"/>
      <c r="BU30" s="1550"/>
      <c r="BV30" s="1550"/>
      <c r="BW30" s="1550"/>
      <c r="BX30" s="1550"/>
      <c r="BY30" s="1550"/>
      <c r="BZ30" s="1550"/>
      <c r="CA30" s="1550"/>
    </row>
    <row r="31" spans="1:79" s="1078" customFormat="1" ht="23.15" customHeight="1">
      <c r="B31" s="3561"/>
      <c r="C31" s="3562"/>
      <c r="D31" s="3562"/>
      <c r="E31" s="3562"/>
      <c r="F31" s="3563"/>
      <c r="G31" s="3558"/>
      <c r="H31" s="3524">
        <f t="shared" si="1"/>
        <v>59</v>
      </c>
      <c r="I31" s="3553">
        <f t="shared" si="2"/>
        <v>2235</v>
      </c>
      <c r="J31" s="3560" t="s">
        <v>2695</v>
      </c>
      <c r="K31" s="3512"/>
      <c r="L31" s="6252"/>
      <c r="M31" s="3554" t="s">
        <v>3675</v>
      </c>
      <c r="N31" s="2033" t="s">
        <v>2138</v>
      </c>
      <c r="O31" s="2034"/>
      <c r="P31" s="2034"/>
      <c r="Q31" s="2034"/>
      <c r="R31" s="2034"/>
      <c r="S31" s="2034"/>
      <c r="T31" s="2034"/>
      <c r="U31" s="2034"/>
      <c r="V31" s="2035"/>
      <c r="W31" s="2035"/>
      <c r="X31" s="2035"/>
      <c r="Y31" s="2035"/>
      <c r="Z31" s="2034"/>
      <c r="AA31" s="2034"/>
      <c r="AB31" s="2034"/>
      <c r="AC31" s="2034"/>
      <c r="AD31" s="2034"/>
      <c r="AE31" s="2064" t="s">
        <v>3676</v>
      </c>
      <c r="AF31" s="3541" t="s">
        <v>3567</v>
      </c>
      <c r="AG31" s="2034"/>
      <c r="AH31" s="2034"/>
      <c r="AI31" s="2034"/>
      <c r="AJ31" s="2034"/>
      <c r="AK31" s="2034"/>
      <c r="AL31" s="2034"/>
      <c r="AM31" s="2034"/>
      <c r="AN31" s="2034"/>
      <c r="AO31" s="2034"/>
      <c r="AP31" s="2034"/>
      <c r="AQ31" s="2034"/>
      <c r="AR31" s="2034"/>
      <c r="AS31" s="2034"/>
      <c r="AT31" s="2034"/>
      <c r="AU31" s="2034"/>
      <c r="AV31" s="2034"/>
      <c r="AW31" s="2064" t="s">
        <v>3487</v>
      </c>
      <c r="AX31" s="3542" t="s">
        <v>3487</v>
      </c>
      <c r="AY31" s="3526">
        <v>0.33898305084745761</v>
      </c>
      <c r="AZ31" s="2033" t="s">
        <v>2609</v>
      </c>
      <c r="BA31" s="2033" t="s">
        <v>2609</v>
      </c>
      <c r="BB31" s="2033" t="s">
        <v>2854</v>
      </c>
      <c r="BC31" s="2033" t="s">
        <v>2854</v>
      </c>
      <c r="BD31" s="2033" t="s">
        <v>2688</v>
      </c>
      <c r="BE31" s="2033" t="s">
        <v>2688</v>
      </c>
      <c r="BF31" s="2033" t="s">
        <v>2688</v>
      </c>
      <c r="BG31" s="2033" t="s">
        <v>2129</v>
      </c>
      <c r="BH31" s="3521" t="s">
        <v>2129</v>
      </c>
      <c r="BI31" s="3522"/>
      <c r="BJ31" s="3556" t="s">
        <v>3650</v>
      </c>
      <c r="BK31" s="1550"/>
      <c r="BL31" s="1550"/>
      <c r="BM31" s="1550"/>
      <c r="BN31" s="1550"/>
      <c r="BO31" s="1550"/>
      <c r="BP31" s="1550"/>
      <c r="BQ31" s="1550"/>
      <c r="BR31" s="1550"/>
      <c r="BS31" s="1550"/>
      <c r="BT31" s="1550"/>
      <c r="BU31" s="1550"/>
      <c r="BV31" s="1550"/>
      <c r="BW31" s="1550"/>
      <c r="BX31" s="1550"/>
      <c r="BY31" s="1550"/>
      <c r="BZ31" s="1550"/>
      <c r="CA31" s="1550"/>
    </row>
    <row r="32" spans="1:79" s="1078" customFormat="1" ht="23.15" customHeight="1">
      <c r="B32" s="3561"/>
      <c r="C32" s="3562"/>
      <c r="D32" s="3562"/>
      <c r="E32" s="3562"/>
      <c r="F32" s="3563"/>
      <c r="G32" s="3558"/>
      <c r="H32" s="3524">
        <f t="shared" si="1"/>
        <v>124.5</v>
      </c>
      <c r="I32" s="3553">
        <f t="shared" si="2"/>
        <v>2359.5</v>
      </c>
      <c r="J32" s="3560" t="s">
        <v>2695</v>
      </c>
      <c r="K32" s="3512"/>
      <c r="L32" s="6252"/>
      <c r="M32" s="3554" t="s">
        <v>3677</v>
      </c>
      <c r="N32" s="2033" t="s">
        <v>2138</v>
      </c>
      <c r="O32" s="2034"/>
      <c r="P32" s="2034"/>
      <c r="Q32" s="2034"/>
      <c r="R32" s="2034"/>
      <c r="S32" s="2034"/>
      <c r="T32" s="2034"/>
      <c r="U32" s="2034"/>
      <c r="V32" s="2035"/>
      <c r="W32" s="2035"/>
      <c r="X32" s="2035"/>
      <c r="Y32" s="2035"/>
      <c r="Z32" s="2034"/>
      <c r="AA32" s="2034"/>
      <c r="AB32" s="2034"/>
      <c r="AC32" s="2034"/>
      <c r="AD32" s="2034"/>
      <c r="AE32" s="2064" t="s">
        <v>3678</v>
      </c>
      <c r="AF32" s="3541" t="s">
        <v>3679</v>
      </c>
      <c r="AG32" s="2034"/>
      <c r="AH32" s="2034"/>
      <c r="AI32" s="2034"/>
      <c r="AJ32" s="2034"/>
      <c r="AK32" s="2034"/>
      <c r="AL32" s="2034"/>
      <c r="AM32" s="2034"/>
      <c r="AN32" s="2034"/>
      <c r="AO32" s="2034"/>
      <c r="AP32" s="2034"/>
      <c r="AQ32" s="2034"/>
      <c r="AR32" s="2034"/>
      <c r="AS32" s="2034"/>
      <c r="AT32" s="2034"/>
      <c r="AU32" s="2034"/>
      <c r="AV32" s="2034"/>
      <c r="AW32" s="2064" t="s">
        <v>3678</v>
      </c>
      <c r="AX32" s="3542" t="s">
        <v>3679</v>
      </c>
      <c r="AY32" s="3526">
        <v>1</v>
      </c>
      <c r="AZ32" s="2033" t="s">
        <v>2610</v>
      </c>
      <c r="BA32" s="2033" t="s">
        <v>2610</v>
      </c>
      <c r="BB32" s="2033" t="s">
        <v>2854</v>
      </c>
      <c r="BC32" s="2033" t="s">
        <v>2854</v>
      </c>
      <c r="BD32" s="2033" t="s">
        <v>2133</v>
      </c>
      <c r="BE32" s="2033" t="s">
        <v>2688</v>
      </c>
      <c r="BF32" s="2033" t="s">
        <v>2688</v>
      </c>
      <c r="BG32" s="2033" t="s">
        <v>2129</v>
      </c>
      <c r="BH32" s="3521" t="s">
        <v>2129</v>
      </c>
      <c r="BI32" s="3522"/>
      <c r="BJ32" s="3556" t="s">
        <v>3650</v>
      </c>
      <c r="BK32" s="1550"/>
      <c r="BL32" s="1550"/>
      <c r="BM32" s="1550"/>
      <c r="BN32" s="1550"/>
      <c r="BO32" s="1550"/>
      <c r="BP32" s="1550"/>
      <c r="BQ32" s="1550"/>
      <c r="BR32" s="1550"/>
      <c r="BS32" s="1550"/>
      <c r="BT32" s="1550"/>
      <c r="BU32" s="1550"/>
      <c r="BV32" s="1550"/>
      <c r="BW32" s="1550"/>
      <c r="BX32" s="1550"/>
      <c r="BY32" s="1550"/>
      <c r="BZ32" s="1550"/>
      <c r="CA32" s="1550"/>
    </row>
    <row r="33" spans="2:79" s="1078" customFormat="1" ht="23.15" customHeight="1">
      <c r="B33" s="3561"/>
      <c r="C33" s="3562"/>
      <c r="D33" s="3562"/>
      <c r="E33" s="3562"/>
      <c r="F33" s="3563"/>
      <c r="G33" s="3558"/>
      <c r="H33" s="3524">
        <f t="shared" si="1"/>
        <v>125</v>
      </c>
      <c r="I33" s="3553">
        <f t="shared" si="2"/>
        <v>2484.5</v>
      </c>
      <c r="J33" s="3560" t="s">
        <v>2695</v>
      </c>
      <c r="K33" s="3512"/>
      <c r="L33" s="6252"/>
      <c r="M33" s="3554" t="s">
        <v>3680</v>
      </c>
      <c r="N33" s="2033" t="s">
        <v>2138</v>
      </c>
      <c r="O33" s="2034"/>
      <c r="P33" s="2034"/>
      <c r="Q33" s="2034"/>
      <c r="R33" s="2034"/>
      <c r="S33" s="2034"/>
      <c r="T33" s="2034"/>
      <c r="U33" s="2034"/>
      <c r="V33" s="2035"/>
      <c r="W33" s="2035"/>
      <c r="X33" s="2035"/>
      <c r="Y33" s="2035"/>
      <c r="Z33" s="2034"/>
      <c r="AA33" s="2034"/>
      <c r="AB33" s="2034"/>
      <c r="AC33" s="2034"/>
      <c r="AD33" s="2034"/>
      <c r="AE33" s="2064" t="s">
        <v>3679</v>
      </c>
      <c r="AF33" s="3541" t="s">
        <v>3471</v>
      </c>
      <c r="AG33" s="2034"/>
      <c r="AH33" s="2034"/>
      <c r="AI33" s="2034"/>
      <c r="AJ33" s="2034"/>
      <c r="AK33" s="2034"/>
      <c r="AL33" s="2034"/>
      <c r="AM33" s="2034"/>
      <c r="AN33" s="2034"/>
      <c r="AO33" s="2034"/>
      <c r="AP33" s="2034"/>
      <c r="AQ33" s="2034"/>
      <c r="AR33" s="2034"/>
      <c r="AS33" s="2034"/>
      <c r="AT33" s="2034"/>
      <c r="AU33" s="2034"/>
      <c r="AV33" s="2034"/>
      <c r="AW33" s="2064" t="s">
        <v>3480</v>
      </c>
      <c r="AX33" s="3542" t="s">
        <v>3480</v>
      </c>
      <c r="AY33" s="3526">
        <v>0.4</v>
      </c>
      <c r="AZ33" s="2033" t="s">
        <v>2609</v>
      </c>
      <c r="BA33" s="2033" t="s">
        <v>2610</v>
      </c>
      <c r="BB33" s="2033" t="s">
        <v>2854</v>
      </c>
      <c r="BC33" s="2033" t="s">
        <v>2854</v>
      </c>
      <c r="BD33" s="2033" t="s">
        <v>2133</v>
      </c>
      <c r="BE33" s="2033" t="s">
        <v>2688</v>
      </c>
      <c r="BF33" s="2033" t="s">
        <v>2688</v>
      </c>
      <c r="BG33" s="2033" t="s">
        <v>2129</v>
      </c>
      <c r="BH33" s="3521" t="s">
        <v>2129</v>
      </c>
      <c r="BI33" s="3522"/>
      <c r="BJ33" s="3556" t="s">
        <v>3650</v>
      </c>
      <c r="BK33" s="1550"/>
      <c r="BL33" s="1550"/>
      <c r="BM33" s="1550"/>
      <c r="BN33" s="1550"/>
      <c r="BO33" s="1550"/>
      <c r="BP33" s="1550"/>
      <c r="BQ33" s="1550"/>
      <c r="BR33" s="1550"/>
      <c r="BS33" s="1550"/>
      <c r="BT33" s="1550"/>
      <c r="BU33" s="1550"/>
      <c r="BV33" s="1550"/>
      <c r="BW33" s="1550"/>
      <c r="BX33" s="1550"/>
      <c r="BY33" s="1550"/>
      <c r="BZ33" s="1550"/>
      <c r="CA33" s="1550"/>
    </row>
    <row r="34" spans="2:79" s="1078" customFormat="1" ht="23.15" customHeight="1">
      <c r="B34" s="3564"/>
      <c r="C34" s="3565"/>
      <c r="D34" s="3565"/>
      <c r="E34" s="3565"/>
      <c r="F34" s="3566"/>
      <c r="G34" s="3558"/>
      <c r="H34" s="3524">
        <f t="shared" si="1"/>
        <v>89</v>
      </c>
      <c r="I34" s="3553">
        <f t="shared" si="2"/>
        <v>2573.5</v>
      </c>
      <c r="J34" s="3560" t="s">
        <v>2695</v>
      </c>
      <c r="K34" s="3567"/>
      <c r="L34" s="6255"/>
      <c r="M34" s="3568" t="s">
        <v>3681</v>
      </c>
      <c r="N34" s="3569" t="s">
        <v>2138</v>
      </c>
      <c r="O34" s="3570"/>
      <c r="P34" s="3570"/>
      <c r="Q34" s="3570"/>
      <c r="R34" s="3570"/>
      <c r="S34" s="3570"/>
      <c r="T34" s="3570"/>
      <c r="U34" s="3570"/>
      <c r="V34" s="3571"/>
      <c r="W34" s="3571"/>
      <c r="X34" s="3571"/>
      <c r="Y34" s="3571"/>
      <c r="Z34" s="3570"/>
      <c r="AA34" s="3570"/>
      <c r="AB34" s="3570"/>
      <c r="AC34" s="3570"/>
      <c r="AD34" s="3570"/>
      <c r="AE34" s="3572" t="s">
        <v>3682</v>
      </c>
      <c r="AF34" s="3573" t="s">
        <v>3533</v>
      </c>
      <c r="AG34" s="3570"/>
      <c r="AH34" s="3570"/>
      <c r="AI34" s="3570"/>
      <c r="AJ34" s="3570"/>
      <c r="AK34" s="3570"/>
      <c r="AL34" s="3570"/>
      <c r="AM34" s="3570"/>
      <c r="AN34" s="3570"/>
      <c r="AO34" s="3570"/>
      <c r="AP34" s="3570"/>
      <c r="AQ34" s="3570"/>
      <c r="AR34" s="3570"/>
      <c r="AS34" s="3570"/>
      <c r="AT34" s="3570"/>
      <c r="AU34" s="3570"/>
      <c r="AV34" s="3570"/>
      <c r="AW34" s="3572" t="s">
        <v>3494</v>
      </c>
      <c r="AX34" s="3574" t="s">
        <v>3494</v>
      </c>
      <c r="AY34" s="3575">
        <v>0.2808988764044944</v>
      </c>
      <c r="AZ34" s="3569" t="s">
        <v>2609</v>
      </c>
      <c r="BA34" s="3569" t="s">
        <v>2610</v>
      </c>
      <c r="BB34" s="3569" t="s">
        <v>2854</v>
      </c>
      <c r="BC34" s="3569" t="s">
        <v>2854</v>
      </c>
      <c r="BD34" s="3569" t="s">
        <v>2133</v>
      </c>
      <c r="BE34" s="3569" t="s">
        <v>2688</v>
      </c>
      <c r="BF34" s="3569" t="s">
        <v>2688</v>
      </c>
      <c r="BG34" s="3569" t="s">
        <v>2129</v>
      </c>
      <c r="BH34" s="3576" t="s">
        <v>2129</v>
      </c>
      <c r="BI34" s="3577"/>
      <c r="BJ34" s="3578" t="s">
        <v>3650</v>
      </c>
      <c r="BK34" s="1550"/>
      <c r="BL34" s="1550"/>
      <c r="BM34" s="1550"/>
      <c r="BN34" s="1550"/>
      <c r="BO34" s="1550"/>
      <c r="BP34" s="1550"/>
      <c r="BQ34" s="1550"/>
      <c r="BR34" s="1550"/>
      <c r="BS34" s="1550"/>
      <c r="BT34" s="1550"/>
      <c r="BU34" s="1550"/>
      <c r="BV34" s="1550"/>
      <c r="BW34" s="1550"/>
      <c r="BX34" s="1550"/>
      <c r="BY34" s="1550"/>
      <c r="BZ34" s="1550"/>
      <c r="CA34" s="1550"/>
    </row>
    <row r="35" spans="2:79" s="1078" customFormat="1" ht="23.15" customHeight="1">
      <c r="B35" s="3557"/>
      <c r="C35" s="3558"/>
      <c r="D35" s="3558"/>
      <c r="E35" s="3558"/>
      <c r="F35" s="3559"/>
      <c r="G35" s="3559"/>
      <c r="H35" s="3524">
        <f>$AE35*0.5+1</f>
        <v>113.5</v>
      </c>
      <c r="I35" s="3553">
        <f t="shared" si="2"/>
        <v>2687</v>
      </c>
      <c r="J35" s="3511" t="s">
        <v>2695</v>
      </c>
      <c r="K35" s="3512"/>
      <c r="L35" s="6252"/>
      <c r="M35" s="3554" t="s">
        <v>3683</v>
      </c>
      <c r="N35" s="2033" t="s">
        <v>2138</v>
      </c>
      <c r="O35" s="2034"/>
      <c r="P35" s="2034"/>
      <c r="Q35" s="2034"/>
      <c r="R35" s="2034"/>
      <c r="S35" s="2034"/>
      <c r="T35" s="2034"/>
      <c r="U35" s="2034"/>
      <c r="V35" s="2035"/>
      <c r="W35" s="2035"/>
      <c r="X35" s="2035"/>
      <c r="Y35" s="2035"/>
      <c r="Z35" s="2034"/>
      <c r="AA35" s="2034"/>
      <c r="AB35" s="2034"/>
      <c r="AC35" s="2034"/>
      <c r="AD35" s="2034"/>
      <c r="AE35" s="2064">
        <v>225</v>
      </c>
      <c r="AF35" s="3541">
        <v>237</v>
      </c>
      <c r="AG35" s="2034"/>
      <c r="AH35" s="2034"/>
      <c r="AI35" s="2034"/>
      <c r="AJ35" s="2034"/>
      <c r="AK35" s="2034"/>
      <c r="AL35" s="2034"/>
      <c r="AM35" s="2034"/>
      <c r="AN35" s="2034"/>
      <c r="AO35" s="2034"/>
      <c r="AP35" s="2034"/>
      <c r="AQ35" s="2034"/>
      <c r="AR35" s="2034"/>
      <c r="AS35" s="2034"/>
      <c r="AT35" s="2034"/>
      <c r="AU35" s="2034"/>
      <c r="AV35" s="2034"/>
      <c r="AW35" s="2038">
        <v>225</v>
      </c>
      <c r="AX35" s="3542">
        <v>237</v>
      </c>
      <c r="AY35" s="3526">
        <v>1</v>
      </c>
      <c r="AZ35" s="2033" t="s">
        <v>2610</v>
      </c>
      <c r="BA35" s="2033" t="s">
        <v>2610</v>
      </c>
      <c r="BB35" s="2033">
        <v>0</v>
      </c>
      <c r="BC35" s="2033">
        <v>0</v>
      </c>
      <c r="BD35" s="2033" t="s">
        <v>2133</v>
      </c>
      <c r="BE35" s="2033" t="s">
        <v>2688</v>
      </c>
      <c r="BF35" s="2033" t="s">
        <v>2688</v>
      </c>
      <c r="BG35" s="2033" t="s">
        <v>2168</v>
      </c>
      <c r="BH35" s="3521" t="s">
        <v>2133</v>
      </c>
      <c r="BI35" s="3522"/>
      <c r="BJ35" s="3578" t="s">
        <v>3650</v>
      </c>
      <c r="BK35" s="1550"/>
      <c r="BL35" s="1550"/>
      <c r="BM35" s="1550"/>
      <c r="BN35" s="1550"/>
      <c r="BO35" s="1550"/>
      <c r="BP35" s="1550"/>
      <c r="BQ35" s="1550"/>
      <c r="BR35" s="1550"/>
      <c r="BS35" s="1550"/>
      <c r="BT35" s="1550"/>
      <c r="BU35" s="1550"/>
      <c r="BV35" s="1550"/>
      <c r="BW35" s="1550"/>
      <c r="BX35" s="1550"/>
      <c r="BY35" s="1550"/>
      <c r="BZ35" s="1550"/>
      <c r="CA35" s="1550"/>
    </row>
    <row r="36" spans="2:79" ht="9.65" customHeight="1">
      <c r="B36" s="1126"/>
      <c r="C36" s="1126"/>
      <c r="D36" s="1126"/>
    </row>
    <row r="37" spans="2:79" s="3592" customFormat="1" ht="23.15" customHeight="1">
      <c r="B37" s="6588" t="s">
        <v>3684</v>
      </c>
      <c r="C37" s="6589"/>
      <c r="D37" s="6589"/>
      <c r="E37" s="6589"/>
      <c r="F37" s="6590"/>
      <c r="G37" s="3806"/>
      <c r="H37" s="3579">
        <f>AW37</f>
        <v>100</v>
      </c>
      <c r="I37" s="3580">
        <v>100</v>
      </c>
      <c r="J37" s="3581" t="s">
        <v>2689</v>
      </c>
      <c r="K37" s="3582"/>
      <c r="L37" s="6256"/>
      <c r="M37" s="3583" t="s">
        <v>2709</v>
      </c>
      <c r="N37" s="3584" t="s">
        <v>2138</v>
      </c>
      <c r="O37" s="3585" t="s">
        <v>2602</v>
      </c>
      <c r="P37" s="3585" t="s">
        <v>2602</v>
      </c>
      <c r="Q37" s="3585" t="s">
        <v>2602</v>
      </c>
      <c r="R37" s="3585" t="s">
        <v>2602</v>
      </c>
      <c r="S37" s="3585" t="s">
        <v>2602</v>
      </c>
      <c r="T37" s="3585" t="s">
        <v>2602</v>
      </c>
      <c r="U37" s="3585" t="s">
        <v>2602</v>
      </c>
      <c r="V37" s="3586" t="s">
        <v>2602</v>
      </c>
      <c r="W37" s="3586" t="s">
        <v>2602</v>
      </c>
      <c r="X37" s="3586" t="s">
        <v>2602</v>
      </c>
      <c r="Y37" s="3586" t="s">
        <v>2602</v>
      </c>
      <c r="Z37" s="3585" t="s">
        <v>2602</v>
      </c>
      <c r="AA37" s="3585" t="s">
        <v>2602</v>
      </c>
      <c r="AB37" s="3585" t="s">
        <v>2602</v>
      </c>
      <c r="AC37" s="3585" t="s">
        <v>2602</v>
      </c>
      <c r="AD37" s="3585" t="s">
        <v>2602</v>
      </c>
      <c r="AE37" s="3587">
        <v>108</v>
      </c>
      <c r="AF37" s="3584" t="s">
        <v>2648</v>
      </c>
      <c r="AG37" s="3585" t="s">
        <v>2602</v>
      </c>
      <c r="AH37" s="3585" t="s">
        <v>2602</v>
      </c>
      <c r="AI37" s="3585" t="s">
        <v>2602</v>
      </c>
      <c r="AJ37" s="3585" t="s">
        <v>2602</v>
      </c>
      <c r="AK37" s="3585" t="s">
        <v>2602</v>
      </c>
      <c r="AL37" s="3585" t="s">
        <v>2602</v>
      </c>
      <c r="AM37" s="3585" t="s">
        <v>2602</v>
      </c>
      <c r="AN37" s="3586" t="s">
        <v>2602</v>
      </c>
      <c r="AO37" s="3586" t="s">
        <v>2602</v>
      </c>
      <c r="AP37" s="3586" t="s">
        <v>2602</v>
      </c>
      <c r="AQ37" s="3586" t="s">
        <v>2602</v>
      </c>
      <c r="AR37" s="3585" t="s">
        <v>2602</v>
      </c>
      <c r="AS37" s="3585" t="s">
        <v>2602</v>
      </c>
      <c r="AT37" s="3585" t="s">
        <v>2602</v>
      </c>
      <c r="AU37" s="3585" t="s">
        <v>2602</v>
      </c>
      <c r="AV37" s="3585" t="s">
        <v>2602</v>
      </c>
      <c r="AW37" s="3587">
        <v>100</v>
      </c>
      <c r="AX37" s="3584" t="s">
        <v>2648</v>
      </c>
      <c r="AY37" s="3588">
        <v>1</v>
      </c>
      <c r="AZ37" s="3584" t="s">
        <v>2648</v>
      </c>
      <c r="BA37" s="3584" t="s">
        <v>2648</v>
      </c>
      <c r="BB37" s="3584" t="s">
        <v>2648</v>
      </c>
      <c r="BC37" s="3584" t="s">
        <v>2648</v>
      </c>
      <c r="BD37" s="3584" t="s">
        <v>2648</v>
      </c>
      <c r="BE37" s="3584" t="s">
        <v>2648</v>
      </c>
      <c r="BF37" s="3584" t="s">
        <v>2648</v>
      </c>
      <c r="BG37" s="3584" t="s">
        <v>2648</v>
      </c>
      <c r="BH37" s="3584" t="s">
        <v>2648</v>
      </c>
      <c r="BI37" s="3589"/>
      <c r="BJ37" s="3590"/>
      <c r="BK37" s="2705"/>
      <c r="BL37" s="2705"/>
      <c r="BM37" s="2705"/>
      <c r="BN37" s="2705"/>
      <c r="BO37" s="3591"/>
      <c r="BP37" s="3591"/>
      <c r="BQ37" s="3591"/>
      <c r="BR37" s="3591"/>
      <c r="BS37" s="3591"/>
      <c r="BT37" s="3591"/>
      <c r="BU37" s="3591"/>
      <c r="BV37" s="3591"/>
      <c r="BW37" s="3591"/>
      <c r="BX37" s="3591"/>
      <c r="BY37" s="3591"/>
      <c r="BZ37" s="3591"/>
      <c r="CA37" s="3591"/>
    </row>
    <row r="38" spans="2:79" ht="9.65" customHeight="1">
      <c r="B38" s="1126"/>
      <c r="C38" s="1126"/>
      <c r="D38" s="1126"/>
    </row>
    <row r="39" spans="2:79" ht="9.65" customHeight="1">
      <c r="B39" s="1126"/>
      <c r="C39" s="1126"/>
      <c r="D39" s="1126"/>
    </row>
    <row r="40" spans="2:79" ht="16">
      <c r="B40" s="3593" t="s">
        <v>3158</v>
      </c>
    </row>
    <row r="41" spans="2:79" ht="16">
      <c r="B41" s="1053" t="s">
        <v>3159</v>
      </c>
    </row>
    <row r="42" spans="2:79" ht="16">
      <c r="B42" s="1550" t="s">
        <v>3160</v>
      </c>
    </row>
    <row r="43" spans="2:79" ht="16">
      <c r="B43" s="1550" t="s">
        <v>3161</v>
      </c>
    </row>
    <row r="44" spans="2:79" ht="16">
      <c r="B44" s="1550" t="s">
        <v>3162</v>
      </c>
    </row>
  </sheetData>
  <autoFilter ref="J5:BH5" xr:uid="{A0A56EB6-ACBB-43EA-8897-A66D459FA5DE}"/>
  <mergeCells count="15">
    <mergeCell ref="B37:F37"/>
    <mergeCell ref="B6:F6"/>
    <mergeCell ref="G3:G5"/>
    <mergeCell ref="B22:F22"/>
    <mergeCell ref="B24:F24"/>
    <mergeCell ref="B25:F25"/>
    <mergeCell ref="B26:F26"/>
    <mergeCell ref="B3:F5"/>
    <mergeCell ref="H3:I5"/>
    <mergeCell ref="J3:BH3"/>
    <mergeCell ref="O4:AF4"/>
    <mergeCell ref="AG4:AY4"/>
    <mergeCell ref="AZ4:BA4"/>
    <mergeCell ref="BB4:BC4"/>
    <mergeCell ref="BD4:BF4"/>
  </mergeCells>
  <phoneticPr fontId="2"/>
  <conditionalFormatting sqref="H6:H35">
    <cfRule type="expression" dxfId="900" priority="1">
      <formula>$H6&gt;$AW6</formula>
    </cfRule>
  </conditionalFormatting>
  <printOptions horizontalCentered="1"/>
  <pageMargins left="0.70866141732283472" right="0.70866141732283472" top="0.74803149606299213" bottom="0.74803149606299213" header="0.31496062992125984" footer="0.31496062992125984"/>
  <pageSetup paperSize="8" scale="64" orientation="landscape"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F6C7-2FC9-441C-BFC7-CF3580C77D32}">
  <sheetPr codeName="Sheet296">
    <pageSetUpPr fitToPage="1"/>
  </sheetPr>
  <dimension ref="A1:BZ48"/>
  <sheetViews>
    <sheetView view="pageBreakPreview" topLeftCell="I35" zoomScale="60" zoomScaleNormal="55" workbookViewId="0">
      <selection activeCell="BI9" sqref="BI9:BI43"/>
    </sheetView>
  </sheetViews>
  <sheetFormatPr defaultColWidth="9.453125" defaultRowHeight="19.399999999999999" customHeight="1" outlineLevelCol="2"/>
  <cols>
    <col min="1" max="1" width="5.54296875" style="885" customWidth="1"/>
    <col min="2" max="2" width="5.54296875" style="884" customWidth="1"/>
    <col min="3" max="3" width="5.54296875" style="885" customWidth="1"/>
    <col min="4" max="4" width="12.1796875" style="885" customWidth="1"/>
    <col min="5" max="5" width="11.453125" style="897" customWidth="1"/>
    <col min="6" max="6" width="8.81640625" style="897" customWidth="1"/>
    <col min="7" max="7" width="5.54296875" style="889" customWidth="1"/>
    <col min="8" max="8" width="84.453125" style="1054" customWidth="1"/>
    <col min="9" max="9" width="10.453125" style="1054" bestFit="1" customWidth="1"/>
    <col min="10" max="10" width="10.7265625" style="887" bestFit="1" customWidth="1"/>
    <col min="11" max="13" width="10.7265625" style="887" customWidth="1"/>
    <col min="14" max="29" width="6.54296875" style="886" hidden="1" customWidth="1" outlineLevel="1"/>
    <col min="30" max="30" width="9.453125" style="887" customWidth="1" collapsed="1"/>
    <col min="31" max="31" width="11.54296875" style="887" customWidth="1"/>
    <col min="32" max="47" width="6.54296875" style="886" hidden="1" customWidth="1" outlineLevel="2"/>
    <col min="48" max="48" width="9.54296875" style="887" customWidth="1" collapsed="1"/>
    <col min="49" max="49" width="9.54296875" style="887" customWidth="1"/>
    <col min="50" max="50" width="4.453125" style="888" customWidth="1"/>
    <col min="51" max="52" width="3.453125" style="887" customWidth="1"/>
    <col min="53" max="53" width="8.7265625" style="887" customWidth="1"/>
    <col min="54" max="57" width="3.453125" style="887" customWidth="1"/>
    <col min="58" max="58" width="33.54296875" style="887" customWidth="1"/>
    <col min="59" max="59" width="50.81640625" style="1058" customWidth="1"/>
    <col min="60" max="60" width="9.453125" style="897"/>
    <col min="61" max="61" width="8.81640625" style="897" customWidth="1"/>
    <col min="62" max="66" width="4.453125" style="892" customWidth="1"/>
    <col min="67" max="67" width="8.81640625" style="893" customWidth="1"/>
    <col min="68" max="70" width="4.453125" style="895" customWidth="1"/>
    <col min="71" max="71" width="4.453125" style="1059" customWidth="1"/>
    <col min="72" max="73" width="12.54296875" style="1059" customWidth="1"/>
    <col min="74" max="74" width="29" style="1059" customWidth="1"/>
    <col min="75" max="75" width="7.1796875" style="1059" customWidth="1"/>
    <col min="76" max="16384" width="9.453125" style="897"/>
  </cols>
  <sheetData>
    <row r="1" spans="1:78" ht="28.75" customHeight="1">
      <c r="A1" s="883" t="s">
        <v>3685</v>
      </c>
      <c r="E1" s="885"/>
      <c r="F1" s="885"/>
      <c r="G1" s="885"/>
      <c r="H1" s="885"/>
      <c r="I1" s="885"/>
      <c r="J1" s="885"/>
      <c r="K1" s="885"/>
      <c r="L1" s="885"/>
      <c r="M1" s="885"/>
      <c r="AD1" s="6257">
        <f>E9/SUM(AD9:AD31)</f>
        <v>0.46641791044776121</v>
      </c>
      <c r="BG1" s="890" t="s">
        <v>3686</v>
      </c>
      <c r="BH1" s="891"/>
      <c r="BI1" s="891"/>
      <c r="BJ1" s="891"/>
      <c r="BK1" s="891"/>
      <c r="BM1" s="891"/>
      <c r="BN1" s="891"/>
      <c r="BP1" s="894"/>
      <c r="BQ1" s="894"/>
      <c r="BS1" s="896"/>
      <c r="BT1" s="896"/>
      <c r="BU1" s="896"/>
      <c r="BV1" s="896"/>
      <c r="BW1" s="896"/>
      <c r="BX1" s="892"/>
      <c r="BY1" s="892"/>
      <c r="BZ1" s="892"/>
    </row>
    <row r="2" spans="1:78" ht="24.5" hidden="1">
      <c r="A2" s="883" t="s">
        <v>3687</v>
      </c>
      <c r="E2" s="885"/>
      <c r="F2" s="885"/>
      <c r="G2" s="885"/>
      <c r="H2" s="885"/>
      <c r="I2" s="885"/>
      <c r="J2" s="885"/>
      <c r="K2" s="885"/>
      <c r="L2" s="885"/>
      <c r="M2" s="885"/>
      <c r="BG2" s="890"/>
      <c r="BH2" s="891"/>
      <c r="BI2" s="891"/>
      <c r="BJ2" s="891"/>
      <c r="BK2" s="891"/>
      <c r="BM2" s="891"/>
      <c r="BN2" s="891"/>
      <c r="BP2" s="894"/>
      <c r="BQ2" s="894"/>
      <c r="BS2" s="896"/>
      <c r="BT2" s="896"/>
      <c r="BU2" s="896"/>
      <c r="BV2" s="896"/>
      <c r="BW2" s="896"/>
      <c r="BX2" s="892"/>
      <c r="BY2" s="892"/>
      <c r="BZ2" s="892"/>
    </row>
    <row r="3" spans="1:78" ht="24.5" hidden="1">
      <c r="A3" s="883" t="s">
        <v>3687</v>
      </c>
      <c r="E3" s="885"/>
      <c r="F3" s="885"/>
      <c r="G3" s="885"/>
      <c r="H3" s="885"/>
      <c r="I3" s="885"/>
      <c r="J3" s="885"/>
      <c r="K3" s="885"/>
      <c r="L3" s="885"/>
      <c r="M3" s="885"/>
      <c r="BG3" s="890"/>
      <c r="BH3" s="891"/>
      <c r="BI3" s="891"/>
      <c r="BJ3" s="891"/>
      <c r="BK3" s="891"/>
      <c r="BM3" s="891"/>
      <c r="BN3" s="891"/>
      <c r="BP3" s="894"/>
      <c r="BQ3" s="894"/>
      <c r="BS3" s="896"/>
      <c r="BT3" s="896"/>
      <c r="BU3" s="896"/>
      <c r="BV3" s="896"/>
      <c r="BW3" s="896"/>
      <c r="BX3" s="892"/>
      <c r="BY3" s="892"/>
      <c r="BZ3" s="892"/>
    </row>
    <row r="4" spans="1:78" ht="24.5" hidden="1">
      <c r="A4" s="883" t="s">
        <v>3687</v>
      </c>
      <c r="E4" s="885"/>
      <c r="F4" s="885"/>
      <c r="G4" s="885"/>
      <c r="H4" s="885"/>
      <c r="I4" s="885"/>
      <c r="J4" s="885"/>
      <c r="K4" s="885"/>
      <c r="L4" s="885"/>
      <c r="M4" s="885"/>
      <c r="BG4" s="890"/>
      <c r="BH4" s="891"/>
      <c r="BI4" s="891"/>
      <c r="BJ4" s="891"/>
      <c r="BK4" s="891"/>
      <c r="BM4" s="891"/>
      <c r="BN4" s="891"/>
      <c r="BP4" s="894"/>
      <c r="BQ4" s="894"/>
      <c r="BS4" s="896"/>
      <c r="BT4" s="896"/>
      <c r="BU4" s="896"/>
      <c r="BV4" s="896"/>
      <c r="BW4" s="896"/>
      <c r="BX4" s="892"/>
      <c r="BY4" s="892"/>
      <c r="BZ4" s="892"/>
    </row>
    <row r="5" spans="1:78" ht="24.5">
      <c r="A5" s="3242"/>
      <c r="E5" s="885"/>
      <c r="F5" s="885"/>
      <c r="G5" s="885"/>
      <c r="H5" s="885"/>
      <c r="I5" s="885"/>
      <c r="J5" s="885"/>
      <c r="K5" s="885"/>
      <c r="L5" s="885"/>
      <c r="M5" s="885"/>
      <c r="BG5" s="890"/>
      <c r="BH5" s="891"/>
      <c r="BI5" s="891"/>
      <c r="BJ5" s="891"/>
      <c r="BK5" s="891"/>
      <c r="BM5" s="891"/>
      <c r="BN5" s="891"/>
      <c r="BP5" s="894"/>
      <c r="BQ5" s="894"/>
      <c r="BS5" s="896"/>
      <c r="BT5" s="896"/>
      <c r="BU5" s="896"/>
      <c r="BV5" s="896"/>
      <c r="BW5" s="896"/>
      <c r="BX5" s="892"/>
      <c r="BY5" s="892"/>
      <c r="BZ5" s="892"/>
    </row>
    <row r="6" spans="1:78" s="895" customFormat="1" ht="15.65" customHeight="1">
      <c r="A6" s="6598" t="s">
        <v>3110</v>
      </c>
      <c r="B6" s="6599"/>
      <c r="C6" s="6599"/>
      <c r="D6" s="6599" t="s">
        <v>2101</v>
      </c>
      <c r="E6" s="6489"/>
      <c r="F6" s="6475" t="s">
        <v>3112</v>
      </c>
      <c r="G6" s="6476"/>
      <c r="H6" s="6476"/>
      <c r="I6" s="6476"/>
      <c r="J6" s="6476"/>
      <c r="K6" s="6476"/>
      <c r="L6" s="6476"/>
      <c r="M6" s="6476"/>
      <c r="N6" s="6476"/>
      <c r="O6" s="6476"/>
      <c r="P6" s="6476"/>
      <c r="Q6" s="6476"/>
      <c r="R6" s="6476"/>
      <c r="S6" s="6476"/>
      <c r="T6" s="6476"/>
      <c r="U6" s="6476"/>
      <c r="V6" s="6476"/>
      <c r="W6" s="6476"/>
      <c r="X6" s="6476"/>
      <c r="Y6" s="6476"/>
      <c r="Z6" s="6476"/>
      <c r="AA6" s="6476"/>
      <c r="AB6" s="6476"/>
      <c r="AC6" s="6476"/>
      <c r="AD6" s="6476"/>
      <c r="AE6" s="6476"/>
      <c r="AF6" s="6476"/>
      <c r="AG6" s="6476"/>
      <c r="AH6" s="6476"/>
      <c r="AI6" s="6476"/>
      <c r="AJ6" s="6476"/>
      <c r="AK6" s="6476"/>
      <c r="AL6" s="6476"/>
      <c r="AM6" s="6476"/>
      <c r="AN6" s="6476"/>
      <c r="AO6" s="6476"/>
      <c r="AP6" s="6476"/>
      <c r="AQ6" s="6476"/>
      <c r="AR6" s="6476"/>
      <c r="AS6" s="6476"/>
      <c r="AT6" s="6476"/>
      <c r="AU6" s="6476"/>
      <c r="AV6" s="6476"/>
      <c r="AW6" s="6476"/>
      <c r="AX6" s="6476"/>
      <c r="AY6" s="6476"/>
      <c r="AZ6" s="6476"/>
      <c r="BA6" s="6476"/>
      <c r="BB6" s="6476"/>
      <c r="BC6" s="6476"/>
      <c r="BD6" s="6476"/>
      <c r="BE6" s="6476"/>
      <c r="BF6" s="6476"/>
      <c r="BG6" s="898"/>
      <c r="BH6" s="899"/>
      <c r="BI6" s="899"/>
      <c r="BJ6" s="899"/>
      <c r="BK6" s="899"/>
      <c r="BL6" s="899"/>
      <c r="BM6" s="899"/>
      <c r="BN6" s="899"/>
      <c r="BO6" s="899"/>
      <c r="BP6" s="899"/>
      <c r="BQ6" s="899"/>
      <c r="BR6" s="899"/>
      <c r="BS6" s="899"/>
      <c r="BT6" s="899"/>
      <c r="BU6" s="899"/>
      <c r="BV6" s="899"/>
      <c r="BW6" s="899"/>
      <c r="BX6" s="899"/>
    </row>
    <row r="7" spans="1:78" s="895" customFormat="1" ht="15.65" customHeight="1">
      <c r="A7" s="6600"/>
      <c r="B7" s="6601"/>
      <c r="C7" s="6601"/>
      <c r="D7" s="6601"/>
      <c r="E7" s="6491"/>
      <c r="F7" s="901" t="s">
        <v>2566</v>
      </c>
      <c r="G7" s="3243" t="s">
        <v>2552</v>
      </c>
      <c r="H7" s="902"/>
      <c r="I7" s="3244"/>
      <c r="J7" s="903" t="s">
        <v>2553</v>
      </c>
      <c r="K7" s="903"/>
      <c r="L7" s="3245"/>
      <c r="M7" s="3245"/>
      <c r="N7" s="6478" t="s">
        <v>2554</v>
      </c>
      <c r="O7" s="6478"/>
      <c r="P7" s="6478"/>
      <c r="Q7" s="6478"/>
      <c r="R7" s="6478"/>
      <c r="S7" s="6478"/>
      <c r="T7" s="6478"/>
      <c r="U7" s="6478"/>
      <c r="V7" s="6478"/>
      <c r="W7" s="6478"/>
      <c r="X7" s="6478"/>
      <c r="Y7" s="6478"/>
      <c r="Z7" s="6478"/>
      <c r="AA7" s="6478"/>
      <c r="AB7" s="6478"/>
      <c r="AC7" s="6478"/>
      <c r="AD7" s="6478"/>
      <c r="AE7" s="6478"/>
      <c r="AF7" s="6479" t="s">
        <v>2555</v>
      </c>
      <c r="AG7" s="6480"/>
      <c r="AH7" s="6480"/>
      <c r="AI7" s="6480"/>
      <c r="AJ7" s="6480"/>
      <c r="AK7" s="6480"/>
      <c r="AL7" s="6480"/>
      <c r="AM7" s="6480"/>
      <c r="AN7" s="6480"/>
      <c r="AO7" s="6480"/>
      <c r="AP7" s="6480"/>
      <c r="AQ7" s="6480"/>
      <c r="AR7" s="6480"/>
      <c r="AS7" s="6480"/>
      <c r="AT7" s="6480"/>
      <c r="AU7" s="6480"/>
      <c r="AV7" s="6480"/>
      <c r="AW7" s="6480"/>
      <c r="AX7" s="6480"/>
      <c r="AY7" s="6480" t="s">
        <v>2556</v>
      </c>
      <c r="AZ7" s="6481"/>
      <c r="BA7" s="6480" t="s">
        <v>2557</v>
      </c>
      <c r="BB7" s="6480"/>
      <c r="BC7" s="6479" t="s">
        <v>2558</v>
      </c>
      <c r="BD7" s="6480"/>
      <c r="BE7" s="6481"/>
      <c r="BF7" s="904" t="s">
        <v>2088</v>
      </c>
      <c r="BG7" s="906"/>
      <c r="BH7" s="899" t="s">
        <v>3688</v>
      </c>
      <c r="BI7" s="899" t="s">
        <v>2928</v>
      </c>
      <c r="BJ7" s="899"/>
      <c r="BK7" s="899"/>
      <c r="BL7" s="899"/>
      <c r="BM7" s="899"/>
      <c r="BN7" s="899"/>
      <c r="BO7" s="899"/>
      <c r="BP7" s="899"/>
      <c r="BQ7" s="899"/>
      <c r="BR7" s="899"/>
      <c r="BS7" s="899"/>
      <c r="BT7" s="899"/>
      <c r="BU7" s="899"/>
      <c r="BV7" s="899"/>
      <c r="BW7" s="899"/>
      <c r="BX7" s="899"/>
    </row>
    <row r="8" spans="1:78" s="895" customFormat="1" ht="33">
      <c r="A8" s="6602"/>
      <c r="B8" s="6603"/>
      <c r="C8" s="6603"/>
      <c r="D8" s="6601"/>
      <c r="E8" s="3246" t="s">
        <v>3689</v>
      </c>
      <c r="F8" s="908" t="s">
        <v>2598</v>
      </c>
      <c r="G8" s="3247" t="s">
        <v>2567</v>
      </c>
      <c r="H8" s="909" t="s">
        <v>2568</v>
      </c>
      <c r="I8" s="6193" t="s">
        <v>3690</v>
      </c>
      <c r="J8" s="910" t="s">
        <v>2101</v>
      </c>
      <c r="K8" s="910" t="s">
        <v>2551</v>
      </c>
      <c r="L8" s="6195" t="s">
        <v>3691</v>
      </c>
      <c r="M8" s="6195"/>
      <c r="N8" s="911" t="s">
        <v>2569</v>
      </c>
      <c r="O8" s="912" t="s">
        <v>2570</v>
      </c>
      <c r="P8" s="912" t="s">
        <v>2571</v>
      </c>
      <c r="Q8" s="912" t="s">
        <v>2572</v>
      </c>
      <c r="R8" s="912" t="s">
        <v>2573</v>
      </c>
      <c r="S8" s="912" t="s">
        <v>2574</v>
      </c>
      <c r="T8" s="912" t="s">
        <v>2575</v>
      </c>
      <c r="U8" s="913" t="s">
        <v>2576</v>
      </c>
      <c r="V8" s="913" t="s">
        <v>2577</v>
      </c>
      <c r="W8" s="913" t="s">
        <v>2578</v>
      </c>
      <c r="X8" s="913" t="s">
        <v>2579</v>
      </c>
      <c r="Y8" s="912" t="s">
        <v>2580</v>
      </c>
      <c r="Z8" s="912" t="s">
        <v>2581</v>
      </c>
      <c r="AA8" s="912" t="s">
        <v>2582</v>
      </c>
      <c r="AB8" s="912" t="s">
        <v>2583</v>
      </c>
      <c r="AC8" s="914" t="s">
        <v>2584</v>
      </c>
      <c r="AD8" s="905" t="s">
        <v>2104</v>
      </c>
      <c r="AE8" s="915" t="s">
        <v>2585</v>
      </c>
      <c r="AF8" s="911" t="s">
        <v>2569</v>
      </c>
      <c r="AG8" s="912" t="s">
        <v>2570</v>
      </c>
      <c r="AH8" s="912" t="s">
        <v>2571</v>
      </c>
      <c r="AI8" s="912" t="s">
        <v>2572</v>
      </c>
      <c r="AJ8" s="912" t="s">
        <v>2573</v>
      </c>
      <c r="AK8" s="912" t="s">
        <v>2574</v>
      </c>
      <c r="AL8" s="912" t="s">
        <v>2575</v>
      </c>
      <c r="AM8" s="913" t="s">
        <v>2576</v>
      </c>
      <c r="AN8" s="913" t="s">
        <v>2577</v>
      </c>
      <c r="AO8" s="913" t="s">
        <v>2578</v>
      </c>
      <c r="AP8" s="913" t="s">
        <v>2579</v>
      </c>
      <c r="AQ8" s="912" t="s">
        <v>2580</v>
      </c>
      <c r="AR8" s="912" t="s">
        <v>2581</v>
      </c>
      <c r="AS8" s="912" t="s">
        <v>2582</v>
      </c>
      <c r="AT8" s="912" t="s">
        <v>2583</v>
      </c>
      <c r="AU8" s="914" t="s">
        <v>2584</v>
      </c>
      <c r="AV8" s="905" t="s">
        <v>2586</v>
      </c>
      <c r="AW8" s="915" t="s">
        <v>2587</v>
      </c>
      <c r="AX8" s="916" t="s">
        <v>2588</v>
      </c>
      <c r="AY8" s="917" t="s">
        <v>2589</v>
      </c>
      <c r="AZ8" s="915" t="s">
        <v>2590</v>
      </c>
      <c r="BA8" s="917" t="s">
        <v>2591</v>
      </c>
      <c r="BB8" s="917" t="s">
        <v>2592</v>
      </c>
      <c r="BC8" s="905" t="s">
        <v>2593</v>
      </c>
      <c r="BD8" s="917" t="s">
        <v>2594</v>
      </c>
      <c r="BE8" s="915" t="s">
        <v>2595</v>
      </c>
      <c r="BF8" s="903" t="s">
        <v>2109</v>
      </c>
      <c r="BG8" s="920" t="s">
        <v>2600</v>
      </c>
      <c r="BH8" s="3785" t="s">
        <v>3692</v>
      </c>
      <c r="BI8" s="899"/>
      <c r="BJ8" s="899"/>
      <c r="BK8" s="899"/>
      <c r="BL8" s="899"/>
      <c r="BM8" s="899"/>
      <c r="BN8" s="899"/>
      <c r="BO8" s="899"/>
      <c r="BP8" s="899"/>
      <c r="BQ8" s="899"/>
      <c r="BR8" s="899"/>
      <c r="BS8" s="899"/>
      <c r="BT8" s="899"/>
      <c r="BU8" s="899"/>
      <c r="BV8" s="899"/>
      <c r="BW8" s="899"/>
      <c r="BX8" s="899"/>
    </row>
    <row r="9" spans="1:78" ht="24.65" customHeight="1">
      <c r="A9" s="6610"/>
      <c r="B9" s="6611"/>
      <c r="C9" s="6611"/>
      <c r="D9" s="6194"/>
      <c r="E9" s="6074">
        <v>2250</v>
      </c>
      <c r="F9" s="921" t="s">
        <v>3694</v>
      </c>
      <c r="G9" s="3250">
        <v>43</v>
      </c>
      <c r="H9" s="922" t="s">
        <v>3709</v>
      </c>
      <c r="I9" s="6157"/>
      <c r="J9" s="923" t="s">
        <v>2138</v>
      </c>
      <c r="K9" s="923">
        <v>30</v>
      </c>
      <c r="L9" s="3251">
        <v>175</v>
      </c>
      <c r="M9" s="6137">
        <f>SUM(L9:L31)</f>
        <v>2252</v>
      </c>
      <c r="N9" s="924" t="s">
        <v>3710</v>
      </c>
      <c r="O9" s="925" t="s">
        <v>3711</v>
      </c>
      <c r="P9" s="925" t="s">
        <v>3712</v>
      </c>
      <c r="Q9" s="925" t="s">
        <v>2602</v>
      </c>
      <c r="R9" s="925" t="s">
        <v>2602</v>
      </c>
      <c r="S9" s="925" t="s">
        <v>2602</v>
      </c>
      <c r="T9" s="925" t="s">
        <v>2602</v>
      </c>
      <c r="U9" s="926" t="s">
        <v>2602</v>
      </c>
      <c r="V9" s="926" t="s">
        <v>2602</v>
      </c>
      <c r="W9" s="926" t="s">
        <v>2602</v>
      </c>
      <c r="X9" s="926" t="s">
        <v>2602</v>
      </c>
      <c r="Y9" s="925" t="s">
        <v>2602</v>
      </c>
      <c r="Z9" s="925" t="s">
        <v>2602</v>
      </c>
      <c r="AA9" s="925" t="s">
        <v>2602</v>
      </c>
      <c r="AB9" s="925" t="s">
        <v>2602</v>
      </c>
      <c r="AC9" s="927" t="s">
        <v>2602</v>
      </c>
      <c r="AD9" s="928">
        <v>375</v>
      </c>
      <c r="AE9" s="923">
        <v>375</v>
      </c>
      <c r="AF9" s="924" t="s">
        <v>3713</v>
      </c>
      <c r="AG9" s="925" t="s">
        <v>3714</v>
      </c>
      <c r="AH9" s="925" t="s">
        <v>3715</v>
      </c>
      <c r="AI9" s="925" t="s">
        <v>2602</v>
      </c>
      <c r="AJ9" s="925" t="s">
        <v>2602</v>
      </c>
      <c r="AK9" s="925" t="s">
        <v>2602</v>
      </c>
      <c r="AL9" s="925" t="s">
        <v>2602</v>
      </c>
      <c r="AM9" s="926" t="s">
        <v>2602</v>
      </c>
      <c r="AN9" s="926" t="s">
        <v>2602</v>
      </c>
      <c r="AO9" s="926" t="s">
        <v>2602</v>
      </c>
      <c r="AP9" s="926" t="s">
        <v>2602</v>
      </c>
      <c r="AQ9" s="925" t="s">
        <v>2602</v>
      </c>
      <c r="AR9" s="925" t="s">
        <v>2602</v>
      </c>
      <c r="AS9" s="925" t="s">
        <v>2602</v>
      </c>
      <c r="AT9" s="925" t="s">
        <v>2602</v>
      </c>
      <c r="AU9" s="927" t="s">
        <v>2602</v>
      </c>
      <c r="AV9" s="928">
        <v>212</v>
      </c>
      <c r="AW9" s="923">
        <v>212</v>
      </c>
      <c r="AX9" s="929">
        <v>0.56533333333333335</v>
      </c>
      <c r="AY9" s="930" t="s">
        <v>2609</v>
      </c>
      <c r="AZ9" s="923" t="s">
        <v>2610</v>
      </c>
      <c r="BA9" s="930">
        <v>2</v>
      </c>
      <c r="BB9" s="930">
        <v>2</v>
      </c>
      <c r="BC9" s="931" t="s">
        <v>2133</v>
      </c>
      <c r="BD9" s="930" t="s">
        <v>2688</v>
      </c>
      <c r="BE9" s="923" t="s">
        <v>2688</v>
      </c>
      <c r="BF9" s="932" t="s">
        <v>2728</v>
      </c>
      <c r="BG9" s="936"/>
      <c r="BH9" s="3785">
        <v>10</v>
      </c>
      <c r="BI9" s="899">
        <f>K9*L9</f>
        <v>5250</v>
      </c>
      <c r="BJ9" s="899"/>
      <c r="BK9" s="899"/>
      <c r="BL9" s="899"/>
      <c r="BM9" s="899"/>
      <c r="BN9" s="899"/>
      <c r="BO9" s="899"/>
      <c r="BP9" s="899"/>
      <c r="BQ9" s="899"/>
      <c r="BR9" s="899"/>
      <c r="BS9" s="899"/>
      <c r="BT9" s="899"/>
      <c r="BU9" s="899"/>
      <c r="BV9" s="899"/>
      <c r="BW9" s="899"/>
      <c r="BX9" s="899"/>
      <c r="BY9" s="899"/>
    </row>
    <row r="10" spans="1:78" ht="24.65" customHeight="1">
      <c r="A10" s="6610"/>
      <c r="B10" s="6611"/>
      <c r="C10" s="6611"/>
      <c r="D10" s="6192"/>
      <c r="E10" s="6160"/>
      <c r="F10" s="939" t="s">
        <v>3694</v>
      </c>
      <c r="G10" s="3254">
        <v>47</v>
      </c>
      <c r="H10" s="940" t="s">
        <v>3722</v>
      </c>
      <c r="I10" s="6158"/>
      <c r="J10" s="941" t="s">
        <v>2138</v>
      </c>
      <c r="K10" s="941">
        <v>30</v>
      </c>
      <c r="L10" s="3255">
        <v>75</v>
      </c>
      <c r="M10" s="6159"/>
      <c r="N10" s="942" t="s">
        <v>3723</v>
      </c>
      <c r="O10" s="943" t="s">
        <v>2676</v>
      </c>
      <c r="P10" s="943" t="s">
        <v>3724</v>
      </c>
      <c r="Q10" s="943" t="s">
        <v>3725</v>
      </c>
      <c r="R10" s="943" t="s">
        <v>2602</v>
      </c>
      <c r="S10" s="943" t="s">
        <v>2602</v>
      </c>
      <c r="T10" s="943" t="s">
        <v>2602</v>
      </c>
      <c r="U10" s="944" t="s">
        <v>2602</v>
      </c>
      <c r="V10" s="944" t="s">
        <v>2602</v>
      </c>
      <c r="W10" s="944" t="s">
        <v>2602</v>
      </c>
      <c r="X10" s="944" t="s">
        <v>2602</v>
      </c>
      <c r="Y10" s="943" t="s">
        <v>2602</v>
      </c>
      <c r="Z10" s="943" t="s">
        <v>2602</v>
      </c>
      <c r="AA10" s="943" t="s">
        <v>2602</v>
      </c>
      <c r="AB10" s="943" t="s">
        <v>2602</v>
      </c>
      <c r="AC10" s="945" t="s">
        <v>2602</v>
      </c>
      <c r="AD10" s="946">
        <v>161</v>
      </c>
      <c r="AE10" s="941">
        <v>162</v>
      </c>
      <c r="AF10" s="942" t="s">
        <v>3723</v>
      </c>
      <c r="AG10" s="943" t="s">
        <v>2676</v>
      </c>
      <c r="AH10" s="943" t="s">
        <v>3726</v>
      </c>
      <c r="AI10" s="943" t="s">
        <v>2636</v>
      </c>
      <c r="AJ10" s="943" t="s">
        <v>2602</v>
      </c>
      <c r="AK10" s="943" t="s">
        <v>2602</v>
      </c>
      <c r="AL10" s="943" t="s">
        <v>2602</v>
      </c>
      <c r="AM10" s="944" t="s">
        <v>2602</v>
      </c>
      <c r="AN10" s="944" t="s">
        <v>2602</v>
      </c>
      <c r="AO10" s="944" t="s">
        <v>2602</v>
      </c>
      <c r="AP10" s="944" t="s">
        <v>2602</v>
      </c>
      <c r="AQ10" s="943" t="s">
        <v>2602</v>
      </c>
      <c r="AR10" s="943" t="s">
        <v>2602</v>
      </c>
      <c r="AS10" s="943" t="s">
        <v>2602</v>
      </c>
      <c r="AT10" s="943" t="s">
        <v>2602</v>
      </c>
      <c r="AU10" s="945" t="s">
        <v>2602</v>
      </c>
      <c r="AV10" s="946">
        <v>161</v>
      </c>
      <c r="AW10" s="941">
        <v>162</v>
      </c>
      <c r="AX10" s="947">
        <v>1</v>
      </c>
      <c r="AY10" s="948" t="s">
        <v>2610</v>
      </c>
      <c r="AZ10" s="941" t="s">
        <v>2610</v>
      </c>
      <c r="BA10" s="948">
        <v>0</v>
      </c>
      <c r="BB10" s="948">
        <v>0</v>
      </c>
      <c r="BC10" s="949" t="s">
        <v>2133</v>
      </c>
      <c r="BD10" s="948" t="s">
        <v>2688</v>
      </c>
      <c r="BE10" s="941" t="s">
        <v>2688</v>
      </c>
      <c r="BF10" s="950" t="s">
        <v>2728</v>
      </c>
      <c r="BG10" s="954"/>
      <c r="BH10" s="3785">
        <v>6</v>
      </c>
      <c r="BI10" s="899">
        <f t="shared" ref="BI10:BI43" si="0">K10*L10</f>
        <v>2250</v>
      </c>
      <c r="BJ10" s="899"/>
      <c r="BK10" s="899"/>
      <c r="BL10" s="899"/>
      <c r="BM10" s="899"/>
      <c r="BN10" s="899"/>
      <c r="BO10" s="899"/>
      <c r="BP10" s="899"/>
      <c r="BQ10" s="899"/>
      <c r="BR10" s="899"/>
      <c r="BS10" s="899"/>
      <c r="BT10" s="899"/>
      <c r="BU10" s="899"/>
      <c r="BV10" s="899"/>
      <c r="BW10" s="899"/>
      <c r="BX10" s="899"/>
      <c r="BY10" s="899"/>
    </row>
    <row r="11" spans="1:78" ht="24.65" customHeight="1">
      <c r="A11" s="6610"/>
      <c r="B11" s="6611"/>
      <c r="C11" s="6611"/>
      <c r="D11" s="6192"/>
      <c r="E11" s="6160"/>
      <c r="F11" s="939" t="s">
        <v>3694</v>
      </c>
      <c r="G11" s="3254">
        <v>75</v>
      </c>
      <c r="H11" s="940" t="s">
        <v>3730</v>
      </c>
      <c r="I11" s="6158"/>
      <c r="J11" s="941" t="s">
        <v>2138</v>
      </c>
      <c r="K11" s="941">
        <v>30</v>
      </c>
      <c r="L11" s="3255">
        <v>122</v>
      </c>
      <c r="M11" s="6159"/>
      <c r="N11" s="942" t="s">
        <v>3731</v>
      </c>
      <c r="O11" s="943" t="s">
        <v>2602</v>
      </c>
      <c r="P11" s="943" t="s">
        <v>2602</v>
      </c>
      <c r="Q11" s="943" t="s">
        <v>2602</v>
      </c>
      <c r="R11" s="943" t="s">
        <v>2602</v>
      </c>
      <c r="S11" s="943" t="s">
        <v>2602</v>
      </c>
      <c r="T11" s="943" t="s">
        <v>2602</v>
      </c>
      <c r="U11" s="944" t="s">
        <v>2602</v>
      </c>
      <c r="V11" s="944" t="s">
        <v>2602</v>
      </c>
      <c r="W11" s="944" t="s">
        <v>2602</v>
      </c>
      <c r="X11" s="944" t="s">
        <v>2602</v>
      </c>
      <c r="Y11" s="943" t="s">
        <v>2602</v>
      </c>
      <c r="Z11" s="943" t="s">
        <v>2602</v>
      </c>
      <c r="AA11" s="943" t="s">
        <v>2602</v>
      </c>
      <c r="AB11" s="943" t="s">
        <v>2602</v>
      </c>
      <c r="AC11" s="945" t="s">
        <v>2602</v>
      </c>
      <c r="AD11" s="946">
        <v>262</v>
      </c>
      <c r="AE11" s="941">
        <v>262</v>
      </c>
      <c r="AF11" s="942" t="s">
        <v>3732</v>
      </c>
      <c r="AG11" s="943" t="s">
        <v>2602</v>
      </c>
      <c r="AH11" s="943" t="s">
        <v>2602</v>
      </c>
      <c r="AI11" s="943" t="s">
        <v>2602</v>
      </c>
      <c r="AJ11" s="943" t="s">
        <v>2602</v>
      </c>
      <c r="AK11" s="943" t="s">
        <v>2602</v>
      </c>
      <c r="AL11" s="943" t="s">
        <v>2602</v>
      </c>
      <c r="AM11" s="944" t="s">
        <v>2602</v>
      </c>
      <c r="AN11" s="944" t="s">
        <v>2602</v>
      </c>
      <c r="AO11" s="944" t="s">
        <v>2602</v>
      </c>
      <c r="AP11" s="944" t="s">
        <v>2602</v>
      </c>
      <c r="AQ11" s="943" t="s">
        <v>2602</v>
      </c>
      <c r="AR11" s="943" t="s">
        <v>2602</v>
      </c>
      <c r="AS11" s="943" t="s">
        <v>2602</v>
      </c>
      <c r="AT11" s="943" t="s">
        <v>2602</v>
      </c>
      <c r="AU11" s="945" t="s">
        <v>2602</v>
      </c>
      <c r="AV11" s="946">
        <v>80</v>
      </c>
      <c r="AW11" s="941">
        <v>80</v>
      </c>
      <c r="AX11" s="947">
        <v>0.30534351145038169</v>
      </c>
      <c r="AY11" s="948" t="s">
        <v>2609</v>
      </c>
      <c r="AZ11" s="941" t="s">
        <v>2610</v>
      </c>
      <c r="BA11" s="948">
        <v>0</v>
      </c>
      <c r="BB11" s="948">
        <v>0</v>
      </c>
      <c r="BC11" s="949" t="s">
        <v>2133</v>
      </c>
      <c r="BD11" s="948" t="s">
        <v>2688</v>
      </c>
      <c r="BE11" s="941" t="s">
        <v>2688</v>
      </c>
      <c r="BF11" s="950" t="s">
        <v>2728</v>
      </c>
      <c r="BG11" s="954"/>
      <c r="BH11" s="3785">
        <v>11</v>
      </c>
      <c r="BI11" s="899">
        <f t="shared" si="0"/>
        <v>3660</v>
      </c>
      <c r="BJ11" s="899"/>
      <c r="BK11" s="899"/>
      <c r="BL11" s="899"/>
      <c r="BM11" s="899"/>
      <c r="BN11" s="899"/>
      <c r="BO11" s="899"/>
      <c r="BP11" s="899"/>
      <c r="BQ11" s="899"/>
      <c r="BR11" s="899"/>
      <c r="BS11" s="899"/>
      <c r="BT11" s="899"/>
      <c r="BU11" s="899"/>
      <c r="BV11" s="899"/>
      <c r="BW11" s="899"/>
      <c r="BX11" s="899"/>
      <c r="BY11" s="899"/>
    </row>
    <row r="12" spans="1:78" ht="24.65" customHeight="1">
      <c r="A12" s="6610"/>
      <c r="B12" s="6611"/>
      <c r="C12" s="6611"/>
      <c r="D12" s="6192"/>
      <c r="E12" s="6160"/>
      <c r="F12" s="939" t="s">
        <v>3694</v>
      </c>
      <c r="G12" s="3254">
        <v>28</v>
      </c>
      <c r="H12" s="940" t="s">
        <v>3733</v>
      </c>
      <c r="I12" s="6158"/>
      <c r="J12" s="941" t="s">
        <v>2138</v>
      </c>
      <c r="K12" s="941">
        <v>30</v>
      </c>
      <c r="L12" s="3255">
        <v>83</v>
      </c>
      <c r="M12" s="6159"/>
      <c r="N12" s="942"/>
      <c r="O12" s="943"/>
      <c r="P12" s="943"/>
      <c r="Q12" s="943"/>
      <c r="R12" s="943"/>
      <c r="S12" s="943"/>
      <c r="T12" s="943"/>
      <c r="U12" s="944"/>
      <c r="V12" s="944"/>
      <c r="W12" s="944"/>
      <c r="X12" s="944"/>
      <c r="Y12" s="943"/>
      <c r="Z12" s="943"/>
      <c r="AA12" s="943"/>
      <c r="AB12" s="943"/>
      <c r="AC12" s="945"/>
      <c r="AD12" s="946">
        <v>179</v>
      </c>
      <c r="AE12" s="941">
        <v>179</v>
      </c>
      <c r="AF12" s="942"/>
      <c r="AG12" s="943"/>
      <c r="AH12" s="943"/>
      <c r="AI12" s="943"/>
      <c r="AJ12" s="943"/>
      <c r="AK12" s="943"/>
      <c r="AL12" s="943"/>
      <c r="AM12" s="944"/>
      <c r="AN12" s="944"/>
      <c r="AO12" s="944"/>
      <c r="AP12" s="944"/>
      <c r="AQ12" s="943"/>
      <c r="AR12" s="943"/>
      <c r="AS12" s="943"/>
      <c r="AT12" s="943"/>
      <c r="AU12" s="945"/>
      <c r="AV12" s="946">
        <v>74</v>
      </c>
      <c r="AW12" s="941">
        <v>74</v>
      </c>
      <c r="AX12" s="947"/>
      <c r="AY12" s="948" t="s">
        <v>2609</v>
      </c>
      <c r="AZ12" s="941" t="s">
        <v>2610</v>
      </c>
      <c r="BA12" s="948">
        <v>0</v>
      </c>
      <c r="BB12" s="948">
        <v>0</v>
      </c>
      <c r="BC12" s="949" t="s">
        <v>2133</v>
      </c>
      <c r="BD12" s="948" t="s">
        <v>2688</v>
      </c>
      <c r="BE12" s="941" t="s">
        <v>2688</v>
      </c>
      <c r="BF12" s="950" t="s">
        <v>2168</v>
      </c>
      <c r="BG12" s="954"/>
      <c r="BH12" s="3785">
        <v>5</v>
      </c>
      <c r="BI12" s="899">
        <f t="shared" si="0"/>
        <v>2490</v>
      </c>
      <c r="BJ12" s="899"/>
      <c r="BK12" s="899"/>
      <c r="BL12" s="899"/>
      <c r="BM12" s="899"/>
      <c r="BN12" s="899"/>
      <c r="BO12" s="899"/>
      <c r="BP12" s="899"/>
      <c r="BQ12" s="899"/>
      <c r="BR12" s="899"/>
      <c r="BS12" s="899"/>
      <c r="BT12" s="899"/>
      <c r="BU12" s="899"/>
      <c r="BV12" s="899"/>
      <c r="BW12" s="899"/>
      <c r="BX12" s="899"/>
      <c r="BY12" s="899"/>
    </row>
    <row r="13" spans="1:78" ht="24.65" customHeight="1">
      <c r="A13" s="6610"/>
      <c r="B13" s="6611"/>
      <c r="C13" s="6611"/>
      <c r="D13" s="6192"/>
      <c r="E13" s="6160"/>
      <c r="F13" s="939" t="s">
        <v>3694</v>
      </c>
      <c r="G13" s="3254">
        <v>76</v>
      </c>
      <c r="H13" s="940" t="s">
        <v>3739</v>
      </c>
      <c r="I13" s="6158"/>
      <c r="J13" s="941" t="s">
        <v>2138</v>
      </c>
      <c r="K13" s="941">
        <v>30</v>
      </c>
      <c r="L13" s="3255">
        <v>73</v>
      </c>
      <c r="M13" s="6159"/>
      <c r="N13" s="942"/>
      <c r="O13" s="943"/>
      <c r="P13" s="943"/>
      <c r="Q13" s="943"/>
      <c r="R13" s="943"/>
      <c r="S13" s="943"/>
      <c r="T13" s="943"/>
      <c r="U13" s="944"/>
      <c r="V13" s="944"/>
      <c r="W13" s="944"/>
      <c r="X13" s="944"/>
      <c r="Y13" s="943"/>
      <c r="Z13" s="943"/>
      <c r="AA13" s="943"/>
      <c r="AB13" s="943"/>
      <c r="AC13" s="945"/>
      <c r="AD13" s="946">
        <v>156</v>
      </c>
      <c r="AE13" s="941">
        <v>186</v>
      </c>
      <c r="AF13" s="942"/>
      <c r="AG13" s="943"/>
      <c r="AH13" s="943"/>
      <c r="AI13" s="943"/>
      <c r="AJ13" s="943"/>
      <c r="AK13" s="943"/>
      <c r="AL13" s="943"/>
      <c r="AM13" s="944"/>
      <c r="AN13" s="944"/>
      <c r="AO13" s="944"/>
      <c r="AP13" s="944"/>
      <c r="AQ13" s="943"/>
      <c r="AR13" s="943"/>
      <c r="AS13" s="943"/>
      <c r="AT13" s="943"/>
      <c r="AU13" s="945"/>
      <c r="AV13" s="946">
        <v>30</v>
      </c>
      <c r="AW13" s="941">
        <v>30</v>
      </c>
      <c r="AX13" s="947"/>
      <c r="AY13" s="948" t="s">
        <v>2609</v>
      </c>
      <c r="AZ13" s="941" t="s">
        <v>2610</v>
      </c>
      <c r="BA13" s="948">
        <v>0</v>
      </c>
      <c r="BB13" s="948">
        <v>0</v>
      </c>
      <c r="BC13" s="949" t="s">
        <v>2133</v>
      </c>
      <c r="BD13" s="948" t="s">
        <v>2688</v>
      </c>
      <c r="BE13" s="941" t="s">
        <v>2688</v>
      </c>
      <c r="BF13" s="950" t="s">
        <v>3696</v>
      </c>
      <c r="BG13" s="954"/>
      <c r="BH13" s="3785">
        <v>11</v>
      </c>
      <c r="BI13" s="899">
        <f t="shared" si="0"/>
        <v>2190</v>
      </c>
      <c r="BJ13" s="899"/>
      <c r="BK13" s="899"/>
      <c r="BL13" s="899"/>
      <c r="BM13" s="899"/>
      <c r="BN13" s="899"/>
      <c r="BO13" s="899"/>
      <c r="BP13" s="899"/>
      <c r="BQ13" s="899"/>
      <c r="BR13" s="899"/>
      <c r="BS13" s="899"/>
      <c r="BT13" s="899"/>
      <c r="BU13" s="899"/>
      <c r="BV13" s="899"/>
      <c r="BW13" s="899"/>
      <c r="BX13" s="899"/>
      <c r="BY13" s="899"/>
    </row>
    <row r="14" spans="1:78" ht="24.65" customHeight="1">
      <c r="A14" s="6610"/>
      <c r="B14" s="6611"/>
      <c r="C14" s="6611"/>
      <c r="D14" s="6192"/>
      <c r="E14" s="6160"/>
      <c r="F14" s="939" t="s">
        <v>3694</v>
      </c>
      <c r="G14" s="3254">
        <v>68</v>
      </c>
      <c r="H14" s="940" t="s">
        <v>6967</v>
      </c>
      <c r="I14" s="6158"/>
      <c r="J14" s="941" t="s">
        <v>2138</v>
      </c>
      <c r="K14" s="941">
        <v>30</v>
      </c>
      <c r="L14" s="3255">
        <v>19</v>
      </c>
      <c r="M14" s="6159"/>
      <c r="N14" s="942"/>
      <c r="O14" s="943"/>
      <c r="P14" s="943"/>
      <c r="Q14" s="943"/>
      <c r="R14" s="943"/>
      <c r="S14" s="943"/>
      <c r="T14" s="943"/>
      <c r="U14" s="944"/>
      <c r="V14" s="944"/>
      <c r="W14" s="944"/>
      <c r="X14" s="944"/>
      <c r="Y14" s="943"/>
      <c r="Z14" s="943"/>
      <c r="AA14" s="943"/>
      <c r="AB14" s="943"/>
      <c r="AC14" s="945"/>
      <c r="AD14" s="946">
        <v>40</v>
      </c>
      <c r="AE14" s="941">
        <v>50</v>
      </c>
      <c r="AF14" s="942"/>
      <c r="AG14" s="943"/>
      <c r="AH14" s="943"/>
      <c r="AI14" s="943"/>
      <c r="AJ14" s="943"/>
      <c r="AK14" s="943"/>
      <c r="AL14" s="943"/>
      <c r="AM14" s="944"/>
      <c r="AN14" s="944"/>
      <c r="AO14" s="944"/>
      <c r="AP14" s="944"/>
      <c r="AQ14" s="943"/>
      <c r="AR14" s="943"/>
      <c r="AS14" s="943"/>
      <c r="AT14" s="943"/>
      <c r="AU14" s="945"/>
      <c r="AV14" s="946"/>
      <c r="AW14" s="941"/>
      <c r="AX14" s="947"/>
      <c r="AY14" s="948"/>
      <c r="AZ14" s="941"/>
      <c r="BA14" s="948"/>
      <c r="BB14" s="948"/>
      <c r="BC14" s="949"/>
      <c r="BD14" s="948"/>
      <c r="BE14" s="941"/>
      <c r="BF14" s="950"/>
      <c r="BG14" s="6181" t="s">
        <v>6934</v>
      </c>
      <c r="BH14" s="3785">
        <v>7</v>
      </c>
      <c r="BI14" s="899">
        <f t="shared" si="0"/>
        <v>570</v>
      </c>
      <c r="BJ14" s="899"/>
      <c r="BK14" s="899"/>
      <c r="BL14" s="899"/>
      <c r="BM14" s="899"/>
      <c r="BN14" s="899"/>
      <c r="BO14" s="899"/>
      <c r="BP14" s="899"/>
      <c r="BQ14" s="899"/>
      <c r="BR14" s="899"/>
      <c r="BS14" s="899"/>
      <c r="BT14" s="899"/>
      <c r="BU14" s="899"/>
      <c r="BV14" s="899"/>
      <c r="BW14" s="899"/>
      <c r="BX14" s="899"/>
      <c r="BY14" s="899"/>
    </row>
    <row r="15" spans="1:78" ht="24.65" customHeight="1">
      <c r="A15" s="6610"/>
      <c r="B15" s="6611"/>
      <c r="C15" s="6611"/>
      <c r="D15" s="6192"/>
      <c r="E15" s="6160"/>
      <c r="F15" s="939" t="s">
        <v>3694</v>
      </c>
      <c r="G15" s="3254">
        <v>1006</v>
      </c>
      <c r="H15" s="940" t="s">
        <v>3741</v>
      </c>
      <c r="I15" s="6158"/>
      <c r="J15" s="941" t="s">
        <v>2138</v>
      </c>
      <c r="K15" s="941">
        <v>30</v>
      </c>
      <c r="L15" s="3255">
        <v>107</v>
      </c>
      <c r="M15" s="6159"/>
      <c r="N15" s="942"/>
      <c r="O15" s="943"/>
      <c r="P15" s="943"/>
      <c r="Q15" s="943"/>
      <c r="R15" s="943"/>
      <c r="S15" s="943"/>
      <c r="T15" s="943"/>
      <c r="U15" s="944"/>
      <c r="V15" s="944"/>
      <c r="W15" s="944"/>
      <c r="X15" s="944"/>
      <c r="Y15" s="943"/>
      <c r="Z15" s="943"/>
      <c r="AA15" s="943"/>
      <c r="AB15" s="943"/>
      <c r="AC15" s="945"/>
      <c r="AD15" s="946">
        <v>229</v>
      </c>
      <c r="AE15" s="941">
        <v>232</v>
      </c>
      <c r="AF15" s="942"/>
      <c r="AG15" s="943"/>
      <c r="AH15" s="943"/>
      <c r="AI15" s="943"/>
      <c r="AJ15" s="943"/>
      <c r="AK15" s="943"/>
      <c r="AL15" s="943"/>
      <c r="AM15" s="944"/>
      <c r="AN15" s="944"/>
      <c r="AO15" s="944"/>
      <c r="AP15" s="944"/>
      <c r="AQ15" s="943"/>
      <c r="AR15" s="943"/>
      <c r="AS15" s="943"/>
      <c r="AT15" s="943"/>
      <c r="AU15" s="945"/>
      <c r="AV15" s="946">
        <v>100</v>
      </c>
      <c r="AW15" s="941">
        <v>100</v>
      </c>
      <c r="AX15" s="947"/>
      <c r="AY15" s="948" t="s">
        <v>2609</v>
      </c>
      <c r="AZ15" s="941" t="s">
        <v>2610</v>
      </c>
      <c r="BA15" s="948">
        <v>0</v>
      </c>
      <c r="BB15" s="948">
        <v>0</v>
      </c>
      <c r="BC15" s="949" t="s">
        <v>2133</v>
      </c>
      <c r="BD15" s="948" t="s">
        <v>2688</v>
      </c>
      <c r="BE15" s="941" t="s">
        <v>2688</v>
      </c>
      <c r="BF15" s="950" t="s">
        <v>2168</v>
      </c>
      <c r="BG15" s="954"/>
      <c r="BH15" s="3785">
        <v>5</v>
      </c>
      <c r="BI15" s="899">
        <f t="shared" si="0"/>
        <v>3210</v>
      </c>
      <c r="BJ15" s="899"/>
      <c r="BK15" s="899"/>
      <c r="BL15" s="899"/>
      <c r="BM15" s="899"/>
      <c r="BN15" s="899"/>
      <c r="BO15" s="899"/>
      <c r="BP15" s="899"/>
      <c r="BQ15" s="899"/>
      <c r="BR15" s="899"/>
      <c r="BS15" s="899"/>
      <c r="BT15" s="899"/>
      <c r="BU15" s="899"/>
      <c r="BV15" s="899"/>
      <c r="BW15" s="899"/>
      <c r="BX15" s="899"/>
      <c r="BY15" s="899"/>
    </row>
    <row r="16" spans="1:78" ht="24.65" customHeight="1">
      <c r="A16" s="6610"/>
      <c r="B16" s="6611"/>
      <c r="C16" s="6611"/>
      <c r="D16" s="6192"/>
      <c r="E16" s="6160"/>
      <c r="F16" s="6164" t="s">
        <v>3694</v>
      </c>
      <c r="G16" s="1119">
        <v>1017</v>
      </c>
      <c r="H16" s="6161" t="s">
        <v>3742</v>
      </c>
      <c r="I16" s="6158"/>
      <c r="J16" s="2979" t="s">
        <v>2138</v>
      </c>
      <c r="K16" s="2979">
        <v>30</v>
      </c>
      <c r="L16" s="3268">
        <v>48</v>
      </c>
      <c r="M16" s="6159"/>
      <c r="N16" s="2980"/>
      <c r="O16" s="2981"/>
      <c r="P16" s="2981"/>
      <c r="Q16" s="2981"/>
      <c r="R16" s="2981"/>
      <c r="S16" s="2981"/>
      <c r="T16" s="2981"/>
      <c r="U16" s="2982"/>
      <c r="V16" s="2982"/>
      <c r="W16" s="2982"/>
      <c r="X16" s="2982"/>
      <c r="Y16" s="2981"/>
      <c r="Z16" s="2981"/>
      <c r="AA16" s="2981"/>
      <c r="AB16" s="2981"/>
      <c r="AC16" s="2983"/>
      <c r="AD16" s="919">
        <v>102</v>
      </c>
      <c r="AE16" s="2979">
        <v>114</v>
      </c>
      <c r="AF16" s="2980"/>
      <c r="AG16" s="2981"/>
      <c r="AH16" s="2981"/>
      <c r="AI16" s="2981"/>
      <c r="AJ16" s="2981"/>
      <c r="AK16" s="2981"/>
      <c r="AL16" s="2981"/>
      <c r="AM16" s="2982"/>
      <c r="AN16" s="2982"/>
      <c r="AO16" s="2982"/>
      <c r="AP16" s="2982"/>
      <c r="AQ16" s="2981"/>
      <c r="AR16" s="2981"/>
      <c r="AS16" s="2981"/>
      <c r="AT16" s="2981"/>
      <c r="AU16" s="2983"/>
      <c r="AV16" s="919">
        <v>102</v>
      </c>
      <c r="AW16" s="2979">
        <v>114</v>
      </c>
      <c r="AX16" s="1129"/>
      <c r="AY16" s="1055" t="s">
        <v>2610</v>
      </c>
      <c r="AZ16" s="2979" t="s">
        <v>2610</v>
      </c>
      <c r="BA16" s="1055">
        <v>0</v>
      </c>
      <c r="BB16" s="1055">
        <v>0</v>
      </c>
      <c r="BC16" s="2985" t="s">
        <v>2133</v>
      </c>
      <c r="BD16" s="1055" t="s">
        <v>2133</v>
      </c>
      <c r="BE16" s="2979" t="s">
        <v>2133</v>
      </c>
      <c r="BF16" s="2986" t="s">
        <v>3743</v>
      </c>
      <c r="BG16" s="2990"/>
      <c r="BH16" s="3785">
        <v>12</v>
      </c>
      <c r="BI16" s="899">
        <f t="shared" si="0"/>
        <v>1440</v>
      </c>
      <c r="BJ16" s="899"/>
      <c r="BK16" s="899"/>
      <c r="BL16" s="899"/>
      <c r="BM16" s="899"/>
      <c r="BN16" s="899"/>
      <c r="BO16" s="899"/>
      <c r="BP16" s="899"/>
      <c r="BQ16" s="899"/>
      <c r="BR16" s="899"/>
      <c r="BS16" s="899"/>
      <c r="BT16" s="899"/>
      <c r="BU16" s="899"/>
      <c r="BV16" s="899"/>
      <c r="BW16" s="899"/>
      <c r="BX16" s="899"/>
      <c r="BY16" s="899"/>
    </row>
    <row r="17" spans="1:77" ht="24.65" customHeight="1">
      <c r="A17" s="6610"/>
      <c r="B17" s="6611"/>
      <c r="C17" s="6611"/>
      <c r="D17" s="6077"/>
      <c r="E17" s="6078"/>
      <c r="F17" s="939" t="s">
        <v>3694</v>
      </c>
      <c r="G17" s="6165">
        <v>3038</v>
      </c>
      <c r="H17" s="6166" t="s">
        <v>6931</v>
      </c>
      <c r="I17" s="6167"/>
      <c r="J17" s="3219" t="s">
        <v>2138</v>
      </c>
      <c r="K17" s="3219">
        <v>30</v>
      </c>
      <c r="L17" s="6168">
        <v>42</v>
      </c>
      <c r="M17" s="6169"/>
      <c r="N17" s="6170"/>
      <c r="O17" s="6171"/>
      <c r="P17" s="6171"/>
      <c r="Q17" s="6171"/>
      <c r="R17" s="6171"/>
      <c r="S17" s="6171"/>
      <c r="T17" s="6171"/>
      <c r="U17" s="6172"/>
      <c r="V17" s="6172"/>
      <c r="W17" s="6172"/>
      <c r="X17" s="6172"/>
      <c r="Y17" s="6171"/>
      <c r="Z17" s="6171"/>
      <c r="AA17" s="6171"/>
      <c r="AB17" s="6171"/>
      <c r="AC17" s="6173"/>
      <c r="AD17" s="6152">
        <v>90</v>
      </c>
      <c r="AE17" s="3219"/>
      <c r="AF17" s="6170"/>
      <c r="AG17" s="6171"/>
      <c r="AH17" s="6171"/>
      <c r="AI17" s="6171"/>
      <c r="AJ17" s="6171"/>
      <c r="AK17" s="6171"/>
      <c r="AL17" s="6171"/>
      <c r="AM17" s="6172"/>
      <c r="AN17" s="6172"/>
      <c r="AO17" s="6172"/>
      <c r="AP17" s="6172"/>
      <c r="AQ17" s="6171"/>
      <c r="AR17" s="6171"/>
      <c r="AS17" s="6171"/>
      <c r="AT17" s="6171"/>
      <c r="AU17" s="6173"/>
      <c r="AV17" s="6152"/>
      <c r="AW17" s="3219"/>
      <c r="AX17" s="6153"/>
      <c r="AY17" s="3056"/>
      <c r="AZ17" s="3219"/>
      <c r="BA17" s="3056"/>
      <c r="BB17" s="3056"/>
      <c r="BC17" s="3217"/>
      <c r="BD17" s="3056"/>
      <c r="BE17" s="3219"/>
      <c r="BF17" s="3220"/>
      <c r="BG17" s="6154"/>
      <c r="BH17" s="3785"/>
      <c r="BI17" s="899">
        <f t="shared" si="0"/>
        <v>1260</v>
      </c>
      <c r="BJ17" s="899"/>
      <c r="BK17" s="899"/>
      <c r="BL17" s="899"/>
      <c r="BM17" s="899"/>
      <c r="BN17" s="899"/>
      <c r="BO17" s="899"/>
      <c r="BP17" s="899"/>
      <c r="BQ17" s="899"/>
      <c r="BR17" s="899"/>
      <c r="BS17" s="899"/>
      <c r="BT17" s="899"/>
      <c r="BU17" s="899"/>
      <c r="BV17" s="899"/>
      <c r="BW17" s="899"/>
      <c r="BX17" s="899"/>
      <c r="BY17" s="899"/>
    </row>
    <row r="18" spans="1:77" ht="24.65" customHeight="1">
      <c r="A18" s="6610"/>
      <c r="B18" s="6611"/>
      <c r="C18" s="6611"/>
      <c r="D18" s="3233"/>
      <c r="E18" s="3234"/>
      <c r="F18" s="956" t="s">
        <v>3694</v>
      </c>
      <c r="G18" s="6174">
        <v>1018</v>
      </c>
      <c r="H18" s="6175" t="s">
        <v>6932</v>
      </c>
      <c r="I18" s="6176"/>
      <c r="J18" s="1092" t="s">
        <v>2138</v>
      </c>
      <c r="K18" s="1092">
        <v>30</v>
      </c>
      <c r="L18" s="6177">
        <v>188</v>
      </c>
      <c r="M18" s="6178"/>
      <c r="N18" s="1085"/>
      <c r="O18" s="1086"/>
      <c r="P18" s="1086"/>
      <c r="Q18" s="1086"/>
      <c r="R18" s="1086"/>
      <c r="S18" s="1086"/>
      <c r="T18" s="1086"/>
      <c r="U18" s="1087"/>
      <c r="V18" s="1087"/>
      <c r="W18" s="1087"/>
      <c r="X18" s="1087"/>
      <c r="Y18" s="1086"/>
      <c r="Z18" s="1086"/>
      <c r="AA18" s="1086"/>
      <c r="AB18" s="1086"/>
      <c r="AC18" s="1088"/>
      <c r="AD18" s="6179">
        <v>403</v>
      </c>
      <c r="AE18" s="1092">
        <v>403</v>
      </c>
      <c r="AF18" s="1085"/>
      <c r="AG18" s="1086"/>
      <c r="AH18" s="1086"/>
      <c r="AI18" s="1086"/>
      <c r="AJ18" s="1086"/>
      <c r="AK18" s="1086"/>
      <c r="AL18" s="1086"/>
      <c r="AM18" s="1087"/>
      <c r="AN18" s="1087"/>
      <c r="AO18" s="1087"/>
      <c r="AP18" s="1087"/>
      <c r="AQ18" s="1086"/>
      <c r="AR18" s="1086"/>
      <c r="AS18" s="1086"/>
      <c r="AT18" s="1086"/>
      <c r="AU18" s="1088"/>
      <c r="AV18" s="6179"/>
      <c r="AW18" s="1092"/>
      <c r="AX18" s="1091"/>
      <c r="AY18" s="1093"/>
      <c r="AZ18" s="1092"/>
      <c r="BA18" s="1093"/>
      <c r="BB18" s="1093"/>
      <c r="BC18" s="1089"/>
      <c r="BD18" s="1093"/>
      <c r="BE18" s="1092"/>
      <c r="BF18" s="1094"/>
      <c r="BG18" s="6180"/>
      <c r="BH18" s="3785"/>
      <c r="BI18" s="899">
        <f t="shared" si="0"/>
        <v>5640</v>
      </c>
      <c r="BJ18" s="899"/>
      <c r="BK18" s="899"/>
      <c r="BL18" s="899"/>
      <c r="BM18" s="899"/>
      <c r="BN18" s="899"/>
      <c r="BO18" s="899"/>
      <c r="BP18" s="899"/>
      <c r="BQ18" s="899"/>
      <c r="BR18" s="899"/>
      <c r="BS18" s="899"/>
      <c r="BT18" s="899"/>
      <c r="BU18" s="899"/>
      <c r="BV18" s="899"/>
      <c r="BW18" s="899"/>
      <c r="BX18" s="899"/>
      <c r="BY18" s="899"/>
    </row>
    <row r="19" spans="1:77" ht="24.65" customHeight="1">
      <c r="A19" s="6610"/>
      <c r="B19" s="6611"/>
      <c r="C19" s="6611"/>
      <c r="D19" s="6077"/>
      <c r="E19" s="6078"/>
      <c r="F19" s="3786" t="s">
        <v>3694</v>
      </c>
      <c r="G19" s="1119">
        <v>26</v>
      </c>
      <c r="H19" s="6161" t="s">
        <v>6933</v>
      </c>
      <c r="I19" s="6158"/>
      <c r="J19" s="2979" t="s">
        <v>2138</v>
      </c>
      <c r="K19" s="2979">
        <v>30</v>
      </c>
      <c r="L19" s="3268">
        <v>133</v>
      </c>
      <c r="M19" s="6159"/>
      <c r="N19" s="2980"/>
      <c r="O19" s="2981"/>
      <c r="P19" s="2981"/>
      <c r="Q19" s="2981"/>
      <c r="R19" s="2981"/>
      <c r="S19" s="2981"/>
      <c r="T19" s="2981"/>
      <c r="U19" s="2982"/>
      <c r="V19" s="2982"/>
      <c r="W19" s="2982"/>
      <c r="X19" s="2982"/>
      <c r="Y19" s="2981"/>
      <c r="Z19" s="2981"/>
      <c r="AA19" s="2981"/>
      <c r="AB19" s="2981"/>
      <c r="AC19" s="2983"/>
      <c r="AD19" s="919">
        <v>285</v>
      </c>
      <c r="AE19" s="2979">
        <v>292</v>
      </c>
      <c r="AF19" s="2980"/>
      <c r="AG19" s="2981"/>
      <c r="AH19" s="2981"/>
      <c r="AI19" s="2981"/>
      <c r="AJ19" s="2981"/>
      <c r="AK19" s="2981"/>
      <c r="AL19" s="2981"/>
      <c r="AM19" s="2982"/>
      <c r="AN19" s="2982"/>
      <c r="AO19" s="2982"/>
      <c r="AP19" s="2982"/>
      <c r="AQ19" s="2981"/>
      <c r="AR19" s="2981"/>
      <c r="AS19" s="2981"/>
      <c r="AT19" s="2981"/>
      <c r="AU19" s="2983"/>
      <c r="AV19" s="919"/>
      <c r="AW19" s="2979"/>
      <c r="AX19" s="1129"/>
      <c r="AY19" s="1055"/>
      <c r="AZ19" s="2979"/>
      <c r="BA19" s="1055"/>
      <c r="BB19" s="1055"/>
      <c r="BC19" s="2985"/>
      <c r="BD19" s="1055"/>
      <c r="BE19" s="2979"/>
      <c r="BF19" s="2986"/>
      <c r="BG19" s="2990"/>
      <c r="BH19" s="3785"/>
      <c r="BI19" s="899">
        <f t="shared" si="0"/>
        <v>3990</v>
      </c>
      <c r="BJ19" s="899"/>
      <c r="BK19" s="899"/>
      <c r="BL19" s="899"/>
      <c r="BM19" s="899"/>
      <c r="BN19" s="899"/>
      <c r="BO19" s="899"/>
      <c r="BP19" s="899"/>
      <c r="BQ19" s="899"/>
      <c r="BR19" s="899"/>
      <c r="BS19" s="899"/>
      <c r="BT19" s="899"/>
      <c r="BU19" s="899"/>
      <c r="BV19" s="899"/>
      <c r="BW19" s="899"/>
      <c r="BX19" s="899"/>
      <c r="BY19" s="899"/>
    </row>
    <row r="20" spans="1:77" ht="24.65" customHeight="1">
      <c r="A20" s="6610"/>
      <c r="B20" s="6611"/>
      <c r="C20" s="6611"/>
      <c r="D20" s="6077"/>
      <c r="E20" s="6078"/>
      <c r="F20" s="3786" t="s">
        <v>3694</v>
      </c>
      <c r="G20" s="1119">
        <v>38</v>
      </c>
      <c r="H20" s="6161" t="s">
        <v>4268</v>
      </c>
      <c r="I20" s="6158"/>
      <c r="J20" s="2979" t="s">
        <v>2138</v>
      </c>
      <c r="K20" s="2979">
        <v>30</v>
      </c>
      <c r="L20" s="3268">
        <v>48</v>
      </c>
      <c r="M20" s="6159"/>
      <c r="N20" s="2980"/>
      <c r="O20" s="2981"/>
      <c r="P20" s="2981"/>
      <c r="Q20" s="2981"/>
      <c r="R20" s="2981"/>
      <c r="S20" s="2981"/>
      <c r="T20" s="2981"/>
      <c r="U20" s="2982"/>
      <c r="V20" s="2982"/>
      <c r="W20" s="2982"/>
      <c r="X20" s="2982"/>
      <c r="Y20" s="2981"/>
      <c r="Z20" s="2981"/>
      <c r="AA20" s="2981"/>
      <c r="AB20" s="2981"/>
      <c r="AC20" s="2983"/>
      <c r="AD20" s="919">
        <v>102</v>
      </c>
      <c r="AE20" s="2979">
        <v>102</v>
      </c>
      <c r="AF20" s="2980"/>
      <c r="AG20" s="2981"/>
      <c r="AH20" s="2981"/>
      <c r="AI20" s="2981"/>
      <c r="AJ20" s="2981"/>
      <c r="AK20" s="2981"/>
      <c r="AL20" s="2981"/>
      <c r="AM20" s="2982"/>
      <c r="AN20" s="2982"/>
      <c r="AO20" s="2982"/>
      <c r="AP20" s="2982"/>
      <c r="AQ20" s="2981"/>
      <c r="AR20" s="2981"/>
      <c r="AS20" s="2981"/>
      <c r="AT20" s="2981"/>
      <c r="AU20" s="2983"/>
      <c r="AV20" s="919"/>
      <c r="AW20" s="2979"/>
      <c r="AX20" s="1129"/>
      <c r="AY20" s="1055"/>
      <c r="AZ20" s="2979"/>
      <c r="BA20" s="1055"/>
      <c r="BB20" s="1055"/>
      <c r="BC20" s="2985"/>
      <c r="BD20" s="1055"/>
      <c r="BE20" s="2979"/>
      <c r="BF20" s="2986"/>
      <c r="BG20" s="2990"/>
      <c r="BH20" s="3785"/>
      <c r="BI20" s="899">
        <f t="shared" si="0"/>
        <v>1440</v>
      </c>
      <c r="BJ20" s="899"/>
      <c r="BK20" s="899"/>
      <c r="BL20" s="899"/>
      <c r="BM20" s="899"/>
      <c r="BN20" s="899"/>
      <c r="BO20" s="899"/>
      <c r="BP20" s="899"/>
      <c r="BQ20" s="899"/>
      <c r="BR20" s="899"/>
      <c r="BS20" s="899"/>
      <c r="BT20" s="899"/>
      <c r="BU20" s="899"/>
      <c r="BV20" s="899"/>
      <c r="BW20" s="899"/>
      <c r="BX20" s="899"/>
      <c r="BY20" s="899"/>
    </row>
    <row r="21" spans="1:77" ht="24.65" customHeight="1">
      <c r="A21" s="6610"/>
      <c r="B21" s="6611"/>
      <c r="C21" s="6611"/>
      <c r="D21" s="6077"/>
      <c r="E21" s="6078"/>
      <c r="F21" s="3786" t="s">
        <v>3694</v>
      </c>
      <c r="G21" s="1119">
        <v>67</v>
      </c>
      <c r="H21" s="6161" t="s">
        <v>3918</v>
      </c>
      <c r="I21" s="6158"/>
      <c r="J21" s="2979" t="s">
        <v>2138</v>
      </c>
      <c r="K21" s="2979">
        <v>30</v>
      </c>
      <c r="L21" s="3268">
        <v>375</v>
      </c>
      <c r="M21" s="6159"/>
      <c r="N21" s="2980"/>
      <c r="O21" s="2981"/>
      <c r="P21" s="2981"/>
      <c r="Q21" s="2981"/>
      <c r="R21" s="2981"/>
      <c r="S21" s="2981"/>
      <c r="T21" s="2981"/>
      <c r="U21" s="2982"/>
      <c r="V21" s="2982"/>
      <c r="W21" s="2982"/>
      <c r="X21" s="2982"/>
      <c r="Y21" s="2981"/>
      <c r="Z21" s="2981"/>
      <c r="AA21" s="2981"/>
      <c r="AB21" s="2981"/>
      <c r="AC21" s="2983"/>
      <c r="AD21" s="919">
        <v>805</v>
      </c>
      <c r="AE21" s="2979">
        <v>806</v>
      </c>
      <c r="AF21" s="2980"/>
      <c r="AG21" s="2981"/>
      <c r="AH21" s="2981"/>
      <c r="AI21" s="2981"/>
      <c r="AJ21" s="2981"/>
      <c r="AK21" s="2981"/>
      <c r="AL21" s="2981"/>
      <c r="AM21" s="2982"/>
      <c r="AN21" s="2982"/>
      <c r="AO21" s="2982"/>
      <c r="AP21" s="2982"/>
      <c r="AQ21" s="2981"/>
      <c r="AR21" s="2981"/>
      <c r="AS21" s="2981"/>
      <c r="AT21" s="2981"/>
      <c r="AU21" s="2983"/>
      <c r="AV21" s="919"/>
      <c r="AW21" s="2979"/>
      <c r="AX21" s="1129"/>
      <c r="AY21" s="1055"/>
      <c r="AZ21" s="2979"/>
      <c r="BA21" s="1055"/>
      <c r="BB21" s="1055"/>
      <c r="BC21" s="2985"/>
      <c r="BD21" s="1055"/>
      <c r="BE21" s="2979"/>
      <c r="BF21" s="2986"/>
      <c r="BG21" s="2990"/>
      <c r="BH21" s="3785"/>
      <c r="BI21" s="899">
        <f t="shared" si="0"/>
        <v>11250</v>
      </c>
      <c r="BJ21" s="899"/>
      <c r="BK21" s="899"/>
      <c r="BL21" s="899"/>
      <c r="BM21" s="899"/>
      <c r="BN21" s="899"/>
      <c r="BO21" s="899"/>
      <c r="BP21" s="899"/>
      <c r="BQ21" s="899"/>
      <c r="BR21" s="899"/>
      <c r="BS21" s="899"/>
      <c r="BT21" s="899"/>
      <c r="BU21" s="899"/>
      <c r="BV21" s="899"/>
      <c r="BW21" s="899"/>
      <c r="BX21" s="899"/>
      <c r="BY21" s="899"/>
    </row>
    <row r="22" spans="1:77" ht="24.65" customHeight="1">
      <c r="A22" s="6610"/>
      <c r="B22" s="6611"/>
      <c r="C22" s="6611"/>
      <c r="D22" s="6077"/>
      <c r="E22" s="6078"/>
      <c r="F22" s="3786" t="s">
        <v>3694</v>
      </c>
      <c r="G22" s="1119">
        <v>84</v>
      </c>
      <c r="H22" s="6161" t="s">
        <v>3681</v>
      </c>
      <c r="I22" s="6158"/>
      <c r="J22" s="2979" t="s">
        <v>2138</v>
      </c>
      <c r="K22" s="2979">
        <v>30</v>
      </c>
      <c r="L22" s="3268">
        <v>83</v>
      </c>
      <c r="M22" s="6159"/>
      <c r="N22" s="2980"/>
      <c r="O22" s="2981"/>
      <c r="P22" s="2981"/>
      <c r="Q22" s="2981"/>
      <c r="R22" s="2981"/>
      <c r="S22" s="2981"/>
      <c r="T22" s="2981"/>
      <c r="U22" s="2982"/>
      <c r="V22" s="2982"/>
      <c r="W22" s="2982"/>
      <c r="X22" s="2982"/>
      <c r="Y22" s="2981"/>
      <c r="Z22" s="2981"/>
      <c r="AA22" s="2981"/>
      <c r="AB22" s="2981"/>
      <c r="AC22" s="2983"/>
      <c r="AD22" s="919">
        <v>178</v>
      </c>
      <c r="AE22" s="2979">
        <v>230</v>
      </c>
      <c r="AF22" s="2980"/>
      <c r="AG22" s="2981"/>
      <c r="AH22" s="2981"/>
      <c r="AI22" s="2981"/>
      <c r="AJ22" s="2981"/>
      <c r="AK22" s="2981"/>
      <c r="AL22" s="2981"/>
      <c r="AM22" s="2982"/>
      <c r="AN22" s="2982"/>
      <c r="AO22" s="2982"/>
      <c r="AP22" s="2982"/>
      <c r="AQ22" s="2981"/>
      <c r="AR22" s="2981"/>
      <c r="AS22" s="2981"/>
      <c r="AT22" s="2981"/>
      <c r="AU22" s="2983"/>
      <c r="AV22" s="919"/>
      <c r="AW22" s="2979"/>
      <c r="AX22" s="1129"/>
      <c r="AY22" s="1055"/>
      <c r="AZ22" s="2979"/>
      <c r="BA22" s="1055"/>
      <c r="BB22" s="1055"/>
      <c r="BC22" s="2985"/>
      <c r="BD22" s="1055"/>
      <c r="BE22" s="2979"/>
      <c r="BF22" s="2986"/>
      <c r="BG22" s="2990"/>
      <c r="BH22" s="3785"/>
      <c r="BI22" s="899">
        <f t="shared" si="0"/>
        <v>2490</v>
      </c>
      <c r="BJ22" s="899"/>
      <c r="BK22" s="899"/>
      <c r="BL22" s="899"/>
      <c r="BM22" s="899"/>
      <c r="BN22" s="899"/>
      <c r="BO22" s="899"/>
      <c r="BP22" s="899"/>
      <c r="BQ22" s="899"/>
      <c r="BR22" s="899"/>
      <c r="BS22" s="899"/>
      <c r="BT22" s="899"/>
      <c r="BU22" s="899"/>
      <c r="BV22" s="899"/>
      <c r="BW22" s="899"/>
      <c r="BX22" s="899"/>
      <c r="BY22" s="899"/>
    </row>
    <row r="23" spans="1:77" ht="24.65" customHeight="1">
      <c r="A23" s="6610"/>
      <c r="B23" s="6611"/>
      <c r="C23" s="6611"/>
      <c r="D23" s="6077"/>
      <c r="E23" s="6078"/>
      <c r="F23" s="3786" t="s">
        <v>3694</v>
      </c>
      <c r="G23" s="1119">
        <v>77</v>
      </c>
      <c r="H23" s="6161" t="s">
        <v>3680</v>
      </c>
      <c r="I23" s="6158"/>
      <c r="J23" s="2979" t="s">
        <v>2138</v>
      </c>
      <c r="K23" s="2979">
        <v>30</v>
      </c>
      <c r="L23" s="3268">
        <v>117</v>
      </c>
      <c r="M23" s="6159"/>
      <c r="N23" s="2980"/>
      <c r="O23" s="2981"/>
      <c r="P23" s="2981"/>
      <c r="Q23" s="2981"/>
      <c r="R23" s="2981"/>
      <c r="S23" s="2981"/>
      <c r="T23" s="2981"/>
      <c r="U23" s="2982"/>
      <c r="V23" s="2982"/>
      <c r="W23" s="2982"/>
      <c r="X23" s="2982"/>
      <c r="Y23" s="2981"/>
      <c r="Z23" s="2981"/>
      <c r="AA23" s="2981"/>
      <c r="AB23" s="2981"/>
      <c r="AC23" s="2983"/>
      <c r="AD23" s="919">
        <v>250</v>
      </c>
      <c r="AE23" s="2979">
        <v>251</v>
      </c>
      <c r="AF23" s="2980"/>
      <c r="AG23" s="2981"/>
      <c r="AH23" s="2981"/>
      <c r="AI23" s="2981"/>
      <c r="AJ23" s="2981"/>
      <c r="AK23" s="2981"/>
      <c r="AL23" s="2981"/>
      <c r="AM23" s="2982"/>
      <c r="AN23" s="2982"/>
      <c r="AO23" s="2982"/>
      <c r="AP23" s="2982"/>
      <c r="AQ23" s="2981"/>
      <c r="AR23" s="2981"/>
      <c r="AS23" s="2981"/>
      <c r="AT23" s="2981"/>
      <c r="AU23" s="2983"/>
      <c r="AV23" s="919"/>
      <c r="AW23" s="2979"/>
      <c r="AX23" s="1129"/>
      <c r="AY23" s="1055"/>
      <c r="AZ23" s="2979"/>
      <c r="BA23" s="1055"/>
      <c r="BB23" s="1055"/>
      <c r="BC23" s="2985"/>
      <c r="BD23" s="1055"/>
      <c r="BE23" s="2979"/>
      <c r="BF23" s="2986"/>
      <c r="BG23" s="2990"/>
      <c r="BH23" s="3785"/>
      <c r="BI23" s="899">
        <f t="shared" si="0"/>
        <v>3510</v>
      </c>
      <c r="BJ23" s="899"/>
      <c r="BK23" s="899"/>
      <c r="BL23" s="899"/>
      <c r="BM23" s="899"/>
      <c r="BN23" s="899"/>
      <c r="BO23" s="899"/>
      <c r="BP23" s="899"/>
      <c r="BQ23" s="899"/>
      <c r="BR23" s="899"/>
      <c r="BS23" s="899"/>
      <c r="BT23" s="899"/>
      <c r="BU23" s="899"/>
      <c r="BV23" s="899"/>
      <c r="BW23" s="899"/>
      <c r="BX23" s="899"/>
      <c r="BY23" s="899"/>
    </row>
    <row r="24" spans="1:77" ht="24.65" customHeight="1">
      <c r="A24" s="6610"/>
      <c r="B24" s="6611"/>
      <c r="C24" s="6611"/>
      <c r="D24" s="6077"/>
      <c r="E24" s="6078"/>
      <c r="F24" s="3786" t="s">
        <v>3694</v>
      </c>
      <c r="G24" s="1119">
        <v>1038</v>
      </c>
      <c r="H24" s="6161" t="s">
        <v>5632</v>
      </c>
      <c r="I24" s="6158"/>
      <c r="J24" s="2979" t="s">
        <v>2138</v>
      </c>
      <c r="K24" s="2979">
        <v>30</v>
      </c>
      <c r="L24" s="3268">
        <v>96</v>
      </c>
      <c r="M24" s="6159"/>
      <c r="N24" s="2980"/>
      <c r="O24" s="2981"/>
      <c r="P24" s="2981"/>
      <c r="Q24" s="2981"/>
      <c r="R24" s="2981"/>
      <c r="S24" s="2981"/>
      <c r="T24" s="2981"/>
      <c r="U24" s="2982"/>
      <c r="V24" s="2982"/>
      <c r="W24" s="2982"/>
      <c r="X24" s="2982"/>
      <c r="Y24" s="2981"/>
      <c r="Z24" s="2981"/>
      <c r="AA24" s="2981"/>
      <c r="AB24" s="2981"/>
      <c r="AC24" s="2983"/>
      <c r="AD24" s="919">
        <v>206</v>
      </c>
      <c r="AE24" s="2979">
        <v>206</v>
      </c>
      <c r="AF24" s="2980"/>
      <c r="AG24" s="2981"/>
      <c r="AH24" s="2981"/>
      <c r="AI24" s="2981"/>
      <c r="AJ24" s="2981"/>
      <c r="AK24" s="2981"/>
      <c r="AL24" s="2981"/>
      <c r="AM24" s="2982"/>
      <c r="AN24" s="2982"/>
      <c r="AO24" s="2982"/>
      <c r="AP24" s="2982"/>
      <c r="AQ24" s="2981"/>
      <c r="AR24" s="2981"/>
      <c r="AS24" s="2981"/>
      <c r="AT24" s="2981"/>
      <c r="AU24" s="2983"/>
      <c r="AV24" s="919"/>
      <c r="AW24" s="2979"/>
      <c r="AX24" s="1129"/>
      <c r="AY24" s="1055"/>
      <c r="AZ24" s="2979"/>
      <c r="BA24" s="1055"/>
      <c r="BB24" s="1055"/>
      <c r="BC24" s="2985"/>
      <c r="BD24" s="1055"/>
      <c r="BE24" s="2979"/>
      <c r="BF24" s="2986"/>
      <c r="BG24" s="2990"/>
      <c r="BH24" s="3785"/>
      <c r="BI24" s="899">
        <f t="shared" si="0"/>
        <v>2880</v>
      </c>
      <c r="BJ24" s="899"/>
      <c r="BK24" s="899"/>
      <c r="BL24" s="899"/>
      <c r="BM24" s="899"/>
      <c r="BN24" s="899"/>
      <c r="BO24" s="899"/>
      <c r="BP24" s="899"/>
      <c r="BQ24" s="899"/>
      <c r="BR24" s="899"/>
      <c r="BS24" s="899"/>
      <c r="BT24" s="899"/>
      <c r="BU24" s="899"/>
      <c r="BV24" s="899"/>
      <c r="BW24" s="899"/>
      <c r="BX24" s="899"/>
      <c r="BY24" s="899"/>
    </row>
    <row r="25" spans="1:77" ht="24.65" customHeight="1">
      <c r="A25" s="6610"/>
      <c r="B25" s="6611"/>
      <c r="C25" s="6611"/>
      <c r="D25" s="6077"/>
      <c r="E25" s="6078"/>
      <c r="F25" s="3786" t="s">
        <v>3694</v>
      </c>
      <c r="G25" s="1119">
        <v>1016</v>
      </c>
      <c r="H25" s="6161" t="s">
        <v>5620</v>
      </c>
      <c r="I25" s="6158"/>
      <c r="J25" s="2979" t="s">
        <v>2138</v>
      </c>
      <c r="K25" s="2979">
        <v>30</v>
      </c>
      <c r="L25" s="3268">
        <v>69</v>
      </c>
      <c r="M25" s="6159"/>
      <c r="N25" s="2980"/>
      <c r="O25" s="2981"/>
      <c r="P25" s="2981"/>
      <c r="Q25" s="2981"/>
      <c r="R25" s="2981"/>
      <c r="S25" s="2981"/>
      <c r="T25" s="2981"/>
      <c r="U25" s="2982"/>
      <c r="V25" s="2982"/>
      <c r="W25" s="2982"/>
      <c r="X25" s="2982"/>
      <c r="Y25" s="2981"/>
      <c r="Z25" s="2981"/>
      <c r="AA25" s="2981"/>
      <c r="AB25" s="2981"/>
      <c r="AC25" s="2983"/>
      <c r="AD25" s="919">
        <v>147</v>
      </c>
      <c r="AE25" s="2979">
        <v>159</v>
      </c>
      <c r="AF25" s="2980"/>
      <c r="AG25" s="2981"/>
      <c r="AH25" s="2981"/>
      <c r="AI25" s="2981"/>
      <c r="AJ25" s="2981"/>
      <c r="AK25" s="2981"/>
      <c r="AL25" s="2981"/>
      <c r="AM25" s="2982"/>
      <c r="AN25" s="2982"/>
      <c r="AO25" s="2982"/>
      <c r="AP25" s="2982"/>
      <c r="AQ25" s="2981"/>
      <c r="AR25" s="2981"/>
      <c r="AS25" s="2981"/>
      <c r="AT25" s="2981"/>
      <c r="AU25" s="2983"/>
      <c r="AV25" s="919"/>
      <c r="AW25" s="2979"/>
      <c r="AX25" s="1129"/>
      <c r="AY25" s="1055"/>
      <c r="AZ25" s="2979"/>
      <c r="BA25" s="1055"/>
      <c r="BB25" s="1055"/>
      <c r="BC25" s="2985"/>
      <c r="BD25" s="1055"/>
      <c r="BE25" s="2979"/>
      <c r="BF25" s="2986"/>
      <c r="BG25" s="2990"/>
      <c r="BH25" s="3785"/>
      <c r="BI25" s="899">
        <f t="shared" si="0"/>
        <v>2070</v>
      </c>
      <c r="BJ25" s="899"/>
      <c r="BK25" s="899"/>
      <c r="BL25" s="899"/>
      <c r="BM25" s="899"/>
      <c r="BN25" s="899"/>
      <c r="BO25" s="899"/>
      <c r="BP25" s="899"/>
      <c r="BQ25" s="899"/>
      <c r="BR25" s="899"/>
      <c r="BS25" s="899"/>
      <c r="BT25" s="899"/>
      <c r="BU25" s="899"/>
      <c r="BV25" s="899"/>
      <c r="BW25" s="899"/>
      <c r="BX25" s="899"/>
      <c r="BY25" s="899"/>
    </row>
    <row r="26" spans="1:77" ht="24.65" customHeight="1">
      <c r="A26" s="6610"/>
      <c r="B26" s="6611"/>
      <c r="C26" s="6611"/>
      <c r="D26" s="6077"/>
      <c r="E26" s="6078"/>
      <c r="F26" s="3786" t="s">
        <v>3694</v>
      </c>
      <c r="G26" s="1119">
        <v>65</v>
      </c>
      <c r="H26" s="6161" t="s">
        <v>6968</v>
      </c>
      <c r="I26" s="6158"/>
      <c r="J26" s="2979" t="s">
        <v>2138</v>
      </c>
      <c r="K26" s="2979">
        <v>30</v>
      </c>
      <c r="L26" s="3268">
        <v>77</v>
      </c>
      <c r="M26" s="6159"/>
      <c r="N26" s="2980"/>
      <c r="O26" s="2981"/>
      <c r="P26" s="2981"/>
      <c r="Q26" s="2981"/>
      <c r="R26" s="2981"/>
      <c r="S26" s="2981"/>
      <c r="T26" s="2981"/>
      <c r="U26" s="2982"/>
      <c r="V26" s="2982"/>
      <c r="W26" s="2982"/>
      <c r="X26" s="2982"/>
      <c r="Y26" s="2981"/>
      <c r="Z26" s="2981"/>
      <c r="AA26" s="2981"/>
      <c r="AB26" s="2981"/>
      <c r="AC26" s="2983"/>
      <c r="AD26" s="919">
        <v>166</v>
      </c>
      <c r="AE26" s="2979">
        <v>191</v>
      </c>
      <c r="AF26" s="2980"/>
      <c r="AG26" s="2981"/>
      <c r="AH26" s="2981"/>
      <c r="AI26" s="2981"/>
      <c r="AJ26" s="2981"/>
      <c r="AK26" s="2981"/>
      <c r="AL26" s="2981"/>
      <c r="AM26" s="2982"/>
      <c r="AN26" s="2982"/>
      <c r="AO26" s="2982"/>
      <c r="AP26" s="2982"/>
      <c r="AQ26" s="2981"/>
      <c r="AR26" s="2981"/>
      <c r="AS26" s="2981"/>
      <c r="AT26" s="2981"/>
      <c r="AU26" s="2983"/>
      <c r="AV26" s="919"/>
      <c r="AW26" s="2979"/>
      <c r="AX26" s="1129"/>
      <c r="AY26" s="1055"/>
      <c r="AZ26" s="2979"/>
      <c r="BA26" s="1055"/>
      <c r="BB26" s="1055"/>
      <c r="BC26" s="2985"/>
      <c r="BD26" s="1055"/>
      <c r="BE26" s="2979"/>
      <c r="BF26" s="2986"/>
      <c r="BG26" s="2990" t="s">
        <v>6935</v>
      </c>
      <c r="BH26" s="3785"/>
      <c r="BI26" s="899">
        <f t="shared" si="0"/>
        <v>2310</v>
      </c>
      <c r="BJ26" s="899"/>
      <c r="BK26" s="899"/>
      <c r="BL26" s="899"/>
      <c r="BM26" s="899"/>
      <c r="BN26" s="899"/>
      <c r="BO26" s="899"/>
      <c r="BP26" s="899"/>
      <c r="BQ26" s="899"/>
      <c r="BR26" s="899"/>
      <c r="BS26" s="899"/>
      <c r="BT26" s="899"/>
      <c r="BU26" s="899"/>
      <c r="BV26" s="899"/>
      <c r="BW26" s="899"/>
      <c r="BX26" s="899"/>
      <c r="BY26" s="899"/>
    </row>
    <row r="27" spans="1:77" ht="24.65" customHeight="1">
      <c r="A27" s="6610"/>
      <c r="B27" s="6611"/>
      <c r="C27" s="6611"/>
      <c r="D27" s="6077"/>
      <c r="E27" s="6078"/>
      <c r="F27" s="3786" t="s">
        <v>3694</v>
      </c>
      <c r="G27" s="1119">
        <v>73</v>
      </c>
      <c r="H27" s="6161" t="s">
        <v>6969</v>
      </c>
      <c r="I27" s="6158"/>
      <c r="J27" s="2979" t="s">
        <v>2138</v>
      </c>
      <c r="K27" s="2979">
        <v>30</v>
      </c>
      <c r="L27" s="3268">
        <v>45</v>
      </c>
      <c r="M27" s="6159"/>
      <c r="N27" s="2980"/>
      <c r="O27" s="2981"/>
      <c r="P27" s="2981"/>
      <c r="Q27" s="2981"/>
      <c r="R27" s="2981"/>
      <c r="S27" s="2981"/>
      <c r="T27" s="2981"/>
      <c r="U27" s="2982"/>
      <c r="V27" s="2982"/>
      <c r="W27" s="2982"/>
      <c r="X27" s="2982"/>
      <c r="Y27" s="2981"/>
      <c r="Z27" s="2981"/>
      <c r="AA27" s="2981"/>
      <c r="AB27" s="2981"/>
      <c r="AC27" s="2983"/>
      <c r="AD27" s="919">
        <v>96</v>
      </c>
      <c r="AE27" s="2979">
        <v>84</v>
      </c>
      <c r="AF27" s="2980"/>
      <c r="AG27" s="2981"/>
      <c r="AH27" s="2981"/>
      <c r="AI27" s="2981"/>
      <c r="AJ27" s="2981"/>
      <c r="AK27" s="2981"/>
      <c r="AL27" s="2981"/>
      <c r="AM27" s="2982"/>
      <c r="AN27" s="2982"/>
      <c r="AO27" s="2982"/>
      <c r="AP27" s="2982"/>
      <c r="AQ27" s="2981"/>
      <c r="AR27" s="2981"/>
      <c r="AS27" s="2981"/>
      <c r="AT27" s="2981"/>
      <c r="AU27" s="2983"/>
      <c r="AV27" s="919"/>
      <c r="AW27" s="2979"/>
      <c r="AX27" s="1129"/>
      <c r="AY27" s="1055"/>
      <c r="AZ27" s="2979"/>
      <c r="BA27" s="1055"/>
      <c r="BB27" s="1055"/>
      <c r="BC27" s="2985"/>
      <c r="BD27" s="1055"/>
      <c r="BE27" s="2979"/>
      <c r="BF27" s="2986"/>
      <c r="BG27" s="2990"/>
      <c r="BH27" s="3785"/>
      <c r="BI27" s="899">
        <f t="shared" si="0"/>
        <v>1350</v>
      </c>
      <c r="BJ27" s="899"/>
      <c r="BK27" s="899"/>
      <c r="BL27" s="899"/>
      <c r="BM27" s="899"/>
      <c r="BN27" s="899"/>
      <c r="BO27" s="899"/>
      <c r="BP27" s="899"/>
      <c r="BQ27" s="899"/>
      <c r="BR27" s="899"/>
      <c r="BS27" s="899"/>
      <c r="BT27" s="899"/>
      <c r="BU27" s="899"/>
      <c r="BV27" s="899"/>
      <c r="BW27" s="899"/>
      <c r="BX27" s="899"/>
      <c r="BY27" s="899"/>
    </row>
    <row r="28" spans="1:77" ht="24.65" customHeight="1">
      <c r="A28" s="6610"/>
      <c r="B28" s="6611"/>
      <c r="C28" s="6611"/>
      <c r="D28" s="6077"/>
      <c r="E28" s="6078"/>
      <c r="F28" s="3786" t="s">
        <v>3694</v>
      </c>
      <c r="G28" s="1119">
        <v>186</v>
      </c>
      <c r="H28" s="6161" t="s">
        <v>6970</v>
      </c>
      <c r="I28" s="6158"/>
      <c r="J28" s="2979" t="s">
        <v>2138</v>
      </c>
      <c r="K28" s="2979">
        <v>30</v>
      </c>
      <c r="L28" s="3268">
        <v>96</v>
      </c>
      <c r="M28" s="6159"/>
      <c r="N28" s="2980"/>
      <c r="O28" s="2981"/>
      <c r="P28" s="2981"/>
      <c r="Q28" s="2981"/>
      <c r="R28" s="2981"/>
      <c r="S28" s="2981"/>
      <c r="T28" s="2981"/>
      <c r="U28" s="2982"/>
      <c r="V28" s="2982"/>
      <c r="W28" s="2982"/>
      <c r="X28" s="2982"/>
      <c r="Y28" s="2981"/>
      <c r="Z28" s="2981"/>
      <c r="AA28" s="2981"/>
      <c r="AB28" s="2981"/>
      <c r="AC28" s="2983"/>
      <c r="AD28" s="919">
        <v>205</v>
      </c>
      <c r="AE28" s="2979">
        <v>205</v>
      </c>
      <c r="AF28" s="2980"/>
      <c r="AG28" s="2981"/>
      <c r="AH28" s="2981"/>
      <c r="AI28" s="2981"/>
      <c r="AJ28" s="2981"/>
      <c r="AK28" s="2981"/>
      <c r="AL28" s="2981"/>
      <c r="AM28" s="2982"/>
      <c r="AN28" s="2982"/>
      <c r="AO28" s="2982"/>
      <c r="AP28" s="2982"/>
      <c r="AQ28" s="2981"/>
      <c r="AR28" s="2981"/>
      <c r="AS28" s="2981"/>
      <c r="AT28" s="2981"/>
      <c r="AU28" s="2983"/>
      <c r="AV28" s="919"/>
      <c r="AW28" s="2979"/>
      <c r="AX28" s="1129"/>
      <c r="AY28" s="1055"/>
      <c r="AZ28" s="2979"/>
      <c r="BA28" s="1055"/>
      <c r="BB28" s="1055"/>
      <c r="BC28" s="2985"/>
      <c r="BD28" s="1055"/>
      <c r="BE28" s="2979"/>
      <c r="BF28" s="2986"/>
      <c r="BG28" s="2990"/>
      <c r="BH28" s="3785"/>
      <c r="BI28" s="899">
        <f t="shared" si="0"/>
        <v>2880</v>
      </c>
      <c r="BJ28" s="899"/>
      <c r="BK28" s="899"/>
      <c r="BL28" s="899"/>
      <c r="BM28" s="899"/>
      <c r="BN28" s="899"/>
      <c r="BO28" s="899"/>
      <c r="BP28" s="899"/>
      <c r="BQ28" s="899"/>
      <c r="BR28" s="899"/>
      <c r="BS28" s="899"/>
      <c r="BT28" s="899"/>
      <c r="BU28" s="899"/>
      <c r="BV28" s="899"/>
      <c r="BW28" s="899"/>
      <c r="BX28" s="899"/>
      <c r="BY28" s="899"/>
    </row>
    <row r="29" spans="1:77" ht="24.65" customHeight="1">
      <c r="A29" s="6610"/>
      <c r="B29" s="6611"/>
      <c r="C29" s="6611"/>
      <c r="D29" s="6077"/>
      <c r="E29" s="6078"/>
      <c r="F29" s="3786" t="s">
        <v>3694</v>
      </c>
      <c r="G29" s="1119">
        <v>83</v>
      </c>
      <c r="H29" s="6161" t="s">
        <v>4271</v>
      </c>
      <c r="I29" s="6158"/>
      <c r="J29" s="2979" t="s">
        <v>2138</v>
      </c>
      <c r="K29" s="2979">
        <v>30</v>
      </c>
      <c r="L29" s="3268">
        <v>111</v>
      </c>
      <c r="M29" s="6159"/>
      <c r="N29" s="2980"/>
      <c r="O29" s="2981"/>
      <c r="P29" s="2981"/>
      <c r="Q29" s="2981"/>
      <c r="R29" s="2981"/>
      <c r="S29" s="2981"/>
      <c r="T29" s="2981"/>
      <c r="U29" s="2982"/>
      <c r="V29" s="2982"/>
      <c r="W29" s="2982"/>
      <c r="X29" s="2982"/>
      <c r="Y29" s="2981"/>
      <c r="Z29" s="2981"/>
      <c r="AA29" s="2981"/>
      <c r="AB29" s="2981"/>
      <c r="AC29" s="2983"/>
      <c r="AD29" s="919">
        <v>237</v>
      </c>
      <c r="AE29" s="2979">
        <v>237</v>
      </c>
      <c r="AF29" s="2980"/>
      <c r="AG29" s="2981"/>
      <c r="AH29" s="2981"/>
      <c r="AI29" s="2981"/>
      <c r="AJ29" s="2981"/>
      <c r="AK29" s="2981"/>
      <c r="AL29" s="2981"/>
      <c r="AM29" s="2982"/>
      <c r="AN29" s="2982"/>
      <c r="AO29" s="2982"/>
      <c r="AP29" s="2982"/>
      <c r="AQ29" s="2981"/>
      <c r="AR29" s="2981"/>
      <c r="AS29" s="2981"/>
      <c r="AT29" s="2981"/>
      <c r="AU29" s="2983"/>
      <c r="AV29" s="919"/>
      <c r="AW29" s="2979"/>
      <c r="AX29" s="1129"/>
      <c r="AY29" s="1055"/>
      <c r="AZ29" s="2979"/>
      <c r="BA29" s="1055"/>
      <c r="BB29" s="1055"/>
      <c r="BC29" s="2985"/>
      <c r="BD29" s="1055"/>
      <c r="BE29" s="2979"/>
      <c r="BF29" s="2986"/>
      <c r="BG29" s="2990"/>
      <c r="BH29" s="3785"/>
      <c r="BI29" s="899">
        <f t="shared" si="0"/>
        <v>3330</v>
      </c>
      <c r="BJ29" s="899"/>
      <c r="BK29" s="899"/>
      <c r="BL29" s="899"/>
      <c r="BM29" s="899"/>
      <c r="BN29" s="899"/>
      <c r="BO29" s="899"/>
      <c r="BP29" s="899"/>
      <c r="BQ29" s="899"/>
      <c r="BR29" s="899"/>
      <c r="BS29" s="899"/>
      <c r="BT29" s="899"/>
      <c r="BU29" s="899"/>
      <c r="BV29" s="899"/>
      <c r="BW29" s="899"/>
      <c r="BX29" s="899"/>
      <c r="BY29" s="899"/>
    </row>
    <row r="30" spans="1:77" ht="24.65" customHeight="1">
      <c r="A30" s="6610"/>
      <c r="B30" s="6611"/>
      <c r="C30" s="6611"/>
      <c r="D30" s="6077"/>
      <c r="E30" s="6078"/>
      <c r="F30" s="3786" t="s">
        <v>3694</v>
      </c>
      <c r="G30" s="1119">
        <v>27</v>
      </c>
      <c r="H30" s="6161" t="s">
        <v>6971</v>
      </c>
      <c r="I30" s="6158"/>
      <c r="J30" s="2979" t="s">
        <v>2138</v>
      </c>
      <c r="K30" s="2979">
        <v>30</v>
      </c>
      <c r="L30" s="3268">
        <v>44</v>
      </c>
      <c r="M30" s="6159"/>
      <c r="N30" s="2980"/>
      <c r="O30" s="2981"/>
      <c r="P30" s="2981"/>
      <c r="Q30" s="2981"/>
      <c r="R30" s="2981"/>
      <c r="S30" s="2981"/>
      <c r="T30" s="2981"/>
      <c r="U30" s="2982"/>
      <c r="V30" s="2982"/>
      <c r="W30" s="2982"/>
      <c r="X30" s="2982"/>
      <c r="Y30" s="2981"/>
      <c r="Z30" s="2981"/>
      <c r="AA30" s="2981"/>
      <c r="AB30" s="2981"/>
      <c r="AC30" s="2983"/>
      <c r="AD30" s="919">
        <v>94</v>
      </c>
      <c r="AE30" s="2979">
        <v>94</v>
      </c>
      <c r="AF30" s="2980"/>
      <c r="AG30" s="2981"/>
      <c r="AH30" s="2981"/>
      <c r="AI30" s="2981"/>
      <c r="AJ30" s="2981"/>
      <c r="AK30" s="2981"/>
      <c r="AL30" s="2981"/>
      <c r="AM30" s="2982"/>
      <c r="AN30" s="2982"/>
      <c r="AO30" s="2982"/>
      <c r="AP30" s="2982"/>
      <c r="AQ30" s="2981"/>
      <c r="AR30" s="2981"/>
      <c r="AS30" s="2981"/>
      <c r="AT30" s="2981"/>
      <c r="AU30" s="2983"/>
      <c r="AV30" s="919"/>
      <c r="AW30" s="2979"/>
      <c r="AX30" s="1129"/>
      <c r="AY30" s="1055"/>
      <c r="AZ30" s="2979"/>
      <c r="BA30" s="1055"/>
      <c r="BB30" s="1055"/>
      <c r="BC30" s="2985"/>
      <c r="BD30" s="1055"/>
      <c r="BE30" s="2979"/>
      <c r="BF30" s="2986"/>
      <c r="BG30" s="2990"/>
      <c r="BH30" s="3785"/>
      <c r="BI30" s="899">
        <f t="shared" si="0"/>
        <v>1320</v>
      </c>
      <c r="BJ30" s="899"/>
      <c r="BK30" s="899"/>
      <c r="BL30" s="899"/>
      <c r="BM30" s="899"/>
      <c r="BN30" s="899"/>
      <c r="BO30" s="899"/>
      <c r="BP30" s="899"/>
      <c r="BQ30" s="899"/>
      <c r="BR30" s="899"/>
      <c r="BS30" s="899"/>
      <c r="BT30" s="899"/>
      <c r="BU30" s="899"/>
      <c r="BV30" s="899"/>
      <c r="BW30" s="899"/>
      <c r="BX30" s="899"/>
      <c r="BY30" s="899"/>
    </row>
    <row r="31" spans="1:77" ht="24.65" customHeight="1">
      <c r="A31" s="6610"/>
      <c r="B31" s="6611"/>
      <c r="C31" s="6611"/>
      <c r="D31" s="6077"/>
      <c r="E31" s="6078"/>
      <c r="F31" s="3786" t="s">
        <v>3694</v>
      </c>
      <c r="G31" s="1119">
        <v>63</v>
      </c>
      <c r="H31" s="6161" t="s">
        <v>6972</v>
      </c>
      <c r="I31" s="6158"/>
      <c r="J31" s="2979" t="s">
        <v>2138</v>
      </c>
      <c r="K31" s="2979">
        <v>30</v>
      </c>
      <c r="L31" s="3268">
        <v>26</v>
      </c>
      <c r="M31" s="6159"/>
      <c r="N31" s="2980"/>
      <c r="O31" s="2981"/>
      <c r="P31" s="2981"/>
      <c r="Q31" s="2981"/>
      <c r="R31" s="2981"/>
      <c r="S31" s="2981"/>
      <c r="T31" s="2981"/>
      <c r="U31" s="2982"/>
      <c r="V31" s="2982"/>
      <c r="W31" s="2982"/>
      <c r="X31" s="2982"/>
      <c r="Y31" s="2981"/>
      <c r="Z31" s="2981"/>
      <c r="AA31" s="2981"/>
      <c r="AB31" s="2981"/>
      <c r="AC31" s="2983"/>
      <c r="AD31" s="919">
        <v>56</v>
      </c>
      <c r="AE31" s="2979">
        <v>56</v>
      </c>
      <c r="AF31" s="2980"/>
      <c r="AG31" s="2981"/>
      <c r="AH31" s="2981"/>
      <c r="AI31" s="2981"/>
      <c r="AJ31" s="2981"/>
      <c r="AK31" s="2981"/>
      <c r="AL31" s="2981"/>
      <c r="AM31" s="2982"/>
      <c r="AN31" s="2982"/>
      <c r="AO31" s="2982"/>
      <c r="AP31" s="2982"/>
      <c r="AQ31" s="2981"/>
      <c r="AR31" s="2981"/>
      <c r="AS31" s="2981"/>
      <c r="AT31" s="2981"/>
      <c r="AU31" s="2983"/>
      <c r="AV31" s="919"/>
      <c r="AW31" s="2979"/>
      <c r="AX31" s="1129"/>
      <c r="AY31" s="1055"/>
      <c r="AZ31" s="2979"/>
      <c r="BA31" s="1055"/>
      <c r="BB31" s="1055"/>
      <c r="BC31" s="2985"/>
      <c r="BD31" s="1055"/>
      <c r="BE31" s="2979"/>
      <c r="BF31" s="2986"/>
      <c r="BG31" s="2990"/>
      <c r="BH31" s="3785"/>
      <c r="BI31" s="899">
        <f t="shared" si="0"/>
        <v>780</v>
      </c>
      <c r="BJ31" s="899"/>
      <c r="BK31" s="899"/>
      <c r="BL31" s="899"/>
      <c r="BM31" s="899"/>
      <c r="BN31" s="899"/>
      <c r="BO31" s="899"/>
      <c r="BP31" s="899"/>
      <c r="BQ31" s="899"/>
      <c r="BR31" s="899"/>
      <c r="BS31" s="899"/>
      <c r="BT31" s="899"/>
      <c r="BU31" s="899"/>
      <c r="BV31" s="899"/>
      <c r="BW31" s="899"/>
      <c r="BX31" s="899"/>
      <c r="BY31" s="899"/>
    </row>
    <row r="32" spans="1:77" ht="25.5" hidden="1" customHeight="1">
      <c r="A32" s="6610"/>
      <c r="B32" s="6611"/>
      <c r="C32" s="6611"/>
      <c r="D32" s="6076"/>
      <c r="E32" s="6074"/>
      <c r="F32" s="6138"/>
      <c r="G32" s="6162"/>
      <c r="H32" s="6142"/>
      <c r="I32" s="6075"/>
      <c r="J32" s="995"/>
      <c r="K32" s="2979">
        <v>30</v>
      </c>
      <c r="L32" s="3268"/>
      <c r="M32" s="3268"/>
      <c r="N32" s="996" t="s">
        <v>3728</v>
      </c>
      <c r="O32" s="997" t="s">
        <v>3720</v>
      </c>
      <c r="P32" s="997" t="s">
        <v>3754</v>
      </c>
      <c r="Q32" s="997" t="s">
        <v>3755</v>
      </c>
      <c r="R32" s="997" t="s">
        <v>3756</v>
      </c>
      <c r="S32" s="997" t="s">
        <v>2602</v>
      </c>
      <c r="T32" s="997" t="s">
        <v>2602</v>
      </c>
      <c r="U32" s="998" t="s">
        <v>2602</v>
      </c>
      <c r="V32" s="998" t="s">
        <v>2602</v>
      </c>
      <c r="W32" s="998" t="s">
        <v>2602</v>
      </c>
      <c r="X32" s="998" t="s">
        <v>2602</v>
      </c>
      <c r="Y32" s="997" t="s">
        <v>2602</v>
      </c>
      <c r="Z32" s="997" t="s">
        <v>2602</v>
      </c>
      <c r="AA32" s="997" t="s">
        <v>2602</v>
      </c>
      <c r="AB32" s="997" t="s">
        <v>2636</v>
      </c>
      <c r="AC32" s="999" t="s">
        <v>2602</v>
      </c>
      <c r="AD32" s="994"/>
      <c r="AE32" s="995"/>
      <c r="AF32" s="996"/>
      <c r="AG32" s="997"/>
      <c r="AH32" s="997"/>
      <c r="AI32" s="997"/>
      <c r="AJ32" s="997"/>
      <c r="AK32" s="997"/>
      <c r="AL32" s="997"/>
      <c r="AM32" s="998"/>
      <c r="AN32" s="998"/>
      <c r="AO32" s="998"/>
      <c r="AP32" s="998"/>
      <c r="AQ32" s="997"/>
      <c r="AR32" s="997"/>
      <c r="AS32" s="997"/>
      <c r="AT32" s="997"/>
      <c r="AU32" s="999"/>
      <c r="AV32" s="994"/>
      <c r="AW32" s="995"/>
      <c r="AX32" s="1000"/>
      <c r="AY32" s="1001"/>
      <c r="AZ32" s="995"/>
      <c r="BA32" s="1001"/>
      <c r="BB32" s="1001"/>
      <c r="BC32" s="1002"/>
      <c r="BD32" s="1001"/>
      <c r="BE32" s="995"/>
      <c r="BF32" s="1003"/>
      <c r="BG32" s="6163"/>
      <c r="BH32" s="899"/>
      <c r="BI32" s="899">
        <f t="shared" si="0"/>
        <v>0</v>
      </c>
      <c r="BJ32" s="899"/>
      <c r="BK32" s="899"/>
      <c r="BL32" s="899"/>
      <c r="BM32" s="899"/>
      <c r="BN32" s="899"/>
      <c r="BO32" s="899"/>
      <c r="BP32" s="899"/>
      <c r="BQ32" s="899"/>
      <c r="BR32" s="899"/>
      <c r="BS32" s="899"/>
      <c r="BT32" s="899"/>
      <c r="BU32" s="899"/>
      <c r="BV32" s="899"/>
      <c r="BW32" s="899"/>
      <c r="BX32" s="899"/>
      <c r="BY32" s="899"/>
    </row>
    <row r="33" spans="1:77" ht="25.5" customHeight="1">
      <c r="A33" s="6610"/>
      <c r="B33" s="6611"/>
      <c r="C33" s="6611"/>
      <c r="D33" s="6076" t="s">
        <v>3752</v>
      </c>
      <c r="E33" s="6074">
        <v>150</v>
      </c>
      <c r="F33" s="6138" t="s">
        <v>3694</v>
      </c>
      <c r="G33" s="6162">
        <v>3039</v>
      </c>
      <c r="H33" s="6182" t="s">
        <v>6923</v>
      </c>
      <c r="I33" s="6616">
        <f>COUNTA(H33:H36)</f>
        <v>4</v>
      </c>
      <c r="J33" s="6183" t="s">
        <v>6924</v>
      </c>
      <c r="K33" s="6184">
        <v>30</v>
      </c>
      <c r="L33" s="6185">
        <v>50</v>
      </c>
      <c r="M33" s="6137">
        <f>SUM(L33:L36)</f>
        <v>150</v>
      </c>
      <c r="N33" s="1101"/>
      <c r="O33" s="1102"/>
      <c r="P33" s="1102"/>
      <c r="Q33" s="1102"/>
      <c r="R33" s="1102"/>
      <c r="S33" s="1102"/>
      <c r="T33" s="1102"/>
      <c r="U33" s="1103"/>
      <c r="V33" s="1103"/>
      <c r="W33" s="1103"/>
      <c r="X33" s="1103"/>
      <c r="Y33" s="1102"/>
      <c r="Z33" s="1102"/>
      <c r="AA33" s="1102"/>
      <c r="AB33" s="1102"/>
      <c r="AC33" s="1104"/>
      <c r="AD33" s="6186">
        <v>160</v>
      </c>
      <c r="AE33" s="6187">
        <v>214</v>
      </c>
      <c r="AF33" s="1101"/>
      <c r="AG33" s="1102"/>
      <c r="AH33" s="1102"/>
      <c r="AI33" s="1102"/>
      <c r="AJ33" s="1102"/>
      <c r="AK33" s="1102"/>
      <c r="AL33" s="1102"/>
      <c r="AM33" s="1103"/>
      <c r="AN33" s="1103"/>
      <c r="AO33" s="1103"/>
      <c r="AP33" s="1103"/>
      <c r="AQ33" s="1102"/>
      <c r="AR33" s="1102"/>
      <c r="AS33" s="1102"/>
      <c r="AT33" s="1102"/>
      <c r="AU33" s="1104"/>
      <c r="AV33" s="994"/>
      <c r="AW33" s="995"/>
      <c r="AX33" s="1000"/>
      <c r="AY33" s="1001"/>
      <c r="AZ33" s="995"/>
      <c r="BA33" s="1001"/>
      <c r="BB33" s="1001"/>
      <c r="BC33" s="1002"/>
      <c r="BD33" s="1001"/>
      <c r="BE33" s="995"/>
      <c r="BF33" s="1003"/>
      <c r="BG33" s="6163"/>
      <c r="BH33" s="899"/>
      <c r="BI33" s="899">
        <f t="shared" si="0"/>
        <v>1500</v>
      </c>
      <c r="BJ33" s="899"/>
      <c r="BK33" s="899"/>
      <c r="BL33" s="899"/>
      <c r="BM33" s="899"/>
      <c r="BN33" s="899"/>
      <c r="BO33" s="899"/>
      <c r="BP33" s="899"/>
      <c r="BQ33" s="899"/>
      <c r="BR33" s="899"/>
      <c r="BS33" s="899"/>
      <c r="BT33" s="899"/>
      <c r="BU33" s="899"/>
      <c r="BV33" s="899"/>
      <c r="BW33" s="899"/>
      <c r="BX33" s="899"/>
      <c r="BY33" s="899"/>
    </row>
    <row r="34" spans="1:77" ht="25.5" customHeight="1">
      <c r="A34" s="6610"/>
      <c r="B34" s="6611"/>
      <c r="C34" s="6611"/>
      <c r="D34" s="6077"/>
      <c r="E34" s="6078"/>
      <c r="F34" s="6139" t="s">
        <v>3694</v>
      </c>
      <c r="G34" s="6140">
        <v>3040</v>
      </c>
      <c r="H34" s="6141" t="s">
        <v>6925</v>
      </c>
      <c r="I34" s="6617"/>
      <c r="J34" s="6130" t="s">
        <v>6924</v>
      </c>
      <c r="K34" s="6155">
        <v>30</v>
      </c>
      <c r="L34" s="6131">
        <v>30</v>
      </c>
      <c r="M34" s="3268"/>
      <c r="N34" s="959"/>
      <c r="O34" s="960"/>
      <c r="P34" s="960"/>
      <c r="Q34" s="960"/>
      <c r="R34" s="960"/>
      <c r="S34" s="960"/>
      <c r="T34" s="960"/>
      <c r="U34" s="961"/>
      <c r="V34" s="961"/>
      <c r="W34" s="961"/>
      <c r="X34" s="961"/>
      <c r="Y34" s="960"/>
      <c r="Z34" s="960"/>
      <c r="AA34" s="960"/>
      <c r="AB34" s="960"/>
      <c r="AC34" s="962"/>
      <c r="AD34" s="6129">
        <v>60</v>
      </c>
      <c r="AE34" s="6128">
        <v>75</v>
      </c>
      <c r="AF34" s="959"/>
      <c r="AG34" s="960"/>
      <c r="AH34" s="960"/>
      <c r="AI34" s="960"/>
      <c r="AJ34" s="960"/>
      <c r="AK34" s="960"/>
      <c r="AL34" s="960"/>
      <c r="AM34" s="961"/>
      <c r="AN34" s="961"/>
      <c r="AO34" s="961"/>
      <c r="AP34" s="961"/>
      <c r="AQ34" s="960"/>
      <c r="AR34" s="960"/>
      <c r="AS34" s="960"/>
      <c r="AT34" s="960"/>
      <c r="AU34" s="962"/>
      <c r="AV34" s="6152"/>
      <c r="AW34" s="3219"/>
      <c r="AX34" s="6153"/>
      <c r="AY34" s="3056"/>
      <c r="AZ34" s="3219"/>
      <c r="BA34" s="3056"/>
      <c r="BB34" s="3056"/>
      <c r="BC34" s="3217"/>
      <c r="BD34" s="3056"/>
      <c r="BE34" s="3219"/>
      <c r="BF34" s="3220"/>
      <c r="BG34" s="6154"/>
      <c r="BH34" s="899"/>
      <c r="BI34" s="899">
        <f t="shared" si="0"/>
        <v>900</v>
      </c>
      <c r="BJ34" s="899"/>
      <c r="BK34" s="899"/>
      <c r="BL34" s="899"/>
      <c r="BM34" s="899"/>
      <c r="BN34" s="899"/>
      <c r="BO34" s="899"/>
      <c r="BP34" s="899"/>
      <c r="BQ34" s="899"/>
      <c r="BR34" s="899"/>
      <c r="BS34" s="899"/>
      <c r="BT34" s="899"/>
      <c r="BU34" s="899"/>
      <c r="BV34" s="899"/>
      <c r="BW34" s="899"/>
      <c r="BX34" s="899"/>
      <c r="BY34" s="899"/>
    </row>
    <row r="35" spans="1:77" ht="25.5" customHeight="1">
      <c r="A35" s="6610"/>
      <c r="B35" s="6611"/>
      <c r="C35" s="6611"/>
      <c r="D35" s="6077"/>
      <c r="E35" s="6078"/>
      <c r="F35" s="6139" t="s">
        <v>3694</v>
      </c>
      <c r="G35" s="6140">
        <v>3014</v>
      </c>
      <c r="H35" s="6141" t="s">
        <v>5191</v>
      </c>
      <c r="I35" s="6617"/>
      <c r="J35" s="6130" t="s">
        <v>6924</v>
      </c>
      <c r="K35" s="6155">
        <v>30</v>
      </c>
      <c r="L35" s="6132">
        <v>50</v>
      </c>
      <c r="M35" s="3268"/>
      <c r="N35" s="959"/>
      <c r="O35" s="960"/>
      <c r="P35" s="960"/>
      <c r="Q35" s="960"/>
      <c r="R35" s="960"/>
      <c r="S35" s="960"/>
      <c r="T35" s="960"/>
      <c r="U35" s="961"/>
      <c r="V35" s="961"/>
      <c r="W35" s="961"/>
      <c r="X35" s="961"/>
      <c r="Y35" s="960"/>
      <c r="Z35" s="960"/>
      <c r="AA35" s="960"/>
      <c r="AB35" s="960"/>
      <c r="AC35" s="962"/>
      <c r="AD35" s="6129">
        <v>196</v>
      </c>
      <c r="AE35" s="6128">
        <v>213</v>
      </c>
      <c r="AF35" s="959"/>
      <c r="AG35" s="960"/>
      <c r="AH35" s="960"/>
      <c r="AI35" s="960"/>
      <c r="AJ35" s="960"/>
      <c r="AK35" s="960"/>
      <c r="AL35" s="960"/>
      <c r="AM35" s="961"/>
      <c r="AN35" s="961"/>
      <c r="AO35" s="961"/>
      <c r="AP35" s="961"/>
      <c r="AQ35" s="960"/>
      <c r="AR35" s="960"/>
      <c r="AS35" s="960"/>
      <c r="AT35" s="960"/>
      <c r="AU35" s="962"/>
      <c r="AV35" s="6152"/>
      <c r="AW35" s="3219"/>
      <c r="AX35" s="6153"/>
      <c r="AY35" s="3056"/>
      <c r="AZ35" s="3219"/>
      <c r="BA35" s="3056"/>
      <c r="BB35" s="3056"/>
      <c r="BC35" s="3217"/>
      <c r="BD35" s="3056"/>
      <c r="BE35" s="3219"/>
      <c r="BF35" s="3220"/>
      <c r="BG35" s="6154"/>
      <c r="BH35" s="899"/>
      <c r="BI35" s="899">
        <f t="shared" si="0"/>
        <v>1500</v>
      </c>
      <c r="BJ35" s="899"/>
      <c r="BK35" s="899"/>
      <c r="BL35" s="899"/>
      <c r="BM35" s="899"/>
      <c r="BN35" s="899"/>
      <c r="BO35" s="899"/>
      <c r="BP35" s="899"/>
      <c r="BQ35" s="899"/>
      <c r="BR35" s="899"/>
      <c r="BS35" s="899"/>
      <c r="BT35" s="899"/>
      <c r="BU35" s="899"/>
      <c r="BV35" s="899"/>
      <c r="BW35" s="899"/>
      <c r="BX35" s="899"/>
      <c r="BY35" s="899"/>
    </row>
    <row r="36" spans="1:77" ht="25.5" customHeight="1">
      <c r="A36" s="6610"/>
      <c r="B36" s="6611"/>
      <c r="C36" s="6611"/>
      <c r="D36" s="3233"/>
      <c r="E36" s="3234"/>
      <c r="F36" s="993" t="s">
        <v>3694</v>
      </c>
      <c r="G36" s="3237">
        <v>3041</v>
      </c>
      <c r="H36" s="6188" t="s">
        <v>6926</v>
      </c>
      <c r="I36" s="6618"/>
      <c r="J36" s="6189" t="s">
        <v>6924</v>
      </c>
      <c r="K36" s="6156">
        <v>30</v>
      </c>
      <c r="L36" s="6190">
        <v>20</v>
      </c>
      <c r="M36" s="3257"/>
      <c r="N36" s="959"/>
      <c r="O36" s="960"/>
      <c r="P36" s="960"/>
      <c r="Q36" s="960"/>
      <c r="R36" s="960"/>
      <c r="S36" s="960"/>
      <c r="T36" s="960"/>
      <c r="U36" s="961"/>
      <c r="V36" s="961"/>
      <c r="W36" s="961"/>
      <c r="X36" s="961"/>
      <c r="Y36" s="960"/>
      <c r="Z36" s="960"/>
      <c r="AA36" s="960"/>
      <c r="AB36" s="960"/>
      <c r="AC36" s="962"/>
      <c r="AD36" s="6191">
        <v>71</v>
      </c>
      <c r="AE36" s="965">
        <v>87</v>
      </c>
      <c r="AF36" s="959"/>
      <c r="AG36" s="960"/>
      <c r="AH36" s="960"/>
      <c r="AI36" s="960"/>
      <c r="AJ36" s="960"/>
      <c r="AK36" s="960"/>
      <c r="AL36" s="960"/>
      <c r="AM36" s="961"/>
      <c r="AN36" s="961"/>
      <c r="AO36" s="961"/>
      <c r="AP36" s="961"/>
      <c r="AQ36" s="960"/>
      <c r="AR36" s="960"/>
      <c r="AS36" s="960"/>
      <c r="AT36" s="960"/>
      <c r="AU36" s="962"/>
      <c r="AV36" s="963"/>
      <c r="AW36" s="958"/>
      <c r="AX36" s="964"/>
      <c r="AY36" s="965"/>
      <c r="AZ36" s="958"/>
      <c r="BA36" s="965"/>
      <c r="BB36" s="965"/>
      <c r="BC36" s="966"/>
      <c r="BD36" s="965"/>
      <c r="BE36" s="958"/>
      <c r="BF36" s="967"/>
      <c r="BG36" s="971"/>
      <c r="BH36" s="899"/>
      <c r="BI36" s="899">
        <f t="shared" si="0"/>
        <v>600</v>
      </c>
      <c r="BJ36" s="899"/>
      <c r="BK36" s="899"/>
      <c r="BL36" s="899"/>
      <c r="BM36" s="899"/>
      <c r="BN36" s="899"/>
      <c r="BO36" s="899"/>
      <c r="BP36" s="899"/>
      <c r="BQ36" s="899"/>
      <c r="BR36" s="899"/>
      <c r="BS36" s="899"/>
      <c r="BT36" s="899"/>
      <c r="BU36" s="899"/>
      <c r="BV36" s="899"/>
      <c r="BW36" s="899"/>
      <c r="BX36" s="899"/>
      <c r="BY36" s="899"/>
    </row>
    <row r="37" spans="1:77" ht="25.5" customHeight="1">
      <c r="A37" s="6610"/>
      <c r="B37" s="6611"/>
      <c r="C37" s="6611"/>
      <c r="D37" s="6076" t="s">
        <v>3136</v>
      </c>
      <c r="E37" s="6074">
        <v>150</v>
      </c>
      <c r="F37" s="6138" t="s">
        <v>3694</v>
      </c>
      <c r="G37" s="6162">
        <v>3042</v>
      </c>
      <c r="H37" s="6142" t="s">
        <v>6927</v>
      </c>
      <c r="I37" s="6075">
        <v>1</v>
      </c>
      <c r="J37" s="995" t="s">
        <v>3758</v>
      </c>
      <c r="K37" s="995">
        <v>30</v>
      </c>
      <c r="L37" s="6136">
        <v>30</v>
      </c>
      <c r="M37" s="6137">
        <f>SUM(L37:L40)</f>
        <v>150</v>
      </c>
      <c r="N37" s="1101"/>
      <c r="O37" s="1102"/>
      <c r="P37" s="1102"/>
      <c r="Q37" s="1102"/>
      <c r="R37" s="1102"/>
      <c r="S37" s="1102"/>
      <c r="T37" s="1102"/>
      <c r="U37" s="1103"/>
      <c r="V37" s="1103"/>
      <c r="W37" s="1103"/>
      <c r="X37" s="1103"/>
      <c r="Y37" s="1102"/>
      <c r="Z37" s="1102"/>
      <c r="AA37" s="1102"/>
      <c r="AB37" s="1102"/>
      <c r="AC37" s="1104"/>
      <c r="AD37" s="994">
        <v>172</v>
      </c>
      <c r="AE37" s="995">
        <v>228</v>
      </c>
      <c r="AF37" s="996"/>
      <c r="AG37" s="997"/>
      <c r="AH37" s="997"/>
      <c r="AI37" s="997"/>
      <c r="AJ37" s="997"/>
      <c r="AK37" s="997"/>
      <c r="AL37" s="997"/>
      <c r="AM37" s="998"/>
      <c r="AN37" s="998"/>
      <c r="AO37" s="998"/>
      <c r="AP37" s="998"/>
      <c r="AQ37" s="997"/>
      <c r="AR37" s="997"/>
      <c r="AS37" s="997"/>
      <c r="AT37" s="997"/>
      <c r="AU37" s="999"/>
      <c r="AV37" s="994"/>
      <c r="AW37" s="995"/>
      <c r="AX37" s="1000"/>
      <c r="AY37" s="1001"/>
      <c r="AZ37" s="995"/>
      <c r="BA37" s="1001"/>
      <c r="BB37" s="1001"/>
      <c r="BC37" s="1002"/>
      <c r="BD37" s="1001"/>
      <c r="BE37" s="995"/>
      <c r="BF37" s="1003"/>
      <c r="BG37" s="6144"/>
      <c r="BH37" s="899"/>
      <c r="BI37" s="899">
        <f t="shared" si="0"/>
        <v>900</v>
      </c>
      <c r="BJ37" s="899"/>
      <c r="BK37" s="899"/>
      <c r="BL37" s="899"/>
      <c r="BM37" s="899"/>
      <c r="BN37" s="899"/>
      <c r="BO37" s="899"/>
      <c r="BP37" s="899"/>
      <c r="BQ37" s="899"/>
      <c r="BR37" s="899"/>
      <c r="BS37" s="899"/>
      <c r="BT37" s="899"/>
      <c r="BU37" s="899"/>
      <c r="BV37" s="899"/>
      <c r="BW37" s="899"/>
      <c r="BX37" s="899"/>
      <c r="BY37" s="899"/>
    </row>
    <row r="38" spans="1:77" ht="25.5" customHeight="1">
      <c r="A38" s="6610"/>
      <c r="B38" s="6611"/>
      <c r="C38" s="6611"/>
      <c r="D38" s="6077"/>
      <c r="E38" s="6078"/>
      <c r="F38" s="6139" t="s">
        <v>3694</v>
      </c>
      <c r="G38" s="6140">
        <v>3043</v>
      </c>
      <c r="H38" s="6143" t="s">
        <v>6928</v>
      </c>
      <c r="I38" s="6079"/>
      <c r="J38" s="3157" t="s">
        <v>3758</v>
      </c>
      <c r="K38" s="3157">
        <v>30</v>
      </c>
      <c r="L38" s="6133">
        <v>40</v>
      </c>
      <c r="M38" s="6081"/>
      <c r="N38" s="959"/>
      <c r="O38" s="960"/>
      <c r="P38" s="960"/>
      <c r="Q38" s="960"/>
      <c r="R38" s="960"/>
      <c r="S38" s="960"/>
      <c r="T38" s="960"/>
      <c r="U38" s="961"/>
      <c r="V38" s="961"/>
      <c r="W38" s="961"/>
      <c r="X38" s="961"/>
      <c r="Y38" s="960"/>
      <c r="Z38" s="960"/>
      <c r="AA38" s="960"/>
      <c r="AB38" s="960"/>
      <c r="AC38" s="962"/>
      <c r="AD38" s="6145">
        <v>177</v>
      </c>
      <c r="AE38" s="3157">
        <v>197</v>
      </c>
      <c r="AF38" s="6146"/>
      <c r="AG38" s="6147"/>
      <c r="AH38" s="6147"/>
      <c r="AI38" s="6147"/>
      <c r="AJ38" s="6147"/>
      <c r="AK38" s="6147"/>
      <c r="AL38" s="6147"/>
      <c r="AM38" s="6148"/>
      <c r="AN38" s="6148"/>
      <c r="AO38" s="6148"/>
      <c r="AP38" s="6148"/>
      <c r="AQ38" s="6147"/>
      <c r="AR38" s="6147"/>
      <c r="AS38" s="6147"/>
      <c r="AT38" s="6147"/>
      <c r="AU38" s="6149"/>
      <c r="AV38" s="6145"/>
      <c r="AW38" s="3157"/>
      <c r="AX38" s="6150"/>
      <c r="AY38" s="3158"/>
      <c r="AZ38" s="3157"/>
      <c r="BA38" s="3158"/>
      <c r="BB38" s="3158"/>
      <c r="BC38" s="3155"/>
      <c r="BD38" s="3158"/>
      <c r="BE38" s="3157"/>
      <c r="BF38" s="3159"/>
      <c r="BG38" s="6151"/>
      <c r="BH38" s="899"/>
      <c r="BI38" s="899">
        <f t="shared" si="0"/>
        <v>1200</v>
      </c>
      <c r="BJ38" s="899"/>
      <c r="BK38" s="899"/>
      <c r="BL38" s="899"/>
      <c r="BM38" s="899"/>
      <c r="BN38" s="899"/>
      <c r="BO38" s="899"/>
      <c r="BP38" s="899"/>
      <c r="BQ38" s="899"/>
      <c r="BR38" s="899"/>
      <c r="BS38" s="899"/>
      <c r="BT38" s="899"/>
      <c r="BU38" s="899"/>
      <c r="BV38" s="899"/>
      <c r="BW38" s="899"/>
      <c r="BX38" s="899"/>
      <c r="BY38" s="899"/>
    </row>
    <row r="39" spans="1:77" ht="25.5" customHeight="1">
      <c r="A39" s="6610"/>
      <c r="B39" s="6611"/>
      <c r="C39" s="6611"/>
      <c r="D39" s="6077"/>
      <c r="E39" s="6078"/>
      <c r="F39" s="6139" t="s">
        <v>3694</v>
      </c>
      <c r="G39" s="6140">
        <v>3044</v>
      </c>
      <c r="H39" s="6143" t="s">
        <v>6929</v>
      </c>
      <c r="I39" s="6079"/>
      <c r="J39" s="3157" t="s">
        <v>3758</v>
      </c>
      <c r="K39" s="3157">
        <v>30</v>
      </c>
      <c r="L39" s="6134">
        <v>30</v>
      </c>
      <c r="M39" s="6081"/>
      <c r="N39" s="959"/>
      <c r="O39" s="960"/>
      <c r="P39" s="960"/>
      <c r="Q39" s="960"/>
      <c r="R39" s="960"/>
      <c r="S39" s="960"/>
      <c r="T39" s="960"/>
      <c r="U39" s="961"/>
      <c r="V39" s="961"/>
      <c r="W39" s="961"/>
      <c r="X39" s="961"/>
      <c r="Y39" s="960"/>
      <c r="Z39" s="960"/>
      <c r="AA39" s="960"/>
      <c r="AB39" s="960"/>
      <c r="AC39" s="962"/>
      <c r="AD39" s="6145">
        <v>417</v>
      </c>
      <c r="AE39" s="3157">
        <v>417</v>
      </c>
      <c r="AF39" s="6146"/>
      <c r="AG39" s="6147"/>
      <c r="AH39" s="6147"/>
      <c r="AI39" s="6147"/>
      <c r="AJ39" s="6147"/>
      <c r="AK39" s="6147"/>
      <c r="AL39" s="6147"/>
      <c r="AM39" s="6148"/>
      <c r="AN39" s="6148"/>
      <c r="AO39" s="6148"/>
      <c r="AP39" s="6148"/>
      <c r="AQ39" s="6147"/>
      <c r="AR39" s="6147"/>
      <c r="AS39" s="6147"/>
      <c r="AT39" s="6147"/>
      <c r="AU39" s="6149"/>
      <c r="AV39" s="6145"/>
      <c r="AW39" s="3157"/>
      <c r="AX39" s="6150"/>
      <c r="AY39" s="3158"/>
      <c r="AZ39" s="3157"/>
      <c r="BA39" s="3158"/>
      <c r="BB39" s="3158"/>
      <c r="BC39" s="3155"/>
      <c r="BD39" s="3158"/>
      <c r="BE39" s="3157"/>
      <c r="BF39" s="3159"/>
      <c r="BG39" s="6151"/>
      <c r="BH39" s="899"/>
      <c r="BI39" s="899">
        <f t="shared" si="0"/>
        <v>900</v>
      </c>
      <c r="BJ39" s="899"/>
      <c r="BK39" s="899"/>
      <c r="BL39" s="899"/>
      <c r="BM39" s="899"/>
      <c r="BN39" s="899"/>
      <c r="BO39" s="899"/>
      <c r="BP39" s="899"/>
      <c r="BQ39" s="899"/>
      <c r="BR39" s="899"/>
      <c r="BS39" s="899"/>
      <c r="BT39" s="899"/>
      <c r="BU39" s="899"/>
      <c r="BV39" s="899"/>
      <c r="BW39" s="899"/>
      <c r="BX39" s="899"/>
      <c r="BY39" s="899"/>
    </row>
    <row r="40" spans="1:77" ht="25.5" customHeight="1">
      <c r="A40" s="6610"/>
      <c r="B40" s="6611"/>
      <c r="C40" s="6611"/>
      <c r="D40" s="3233"/>
      <c r="E40" s="3234"/>
      <c r="F40" s="993" t="s">
        <v>3694</v>
      </c>
      <c r="G40" s="3237">
        <v>3045</v>
      </c>
      <c r="H40" s="957" t="s">
        <v>6930</v>
      </c>
      <c r="I40" s="6080"/>
      <c r="J40" s="958" t="s">
        <v>3758</v>
      </c>
      <c r="K40" s="958">
        <v>30</v>
      </c>
      <c r="L40" s="6135">
        <v>50</v>
      </c>
      <c r="M40" s="6082"/>
      <c r="N40" s="959"/>
      <c r="O40" s="960"/>
      <c r="P40" s="960"/>
      <c r="Q40" s="960"/>
      <c r="R40" s="960"/>
      <c r="S40" s="960"/>
      <c r="T40" s="960"/>
      <c r="U40" s="961"/>
      <c r="V40" s="961"/>
      <c r="W40" s="961"/>
      <c r="X40" s="961"/>
      <c r="Y40" s="960"/>
      <c r="Z40" s="960"/>
      <c r="AA40" s="960"/>
      <c r="AB40" s="960"/>
      <c r="AC40" s="962"/>
      <c r="AD40" s="963">
        <v>21</v>
      </c>
      <c r="AE40" s="958">
        <v>20</v>
      </c>
      <c r="AF40" s="959"/>
      <c r="AG40" s="960"/>
      <c r="AH40" s="960"/>
      <c r="AI40" s="960"/>
      <c r="AJ40" s="960"/>
      <c r="AK40" s="960"/>
      <c r="AL40" s="960"/>
      <c r="AM40" s="961"/>
      <c r="AN40" s="961"/>
      <c r="AO40" s="961"/>
      <c r="AP40" s="961"/>
      <c r="AQ40" s="960"/>
      <c r="AR40" s="960"/>
      <c r="AS40" s="960"/>
      <c r="AT40" s="960"/>
      <c r="AU40" s="962"/>
      <c r="AV40" s="963"/>
      <c r="AW40" s="958"/>
      <c r="AX40" s="964"/>
      <c r="AY40" s="965"/>
      <c r="AZ40" s="958"/>
      <c r="BA40" s="965"/>
      <c r="BB40" s="965"/>
      <c r="BC40" s="966"/>
      <c r="BD40" s="965"/>
      <c r="BE40" s="958"/>
      <c r="BF40" s="967"/>
      <c r="BG40" s="3258"/>
      <c r="BH40" s="899"/>
      <c r="BI40" s="899">
        <f t="shared" si="0"/>
        <v>1500</v>
      </c>
      <c r="BJ40" s="899"/>
      <c r="BK40" s="899"/>
      <c r="BL40" s="899"/>
      <c r="BM40" s="899"/>
      <c r="BN40" s="899"/>
      <c r="BO40" s="899"/>
      <c r="BP40" s="899"/>
      <c r="BQ40" s="899"/>
      <c r="BR40" s="899"/>
      <c r="BS40" s="899"/>
      <c r="BT40" s="899"/>
      <c r="BU40" s="899"/>
      <c r="BV40" s="899"/>
      <c r="BW40" s="899"/>
      <c r="BX40" s="899"/>
      <c r="BY40" s="899"/>
    </row>
    <row r="41" spans="1:77" ht="27" customHeight="1">
      <c r="A41" s="6610"/>
      <c r="B41" s="6611"/>
      <c r="C41" s="6611"/>
      <c r="D41" s="3233" t="s">
        <v>3759</v>
      </c>
      <c r="E41" s="3234">
        <v>50</v>
      </c>
      <c r="F41" s="993" t="s">
        <v>3694</v>
      </c>
      <c r="G41" s="3237">
        <v>3004</v>
      </c>
      <c r="H41" s="957" t="s">
        <v>3760</v>
      </c>
      <c r="I41" s="3271">
        <v>1</v>
      </c>
      <c r="J41" s="958" t="s">
        <v>3753</v>
      </c>
      <c r="K41" s="958">
        <v>30</v>
      </c>
      <c r="L41" s="3272">
        <v>50</v>
      </c>
      <c r="M41" s="3252">
        <f>SUM(L41)</f>
        <v>50</v>
      </c>
      <c r="N41" s="959"/>
      <c r="O41" s="960"/>
      <c r="P41" s="960"/>
      <c r="Q41" s="960"/>
      <c r="R41" s="960"/>
      <c r="S41" s="960"/>
      <c r="T41" s="960"/>
      <c r="U41" s="961"/>
      <c r="V41" s="961"/>
      <c r="W41" s="961"/>
      <c r="X41" s="961"/>
      <c r="Y41" s="960"/>
      <c r="Z41" s="960"/>
      <c r="AA41" s="960"/>
      <c r="AB41" s="960"/>
      <c r="AC41" s="962"/>
      <c r="AD41" s="963" t="s">
        <v>3757</v>
      </c>
      <c r="AE41" s="958" t="s">
        <v>3757</v>
      </c>
      <c r="AF41" s="959"/>
      <c r="AG41" s="960"/>
      <c r="AH41" s="960"/>
      <c r="AI41" s="960"/>
      <c r="AJ41" s="960"/>
      <c r="AK41" s="960"/>
      <c r="AL41" s="960"/>
      <c r="AM41" s="961"/>
      <c r="AN41" s="961"/>
      <c r="AO41" s="961"/>
      <c r="AP41" s="961"/>
      <c r="AQ41" s="960"/>
      <c r="AR41" s="960"/>
      <c r="AS41" s="960"/>
      <c r="AT41" s="960"/>
      <c r="AU41" s="962"/>
      <c r="AV41" s="963" t="s">
        <v>3757</v>
      </c>
      <c r="AW41" s="958" t="s">
        <v>3757</v>
      </c>
      <c r="AX41" s="964" t="s">
        <v>3757</v>
      </c>
      <c r="AY41" s="965" t="s">
        <v>3757</v>
      </c>
      <c r="AZ41" s="958" t="s">
        <v>3757</v>
      </c>
      <c r="BA41" s="965" t="s">
        <v>3757</v>
      </c>
      <c r="BB41" s="965" t="s">
        <v>3757</v>
      </c>
      <c r="BC41" s="966" t="s">
        <v>3757</v>
      </c>
      <c r="BD41" s="965" t="s">
        <v>3757</v>
      </c>
      <c r="BE41" s="958" t="s">
        <v>3757</v>
      </c>
      <c r="BF41" s="967" t="s">
        <v>3757</v>
      </c>
      <c r="BG41" s="971" t="s">
        <v>3761</v>
      </c>
      <c r="BH41" s="899"/>
      <c r="BI41" s="899">
        <f t="shared" si="0"/>
        <v>1500</v>
      </c>
      <c r="BJ41" s="899"/>
      <c r="BK41" s="899"/>
      <c r="BL41" s="899"/>
      <c r="BM41" s="899"/>
      <c r="BN41" s="899"/>
      <c r="BO41" s="899"/>
      <c r="BP41" s="899"/>
      <c r="BQ41" s="899"/>
      <c r="BR41" s="899"/>
      <c r="BS41" s="899"/>
      <c r="BT41" s="899"/>
      <c r="BU41" s="899"/>
      <c r="BV41" s="899"/>
      <c r="BW41" s="897"/>
    </row>
    <row r="42" spans="1:77" ht="30" customHeight="1">
      <c r="A42" s="6610"/>
      <c r="B42" s="6611"/>
      <c r="C42" s="6611"/>
      <c r="D42" s="6614" t="s">
        <v>2653</v>
      </c>
      <c r="E42" s="6604">
        <v>400</v>
      </c>
      <c r="F42" s="3786" t="s">
        <v>3694</v>
      </c>
      <c r="G42" s="3787">
        <v>3006</v>
      </c>
      <c r="H42" s="3788" t="s">
        <v>3762</v>
      </c>
      <c r="I42" s="6606">
        <v>2</v>
      </c>
      <c r="J42" s="1143" t="s">
        <v>3753</v>
      </c>
      <c r="K42" s="1143">
        <v>30</v>
      </c>
      <c r="L42" s="3789">
        <v>300</v>
      </c>
      <c r="M42" s="6608">
        <f>SUM(L42:L43)</f>
        <v>400</v>
      </c>
      <c r="N42" s="942"/>
      <c r="O42" s="943"/>
      <c r="P42" s="943"/>
      <c r="Q42" s="943"/>
      <c r="R42" s="943"/>
      <c r="S42" s="943"/>
      <c r="T42" s="943"/>
      <c r="U42" s="944"/>
      <c r="V42" s="944"/>
      <c r="W42" s="944"/>
      <c r="X42" s="944"/>
      <c r="Y42" s="943"/>
      <c r="Z42" s="943"/>
      <c r="AA42" s="943"/>
      <c r="AB42" s="943"/>
      <c r="AC42" s="945"/>
      <c r="AD42" s="3790">
        <v>706</v>
      </c>
      <c r="AE42" s="1143" t="s">
        <v>3757</v>
      </c>
      <c r="AF42" s="1136"/>
      <c r="AG42" s="1137"/>
      <c r="AH42" s="1137"/>
      <c r="AI42" s="1137"/>
      <c r="AJ42" s="1137"/>
      <c r="AK42" s="1137"/>
      <c r="AL42" s="1137"/>
      <c r="AM42" s="1138"/>
      <c r="AN42" s="1138"/>
      <c r="AO42" s="1138"/>
      <c r="AP42" s="1138"/>
      <c r="AQ42" s="1137"/>
      <c r="AR42" s="1137"/>
      <c r="AS42" s="1137"/>
      <c r="AT42" s="1137"/>
      <c r="AU42" s="1139"/>
      <c r="AV42" s="3790" t="s">
        <v>3757</v>
      </c>
      <c r="AW42" s="1143" t="s">
        <v>3757</v>
      </c>
      <c r="AX42" s="1142" t="s">
        <v>3757</v>
      </c>
      <c r="AY42" s="1144" t="s">
        <v>3757</v>
      </c>
      <c r="AZ42" s="1143" t="s">
        <v>3757</v>
      </c>
      <c r="BA42" s="1144" t="s">
        <v>3757</v>
      </c>
      <c r="BB42" s="1144" t="s">
        <v>3757</v>
      </c>
      <c r="BC42" s="1140" t="s">
        <v>3757</v>
      </c>
      <c r="BD42" s="1144" t="s">
        <v>3757</v>
      </c>
      <c r="BE42" s="1143" t="s">
        <v>3757</v>
      </c>
      <c r="BF42" s="1159" t="s">
        <v>3757</v>
      </c>
      <c r="BG42" s="3791" t="s">
        <v>3763</v>
      </c>
      <c r="BH42" s="899"/>
      <c r="BI42" s="899">
        <f t="shared" si="0"/>
        <v>9000</v>
      </c>
      <c r="BJ42" s="899"/>
      <c r="BK42" s="899"/>
      <c r="BL42" s="899"/>
      <c r="BM42" s="899"/>
      <c r="BN42" s="899"/>
      <c r="BO42" s="899"/>
      <c r="BP42" s="899"/>
      <c r="BQ42" s="899"/>
      <c r="BR42" s="899"/>
      <c r="BS42" s="899"/>
      <c r="BT42" s="899"/>
      <c r="BU42" s="899"/>
      <c r="BV42" s="899"/>
      <c r="BW42" s="899"/>
      <c r="BX42" s="899"/>
      <c r="BY42" s="899"/>
    </row>
    <row r="43" spans="1:77" ht="30" customHeight="1" thickBot="1">
      <c r="A43" s="6612"/>
      <c r="B43" s="6613"/>
      <c r="C43" s="6613"/>
      <c r="D43" s="6615"/>
      <c r="E43" s="6605"/>
      <c r="F43" s="3792" t="s">
        <v>3694</v>
      </c>
      <c r="G43" s="3273">
        <v>3046</v>
      </c>
      <c r="H43" s="3793" t="s">
        <v>3764</v>
      </c>
      <c r="I43" s="6607"/>
      <c r="J43" s="1011" t="s">
        <v>3765</v>
      </c>
      <c r="K43" s="1011">
        <v>30</v>
      </c>
      <c r="L43" s="3794">
        <v>100</v>
      </c>
      <c r="M43" s="6609"/>
      <c r="N43" s="942"/>
      <c r="O43" s="943"/>
      <c r="P43" s="943"/>
      <c r="Q43" s="943"/>
      <c r="R43" s="943"/>
      <c r="S43" s="943"/>
      <c r="T43" s="943"/>
      <c r="U43" s="944"/>
      <c r="V43" s="944"/>
      <c r="W43" s="944"/>
      <c r="X43" s="944"/>
      <c r="Y43" s="943"/>
      <c r="Z43" s="943"/>
      <c r="AA43" s="943"/>
      <c r="AB43" s="943"/>
      <c r="AC43" s="945"/>
      <c r="AD43" s="3795" t="s">
        <v>3757</v>
      </c>
      <c r="AE43" s="1011" t="s">
        <v>3757</v>
      </c>
      <c r="AF43" s="3796"/>
      <c r="AG43" s="3797"/>
      <c r="AH43" s="3797"/>
      <c r="AI43" s="3797"/>
      <c r="AJ43" s="3797"/>
      <c r="AK43" s="3797"/>
      <c r="AL43" s="3797"/>
      <c r="AM43" s="3798"/>
      <c r="AN43" s="3798"/>
      <c r="AO43" s="3798"/>
      <c r="AP43" s="3798"/>
      <c r="AQ43" s="3797"/>
      <c r="AR43" s="3797"/>
      <c r="AS43" s="3797"/>
      <c r="AT43" s="3797"/>
      <c r="AU43" s="3799"/>
      <c r="AV43" s="3795" t="s">
        <v>3757</v>
      </c>
      <c r="AW43" s="1011" t="s">
        <v>3757</v>
      </c>
      <c r="AX43" s="3800" t="s">
        <v>3757</v>
      </c>
      <c r="AY43" s="3801" t="s">
        <v>3757</v>
      </c>
      <c r="AZ43" s="1011" t="s">
        <v>3757</v>
      </c>
      <c r="BA43" s="3801" t="s">
        <v>3757</v>
      </c>
      <c r="BB43" s="3801" t="s">
        <v>3757</v>
      </c>
      <c r="BC43" s="3802" t="s">
        <v>3757</v>
      </c>
      <c r="BD43" s="3801" t="s">
        <v>3757</v>
      </c>
      <c r="BE43" s="1011" t="s">
        <v>3757</v>
      </c>
      <c r="BF43" s="3803" t="s">
        <v>3757</v>
      </c>
      <c r="BG43" s="3804" t="s">
        <v>3763</v>
      </c>
      <c r="BH43" s="899"/>
      <c r="BI43" s="899">
        <f t="shared" si="0"/>
        <v>3000</v>
      </c>
      <c r="BJ43" s="899"/>
      <c r="BK43" s="899"/>
      <c r="BL43" s="899"/>
      <c r="BM43" s="899"/>
      <c r="BN43" s="899"/>
      <c r="BO43" s="899"/>
      <c r="BP43" s="899"/>
      <c r="BQ43" s="899"/>
      <c r="BR43" s="899"/>
      <c r="BS43" s="899"/>
      <c r="BT43" s="899"/>
      <c r="BU43" s="899"/>
      <c r="BV43" s="899"/>
      <c r="BW43" s="899"/>
      <c r="BX43" s="899"/>
      <c r="BY43" s="899"/>
    </row>
    <row r="44" spans="1:77" ht="58.5" customHeight="1" thickTop="1">
      <c r="A44" s="3277"/>
      <c r="B44" s="3278"/>
      <c r="C44" s="3230"/>
      <c r="D44" s="3279" t="s">
        <v>3766</v>
      </c>
      <c r="E44" s="1043">
        <f>SUM(E9:E43)</f>
        <v>3000</v>
      </c>
      <c r="F44" s="1044"/>
      <c r="G44" s="1045"/>
      <c r="H44" s="1052"/>
      <c r="I44" s="3267">
        <f>SUM(I9:I43)</f>
        <v>8</v>
      </c>
      <c r="J44" s="1047"/>
      <c r="K44" s="1033"/>
      <c r="L44" s="1033"/>
      <c r="M44" s="1033">
        <f>SUM(M9:M43)</f>
        <v>3002</v>
      </c>
      <c r="N44" s="1034"/>
      <c r="O44" s="1034"/>
      <c r="P44" s="1034"/>
      <c r="Q44" s="1034"/>
      <c r="R44" s="1034"/>
      <c r="S44" s="1034"/>
      <c r="T44" s="1034"/>
      <c r="U44" s="1035"/>
      <c r="V44" s="1035"/>
      <c r="W44" s="1035"/>
      <c r="X44" s="1035"/>
      <c r="Y44" s="1034"/>
      <c r="Z44" s="1034"/>
      <c r="AA44" s="1034"/>
      <c r="AB44" s="1034"/>
      <c r="AC44" s="1034"/>
      <c r="AD44" s="1043">
        <f>SUM(AD9:AD43)</f>
        <v>6804</v>
      </c>
      <c r="AE44" s="1043">
        <f>SUM(AE9:AE43)</f>
        <v>6327</v>
      </c>
      <c r="AF44" s="1034"/>
      <c r="AG44" s="1034"/>
      <c r="AH44" s="1034"/>
      <c r="AI44" s="1034"/>
      <c r="AJ44" s="1034"/>
      <c r="AK44" s="1034"/>
      <c r="AL44" s="1034"/>
      <c r="AM44" s="1035"/>
      <c r="AN44" s="1035"/>
      <c r="AO44" s="1035"/>
      <c r="AP44" s="1035"/>
      <c r="AQ44" s="1034"/>
      <c r="AR44" s="1034"/>
      <c r="AS44" s="1034"/>
      <c r="AT44" s="1034"/>
      <c r="AU44" s="1034"/>
      <c r="AV44" s="1043">
        <f>SUM(AV9:AV43)</f>
        <v>759</v>
      </c>
      <c r="AW44" s="1043">
        <f>SUM(AW9:AW43)</f>
        <v>772</v>
      </c>
      <c r="AX44" s="1048"/>
      <c r="AY44" s="1047"/>
      <c r="AZ44" s="1047"/>
      <c r="BA44" s="1047"/>
      <c r="BB44" s="1049"/>
      <c r="BC44" s="1049"/>
      <c r="BD44" s="1050"/>
      <c r="BE44" s="1051"/>
      <c r="BF44" s="1051"/>
      <c r="BG44" s="971"/>
      <c r="BH44" s="899"/>
      <c r="BI44" s="899"/>
      <c r="BJ44" s="899"/>
      <c r="BK44" s="899"/>
      <c r="BL44" s="899"/>
      <c r="BM44" s="899"/>
      <c r="BN44" s="899"/>
      <c r="BO44" s="899"/>
      <c r="BP44" s="899"/>
      <c r="BQ44" s="899"/>
      <c r="BR44" s="899"/>
      <c r="BS44" s="899"/>
      <c r="BT44" s="899"/>
      <c r="BU44" s="899"/>
      <c r="BV44" s="899"/>
      <c r="BW44" s="899"/>
      <c r="BX44" s="899"/>
      <c r="BY44" s="899"/>
    </row>
    <row r="45" spans="1:77" ht="10.75" customHeight="1">
      <c r="B45" s="1053"/>
      <c r="E45" s="893"/>
      <c r="J45" s="1054"/>
      <c r="K45" s="1054"/>
      <c r="L45" s="1054"/>
      <c r="M45" s="1054"/>
      <c r="AD45" s="1055"/>
      <c r="AE45" s="1056"/>
      <c r="AF45" s="1057"/>
      <c r="AG45" s="1057"/>
      <c r="AH45" s="1057"/>
      <c r="AI45" s="1057"/>
      <c r="AJ45" s="1057"/>
      <c r="AK45" s="1057"/>
      <c r="AL45" s="1057"/>
      <c r="AM45" s="1057"/>
      <c r="AN45" s="1057"/>
      <c r="AO45" s="1057"/>
      <c r="AP45" s="1057"/>
      <c r="AQ45" s="1057"/>
      <c r="AR45" s="1057"/>
      <c r="AS45" s="1057"/>
      <c r="AT45" s="1057"/>
      <c r="AU45" s="1055"/>
      <c r="AV45" s="1055"/>
      <c r="AW45" s="1056"/>
      <c r="AX45" s="889"/>
      <c r="AY45" s="889"/>
      <c r="AZ45" s="1054"/>
      <c r="BA45" s="889"/>
      <c r="BB45" s="1054"/>
      <c r="BC45" s="889"/>
      <c r="BD45" s="1054"/>
      <c r="BE45" s="889"/>
      <c r="BF45" s="1054"/>
    </row>
    <row r="46" spans="1:77" ht="19.399999999999999" customHeight="1">
      <c r="B46" s="1060"/>
    </row>
    <row r="47" spans="1:77" ht="19.399999999999999" customHeight="1">
      <c r="B47" s="1053"/>
    </row>
    <row r="48" spans="1:77" ht="19.399999999999999" customHeight="1">
      <c r="B48" s="1053"/>
    </row>
  </sheetData>
  <autoFilter ref="A8:BZ8" xr:uid="{D9FFF6C7-2FC9-441C-BFC7-CF3580C77D32}">
    <filterColumn colId="0" showButton="0"/>
    <filterColumn colId="1" showButton="0"/>
  </autoFilter>
  <mergeCells count="15">
    <mergeCell ref="E42:E43"/>
    <mergeCell ref="I42:I43"/>
    <mergeCell ref="M42:M43"/>
    <mergeCell ref="A9:C43"/>
    <mergeCell ref="D42:D43"/>
    <mergeCell ref="I33:I36"/>
    <mergeCell ref="A6:C8"/>
    <mergeCell ref="D6:D8"/>
    <mergeCell ref="E6:E7"/>
    <mergeCell ref="F6:BF6"/>
    <mergeCell ref="N7:AE7"/>
    <mergeCell ref="AF7:AX7"/>
    <mergeCell ref="AY7:AZ7"/>
    <mergeCell ref="BA7:BB7"/>
    <mergeCell ref="BC7:BE7"/>
  </mergeCells>
  <phoneticPr fontId="2"/>
  <pageMargins left="0.23622047244094491" right="0.23622047244094491" top="0.74803149606299213" bottom="0.74803149606299213" header="0.31496062992125984" footer="0.31496062992125984"/>
  <pageSetup paperSize="9" scale="41"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F7-2B61-42E4-B83C-78B37770D253}">
  <sheetPr codeName="Sheet285">
    <tabColor rgb="FFFFFF00"/>
    <pageSetUpPr fitToPage="1"/>
  </sheetPr>
  <dimension ref="A1:AJ84"/>
  <sheetViews>
    <sheetView topLeftCell="D1" workbookViewId="0">
      <selection activeCell="K7" sqref="K7"/>
    </sheetView>
  </sheetViews>
  <sheetFormatPr defaultColWidth="9.453125" defaultRowHeight="19.399999999999999" customHeight="1"/>
  <cols>
    <col min="1" max="1" width="5" style="885" customWidth="1"/>
    <col min="2" max="2" width="19.7265625" style="884" customWidth="1"/>
    <col min="3" max="3" width="29.453125" style="885" customWidth="1"/>
    <col min="4" max="4" width="45.81640625" style="885" customWidth="1"/>
    <col min="5" max="5" width="12.81640625" style="885" customWidth="1"/>
    <col min="6" max="8" width="11.453125" style="897" customWidth="1"/>
    <col min="9" max="9" width="5" style="1078" customWidth="1"/>
    <col min="10" max="10" width="5.453125" style="1079" customWidth="1"/>
    <col min="11" max="11" width="52.1796875" style="1079" bestFit="1" customWidth="1"/>
    <col min="12" max="12" width="6.54296875" style="1080" customWidth="1"/>
    <col min="13" max="13" width="5.453125" style="1080" customWidth="1"/>
    <col min="14" max="18" width="5.453125" style="887" customWidth="1"/>
    <col min="19" max="19" width="6.81640625" style="887" customWidth="1"/>
    <col min="20" max="23" width="4.453125" style="887" customWidth="1"/>
    <col min="24" max="26" width="3.1796875" style="887" customWidth="1"/>
    <col min="27" max="27" width="8.7265625" style="887" customWidth="1"/>
    <col min="28" max="28" width="5.453125" style="887" customWidth="1"/>
    <col min="29" max="29" width="5.453125" style="887" hidden="1" customWidth="1"/>
    <col min="30" max="30" width="33.1796875" style="897" customWidth="1"/>
    <col min="31" max="31" width="57.453125" style="1058" customWidth="1"/>
    <col min="32" max="33" width="9.453125" style="897" customWidth="1"/>
    <col min="34" max="16384" width="9.453125" style="897"/>
  </cols>
  <sheetData>
    <row r="1" spans="1:32" ht="24" customHeight="1"/>
    <row r="2" spans="1:32" ht="19.399999999999999" customHeight="1">
      <c r="A2" s="883" t="s">
        <v>3767</v>
      </c>
      <c r="F2" s="885"/>
      <c r="G2" s="885"/>
      <c r="H2" s="885"/>
      <c r="I2" s="885"/>
      <c r="J2" s="885"/>
      <c r="K2" s="885"/>
      <c r="L2" s="885"/>
      <c r="M2" s="885"/>
      <c r="N2" s="885"/>
      <c r="O2" s="885"/>
      <c r="P2" s="885"/>
      <c r="Q2" s="885"/>
      <c r="R2" s="885"/>
      <c r="S2" s="885"/>
      <c r="T2" s="885"/>
      <c r="U2" s="885"/>
      <c r="V2" s="885"/>
      <c r="W2" s="885"/>
      <c r="X2" s="885"/>
      <c r="Y2" s="885"/>
      <c r="Z2" s="885"/>
      <c r="AA2" s="885"/>
      <c r="AB2" s="885"/>
      <c r="AC2" s="885"/>
      <c r="AE2" s="1082"/>
      <c r="AF2" s="892"/>
    </row>
    <row r="3" spans="1:32" s="895" customFormat="1" ht="33.65" customHeight="1">
      <c r="A3" s="3024" t="s">
        <v>2548</v>
      </c>
      <c r="B3" s="3025" t="s">
        <v>3768</v>
      </c>
      <c r="C3" s="3026" t="s">
        <v>3769</v>
      </c>
      <c r="D3" s="3025" t="s">
        <v>3770</v>
      </c>
      <c r="E3" s="3027" t="s">
        <v>3771</v>
      </c>
      <c r="F3" s="3028" t="s">
        <v>3772</v>
      </c>
      <c r="G3" s="3029" t="s">
        <v>3773</v>
      </c>
      <c r="H3" s="3030" t="s">
        <v>2551</v>
      </c>
      <c r="I3" s="3031" t="s">
        <v>2598</v>
      </c>
      <c r="J3" s="3032" t="s">
        <v>2567</v>
      </c>
      <c r="K3" s="3033" t="s">
        <v>2568</v>
      </c>
      <c r="L3" s="3034" t="s">
        <v>3774</v>
      </c>
      <c r="M3" s="3035" t="s">
        <v>3775</v>
      </c>
      <c r="N3" s="3036" t="s">
        <v>2112</v>
      </c>
      <c r="O3" s="3037" t="s">
        <v>2112</v>
      </c>
      <c r="P3" s="3038" t="s">
        <v>3776</v>
      </c>
      <c r="Q3" s="3036" t="s">
        <v>3777</v>
      </c>
      <c r="R3" s="3038" t="s">
        <v>3778</v>
      </c>
      <c r="S3" s="3036" t="s">
        <v>3779</v>
      </c>
      <c r="T3" s="3038" t="s">
        <v>3780</v>
      </c>
      <c r="U3" s="3036" t="s">
        <v>2169</v>
      </c>
      <c r="V3" s="3039" t="s">
        <v>3781</v>
      </c>
      <c r="W3" s="3039" t="s">
        <v>3782</v>
      </c>
      <c r="X3" s="3038" t="s">
        <v>3783</v>
      </c>
      <c r="Y3" s="3039" t="s">
        <v>3784</v>
      </c>
      <c r="Z3" s="3036" t="s">
        <v>3785</v>
      </c>
      <c r="AA3" s="3037" t="s">
        <v>3786</v>
      </c>
      <c r="AB3" s="3040" t="s">
        <v>3787</v>
      </c>
      <c r="AC3" s="963" t="s">
        <v>2597</v>
      </c>
      <c r="AD3" s="3041"/>
      <c r="AE3" s="3042"/>
    </row>
    <row r="4" spans="1:32" ht="21" customHeight="1">
      <c r="A4" s="3043" t="s">
        <v>3788</v>
      </c>
      <c r="B4" s="3044" t="s">
        <v>2327</v>
      </c>
      <c r="C4" s="3044"/>
      <c r="D4" s="3044" t="s">
        <v>3789</v>
      </c>
      <c r="E4" s="3045" t="s">
        <v>3790</v>
      </c>
      <c r="F4" s="3046">
        <v>89</v>
      </c>
      <c r="G4" s="3047">
        <v>153</v>
      </c>
      <c r="H4" s="3046">
        <v>11</v>
      </c>
      <c r="I4" s="3048" t="s">
        <v>3791</v>
      </c>
      <c r="J4" s="3049">
        <v>232</v>
      </c>
      <c r="K4" s="3050" t="s">
        <v>3792</v>
      </c>
      <c r="L4" s="3051" t="s">
        <v>2315</v>
      </c>
      <c r="M4" s="3051"/>
      <c r="N4" s="3052"/>
      <c r="O4" s="3046">
        <v>89</v>
      </c>
      <c r="P4" s="3053">
        <v>93</v>
      </c>
      <c r="Q4" s="3054">
        <v>93</v>
      </c>
      <c r="R4" s="3053">
        <v>93</v>
      </c>
      <c r="S4" s="3054">
        <v>93</v>
      </c>
      <c r="T4" s="3053" t="s">
        <v>2610</v>
      </c>
      <c r="U4" s="3053" t="s">
        <v>2610</v>
      </c>
      <c r="V4" s="3053">
        <v>0</v>
      </c>
      <c r="W4" s="3053">
        <v>0</v>
      </c>
      <c r="X4" s="3053" t="s">
        <v>2133</v>
      </c>
      <c r="Y4" s="3053" t="s">
        <v>2133</v>
      </c>
      <c r="Z4" s="3053" t="s">
        <v>2133</v>
      </c>
      <c r="AA4" s="3053" t="s">
        <v>2702</v>
      </c>
      <c r="AB4" s="3055" t="s">
        <v>2133</v>
      </c>
      <c r="AC4" s="3056" t="s">
        <v>2723</v>
      </c>
      <c r="AD4" s="3057"/>
      <c r="AE4" s="3058"/>
    </row>
    <row r="5" spans="1:32" ht="21" customHeight="1">
      <c r="A5" s="3059" t="s">
        <v>3793</v>
      </c>
      <c r="B5" s="3060" t="s">
        <v>3794</v>
      </c>
      <c r="C5" s="3061" t="s">
        <v>3795</v>
      </c>
      <c r="D5" s="3061" t="s">
        <v>3796</v>
      </c>
      <c r="E5" s="3062" t="s">
        <v>3071</v>
      </c>
      <c r="F5" s="3063">
        <v>29</v>
      </c>
      <c r="G5" s="3064"/>
      <c r="H5" s="3063"/>
      <c r="I5" s="3065" t="s">
        <v>3791</v>
      </c>
      <c r="J5" s="3066"/>
      <c r="K5" s="1602" t="s">
        <v>3797</v>
      </c>
      <c r="L5" s="1614" t="s">
        <v>3798</v>
      </c>
      <c r="M5" s="1614"/>
      <c r="N5" s="3067"/>
      <c r="O5" s="3067">
        <v>29</v>
      </c>
      <c r="P5" s="3068">
        <v>93</v>
      </c>
      <c r="Q5" s="3069">
        <v>93</v>
      </c>
      <c r="R5" s="3068">
        <v>93</v>
      </c>
      <c r="S5" s="3069">
        <v>93</v>
      </c>
      <c r="T5" s="3068" t="s">
        <v>2610</v>
      </c>
      <c r="U5" s="3068" t="s">
        <v>2610</v>
      </c>
      <c r="V5" s="3068">
        <v>0</v>
      </c>
      <c r="W5" s="3068">
        <v>0</v>
      </c>
      <c r="X5" s="3068" t="s">
        <v>2133</v>
      </c>
      <c r="Y5" s="3068" t="s">
        <v>2133</v>
      </c>
      <c r="Z5" s="3068" t="s">
        <v>2133</v>
      </c>
      <c r="AA5" s="3068" t="s">
        <v>2702</v>
      </c>
      <c r="AB5" s="3070" t="s">
        <v>2133</v>
      </c>
      <c r="AC5" s="3056" t="s">
        <v>2723</v>
      </c>
      <c r="AD5" s="3071"/>
      <c r="AE5" s="3072"/>
    </row>
    <row r="6" spans="1:32" ht="21" customHeight="1">
      <c r="A6" s="3059" t="s">
        <v>3793</v>
      </c>
      <c r="B6" s="3060" t="s">
        <v>3794</v>
      </c>
      <c r="C6" s="3061" t="s">
        <v>3799</v>
      </c>
      <c r="D6" s="3061" t="s">
        <v>3796</v>
      </c>
      <c r="E6" s="3062" t="s">
        <v>3071</v>
      </c>
      <c r="F6" s="3073"/>
      <c r="G6" s="3074"/>
      <c r="H6" s="3073"/>
      <c r="I6" s="3065" t="s">
        <v>3791</v>
      </c>
      <c r="J6" s="3066"/>
      <c r="K6" s="1602" t="s">
        <v>3797</v>
      </c>
      <c r="L6" s="1614" t="s">
        <v>2315</v>
      </c>
      <c r="M6" s="1614"/>
      <c r="N6" s="3067"/>
      <c r="O6" s="3067"/>
      <c r="P6" s="3068">
        <v>93</v>
      </c>
      <c r="Q6" s="3069">
        <v>93</v>
      </c>
      <c r="R6" s="3068">
        <v>93</v>
      </c>
      <c r="S6" s="3069">
        <v>93</v>
      </c>
      <c r="T6" s="3068" t="s">
        <v>2610</v>
      </c>
      <c r="U6" s="3068" t="s">
        <v>2610</v>
      </c>
      <c r="V6" s="3068">
        <v>0</v>
      </c>
      <c r="W6" s="3068">
        <v>0</v>
      </c>
      <c r="X6" s="3068" t="s">
        <v>2133</v>
      </c>
      <c r="Y6" s="3068" t="s">
        <v>2133</v>
      </c>
      <c r="Z6" s="3068" t="s">
        <v>2133</v>
      </c>
      <c r="AA6" s="3068" t="s">
        <v>2702</v>
      </c>
      <c r="AB6" s="3070" t="s">
        <v>2133</v>
      </c>
      <c r="AC6" s="3056" t="s">
        <v>2723</v>
      </c>
      <c r="AD6" s="3071"/>
      <c r="AE6" s="3072"/>
    </row>
    <row r="7" spans="1:32" ht="21" customHeight="1">
      <c r="A7" s="3059" t="s">
        <v>3793</v>
      </c>
      <c r="B7" s="3060" t="s">
        <v>3794</v>
      </c>
      <c r="C7" s="3061" t="s">
        <v>3800</v>
      </c>
      <c r="D7" s="3061" t="s">
        <v>3796</v>
      </c>
      <c r="E7" s="3062" t="s">
        <v>3071</v>
      </c>
      <c r="F7" s="3073"/>
      <c r="G7" s="3074"/>
      <c r="H7" s="3073"/>
      <c r="I7" s="3065" t="s">
        <v>3791</v>
      </c>
      <c r="J7" s="3066"/>
      <c r="K7" s="1602" t="s">
        <v>3797</v>
      </c>
      <c r="L7" s="1614" t="s">
        <v>2315</v>
      </c>
      <c r="M7" s="1614"/>
      <c r="N7" s="3067"/>
      <c r="O7" s="3067"/>
      <c r="P7" s="3068">
        <v>93</v>
      </c>
      <c r="Q7" s="3069">
        <v>93</v>
      </c>
      <c r="R7" s="3068">
        <v>93</v>
      </c>
      <c r="S7" s="3069">
        <v>93</v>
      </c>
      <c r="T7" s="3068" t="s">
        <v>2610</v>
      </c>
      <c r="U7" s="3068" t="s">
        <v>2610</v>
      </c>
      <c r="V7" s="3068">
        <v>0</v>
      </c>
      <c r="W7" s="3068">
        <v>0</v>
      </c>
      <c r="X7" s="3068" t="s">
        <v>2133</v>
      </c>
      <c r="Y7" s="3068" t="s">
        <v>2133</v>
      </c>
      <c r="Z7" s="3068" t="s">
        <v>2133</v>
      </c>
      <c r="AA7" s="3068" t="s">
        <v>2702</v>
      </c>
      <c r="AB7" s="3070" t="s">
        <v>2133</v>
      </c>
      <c r="AC7" s="3056" t="s">
        <v>2723</v>
      </c>
      <c r="AD7" s="3071"/>
      <c r="AE7" s="3072"/>
    </row>
    <row r="8" spans="1:32" ht="21" customHeight="1">
      <c r="A8" s="3075"/>
      <c r="B8" s="3076" t="s">
        <v>2157</v>
      </c>
      <c r="C8" s="3076"/>
      <c r="D8" s="3076" t="s">
        <v>3801</v>
      </c>
      <c r="E8" s="3077" t="s">
        <v>3071</v>
      </c>
      <c r="F8" s="2685">
        <v>35</v>
      </c>
      <c r="G8" s="3078"/>
      <c r="H8" s="2685"/>
      <c r="I8" s="3079" t="s">
        <v>3791</v>
      </c>
      <c r="J8" s="3080"/>
      <c r="K8" s="1618" t="s">
        <v>3792</v>
      </c>
      <c r="L8" s="1630" t="s">
        <v>3798</v>
      </c>
      <c r="M8" s="1630"/>
      <c r="N8" s="3081"/>
      <c r="O8" s="3081">
        <v>35</v>
      </c>
      <c r="P8" s="2675">
        <v>93</v>
      </c>
      <c r="Q8" s="3082">
        <v>93</v>
      </c>
      <c r="R8" s="2675">
        <v>93</v>
      </c>
      <c r="S8" s="3082">
        <v>93</v>
      </c>
      <c r="T8" s="2675" t="s">
        <v>2610</v>
      </c>
      <c r="U8" s="2675" t="s">
        <v>2610</v>
      </c>
      <c r="V8" s="2675">
        <v>0</v>
      </c>
      <c r="W8" s="2675">
        <v>0</v>
      </c>
      <c r="X8" s="2675" t="s">
        <v>2133</v>
      </c>
      <c r="Y8" s="2675" t="s">
        <v>2133</v>
      </c>
      <c r="Z8" s="2675" t="s">
        <v>2133</v>
      </c>
      <c r="AA8" s="2675" t="s">
        <v>2702</v>
      </c>
      <c r="AB8" s="3083" t="s">
        <v>2133</v>
      </c>
      <c r="AC8" s="1093" t="s">
        <v>2723</v>
      </c>
      <c r="AD8" s="2423"/>
      <c r="AE8" s="1095"/>
    </row>
    <row r="9" spans="1:32" ht="21" customHeight="1">
      <c r="A9" s="2416" t="s">
        <v>3788</v>
      </c>
      <c r="B9" s="1096" t="s">
        <v>2426</v>
      </c>
      <c r="C9" s="3084"/>
      <c r="D9" s="1096" t="s">
        <v>2886</v>
      </c>
      <c r="E9" s="2419" t="s">
        <v>3802</v>
      </c>
      <c r="F9" s="3085">
        <v>93</v>
      </c>
      <c r="G9" s="3086">
        <v>93</v>
      </c>
      <c r="H9" s="3085">
        <v>11</v>
      </c>
      <c r="I9" s="3087" t="s">
        <v>3791</v>
      </c>
      <c r="J9" s="3088">
        <v>3007</v>
      </c>
      <c r="K9" s="3089" t="s">
        <v>3803</v>
      </c>
      <c r="L9" s="3090" t="s">
        <v>2419</v>
      </c>
      <c r="M9" s="3091"/>
      <c r="N9" s="3092"/>
      <c r="O9" s="3093">
        <v>93</v>
      </c>
      <c r="P9" s="966">
        <v>118</v>
      </c>
      <c r="Q9" s="3094">
        <v>118</v>
      </c>
      <c r="R9" s="966"/>
      <c r="S9" s="3094"/>
      <c r="T9" s="966"/>
      <c r="U9" s="958"/>
      <c r="V9" s="965">
        <v>2</v>
      </c>
      <c r="W9" s="965"/>
      <c r="X9" s="966" t="s">
        <v>2133</v>
      </c>
      <c r="Y9" s="965" t="s">
        <v>3804</v>
      </c>
      <c r="Z9" s="958" t="s">
        <v>3804</v>
      </c>
      <c r="AA9" s="967" t="s">
        <v>2161</v>
      </c>
      <c r="AB9" s="967" t="s">
        <v>2688</v>
      </c>
      <c r="AC9" s="1093" t="s">
        <v>3805</v>
      </c>
      <c r="AD9" s="2423"/>
      <c r="AE9" s="1095"/>
    </row>
    <row r="10" spans="1:32" ht="21" customHeight="1">
      <c r="A10" s="2304" t="s">
        <v>3788</v>
      </c>
      <c r="B10" s="1170" t="s">
        <v>3806</v>
      </c>
      <c r="C10" s="3095" t="s">
        <v>3807</v>
      </c>
      <c r="D10" s="1132" t="s">
        <v>3808</v>
      </c>
      <c r="E10" s="2395" t="s">
        <v>2944</v>
      </c>
      <c r="F10" s="2305">
        <v>46</v>
      </c>
      <c r="G10" s="3096">
        <v>46</v>
      </c>
      <c r="H10" s="2305">
        <v>11</v>
      </c>
      <c r="I10" s="3097" t="s">
        <v>3791</v>
      </c>
      <c r="J10" s="2300">
        <v>200</v>
      </c>
      <c r="K10" s="1098" t="s">
        <v>3809</v>
      </c>
      <c r="L10" s="1099" t="s">
        <v>2256</v>
      </c>
      <c r="M10" s="1100"/>
      <c r="N10" s="2301"/>
      <c r="O10" s="2302">
        <v>46</v>
      </c>
      <c r="P10" s="1105">
        <v>122</v>
      </c>
      <c r="Q10" s="1106">
        <v>126</v>
      </c>
      <c r="R10" s="1105">
        <v>122</v>
      </c>
      <c r="S10" s="1106">
        <v>126</v>
      </c>
      <c r="T10" s="1105" t="s">
        <v>2610</v>
      </c>
      <c r="U10" s="1108" t="s">
        <v>2610</v>
      </c>
      <c r="V10" s="1050">
        <v>0</v>
      </c>
      <c r="W10" s="1050">
        <v>0</v>
      </c>
      <c r="X10" s="1105" t="s">
        <v>2133</v>
      </c>
      <c r="Y10" s="1050" t="s">
        <v>2688</v>
      </c>
      <c r="Z10" s="1108" t="s">
        <v>2688</v>
      </c>
      <c r="AA10" s="1109" t="s">
        <v>2702</v>
      </c>
      <c r="AB10" s="1109" t="s">
        <v>2133</v>
      </c>
      <c r="AC10" s="1093" t="s">
        <v>2723</v>
      </c>
      <c r="AD10" s="3098"/>
      <c r="AE10" s="1095"/>
    </row>
    <row r="11" spans="1:32" ht="21" customHeight="1">
      <c r="A11" s="2404"/>
      <c r="B11" s="1132" t="s">
        <v>2361</v>
      </c>
      <c r="C11" s="3099"/>
      <c r="D11" s="1132" t="s">
        <v>3810</v>
      </c>
      <c r="E11" s="2395" t="s">
        <v>3811</v>
      </c>
      <c r="F11" s="2305">
        <v>97</v>
      </c>
      <c r="G11" s="3096">
        <v>97</v>
      </c>
      <c r="H11" s="2305">
        <v>11</v>
      </c>
      <c r="I11" s="3097" t="s">
        <v>3791</v>
      </c>
      <c r="J11" s="3226">
        <v>3013</v>
      </c>
      <c r="K11" s="3023" t="s">
        <v>3591</v>
      </c>
      <c r="L11" s="1099" t="s">
        <v>2359</v>
      </c>
      <c r="M11" s="1100"/>
      <c r="N11" s="2301"/>
      <c r="O11" s="2302">
        <v>97</v>
      </c>
      <c r="P11" s="1105">
        <v>105</v>
      </c>
      <c r="Q11" s="1106">
        <v>106</v>
      </c>
      <c r="R11" s="1105">
        <v>40</v>
      </c>
      <c r="S11" s="1106">
        <v>40</v>
      </c>
      <c r="T11" s="1105" t="s">
        <v>2609</v>
      </c>
      <c r="U11" s="1108" t="s">
        <v>2610</v>
      </c>
      <c r="V11" s="1050">
        <v>1</v>
      </c>
      <c r="W11" s="1050">
        <v>0</v>
      </c>
      <c r="X11" s="1105" t="s">
        <v>2133</v>
      </c>
      <c r="Y11" s="1050" t="s">
        <v>2133</v>
      </c>
      <c r="Z11" s="1108" t="s">
        <v>2133</v>
      </c>
      <c r="AA11" s="1109" t="s">
        <v>2240</v>
      </c>
      <c r="AB11" s="1109" t="s">
        <v>2602</v>
      </c>
      <c r="AC11" s="1093" t="s">
        <v>3812</v>
      </c>
      <c r="AD11" s="2428"/>
      <c r="AE11" s="1095"/>
    </row>
    <row r="12" spans="1:32" ht="21" customHeight="1">
      <c r="A12" s="2404"/>
      <c r="B12" s="1132" t="s">
        <v>3813</v>
      </c>
      <c r="C12" s="3099" t="s">
        <v>3814</v>
      </c>
      <c r="D12" s="1132" t="s">
        <v>3815</v>
      </c>
      <c r="E12" s="2395" t="s">
        <v>3816</v>
      </c>
      <c r="F12" s="2305">
        <v>25</v>
      </c>
      <c r="G12" s="3096">
        <v>25</v>
      </c>
      <c r="H12" s="2305">
        <v>11</v>
      </c>
      <c r="I12" s="3097" t="s">
        <v>3791</v>
      </c>
      <c r="J12" s="2300">
        <v>238</v>
      </c>
      <c r="K12" s="1098" t="s">
        <v>3817</v>
      </c>
      <c r="L12" s="1099" t="s">
        <v>3798</v>
      </c>
      <c r="M12" s="1100"/>
      <c r="N12" s="2301"/>
      <c r="O12" s="2302">
        <v>25</v>
      </c>
      <c r="P12" s="1105">
        <v>90</v>
      </c>
      <c r="Q12" s="1106">
        <v>92</v>
      </c>
      <c r="R12" s="1105">
        <v>85</v>
      </c>
      <c r="S12" s="1106">
        <v>87</v>
      </c>
      <c r="T12" s="1105" t="s">
        <v>2609</v>
      </c>
      <c r="U12" s="1108" t="s">
        <v>2610</v>
      </c>
      <c r="V12" s="1050">
        <v>13</v>
      </c>
      <c r="W12" s="1050">
        <v>13</v>
      </c>
      <c r="X12" s="1105" t="s">
        <v>2133</v>
      </c>
      <c r="Y12" s="1050" t="s">
        <v>2133</v>
      </c>
      <c r="Z12" s="1108" t="s">
        <v>2133</v>
      </c>
      <c r="AA12" s="1109" t="s">
        <v>2240</v>
      </c>
      <c r="AB12" s="1109" t="s">
        <v>2133</v>
      </c>
      <c r="AC12" s="1093" t="s">
        <v>2723</v>
      </c>
      <c r="AD12" s="2428"/>
      <c r="AE12" s="1095"/>
    </row>
    <row r="13" spans="1:32" ht="21" customHeight="1">
      <c r="A13" s="2404"/>
      <c r="B13" s="3100" t="s">
        <v>2351</v>
      </c>
      <c r="C13" s="3099"/>
      <c r="D13" s="1132" t="s">
        <v>3818</v>
      </c>
      <c r="E13" s="2395" t="s">
        <v>3819</v>
      </c>
      <c r="F13" s="2305">
        <v>39</v>
      </c>
      <c r="G13" s="3096">
        <v>39</v>
      </c>
      <c r="H13" s="2305">
        <v>11</v>
      </c>
      <c r="I13" s="3097" t="s">
        <v>3791</v>
      </c>
      <c r="J13" s="2300">
        <v>247</v>
      </c>
      <c r="K13" s="1098" t="s">
        <v>3820</v>
      </c>
      <c r="L13" s="1099" t="s">
        <v>3821</v>
      </c>
      <c r="M13" s="1100"/>
      <c r="N13" s="2301"/>
      <c r="O13" s="2302">
        <v>39</v>
      </c>
      <c r="P13" s="1105">
        <v>50</v>
      </c>
      <c r="Q13" s="1106">
        <v>81</v>
      </c>
      <c r="R13" s="1105">
        <v>50</v>
      </c>
      <c r="S13" s="1106">
        <v>81</v>
      </c>
      <c r="T13" s="1105" t="s">
        <v>2610</v>
      </c>
      <c r="U13" s="1108" t="s">
        <v>2610</v>
      </c>
      <c r="V13" s="1050">
        <v>16</v>
      </c>
      <c r="W13" s="1050">
        <v>11</v>
      </c>
      <c r="X13" s="1105" t="s">
        <v>2133</v>
      </c>
      <c r="Y13" s="1050" t="s">
        <v>2133</v>
      </c>
      <c r="Z13" s="1108" t="s">
        <v>2133</v>
      </c>
      <c r="AA13" s="1109" t="s">
        <v>2274</v>
      </c>
      <c r="AB13" s="1109" t="s">
        <v>2602</v>
      </c>
      <c r="AC13" s="1093" t="s">
        <v>3812</v>
      </c>
      <c r="AD13" s="2422"/>
      <c r="AE13" s="1113"/>
    </row>
    <row r="14" spans="1:32" ht="21" customHeight="1">
      <c r="A14" s="3101" t="s">
        <v>3822</v>
      </c>
      <c r="B14" s="3102" t="s">
        <v>3823</v>
      </c>
      <c r="C14" s="3103"/>
      <c r="D14" s="3102" t="s">
        <v>3824</v>
      </c>
      <c r="E14" s="3104" t="s">
        <v>3816</v>
      </c>
      <c r="F14" s="3105">
        <v>23</v>
      </c>
      <c r="G14" s="3106">
        <v>67</v>
      </c>
      <c r="H14" s="3105">
        <v>11</v>
      </c>
      <c r="I14" s="3107" t="s">
        <v>3791</v>
      </c>
      <c r="J14" s="3108">
        <v>231</v>
      </c>
      <c r="K14" s="3109" t="s">
        <v>3825</v>
      </c>
      <c r="L14" s="3110" t="s">
        <v>2315</v>
      </c>
      <c r="M14" s="3111"/>
      <c r="N14" s="3112"/>
      <c r="O14" s="3113">
        <v>23</v>
      </c>
      <c r="P14" s="3114">
        <v>102</v>
      </c>
      <c r="Q14" s="3115">
        <v>125</v>
      </c>
      <c r="R14" s="3114">
        <v>51</v>
      </c>
      <c r="S14" s="3115">
        <v>63</v>
      </c>
      <c r="T14" s="3114" t="s">
        <v>2609</v>
      </c>
      <c r="U14" s="3116" t="s">
        <v>2610</v>
      </c>
      <c r="V14" s="3117">
        <v>1</v>
      </c>
      <c r="W14" s="3117">
        <v>1</v>
      </c>
      <c r="X14" s="3114" t="s">
        <v>2133</v>
      </c>
      <c r="Y14" s="3117" t="s">
        <v>2688</v>
      </c>
      <c r="Z14" s="3116" t="s">
        <v>2688</v>
      </c>
      <c r="AA14" s="3118" t="s">
        <v>3826</v>
      </c>
      <c r="AB14" s="3118" t="s">
        <v>2133</v>
      </c>
      <c r="AC14" s="3056" t="s">
        <v>2670</v>
      </c>
      <c r="AD14" s="3057"/>
      <c r="AE14" s="3072"/>
    </row>
    <row r="15" spans="1:32" ht="21" customHeight="1">
      <c r="A15" s="3119"/>
      <c r="B15" s="3120" t="s">
        <v>3827</v>
      </c>
      <c r="C15" s="3121" t="s">
        <v>3828</v>
      </c>
      <c r="D15" s="3122" t="s">
        <v>3829</v>
      </c>
      <c r="E15" s="3123" t="s">
        <v>3830</v>
      </c>
      <c r="F15" s="3124">
        <v>44</v>
      </c>
      <c r="G15" s="3125"/>
      <c r="H15" s="3124"/>
      <c r="I15" s="3126" t="s">
        <v>3791</v>
      </c>
      <c r="J15" s="3127"/>
      <c r="K15" s="3128" t="s">
        <v>3825</v>
      </c>
      <c r="L15" s="3129" t="s">
        <v>2315</v>
      </c>
      <c r="M15" s="3130"/>
      <c r="N15" s="3131"/>
      <c r="O15" s="3132">
        <v>44</v>
      </c>
      <c r="P15" s="3133">
        <v>102</v>
      </c>
      <c r="Q15" s="3134">
        <v>125</v>
      </c>
      <c r="R15" s="3133">
        <v>51</v>
      </c>
      <c r="S15" s="3134">
        <v>63</v>
      </c>
      <c r="T15" s="3133" t="s">
        <v>2609</v>
      </c>
      <c r="U15" s="3135" t="s">
        <v>2610</v>
      </c>
      <c r="V15" s="3136">
        <v>1</v>
      </c>
      <c r="W15" s="3136">
        <v>1</v>
      </c>
      <c r="X15" s="3133" t="s">
        <v>2133</v>
      </c>
      <c r="Y15" s="3136" t="s">
        <v>2688</v>
      </c>
      <c r="Z15" s="3135" t="s">
        <v>2688</v>
      </c>
      <c r="AA15" s="3137" t="s">
        <v>3826</v>
      </c>
      <c r="AB15" s="3137" t="s">
        <v>2133</v>
      </c>
      <c r="AC15" s="1093" t="s">
        <v>2670</v>
      </c>
      <c r="AD15" s="2422"/>
      <c r="AE15" s="1095"/>
    </row>
    <row r="16" spans="1:32" ht="21" customHeight="1">
      <c r="A16" s="2416" t="s">
        <v>3788</v>
      </c>
      <c r="B16" s="1096" t="s">
        <v>3831</v>
      </c>
      <c r="C16" s="3084"/>
      <c r="D16" s="1096" t="s">
        <v>3832</v>
      </c>
      <c r="E16" s="2419" t="s">
        <v>3833</v>
      </c>
      <c r="F16" s="3085">
        <v>70</v>
      </c>
      <c r="G16" s="3086">
        <v>70</v>
      </c>
      <c r="H16" s="3085">
        <v>11</v>
      </c>
      <c r="I16" s="3087" t="s">
        <v>3791</v>
      </c>
      <c r="J16" s="3138">
        <v>2044</v>
      </c>
      <c r="K16" s="3139" t="s">
        <v>3834</v>
      </c>
      <c r="L16" s="3090" t="s">
        <v>2385</v>
      </c>
      <c r="M16" s="3091"/>
      <c r="N16" s="3092"/>
      <c r="O16" s="3140">
        <v>70</v>
      </c>
      <c r="P16" s="966">
        <v>158</v>
      </c>
      <c r="Q16" s="3094">
        <v>175</v>
      </c>
      <c r="R16" s="966">
        <v>84</v>
      </c>
      <c r="S16" s="3094">
        <v>92</v>
      </c>
      <c r="T16" s="966" t="s">
        <v>2609</v>
      </c>
      <c r="U16" s="958" t="s">
        <v>2610</v>
      </c>
      <c r="V16" s="965">
        <v>0</v>
      </c>
      <c r="W16" s="965">
        <v>0</v>
      </c>
      <c r="X16" s="966" t="s">
        <v>2133</v>
      </c>
      <c r="Y16" s="965" t="s">
        <v>2688</v>
      </c>
      <c r="Z16" s="958" t="s">
        <v>2688</v>
      </c>
      <c r="AA16" s="967" t="s">
        <v>2160</v>
      </c>
      <c r="AB16" s="967" t="s">
        <v>2133</v>
      </c>
      <c r="AC16" s="1093" t="s">
        <v>2723</v>
      </c>
      <c r="AD16" s="2422"/>
      <c r="AE16" s="1095"/>
    </row>
    <row r="17" spans="1:31" ht="21" customHeight="1">
      <c r="A17" s="2304" t="s">
        <v>3788</v>
      </c>
      <c r="B17" s="1170" t="s">
        <v>3835</v>
      </c>
      <c r="C17" s="3099" t="s">
        <v>3836</v>
      </c>
      <c r="D17" s="1132" t="s">
        <v>3837</v>
      </c>
      <c r="E17" s="2395" t="s">
        <v>3838</v>
      </c>
      <c r="F17" s="2305">
        <v>65</v>
      </c>
      <c r="G17" s="3096">
        <v>65</v>
      </c>
      <c r="H17" s="2305">
        <v>11</v>
      </c>
      <c r="I17" s="3097" t="s">
        <v>3791</v>
      </c>
      <c r="J17" s="2300">
        <v>189</v>
      </c>
      <c r="K17" s="1098" t="s">
        <v>3839</v>
      </c>
      <c r="L17" s="1099" t="s">
        <v>2171</v>
      </c>
      <c r="M17" s="1100"/>
      <c r="N17" s="2301"/>
      <c r="O17" s="2302">
        <v>65</v>
      </c>
      <c r="P17" s="1105">
        <v>135</v>
      </c>
      <c r="Q17" s="1106">
        <v>144</v>
      </c>
      <c r="R17" s="1105">
        <v>34</v>
      </c>
      <c r="S17" s="1106">
        <v>36</v>
      </c>
      <c r="T17" s="1105" t="s">
        <v>2609</v>
      </c>
      <c r="U17" s="1108" t="s">
        <v>2610</v>
      </c>
      <c r="V17" s="1050">
        <v>0</v>
      </c>
      <c r="W17" s="1050">
        <v>0</v>
      </c>
      <c r="X17" s="1105" t="s">
        <v>2133</v>
      </c>
      <c r="Y17" s="1050" t="s">
        <v>2688</v>
      </c>
      <c r="Z17" s="1108" t="s">
        <v>2688</v>
      </c>
      <c r="AA17" s="1109" t="s">
        <v>2168</v>
      </c>
      <c r="AB17" s="1109" t="s">
        <v>2133</v>
      </c>
      <c r="AC17" s="3056" t="s">
        <v>2723</v>
      </c>
      <c r="AD17" s="3141"/>
      <c r="AE17" s="3058"/>
    </row>
    <row r="18" spans="1:31" ht="21" customHeight="1">
      <c r="A18" s="3101"/>
      <c r="B18" s="3102" t="s">
        <v>2148</v>
      </c>
      <c r="C18" s="3103"/>
      <c r="D18" s="3102" t="s">
        <v>3840</v>
      </c>
      <c r="E18" s="3104" t="s">
        <v>3841</v>
      </c>
      <c r="F18" s="3105">
        <v>80</v>
      </c>
      <c r="G18" s="3106">
        <v>219</v>
      </c>
      <c r="H18" s="3105">
        <v>11</v>
      </c>
      <c r="I18" s="3107" t="s">
        <v>3791</v>
      </c>
      <c r="J18" s="3108">
        <v>172</v>
      </c>
      <c r="K18" s="3109" t="s">
        <v>2166</v>
      </c>
      <c r="L18" s="3110" t="s">
        <v>2138</v>
      </c>
      <c r="M18" s="3111"/>
      <c r="N18" s="3112"/>
      <c r="O18" s="3113">
        <v>80</v>
      </c>
      <c r="P18" s="3114">
        <v>203</v>
      </c>
      <c r="Q18" s="3115">
        <v>251</v>
      </c>
      <c r="R18" s="3114">
        <v>129</v>
      </c>
      <c r="S18" s="3115">
        <v>157</v>
      </c>
      <c r="T18" s="3114" t="s">
        <v>3842</v>
      </c>
      <c r="U18" s="3116" t="s">
        <v>2610</v>
      </c>
      <c r="V18" s="3117">
        <v>9</v>
      </c>
      <c r="W18" s="3117">
        <v>6</v>
      </c>
      <c r="X18" s="3114" t="s">
        <v>2133</v>
      </c>
      <c r="Y18" s="3117" t="s">
        <v>2133</v>
      </c>
      <c r="Z18" s="3116" t="s">
        <v>2133</v>
      </c>
      <c r="AA18" s="3118" t="s">
        <v>2168</v>
      </c>
      <c r="AB18" s="3118" t="s">
        <v>2612</v>
      </c>
      <c r="AC18" s="1093" t="s">
        <v>2670</v>
      </c>
      <c r="AD18" s="2423"/>
      <c r="AE18" s="1095"/>
    </row>
    <row r="19" spans="1:31" ht="21" customHeight="1">
      <c r="A19" s="3142"/>
      <c r="B19" s="3143" t="s">
        <v>2162</v>
      </c>
      <c r="C19" s="3144"/>
      <c r="D19" s="3143" t="s">
        <v>3843</v>
      </c>
      <c r="E19" s="3145" t="s">
        <v>3841</v>
      </c>
      <c r="F19" s="3146">
        <v>76</v>
      </c>
      <c r="G19" s="3147"/>
      <c r="H19" s="3146"/>
      <c r="I19" s="3148" t="s">
        <v>3791</v>
      </c>
      <c r="J19" s="3149"/>
      <c r="K19" s="3150" t="s">
        <v>2166</v>
      </c>
      <c r="L19" s="3151" t="s">
        <v>2138</v>
      </c>
      <c r="M19" s="3152"/>
      <c r="N19" s="3153"/>
      <c r="O19" s="3154">
        <v>76</v>
      </c>
      <c r="P19" s="3155">
        <v>203</v>
      </c>
      <c r="Q19" s="3156">
        <v>251</v>
      </c>
      <c r="R19" s="3155">
        <v>129</v>
      </c>
      <c r="S19" s="3156">
        <v>157</v>
      </c>
      <c r="T19" s="3155" t="s">
        <v>3842</v>
      </c>
      <c r="U19" s="3157" t="s">
        <v>2610</v>
      </c>
      <c r="V19" s="3158">
        <v>9</v>
      </c>
      <c r="W19" s="3158">
        <v>6</v>
      </c>
      <c r="X19" s="3155" t="s">
        <v>2133</v>
      </c>
      <c r="Y19" s="3158" t="s">
        <v>2133</v>
      </c>
      <c r="Z19" s="3157" t="s">
        <v>2133</v>
      </c>
      <c r="AA19" s="3159" t="s">
        <v>2168</v>
      </c>
      <c r="AB19" s="3159" t="s">
        <v>2612</v>
      </c>
      <c r="AC19" s="3056" t="s">
        <v>2723</v>
      </c>
      <c r="AD19" s="3057"/>
      <c r="AE19" s="3072"/>
    </row>
    <row r="20" spans="1:31" ht="21" customHeight="1">
      <c r="A20" s="3160"/>
      <c r="B20" s="3122" t="s">
        <v>2164</v>
      </c>
      <c r="C20" s="3161"/>
      <c r="D20" s="3122" t="s">
        <v>3840</v>
      </c>
      <c r="E20" s="3123" t="s">
        <v>3841</v>
      </c>
      <c r="F20" s="3124">
        <v>63</v>
      </c>
      <c r="G20" s="3125"/>
      <c r="H20" s="3124"/>
      <c r="I20" s="3126" t="s">
        <v>3791</v>
      </c>
      <c r="J20" s="3127"/>
      <c r="K20" s="3128" t="s">
        <v>2166</v>
      </c>
      <c r="L20" s="3129" t="s">
        <v>2138</v>
      </c>
      <c r="M20" s="3130"/>
      <c r="N20" s="3131"/>
      <c r="O20" s="3132">
        <v>63</v>
      </c>
      <c r="P20" s="3133">
        <v>203</v>
      </c>
      <c r="Q20" s="3134">
        <v>251</v>
      </c>
      <c r="R20" s="3133">
        <v>129</v>
      </c>
      <c r="S20" s="3134">
        <v>157</v>
      </c>
      <c r="T20" s="3133" t="s">
        <v>3842</v>
      </c>
      <c r="U20" s="3135" t="s">
        <v>2610</v>
      </c>
      <c r="V20" s="3136">
        <v>9</v>
      </c>
      <c r="W20" s="3136">
        <v>6</v>
      </c>
      <c r="X20" s="3133" t="s">
        <v>2133</v>
      </c>
      <c r="Y20" s="3136" t="s">
        <v>2133</v>
      </c>
      <c r="Z20" s="3135" t="s">
        <v>2133</v>
      </c>
      <c r="AA20" s="3137" t="s">
        <v>2168</v>
      </c>
      <c r="AB20" s="3137" t="s">
        <v>2612</v>
      </c>
      <c r="AC20" s="3056" t="s">
        <v>2670</v>
      </c>
      <c r="AD20" s="3057"/>
      <c r="AE20" s="3072"/>
    </row>
    <row r="21" spans="1:31" ht="21" customHeight="1">
      <c r="A21" s="3162" t="s">
        <v>3822</v>
      </c>
      <c r="B21" s="3163" t="s">
        <v>3844</v>
      </c>
      <c r="C21" s="3103" t="s">
        <v>2422</v>
      </c>
      <c r="D21" s="3102" t="s">
        <v>3845</v>
      </c>
      <c r="E21" s="3104" t="s">
        <v>3802</v>
      </c>
      <c r="F21" s="3105">
        <v>74</v>
      </c>
      <c r="G21" s="3106">
        <v>119</v>
      </c>
      <c r="H21" s="3105">
        <v>11</v>
      </c>
      <c r="I21" s="3107" t="s">
        <v>3791</v>
      </c>
      <c r="J21" s="3164">
        <v>3008</v>
      </c>
      <c r="K21" s="3165" t="s">
        <v>3846</v>
      </c>
      <c r="L21" s="3110" t="s">
        <v>2419</v>
      </c>
      <c r="M21" s="3111"/>
      <c r="N21" s="3112"/>
      <c r="O21" s="3113">
        <v>74</v>
      </c>
      <c r="P21" s="3114">
        <v>912</v>
      </c>
      <c r="Q21" s="3115">
        <v>912</v>
      </c>
      <c r="R21" s="3114"/>
      <c r="S21" s="3115"/>
      <c r="T21" s="3114"/>
      <c r="U21" s="3116"/>
      <c r="V21" s="3117">
        <v>2</v>
      </c>
      <c r="W21" s="3117"/>
      <c r="X21" s="3114" t="s">
        <v>2133</v>
      </c>
      <c r="Y21" s="3117" t="s">
        <v>2133</v>
      </c>
      <c r="Z21" s="3116" t="s">
        <v>2133</v>
      </c>
      <c r="AA21" s="3118" t="s">
        <v>2161</v>
      </c>
      <c r="AB21" s="3118" t="s">
        <v>2161</v>
      </c>
      <c r="AC21" s="3056"/>
      <c r="AD21" s="3057"/>
      <c r="AE21" s="3072"/>
    </row>
    <row r="22" spans="1:31" ht="21" customHeight="1">
      <c r="A22" s="3119" t="s">
        <v>3822</v>
      </c>
      <c r="B22" s="3120" t="s">
        <v>3844</v>
      </c>
      <c r="C22" s="3161" t="s">
        <v>2425</v>
      </c>
      <c r="D22" s="3122" t="s">
        <v>3845</v>
      </c>
      <c r="E22" s="3123" t="s">
        <v>3802</v>
      </c>
      <c r="F22" s="3124">
        <v>45</v>
      </c>
      <c r="G22" s="3125"/>
      <c r="H22" s="3124"/>
      <c r="I22" s="3126" t="s">
        <v>3791</v>
      </c>
      <c r="J22" s="3166"/>
      <c r="K22" s="3167" t="s">
        <v>3846</v>
      </c>
      <c r="L22" s="3129" t="s">
        <v>2419</v>
      </c>
      <c r="M22" s="3130"/>
      <c r="N22" s="3131"/>
      <c r="O22" s="3132">
        <v>45</v>
      </c>
      <c r="P22" s="3133">
        <v>912</v>
      </c>
      <c r="Q22" s="3134">
        <v>912</v>
      </c>
      <c r="R22" s="3133"/>
      <c r="S22" s="3134"/>
      <c r="T22" s="3133"/>
      <c r="U22" s="3135"/>
      <c r="V22" s="3136">
        <v>2</v>
      </c>
      <c r="W22" s="3136"/>
      <c r="X22" s="3133" t="s">
        <v>2133</v>
      </c>
      <c r="Y22" s="3136" t="s">
        <v>2133</v>
      </c>
      <c r="Z22" s="3135" t="s">
        <v>2133</v>
      </c>
      <c r="AA22" s="3137" t="s">
        <v>2161</v>
      </c>
      <c r="AB22" s="3137" t="s">
        <v>2161</v>
      </c>
      <c r="AC22" s="3056"/>
      <c r="AD22" s="3168"/>
      <c r="AE22" s="3072"/>
    </row>
    <row r="23" spans="1:31" ht="21" customHeight="1">
      <c r="A23" s="2304" t="s">
        <v>3788</v>
      </c>
      <c r="B23" s="1170" t="s">
        <v>3806</v>
      </c>
      <c r="C23" s="3095" t="s">
        <v>3807</v>
      </c>
      <c r="D23" s="1132" t="s">
        <v>3847</v>
      </c>
      <c r="E23" s="2395" t="s">
        <v>3848</v>
      </c>
      <c r="F23" s="2305">
        <v>35</v>
      </c>
      <c r="G23" s="3096">
        <v>35</v>
      </c>
      <c r="H23" s="2305">
        <v>11</v>
      </c>
      <c r="I23" s="3097" t="s">
        <v>3791</v>
      </c>
      <c r="J23" s="3169">
        <v>3009</v>
      </c>
      <c r="K23" s="3023" t="s">
        <v>3849</v>
      </c>
      <c r="L23" s="1099" t="s">
        <v>2417</v>
      </c>
      <c r="M23" s="1100"/>
      <c r="N23" s="2301"/>
      <c r="O23" s="2302">
        <v>35</v>
      </c>
      <c r="P23" s="1105">
        <v>238</v>
      </c>
      <c r="Q23" s="1106"/>
      <c r="R23" s="1105"/>
      <c r="S23" s="1106"/>
      <c r="T23" s="1105"/>
      <c r="U23" s="1108"/>
      <c r="V23" s="1050"/>
      <c r="W23" s="1050"/>
      <c r="X23" s="1105"/>
      <c r="Y23" s="1050"/>
      <c r="Z23" s="1108"/>
      <c r="AA23" s="1109"/>
      <c r="AB23" s="1109"/>
      <c r="AC23" s="1093" t="s">
        <v>2133</v>
      </c>
      <c r="AD23" s="2422"/>
      <c r="AE23" s="1095"/>
    </row>
    <row r="24" spans="1:31" ht="21" customHeight="1">
      <c r="A24" s="2426" t="s">
        <v>3822</v>
      </c>
      <c r="B24" s="1114" t="s">
        <v>3844</v>
      </c>
      <c r="C24" s="3084" t="s">
        <v>2411</v>
      </c>
      <c r="D24" s="1096" t="s">
        <v>3850</v>
      </c>
      <c r="E24" s="2419" t="s">
        <v>3851</v>
      </c>
      <c r="F24" s="3085">
        <v>34</v>
      </c>
      <c r="G24" s="3086">
        <v>34</v>
      </c>
      <c r="H24" s="3085">
        <v>11</v>
      </c>
      <c r="I24" s="3087" t="s">
        <v>3791</v>
      </c>
      <c r="J24" s="3088">
        <v>3010</v>
      </c>
      <c r="K24" s="3170" t="s">
        <v>3852</v>
      </c>
      <c r="L24" s="3090" t="s">
        <v>2408</v>
      </c>
      <c r="M24" s="3091"/>
      <c r="N24" s="3092"/>
      <c r="O24" s="3093">
        <v>34</v>
      </c>
      <c r="P24" s="966">
        <v>155</v>
      </c>
      <c r="Q24" s="3094"/>
      <c r="R24" s="966"/>
      <c r="S24" s="3094"/>
      <c r="T24" s="966"/>
      <c r="U24" s="958"/>
      <c r="V24" s="965"/>
      <c r="W24" s="965"/>
      <c r="X24" s="966"/>
      <c r="Y24" s="965"/>
      <c r="Z24" s="958"/>
      <c r="AA24" s="967"/>
      <c r="AB24" s="967"/>
      <c r="AC24" s="1093" t="s">
        <v>2133</v>
      </c>
      <c r="AD24" s="2423"/>
      <c r="AE24" s="1095"/>
    </row>
    <row r="25" spans="1:31" ht="21" customHeight="1">
      <c r="A25" s="2426" t="s">
        <v>3788</v>
      </c>
      <c r="B25" s="1114" t="s">
        <v>3806</v>
      </c>
      <c r="C25" s="3171" t="s">
        <v>3807</v>
      </c>
      <c r="D25" s="1096" t="s">
        <v>3853</v>
      </c>
      <c r="E25" s="2419" t="s">
        <v>3854</v>
      </c>
      <c r="F25" s="2420">
        <v>35</v>
      </c>
      <c r="G25" s="3172">
        <v>35</v>
      </c>
      <c r="H25" s="2420">
        <v>11</v>
      </c>
      <c r="I25" s="3173" t="s">
        <v>3791</v>
      </c>
      <c r="J25" s="2408">
        <v>2043</v>
      </c>
      <c r="K25" s="2409" t="s">
        <v>3613</v>
      </c>
      <c r="L25" s="2410" t="s">
        <v>2402</v>
      </c>
      <c r="M25" s="1084"/>
      <c r="N25" s="2411"/>
      <c r="O25" s="2412">
        <v>35</v>
      </c>
      <c r="P25" s="1089">
        <v>63</v>
      </c>
      <c r="Q25" s="1090">
        <v>72</v>
      </c>
      <c r="R25" s="1089">
        <v>30</v>
      </c>
      <c r="S25" s="1090">
        <v>36</v>
      </c>
      <c r="T25" s="1089" t="s">
        <v>2609</v>
      </c>
      <c r="U25" s="1092" t="s">
        <v>3855</v>
      </c>
      <c r="V25" s="1093">
        <v>11</v>
      </c>
      <c r="W25" s="1093">
        <v>2</v>
      </c>
      <c r="X25" s="1089" t="s">
        <v>2133</v>
      </c>
      <c r="Y25" s="1093" t="s">
        <v>2133</v>
      </c>
      <c r="Z25" s="1092" t="s">
        <v>2133</v>
      </c>
      <c r="AA25" s="1094" t="s">
        <v>2235</v>
      </c>
      <c r="AB25" s="1094" t="s">
        <v>2602</v>
      </c>
      <c r="AC25" s="1093" t="s">
        <v>2133</v>
      </c>
      <c r="AD25" s="2422"/>
      <c r="AE25" s="1095"/>
    </row>
    <row r="26" spans="1:31" ht="21" customHeight="1">
      <c r="A26" s="3162" t="s">
        <v>3788</v>
      </c>
      <c r="B26" s="3163" t="s">
        <v>3835</v>
      </c>
      <c r="C26" s="3103" t="s">
        <v>3856</v>
      </c>
      <c r="D26" s="3102" t="s">
        <v>3857</v>
      </c>
      <c r="E26" s="3104" t="s">
        <v>3841</v>
      </c>
      <c r="F26" s="3105">
        <v>21</v>
      </c>
      <c r="G26" s="3106">
        <v>81</v>
      </c>
      <c r="H26" s="3105">
        <v>11</v>
      </c>
      <c r="I26" s="3107" t="s">
        <v>3791</v>
      </c>
      <c r="J26" s="3108">
        <v>177</v>
      </c>
      <c r="K26" s="3109" t="s">
        <v>3858</v>
      </c>
      <c r="L26" s="3110" t="s">
        <v>2138</v>
      </c>
      <c r="M26" s="3111"/>
      <c r="N26" s="3112"/>
      <c r="O26" s="3113">
        <v>21</v>
      </c>
      <c r="P26" s="3114">
        <v>73</v>
      </c>
      <c r="Q26" s="3115">
        <v>99</v>
      </c>
      <c r="R26" s="3114">
        <v>73</v>
      </c>
      <c r="S26" s="3115">
        <v>99</v>
      </c>
      <c r="T26" s="3114" t="s">
        <v>2610</v>
      </c>
      <c r="U26" s="3116" t="s">
        <v>2610</v>
      </c>
      <c r="V26" s="3117">
        <v>20</v>
      </c>
      <c r="W26" s="3117">
        <v>18</v>
      </c>
      <c r="X26" s="3114" t="s">
        <v>2133</v>
      </c>
      <c r="Y26" s="3117" t="s">
        <v>2133</v>
      </c>
      <c r="Z26" s="3116" t="s">
        <v>2133</v>
      </c>
      <c r="AA26" s="3118" t="s">
        <v>2168</v>
      </c>
      <c r="AB26" s="3118" t="s">
        <v>2612</v>
      </c>
      <c r="AC26" s="3056" t="s">
        <v>2670</v>
      </c>
      <c r="AD26" s="3141"/>
      <c r="AE26" s="3072"/>
    </row>
    <row r="27" spans="1:31" ht="21" customHeight="1">
      <c r="A27" s="3119" t="s">
        <v>3788</v>
      </c>
      <c r="B27" s="3120" t="s">
        <v>3806</v>
      </c>
      <c r="C27" s="3174" t="s">
        <v>3859</v>
      </c>
      <c r="D27" s="3122" t="s">
        <v>3860</v>
      </c>
      <c r="E27" s="3123" t="s">
        <v>3841</v>
      </c>
      <c r="F27" s="3124">
        <v>60</v>
      </c>
      <c r="G27" s="3125"/>
      <c r="H27" s="3124"/>
      <c r="I27" s="3126" t="s">
        <v>3791</v>
      </c>
      <c r="J27" s="3127"/>
      <c r="K27" s="3128" t="s">
        <v>3858</v>
      </c>
      <c r="L27" s="3129" t="s">
        <v>2138</v>
      </c>
      <c r="M27" s="3130"/>
      <c r="N27" s="3131"/>
      <c r="O27" s="3132">
        <v>60</v>
      </c>
      <c r="P27" s="3133">
        <v>73</v>
      </c>
      <c r="Q27" s="3134">
        <v>99</v>
      </c>
      <c r="R27" s="3133">
        <v>73</v>
      </c>
      <c r="S27" s="3134">
        <v>99</v>
      </c>
      <c r="T27" s="3133" t="s">
        <v>2610</v>
      </c>
      <c r="U27" s="3135" t="s">
        <v>2610</v>
      </c>
      <c r="V27" s="3136">
        <v>20</v>
      </c>
      <c r="W27" s="3136">
        <v>18</v>
      </c>
      <c r="X27" s="3133" t="s">
        <v>2133</v>
      </c>
      <c r="Y27" s="3136" t="s">
        <v>2133</v>
      </c>
      <c r="Z27" s="3135" t="s">
        <v>2133</v>
      </c>
      <c r="AA27" s="3137" t="s">
        <v>2168</v>
      </c>
      <c r="AB27" s="3137" t="s">
        <v>2612</v>
      </c>
      <c r="AC27" s="3056" t="s">
        <v>2670</v>
      </c>
      <c r="AD27" s="3175"/>
      <c r="AE27" s="3072"/>
    </row>
    <row r="28" spans="1:31" ht="21" customHeight="1">
      <c r="A28" s="2304" t="s">
        <v>3788</v>
      </c>
      <c r="B28" s="1170" t="s">
        <v>3806</v>
      </c>
      <c r="C28" s="3095" t="s">
        <v>3859</v>
      </c>
      <c r="D28" s="1132" t="s">
        <v>3861</v>
      </c>
      <c r="E28" s="2395" t="s">
        <v>3862</v>
      </c>
      <c r="F28" s="2305">
        <v>60</v>
      </c>
      <c r="G28" s="3096">
        <v>60</v>
      </c>
      <c r="H28" s="2305">
        <v>11</v>
      </c>
      <c r="I28" s="3097" t="s">
        <v>3791</v>
      </c>
      <c r="J28" s="2300">
        <v>2028</v>
      </c>
      <c r="K28" s="1098" t="s">
        <v>3594</v>
      </c>
      <c r="L28" s="1099" t="s">
        <v>2378</v>
      </c>
      <c r="M28" s="1100"/>
      <c r="N28" s="2301"/>
      <c r="O28" s="2302">
        <v>60</v>
      </c>
      <c r="P28" s="1105">
        <v>60</v>
      </c>
      <c r="Q28" s="1106">
        <v>64</v>
      </c>
      <c r="R28" s="1105">
        <v>30</v>
      </c>
      <c r="S28" s="1106">
        <v>30</v>
      </c>
      <c r="T28" s="1105" t="s">
        <v>2609</v>
      </c>
      <c r="U28" s="1108" t="s">
        <v>2610</v>
      </c>
      <c r="V28" s="1050">
        <v>16</v>
      </c>
      <c r="W28" s="1050">
        <v>16</v>
      </c>
      <c r="X28" s="1105" t="s">
        <v>2133</v>
      </c>
      <c r="Y28" s="1050" t="s">
        <v>2133</v>
      </c>
      <c r="Z28" s="1108" t="s">
        <v>2133</v>
      </c>
      <c r="AA28" s="1109" t="s">
        <v>2240</v>
      </c>
      <c r="AB28" s="1109" t="s">
        <v>2133</v>
      </c>
      <c r="AC28" s="3056" t="s">
        <v>2133</v>
      </c>
      <c r="AD28" s="3141"/>
      <c r="AE28" s="3072"/>
    </row>
    <row r="29" spans="1:31" ht="21" customHeight="1">
      <c r="A29" s="3101" t="s">
        <v>3793</v>
      </c>
      <c r="B29" s="3176" t="s">
        <v>3863</v>
      </c>
      <c r="C29" s="3177" t="s">
        <v>3814</v>
      </c>
      <c r="D29" s="3102" t="s">
        <v>3864</v>
      </c>
      <c r="E29" s="3104" t="s">
        <v>5</v>
      </c>
      <c r="F29" s="3105">
        <v>51</v>
      </c>
      <c r="G29" s="3106">
        <v>51</v>
      </c>
      <c r="H29" s="3105">
        <v>11</v>
      </c>
      <c r="I29" s="3107" t="s">
        <v>3791</v>
      </c>
      <c r="J29" s="3108">
        <v>8</v>
      </c>
      <c r="K29" s="3109" t="s">
        <v>3865</v>
      </c>
      <c r="L29" s="3110" t="s">
        <v>5</v>
      </c>
      <c r="M29" s="3111"/>
      <c r="N29" s="3112"/>
      <c r="O29" s="3113">
        <v>51</v>
      </c>
      <c r="P29" s="3114">
        <v>90</v>
      </c>
      <c r="Q29" s="3115">
        <v>102</v>
      </c>
      <c r="R29" s="3114">
        <v>74</v>
      </c>
      <c r="S29" s="3115">
        <v>83</v>
      </c>
      <c r="T29" s="3114" t="s">
        <v>2609</v>
      </c>
      <c r="U29" s="3116" t="s">
        <v>2610</v>
      </c>
      <c r="V29" s="3117">
        <v>9</v>
      </c>
      <c r="W29" s="3117">
        <v>9</v>
      </c>
      <c r="X29" s="3114" t="s">
        <v>2133</v>
      </c>
      <c r="Y29" s="3117" t="s">
        <v>2133</v>
      </c>
      <c r="Z29" s="3116" t="s">
        <v>2133</v>
      </c>
      <c r="AA29" s="3118" t="s">
        <v>2317</v>
      </c>
      <c r="AB29" s="3118" t="s">
        <v>2133</v>
      </c>
      <c r="AC29" s="3056" t="s">
        <v>2670</v>
      </c>
      <c r="AD29" s="3178"/>
      <c r="AE29" s="3072"/>
    </row>
    <row r="30" spans="1:31" ht="21" customHeight="1">
      <c r="A30" s="3160" t="s">
        <v>3793</v>
      </c>
      <c r="B30" s="3179" t="s">
        <v>3863</v>
      </c>
      <c r="C30" s="3121" t="s">
        <v>3866</v>
      </c>
      <c r="D30" s="3122" t="s">
        <v>3867</v>
      </c>
      <c r="E30" s="3123" t="s">
        <v>3868</v>
      </c>
      <c r="F30" s="3180"/>
      <c r="G30" s="3181"/>
      <c r="H30" s="3180"/>
      <c r="I30" s="3126" t="s">
        <v>3791</v>
      </c>
      <c r="J30" s="3127"/>
      <c r="K30" s="3128" t="s">
        <v>3865</v>
      </c>
      <c r="L30" s="3129" t="s">
        <v>5</v>
      </c>
      <c r="M30" s="3130"/>
      <c r="N30" s="3131"/>
      <c r="O30" s="3132"/>
      <c r="P30" s="3133">
        <v>90</v>
      </c>
      <c r="Q30" s="3134">
        <v>102</v>
      </c>
      <c r="R30" s="3133">
        <v>74</v>
      </c>
      <c r="S30" s="3134">
        <v>83</v>
      </c>
      <c r="T30" s="3133" t="s">
        <v>2609</v>
      </c>
      <c r="U30" s="3135" t="s">
        <v>2610</v>
      </c>
      <c r="V30" s="3136">
        <v>9</v>
      </c>
      <c r="W30" s="3136">
        <v>9</v>
      </c>
      <c r="X30" s="3133" t="s">
        <v>2133</v>
      </c>
      <c r="Y30" s="3136" t="s">
        <v>2133</v>
      </c>
      <c r="Z30" s="3135" t="s">
        <v>2133</v>
      </c>
      <c r="AA30" s="3137" t="s">
        <v>2317</v>
      </c>
      <c r="AB30" s="3137" t="s">
        <v>2133</v>
      </c>
      <c r="AC30" s="3056" t="s">
        <v>2670</v>
      </c>
      <c r="AD30" s="3178"/>
      <c r="AE30" s="3072"/>
    </row>
    <row r="31" spans="1:31" ht="21" customHeight="1">
      <c r="A31" s="2404" t="s">
        <v>3788</v>
      </c>
      <c r="B31" s="1132" t="s">
        <v>2515</v>
      </c>
      <c r="C31" s="3099"/>
      <c r="D31" s="1132" t="s">
        <v>3869</v>
      </c>
      <c r="E31" s="2395" t="s">
        <v>3870</v>
      </c>
      <c r="F31" s="2305">
        <v>76</v>
      </c>
      <c r="G31" s="3096">
        <v>76</v>
      </c>
      <c r="H31" s="2305">
        <v>11</v>
      </c>
      <c r="I31" s="3097" t="s">
        <v>3791</v>
      </c>
      <c r="J31" s="2300">
        <v>2030</v>
      </c>
      <c r="K31" s="1098" t="s">
        <v>3871</v>
      </c>
      <c r="L31" s="1099" t="s">
        <v>2378</v>
      </c>
      <c r="M31" s="1100"/>
      <c r="N31" s="2301"/>
      <c r="O31" s="2302">
        <v>76</v>
      </c>
      <c r="P31" s="1105">
        <v>120</v>
      </c>
      <c r="Q31" s="1106">
        <v>163</v>
      </c>
      <c r="R31" s="1105">
        <v>83</v>
      </c>
      <c r="S31" s="1106">
        <v>113</v>
      </c>
      <c r="T31" s="1105" t="s">
        <v>2609</v>
      </c>
      <c r="U31" s="1108" t="s">
        <v>2610</v>
      </c>
      <c r="V31" s="1050">
        <v>3</v>
      </c>
      <c r="W31" s="1050">
        <v>2</v>
      </c>
      <c r="X31" s="1105" t="s">
        <v>2133</v>
      </c>
      <c r="Y31" s="1050" t="s">
        <v>2133</v>
      </c>
      <c r="Z31" s="1108" t="s">
        <v>2133</v>
      </c>
      <c r="AA31" s="1109" t="s">
        <v>3872</v>
      </c>
      <c r="AB31" s="1109" t="s">
        <v>2133</v>
      </c>
      <c r="AC31" s="3056" t="s">
        <v>2670</v>
      </c>
      <c r="AD31" s="3057"/>
      <c r="AE31" s="3072"/>
    </row>
    <row r="32" spans="1:31" ht="21" customHeight="1">
      <c r="A32" s="3101" t="s">
        <v>3788</v>
      </c>
      <c r="B32" s="3102" t="s">
        <v>2211</v>
      </c>
      <c r="C32" s="3103"/>
      <c r="D32" s="3102" t="s">
        <v>3873</v>
      </c>
      <c r="E32" s="3104" t="s">
        <v>3874</v>
      </c>
      <c r="F32" s="3105">
        <v>32</v>
      </c>
      <c r="G32" s="3106">
        <v>216</v>
      </c>
      <c r="H32" s="3105">
        <v>11</v>
      </c>
      <c r="I32" s="3107" t="s">
        <v>3791</v>
      </c>
      <c r="J32" s="3108">
        <v>22</v>
      </c>
      <c r="K32" s="3109" t="s">
        <v>3512</v>
      </c>
      <c r="L32" s="3110" t="s">
        <v>2138</v>
      </c>
      <c r="M32" s="3111"/>
      <c r="N32" s="3112"/>
      <c r="O32" s="3113">
        <v>32</v>
      </c>
      <c r="P32" s="3114">
        <v>262</v>
      </c>
      <c r="Q32" s="3115">
        <v>262</v>
      </c>
      <c r="R32" s="3114">
        <v>121</v>
      </c>
      <c r="S32" s="3115">
        <v>121</v>
      </c>
      <c r="T32" s="3114" t="s">
        <v>2609</v>
      </c>
      <c r="U32" s="3116" t="s">
        <v>2610</v>
      </c>
      <c r="V32" s="3117">
        <v>0</v>
      </c>
      <c r="W32" s="3117">
        <v>0</v>
      </c>
      <c r="X32" s="3114" t="s">
        <v>2133</v>
      </c>
      <c r="Y32" s="3117" t="s">
        <v>2688</v>
      </c>
      <c r="Z32" s="3116" t="s">
        <v>2688</v>
      </c>
      <c r="AA32" s="3118" t="s">
        <v>2168</v>
      </c>
      <c r="AB32" s="3118" t="s">
        <v>2133</v>
      </c>
      <c r="AC32" s="3056" t="s">
        <v>2670</v>
      </c>
      <c r="AD32" s="3057"/>
      <c r="AE32" s="3072"/>
    </row>
    <row r="33" spans="1:31" ht="21" customHeight="1">
      <c r="A33" s="3182"/>
      <c r="B33" s="3183" t="s">
        <v>2198</v>
      </c>
      <c r="C33" s="3144" t="s">
        <v>2198</v>
      </c>
      <c r="D33" s="3184" t="s">
        <v>3875</v>
      </c>
      <c r="E33" s="3145" t="s">
        <v>7</v>
      </c>
      <c r="F33" s="3146">
        <v>64</v>
      </c>
      <c r="G33" s="3147"/>
      <c r="H33" s="3146"/>
      <c r="I33" s="3148" t="s">
        <v>3791</v>
      </c>
      <c r="J33" s="3149"/>
      <c r="K33" s="3150" t="s">
        <v>3512</v>
      </c>
      <c r="L33" s="3151" t="s">
        <v>2138</v>
      </c>
      <c r="M33" s="3152"/>
      <c r="N33" s="3153"/>
      <c r="O33" s="3154">
        <v>64</v>
      </c>
      <c r="P33" s="3155">
        <v>262</v>
      </c>
      <c r="Q33" s="3156">
        <v>262</v>
      </c>
      <c r="R33" s="3155">
        <v>121</v>
      </c>
      <c r="S33" s="3156">
        <v>121</v>
      </c>
      <c r="T33" s="3155" t="s">
        <v>2609</v>
      </c>
      <c r="U33" s="3157" t="s">
        <v>2610</v>
      </c>
      <c r="V33" s="3158">
        <v>0</v>
      </c>
      <c r="W33" s="3158">
        <v>0</v>
      </c>
      <c r="X33" s="3155" t="s">
        <v>2133</v>
      </c>
      <c r="Y33" s="3158" t="s">
        <v>2688</v>
      </c>
      <c r="Z33" s="3157" t="s">
        <v>2688</v>
      </c>
      <c r="AA33" s="3159" t="s">
        <v>2168</v>
      </c>
      <c r="AB33" s="3159" t="s">
        <v>2133</v>
      </c>
      <c r="AC33" s="3056" t="s">
        <v>2723</v>
      </c>
      <c r="AD33" s="3071"/>
      <c r="AE33" s="3072"/>
    </row>
    <row r="34" spans="1:31" ht="21" customHeight="1">
      <c r="A34" s="3182"/>
      <c r="B34" s="3183" t="s">
        <v>2198</v>
      </c>
      <c r="C34" s="3144" t="s">
        <v>2201</v>
      </c>
      <c r="D34" s="3184" t="s">
        <v>3875</v>
      </c>
      <c r="E34" s="3145" t="s">
        <v>7</v>
      </c>
      <c r="F34" s="3146">
        <v>65</v>
      </c>
      <c r="G34" s="3147"/>
      <c r="H34" s="3146"/>
      <c r="I34" s="3148" t="s">
        <v>3791</v>
      </c>
      <c r="J34" s="3185"/>
      <c r="K34" s="3150" t="s">
        <v>3512</v>
      </c>
      <c r="L34" s="3151" t="s">
        <v>2138</v>
      </c>
      <c r="M34" s="3152"/>
      <c r="N34" s="3153"/>
      <c r="O34" s="3154">
        <v>65</v>
      </c>
      <c r="P34" s="3155">
        <v>262</v>
      </c>
      <c r="Q34" s="3156">
        <v>262</v>
      </c>
      <c r="R34" s="3155">
        <v>121</v>
      </c>
      <c r="S34" s="3156">
        <v>121</v>
      </c>
      <c r="T34" s="3155" t="s">
        <v>2609</v>
      </c>
      <c r="U34" s="3157" t="s">
        <v>2610</v>
      </c>
      <c r="V34" s="3158">
        <v>0</v>
      </c>
      <c r="W34" s="3158">
        <v>0</v>
      </c>
      <c r="X34" s="3155" t="s">
        <v>2133</v>
      </c>
      <c r="Y34" s="3158" t="s">
        <v>2688</v>
      </c>
      <c r="Z34" s="3157" t="s">
        <v>2688</v>
      </c>
      <c r="AA34" s="3159" t="s">
        <v>2168</v>
      </c>
      <c r="AB34" s="3159" t="s">
        <v>2133</v>
      </c>
      <c r="AC34" s="1093" t="s">
        <v>2723</v>
      </c>
      <c r="AD34" s="3186"/>
      <c r="AE34" s="1095"/>
    </row>
    <row r="35" spans="1:31" ht="23.15" customHeight="1">
      <c r="A35" s="3160"/>
      <c r="B35" s="3122" t="s">
        <v>2144</v>
      </c>
      <c r="C35" s="3161"/>
      <c r="D35" s="3122" t="s">
        <v>3876</v>
      </c>
      <c r="E35" s="3123" t="s">
        <v>3841</v>
      </c>
      <c r="F35" s="3124">
        <v>55</v>
      </c>
      <c r="G35" s="3125"/>
      <c r="H35" s="3124"/>
      <c r="I35" s="3126" t="s">
        <v>3791</v>
      </c>
      <c r="J35" s="3127"/>
      <c r="K35" s="3128" t="s">
        <v>3512</v>
      </c>
      <c r="L35" s="3129" t="s">
        <v>2138</v>
      </c>
      <c r="M35" s="3130"/>
      <c r="N35" s="3131"/>
      <c r="O35" s="3187">
        <v>55</v>
      </c>
      <c r="P35" s="3133">
        <v>262</v>
      </c>
      <c r="Q35" s="3134">
        <v>262</v>
      </c>
      <c r="R35" s="3133">
        <v>121</v>
      </c>
      <c r="S35" s="3134">
        <v>121</v>
      </c>
      <c r="T35" s="3133" t="s">
        <v>2609</v>
      </c>
      <c r="U35" s="3135" t="s">
        <v>2610</v>
      </c>
      <c r="V35" s="3136">
        <v>0</v>
      </c>
      <c r="W35" s="3136">
        <v>0</v>
      </c>
      <c r="X35" s="3133" t="s">
        <v>2133</v>
      </c>
      <c r="Y35" s="3136" t="s">
        <v>2688</v>
      </c>
      <c r="Z35" s="3135" t="s">
        <v>2688</v>
      </c>
      <c r="AA35" s="3137" t="s">
        <v>2168</v>
      </c>
      <c r="AB35" s="3137" t="s">
        <v>2133</v>
      </c>
      <c r="AC35" s="1093" t="s">
        <v>2723</v>
      </c>
      <c r="AD35" s="2423"/>
      <c r="AE35" s="1095"/>
    </row>
    <row r="36" spans="1:31" ht="23.15" customHeight="1">
      <c r="A36" s="2416" t="s">
        <v>3793</v>
      </c>
      <c r="B36" s="1096" t="s">
        <v>3877</v>
      </c>
      <c r="C36" s="3188"/>
      <c r="D36" s="3189" t="s">
        <v>3878</v>
      </c>
      <c r="E36" s="2419" t="s">
        <v>3879</v>
      </c>
      <c r="F36" s="3085">
        <v>88</v>
      </c>
      <c r="G36" s="3086">
        <v>88</v>
      </c>
      <c r="H36" s="3085">
        <v>11</v>
      </c>
      <c r="I36" s="3173" t="s">
        <v>3791</v>
      </c>
      <c r="J36" s="2408">
        <v>2034</v>
      </c>
      <c r="K36" s="2409" t="s">
        <v>3597</v>
      </c>
      <c r="L36" s="2410" t="s">
        <v>2874</v>
      </c>
      <c r="M36" s="1084"/>
      <c r="N36" s="2411"/>
      <c r="O36" s="3140">
        <v>88</v>
      </c>
      <c r="P36" s="1089">
        <v>155</v>
      </c>
      <c r="Q36" s="1090">
        <v>155</v>
      </c>
      <c r="R36" s="1089">
        <v>55</v>
      </c>
      <c r="S36" s="1090">
        <v>55</v>
      </c>
      <c r="T36" s="1089" t="s">
        <v>2609</v>
      </c>
      <c r="U36" s="1092" t="s">
        <v>2609</v>
      </c>
      <c r="V36" s="1093">
        <v>2</v>
      </c>
      <c r="W36" s="1093">
        <v>1</v>
      </c>
      <c r="X36" s="1089" t="s">
        <v>2133</v>
      </c>
      <c r="Y36" s="1093" t="s">
        <v>2688</v>
      </c>
      <c r="Z36" s="1092" t="s">
        <v>2133</v>
      </c>
      <c r="AA36" s="1094" t="s">
        <v>2235</v>
      </c>
      <c r="AB36" s="1094" t="s">
        <v>2602</v>
      </c>
      <c r="AC36" s="1093" t="s">
        <v>3880</v>
      </c>
      <c r="AD36" s="2422"/>
      <c r="AE36" s="1097"/>
    </row>
    <row r="37" spans="1:31" ht="23.15" customHeight="1">
      <c r="A37" s="3162" t="s">
        <v>3822</v>
      </c>
      <c r="B37" s="3163" t="s">
        <v>3844</v>
      </c>
      <c r="C37" s="3103" t="s">
        <v>2527</v>
      </c>
      <c r="D37" s="3102" t="s">
        <v>3881</v>
      </c>
      <c r="E37" s="3104" t="s">
        <v>3882</v>
      </c>
      <c r="F37" s="3105">
        <v>37</v>
      </c>
      <c r="G37" s="3106">
        <v>113</v>
      </c>
      <c r="H37" s="3105">
        <v>11</v>
      </c>
      <c r="I37" s="3107" t="s">
        <v>3791</v>
      </c>
      <c r="J37" s="3108">
        <v>306</v>
      </c>
      <c r="K37" s="3109" t="s">
        <v>3883</v>
      </c>
      <c r="L37" s="3110" t="s">
        <v>2261</v>
      </c>
      <c r="M37" s="3111"/>
      <c r="N37" s="3112"/>
      <c r="O37" s="3190">
        <v>37</v>
      </c>
      <c r="P37" s="3114">
        <v>144</v>
      </c>
      <c r="Q37" s="3115">
        <v>144</v>
      </c>
      <c r="R37" s="3114">
        <v>50</v>
      </c>
      <c r="S37" s="3115">
        <v>50</v>
      </c>
      <c r="T37" s="3114" t="s">
        <v>2609</v>
      </c>
      <c r="U37" s="3116" t="s">
        <v>2609</v>
      </c>
      <c r="V37" s="3117">
        <v>0</v>
      </c>
      <c r="W37" s="3117">
        <v>0</v>
      </c>
      <c r="X37" s="3114" t="s">
        <v>2133</v>
      </c>
      <c r="Y37" s="3117" t="s">
        <v>2688</v>
      </c>
      <c r="Z37" s="3116" t="s">
        <v>2688</v>
      </c>
      <c r="AA37" s="3118" t="s">
        <v>2299</v>
      </c>
      <c r="AB37" s="3118" t="s">
        <v>2133</v>
      </c>
      <c r="AC37" s="1093" t="s">
        <v>2735</v>
      </c>
      <c r="AD37" s="2422"/>
      <c r="AE37" s="1095"/>
    </row>
    <row r="38" spans="1:31" ht="21" customHeight="1">
      <c r="A38" s="3119"/>
      <c r="B38" s="3120" t="s">
        <v>3827</v>
      </c>
      <c r="C38" s="3161" t="s">
        <v>3564</v>
      </c>
      <c r="D38" s="3122" t="s">
        <v>3884</v>
      </c>
      <c r="E38" s="3123" t="s">
        <v>3885</v>
      </c>
      <c r="F38" s="3124">
        <v>76</v>
      </c>
      <c r="G38" s="3125"/>
      <c r="H38" s="3124"/>
      <c r="I38" s="3126" t="s">
        <v>3791</v>
      </c>
      <c r="J38" s="3127"/>
      <c r="K38" s="3128" t="s">
        <v>3886</v>
      </c>
      <c r="L38" s="3129" t="s">
        <v>2261</v>
      </c>
      <c r="M38" s="3130"/>
      <c r="N38" s="3131"/>
      <c r="O38" s="3132">
        <v>76</v>
      </c>
      <c r="P38" s="3133">
        <v>144</v>
      </c>
      <c r="Q38" s="3134">
        <v>144</v>
      </c>
      <c r="R38" s="3133">
        <v>50</v>
      </c>
      <c r="S38" s="3134">
        <v>50</v>
      </c>
      <c r="T38" s="3133" t="s">
        <v>2609</v>
      </c>
      <c r="U38" s="3135" t="s">
        <v>2609</v>
      </c>
      <c r="V38" s="3136">
        <v>0</v>
      </c>
      <c r="W38" s="3136">
        <v>0</v>
      </c>
      <c r="X38" s="3133" t="s">
        <v>2133</v>
      </c>
      <c r="Y38" s="3136" t="s">
        <v>2688</v>
      </c>
      <c r="Z38" s="3135" t="s">
        <v>2688</v>
      </c>
      <c r="AA38" s="3137" t="s">
        <v>2299</v>
      </c>
      <c r="AB38" s="3137" t="s">
        <v>2133</v>
      </c>
      <c r="AC38" s="1093" t="s">
        <v>2613</v>
      </c>
      <c r="AD38" s="2423"/>
      <c r="AE38" s="1097"/>
    </row>
    <row r="39" spans="1:31" ht="21" customHeight="1">
      <c r="A39" s="3162" t="s">
        <v>3788</v>
      </c>
      <c r="B39" s="3163" t="s">
        <v>3887</v>
      </c>
      <c r="C39" s="3103" t="s">
        <v>3888</v>
      </c>
      <c r="D39" s="3102" t="s">
        <v>3889</v>
      </c>
      <c r="E39" s="3104" t="s">
        <v>3890</v>
      </c>
      <c r="F39" s="3105">
        <v>17</v>
      </c>
      <c r="G39" s="3106">
        <v>54</v>
      </c>
      <c r="H39" s="3105">
        <v>11</v>
      </c>
      <c r="I39" s="3107" t="s">
        <v>3791</v>
      </c>
      <c r="J39" s="3108">
        <v>305</v>
      </c>
      <c r="K39" s="3109" t="s">
        <v>3891</v>
      </c>
      <c r="L39" s="3110" t="s">
        <v>2261</v>
      </c>
      <c r="M39" s="3111"/>
      <c r="N39" s="3112"/>
      <c r="O39" s="3113">
        <v>17</v>
      </c>
      <c r="P39" s="3114">
        <v>106</v>
      </c>
      <c r="Q39" s="3115">
        <v>106</v>
      </c>
      <c r="R39" s="3114">
        <v>70</v>
      </c>
      <c r="S39" s="3115">
        <v>70</v>
      </c>
      <c r="T39" s="3114" t="s">
        <v>2609</v>
      </c>
      <c r="U39" s="3116" t="s">
        <v>2609</v>
      </c>
      <c r="V39" s="3117">
        <v>0</v>
      </c>
      <c r="W39" s="3117">
        <v>0</v>
      </c>
      <c r="X39" s="3114" t="s">
        <v>2133</v>
      </c>
      <c r="Y39" s="3117" t="s">
        <v>2133</v>
      </c>
      <c r="Z39" s="3116" t="s">
        <v>2133</v>
      </c>
      <c r="AA39" s="3118" t="s">
        <v>2299</v>
      </c>
      <c r="AB39" s="3118" t="s">
        <v>2602</v>
      </c>
      <c r="AC39" s="1093" t="s">
        <v>2735</v>
      </c>
      <c r="AD39" s="2423"/>
      <c r="AE39" s="1095"/>
    </row>
    <row r="40" spans="1:31" ht="21" customHeight="1">
      <c r="A40" s="3142" t="s">
        <v>3788</v>
      </c>
      <c r="B40" s="3143" t="s">
        <v>2275</v>
      </c>
      <c r="C40" s="3144"/>
      <c r="D40" s="3143" t="s">
        <v>3889</v>
      </c>
      <c r="E40" s="3145" t="s">
        <v>3890</v>
      </c>
      <c r="F40" s="3146">
        <v>24</v>
      </c>
      <c r="G40" s="3147"/>
      <c r="H40" s="3146"/>
      <c r="I40" s="3148" t="s">
        <v>3791</v>
      </c>
      <c r="J40" s="3149"/>
      <c r="K40" s="3150" t="s">
        <v>3891</v>
      </c>
      <c r="L40" s="3151" t="s">
        <v>2261</v>
      </c>
      <c r="M40" s="3152"/>
      <c r="N40" s="3153"/>
      <c r="O40" s="3154">
        <v>24</v>
      </c>
      <c r="P40" s="3155">
        <v>106</v>
      </c>
      <c r="Q40" s="3156">
        <v>106</v>
      </c>
      <c r="R40" s="3155">
        <v>70</v>
      </c>
      <c r="S40" s="3156">
        <v>70</v>
      </c>
      <c r="T40" s="3155" t="s">
        <v>2609</v>
      </c>
      <c r="U40" s="3157" t="s">
        <v>2609</v>
      </c>
      <c r="V40" s="3158">
        <v>0</v>
      </c>
      <c r="W40" s="3158">
        <v>0</v>
      </c>
      <c r="X40" s="3155" t="s">
        <v>2133</v>
      </c>
      <c r="Y40" s="3158" t="s">
        <v>2133</v>
      </c>
      <c r="Z40" s="3157" t="s">
        <v>2133</v>
      </c>
      <c r="AA40" s="3159" t="s">
        <v>2299</v>
      </c>
      <c r="AB40" s="3159" t="s">
        <v>2602</v>
      </c>
      <c r="AC40" s="1093" t="s">
        <v>2735</v>
      </c>
      <c r="AD40" s="2423"/>
      <c r="AE40" s="1095"/>
    </row>
    <row r="41" spans="1:31" ht="21" customHeight="1">
      <c r="A41" s="3142"/>
      <c r="B41" s="3143" t="s">
        <v>2263</v>
      </c>
      <c r="C41" s="3144"/>
      <c r="D41" s="3143" t="s">
        <v>3889</v>
      </c>
      <c r="E41" s="3145" t="s">
        <v>3890</v>
      </c>
      <c r="F41" s="3146">
        <v>13</v>
      </c>
      <c r="G41" s="3147"/>
      <c r="H41" s="3146"/>
      <c r="I41" s="3148" t="s">
        <v>3791</v>
      </c>
      <c r="J41" s="3149"/>
      <c r="K41" s="3150" t="s">
        <v>3891</v>
      </c>
      <c r="L41" s="3151" t="s">
        <v>2261</v>
      </c>
      <c r="M41" s="3152"/>
      <c r="N41" s="3153"/>
      <c r="O41" s="3154">
        <v>13</v>
      </c>
      <c r="P41" s="3155">
        <v>106</v>
      </c>
      <c r="Q41" s="3156">
        <v>106</v>
      </c>
      <c r="R41" s="3155">
        <v>70</v>
      </c>
      <c r="S41" s="3156">
        <v>70</v>
      </c>
      <c r="T41" s="3155" t="s">
        <v>2609</v>
      </c>
      <c r="U41" s="3157" t="s">
        <v>2609</v>
      </c>
      <c r="V41" s="3158">
        <v>0</v>
      </c>
      <c r="W41" s="3158">
        <v>0</v>
      </c>
      <c r="X41" s="3155" t="s">
        <v>2133</v>
      </c>
      <c r="Y41" s="3158" t="s">
        <v>2133</v>
      </c>
      <c r="Z41" s="3157" t="s">
        <v>2133</v>
      </c>
      <c r="AA41" s="3159" t="s">
        <v>2299</v>
      </c>
      <c r="AB41" s="3159" t="s">
        <v>2602</v>
      </c>
      <c r="AC41" s="1093" t="s">
        <v>2735</v>
      </c>
      <c r="AD41" s="2423"/>
      <c r="AE41" s="1095"/>
    </row>
    <row r="42" spans="1:31" ht="21" customHeight="1">
      <c r="A42" s="3160"/>
      <c r="B42" s="3122" t="s">
        <v>2266</v>
      </c>
      <c r="C42" s="3161"/>
      <c r="D42" s="3122" t="s">
        <v>3889</v>
      </c>
      <c r="E42" s="3123" t="s">
        <v>14</v>
      </c>
      <c r="F42" s="3124">
        <v>21</v>
      </c>
      <c r="G42" s="3125"/>
      <c r="H42" s="3124"/>
      <c r="I42" s="3126" t="s">
        <v>3791</v>
      </c>
      <c r="J42" s="3127"/>
      <c r="K42" s="3128" t="s">
        <v>3891</v>
      </c>
      <c r="L42" s="3129" t="s">
        <v>2261</v>
      </c>
      <c r="M42" s="3130"/>
      <c r="N42" s="3131"/>
      <c r="O42" s="3132">
        <v>21</v>
      </c>
      <c r="P42" s="3133">
        <v>106</v>
      </c>
      <c r="Q42" s="3134">
        <v>106</v>
      </c>
      <c r="R42" s="3133">
        <v>70</v>
      </c>
      <c r="S42" s="3134">
        <v>70</v>
      </c>
      <c r="T42" s="3133" t="s">
        <v>2609</v>
      </c>
      <c r="U42" s="3135" t="s">
        <v>2609</v>
      </c>
      <c r="V42" s="3136">
        <v>0</v>
      </c>
      <c r="W42" s="3136">
        <v>0</v>
      </c>
      <c r="X42" s="3133" t="s">
        <v>2133</v>
      </c>
      <c r="Y42" s="3136" t="s">
        <v>2133</v>
      </c>
      <c r="Z42" s="3135" t="s">
        <v>2133</v>
      </c>
      <c r="AA42" s="3137" t="s">
        <v>2299</v>
      </c>
      <c r="AB42" s="3137" t="s">
        <v>2602</v>
      </c>
      <c r="AC42" s="1093" t="s">
        <v>2670</v>
      </c>
      <c r="AD42" s="2423"/>
      <c r="AE42" s="1095"/>
    </row>
    <row r="43" spans="1:31" ht="21" customHeight="1">
      <c r="A43" s="3101" t="s">
        <v>3793</v>
      </c>
      <c r="B43" s="3102" t="s">
        <v>2369</v>
      </c>
      <c r="C43" s="3103"/>
      <c r="D43" s="3102" t="s">
        <v>3892</v>
      </c>
      <c r="E43" s="3104" t="s">
        <v>3893</v>
      </c>
      <c r="F43" s="3105">
        <v>35</v>
      </c>
      <c r="G43" s="3106">
        <v>59</v>
      </c>
      <c r="H43" s="3105">
        <v>11</v>
      </c>
      <c r="I43" s="3107" t="s">
        <v>3791</v>
      </c>
      <c r="J43" s="3108">
        <v>288</v>
      </c>
      <c r="K43" s="3109" t="s">
        <v>3751</v>
      </c>
      <c r="L43" s="3110" t="s">
        <v>2364</v>
      </c>
      <c r="M43" s="3111"/>
      <c r="N43" s="3112"/>
      <c r="O43" s="3113">
        <v>35</v>
      </c>
      <c r="P43" s="3114">
        <v>196</v>
      </c>
      <c r="Q43" s="3115">
        <v>196</v>
      </c>
      <c r="R43" s="3114">
        <v>100</v>
      </c>
      <c r="S43" s="3115">
        <v>100</v>
      </c>
      <c r="T43" s="3114" t="s">
        <v>2609</v>
      </c>
      <c r="U43" s="3116" t="s">
        <v>2610</v>
      </c>
      <c r="V43" s="3117">
        <v>0</v>
      </c>
      <c r="W43" s="3117">
        <v>0</v>
      </c>
      <c r="X43" s="3114" t="s">
        <v>2133</v>
      </c>
      <c r="Y43" s="3117" t="s">
        <v>2688</v>
      </c>
      <c r="Z43" s="3116" t="s">
        <v>2688</v>
      </c>
      <c r="AA43" s="3118" t="s">
        <v>2168</v>
      </c>
      <c r="AB43" s="3118" t="s">
        <v>2133</v>
      </c>
      <c r="AC43" s="1093" t="s">
        <v>2670</v>
      </c>
      <c r="AD43" s="2423"/>
      <c r="AE43" s="1097"/>
    </row>
    <row r="44" spans="1:31" ht="21" customHeight="1">
      <c r="A44" s="3160"/>
      <c r="B44" s="3122" t="s">
        <v>3813</v>
      </c>
      <c r="C44" s="3161" t="s">
        <v>3866</v>
      </c>
      <c r="D44" s="3122" t="s">
        <v>3894</v>
      </c>
      <c r="E44" s="3123" t="s">
        <v>13</v>
      </c>
      <c r="F44" s="3124">
        <v>24</v>
      </c>
      <c r="G44" s="3125"/>
      <c r="H44" s="3124"/>
      <c r="I44" s="3126" t="s">
        <v>3791</v>
      </c>
      <c r="J44" s="3127"/>
      <c r="K44" s="3128" t="s">
        <v>3751</v>
      </c>
      <c r="L44" s="3129" t="s">
        <v>2364</v>
      </c>
      <c r="M44" s="3130"/>
      <c r="N44" s="3131"/>
      <c r="O44" s="3132">
        <v>24</v>
      </c>
      <c r="P44" s="3133">
        <v>196</v>
      </c>
      <c r="Q44" s="3134">
        <v>196</v>
      </c>
      <c r="R44" s="3133">
        <v>100</v>
      </c>
      <c r="S44" s="3134">
        <v>100</v>
      </c>
      <c r="T44" s="3133" t="s">
        <v>2609</v>
      </c>
      <c r="U44" s="3135" t="s">
        <v>2610</v>
      </c>
      <c r="V44" s="3136">
        <v>0</v>
      </c>
      <c r="W44" s="3136">
        <v>0</v>
      </c>
      <c r="X44" s="3133" t="s">
        <v>2133</v>
      </c>
      <c r="Y44" s="3136" t="s">
        <v>2688</v>
      </c>
      <c r="Z44" s="3135" t="s">
        <v>2688</v>
      </c>
      <c r="AA44" s="3137" t="s">
        <v>2168</v>
      </c>
      <c r="AB44" s="3137" t="s">
        <v>2133</v>
      </c>
      <c r="AC44" s="1093" t="s">
        <v>2723</v>
      </c>
      <c r="AD44" s="2423"/>
      <c r="AE44" s="1095"/>
    </row>
    <row r="45" spans="1:31" ht="34" customHeight="1">
      <c r="A45" s="3162" t="s">
        <v>3788</v>
      </c>
      <c r="B45" s="3163" t="s">
        <v>3887</v>
      </c>
      <c r="C45" s="3103" t="s">
        <v>3895</v>
      </c>
      <c r="D45" s="3102" t="s">
        <v>3896</v>
      </c>
      <c r="E45" s="3104" t="s">
        <v>3897</v>
      </c>
      <c r="F45" s="3105">
        <v>58</v>
      </c>
      <c r="G45" s="3106">
        <v>111</v>
      </c>
      <c r="H45" s="3105">
        <v>11</v>
      </c>
      <c r="I45" s="3107" t="s">
        <v>3791</v>
      </c>
      <c r="J45" s="3108">
        <v>269</v>
      </c>
      <c r="K45" s="3109" t="s">
        <v>3898</v>
      </c>
      <c r="L45" s="3110" t="s">
        <v>3899</v>
      </c>
      <c r="M45" s="3111"/>
      <c r="N45" s="3112"/>
      <c r="O45" s="3113">
        <v>58</v>
      </c>
      <c r="P45" s="3114">
        <v>162</v>
      </c>
      <c r="Q45" s="3115">
        <v>162</v>
      </c>
      <c r="R45" s="3114">
        <v>136</v>
      </c>
      <c r="S45" s="3115">
        <v>136</v>
      </c>
      <c r="T45" s="3114" t="s">
        <v>2609</v>
      </c>
      <c r="U45" s="3116" t="s">
        <v>2610</v>
      </c>
      <c r="V45" s="3117">
        <v>0</v>
      </c>
      <c r="W45" s="3117">
        <v>0</v>
      </c>
      <c r="X45" s="3114" t="s">
        <v>2133</v>
      </c>
      <c r="Y45" s="3117" t="s">
        <v>2688</v>
      </c>
      <c r="Z45" s="3116" t="s">
        <v>2133</v>
      </c>
      <c r="AA45" s="3118" t="s">
        <v>2207</v>
      </c>
      <c r="AB45" s="3118" t="s">
        <v>2602</v>
      </c>
      <c r="AC45" s="1050" t="s">
        <v>2735</v>
      </c>
      <c r="AD45" s="2403"/>
      <c r="AE45" s="1112"/>
    </row>
    <row r="46" spans="1:31" ht="21" customHeight="1">
      <c r="A46" s="3160"/>
      <c r="B46" s="3122" t="s">
        <v>2367</v>
      </c>
      <c r="C46" s="3161"/>
      <c r="D46" s="3122" t="s">
        <v>3900</v>
      </c>
      <c r="E46" s="3123" t="s">
        <v>13</v>
      </c>
      <c r="F46" s="3124">
        <v>53</v>
      </c>
      <c r="G46" s="3125"/>
      <c r="H46" s="3124"/>
      <c r="I46" s="3126" t="s">
        <v>3791</v>
      </c>
      <c r="J46" s="3127"/>
      <c r="K46" s="3128" t="s">
        <v>3898</v>
      </c>
      <c r="L46" s="3129" t="s">
        <v>3899</v>
      </c>
      <c r="M46" s="3130"/>
      <c r="N46" s="3131"/>
      <c r="O46" s="3132">
        <v>53</v>
      </c>
      <c r="P46" s="3133">
        <v>162</v>
      </c>
      <c r="Q46" s="3134">
        <v>162</v>
      </c>
      <c r="R46" s="3133">
        <v>136</v>
      </c>
      <c r="S46" s="3134">
        <v>136</v>
      </c>
      <c r="T46" s="3133" t="s">
        <v>2609</v>
      </c>
      <c r="U46" s="3135" t="s">
        <v>2610</v>
      </c>
      <c r="V46" s="3136">
        <v>0</v>
      </c>
      <c r="W46" s="3136">
        <v>0</v>
      </c>
      <c r="X46" s="3133" t="s">
        <v>2133</v>
      </c>
      <c r="Y46" s="3136" t="s">
        <v>2688</v>
      </c>
      <c r="Z46" s="3135" t="s">
        <v>2133</v>
      </c>
      <c r="AA46" s="3137" t="s">
        <v>2207</v>
      </c>
      <c r="AB46" s="3137" t="s">
        <v>2602</v>
      </c>
      <c r="AC46" s="965" t="s">
        <v>2735</v>
      </c>
      <c r="AD46" s="2428"/>
      <c r="AE46" s="3191"/>
    </row>
    <row r="47" spans="1:31" ht="21" customHeight="1">
      <c r="A47" s="3101" t="s">
        <v>3793</v>
      </c>
      <c r="B47" s="3102" t="s">
        <v>3901</v>
      </c>
      <c r="C47" s="3177" t="s">
        <v>3902</v>
      </c>
      <c r="D47" s="3102" t="s">
        <v>3903</v>
      </c>
      <c r="E47" s="3104" t="s">
        <v>2944</v>
      </c>
      <c r="F47" s="3105">
        <v>67</v>
      </c>
      <c r="G47" s="3106">
        <v>118</v>
      </c>
      <c r="H47" s="3105">
        <v>11</v>
      </c>
      <c r="I47" s="3107" t="s">
        <v>3791</v>
      </c>
      <c r="J47" s="3108">
        <v>213</v>
      </c>
      <c r="K47" s="3109" t="s">
        <v>3904</v>
      </c>
      <c r="L47" s="3110" t="s">
        <v>2256</v>
      </c>
      <c r="M47" s="3111"/>
      <c r="N47" s="3112"/>
      <c r="O47" s="3113">
        <v>67</v>
      </c>
      <c r="P47" s="3114">
        <v>201</v>
      </c>
      <c r="Q47" s="3115">
        <v>201</v>
      </c>
      <c r="R47" s="3114">
        <v>58</v>
      </c>
      <c r="S47" s="3115">
        <v>58</v>
      </c>
      <c r="T47" s="3114" t="s">
        <v>2609</v>
      </c>
      <c r="U47" s="3116" t="s">
        <v>2610</v>
      </c>
      <c r="V47" s="3117">
        <v>0</v>
      </c>
      <c r="W47" s="3117">
        <v>0</v>
      </c>
      <c r="X47" s="3114" t="s">
        <v>2133</v>
      </c>
      <c r="Y47" s="3117" t="s">
        <v>2688</v>
      </c>
      <c r="Z47" s="3116" t="s">
        <v>2133</v>
      </c>
      <c r="AA47" s="3118" t="s">
        <v>2317</v>
      </c>
      <c r="AB47" s="3118" t="s">
        <v>2602</v>
      </c>
      <c r="AC47" s="1093" t="s">
        <v>2133</v>
      </c>
      <c r="AD47" s="2423"/>
      <c r="AE47" s="1097"/>
    </row>
    <row r="48" spans="1:31" ht="21" customHeight="1">
      <c r="A48" s="3160" t="s">
        <v>3793</v>
      </c>
      <c r="B48" s="3122" t="s">
        <v>2510</v>
      </c>
      <c r="C48" s="3161"/>
      <c r="D48" s="3122" t="s">
        <v>3905</v>
      </c>
      <c r="E48" s="3123" t="s">
        <v>2944</v>
      </c>
      <c r="F48" s="3124">
        <v>51</v>
      </c>
      <c r="G48" s="3125"/>
      <c r="H48" s="3124"/>
      <c r="I48" s="3126" t="s">
        <v>3791</v>
      </c>
      <c r="J48" s="3127"/>
      <c r="K48" s="3128" t="s">
        <v>3904</v>
      </c>
      <c r="L48" s="3129" t="s">
        <v>2256</v>
      </c>
      <c r="M48" s="3130"/>
      <c r="N48" s="3131"/>
      <c r="O48" s="3132">
        <v>51</v>
      </c>
      <c r="P48" s="3133">
        <v>201</v>
      </c>
      <c r="Q48" s="3134">
        <v>201</v>
      </c>
      <c r="R48" s="3133">
        <v>58</v>
      </c>
      <c r="S48" s="3134">
        <v>58</v>
      </c>
      <c r="T48" s="3133" t="s">
        <v>2609</v>
      </c>
      <c r="U48" s="3135" t="s">
        <v>2610</v>
      </c>
      <c r="V48" s="3136">
        <v>0</v>
      </c>
      <c r="W48" s="3136">
        <v>0</v>
      </c>
      <c r="X48" s="3133" t="s">
        <v>2133</v>
      </c>
      <c r="Y48" s="3136" t="s">
        <v>2688</v>
      </c>
      <c r="Z48" s="3135" t="s">
        <v>2133</v>
      </c>
      <c r="AA48" s="3137" t="s">
        <v>2317</v>
      </c>
      <c r="AB48" s="3137" t="s">
        <v>2602</v>
      </c>
      <c r="AC48" s="1093" t="s">
        <v>2723</v>
      </c>
      <c r="AD48" s="2423"/>
      <c r="AE48" s="1095"/>
    </row>
    <row r="49" spans="1:31" ht="21" customHeight="1">
      <c r="A49" s="3162" t="s">
        <v>3788</v>
      </c>
      <c r="B49" s="3192" t="s">
        <v>3906</v>
      </c>
      <c r="C49" s="3193" t="s">
        <v>3907</v>
      </c>
      <c r="D49" s="3102" t="s">
        <v>3908</v>
      </c>
      <c r="E49" s="3104" t="s">
        <v>3909</v>
      </c>
      <c r="F49" s="3105">
        <v>45</v>
      </c>
      <c r="G49" s="3106">
        <v>95</v>
      </c>
      <c r="H49" s="3105">
        <v>11</v>
      </c>
      <c r="I49" s="3107" t="s">
        <v>3791</v>
      </c>
      <c r="J49" s="3108">
        <v>212</v>
      </c>
      <c r="K49" s="3109" t="s">
        <v>3910</v>
      </c>
      <c r="L49" s="3110" t="s">
        <v>2256</v>
      </c>
      <c r="M49" s="3111"/>
      <c r="N49" s="3112"/>
      <c r="O49" s="3113">
        <v>45</v>
      </c>
      <c r="P49" s="3114">
        <v>151</v>
      </c>
      <c r="Q49" s="3115">
        <v>151</v>
      </c>
      <c r="R49" s="3114">
        <v>83</v>
      </c>
      <c r="S49" s="3115">
        <v>83</v>
      </c>
      <c r="T49" s="3114" t="s">
        <v>2609</v>
      </c>
      <c r="U49" s="3116" t="s">
        <v>2610</v>
      </c>
      <c r="V49" s="3117">
        <v>0</v>
      </c>
      <c r="W49" s="3117">
        <v>0</v>
      </c>
      <c r="X49" s="3114" t="s">
        <v>2133</v>
      </c>
      <c r="Y49" s="3117" t="s">
        <v>2688</v>
      </c>
      <c r="Z49" s="3116" t="s">
        <v>2133</v>
      </c>
      <c r="AA49" s="3118" t="s">
        <v>2317</v>
      </c>
      <c r="AB49" s="3118" t="s">
        <v>2602</v>
      </c>
      <c r="AC49" s="1093" t="s">
        <v>2723</v>
      </c>
      <c r="AD49" s="2423"/>
      <c r="AE49" s="1095"/>
    </row>
    <row r="50" spans="1:31" ht="21" customHeight="1">
      <c r="A50" s="3119" t="s">
        <v>3788</v>
      </c>
      <c r="B50" s="3194" t="s">
        <v>3906</v>
      </c>
      <c r="C50" s="3161" t="s">
        <v>3911</v>
      </c>
      <c r="D50" s="3122" t="s">
        <v>3912</v>
      </c>
      <c r="E50" s="3123" t="s">
        <v>2944</v>
      </c>
      <c r="F50" s="3124">
        <v>50</v>
      </c>
      <c r="G50" s="3125"/>
      <c r="H50" s="3124"/>
      <c r="I50" s="3126" t="s">
        <v>3791</v>
      </c>
      <c r="J50" s="3127"/>
      <c r="K50" s="3128" t="s">
        <v>3910</v>
      </c>
      <c r="L50" s="3129" t="s">
        <v>2256</v>
      </c>
      <c r="M50" s="3130"/>
      <c r="N50" s="3131"/>
      <c r="O50" s="3132">
        <v>50</v>
      </c>
      <c r="P50" s="3133">
        <v>151</v>
      </c>
      <c r="Q50" s="3134">
        <v>151</v>
      </c>
      <c r="R50" s="3133">
        <v>83</v>
      </c>
      <c r="S50" s="3134">
        <v>83</v>
      </c>
      <c r="T50" s="3133" t="s">
        <v>2609</v>
      </c>
      <c r="U50" s="3135" t="s">
        <v>2610</v>
      </c>
      <c r="V50" s="3136">
        <v>0</v>
      </c>
      <c r="W50" s="3136">
        <v>0</v>
      </c>
      <c r="X50" s="3133" t="s">
        <v>2133</v>
      </c>
      <c r="Y50" s="3136" t="s">
        <v>2688</v>
      </c>
      <c r="Z50" s="3135" t="s">
        <v>2133</v>
      </c>
      <c r="AA50" s="3137" t="s">
        <v>2317</v>
      </c>
      <c r="AB50" s="3137" t="s">
        <v>2602</v>
      </c>
      <c r="AC50" s="1093" t="s">
        <v>2723</v>
      </c>
      <c r="AD50" s="2423"/>
      <c r="AE50" s="1095"/>
    </row>
    <row r="51" spans="1:31" ht="21" customHeight="1">
      <c r="A51" s="2404" t="s">
        <v>3788</v>
      </c>
      <c r="B51" s="1132" t="s">
        <v>2346</v>
      </c>
      <c r="C51" s="3099"/>
      <c r="D51" s="2394" t="s">
        <v>3913</v>
      </c>
      <c r="E51" s="2395" t="s">
        <v>3914</v>
      </c>
      <c r="F51" s="2305">
        <v>80</v>
      </c>
      <c r="G51" s="3096">
        <v>80</v>
      </c>
      <c r="H51" s="2305">
        <v>11</v>
      </c>
      <c r="I51" s="3097" t="s">
        <v>3791</v>
      </c>
      <c r="J51" s="2300">
        <v>253</v>
      </c>
      <c r="K51" s="1098" t="s">
        <v>3576</v>
      </c>
      <c r="L51" s="1099" t="s">
        <v>2331</v>
      </c>
      <c r="M51" s="1100"/>
      <c r="N51" s="2301"/>
      <c r="O51" s="2302">
        <v>80</v>
      </c>
      <c r="P51" s="1105">
        <v>111</v>
      </c>
      <c r="Q51" s="1106">
        <v>180</v>
      </c>
      <c r="R51" s="1105">
        <v>114</v>
      </c>
      <c r="S51" s="1106">
        <v>119</v>
      </c>
      <c r="T51" s="1105" t="s">
        <v>2610</v>
      </c>
      <c r="U51" s="1108" t="s">
        <v>2610</v>
      </c>
      <c r="V51" s="1050">
        <v>2</v>
      </c>
      <c r="W51" s="1050">
        <v>2</v>
      </c>
      <c r="X51" s="1105" t="s">
        <v>2133</v>
      </c>
      <c r="Y51" s="1050" t="s">
        <v>2688</v>
      </c>
      <c r="Z51" s="1108" t="s">
        <v>2688</v>
      </c>
      <c r="AA51" s="1109" t="s">
        <v>2240</v>
      </c>
      <c r="AB51" s="1109" t="s">
        <v>2133</v>
      </c>
      <c r="AC51" s="3056" t="s">
        <v>3915</v>
      </c>
      <c r="AD51" s="3057"/>
      <c r="AE51" s="3195"/>
    </row>
    <row r="52" spans="1:31" ht="21" customHeight="1">
      <c r="A52" s="3162" t="s">
        <v>3788</v>
      </c>
      <c r="B52" s="3163" t="s">
        <v>3887</v>
      </c>
      <c r="C52" s="3103" t="s">
        <v>3916</v>
      </c>
      <c r="D52" s="3102" t="s">
        <v>3917</v>
      </c>
      <c r="E52" s="3104" t="s">
        <v>3841</v>
      </c>
      <c r="F52" s="3105">
        <v>9</v>
      </c>
      <c r="G52" s="3106">
        <v>407</v>
      </c>
      <c r="H52" s="3105">
        <v>11</v>
      </c>
      <c r="I52" s="3107" t="s">
        <v>3791</v>
      </c>
      <c r="J52" s="3108">
        <v>67</v>
      </c>
      <c r="K52" s="3109" t="s">
        <v>3918</v>
      </c>
      <c r="L52" s="3110" t="s">
        <v>2138</v>
      </c>
      <c r="M52" s="3111"/>
      <c r="N52" s="3112"/>
      <c r="O52" s="3113">
        <v>9</v>
      </c>
      <c r="P52" s="3114">
        <v>805</v>
      </c>
      <c r="Q52" s="3115">
        <v>806</v>
      </c>
      <c r="R52" s="3114">
        <v>805</v>
      </c>
      <c r="S52" s="3115">
        <v>805</v>
      </c>
      <c r="T52" s="3114" t="s">
        <v>2610</v>
      </c>
      <c r="U52" s="3116" t="s">
        <v>2610</v>
      </c>
      <c r="V52" s="3117">
        <v>1</v>
      </c>
      <c r="W52" s="3117">
        <v>1</v>
      </c>
      <c r="X52" s="3114" t="s">
        <v>2133</v>
      </c>
      <c r="Y52" s="3117" t="s">
        <v>2688</v>
      </c>
      <c r="Z52" s="3116" t="s">
        <v>2688</v>
      </c>
      <c r="AA52" s="3118" t="s">
        <v>2168</v>
      </c>
      <c r="AB52" s="3118" t="s">
        <v>2133</v>
      </c>
      <c r="AC52" s="1093" t="s">
        <v>2670</v>
      </c>
      <c r="AD52" s="2423"/>
      <c r="AE52" s="3072"/>
    </row>
    <row r="53" spans="1:31" ht="21" customHeight="1">
      <c r="A53" s="3182" t="s">
        <v>3788</v>
      </c>
      <c r="B53" s="3183" t="s">
        <v>3887</v>
      </c>
      <c r="C53" s="3144" t="s">
        <v>3919</v>
      </c>
      <c r="D53" s="3143" t="s">
        <v>3920</v>
      </c>
      <c r="E53" s="3145" t="s">
        <v>3841</v>
      </c>
      <c r="F53" s="3146">
        <v>25</v>
      </c>
      <c r="G53" s="3147"/>
      <c r="H53" s="3146"/>
      <c r="I53" s="3148" t="s">
        <v>3791</v>
      </c>
      <c r="J53" s="3149"/>
      <c r="K53" s="3150" t="s">
        <v>3918</v>
      </c>
      <c r="L53" s="3151" t="s">
        <v>2138</v>
      </c>
      <c r="M53" s="3152"/>
      <c r="N53" s="3153"/>
      <c r="O53" s="3154">
        <v>25</v>
      </c>
      <c r="P53" s="3155">
        <v>805</v>
      </c>
      <c r="Q53" s="3156">
        <v>806</v>
      </c>
      <c r="R53" s="3155">
        <v>805</v>
      </c>
      <c r="S53" s="3156">
        <v>805</v>
      </c>
      <c r="T53" s="3155" t="s">
        <v>2610</v>
      </c>
      <c r="U53" s="3157" t="s">
        <v>2610</v>
      </c>
      <c r="V53" s="3158">
        <v>1</v>
      </c>
      <c r="W53" s="3158">
        <v>1</v>
      </c>
      <c r="X53" s="3155" t="s">
        <v>2133</v>
      </c>
      <c r="Y53" s="3158" t="s">
        <v>2688</v>
      </c>
      <c r="Z53" s="3157" t="s">
        <v>2688</v>
      </c>
      <c r="AA53" s="3159" t="s">
        <v>2168</v>
      </c>
      <c r="AB53" s="3159" t="s">
        <v>2133</v>
      </c>
      <c r="AC53" s="1093" t="s">
        <v>2670</v>
      </c>
      <c r="AD53" s="2423"/>
      <c r="AE53" s="1095"/>
    </row>
    <row r="54" spans="1:31" ht="21" customHeight="1">
      <c r="A54" s="3182" t="s">
        <v>3788</v>
      </c>
      <c r="B54" s="3183" t="s">
        <v>3806</v>
      </c>
      <c r="C54" s="3196" t="s">
        <v>3859</v>
      </c>
      <c r="D54" s="3143" t="s">
        <v>3921</v>
      </c>
      <c r="E54" s="3145" t="s">
        <v>3841</v>
      </c>
      <c r="F54" s="3146">
        <v>60</v>
      </c>
      <c r="G54" s="3147"/>
      <c r="H54" s="3146"/>
      <c r="I54" s="3148" t="s">
        <v>3791</v>
      </c>
      <c r="J54" s="3149"/>
      <c r="K54" s="3150" t="s">
        <v>3918</v>
      </c>
      <c r="L54" s="3151" t="s">
        <v>2138</v>
      </c>
      <c r="M54" s="3152"/>
      <c r="N54" s="3153"/>
      <c r="O54" s="3154">
        <v>60</v>
      </c>
      <c r="P54" s="3155">
        <v>805</v>
      </c>
      <c r="Q54" s="3156">
        <v>806</v>
      </c>
      <c r="R54" s="3155">
        <v>805</v>
      </c>
      <c r="S54" s="3156">
        <v>805</v>
      </c>
      <c r="T54" s="3155" t="s">
        <v>2610</v>
      </c>
      <c r="U54" s="3157" t="s">
        <v>2610</v>
      </c>
      <c r="V54" s="3158">
        <v>1</v>
      </c>
      <c r="W54" s="3158">
        <v>1</v>
      </c>
      <c r="X54" s="3155" t="s">
        <v>2133</v>
      </c>
      <c r="Y54" s="3158" t="s">
        <v>2688</v>
      </c>
      <c r="Z54" s="3157" t="s">
        <v>2688</v>
      </c>
      <c r="AA54" s="3159" t="s">
        <v>2168</v>
      </c>
      <c r="AB54" s="3159" t="s">
        <v>2133</v>
      </c>
      <c r="AC54" s="3056" t="s">
        <v>2670</v>
      </c>
      <c r="AD54" s="3175"/>
      <c r="AE54" s="3072"/>
    </row>
    <row r="55" spans="1:31" ht="21" customHeight="1">
      <c r="A55" s="3142" t="s">
        <v>3793</v>
      </c>
      <c r="B55" s="3143" t="s">
        <v>2146</v>
      </c>
      <c r="C55" s="3144"/>
      <c r="D55" s="3143" t="s">
        <v>2817</v>
      </c>
      <c r="E55" s="3145" t="s">
        <v>3841</v>
      </c>
      <c r="F55" s="3146">
        <v>112</v>
      </c>
      <c r="G55" s="3147"/>
      <c r="H55" s="3146"/>
      <c r="I55" s="3148" t="s">
        <v>3791</v>
      </c>
      <c r="J55" s="3149"/>
      <c r="K55" s="3150" t="s">
        <v>3918</v>
      </c>
      <c r="L55" s="3151" t="s">
        <v>2138</v>
      </c>
      <c r="M55" s="3152"/>
      <c r="N55" s="3153"/>
      <c r="O55" s="3154">
        <v>112</v>
      </c>
      <c r="P55" s="3155">
        <v>805</v>
      </c>
      <c r="Q55" s="3156">
        <v>806</v>
      </c>
      <c r="R55" s="3155">
        <v>805</v>
      </c>
      <c r="S55" s="3156">
        <v>805</v>
      </c>
      <c r="T55" s="3155" t="s">
        <v>2610</v>
      </c>
      <c r="U55" s="3157" t="s">
        <v>2610</v>
      </c>
      <c r="V55" s="3158">
        <v>1</v>
      </c>
      <c r="W55" s="3158">
        <v>1</v>
      </c>
      <c r="X55" s="3155" t="s">
        <v>2133</v>
      </c>
      <c r="Y55" s="3158" t="s">
        <v>2688</v>
      </c>
      <c r="Z55" s="3157" t="s">
        <v>2688</v>
      </c>
      <c r="AA55" s="3159" t="s">
        <v>2168</v>
      </c>
      <c r="AB55" s="3159" t="s">
        <v>2133</v>
      </c>
      <c r="AC55" s="3056" t="s">
        <v>2670</v>
      </c>
      <c r="AD55" s="3057"/>
      <c r="AE55" s="3072"/>
    </row>
    <row r="56" spans="1:31" ht="21" customHeight="1">
      <c r="A56" s="3142" t="s">
        <v>3788</v>
      </c>
      <c r="B56" s="3143" t="s">
        <v>3511</v>
      </c>
      <c r="C56" s="3144"/>
      <c r="D56" s="3143" t="s">
        <v>3921</v>
      </c>
      <c r="E56" s="3145" t="s">
        <v>3841</v>
      </c>
      <c r="F56" s="3146">
        <v>48</v>
      </c>
      <c r="G56" s="3147"/>
      <c r="H56" s="3146"/>
      <c r="I56" s="3148" t="s">
        <v>3791</v>
      </c>
      <c r="J56" s="3149"/>
      <c r="K56" s="3150" t="s">
        <v>3918</v>
      </c>
      <c r="L56" s="3151" t="s">
        <v>2138</v>
      </c>
      <c r="M56" s="3152"/>
      <c r="N56" s="3153"/>
      <c r="O56" s="3154">
        <v>48</v>
      </c>
      <c r="P56" s="3155">
        <v>805</v>
      </c>
      <c r="Q56" s="3156">
        <v>806</v>
      </c>
      <c r="R56" s="3155">
        <v>805</v>
      </c>
      <c r="S56" s="3156">
        <v>805</v>
      </c>
      <c r="T56" s="3155" t="s">
        <v>2610</v>
      </c>
      <c r="U56" s="3157" t="s">
        <v>2610</v>
      </c>
      <c r="V56" s="3158">
        <v>1</v>
      </c>
      <c r="W56" s="3158">
        <v>1</v>
      </c>
      <c r="X56" s="3155" t="s">
        <v>2133</v>
      </c>
      <c r="Y56" s="3158" t="s">
        <v>2688</v>
      </c>
      <c r="Z56" s="3157" t="s">
        <v>2688</v>
      </c>
      <c r="AA56" s="3159" t="s">
        <v>2168</v>
      </c>
      <c r="AB56" s="3159" t="s">
        <v>2133</v>
      </c>
      <c r="AC56" s="1093" t="s">
        <v>2670</v>
      </c>
      <c r="AD56" s="3197"/>
      <c r="AE56" s="1095"/>
    </row>
    <row r="57" spans="1:31" ht="21" customHeight="1">
      <c r="A57" s="3142"/>
      <c r="B57" s="3143" t="s">
        <v>2154</v>
      </c>
      <c r="C57" s="3144"/>
      <c r="D57" s="3143" t="s">
        <v>2817</v>
      </c>
      <c r="E57" s="3145" t="s">
        <v>3841</v>
      </c>
      <c r="F57" s="3146">
        <v>44</v>
      </c>
      <c r="G57" s="3147"/>
      <c r="H57" s="3146"/>
      <c r="I57" s="3148" t="s">
        <v>3791</v>
      </c>
      <c r="J57" s="3149"/>
      <c r="K57" s="3150" t="s">
        <v>3918</v>
      </c>
      <c r="L57" s="3151" t="s">
        <v>2138</v>
      </c>
      <c r="M57" s="3152"/>
      <c r="N57" s="3153"/>
      <c r="O57" s="3154">
        <v>44</v>
      </c>
      <c r="P57" s="3155">
        <v>805</v>
      </c>
      <c r="Q57" s="3156">
        <v>806</v>
      </c>
      <c r="R57" s="3155">
        <v>805</v>
      </c>
      <c r="S57" s="3156">
        <v>805</v>
      </c>
      <c r="T57" s="3155" t="s">
        <v>2610</v>
      </c>
      <c r="U57" s="3157" t="s">
        <v>2610</v>
      </c>
      <c r="V57" s="3158">
        <v>1</v>
      </c>
      <c r="W57" s="3158">
        <v>1</v>
      </c>
      <c r="X57" s="3155" t="s">
        <v>2133</v>
      </c>
      <c r="Y57" s="3158" t="s">
        <v>2688</v>
      </c>
      <c r="Z57" s="3157" t="s">
        <v>2688</v>
      </c>
      <c r="AA57" s="3159" t="s">
        <v>2168</v>
      </c>
      <c r="AB57" s="3159" t="s">
        <v>2133</v>
      </c>
      <c r="AC57" s="1093" t="s">
        <v>2670</v>
      </c>
      <c r="AD57" s="2403"/>
      <c r="AE57" s="1095"/>
    </row>
    <row r="58" spans="1:31" ht="21" customHeight="1">
      <c r="A58" s="3142"/>
      <c r="B58" s="3143" t="s">
        <v>2165</v>
      </c>
      <c r="C58" s="3144"/>
      <c r="D58" s="3143" t="s">
        <v>3922</v>
      </c>
      <c r="E58" s="3145" t="s">
        <v>3841</v>
      </c>
      <c r="F58" s="3146">
        <v>17</v>
      </c>
      <c r="G58" s="3147"/>
      <c r="H58" s="3146"/>
      <c r="I58" s="3148" t="s">
        <v>3791</v>
      </c>
      <c r="J58" s="3149"/>
      <c r="K58" s="3150" t="s">
        <v>3918</v>
      </c>
      <c r="L58" s="3151" t="s">
        <v>2138</v>
      </c>
      <c r="M58" s="3152"/>
      <c r="N58" s="3153"/>
      <c r="O58" s="3154">
        <v>17</v>
      </c>
      <c r="P58" s="3155">
        <v>805</v>
      </c>
      <c r="Q58" s="3156">
        <v>806</v>
      </c>
      <c r="R58" s="3155">
        <v>805</v>
      </c>
      <c r="S58" s="3156">
        <v>805</v>
      </c>
      <c r="T58" s="3155" t="s">
        <v>2610</v>
      </c>
      <c r="U58" s="3157" t="s">
        <v>2610</v>
      </c>
      <c r="V58" s="3158">
        <v>1</v>
      </c>
      <c r="W58" s="3158">
        <v>1</v>
      </c>
      <c r="X58" s="3155" t="s">
        <v>2133</v>
      </c>
      <c r="Y58" s="3158" t="s">
        <v>2688</v>
      </c>
      <c r="Z58" s="3157" t="s">
        <v>2688</v>
      </c>
      <c r="AA58" s="3159" t="s">
        <v>2168</v>
      </c>
      <c r="AB58" s="3159" t="s">
        <v>2133</v>
      </c>
      <c r="AC58" s="1093" t="s">
        <v>2670</v>
      </c>
      <c r="AD58" s="2393"/>
      <c r="AE58" s="1095"/>
    </row>
    <row r="59" spans="1:31" ht="21" customHeight="1">
      <c r="A59" s="3142"/>
      <c r="B59" s="3143" t="s">
        <v>2152</v>
      </c>
      <c r="C59" s="3144"/>
      <c r="D59" s="3143" t="s">
        <v>3923</v>
      </c>
      <c r="E59" s="3145" t="s">
        <v>3841</v>
      </c>
      <c r="F59" s="3146">
        <v>55</v>
      </c>
      <c r="G59" s="3147"/>
      <c r="H59" s="3146"/>
      <c r="I59" s="3148" t="s">
        <v>3791</v>
      </c>
      <c r="J59" s="3149"/>
      <c r="K59" s="3150" t="s">
        <v>3918</v>
      </c>
      <c r="L59" s="3151" t="s">
        <v>2138</v>
      </c>
      <c r="M59" s="3152"/>
      <c r="N59" s="3153"/>
      <c r="O59" s="3154">
        <v>55</v>
      </c>
      <c r="P59" s="3155">
        <v>805</v>
      </c>
      <c r="Q59" s="3156">
        <v>806</v>
      </c>
      <c r="R59" s="3155">
        <v>805</v>
      </c>
      <c r="S59" s="3156">
        <v>805</v>
      </c>
      <c r="T59" s="3155" t="s">
        <v>2610</v>
      </c>
      <c r="U59" s="3157" t="s">
        <v>2610</v>
      </c>
      <c r="V59" s="3158">
        <v>1</v>
      </c>
      <c r="W59" s="3158">
        <v>1</v>
      </c>
      <c r="X59" s="3155" t="s">
        <v>2133</v>
      </c>
      <c r="Y59" s="3158" t="s">
        <v>2688</v>
      </c>
      <c r="Z59" s="3157" t="s">
        <v>2688</v>
      </c>
      <c r="AA59" s="3159" t="s">
        <v>2168</v>
      </c>
      <c r="AB59" s="3159" t="s">
        <v>2133</v>
      </c>
      <c r="AC59" s="1093" t="s">
        <v>2670</v>
      </c>
      <c r="AD59" s="2403"/>
      <c r="AE59" s="1095"/>
    </row>
    <row r="60" spans="1:31" ht="21" customHeight="1">
      <c r="A60" s="3160"/>
      <c r="B60" s="3122" t="s">
        <v>2153</v>
      </c>
      <c r="C60" s="3161"/>
      <c r="D60" s="3122" t="s">
        <v>3924</v>
      </c>
      <c r="E60" s="3123" t="s">
        <v>3841</v>
      </c>
      <c r="F60" s="3124">
        <v>37</v>
      </c>
      <c r="G60" s="3125"/>
      <c r="H60" s="3124"/>
      <c r="I60" s="3126" t="s">
        <v>3791</v>
      </c>
      <c r="J60" s="3127"/>
      <c r="K60" s="3128" t="s">
        <v>3918</v>
      </c>
      <c r="L60" s="3129" t="s">
        <v>2138</v>
      </c>
      <c r="M60" s="3130"/>
      <c r="N60" s="3131"/>
      <c r="O60" s="3132">
        <v>37</v>
      </c>
      <c r="P60" s="3133">
        <v>805</v>
      </c>
      <c r="Q60" s="3134">
        <v>806</v>
      </c>
      <c r="R60" s="3133">
        <v>805</v>
      </c>
      <c r="S60" s="3134">
        <v>805</v>
      </c>
      <c r="T60" s="3133" t="s">
        <v>2610</v>
      </c>
      <c r="U60" s="3135" t="s">
        <v>2610</v>
      </c>
      <c r="V60" s="3136">
        <v>1</v>
      </c>
      <c r="W60" s="3136">
        <v>1</v>
      </c>
      <c r="X60" s="3133" t="s">
        <v>2133</v>
      </c>
      <c r="Y60" s="3136" t="s">
        <v>2688</v>
      </c>
      <c r="Z60" s="3135" t="s">
        <v>2688</v>
      </c>
      <c r="AA60" s="3137" t="s">
        <v>2168</v>
      </c>
      <c r="AB60" s="3137" t="s">
        <v>2133</v>
      </c>
      <c r="AC60" s="1093" t="s">
        <v>2670</v>
      </c>
      <c r="AD60" s="2403"/>
      <c r="AE60" s="1095"/>
    </row>
    <row r="61" spans="1:31" ht="21" customHeight="1">
      <c r="A61" s="2426" t="s">
        <v>3788</v>
      </c>
      <c r="B61" s="1114" t="s">
        <v>3806</v>
      </c>
      <c r="C61" s="3171" t="s">
        <v>3807</v>
      </c>
      <c r="D61" s="1096" t="s">
        <v>3925</v>
      </c>
      <c r="E61" s="2419" t="s">
        <v>3926</v>
      </c>
      <c r="F61" s="2420">
        <v>35</v>
      </c>
      <c r="G61" s="3172">
        <v>35</v>
      </c>
      <c r="H61" s="2420">
        <v>11</v>
      </c>
      <c r="I61" s="3173" t="s">
        <v>3791</v>
      </c>
      <c r="J61" s="3198">
        <v>3011</v>
      </c>
      <c r="K61" s="3199" t="s">
        <v>3461</v>
      </c>
      <c r="L61" s="2410" t="s">
        <v>2492</v>
      </c>
      <c r="M61" s="1084"/>
      <c r="N61" s="2411"/>
      <c r="O61" s="2412">
        <v>35</v>
      </c>
      <c r="P61" s="1089">
        <v>134</v>
      </c>
      <c r="Q61" s="1090"/>
      <c r="R61" s="1089"/>
      <c r="S61" s="1090"/>
      <c r="T61" s="1089"/>
      <c r="U61" s="1092"/>
      <c r="V61" s="1093"/>
      <c r="W61" s="1093"/>
      <c r="X61" s="1089"/>
      <c r="Y61" s="1093"/>
      <c r="Z61" s="1092"/>
      <c r="AA61" s="1094"/>
      <c r="AB61" s="1094"/>
      <c r="AC61" s="1093" t="s">
        <v>2133</v>
      </c>
      <c r="AD61" s="2393"/>
      <c r="AE61" s="1095"/>
    </row>
    <row r="62" spans="1:31" ht="21" customHeight="1">
      <c r="A62" s="2426" t="s">
        <v>3788</v>
      </c>
      <c r="B62" s="1114" t="s">
        <v>3887</v>
      </c>
      <c r="C62" s="3084" t="s">
        <v>3927</v>
      </c>
      <c r="D62" s="1096" t="s">
        <v>3928</v>
      </c>
      <c r="E62" s="2419" t="s">
        <v>3929</v>
      </c>
      <c r="F62" s="2420">
        <v>34</v>
      </c>
      <c r="G62" s="3172">
        <v>34</v>
      </c>
      <c r="H62" s="2420">
        <v>11</v>
      </c>
      <c r="I62" s="3173" t="s">
        <v>3791</v>
      </c>
      <c r="J62" s="3198">
        <v>3012</v>
      </c>
      <c r="K62" s="3199" t="s">
        <v>3930</v>
      </c>
      <c r="L62" s="2410" t="s">
        <v>3931</v>
      </c>
      <c r="M62" s="1084"/>
      <c r="N62" s="2411"/>
      <c r="O62" s="2412">
        <v>34</v>
      </c>
      <c r="P62" s="1089">
        <v>156</v>
      </c>
      <c r="Q62" s="1090"/>
      <c r="R62" s="1089"/>
      <c r="S62" s="1090"/>
      <c r="T62" s="1089"/>
      <c r="U62" s="1092"/>
      <c r="V62" s="1093"/>
      <c r="W62" s="1093"/>
      <c r="X62" s="1089"/>
      <c r="Y62" s="1093"/>
      <c r="Z62" s="1092"/>
      <c r="AA62" s="1094"/>
      <c r="AB62" s="1094"/>
      <c r="AC62" s="1093"/>
      <c r="AD62" s="2403"/>
      <c r="AE62" s="1095"/>
    </row>
    <row r="63" spans="1:31" ht="21" customHeight="1">
      <c r="A63" s="2416"/>
      <c r="B63" s="1096" t="s">
        <v>3551</v>
      </c>
      <c r="C63" s="3084"/>
      <c r="D63" s="1096" t="s">
        <v>3932</v>
      </c>
      <c r="E63" s="2419" t="s">
        <v>15</v>
      </c>
      <c r="F63" s="2420">
        <v>51</v>
      </c>
      <c r="G63" s="3172">
        <v>51</v>
      </c>
      <c r="H63" s="2420">
        <v>11</v>
      </c>
      <c r="I63" s="3173" t="s">
        <v>3791</v>
      </c>
      <c r="J63" s="2408">
        <v>295</v>
      </c>
      <c r="K63" s="2409" t="s">
        <v>3933</v>
      </c>
      <c r="L63" s="2410" t="s">
        <v>2150</v>
      </c>
      <c r="M63" s="1084"/>
      <c r="N63" s="2411"/>
      <c r="O63" s="2412">
        <v>51</v>
      </c>
      <c r="P63" s="1089">
        <v>53</v>
      </c>
      <c r="Q63" s="1090">
        <v>55</v>
      </c>
      <c r="R63" s="1089">
        <v>39</v>
      </c>
      <c r="S63" s="1090">
        <v>41</v>
      </c>
      <c r="T63" s="1089" t="s">
        <v>2609</v>
      </c>
      <c r="U63" s="1092" t="s">
        <v>2610</v>
      </c>
      <c r="V63" s="1093">
        <v>1</v>
      </c>
      <c r="W63" s="1093">
        <v>1</v>
      </c>
      <c r="X63" s="1089" t="s">
        <v>2133</v>
      </c>
      <c r="Y63" s="1093" t="s">
        <v>2133</v>
      </c>
      <c r="Z63" s="1092" t="s">
        <v>2133</v>
      </c>
      <c r="AA63" s="1094" t="s">
        <v>2274</v>
      </c>
      <c r="AB63" s="1094" t="s">
        <v>2133</v>
      </c>
      <c r="AC63" s="1093" t="s">
        <v>2133</v>
      </c>
      <c r="AD63" s="2403"/>
      <c r="AE63" s="1097"/>
    </row>
    <row r="64" spans="1:31" ht="21" customHeight="1">
      <c r="A64" s="3162" t="s">
        <v>3822</v>
      </c>
      <c r="B64" s="3163" t="s">
        <v>3844</v>
      </c>
      <c r="C64" s="3103" t="s">
        <v>3934</v>
      </c>
      <c r="D64" s="3102" t="s">
        <v>3935</v>
      </c>
      <c r="E64" s="3104" t="s">
        <v>3841</v>
      </c>
      <c r="F64" s="3105">
        <v>55</v>
      </c>
      <c r="G64" s="3106">
        <v>180</v>
      </c>
      <c r="H64" s="3105">
        <v>11</v>
      </c>
      <c r="I64" s="3107" t="s">
        <v>3791</v>
      </c>
      <c r="J64" s="3108">
        <v>180</v>
      </c>
      <c r="K64" s="3109" t="s">
        <v>3936</v>
      </c>
      <c r="L64" s="3110" t="s">
        <v>2138</v>
      </c>
      <c r="M64" s="3111"/>
      <c r="N64" s="3112"/>
      <c r="O64" s="3113">
        <v>55</v>
      </c>
      <c r="P64" s="3114">
        <v>179</v>
      </c>
      <c r="Q64" s="3115">
        <v>193</v>
      </c>
      <c r="R64" s="3114">
        <v>100</v>
      </c>
      <c r="S64" s="3115">
        <v>100</v>
      </c>
      <c r="T64" s="3114" t="s">
        <v>2609</v>
      </c>
      <c r="U64" s="3116" t="s">
        <v>2610</v>
      </c>
      <c r="V64" s="3117">
        <v>2</v>
      </c>
      <c r="W64" s="3117">
        <v>2</v>
      </c>
      <c r="X64" s="3114" t="s">
        <v>2133</v>
      </c>
      <c r="Y64" s="3117" t="s">
        <v>2133</v>
      </c>
      <c r="Z64" s="3116" t="s">
        <v>2133</v>
      </c>
      <c r="AA64" s="3118" t="s">
        <v>2240</v>
      </c>
      <c r="AB64" s="3118" t="s">
        <v>2612</v>
      </c>
      <c r="AC64" s="1093" t="s">
        <v>2670</v>
      </c>
      <c r="AD64" s="2393"/>
      <c r="AE64" s="1095"/>
    </row>
    <row r="65" spans="1:31" ht="21" customHeight="1">
      <c r="A65" s="3142" t="s">
        <v>3793</v>
      </c>
      <c r="B65" s="3200" t="s">
        <v>3937</v>
      </c>
      <c r="C65" s="3144" t="s">
        <v>2188</v>
      </c>
      <c r="D65" s="3143" t="s">
        <v>3935</v>
      </c>
      <c r="E65" s="3145" t="s">
        <v>3874</v>
      </c>
      <c r="F65" s="3146">
        <v>90</v>
      </c>
      <c r="G65" s="3147"/>
      <c r="H65" s="3146"/>
      <c r="I65" s="3148" t="s">
        <v>3791</v>
      </c>
      <c r="J65" s="3149"/>
      <c r="K65" s="3150" t="s">
        <v>3936</v>
      </c>
      <c r="L65" s="3151" t="s">
        <v>2138</v>
      </c>
      <c r="M65" s="3152"/>
      <c r="N65" s="3153"/>
      <c r="O65" s="3201">
        <v>90</v>
      </c>
      <c r="P65" s="3155">
        <v>179</v>
      </c>
      <c r="Q65" s="3156">
        <v>193</v>
      </c>
      <c r="R65" s="3155">
        <v>100</v>
      </c>
      <c r="S65" s="3156">
        <v>100</v>
      </c>
      <c r="T65" s="3155" t="s">
        <v>2609</v>
      </c>
      <c r="U65" s="3157" t="s">
        <v>2610</v>
      </c>
      <c r="V65" s="3158">
        <v>2</v>
      </c>
      <c r="W65" s="3158">
        <v>2</v>
      </c>
      <c r="X65" s="3155" t="s">
        <v>2133</v>
      </c>
      <c r="Y65" s="3158" t="s">
        <v>2133</v>
      </c>
      <c r="Z65" s="3157" t="s">
        <v>2133</v>
      </c>
      <c r="AA65" s="3159" t="s">
        <v>2240</v>
      </c>
      <c r="AB65" s="3159" t="s">
        <v>2612</v>
      </c>
      <c r="AC65" s="1093" t="s">
        <v>2133</v>
      </c>
      <c r="AD65" s="2423"/>
      <c r="AE65" s="1097"/>
    </row>
    <row r="66" spans="1:31" ht="21" customHeight="1">
      <c r="A66" s="3142" t="s">
        <v>3793</v>
      </c>
      <c r="B66" s="3200" t="s">
        <v>3937</v>
      </c>
      <c r="C66" s="3144" t="s">
        <v>2192</v>
      </c>
      <c r="D66" s="3143" t="s">
        <v>3935</v>
      </c>
      <c r="E66" s="3145" t="s">
        <v>3874</v>
      </c>
      <c r="F66" s="3146">
        <v>25</v>
      </c>
      <c r="G66" s="3147"/>
      <c r="H66" s="3146"/>
      <c r="I66" s="3148" t="s">
        <v>3791</v>
      </c>
      <c r="J66" s="3149"/>
      <c r="K66" s="3150" t="s">
        <v>3936</v>
      </c>
      <c r="L66" s="3151" t="s">
        <v>2138</v>
      </c>
      <c r="M66" s="3152"/>
      <c r="N66" s="3153"/>
      <c r="O66" s="3201">
        <v>25</v>
      </c>
      <c r="P66" s="3155">
        <v>179</v>
      </c>
      <c r="Q66" s="3156">
        <v>193</v>
      </c>
      <c r="R66" s="3155">
        <v>100</v>
      </c>
      <c r="S66" s="3156">
        <v>100</v>
      </c>
      <c r="T66" s="3155" t="s">
        <v>2609</v>
      </c>
      <c r="U66" s="3157" t="s">
        <v>2610</v>
      </c>
      <c r="V66" s="3158">
        <v>2</v>
      </c>
      <c r="W66" s="3158">
        <v>2</v>
      </c>
      <c r="X66" s="3155" t="s">
        <v>2133</v>
      </c>
      <c r="Y66" s="3158" t="s">
        <v>2133</v>
      </c>
      <c r="Z66" s="3157" t="s">
        <v>2133</v>
      </c>
      <c r="AA66" s="3159" t="s">
        <v>2240</v>
      </c>
      <c r="AB66" s="3159" t="s">
        <v>2612</v>
      </c>
      <c r="AC66" s="1093" t="s">
        <v>2133</v>
      </c>
      <c r="AD66" s="2423"/>
      <c r="AE66" s="1097"/>
    </row>
    <row r="67" spans="1:31" ht="21" customHeight="1">
      <c r="A67" s="3160" t="s">
        <v>3793</v>
      </c>
      <c r="B67" s="3179" t="s">
        <v>3937</v>
      </c>
      <c r="C67" s="3161" t="s">
        <v>2193</v>
      </c>
      <c r="D67" s="3122" t="s">
        <v>3935</v>
      </c>
      <c r="E67" s="3123" t="s">
        <v>3874</v>
      </c>
      <c r="F67" s="3124">
        <v>10</v>
      </c>
      <c r="G67" s="3125"/>
      <c r="H67" s="3124"/>
      <c r="I67" s="3126" t="s">
        <v>3791</v>
      </c>
      <c r="J67" s="3127"/>
      <c r="K67" s="3128" t="s">
        <v>3936</v>
      </c>
      <c r="L67" s="3129" t="s">
        <v>2138</v>
      </c>
      <c r="M67" s="3130"/>
      <c r="N67" s="3131"/>
      <c r="O67" s="3202">
        <v>10</v>
      </c>
      <c r="P67" s="3133">
        <v>179</v>
      </c>
      <c r="Q67" s="3134">
        <v>193</v>
      </c>
      <c r="R67" s="3133">
        <v>100</v>
      </c>
      <c r="S67" s="3134">
        <v>100</v>
      </c>
      <c r="T67" s="3133" t="s">
        <v>2609</v>
      </c>
      <c r="U67" s="3135" t="s">
        <v>2610</v>
      </c>
      <c r="V67" s="3136">
        <v>2</v>
      </c>
      <c r="W67" s="3136">
        <v>2</v>
      </c>
      <c r="X67" s="3133" t="s">
        <v>2133</v>
      </c>
      <c r="Y67" s="3136" t="s">
        <v>2133</v>
      </c>
      <c r="Z67" s="3135" t="s">
        <v>2133</v>
      </c>
      <c r="AA67" s="3137" t="s">
        <v>2240</v>
      </c>
      <c r="AB67" s="3137" t="s">
        <v>2612</v>
      </c>
      <c r="AC67" s="1093" t="s">
        <v>2133</v>
      </c>
      <c r="AD67" s="2423"/>
      <c r="AE67" s="1097"/>
    </row>
    <row r="68" spans="1:31" ht="26.15" customHeight="1">
      <c r="A68" s="3101" t="s">
        <v>3822</v>
      </c>
      <c r="B68" s="3176" t="s">
        <v>3938</v>
      </c>
      <c r="C68" s="3103" t="s">
        <v>3939</v>
      </c>
      <c r="D68" s="3102" t="s">
        <v>3940</v>
      </c>
      <c r="E68" s="3104" t="s">
        <v>3841</v>
      </c>
      <c r="F68" s="3105">
        <v>92</v>
      </c>
      <c r="G68" s="3106">
        <v>179</v>
      </c>
      <c r="H68" s="3105">
        <v>11</v>
      </c>
      <c r="I68" s="3107" t="s">
        <v>3791</v>
      </c>
      <c r="J68" s="3108">
        <v>26</v>
      </c>
      <c r="K68" s="3109" t="s">
        <v>3941</v>
      </c>
      <c r="L68" s="3110" t="s">
        <v>2138</v>
      </c>
      <c r="M68" s="3111"/>
      <c r="N68" s="3112"/>
      <c r="O68" s="3113">
        <v>92</v>
      </c>
      <c r="P68" s="3114">
        <v>285</v>
      </c>
      <c r="Q68" s="3115">
        <v>292</v>
      </c>
      <c r="R68" s="3114">
        <v>70</v>
      </c>
      <c r="S68" s="3115">
        <v>70</v>
      </c>
      <c r="T68" s="3114" t="s">
        <v>2609</v>
      </c>
      <c r="U68" s="3116" t="s">
        <v>2610</v>
      </c>
      <c r="V68" s="3117">
        <v>0</v>
      </c>
      <c r="W68" s="3117">
        <v>0</v>
      </c>
      <c r="X68" s="3114" t="s">
        <v>2133</v>
      </c>
      <c r="Y68" s="3117" t="s">
        <v>2688</v>
      </c>
      <c r="Z68" s="3116" t="s">
        <v>2688</v>
      </c>
      <c r="AA68" s="3118" t="s">
        <v>2168</v>
      </c>
      <c r="AB68" s="3118" t="s">
        <v>2133</v>
      </c>
      <c r="AC68" s="1093" t="s">
        <v>2723</v>
      </c>
      <c r="AD68" s="2422"/>
      <c r="AE68" s="1095"/>
    </row>
    <row r="69" spans="1:31" ht="21" customHeight="1">
      <c r="A69" s="3142" t="s">
        <v>3822</v>
      </c>
      <c r="B69" s="3200" t="s">
        <v>3938</v>
      </c>
      <c r="C69" s="3144" t="s">
        <v>3942</v>
      </c>
      <c r="D69" s="3143" t="s">
        <v>3943</v>
      </c>
      <c r="E69" s="3145" t="s">
        <v>3841</v>
      </c>
      <c r="F69" s="3203"/>
      <c r="G69" s="3204"/>
      <c r="H69" s="3203"/>
      <c r="I69" s="3148" t="s">
        <v>3791</v>
      </c>
      <c r="J69" s="3149"/>
      <c r="K69" s="3150" t="s">
        <v>3941</v>
      </c>
      <c r="L69" s="3151" t="s">
        <v>2138</v>
      </c>
      <c r="M69" s="3152"/>
      <c r="N69" s="3153"/>
      <c r="O69" s="3154"/>
      <c r="P69" s="3155">
        <v>285</v>
      </c>
      <c r="Q69" s="3156">
        <v>292</v>
      </c>
      <c r="R69" s="3155">
        <v>70</v>
      </c>
      <c r="S69" s="3156">
        <v>70</v>
      </c>
      <c r="T69" s="3155" t="s">
        <v>2609</v>
      </c>
      <c r="U69" s="3157" t="s">
        <v>2610</v>
      </c>
      <c r="V69" s="3158">
        <v>0</v>
      </c>
      <c r="W69" s="3158">
        <v>0</v>
      </c>
      <c r="X69" s="3155" t="s">
        <v>2133</v>
      </c>
      <c r="Y69" s="3158" t="s">
        <v>2688</v>
      </c>
      <c r="Z69" s="3157" t="s">
        <v>2688</v>
      </c>
      <c r="AA69" s="3159" t="s">
        <v>2168</v>
      </c>
      <c r="AB69" s="3159" t="s">
        <v>2133</v>
      </c>
      <c r="AC69" s="1093" t="s">
        <v>2723</v>
      </c>
      <c r="AD69" s="2422"/>
      <c r="AE69" s="1095"/>
    </row>
    <row r="70" spans="1:31" ht="21" customHeight="1">
      <c r="A70" s="3142" t="s">
        <v>3822</v>
      </c>
      <c r="B70" s="3200" t="s">
        <v>3938</v>
      </c>
      <c r="C70" s="3144" t="s">
        <v>3944</v>
      </c>
      <c r="D70" s="3143" t="s">
        <v>3945</v>
      </c>
      <c r="E70" s="3145" t="s">
        <v>3841</v>
      </c>
      <c r="F70" s="3203"/>
      <c r="G70" s="3204"/>
      <c r="H70" s="3203"/>
      <c r="I70" s="3148" t="s">
        <v>3791</v>
      </c>
      <c r="J70" s="3149"/>
      <c r="K70" s="3150" t="s">
        <v>3941</v>
      </c>
      <c r="L70" s="3151" t="s">
        <v>2138</v>
      </c>
      <c r="M70" s="3152"/>
      <c r="N70" s="3153"/>
      <c r="O70" s="3154"/>
      <c r="P70" s="3155">
        <v>285</v>
      </c>
      <c r="Q70" s="3156">
        <v>292</v>
      </c>
      <c r="R70" s="3155">
        <v>70</v>
      </c>
      <c r="S70" s="3156">
        <v>70</v>
      </c>
      <c r="T70" s="3155" t="s">
        <v>2609</v>
      </c>
      <c r="U70" s="3157" t="s">
        <v>2610</v>
      </c>
      <c r="V70" s="3158">
        <v>0</v>
      </c>
      <c r="W70" s="3158">
        <v>0</v>
      </c>
      <c r="X70" s="3155" t="s">
        <v>2133</v>
      </c>
      <c r="Y70" s="3158" t="s">
        <v>2688</v>
      </c>
      <c r="Z70" s="3157" t="s">
        <v>2688</v>
      </c>
      <c r="AA70" s="3159" t="s">
        <v>2168</v>
      </c>
      <c r="AB70" s="3159" t="s">
        <v>2133</v>
      </c>
      <c r="AC70" s="1093" t="s">
        <v>2723</v>
      </c>
      <c r="AD70" s="2422"/>
      <c r="AE70" s="1095"/>
    </row>
    <row r="71" spans="1:31" ht="21" customHeight="1">
      <c r="A71" s="3160"/>
      <c r="B71" s="3122" t="s">
        <v>2272</v>
      </c>
      <c r="C71" s="3161"/>
      <c r="D71" s="3122" t="s">
        <v>3946</v>
      </c>
      <c r="E71" s="3123" t="s">
        <v>3841</v>
      </c>
      <c r="F71" s="3124">
        <v>87</v>
      </c>
      <c r="G71" s="3125"/>
      <c r="H71" s="3124"/>
      <c r="I71" s="3126" t="s">
        <v>3791</v>
      </c>
      <c r="J71" s="3127"/>
      <c r="K71" s="3128" t="s">
        <v>3941</v>
      </c>
      <c r="L71" s="3129" t="s">
        <v>2138</v>
      </c>
      <c r="M71" s="3130"/>
      <c r="N71" s="3131"/>
      <c r="O71" s="3132">
        <v>87</v>
      </c>
      <c r="P71" s="3133">
        <v>285</v>
      </c>
      <c r="Q71" s="3134">
        <v>292</v>
      </c>
      <c r="R71" s="3133">
        <v>70</v>
      </c>
      <c r="S71" s="3134">
        <v>70</v>
      </c>
      <c r="T71" s="3133" t="s">
        <v>2609</v>
      </c>
      <c r="U71" s="3135" t="s">
        <v>2610</v>
      </c>
      <c r="V71" s="3136">
        <v>0</v>
      </c>
      <c r="W71" s="3136">
        <v>0</v>
      </c>
      <c r="X71" s="3133" t="s">
        <v>2133</v>
      </c>
      <c r="Y71" s="3136" t="s">
        <v>2688</v>
      </c>
      <c r="Z71" s="3135" t="s">
        <v>2688</v>
      </c>
      <c r="AA71" s="3137" t="s">
        <v>2168</v>
      </c>
      <c r="AB71" s="3137" t="s">
        <v>2133</v>
      </c>
      <c r="AC71" s="1093" t="s">
        <v>2723</v>
      </c>
      <c r="AD71" s="2423"/>
      <c r="AE71" s="1095"/>
    </row>
    <row r="72" spans="1:31" ht="21" customHeight="1">
      <c r="A72" s="2426" t="s">
        <v>3788</v>
      </c>
      <c r="B72" s="1114" t="s">
        <v>3806</v>
      </c>
      <c r="C72" s="3171" t="s">
        <v>3859</v>
      </c>
      <c r="D72" s="1096" t="s">
        <v>3947</v>
      </c>
      <c r="E72" s="2419" t="s">
        <v>3838</v>
      </c>
      <c r="F72" s="2420">
        <v>60</v>
      </c>
      <c r="G72" s="3172">
        <v>60</v>
      </c>
      <c r="H72" s="2420">
        <v>11</v>
      </c>
      <c r="I72" s="3173" t="s">
        <v>3791</v>
      </c>
      <c r="J72" s="2408">
        <v>188</v>
      </c>
      <c r="K72" s="2409" t="s">
        <v>3948</v>
      </c>
      <c r="L72" s="2410" t="s">
        <v>2171</v>
      </c>
      <c r="M72" s="1084"/>
      <c r="N72" s="2411"/>
      <c r="O72" s="2412">
        <v>60</v>
      </c>
      <c r="P72" s="1089">
        <v>206</v>
      </c>
      <c r="Q72" s="1090">
        <v>210</v>
      </c>
      <c r="R72" s="1089">
        <v>50</v>
      </c>
      <c r="S72" s="1090">
        <v>50</v>
      </c>
      <c r="T72" s="1089" t="s">
        <v>2609</v>
      </c>
      <c r="U72" s="1092" t="s">
        <v>2610</v>
      </c>
      <c r="V72" s="1093">
        <v>0</v>
      </c>
      <c r="W72" s="1093">
        <v>0</v>
      </c>
      <c r="X72" s="1089" t="s">
        <v>2133</v>
      </c>
      <c r="Y72" s="1093" t="s">
        <v>2688</v>
      </c>
      <c r="Z72" s="1092" t="s">
        <v>2688</v>
      </c>
      <c r="AA72" s="1094" t="s">
        <v>2168</v>
      </c>
      <c r="AB72" s="1094" t="s">
        <v>2133</v>
      </c>
      <c r="AC72" s="1093" t="s">
        <v>2723</v>
      </c>
      <c r="AD72" s="3205"/>
      <c r="AE72" s="1095"/>
    </row>
    <row r="73" spans="1:31" ht="21" customHeight="1">
      <c r="A73" s="2426"/>
      <c r="B73" s="3206" t="s">
        <v>3827</v>
      </c>
      <c r="C73" s="3207" t="s">
        <v>3949</v>
      </c>
      <c r="D73" s="1096" t="s">
        <v>3950</v>
      </c>
      <c r="E73" s="895" t="s">
        <v>3951</v>
      </c>
      <c r="F73" s="3208">
        <v>64</v>
      </c>
      <c r="G73" s="3209">
        <v>64</v>
      </c>
      <c r="H73" s="3208">
        <v>11</v>
      </c>
      <c r="I73" s="3210" t="s">
        <v>3791</v>
      </c>
      <c r="J73" s="3211">
        <v>15</v>
      </c>
      <c r="K73" s="3212" t="s">
        <v>3541</v>
      </c>
      <c r="L73" s="3213" t="s">
        <v>3540</v>
      </c>
      <c r="M73" s="3214"/>
      <c r="N73" s="3215"/>
      <c r="O73" s="3216">
        <v>64</v>
      </c>
      <c r="P73" s="3217">
        <v>73</v>
      </c>
      <c r="Q73" s="3218">
        <v>90</v>
      </c>
      <c r="R73" s="3217">
        <v>54</v>
      </c>
      <c r="S73" s="3218">
        <v>63</v>
      </c>
      <c r="T73" s="3217" t="s">
        <v>2609</v>
      </c>
      <c r="U73" s="3219" t="s">
        <v>2610</v>
      </c>
      <c r="V73" s="3056">
        <v>7</v>
      </c>
      <c r="W73" s="3056">
        <v>3</v>
      </c>
      <c r="X73" s="3217" t="s">
        <v>2133</v>
      </c>
      <c r="Y73" s="3056" t="s">
        <v>2133</v>
      </c>
      <c r="Z73" s="3219" t="s">
        <v>2133</v>
      </c>
      <c r="AA73" s="3220" t="s">
        <v>3952</v>
      </c>
      <c r="AB73" s="3220" t="s">
        <v>2612</v>
      </c>
      <c r="AC73" s="3056" t="s">
        <v>2723</v>
      </c>
      <c r="AD73" s="3141"/>
      <c r="AE73" s="3072"/>
    </row>
    <row r="83" spans="1:36" ht="19.399999999999999" customHeight="1">
      <c r="AJ83" s="887"/>
    </row>
    <row r="84" spans="1:36" s="887" customFormat="1" ht="19.399999999999999" customHeight="1">
      <c r="A84" s="885"/>
      <c r="B84" s="884"/>
      <c r="C84" s="885"/>
      <c r="D84" s="885"/>
      <c r="E84" s="885"/>
      <c r="F84" s="897"/>
      <c r="G84" s="897"/>
      <c r="H84" s="897"/>
      <c r="I84" s="1078"/>
      <c r="J84" s="1079"/>
      <c r="K84" s="1079"/>
      <c r="L84" s="1080"/>
      <c r="M84" s="1080"/>
      <c r="AD84" s="897"/>
      <c r="AE84" s="1058"/>
      <c r="AF84" s="897"/>
      <c r="AH84" s="897"/>
      <c r="AI84" s="897"/>
      <c r="AJ84" s="897"/>
    </row>
  </sheetData>
  <autoFilter ref="A3:AW3" xr:uid="{64AB8A55-7EB6-4815-A6FB-908E7FD6D037}">
    <sortState xmlns:xlrd2="http://schemas.microsoft.com/office/spreadsheetml/2017/richdata2" ref="A4:AW73">
      <sortCondition ref="K3"/>
    </sortState>
  </autoFilter>
  <phoneticPr fontId="2"/>
  <printOptions horizontalCentered="1"/>
  <pageMargins left="3.937007874015748E-2" right="3.937007874015748E-2" top="0.15748031496062992" bottom="0.15748031496062992" header="0" footer="0"/>
  <pageSetup paperSize="8" scale="70" fitToHeight="0" orientation="landscape" r:id="rId1"/>
  <headerFooter>
    <oddFooter>&amp;C&amp;"Meiryo UI,標準"&amp;10&amp;P / &amp;N ページ</oddFooter>
  </headerFooter>
  <rowBreaks count="2" manualBreakCount="2">
    <brk id="36" max="26" man="1"/>
    <brk id="45" max="26" man="1"/>
  </rowBreaks>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E85B-533E-496E-B71C-BE1A78FEFD0B}">
  <sheetPr codeName="Sheet244">
    <tabColor rgb="FFFFC000"/>
    <pageSetUpPr fitToPage="1"/>
  </sheetPr>
  <dimension ref="B1:BY94"/>
  <sheetViews>
    <sheetView workbookViewId="0"/>
  </sheetViews>
  <sheetFormatPr defaultColWidth="9.453125" defaultRowHeight="19.399999999999999" customHeight="1" outlineLevelCol="2"/>
  <cols>
    <col min="1" max="1" width="4.7265625" style="897" customWidth="1"/>
    <col min="2" max="2" width="5.1796875" style="1078" customWidth="1"/>
    <col min="3" max="3" width="5.54296875" style="1079" customWidth="1"/>
    <col min="4" max="4" width="52.1796875" style="1079" bestFit="1" customWidth="1"/>
    <col min="5" max="5" width="6.54296875" style="1080" customWidth="1"/>
    <col min="6" max="6" width="5.54296875" style="1080" hidden="1" customWidth="1"/>
    <col min="7" max="8" width="5.54296875" style="887" hidden="1" customWidth="1"/>
    <col min="9" max="9" width="6.1796875" style="1081" hidden="1" customWidth="1"/>
    <col min="10" max="25" width="6.54296875" style="886" hidden="1" customWidth="1" outlineLevel="1"/>
    <col min="26" max="26" width="5.54296875" style="887" customWidth="1" collapsed="1"/>
    <col min="27" max="27" width="5.54296875" style="887" customWidth="1"/>
    <col min="28" max="43" width="6.54296875" style="886" hidden="1" customWidth="1" outlineLevel="2"/>
    <col min="44" max="44" width="5.54296875" style="887" customWidth="1" collapsed="1"/>
    <col min="45" max="45" width="6.81640625" style="887" customWidth="1"/>
    <col min="46" max="46" width="5.54296875" style="888" hidden="1" customWidth="1"/>
    <col min="47" max="50" width="4.453125" style="887" customWidth="1"/>
    <col min="51" max="53" width="3.1796875" style="887" hidden="1" customWidth="1"/>
    <col min="54" max="56" width="5.54296875" style="887" hidden="1" customWidth="1"/>
    <col min="57" max="61" width="3.453125" style="889" hidden="1" customWidth="1"/>
    <col min="62" max="62" width="5.1796875" style="885" hidden="1" customWidth="1"/>
    <col min="63" max="63" width="19.7265625" style="884" customWidth="1"/>
    <col min="64" max="64" width="29.54296875" style="885" customWidth="1"/>
    <col min="65" max="65" width="45.81640625" style="885" hidden="1" customWidth="1"/>
    <col min="66" max="66" width="12.81640625" style="885" hidden="1" customWidth="1"/>
    <col min="67" max="69" width="11.453125" style="897" customWidth="1"/>
    <col min="70" max="70" width="33.1796875" style="897" hidden="1" customWidth="1"/>
    <col min="71" max="71" width="57.453125" style="1058" customWidth="1"/>
    <col min="72" max="73" width="9.453125" style="897" customWidth="1"/>
    <col min="74" max="16384" width="9.453125" style="897"/>
  </cols>
  <sheetData>
    <row r="1" spans="2:72" ht="37.5" customHeight="1">
      <c r="B1" s="883" t="s">
        <v>3953</v>
      </c>
    </row>
    <row r="2" spans="2:72" ht="19.399999999999999" customHeight="1">
      <c r="B2" s="885"/>
      <c r="C2" s="885"/>
      <c r="D2" s="885"/>
      <c r="E2" s="885"/>
      <c r="F2" s="885"/>
      <c r="G2" s="885"/>
      <c r="H2" s="885"/>
      <c r="Z2" s="885"/>
      <c r="AA2" s="885"/>
      <c r="AR2" s="885"/>
      <c r="AS2" s="885"/>
      <c r="AT2" s="885"/>
      <c r="AU2" s="885"/>
      <c r="AV2" s="885"/>
      <c r="AW2" s="885"/>
      <c r="AX2" s="885"/>
      <c r="AY2" s="885"/>
      <c r="AZ2" s="885"/>
      <c r="BA2" s="885"/>
      <c r="BB2" s="885"/>
      <c r="BC2" s="885"/>
      <c r="BD2" s="885"/>
      <c r="BJ2" s="883"/>
      <c r="BO2" s="885"/>
      <c r="BP2" s="1844" t="s">
        <v>2547</v>
      </c>
      <c r="BQ2" s="1844" t="s">
        <v>2547</v>
      </c>
      <c r="BS2" s="1082"/>
      <c r="BT2" s="892"/>
    </row>
    <row r="3" spans="2:72" s="895" customFormat="1" ht="33.65" customHeight="1">
      <c r="B3" s="2284" t="s">
        <v>2598</v>
      </c>
      <c r="C3" s="2285" t="s">
        <v>2567</v>
      </c>
      <c r="D3" s="2286" t="s">
        <v>2568</v>
      </c>
      <c r="E3" s="2286" t="s">
        <v>3774</v>
      </c>
      <c r="F3" s="2286" t="s">
        <v>3775</v>
      </c>
      <c r="G3" s="2287" t="s">
        <v>2112</v>
      </c>
      <c r="H3" s="2287" t="s">
        <v>2112</v>
      </c>
      <c r="I3" s="2288" t="s">
        <v>2093</v>
      </c>
      <c r="J3" s="2289" t="s">
        <v>2569</v>
      </c>
      <c r="K3" s="2289" t="s">
        <v>2570</v>
      </c>
      <c r="L3" s="2289" t="s">
        <v>2571</v>
      </c>
      <c r="M3" s="2289" t="s">
        <v>2572</v>
      </c>
      <c r="N3" s="2289" t="s">
        <v>2573</v>
      </c>
      <c r="O3" s="2289" t="s">
        <v>2574</v>
      </c>
      <c r="P3" s="2289" t="s">
        <v>2575</v>
      </c>
      <c r="Q3" s="1035" t="s">
        <v>2576</v>
      </c>
      <c r="R3" s="1035" t="s">
        <v>2577</v>
      </c>
      <c r="S3" s="1035" t="s">
        <v>2578</v>
      </c>
      <c r="T3" s="1035" t="s">
        <v>2579</v>
      </c>
      <c r="U3" s="2289" t="s">
        <v>2580</v>
      </c>
      <c r="V3" s="2289" t="s">
        <v>2581</v>
      </c>
      <c r="W3" s="2289" t="s">
        <v>2582</v>
      </c>
      <c r="X3" s="2289" t="s">
        <v>2583</v>
      </c>
      <c r="Y3" s="2289" t="s">
        <v>2584</v>
      </c>
      <c r="Z3" s="2287" t="s">
        <v>3776</v>
      </c>
      <c r="AA3" s="2287" t="s">
        <v>3777</v>
      </c>
      <c r="AB3" s="2289" t="s">
        <v>2569</v>
      </c>
      <c r="AC3" s="2289" t="s">
        <v>2570</v>
      </c>
      <c r="AD3" s="2289" t="s">
        <v>2571</v>
      </c>
      <c r="AE3" s="2289" t="s">
        <v>2572</v>
      </c>
      <c r="AF3" s="2289" t="s">
        <v>2573</v>
      </c>
      <c r="AG3" s="2289" t="s">
        <v>2574</v>
      </c>
      <c r="AH3" s="2289" t="s">
        <v>2575</v>
      </c>
      <c r="AI3" s="1035" t="s">
        <v>2576</v>
      </c>
      <c r="AJ3" s="1035" t="s">
        <v>2577</v>
      </c>
      <c r="AK3" s="1035" t="s">
        <v>2578</v>
      </c>
      <c r="AL3" s="1035" t="s">
        <v>2579</v>
      </c>
      <c r="AM3" s="2289" t="s">
        <v>2580</v>
      </c>
      <c r="AN3" s="2289" t="s">
        <v>2581</v>
      </c>
      <c r="AO3" s="2289" t="s">
        <v>2582</v>
      </c>
      <c r="AP3" s="2289" t="s">
        <v>2583</v>
      </c>
      <c r="AQ3" s="2289" t="s">
        <v>2584</v>
      </c>
      <c r="AR3" s="2290" t="s">
        <v>3954</v>
      </c>
      <c r="AS3" s="2287" t="s">
        <v>3955</v>
      </c>
      <c r="AT3" s="2288" t="s">
        <v>2588</v>
      </c>
      <c r="AU3" s="2287" t="s">
        <v>3956</v>
      </c>
      <c r="AV3" s="2287" t="s">
        <v>3957</v>
      </c>
      <c r="AW3" s="2287" t="s">
        <v>3958</v>
      </c>
      <c r="AX3" s="2287" t="s">
        <v>3959</v>
      </c>
      <c r="AY3" s="2287" t="s">
        <v>3783</v>
      </c>
      <c r="AZ3" s="2287" t="s">
        <v>3784</v>
      </c>
      <c r="BA3" s="2287" t="s">
        <v>3785</v>
      </c>
      <c r="BB3" s="2287" t="s">
        <v>3786</v>
      </c>
      <c r="BC3" s="2290" t="s">
        <v>3787</v>
      </c>
      <c r="BD3" s="2287" t="s">
        <v>2597</v>
      </c>
      <c r="BE3" s="2291"/>
      <c r="BF3" s="2291"/>
      <c r="BG3" s="2291"/>
      <c r="BH3" s="2291"/>
      <c r="BI3" s="2291"/>
      <c r="BJ3" s="2292" t="s">
        <v>2548</v>
      </c>
      <c r="BK3" s="2293" t="s">
        <v>3768</v>
      </c>
      <c r="BL3" s="2293" t="s">
        <v>3769</v>
      </c>
      <c r="BM3" s="2293" t="s">
        <v>3770</v>
      </c>
      <c r="BN3" s="2294" t="s">
        <v>3771</v>
      </c>
      <c r="BO3" s="2295" t="s">
        <v>3960</v>
      </c>
      <c r="BP3" s="2296" t="s">
        <v>3773</v>
      </c>
      <c r="BQ3" s="2297" t="s">
        <v>2551</v>
      </c>
      <c r="BR3" s="2298" t="s">
        <v>3961</v>
      </c>
      <c r="BS3" s="2290" t="s">
        <v>2600</v>
      </c>
    </row>
    <row r="4" spans="2:72" ht="21" customHeight="1">
      <c r="B4" s="2643" t="s">
        <v>3791</v>
      </c>
      <c r="C4" s="2644">
        <v>22</v>
      </c>
      <c r="D4" s="1760" t="s">
        <v>3512</v>
      </c>
      <c r="E4" s="1761" t="s">
        <v>2138</v>
      </c>
      <c r="F4" s="1762"/>
      <c r="G4" s="2645"/>
      <c r="H4" s="2646">
        <v>64</v>
      </c>
      <c r="I4" s="2647">
        <v>-6.6115702479338845E-2</v>
      </c>
      <c r="J4" s="996" t="s">
        <v>3703</v>
      </c>
      <c r="K4" s="997" t="s">
        <v>3962</v>
      </c>
      <c r="L4" s="997" t="s">
        <v>2662</v>
      </c>
      <c r="M4" s="997" t="s">
        <v>2602</v>
      </c>
      <c r="N4" s="997" t="s">
        <v>2602</v>
      </c>
      <c r="O4" s="997" t="s">
        <v>2602</v>
      </c>
      <c r="P4" s="997" t="s">
        <v>2602</v>
      </c>
      <c r="Q4" s="998" t="s">
        <v>2602</v>
      </c>
      <c r="R4" s="998" t="s">
        <v>2602</v>
      </c>
      <c r="S4" s="998" t="s">
        <v>2602</v>
      </c>
      <c r="T4" s="998" t="s">
        <v>2602</v>
      </c>
      <c r="U4" s="997" t="s">
        <v>2602</v>
      </c>
      <c r="V4" s="997" t="s">
        <v>2602</v>
      </c>
      <c r="W4" s="997" t="s">
        <v>2602</v>
      </c>
      <c r="X4" s="997" t="s">
        <v>2602</v>
      </c>
      <c r="Y4" s="999" t="s">
        <v>2602</v>
      </c>
      <c r="Z4" s="1002">
        <v>262</v>
      </c>
      <c r="AA4" s="2648">
        <v>262</v>
      </c>
      <c r="AB4" s="996" t="s">
        <v>3963</v>
      </c>
      <c r="AC4" s="997" t="s">
        <v>2662</v>
      </c>
      <c r="AD4" s="997" t="s">
        <v>3964</v>
      </c>
      <c r="AE4" s="997" t="s">
        <v>2602</v>
      </c>
      <c r="AF4" s="997" t="s">
        <v>2602</v>
      </c>
      <c r="AG4" s="997" t="s">
        <v>2602</v>
      </c>
      <c r="AH4" s="997" t="s">
        <v>2602</v>
      </c>
      <c r="AI4" s="998" t="s">
        <v>2602</v>
      </c>
      <c r="AJ4" s="998" t="s">
        <v>2602</v>
      </c>
      <c r="AK4" s="998" t="s">
        <v>2602</v>
      </c>
      <c r="AL4" s="998" t="s">
        <v>2602</v>
      </c>
      <c r="AM4" s="997" t="s">
        <v>2602</v>
      </c>
      <c r="AN4" s="997" t="s">
        <v>2602</v>
      </c>
      <c r="AO4" s="997" t="s">
        <v>2602</v>
      </c>
      <c r="AP4" s="997" t="s">
        <v>2602</v>
      </c>
      <c r="AQ4" s="999" t="s">
        <v>2602</v>
      </c>
      <c r="AR4" s="1002">
        <v>121</v>
      </c>
      <c r="AS4" s="2648">
        <v>121</v>
      </c>
      <c r="AT4" s="1000">
        <v>0.46183206106870228</v>
      </c>
      <c r="AU4" s="1002" t="s">
        <v>2609</v>
      </c>
      <c r="AV4" s="995" t="s">
        <v>2610</v>
      </c>
      <c r="AW4" s="1001">
        <v>0</v>
      </c>
      <c r="AX4" s="1001">
        <v>0</v>
      </c>
      <c r="AY4" s="1002" t="s">
        <v>2133</v>
      </c>
      <c r="AZ4" s="1001" t="s">
        <v>2688</v>
      </c>
      <c r="BA4" s="995" t="s">
        <v>2688</v>
      </c>
      <c r="BB4" s="1003" t="s">
        <v>2168</v>
      </c>
      <c r="BC4" s="1003" t="s">
        <v>2133</v>
      </c>
      <c r="BD4" s="1001" t="s">
        <v>2723</v>
      </c>
      <c r="BE4" s="1004" t="s">
        <v>2129</v>
      </c>
      <c r="BF4" s="1005" t="s">
        <v>2129</v>
      </c>
      <c r="BG4" s="1005" t="s">
        <v>2129</v>
      </c>
      <c r="BH4" s="1005" t="s">
        <v>2129</v>
      </c>
      <c r="BI4" s="1005" t="s">
        <v>2133</v>
      </c>
      <c r="BJ4" s="2649"/>
      <c r="BK4" s="2650" t="s">
        <v>2198</v>
      </c>
      <c r="BL4" s="2651" t="s">
        <v>2198</v>
      </c>
      <c r="BM4" s="2652" t="s">
        <v>3875</v>
      </c>
      <c r="BN4" s="2653" t="s">
        <v>7</v>
      </c>
      <c r="BO4" s="2654">
        <v>64</v>
      </c>
      <c r="BP4" s="2655">
        <f>BO4+BO5</f>
        <v>129</v>
      </c>
      <c r="BQ4" s="2655">
        <v>11</v>
      </c>
      <c r="BR4" s="2656"/>
      <c r="BS4" s="2657" t="s">
        <v>3965</v>
      </c>
    </row>
    <row r="5" spans="2:72" ht="21" customHeight="1">
      <c r="B5" s="2658" t="s">
        <v>3791</v>
      </c>
      <c r="C5" s="2659">
        <v>22</v>
      </c>
      <c r="D5" s="2660" t="s">
        <v>3512</v>
      </c>
      <c r="E5" s="2661" t="s">
        <v>2138</v>
      </c>
      <c r="F5" s="2662"/>
      <c r="G5" s="2663"/>
      <c r="H5" s="2664">
        <v>65</v>
      </c>
      <c r="I5" s="2665">
        <v>-6.6115702479338845E-2</v>
      </c>
      <c r="J5" s="2666" t="s">
        <v>3703</v>
      </c>
      <c r="K5" s="2667" t="s">
        <v>3962</v>
      </c>
      <c r="L5" s="2667" t="s">
        <v>2662</v>
      </c>
      <c r="M5" s="2667" t="s">
        <v>2602</v>
      </c>
      <c r="N5" s="2667" t="s">
        <v>2602</v>
      </c>
      <c r="O5" s="2667" t="s">
        <v>2602</v>
      </c>
      <c r="P5" s="2667" t="s">
        <v>2602</v>
      </c>
      <c r="Q5" s="2668" t="s">
        <v>2602</v>
      </c>
      <c r="R5" s="2668" t="s">
        <v>2602</v>
      </c>
      <c r="S5" s="2668" t="s">
        <v>2602</v>
      </c>
      <c r="T5" s="2668" t="s">
        <v>2602</v>
      </c>
      <c r="U5" s="2667" t="s">
        <v>2602</v>
      </c>
      <c r="V5" s="2667" t="s">
        <v>2602</v>
      </c>
      <c r="W5" s="2667" t="s">
        <v>2602</v>
      </c>
      <c r="X5" s="2667" t="s">
        <v>2602</v>
      </c>
      <c r="Y5" s="2669" t="s">
        <v>2602</v>
      </c>
      <c r="Z5" s="2662">
        <v>262</v>
      </c>
      <c r="AA5" s="2670">
        <v>262</v>
      </c>
      <c r="AB5" s="2666" t="s">
        <v>3963</v>
      </c>
      <c r="AC5" s="2667" t="s">
        <v>2662</v>
      </c>
      <c r="AD5" s="2667" t="s">
        <v>3964</v>
      </c>
      <c r="AE5" s="2667" t="s">
        <v>2602</v>
      </c>
      <c r="AF5" s="2667" t="s">
        <v>2602</v>
      </c>
      <c r="AG5" s="2667" t="s">
        <v>2602</v>
      </c>
      <c r="AH5" s="2667" t="s">
        <v>2602</v>
      </c>
      <c r="AI5" s="2668" t="s">
        <v>2602</v>
      </c>
      <c r="AJ5" s="2668" t="s">
        <v>2602</v>
      </c>
      <c r="AK5" s="2668" t="s">
        <v>2602</v>
      </c>
      <c r="AL5" s="2668" t="s">
        <v>2602</v>
      </c>
      <c r="AM5" s="2667" t="s">
        <v>2602</v>
      </c>
      <c r="AN5" s="2667" t="s">
        <v>2602</v>
      </c>
      <c r="AO5" s="2667" t="s">
        <v>2602</v>
      </c>
      <c r="AP5" s="2667" t="s">
        <v>2602</v>
      </c>
      <c r="AQ5" s="2669" t="s">
        <v>2602</v>
      </c>
      <c r="AR5" s="2662">
        <v>121</v>
      </c>
      <c r="AS5" s="2670">
        <v>121</v>
      </c>
      <c r="AT5" s="2671">
        <v>0.46183206106870228</v>
      </c>
      <c r="AU5" s="2662" t="s">
        <v>2609</v>
      </c>
      <c r="AV5" s="2672" t="s">
        <v>2610</v>
      </c>
      <c r="AW5" s="2673">
        <v>0</v>
      </c>
      <c r="AX5" s="2673">
        <v>0</v>
      </c>
      <c r="AY5" s="2674" t="s">
        <v>2133</v>
      </c>
      <c r="AZ5" s="2675" t="s">
        <v>2688</v>
      </c>
      <c r="BA5" s="2676" t="s">
        <v>2688</v>
      </c>
      <c r="BB5" s="2677" t="s">
        <v>2168</v>
      </c>
      <c r="BC5" s="2677" t="s">
        <v>2133</v>
      </c>
      <c r="BD5" s="2675" t="s">
        <v>2723</v>
      </c>
      <c r="BE5" s="2678" t="s">
        <v>2129</v>
      </c>
      <c r="BF5" s="2679" t="s">
        <v>2129</v>
      </c>
      <c r="BG5" s="2679" t="s">
        <v>2129</v>
      </c>
      <c r="BH5" s="2679" t="s">
        <v>2129</v>
      </c>
      <c r="BI5" s="2679" t="s">
        <v>2133</v>
      </c>
      <c r="BJ5" s="2680"/>
      <c r="BK5" s="2681" t="s">
        <v>2198</v>
      </c>
      <c r="BL5" s="2682" t="s">
        <v>2201</v>
      </c>
      <c r="BM5" s="2683" t="s">
        <v>3875</v>
      </c>
      <c r="BN5" s="2684" t="s">
        <v>7</v>
      </c>
      <c r="BO5" s="2685">
        <v>65</v>
      </c>
      <c r="BP5" s="2686"/>
      <c r="BQ5" s="2686"/>
      <c r="BR5" s="2687"/>
      <c r="BS5" s="2688" t="s">
        <v>3965</v>
      </c>
    </row>
    <row r="6" spans="2:72" ht="21" customHeight="1">
      <c r="B6" s="2307" t="s">
        <v>3791</v>
      </c>
      <c r="C6" s="2308">
        <v>26</v>
      </c>
      <c r="D6" s="2309" t="s">
        <v>3941</v>
      </c>
      <c r="E6" s="2310" t="s">
        <v>2138</v>
      </c>
      <c r="F6" s="1161"/>
      <c r="G6" s="2311"/>
      <c r="H6" s="2312">
        <v>92</v>
      </c>
      <c r="I6" s="2313">
        <v>4.9689440993788822E-3</v>
      </c>
      <c r="J6" s="1136" t="s">
        <v>3966</v>
      </c>
      <c r="K6" s="1137" t="s">
        <v>2676</v>
      </c>
      <c r="L6" s="1137" t="s">
        <v>2621</v>
      </c>
      <c r="M6" s="1137" t="s">
        <v>2636</v>
      </c>
      <c r="N6" s="1137" t="s">
        <v>2602</v>
      </c>
      <c r="O6" s="1137" t="s">
        <v>2602</v>
      </c>
      <c r="P6" s="1137" t="s">
        <v>2602</v>
      </c>
      <c r="Q6" s="1138" t="s">
        <v>2602</v>
      </c>
      <c r="R6" s="1138" t="s">
        <v>2602</v>
      </c>
      <c r="S6" s="1138" t="s">
        <v>2602</v>
      </c>
      <c r="T6" s="1138" t="s">
        <v>2602</v>
      </c>
      <c r="U6" s="1137" t="s">
        <v>2602</v>
      </c>
      <c r="V6" s="1137" t="s">
        <v>2602</v>
      </c>
      <c r="W6" s="1137" t="s">
        <v>2602</v>
      </c>
      <c r="X6" s="1137" t="s">
        <v>2602</v>
      </c>
      <c r="Y6" s="1139" t="s">
        <v>2602</v>
      </c>
      <c r="Z6" s="1140">
        <v>285</v>
      </c>
      <c r="AA6" s="1141">
        <v>292</v>
      </c>
      <c r="AB6" s="1136" t="s">
        <v>3966</v>
      </c>
      <c r="AC6" s="1137" t="s">
        <v>2662</v>
      </c>
      <c r="AD6" s="1137" t="s">
        <v>2621</v>
      </c>
      <c r="AE6" s="1137" t="s">
        <v>2602</v>
      </c>
      <c r="AF6" s="1137" t="s">
        <v>2602</v>
      </c>
      <c r="AG6" s="1137" t="s">
        <v>2602</v>
      </c>
      <c r="AH6" s="1137" t="s">
        <v>2602</v>
      </c>
      <c r="AI6" s="1138" t="s">
        <v>2602</v>
      </c>
      <c r="AJ6" s="1138" t="s">
        <v>2602</v>
      </c>
      <c r="AK6" s="1138" t="s">
        <v>2602</v>
      </c>
      <c r="AL6" s="1138" t="s">
        <v>2602</v>
      </c>
      <c r="AM6" s="1137" t="s">
        <v>2602</v>
      </c>
      <c r="AN6" s="1137" t="s">
        <v>2602</v>
      </c>
      <c r="AO6" s="1137" t="s">
        <v>2602</v>
      </c>
      <c r="AP6" s="1137" t="s">
        <v>2602</v>
      </c>
      <c r="AQ6" s="1139" t="s">
        <v>2602</v>
      </c>
      <c r="AR6" s="1140">
        <v>70</v>
      </c>
      <c r="AS6" s="1141">
        <v>70</v>
      </c>
      <c r="AT6" s="1142">
        <v>0.24561403508771928</v>
      </c>
      <c r="AU6" s="1140" t="s">
        <v>2609</v>
      </c>
      <c r="AV6" s="1143" t="s">
        <v>2610</v>
      </c>
      <c r="AW6" s="1144">
        <v>0</v>
      </c>
      <c r="AX6" s="1144">
        <v>0</v>
      </c>
      <c r="AY6" s="1140" t="s">
        <v>2133</v>
      </c>
      <c r="AZ6" s="1144" t="s">
        <v>2688</v>
      </c>
      <c r="BA6" s="1143" t="s">
        <v>2688</v>
      </c>
      <c r="BB6" s="1159" t="s">
        <v>2168</v>
      </c>
      <c r="BC6" s="1159" t="s">
        <v>2133</v>
      </c>
      <c r="BD6" s="1144" t="s">
        <v>2723</v>
      </c>
      <c r="BE6" s="2314" t="s">
        <v>2133</v>
      </c>
      <c r="BF6" s="2315" t="s">
        <v>2129</v>
      </c>
      <c r="BG6" s="2315" t="s">
        <v>2129</v>
      </c>
      <c r="BH6" s="2315" t="s">
        <v>2129</v>
      </c>
      <c r="BI6" s="2315"/>
      <c r="BJ6" s="2316" t="s">
        <v>3822</v>
      </c>
      <c r="BK6" s="1172" t="s">
        <v>3938</v>
      </c>
      <c r="BL6" s="1167" t="s">
        <v>3939</v>
      </c>
      <c r="BM6" s="2317" t="s">
        <v>3940</v>
      </c>
      <c r="BN6" s="2318" t="s">
        <v>3841</v>
      </c>
      <c r="BO6" s="2319">
        <v>92</v>
      </c>
      <c r="BP6" s="2320">
        <f>SUM(BO6:BO8)</f>
        <v>92</v>
      </c>
      <c r="BQ6" s="2320">
        <v>11</v>
      </c>
      <c r="BR6" s="2321"/>
      <c r="BS6" s="2322" t="s">
        <v>3967</v>
      </c>
    </row>
    <row r="7" spans="2:72" ht="21" customHeight="1">
      <c r="B7" s="2323" t="s">
        <v>3791</v>
      </c>
      <c r="C7" s="2324">
        <v>26</v>
      </c>
      <c r="D7" s="2325" t="s">
        <v>3941</v>
      </c>
      <c r="E7" s="2326" t="s">
        <v>2138</v>
      </c>
      <c r="F7" s="2327"/>
      <c r="G7" s="2328"/>
      <c r="H7" s="2329"/>
      <c r="I7" s="2330">
        <v>4.9689440993788822E-3</v>
      </c>
      <c r="J7" s="2331" t="s">
        <v>3966</v>
      </c>
      <c r="K7" s="2332" t="s">
        <v>2676</v>
      </c>
      <c r="L7" s="2332" t="s">
        <v>2621</v>
      </c>
      <c r="M7" s="2332" t="s">
        <v>2636</v>
      </c>
      <c r="N7" s="2332" t="s">
        <v>2602</v>
      </c>
      <c r="O7" s="2332" t="s">
        <v>2602</v>
      </c>
      <c r="P7" s="2332" t="s">
        <v>2602</v>
      </c>
      <c r="Q7" s="2333" t="s">
        <v>2602</v>
      </c>
      <c r="R7" s="2333" t="s">
        <v>2602</v>
      </c>
      <c r="S7" s="2333" t="s">
        <v>2602</v>
      </c>
      <c r="T7" s="2333" t="s">
        <v>2602</v>
      </c>
      <c r="U7" s="2332" t="s">
        <v>2602</v>
      </c>
      <c r="V7" s="2332" t="s">
        <v>2602</v>
      </c>
      <c r="W7" s="2332" t="s">
        <v>2602</v>
      </c>
      <c r="X7" s="2332" t="s">
        <v>2602</v>
      </c>
      <c r="Y7" s="2334" t="s">
        <v>2602</v>
      </c>
      <c r="Z7" s="2327">
        <v>285</v>
      </c>
      <c r="AA7" s="2335">
        <v>292</v>
      </c>
      <c r="AB7" s="2331" t="s">
        <v>3966</v>
      </c>
      <c r="AC7" s="2332" t="s">
        <v>2662</v>
      </c>
      <c r="AD7" s="2332" t="s">
        <v>2621</v>
      </c>
      <c r="AE7" s="2332" t="s">
        <v>2602</v>
      </c>
      <c r="AF7" s="2332" t="s">
        <v>2602</v>
      </c>
      <c r="AG7" s="2332" t="s">
        <v>2602</v>
      </c>
      <c r="AH7" s="2332" t="s">
        <v>2602</v>
      </c>
      <c r="AI7" s="2333" t="s">
        <v>2602</v>
      </c>
      <c r="AJ7" s="2333" t="s">
        <v>2602</v>
      </c>
      <c r="AK7" s="2333" t="s">
        <v>2602</v>
      </c>
      <c r="AL7" s="2333" t="s">
        <v>2602</v>
      </c>
      <c r="AM7" s="2332" t="s">
        <v>2602</v>
      </c>
      <c r="AN7" s="2332" t="s">
        <v>2602</v>
      </c>
      <c r="AO7" s="2332" t="s">
        <v>2602</v>
      </c>
      <c r="AP7" s="2332" t="s">
        <v>2602</v>
      </c>
      <c r="AQ7" s="2334" t="s">
        <v>2602</v>
      </c>
      <c r="AR7" s="2327">
        <v>70</v>
      </c>
      <c r="AS7" s="2335">
        <v>70</v>
      </c>
      <c r="AT7" s="2336">
        <v>0.24561403508771928</v>
      </c>
      <c r="AU7" s="2327" t="s">
        <v>2609</v>
      </c>
      <c r="AV7" s="2337" t="s">
        <v>2610</v>
      </c>
      <c r="AW7" s="2338">
        <v>0</v>
      </c>
      <c r="AX7" s="2338">
        <v>0</v>
      </c>
      <c r="AY7" s="1145" t="s">
        <v>2133</v>
      </c>
      <c r="AZ7" s="1147" t="s">
        <v>2688</v>
      </c>
      <c r="BA7" s="1146" t="s">
        <v>2688</v>
      </c>
      <c r="BB7" s="1151" t="s">
        <v>2168</v>
      </c>
      <c r="BC7" s="1151" t="s">
        <v>2133</v>
      </c>
      <c r="BD7" s="1147" t="s">
        <v>2723</v>
      </c>
      <c r="BE7" s="2339" t="s">
        <v>2133</v>
      </c>
      <c r="BF7" s="2340" t="s">
        <v>2129</v>
      </c>
      <c r="BG7" s="2340" t="s">
        <v>2129</v>
      </c>
      <c r="BH7" s="2340" t="s">
        <v>2129</v>
      </c>
      <c r="BI7" s="2340"/>
      <c r="BJ7" s="2341" t="s">
        <v>3822</v>
      </c>
      <c r="BK7" s="1154" t="s">
        <v>3938</v>
      </c>
      <c r="BL7" s="1168" t="s">
        <v>3942</v>
      </c>
      <c r="BM7" s="2342" t="s">
        <v>3943</v>
      </c>
      <c r="BN7" s="2343" t="s">
        <v>3841</v>
      </c>
      <c r="BO7" s="2344"/>
      <c r="BP7" s="2345"/>
      <c r="BQ7" s="2345"/>
      <c r="BR7" s="2346"/>
      <c r="BS7" s="2347" t="s">
        <v>3968</v>
      </c>
    </row>
    <row r="8" spans="2:72" ht="21" customHeight="1">
      <c r="B8" s="2348" t="s">
        <v>3791</v>
      </c>
      <c r="C8" s="2349">
        <v>26</v>
      </c>
      <c r="D8" s="2350" t="s">
        <v>3941</v>
      </c>
      <c r="E8" s="2351" t="s">
        <v>2138</v>
      </c>
      <c r="F8" s="2352"/>
      <c r="G8" s="2353"/>
      <c r="H8" s="2354"/>
      <c r="I8" s="2355">
        <v>4.9689440993788822E-3</v>
      </c>
      <c r="J8" s="2356" t="s">
        <v>3966</v>
      </c>
      <c r="K8" s="2357" t="s">
        <v>2676</v>
      </c>
      <c r="L8" s="2357" t="s">
        <v>2621</v>
      </c>
      <c r="M8" s="2357" t="s">
        <v>2636</v>
      </c>
      <c r="N8" s="2357" t="s">
        <v>2602</v>
      </c>
      <c r="O8" s="2357" t="s">
        <v>2602</v>
      </c>
      <c r="P8" s="2357" t="s">
        <v>2602</v>
      </c>
      <c r="Q8" s="2358" t="s">
        <v>2602</v>
      </c>
      <c r="R8" s="2358" t="s">
        <v>2602</v>
      </c>
      <c r="S8" s="2358" t="s">
        <v>2602</v>
      </c>
      <c r="T8" s="2358" t="s">
        <v>2602</v>
      </c>
      <c r="U8" s="2357" t="s">
        <v>2602</v>
      </c>
      <c r="V8" s="2357" t="s">
        <v>2602</v>
      </c>
      <c r="W8" s="2357" t="s">
        <v>2602</v>
      </c>
      <c r="X8" s="2357" t="s">
        <v>2602</v>
      </c>
      <c r="Y8" s="2359" t="s">
        <v>2602</v>
      </c>
      <c r="Z8" s="2352">
        <v>285</v>
      </c>
      <c r="AA8" s="2360">
        <v>292</v>
      </c>
      <c r="AB8" s="2356" t="s">
        <v>3966</v>
      </c>
      <c r="AC8" s="2357" t="s">
        <v>2662</v>
      </c>
      <c r="AD8" s="2357" t="s">
        <v>2621</v>
      </c>
      <c r="AE8" s="2357" t="s">
        <v>2602</v>
      </c>
      <c r="AF8" s="2357" t="s">
        <v>2602</v>
      </c>
      <c r="AG8" s="2357" t="s">
        <v>2602</v>
      </c>
      <c r="AH8" s="2357" t="s">
        <v>2602</v>
      </c>
      <c r="AI8" s="2358" t="s">
        <v>2602</v>
      </c>
      <c r="AJ8" s="2358" t="s">
        <v>2602</v>
      </c>
      <c r="AK8" s="2358" t="s">
        <v>2602</v>
      </c>
      <c r="AL8" s="2358" t="s">
        <v>2602</v>
      </c>
      <c r="AM8" s="2357" t="s">
        <v>2602</v>
      </c>
      <c r="AN8" s="2357" t="s">
        <v>2602</v>
      </c>
      <c r="AO8" s="2357" t="s">
        <v>2602</v>
      </c>
      <c r="AP8" s="2357" t="s">
        <v>2602</v>
      </c>
      <c r="AQ8" s="2359" t="s">
        <v>2602</v>
      </c>
      <c r="AR8" s="2352">
        <v>70</v>
      </c>
      <c r="AS8" s="2360">
        <v>70</v>
      </c>
      <c r="AT8" s="2361">
        <v>0.24561403508771928</v>
      </c>
      <c r="AU8" s="2352" t="s">
        <v>2609</v>
      </c>
      <c r="AV8" s="2362" t="s">
        <v>2610</v>
      </c>
      <c r="AW8" s="2363">
        <v>0</v>
      </c>
      <c r="AX8" s="2363">
        <v>0</v>
      </c>
      <c r="AY8" s="1148" t="s">
        <v>2133</v>
      </c>
      <c r="AZ8" s="1150" t="s">
        <v>2688</v>
      </c>
      <c r="BA8" s="1149" t="s">
        <v>2688</v>
      </c>
      <c r="BB8" s="1155" t="s">
        <v>2168</v>
      </c>
      <c r="BC8" s="1155" t="s">
        <v>2133</v>
      </c>
      <c r="BD8" s="1150" t="s">
        <v>2723</v>
      </c>
      <c r="BE8" s="2364" t="s">
        <v>2133</v>
      </c>
      <c r="BF8" s="2365" t="s">
        <v>2129</v>
      </c>
      <c r="BG8" s="2365" t="s">
        <v>2129</v>
      </c>
      <c r="BH8" s="2365" t="s">
        <v>2129</v>
      </c>
      <c r="BI8" s="2365"/>
      <c r="BJ8" s="2366" t="s">
        <v>3822</v>
      </c>
      <c r="BK8" s="1158" t="s">
        <v>3938</v>
      </c>
      <c r="BL8" s="1169" t="s">
        <v>3944</v>
      </c>
      <c r="BM8" s="2367" t="s">
        <v>3945</v>
      </c>
      <c r="BN8" s="2368" t="s">
        <v>3841</v>
      </c>
      <c r="BO8" s="2369"/>
      <c r="BP8" s="2370"/>
      <c r="BQ8" s="2370"/>
      <c r="BR8" s="2371"/>
      <c r="BS8" s="2372" t="s">
        <v>3968</v>
      </c>
    </row>
    <row r="9" spans="2:72" ht="21" customHeight="1">
      <c r="B9" s="2373" t="s">
        <v>3791</v>
      </c>
      <c r="C9" s="2308">
        <v>67</v>
      </c>
      <c r="D9" s="2309" t="s">
        <v>3918</v>
      </c>
      <c r="E9" s="2310" t="s">
        <v>2138</v>
      </c>
      <c r="F9" s="1161"/>
      <c r="G9" s="2311"/>
      <c r="H9" s="2312">
        <v>55</v>
      </c>
      <c r="I9" s="2313">
        <v>4.9689440993788822E-3</v>
      </c>
      <c r="J9" s="1136" t="s">
        <v>3966</v>
      </c>
      <c r="K9" s="1137" t="s">
        <v>2676</v>
      </c>
      <c r="L9" s="1137" t="s">
        <v>2621</v>
      </c>
      <c r="M9" s="1137" t="s">
        <v>2636</v>
      </c>
      <c r="N9" s="1137" t="s">
        <v>2602</v>
      </c>
      <c r="O9" s="1137" t="s">
        <v>2602</v>
      </c>
      <c r="P9" s="1137" t="s">
        <v>2602</v>
      </c>
      <c r="Q9" s="1138" t="s">
        <v>2602</v>
      </c>
      <c r="R9" s="1138" t="s">
        <v>2602</v>
      </c>
      <c r="S9" s="1138" t="s">
        <v>2602</v>
      </c>
      <c r="T9" s="1138" t="s">
        <v>2602</v>
      </c>
      <c r="U9" s="1137" t="s">
        <v>2602</v>
      </c>
      <c r="V9" s="1137" t="s">
        <v>2602</v>
      </c>
      <c r="W9" s="1137" t="s">
        <v>2602</v>
      </c>
      <c r="X9" s="1137" t="s">
        <v>2602</v>
      </c>
      <c r="Y9" s="1139" t="s">
        <v>2602</v>
      </c>
      <c r="Z9" s="1140">
        <v>805</v>
      </c>
      <c r="AA9" s="1141">
        <v>806</v>
      </c>
      <c r="AB9" s="1136" t="s">
        <v>3966</v>
      </c>
      <c r="AC9" s="1137" t="s">
        <v>2662</v>
      </c>
      <c r="AD9" s="1137" t="s">
        <v>2621</v>
      </c>
      <c r="AE9" s="1137" t="s">
        <v>2602</v>
      </c>
      <c r="AF9" s="1137" t="s">
        <v>2602</v>
      </c>
      <c r="AG9" s="1137" t="s">
        <v>2602</v>
      </c>
      <c r="AH9" s="1137" t="s">
        <v>2602</v>
      </c>
      <c r="AI9" s="1138" t="s">
        <v>2602</v>
      </c>
      <c r="AJ9" s="1138" t="s">
        <v>2602</v>
      </c>
      <c r="AK9" s="1138" t="s">
        <v>2602</v>
      </c>
      <c r="AL9" s="1138" t="s">
        <v>2602</v>
      </c>
      <c r="AM9" s="1137" t="s">
        <v>2602</v>
      </c>
      <c r="AN9" s="1137" t="s">
        <v>2602</v>
      </c>
      <c r="AO9" s="1137" t="s">
        <v>2602</v>
      </c>
      <c r="AP9" s="1137" t="s">
        <v>2602</v>
      </c>
      <c r="AQ9" s="1139" t="s">
        <v>2602</v>
      </c>
      <c r="AR9" s="1140">
        <v>805</v>
      </c>
      <c r="AS9" s="1141">
        <v>805</v>
      </c>
      <c r="AT9" s="1142">
        <v>1</v>
      </c>
      <c r="AU9" s="1140" t="s">
        <v>2610</v>
      </c>
      <c r="AV9" s="1143" t="s">
        <v>2610</v>
      </c>
      <c r="AW9" s="1144">
        <v>1</v>
      </c>
      <c r="AX9" s="1144">
        <v>1</v>
      </c>
      <c r="AY9" s="1140" t="s">
        <v>2133</v>
      </c>
      <c r="AZ9" s="1144" t="s">
        <v>2688</v>
      </c>
      <c r="BA9" s="1143" t="s">
        <v>2688</v>
      </c>
      <c r="BB9" s="1159" t="s">
        <v>2168</v>
      </c>
      <c r="BC9" s="1159" t="s">
        <v>2133</v>
      </c>
      <c r="BD9" s="1144" t="s">
        <v>2670</v>
      </c>
      <c r="BE9" s="2314" t="s">
        <v>2129</v>
      </c>
      <c r="BF9" s="2315" t="s">
        <v>2129</v>
      </c>
      <c r="BG9" s="2315" t="s">
        <v>2129</v>
      </c>
      <c r="BH9" s="2315" t="s">
        <v>2129</v>
      </c>
      <c r="BI9" s="2315" t="s">
        <v>2133</v>
      </c>
      <c r="BJ9" s="2374" t="s">
        <v>3822</v>
      </c>
      <c r="BK9" s="1162" t="s">
        <v>3844</v>
      </c>
      <c r="BL9" s="1167" t="s">
        <v>3934</v>
      </c>
      <c r="BM9" s="2317" t="s">
        <v>3935</v>
      </c>
      <c r="BN9" s="2318" t="s">
        <v>3841</v>
      </c>
      <c r="BO9" s="2319">
        <v>55</v>
      </c>
      <c r="BP9" s="2320">
        <f>SUM(BO9:BO25)</f>
        <v>769</v>
      </c>
      <c r="BQ9" s="2320">
        <v>11</v>
      </c>
      <c r="BR9" s="2321"/>
      <c r="BS9" s="2322" t="s">
        <v>3968</v>
      </c>
    </row>
    <row r="10" spans="2:72" ht="21" customHeight="1">
      <c r="B10" s="2375" t="s">
        <v>3791</v>
      </c>
      <c r="C10" s="2324">
        <v>67</v>
      </c>
      <c r="D10" s="2325" t="s">
        <v>3918</v>
      </c>
      <c r="E10" s="2326" t="s">
        <v>2138</v>
      </c>
      <c r="F10" s="2327"/>
      <c r="G10" s="2328"/>
      <c r="H10" s="2329">
        <v>21</v>
      </c>
      <c r="I10" s="2330">
        <v>4.9689440993788822E-3</v>
      </c>
      <c r="J10" s="2331" t="s">
        <v>3966</v>
      </c>
      <c r="K10" s="2332" t="s">
        <v>2676</v>
      </c>
      <c r="L10" s="2332" t="s">
        <v>2621</v>
      </c>
      <c r="M10" s="2332" t="s">
        <v>2636</v>
      </c>
      <c r="N10" s="2332" t="s">
        <v>2602</v>
      </c>
      <c r="O10" s="2332" t="s">
        <v>2602</v>
      </c>
      <c r="P10" s="2332" t="s">
        <v>2602</v>
      </c>
      <c r="Q10" s="2333" t="s">
        <v>2602</v>
      </c>
      <c r="R10" s="2333" t="s">
        <v>2602</v>
      </c>
      <c r="S10" s="2333" t="s">
        <v>2602</v>
      </c>
      <c r="T10" s="2333" t="s">
        <v>2602</v>
      </c>
      <c r="U10" s="2332" t="s">
        <v>2602</v>
      </c>
      <c r="V10" s="2332" t="s">
        <v>2602</v>
      </c>
      <c r="W10" s="2332" t="s">
        <v>2602</v>
      </c>
      <c r="X10" s="2332" t="s">
        <v>2602</v>
      </c>
      <c r="Y10" s="2334" t="s">
        <v>2602</v>
      </c>
      <c r="Z10" s="2327">
        <v>805</v>
      </c>
      <c r="AA10" s="2335">
        <v>806</v>
      </c>
      <c r="AB10" s="2331" t="s">
        <v>3966</v>
      </c>
      <c r="AC10" s="2332" t="s">
        <v>2662</v>
      </c>
      <c r="AD10" s="2332" t="s">
        <v>2621</v>
      </c>
      <c r="AE10" s="2332" t="s">
        <v>2602</v>
      </c>
      <c r="AF10" s="2332" t="s">
        <v>2602</v>
      </c>
      <c r="AG10" s="2332" t="s">
        <v>2602</v>
      </c>
      <c r="AH10" s="2332" t="s">
        <v>2602</v>
      </c>
      <c r="AI10" s="2333" t="s">
        <v>2602</v>
      </c>
      <c r="AJ10" s="2333" t="s">
        <v>2602</v>
      </c>
      <c r="AK10" s="2333" t="s">
        <v>2602</v>
      </c>
      <c r="AL10" s="2333" t="s">
        <v>2602</v>
      </c>
      <c r="AM10" s="2332" t="s">
        <v>2602</v>
      </c>
      <c r="AN10" s="2332" t="s">
        <v>2602</v>
      </c>
      <c r="AO10" s="2332" t="s">
        <v>2602</v>
      </c>
      <c r="AP10" s="2332" t="s">
        <v>2602</v>
      </c>
      <c r="AQ10" s="2334" t="s">
        <v>2602</v>
      </c>
      <c r="AR10" s="2327">
        <v>805</v>
      </c>
      <c r="AS10" s="2335">
        <v>805</v>
      </c>
      <c r="AT10" s="2336">
        <v>1</v>
      </c>
      <c r="AU10" s="2327" t="s">
        <v>2610</v>
      </c>
      <c r="AV10" s="2337" t="s">
        <v>2610</v>
      </c>
      <c r="AW10" s="2338">
        <v>1</v>
      </c>
      <c r="AX10" s="2338">
        <v>1</v>
      </c>
      <c r="AY10" s="1145" t="s">
        <v>2133</v>
      </c>
      <c r="AZ10" s="1147" t="s">
        <v>2688</v>
      </c>
      <c r="BA10" s="1146" t="s">
        <v>2688</v>
      </c>
      <c r="BB10" s="1151" t="s">
        <v>2168</v>
      </c>
      <c r="BC10" s="1151" t="s">
        <v>2133</v>
      </c>
      <c r="BD10" s="1147" t="s">
        <v>2670</v>
      </c>
      <c r="BE10" s="2339" t="s">
        <v>2129</v>
      </c>
      <c r="BF10" s="2340" t="s">
        <v>2129</v>
      </c>
      <c r="BG10" s="2340" t="s">
        <v>2129</v>
      </c>
      <c r="BH10" s="2340" t="s">
        <v>2129</v>
      </c>
      <c r="BI10" s="2340" t="s">
        <v>2133</v>
      </c>
      <c r="BJ10" s="2376" t="s">
        <v>3793</v>
      </c>
      <c r="BK10" s="1152" t="s">
        <v>3969</v>
      </c>
      <c r="BL10" s="1168" t="s">
        <v>3856</v>
      </c>
      <c r="BM10" s="2342" t="s">
        <v>3857</v>
      </c>
      <c r="BN10" s="2343" t="s">
        <v>3841</v>
      </c>
      <c r="BO10" s="2344">
        <v>21</v>
      </c>
      <c r="BP10" s="2345"/>
      <c r="BQ10" s="2345"/>
      <c r="BR10" s="2346"/>
      <c r="BS10" s="2347" t="s">
        <v>3968</v>
      </c>
    </row>
    <row r="11" spans="2:72" ht="21" customHeight="1">
      <c r="B11" s="2375" t="s">
        <v>3791</v>
      </c>
      <c r="C11" s="2324">
        <v>67</v>
      </c>
      <c r="D11" s="2325" t="s">
        <v>3918</v>
      </c>
      <c r="E11" s="2326" t="s">
        <v>2138</v>
      </c>
      <c r="F11" s="2327"/>
      <c r="G11" s="2328"/>
      <c r="H11" s="2329">
        <v>9</v>
      </c>
      <c r="I11" s="2330">
        <v>4.9689440993788822E-3</v>
      </c>
      <c r="J11" s="2331" t="s">
        <v>3966</v>
      </c>
      <c r="K11" s="2332" t="s">
        <v>2676</v>
      </c>
      <c r="L11" s="2332" t="s">
        <v>2621</v>
      </c>
      <c r="M11" s="2332" t="s">
        <v>2636</v>
      </c>
      <c r="N11" s="2332" t="s">
        <v>2602</v>
      </c>
      <c r="O11" s="2332" t="s">
        <v>2602</v>
      </c>
      <c r="P11" s="2332" t="s">
        <v>2602</v>
      </c>
      <c r="Q11" s="2333" t="s">
        <v>2602</v>
      </c>
      <c r="R11" s="2333" t="s">
        <v>2602</v>
      </c>
      <c r="S11" s="2333" t="s">
        <v>2602</v>
      </c>
      <c r="T11" s="2333" t="s">
        <v>2602</v>
      </c>
      <c r="U11" s="2332" t="s">
        <v>2602</v>
      </c>
      <c r="V11" s="2332" t="s">
        <v>2602</v>
      </c>
      <c r="W11" s="2332" t="s">
        <v>2602</v>
      </c>
      <c r="X11" s="2332" t="s">
        <v>2602</v>
      </c>
      <c r="Y11" s="2334" t="s">
        <v>2602</v>
      </c>
      <c r="Z11" s="2327">
        <v>805</v>
      </c>
      <c r="AA11" s="2335">
        <v>806</v>
      </c>
      <c r="AB11" s="2331" t="s">
        <v>3966</v>
      </c>
      <c r="AC11" s="2332" t="s">
        <v>2662</v>
      </c>
      <c r="AD11" s="2332" t="s">
        <v>2621</v>
      </c>
      <c r="AE11" s="2332" t="s">
        <v>2602</v>
      </c>
      <c r="AF11" s="2332" t="s">
        <v>2602</v>
      </c>
      <c r="AG11" s="2332" t="s">
        <v>2602</v>
      </c>
      <c r="AH11" s="2332" t="s">
        <v>2602</v>
      </c>
      <c r="AI11" s="2333" t="s">
        <v>2602</v>
      </c>
      <c r="AJ11" s="2333" t="s">
        <v>2602</v>
      </c>
      <c r="AK11" s="2333" t="s">
        <v>2602</v>
      </c>
      <c r="AL11" s="2333" t="s">
        <v>2602</v>
      </c>
      <c r="AM11" s="2332" t="s">
        <v>2602</v>
      </c>
      <c r="AN11" s="2332" t="s">
        <v>2602</v>
      </c>
      <c r="AO11" s="2332" t="s">
        <v>2602</v>
      </c>
      <c r="AP11" s="2332" t="s">
        <v>2602</v>
      </c>
      <c r="AQ11" s="2334" t="s">
        <v>2602</v>
      </c>
      <c r="AR11" s="2327">
        <v>805</v>
      </c>
      <c r="AS11" s="2335">
        <v>805</v>
      </c>
      <c r="AT11" s="2336">
        <v>1</v>
      </c>
      <c r="AU11" s="2327" t="s">
        <v>2610</v>
      </c>
      <c r="AV11" s="2337" t="s">
        <v>2610</v>
      </c>
      <c r="AW11" s="2338">
        <v>1</v>
      </c>
      <c r="AX11" s="2338">
        <v>1</v>
      </c>
      <c r="AY11" s="1145" t="s">
        <v>2133</v>
      </c>
      <c r="AZ11" s="1147" t="s">
        <v>2688</v>
      </c>
      <c r="BA11" s="1146" t="s">
        <v>2688</v>
      </c>
      <c r="BB11" s="1151" t="s">
        <v>2168</v>
      </c>
      <c r="BC11" s="1151" t="s">
        <v>2133</v>
      </c>
      <c r="BD11" s="1147" t="s">
        <v>2670</v>
      </c>
      <c r="BE11" s="2339" t="s">
        <v>2129</v>
      </c>
      <c r="BF11" s="2340" t="s">
        <v>2129</v>
      </c>
      <c r="BG11" s="2340" t="s">
        <v>2129</v>
      </c>
      <c r="BH11" s="2340" t="s">
        <v>2129</v>
      </c>
      <c r="BI11" s="2340" t="s">
        <v>2133</v>
      </c>
      <c r="BJ11" s="2376" t="s">
        <v>3793</v>
      </c>
      <c r="BK11" s="1152" t="s">
        <v>3887</v>
      </c>
      <c r="BL11" s="1168" t="s">
        <v>3916</v>
      </c>
      <c r="BM11" s="2342" t="s">
        <v>3917</v>
      </c>
      <c r="BN11" s="2343" t="s">
        <v>3841</v>
      </c>
      <c r="BO11" s="2344">
        <v>9</v>
      </c>
      <c r="BP11" s="2345"/>
      <c r="BQ11" s="2345"/>
      <c r="BR11" s="2377"/>
      <c r="BS11" s="2347" t="s">
        <v>3968</v>
      </c>
    </row>
    <row r="12" spans="2:72" ht="21" customHeight="1">
      <c r="B12" s="2375" t="s">
        <v>3791</v>
      </c>
      <c r="C12" s="2324">
        <v>67</v>
      </c>
      <c r="D12" s="2325" t="s">
        <v>3918</v>
      </c>
      <c r="E12" s="2326" t="s">
        <v>2138</v>
      </c>
      <c r="F12" s="2327"/>
      <c r="G12" s="2328"/>
      <c r="H12" s="2329">
        <v>25</v>
      </c>
      <c r="I12" s="2330">
        <v>4.9689440993788822E-3</v>
      </c>
      <c r="J12" s="2331" t="s">
        <v>3966</v>
      </c>
      <c r="K12" s="2332" t="s">
        <v>2676</v>
      </c>
      <c r="L12" s="2332" t="s">
        <v>2621</v>
      </c>
      <c r="M12" s="2332" t="s">
        <v>2636</v>
      </c>
      <c r="N12" s="2332" t="s">
        <v>2602</v>
      </c>
      <c r="O12" s="2332" t="s">
        <v>2602</v>
      </c>
      <c r="P12" s="2332" t="s">
        <v>2602</v>
      </c>
      <c r="Q12" s="2333" t="s">
        <v>2602</v>
      </c>
      <c r="R12" s="2333" t="s">
        <v>2602</v>
      </c>
      <c r="S12" s="2333" t="s">
        <v>2602</v>
      </c>
      <c r="T12" s="2333" t="s">
        <v>2602</v>
      </c>
      <c r="U12" s="2332" t="s">
        <v>2602</v>
      </c>
      <c r="V12" s="2332" t="s">
        <v>2602</v>
      </c>
      <c r="W12" s="2332" t="s">
        <v>2602</v>
      </c>
      <c r="X12" s="2332" t="s">
        <v>2602</v>
      </c>
      <c r="Y12" s="2334" t="s">
        <v>2602</v>
      </c>
      <c r="Z12" s="2327">
        <v>805</v>
      </c>
      <c r="AA12" s="2335">
        <v>806</v>
      </c>
      <c r="AB12" s="2331" t="s">
        <v>3966</v>
      </c>
      <c r="AC12" s="2332" t="s">
        <v>2662</v>
      </c>
      <c r="AD12" s="2332" t="s">
        <v>2621</v>
      </c>
      <c r="AE12" s="2332" t="s">
        <v>2602</v>
      </c>
      <c r="AF12" s="2332" t="s">
        <v>2602</v>
      </c>
      <c r="AG12" s="2332" t="s">
        <v>2602</v>
      </c>
      <c r="AH12" s="2332" t="s">
        <v>2602</v>
      </c>
      <c r="AI12" s="2333" t="s">
        <v>2602</v>
      </c>
      <c r="AJ12" s="2333" t="s">
        <v>2602</v>
      </c>
      <c r="AK12" s="2333" t="s">
        <v>2602</v>
      </c>
      <c r="AL12" s="2333" t="s">
        <v>2602</v>
      </c>
      <c r="AM12" s="2332" t="s">
        <v>2602</v>
      </c>
      <c r="AN12" s="2332" t="s">
        <v>2602</v>
      </c>
      <c r="AO12" s="2332" t="s">
        <v>2602</v>
      </c>
      <c r="AP12" s="2332" t="s">
        <v>2602</v>
      </c>
      <c r="AQ12" s="2334" t="s">
        <v>2602</v>
      </c>
      <c r="AR12" s="2327">
        <v>805</v>
      </c>
      <c r="AS12" s="2335">
        <v>805</v>
      </c>
      <c r="AT12" s="2336">
        <v>1</v>
      </c>
      <c r="AU12" s="2327" t="s">
        <v>2610</v>
      </c>
      <c r="AV12" s="2337" t="s">
        <v>2610</v>
      </c>
      <c r="AW12" s="2338">
        <v>1</v>
      </c>
      <c r="AX12" s="2338">
        <v>1</v>
      </c>
      <c r="AY12" s="1145" t="s">
        <v>2133</v>
      </c>
      <c r="AZ12" s="1147" t="s">
        <v>2688</v>
      </c>
      <c r="BA12" s="1146" t="s">
        <v>2688</v>
      </c>
      <c r="BB12" s="1151" t="s">
        <v>2168</v>
      </c>
      <c r="BC12" s="1151" t="s">
        <v>2133</v>
      </c>
      <c r="BD12" s="1147" t="s">
        <v>2670</v>
      </c>
      <c r="BE12" s="2339" t="s">
        <v>2129</v>
      </c>
      <c r="BF12" s="2340" t="s">
        <v>2129</v>
      </c>
      <c r="BG12" s="2340" t="s">
        <v>2129</v>
      </c>
      <c r="BH12" s="2340" t="s">
        <v>2129</v>
      </c>
      <c r="BI12" s="2340" t="s">
        <v>2133</v>
      </c>
      <c r="BJ12" s="2376" t="s">
        <v>3793</v>
      </c>
      <c r="BK12" s="1152" t="s">
        <v>3887</v>
      </c>
      <c r="BL12" s="1168" t="s">
        <v>3919</v>
      </c>
      <c r="BM12" s="2342" t="s">
        <v>3920</v>
      </c>
      <c r="BN12" s="2343" t="s">
        <v>3841</v>
      </c>
      <c r="BO12" s="2344">
        <v>25</v>
      </c>
      <c r="BP12" s="2345"/>
      <c r="BQ12" s="2345"/>
      <c r="BR12" s="2377"/>
      <c r="BS12" s="2347" t="s">
        <v>3968</v>
      </c>
    </row>
    <row r="13" spans="2:72" ht="21" customHeight="1">
      <c r="B13" s="2323" t="s">
        <v>3791</v>
      </c>
      <c r="C13" s="2324">
        <v>67</v>
      </c>
      <c r="D13" s="2325" t="s">
        <v>3918</v>
      </c>
      <c r="E13" s="2326" t="s">
        <v>2138</v>
      </c>
      <c r="F13" s="2327"/>
      <c r="G13" s="2328"/>
      <c r="H13" s="2329">
        <v>60</v>
      </c>
      <c r="I13" s="2330">
        <v>4.9689440993788822E-3</v>
      </c>
      <c r="J13" s="2331" t="s">
        <v>3966</v>
      </c>
      <c r="K13" s="2332" t="s">
        <v>2676</v>
      </c>
      <c r="L13" s="2332" t="s">
        <v>2621</v>
      </c>
      <c r="M13" s="2332" t="s">
        <v>2636</v>
      </c>
      <c r="N13" s="2332" t="s">
        <v>2602</v>
      </c>
      <c r="O13" s="2332" t="s">
        <v>2602</v>
      </c>
      <c r="P13" s="2332" t="s">
        <v>2602</v>
      </c>
      <c r="Q13" s="2333" t="s">
        <v>2602</v>
      </c>
      <c r="R13" s="2333" t="s">
        <v>2602</v>
      </c>
      <c r="S13" s="2333" t="s">
        <v>2602</v>
      </c>
      <c r="T13" s="2333" t="s">
        <v>2602</v>
      </c>
      <c r="U13" s="2332" t="s">
        <v>2602</v>
      </c>
      <c r="V13" s="2332" t="s">
        <v>2602</v>
      </c>
      <c r="W13" s="2332" t="s">
        <v>2602</v>
      </c>
      <c r="X13" s="2332" t="s">
        <v>2602</v>
      </c>
      <c r="Y13" s="2334" t="s">
        <v>2602</v>
      </c>
      <c r="Z13" s="2327">
        <v>805</v>
      </c>
      <c r="AA13" s="2335">
        <v>806</v>
      </c>
      <c r="AB13" s="2331" t="s">
        <v>3966</v>
      </c>
      <c r="AC13" s="2332" t="s">
        <v>2662</v>
      </c>
      <c r="AD13" s="2332" t="s">
        <v>2621</v>
      </c>
      <c r="AE13" s="2332" t="s">
        <v>2602</v>
      </c>
      <c r="AF13" s="2332" t="s">
        <v>2602</v>
      </c>
      <c r="AG13" s="2332" t="s">
        <v>2602</v>
      </c>
      <c r="AH13" s="2332" t="s">
        <v>2602</v>
      </c>
      <c r="AI13" s="2333" t="s">
        <v>2602</v>
      </c>
      <c r="AJ13" s="2333" t="s">
        <v>2602</v>
      </c>
      <c r="AK13" s="2333" t="s">
        <v>2602</v>
      </c>
      <c r="AL13" s="2333" t="s">
        <v>2602</v>
      </c>
      <c r="AM13" s="2332" t="s">
        <v>2602</v>
      </c>
      <c r="AN13" s="2332" t="s">
        <v>2602</v>
      </c>
      <c r="AO13" s="2332" t="s">
        <v>2602</v>
      </c>
      <c r="AP13" s="2332" t="s">
        <v>2602</v>
      </c>
      <c r="AQ13" s="2334" t="s">
        <v>2602</v>
      </c>
      <c r="AR13" s="2327">
        <v>805</v>
      </c>
      <c r="AS13" s="2335">
        <v>805</v>
      </c>
      <c r="AT13" s="2336">
        <v>1</v>
      </c>
      <c r="AU13" s="2327" t="s">
        <v>2610</v>
      </c>
      <c r="AV13" s="2337" t="s">
        <v>2610</v>
      </c>
      <c r="AW13" s="2338">
        <v>1</v>
      </c>
      <c r="AX13" s="2338">
        <v>1</v>
      </c>
      <c r="AY13" s="1145" t="s">
        <v>2133</v>
      </c>
      <c r="AZ13" s="1147" t="s">
        <v>2688</v>
      </c>
      <c r="BA13" s="1146" t="s">
        <v>2688</v>
      </c>
      <c r="BB13" s="1151" t="s">
        <v>2168</v>
      </c>
      <c r="BC13" s="1151" t="s">
        <v>2133</v>
      </c>
      <c r="BD13" s="1147" t="s">
        <v>2670</v>
      </c>
      <c r="BE13" s="2339" t="s">
        <v>2129</v>
      </c>
      <c r="BF13" s="2340" t="s">
        <v>2129</v>
      </c>
      <c r="BG13" s="2340" t="s">
        <v>2129</v>
      </c>
      <c r="BH13" s="2340" t="s">
        <v>2129</v>
      </c>
      <c r="BI13" s="2340" t="s">
        <v>2133</v>
      </c>
      <c r="BJ13" s="2376" t="s">
        <v>3793</v>
      </c>
      <c r="BK13" s="1152" t="s">
        <v>3806</v>
      </c>
      <c r="BL13" s="2377" t="s">
        <v>3859</v>
      </c>
      <c r="BM13" s="2342" t="s">
        <v>3860</v>
      </c>
      <c r="BN13" s="2343" t="s">
        <v>3841</v>
      </c>
      <c r="BO13" s="2344">
        <v>60</v>
      </c>
      <c r="BP13" s="2345"/>
      <c r="BQ13" s="2345"/>
      <c r="BR13" s="2378"/>
      <c r="BS13" s="2347" t="s">
        <v>3968</v>
      </c>
    </row>
    <row r="14" spans="2:72" ht="21" customHeight="1">
      <c r="B14" s="2323" t="s">
        <v>3791</v>
      </c>
      <c r="C14" s="2324">
        <v>67</v>
      </c>
      <c r="D14" s="2325" t="s">
        <v>3918</v>
      </c>
      <c r="E14" s="2326" t="s">
        <v>2138</v>
      </c>
      <c r="F14" s="2327"/>
      <c r="G14" s="2328"/>
      <c r="H14" s="2329">
        <v>60</v>
      </c>
      <c r="I14" s="2330">
        <v>4.9689440993788822E-3</v>
      </c>
      <c r="J14" s="2331" t="s">
        <v>3966</v>
      </c>
      <c r="K14" s="2332" t="s">
        <v>2676</v>
      </c>
      <c r="L14" s="2332" t="s">
        <v>2621</v>
      </c>
      <c r="M14" s="2332" t="s">
        <v>2636</v>
      </c>
      <c r="N14" s="2332" t="s">
        <v>2602</v>
      </c>
      <c r="O14" s="2332" t="s">
        <v>2602</v>
      </c>
      <c r="P14" s="2332" t="s">
        <v>2602</v>
      </c>
      <c r="Q14" s="2333" t="s">
        <v>2602</v>
      </c>
      <c r="R14" s="2333" t="s">
        <v>2602</v>
      </c>
      <c r="S14" s="2333" t="s">
        <v>2602</v>
      </c>
      <c r="T14" s="2333" t="s">
        <v>2602</v>
      </c>
      <c r="U14" s="2332" t="s">
        <v>2602</v>
      </c>
      <c r="V14" s="2332" t="s">
        <v>2602</v>
      </c>
      <c r="W14" s="2332" t="s">
        <v>2602</v>
      </c>
      <c r="X14" s="2332" t="s">
        <v>2602</v>
      </c>
      <c r="Y14" s="2334" t="s">
        <v>2602</v>
      </c>
      <c r="Z14" s="2327">
        <v>805</v>
      </c>
      <c r="AA14" s="2335">
        <v>806</v>
      </c>
      <c r="AB14" s="2331" t="s">
        <v>3966</v>
      </c>
      <c r="AC14" s="2332" t="s">
        <v>2662</v>
      </c>
      <c r="AD14" s="2332" t="s">
        <v>2621</v>
      </c>
      <c r="AE14" s="2332" t="s">
        <v>2602</v>
      </c>
      <c r="AF14" s="2332" t="s">
        <v>2602</v>
      </c>
      <c r="AG14" s="2332" t="s">
        <v>2602</v>
      </c>
      <c r="AH14" s="2332" t="s">
        <v>2602</v>
      </c>
      <c r="AI14" s="2333" t="s">
        <v>2602</v>
      </c>
      <c r="AJ14" s="2333" t="s">
        <v>2602</v>
      </c>
      <c r="AK14" s="2333" t="s">
        <v>2602</v>
      </c>
      <c r="AL14" s="2333" t="s">
        <v>2602</v>
      </c>
      <c r="AM14" s="2332" t="s">
        <v>2602</v>
      </c>
      <c r="AN14" s="2332" t="s">
        <v>2602</v>
      </c>
      <c r="AO14" s="2332" t="s">
        <v>2602</v>
      </c>
      <c r="AP14" s="2332" t="s">
        <v>2602</v>
      </c>
      <c r="AQ14" s="2334" t="s">
        <v>2602</v>
      </c>
      <c r="AR14" s="2327">
        <v>805</v>
      </c>
      <c r="AS14" s="2335">
        <v>805</v>
      </c>
      <c r="AT14" s="2336">
        <v>1</v>
      </c>
      <c r="AU14" s="2327" t="s">
        <v>2610</v>
      </c>
      <c r="AV14" s="2337" t="s">
        <v>2610</v>
      </c>
      <c r="AW14" s="2338">
        <v>1</v>
      </c>
      <c r="AX14" s="2338">
        <v>1</v>
      </c>
      <c r="AY14" s="1145" t="s">
        <v>2133</v>
      </c>
      <c r="AZ14" s="1147" t="s">
        <v>2688</v>
      </c>
      <c r="BA14" s="1146" t="s">
        <v>2688</v>
      </c>
      <c r="BB14" s="1151" t="s">
        <v>2168</v>
      </c>
      <c r="BC14" s="1151" t="s">
        <v>2133</v>
      </c>
      <c r="BD14" s="1147" t="s">
        <v>2670</v>
      </c>
      <c r="BE14" s="2339" t="s">
        <v>2129</v>
      </c>
      <c r="BF14" s="2340" t="s">
        <v>2129</v>
      </c>
      <c r="BG14" s="2340" t="s">
        <v>2129</v>
      </c>
      <c r="BH14" s="2340" t="s">
        <v>2129</v>
      </c>
      <c r="BI14" s="2340" t="s">
        <v>2133</v>
      </c>
      <c r="BJ14" s="2376" t="s">
        <v>3793</v>
      </c>
      <c r="BK14" s="1152" t="s">
        <v>3806</v>
      </c>
      <c r="BL14" s="2377" t="s">
        <v>3859</v>
      </c>
      <c r="BM14" s="2342" t="s">
        <v>3921</v>
      </c>
      <c r="BN14" s="2343" t="s">
        <v>3841</v>
      </c>
      <c r="BO14" s="2344">
        <v>60</v>
      </c>
      <c r="BP14" s="2345"/>
      <c r="BQ14" s="2345"/>
      <c r="BR14" s="2378"/>
      <c r="BS14" s="2347" t="s">
        <v>3968</v>
      </c>
    </row>
    <row r="15" spans="2:72" ht="21" customHeight="1">
      <c r="B15" s="2323" t="s">
        <v>3791</v>
      </c>
      <c r="C15" s="2324">
        <v>67</v>
      </c>
      <c r="D15" s="2325" t="s">
        <v>3918</v>
      </c>
      <c r="E15" s="2326" t="s">
        <v>2138</v>
      </c>
      <c r="F15" s="2327"/>
      <c r="G15" s="2328"/>
      <c r="H15" s="2329">
        <v>32</v>
      </c>
      <c r="I15" s="2330">
        <v>4.9689440993788822E-3</v>
      </c>
      <c r="J15" s="2331" t="s">
        <v>3966</v>
      </c>
      <c r="K15" s="2332" t="s">
        <v>2676</v>
      </c>
      <c r="L15" s="2332" t="s">
        <v>2621</v>
      </c>
      <c r="M15" s="2332" t="s">
        <v>2636</v>
      </c>
      <c r="N15" s="2332" t="s">
        <v>2602</v>
      </c>
      <c r="O15" s="2332" t="s">
        <v>2602</v>
      </c>
      <c r="P15" s="2332" t="s">
        <v>2602</v>
      </c>
      <c r="Q15" s="2333" t="s">
        <v>2602</v>
      </c>
      <c r="R15" s="2333" t="s">
        <v>2602</v>
      </c>
      <c r="S15" s="2333" t="s">
        <v>2602</v>
      </c>
      <c r="T15" s="2333" t="s">
        <v>2602</v>
      </c>
      <c r="U15" s="2332" t="s">
        <v>2602</v>
      </c>
      <c r="V15" s="2332" t="s">
        <v>2602</v>
      </c>
      <c r="W15" s="2332" t="s">
        <v>2602</v>
      </c>
      <c r="X15" s="2332" t="s">
        <v>2602</v>
      </c>
      <c r="Y15" s="2334" t="s">
        <v>2602</v>
      </c>
      <c r="Z15" s="2327">
        <v>805</v>
      </c>
      <c r="AA15" s="2335">
        <v>806</v>
      </c>
      <c r="AB15" s="2331" t="s">
        <v>3966</v>
      </c>
      <c r="AC15" s="2332" t="s">
        <v>2662</v>
      </c>
      <c r="AD15" s="2332" t="s">
        <v>2621</v>
      </c>
      <c r="AE15" s="2332" t="s">
        <v>2602</v>
      </c>
      <c r="AF15" s="2332" t="s">
        <v>2602</v>
      </c>
      <c r="AG15" s="2332" t="s">
        <v>2602</v>
      </c>
      <c r="AH15" s="2332" t="s">
        <v>2602</v>
      </c>
      <c r="AI15" s="2333" t="s">
        <v>2602</v>
      </c>
      <c r="AJ15" s="2333" t="s">
        <v>2602</v>
      </c>
      <c r="AK15" s="2333" t="s">
        <v>2602</v>
      </c>
      <c r="AL15" s="2333" t="s">
        <v>2602</v>
      </c>
      <c r="AM15" s="2332" t="s">
        <v>2602</v>
      </c>
      <c r="AN15" s="2332" t="s">
        <v>2602</v>
      </c>
      <c r="AO15" s="2332" t="s">
        <v>2602</v>
      </c>
      <c r="AP15" s="2332" t="s">
        <v>2602</v>
      </c>
      <c r="AQ15" s="2334" t="s">
        <v>2602</v>
      </c>
      <c r="AR15" s="2327">
        <v>805</v>
      </c>
      <c r="AS15" s="2335">
        <v>805</v>
      </c>
      <c r="AT15" s="2336">
        <v>1</v>
      </c>
      <c r="AU15" s="2327" t="s">
        <v>2610</v>
      </c>
      <c r="AV15" s="2337" t="s">
        <v>2610</v>
      </c>
      <c r="AW15" s="2338">
        <v>1</v>
      </c>
      <c r="AX15" s="2338">
        <v>1</v>
      </c>
      <c r="AY15" s="1145" t="s">
        <v>2133</v>
      </c>
      <c r="AZ15" s="1147" t="s">
        <v>2688</v>
      </c>
      <c r="BA15" s="1146" t="s">
        <v>2688</v>
      </c>
      <c r="BB15" s="1151" t="s">
        <v>2168</v>
      </c>
      <c r="BC15" s="1151" t="s">
        <v>2133</v>
      </c>
      <c r="BD15" s="1147" t="s">
        <v>2670</v>
      </c>
      <c r="BE15" s="2339" t="s">
        <v>2129</v>
      </c>
      <c r="BF15" s="2340" t="s">
        <v>2129</v>
      </c>
      <c r="BG15" s="2340" t="s">
        <v>2129</v>
      </c>
      <c r="BH15" s="2340" t="s">
        <v>2129</v>
      </c>
      <c r="BI15" s="2340" t="s">
        <v>2133</v>
      </c>
      <c r="BJ15" s="2341" t="s">
        <v>3788</v>
      </c>
      <c r="BK15" s="1153" t="s">
        <v>2211</v>
      </c>
      <c r="BL15" s="1168"/>
      <c r="BM15" s="2342" t="s">
        <v>3873</v>
      </c>
      <c r="BN15" s="2343" t="s">
        <v>3874</v>
      </c>
      <c r="BO15" s="2344">
        <v>32</v>
      </c>
      <c r="BP15" s="2345"/>
      <c r="BQ15" s="2345"/>
      <c r="BR15" s="2377"/>
      <c r="BS15" s="2347" t="s">
        <v>3968</v>
      </c>
    </row>
    <row r="16" spans="2:72" ht="21" customHeight="1">
      <c r="B16" s="2323" t="s">
        <v>3791</v>
      </c>
      <c r="C16" s="2324">
        <v>67</v>
      </c>
      <c r="D16" s="2325" t="s">
        <v>3918</v>
      </c>
      <c r="E16" s="2326" t="s">
        <v>2138</v>
      </c>
      <c r="F16" s="2327"/>
      <c r="G16" s="2328"/>
      <c r="H16" s="2379">
        <v>51</v>
      </c>
      <c r="I16" s="2330">
        <v>4.9689440993788822E-3</v>
      </c>
      <c r="J16" s="2331" t="s">
        <v>3966</v>
      </c>
      <c r="K16" s="2332" t="s">
        <v>2676</v>
      </c>
      <c r="L16" s="2332" t="s">
        <v>2621</v>
      </c>
      <c r="M16" s="2332" t="s">
        <v>2636</v>
      </c>
      <c r="N16" s="2332" t="s">
        <v>2602</v>
      </c>
      <c r="O16" s="2332" t="s">
        <v>2602</v>
      </c>
      <c r="P16" s="2332" t="s">
        <v>2602</v>
      </c>
      <c r="Q16" s="2333" t="s">
        <v>2602</v>
      </c>
      <c r="R16" s="2333" t="s">
        <v>2602</v>
      </c>
      <c r="S16" s="2333" t="s">
        <v>2602</v>
      </c>
      <c r="T16" s="2333" t="s">
        <v>2602</v>
      </c>
      <c r="U16" s="2332" t="s">
        <v>2602</v>
      </c>
      <c r="V16" s="2332" t="s">
        <v>2602</v>
      </c>
      <c r="W16" s="2332" t="s">
        <v>2602</v>
      </c>
      <c r="X16" s="2332" t="s">
        <v>2602</v>
      </c>
      <c r="Y16" s="2334" t="s">
        <v>2602</v>
      </c>
      <c r="Z16" s="2327">
        <v>805</v>
      </c>
      <c r="AA16" s="2335">
        <v>806</v>
      </c>
      <c r="AB16" s="2331" t="s">
        <v>3966</v>
      </c>
      <c r="AC16" s="2332" t="s">
        <v>2662</v>
      </c>
      <c r="AD16" s="2332" t="s">
        <v>2621</v>
      </c>
      <c r="AE16" s="2332" t="s">
        <v>2602</v>
      </c>
      <c r="AF16" s="2332" t="s">
        <v>2602</v>
      </c>
      <c r="AG16" s="2332" t="s">
        <v>2602</v>
      </c>
      <c r="AH16" s="2332" t="s">
        <v>2602</v>
      </c>
      <c r="AI16" s="2333" t="s">
        <v>2602</v>
      </c>
      <c r="AJ16" s="2333" t="s">
        <v>2602</v>
      </c>
      <c r="AK16" s="2333" t="s">
        <v>2602</v>
      </c>
      <c r="AL16" s="2333" t="s">
        <v>2602</v>
      </c>
      <c r="AM16" s="2332" t="s">
        <v>2602</v>
      </c>
      <c r="AN16" s="2332" t="s">
        <v>2602</v>
      </c>
      <c r="AO16" s="2332" t="s">
        <v>2602</v>
      </c>
      <c r="AP16" s="2332" t="s">
        <v>2602</v>
      </c>
      <c r="AQ16" s="2334" t="s">
        <v>2602</v>
      </c>
      <c r="AR16" s="2327">
        <v>805</v>
      </c>
      <c r="AS16" s="2335">
        <v>805</v>
      </c>
      <c r="AT16" s="2336">
        <v>1</v>
      </c>
      <c r="AU16" s="2327" t="s">
        <v>2610</v>
      </c>
      <c r="AV16" s="2337" t="s">
        <v>2610</v>
      </c>
      <c r="AW16" s="2338">
        <v>1</v>
      </c>
      <c r="AX16" s="2338">
        <v>1</v>
      </c>
      <c r="AY16" s="1145" t="s">
        <v>2133</v>
      </c>
      <c r="AZ16" s="1147" t="s">
        <v>2688</v>
      </c>
      <c r="BA16" s="1146" t="s">
        <v>2688</v>
      </c>
      <c r="BB16" s="1151" t="s">
        <v>2168</v>
      </c>
      <c r="BC16" s="1151" t="s">
        <v>2133</v>
      </c>
      <c r="BD16" s="1147" t="s">
        <v>2670</v>
      </c>
      <c r="BE16" s="2339" t="s">
        <v>2129</v>
      </c>
      <c r="BF16" s="2340" t="s">
        <v>2129</v>
      </c>
      <c r="BG16" s="2340" t="s">
        <v>2129</v>
      </c>
      <c r="BH16" s="2340" t="s">
        <v>2129</v>
      </c>
      <c r="BI16" s="2340" t="s">
        <v>2133</v>
      </c>
      <c r="BJ16" s="2341" t="s">
        <v>3793</v>
      </c>
      <c r="BK16" s="1154" t="s">
        <v>3863</v>
      </c>
      <c r="BL16" s="2346" t="s">
        <v>3814</v>
      </c>
      <c r="BM16" s="2342" t="s">
        <v>3864</v>
      </c>
      <c r="BN16" s="2343" t="s">
        <v>5</v>
      </c>
      <c r="BO16" s="2344">
        <v>51</v>
      </c>
      <c r="BP16" s="2345"/>
      <c r="BQ16" s="2345"/>
      <c r="BR16" s="2380"/>
      <c r="BS16" s="2347" t="s">
        <v>3968</v>
      </c>
    </row>
    <row r="17" spans="2:71" ht="21" customHeight="1">
      <c r="B17" s="2323" t="s">
        <v>3791</v>
      </c>
      <c r="C17" s="2324">
        <v>67</v>
      </c>
      <c r="D17" s="2325" t="s">
        <v>3918</v>
      </c>
      <c r="E17" s="2326" t="s">
        <v>2138</v>
      </c>
      <c r="F17" s="2327"/>
      <c r="G17" s="2328"/>
      <c r="H17" s="2329"/>
      <c r="I17" s="2330">
        <v>4.9689440993788822E-3</v>
      </c>
      <c r="J17" s="2331" t="s">
        <v>3966</v>
      </c>
      <c r="K17" s="2332" t="s">
        <v>2676</v>
      </c>
      <c r="L17" s="2332" t="s">
        <v>2621</v>
      </c>
      <c r="M17" s="2332" t="s">
        <v>2636</v>
      </c>
      <c r="N17" s="2332" t="s">
        <v>2602</v>
      </c>
      <c r="O17" s="2332" t="s">
        <v>2602</v>
      </c>
      <c r="P17" s="2332" t="s">
        <v>2602</v>
      </c>
      <c r="Q17" s="2333" t="s">
        <v>2602</v>
      </c>
      <c r="R17" s="2333" t="s">
        <v>2602</v>
      </c>
      <c r="S17" s="2333" t="s">
        <v>2602</v>
      </c>
      <c r="T17" s="2333" t="s">
        <v>2602</v>
      </c>
      <c r="U17" s="2332" t="s">
        <v>2602</v>
      </c>
      <c r="V17" s="2332" t="s">
        <v>2602</v>
      </c>
      <c r="W17" s="2332" t="s">
        <v>2602</v>
      </c>
      <c r="X17" s="2332" t="s">
        <v>2602</v>
      </c>
      <c r="Y17" s="2334" t="s">
        <v>2602</v>
      </c>
      <c r="Z17" s="2327">
        <v>805</v>
      </c>
      <c r="AA17" s="2335">
        <v>806</v>
      </c>
      <c r="AB17" s="2331" t="s">
        <v>3966</v>
      </c>
      <c r="AC17" s="2332" t="s">
        <v>2662</v>
      </c>
      <c r="AD17" s="2332" t="s">
        <v>2621</v>
      </c>
      <c r="AE17" s="2332" t="s">
        <v>2602</v>
      </c>
      <c r="AF17" s="2332" t="s">
        <v>2602</v>
      </c>
      <c r="AG17" s="2332" t="s">
        <v>2602</v>
      </c>
      <c r="AH17" s="2332" t="s">
        <v>2602</v>
      </c>
      <c r="AI17" s="2333" t="s">
        <v>2602</v>
      </c>
      <c r="AJ17" s="2333" t="s">
        <v>2602</v>
      </c>
      <c r="AK17" s="2333" t="s">
        <v>2602</v>
      </c>
      <c r="AL17" s="2333" t="s">
        <v>2602</v>
      </c>
      <c r="AM17" s="2332" t="s">
        <v>2602</v>
      </c>
      <c r="AN17" s="2332" t="s">
        <v>2602</v>
      </c>
      <c r="AO17" s="2332" t="s">
        <v>2602</v>
      </c>
      <c r="AP17" s="2332" t="s">
        <v>2602</v>
      </c>
      <c r="AQ17" s="2334" t="s">
        <v>2602</v>
      </c>
      <c r="AR17" s="2327">
        <v>805</v>
      </c>
      <c r="AS17" s="2335">
        <v>805</v>
      </c>
      <c r="AT17" s="2336">
        <v>1</v>
      </c>
      <c r="AU17" s="2327" t="s">
        <v>2610</v>
      </c>
      <c r="AV17" s="2337" t="s">
        <v>2610</v>
      </c>
      <c r="AW17" s="2338">
        <v>1</v>
      </c>
      <c r="AX17" s="2338">
        <v>1</v>
      </c>
      <c r="AY17" s="1145" t="s">
        <v>2133</v>
      </c>
      <c r="AZ17" s="1147" t="s">
        <v>2688</v>
      </c>
      <c r="BA17" s="1146" t="s">
        <v>2688</v>
      </c>
      <c r="BB17" s="1151" t="s">
        <v>2168</v>
      </c>
      <c r="BC17" s="1151" t="s">
        <v>2133</v>
      </c>
      <c r="BD17" s="1147" t="s">
        <v>2670</v>
      </c>
      <c r="BE17" s="2339" t="s">
        <v>2129</v>
      </c>
      <c r="BF17" s="2340" t="s">
        <v>2129</v>
      </c>
      <c r="BG17" s="2340" t="s">
        <v>2129</v>
      </c>
      <c r="BH17" s="2340" t="s">
        <v>2129</v>
      </c>
      <c r="BI17" s="2340" t="s">
        <v>2133</v>
      </c>
      <c r="BJ17" s="2341" t="s">
        <v>3793</v>
      </c>
      <c r="BK17" s="1154" t="s">
        <v>3547</v>
      </c>
      <c r="BL17" s="2346" t="s">
        <v>3866</v>
      </c>
      <c r="BM17" s="2342" t="s">
        <v>3867</v>
      </c>
      <c r="BN17" s="2343" t="s">
        <v>3868</v>
      </c>
      <c r="BO17" s="2344"/>
      <c r="BP17" s="2345"/>
      <c r="BQ17" s="2345"/>
      <c r="BR17" s="2380"/>
      <c r="BS17" s="2347" t="s">
        <v>3968</v>
      </c>
    </row>
    <row r="18" spans="2:71" ht="21" customHeight="1">
      <c r="B18" s="2323" t="s">
        <v>3791</v>
      </c>
      <c r="C18" s="2324">
        <v>67</v>
      </c>
      <c r="D18" s="2325" t="s">
        <v>3918</v>
      </c>
      <c r="E18" s="2326" t="s">
        <v>2138</v>
      </c>
      <c r="F18" s="2327"/>
      <c r="G18" s="2328"/>
      <c r="H18" s="2329">
        <v>112</v>
      </c>
      <c r="I18" s="2330">
        <v>4.9689440993788822E-3</v>
      </c>
      <c r="J18" s="2331" t="s">
        <v>3966</v>
      </c>
      <c r="K18" s="2332" t="s">
        <v>2676</v>
      </c>
      <c r="L18" s="2332" t="s">
        <v>2621</v>
      </c>
      <c r="M18" s="2332" t="s">
        <v>2636</v>
      </c>
      <c r="N18" s="2332" t="s">
        <v>2602</v>
      </c>
      <c r="O18" s="2332" t="s">
        <v>2602</v>
      </c>
      <c r="P18" s="2332" t="s">
        <v>2602</v>
      </c>
      <c r="Q18" s="2333" t="s">
        <v>2602</v>
      </c>
      <c r="R18" s="2333" t="s">
        <v>2602</v>
      </c>
      <c r="S18" s="2333" t="s">
        <v>2602</v>
      </c>
      <c r="T18" s="2333" t="s">
        <v>2602</v>
      </c>
      <c r="U18" s="2332" t="s">
        <v>2602</v>
      </c>
      <c r="V18" s="2332" t="s">
        <v>2602</v>
      </c>
      <c r="W18" s="2332" t="s">
        <v>2602</v>
      </c>
      <c r="X18" s="2332" t="s">
        <v>2602</v>
      </c>
      <c r="Y18" s="2334" t="s">
        <v>2602</v>
      </c>
      <c r="Z18" s="2327">
        <v>805</v>
      </c>
      <c r="AA18" s="2335">
        <v>806</v>
      </c>
      <c r="AB18" s="2331" t="s">
        <v>3966</v>
      </c>
      <c r="AC18" s="2332" t="s">
        <v>2662</v>
      </c>
      <c r="AD18" s="2332" t="s">
        <v>2621</v>
      </c>
      <c r="AE18" s="2332" t="s">
        <v>2602</v>
      </c>
      <c r="AF18" s="2332" t="s">
        <v>2602</v>
      </c>
      <c r="AG18" s="2332" t="s">
        <v>2602</v>
      </c>
      <c r="AH18" s="2332" t="s">
        <v>2602</v>
      </c>
      <c r="AI18" s="2333" t="s">
        <v>2602</v>
      </c>
      <c r="AJ18" s="2333" t="s">
        <v>2602</v>
      </c>
      <c r="AK18" s="2333" t="s">
        <v>2602</v>
      </c>
      <c r="AL18" s="2333" t="s">
        <v>2602</v>
      </c>
      <c r="AM18" s="2332" t="s">
        <v>2602</v>
      </c>
      <c r="AN18" s="2332" t="s">
        <v>2602</v>
      </c>
      <c r="AO18" s="2332" t="s">
        <v>2602</v>
      </c>
      <c r="AP18" s="2332" t="s">
        <v>2602</v>
      </c>
      <c r="AQ18" s="2334" t="s">
        <v>2602</v>
      </c>
      <c r="AR18" s="2327">
        <v>805</v>
      </c>
      <c r="AS18" s="2335">
        <v>805</v>
      </c>
      <c r="AT18" s="2336">
        <v>1</v>
      </c>
      <c r="AU18" s="2327" t="s">
        <v>2610</v>
      </c>
      <c r="AV18" s="2337" t="s">
        <v>2610</v>
      </c>
      <c r="AW18" s="2338">
        <v>1</v>
      </c>
      <c r="AX18" s="2338">
        <v>1</v>
      </c>
      <c r="AY18" s="1145" t="s">
        <v>2133</v>
      </c>
      <c r="AZ18" s="1147" t="s">
        <v>2688</v>
      </c>
      <c r="BA18" s="1146" t="s">
        <v>2688</v>
      </c>
      <c r="BB18" s="1151" t="s">
        <v>2168</v>
      </c>
      <c r="BC18" s="1151" t="s">
        <v>2133</v>
      </c>
      <c r="BD18" s="1147" t="s">
        <v>2670</v>
      </c>
      <c r="BE18" s="2339" t="s">
        <v>2129</v>
      </c>
      <c r="BF18" s="2340" t="s">
        <v>2129</v>
      </c>
      <c r="BG18" s="2340" t="s">
        <v>2129</v>
      </c>
      <c r="BH18" s="2340" t="s">
        <v>2129</v>
      </c>
      <c r="BI18" s="2340" t="s">
        <v>2133</v>
      </c>
      <c r="BJ18" s="2341" t="s">
        <v>3793</v>
      </c>
      <c r="BK18" s="1153" t="s">
        <v>2146</v>
      </c>
      <c r="BL18" s="2381"/>
      <c r="BM18" s="2342" t="s">
        <v>2817</v>
      </c>
      <c r="BN18" s="2343" t="s">
        <v>3841</v>
      </c>
      <c r="BO18" s="2344">
        <v>112</v>
      </c>
      <c r="BP18" s="2345"/>
      <c r="BQ18" s="2345"/>
      <c r="BR18" s="2377"/>
      <c r="BS18" s="2347" t="s">
        <v>3968</v>
      </c>
    </row>
    <row r="19" spans="2:71" ht="21" customHeight="1">
      <c r="B19" s="2323" t="s">
        <v>3791</v>
      </c>
      <c r="C19" s="2324">
        <v>67</v>
      </c>
      <c r="D19" s="2325" t="s">
        <v>3918</v>
      </c>
      <c r="E19" s="2326" t="s">
        <v>2138</v>
      </c>
      <c r="F19" s="2327"/>
      <c r="G19" s="2328"/>
      <c r="H19" s="2329">
        <v>48</v>
      </c>
      <c r="I19" s="2330">
        <v>4.9689440993788822E-3</v>
      </c>
      <c r="J19" s="2331" t="s">
        <v>3966</v>
      </c>
      <c r="K19" s="2332" t="s">
        <v>2676</v>
      </c>
      <c r="L19" s="2332" t="s">
        <v>2621</v>
      </c>
      <c r="M19" s="2332" t="s">
        <v>2636</v>
      </c>
      <c r="N19" s="2332" t="s">
        <v>2602</v>
      </c>
      <c r="O19" s="2332" t="s">
        <v>2602</v>
      </c>
      <c r="P19" s="2332" t="s">
        <v>2602</v>
      </c>
      <c r="Q19" s="2333" t="s">
        <v>2602</v>
      </c>
      <c r="R19" s="2333" t="s">
        <v>2602</v>
      </c>
      <c r="S19" s="2333" t="s">
        <v>2602</v>
      </c>
      <c r="T19" s="2333" t="s">
        <v>2602</v>
      </c>
      <c r="U19" s="2332" t="s">
        <v>2602</v>
      </c>
      <c r="V19" s="2332" t="s">
        <v>2602</v>
      </c>
      <c r="W19" s="2332" t="s">
        <v>2602</v>
      </c>
      <c r="X19" s="2332" t="s">
        <v>2602</v>
      </c>
      <c r="Y19" s="2334" t="s">
        <v>2602</v>
      </c>
      <c r="Z19" s="2327">
        <v>805</v>
      </c>
      <c r="AA19" s="2335">
        <v>806</v>
      </c>
      <c r="AB19" s="2331" t="s">
        <v>3966</v>
      </c>
      <c r="AC19" s="2332" t="s">
        <v>2662</v>
      </c>
      <c r="AD19" s="2332" t="s">
        <v>2621</v>
      </c>
      <c r="AE19" s="2332" t="s">
        <v>2602</v>
      </c>
      <c r="AF19" s="2332" t="s">
        <v>2602</v>
      </c>
      <c r="AG19" s="2332" t="s">
        <v>2602</v>
      </c>
      <c r="AH19" s="2332" t="s">
        <v>2602</v>
      </c>
      <c r="AI19" s="2333" t="s">
        <v>2602</v>
      </c>
      <c r="AJ19" s="2333" t="s">
        <v>2602</v>
      </c>
      <c r="AK19" s="2333" t="s">
        <v>2602</v>
      </c>
      <c r="AL19" s="2333" t="s">
        <v>2602</v>
      </c>
      <c r="AM19" s="2332" t="s">
        <v>2602</v>
      </c>
      <c r="AN19" s="2332" t="s">
        <v>2602</v>
      </c>
      <c r="AO19" s="2332" t="s">
        <v>2602</v>
      </c>
      <c r="AP19" s="2332" t="s">
        <v>2602</v>
      </c>
      <c r="AQ19" s="2334" t="s">
        <v>2602</v>
      </c>
      <c r="AR19" s="2327">
        <v>805</v>
      </c>
      <c r="AS19" s="2335">
        <v>805</v>
      </c>
      <c r="AT19" s="2336">
        <v>1</v>
      </c>
      <c r="AU19" s="2327" t="s">
        <v>2610</v>
      </c>
      <c r="AV19" s="2337" t="s">
        <v>2610</v>
      </c>
      <c r="AW19" s="2338">
        <v>1</v>
      </c>
      <c r="AX19" s="2338">
        <v>1</v>
      </c>
      <c r="AY19" s="1145" t="s">
        <v>2133</v>
      </c>
      <c r="AZ19" s="1147" t="s">
        <v>2688</v>
      </c>
      <c r="BA19" s="1146" t="s">
        <v>2688</v>
      </c>
      <c r="BB19" s="1151" t="s">
        <v>2168</v>
      </c>
      <c r="BC19" s="1151" t="s">
        <v>2133</v>
      </c>
      <c r="BD19" s="1147" t="s">
        <v>2670</v>
      </c>
      <c r="BE19" s="2339" t="s">
        <v>2129</v>
      </c>
      <c r="BF19" s="2340" t="s">
        <v>2129</v>
      </c>
      <c r="BG19" s="2340" t="s">
        <v>2129</v>
      </c>
      <c r="BH19" s="2340" t="s">
        <v>2129</v>
      </c>
      <c r="BI19" s="2340" t="s">
        <v>2133</v>
      </c>
      <c r="BJ19" s="2341" t="s">
        <v>3788</v>
      </c>
      <c r="BK19" s="1153" t="s">
        <v>3511</v>
      </c>
      <c r="BL19" s="1168"/>
      <c r="BM19" s="2342" t="s">
        <v>3921</v>
      </c>
      <c r="BN19" s="2343" t="s">
        <v>3841</v>
      </c>
      <c r="BO19" s="2344">
        <v>48</v>
      </c>
      <c r="BP19" s="2345"/>
      <c r="BQ19" s="2345"/>
      <c r="BR19" s="2346"/>
      <c r="BS19" s="2347" t="s">
        <v>3968</v>
      </c>
    </row>
    <row r="20" spans="2:71" ht="21" customHeight="1">
      <c r="B20" s="2323" t="s">
        <v>3791</v>
      </c>
      <c r="C20" s="2324">
        <v>67</v>
      </c>
      <c r="D20" s="2325" t="s">
        <v>3918</v>
      </c>
      <c r="E20" s="2326" t="s">
        <v>2138</v>
      </c>
      <c r="F20" s="2327"/>
      <c r="G20" s="2328"/>
      <c r="H20" s="2329">
        <v>44</v>
      </c>
      <c r="I20" s="2330">
        <v>4.9689440993788822E-3</v>
      </c>
      <c r="J20" s="2331" t="s">
        <v>3966</v>
      </c>
      <c r="K20" s="2332" t="s">
        <v>2676</v>
      </c>
      <c r="L20" s="2332" t="s">
        <v>2621</v>
      </c>
      <c r="M20" s="2332" t="s">
        <v>2636</v>
      </c>
      <c r="N20" s="2332" t="s">
        <v>2602</v>
      </c>
      <c r="O20" s="2332" t="s">
        <v>2602</v>
      </c>
      <c r="P20" s="2332" t="s">
        <v>2602</v>
      </c>
      <c r="Q20" s="2333" t="s">
        <v>2602</v>
      </c>
      <c r="R20" s="2333" t="s">
        <v>2602</v>
      </c>
      <c r="S20" s="2333" t="s">
        <v>2602</v>
      </c>
      <c r="T20" s="2333" t="s">
        <v>2602</v>
      </c>
      <c r="U20" s="2332" t="s">
        <v>2602</v>
      </c>
      <c r="V20" s="2332" t="s">
        <v>2602</v>
      </c>
      <c r="W20" s="2332" t="s">
        <v>2602</v>
      </c>
      <c r="X20" s="2332" t="s">
        <v>2602</v>
      </c>
      <c r="Y20" s="2334" t="s">
        <v>2602</v>
      </c>
      <c r="Z20" s="2327">
        <v>805</v>
      </c>
      <c r="AA20" s="2335">
        <v>806</v>
      </c>
      <c r="AB20" s="2331" t="s">
        <v>3966</v>
      </c>
      <c r="AC20" s="2332" t="s">
        <v>2662</v>
      </c>
      <c r="AD20" s="2332" t="s">
        <v>2621</v>
      </c>
      <c r="AE20" s="2332" t="s">
        <v>2602</v>
      </c>
      <c r="AF20" s="2332" t="s">
        <v>2602</v>
      </c>
      <c r="AG20" s="2332" t="s">
        <v>2602</v>
      </c>
      <c r="AH20" s="2332" t="s">
        <v>2602</v>
      </c>
      <c r="AI20" s="2333" t="s">
        <v>2602</v>
      </c>
      <c r="AJ20" s="2333" t="s">
        <v>2602</v>
      </c>
      <c r="AK20" s="2333" t="s">
        <v>2602</v>
      </c>
      <c r="AL20" s="2333" t="s">
        <v>2602</v>
      </c>
      <c r="AM20" s="2332" t="s">
        <v>2602</v>
      </c>
      <c r="AN20" s="2332" t="s">
        <v>2602</v>
      </c>
      <c r="AO20" s="2332" t="s">
        <v>2602</v>
      </c>
      <c r="AP20" s="2332" t="s">
        <v>2602</v>
      </c>
      <c r="AQ20" s="2334" t="s">
        <v>2602</v>
      </c>
      <c r="AR20" s="2327">
        <v>805</v>
      </c>
      <c r="AS20" s="2335">
        <v>805</v>
      </c>
      <c r="AT20" s="2336">
        <v>1</v>
      </c>
      <c r="AU20" s="2327" t="s">
        <v>2610</v>
      </c>
      <c r="AV20" s="2337" t="s">
        <v>2610</v>
      </c>
      <c r="AW20" s="2338">
        <v>1</v>
      </c>
      <c r="AX20" s="2338">
        <v>1</v>
      </c>
      <c r="AY20" s="1145" t="s">
        <v>2133</v>
      </c>
      <c r="AZ20" s="1147" t="s">
        <v>2688</v>
      </c>
      <c r="BA20" s="1146" t="s">
        <v>2688</v>
      </c>
      <c r="BB20" s="1151" t="s">
        <v>2168</v>
      </c>
      <c r="BC20" s="1151" t="s">
        <v>2133</v>
      </c>
      <c r="BD20" s="1147" t="s">
        <v>2670</v>
      </c>
      <c r="BE20" s="2339" t="s">
        <v>2129</v>
      </c>
      <c r="BF20" s="2340" t="s">
        <v>2129</v>
      </c>
      <c r="BG20" s="2340" t="s">
        <v>2129</v>
      </c>
      <c r="BH20" s="2340" t="s">
        <v>2129</v>
      </c>
      <c r="BI20" s="2340" t="s">
        <v>2133</v>
      </c>
      <c r="BJ20" s="2341"/>
      <c r="BK20" s="1153" t="s">
        <v>2154</v>
      </c>
      <c r="BL20" s="1168"/>
      <c r="BM20" s="2342" t="s">
        <v>2817</v>
      </c>
      <c r="BN20" s="2343" t="s">
        <v>3841</v>
      </c>
      <c r="BO20" s="2344">
        <v>44</v>
      </c>
      <c r="BP20" s="2345"/>
      <c r="BQ20" s="2345"/>
      <c r="BR20" s="2377"/>
      <c r="BS20" s="2347" t="s">
        <v>3968</v>
      </c>
    </row>
    <row r="21" spans="2:71" ht="21" customHeight="1">
      <c r="B21" s="2323" t="s">
        <v>3791</v>
      </c>
      <c r="C21" s="2324">
        <v>67</v>
      </c>
      <c r="D21" s="2325" t="s">
        <v>3918</v>
      </c>
      <c r="E21" s="2326" t="s">
        <v>2138</v>
      </c>
      <c r="F21" s="2327"/>
      <c r="G21" s="2328"/>
      <c r="H21" s="2329">
        <v>17</v>
      </c>
      <c r="I21" s="2330">
        <v>4.9689440993788822E-3</v>
      </c>
      <c r="J21" s="2331" t="s">
        <v>3966</v>
      </c>
      <c r="K21" s="2332" t="s">
        <v>2676</v>
      </c>
      <c r="L21" s="2332" t="s">
        <v>2621</v>
      </c>
      <c r="M21" s="2332" t="s">
        <v>2636</v>
      </c>
      <c r="N21" s="2332" t="s">
        <v>2602</v>
      </c>
      <c r="O21" s="2332" t="s">
        <v>2602</v>
      </c>
      <c r="P21" s="2332" t="s">
        <v>2602</v>
      </c>
      <c r="Q21" s="2333" t="s">
        <v>2602</v>
      </c>
      <c r="R21" s="2333" t="s">
        <v>2602</v>
      </c>
      <c r="S21" s="2333" t="s">
        <v>2602</v>
      </c>
      <c r="T21" s="2333" t="s">
        <v>2602</v>
      </c>
      <c r="U21" s="2332" t="s">
        <v>2602</v>
      </c>
      <c r="V21" s="2332" t="s">
        <v>2602</v>
      </c>
      <c r="W21" s="2332" t="s">
        <v>2602</v>
      </c>
      <c r="X21" s="2332" t="s">
        <v>2602</v>
      </c>
      <c r="Y21" s="2334" t="s">
        <v>2602</v>
      </c>
      <c r="Z21" s="2327">
        <v>805</v>
      </c>
      <c r="AA21" s="2335">
        <v>806</v>
      </c>
      <c r="AB21" s="2331" t="s">
        <v>3966</v>
      </c>
      <c r="AC21" s="2332" t="s">
        <v>2662</v>
      </c>
      <c r="AD21" s="2332" t="s">
        <v>2621</v>
      </c>
      <c r="AE21" s="2332" t="s">
        <v>2602</v>
      </c>
      <c r="AF21" s="2332" t="s">
        <v>2602</v>
      </c>
      <c r="AG21" s="2332" t="s">
        <v>2602</v>
      </c>
      <c r="AH21" s="2332" t="s">
        <v>2602</v>
      </c>
      <c r="AI21" s="2333" t="s">
        <v>2602</v>
      </c>
      <c r="AJ21" s="2333" t="s">
        <v>2602</v>
      </c>
      <c r="AK21" s="2333" t="s">
        <v>2602</v>
      </c>
      <c r="AL21" s="2333" t="s">
        <v>2602</v>
      </c>
      <c r="AM21" s="2332" t="s">
        <v>2602</v>
      </c>
      <c r="AN21" s="2332" t="s">
        <v>2602</v>
      </c>
      <c r="AO21" s="2332" t="s">
        <v>2602</v>
      </c>
      <c r="AP21" s="2332" t="s">
        <v>2602</v>
      </c>
      <c r="AQ21" s="2334" t="s">
        <v>2602</v>
      </c>
      <c r="AR21" s="2327">
        <v>805</v>
      </c>
      <c r="AS21" s="2335">
        <v>805</v>
      </c>
      <c r="AT21" s="2336">
        <v>1</v>
      </c>
      <c r="AU21" s="2327" t="s">
        <v>2610</v>
      </c>
      <c r="AV21" s="2337" t="s">
        <v>2610</v>
      </c>
      <c r="AW21" s="2338">
        <v>1</v>
      </c>
      <c r="AX21" s="2338">
        <v>1</v>
      </c>
      <c r="AY21" s="1145" t="s">
        <v>2133</v>
      </c>
      <c r="AZ21" s="1147" t="s">
        <v>2688</v>
      </c>
      <c r="BA21" s="1146" t="s">
        <v>2688</v>
      </c>
      <c r="BB21" s="1151" t="s">
        <v>2168</v>
      </c>
      <c r="BC21" s="1151" t="s">
        <v>2133</v>
      </c>
      <c r="BD21" s="1147" t="s">
        <v>2670</v>
      </c>
      <c r="BE21" s="2339" t="s">
        <v>2129</v>
      </c>
      <c r="BF21" s="2340" t="s">
        <v>2129</v>
      </c>
      <c r="BG21" s="2340" t="s">
        <v>2129</v>
      </c>
      <c r="BH21" s="2340" t="s">
        <v>2129</v>
      </c>
      <c r="BI21" s="2340" t="s">
        <v>2133</v>
      </c>
      <c r="BJ21" s="2341"/>
      <c r="BK21" s="1153" t="s">
        <v>2165</v>
      </c>
      <c r="BL21" s="1168"/>
      <c r="BM21" s="2342" t="s">
        <v>3922</v>
      </c>
      <c r="BN21" s="2343" t="s">
        <v>3841</v>
      </c>
      <c r="BO21" s="2344">
        <v>17</v>
      </c>
      <c r="BP21" s="2345"/>
      <c r="BQ21" s="2345"/>
      <c r="BR21" s="2346"/>
      <c r="BS21" s="2347" t="s">
        <v>3968</v>
      </c>
    </row>
    <row r="22" spans="2:71" ht="21" customHeight="1">
      <c r="B22" s="2323" t="s">
        <v>3791</v>
      </c>
      <c r="C22" s="2324">
        <v>67</v>
      </c>
      <c r="D22" s="2325" t="s">
        <v>3918</v>
      </c>
      <c r="E22" s="2326" t="s">
        <v>2138</v>
      </c>
      <c r="F22" s="2327"/>
      <c r="G22" s="2328"/>
      <c r="H22" s="2329">
        <v>55</v>
      </c>
      <c r="I22" s="2330">
        <v>4.9689440993788822E-3</v>
      </c>
      <c r="J22" s="2331" t="s">
        <v>3966</v>
      </c>
      <c r="K22" s="2332" t="s">
        <v>2676</v>
      </c>
      <c r="L22" s="2332" t="s">
        <v>2621</v>
      </c>
      <c r="M22" s="2332" t="s">
        <v>2636</v>
      </c>
      <c r="N22" s="2332" t="s">
        <v>2602</v>
      </c>
      <c r="O22" s="2332" t="s">
        <v>2602</v>
      </c>
      <c r="P22" s="2332" t="s">
        <v>2602</v>
      </c>
      <c r="Q22" s="2333" t="s">
        <v>2602</v>
      </c>
      <c r="R22" s="2333" t="s">
        <v>2602</v>
      </c>
      <c r="S22" s="2333" t="s">
        <v>2602</v>
      </c>
      <c r="T22" s="2333" t="s">
        <v>2602</v>
      </c>
      <c r="U22" s="2332" t="s">
        <v>2602</v>
      </c>
      <c r="V22" s="2332" t="s">
        <v>2602</v>
      </c>
      <c r="W22" s="2332" t="s">
        <v>2602</v>
      </c>
      <c r="X22" s="2332" t="s">
        <v>2602</v>
      </c>
      <c r="Y22" s="2334" t="s">
        <v>2602</v>
      </c>
      <c r="Z22" s="2327">
        <v>805</v>
      </c>
      <c r="AA22" s="2335">
        <v>806</v>
      </c>
      <c r="AB22" s="2331" t="s">
        <v>3966</v>
      </c>
      <c r="AC22" s="2332" t="s">
        <v>2662</v>
      </c>
      <c r="AD22" s="2332" t="s">
        <v>2621</v>
      </c>
      <c r="AE22" s="2332" t="s">
        <v>2602</v>
      </c>
      <c r="AF22" s="2332" t="s">
        <v>2602</v>
      </c>
      <c r="AG22" s="2332" t="s">
        <v>2602</v>
      </c>
      <c r="AH22" s="2332" t="s">
        <v>2602</v>
      </c>
      <c r="AI22" s="2333" t="s">
        <v>2602</v>
      </c>
      <c r="AJ22" s="2333" t="s">
        <v>2602</v>
      </c>
      <c r="AK22" s="2333" t="s">
        <v>2602</v>
      </c>
      <c r="AL22" s="2333" t="s">
        <v>2602</v>
      </c>
      <c r="AM22" s="2332" t="s">
        <v>2602</v>
      </c>
      <c r="AN22" s="2332" t="s">
        <v>2602</v>
      </c>
      <c r="AO22" s="2332" t="s">
        <v>2602</v>
      </c>
      <c r="AP22" s="2332" t="s">
        <v>2602</v>
      </c>
      <c r="AQ22" s="2334" t="s">
        <v>2602</v>
      </c>
      <c r="AR22" s="2327">
        <v>805</v>
      </c>
      <c r="AS22" s="2335">
        <v>805</v>
      </c>
      <c r="AT22" s="2336">
        <v>1</v>
      </c>
      <c r="AU22" s="2327" t="s">
        <v>2610</v>
      </c>
      <c r="AV22" s="2337" t="s">
        <v>2610</v>
      </c>
      <c r="AW22" s="2338">
        <v>1</v>
      </c>
      <c r="AX22" s="2338">
        <v>1</v>
      </c>
      <c r="AY22" s="1145" t="s">
        <v>2133</v>
      </c>
      <c r="AZ22" s="1147" t="s">
        <v>2688</v>
      </c>
      <c r="BA22" s="1146" t="s">
        <v>2688</v>
      </c>
      <c r="BB22" s="1151" t="s">
        <v>2168</v>
      </c>
      <c r="BC22" s="1151" t="s">
        <v>2133</v>
      </c>
      <c r="BD22" s="1147" t="s">
        <v>2670</v>
      </c>
      <c r="BE22" s="2339" t="s">
        <v>2129</v>
      </c>
      <c r="BF22" s="2340" t="s">
        <v>2129</v>
      </c>
      <c r="BG22" s="2340" t="s">
        <v>2129</v>
      </c>
      <c r="BH22" s="2340" t="s">
        <v>2129</v>
      </c>
      <c r="BI22" s="2340" t="s">
        <v>2133</v>
      </c>
      <c r="BJ22" s="2341"/>
      <c r="BK22" s="1153" t="s">
        <v>2152</v>
      </c>
      <c r="BL22" s="1168"/>
      <c r="BM22" s="2342" t="s">
        <v>3923</v>
      </c>
      <c r="BN22" s="2343" t="s">
        <v>3841</v>
      </c>
      <c r="BO22" s="2344">
        <v>55</v>
      </c>
      <c r="BP22" s="2345"/>
      <c r="BQ22" s="2345"/>
      <c r="BR22" s="2377"/>
      <c r="BS22" s="2347" t="s">
        <v>3968</v>
      </c>
    </row>
    <row r="23" spans="2:71" ht="21" customHeight="1">
      <c r="B23" s="2323" t="s">
        <v>3791</v>
      </c>
      <c r="C23" s="2324">
        <v>67</v>
      </c>
      <c r="D23" s="2325" t="s">
        <v>3918</v>
      </c>
      <c r="E23" s="2326" t="s">
        <v>2138</v>
      </c>
      <c r="F23" s="2327"/>
      <c r="G23" s="2328"/>
      <c r="H23" s="2329">
        <v>80</v>
      </c>
      <c r="I23" s="2330">
        <v>4.9689440993788822E-3</v>
      </c>
      <c r="J23" s="2331" t="s">
        <v>3966</v>
      </c>
      <c r="K23" s="2332" t="s">
        <v>2676</v>
      </c>
      <c r="L23" s="2332" t="s">
        <v>2621</v>
      </c>
      <c r="M23" s="2332" t="s">
        <v>2636</v>
      </c>
      <c r="N23" s="2332" t="s">
        <v>2602</v>
      </c>
      <c r="O23" s="2332" t="s">
        <v>2602</v>
      </c>
      <c r="P23" s="2332" t="s">
        <v>2602</v>
      </c>
      <c r="Q23" s="2333" t="s">
        <v>2602</v>
      </c>
      <c r="R23" s="2333" t="s">
        <v>2602</v>
      </c>
      <c r="S23" s="2333" t="s">
        <v>2602</v>
      </c>
      <c r="T23" s="2333" t="s">
        <v>2602</v>
      </c>
      <c r="U23" s="2332" t="s">
        <v>2602</v>
      </c>
      <c r="V23" s="2332" t="s">
        <v>2602</v>
      </c>
      <c r="W23" s="2332" t="s">
        <v>2602</v>
      </c>
      <c r="X23" s="2332" t="s">
        <v>2602</v>
      </c>
      <c r="Y23" s="2334" t="s">
        <v>2602</v>
      </c>
      <c r="Z23" s="2327">
        <v>805</v>
      </c>
      <c r="AA23" s="2335">
        <v>806</v>
      </c>
      <c r="AB23" s="2331" t="s">
        <v>3966</v>
      </c>
      <c r="AC23" s="2332" t="s">
        <v>2662</v>
      </c>
      <c r="AD23" s="2332" t="s">
        <v>2621</v>
      </c>
      <c r="AE23" s="2332" t="s">
        <v>2602</v>
      </c>
      <c r="AF23" s="2332" t="s">
        <v>2602</v>
      </c>
      <c r="AG23" s="2332" t="s">
        <v>2602</v>
      </c>
      <c r="AH23" s="2332" t="s">
        <v>2602</v>
      </c>
      <c r="AI23" s="2333" t="s">
        <v>2602</v>
      </c>
      <c r="AJ23" s="2333" t="s">
        <v>2602</v>
      </c>
      <c r="AK23" s="2333" t="s">
        <v>2602</v>
      </c>
      <c r="AL23" s="2333" t="s">
        <v>2602</v>
      </c>
      <c r="AM23" s="2332" t="s">
        <v>2602</v>
      </c>
      <c r="AN23" s="2332" t="s">
        <v>2602</v>
      </c>
      <c r="AO23" s="2332" t="s">
        <v>2602</v>
      </c>
      <c r="AP23" s="2332" t="s">
        <v>2602</v>
      </c>
      <c r="AQ23" s="2334" t="s">
        <v>2602</v>
      </c>
      <c r="AR23" s="2327">
        <v>805</v>
      </c>
      <c r="AS23" s="2335">
        <v>805</v>
      </c>
      <c r="AT23" s="2336">
        <v>1</v>
      </c>
      <c r="AU23" s="2327" t="s">
        <v>2610</v>
      </c>
      <c r="AV23" s="2337" t="s">
        <v>2610</v>
      </c>
      <c r="AW23" s="2338">
        <v>1</v>
      </c>
      <c r="AX23" s="2338">
        <v>1</v>
      </c>
      <c r="AY23" s="1145" t="s">
        <v>2133</v>
      </c>
      <c r="AZ23" s="1147" t="s">
        <v>2688</v>
      </c>
      <c r="BA23" s="1146" t="s">
        <v>2688</v>
      </c>
      <c r="BB23" s="1151" t="s">
        <v>2168</v>
      </c>
      <c r="BC23" s="1151" t="s">
        <v>2133</v>
      </c>
      <c r="BD23" s="1147" t="s">
        <v>2670</v>
      </c>
      <c r="BE23" s="2339" t="s">
        <v>2129</v>
      </c>
      <c r="BF23" s="2340" t="s">
        <v>2129</v>
      </c>
      <c r="BG23" s="2340" t="s">
        <v>2129</v>
      </c>
      <c r="BH23" s="2340" t="s">
        <v>2129</v>
      </c>
      <c r="BI23" s="2340" t="s">
        <v>2133</v>
      </c>
      <c r="BJ23" s="2341"/>
      <c r="BK23" s="1153" t="s">
        <v>2148</v>
      </c>
      <c r="BL23" s="1168"/>
      <c r="BM23" s="2342" t="s">
        <v>3840</v>
      </c>
      <c r="BN23" s="2343" t="s">
        <v>3841</v>
      </c>
      <c r="BO23" s="2344">
        <v>80</v>
      </c>
      <c r="BP23" s="2345"/>
      <c r="BQ23" s="2345"/>
      <c r="BR23" s="2377"/>
      <c r="BS23" s="2347" t="s">
        <v>3968</v>
      </c>
    </row>
    <row r="24" spans="2:71" ht="21" customHeight="1">
      <c r="B24" s="2323" t="s">
        <v>3791</v>
      </c>
      <c r="C24" s="2324">
        <v>67</v>
      </c>
      <c r="D24" s="2325" t="s">
        <v>3918</v>
      </c>
      <c r="E24" s="2326" t="s">
        <v>2138</v>
      </c>
      <c r="F24" s="2327"/>
      <c r="G24" s="2328"/>
      <c r="H24" s="2329">
        <v>63</v>
      </c>
      <c r="I24" s="2330">
        <v>4.9689440993788822E-3</v>
      </c>
      <c r="J24" s="2331" t="s">
        <v>3966</v>
      </c>
      <c r="K24" s="2332" t="s">
        <v>2676</v>
      </c>
      <c r="L24" s="2332" t="s">
        <v>2621</v>
      </c>
      <c r="M24" s="2332" t="s">
        <v>2636</v>
      </c>
      <c r="N24" s="2332" t="s">
        <v>2602</v>
      </c>
      <c r="O24" s="2332" t="s">
        <v>2602</v>
      </c>
      <c r="P24" s="2332" t="s">
        <v>2602</v>
      </c>
      <c r="Q24" s="2333" t="s">
        <v>2602</v>
      </c>
      <c r="R24" s="2333" t="s">
        <v>2602</v>
      </c>
      <c r="S24" s="2333" t="s">
        <v>2602</v>
      </c>
      <c r="T24" s="2333" t="s">
        <v>2602</v>
      </c>
      <c r="U24" s="2332" t="s">
        <v>2602</v>
      </c>
      <c r="V24" s="2332" t="s">
        <v>2602</v>
      </c>
      <c r="W24" s="2332" t="s">
        <v>2602</v>
      </c>
      <c r="X24" s="2332" t="s">
        <v>2602</v>
      </c>
      <c r="Y24" s="2334" t="s">
        <v>2602</v>
      </c>
      <c r="Z24" s="2327">
        <v>805</v>
      </c>
      <c r="AA24" s="2335">
        <v>806</v>
      </c>
      <c r="AB24" s="2331" t="s">
        <v>3966</v>
      </c>
      <c r="AC24" s="2332" t="s">
        <v>2662</v>
      </c>
      <c r="AD24" s="2332" t="s">
        <v>2621</v>
      </c>
      <c r="AE24" s="2332" t="s">
        <v>2602</v>
      </c>
      <c r="AF24" s="2332" t="s">
        <v>2602</v>
      </c>
      <c r="AG24" s="2332" t="s">
        <v>2602</v>
      </c>
      <c r="AH24" s="2332" t="s">
        <v>2602</v>
      </c>
      <c r="AI24" s="2333" t="s">
        <v>2602</v>
      </c>
      <c r="AJ24" s="2333" t="s">
        <v>2602</v>
      </c>
      <c r="AK24" s="2333" t="s">
        <v>2602</v>
      </c>
      <c r="AL24" s="2333" t="s">
        <v>2602</v>
      </c>
      <c r="AM24" s="2332" t="s">
        <v>2602</v>
      </c>
      <c r="AN24" s="2332" t="s">
        <v>2602</v>
      </c>
      <c r="AO24" s="2332" t="s">
        <v>2602</v>
      </c>
      <c r="AP24" s="2332" t="s">
        <v>2602</v>
      </c>
      <c r="AQ24" s="2334" t="s">
        <v>2602</v>
      </c>
      <c r="AR24" s="2327">
        <v>805</v>
      </c>
      <c r="AS24" s="2335">
        <v>805</v>
      </c>
      <c r="AT24" s="2336">
        <v>1</v>
      </c>
      <c r="AU24" s="2327" t="s">
        <v>2610</v>
      </c>
      <c r="AV24" s="2337" t="s">
        <v>2610</v>
      </c>
      <c r="AW24" s="2338">
        <v>1</v>
      </c>
      <c r="AX24" s="2338">
        <v>1</v>
      </c>
      <c r="AY24" s="1145" t="s">
        <v>2133</v>
      </c>
      <c r="AZ24" s="1147" t="s">
        <v>2688</v>
      </c>
      <c r="BA24" s="1146" t="s">
        <v>2688</v>
      </c>
      <c r="BB24" s="1151" t="s">
        <v>2168</v>
      </c>
      <c r="BC24" s="1151" t="s">
        <v>2133</v>
      </c>
      <c r="BD24" s="1147" t="s">
        <v>2670</v>
      </c>
      <c r="BE24" s="2339" t="s">
        <v>2129</v>
      </c>
      <c r="BF24" s="2340" t="s">
        <v>2129</v>
      </c>
      <c r="BG24" s="2340" t="s">
        <v>2129</v>
      </c>
      <c r="BH24" s="2340" t="s">
        <v>2129</v>
      </c>
      <c r="BI24" s="2340" t="s">
        <v>2133</v>
      </c>
      <c r="BJ24" s="2341"/>
      <c r="BK24" s="1153" t="s">
        <v>2164</v>
      </c>
      <c r="BL24" s="1168"/>
      <c r="BM24" s="2342" t="s">
        <v>3840</v>
      </c>
      <c r="BN24" s="2343" t="s">
        <v>3841</v>
      </c>
      <c r="BO24" s="2344">
        <v>63</v>
      </c>
      <c r="BP24" s="2345"/>
      <c r="BQ24" s="2345"/>
      <c r="BR24" s="2377"/>
      <c r="BS24" s="2347" t="s">
        <v>3968</v>
      </c>
    </row>
    <row r="25" spans="2:71" ht="21" customHeight="1">
      <c r="B25" s="2348" t="s">
        <v>3791</v>
      </c>
      <c r="C25" s="2349">
        <v>67</v>
      </c>
      <c r="D25" s="2350" t="s">
        <v>3918</v>
      </c>
      <c r="E25" s="2351" t="s">
        <v>2138</v>
      </c>
      <c r="F25" s="2352"/>
      <c r="G25" s="2353"/>
      <c r="H25" s="2354">
        <v>37</v>
      </c>
      <c r="I25" s="2355">
        <v>4.9689440993788822E-3</v>
      </c>
      <c r="J25" s="2356" t="s">
        <v>3966</v>
      </c>
      <c r="K25" s="2357" t="s">
        <v>2676</v>
      </c>
      <c r="L25" s="2357" t="s">
        <v>2621</v>
      </c>
      <c r="M25" s="2357" t="s">
        <v>2636</v>
      </c>
      <c r="N25" s="2357" t="s">
        <v>2602</v>
      </c>
      <c r="O25" s="2357" t="s">
        <v>2602</v>
      </c>
      <c r="P25" s="2357" t="s">
        <v>2602</v>
      </c>
      <c r="Q25" s="2358" t="s">
        <v>2602</v>
      </c>
      <c r="R25" s="2358" t="s">
        <v>2602</v>
      </c>
      <c r="S25" s="2358" t="s">
        <v>2602</v>
      </c>
      <c r="T25" s="2358" t="s">
        <v>2602</v>
      </c>
      <c r="U25" s="2357" t="s">
        <v>2602</v>
      </c>
      <c r="V25" s="2357" t="s">
        <v>2602</v>
      </c>
      <c r="W25" s="2357" t="s">
        <v>2602</v>
      </c>
      <c r="X25" s="2357" t="s">
        <v>2602</v>
      </c>
      <c r="Y25" s="2359" t="s">
        <v>2602</v>
      </c>
      <c r="Z25" s="2352">
        <v>805</v>
      </c>
      <c r="AA25" s="2360">
        <v>806</v>
      </c>
      <c r="AB25" s="2356" t="s">
        <v>3966</v>
      </c>
      <c r="AC25" s="2357" t="s">
        <v>2662</v>
      </c>
      <c r="AD25" s="2357" t="s">
        <v>2621</v>
      </c>
      <c r="AE25" s="2357" t="s">
        <v>2602</v>
      </c>
      <c r="AF25" s="2357" t="s">
        <v>2602</v>
      </c>
      <c r="AG25" s="2357" t="s">
        <v>2602</v>
      </c>
      <c r="AH25" s="2357" t="s">
        <v>2602</v>
      </c>
      <c r="AI25" s="2358" t="s">
        <v>2602</v>
      </c>
      <c r="AJ25" s="2358" t="s">
        <v>2602</v>
      </c>
      <c r="AK25" s="2358" t="s">
        <v>2602</v>
      </c>
      <c r="AL25" s="2358" t="s">
        <v>2602</v>
      </c>
      <c r="AM25" s="2357" t="s">
        <v>2602</v>
      </c>
      <c r="AN25" s="2357" t="s">
        <v>2602</v>
      </c>
      <c r="AO25" s="2357" t="s">
        <v>2602</v>
      </c>
      <c r="AP25" s="2357" t="s">
        <v>2602</v>
      </c>
      <c r="AQ25" s="2359" t="s">
        <v>2602</v>
      </c>
      <c r="AR25" s="2352">
        <v>805</v>
      </c>
      <c r="AS25" s="2360">
        <v>805</v>
      </c>
      <c r="AT25" s="2361">
        <v>1</v>
      </c>
      <c r="AU25" s="2352" t="s">
        <v>2610</v>
      </c>
      <c r="AV25" s="2362" t="s">
        <v>2610</v>
      </c>
      <c r="AW25" s="2363">
        <v>1</v>
      </c>
      <c r="AX25" s="2363">
        <v>1</v>
      </c>
      <c r="AY25" s="1148" t="s">
        <v>2133</v>
      </c>
      <c r="AZ25" s="1150" t="s">
        <v>2688</v>
      </c>
      <c r="BA25" s="1149" t="s">
        <v>2688</v>
      </c>
      <c r="BB25" s="1155" t="s">
        <v>2168</v>
      </c>
      <c r="BC25" s="1155" t="s">
        <v>2133</v>
      </c>
      <c r="BD25" s="1150" t="s">
        <v>2670</v>
      </c>
      <c r="BE25" s="2382" t="s">
        <v>2129</v>
      </c>
      <c r="BF25" s="2365" t="s">
        <v>2129</v>
      </c>
      <c r="BG25" s="2365" t="s">
        <v>2129</v>
      </c>
      <c r="BH25" s="2365" t="s">
        <v>2129</v>
      </c>
      <c r="BI25" s="2365" t="s">
        <v>2133</v>
      </c>
      <c r="BJ25" s="2366"/>
      <c r="BK25" s="1156" t="s">
        <v>2153</v>
      </c>
      <c r="BL25" s="1169"/>
      <c r="BM25" s="2367" t="s">
        <v>3924</v>
      </c>
      <c r="BN25" s="2368" t="s">
        <v>3841</v>
      </c>
      <c r="BO25" s="2369">
        <v>37</v>
      </c>
      <c r="BP25" s="2370"/>
      <c r="BQ25" s="2370"/>
      <c r="BR25" s="2383"/>
      <c r="BS25" s="2372" t="s">
        <v>3968</v>
      </c>
    </row>
    <row r="26" spans="2:71" ht="21" customHeight="1">
      <c r="B26" s="2307" t="s">
        <v>3791</v>
      </c>
      <c r="C26" s="2308">
        <v>139</v>
      </c>
      <c r="D26" s="2309" t="s">
        <v>3970</v>
      </c>
      <c r="E26" s="2310" t="s">
        <v>2138</v>
      </c>
      <c r="F26" s="1161"/>
      <c r="G26" s="2311"/>
      <c r="H26" s="2312">
        <v>55</v>
      </c>
      <c r="I26" s="2313">
        <v>0.11788617886178862</v>
      </c>
      <c r="J26" s="1136" t="s">
        <v>2602</v>
      </c>
      <c r="K26" s="1137" t="s">
        <v>3971</v>
      </c>
      <c r="L26" s="1137" t="s">
        <v>3972</v>
      </c>
      <c r="M26" s="1137" t="s">
        <v>3973</v>
      </c>
      <c r="N26" s="1137" t="s">
        <v>3974</v>
      </c>
      <c r="O26" s="1137" t="s">
        <v>2602</v>
      </c>
      <c r="P26" s="1137" t="s">
        <v>2602</v>
      </c>
      <c r="Q26" s="1138" t="s">
        <v>2602</v>
      </c>
      <c r="R26" s="1138" t="s">
        <v>2602</v>
      </c>
      <c r="S26" s="1138" t="s">
        <v>2602</v>
      </c>
      <c r="T26" s="1138" t="s">
        <v>2602</v>
      </c>
      <c r="U26" s="1137" t="s">
        <v>2602</v>
      </c>
      <c r="V26" s="1137" t="s">
        <v>2602</v>
      </c>
      <c r="W26" s="1137" t="s">
        <v>2602</v>
      </c>
      <c r="X26" s="1137" t="s">
        <v>2602</v>
      </c>
      <c r="Y26" s="1139" t="s">
        <v>2602</v>
      </c>
      <c r="Z26" s="1140">
        <v>212</v>
      </c>
      <c r="AA26" s="1141">
        <v>246</v>
      </c>
      <c r="AB26" s="1136" t="s">
        <v>2602</v>
      </c>
      <c r="AC26" s="1137" t="s">
        <v>3971</v>
      </c>
      <c r="AD26" s="1137" t="s">
        <v>3972</v>
      </c>
      <c r="AE26" s="1137" t="s">
        <v>3973</v>
      </c>
      <c r="AF26" s="1137" t="s">
        <v>3974</v>
      </c>
      <c r="AG26" s="1137" t="s">
        <v>2602</v>
      </c>
      <c r="AH26" s="1137" t="s">
        <v>2602</v>
      </c>
      <c r="AI26" s="1138" t="s">
        <v>2602</v>
      </c>
      <c r="AJ26" s="1138" t="s">
        <v>2602</v>
      </c>
      <c r="AK26" s="1138" t="s">
        <v>2602</v>
      </c>
      <c r="AL26" s="1138" t="s">
        <v>2602</v>
      </c>
      <c r="AM26" s="1137" t="s">
        <v>2602</v>
      </c>
      <c r="AN26" s="1137" t="s">
        <v>2602</v>
      </c>
      <c r="AO26" s="1137" t="s">
        <v>2602</v>
      </c>
      <c r="AP26" s="1137" t="s">
        <v>2602</v>
      </c>
      <c r="AQ26" s="1139" t="s">
        <v>2602</v>
      </c>
      <c r="AR26" s="1140">
        <v>212</v>
      </c>
      <c r="AS26" s="1141">
        <v>246</v>
      </c>
      <c r="AT26" s="1142">
        <v>1</v>
      </c>
      <c r="AU26" s="1140" t="s">
        <v>2610</v>
      </c>
      <c r="AV26" s="1143" t="s">
        <v>2610</v>
      </c>
      <c r="AW26" s="1144" t="s">
        <v>3975</v>
      </c>
      <c r="AX26" s="1144" t="s">
        <v>3975</v>
      </c>
      <c r="AY26" s="1140" t="s">
        <v>2133</v>
      </c>
      <c r="AZ26" s="1144" t="s">
        <v>2688</v>
      </c>
      <c r="BA26" s="1143" t="s">
        <v>2688</v>
      </c>
      <c r="BB26" s="1159" t="s">
        <v>2168</v>
      </c>
      <c r="BC26" s="1159" t="s">
        <v>2133</v>
      </c>
      <c r="BD26" s="1144" t="s">
        <v>2723</v>
      </c>
      <c r="BE26" s="2314" t="s">
        <v>2133</v>
      </c>
      <c r="BF26" s="2315" t="s">
        <v>2129</v>
      </c>
      <c r="BG26" s="2315" t="s">
        <v>2129</v>
      </c>
      <c r="BH26" s="2315" t="s">
        <v>2129</v>
      </c>
      <c r="BI26" s="2315" t="s">
        <v>2129</v>
      </c>
      <c r="BJ26" s="2316"/>
      <c r="BK26" s="1160" t="s">
        <v>2144</v>
      </c>
      <c r="BL26" s="1167"/>
      <c r="BM26" s="2317" t="s">
        <v>3876</v>
      </c>
      <c r="BN26" s="2318" t="s">
        <v>3841</v>
      </c>
      <c r="BO26" s="2319">
        <v>55</v>
      </c>
      <c r="BP26" s="2320">
        <f>SUM(BO26:BO28)</f>
        <v>218</v>
      </c>
      <c r="BQ26" s="2320">
        <v>11</v>
      </c>
      <c r="BR26" s="2384"/>
      <c r="BS26" s="2322" t="s">
        <v>3976</v>
      </c>
    </row>
    <row r="27" spans="2:71" ht="21" customHeight="1">
      <c r="B27" s="2323" t="s">
        <v>3791</v>
      </c>
      <c r="C27" s="2324">
        <v>139</v>
      </c>
      <c r="D27" s="2325" t="s">
        <v>3970</v>
      </c>
      <c r="E27" s="2326" t="s">
        <v>2138</v>
      </c>
      <c r="F27" s="2327"/>
      <c r="G27" s="2328"/>
      <c r="H27" s="2329">
        <v>76</v>
      </c>
      <c r="I27" s="2330">
        <v>0.11788617886178862</v>
      </c>
      <c r="J27" s="2331" t="s">
        <v>2602</v>
      </c>
      <c r="K27" s="2332" t="s">
        <v>3971</v>
      </c>
      <c r="L27" s="2332" t="s">
        <v>3972</v>
      </c>
      <c r="M27" s="2332" t="s">
        <v>3973</v>
      </c>
      <c r="N27" s="2332" t="s">
        <v>3974</v>
      </c>
      <c r="O27" s="2332" t="s">
        <v>2602</v>
      </c>
      <c r="P27" s="2332" t="s">
        <v>2602</v>
      </c>
      <c r="Q27" s="2333" t="s">
        <v>2602</v>
      </c>
      <c r="R27" s="2333" t="s">
        <v>2602</v>
      </c>
      <c r="S27" s="2333" t="s">
        <v>2602</v>
      </c>
      <c r="T27" s="2333" t="s">
        <v>2602</v>
      </c>
      <c r="U27" s="2332" t="s">
        <v>2602</v>
      </c>
      <c r="V27" s="2332" t="s">
        <v>2602</v>
      </c>
      <c r="W27" s="2332" t="s">
        <v>2602</v>
      </c>
      <c r="X27" s="2332" t="s">
        <v>2602</v>
      </c>
      <c r="Y27" s="2334" t="s">
        <v>2602</v>
      </c>
      <c r="Z27" s="2327">
        <v>212</v>
      </c>
      <c r="AA27" s="2335">
        <v>246</v>
      </c>
      <c r="AB27" s="2331" t="s">
        <v>2602</v>
      </c>
      <c r="AC27" s="2332" t="s">
        <v>3971</v>
      </c>
      <c r="AD27" s="2332" t="s">
        <v>3972</v>
      </c>
      <c r="AE27" s="2332" t="s">
        <v>3973</v>
      </c>
      <c r="AF27" s="2332" t="s">
        <v>3974</v>
      </c>
      <c r="AG27" s="2332" t="s">
        <v>2602</v>
      </c>
      <c r="AH27" s="2332" t="s">
        <v>2602</v>
      </c>
      <c r="AI27" s="2333" t="s">
        <v>2602</v>
      </c>
      <c r="AJ27" s="2333" t="s">
        <v>2602</v>
      </c>
      <c r="AK27" s="2333" t="s">
        <v>2602</v>
      </c>
      <c r="AL27" s="2333" t="s">
        <v>2602</v>
      </c>
      <c r="AM27" s="2332" t="s">
        <v>2602</v>
      </c>
      <c r="AN27" s="2332" t="s">
        <v>2602</v>
      </c>
      <c r="AO27" s="2332" t="s">
        <v>2602</v>
      </c>
      <c r="AP27" s="2332" t="s">
        <v>2602</v>
      </c>
      <c r="AQ27" s="2334" t="s">
        <v>2602</v>
      </c>
      <c r="AR27" s="2327">
        <v>212</v>
      </c>
      <c r="AS27" s="2335">
        <v>246</v>
      </c>
      <c r="AT27" s="2336">
        <v>1</v>
      </c>
      <c r="AU27" s="2327" t="s">
        <v>2610</v>
      </c>
      <c r="AV27" s="2337" t="s">
        <v>2610</v>
      </c>
      <c r="AW27" s="2338" t="s">
        <v>3975</v>
      </c>
      <c r="AX27" s="2338" t="s">
        <v>3975</v>
      </c>
      <c r="AY27" s="1145" t="s">
        <v>2133</v>
      </c>
      <c r="AZ27" s="1147" t="s">
        <v>2688</v>
      </c>
      <c r="BA27" s="1146" t="s">
        <v>2688</v>
      </c>
      <c r="BB27" s="1151" t="s">
        <v>2168</v>
      </c>
      <c r="BC27" s="1151" t="s">
        <v>2133</v>
      </c>
      <c r="BD27" s="1147" t="s">
        <v>2723</v>
      </c>
      <c r="BE27" s="2339" t="s">
        <v>2133</v>
      </c>
      <c r="BF27" s="2340" t="s">
        <v>2129</v>
      </c>
      <c r="BG27" s="2340" t="s">
        <v>2129</v>
      </c>
      <c r="BH27" s="2340" t="s">
        <v>2129</v>
      </c>
      <c r="BI27" s="2340" t="s">
        <v>2129</v>
      </c>
      <c r="BJ27" s="2341"/>
      <c r="BK27" s="1153" t="s">
        <v>2162</v>
      </c>
      <c r="BL27" s="1168"/>
      <c r="BM27" s="2342" t="s">
        <v>3843</v>
      </c>
      <c r="BN27" s="2343" t="s">
        <v>3841</v>
      </c>
      <c r="BO27" s="2344">
        <v>76</v>
      </c>
      <c r="BP27" s="2345"/>
      <c r="BQ27" s="2345"/>
      <c r="BR27" s="2377"/>
      <c r="BS27" s="2347" t="s">
        <v>3977</v>
      </c>
    </row>
    <row r="28" spans="2:71" ht="21" customHeight="1">
      <c r="B28" s="2348" t="s">
        <v>3791</v>
      </c>
      <c r="C28" s="2349">
        <v>139</v>
      </c>
      <c r="D28" s="2350" t="s">
        <v>3970</v>
      </c>
      <c r="E28" s="2351" t="s">
        <v>2138</v>
      </c>
      <c r="F28" s="2352"/>
      <c r="G28" s="2353"/>
      <c r="H28" s="2354">
        <v>87</v>
      </c>
      <c r="I28" s="2355">
        <v>0.11788617886178862</v>
      </c>
      <c r="J28" s="2356" t="s">
        <v>2602</v>
      </c>
      <c r="K28" s="2357" t="s">
        <v>3971</v>
      </c>
      <c r="L28" s="2357" t="s">
        <v>3972</v>
      </c>
      <c r="M28" s="2357" t="s">
        <v>3973</v>
      </c>
      <c r="N28" s="2357" t="s">
        <v>3974</v>
      </c>
      <c r="O28" s="2357" t="s">
        <v>2602</v>
      </c>
      <c r="P28" s="2357" t="s">
        <v>2602</v>
      </c>
      <c r="Q28" s="2358" t="s">
        <v>2602</v>
      </c>
      <c r="R28" s="2358" t="s">
        <v>2602</v>
      </c>
      <c r="S28" s="2358" t="s">
        <v>2602</v>
      </c>
      <c r="T28" s="2358" t="s">
        <v>2602</v>
      </c>
      <c r="U28" s="2357" t="s">
        <v>2602</v>
      </c>
      <c r="V28" s="2357" t="s">
        <v>2602</v>
      </c>
      <c r="W28" s="2357" t="s">
        <v>2602</v>
      </c>
      <c r="X28" s="2357" t="s">
        <v>2602</v>
      </c>
      <c r="Y28" s="2359" t="s">
        <v>2602</v>
      </c>
      <c r="Z28" s="2352">
        <v>212</v>
      </c>
      <c r="AA28" s="2360">
        <v>246</v>
      </c>
      <c r="AB28" s="2356" t="s">
        <v>2602</v>
      </c>
      <c r="AC28" s="2357" t="s">
        <v>3971</v>
      </c>
      <c r="AD28" s="2357" t="s">
        <v>3972</v>
      </c>
      <c r="AE28" s="2357" t="s">
        <v>3973</v>
      </c>
      <c r="AF28" s="2357" t="s">
        <v>3974</v>
      </c>
      <c r="AG28" s="2357" t="s">
        <v>2602</v>
      </c>
      <c r="AH28" s="2357" t="s">
        <v>2602</v>
      </c>
      <c r="AI28" s="2358" t="s">
        <v>2602</v>
      </c>
      <c r="AJ28" s="2358" t="s">
        <v>2602</v>
      </c>
      <c r="AK28" s="2358" t="s">
        <v>2602</v>
      </c>
      <c r="AL28" s="2358" t="s">
        <v>2602</v>
      </c>
      <c r="AM28" s="2357" t="s">
        <v>2602</v>
      </c>
      <c r="AN28" s="2357" t="s">
        <v>2602</v>
      </c>
      <c r="AO28" s="2357" t="s">
        <v>2602</v>
      </c>
      <c r="AP28" s="2357" t="s">
        <v>2602</v>
      </c>
      <c r="AQ28" s="2359" t="s">
        <v>2602</v>
      </c>
      <c r="AR28" s="2352">
        <v>212</v>
      </c>
      <c r="AS28" s="2360">
        <v>246</v>
      </c>
      <c r="AT28" s="2361">
        <v>1</v>
      </c>
      <c r="AU28" s="2352" t="s">
        <v>2610</v>
      </c>
      <c r="AV28" s="2362" t="s">
        <v>2610</v>
      </c>
      <c r="AW28" s="2363" t="s">
        <v>3975</v>
      </c>
      <c r="AX28" s="2363" t="s">
        <v>3975</v>
      </c>
      <c r="AY28" s="1148" t="s">
        <v>2133</v>
      </c>
      <c r="AZ28" s="1150" t="s">
        <v>2688</v>
      </c>
      <c r="BA28" s="1149" t="s">
        <v>2688</v>
      </c>
      <c r="BB28" s="1155" t="s">
        <v>2168</v>
      </c>
      <c r="BC28" s="1155" t="s">
        <v>2133</v>
      </c>
      <c r="BD28" s="1150" t="s">
        <v>2723</v>
      </c>
      <c r="BE28" s="2364" t="s">
        <v>2133</v>
      </c>
      <c r="BF28" s="2365" t="s">
        <v>2129</v>
      </c>
      <c r="BG28" s="2365" t="s">
        <v>2129</v>
      </c>
      <c r="BH28" s="2365" t="s">
        <v>2129</v>
      </c>
      <c r="BI28" s="2365" t="s">
        <v>2129</v>
      </c>
      <c r="BJ28" s="2366"/>
      <c r="BK28" s="1156" t="s">
        <v>2272</v>
      </c>
      <c r="BL28" s="1169"/>
      <c r="BM28" s="2367" t="s">
        <v>3946</v>
      </c>
      <c r="BN28" s="2368" t="s">
        <v>3841</v>
      </c>
      <c r="BO28" s="2369">
        <v>87</v>
      </c>
      <c r="BP28" s="2370"/>
      <c r="BQ28" s="2370"/>
      <c r="BR28" s="2383"/>
      <c r="BS28" s="2372" t="s">
        <v>3978</v>
      </c>
    </row>
    <row r="29" spans="2:71" ht="21" customHeight="1">
      <c r="B29" s="2307" t="s">
        <v>3791</v>
      </c>
      <c r="C29" s="2308">
        <v>180</v>
      </c>
      <c r="D29" s="2309" t="s">
        <v>3936</v>
      </c>
      <c r="E29" s="2310" t="s">
        <v>2138</v>
      </c>
      <c r="F29" s="1161"/>
      <c r="G29" s="2311"/>
      <c r="H29" s="2385">
        <v>90</v>
      </c>
      <c r="I29" s="2313">
        <v>-0.25</v>
      </c>
      <c r="J29" s="1136" t="s">
        <v>3979</v>
      </c>
      <c r="K29" s="1137" t="s">
        <v>3980</v>
      </c>
      <c r="L29" s="1137" t="s">
        <v>2602</v>
      </c>
      <c r="M29" s="1137" t="s">
        <v>3981</v>
      </c>
      <c r="N29" s="1137" t="s">
        <v>3982</v>
      </c>
      <c r="O29" s="1137" t="s">
        <v>2602</v>
      </c>
      <c r="P29" s="1137" t="s">
        <v>2602</v>
      </c>
      <c r="Q29" s="1138" t="s">
        <v>2602</v>
      </c>
      <c r="R29" s="1138" t="s">
        <v>3983</v>
      </c>
      <c r="S29" s="1138" t="s">
        <v>2602</v>
      </c>
      <c r="T29" s="1138" t="s">
        <v>2602</v>
      </c>
      <c r="U29" s="1137" t="s">
        <v>2602</v>
      </c>
      <c r="V29" s="1137" t="s">
        <v>2722</v>
      </c>
      <c r="W29" s="1137" t="s">
        <v>2602</v>
      </c>
      <c r="X29" s="1137" t="s">
        <v>2636</v>
      </c>
      <c r="Y29" s="1139" t="s">
        <v>2602</v>
      </c>
      <c r="Z29" s="1140">
        <v>179</v>
      </c>
      <c r="AA29" s="1141">
        <v>193</v>
      </c>
      <c r="AB29" s="1136" t="s">
        <v>2727</v>
      </c>
      <c r="AC29" s="1137" t="s">
        <v>3712</v>
      </c>
      <c r="AD29" s="1137" t="s">
        <v>2602</v>
      </c>
      <c r="AE29" s="1137" t="s">
        <v>2602</v>
      </c>
      <c r="AF29" s="1137" t="s">
        <v>2602</v>
      </c>
      <c r="AG29" s="1137" t="s">
        <v>2602</v>
      </c>
      <c r="AH29" s="1137" t="s">
        <v>2602</v>
      </c>
      <c r="AI29" s="1138" t="s">
        <v>2602</v>
      </c>
      <c r="AJ29" s="1138" t="s">
        <v>2602</v>
      </c>
      <c r="AK29" s="1138" t="s">
        <v>2602</v>
      </c>
      <c r="AL29" s="1138" t="s">
        <v>2602</v>
      </c>
      <c r="AM29" s="1137" t="s">
        <v>2602</v>
      </c>
      <c r="AN29" s="1137" t="s">
        <v>2602</v>
      </c>
      <c r="AO29" s="1137" t="s">
        <v>2602</v>
      </c>
      <c r="AP29" s="1137" t="s">
        <v>2602</v>
      </c>
      <c r="AQ29" s="1139" t="s">
        <v>2602</v>
      </c>
      <c r="AR29" s="1140">
        <v>100</v>
      </c>
      <c r="AS29" s="1141">
        <v>100</v>
      </c>
      <c r="AT29" s="1142">
        <v>0.55865921787709494</v>
      </c>
      <c r="AU29" s="1140" t="s">
        <v>2609</v>
      </c>
      <c r="AV29" s="1143" t="s">
        <v>2610</v>
      </c>
      <c r="AW29" s="1144">
        <v>2</v>
      </c>
      <c r="AX29" s="1144">
        <v>2</v>
      </c>
      <c r="AY29" s="1140" t="s">
        <v>2133</v>
      </c>
      <c r="AZ29" s="1144" t="s">
        <v>2133</v>
      </c>
      <c r="BA29" s="1143" t="s">
        <v>2133</v>
      </c>
      <c r="BB29" s="1159" t="s">
        <v>2240</v>
      </c>
      <c r="BC29" s="1159" t="s">
        <v>2612</v>
      </c>
      <c r="BD29" s="1144" t="s">
        <v>2133</v>
      </c>
      <c r="BE29" s="2314" t="s">
        <v>2129</v>
      </c>
      <c r="BF29" s="2315" t="s">
        <v>2129</v>
      </c>
      <c r="BG29" s="2315" t="s">
        <v>2129</v>
      </c>
      <c r="BH29" s="2315" t="s">
        <v>2129</v>
      </c>
      <c r="BI29" s="2315" t="s">
        <v>2129</v>
      </c>
      <c r="BJ29" s="2316" t="s">
        <v>3793</v>
      </c>
      <c r="BK29" s="1172" t="s">
        <v>3937</v>
      </c>
      <c r="BL29" s="1167" t="s">
        <v>2188</v>
      </c>
      <c r="BM29" s="2317" t="s">
        <v>3935</v>
      </c>
      <c r="BN29" s="2318" t="s">
        <v>3874</v>
      </c>
      <c r="BO29" s="2319">
        <v>90</v>
      </c>
      <c r="BP29" s="2320">
        <f>SUM(BO29:BO31)</f>
        <v>125</v>
      </c>
      <c r="BQ29" s="2320">
        <v>11</v>
      </c>
      <c r="BR29" s="2384"/>
      <c r="BS29" s="2386" t="s">
        <v>3984</v>
      </c>
    </row>
    <row r="30" spans="2:71" ht="21" customHeight="1">
      <c r="B30" s="2323" t="s">
        <v>3791</v>
      </c>
      <c r="C30" s="2324">
        <v>180</v>
      </c>
      <c r="D30" s="2325" t="s">
        <v>3936</v>
      </c>
      <c r="E30" s="2326" t="s">
        <v>2138</v>
      </c>
      <c r="F30" s="2327"/>
      <c r="G30" s="2328"/>
      <c r="H30" s="2387">
        <v>25</v>
      </c>
      <c r="I30" s="2330">
        <v>-0.25</v>
      </c>
      <c r="J30" s="2331" t="s">
        <v>3979</v>
      </c>
      <c r="K30" s="2332" t="s">
        <v>3980</v>
      </c>
      <c r="L30" s="2332" t="s">
        <v>2602</v>
      </c>
      <c r="M30" s="2332" t="s">
        <v>3981</v>
      </c>
      <c r="N30" s="2332" t="s">
        <v>3982</v>
      </c>
      <c r="O30" s="2332" t="s">
        <v>2602</v>
      </c>
      <c r="P30" s="2332" t="s">
        <v>2602</v>
      </c>
      <c r="Q30" s="2333" t="s">
        <v>2602</v>
      </c>
      <c r="R30" s="2333" t="s">
        <v>3983</v>
      </c>
      <c r="S30" s="2333" t="s">
        <v>2602</v>
      </c>
      <c r="T30" s="2333" t="s">
        <v>2602</v>
      </c>
      <c r="U30" s="2332" t="s">
        <v>2602</v>
      </c>
      <c r="V30" s="2332" t="s">
        <v>2722</v>
      </c>
      <c r="W30" s="2332" t="s">
        <v>2602</v>
      </c>
      <c r="X30" s="2332" t="s">
        <v>2636</v>
      </c>
      <c r="Y30" s="2334" t="s">
        <v>2602</v>
      </c>
      <c r="Z30" s="2327">
        <v>179</v>
      </c>
      <c r="AA30" s="2335">
        <v>193</v>
      </c>
      <c r="AB30" s="2331" t="s">
        <v>2727</v>
      </c>
      <c r="AC30" s="2332" t="s">
        <v>3712</v>
      </c>
      <c r="AD30" s="2332" t="s">
        <v>2602</v>
      </c>
      <c r="AE30" s="2332" t="s">
        <v>2602</v>
      </c>
      <c r="AF30" s="2332" t="s">
        <v>2602</v>
      </c>
      <c r="AG30" s="2332" t="s">
        <v>2602</v>
      </c>
      <c r="AH30" s="2332" t="s">
        <v>2602</v>
      </c>
      <c r="AI30" s="2333" t="s">
        <v>2602</v>
      </c>
      <c r="AJ30" s="2333" t="s">
        <v>2602</v>
      </c>
      <c r="AK30" s="2333" t="s">
        <v>2602</v>
      </c>
      <c r="AL30" s="2333" t="s">
        <v>2602</v>
      </c>
      <c r="AM30" s="2332" t="s">
        <v>2602</v>
      </c>
      <c r="AN30" s="2332" t="s">
        <v>2602</v>
      </c>
      <c r="AO30" s="2332" t="s">
        <v>2602</v>
      </c>
      <c r="AP30" s="2332" t="s">
        <v>2602</v>
      </c>
      <c r="AQ30" s="2334" t="s">
        <v>2602</v>
      </c>
      <c r="AR30" s="2327">
        <v>100</v>
      </c>
      <c r="AS30" s="2335">
        <v>100</v>
      </c>
      <c r="AT30" s="2336">
        <v>0.55865921787709494</v>
      </c>
      <c r="AU30" s="2327" t="s">
        <v>2609</v>
      </c>
      <c r="AV30" s="2337" t="s">
        <v>2610</v>
      </c>
      <c r="AW30" s="2338">
        <v>2</v>
      </c>
      <c r="AX30" s="2338">
        <v>2</v>
      </c>
      <c r="AY30" s="1145" t="s">
        <v>2133</v>
      </c>
      <c r="AZ30" s="1147" t="s">
        <v>2133</v>
      </c>
      <c r="BA30" s="1146" t="s">
        <v>2133</v>
      </c>
      <c r="BB30" s="1151" t="s">
        <v>2240</v>
      </c>
      <c r="BC30" s="1151" t="s">
        <v>2612</v>
      </c>
      <c r="BD30" s="1147" t="s">
        <v>2133</v>
      </c>
      <c r="BE30" s="2339" t="s">
        <v>2129</v>
      </c>
      <c r="BF30" s="2340" t="s">
        <v>2129</v>
      </c>
      <c r="BG30" s="2340" t="s">
        <v>2129</v>
      </c>
      <c r="BH30" s="2340" t="s">
        <v>2129</v>
      </c>
      <c r="BI30" s="2340" t="s">
        <v>2129</v>
      </c>
      <c r="BJ30" s="2341" t="s">
        <v>3793</v>
      </c>
      <c r="BK30" s="1154" t="s">
        <v>3937</v>
      </c>
      <c r="BL30" s="1168" t="s">
        <v>2192</v>
      </c>
      <c r="BM30" s="2342" t="s">
        <v>3935</v>
      </c>
      <c r="BN30" s="2343" t="s">
        <v>3874</v>
      </c>
      <c r="BO30" s="2344">
        <v>25</v>
      </c>
      <c r="BP30" s="2345"/>
      <c r="BQ30" s="2345"/>
      <c r="BR30" s="2377"/>
      <c r="BS30" s="2388" t="s">
        <v>3984</v>
      </c>
    </row>
    <row r="31" spans="2:71" ht="21" customHeight="1">
      <c r="B31" s="2348" t="s">
        <v>3791</v>
      </c>
      <c r="C31" s="2349">
        <v>180</v>
      </c>
      <c r="D31" s="2350" t="s">
        <v>3936</v>
      </c>
      <c r="E31" s="2351" t="s">
        <v>2138</v>
      </c>
      <c r="F31" s="2352"/>
      <c r="G31" s="2353"/>
      <c r="H31" s="2389">
        <v>10</v>
      </c>
      <c r="I31" s="2355">
        <v>-0.25</v>
      </c>
      <c r="J31" s="2356" t="s">
        <v>3979</v>
      </c>
      <c r="K31" s="2357" t="s">
        <v>3980</v>
      </c>
      <c r="L31" s="2357" t="s">
        <v>2602</v>
      </c>
      <c r="M31" s="2357" t="s">
        <v>3981</v>
      </c>
      <c r="N31" s="2357" t="s">
        <v>3982</v>
      </c>
      <c r="O31" s="2357" t="s">
        <v>2602</v>
      </c>
      <c r="P31" s="2357" t="s">
        <v>2602</v>
      </c>
      <c r="Q31" s="2358" t="s">
        <v>2602</v>
      </c>
      <c r="R31" s="2358" t="s">
        <v>3983</v>
      </c>
      <c r="S31" s="2358" t="s">
        <v>2602</v>
      </c>
      <c r="T31" s="2358" t="s">
        <v>2602</v>
      </c>
      <c r="U31" s="2357" t="s">
        <v>2602</v>
      </c>
      <c r="V31" s="2357" t="s">
        <v>2722</v>
      </c>
      <c r="W31" s="2357" t="s">
        <v>2602</v>
      </c>
      <c r="X31" s="2357" t="s">
        <v>2636</v>
      </c>
      <c r="Y31" s="2359" t="s">
        <v>2602</v>
      </c>
      <c r="Z31" s="2352">
        <v>179</v>
      </c>
      <c r="AA31" s="2360">
        <v>193</v>
      </c>
      <c r="AB31" s="2356" t="s">
        <v>2727</v>
      </c>
      <c r="AC31" s="2357" t="s">
        <v>3712</v>
      </c>
      <c r="AD31" s="2357" t="s">
        <v>2602</v>
      </c>
      <c r="AE31" s="2357" t="s">
        <v>2602</v>
      </c>
      <c r="AF31" s="2357" t="s">
        <v>2602</v>
      </c>
      <c r="AG31" s="2357" t="s">
        <v>2602</v>
      </c>
      <c r="AH31" s="2357" t="s">
        <v>2602</v>
      </c>
      <c r="AI31" s="2358" t="s">
        <v>2602</v>
      </c>
      <c r="AJ31" s="2358" t="s">
        <v>2602</v>
      </c>
      <c r="AK31" s="2358" t="s">
        <v>2602</v>
      </c>
      <c r="AL31" s="2358" t="s">
        <v>2602</v>
      </c>
      <c r="AM31" s="2357" t="s">
        <v>2602</v>
      </c>
      <c r="AN31" s="2357" t="s">
        <v>2602</v>
      </c>
      <c r="AO31" s="2357" t="s">
        <v>2602</v>
      </c>
      <c r="AP31" s="2357" t="s">
        <v>2602</v>
      </c>
      <c r="AQ31" s="2359" t="s">
        <v>2602</v>
      </c>
      <c r="AR31" s="2352">
        <v>100</v>
      </c>
      <c r="AS31" s="2360">
        <v>100</v>
      </c>
      <c r="AT31" s="2361">
        <v>0.55865921787709494</v>
      </c>
      <c r="AU31" s="2352" t="s">
        <v>2609</v>
      </c>
      <c r="AV31" s="2362" t="s">
        <v>2610</v>
      </c>
      <c r="AW31" s="2363">
        <v>2</v>
      </c>
      <c r="AX31" s="2363">
        <v>2</v>
      </c>
      <c r="AY31" s="1148" t="s">
        <v>2133</v>
      </c>
      <c r="AZ31" s="1150" t="s">
        <v>2133</v>
      </c>
      <c r="BA31" s="1149" t="s">
        <v>2133</v>
      </c>
      <c r="BB31" s="1155" t="s">
        <v>2240</v>
      </c>
      <c r="BC31" s="1155" t="s">
        <v>2612</v>
      </c>
      <c r="BD31" s="1150" t="s">
        <v>2133</v>
      </c>
      <c r="BE31" s="2364" t="s">
        <v>2129</v>
      </c>
      <c r="BF31" s="2365" t="s">
        <v>2129</v>
      </c>
      <c r="BG31" s="2365" t="s">
        <v>2129</v>
      </c>
      <c r="BH31" s="2365" t="s">
        <v>2129</v>
      </c>
      <c r="BI31" s="2365" t="s">
        <v>2129</v>
      </c>
      <c r="BJ31" s="2366" t="s">
        <v>3793</v>
      </c>
      <c r="BK31" s="1158" t="s">
        <v>3937</v>
      </c>
      <c r="BL31" s="1169" t="s">
        <v>2193</v>
      </c>
      <c r="BM31" s="2367" t="s">
        <v>3935</v>
      </c>
      <c r="BN31" s="2368" t="s">
        <v>3874</v>
      </c>
      <c r="BO31" s="2369">
        <v>10</v>
      </c>
      <c r="BP31" s="2370"/>
      <c r="BQ31" s="2370"/>
      <c r="BR31" s="2383"/>
      <c r="BS31" s="2390" t="s">
        <v>3984</v>
      </c>
    </row>
    <row r="32" spans="2:71" ht="21" customHeight="1">
      <c r="B32" s="2299" t="s">
        <v>3791</v>
      </c>
      <c r="C32" s="2300">
        <v>184</v>
      </c>
      <c r="D32" s="1098" t="s">
        <v>3985</v>
      </c>
      <c r="E32" s="1099" t="s">
        <v>2233</v>
      </c>
      <c r="F32" s="1100"/>
      <c r="G32" s="2301"/>
      <c r="H32" s="2302">
        <v>64</v>
      </c>
      <c r="I32" s="2303">
        <v>0.14666666666666667</v>
      </c>
      <c r="J32" s="1101" t="s">
        <v>3986</v>
      </c>
      <c r="K32" s="1102" t="s">
        <v>3714</v>
      </c>
      <c r="L32" s="1102" t="s">
        <v>3711</v>
      </c>
      <c r="M32" s="1102" t="s">
        <v>2602</v>
      </c>
      <c r="N32" s="1102" t="s">
        <v>2602</v>
      </c>
      <c r="O32" s="1102" t="s">
        <v>2602</v>
      </c>
      <c r="P32" s="1102" t="s">
        <v>2602</v>
      </c>
      <c r="Q32" s="1103" t="s">
        <v>2602</v>
      </c>
      <c r="R32" s="1103" t="s">
        <v>2602</v>
      </c>
      <c r="S32" s="1103" t="s">
        <v>2602</v>
      </c>
      <c r="T32" s="1103" t="s">
        <v>2602</v>
      </c>
      <c r="U32" s="1102" t="s">
        <v>2602</v>
      </c>
      <c r="V32" s="1102" t="s">
        <v>2602</v>
      </c>
      <c r="W32" s="1102" t="s">
        <v>2602</v>
      </c>
      <c r="X32" s="1102" t="s">
        <v>2602</v>
      </c>
      <c r="Y32" s="1104" t="s">
        <v>2602</v>
      </c>
      <c r="Z32" s="1105">
        <v>113</v>
      </c>
      <c r="AA32" s="1106">
        <v>113</v>
      </c>
      <c r="AB32" s="1101" t="s">
        <v>3987</v>
      </c>
      <c r="AC32" s="1102" t="s">
        <v>3714</v>
      </c>
      <c r="AD32" s="1102" t="s">
        <v>2721</v>
      </c>
      <c r="AE32" s="1102" t="s">
        <v>2602</v>
      </c>
      <c r="AF32" s="1102" t="s">
        <v>2602</v>
      </c>
      <c r="AG32" s="1102" t="s">
        <v>2602</v>
      </c>
      <c r="AH32" s="1102" t="s">
        <v>2602</v>
      </c>
      <c r="AI32" s="1103" t="s">
        <v>2602</v>
      </c>
      <c r="AJ32" s="1103" t="s">
        <v>2602</v>
      </c>
      <c r="AK32" s="1103" t="s">
        <v>2602</v>
      </c>
      <c r="AL32" s="1103" t="s">
        <v>2602</v>
      </c>
      <c r="AM32" s="1102" t="s">
        <v>2602</v>
      </c>
      <c r="AN32" s="1102" t="s">
        <v>2602</v>
      </c>
      <c r="AO32" s="1102" t="s">
        <v>2602</v>
      </c>
      <c r="AP32" s="1102" t="s">
        <v>2602</v>
      </c>
      <c r="AQ32" s="1104" t="s">
        <v>2602</v>
      </c>
      <c r="AR32" s="1105">
        <v>75</v>
      </c>
      <c r="AS32" s="1106">
        <v>75</v>
      </c>
      <c r="AT32" s="1107">
        <v>0.66371681415929207</v>
      </c>
      <c r="AU32" s="1105" t="s">
        <v>2609</v>
      </c>
      <c r="AV32" s="1108" t="s">
        <v>2610</v>
      </c>
      <c r="AW32" s="1050" t="s">
        <v>2669</v>
      </c>
      <c r="AX32" s="1050" t="s">
        <v>2669</v>
      </c>
      <c r="AY32" s="1105" t="s">
        <v>2133</v>
      </c>
      <c r="AZ32" s="1050" t="s">
        <v>2688</v>
      </c>
      <c r="BA32" s="1108" t="s">
        <v>2688</v>
      </c>
      <c r="BB32" s="1109" t="s">
        <v>2168</v>
      </c>
      <c r="BC32" s="1109" t="s">
        <v>2133</v>
      </c>
      <c r="BD32" s="1050" t="s">
        <v>2723</v>
      </c>
      <c r="BE32" s="1110" t="s">
        <v>2129</v>
      </c>
      <c r="BF32" s="1111" t="s">
        <v>2129</v>
      </c>
      <c r="BG32" s="1111" t="s">
        <v>2129</v>
      </c>
      <c r="BH32" s="1111" t="s">
        <v>2129</v>
      </c>
      <c r="BI32" s="1111" t="s">
        <v>2129</v>
      </c>
      <c r="BJ32" s="2391"/>
      <c r="BK32" s="2392" t="s">
        <v>3827</v>
      </c>
      <c r="BL32" s="2393" t="s">
        <v>3949</v>
      </c>
      <c r="BM32" s="2394" t="s">
        <v>3950</v>
      </c>
      <c r="BN32" s="2395" t="s">
        <v>3951</v>
      </c>
      <c r="BO32" s="2305">
        <v>64</v>
      </c>
      <c r="BP32" s="2320">
        <f>SUM(BO32)</f>
        <v>64</v>
      </c>
      <c r="BQ32" s="2306">
        <v>11</v>
      </c>
      <c r="BR32" s="2393"/>
      <c r="BS32" s="1112"/>
    </row>
    <row r="33" spans="2:71" ht="21" customHeight="1">
      <c r="B33" s="2307" t="s">
        <v>3791</v>
      </c>
      <c r="C33" s="2308">
        <v>188</v>
      </c>
      <c r="D33" s="2309" t="s">
        <v>3948</v>
      </c>
      <c r="E33" s="2310" t="s">
        <v>2171</v>
      </c>
      <c r="F33" s="1161"/>
      <c r="G33" s="2311"/>
      <c r="H33" s="2312">
        <v>60</v>
      </c>
      <c r="I33" s="2313">
        <v>-0.18</v>
      </c>
      <c r="J33" s="1136" t="s">
        <v>3698</v>
      </c>
      <c r="K33" s="1137" t="s">
        <v>2602</v>
      </c>
      <c r="L33" s="1137" t="s">
        <v>2602</v>
      </c>
      <c r="M33" s="1137" t="s">
        <v>3982</v>
      </c>
      <c r="N33" s="1137" t="s">
        <v>2602</v>
      </c>
      <c r="O33" s="1137" t="s">
        <v>2602</v>
      </c>
      <c r="P33" s="1137" t="s">
        <v>2602</v>
      </c>
      <c r="Q33" s="1138" t="s">
        <v>2602</v>
      </c>
      <c r="R33" s="1138" t="s">
        <v>2602</v>
      </c>
      <c r="S33" s="1138" t="s">
        <v>2602</v>
      </c>
      <c r="T33" s="1138" t="s">
        <v>2602</v>
      </c>
      <c r="U33" s="1137" t="s">
        <v>2602</v>
      </c>
      <c r="V33" s="1137" t="s">
        <v>2602</v>
      </c>
      <c r="W33" s="1137" t="s">
        <v>2602</v>
      </c>
      <c r="X33" s="1137" t="s">
        <v>2602</v>
      </c>
      <c r="Y33" s="1139" t="s">
        <v>2602</v>
      </c>
      <c r="Z33" s="1140">
        <v>206</v>
      </c>
      <c r="AA33" s="1141">
        <v>210</v>
      </c>
      <c r="AB33" s="1136" t="s">
        <v>3707</v>
      </c>
      <c r="AC33" s="1137" t="s">
        <v>2602</v>
      </c>
      <c r="AD33" s="1137" t="s">
        <v>2602</v>
      </c>
      <c r="AE33" s="1137" t="s">
        <v>2602</v>
      </c>
      <c r="AF33" s="1137" t="s">
        <v>2602</v>
      </c>
      <c r="AG33" s="1137" t="s">
        <v>2602</v>
      </c>
      <c r="AH33" s="1137" t="s">
        <v>2602</v>
      </c>
      <c r="AI33" s="1138" t="s">
        <v>2602</v>
      </c>
      <c r="AJ33" s="1138" t="s">
        <v>2602</v>
      </c>
      <c r="AK33" s="1138" t="s">
        <v>2602</v>
      </c>
      <c r="AL33" s="1138" t="s">
        <v>2602</v>
      </c>
      <c r="AM33" s="1137" t="s">
        <v>2602</v>
      </c>
      <c r="AN33" s="1137" t="s">
        <v>2602</v>
      </c>
      <c r="AO33" s="1137" t="s">
        <v>2602</v>
      </c>
      <c r="AP33" s="1137" t="s">
        <v>2602</v>
      </c>
      <c r="AQ33" s="1139" t="s">
        <v>2602</v>
      </c>
      <c r="AR33" s="1140">
        <v>50</v>
      </c>
      <c r="AS33" s="1141">
        <v>50</v>
      </c>
      <c r="AT33" s="1142">
        <v>0.24271844660194175</v>
      </c>
      <c r="AU33" s="1140" t="s">
        <v>2609</v>
      </c>
      <c r="AV33" s="1143" t="s">
        <v>2610</v>
      </c>
      <c r="AW33" s="1144">
        <v>0</v>
      </c>
      <c r="AX33" s="1144">
        <v>0</v>
      </c>
      <c r="AY33" s="1140" t="s">
        <v>2133</v>
      </c>
      <c r="AZ33" s="1144" t="s">
        <v>2688</v>
      </c>
      <c r="BA33" s="1143" t="s">
        <v>2688</v>
      </c>
      <c r="BB33" s="1159" t="s">
        <v>2168</v>
      </c>
      <c r="BC33" s="1159" t="s">
        <v>2133</v>
      </c>
      <c r="BD33" s="1144" t="s">
        <v>2723</v>
      </c>
      <c r="BE33" s="2314" t="s">
        <v>2129</v>
      </c>
      <c r="BF33" s="2315" t="s">
        <v>2129</v>
      </c>
      <c r="BG33" s="2315" t="s">
        <v>2129</v>
      </c>
      <c r="BH33" s="2315" t="s">
        <v>2129</v>
      </c>
      <c r="BI33" s="2315" t="s">
        <v>2129</v>
      </c>
      <c r="BJ33" s="2374" t="s">
        <v>3793</v>
      </c>
      <c r="BK33" s="1162" t="s">
        <v>3806</v>
      </c>
      <c r="BL33" s="2384" t="s">
        <v>3859</v>
      </c>
      <c r="BM33" s="2317" t="s">
        <v>3947</v>
      </c>
      <c r="BN33" s="2318" t="s">
        <v>3838</v>
      </c>
      <c r="BO33" s="2319">
        <v>60</v>
      </c>
      <c r="BP33" s="2320">
        <f>SUM(BO33:BO36)</f>
        <v>89</v>
      </c>
      <c r="BQ33" s="2320">
        <v>11</v>
      </c>
      <c r="BR33" s="2396"/>
      <c r="BS33" s="2322" t="s">
        <v>3988</v>
      </c>
    </row>
    <row r="34" spans="2:71" ht="23.15" customHeight="1">
      <c r="B34" s="2323" t="s">
        <v>3791</v>
      </c>
      <c r="C34" s="2324">
        <v>188</v>
      </c>
      <c r="D34" s="2325" t="s">
        <v>3948</v>
      </c>
      <c r="E34" s="2326" t="s">
        <v>2171</v>
      </c>
      <c r="F34" s="2327"/>
      <c r="G34" s="2328"/>
      <c r="H34" s="2379">
        <v>29</v>
      </c>
      <c r="I34" s="2330">
        <v>-0.18</v>
      </c>
      <c r="J34" s="2331" t="s">
        <v>3698</v>
      </c>
      <c r="K34" s="2332" t="s">
        <v>2602</v>
      </c>
      <c r="L34" s="2332" t="s">
        <v>2602</v>
      </c>
      <c r="M34" s="2332" t="s">
        <v>3982</v>
      </c>
      <c r="N34" s="2332" t="s">
        <v>2602</v>
      </c>
      <c r="O34" s="2332" t="s">
        <v>2602</v>
      </c>
      <c r="P34" s="2332" t="s">
        <v>2602</v>
      </c>
      <c r="Q34" s="2333" t="s">
        <v>2602</v>
      </c>
      <c r="R34" s="2333" t="s">
        <v>2602</v>
      </c>
      <c r="S34" s="2333" t="s">
        <v>2602</v>
      </c>
      <c r="T34" s="2333" t="s">
        <v>2602</v>
      </c>
      <c r="U34" s="2332" t="s">
        <v>2602</v>
      </c>
      <c r="V34" s="2332" t="s">
        <v>2602</v>
      </c>
      <c r="W34" s="2332" t="s">
        <v>2602</v>
      </c>
      <c r="X34" s="2332" t="s">
        <v>2602</v>
      </c>
      <c r="Y34" s="2334" t="s">
        <v>2602</v>
      </c>
      <c r="Z34" s="2327">
        <v>206</v>
      </c>
      <c r="AA34" s="2335">
        <v>210</v>
      </c>
      <c r="AB34" s="2331" t="s">
        <v>3707</v>
      </c>
      <c r="AC34" s="2332" t="s">
        <v>2602</v>
      </c>
      <c r="AD34" s="2332" t="s">
        <v>2602</v>
      </c>
      <c r="AE34" s="2332" t="s">
        <v>2602</v>
      </c>
      <c r="AF34" s="2332" t="s">
        <v>2602</v>
      </c>
      <c r="AG34" s="2332" t="s">
        <v>2602</v>
      </c>
      <c r="AH34" s="2332" t="s">
        <v>2602</v>
      </c>
      <c r="AI34" s="2333" t="s">
        <v>2602</v>
      </c>
      <c r="AJ34" s="2333" t="s">
        <v>2602</v>
      </c>
      <c r="AK34" s="2333" t="s">
        <v>2602</v>
      </c>
      <c r="AL34" s="2333" t="s">
        <v>2602</v>
      </c>
      <c r="AM34" s="2332" t="s">
        <v>2602</v>
      </c>
      <c r="AN34" s="2332" t="s">
        <v>2602</v>
      </c>
      <c r="AO34" s="2332" t="s">
        <v>2602</v>
      </c>
      <c r="AP34" s="2332" t="s">
        <v>2602</v>
      </c>
      <c r="AQ34" s="2334" t="s">
        <v>2602</v>
      </c>
      <c r="AR34" s="2327">
        <v>50</v>
      </c>
      <c r="AS34" s="2335">
        <v>50</v>
      </c>
      <c r="AT34" s="2336">
        <v>0.24271844660194175</v>
      </c>
      <c r="AU34" s="2327" t="s">
        <v>2609</v>
      </c>
      <c r="AV34" s="2337" t="s">
        <v>2610</v>
      </c>
      <c r="AW34" s="2338">
        <v>0</v>
      </c>
      <c r="AX34" s="2338">
        <v>0</v>
      </c>
      <c r="AY34" s="1145" t="s">
        <v>2133</v>
      </c>
      <c r="AZ34" s="1147" t="s">
        <v>2688</v>
      </c>
      <c r="BA34" s="1146" t="s">
        <v>2688</v>
      </c>
      <c r="BB34" s="1151" t="s">
        <v>2168</v>
      </c>
      <c r="BC34" s="1151" t="s">
        <v>2133</v>
      </c>
      <c r="BD34" s="1147" t="s">
        <v>2723</v>
      </c>
      <c r="BE34" s="2339" t="s">
        <v>2129</v>
      </c>
      <c r="BF34" s="2340" t="s">
        <v>2129</v>
      </c>
      <c r="BG34" s="2340" t="s">
        <v>2129</v>
      </c>
      <c r="BH34" s="2340" t="s">
        <v>2129</v>
      </c>
      <c r="BI34" s="2340" t="s">
        <v>2129</v>
      </c>
      <c r="BJ34" s="2376" t="s">
        <v>3793</v>
      </c>
      <c r="BK34" s="1157" t="s">
        <v>3794</v>
      </c>
      <c r="BL34" s="1168" t="s">
        <v>3795</v>
      </c>
      <c r="BM34" s="2342" t="s">
        <v>3796</v>
      </c>
      <c r="BN34" s="2343" t="s">
        <v>3071</v>
      </c>
      <c r="BO34" s="2344">
        <v>29</v>
      </c>
      <c r="BP34" s="2345"/>
      <c r="BQ34" s="2345"/>
      <c r="BR34" s="2397"/>
      <c r="BS34" s="2347" t="s">
        <v>3989</v>
      </c>
    </row>
    <row r="35" spans="2:71" ht="23.15" customHeight="1">
      <c r="B35" s="2323" t="s">
        <v>3791</v>
      </c>
      <c r="C35" s="2324">
        <v>188</v>
      </c>
      <c r="D35" s="2325" t="s">
        <v>3948</v>
      </c>
      <c r="E35" s="2326" t="s">
        <v>2171</v>
      </c>
      <c r="F35" s="2327"/>
      <c r="G35" s="2328"/>
      <c r="H35" s="2379"/>
      <c r="I35" s="2330">
        <v>-0.18</v>
      </c>
      <c r="J35" s="2331" t="s">
        <v>3698</v>
      </c>
      <c r="K35" s="2332" t="s">
        <v>2602</v>
      </c>
      <c r="L35" s="2332" t="s">
        <v>2602</v>
      </c>
      <c r="M35" s="2332" t="s">
        <v>3982</v>
      </c>
      <c r="N35" s="2332" t="s">
        <v>2602</v>
      </c>
      <c r="O35" s="2332" t="s">
        <v>2602</v>
      </c>
      <c r="P35" s="2332" t="s">
        <v>2602</v>
      </c>
      <c r="Q35" s="2333" t="s">
        <v>2602</v>
      </c>
      <c r="R35" s="2333" t="s">
        <v>2602</v>
      </c>
      <c r="S35" s="2333" t="s">
        <v>2602</v>
      </c>
      <c r="T35" s="2333" t="s">
        <v>2602</v>
      </c>
      <c r="U35" s="2332" t="s">
        <v>2602</v>
      </c>
      <c r="V35" s="2332" t="s">
        <v>2602</v>
      </c>
      <c r="W35" s="2332" t="s">
        <v>2602</v>
      </c>
      <c r="X35" s="2332" t="s">
        <v>2602</v>
      </c>
      <c r="Y35" s="2334" t="s">
        <v>2602</v>
      </c>
      <c r="Z35" s="2327">
        <v>206</v>
      </c>
      <c r="AA35" s="2335">
        <v>210</v>
      </c>
      <c r="AB35" s="2331" t="s">
        <v>3707</v>
      </c>
      <c r="AC35" s="2332" t="s">
        <v>2602</v>
      </c>
      <c r="AD35" s="2332" t="s">
        <v>2602</v>
      </c>
      <c r="AE35" s="2332" t="s">
        <v>2602</v>
      </c>
      <c r="AF35" s="2332" t="s">
        <v>2602</v>
      </c>
      <c r="AG35" s="2332" t="s">
        <v>2602</v>
      </c>
      <c r="AH35" s="2332" t="s">
        <v>2602</v>
      </c>
      <c r="AI35" s="2333" t="s">
        <v>2602</v>
      </c>
      <c r="AJ35" s="2333" t="s">
        <v>2602</v>
      </c>
      <c r="AK35" s="2333" t="s">
        <v>2602</v>
      </c>
      <c r="AL35" s="2333" t="s">
        <v>2602</v>
      </c>
      <c r="AM35" s="2332" t="s">
        <v>2602</v>
      </c>
      <c r="AN35" s="2332" t="s">
        <v>2602</v>
      </c>
      <c r="AO35" s="2332" t="s">
        <v>2602</v>
      </c>
      <c r="AP35" s="2332" t="s">
        <v>2602</v>
      </c>
      <c r="AQ35" s="2334" t="s">
        <v>2602</v>
      </c>
      <c r="AR35" s="2327">
        <v>50</v>
      </c>
      <c r="AS35" s="2335">
        <v>50</v>
      </c>
      <c r="AT35" s="2336">
        <v>0.24271844660194175</v>
      </c>
      <c r="AU35" s="2327" t="s">
        <v>2609</v>
      </c>
      <c r="AV35" s="2337" t="s">
        <v>2610</v>
      </c>
      <c r="AW35" s="2338">
        <v>0</v>
      </c>
      <c r="AX35" s="2338">
        <v>0</v>
      </c>
      <c r="AY35" s="1145" t="s">
        <v>2133</v>
      </c>
      <c r="AZ35" s="1147" t="s">
        <v>2688</v>
      </c>
      <c r="BA35" s="1146" t="s">
        <v>2688</v>
      </c>
      <c r="BB35" s="1151" t="s">
        <v>2168</v>
      </c>
      <c r="BC35" s="1151" t="s">
        <v>2133</v>
      </c>
      <c r="BD35" s="1147" t="s">
        <v>2723</v>
      </c>
      <c r="BE35" s="2339" t="s">
        <v>2129</v>
      </c>
      <c r="BF35" s="2340" t="s">
        <v>2129</v>
      </c>
      <c r="BG35" s="2340" t="s">
        <v>2129</v>
      </c>
      <c r="BH35" s="2340" t="s">
        <v>2129</v>
      </c>
      <c r="BI35" s="2340" t="s">
        <v>2129</v>
      </c>
      <c r="BJ35" s="2376" t="s">
        <v>3793</v>
      </c>
      <c r="BK35" s="1157" t="s">
        <v>3794</v>
      </c>
      <c r="BL35" s="1168" t="s">
        <v>3799</v>
      </c>
      <c r="BM35" s="2342" t="s">
        <v>3796</v>
      </c>
      <c r="BN35" s="2343" t="s">
        <v>3071</v>
      </c>
      <c r="BO35" s="2344"/>
      <c r="BP35" s="2345"/>
      <c r="BQ35" s="2345"/>
      <c r="BR35" s="2397"/>
      <c r="BS35" s="2347" t="s">
        <v>3989</v>
      </c>
    </row>
    <row r="36" spans="2:71" ht="23.15" customHeight="1">
      <c r="B36" s="2348" t="s">
        <v>3791</v>
      </c>
      <c r="C36" s="2349">
        <v>188</v>
      </c>
      <c r="D36" s="2350" t="s">
        <v>3948</v>
      </c>
      <c r="E36" s="2351" t="s">
        <v>2171</v>
      </c>
      <c r="F36" s="2352"/>
      <c r="G36" s="2353"/>
      <c r="H36" s="2398"/>
      <c r="I36" s="2355">
        <v>-0.18</v>
      </c>
      <c r="J36" s="2356" t="s">
        <v>3698</v>
      </c>
      <c r="K36" s="2357" t="s">
        <v>2602</v>
      </c>
      <c r="L36" s="2357" t="s">
        <v>2602</v>
      </c>
      <c r="M36" s="2357" t="s">
        <v>3982</v>
      </c>
      <c r="N36" s="2357" t="s">
        <v>2602</v>
      </c>
      <c r="O36" s="2357" t="s">
        <v>2602</v>
      </c>
      <c r="P36" s="2357" t="s">
        <v>2602</v>
      </c>
      <c r="Q36" s="2358" t="s">
        <v>2602</v>
      </c>
      <c r="R36" s="2358" t="s">
        <v>2602</v>
      </c>
      <c r="S36" s="2358" t="s">
        <v>2602</v>
      </c>
      <c r="T36" s="2358" t="s">
        <v>2602</v>
      </c>
      <c r="U36" s="2357" t="s">
        <v>2602</v>
      </c>
      <c r="V36" s="2357" t="s">
        <v>2602</v>
      </c>
      <c r="W36" s="2357" t="s">
        <v>2602</v>
      </c>
      <c r="X36" s="2357" t="s">
        <v>2602</v>
      </c>
      <c r="Y36" s="2359" t="s">
        <v>2602</v>
      </c>
      <c r="Z36" s="2352">
        <v>206</v>
      </c>
      <c r="AA36" s="2360">
        <v>210</v>
      </c>
      <c r="AB36" s="2356" t="s">
        <v>3707</v>
      </c>
      <c r="AC36" s="2357" t="s">
        <v>2602</v>
      </c>
      <c r="AD36" s="2357" t="s">
        <v>2602</v>
      </c>
      <c r="AE36" s="2357" t="s">
        <v>2602</v>
      </c>
      <c r="AF36" s="2357" t="s">
        <v>2602</v>
      </c>
      <c r="AG36" s="2357" t="s">
        <v>2602</v>
      </c>
      <c r="AH36" s="2357" t="s">
        <v>2602</v>
      </c>
      <c r="AI36" s="2358" t="s">
        <v>2602</v>
      </c>
      <c r="AJ36" s="2358" t="s">
        <v>2602</v>
      </c>
      <c r="AK36" s="2358" t="s">
        <v>2602</v>
      </c>
      <c r="AL36" s="2358" t="s">
        <v>2602</v>
      </c>
      <c r="AM36" s="2357" t="s">
        <v>2602</v>
      </c>
      <c r="AN36" s="2357" t="s">
        <v>2602</v>
      </c>
      <c r="AO36" s="2357" t="s">
        <v>2602</v>
      </c>
      <c r="AP36" s="2357" t="s">
        <v>2602</v>
      </c>
      <c r="AQ36" s="2359" t="s">
        <v>2602</v>
      </c>
      <c r="AR36" s="2352">
        <v>50</v>
      </c>
      <c r="AS36" s="2360">
        <v>50</v>
      </c>
      <c r="AT36" s="2361">
        <v>0.24271844660194175</v>
      </c>
      <c r="AU36" s="2352" t="s">
        <v>2609</v>
      </c>
      <c r="AV36" s="2362" t="s">
        <v>2610</v>
      </c>
      <c r="AW36" s="2363">
        <v>0</v>
      </c>
      <c r="AX36" s="2363">
        <v>0</v>
      </c>
      <c r="AY36" s="1148" t="s">
        <v>2133</v>
      </c>
      <c r="AZ36" s="1150" t="s">
        <v>2688</v>
      </c>
      <c r="BA36" s="1149" t="s">
        <v>2688</v>
      </c>
      <c r="BB36" s="1155" t="s">
        <v>2168</v>
      </c>
      <c r="BC36" s="1155" t="s">
        <v>2133</v>
      </c>
      <c r="BD36" s="1150" t="s">
        <v>2723</v>
      </c>
      <c r="BE36" s="2364" t="s">
        <v>2129</v>
      </c>
      <c r="BF36" s="2365" t="s">
        <v>2129</v>
      </c>
      <c r="BG36" s="2365" t="s">
        <v>2129</v>
      </c>
      <c r="BH36" s="2365" t="s">
        <v>2129</v>
      </c>
      <c r="BI36" s="2365" t="s">
        <v>2129</v>
      </c>
      <c r="BJ36" s="2399" t="s">
        <v>3793</v>
      </c>
      <c r="BK36" s="1163" t="s">
        <v>3794</v>
      </c>
      <c r="BL36" s="1169" t="s">
        <v>3800</v>
      </c>
      <c r="BM36" s="2367" t="s">
        <v>3796</v>
      </c>
      <c r="BN36" s="2368" t="s">
        <v>3071</v>
      </c>
      <c r="BO36" s="2369"/>
      <c r="BP36" s="2370"/>
      <c r="BQ36" s="2370"/>
      <c r="BR36" s="2400"/>
      <c r="BS36" s="2372" t="s">
        <v>3989</v>
      </c>
    </row>
    <row r="37" spans="2:71" ht="21" customHeight="1">
      <c r="B37" s="2401" t="s">
        <v>3791</v>
      </c>
      <c r="C37" s="2300">
        <v>189</v>
      </c>
      <c r="D37" s="1098" t="s">
        <v>3839</v>
      </c>
      <c r="E37" s="1099" t="s">
        <v>2171</v>
      </c>
      <c r="F37" s="1100"/>
      <c r="G37" s="2301"/>
      <c r="H37" s="2302">
        <v>65</v>
      </c>
      <c r="I37" s="2303">
        <v>-0.625</v>
      </c>
      <c r="J37" s="1101" t="s">
        <v>2602</v>
      </c>
      <c r="K37" s="1102" t="s">
        <v>3990</v>
      </c>
      <c r="L37" s="1102" t="s">
        <v>2602</v>
      </c>
      <c r="M37" s="1102" t="s">
        <v>2608</v>
      </c>
      <c r="N37" s="1102" t="s">
        <v>2602</v>
      </c>
      <c r="O37" s="1102" t="s">
        <v>2602</v>
      </c>
      <c r="P37" s="1102" t="s">
        <v>2602</v>
      </c>
      <c r="Q37" s="1103" t="s">
        <v>2602</v>
      </c>
      <c r="R37" s="1103" t="s">
        <v>2602</v>
      </c>
      <c r="S37" s="1103" t="s">
        <v>2602</v>
      </c>
      <c r="T37" s="1103" t="s">
        <v>2602</v>
      </c>
      <c r="U37" s="1102" t="s">
        <v>2602</v>
      </c>
      <c r="V37" s="1102" t="s">
        <v>2602</v>
      </c>
      <c r="W37" s="1102" t="s">
        <v>2602</v>
      </c>
      <c r="X37" s="1102" t="s">
        <v>2602</v>
      </c>
      <c r="Y37" s="1104" t="s">
        <v>2602</v>
      </c>
      <c r="Z37" s="1105">
        <v>135</v>
      </c>
      <c r="AA37" s="1106">
        <v>144</v>
      </c>
      <c r="AB37" s="1101" t="s">
        <v>2602</v>
      </c>
      <c r="AC37" s="1102" t="s">
        <v>3712</v>
      </c>
      <c r="AD37" s="1102" t="s">
        <v>2602</v>
      </c>
      <c r="AE37" s="1102" t="s">
        <v>2602</v>
      </c>
      <c r="AF37" s="1102" t="s">
        <v>2602</v>
      </c>
      <c r="AG37" s="1102" t="s">
        <v>2602</v>
      </c>
      <c r="AH37" s="1102" t="s">
        <v>2602</v>
      </c>
      <c r="AI37" s="1103" t="s">
        <v>2602</v>
      </c>
      <c r="AJ37" s="1103" t="s">
        <v>2602</v>
      </c>
      <c r="AK37" s="1103" t="s">
        <v>2602</v>
      </c>
      <c r="AL37" s="1103" t="s">
        <v>2602</v>
      </c>
      <c r="AM37" s="1102" t="s">
        <v>2602</v>
      </c>
      <c r="AN37" s="1102" t="s">
        <v>2602</v>
      </c>
      <c r="AO37" s="1102" t="s">
        <v>2602</v>
      </c>
      <c r="AP37" s="1102" t="s">
        <v>2602</v>
      </c>
      <c r="AQ37" s="1104" t="s">
        <v>2602</v>
      </c>
      <c r="AR37" s="1105">
        <v>40</v>
      </c>
      <c r="AS37" s="1106">
        <v>40</v>
      </c>
      <c r="AT37" s="1107">
        <v>0.29629629629629628</v>
      </c>
      <c r="AU37" s="1105" t="s">
        <v>2609</v>
      </c>
      <c r="AV37" s="1108" t="s">
        <v>2610</v>
      </c>
      <c r="AW37" s="1050">
        <v>0</v>
      </c>
      <c r="AX37" s="1050">
        <v>0</v>
      </c>
      <c r="AY37" s="1105" t="s">
        <v>2133</v>
      </c>
      <c r="AZ37" s="1050" t="s">
        <v>2688</v>
      </c>
      <c r="BA37" s="1108" t="s">
        <v>2688</v>
      </c>
      <c r="BB37" s="1109" t="s">
        <v>2168</v>
      </c>
      <c r="BC37" s="1109" t="s">
        <v>2133</v>
      </c>
      <c r="BD37" s="1050" t="s">
        <v>2723</v>
      </c>
      <c r="BE37" s="1110" t="s">
        <v>2129</v>
      </c>
      <c r="BF37" s="1111" t="s">
        <v>2129</v>
      </c>
      <c r="BG37" s="1111" t="s">
        <v>2129</v>
      </c>
      <c r="BH37" s="1111" t="s">
        <v>2129</v>
      </c>
      <c r="BI37" s="1111" t="s">
        <v>2133</v>
      </c>
      <c r="BJ37" s="2304" t="s">
        <v>3788</v>
      </c>
      <c r="BK37" s="1170" t="s">
        <v>3835</v>
      </c>
      <c r="BL37" s="1134" t="s">
        <v>3836</v>
      </c>
      <c r="BM37" s="2394" t="s">
        <v>3837</v>
      </c>
      <c r="BN37" s="2395" t="s">
        <v>3838</v>
      </c>
      <c r="BO37" s="2305">
        <v>65</v>
      </c>
      <c r="BP37" s="2320">
        <f>SUM(BO37)</f>
        <v>65</v>
      </c>
      <c r="BQ37" s="2306">
        <v>11</v>
      </c>
      <c r="BR37" s="2393"/>
      <c r="BS37" s="2402" t="s">
        <v>3984</v>
      </c>
    </row>
    <row r="38" spans="2:71" ht="21" customHeight="1">
      <c r="B38" s="2299" t="s">
        <v>3791</v>
      </c>
      <c r="C38" s="2300">
        <v>200</v>
      </c>
      <c r="D38" s="1098" t="s">
        <v>3809</v>
      </c>
      <c r="E38" s="1099" t="s">
        <v>2256</v>
      </c>
      <c r="F38" s="1100"/>
      <c r="G38" s="2301"/>
      <c r="H38" s="2302">
        <v>31</v>
      </c>
      <c r="I38" s="2303">
        <v>0.76190476190476186</v>
      </c>
      <c r="J38" s="1101" t="s">
        <v>2602</v>
      </c>
      <c r="K38" s="1102" t="s">
        <v>3991</v>
      </c>
      <c r="L38" s="1102" t="s">
        <v>2721</v>
      </c>
      <c r="M38" s="1102" t="s">
        <v>3982</v>
      </c>
      <c r="N38" s="1102" t="s">
        <v>2602</v>
      </c>
      <c r="O38" s="1102" t="s">
        <v>2602</v>
      </c>
      <c r="P38" s="1102" t="s">
        <v>2602</v>
      </c>
      <c r="Q38" s="1103" t="s">
        <v>2602</v>
      </c>
      <c r="R38" s="1103" t="s">
        <v>2602</v>
      </c>
      <c r="S38" s="1103" t="s">
        <v>2602</v>
      </c>
      <c r="T38" s="1103" t="s">
        <v>2602</v>
      </c>
      <c r="U38" s="1102" t="s">
        <v>2602</v>
      </c>
      <c r="V38" s="1102" t="s">
        <v>2602</v>
      </c>
      <c r="W38" s="1102" t="s">
        <v>2602</v>
      </c>
      <c r="X38" s="1102" t="s">
        <v>2602</v>
      </c>
      <c r="Y38" s="1104" t="s">
        <v>2602</v>
      </c>
      <c r="Z38" s="1105">
        <v>122</v>
      </c>
      <c r="AA38" s="1106">
        <v>126</v>
      </c>
      <c r="AB38" s="1101" t="s">
        <v>2602</v>
      </c>
      <c r="AC38" s="1102" t="s">
        <v>3991</v>
      </c>
      <c r="AD38" s="1102" t="s">
        <v>2721</v>
      </c>
      <c r="AE38" s="1102" t="s">
        <v>3982</v>
      </c>
      <c r="AF38" s="1102" t="s">
        <v>2602</v>
      </c>
      <c r="AG38" s="1102" t="s">
        <v>2602</v>
      </c>
      <c r="AH38" s="1102" t="s">
        <v>2602</v>
      </c>
      <c r="AI38" s="1103" t="s">
        <v>2602</v>
      </c>
      <c r="AJ38" s="1103" t="s">
        <v>2602</v>
      </c>
      <c r="AK38" s="1103" t="s">
        <v>2602</v>
      </c>
      <c r="AL38" s="1103" t="s">
        <v>2602</v>
      </c>
      <c r="AM38" s="1102" t="s">
        <v>2602</v>
      </c>
      <c r="AN38" s="1102" t="s">
        <v>2602</v>
      </c>
      <c r="AO38" s="1102" t="s">
        <v>2602</v>
      </c>
      <c r="AP38" s="1102" t="s">
        <v>2602</v>
      </c>
      <c r="AQ38" s="1104" t="s">
        <v>2602</v>
      </c>
      <c r="AR38" s="1105">
        <v>122</v>
      </c>
      <c r="AS38" s="1106">
        <v>126</v>
      </c>
      <c r="AT38" s="1107">
        <v>1</v>
      </c>
      <c r="AU38" s="1105" t="s">
        <v>2610</v>
      </c>
      <c r="AV38" s="1108" t="s">
        <v>2610</v>
      </c>
      <c r="AW38" s="1050">
        <v>0</v>
      </c>
      <c r="AX38" s="1050">
        <v>0</v>
      </c>
      <c r="AY38" s="1105" t="s">
        <v>2133</v>
      </c>
      <c r="AZ38" s="1050" t="s">
        <v>2688</v>
      </c>
      <c r="BA38" s="1108" t="s">
        <v>2688</v>
      </c>
      <c r="BB38" s="1109" t="s">
        <v>2702</v>
      </c>
      <c r="BC38" s="1109" t="s">
        <v>2133</v>
      </c>
      <c r="BD38" s="1050" t="s">
        <v>2723</v>
      </c>
      <c r="BE38" s="1110" t="s">
        <v>2129</v>
      </c>
      <c r="BF38" s="1111" t="s">
        <v>2129</v>
      </c>
      <c r="BG38" s="1111" t="s">
        <v>2129</v>
      </c>
      <c r="BH38" s="1111" t="s">
        <v>2129</v>
      </c>
      <c r="BI38" s="1111" t="s">
        <v>2129</v>
      </c>
      <c r="BJ38" s="2304" t="s">
        <v>3788</v>
      </c>
      <c r="BK38" s="1170" t="s">
        <v>3806</v>
      </c>
      <c r="BL38" s="2403" t="s">
        <v>3807</v>
      </c>
      <c r="BM38" s="2394" t="s">
        <v>3808</v>
      </c>
      <c r="BN38" s="2395" t="s">
        <v>2944</v>
      </c>
      <c r="BO38" s="2305">
        <v>51</v>
      </c>
      <c r="BP38" s="2320">
        <f>SUM(BO38)</f>
        <v>51</v>
      </c>
      <c r="BQ38" s="2306">
        <v>11</v>
      </c>
      <c r="BR38" s="2393"/>
      <c r="BS38" s="1112"/>
    </row>
    <row r="39" spans="2:71" ht="21" customHeight="1">
      <c r="B39" s="2299" t="s">
        <v>3791</v>
      </c>
      <c r="C39" s="2300">
        <v>211</v>
      </c>
      <c r="D39" s="1098" t="s">
        <v>3992</v>
      </c>
      <c r="E39" s="1099" t="s">
        <v>2256</v>
      </c>
      <c r="F39" s="1100"/>
      <c r="G39" s="2301"/>
      <c r="H39" s="2302">
        <v>67</v>
      </c>
      <c r="I39" s="2303">
        <v>-1.7916666666666667</v>
      </c>
      <c r="J39" s="1101" t="s">
        <v>3993</v>
      </c>
      <c r="K39" s="1102" t="s">
        <v>2602</v>
      </c>
      <c r="L39" s="1102" t="s">
        <v>3994</v>
      </c>
      <c r="M39" s="1102" t="s">
        <v>2602</v>
      </c>
      <c r="N39" s="1102" t="s">
        <v>2602</v>
      </c>
      <c r="O39" s="1102" t="s">
        <v>2602</v>
      </c>
      <c r="P39" s="1102" t="s">
        <v>2602</v>
      </c>
      <c r="Q39" s="1103" t="s">
        <v>3995</v>
      </c>
      <c r="R39" s="1103" t="s">
        <v>3718</v>
      </c>
      <c r="S39" s="1103" t="s">
        <v>2602</v>
      </c>
      <c r="T39" s="1103" t="s">
        <v>2602</v>
      </c>
      <c r="U39" s="1102" t="s">
        <v>2602</v>
      </c>
      <c r="V39" s="1102" t="s">
        <v>2602</v>
      </c>
      <c r="W39" s="1102" t="s">
        <v>2602</v>
      </c>
      <c r="X39" s="1102" t="s">
        <v>2602</v>
      </c>
      <c r="Y39" s="1104" t="s">
        <v>2602</v>
      </c>
      <c r="Z39" s="1105">
        <v>68</v>
      </c>
      <c r="AA39" s="1106">
        <v>59</v>
      </c>
      <c r="AB39" s="1101" t="s">
        <v>3715</v>
      </c>
      <c r="AC39" s="1102" t="s">
        <v>2602</v>
      </c>
      <c r="AD39" s="1102" t="s">
        <v>3721</v>
      </c>
      <c r="AE39" s="1102" t="s">
        <v>2602</v>
      </c>
      <c r="AF39" s="1102" t="s">
        <v>2602</v>
      </c>
      <c r="AG39" s="1102" t="s">
        <v>2602</v>
      </c>
      <c r="AH39" s="1102" t="s">
        <v>2602</v>
      </c>
      <c r="AI39" s="1103" t="s">
        <v>3718</v>
      </c>
      <c r="AJ39" s="1103" t="s">
        <v>2602</v>
      </c>
      <c r="AK39" s="1103" t="s">
        <v>2602</v>
      </c>
      <c r="AL39" s="1103" t="s">
        <v>2602</v>
      </c>
      <c r="AM39" s="1102" t="s">
        <v>2602</v>
      </c>
      <c r="AN39" s="1102" t="s">
        <v>2602</v>
      </c>
      <c r="AO39" s="1102" t="s">
        <v>2602</v>
      </c>
      <c r="AP39" s="1102" t="s">
        <v>2602</v>
      </c>
      <c r="AQ39" s="1104" t="s">
        <v>2602</v>
      </c>
      <c r="AR39" s="1105">
        <v>26</v>
      </c>
      <c r="AS39" s="1106">
        <v>24</v>
      </c>
      <c r="AT39" s="1107">
        <v>0.38235294117647056</v>
      </c>
      <c r="AU39" s="1105" t="s">
        <v>2610</v>
      </c>
      <c r="AV39" s="1108" t="s">
        <v>2610</v>
      </c>
      <c r="AW39" s="1050">
        <v>4</v>
      </c>
      <c r="AX39" s="1050">
        <v>4</v>
      </c>
      <c r="AY39" s="1105" t="s">
        <v>2133</v>
      </c>
      <c r="AZ39" s="1050" t="s">
        <v>2133</v>
      </c>
      <c r="BA39" s="1108" t="s">
        <v>2133</v>
      </c>
      <c r="BB39" s="1109" t="s">
        <v>2274</v>
      </c>
      <c r="BC39" s="1109" t="s">
        <v>2133</v>
      </c>
      <c r="BD39" s="1050" t="s">
        <v>2133</v>
      </c>
      <c r="BE39" s="1110" t="s">
        <v>2129</v>
      </c>
      <c r="BF39" s="1111" t="s">
        <v>2129</v>
      </c>
      <c r="BG39" s="1111" t="s">
        <v>2129</v>
      </c>
      <c r="BH39" s="1111" t="s">
        <v>2129</v>
      </c>
      <c r="BI39" s="1111" t="s">
        <v>2129</v>
      </c>
      <c r="BJ39" s="2404" t="s">
        <v>3793</v>
      </c>
      <c r="BK39" s="1132" t="s">
        <v>3901</v>
      </c>
      <c r="BL39" s="2393" t="s">
        <v>3902</v>
      </c>
      <c r="BM39" s="2394" t="s">
        <v>3903</v>
      </c>
      <c r="BN39" s="2395" t="s">
        <v>2944</v>
      </c>
      <c r="BO39" s="2305">
        <v>67</v>
      </c>
      <c r="BP39" s="2320">
        <f>SUM(BO39)</f>
        <v>67</v>
      </c>
      <c r="BQ39" s="2306">
        <v>11</v>
      </c>
      <c r="BR39" s="2403"/>
      <c r="BS39" s="2402" t="s">
        <v>3996</v>
      </c>
    </row>
    <row r="40" spans="2:71" ht="21" customHeight="1">
      <c r="B40" s="2373" t="s">
        <v>3791</v>
      </c>
      <c r="C40" s="2308">
        <v>212</v>
      </c>
      <c r="D40" s="2309" t="s">
        <v>3910</v>
      </c>
      <c r="E40" s="2310" t="s">
        <v>2256</v>
      </c>
      <c r="F40" s="1161"/>
      <c r="G40" s="2311"/>
      <c r="H40" s="2312">
        <v>45</v>
      </c>
      <c r="I40" s="2313">
        <v>-0.15662650602409639</v>
      </c>
      <c r="J40" s="1136" t="s">
        <v>3997</v>
      </c>
      <c r="K40" s="1137" t="s">
        <v>3998</v>
      </c>
      <c r="L40" s="1137" t="s">
        <v>3999</v>
      </c>
      <c r="M40" s="1137" t="s">
        <v>2602</v>
      </c>
      <c r="N40" s="1137" t="s">
        <v>2602</v>
      </c>
      <c r="O40" s="1137" t="s">
        <v>2602</v>
      </c>
      <c r="P40" s="1137" t="s">
        <v>2602</v>
      </c>
      <c r="Q40" s="1138" t="s">
        <v>2602</v>
      </c>
      <c r="R40" s="1138" t="s">
        <v>2602</v>
      </c>
      <c r="S40" s="1138" t="s">
        <v>2602</v>
      </c>
      <c r="T40" s="1138" t="s">
        <v>2602</v>
      </c>
      <c r="U40" s="1137" t="s">
        <v>2602</v>
      </c>
      <c r="V40" s="1137" t="s">
        <v>2602</v>
      </c>
      <c r="W40" s="1137" t="s">
        <v>2602</v>
      </c>
      <c r="X40" s="1137" t="s">
        <v>2602</v>
      </c>
      <c r="Y40" s="1139" t="s">
        <v>2602</v>
      </c>
      <c r="Z40" s="1140">
        <v>151</v>
      </c>
      <c r="AA40" s="1141">
        <v>151</v>
      </c>
      <c r="AB40" s="1136" t="s">
        <v>2727</v>
      </c>
      <c r="AC40" s="1137" t="s">
        <v>4000</v>
      </c>
      <c r="AD40" s="1137" t="s">
        <v>2731</v>
      </c>
      <c r="AE40" s="1137" t="s">
        <v>2602</v>
      </c>
      <c r="AF40" s="1137" t="s">
        <v>2602</v>
      </c>
      <c r="AG40" s="1137" t="s">
        <v>2602</v>
      </c>
      <c r="AH40" s="1137" t="s">
        <v>2602</v>
      </c>
      <c r="AI40" s="1138" t="s">
        <v>2602</v>
      </c>
      <c r="AJ40" s="1138" t="s">
        <v>2602</v>
      </c>
      <c r="AK40" s="1138" t="s">
        <v>2602</v>
      </c>
      <c r="AL40" s="1138" t="s">
        <v>2602</v>
      </c>
      <c r="AM40" s="1137" t="s">
        <v>2602</v>
      </c>
      <c r="AN40" s="1137" t="s">
        <v>2602</v>
      </c>
      <c r="AO40" s="1137" t="s">
        <v>2602</v>
      </c>
      <c r="AP40" s="1137" t="s">
        <v>2602</v>
      </c>
      <c r="AQ40" s="1139" t="s">
        <v>2602</v>
      </c>
      <c r="AR40" s="1140">
        <v>83</v>
      </c>
      <c r="AS40" s="1141">
        <v>83</v>
      </c>
      <c r="AT40" s="1142">
        <v>0.54966887417218546</v>
      </c>
      <c r="AU40" s="1140" t="s">
        <v>2609</v>
      </c>
      <c r="AV40" s="1143" t="s">
        <v>2610</v>
      </c>
      <c r="AW40" s="1144">
        <v>0</v>
      </c>
      <c r="AX40" s="1144">
        <v>0</v>
      </c>
      <c r="AY40" s="1140" t="s">
        <v>2133</v>
      </c>
      <c r="AZ40" s="1144" t="s">
        <v>2688</v>
      </c>
      <c r="BA40" s="1143" t="s">
        <v>2133</v>
      </c>
      <c r="BB40" s="1159" t="s">
        <v>2317</v>
      </c>
      <c r="BC40" s="1159" t="s">
        <v>2602</v>
      </c>
      <c r="BD40" s="1144" t="s">
        <v>2723</v>
      </c>
      <c r="BE40" s="2314" t="s">
        <v>2129</v>
      </c>
      <c r="BF40" s="2315" t="s">
        <v>2129</v>
      </c>
      <c r="BG40" s="2315" t="s">
        <v>2129</v>
      </c>
      <c r="BH40" s="2315" t="s">
        <v>2129</v>
      </c>
      <c r="BI40" s="2315" t="s">
        <v>2133</v>
      </c>
      <c r="BJ40" s="2374" t="s">
        <v>3788</v>
      </c>
      <c r="BK40" s="1164" t="s">
        <v>3906</v>
      </c>
      <c r="BL40" s="2405" t="s">
        <v>3907</v>
      </c>
      <c r="BM40" s="2317" t="s">
        <v>3908</v>
      </c>
      <c r="BN40" s="2318" t="s">
        <v>3909</v>
      </c>
      <c r="BO40" s="2319">
        <v>45</v>
      </c>
      <c r="BP40" s="2320">
        <f>SUM(BO40:BO41)</f>
        <v>95</v>
      </c>
      <c r="BQ40" s="2320">
        <v>11</v>
      </c>
      <c r="BR40" s="2384"/>
      <c r="BS40" s="2322" t="s">
        <v>4001</v>
      </c>
    </row>
    <row r="41" spans="2:71" ht="21" customHeight="1">
      <c r="B41" s="2406" t="s">
        <v>3791</v>
      </c>
      <c r="C41" s="2349">
        <v>212</v>
      </c>
      <c r="D41" s="2350" t="s">
        <v>3910</v>
      </c>
      <c r="E41" s="2351" t="s">
        <v>2256</v>
      </c>
      <c r="F41" s="2352"/>
      <c r="G41" s="2353"/>
      <c r="H41" s="2354">
        <v>50</v>
      </c>
      <c r="I41" s="2355">
        <v>-0.15662650602409639</v>
      </c>
      <c r="J41" s="2356" t="s">
        <v>3997</v>
      </c>
      <c r="K41" s="2357" t="s">
        <v>3998</v>
      </c>
      <c r="L41" s="2357" t="s">
        <v>3999</v>
      </c>
      <c r="M41" s="2357" t="s">
        <v>2602</v>
      </c>
      <c r="N41" s="2357" t="s">
        <v>2602</v>
      </c>
      <c r="O41" s="2357" t="s">
        <v>2602</v>
      </c>
      <c r="P41" s="2357" t="s">
        <v>2602</v>
      </c>
      <c r="Q41" s="2358" t="s">
        <v>2602</v>
      </c>
      <c r="R41" s="2358" t="s">
        <v>2602</v>
      </c>
      <c r="S41" s="2358" t="s">
        <v>2602</v>
      </c>
      <c r="T41" s="2358" t="s">
        <v>2602</v>
      </c>
      <c r="U41" s="2357" t="s">
        <v>2602</v>
      </c>
      <c r="V41" s="2357" t="s">
        <v>2602</v>
      </c>
      <c r="W41" s="2357" t="s">
        <v>2602</v>
      </c>
      <c r="X41" s="2357" t="s">
        <v>2602</v>
      </c>
      <c r="Y41" s="2359" t="s">
        <v>2602</v>
      </c>
      <c r="Z41" s="2352">
        <v>151</v>
      </c>
      <c r="AA41" s="2360">
        <v>151</v>
      </c>
      <c r="AB41" s="2356" t="s">
        <v>2727</v>
      </c>
      <c r="AC41" s="2357" t="s">
        <v>4000</v>
      </c>
      <c r="AD41" s="2357" t="s">
        <v>2731</v>
      </c>
      <c r="AE41" s="2357" t="s">
        <v>2602</v>
      </c>
      <c r="AF41" s="2357" t="s">
        <v>2602</v>
      </c>
      <c r="AG41" s="2357" t="s">
        <v>2602</v>
      </c>
      <c r="AH41" s="2357" t="s">
        <v>2602</v>
      </c>
      <c r="AI41" s="2358" t="s">
        <v>2602</v>
      </c>
      <c r="AJ41" s="2358" t="s">
        <v>2602</v>
      </c>
      <c r="AK41" s="2358" t="s">
        <v>2602</v>
      </c>
      <c r="AL41" s="2358" t="s">
        <v>2602</v>
      </c>
      <c r="AM41" s="2357" t="s">
        <v>2602</v>
      </c>
      <c r="AN41" s="2357" t="s">
        <v>2602</v>
      </c>
      <c r="AO41" s="2357" t="s">
        <v>2602</v>
      </c>
      <c r="AP41" s="2357" t="s">
        <v>2602</v>
      </c>
      <c r="AQ41" s="2359" t="s">
        <v>2602</v>
      </c>
      <c r="AR41" s="2352">
        <v>83</v>
      </c>
      <c r="AS41" s="2360">
        <v>83</v>
      </c>
      <c r="AT41" s="2361">
        <v>0.54966887417218546</v>
      </c>
      <c r="AU41" s="2352" t="s">
        <v>2609</v>
      </c>
      <c r="AV41" s="2362" t="s">
        <v>2610</v>
      </c>
      <c r="AW41" s="2363">
        <v>0</v>
      </c>
      <c r="AX41" s="2363">
        <v>0</v>
      </c>
      <c r="AY41" s="1148" t="s">
        <v>2133</v>
      </c>
      <c r="AZ41" s="1150" t="s">
        <v>2688</v>
      </c>
      <c r="BA41" s="1149" t="s">
        <v>2133</v>
      </c>
      <c r="BB41" s="1155" t="s">
        <v>2317</v>
      </c>
      <c r="BC41" s="1155" t="s">
        <v>2602</v>
      </c>
      <c r="BD41" s="1150" t="s">
        <v>2723</v>
      </c>
      <c r="BE41" s="2364" t="s">
        <v>2129</v>
      </c>
      <c r="BF41" s="2365" t="s">
        <v>2129</v>
      </c>
      <c r="BG41" s="2365" t="s">
        <v>2129</v>
      </c>
      <c r="BH41" s="2365" t="s">
        <v>2129</v>
      </c>
      <c r="BI41" s="2365" t="s">
        <v>2133</v>
      </c>
      <c r="BJ41" s="2399" t="s">
        <v>3793</v>
      </c>
      <c r="BK41" s="1165" t="s">
        <v>4002</v>
      </c>
      <c r="BL41" s="1169" t="s">
        <v>3911</v>
      </c>
      <c r="BM41" s="2367" t="s">
        <v>3912</v>
      </c>
      <c r="BN41" s="2368" t="s">
        <v>2944</v>
      </c>
      <c r="BO41" s="2369">
        <v>50</v>
      </c>
      <c r="BP41" s="2370"/>
      <c r="BQ41" s="2370"/>
      <c r="BR41" s="2383"/>
      <c r="BS41" s="2372" t="s">
        <v>4003</v>
      </c>
    </row>
    <row r="42" spans="2:71" ht="21" customHeight="1">
      <c r="B42" s="2299" t="s">
        <v>3791</v>
      </c>
      <c r="C42" s="2300">
        <v>213</v>
      </c>
      <c r="D42" s="1098" t="s">
        <v>3904</v>
      </c>
      <c r="E42" s="1099" t="s">
        <v>2256</v>
      </c>
      <c r="F42" s="1100"/>
      <c r="G42" s="2301"/>
      <c r="H42" s="2302">
        <v>51</v>
      </c>
      <c r="I42" s="2303">
        <v>0.1206896551724138</v>
      </c>
      <c r="J42" s="1101" t="s">
        <v>4004</v>
      </c>
      <c r="K42" s="1102" t="s">
        <v>4005</v>
      </c>
      <c r="L42" s="1102" t="s">
        <v>2676</v>
      </c>
      <c r="M42" s="1102" t="s">
        <v>2602</v>
      </c>
      <c r="N42" s="1102" t="s">
        <v>2602</v>
      </c>
      <c r="O42" s="1102" t="s">
        <v>2602</v>
      </c>
      <c r="P42" s="1102" t="s">
        <v>2602</v>
      </c>
      <c r="Q42" s="1103" t="s">
        <v>2602</v>
      </c>
      <c r="R42" s="1103" t="s">
        <v>2602</v>
      </c>
      <c r="S42" s="1103" t="s">
        <v>2602</v>
      </c>
      <c r="T42" s="1103" t="s">
        <v>2602</v>
      </c>
      <c r="U42" s="1102" t="s">
        <v>2602</v>
      </c>
      <c r="V42" s="1102" t="s">
        <v>2602</v>
      </c>
      <c r="W42" s="1102" t="s">
        <v>2602</v>
      </c>
      <c r="X42" s="1102" t="s">
        <v>2602</v>
      </c>
      <c r="Y42" s="1104" t="s">
        <v>2602</v>
      </c>
      <c r="Z42" s="1105">
        <v>201</v>
      </c>
      <c r="AA42" s="1106">
        <v>201</v>
      </c>
      <c r="AB42" s="1101" t="s">
        <v>3708</v>
      </c>
      <c r="AC42" s="1102" t="s">
        <v>2623</v>
      </c>
      <c r="AD42" s="1102" t="s">
        <v>2721</v>
      </c>
      <c r="AE42" s="1102" t="s">
        <v>2602</v>
      </c>
      <c r="AF42" s="1102" t="s">
        <v>2602</v>
      </c>
      <c r="AG42" s="1102" t="s">
        <v>2602</v>
      </c>
      <c r="AH42" s="1102" t="s">
        <v>2602</v>
      </c>
      <c r="AI42" s="1103" t="s">
        <v>2602</v>
      </c>
      <c r="AJ42" s="1103" t="s">
        <v>2602</v>
      </c>
      <c r="AK42" s="1103" t="s">
        <v>2602</v>
      </c>
      <c r="AL42" s="1103" t="s">
        <v>2602</v>
      </c>
      <c r="AM42" s="1102" t="s">
        <v>2602</v>
      </c>
      <c r="AN42" s="1102" t="s">
        <v>2602</v>
      </c>
      <c r="AO42" s="1102" t="s">
        <v>2602</v>
      </c>
      <c r="AP42" s="1102" t="s">
        <v>2602</v>
      </c>
      <c r="AQ42" s="1104" t="s">
        <v>2602</v>
      </c>
      <c r="AR42" s="1105">
        <v>58</v>
      </c>
      <c r="AS42" s="1106">
        <v>58</v>
      </c>
      <c r="AT42" s="1107">
        <v>0.28855721393034828</v>
      </c>
      <c r="AU42" s="1105" t="s">
        <v>2609</v>
      </c>
      <c r="AV42" s="1108" t="s">
        <v>2610</v>
      </c>
      <c r="AW42" s="1050">
        <v>0</v>
      </c>
      <c r="AX42" s="1050">
        <v>0</v>
      </c>
      <c r="AY42" s="1105" t="s">
        <v>2133</v>
      </c>
      <c r="AZ42" s="1050" t="s">
        <v>2688</v>
      </c>
      <c r="BA42" s="1108" t="s">
        <v>2133</v>
      </c>
      <c r="BB42" s="1109" t="s">
        <v>2317</v>
      </c>
      <c r="BC42" s="1109" t="s">
        <v>2602</v>
      </c>
      <c r="BD42" s="1050" t="s">
        <v>2723</v>
      </c>
      <c r="BE42" s="1110" t="s">
        <v>2129</v>
      </c>
      <c r="BF42" s="1111" t="s">
        <v>2129</v>
      </c>
      <c r="BG42" s="1111" t="s">
        <v>2129</v>
      </c>
      <c r="BH42" s="1111" t="s">
        <v>2129</v>
      </c>
      <c r="BI42" s="1111" t="s">
        <v>2133</v>
      </c>
      <c r="BJ42" s="2404" t="s">
        <v>3793</v>
      </c>
      <c r="BK42" s="1132" t="s">
        <v>2510</v>
      </c>
      <c r="BL42" s="1134"/>
      <c r="BM42" s="2394" t="s">
        <v>3905</v>
      </c>
      <c r="BN42" s="2395" t="s">
        <v>2944</v>
      </c>
      <c r="BO42" s="2305">
        <v>51</v>
      </c>
      <c r="BP42" s="2320">
        <f>SUM(BO42)</f>
        <v>51</v>
      </c>
      <c r="BQ42" s="2306">
        <v>11</v>
      </c>
      <c r="BR42" s="2403"/>
      <c r="BS42" s="1112"/>
    </row>
    <row r="43" spans="2:71" ht="21" customHeight="1">
      <c r="B43" s="2299" t="s">
        <v>3791</v>
      </c>
      <c r="C43" s="2973">
        <v>228</v>
      </c>
      <c r="D43" s="2972" t="s">
        <v>4006</v>
      </c>
      <c r="E43" s="1099" t="s">
        <v>2158</v>
      </c>
      <c r="F43" s="1100"/>
      <c r="G43" s="2301"/>
      <c r="H43" s="2302">
        <v>35</v>
      </c>
      <c r="I43" s="2303">
        <v>0.51388888888888884</v>
      </c>
      <c r="J43" s="1101" t="s">
        <v>4007</v>
      </c>
      <c r="K43" s="1102" t="s">
        <v>2602</v>
      </c>
      <c r="L43" s="1102" t="s">
        <v>2721</v>
      </c>
      <c r="M43" s="1102" t="s">
        <v>2602</v>
      </c>
      <c r="N43" s="1102" t="s">
        <v>2602</v>
      </c>
      <c r="O43" s="1102" t="s">
        <v>2602</v>
      </c>
      <c r="P43" s="1102" t="s">
        <v>2602</v>
      </c>
      <c r="Q43" s="1103" t="s">
        <v>2602</v>
      </c>
      <c r="R43" s="1103" t="s">
        <v>2602</v>
      </c>
      <c r="S43" s="1103" t="s">
        <v>2602</v>
      </c>
      <c r="T43" s="1103" t="s">
        <v>2602</v>
      </c>
      <c r="U43" s="1102" t="s">
        <v>2602</v>
      </c>
      <c r="V43" s="1102" t="s">
        <v>2602</v>
      </c>
      <c r="W43" s="1102" t="s">
        <v>2602</v>
      </c>
      <c r="X43" s="1102" t="s">
        <v>2602</v>
      </c>
      <c r="Y43" s="1104" t="s">
        <v>2602</v>
      </c>
      <c r="Z43" s="1105">
        <v>72</v>
      </c>
      <c r="AA43" s="1106">
        <v>72</v>
      </c>
      <c r="AB43" s="1101" t="s">
        <v>4007</v>
      </c>
      <c r="AC43" s="1102" t="s">
        <v>2602</v>
      </c>
      <c r="AD43" s="1102" t="s">
        <v>2721</v>
      </c>
      <c r="AE43" s="1102" t="s">
        <v>2602</v>
      </c>
      <c r="AF43" s="1102" t="s">
        <v>2602</v>
      </c>
      <c r="AG43" s="1102" t="s">
        <v>2602</v>
      </c>
      <c r="AH43" s="1102" t="s">
        <v>2602</v>
      </c>
      <c r="AI43" s="1103" t="s">
        <v>2602</v>
      </c>
      <c r="AJ43" s="1103" t="s">
        <v>2602</v>
      </c>
      <c r="AK43" s="1103" t="s">
        <v>2602</v>
      </c>
      <c r="AL43" s="1103" t="s">
        <v>2602</v>
      </c>
      <c r="AM43" s="1102" t="s">
        <v>2602</v>
      </c>
      <c r="AN43" s="1102" t="s">
        <v>2602</v>
      </c>
      <c r="AO43" s="1102" t="s">
        <v>2602</v>
      </c>
      <c r="AP43" s="1102" t="s">
        <v>2602</v>
      </c>
      <c r="AQ43" s="1104" t="s">
        <v>2602</v>
      </c>
      <c r="AR43" s="1105">
        <v>72</v>
      </c>
      <c r="AS43" s="1106">
        <v>72</v>
      </c>
      <c r="AT43" s="1107">
        <v>1</v>
      </c>
      <c r="AU43" s="1105" t="s">
        <v>2610</v>
      </c>
      <c r="AV43" s="1108" t="s">
        <v>2610</v>
      </c>
      <c r="AW43" s="1050">
        <v>0</v>
      </c>
      <c r="AX43" s="1050">
        <v>0</v>
      </c>
      <c r="AY43" s="1105" t="s">
        <v>2688</v>
      </c>
      <c r="AZ43" s="1050" t="s">
        <v>2688</v>
      </c>
      <c r="BA43" s="1108" t="s">
        <v>2688</v>
      </c>
      <c r="BB43" s="1109" t="s">
        <v>2168</v>
      </c>
      <c r="BC43" s="1109" t="s">
        <v>2133</v>
      </c>
      <c r="BD43" s="1050" t="s">
        <v>2723</v>
      </c>
      <c r="BE43" s="1110" t="s">
        <v>2129</v>
      </c>
      <c r="BF43" s="1111" t="s">
        <v>2129</v>
      </c>
      <c r="BG43" s="1111" t="s">
        <v>2129</v>
      </c>
      <c r="BH43" s="1111" t="s">
        <v>2129</v>
      </c>
      <c r="BI43" s="1111" t="s">
        <v>2129</v>
      </c>
      <c r="BJ43" s="2404"/>
      <c r="BK43" s="1132" t="s">
        <v>2157</v>
      </c>
      <c r="BL43" s="1134"/>
      <c r="BM43" s="2394" t="s">
        <v>3801</v>
      </c>
      <c r="BN43" s="2395" t="s">
        <v>3071</v>
      </c>
      <c r="BO43" s="2305">
        <v>35</v>
      </c>
      <c r="BP43" s="2320">
        <f>SUM(BO43)</f>
        <v>35</v>
      </c>
      <c r="BQ43" s="2306">
        <v>11</v>
      </c>
      <c r="BR43" s="2403"/>
      <c r="BS43" s="1112"/>
    </row>
    <row r="44" spans="2:71" ht="24" customHeight="1">
      <c r="B44" s="2307" t="s">
        <v>3791</v>
      </c>
      <c r="C44" s="2308">
        <v>231</v>
      </c>
      <c r="D44" s="2309" t="s">
        <v>3825</v>
      </c>
      <c r="E44" s="2310" t="s">
        <v>2315</v>
      </c>
      <c r="F44" s="1161"/>
      <c r="G44" s="2311"/>
      <c r="H44" s="2312">
        <v>23</v>
      </c>
      <c r="I44" s="2313">
        <v>-6.3492063492063489E-2</v>
      </c>
      <c r="J44" s="1136" t="s">
        <v>4008</v>
      </c>
      <c r="K44" s="1137" t="s">
        <v>2602</v>
      </c>
      <c r="L44" s="1137" t="s">
        <v>2602</v>
      </c>
      <c r="M44" s="1137" t="s">
        <v>3973</v>
      </c>
      <c r="N44" s="1137" t="s">
        <v>2602</v>
      </c>
      <c r="O44" s="1137" t="s">
        <v>2602</v>
      </c>
      <c r="P44" s="1137" t="s">
        <v>2602</v>
      </c>
      <c r="Q44" s="1138" t="s">
        <v>2602</v>
      </c>
      <c r="R44" s="1138" t="s">
        <v>2602</v>
      </c>
      <c r="S44" s="1138" t="s">
        <v>2602</v>
      </c>
      <c r="T44" s="1138" t="s">
        <v>2602</v>
      </c>
      <c r="U44" s="1137" t="s">
        <v>2602</v>
      </c>
      <c r="V44" s="1137" t="s">
        <v>2602</v>
      </c>
      <c r="W44" s="1137" t="s">
        <v>2602</v>
      </c>
      <c r="X44" s="1137" t="s">
        <v>2602</v>
      </c>
      <c r="Y44" s="1139" t="s">
        <v>2602</v>
      </c>
      <c r="Z44" s="1140">
        <v>102</v>
      </c>
      <c r="AA44" s="1141">
        <v>125</v>
      </c>
      <c r="AB44" s="1136" t="s">
        <v>4009</v>
      </c>
      <c r="AC44" s="1137" t="s">
        <v>2602</v>
      </c>
      <c r="AD44" s="1137" t="s">
        <v>2602</v>
      </c>
      <c r="AE44" s="1137" t="s">
        <v>2684</v>
      </c>
      <c r="AF44" s="1137" t="s">
        <v>2602</v>
      </c>
      <c r="AG44" s="1137" t="s">
        <v>2602</v>
      </c>
      <c r="AH44" s="1137" t="s">
        <v>2602</v>
      </c>
      <c r="AI44" s="1138" t="s">
        <v>2602</v>
      </c>
      <c r="AJ44" s="1138" t="s">
        <v>2602</v>
      </c>
      <c r="AK44" s="1138" t="s">
        <v>2602</v>
      </c>
      <c r="AL44" s="1138" t="s">
        <v>2602</v>
      </c>
      <c r="AM44" s="1137" t="s">
        <v>2602</v>
      </c>
      <c r="AN44" s="1137" t="s">
        <v>2602</v>
      </c>
      <c r="AO44" s="1137" t="s">
        <v>2602</v>
      </c>
      <c r="AP44" s="1137" t="s">
        <v>2602</v>
      </c>
      <c r="AQ44" s="1139" t="s">
        <v>2602</v>
      </c>
      <c r="AR44" s="1140">
        <v>51</v>
      </c>
      <c r="AS44" s="1141">
        <v>63</v>
      </c>
      <c r="AT44" s="1142">
        <v>0.5</v>
      </c>
      <c r="AU44" s="1140" t="s">
        <v>2609</v>
      </c>
      <c r="AV44" s="1143" t="s">
        <v>2610</v>
      </c>
      <c r="AW44" s="1144">
        <v>1</v>
      </c>
      <c r="AX44" s="1144">
        <v>1</v>
      </c>
      <c r="AY44" s="1140" t="s">
        <v>2133</v>
      </c>
      <c r="AZ44" s="1144" t="s">
        <v>2688</v>
      </c>
      <c r="BA44" s="1143" t="s">
        <v>2688</v>
      </c>
      <c r="BB44" s="1159" t="s">
        <v>3826</v>
      </c>
      <c r="BC44" s="1159" t="s">
        <v>2133</v>
      </c>
      <c r="BD44" s="1144" t="s">
        <v>2670</v>
      </c>
      <c r="BE44" s="2314" t="s">
        <v>2129</v>
      </c>
      <c r="BF44" s="2315" t="s">
        <v>2129</v>
      </c>
      <c r="BG44" s="2315" t="s">
        <v>2129</v>
      </c>
      <c r="BH44" s="2315" t="s">
        <v>2129</v>
      </c>
      <c r="BI44" s="2315" t="s">
        <v>2129</v>
      </c>
      <c r="BJ44" s="2316" t="s">
        <v>3822</v>
      </c>
      <c r="BK44" s="1160" t="s">
        <v>3823</v>
      </c>
      <c r="BL44" s="1167"/>
      <c r="BM44" s="2317" t="s">
        <v>3824</v>
      </c>
      <c r="BN44" s="2318" t="s">
        <v>3816</v>
      </c>
      <c r="BO44" s="2319">
        <v>23</v>
      </c>
      <c r="BP44" s="2320">
        <f>SUM(BO44:BO45)</f>
        <v>67</v>
      </c>
      <c r="BQ44" s="2320">
        <v>11</v>
      </c>
      <c r="BR44" s="2384"/>
      <c r="BS44" s="2322" t="s">
        <v>4010</v>
      </c>
    </row>
    <row r="45" spans="2:71" ht="21" customHeight="1">
      <c r="B45" s="2348" t="s">
        <v>3791</v>
      </c>
      <c r="C45" s="2349">
        <v>231</v>
      </c>
      <c r="D45" s="2350" t="s">
        <v>3825</v>
      </c>
      <c r="E45" s="2351" t="s">
        <v>2315</v>
      </c>
      <c r="F45" s="2352"/>
      <c r="G45" s="2353"/>
      <c r="H45" s="2354">
        <v>44</v>
      </c>
      <c r="I45" s="2355">
        <v>-6.3492063492063489E-2</v>
      </c>
      <c r="J45" s="2356" t="s">
        <v>4008</v>
      </c>
      <c r="K45" s="2357" t="s">
        <v>2602</v>
      </c>
      <c r="L45" s="2357" t="s">
        <v>2602</v>
      </c>
      <c r="M45" s="2357" t="s">
        <v>3973</v>
      </c>
      <c r="N45" s="2357" t="s">
        <v>2602</v>
      </c>
      <c r="O45" s="2357" t="s">
        <v>2602</v>
      </c>
      <c r="P45" s="2357" t="s">
        <v>2602</v>
      </c>
      <c r="Q45" s="2358" t="s">
        <v>2602</v>
      </c>
      <c r="R45" s="2358" t="s">
        <v>2602</v>
      </c>
      <c r="S45" s="2358" t="s">
        <v>2602</v>
      </c>
      <c r="T45" s="2358" t="s">
        <v>2602</v>
      </c>
      <c r="U45" s="2357" t="s">
        <v>2602</v>
      </c>
      <c r="V45" s="2357" t="s">
        <v>2602</v>
      </c>
      <c r="W45" s="2357" t="s">
        <v>2602</v>
      </c>
      <c r="X45" s="2357" t="s">
        <v>2602</v>
      </c>
      <c r="Y45" s="2359" t="s">
        <v>2602</v>
      </c>
      <c r="Z45" s="2352">
        <v>102</v>
      </c>
      <c r="AA45" s="2360">
        <v>125</v>
      </c>
      <c r="AB45" s="2356" t="s">
        <v>4009</v>
      </c>
      <c r="AC45" s="2357" t="s">
        <v>2602</v>
      </c>
      <c r="AD45" s="2357" t="s">
        <v>2602</v>
      </c>
      <c r="AE45" s="2357" t="s">
        <v>2684</v>
      </c>
      <c r="AF45" s="2357" t="s">
        <v>2602</v>
      </c>
      <c r="AG45" s="2357" t="s">
        <v>2602</v>
      </c>
      <c r="AH45" s="2357" t="s">
        <v>2602</v>
      </c>
      <c r="AI45" s="2358" t="s">
        <v>2602</v>
      </c>
      <c r="AJ45" s="2358" t="s">
        <v>2602</v>
      </c>
      <c r="AK45" s="2358" t="s">
        <v>2602</v>
      </c>
      <c r="AL45" s="2358" t="s">
        <v>2602</v>
      </c>
      <c r="AM45" s="2357" t="s">
        <v>2602</v>
      </c>
      <c r="AN45" s="2357" t="s">
        <v>2602</v>
      </c>
      <c r="AO45" s="2357" t="s">
        <v>2602</v>
      </c>
      <c r="AP45" s="2357" t="s">
        <v>2602</v>
      </c>
      <c r="AQ45" s="2359" t="s">
        <v>2602</v>
      </c>
      <c r="AR45" s="2352">
        <v>51</v>
      </c>
      <c r="AS45" s="2360">
        <v>63</v>
      </c>
      <c r="AT45" s="2361">
        <v>0.5</v>
      </c>
      <c r="AU45" s="2352" t="s">
        <v>2609</v>
      </c>
      <c r="AV45" s="2362" t="s">
        <v>2610</v>
      </c>
      <c r="AW45" s="2363">
        <v>1</v>
      </c>
      <c r="AX45" s="2363">
        <v>1</v>
      </c>
      <c r="AY45" s="1148" t="s">
        <v>2133</v>
      </c>
      <c r="AZ45" s="1150" t="s">
        <v>2688</v>
      </c>
      <c r="BA45" s="1149" t="s">
        <v>2688</v>
      </c>
      <c r="BB45" s="1155" t="s">
        <v>3826</v>
      </c>
      <c r="BC45" s="1155" t="s">
        <v>2133</v>
      </c>
      <c r="BD45" s="1150" t="s">
        <v>2670</v>
      </c>
      <c r="BE45" s="2364" t="s">
        <v>2129</v>
      </c>
      <c r="BF45" s="2365" t="s">
        <v>2129</v>
      </c>
      <c r="BG45" s="2365" t="s">
        <v>2129</v>
      </c>
      <c r="BH45" s="2365" t="s">
        <v>2129</v>
      </c>
      <c r="BI45" s="2365" t="s">
        <v>2129</v>
      </c>
      <c r="BJ45" s="2399"/>
      <c r="BK45" s="1166" t="s">
        <v>3827</v>
      </c>
      <c r="BL45" s="2371" t="s">
        <v>3828</v>
      </c>
      <c r="BM45" s="2367" t="s">
        <v>3829</v>
      </c>
      <c r="BN45" s="2368" t="s">
        <v>3830</v>
      </c>
      <c r="BO45" s="2369">
        <v>44</v>
      </c>
      <c r="BP45" s="2370"/>
      <c r="BQ45" s="2370"/>
      <c r="BR45" s="2371"/>
      <c r="BS45" s="2372" t="s">
        <v>4011</v>
      </c>
    </row>
    <row r="46" spans="2:71" ht="21" customHeight="1">
      <c r="B46" s="2407" t="s">
        <v>3791</v>
      </c>
      <c r="C46" s="2408">
        <v>243</v>
      </c>
      <c r="D46" s="2409" t="s">
        <v>4012</v>
      </c>
      <c r="E46" s="2410" t="s">
        <v>2324</v>
      </c>
      <c r="F46" s="1084"/>
      <c r="G46" s="2411"/>
      <c r="H46" s="2412">
        <v>39</v>
      </c>
      <c r="I46" s="2413">
        <v>0.5617977528089888</v>
      </c>
      <c r="J46" s="1085" t="s">
        <v>2602</v>
      </c>
      <c r="K46" s="1086" t="s">
        <v>2602</v>
      </c>
      <c r="L46" s="1086" t="s">
        <v>4013</v>
      </c>
      <c r="M46" s="1086" t="s">
        <v>2602</v>
      </c>
      <c r="N46" s="1086" t="s">
        <v>2602</v>
      </c>
      <c r="O46" s="1086" t="s">
        <v>2602</v>
      </c>
      <c r="P46" s="1086" t="s">
        <v>2602</v>
      </c>
      <c r="Q46" s="1087" t="s">
        <v>2721</v>
      </c>
      <c r="R46" s="1087" t="s">
        <v>2705</v>
      </c>
      <c r="S46" s="1087" t="s">
        <v>4014</v>
      </c>
      <c r="T46" s="1087" t="s">
        <v>2602</v>
      </c>
      <c r="U46" s="1086" t="s">
        <v>2636</v>
      </c>
      <c r="V46" s="1086" t="s">
        <v>4015</v>
      </c>
      <c r="W46" s="1086" t="s">
        <v>2602</v>
      </c>
      <c r="X46" s="1086" t="s">
        <v>2666</v>
      </c>
      <c r="Y46" s="1088" t="s">
        <v>2602</v>
      </c>
      <c r="Z46" s="1089">
        <v>61</v>
      </c>
      <c r="AA46" s="1090">
        <v>89</v>
      </c>
      <c r="AB46" s="1085" t="s">
        <v>2602</v>
      </c>
      <c r="AC46" s="1086" t="s">
        <v>2602</v>
      </c>
      <c r="AD46" s="1086" t="s">
        <v>4013</v>
      </c>
      <c r="AE46" s="1086" t="s">
        <v>2602</v>
      </c>
      <c r="AF46" s="1086" t="s">
        <v>2602</v>
      </c>
      <c r="AG46" s="1086" t="s">
        <v>2602</v>
      </c>
      <c r="AH46" s="1086" t="s">
        <v>2602</v>
      </c>
      <c r="AI46" s="1087" t="s">
        <v>2721</v>
      </c>
      <c r="AJ46" s="1087" t="s">
        <v>2705</v>
      </c>
      <c r="AK46" s="1087" t="s">
        <v>4014</v>
      </c>
      <c r="AL46" s="1087" t="s">
        <v>2602</v>
      </c>
      <c r="AM46" s="1086" t="s">
        <v>2636</v>
      </c>
      <c r="AN46" s="1086" t="s">
        <v>4015</v>
      </c>
      <c r="AO46" s="1086" t="s">
        <v>2602</v>
      </c>
      <c r="AP46" s="1086" t="s">
        <v>2666</v>
      </c>
      <c r="AQ46" s="1088" t="s">
        <v>2602</v>
      </c>
      <c r="AR46" s="1089">
        <v>61</v>
      </c>
      <c r="AS46" s="1090">
        <v>89</v>
      </c>
      <c r="AT46" s="1091">
        <v>1</v>
      </c>
      <c r="AU46" s="1089" t="s">
        <v>2610</v>
      </c>
      <c r="AV46" s="1092" t="s">
        <v>2610</v>
      </c>
      <c r="AW46" s="1093">
        <v>9</v>
      </c>
      <c r="AX46" s="1093">
        <v>7</v>
      </c>
      <c r="AY46" s="1089" t="s">
        <v>2133</v>
      </c>
      <c r="AZ46" s="1093" t="s">
        <v>2133</v>
      </c>
      <c r="BA46" s="1092" t="s">
        <v>2133</v>
      </c>
      <c r="BB46" s="1094" t="s">
        <v>2240</v>
      </c>
      <c r="BC46" s="1094" t="s">
        <v>4016</v>
      </c>
      <c r="BD46" s="1093" t="s">
        <v>3812</v>
      </c>
      <c r="BE46" s="2414" t="s">
        <v>2129</v>
      </c>
      <c r="BF46" s="2415" t="s">
        <v>2129</v>
      </c>
      <c r="BG46" s="2415" t="s">
        <v>2612</v>
      </c>
      <c r="BH46" s="2415" t="s">
        <v>2129</v>
      </c>
      <c r="BI46" s="2415" t="s">
        <v>2129</v>
      </c>
      <c r="BJ46" s="2416"/>
      <c r="BK46" s="1115" t="s">
        <v>2351</v>
      </c>
      <c r="BL46" s="2417"/>
      <c r="BM46" s="2418" t="s">
        <v>3818</v>
      </c>
      <c r="BN46" s="2419" t="s">
        <v>3819</v>
      </c>
      <c r="BO46" s="2420">
        <v>39</v>
      </c>
      <c r="BP46" s="2320">
        <f>SUM(BO46)</f>
        <v>39</v>
      </c>
      <c r="BQ46" s="2421">
        <v>11</v>
      </c>
      <c r="BR46" s="2422"/>
      <c r="BS46" s="1113" t="s">
        <v>4017</v>
      </c>
    </row>
    <row r="47" spans="2:71" ht="21" customHeight="1">
      <c r="B47" s="2407" t="s">
        <v>3791</v>
      </c>
      <c r="C47" s="2408">
        <v>253</v>
      </c>
      <c r="D47" s="2409" t="s">
        <v>3576</v>
      </c>
      <c r="E47" s="2410" t="s">
        <v>2331</v>
      </c>
      <c r="F47" s="1084"/>
      <c r="G47" s="2411"/>
      <c r="H47" s="2412">
        <v>80</v>
      </c>
      <c r="I47" s="2413">
        <v>0.33613445378151263</v>
      </c>
      <c r="J47" s="1085" t="s">
        <v>3994</v>
      </c>
      <c r="K47" s="1086" t="s">
        <v>3964</v>
      </c>
      <c r="L47" s="1086" t="s">
        <v>3732</v>
      </c>
      <c r="M47" s="1086" t="s">
        <v>4018</v>
      </c>
      <c r="N47" s="1086" t="s">
        <v>2602</v>
      </c>
      <c r="O47" s="1086" t="s">
        <v>2602</v>
      </c>
      <c r="P47" s="1086" t="s">
        <v>2602</v>
      </c>
      <c r="Q47" s="1087" t="s">
        <v>2602</v>
      </c>
      <c r="R47" s="1087" t="s">
        <v>2666</v>
      </c>
      <c r="S47" s="1087" t="s">
        <v>2602</v>
      </c>
      <c r="T47" s="1087" t="s">
        <v>2602</v>
      </c>
      <c r="U47" s="1086" t="s">
        <v>2602</v>
      </c>
      <c r="V47" s="1086" t="s">
        <v>2602</v>
      </c>
      <c r="W47" s="1086" t="s">
        <v>2602</v>
      </c>
      <c r="X47" s="1086" t="s">
        <v>2602</v>
      </c>
      <c r="Y47" s="1088" t="s">
        <v>2602</v>
      </c>
      <c r="Z47" s="1089">
        <v>114</v>
      </c>
      <c r="AA47" s="1090">
        <v>119</v>
      </c>
      <c r="AB47" s="1085" t="s">
        <v>3994</v>
      </c>
      <c r="AC47" s="1086" t="s">
        <v>3964</v>
      </c>
      <c r="AD47" s="1086" t="s">
        <v>3732</v>
      </c>
      <c r="AE47" s="1086" t="s">
        <v>4018</v>
      </c>
      <c r="AF47" s="1086" t="s">
        <v>2602</v>
      </c>
      <c r="AG47" s="1086" t="s">
        <v>2602</v>
      </c>
      <c r="AH47" s="1086" t="s">
        <v>2602</v>
      </c>
      <c r="AI47" s="1087" t="s">
        <v>2602</v>
      </c>
      <c r="AJ47" s="1087" t="s">
        <v>2666</v>
      </c>
      <c r="AK47" s="1087" t="s">
        <v>2602</v>
      </c>
      <c r="AL47" s="1087" t="s">
        <v>2602</v>
      </c>
      <c r="AM47" s="1086" t="s">
        <v>2602</v>
      </c>
      <c r="AN47" s="1086" t="s">
        <v>2602</v>
      </c>
      <c r="AO47" s="1086" t="s">
        <v>2602</v>
      </c>
      <c r="AP47" s="1086" t="s">
        <v>2602</v>
      </c>
      <c r="AQ47" s="1088" t="s">
        <v>2602</v>
      </c>
      <c r="AR47" s="1089">
        <v>114</v>
      </c>
      <c r="AS47" s="1090">
        <v>119</v>
      </c>
      <c r="AT47" s="1091">
        <v>1</v>
      </c>
      <c r="AU47" s="1089" t="s">
        <v>2610</v>
      </c>
      <c r="AV47" s="1092" t="s">
        <v>2610</v>
      </c>
      <c r="AW47" s="1093">
        <v>2</v>
      </c>
      <c r="AX47" s="1093">
        <v>2</v>
      </c>
      <c r="AY47" s="1089" t="s">
        <v>2133</v>
      </c>
      <c r="AZ47" s="1093" t="s">
        <v>2688</v>
      </c>
      <c r="BA47" s="1092" t="s">
        <v>2688</v>
      </c>
      <c r="BB47" s="1094" t="s">
        <v>2240</v>
      </c>
      <c r="BC47" s="1094" t="s">
        <v>2133</v>
      </c>
      <c r="BD47" s="1093" t="s">
        <v>3915</v>
      </c>
      <c r="BE47" s="2414" t="s">
        <v>2129</v>
      </c>
      <c r="BF47" s="2415" t="s">
        <v>2129</v>
      </c>
      <c r="BG47" s="2415" t="s">
        <v>2612</v>
      </c>
      <c r="BH47" s="2415" t="s">
        <v>2129</v>
      </c>
      <c r="BI47" s="2415" t="s">
        <v>2129</v>
      </c>
      <c r="BJ47" s="2416" t="s">
        <v>3788</v>
      </c>
      <c r="BK47" s="1096" t="s">
        <v>2346</v>
      </c>
      <c r="BL47" s="2417"/>
      <c r="BM47" s="2418" t="s">
        <v>3913</v>
      </c>
      <c r="BN47" s="2419" t="s">
        <v>3914</v>
      </c>
      <c r="BO47" s="2420">
        <v>80</v>
      </c>
      <c r="BP47" s="2320">
        <f>SUM(BO47)</f>
        <v>80</v>
      </c>
      <c r="BQ47" s="2421">
        <v>11</v>
      </c>
      <c r="BR47" s="2423"/>
      <c r="BS47" s="1113" t="s">
        <v>4017</v>
      </c>
    </row>
    <row r="48" spans="2:71" ht="21" customHeight="1">
      <c r="B48" s="2373" t="s">
        <v>3791</v>
      </c>
      <c r="C48" s="2308">
        <v>269</v>
      </c>
      <c r="D48" s="2309" t="s">
        <v>3898</v>
      </c>
      <c r="E48" s="2310" t="s">
        <v>3899</v>
      </c>
      <c r="F48" s="1161"/>
      <c r="G48" s="2311"/>
      <c r="H48" s="2312">
        <v>58</v>
      </c>
      <c r="I48" s="2313">
        <v>0.57352941176470584</v>
      </c>
      <c r="J48" s="1136" t="s">
        <v>4019</v>
      </c>
      <c r="K48" s="1137" t="s">
        <v>2731</v>
      </c>
      <c r="L48" s="1137" t="s">
        <v>4020</v>
      </c>
      <c r="M48" s="1137" t="s">
        <v>2602</v>
      </c>
      <c r="N48" s="1137" t="s">
        <v>2602</v>
      </c>
      <c r="O48" s="1137" t="s">
        <v>2602</v>
      </c>
      <c r="P48" s="1137" t="s">
        <v>2602</v>
      </c>
      <c r="Q48" s="1138" t="s">
        <v>2602</v>
      </c>
      <c r="R48" s="1138" t="s">
        <v>2602</v>
      </c>
      <c r="S48" s="1138" t="s">
        <v>2602</v>
      </c>
      <c r="T48" s="1138" t="s">
        <v>2602</v>
      </c>
      <c r="U48" s="1137" t="s">
        <v>2602</v>
      </c>
      <c r="V48" s="1137" t="s">
        <v>2602</v>
      </c>
      <c r="W48" s="1137" t="s">
        <v>2602</v>
      </c>
      <c r="X48" s="1137" t="s">
        <v>2602</v>
      </c>
      <c r="Y48" s="1139" t="s">
        <v>2602</v>
      </c>
      <c r="Z48" s="1140">
        <v>162</v>
      </c>
      <c r="AA48" s="1141">
        <v>162</v>
      </c>
      <c r="AB48" s="1136" t="s">
        <v>4021</v>
      </c>
      <c r="AC48" s="1137" t="s">
        <v>2731</v>
      </c>
      <c r="AD48" s="1137" t="s">
        <v>3729</v>
      </c>
      <c r="AE48" s="1137" t="s">
        <v>2602</v>
      </c>
      <c r="AF48" s="1137" t="s">
        <v>2602</v>
      </c>
      <c r="AG48" s="1137" t="s">
        <v>2602</v>
      </c>
      <c r="AH48" s="1137" t="s">
        <v>2602</v>
      </c>
      <c r="AI48" s="1138" t="s">
        <v>2602</v>
      </c>
      <c r="AJ48" s="1138" t="s">
        <v>2602</v>
      </c>
      <c r="AK48" s="1138" t="s">
        <v>2602</v>
      </c>
      <c r="AL48" s="1138" t="s">
        <v>2602</v>
      </c>
      <c r="AM48" s="1137" t="s">
        <v>2602</v>
      </c>
      <c r="AN48" s="1137" t="s">
        <v>2602</v>
      </c>
      <c r="AO48" s="1137" t="s">
        <v>2602</v>
      </c>
      <c r="AP48" s="1137" t="s">
        <v>2602</v>
      </c>
      <c r="AQ48" s="1139" t="s">
        <v>2602</v>
      </c>
      <c r="AR48" s="1140">
        <v>136</v>
      </c>
      <c r="AS48" s="1141">
        <v>136</v>
      </c>
      <c r="AT48" s="1142">
        <v>0.83950617283950613</v>
      </c>
      <c r="AU48" s="1140" t="s">
        <v>2609</v>
      </c>
      <c r="AV48" s="1143" t="s">
        <v>2610</v>
      </c>
      <c r="AW48" s="1144">
        <v>0</v>
      </c>
      <c r="AX48" s="1144">
        <v>0</v>
      </c>
      <c r="AY48" s="1140" t="s">
        <v>2133</v>
      </c>
      <c r="AZ48" s="1144" t="s">
        <v>2688</v>
      </c>
      <c r="BA48" s="1143" t="s">
        <v>2133</v>
      </c>
      <c r="BB48" s="1159" t="s">
        <v>2207</v>
      </c>
      <c r="BC48" s="1159" t="s">
        <v>2602</v>
      </c>
      <c r="BD48" s="1144" t="s">
        <v>2735</v>
      </c>
      <c r="BE48" s="2314" t="s">
        <v>2129</v>
      </c>
      <c r="BF48" s="2315" t="s">
        <v>2129</v>
      </c>
      <c r="BG48" s="2315" t="s">
        <v>2129</v>
      </c>
      <c r="BH48" s="2315" t="s">
        <v>2129</v>
      </c>
      <c r="BI48" s="2315" t="s">
        <v>2133</v>
      </c>
      <c r="BJ48" s="2374" t="s">
        <v>3793</v>
      </c>
      <c r="BK48" s="1162" t="s">
        <v>3887</v>
      </c>
      <c r="BL48" s="1167" t="s">
        <v>3895</v>
      </c>
      <c r="BM48" s="2317" t="s">
        <v>3896</v>
      </c>
      <c r="BN48" s="2318" t="s">
        <v>3897</v>
      </c>
      <c r="BO48" s="2319">
        <v>58</v>
      </c>
      <c r="BP48" s="2320">
        <f>SUM(BO48:BO49)</f>
        <v>111</v>
      </c>
      <c r="BQ48" s="2320">
        <v>11</v>
      </c>
      <c r="BR48" s="2384"/>
      <c r="BS48" s="2322" t="s">
        <v>4022</v>
      </c>
    </row>
    <row r="49" spans="2:71" ht="21" customHeight="1">
      <c r="B49" s="2348" t="s">
        <v>3791</v>
      </c>
      <c r="C49" s="2349">
        <v>269</v>
      </c>
      <c r="D49" s="2350" t="s">
        <v>3898</v>
      </c>
      <c r="E49" s="2351" t="s">
        <v>3899</v>
      </c>
      <c r="F49" s="2352"/>
      <c r="G49" s="2353"/>
      <c r="H49" s="2354">
        <v>53</v>
      </c>
      <c r="I49" s="2355">
        <v>0.57352941176470584</v>
      </c>
      <c r="J49" s="2356" t="s">
        <v>4019</v>
      </c>
      <c r="K49" s="2357" t="s">
        <v>2731</v>
      </c>
      <c r="L49" s="2357" t="s">
        <v>4020</v>
      </c>
      <c r="M49" s="2357" t="s">
        <v>2602</v>
      </c>
      <c r="N49" s="2357" t="s">
        <v>2602</v>
      </c>
      <c r="O49" s="2357" t="s">
        <v>2602</v>
      </c>
      <c r="P49" s="2357" t="s">
        <v>2602</v>
      </c>
      <c r="Q49" s="2358" t="s">
        <v>2602</v>
      </c>
      <c r="R49" s="2358" t="s">
        <v>2602</v>
      </c>
      <c r="S49" s="2358" t="s">
        <v>2602</v>
      </c>
      <c r="T49" s="2358" t="s">
        <v>2602</v>
      </c>
      <c r="U49" s="2357" t="s">
        <v>2602</v>
      </c>
      <c r="V49" s="2357" t="s">
        <v>2602</v>
      </c>
      <c r="W49" s="2357" t="s">
        <v>2602</v>
      </c>
      <c r="X49" s="2357" t="s">
        <v>2602</v>
      </c>
      <c r="Y49" s="2359" t="s">
        <v>2602</v>
      </c>
      <c r="Z49" s="2352">
        <v>162</v>
      </c>
      <c r="AA49" s="2360">
        <v>162</v>
      </c>
      <c r="AB49" s="2356" t="s">
        <v>4021</v>
      </c>
      <c r="AC49" s="2357" t="s">
        <v>2731</v>
      </c>
      <c r="AD49" s="2357" t="s">
        <v>3729</v>
      </c>
      <c r="AE49" s="2357" t="s">
        <v>2602</v>
      </c>
      <c r="AF49" s="2357" t="s">
        <v>2602</v>
      </c>
      <c r="AG49" s="2357" t="s">
        <v>2602</v>
      </c>
      <c r="AH49" s="2357" t="s">
        <v>2602</v>
      </c>
      <c r="AI49" s="2358" t="s">
        <v>2602</v>
      </c>
      <c r="AJ49" s="2358" t="s">
        <v>2602</v>
      </c>
      <c r="AK49" s="2358" t="s">
        <v>2602</v>
      </c>
      <c r="AL49" s="2358" t="s">
        <v>2602</v>
      </c>
      <c r="AM49" s="2357" t="s">
        <v>2602</v>
      </c>
      <c r="AN49" s="2357" t="s">
        <v>2602</v>
      </c>
      <c r="AO49" s="2357" t="s">
        <v>2602</v>
      </c>
      <c r="AP49" s="2357" t="s">
        <v>2602</v>
      </c>
      <c r="AQ49" s="2359" t="s">
        <v>2602</v>
      </c>
      <c r="AR49" s="2352">
        <v>136</v>
      </c>
      <c r="AS49" s="2360">
        <v>136</v>
      </c>
      <c r="AT49" s="2361">
        <v>0.83950617283950613</v>
      </c>
      <c r="AU49" s="2352" t="s">
        <v>2609</v>
      </c>
      <c r="AV49" s="2362" t="s">
        <v>2610</v>
      </c>
      <c r="AW49" s="2363">
        <v>0</v>
      </c>
      <c r="AX49" s="2363">
        <v>0</v>
      </c>
      <c r="AY49" s="1148" t="s">
        <v>2133</v>
      </c>
      <c r="AZ49" s="1150" t="s">
        <v>2688</v>
      </c>
      <c r="BA49" s="1149" t="s">
        <v>2133</v>
      </c>
      <c r="BB49" s="1155" t="s">
        <v>2207</v>
      </c>
      <c r="BC49" s="1155" t="s">
        <v>2602</v>
      </c>
      <c r="BD49" s="1150" t="s">
        <v>2735</v>
      </c>
      <c r="BE49" s="2364" t="s">
        <v>2129</v>
      </c>
      <c r="BF49" s="2365" t="s">
        <v>2129</v>
      </c>
      <c r="BG49" s="2365" t="s">
        <v>2129</v>
      </c>
      <c r="BH49" s="2365" t="s">
        <v>2129</v>
      </c>
      <c r="BI49" s="2365" t="s">
        <v>2133</v>
      </c>
      <c r="BJ49" s="2366"/>
      <c r="BK49" s="1156" t="s">
        <v>2367</v>
      </c>
      <c r="BL49" s="1169"/>
      <c r="BM49" s="2367" t="s">
        <v>3900</v>
      </c>
      <c r="BN49" s="2368" t="s">
        <v>13</v>
      </c>
      <c r="BO49" s="2369">
        <v>53</v>
      </c>
      <c r="BP49" s="2370"/>
      <c r="BQ49" s="2370"/>
      <c r="BR49" s="2383"/>
      <c r="BS49" s="2372" t="s">
        <v>4023</v>
      </c>
    </row>
    <row r="50" spans="2:71" ht="21" customHeight="1">
      <c r="B50" s="2299" t="s">
        <v>3791</v>
      </c>
      <c r="C50" s="2300">
        <v>282</v>
      </c>
      <c r="D50" s="1098" t="s">
        <v>3583</v>
      </c>
      <c r="E50" s="1099" t="s">
        <v>2364</v>
      </c>
      <c r="F50" s="1100"/>
      <c r="G50" s="2301"/>
      <c r="H50" s="2302">
        <v>35</v>
      </c>
      <c r="I50" s="2303">
        <v>-0.16666666666666666</v>
      </c>
      <c r="J50" s="1101" t="s">
        <v>2602</v>
      </c>
      <c r="K50" s="1102" t="s">
        <v>4024</v>
      </c>
      <c r="L50" s="1102" t="s">
        <v>2602</v>
      </c>
      <c r="M50" s="1102" t="s">
        <v>3725</v>
      </c>
      <c r="N50" s="1102" t="s">
        <v>2602</v>
      </c>
      <c r="O50" s="1102" t="s">
        <v>2602</v>
      </c>
      <c r="P50" s="1102" t="s">
        <v>2602</v>
      </c>
      <c r="Q50" s="1103" t="s">
        <v>2602</v>
      </c>
      <c r="R50" s="1103" t="s">
        <v>2602</v>
      </c>
      <c r="S50" s="1103" t="s">
        <v>2602</v>
      </c>
      <c r="T50" s="1103" t="s">
        <v>2602</v>
      </c>
      <c r="U50" s="1102" t="s">
        <v>2602</v>
      </c>
      <c r="V50" s="1102" t="s">
        <v>2602</v>
      </c>
      <c r="W50" s="1102" t="s">
        <v>2602</v>
      </c>
      <c r="X50" s="1102" t="s">
        <v>2602</v>
      </c>
      <c r="Y50" s="1104" t="s">
        <v>3714</v>
      </c>
      <c r="Z50" s="1105">
        <v>91</v>
      </c>
      <c r="AA50" s="1106">
        <v>109</v>
      </c>
      <c r="AB50" s="1101" t="s">
        <v>2602</v>
      </c>
      <c r="AC50" s="1102" t="s">
        <v>4020</v>
      </c>
      <c r="AD50" s="1102" t="s">
        <v>2602</v>
      </c>
      <c r="AE50" s="1102" t="s">
        <v>2602</v>
      </c>
      <c r="AF50" s="1102" t="s">
        <v>2602</v>
      </c>
      <c r="AG50" s="1102" t="s">
        <v>2602</v>
      </c>
      <c r="AH50" s="1102" t="s">
        <v>2602</v>
      </c>
      <c r="AI50" s="1103" t="s">
        <v>2602</v>
      </c>
      <c r="AJ50" s="1103" t="s">
        <v>2602</v>
      </c>
      <c r="AK50" s="1103" t="s">
        <v>2602</v>
      </c>
      <c r="AL50" s="1103" t="s">
        <v>2602</v>
      </c>
      <c r="AM50" s="1102" t="s">
        <v>2602</v>
      </c>
      <c r="AN50" s="1102" t="s">
        <v>2602</v>
      </c>
      <c r="AO50" s="1102" t="s">
        <v>2602</v>
      </c>
      <c r="AP50" s="1102" t="s">
        <v>2602</v>
      </c>
      <c r="AQ50" s="1104" t="s">
        <v>2602</v>
      </c>
      <c r="AR50" s="1105">
        <v>30</v>
      </c>
      <c r="AS50" s="1106">
        <v>30</v>
      </c>
      <c r="AT50" s="1107">
        <v>0.32967032967032966</v>
      </c>
      <c r="AU50" s="1105" t="s">
        <v>2609</v>
      </c>
      <c r="AV50" s="1108" t="s">
        <v>2610</v>
      </c>
      <c r="AW50" s="1050">
        <v>8</v>
      </c>
      <c r="AX50" s="1050">
        <v>8</v>
      </c>
      <c r="AY50" s="1105" t="s">
        <v>2133</v>
      </c>
      <c r="AZ50" s="1050" t="s">
        <v>2133</v>
      </c>
      <c r="BA50" s="1108" t="s">
        <v>2133</v>
      </c>
      <c r="BB50" s="1109" t="s">
        <v>2168</v>
      </c>
      <c r="BC50" s="1109" t="s">
        <v>2612</v>
      </c>
      <c r="BD50" s="1050" t="s">
        <v>2670</v>
      </c>
      <c r="BE50" s="1110" t="s">
        <v>2129</v>
      </c>
      <c r="BF50" s="1111" t="s">
        <v>2129</v>
      </c>
      <c r="BG50" s="1111" t="s">
        <v>2129</v>
      </c>
      <c r="BH50" s="1111" t="s">
        <v>2129</v>
      </c>
      <c r="BI50" s="1111" t="s">
        <v>2129</v>
      </c>
      <c r="BJ50" s="2404" t="s">
        <v>3793</v>
      </c>
      <c r="BK50" s="1132" t="s">
        <v>2369</v>
      </c>
      <c r="BL50" s="1134"/>
      <c r="BM50" s="2394" t="s">
        <v>3892</v>
      </c>
      <c r="BN50" s="2395" t="s">
        <v>3893</v>
      </c>
      <c r="BO50" s="2305">
        <v>35</v>
      </c>
      <c r="BP50" s="2320">
        <f>SUM(BO50)</f>
        <v>35</v>
      </c>
      <c r="BQ50" s="2306">
        <v>11</v>
      </c>
      <c r="BR50" s="2403"/>
      <c r="BS50" s="2402" t="s">
        <v>4025</v>
      </c>
    </row>
    <row r="51" spans="2:71" ht="21" customHeight="1">
      <c r="B51" s="2307" t="s">
        <v>3791</v>
      </c>
      <c r="C51" s="2690">
        <v>238</v>
      </c>
      <c r="D51" s="2689" t="s">
        <v>3571</v>
      </c>
      <c r="E51" s="2310" t="s">
        <v>2315</v>
      </c>
      <c r="F51" s="1161"/>
      <c r="G51" s="2311"/>
      <c r="H51" s="2385">
        <v>89</v>
      </c>
      <c r="I51" s="2313">
        <v>0.51</v>
      </c>
      <c r="J51" s="1136" t="s">
        <v>2714</v>
      </c>
      <c r="K51" s="1137" t="s">
        <v>4026</v>
      </c>
      <c r="L51" s="1137" t="s">
        <v>2730</v>
      </c>
      <c r="M51" s="1137" t="s">
        <v>2602</v>
      </c>
      <c r="N51" s="1137" t="s">
        <v>2602</v>
      </c>
      <c r="O51" s="1137" t="s">
        <v>2602</v>
      </c>
      <c r="P51" s="1137" t="s">
        <v>2602</v>
      </c>
      <c r="Q51" s="1138" t="s">
        <v>2602</v>
      </c>
      <c r="R51" s="1138" t="s">
        <v>2602</v>
      </c>
      <c r="S51" s="1138" t="s">
        <v>2602</v>
      </c>
      <c r="T51" s="1138" t="s">
        <v>2602</v>
      </c>
      <c r="U51" s="1137" t="s">
        <v>2602</v>
      </c>
      <c r="V51" s="1137" t="s">
        <v>2602</v>
      </c>
      <c r="W51" s="1137" t="s">
        <v>2602</v>
      </c>
      <c r="X51" s="1137" t="s">
        <v>2602</v>
      </c>
      <c r="Y51" s="1139" t="s">
        <v>2602</v>
      </c>
      <c r="Z51" s="1140">
        <v>196</v>
      </c>
      <c r="AA51" s="1141">
        <v>196</v>
      </c>
      <c r="AB51" s="1136" t="s">
        <v>2727</v>
      </c>
      <c r="AC51" s="1137" t="s">
        <v>3715</v>
      </c>
      <c r="AD51" s="1137" t="s">
        <v>3715</v>
      </c>
      <c r="AE51" s="1137" t="s">
        <v>2602</v>
      </c>
      <c r="AF51" s="1137" t="s">
        <v>2602</v>
      </c>
      <c r="AG51" s="1137" t="s">
        <v>2602</v>
      </c>
      <c r="AH51" s="1137" t="s">
        <v>2602</v>
      </c>
      <c r="AI51" s="1138" t="s">
        <v>2602</v>
      </c>
      <c r="AJ51" s="1138" t="s">
        <v>2602</v>
      </c>
      <c r="AK51" s="1138" t="s">
        <v>2602</v>
      </c>
      <c r="AL51" s="1138" t="s">
        <v>2602</v>
      </c>
      <c r="AM51" s="1137" t="s">
        <v>2602</v>
      </c>
      <c r="AN51" s="1137" t="s">
        <v>2602</v>
      </c>
      <c r="AO51" s="1137" t="s">
        <v>2602</v>
      </c>
      <c r="AP51" s="1137" t="s">
        <v>2602</v>
      </c>
      <c r="AQ51" s="1139" t="s">
        <v>2602</v>
      </c>
      <c r="AR51" s="1140">
        <v>100</v>
      </c>
      <c r="AS51" s="1141">
        <v>100</v>
      </c>
      <c r="AT51" s="1142">
        <v>0.51020408163265307</v>
      </c>
      <c r="AU51" s="1140" t="s">
        <v>2609</v>
      </c>
      <c r="AV51" s="1143" t="s">
        <v>2610</v>
      </c>
      <c r="AW51" s="1144">
        <v>0</v>
      </c>
      <c r="AX51" s="1144">
        <v>0</v>
      </c>
      <c r="AY51" s="1140" t="s">
        <v>2133</v>
      </c>
      <c r="AZ51" s="1144" t="s">
        <v>2688</v>
      </c>
      <c r="BA51" s="1143" t="s">
        <v>2688</v>
      </c>
      <c r="BB51" s="1159" t="s">
        <v>2168</v>
      </c>
      <c r="BC51" s="1159" t="s">
        <v>2133</v>
      </c>
      <c r="BD51" s="1144" t="s">
        <v>2723</v>
      </c>
      <c r="BE51" s="2314" t="s">
        <v>2129</v>
      </c>
      <c r="BF51" s="2315" t="s">
        <v>2129</v>
      </c>
      <c r="BG51" s="2315" t="s">
        <v>2129</v>
      </c>
      <c r="BH51" s="2315" t="s">
        <v>2129</v>
      </c>
      <c r="BI51" s="2315" t="s">
        <v>2133</v>
      </c>
      <c r="BJ51" s="2316" t="s">
        <v>3788</v>
      </c>
      <c r="BK51" s="1160" t="s">
        <v>2327</v>
      </c>
      <c r="BL51" s="1167"/>
      <c r="BM51" s="2317" t="s">
        <v>3789</v>
      </c>
      <c r="BN51" s="2318" t="s">
        <v>3790</v>
      </c>
      <c r="BO51" s="2319">
        <v>89</v>
      </c>
      <c r="BP51" s="2320">
        <f>SUM(BO51:BO52)</f>
        <v>114</v>
      </c>
      <c r="BQ51" s="2320">
        <v>11</v>
      </c>
      <c r="BR51" s="2384"/>
      <c r="BS51" s="2386" t="s">
        <v>4027</v>
      </c>
    </row>
    <row r="52" spans="2:71" ht="21" customHeight="1">
      <c r="B52" s="2348" t="s">
        <v>3791</v>
      </c>
      <c r="C52" s="2349">
        <v>238</v>
      </c>
      <c r="D52" s="2350" t="s">
        <v>3817</v>
      </c>
      <c r="E52" s="2351" t="s">
        <v>3798</v>
      </c>
      <c r="F52" s="2352"/>
      <c r="G52" s="2353"/>
      <c r="H52" s="2354">
        <v>25</v>
      </c>
      <c r="I52" s="2355">
        <v>0.51</v>
      </c>
      <c r="J52" s="2356" t="s">
        <v>2714</v>
      </c>
      <c r="K52" s="2357" t="s">
        <v>4026</v>
      </c>
      <c r="L52" s="2357" t="s">
        <v>2730</v>
      </c>
      <c r="M52" s="2357" t="s">
        <v>2602</v>
      </c>
      <c r="N52" s="2357" t="s">
        <v>2602</v>
      </c>
      <c r="O52" s="2357" t="s">
        <v>2602</v>
      </c>
      <c r="P52" s="2357" t="s">
        <v>2602</v>
      </c>
      <c r="Q52" s="2358" t="s">
        <v>2602</v>
      </c>
      <c r="R52" s="2358" t="s">
        <v>2602</v>
      </c>
      <c r="S52" s="2358" t="s">
        <v>2602</v>
      </c>
      <c r="T52" s="2358" t="s">
        <v>2602</v>
      </c>
      <c r="U52" s="2357" t="s">
        <v>2602</v>
      </c>
      <c r="V52" s="2357" t="s">
        <v>2602</v>
      </c>
      <c r="W52" s="2357" t="s">
        <v>2602</v>
      </c>
      <c r="X52" s="2357" t="s">
        <v>2602</v>
      </c>
      <c r="Y52" s="2359" t="s">
        <v>2602</v>
      </c>
      <c r="Z52" s="2352">
        <v>196</v>
      </c>
      <c r="AA52" s="2360">
        <v>196</v>
      </c>
      <c r="AB52" s="2356" t="s">
        <v>2727</v>
      </c>
      <c r="AC52" s="2357" t="s">
        <v>3715</v>
      </c>
      <c r="AD52" s="2357" t="s">
        <v>3715</v>
      </c>
      <c r="AE52" s="2357" t="s">
        <v>2602</v>
      </c>
      <c r="AF52" s="2357" t="s">
        <v>2602</v>
      </c>
      <c r="AG52" s="2357" t="s">
        <v>2602</v>
      </c>
      <c r="AH52" s="2357" t="s">
        <v>2602</v>
      </c>
      <c r="AI52" s="2358" t="s">
        <v>2602</v>
      </c>
      <c r="AJ52" s="2358" t="s">
        <v>2602</v>
      </c>
      <c r="AK52" s="2358" t="s">
        <v>2602</v>
      </c>
      <c r="AL52" s="2358" t="s">
        <v>2602</v>
      </c>
      <c r="AM52" s="2357" t="s">
        <v>2602</v>
      </c>
      <c r="AN52" s="2357" t="s">
        <v>2602</v>
      </c>
      <c r="AO52" s="2357" t="s">
        <v>2602</v>
      </c>
      <c r="AP52" s="2357" t="s">
        <v>2602</v>
      </c>
      <c r="AQ52" s="2359" t="s">
        <v>2602</v>
      </c>
      <c r="AR52" s="2352">
        <v>100</v>
      </c>
      <c r="AS52" s="2360">
        <v>100</v>
      </c>
      <c r="AT52" s="2361">
        <v>0.51020408163265307</v>
      </c>
      <c r="AU52" s="2352" t="s">
        <v>2609</v>
      </c>
      <c r="AV52" s="2362" t="s">
        <v>2610</v>
      </c>
      <c r="AW52" s="2363">
        <v>0</v>
      </c>
      <c r="AX52" s="2363">
        <v>0</v>
      </c>
      <c r="AY52" s="1148" t="s">
        <v>2133</v>
      </c>
      <c r="AZ52" s="1150" t="s">
        <v>2688</v>
      </c>
      <c r="BA52" s="1149" t="s">
        <v>2688</v>
      </c>
      <c r="BB52" s="1155" t="s">
        <v>2168</v>
      </c>
      <c r="BC52" s="1155" t="s">
        <v>2133</v>
      </c>
      <c r="BD52" s="1150" t="s">
        <v>2723</v>
      </c>
      <c r="BE52" s="2364" t="s">
        <v>2129</v>
      </c>
      <c r="BF52" s="2365" t="s">
        <v>2129</v>
      </c>
      <c r="BG52" s="2365" t="s">
        <v>2129</v>
      </c>
      <c r="BH52" s="2365" t="s">
        <v>2129</v>
      </c>
      <c r="BI52" s="2365" t="s">
        <v>2133</v>
      </c>
      <c r="BJ52" s="2366"/>
      <c r="BK52" s="1156" t="s">
        <v>3813</v>
      </c>
      <c r="BL52" s="1169" t="s">
        <v>3814</v>
      </c>
      <c r="BM52" s="2367" t="s">
        <v>3815</v>
      </c>
      <c r="BN52" s="2368" t="s">
        <v>3816</v>
      </c>
      <c r="BO52" s="2369">
        <v>25</v>
      </c>
      <c r="BP52" s="2370"/>
      <c r="BQ52" s="2370"/>
      <c r="BR52" s="2383"/>
      <c r="BS52" s="2372"/>
    </row>
    <row r="53" spans="2:71" ht="21" customHeight="1">
      <c r="B53" s="2299" t="s">
        <v>3791</v>
      </c>
      <c r="C53" s="2300">
        <v>288</v>
      </c>
      <c r="D53" s="1098" t="s">
        <v>3751</v>
      </c>
      <c r="E53" s="1099" t="s">
        <v>2364</v>
      </c>
      <c r="F53" s="1100"/>
      <c r="G53" s="2301"/>
      <c r="H53" s="2302">
        <v>24</v>
      </c>
      <c r="I53" s="2303">
        <v>0.51</v>
      </c>
      <c r="J53" s="1101" t="s">
        <v>2714</v>
      </c>
      <c r="K53" s="1102" t="s">
        <v>4026</v>
      </c>
      <c r="L53" s="1102" t="s">
        <v>2730</v>
      </c>
      <c r="M53" s="1102" t="s">
        <v>2602</v>
      </c>
      <c r="N53" s="1102" t="s">
        <v>2602</v>
      </c>
      <c r="O53" s="1102" t="s">
        <v>2602</v>
      </c>
      <c r="P53" s="1102" t="s">
        <v>2602</v>
      </c>
      <c r="Q53" s="1103" t="s">
        <v>2602</v>
      </c>
      <c r="R53" s="1103" t="s">
        <v>2602</v>
      </c>
      <c r="S53" s="1103" t="s">
        <v>2602</v>
      </c>
      <c r="T53" s="1103" t="s">
        <v>2602</v>
      </c>
      <c r="U53" s="1102" t="s">
        <v>2602</v>
      </c>
      <c r="V53" s="1102" t="s">
        <v>2602</v>
      </c>
      <c r="W53" s="1102" t="s">
        <v>2602</v>
      </c>
      <c r="X53" s="1102" t="s">
        <v>2602</v>
      </c>
      <c r="Y53" s="1104" t="s">
        <v>2602</v>
      </c>
      <c r="Z53" s="1105">
        <v>196</v>
      </c>
      <c r="AA53" s="1106">
        <v>196</v>
      </c>
      <c r="AB53" s="1101" t="s">
        <v>2727</v>
      </c>
      <c r="AC53" s="1102" t="s">
        <v>3715</v>
      </c>
      <c r="AD53" s="1102" t="s">
        <v>3715</v>
      </c>
      <c r="AE53" s="1102" t="s">
        <v>2602</v>
      </c>
      <c r="AF53" s="1102" t="s">
        <v>2602</v>
      </c>
      <c r="AG53" s="1102" t="s">
        <v>2602</v>
      </c>
      <c r="AH53" s="1102" t="s">
        <v>2602</v>
      </c>
      <c r="AI53" s="1103" t="s">
        <v>2602</v>
      </c>
      <c r="AJ53" s="1103" t="s">
        <v>2602</v>
      </c>
      <c r="AK53" s="1103" t="s">
        <v>2602</v>
      </c>
      <c r="AL53" s="1103" t="s">
        <v>2602</v>
      </c>
      <c r="AM53" s="1102" t="s">
        <v>2602</v>
      </c>
      <c r="AN53" s="1102" t="s">
        <v>2602</v>
      </c>
      <c r="AO53" s="1102" t="s">
        <v>2602</v>
      </c>
      <c r="AP53" s="1102" t="s">
        <v>2602</v>
      </c>
      <c r="AQ53" s="1104" t="s">
        <v>2602</v>
      </c>
      <c r="AR53" s="1105">
        <v>100</v>
      </c>
      <c r="AS53" s="1106">
        <v>100</v>
      </c>
      <c r="AT53" s="1107">
        <v>0.51020408163265307</v>
      </c>
      <c r="AU53" s="1105" t="s">
        <v>2609</v>
      </c>
      <c r="AV53" s="1108" t="s">
        <v>2610</v>
      </c>
      <c r="AW53" s="1050">
        <v>0</v>
      </c>
      <c r="AX53" s="1050">
        <v>0</v>
      </c>
      <c r="AY53" s="1105" t="s">
        <v>2133</v>
      </c>
      <c r="AZ53" s="1050" t="s">
        <v>2688</v>
      </c>
      <c r="BA53" s="1108" t="s">
        <v>2688</v>
      </c>
      <c r="BB53" s="1109" t="s">
        <v>2168</v>
      </c>
      <c r="BC53" s="1109" t="s">
        <v>2133</v>
      </c>
      <c r="BD53" s="1050" t="s">
        <v>2723</v>
      </c>
      <c r="BE53" s="1110" t="s">
        <v>2129</v>
      </c>
      <c r="BF53" s="1111" t="s">
        <v>2129</v>
      </c>
      <c r="BG53" s="1111" t="s">
        <v>2129</v>
      </c>
      <c r="BH53" s="1111" t="s">
        <v>2129</v>
      </c>
      <c r="BI53" s="1111" t="s">
        <v>2133</v>
      </c>
      <c r="BJ53" s="1026"/>
      <c r="BK53" s="2394" t="s">
        <v>3813</v>
      </c>
      <c r="BL53" s="1134" t="s">
        <v>3866</v>
      </c>
      <c r="BM53" s="2394" t="s">
        <v>3894</v>
      </c>
      <c r="BN53" s="2395" t="s">
        <v>13</v>
      </c>
      <c r="BO53" s="2305">
        <v>24</v>
      </c>
      <c r="BP53" s="2320">
        <f>SUM(BO53)</f>
        <v>24</v>
      </c>
      <c r="BQ53" s="2306">
        <v>11</v>
      </c>
      <c r="BR53" s="2403"/>
      <c r="BS53" s="1112"/>
    </row>
    <row r="54" spans="2:71" ht="21" customHeight="1">
      <c r="B54" s="2299" t="s">
        <v>3791</v>
      </c>
      <c r="C54" s="2300">
        <v>295</v>
      </c>
      <c r="D54" s="1098" t="s">
        <v>3933</v>
      </c>
      <c r="E54" s="1099" t="s">
        <v>2150</v>
      </c>
      <c r="F54" s="1100"/>
      <c r="G54" s="2301"/>
      <c r="H54" s="2302">
        <v>51</v>
      </c>
      <c r="I54" s="2303">
        <v>-0.24390243902439024</v>
      </c>
      <c r="J54" s="1101" t="s">
        <v>2602</v>
      </c>
      <c r="K54" s="1102" t="s">
        <v>3726</v>
      </c>
      <c r="L54" s="1102" t="s">
        <v>3998</v>
      </c>
      <c r="M54" s="1102" t="s">
        <v>2687</v>
      </c>
      <c r="N54" s="1102" t="s">
        <v>2602</v>
      </c>
      <c r="O54" s="1102" t="s">
        <v>2602</v>
      </c>
      <c r="P54" s="1102" t="s">
        <v>2602</v>
      </c>
      <c r="Q54" s="1103" t="s">
        <v>4028</v>
      </c>
      <c r="R54" s="1103" t="s">
        <v>2602</v>
      </c>
      <c r="S54" s="1103" t="s">
        <v>2602</v>
      </c>
      <c r="T54" s="1103" t="s">
        <v>2602</v>
      </c>
      <c r="U54" s="1102" t="s">
        <v>2602</v>
      </c>
      <c r="V54" s="1102" t="s">
        <v>2602</v>
      </c>
      <c r="W54" s="1102" t="s">
        <v>2602</v>
      </c>
      <c r="X54" s="1102" t="s">
        <v>2602</v>
      </c>
      <c r="Y54" s="1104" t="s">
        <v>2602</v>
      </c>
      <c r="Z54" s="1105">
        <v>53</v>
      </c>
      <c r="AA54" s="1106">
        <v>55</v>
      </c>
      <c r="AB54" s="1101" t="s">
        <v>2602</v>
      </c>
      <c r="AC54" s="1102" t="s">
        <v>3964</v>
      </c>
      <c r="AD54" s="1102" t="s">
        <v>3994</v>
      </c>
      <c r="AE54" s="1102" t="s">
        <v>2687</v>
      </c>
      <c r="AF54" s="1102" t="s">
        <v>2602</v>
      </c>
      <c r="AG54" s="1102" t="s">
        <v>2602</v>
      </c>
      <c r="AH54" s="1102" t="s">
        <v>2602</v>
      </c>
      <c r="AI54" s="1103" t="s">
        <v>4028</v>
      </c>
      <c r="AJ54" s="1103" t="s">
        <v>2602</v>
      </c>
      <c r="AK54" s="1103" t="s">
        <v>2602</v>
      </c>
      <c r="AL54" s="1103" t="s">
        <v>2602</v>
      </c>
      <c r="AM54" s="1102" t="s">
        <v>2602</v>
      </c>
      <c r="AN54" s="1102" t="s">
        <v>2602</v>
      </c>
      <c r="AO54" s="1102" t="s">
        <v>2602</v>
      </c>
      <c r="AP54" s="1102" t="s">
        <v>2602</v>
      </c>
      <c r="AQ54" s="1104" t="s">
        <v>2602</v>
      </c>
      <c r="AR54" s="1105">
        <v>39</v>
      </c>
      <c r="AS54" s="1106">
        <v>41</v>
      </c>
      <c r="AT54" s="1107">
        <v>0.73584905660377353</v>
      </c>
      <c r="AU54" s="1105" t="s">
        <v>2609</v>
      </c>
      <c r="AV54" s="1108" t="s">
        <v>2610</v>
      </c>
      <c r="AW54" s="1050">
        <v>1</v>
      </c>
      <c r="AX54" s="1050">
        <v>1</v>
      </c>
      <c r="AY54" s="1105" t="s">
        <v>2133</v>
      </c>
      <c r="AZ54" s="1050" t="s">
        <v>2133</v>
      </c>
      <c r="BA54" s="1108" t="s">
        <v>2133</v>
      </c>
      <c r="BB54" s="1109" t="s">
        <v>2274</v>
      </c>
      <c r="BC54" s="1109" t="s">
        <v>2133</v>
      </c>
      <c r="BD54" s="1050" t="s">
        <v>2133</v>
      </c>
      <c r="BE54" s="1110" t="s">
        <v>2129</v>
      </c>
      <c r="BF54" s="1111" t="s">
        <v>2129</v>
      </c>
      <c r="BG54" s="1111" t="s">
        <v>2129</v>
      </c>
      <c r="BH54" s="1111" t="s">
        <v>2129</v>
      </c>
      <c r="BI54" s="1111" t="s">
        <v>2129</v>
      </c>
      <c r="BJ54" s="2404"/>
      <c r="BK54" s="1132" t="s">
        <v>3551</v>
      </c>
      <c r="BL54" s="1134"/>
      <c r="BM54" s="2394" t="s">
        <v>3932</v>
      </c>
      <c r="BN54" s="2395" t="s">
        <v>15</v>
      </c>
      <c r="BO54" s="2305">
        <v>51</v>
      </c>
      <c r="BP54" s="2320">
        <f>SUM(BO54)</f>
        <v>51</v>
      </c>
      <c r="BQ54" s="2306">
        <v>11</v>
      </c>
      <c r="BR54" s="2403"/>
      <c r="BS54" s="2402" t="s">
        <v>3984</v>
      </c>
    </row>
    <row r="55" spans="2:71" ht="21" customHeight="1">
      <c r="B55" s="2299" t="s">
        <v>3791</v>
      </c>
      <c r="C55" s="2300">
        <v>302</v>
      </c>
      <c r="D55" s="1098" t="s">
        <v>4029</v>
      </c>
      <c r="E55" s="1099" t="s">
        <v>2261</v>
      </c>
      <c r="F55" s="1100"/>
      <c r="G55" s="2301"/>
      <c r="H55" s="2302">
        <v>21</v>
      </c>
      <c r="I55" s="2303">
        <v>5.3846153846153849E-2</v>
      </c>
      <c r="J55" s="1101" t="s">
        <v>4030</v>
      </c>
      <c r="K55" s="1102" t="s">
        <v>4031</v>
      </c>
      <c r="L55" s="1102" t="s">
        <v>2602</v>
      </c>
      <c r="M55" s="1102" t="s">
        <v>4032</v>
      </c>
      <c r="N55" s="1102" t="s">
        <v>2602</v>
      </c>
      <c r="O55" s="1102" t="s">
        <v>2602</v>
      </c>
      <c r="P55" s="1102" t="s">
        <v>2602</v>
      </c>
      <c r="Q55" s="1103" t="s">
        <v>2635</v>
      </c>
      <c r="R55" s="1103" t="s">
        <v>2602</v>
      </c>
      <c r="S55" s="1103" t="s">
        <v>2602</v>
      </c>
      <c r="T55" s="1103" t="s">
        <v>2602</v>
      </c>
      <c r="U55" s="1102" t="s">
        <v>2602</v>
      </c>
      <c r="V55" s="1102" t="s">
        <v>2602</v>
      </c>
      <c r="W55" s="1102" t="s">
        <v>2602</v>
      </c>
      <c r="X55" s="1102" t="s">
        <v>2666</v>
      </c>
      <c r="Y55" s="1104" t="s">
        <v>2602</v>
      </c>
      <c r="Z55" s="1105">
        <v>381</v>
      </c>
      <c r="AA55" s="1106">
        <v>546</v>
      </c>
      <c r="AB55" s="1101" t="s">
        <v>2602</v>
      </c>
      <c r="AC55" s="1102" t="s">
        <v>2727</v>
      </c>
      <c r="AD55" s="1102" t="s">
        <v>2602</v>
      </c>
      <c r="AE55" s="1102" t="s">
        <v>4033</v>
      </c>
      <c r="AF55" s="1102" t="s">
        <v>2602</v>
      </c>
      <c r="AG55" s="1102" t="s">
        <v>2602</v>
      </c>
      <c r="AH55" s="1102" t="s">
        <v>2602</v>
      </c>
      <c r="AI55" s="1103" t="s">
        <v>2602</v>
      </c>
      <c r="AJ55" s="1103" t="s">
        <v>2602</v>
      </c>
      <c r="AK55" s="1103" t="s">
        <v>2602</v>
      </c>
      <c r="AL55" s="1103" t="s">
        <v>2602</v>
      </c>
      <c r="AM55" s="1102" t="s">
        <v>2602</v>
      </c>
      <c r="AN55" s="1102" t="s">
        <v>2602</v>
      </c>
      <c r="AO55" s="1102" t="s">
        <v>2602</v>
      </c>
      <c r="AP55" s="1102" t="s">
        <v>2602</v>
      </c>
      <c r="AQ55" s="1104" t="s">
        <v>2602</v>
      </c>
      <c r="AR55" s="1105">
        <v>160</v>
      </c>
      <c r="AS55" s="1106">
        <v>260</v>
      </c>
      <c r="AT55" s="1107">
        <v>0.41994750656167978</v>
      </c>
      <c r="AU55" s="1105" t="s">
        <v>2609</v>
      </c>
      <c r="AV55" s="1108" t="s">
        <v>2610</v>
      </c>
      <c r="AW55" s="1050">
        <v>1</v>
      </c>
      <c r="AX55" s="1050">
        <v>0</v>
      </c>
      <c r="AY55" s="1105" t="s">
        <v>2133</v>
      </c>
      <c r="AZ55" s="1050" t="s">
        <v>2133</v>
      </c>
      <c r="BA55" s="1108" t="s">
        <v>2133</v>
      </c>
      <c r="BB55" s="1109" t="s">
        <v>2843</v>
      </c>
      <c r="BC55" s="1109" t="s">
        <v>2602</v>
      </c>
      <c r="BD55" s="1050" t="s">
        <v>2670</v>
      </c>
      <c r="BE55" s="1110" t="s">
        <v>2129</v>
      </c>
      <c r="BF55" s="1111" t="s">
        <v>2129</v>
      </c>
      <c r="BG55" s="1111" t="s">
        <v>2129</v>
      </c>
      <c r="BH55" s="1111" t="s">
        <v>2129</v>
      </c>
      <c r="BI55" s="1111" t="s">
        <v>2129</v>
      </c>
      <c r="BJ55" s="2404"/>
      <c r="BK55" s="1132" t="s">
        <v>2266</v>
      </c>
      <c r="BL55" s="1134"/>
      <c r="BM55" s="2394" t="s">
        <v>3889</v>
      </c>
      <c r="BN55" s="2395" t="s">
        <v>14</v>
      </c>
      <c r="BO55" s="2305">
        <v>21</v>
      </c>
      <c r="BP55" s="2320">
        <f>SUM(BO55)</f>
        <v>21</v>
      </c>
      <c r="BQ55" s="2306">
        <v>11</v>
      </c>
      <c r="BR55" s="2403"/>
      <c r="BS55" s="1112"/>
    </row>
    <row r="56" spans="2:71" ht="21" customHeight="1">
      <c r="B56" s="2373" t="s">
        <v>3791</v>
      </c>
      <c r="C56" s="2308">
        <v>305</v>
      </c>
      <c r="D56" s="2309" t="s">
        <v>4034</v>
      </c>
      <c r="E56" s="2310" t="s">
        <v>2261</v>
      </c>
      <c r="F56" s="1161"/>
      <c r="G56" s="2311"/>
      <c r="H56" s="2312">
        <v>17</v>
      </c>
      <c r="I56" s="2313">
        <v>0.18571428571428572</v>
      </c>
      <c r="J56" s="1136" t="s">
        <v>4035</v>
      </c>
      <c r="K56" s="1137" t="s">
        <v>3964</v>
      </c>
      <c r="L56" s="1137" t="s">
        <v>4036</v>
      </c>
      <c r="M56" s="1137" t="s">
        <v>2602</v>
      </c>
      <c r="N56" s="1137" t="s">
        <v>2602</v>
      </c>
      <c r="O56" s="1137" t="s">
        <v>2602</v>
      </c>
      <c r="P56" s="1137" t="s">
        <v>2602</v>
      </c>
      <c r="Q56" s="1138" t="s">
        <v>2602</v>
      </c>
      <c r="R56" s="1138" t="s">
        <v>2602</v>
      </c>
      <c r="S56" s="1138" t="s">
        <v>2602</v>
      </c>
      <c r="T56" s="1138" t="s">
        <v>2602</v>
      </c>
      <c r="U56" s="1137" t="s">
        <v>2602</v>
      </c>
      <c r="V56" s="1137" t="s">
        <v>2602</v>
      </c>
      <c r="W56" s="1137" t="s">
        <v>2602</v>
      </c>
      <c r="X56" s="1137" t="s">
        <v>2602</v>
      </c>
      <c r="Y56" s="1139" t="s">
        <v>2602</v>
      </c>
      <c r="Z56" s="1140">
        <v>106</v>
      </c>
      <c r="AA56" s="1141">
        <v>106</v>
      </c>
      <c r="AB56" s="1136" t="s">
        <v>2727</v>
      </c>
      <c r="AC56" s="1137" t="s">
        <v>2602</v>
      </c>
      <c r="AD56" s="1137" t="s">
        <v>4037</v>
      </c>
      <c r="AE56" s="1137" t="s">
        <v>2602</v>
      </c>
      <c r="AF56" s="1137" t="s">
        <v>2602</v>
      </c>
      <c r="AG56" s="1137" t="s">
        <v>2602</v>
      </c>
      <c r="AH56" s="1137" t="s">
        <v>2602</v>
      </c>
      <c r="AI56" s="1138" t="s">
        <v>2602</v>
      </c>
      <c r="AJ56" s="1138" t="s">
        <v>2602</v>
      </c>
      <c r="AK56" s="1138" t="s">
        <v>2602</v>
      </c>
      <c r="AL56" s="1138" t="s">
        <v>2602</v>
      </c>
      <c r="AM56" s="1137" t="s">
        <v>2602</v>
      </c>
      <c r="AN56" s="1137" t="s">
        <v>2602</v>
      </c>
      <c r="AO56" s="1137" t="s">
        <v>2602</v>
      </c>
      <c r="AP56" s="1137" t="s">
        <v>2602</v>
      </c>
      <c r="AQ56" s="1139" t="s">
        <v>2602</v>
      </c>
      <c r="AR56" s="1140">
        <v>70</v>
      </c>
      <c r="AS56" s="1141">
        <v>70</v>
      </c>
      <c r="AT56" s="1142">
        <v>0.660377358490566</v>
      </c>
      <c r="AU56" s="1140" t="s">
        <v>2609</v>
      </c>
      <c r="AV56" s="1143" t="s">
        <v>2609</v>
      </c>
      <c r="AW56" s="1144">
        <v>0</v>
      </c>
      <c r="AX56" s="1144">
        <v>0</v>
      </c>
      <c r="AY56" s="1140" t="s">
        <v>2133</v>
      </c>
      <c r="AZ56" s="1144" t="s">
        <v>2133</v>
      </c>
      <c r="BA56" s="1143" t="s">
        <v>2133</v>
      </c>
      <c r="BB56" s="1159" t="s">
        <v>2299</v>
      </c>
      <c r="BC56" s="1159" t="s">
        <v>2602</v>
      </c>
      <c r="BD56" s="1144" t="s">
        <v>2735</v>
      </c>
      <c r="BE56" s="2314" t="s">
        <v>2129</v>
      </c>
      <c r="BF56" s="2315" t="s">
        <v>2129</v>
      </c>
      <c r="BG56" s="2315" t="s">
        <v>2129</v>
      </c>
      <c r="BH56" s="2315" t="s">
        <v>2129</v>
      </c>
      <c r="BI56" s="2315" t="s">
        <v>2133</v>
      </c>
      <c r="BJ56" s="2374" t="s">
        <v>3793</v>
      </c>
      <c r="BK56" s="1162" t="s">
        <v>3887</v>
      </c>
      <c r="BL56" s="1167" t="s">
        <v>3888</v>
      </c>
      <c r="BM56" s="2317" t="s">
        <v>3889</v>
      </c>
      <c r="BN56" s="2318" t="s">
        <v>3890</v>
      </c>
      <c r="BO56" s="2319">
        <v>17</v>
      </c>
      <c r="BP56" s="2320">
        <f>SUM(BO56:BO58)</f>
        <v>54</v>
      </c>
      <c r="BQ56" s="2320">
        <v>11</v>
      </c>
      <c r="BR56" s="2384"/>
      <c r="BS56" s="2322" t="s">
        <v>4038</v>
      </c>
    </row>
    <row r="57" spans="2:71" ht="21" customHeight="1">
      <c r="B57" s="2323" t="s">
        <v>3791</v>
      </c>
      <c r="C57" s="2324">
        <v>305</v>
      </c>
      <c r="D57" s="2325" t="s">
        <v>4034</v>
      </c>
      <c r="E57" s="2326" t="s">
        <v>2261</v>
      </c>
      <c r="F57" s="2327"/>
      <c r="G57" s="2328"/>
      <c r="H57" s="2329">
        <v>24</v>
      </c>
      <c r="I57" s="2330">
        <v>0.18571428571428572</v>
      </c>
      <c r="J57" s="2331" t="s">
        <v>4035</v>
      </c>
      <c r="K57" s="2332" t="s">
        <v>3964</v>
      </c>
      <c r="L57" s="2332" t="s">
        <v>4036</v>
      </c>
      <c r="M57" s="2332" t="s">
        <v>2602</v>
      </c>
      <c r="N57" s="2332" t="s">
        <v>2602</v>
      </c>
      <c r="O57" s="2332" t="s">
        <v>2602</v>
      </c>
      <c r="P57" s="2332" t="s">
        <v>2602</v>
      </c>
      <c r="Q57" s="2333" t="s">
        <v>2602</v>
      </c>
      <c r="R57" s="2333" t="s">
        <v>2602</v>
      </c>
      <c r="S57" s="2333" t="s">
        <v>2602</v>
      </c>
      <c r="T57" s="2333" t="s">
        <v>2602</v>
      </c>
      <c r="U57" s="2332" t="s">
        <v>2602</v>
      </c>
      <c r="V57" s="2332" t="s">
        <v>2602</v>
      </c>
      <c r="W57" s="2332" t="s">
        <v>2602</v>
      </c>
      <c r="X57" s="2332" t="s">
        <v>2602</v>
      </c>
      <c r="Y57" s="2334" t="s">
        <v>2602</v>
      </c>
      <c r="Z57" s="2327">
        <v>106</v>
      </c>
      <c r="AA57" s="2335">
        <v>106</v>
      </c>
      <c r="AB57" s="2331" t="s">
        <v>2727</v>
      </c>
      <c r="AC57" s="2332" t="s">
        <v>2602</v>
      </c>
      <c r="AD57" s="2332" t="s">
        <v>4037</v>
      </c>
      <c r="AE57" s="2332" t="s">
        <v>2602</v>
      </c>
      <c r="AF57" s="2332" t="s">
        <v>2602</v>
      </c>
      <c r="AG57" s="2332" t="s">
        <v>2602</v>
      </c>
      <c r="AH57" s="2332" t="s">
        <v>2602</v>
      </c>
      <c r="AI57" s="2333" t="s">
        <v>2602</v>
      </c>
      <c r="AJ57" s="2333" t="s">
        <v>2602</v>
      </c>
      <c r="AK57" s="2333" t="s">
        <v>2602</v>
      </c>
      <c r="AL57" s="2333" t="s">
        <v>2602</v>
      </c>
      <c r="AM57" s="2332" t="s">
        <v>2602</v>
      </c>
      <c r="AN57" s="2332" t="s">
        <v>2602</v>
      </c>
      <c r="AO57" s="2332" t="s">
        <v>2602</v>
      </c>
      <c r="AP57" s="2332" t="s">
        <v>2602</v>
      </c>
      <c r="AQ57" s="2334" t="s">
        <v>2602</v>
      </c>
      <c r="AR57" s="2327">
        <v>70</v>
      </c>
      <c r="AS57" s="2335">
        <v>70</v>
      </c>
      <c r="AT57" s="2336">
        <v>0.660377358490566</v>
      </c>
      <c r="AU57" s="2327" t="s">
        <v>2609</v>
      </c>
      <c r="AV57" s="2337" t="s">
        <v>2609</v>
      </c>
      <c r="AW57" s="2338">
        <v>0</v>
      </c>
      <c r="AX57" s="2338">
        <v>0</v>
      </c>
      <c r="AY57" s="1145" t="s">
        <v>2133</v>
      </c>
      <c r="AZ57" s="1147" t="s">
        <v>2133</v>
      </c>
      <c r="BA57" s="1146" t="s">
        <v>2133</v>
      </c>
      <c r="BB57" s="1151" t="s">
        <v>2299</v>
      </c>
      <c r="BC57" s="1151" t="s">
        <v>2602</v>
      </c>
      <c r="BD57" s="1147" t="s">
        <v>2735</v>
      </c>
      <c r="BE57" s="2424"/>
      <c r="BF57" s="2340" t="s">
        <v>2129</v>
      </c>
      <c r="BG57" s="2340" t="s">
        <v>2129</v>
      </c>
      <c r="BH57" s="2340" t="s">
        <v>2129</v>
      </c>
      <c r="BI57" s="2340" t="s">
        <v>2133</v>
      </c>
      <c r="BJ57" s="2341" t="s">
        <v>3788</v>
      </c>
      <c r="BK57" s="1153" t="s">
        <v>2275</v>
      </c>
      <c r="BL57" s="1168"/>
      <c r="BM57" s="2342" t="s">
        <v>3889</v>
      </c>
      <c r="BN57" s="2343" t="s">
        <v>3890</v>
      </c>
      <c r="BO57" s="2344">
        <v>24</v>
      </c>
      <c r="BP57" s="2345"/>
      <c r="BQ57" s="2345"/>
      <c r="BR57" s="2377"/>
      <c r="BS57" s="2347" t="s">
        <v>4039</v>
      </c>
    </row>
    <row r="58" spans="2:71" ht="21" customHeight="1">
      <c r="B58" s="2348" t="s">
        <v>3791</v>
      </c>
      <c r="C58" s="2349">
        <v>305</v>
      </c>
      <c r="D58" s="2350" t="s">
        <v>4034</v>
      </c>
      <c r="E58" s="2351" t="s">
        <v>2261</v>
      </c>
      <c r="F58" s="2352"/>
      <c r="G58" s="2353"/>
      <c r="H58" s="2354">
        <v>13</v>
      </c>
      <c r="I58" s="2355">
        <v>0.18571428571428572</v>
      </c>
      <c r="J58" s="2356" t="s">
        <v>4035</v>
      </c>
      <c r="K58" s="2357" t="s">
        <v>3964</v>
      </c>
      <c r="L58" s="2357" t="s">
        <v>4036</v>
      </c>
      <c r="M58" s="2357" t="s">
        <v>2602</v>
      </c>
      <c r="N58" s="2357" t="s">
        <v>2602</v>
      </c>
      <c r="O58" s="2357" t="s">
        <v>2602</v>
      </c>
      <c r="P58" s="2357" t="s">
        <v>2602</v>
      </c>
      <c r="Q58" s="2358" t="s">
        <v>2602</v>
      </c>
      <c r="R58" s="2358" t="s">
        <v>2602</v>
      </c>
      <c r="S58" s="2358" t="s">
        <v>2602</v>
      </c>
      <c r="T58" s="2358" t="s">
        <v>2602</v>
      </c>
      <c r="U58" s="2357" t="s">
        <v>2602</v>
      </c>
      <c r="V58" s="2357" t="s">
        <v>2602</v>
      </c>
      <c r="W58" s="2357" t="s">
        <v>2602</v>
      </c>
      <c r="X58" s="2357" t="s">
        <v>2602</v>
      </c>
      <c r="Y58" s="2359" t="s">
        <v>2602</v>
      </c>
      <c r="Z58" s="2352">
        <v>106</v>
      </c>
      <c r="AA58" s="2360">
        <v>106</v>
      </c>
      <c r="AB58" s="2356" t="s">
        <v>2727</v>
      </c>
      <c r="AC58" s="2357" t="s">
        <v>2602</v>
      </c>
      <c r="AD58" s="2357" t="s">
        <v>4037</v>
      </c>
      <c r="AE58" s="2357" t="s">
        <v>2602</v>
      </c>
      <c r="AF58" s="2357" t="s">
        <v>2602</v>
      </c>
      <c r="AG58" s="2357" t="s">
        <v>2602</v>
      </c>
      <c r="AH58" s="2357" t="s">
        <v>2602</v>
      </c>
      <c r="AI58" s="2358" t="s">
        <v>2602</v>
      </c>
      <c r="AJ58" s="2358" t="s">
        <v>2602</v>
      </c>
      <c r="AK58" s="2358" t="s">
        <v>2602</v>
      </c>
      <c r="AL58" s="2358" t="s">
        <v>2602</v>
      </c>
      <c r="AM58" s="2357" t="s">
        <v>2602</v>
      </c>
      <c r="AN58" s="2357" t="s">
        <v>2602</v>
      </c>
      <c r="AO58" s="2357" t="s">
        <v>2602</v>
      </c>
      <c r="AP58" s="2357" t="s">
        <v>2602</v>
      </c>
      <c r="AQ58" s="2359" t="s">
        <v>2602</v>
      </c>
      <c r="AR58" s="2352">
        <v>70</v>
      </c>
      <c r="AS58" s="2360">
        <v>70</v>
      </c>
      <c r="AT58" s="2361">
        <v>0.660377358490566</v>
      </c>
      <c r="AU58" s="2352" t="s">
        <v>2609</v>
      </c>
      <c r="AV58" s="2362" t="s">
        <v>2609</v>
      </c>
      <c r="AW58" s="2363">
        <v>0</v>
      </c>
      <c r="AX58" s="2363">
        <v>0</v>
      </c>
      <c r="AY58" s="1148" t="s">
        <v>2133</v>
      </c>
      <c r="AZ58" s="1150" t="s">
        <v>2133</v>
      </c>
      <c r="BA58" s="1149" t="s">
        <v>2133</v>
      </c>
      <c r="BB58" s="1155" t="s">
        <v>2299</v>
      </c>
      <c r="BC58" s="1155" t="s">
        <v>2602</v>
      </c>
      <c r="BD58" s="1150" t="s">
        <v>2735</v>
      </c>
      <c r="BE58" s="2364" t="s">
        <v>2129</v>
      </c>
      <c r="BF58" s="2365" t="s">
        <v>2129</v>
      </c>
      <c r="BG58" s="2365" t="s">
        <v>2129</v>
      </c>
      <c r="BH58" s="2365" t="s">
        <v>2129</v>
      </c>
      <c r="BI58" s="2365" t="s">
        <v>2133</v>
      </c>
      <c r="BJ58" s="2366"/>
      <c r="BK58" s="1156" t="s">
        <v>2263</v>
      </c>
      <c r="BL58" s="1169"/>
      <c r="BM58" s="2367" t="s">
        <v>3889</v>
      </c>
      <c r="BN58" s="2368" t="s">
        <v>3890</v>
      </c>
      <c r="BO58" s="2369">
        <v>13</v>
      </c>
      <c r="BP58" s="2370"/>
      <c r="BQ58" s="2370"/>
      <c r="BR58" s="2383"/>
      <c r="BS58" s="2372" t="s">
        <v>4040</v>
      </c>
    </row>
    <row r="59" spans="2:71" ht="21" customHeight="1">
      <c r="B59" s="2425" t="s">
        <v>3791</v>
      </c>
      <c r="C59" s="2408">
        <v>306</v>
      </c>
      <c r="D59" s="2409" t="s">
        <v>3883</v>
      </c>
      <c r="E59" s="2410" t="s">
        <v>2261</v>
      </c>
      <c r="F59" s="1084"/>
      <c r="G59" s="2411"/>
      <c r="H59" s="2412">
        <v>37</v>
      </c>
      <c r="I59" s="2413">
        <v>0.26</v>
      </c>
      <c r="J59" s="1085" t="s">
        <v>4041</v>
      </c>
      <c r="K59" s="1086" t="s">
        <v>3726</v>
      </c>
      <c r="L59" s="1086" t="s">
        <v>2699</v>
      </c>
      <c r="M59" s="1086" t="s">
        <v>2602</v>
      </c>
      <c r="N59" s="1086" t="s">
        <v>2602</v>
      </c>
      <c r="O59" s="1086" t="s">
        <v>2602</v>
      </c>
      <c r="P59" s="1086" t="s">
        <v>2602</v>
      </c>
      <c r="Q59" s="1087" t="s">
        <v>2602</v>
      </c>
      <c r="R59" s="1087" t="s">
        <v>2602</v>
      </c>
      <c r="S59" s="1087" t="s">
        <v>2602</v>
      </c>
      <c r="T59" s="1087" t="s">
        <v>2602</v>
      </c>
      <c r="U59" s="1086" t="s">
        <v>2602</v>
      </c>
      <c r="V59" s="1086" t="s">
        <v>2602</v>
      </c>
      <c r="W59" s="1086" t="s">
        <v>2602</v>
      </c>
      <c r="X59" s="1086" t="s">
        <v>2602</v>
      </c>
      <c r="Y59" s="1088" t="s">
        <v>2602</v>
      </c>
      <c r="Z59" s="1089">
        <v>194</v>
      </c>
      <c r="AA59" s="1090">
        <v>354</v>
      </c>
      <c r="AB59" s="1085" t="s">
        <v>3712</v>
      </c>
      <c r="AC59" s="1086" t="s">
        <v>2602</v>
      </c>
      <c r="AD59" s="1086" t="s">
        <v>4037</v>
      </c>
      <c r="AE59" s="1086" t="s">
        <v>2602</v>
      </c>
      <c r="AF59" s="1086" t="s">
        <v>2602</v>
      </c>
      <c r="AG59" s="1086" t="s">
        <v>2602</v>
      </c>
      <c r="AH59" s="1086" t="s">
        <v>2602</v>
      </c>
      <c r="AI59" s="1087" t="s">
        <v>2602</v>
      </c>
      <c r="AJ59" s="1087" t="s">
        <v>2602</v>
      </c>
      <c r="AK59" s="1087" t="s">
        <v>2602</v>
      </c>
      <c r="AL59" s="1087" t="s">
        <v>2602</v>
      </c>
      <c r="AM59" s="1086" t="s">
        <v>2602</v>
      </c>
      <c r="AN59" s="1086" t="s">
        <v>2602</v>
      </c>
      <c r="AO59" s="1086" t="s">
        <v>2602</v>
      </c>
      <c r="AP59" s="1086" t="s">
        <v>2602</v>
      </c>
      <c r="AQ59" s="1088" t="s">
        <v>2602</v>
      </c>
      <c r="AR59" s="1089">
        <v>52</v>
      </c>
      <c r="AS59" s="1090">
        <v>94</v>
      </c>
      <c r="AT59" s="1091">
        <v>0.26804123711340205</v>
      </c>
      <c r="AU59" s="1089" t="s">
        <v>2609</v>
      </c>
      <c r="AV59" s="1092" t="s">
        <v>2610</v>
      </c>
      <c r="AW59" s="1093">
        <v>0</v>
      </c>
      <c r="AX59" s="1093">
        <v>0</v>
      </c>
      <c r="AY59" s="1089" t="s">
        <v>2133</v>
      </c>
      <c r="AZ59" s="1093" t="s">
        <v>2133</v>
      </c>
      <c r="BA59" s="1092" t="s">
        <v>2133</v>
      </c>
      <c r="BB59" s="1094" t="s">
        <v>2274</v>
      </c>
      <c r="BC59" s="1094" t="s">
        <v>2602</v>
      </c>
      <c r="BD59" s="1093" t="s">
        <v>2735</v>
      </c>
      <c r="BE59" s="2414" t="s">
        <v>2129</v>
      </c>
      <c r="BF59" s="2415" t="s">
        <v>2129</v>
      </c>
      <c r="BG59" s="2415" t="s">
        <v>2129</v>
      </c>
      <c r="BH59" s="2415" t="s">
        <v>2129</v>
      </c>
      <c r="BI59" s="2415" t="s">
        <v>2133</v>
      </c>
      <c r="BJ59" s="2426" t="s">
        <v>3822</v>
      </c>
      <c r="BK59" s="1114" t="s">
        <v>3844</v>
      </c>
      <c r="BL59" s="2417" t="s">
        <v>2527</v>
      </c>
      <c r="BM59" s="2418" t="s">
        <v>3881</v>
      </c>
      <c r="BN59" s="2419" t="s">
        <v>3882</v>
      </c>
      <c r="BO59" s="2420">
        <v>37</v>
      </c>
      <c r="BP59" s="2320">
        <f t="shared" ref="BP59:BP69" si="0">SUM(BO59)</f>
        <v>37</v>
      </c>
      <c r="BQ59" s="2427">
        <v>11</v>
      </c>
      <c r="BR59" s="2393"/>
      <c r="BS59" s="1095"/>
    </row>
    <row r="60" spans="2:71" ht="21" customHeight="1">
      <c r="B60" s="2407" t="s">
        <v>3791</v>
      </c>
      <c r="C60" s="2408">
        <v>307</v>
      </c>
      <c r="D60" s="2409" t="s">
        <v>3552</v>
      </c>
      <c r="E60" s="2410" t="s">
        <v>2261</v>
      </c>
      <c r="F60" s="1084"/>
      <c r="G60" s="2411"/>
      <c r="H60" s="2412">
        <v>76</v>
      </c>
      <c r="I60" s="2413">
        <v>0.19148936170212766</v>
      </c>
      <c r="J60" s="1085" t="s">
        <v>2602</v>
      </c>
      <c r="K60" s="1086" t="s">
        <v>4042</v>
      </c>
      <c r="L60" s="1086" t="s">
        <v>2602</v>
      </c>
      <c r="M60" s="1086" t="s">
        <v>4033</v>
      </c>
      <c r="N60" s="1086" t="s">
        <v>3701</v>
      </c>
      <c r="O60" s="1086" t="s">
        <v>2602</v>
      </c>
      <c r="P60" s="1086" t="s">
        <v>2664</v>
      </c>
      <c r="Q60" s="1087" t="s">
        <v>2602</v>
      </c>
      <c r="R60" s="1087" t="s">
        <v>2602</v>
      </c>
      <c r="S60" s="1087" t="s">
        <v>2602</v>
      </c>
      <c r="T60" s="1087" t="s">
        <v>2602</v>
      </c>
      <c r="U60" s="1086" t="s">
        <v>4043</v>
      </c>
      <c r="V60" s="1086" t="s">
        <v>2602</v>
      </c>
      <c r="W60" s="1086" t="s">
        <v>2602</v>
      </c>
      <c r="X60" s="1086" t="s">
        <v>2602</v>
      </c>
      <c r="Y60" s="1088" t="s">
        <v>2602</v>
      </c>
      <c r="Z60" s="1089">
        <v>144</v>
      </c>
      <c r="AA60" s="1090">
        <v>144</v>
      </c>
      <c r="AB60" s="1085" t="s">
        <v>2602</v>
      </c>
      <c r="AC60" s="1086" t="s">
        <v>4037</v>
      </c>
      <c r="AD60" s="1086" t="s">
        <v>2602</v>
      </c>
      <c r="AE60" s="1086" t="s">
        <v>4043</v>
      </c>
      <c r="AF60" s="1086" t="s">
        <v>2665</v>
      </c>
      <c r="AG60" s="1086" t="s">
        <v>2602</v>
      </c>
      <c r="AH60" s="1086" t="s">
        <v>2602</v>
      </c>
      <c r="AI60" s="1087" t="s">
        <v>2602</v>
      </c>
      <c r="AJ60" s="1087" t="s">
        <v>2602</v>
      </c>
      <c r="AK60" s="1087" t="s">
        <v>2602</v>
      </c>
      <c r="AL60" s="1087" t="s">
        <v>2602</v>
      </c>
      <c r="AM60" s="1086" t="s">
        <v>4044</v>
      </c>
      <c r="AN60" s="1086" t="s">
        <v>2602</v>
      </c>
      <c r="AO60" s="1086" t="s">
        <v>2602</v>
      </c>
      <c r="AP60" s="1086" t="s">
        <v>2602</v>
      </c>
      <c r="AQ60" s="1088" t="s">
        <v>2602</v>
      </c>
      <c r="AR60" s="1089">
        <v>50</v>
      </c>
      <c r="AS60" s="1090">
        <v>50</v>
      </c>
      <c r="AT60" s="1091">
        <v>0.34722222222222221</v>
      </c>
      <c r="AU60" s="1089" t="s">
        <v>2609</v>
      </c>
      <c r="AV60" s="1092" t="s">
        <v>2609</v>
      </c>
      <c r="AW60" s="1093">
        <v>0</v>
      </c>
      <c r="AX60" s="1093">
        <v>0</v>
      </c>
      <c r="AY60" s="1089" t="s">
        <v>2133</v>
      </c>
      <c r="AZ60" s="1093" t="s">
        <v>2688</v>
      </c>
      <c r="BA60" s="1092" t="s">
        <v>2688</v>
      </c>
      <c r="BB60" s="1094" t="s">
        <v>2299</v>
      </c>
      <c r="BC60" s="1094" t="s">
        <v>2133</v>
      </c>
      <c r="BD60" s="1093" t="s">
        <v>2613</v>
      </c>
      <c r="BE60" s="2414" t="s">
        <v>2129</v>
      </c>
      <c r="BF60" s="2415" t="s">
        <v>2129</v>
      </c>
      <c r="BG60" s="2415" t="s">
        <v>2129</v>
      </c>
      <c r="BH60" s="2415" t="s">
        <v>2129</v>
      </c>
      <c r="BI60" s="2415" t="s">
        <v>2129</v>
      </c>
      <c r="BJ60" s="2426"/>
      <c r="BK60" s="1114" t="s">
        <v>3827</v>
      </c>
      <c r="BL60" s="2417" t="s">
        <v>3564</v>
      </c>
      <c r="BM60" s="2418" t="s">
        <v>3884</v>
      </c>
      <c r="BN60" s="2419" t="s">
        <v>3885</v>
      </c>
      <c r="BO60" s="2420">
        <v>76</v>
      </c>
      <c r="BP60" s="2320">
        <f t="shared" si="0"/>
        <v>76</v>
      </c>
      <c r="BQ60" s="2427">
        <v>11</v>
      </c>
      <c r="BR60" s="2403"/>
      <c r="BS60" s="1097"/>
    </row>
    <row r="61" spans="2:71" ht="21" customHeight="1">
      <c r="B61" s="2407" t="s">
        <v>3791</v>
      </c>
      <c r="C61" s="2408">
        <v>1029</v>
      </c>
      <c r="D61" s="2409" t="s">
        <v>4045</v>
      </c>
      <c r="E61" s="2410" t="s">
        <v>2359</v>
      </c>
      <c r="F61" s="1084"/>
      <c r="G61" s="2411"/>
      <c r="H61" s="2412">
        <v>97</v>
      </c>
      <c r="I61" s="2413">
        <v>0.69303797468354433</v>
      </c>
      <c r="J61" s="1085" t="s">
        <v>2602</v>
      </c>
      <c r="K61" s="1086" t="s">
        <v>2602</v>
      </c>
      <c r="L61" s="1086" t="s">
        <v>2602</v>
      </c>
      <c r="M61" s="1086" t="s">
        <v>2678</v>
      </c>
      <c r="N61" s="1086" t="s">
        <v>4046</v>
      </c>
      <c r="O61" s="1086" t="s">
        <v>4047</v>
      </c>
      <c r="P61" s="1086" t="s">
        <v>4048</v>
      </c>
      <c r="Q61" s="1087" t="s">
        <v>4049</v>
      </c>
      <c r="R61" s="1087" t="s">
        <v>2602</v>
      </c>
      <c r="S61" s="1087" t="s">
        <v>2602</v>
      </c>
      <c r="T61" s="1087" t="s">
        <v>2602</v>
      </c>
      <c r="U61" s="1086" t="s">
        <v>2602</v>
      </c>
      <c r="V61" s="1086" t="s">
        <v>2602</v>
      </c>
      <c r="W61" s="1086" t="s">
        <v>4050</v>
      </c>
      <c r="X61" s="1086" t="s">
        <v>2602</v>
      </c>
      <c r="Y61" s="1088" t="s">
        <v>2602</v>
      </c>
      <c r="Z61" s="1089">
        <v>147</v>
      </c>
      <c r="AA61" s="1090">
        <v>316</v>
      </c>
      <c r="AB61" s="1085" t="s">
        <v>2602</v>
      </c>
      <c r="AC61" s="1086" t="s">
        <v>2602</v>
      </c>
      <c r="AD61" s="1086" t="s">
        <v>2602</v>
      </c>
      <c r="AE61" s="1086" t="s">
        <v>2678</v>
      </c>
      <c r="AF61" s="1086" t="s">
        <v>4046</v>
      </c>
      <c r="AG61" s="1086" t="s">
        <v>4047</v>
      </c>
      <c r="AH61" s="1086" t="s">
        <v>4048</v>
      </c>
      <c r="AI61" s="1087" t="s">
        <v>4049</v>
      </c>
      <c r="AJ61" s="1087" t="s">
        <v>2602</v>
      </c>
      <c r="AK61" s="1087" t="s">
        <v>2602</v>
      </c>
      <c r="AL61" s="1087" t="s">
        <v>2602</v>
      </c>
      <c r="AM61" s="1086" t="s">
        <v>2602</v>
      </c>
      <c r="AN61" s="1086" t="s">
        <v>2602</v>
      </c>
      <c r="AO61" s="1086" t="s">
        <v>4050</v>
      </c>
      <c r="AP61" s="1086" t="s">
        <v>2602</v>
      </c>
      <c r="AQ61" s="1088" t="s">
        <v>2602</v>
      </c>
      <c r="AR61" s="1089">
        <v>147</v>
      </c>
      <c r="AS61" s="1090">
        <v>316</v>
      </c>
      <c r="AT61" s="1091">
        <v>1</v>
      </c>
      <c r="AU61" s="1089" t="s">
        <v>2610</v>
      </c>
      <c r="AV61" s="1092" t="s">
        <v>2610</v>
      </c>
      <c r="AW61" s="1093">
        <v>6</v>
      </c>
      <c r="AX61" s="1093">
        <v>6</v>
      </c>
      <c r="AY61" s="1089" t="s">
        <v>2133</v>
      </c>
      <c r="AZ61" s="1093" t="s">
        <v>2133</v>
      </c>
      <c r="BA61" s="1092" t="s">
        <v>2133</v>
      </c>
      <c r="BB61" s="1094" t="s">
        <v>2235</v>
      </c>
      <c r="BC61" s="1094" t="s">
        <v>4016</v>
      </c>
      <c r="BD61" s="1093" t="s">
        <v>3812</v>
      </c>
      <c r="BE61" s="2414" t="s">
        <v>2129</v>
      </c>
      <c r="BF61" s="2415" t="s">
        <v>2129</v>
      </c>
      <c r="BG61" s="2415" t="s">
        <v>2133</v>
      </c>
      <c r="BH61" s="2415" t="s">
        <v>2129</v>
      </c>
      <c r="BI61" s="2415" t="s">
        <v>2129</v>
      </c>
      <c r="BJ61" s="2416"/>
      <c r="BK61" s="1096" t="s">
        <v>2361</v>
      </c>
      <c r="BL61" s="2417"/>
      <c r="BM61" s="2418" t="s">
        <v>3810</v>
      </c>
      <c r="BN61" s="2419" t="s">
        <v>3811</v>
      </c>
      <c r="BO61" s="2420">
        <v>97</v>
      </c>
      <c r="BP61" s="2320">
        <f t="shared" si="0"/>
        <v>97</v>
      </c>
      <c r="BQ61" s="2427">
        <v>11</v>
      </c>
      <c r="BR61" s="2403"/>
      <c r="BS61" s="1095"/>
    </row>
    <row r="62" spans="2:71" ht="21" customHeight="1">
      <c r="B62" s="2407" t="s">
        <v>3791</v>
      </c>
      <c r="C62" s="2408">
        <v>2009</v>
      </c>
      <c r="D62" s="2409" t="s">
        <v>4051</v>
      </c>
      <c r="E62" s="2410" t="s">
        <v>2417</v>
      </c>
      <c r="F62" s="1084"/>
      <c r="G62" s="2411"/>
      <c r="H62" s="2412">
        <v>30</v>
      </c>
      <c r="I62" s="2413">
        <v>0.66666666666666663</v>
      </c>
      <c r="J62" s="1085" t="s">
        <v>2602</v>
      </c>
      <c r="K62" s="1086" t="s">
        <v>4052</v>
      </c>
      <c r="L62" s="1086" t="s">
        <v>2602</v>
      </c>
      <c r="M62" s="1086" t="s">
        <v>4053</v>
      </c>
      <c r="N62" s="1086" t="s">
        <v>2602</v>
      </c>
      <c r="O62" s="1086" t="s">
        <v>2602</v>
      </c>
      <c r="P62" s="1086" t="s">
        <v>2602</v>
      </c>
      <c r="Q62" s="1087" t="s">
        <v>2602</v>
      </c>
      <c r="R62" s="1087" t="s">
        <v>2602</v>
      </c>
      <c r="S62" s="1087" t="s">
        <v>2602</v>
      </c>
      <c r="T62" s="1087" t="s">
        <v>2602</v>
      </c>
      <c r="U62" s="1086" t="s">
        <v>2602</v>
      </c>
      <c r="V62" s="1086" t="s">
        <v>2602</v>
      </c>
      <c r="W62" s="1086" t="s">
        <v>2602</v>
      </c>
      <c r="X62" s="1086" t="s">
        <v>4054</v>
      </c>
      <c r="Y62" s="1088" t="s">
        <v>2602</v>
      </c>
      <c r="Z62" s="1089">
        <v>378</v>
      </c>
      <c r="AA62" s="1090">
        <v>620</v>
      </c>
      <c r="AB62" s="1085" t="s">
        <v>2602</v>
      </c>
      <c r="AC62" s="1086" t="s">
        <v>4020</v>
      </c>
      <c r="AD62" s="1086" t="s">
        <v>2602</v>
      </c>
      <c r="AE62" s="1086" t="s">
        <v>3701</v>
      </c>
      <c r="AF62" s="1086" t="s">
        <v>2602</v>
      </c>
      <c r="AG62" s="1086" t="s">
        <v>2602</v>
      </c>
      <c r="AH62" s="1086" t="s">
        <v>2602</v>
      </c>
      <c r="AI62" s="1087" t="s">
        <v>2602</v>
      </c>
      <c r="AJ62" s="1087" t="s">
        <v>2602</v>
      </c>
      <c r="AK62" s="1087" t="s">
        <v>2602</v>
      </c>
      <c r="AL62" s="1087" t="s">
        <v>2602</v>
      </c>
      <c r="AM62" s="1086" t="s">
        <v>2602</v>
      </c>
      <c r="AN62" s="1086" t="s">
        <v>2602</v>
      </c>
      <c r="AO62" s="1086" t="s">
        <v>2602</v>
      </c>
      <c r="AP62" s="1086" t="s">
        <v>2602</v>
      </c>
      <c r="AQ62" s="1088" t="s">
        <v>2602</v>
      </c>
      <c r="AR62" s="1089">
        <v>60</v>
      </c>
      <c r="AS62" s="1090">
        <v>90</v>
      </c>
      <c r="AT62" s="1091">
        <v>0.15873015873015872</v>
      </c>
      <c r="AU62" s="1089" t="s">
        <v>2609</v>
      </c>
      <c r="AV62" s="1092" t="s">
        <v>2610</v>
      </c>
      <c r="AW62" s="1093">
        <v>24</v>
      </c>
      <c r="AX62" s="1093">
        <v>3</v>
      </c>
      <c r="AY62" s="1089" t="s">
        <v>2133</v>
      </c>
      <c r="AZ62" s="1093" t="s">
        <v>2133</v>
      </c>
      <c r="BA62" s="1092" t="s">
        <v>2133</v>
      </c>
      <c r="BB62" s="1094" t="s">
        <v>2350</v>
      </c>
      <c r="BC62" s="1094" t="s">
        <v>2612</v>
      </c>
      <c r="BD62" s="1093" t="s">
        <v>2133</v>
      </c>
      <c r="BE62" s="2414" t="s">
        <v>2129</v>
      </c>
      <c r="BF62" s="2415" t="s">
        <v>2129</v>
      </c>
      <c r="BG62" s="2415" t="s">
        <v>2129</v>
      </c>
      <c r="BH62" s="2415" t="s">
        <v>2129</v>
      </c>
      <c r="BI62" s="2415" t="s">
        <v>2129</v>
      </c>
      <c r="BJ62" s="2426" t="s">
        <v>3793</v>
      </c>
      <c r="BK62" s="1114" t="s">
        <v>3806</v>
      </c>
      <c r="BL62" s="2428" t="s">
        <v>3807</v>
      </c>
      <c r="BM62" s="2418" t="s">
        <v>3847</v>
      </c>
      <c r="BN62" s="2419" t="s">
        <v>3848</v>
      </c>
      <c r="BO62" s="2420">
        <v>50</v>
      </c>
      <c r="BP62" s="2320">
        <f t="shared" si="0"/>
        <v>50</v>
      </c>
      <c r="BQ62" s="2427">
        <v>11</v>
      </c>
      <c r="BR62" s="2393"/>
      <c r="BS62" s="1095"/>
    </row>
    <row r="63" spans="2:71" ht="21" customHeight="1">
      <c r="B63" s="2425" t="s">
        <v>3791</v>
      </c>
      <c r="C63" s="2408">
        <v>2021</v>
      </c>
      <c r="D63" s="2409" t="s">
        <v>4055</v>
      </c>
      <c r="E63" s="2410" t="s">
        <v>2408</v>
      </c>
      <c r="F63" s="1084"/>
      <c r="G63" s="2411"/>
      <c r="H63" s="2412">
        <v>34</v>
      </c>
      <c r="I63" s="2413">
        <v>0.86507936507936511</v>
      </c>
      <c r="J63" s="1085" t="s">
        <v>4056</v>
      </c>
      <c r="K63" s="1086" t="s">
        <v>4057</v>
      </c>
      <c r="L63" s="1086" t="s">
        <v>2602</v>
      </c>
      <c r="M63" s="1086" t="s">
        <v>4058</v>
      </c>
      <c r="N63" s="1086" t="s">
        <v>2602</v>
      </c>
      <c r="O63" s="1086" t="s">
        <v>2602</v>
      </c>
      <c r="P63" s="1086" t="s">
        <v>2602</v>
      </c>
      <c r="Q63" s="1087" t="s">
        <v>2602</v>
      </c>
      <c r="R63" s="1087" t="s">
        <v>2602</v>
      </c>
      <c r="S63" s="1087" t="s">
        <v>2602</v>
      </c>
      <c r="T63" s="1087" t="s">
        <v>2602</v>
      </c>
      <c r="U63" s="1086" t="s">
        <v>2602</v>
      </c>
      <c r="V63" s="1086" t="s">
        <v>2602</v>
      </c>
      <c r="W63" s="1086" t="s">
        <v>2602</v>
      </c>
      <c r="X63" s="1086" t="s">
        <v>3981</v>
      </c>
      <c r="Y63" s="1088" t="s">
        <v>2602</v>
      </c>
      <c r="Z63" s="1089">
        <v>322</v>
      </c>
      <c r="AA63" s="1090">
        <v>521</v>
      </c>
      <c r="AB63" s="1085" t="s">
        <v>2720</v>
      </c>
      <c r="AC63" s="1086" t="s">
        <v>2602</v>
      </c>
      <c r="AD63" s="1086" t="s">
        <v>2602</v>
      </c>
      <c r="AE63" s="1086" t="s">
        <v>4059</v>
      </c>
      <c r="AF63" s="1086" t="s">
        <v>2602</v>
      </c>
      <c r="AG63" s="1086" t="s">
        <v>2602</v>
      </c>
      <c r="AH63" s="1086" t="s">
        <v>2602</v>
      </c>
      <c r="AI63" s="1087" t="s">
        <v>2602</v>
      </c>
      <c r="AJ63" s="1087" t="s">
        <v>2602</v>
      </c>
      <c r="AK63" s="1087" t="s">
        <v>2602</v>
      </c>
      <c r="AL63" s="1087" t="s">
        <v>2602</v>
      </c>
      <c r="AM63" s="1086" t="s">
        <v>2602</v>
      </c>
      <c r="AN63" s="1086" t="s">
        <v>2602</v>
      </c>
      <c r="AO63" s="1086" t="s">
        <v>2602</v>
      </c>
      <c r="AP63" s="1086" t="s">
        <v>2602</v>
      </c>
      <c r="AQ63" s="1088" t="s">
        <v>2602</v>
      </c>
      <c r="AR63" s="1089">
        <v>153</v>
      </c>
      <c r="AS63" s="1090">
        <v>252</v>
      </c>
      <c r="AT63" s="1091">
        <v>0.4751552795031056</v>
      </c>
      <c r="AU63" s="1089" t="s">
        <v>2609</v>
      </c>
      <c r="AV63" s="1092" t="s">
        <v>2610</v>
      </c>
      <c r="AW63" s="1093">
        <v>11</v>
      </c>
      <c r="AX63" s="1093">
        <v>10</v>
      </c>
      <c r="AY63" s="1089" t="s">
        <v>2133</v>
      </c>
      <c r="AZ63" s="1093" t="s">
        <v>2133</v>
      </c>
      <c r="BA63" s="1092" t="s">
        <v>2133</v>
      </c>
      <c r="BB63" s="1094" t="s">
        <v>2207</v>
      </c>
      <c r="BC63" s="1094" t="s">
        <v>2612</v>
      </c>
      <c r="BD63" s="1093" t="s">
        <v>2133</v>
      </c>
      <c r="BE63" s="2414" t="s">
        <v>2129</v>
      </c>
      <c r="BF63" s="2415" t="s">
        <v>2129</v>
      </c>
      <c r="BG63" s="2415" t="s">
        <v>2129</v>
      </c>
      <c r="BH63" s="2415" t="s">
        <v>2129</v>
      </c>
      <c r="BI63" s="2415" t="s">
        <v>2129</v>
      </c>
      <c r="BJ63" s="2426" t="s">
        <v>3822</v>
      </c>
      <c r="BK63" s="1114" t="s">
        <v>3844</v>
      </c>
      <c r="BL63" s="2417" t="s">
        <v>2411</v>
      </c>
      <c r="BM63" s="2418" t="s">
        <v>3850</v>
      </c>
      <c r="BN63" s="2419" t="s">
        <v>3851</v>
      </c>
      <c r="BO63" s="2420">
        <v>34</v>
      </c>
      <c r="BP63" s="2320">
        <f t="shared" si="0"/>
        <v>34</v>
      </c>
      <c r="BQ63" s="2427">
        <v>11</v>
      </c>
      <c r="BR63" s="2403"/>
      <c r="BS63" s="1095"/>
    </row>
    <row r="64" spans="2:71" ht="21" customHeight="1">
      <c r="B64" s="2425" t="s">
        <v>3791</v>
      </c>
      <c r="C64" s="2408">
        <v>2025</v>
      </c>
      <c r="D64" s="2409" t="s">
        <v>4060</v>
      </c>
      <c r="E64" s="2410" t="s">
        <v>2396</v>
      </c>
      <c r="F64" s="1084"/>
      <c r="G64" s="2411"/>
      <c r="H64" s="2412">
        <v>34</v>
      </c>
      <c r="I64" s="2413">
        <v>0.45161290322580644</v>
      </c>
      <c r="J64" s="1085" t="s">
        <v>2602</v>
      </c>
      <c r="K64" s="1086" t="s">
        <v>2662</v>
      </c>
      <c r="L64" s="1086" t="s">
        <v>2602</v>
      </c>
      <c r="M64" s="1086" t="s">
        <v>4061</v>
      </c>
      <c r="N64" s="1086" t="s">
        <v>2602</v>
      </c>
      <c r="O64" s="1086" t="s">
        <v>2602</v>
      </c>
      <c r="P64" s="1086" t="s">
        <v>2602</v>
      </c>
      <c r="Q64" s="1087" t="s">
        <v>3972</v>
      </c>
      <c r="R64" s="1087" t="s">
        <v>2732</v>
      </c>
      <c r="S64" s="1087" t="s">
        <v>2602</v>
      </c>
      <c r="T64" s="1087" t="s">
        <v>2602</v>
      </c>
      <c r="U64" s="1086" t="s">
        <v>2687</v>
      </c>
      <c r="V64" s="1086" t="s">
        <v>2732</v>
      </c>
      <c r="W64" s="1086" t="s">
        <v>2602</v>
      </c>
      <c r="X64" s="1086" t="s">
        <v>4018</v>
      </c>
      <c r="Y64" s="1088" t="s">
        <v>2602</v>
      </c>
      <c r="Z64" s="1089">
        <v>128</v>
      </c>
      <c r="AA64" s="1090">
        <v>223</v>
      </c>
      <c r="AB64" s="1085" t="s">
        <v>2602</v>
      </c>
      <c r="AC64" s="1086" t="s">
        <v>3721</v>
      </c>
      <c r="AD64" s="1086" t="s">
        <v>2602</v>
      </c>
      <c r="AE64" s="1086" t="s">
        <v>2684</v>
      </c>
      <c r="AF64" s="1086" t="s">
        <v>2602</v>
      </c>
      <c r="AG64" s="1086" t="s">
        <v>2602</v>
      </c>
      <c r="AH64" s="1086" t="s">
        <v>2602</v>
      </c>
      <c r="AI64" s="1087" t="s">
        <v>3972</v>
      </c>
      <c r="AJ64" s="1087" t="s">
        <v>2732</v>
      </c>
      <c r="AK64" s="1087" t="s">
        <v>2602</v>
      </c>
      <c r="AL64" s="1087" t="s">
        <v>2602</v>
      </c>
      <c r="AM64" s="1086" t="s">
        <v>2602</v>
      </c>
      <c r="AN64" s="1086" t="s">
        <v>2602</v>
      </c>
      <c r="AO64" s="1086" t="s">
        <v>2602</v>
      </c>
      <c r="AP64" s="1086" t="s">
        <v>2602</v>
      </c>
      <c r="AQ64" s="1088" t="s">
        <v>2602</v>
      </c>
      <c r="AR64" s="1089">
        <v>36</v>
      </c>
      <c r="AS64" s="1090">
        <v>62</v>
      </c>
      <c r="AT64" s="1091">
        <v>0.28125</v>
      </c>
      <c r="AU64" s="1089" t="s">
        <v>2609</v>
      </c>
      <c r="AV64" s="1092" t="s">
        <v>2609</v>
      </c>
      <c r="AW64" s="1093">
        <v>3</v>
      </c>
      <c r="AX64" s="1093">
        <v>2</v>
      </c>
      <c r="AY64" s="1089" t="s">
        <v>2133</v>
      </c>
      <c r="AZ64" s="1093" t="s">
        <v>2133</v>
      </c>
      <c r="BA64" s="1092" t="s">
        <v>2133</v>
      </c>
      <c r="BB64" s="1094" t="s">
        <v>2288</v>
      </c>
      <c r="BC64" s="1094" t="s">
        <v>2612</v>
      </c>
      <c r="BD64" s="1093" t="s">
        <v>2133</v>
      </c>
      <c r="BE64" s="2414" t="s">
        <v>2129</v>
      </c>
      <c r="BF64" s="2415" t="s">
        <v>2129</v>
      </c>
      <c r="BG64" s="2415" t="s">
        <v>2129</v>
      </c>
      <c r="BH64" s="2415" t="s">
        <v>2129</v>
      </c>
      <c r="BI64" s="2415" t="s">
        <v>2129</v>
      </c>
      <c r="BJ64" s="2426" t="s">
        <v>3788</v>
      </c>
      <c r="BK64" s="1114" t="s">
        <v>3887</v>
      </c>
      <c r="BL64" s="2417" t="s">
        <v>3927</v>
      </c>
      <c r="BM64" s="2418" t="s">
        <v>3928</v>
      </c>
      <c r="BN64" s="2419" t="s">
        <v>3929</v>
      </c>
      <c r="BO64" s="2420">
        <v>34</v>
      </c>
      <c r="BP64" s="2320">
        <f t="shared" si="0"/>
        <v>34</v>
      </c>
      <c r="BQ64" s="2421">
        <v>11</v>
      </c>
      <c r="BR64" s="2423"/>
      <c r="BS64" s="1095" t="s">
        <v>4062</v>
      </c>
    </row>
    <row r="65" spans="2:71" ht="21" customHeight="1">
      <c r="B65" s="2407" t="s">
        <v>3791</v>
      </c>
      <c r="C65" s="2408">
        <v>2028</v>
      </c>
      <c r="D65" s="2409" t="s">
        <v>3594</v>
      </c>
      <c r="E65" s="2410" t="s">
        <v>2378</v>
      </c>
      <c r="F65" s="1084"/>
      <c r="G65" s="2411"/>
      <c r="H65" s="2412">
        <v>60</v>
      </c>
      <c r="I65" s="2413">
        <v>0</v>
      </c>
      <c r="J65" s="1085" t="s">
        <v>4063</v>
      </c>
      <c r="K65" s="1086" t="s">
        <v>3724</v>
      </c>
      <c r="L65" s="1086" t="s">
        <v>3994</v>
      </c>
      <c r="M65" s="1086" t="s">
        <v>3981</v>
      </c>
      <c r="N65" s="1086" t="s">
        <v>2602</v>
      </c>
      <c r="O65" s="1086" t="s">
        <v>2602</v>
      </c>
      <c r="P65" s="1086" t="s">
        <v>2602</v>
      </c>
      <c r="Q65" s="1087" t="s">
        <v>3983</v>
      </c>
      <c r="R65" s="1087" t="s">
        <v>2602</v>
      </c>
      <c r="S65" s="1087" t="s">
        <v>2602</v>
      </c>
      <c r="T65" s="1087" t="s">
        <v>2602</v>
      </c>
      <c r="U65" s="1086" t="s">
        <v>2602</v>
      </c>
      <c r="V65" s="1086" t="s">
        <v>2602</v>
      </c>
      <c r="W65" s="1086" t="s">
        <v>2602</v>
      </c>
      <c r="X65" s="1086" t="s">
        <v>2602</v>
      </c>
      <c r="Y65" s="1088" t="s">
        <v>2602</v>
      </c>
      <c r="Z65" s="1089">
        <v>60</v>
      </c>
      <c r="AA65" s="1090">
        <v>64</v>
      </c>
      <c r="AB65" s="1085" t="s">
        <v>2676</v>
      </c>
      <c r="AC65" s="1086" t="s">
        <v>2602</v>
      </c>
      <c r="AD65" s="1086" t="s">
        <v>3721</v>
      </c>
      <c r="AE65" s="1086" t="s">
        <v>2602</v>
      </c>
      <c r="AF65" s="1086" t="s">
        <v>2602</v>
      </c>
      <c r="AG65" s="1086" t="s">
        <v>2602</v>
      </c>
      <c r="AH65" s="1086" t="s">
        <v>2602</v>
      </c>
      <c r="AI65" s="1087" t="s">
        <v>2602</v>
      </c>
      <c r="AJ65" s="1087" t="s">
        <v>2602</v>
      </c>
      <c r="AK65" s="1087" t="s">
        <v>2602</v>
      </c>
      <c r="AL65" s="1087" t="s">
        <v>2602</v>
      </c>
      <c r="AM65" s="1086" t="s">
        <v>2602</v>
      </c>
      <c r="AN65" s="1086" t="s">
        <v>2602</v>
      </c>
      <c r="AO65" s="1086" t="s">
        <v>2602</v>
      </c>
      <c r="AP65" s="1086" t="s">
        <v>2602</v>
      </c>
      <c r="AQ65" s="1088" t="s">
        <v>2602</v>
      </c>
      <c r="AR65" s="1089">
        <v>30</v>
      </c>
      <c r="AS65" s="1090">
        <v>30</v>
      </c>
      <c r="AT65" s="1091">
        <v>0.5</v>
      </c>
      <c r="AU65" s="1089" t="s">
        <v>2609</v>
      </c>
      <c r="AV65" s="1092" t="s">
        <v>2610</v>
      </c>
      <c r="AW65" s="1093">
        <v>16</v>
      </c>
      <c r="AX65" s="1093">
        <v>16</v>
      </c>
      <c r="AY65" s="1089" t="s">
        <v>2133</v>
      </c>
      <c r="AZ65" s="1093" t="s">
        <v>2133</v>
      </c>
      <c r="BA65" s="1092" t="s">
        <v>2133</v>
      </c>
      <c r="BB65" s="1094" t="s">
        <v>2240</v>
      </c>
      <c r="BC65" s="1094" t="s">
        <v>2133</v>
      </c>
      <c r="BD65" s="1093" t="s">
        <v>2133</v>
      </c>
      <c r="BE65" s="2414" t="s">
        <v>2129</v>
      </c>
      <c r="BF65" s="2415" t="s">
        <v>2129</v>
      </c>
      <c r="BG65" s="2415" t="s">
        <v>2129</v>
      </c>
      <c r="BH65" s="2415" t="s">
        <v>2129</v>
      </c>
      <c r="BI65" s="2415" t="s">
        <v>2129</v>
      </c>
      <c r="BJ65" s="2426" t="s">
        <v>3793</v>
      </c>
      <c r="BK65" s="1114" t="s">
        <v>3806</v>
      </c>
      <c r="BL65" s="2428" t="s">
        <v>3859</v>
      </c>
      <c r="BM65" s="2418" t="s">
        <v>3861</v>
      </c>
      <c r="BN65" s="2419" t="s">
        <v>3862</v>
      </c>
      <c r="BO65" s="2420">
        <v>60</v>
      </c>
      <c r="BP65" s="2320">
        <f t="shared" si="0"/>
        <v>60</v>
      </c>
      <c r="BQ65" s="2421">
        <v>11</v>
      </c>
      <c r="BR65" s="2422"/>
      <c r="BS65" s="1095"/>
    </row>
    <row r="66" spans="2:71" ht="21" customHeight="1">
      <c r="B66" s="2407" t="s">
        <v>3791</v>
      </c>
      <c r="C66" s="2408">
        <v>2030</v>
      </c>
      <c r="D66" s="2409" t="s">
        <v>3871</v>
      </c>
      <c r="E66" s="2410" t="s">
        <v>2378</v>
      </c>
      <c r="F66" s="1084"/>
      <c r="G66" s="2411"/>
      <c r="H66" s="2412">
        <v>76</v>
      </c>
      <c r="I66" s="2413">
        <v>-0.11504424778761062</v>
      </c>
      <c r="J66" s="1085" t="s">
        <v>4064</v>
      </c>
      <c r="K66" s="1086" t="s">
        <v>2623</v>
      </c>
      <c r="L66" s="1086" t="s">
        <v>2602</v>
      </c>
      <c r="M66" s="1086" t="s">
        <v>4065</v>
      </c>
      <c r="N66" s="1086" t="s">
        <v>2602</v>
      </c>
      <c r="O66" s="1086" t="s">
        <v>2602</v>
      </c>
      <c r="P66" s="1086" t="s">
        <v>2602</v>
      </c>
      <c r="Q66" s="1087" t="s">
        <v>2602</v>
      </c>
      <c r="R66" s="1087" t="s">
        <v>2602</v>
      </c>
      <c r="S66" s="1087" t="s">
        <v>2602</v>
      </c>
      <c r="T66" s="1087" t="s">
        <v>2602</v>
      </c>
      <c r="U66" s="1086" t="s">
        <v>2602</v>
      </c>
      <c r="V66" s="1086" t="s">
        <v>2602</v>
      </c>
      <c r="W66" s="1086" t="s">
        <v>2602</v>
      </c>
      <c r="X66" s="1086" t="s">
        <v>2602</v>
      </c>
      <c r="Y66" s="1088" t="s">
        <v>2602</v>
      </c>
      <c r="Z66" s="1089">
        <v>120</v>
      </c>
      <c r="AA66" s="1090">
        <v>163</v>
      </c>
      <c r="AB66" s="1085" t="s">
        <v>3707</v>
      </c>
      <c r="AC66" s="1086" t="s">
        <v>3720</v>
      </c>
      <c r="AD66" s="1086" t="s">
        <v>2602</v>
      </c>
      <c r="AE66" s="1086" t="s">
        <v>3701</v>
      </c>
      <c r="AF66" s="1086" t="s">
        <v>2602</v>
      </c>
      <c r="AG66" s="1086" t="s">
        <v>2602</v>
      </c>
      <c r="AH66" s="1086" t="s">
        <v>2602</v>
      </c>
      <c r="AI66" s="1087" t="s">
        <v>2602</v>
      </c>
      <c r="AJ66" s="1087" t="s">
        <v>2602</v>
      </c>
      <c r="AK66" s="1087" t="s">
        <v>2602</v>
      </c>
      <c r="AL66" s="1087" t="s">
        <v>2602</v>
      </c>
      <c r="AM66" s="1086" t="s">
        <v>2602</v>
      </c>
      <c r="AN66" s="1086" t="s">
        <v>2602</v>
      </c>
      <c r="AO66" s="1086" t="s">
        <v>2602</v>
      </c>
      <c r="AP66" s="1086" t="s">
        <v>2602</v>
      </c>
      <c r="AQ66" s="1088" t="s">
        <v>2602</v>
      </c>
      <c r="AR66" s="1089">
        <v>83</v>
      </c>
      <c r="AS66" s="1090">
        <v>113</v>
      </c>
      <c r="AT66" s="1091">
        <v>0.69166666666666665</v>
      </c>
      <c r="AU66" s="1089" t="s">
        <v>2609</v>
      </c>
      <c r="AV66" s="1092" t="s">
        <v>2610</v>
      </c>
      <c r="AW66" s="1093">
        <v>3</v>
      </c>
      <c r="AX66" s="1093">
        <v>2</v>
      </c>
      <c r="AY66" s="1089" t="s">
        <v>2133</v>
      </c>
      <c r="AZ66" s="1093" t="s">
        <v>2133</v>
      </c>
      <c r="BA66" s="1092" t="s">
        <v>2133</v>
      </c>
      <c r="BB66" s="1094" t="s">
        <v>3872</v>
      </c>
      <c r="BC66" s="1094" t="s">
        <v>2133</v>
      </c>
      <c r="BD66" s="1093" t="s">
        <v>2670</v>
      </c>
      <c r="BE66" s="2414" t="s">
        <v>2129</v>
      </c>
      <c r="BF66" s="2415" t="s">
        <v>2129</v>
      </c>
      <c r="BG66" s="2415" t="s">
        <v>2129</v>
      </c>
      <c r="BH66" s="2415" t="s">
        <v>2129</v>
      </c>
      <c r="BI66" s="2415" t="s">
        <v>2129</v>
      </c>
      <c r="BJ66" s="2416" t="s">
        <v>3788</v>
      </c>
      <c r="BK66" s="1096" t="s">
        <v>2515</v>
      </c>
      <c r="BL66" s="2417"/>
      <c r="BM66" s="2418" t="s">
        <v>3869</v>
      </c>
      <c r="BN66" s="2419" t="s">
        <v>3870</v>
      </c>
      <c r="BO66" s="2420">
        <v>76</v>
      </c>
      <c r="BP66" s="2320">
        <f t="shared" si="0"/>
        <v>76</v>
      </c>
      <c r="BQ66" s="2421">
        <v>11</v>
      </c>
      <c r="BR66" s="2423"/>
      <c r="BS66" s="1095" t="s">
        <v>4066</v>
      </c>
    </row>
    <row r="67" spans="2:71" ht="26.15" customHeight="1">
      <c r="B67" s="2407" t="s">
        <v>3791</v>
      </c>
      <c r="C67" s="2408">
        <v>2034</v>
      </c>
      <c r="D67" s="2409" t="s">
        <v>3597</v>
      </c>
      <c r="E67" s="2410" t="s">
        <v>2874</v>
      </c>
      <c r="F67" s="1084"/>
      <c r="G67" s="2411"/>
      <c r="H67" s="2412">
        <v>88</v>
      </c>
      <c r="I67" s="2413">
        <v>-0.6</v>
      </c>
      <c r="J67" s="1085" t="s">
        <v>4067</v>
      </c>
      <c r="K67" s="1086" t="s">
        <v>2602</v>
      </c>
      <c r="L67" s="1086" t="s">
        <v>2699</v>
      </c>
      <c r="M67" s="1086" t="s">
        <v>2602</v>
      </c>
      <c r="N67" s="1086" t="s">
        <v>2602</v>
      </c>
      <c r="O67" s="1086" t="s">
        <v>2602</v>
      </c>
      <c r="P67" s="1086" t="s">
        <v>2602</v>
      </c>
      <c r="Q67" s="1087" t="s">
        <v>2602</v>
      </c>
      <c r="R67" s="1087" t="s">
        <v>2602</v>
      </c>
      <c r="S67" s="1087" t="s">
        <v>2602</v>
      </c>
      <c r="T67" s="1087" t="s">
        <v>2602</v>
      </c>
      <c r="U67" s="1086" t="s">
        <v>2602</v>
      </c>
      <c r="V67" s="1086" t="s">
        <v>2602</v>
      </c>
      <c r="W67" s="1086" t="s">
        <v>2602</v>
      </c>
      <c r="X67" s="1086" t="s">
        <v>2602</v>
      </c>
      <c r="Y67" s="1088" t="s">
        <v>2602</v>
      </c>
      <c r="Z67" s="1089">
        <v>155</v>
      </c>
      <c r="AA67" s="1090">
        <v>155</v>
      </c>
      <c r="AB67" s="1085" t="s">
        <v>3707</v>
      </c>
      <c r="AC67" s="1086" t="s">
        <v>2602</v>
      </c>
      <c r="AD67" s="1086" t="s">
        <v>2623</v>
      </c>
      <c r="AE67" s="1086" t="s">
        <v>2602</v>
      </c>
      <c r="AF67" s="1086" t="s">
        <v>2602</v>
      </c>
      <c r="AG67" s="1086" t="s">
        <v>2602</v>
      </c>
      <c r="AH67" s="1086" t="s">
        <v>2602</v>
      </c>
      <c r="AI67" s="1087" t="s">
        <v>2602</v>
      </c>
      <c r="AJ67" s="1087" t="s">
        <v>2602</v>
      </c>
      <c r="AK67" s="1087" t="s">
        <v>2602</v>
      </c>
      <c r="AL67" s="1087" t="s">
        <v>2602</v>
      </c>
      <c r="AM67" s="1086" t="s">
        <v>2602</v>
      </c>
      <c r="AN67" s="1086" t="s">
        <v>2602</v>
      </c>
      <c r="AO67" s="1086" t="s">
        <v>2602</v>
      </c>
      <c r="AP67" s="1086" t="s">
        <v>2602</v>
      </c>
      <c r="AQ67" s="1088" t="s">
        <v>2602</v>
      </c>
      <c r="AR67" s="1089">
        <v>55</v>
      </c>
      <c r="AS67" s="1090">
        <v>55</v>
      </c>
      <c r="AT67" s="1091">
        <v>0.35483870967741937</v>
      </c>
      <c r="AU67" s="1089" t="s">
        <v>2609</v>
      </c>
      <c r="AV67" s="1092" t="s">
        <v>2609</v>
      </c>
      <c r="AW67" s="1093">
        <v>2</v>
      </c>
      <c r="AX67" s="1093">
        <v>1</v>
      </c>
      <c r="AY67" s="1089" t="s">
        <v>2133</v>
      </c>
      <c r="AZ67" s="1093" t="s">
        <v>2688</v>
      </c>
      <c r="BA67" s="1092" t="s">
        <v>2133</v>
      </c>
      <c r="BB67" s="1094" t="s">
        <v>2235</v>
      </c>
      <c r="BC67" s="1094" t="s">
        <v>2602</v>
      </c>
      <c r="BD67" s="1093" t="s">
        <v>3880</v>
      </c>
      <c r="BE67" s="2414" t="s">
        <v>2129</v>
      </c>
      <c r="BF67" s="2415" t="s">
        <v>2129</v>
      </c>
      <c r="BG67" s="2415" t="s">
        <v>2129</v>
      </c>
      <c r="BH67" s="2415" t="s">
        <v>2129</v>
      </c>
      <c r="BI67" s="2415" t="s">
        <v>2133</v>
      </c>
      <c r="BJ67" s="2416" t="s">
        <v>3793</v>
      </c>
      <c r="BK67" s="1096" t="s">
        <v>3877</v>
      </c>
      <c r="BL67" s="2417"/>
      <c r="BM67" s="2418" t="s">
        <v>3878</v>
      </c>
      <c r="BN67" s="2419" t="s">
        <v>3879</v>
      </c>
      <c r="BO67" s="2420">
        <v>88</v>
      </c>
      <c r="BP67" s="2320">
        <f t="shared" si="0"/>
        <v>88</v>
      </c>
      <c r="BQ67" s="2421">
        <v>11</v>
      </c>
      <c r="BR67" s="2422"/>
      <c r="BS67" s="1097" t="s">
        <v>3984</v>
      </c>
    </row>
    <row r="68" spans="2:71" ht="21" customHeight="1">
      <c r="B68" s="2407" t="s">
        <v>3791</v>
      </c>
      <c r="C68" s="2408">
        <v>2043</v>
      </c>
      <c r="D68" s="2409" t="s">
        <v>3613</v>
      </c>
      <c r="E68" s="2410" t="s">
        <v>2402</v>
      </c>
      <c r="F68" s="1084"/>
      <c r="G68" s="2411"/>
      <c r="H68" s="2412">
        <v>30</v>
      </c>
      <c r="I68" s="2413">
        <v>0.16666666666666666</v>
      </c>
      <c r="J68" s="1085" t="s">
        <v>4057</v>
      </c>
      <c r="K68" s="1086" t="s">
        <v>3721</v>
      </c>
      <c r="L68" s="1086" t="s">
        <v>2731</v>
      </c>
      <c r="M68" s="1086" t="s">
        <v>2684</v>
      </c>
      <c r="N68" s="1086" t="s">
        <v>2602</v>
      </c>
      <c r="O68" s="1086" t="s">
        <v>2602</v>
      </c>
      <c r="P68" s="1086" t="s">
        <v>2602</v>
      </c>
      <c r="Q68" s="1087" t="s">
        <v>2602</v>
      </c>
      <c r="R68" s="1087" t="s">
        <v>2602</v>
      </c>
      <c r="S68" s="1087" t="s">
        <v>2602</v>
      </c>
      <c r="T68" s="1087" t="s">
        <v>3983</v>
      </c>
      <c r="U68" s="1086" t="s">
        <v>2602</v>
      </c>
      <c r="V68" s="1086" t="s">
        <v>2602</v>
      </c>
      <c r="W68" s="1086" t="s">
        <v>2602</v>
      </c>
      <c r="X68" s="1086" t="s">
        <v>2602</v>
      </c>
      <c r="Y68" s="1088" t="s">
        <v>2602</v>
      </c>
      <c r="Z68" s="1089">
        <v>63</v>
      </c>
      <c r="AA68" s="1090">
        <v>72</v>
      </c>
      <c r="AB68" s="1085" t="s">
        <v>3994</v>
      </c>
      <c r="AC68" s="1086" t="s">
        <v>3714</v>
      </c>
      <c r="AD68" s="1086" t="s">
        <v>3972</v>
      </c>
      <c r="AE68" s="1086" t="s">
        <v>2687</v>
      </c>
      <c r="AF68" s="1086" t="s">
        <v>2602</v>
      </c>
      <c r="AG68" s="1086" t="s">
        <v>2602</v>
      </c>
      <c r="AH68" s="1086" t="s">
        <v>2602</v>
      </c>
      <c r="AI68" s="1087" t="s">
        <v>2602</v>
      </c>
      <c r="AJ68" s="1087" t="s">
        <v>2602</v>
      </c>
      <c r="AK68" s="1087" t="s">
        <v>2602</v>
      </c>
      <c r="AL68" s="1087" t="s">
        <v>2602</v>
      </c>
      <c r="AM68" s="1086" t="s">
        <v>2602</v>
      </c>
      <c r="AN68" s="1086" t="s">
        <v>2602</v>
      </c>
      <c r="AO68" s="1086" t="s">
        <v>2602</v>
      </c>
      <c r="AP68" s="1086" t="s">
        <v>2602</v>
      </c>
      <c r="AQ68" s="1088" t="s">
        <v>2602</v>
      </c>
      <c r="AR68" s="1089">
        <v>30</v>
      </c>
      <c r="AS68" s="1090">
        <v>36</v>
      </c>
      <c r="AT68" s="1091">
        <v>0.47619047619047616</v>
      </c>
      <c r="AU68" s="1089" t="s">
        <v>2609</v>
      </c>
      <c r="AV68" s="1092" t="s">
        <v>3855</v>
      </c>
      <c r="AW68" s="1093">
        <v>11</v>
      </c>
      <c r="AX68" s="1093">
        <v>2</v>
      </c>
      <c r="AY68" s="1089" t="s">
        <v>2133</v>
      </c>
      <c r="AZ68" s="1093" t="s">
        <v>2133</v>
      </c>
      <c r="BA68" s="1092" t="s">
        <v>2133</v>
      </c>
      <c r="BB68" s="1094" t="s">
        <v>2235</v>
      </c>
      <c r="BC68" s="1094" t="s">
        <v>2602</v>
      </c>
      <c r="BD68" s="1093" t="s">
        <v>2133</v>
      </c>
      <c r="BE68" s="2414" t="s">
        <v>2129</v>
      </c>
      <c r="BF68" s="2415" t="s">
        <v>2129</v>
      </c>
      <c r="BG68" s="2415" t="s">
        <v>2129</v>
      </c>
      <c r="BH68" s="2415" t="s">
        <v>2129</v>
      </c>
      <c r="BI68" s="2415" t="s">
        <v>2129</v>
      </c>
      <c r="BJ68" s="2426" t="s">
        <v>3793</v>
      </c>
      <c r="BK68" s="1114" t="s">
        <v>3806</v>
      </c>
      <c r="BL68" s="2428" t="s">
        <v>3807</v>
      </c>
      <c r="BM68" s="2418" t="s">
        <v>3853</v>
      </c>
      <c r="BN68" s="2419" t="s">
        <v>3854</v>
      </c>
      <c r="BO68" s="2420">
        <v>50</v>
      </c>
      <c r="BP68" s="2320">
        <f t="shared" si="0"/>
        <v>50</v>
      </c>
      <c r="BQ68" s="2421">
        <v>11</v>
      </c>
      <c r="BR68" s="2422"/>
      <c r="BS68" s="1095"/>
    </row>
    <row r="69" spans="2:71" ht="21" customHeight="1">
      <c r="B69" s="2407" t="s">
        <v>3791</v>
      </c>
      <c r="C69" s="2408">
        <v>2044</v>
      </c>
      <c r="D69" s="2409" t="s">
        <v>3834</v>
      </c>
      <c r="E69" s="2410" t="s">
        <v>2385</v>
      </c>
      <c r="F69" s="1084"/>
      <c r="G69" s="2411"/>
      <c r="H69" s="2412">
        <v>70</v>
      </c>
      <c r="I69" s="2413">
        <v>0.2391304347826087</v>
      </c>
      <c r="J69" s="1085" t="s">
        <v>3723</v>
      </c>
      <c r="K69" s="1086" t="s">
        <v>3714</v>
      </c>
      <c r="L69" s="1086" t="s">
        <v>3999</v>
      </c>
      <c r="M69" s="1086" t="s">
        <v>4068</v>
      </c>
      <c r="N69" s="1086" t="s">
        <v>2602</v>
      </c>
      <c r="O69" s="1086" t="s">
        <v>2602</v>
      </c>
      <c r="P69" s="1086" t="s">
        <v>2602</v>
      </c>
      <c r="Q69" s="1087" t="s">
        <v>2602</v>
      </c>
      <c r="R69" s="1087" t="s">
        <v>2602</v>
      </c>
      <c r="S69" s="1087" t="s">
        <v>2602</v>
      </c>
      <c r="T69" s="1087" t="s">
        <v>2602</v>
      </c>
      <c r="U69" s="1086" t="s">
        <v>2602</v>
      </c>
      <c r="V69" s="1086" t="s">
        <v>2602</v>
      </c>
      <c r="W69" s="1086" t="s">
        <v>2602</v>
      </c>
      <c r="X69" s="1086" t="s">
        <v>2602</v>
      </c>
      <c r="Y69" s="1088" t="s">
        <v>2602</v>
      </c>
      <c r="Z69" s="1089">
        <v>158</v>
      </c>
      <c r="AA69" s="1090">
        <v>175</v>
      </c>
      <c r="AB69" s="1085" t="s">
        <v>3980</v>
      </c>
      <c r="AC69" s="1086" t="s">
        <v>2602</v>
      </c>
      <c r="AD69" s="1086" t="s">
        <v>3999</v>
      </c>
      <c r="AE69" s="1086" t="s">
        <v>2665</v>
      </c>
      <c r="AF69" s="1086" t="s">
        <v>2602</v>
      </c>
      <c r="AG69" s="1086" t="s">
        <v>2602</v>
      </c>
      <c r="AH69" s="1086" t="s">
        <v>2602</v>
      </c>
      <c r="AI69" s="1087" t="s">
        <v>2602</v>
      </c>
      <c r="AJ69" s="1087" t="s">
        <v>2602</v>
      </c>
      <c r="AK69" s="1087" t="s">
        <v>2602</v>
      </c>
      <c r="AL69" s="1087" t="s">
        <v>2602</v>
      </c>
      <c r="AM69" s="1086" t="s">
        <v>2602</v>
      </c>
      <c r="AN69" s="1086" t="s">
        <v>2602</v>
      </c>
      <c r="AO69" s="1086" t="s">
        <v>2602</v>
      </c>
      <c r="AP69" s="1086" t="s">
        <v>2602</v>
      </c>
      <c r="AQ69" s="1088" t="s">
        <v>2602</v>
      </c>
      <c r="AR69" s="1089">
        <v>84</v>
      </c>
      <c r="AS69" s="1090">
        <v>92</v>
      </c>
      <c r="AT69" s="1091">
        <v>0.53164556962025311</v>
      </c>
      <c r="AU69" s="1089" t="s">
        <v>2609</v>
      </c>
      <c r="AV69" s="1092" t="s">
        <v>2610</v>
      </c>
      <c r="AW69" s="1093">
        <v>0</v>
      </c>
      <c r="AX69" s="1093">
        <v>0</v>
      </c>
      <c r="AY69" s="1089" t="s">
        <v>2133</v>
      </c>
      <c r="AZ69" s="1093" t="s">
        <v>2688</v>
      </c>
      <c r="BA69" s="1092" t="s">
        <v>2688</v>
      </c>
      <c r="BB69" s="1094" t="s">
        <v>2160</v>
      </c>
      <c r="BC69" s="1094" t="s">
        <v>2133</v>
      </c>
      <c r="BD69" s="1093" t="s">
        <v>2723</v>
      </c>
      <c r="BE69" s="2414" t="s">
        <v>2129</v>
      </c>
      <c r="BF69" s="2415" t="s">
        <v>2129</v>
      </c>
      <c r="BG69" s="2415" t="s">
        <v>2129</v>
      </c>
      <c r="BH69" s="2415" t="s">
        <v>2129</v>
      </c>
      <c r="BI69" s="2415" t="s">
        <v>2129</v>
      </c>
      <c r="BJ69" s="2416" t="s">
        <v>3788</v>
      </c>
      <c r="BK69" s="1096" t="s">
        <v>3831</v>
      </c>
      <c r="BL69" s="2417"/>
      <c r="BM69" s="2418" t="s">
        <v>3832</v>
      </c>
      <c r="BN69" s="2419" t="s">
        <v>3833</v>
      </c>
      <c r="BO69" s="2420">
        <v>70</v>
      </c>
      <c r="BP69" s="2320">
        <f t="shared" si="0"/>
        <v>70</v>
      </c>
      <c r="BQ69" s="2421">
        <v>11</v>
      </c>
      <c r="BR69" s="2422"/>
      <c r="BS69" s="1095"/>
    </row>
    <row r="70" spans="2:71" ht="21" customHeight="1">
      <c r="B70" s="2373" t="s">
        <v>3791</v>
      </c>
      <c r="C70" s="2308">
        <v>2048</v>
      </c>
      <c r="D70" s="2309" t="s">
        <v>4069</v>
      </c>
      <c r="E70" s="2310" t="s">
        <v>2419</v>
      </c>
      <c r="F70" s="1161"/>
      <c r="G70" s="2311"/>
      <c r="H70" s="2312">
        <v>74</v>
      </c>
      <c r="I70" s="2313" t="s">
        <v>4070</v>
      </c>
      <c r="J70" s="1136" t="s">
        <v>2602</v>
      </c>
      <c r="K70" s="1137" t="s">
        <v>2602</v>
      </c>
      <c r="L70" s="1137" t="s">
        <v>2602</v>
      </c>
      <c r="M70" s="1137" t="s">
        <v>2602</v>
      </c>
      <c r="N70" s="1137" t="s">
        <v>2602</v>
      </c>
      <c r="O70" s="1137" t="s">
        <v>2602</v>
      </c>
      <c r="P70" s="1137" t="s">
        <v>2602</v>
      </c>
      <c r="Q70" s="1138" t="s">
        <v>2602</v>
      </c>
      <c r="R70" s="1138" t="s">
        <v>2602</v>
      </c>
      <c r="S70" s="1138" t="s">
        <v>2602</v>
      </c>
      <c r="T70" s="1138" t="s">
        <v>2602</v>
      </c>
      <c r="U70" s="1137" t="s">
        <v>2602</v>
      </c>
      <c r="V70" s="1137" t="s">
        <v>2602</v>
      </c>
      <c r="W70" s="1137" t="s">
        <v>2602</v>
      </c>
      <c r="X70" s="1137" t="s">
        <v>2602</v>
      </c>
      <c r="Y70" s="1139" t="s">
        <v>2602</v>
      </c>
      <c r="Z70" s="1140">
        <v>212</v>
      </c>
      <c r="AA70" s="1141">
        <v>396</v>
      </c>
      <c r="AB70" s="1136" t="s">
        <v>2602</v>
      </c>
      <c r="AC70" s="1137" t="s">
        <v>2602</v>
      </c>
      <c r="AD70" s="1137" t="s">
        <v>2602</v>
      </c>
      <c r="AE70" s="1137" t="s">
        <v>2602</v>
      </c>
      <c r="AF70" s="1137" t="s">
        <v>2602</v>
      </c>
      <c r="AG70" s="1137" t="s">
        <v>2602</v>
      </c>
      <c r="AH70" s="1137" t="s">
        <v>2602</v>
      </c>
      <c r="AI70" s="1138" t="s">
        <v>2602</v>
      </c>
      <c r="AJ70" s="1138" t="s">
        <v>2602</v>
      </c>
      <c r="AK70" s="1138" t="s">
        <v>2602</v>
      </c>
      <c r="AL70" s="1138" t="s">
        <v>2602</v>
      </c>
      <c r="AM70" s="1137" t="s">
        <v>2602</v>
      </c>
      <c r="AN70" s="1137" t="s">
        <v>2602</v>
      </c>
      <c r="AO70" s="1137" t="s">
        <v>2602</v>
      </c>
      <c r="AP70" s="1137" t="s">
        <v>2602</v>
      </c>
      <c r="AQ70" s="1139" t="s">
        <v>2602</v>
      </c>
      <c r="AR70" s="1140" t="s">
        <v>4070</v>
      </c>
      <c r="AS70" s="1141"/>
      <c r="AT70" s="1142"/>
      <c r="AU70" s="1140"/>
      <c r="AV70" s="1143"/>
      <c r="AW70" s="1144">
        <v>3</v>
      </c>
      <c r="AX70" s="1144" t="s">
        <v>4070</v>
      </c>
      <c r="AY70" s="1140" t="s">
        <v>2133</v>
      </c>
      <c r="AZ70" s="1144" t="s">
        <v>2133</v>
      </c>
      <c r="BA70" s="1143" t="s">
        <v>2133</v>
      </c>
      <c r="BB70" s="1159" t="s">
        <v>2133</v>
      </c>
      <c r="BC70" s="1159" t="s">
        <v>2688</v>
      </c>
      <c r="BD70" s="1144" t="s">
        <v>3805</v>
      </c>
      <c r="BE70" s="2314"/>
      <c r="BF70" s="2315"/>
      <c r="BG70" s="2315"/>
      <c r="BH70" s="2315"/>
      <c r="BI70" s="2315"/>
      <c r="BJ70" s="2374" t="s">
        <v>3822</v>
      </c>
      <c r="BK70" s="1162" t="s">
        <v>3844</v>
      </c>
      <c r="BL70" s="1167" t="s">
        <v>2422</v>
      </c>
      <c r="BM70" s="2317" t="s">
        <v>3845</v>
      </c>
      <c r="BN70" s="2318" t="s">
        <v>3802</v>
      </c>
      <c r="BO70" s="2319">
        <v>74</v>
      </c>
      <c r="BP70" s="2320">
        <f>SUM(BO70:BO71)</f>
        <v>119</v>
      </c>
      <c r="BQ70" s="2320">
        <v>11</v>
      </c>
      <c r="BR70" s="2384"/>
      <c r="BS70" s="2322" t="s">
        <v>4071</v>
      </c>
    </row>
    <row r="71" spans="2:71" ht="21" customHeight="1">
      <c r="B71" s="2406" t="s">
        <v>3791</v>
      </c>
      <c r="C71" s="2349">
        <v>2048</v>
      </c>
      <c r="D71" s="2350" t="s">
        <v>4069</v>
      </c>
      <c r="E71" s="2351" t="s">
        <v>2419</v>
      </c>
      <c r="F71" s="2352"/>
      <c r="G71" s="2353"/>
      <c r="H71" s="2354">
        <v>45</v>
      </c>
      <c r="I71" s="2355" t="s">
        <v>4070</v>
      </c>
      <c r="J71" s="2356" t="s">
        <v>2602</v>
      </c>
      <c r="K71" s="2357" t="s">
        <v>2602</v>
      </c>
      <c r="L71" s="2357" t="s">
        <v>2602</v>
      </c>
      <c r="M71" s="2357" t="s">
        <v>2602</v>
      </c>
      <c r="N71" s="2357" t="s">
        <v>2602</v>
      </c>
      <c r="O71" s="2357" t="s">
        <v>2602</v>
      </c>
      <c r="P71" s="2357" t="s">
        <v>2602</v>
      </c>
      <c r="Q71" s="2358" t="s">
        <v>2602</v>
      </c>
      <c r="R71" s="2358" t="s">
        <v>2602</v>
      </c>
      <c r="S71" s="2358" t="s">
        <v>2602</v>
      </c>
      <c r="T71" s="2358" t="s">
        <v>2602</v>
      </c>
      <c r="U71" s="2357" t="s">
        <v>2602</v>
      </c>
      <c r="V71" s="2357" t="s">
        <v>2602</v>
      </c>
      <c r="W71" s="2357" t="s">
        <v>2602</v>
      </c>
      <c r="X71" s="2357" t="s">
        <v>2602</v>
      </c>
      <c r="Y71" s="2359" t="s">
        <v>2602</v>
      </c>
      <c r="Z71" s="2352">
        <v>212</v>
      </c>
      <c r="AA71" s="2360">
        <v>396</v>
      </c>
      <c r="AB71" s="2356" t="s">
        <v>2602</v>
      </c>
      <c r="AC71" s="2357" t="s">
        <v>2602</v>
      </c>
      <c r="AD71" s="2357" t="s">
        <v>2602</v>
      </c>
      <c r="AE71" s="2357" t="s">
        <v>2602</v>
      </c>
      <c r="AF71" s="2357" t="s">
        <v>2602</v>
      </c>
      <c r="AG71" s="2357" t="s">
        <v>2602</v>
      </c>
      <c r="AH71" s="2357" t="s">
        <v>2602</v>
      </c>
      <c r="AI71" s="2358" t="s">
        <v>2602</v>
      </c>
      <c r="AJ71" s="2358" t="s">
        <v>2602</v>
      </c>
      <c r="AK71" s="2358" t="s">
        <v>2602</v>
      </c>
      <c r="AL71" s="2358" t="s">
        <v>2602</v>
      </c>
      <c r="AM71" s="2357" t="s">
        <v>2602</v>
      </c>
      <c r="AN71" s="2357" t="s">
        <v>2602</v>
      </c>
      <c r="AO71" s="2357" t="s">
        <v>2602</v>
      </c>
      <c r="AP71" s="2357" t="s">
        <v>2602</v>
      </c>
      <c r="AQ71" s="2359" t="s">
        <v>2602</v>
      </c>
      <c r="AR71" s="2352" t="s">
        <v>4070</v>
      </c>
      <c r="AS71" s="2360"/>
      <c r="AT71" s="2361"/>
      <c r="AU71" s="2352"/>
      <c r="AV71" s="2362"/>
      <c r="AW71" s="2363">
        <v>3</v>
      </c>
      <c r="AX71" s="2363" t="s">
        <v>4070</v>
      </c>
      <c r="AY71" s="1148" t="s">
        <v>2133</v>
      </c>
      <c r="AZ71" s="1150" t="s">
        <v>2133</v>
      </c>
      <c r="BA71" s="1149" t="s">
        <v>2133</v>
      </c>
      <c r="BB71" s="1155" t="s">
        <v>2133</v>
      </c>
      <c r="BC71" s="1155" t="s">
        <v>2688</v>
      </c>
      <c r="BD71" s="1150" t="s">
        <v>3805</v>
      </c>
      <c r="BE71" s="2364"/>
      <c r="BF71" s="2365"/>
      <c r="BG71" s="2365"/>
      <c r="BH71" s="2365"/>
      <c r="BI71" s="2365"/>
      <c r="BJ71" s="2399" t="s">
        <v>3822</v>
      </c>
      <c r="BK71" s="1166" t="s">
        <v>3844</v>
      </c>
      <c r="BL71" s="1169" t="s">
        <v>2425</v>
      </c>
      <c r="BM71" s="2367" t="s">
        <v>3845</v>
      </c>
      <c r="BN71" s="2368" t="s">
        <v>3802</v>
      </c>
      <c r="BO71" s="2369">
        <v>45</v>
      </c>
      <c r="BP71" s="2370"/>
      <c r="BQ71" s="2370"/>
      <c r="BR71" s="2383"/>
      <c r="BS71" s="2372" t="s">
        <v>4071</v>
      </c>
    </row>
    <row r="72" spans="2:71" ht="21" customHeight="1">
      <c r="B72" s="2299" t="s">
        <v>3791</v>
      </c>
      <c r="C72" s="2300">
        <v>2050</v>
      </c>
      <c r="D72" s="2429" t="s">
        <v>4072</v>
      </c>
      <c r="E72" s="1099" t="s">
        <v>2419</v>
      </c>
      <c r="F72" s="1100"/>
      <c r="G72" s="2301"/>
      <c r="H72" s="2302">
        <v>93</v>
      </c>
      <c r="I72" s="2303" t="s">
        <v>4070</v>
      </c>
      <c r="J72" s="1101" t="s">
        <v>2602</v>
      </c>
      <c r="K72" s="1102" t="s">
        <v>2602</v>
      </c>
      <c r="L72" s="1102" t="s">
        <v>2602</v>
      </c>
      <c r="M72" s="1102" t="s">
        <v>2602</v>
      </c>
      <c r="N72" s="1102" t="s">
        <v>2602</v>
      </c>
      <c r="O72" s="1102" t="s">
        <v>2602</v>
      </c>
      <c r="P72" s="1102" t="s">
        <v>2602</v>
      </c>
      <c r="Q72" s="1103" t="s">
        <v>2602</v>
      </c>
      <c r="R72" s="1103" t="s">
        <v>2602</v>
      </c>
      <c r="S72" s="1103" t="s">
        <v>2602</v>
      </c>
      <c r="T72" s="1103" t="s">
        <v>2602</v>
      </c>
      <c r="U72" s="1102" t="s">
        <v>2602</v>
      </c>
      <c r="V72" s="1102" t="s">
        <v>2602</v>
      </c>
      <c r="W72" s="1102" t="s">
        <v>2602</v>
      </c>
      <c r="X72" s="1102" t="s">
        <v>2602</v>
      </c>
      <c r="Y72" s="1104" t="s">
        <v>2602</v>
      </c>
      <c r="Z72" s="1105">
        <v>106</v>
      </c>
      <c r="AA72" s="1106">
        <v>146</v>
      </c>
      <c r="AB72" s="1101" t="s">
        <v>2602</v>
      </c>
      <c r="AC72" s="1102" t="s">
        <v>2602</v>
      </c>
      <c r="AD72" s="1102" t="s">
        <v>2602</v>
      </c>
      <c r="AE72" s="1102" t="s">
        <v>2602</v>
      </c>
      <c r="AF72" s="1102" t="s">
        <v>2602</v>
      </c>
      <c r="AG72" s="1102" t="s">
        <v>2602</v>
      </c>
      <c r="AH72" s="1102" t="s">
        <v>2602</v>
      </c>
      <c r="AI72" s="1103" t="s">
        <v>2602</v>
      </c>
      <c r="AJ72" s="1103" t="s">
        <v>2602</v>
      </c>
      <c r="AK72" s="1103" t="s">
        <v>2602</v>
      </c>
      <c r="AL72" s="1103" t="s">
        <v>2602</v>
      </c>
      <c r="AM72" s="1102" t="s">
        <v>2602</v>
      </c>
      <c r="AN72" s="1102" t="s">
        <v>2602</v>
      </c>
      <c r="AO72" s="1102" t="s">
        <v>2602</v>
      </c>
      <c r="AP72" s="1102" t="s">
        <v>2602</v>
      </c>
      <c r="AQ72" s="1104" t="s">
        <v>2602</v>
      </c>
      <c r="AR72" s="1105" t="s">
        <v>4070</v>
      </c>
      <c r="AS72" s="1106"/>
      <c r="AT72" s="1107"/>
      <c r="AU72" s="1105"/>
      <c r="AV72" s="1108"/>
      <c r="AW72" s="1050">
        <v>2</v>
      </c>
      <c r="AX72" s="1050" t="s">
        <v>4070</v>
      </c>
      <c r="AY72" s="1105" t="s">
        <v>2133</v>
      </c>
      <c r="AZ72" s="1050" t="s">
        <v>2133</v>
      </c>
      <c r="BA72" s="1108" t="s">
        <v>2133</v>
      </c>
      <c r="BB72" s="1109" t="s">
        <v>2133</v>
      </c>
      <c r="BC72" s="1109" t="s">
        <v>2688</v>
      </c>
      <c r="BD72" s="1050" t="s">
        <v>3805</v>
      </c>
      <c r="BE72" s="1110"/>
      <c r="BF72" s="1111"/>
      <c r="BG72" s="1111"/>
      <c r="BH72" s="1111"/>
      <c r="BI72" s="1111"/>
      <c r="BJ72" s="2404" t="s">
        <v>3788</v>
      </c>
      <c r="BK72" s="1132" t="s">
        <v>2426</v>
      </c>
      <c r="BL72" s="1134"/>
      <c r="BM72" s="2394" t="s">
        <v>2886</v>
      </c>
      <c r="BN72" s="2395" t="s">
        <v>3802</v>
      </c>
      <c r="BO72" s="2305">
        <v>93</v>
      </c>
      <c r="BP72" s="2306">
        <f>SUM(BO72)</f>
        <v>93</v>
      </c>
      <c r="BQ72" s="2306">
        <v>11</v>
      </c>
      <c r="BR72" s="2403"/>
      <c r="BS72" s="1112" t="s">
        <v>4073</v>
      </c>
    </row>
    <row r="73" spans="2:71" ht="21" customHeight="1">
      <c r="B73" s="2430"/>
      <c r="C73" s="2431"/>
      <c r="D73" s="1124"/>
      <c r="E73" s="2432"/>
      <c r="F73" s="2432"/>
      <c r="G73" s="1128"/>
      <c r="H73" s="1128"/>
      <c r="I73" s="1129"/>
      <c r="J73" s="1118"/>
      <c r="K73" s="1118"/>
      <c r="L73" s="1118"/>
      <c r="M73" s="1118"/>
      <c r="N73" s="1118"/>
      <c r="O73" s="1118"/>
      <c r="P73" s="1118"/>
      <c r="Q73" s="1130"/>
      <c r="R73" s="1130"/>
      <c r="S73" s="1130"/>
      <c r="T73" s="1130"/>
      <c r="U73" s="1118"/>
      <c r="V73" s="1118"/>
      <c r="W73" s="1118"/>
      <c r="X73" s="1118"/>
      <c r="Y73" s="1118"/>
      <c r="Z73" s="1055"/>
      <c r="AA73" s="909"/>
      <c r="AB73" s="1118"/>
      <c r="AC73" s="1118"/>
      <c r="AD73" s="1118"/>
      <c r="AE73" s="1118"/>
      <c r="AF73" s="1118"/>
      <c r="AG73" s="1118"/>
      <c r="AH73" s="1118"/>
      <c r="AI73" s="1130"/>
      <c r="AJ73" s="1130"/>
      <c r="AK73" s="1130"/>
      <c r="AL73" s="1130"/>
      <c r="AM73" s="1118"/>
      <c r="AN73" s="1118"/>
      <c r="AO73" s="1118"/>
      <c r="AP73" s="1118"/>
      <c r="AQ73" s="1118"/>
      <c r="AR73" s="1055"/>
      <c r="AS73" s="909"/>
      <c r="AT73" s="1129"/>
      <c r="AU73" s="1055"/>
      <c r="AV73" s="1055"/>
      <c r="AW73" s="1055"/>
      <c r="AX73" s="1055"/>
      <c r="AY73" s="1055"/>
      <c r="AZ73" s="1055"/>
      <c r="BA73" s="1055"/>
      <c r="BB73" s="1055"/>
      <c r="BC73" s="1055"/>
      <c r="BD73" s="1055"/>
      <c r="BE73" s="1119"/>
      <c r="BF73" s="1119"/>
      <c r="BG73" s="1119"/>
      <c r="BH73" s="1119"/>
      <c r="BI73" s="1119"/>
      <c r="BJ73" s="1126"/>
      <c r="BK73" s="1127"/>
      <c r="BL73" s="1127"/>
      <c r="BM73" s="1127"/>
      <c r="BN73" s="895"/>
      <c r="BO73" s="1123"/>
      <c r="BP73" s="1123"/>
      <c r="BQ73" s="1123"/>
      <c r="BR73" s="1120"/>
      <c r="BS73" s="1131"/>
    </row>
    <row r="74" spans="2:71" ht="21" customHeight="1" thickBot="1">
      <c r="B74" s="2430"/>
      <c r="C74" s="2431"/>
      <c r="D74" s="1124"/>
      <c r="E74" s="2432"/>
      <c r="F74" s="2432"/>
      <c r="G74" s="1128"/>
      <c r="H74" s="1128"/>
      <c r="I74" s="1129"/>
      <c r="J74" s="1118"/>
      <c r="K74" s="1118"/>
      <c r="L74" s="1118"/>
      <c r="M74" s="1118"/>
      <c r="N74" s="1118"/>
      <c r="O74" s="1118"/>
      <c r="P74" s="1118"/>
      <c r="Q74" s="1130"/>
      <c r="R74" s="1130"/>
      <c r="S74" s="1130"/>
      <c r="T74" s="1130"/>
      <c r="U74" s="1118"/>
      <c r="V74" s="1118"/>
      <c r="W74" s="1118"/>
      <c r="X74" s="1118"/>
      <c r="Y74" s="1118"/>
      <c r="Z74" s="1055"/>
      <c r="AA74" s="909"/>
      <c r="AB74" s="1118"/>
      <c r="AC74" s="1118"/>
      <c r="AD74" s="1118"/>
      <c r="AE74" s="1118"/>
      <c r="AF74" s="1118"/>
      <c r="AG74" s="1118"/>
      <c r="AH74" s="1118"/>
      <c r="AI74" s="1130"/>
      <c r="AJ74" s="1130"/>
      <c r="AK74" s="1130"/>
      <c r="AL74" s="1130"/>
      <c r="AM74" s="1118"/>
      <c r="AN74" s="1118"/>
      <c r="AO74" s="1118"/>
      <c r="AP74" s="1118"/>
      <c r="AQ74" s="1118"/>
      <c r="AR74" s="1055"/>
      <c r="AS74" s="909"/>
      <c r="AT74" s="1129"/>
      <c r="AU74" s="1055"/>
      <c r="AV74" s="1055"/>
      <c r="AW74" s="1055"/>
      <c r="AX74" s="1055"/>
      <c r="AY74" s="1055"/>
      <c r="AZ74" s="1055"/>
      <c r="BA74" s="1055"/>
      <c r="BB74" s="1055"/>
      <c r="BC74" s="1055"/>
      <c r="BD74" s="1055"/>
      <c r="BE74" s="1119"/>
      <c r="BF74" s="1119"/>
      <c r="BG74" s="1119"/>
      <c r="BH74" s="1119"/>
      <c r="BI74" s="1119"/>
      <c r="BJ74" s="1126"/>
      <c r="BK74" s="1127"/>
      <c r="BL74" s="1127"/>
      <c r="BM74" s="1127"/>
      <c r="BN74" s="895"/>
      <c r="BO74" s="1123"/>
      <c r="BP74" s="1123"/>
      <c r="BQ74" s="1123"/>
      <c r="BR74" s="1120"/>
      <c r="BS74" s="1131"/>
    </row>
    <row r="75" spans="2:71" ht="33" customHeight="1">
      <c r="B75" s="2433" t="s">
        <v>4074</v>
      </c>
      <c r="C75" s="2434"/>
      <c r="D75" s="2435">
        <v>5</v>
      </c>
      <c r="E75" s="2436" t="s">
        <v>4075</v>
      </c>
      <c r="F75" s="2437"/>
      <c r="I75" s="1117"/>
      <c r="J75" s="1118"/>
      <c r="K75" s="1118"/>
      <c r="L75" s="1118"/>
      <c r="M75" s="1118"/>
      <c r="N75" s="1118"/>
      <c r="O75" s="1118"/>
      <c r="P75" s="1118"/>
      <c r="Q75" s="1118"/>
      <c r="R75" s="1118"/>
      <c r="S75" s="1118"/>
      <c r="T75" s="1118"/>
      <c r="U75" s="1118"/>
      <c r="V75" s="1118"/>
      <c r="W75" s="1118"/>
      <c r="X75" s="1118"/>
      <c r="Y75" s="1118"/>
      <c r="AB75" s="1118"/>
      <c r="AC75" s="1118"/>
      <c r="AD75" s="1118"/>
      <c r="AE75" s="1118"/>
      <c r="AF75" s="1118"/>
      <c r="AG75" s="1118"/>
      <c r="AH75" s="1118"/>
      <c r="AI75" s="1118"/>
      <c r="AJ75" s="1118"/>
      <c r="AK75" s="1118"/>
      <c r="AL75" s="1118"/>
      <c r="AM75" s="1118"/>
      <c r="AN75" s="1118"/>
      <c r="AO75" s="1118"/>
      <c r="AP75" s="1118"/>
      <c r="AQ75" s="1118"/>
      <c r="BE75" s="1119"/>
      <c r="BF75" s="1119"/>
      <c r="BG75" s="1119"/>
      <c r="BH75" s="1119"/>
      <c r="BI75" s="1119"/>
      <c r="BJ75" s="887"/>
      <c r="BK75" s="1116"/>
      <c r="BL75" s="887"/>
      <c r="BM75" s="887"/>
      <c r="BN75" s="2438" t="s">
        <v>4076</v>
      </c>
      <c r="BO75" s="2439">
        <v>3330</v>
      </c>
      <c r="BP75" s="2440">
        <f>SUBTOTAL(9,BP4:BP72)</f>
        <v>3330</v>
      </c>
      <c r="BQ75" s="2440"/>
    </row>
    <row r="76" spans="2:71" ht="33" customHeight="1">
      <c r="B76" s="2441"/>
      <c r="C76" s="2442"/>
      <c r="D76" s="2443">
        <v>21</v>
      </c>
      <c r="E76" s="2436" t="s">
        <v>4077</v>
      </c>
      <c r="F76" s="2437"/>
      <c r="I76" s="1117"/>
      <c r="J76" s="1118"/>
      <c r="K76" s="1118"/>
      <c r="L76" s="1118"/>
      <c r="M76" s="1118"/>
      <c r="N76" s="1118"/>
      <c r="O76" s="1118"/>
      <c r="P76" s="1118"/>
      <c r="Q76" s="1118"/>
      <c r="R76" s="1118"/>
      <c r="S76" s="1118"/>
      <c r="T76" s="1118"/>
      <c r="U76" s="1118"/>
      <c r="V76" s="1118"/>
      <c r="W76" s="1118"/>
      <c r="X76" s="1118"/>
      <c r="Y76" s="1118"/>
      <c r="AB76" s="1118"/>
      <c r="AC76" s="1118"/>
      <c r="AD76" s="1118"/>
      <c r="AE76" s="1118"/>
      <c r="AF76" s="1118"/>
      <c r="AG76" s="1118"/>
      <c r="AH76" s="1118"/>
      <c r="AI76" s="1118"/>
      <c r="AJ76" s="1118"/>
      <c r="AK76" s="1118"/>
      <c r="AL76" s="1118"/>
      <c r="AM76" s="1118"/>
      <c r="AN76" s="1118"/>
      <c r="AO76" s="1118"/>
      <c r="AP76" s="1118"/>
      <c r="AQ76" s="1118"/>
      <c r="BE76" s="1119"/>
      <c r="BF76" s="1119"/>
      <c r="BG76" s="1119"/>
      <c r="BH76" s="1119"/>
      <c r="BI76" s="1119"/>
      <c r="BJ76" s="887"/>
      <c r="BK76" s="1116"/>
      <c r="BL76" s="887"/>
      <c r="BM76" s="887"/>
      <c r="BN76" s="2444"/>
      <c r="BO76" s="2445"/>
      <c r="BP76" s="2440"/>
      <c r="BQ76" s="2440"/>
    </row>
    <row r="77" spans="2:71" ht="33" customHeight="1" thickBot="1">
      <c r="B77" s="2441"/>
      <c r="C77" s="2442"/>
      <c r="D77" s="2446">
        <v>12</v>
      </c>
      <c r="E77" s="2436" t="s">
        <v>4078</v>
      </c>
      <c r="F77" s="2437"/>
      <c r="I77" s="1117"/>
      <c r="J77" s="1118"/>
      <c r="K77" s="1118"/>
      <c r="L77" s="1118"/>
      <c r="M77" s="1118"/>
      <c r="N77" s="1118"/>
      <c r="O77" s="1118"/>
      <c r="P77" s="1118"/>
      <c r="Q77" s="1118"/>
      <c r="R77" s="1118"/>
      <c r="S77" s="1118"/>
      <c r="T77" s="1118"/>
      <c r="U77" s="1118"/>
      <c r="V77" s="1118"/>
      <c r="W77" s="1118"/>
      <c r="X77" s="1118"/>
      <c r="Y77" s="1118"/>
      <c r="AB77" s="1118"/>
      <c r="AC77" s="1118"/>
      <c r="AD77" s="1118"/>
      <c r="AE77" s="1118"/>
      <c r="AF77" s="1118"/>
      <c r="AG77" s="1118"/>
      <c r="AH77" s="1118"/>
      <c r="AI77" s="1118"/>
      <c r="AJ77" s="1118"/>
      <c r="AK77" s="1118"/>
      <c r="AL77" s="1118"/>
      <c r="AM77" s="1118"/>
      <c r="AN77" s="1118"/>
      <c r="AO77" s="1118"/>
      <c r="AP77" s="1118"/>
      <c r="AQ77" s="1118"/>
      <c r="BE77" s="1119"/>
      <c r="BF77" s="1119"/>
      <c r="BG77" s="1119"/>
      <c r="BH77" s="1119"/>
      <c r="BI77" s="1119"/>
      <c r="BJ77" s="887"/>
      <c r="BK77" s="1116"/>
      <c r="BL77" s="887"/>
      <c r="BM77" s="887"/>
      <c r="BN77" s="2444"/>
      <c r="BO77" s="2445"/>
      <c r="BP77" s="2440"/>
      <c r="BQ77" s="2440"/>
    </row>
    <row r="78" spans="2:71" ht="33" customHeight="1" thickTop="1" thickBot="1">
      <c r="B78" s="2447"/>
      <c r="C78" s="2448"/>
      <c r="D78" s="2449">
        <v>35.999999999999986</v>
      </c>
      <c r="E78" s="2436" t="s">
        <v>127</v>
      </c>
      <c r="F78" s="2437"/>
      <c r="I78" s="1117"/>
      <c r="J78" s="1118"/>
      <c r="K78" s="1118"/>
      <c r="L78" s="1118"/>
      <c r="M78" s="1118"/>
      <c r="N78" s="1118"/>
      <c r="O78" s="1118"/>
      <c r="P78" s="1118"/>
      <c r="Q78" s="1118"/>
      <c r="R78" s="1118"/>
      <c r="S78" s="1118"/>
      <c r="T78" s="1118"/>
      <c r="U78" s="1118"/>
      <c r="V78" s="1118"/>
      <c r="W78" s="1118"/>
      <c r="X78" s="1118"/>
      <c r="Y78" s="1118"/>
      <c r="AB78" s="1118"/>
      <c r="AC78" s="1118"/>
      <c r="AD78" s="1118"/>
      <c r="AE78" s="1118"/>
      <c r="AF78" s="1118"/>
      <c r="AG78" s="1118"/>
      <c r="AH78" s="1118"/>
      <c r="AI78" s="1118"/>
      <c r="AJ78" s="1118"/>
      <c r="AK78" s="1118"/>
      <c r="AL78" s="1118"/>
      <c r="AM78" s="1118"/>
      <c r="AN78" s="1118"/>
      <c r="AO78" s="1118"/>
      <c r="AP78" s="1118"/>
      <c r="AQ78" s="1118"/>
      <c r="BE78" s="1119"/>
      <c r="BF78" s="1119"/>
      <c r="BG78" s="1119"/>
      <c r="BH78" s="1119"/>
      <c r="BI78" s="1119"/>
      <c r="BJ78" s="887"/>
      <c r="BK78" s="1116"/>
      <c r="BL78" s="887"/>
      <c r="BM78" s="887"/>
      <c r="BN78" s="2450"/>
      <c r="BO78" s="2451"/>
      <c r="BP78" s="2440"/>
      <c r="BQ78" s="2440"/>
    </row>
    <row r="79" spans="2:71" ht="16">
      <c r="I79" s="1117"/>
      <c r="J79" s="1118"/>
      <c r="K79" s="1118"/>
      <c r="L79" s="1118"/>
      <c r="M79" s="1118"/>
      <c r="N79" s="1118"/>
      <c r="O79" s="1118"/>
      <c r="P79" s="1118"/>
      <c r="Q79" s="1118"/>
      <c r="R79" s="1118"/>
      <c r="S79" s="1118"/>
      <c r="T79" s="1118"/>
      <c r="U79" s="1118"/>
      <c r="V79" s="1118"/>
      <c r="W79" s="1118"/>
      <c r="X79" s="1118"/>
      <c r="Y79" s="1118"/>
      <c r="AB79" s="1118"/>
      <c r="AC79" s="1118"/>
      <c r="AD79" s="1118"/>
      <c r="AE79" s="1118"/>
      <c r="AF79" s="1118"/>
      <c r="AG79" s="1118"/>
      <c r="AH79" s="1118"/>
      <c r="AI79" s="1118"/>
      <c r="AJ79" s="1118"/>
      <c r="AK79" s="1118"/>
      <c r="AL79" s="1118"/>
      <c r="AM79" s="1118"/>
      <c r="AN79" s="1118"/>
      <c r="AO79" s="1118"/>
      <c r="AP79" s="1118"/>
      <c r="AQ79" s="1118"/>
      <c r="BE79" s="2452"/>
      <c r="BF79" s="2452"/>
      <c r="BG79" s="2452"/>
      <c r="BH79" s="2452"/>
      <c r="BI79" s="2452"/>
      <c r="BJ79" s="1060" t="s">
        <v>4079</v>
      </c>
      <c r="BK79" s="1116"/>
      <c r="BL79" s="887"/>
      <c r="BM79" s="887"/>
      <c r="BN79" s="887"/>
    </row>
    <row r="80" spans="2:71" ht="16">
      <c r="I80" s="1117"/>
      <c r="J80" s="1118"/>
      <c r="K80" s="1118"/>
      <c r="L80" s="1118"/>
      <c r="M80" s="1118"/>
      <c r="N80" s="1118"/>
      <c r="O80" s="1118"/>
      <c r="P80" s="1118"/>
      <c r="Q80" s="1118"/>
      <c r="R80" s="1118"/>
      <c r="S80" s="1118"/>
      <c r="T80" s="1118"/>
      <c r="U80" s="1118"/>
      <c r="V80" s="1118"/>
      <c r="W80" s="1118"/>
      <c r="X80" s="1118"/>
      <c r="Y80" s="1118"/>
      <c r="AB80" s="1118"/>
      <c r="AC80" s="1118"/>
      <c r="AD80" s="1118"/>
      <c r="AE80" s="1118"/>
      <c r="AF80" s="1118"/>
      <c r="AG80" s="1118"/>
      <c r="AH80" s="1118"/>
      <c r="AI80" s="1118"/>
      <c r="AJ80" s="1118"/>
      <c r="AK80" s="1118"/>
      <c r="AL80" s="1118"/>
      <c r="AM80" s="1118"/>
      <c r="AN80" s="1118"/>
      <c r="AO80" s="1118"/>
      <c r="AP80" s="1118"/>
      <c r="AQ80" s="1118"/>
      <c r="BE80" s="2452"/>
      <c r="BF80" s="2452"/>
      <c r="BG80" s="2452"/>
      <c r="BH80" s="2452"/>
      <c r="BI80" s="2452"/>
      <c r="BJ80" s="1060" t="s">
        <v>4080</v>
      </c>
      <c r="BK80" s="1116"/>
      <c r="BL80" s="887"/>
      <c r="BM80" s="887"/>
      <c r="BN80" s="887"/>
      <c r="BS80" s="1120"/>
    </row>
    <row r="81" spans="2:77" ht="15.65" customHeight="1">
      <c r="I81" s="1117"/>
      <c r="J81" s="1118"/>
      <c r="K81" s="1118"/>
      <c r="L81" s="1118"/>
      <c r="M81" s="1118"/>
      <c r="N81" s="1118"/>
      <c r="O81" s="1118"/>
      <c r="P81" s="1118"/>
      <c r="Q81" s="1118"/>
      <c r="R81" s="1118"/>
      <c r="S81" s="1118"/>
      <c r="T81" s="1118"/>
      <c r="U81" s="1118"/>
      <c r="V81" s="1118"/>
      <c r="W81" s="1118"/>
      <c r="X81" s="1118"/>
      <c r="Y81" s="1118"/>
      <c r="AB81" s="1118"/>
      <c r="AC81" s="1118"/>
      <c r="AD81" s="1118"/>
      <c r="AE81" s="1118"/>
      <c r="AF81" s="1118"/>
      <c r="AG81" s="1118"/>
      <c r="AH81" s="1118"/>
      <c r="AI81" s="1118"/>
      <c r="AJ81" s="1118"/>
      <c r="AK81" s="1118"/>
      <c r="AL81" s="1118"/>
      <c r="AM81" s="1118"/>
      <c r="AN81" s="1118"/>
      <c r="AO81" s="1118"/>
      <c r="AP81" s="1118"/>
      <c r="AQ81" s="1118"/>
      <c r="BE81" s="2452"/>
      <c r="BF81" s="2452"/>
      <c r="BG81" s="2452"/>
      <c r="BH81" s="2452"/>
      <c r="BI81" s="2452"/>
      <c r="BJ81" s="1121" t="s">
        <v>4081</v>
      </c>
      <c r="BK81" s="1116"/>
      <c r="BL81" s="887"/>
      <c r="BM81" s="887"/>
      <c r="BN81" s="887"/>
      <c r="BS81" s="1120"/>
    </row>
    <row r="82" spans="2:77" ht="15.65" customHeight="1">
      <c r="BE82" s="2453"/>
      <c r="BF82" s="2453"/>
      <c r="BG82" s="2453"/>
      <c r="BH82" s="2453"/>
      <c r="BI82" s="2453"/>
      <c r="BJ82" s="1121" t="s">
        <v>4082</v>
      </c>
      <c r="BK82" s="1116"/>
      <c r="BL82" s="887"/>
      <c r="BM82" s="887"/>
    </row>
    <row r="83" spans="2:77" ht="15.65" customHeight="1">
      <c r="BJ83" s="887"/>
      <c r="BK83" s="1116"/>
      <c r="BL83" s="887"/>
      <c r="BM83" s="887"/>
    </row>
    <row r="93" spans="2:77" ht="19.399999999999999" customHeight="1">
      <c r="I93" s="1117"/>
      <c r="J93" s="1118"/>
      <c r="K93" s="1118"/>
      <c r="L93" s="1118"/>
      <c r="M93" s="1118"/>
      <c r="N93" s="1118"/>
      <c r="O93" s="1118"/>
      <c r="P93" s="1118"/>
      <c r="Q93" s="1118"/>
      <c r="R93" s="1118"/>
      <c r="S93" s="1118"/>
      <c r="T93" s="1118"/>
      <c r="U93" s="1118"/>
      <c r="V93" s="1118"/>
      <c r="W93" s="1118"/>
      <c r="X93" s="1118"/>
      <c r="Y93" s="1118"/>
      <c r="AB93" s="1118"/>
      <c r="AC93" s="1118"/>
      <c r="AD93" s="1118"/>
      <c r="AE93" s="1118"/>
      <c r="AF93" s="1118"/>
      <c r="AG93" s="1118"/>
      <c r="AH93" s="1118"/>
      <c r="AI93" s="1118"/>
      <c r="AJ93" s="1118"/>
      <c r="AK93" s="1118"/>
      <c r="AL93" s="1118"/>
      <c r="AM93" s="1118"/>
      <c r="AN93" s="1118"/>
      <c r="AO93" s="1118"/>
      <c r="AP93" s="1118"/>
      <c r="AQ93" s="1118"/>
      <c r="BY93" s="887"/>
    </row>
    <row r="94" spans="2:77" s="887" customFormat="1" ht="19.399999999999999" customHeight="1">
      <c r="B94" s="1078"/>
      <c r="C94" s="1079"/>
      <c r="D94" s="1079"/>
      <c r="E94" s="1080"/>
      <c r="F94" s="1080"/>
      <c r="I94" s="1081"/>
      <c r="J94" s="886"/>
      <c r="K94" s="886"/>
      <c r="L94" s="886"/>
      <c r="M94" s="886"/>
      <c r="N94" s="886"/>
      <c r="O94" s="886"/>
      <c r="P94" s="886"/>
      <c r="Q94" s="886"/>
      <c r="R94" s="886"/>
      <c r="S94" s="886"/>
      <c r="T94" s="886"/>
      <c r="U94" s="886"/>
      <c r="V94" s="886"/>
      <c r="W94" s="886"/>
      <c r="X94" s="886"/>
      <c r="Y94" s="886"/>
      <c r="AB94" s="886"/>
      <c r="AC94" s="886"/>
      <c r="AD94" s="886"/>
      <c r="AE94" s="886"/>
      <c r="AF94" s="886"/>
      <c r="AG94" s="886"/>
      <c r="AH94" s="886"/>
      <c r="AI94" s="886"/>
      <c r="AJ94" s="886"/>
      <c r="AK94" s="886"/>
      <c r="AL94" s="886"/>
      <c r="AM94" s="886"/>
      <c r="AN94" s="886"/>
      <c r="AO94" s="886"/>
      <c r="AP94" s="886"/>
      <c r="AQ94" s="886"/>
      <c r="AT94" s="888"/>
      <c r="BE94" s="889"/>
      <c r="BF94" s="889"/>
      <c r="BG94" s="889"/>
      <c r="BH94" s="889"/>
      <c r="BI94" s="889"/>
      <c r="BJ94" s="885"/>
      <c r="BK94" s="884"/>
      <c r="BL94" s="885"/>
      <c r="BM94" s="885"/>
      <c r="BN94" s="885"/>
      <c r="BO94" s="897"/>
      <c r="BP94" s="897"/>
      <c r="BQ94" s="897"/>
      <c r="BR94" s="897"/>
      <c r="BS94" s="1058"/>
      <c r="BT94" s="897"/>
      <c r="BV94" s="897"/>
      <c r="BW94" s="897"/>
      <c r="BX94" s="897"/>
      <c r="BY94" s="897"/>
    </row>
  </sheetData>
  <autoFilter ref="B3:BZ72" xr:uid="{64AB8A55-7EB6-4815-A6FB-908E7FD6D037}">
    <sortState xmlns:xlrd2="http://schemas.microsoft.com/office/spreadsheetml/2017/richdata2" ref="B4:BY72">
      <sortCondition ref="C3"/>
    </sortState>
  </autoFilter>
  <phoneticPr fontId="2"/>
  <printOptions horizontalCentered="1"/>
  <pageMargins left="3.937007874015748E-2" right="3.937007874015748E-2" top="0.15748031496062992" bottom="0.15748031496062992" header="0" footer="0"/>
  <pageSetup paperSize="8" scale="83" fitToHeight="0" orientation="landscape" r:id="rId1"/>
  <headerFooter>
    <oddFooter>&amp;C&amp;"Meiryo UI,標準"&amp;10&amp;P / &amp;N ページ</oddFooter>
  </headerFooter>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8CF3-951C-43E7-8F72-5DB85C9B3ED8}">
  <sheetPr codeName="Sheet243">
    <tabColor rgb="FFFFC000"/>
    <pageSetUpPr fitToPage="1"/>
  </sheetPr>
  <dimension ref="B1:BV14"/>
  <sheetViews>
    <sheetView zoomScale="70" zoomScaleNormal="70" workbookViewId="0">
      <selection activeCell="B10" sqref="B10"/>
    </sheetView>
  </sheetViews>
  <sheetFormatPr defaultColWidth="9.453125" defaultRowHeight="19.399999999999999" customHeight="1" outlineLevelCol="2"/>
  <cols>
    <col min="1" max="1" width="9.453125" style="897"/>
    <col min="2" max="2" width="9.26953125" style="889" customWidth="1"/>
    <col min="3" max="3" width="44.1796875" style="1054" bestFit="1" customWidth="1"/>
    <col min="4" max="4" width="10.7265625" style="887" bestFit="1" customWidth="1"/>
    <col min="5" max="20" width="6.54296875" style="886" hidden="1" customWidth="1" outlineLevel="1"/>
    <col min="21" max="21" width="7.7265625" style="887" customWidth="1" collapsed="1"/>
    <col min="22" max="22" width="9.453125" style="887" customWidth="1"/>
    <col min="23" max="38" width="6.54296875" style="886" hidden="1" customWidth="1" outlineLevel="2"/>
    <col min="39" max="39" width="8.7265625" style="887" customWidth="1" collapsed="1"/>
    <col min="40" max="40" width="8.81640625" style="887" customWidth="1"/>
    <col min="41" max="41" width="8.81640625" style="888" hidden="1" customWidth="1"/>
    <col min="42" max="43" width="5.453125" style="887" customWidth="1"/>
    <col min="44" max="44" width="6.453125" style="887" customWidth="1"/>
    <col min="45" max="45" width="6.54296875" style="887" customWidth="1"/>
    <col min="46" max="48" width="3.453125" style="887" hidden="1" customWidth="1"/>
    <col min="49" max="49" width="33.453125" style="887" hidden="1" customWidth="1"/>
    <col min="50" max="50" width="25.453125" style="887" hidden="1" customWidth="1"/>
    <col min="51" max="51" width="8.81640625" style="897" customWidth="1"/>
    <col min="52" max="52" width="10.7265625" style="887" bestFit="1" customWidth="1"/>
    <col min="53" max="53" width="10.7265625" style="887" customWidth="1"/>
    <col min="54" max="54" width="35.453125" style="1058" customWidth="1"/>
    <col min="55" max="55" width="9.453125" style="897"/>
    <col min="56" max="56" width="8.81640625" style="897" customWidth="1"/>
    <col min="57" max="62" width="4.453125" style="892" customWidth="1"/>
    <col min="63" max="63" width="8.81640625" style="893" customWidth="1"/>
    <col min="64" max="66" width="4.453125" style="895" customWidth="1"/>
    <col min="67" max="67" width="4.453125" style="1059" customWidth="1"/>
    <col min="68" max="69" width="12.54296875" style="1059" customWidth="1"/>
    <col min="70" max="70" width="29" style="1059" customWidth="1"/>
    <col min="71" max="71" width="7.1796875" style="1059" customWidth="1"/>
    <col min="72" max="16384" width="9.453125" style="897"/>
  </cols>
  <sheetData>
    <row r="1" spans="2:74" ht="28.75" customHeight="1">
      <c r="B1" s="883" t="s">
        <v>4083</v>
      </c>
      <c r="C1" s="885"/>
      <c r="D1" s="885"/>
      <c r="AY1" s="885"/>
      <c r="AZ1" s="1844" t="s">
        <v>2547</v>
      </c>
      <c r="BA1" s="1844" t="s">
        <v>2547</v>
      </c>
      <c r="BB1" s="890" t="s">
        <v>4084</v>
      </c>
      <c r="BC1" s="891"/>
      <c r="BD1" s="891"/>
      <c r="BE1" s="891"/>
      <c r="BF1" s="891"/>
      <c r="BG1" s="891"/>
      <c r="BI1" s="891"/>
      <c r="BJ1" s="891"/>
      <c r="BL1" s="894"/>
      <c r="BM1" s="894"/>
      <c r="BO1" s="896"/>
      <c r="BP1" s="896"/>
      <c r="BQ1" s="896"/>
      <c r="BR1" s="896"/>
      <c r="BS1" s="896"/>
      <c r="BT1" s="892"/>
      <c r="BU1" s="892"/>
      <c r="BV1" s="892"/>
    </row>
    <row r="2" spans="2:74" s="895" customFormat="1" ht="90">
      <c r="B2" s="2454" t="s">
        <v>4085</v>
      </c>
      <c r="C2" s="2455" t="s">
        <v>2568</v>
      </c>
      <c r="D2" s="2456" t="s">
        <v>2101</v>
      </c>
      <c r="E2" s="2457" t="s">
        <v>2569</v>
      </c>
      <c r="F2" s="2458" t="s">
        <v>2570</v>
      </c>
      <c r="G2" s="2458" t="s">
        <v>2571</v>
      </c>
      <c r="H2" s="2458" t="s">
        <v>2572</v>
      </c>
      <c r="I2" s="2458" t="s">
        <v>2573</v>
      </c>
      <c r="J2" s="2458" t="s">
        <v>2574</v>
      </c>
      <c r="K2" s="2458" t="s">
        <v>2575</v>
      </c>
      <c r="L2" s="1103" t="s">
        <v>2576</v>
      </c>
      <c r="M2" s="1103" t="s">
        <v>2577</v>
      </c>
      <c r="N2" s="1103" t="s">
        <v>2578</v>
      </c>
      <c r="O2" s="1103" t="s">
        <v>2579</v>
      </c>
      <c r="P2" s="2458" t="s">
        <v>2580</v>
      </c>
      <c r="Q2" s="2458" t="s">
        <v>2581</v>
      </c>
      <c r="R2" s="2458" t="s">
        <v>2582</v>
      </c>
      <c r="S2" s="2458" t="s">
        <v>2583</v>
      </c>
      <c r="T2" s="2459" t="s">
        <v>2584</v>
      </c>
      <c r="U2" s="2460" t="s">
        <v>2104</v>
      </c>
      <c r="V2" s="1106" t="s">
        <v>2585</v>
      </c>
      <c r="W2" s="2457" t="s">
        <v>2569</v>
      </c>
      <c r="X2" s="2458" t="s">
        <v>2570</v>
      </c>
      <c r="Y2" s="2458" t="s">
        <v>2571</v>
      </c>
      <c r="Z2" s="2458" t="s">
        <v>2572</v>
      </c>
      <c r="AA2" s="2458" t="s">
        <v>2573</v>
      </c>
      <c r="AB2" s="2458" t="s">
        <v>2574</v>
      </c>
      <c r="AC2" s="2458" t="s">
        <v>2575</v>
      </c>
      <c r="AD2" s="1103" t="s">
        <v>2576</v>
      </c>
      <c r="AE2" s="1103" t="s">
        <v>2577</v>
      </c>
      <c r="AF2" s="1103" t="s">
        <v>2578</v>
      </c>
      <c r="AG2" s="1103" t="s">
        <v>2579</v>
      </c>
      <c r="AH2" s="2458" t="s">
        <v>2580</v>
      </c>
      <c r="AI2" s="2458" t="s">
        <v>2581</v>
      </c>
      <c r="AJ2" s="2458" t="s">
        <v>2582</v>
      </c>
      <c r="AK2" s="2458" t="s">
        <v>2583</v>
      </c>
      <c r="AL2" s="2459" t="s">
        <v>2584</v>
      </c>
      <c r="AM2" s="2461" t="s">
        <v>4086</v>
      </c>
      <c r="AN2" s="1106" t="s">
        <v>4087</v>
      </c>
      <c r="AO2" s="2462" t="s">
        <v>2588</v>
      </c>
      <c r="AP2" s="2455" t="s">
        <v>4088</v>
      </c>
      <c r="AQ2" s="1106" t="s">
        <v>4089</v>
      </c>
      <c r="AR2" s="2455" t="s">
        <v>4090</v>
      </c>
      <c r="AS2" s="2455" t="s">
        <v>4091</v>
      </c>
      <c r="AT2" s="2460" t="s">
        <v>2593</v>
      </c>
      <c r="AU2" s="2455" t="s">
        <v>2594</v>
      </c>
      <c r="AV2" s="1106" t="s">
        <v>2595</v>
      </c>
      <c r="AW2" s="2456" t="s">
        <v>2109</v>
      </c>
      <c r="AX2" s="2463" t="s">
        <v>2596</v>
      </c>
      <c r="AY2" s="2464" t="s">
        <v>4092</v>
      </c>
      <c r="AZ2" s="2287" t="s">
        <v>3691</v>
      </c>
      <c r="BA2" s="2287" t="s">
        <v>2551</v>
      </c>
      <c r="BB2" s="2290" t="s">
        <v>2600</v>
      </c>
      <c r="BC2" s="899"/>
      <c r="BD2" s="899"/>
      <c r="BE2" s="899"/>
      <c r="BF2" s="899"/>
      <c r="BG2" s="899"/>
      <c r="BH2" s="899"/>
      <c r="BI2" s="899"/>
      <c r="BJ2" s="899"/>
      <c r="BK2" s="899"/>
      <c r="BL2" s="899"/>
      <c r="BM2" s="899"/>
      <c r="BN2" s="899"/>
      <c r="BO2" s="899"/>
      <c r="BP2" s="899"/>
      <c r="BQ2" s="899"/>
      <c r="BR2" s="899"/>
      <c r="BS2" s="899"/>
      <c r="BT2" s="899"/>
    </row>
    <row r="3" spans="2:74" ht="71.5" customHeight="1">
      <c r="B3" s="2465">
        <v>67</v>
      </c>
      <c r="C3" s="2466" t="s">
        <v>4093</v>
      </c>
      <c r="D3" s="1109" t="s">
        <v>2138</v>
      </c>
      <c r="E3" s="1101" t="s">
        <v>4094</v>
      </c>
      <c r="F3" s="1102" t="s">
        <v>2602</v>
      </c>
      <c r="G3" s="1102" t="s">
        <v>3998</v>
      </c>
      <c r="H3" s="1102" t="s">
        <v>2666</v>
      </c>
      <c r="I3" s="1102" t="s">
        <v>2602</v>
      </c>
      <c r="J3" s="1102" t="s">
        <v>2602</v>
      </c>
      <c r="K3" s="1102" t="s">
        <v>2602</v>
      </c>
      <c r="L3" s="1103" t="s">
        <v>2602</v>
      </c>
      <c r="M3" s="1103" t="s">
        <v>2602</v>
      </c>
      <c r="N3" s="1103" t="s">
        <v>2602</v>
      </c>
      <c r="O3" s="1103" t="s">
        <v>2602</v>
      </c>
      <c r="P3" s="1102" t="s">
        <v>2602</v>
      </c>
      <c r="Q3" s="1102" t="s">
        <v>2602</v>
      </c>
      <c r="R3" s="1102" t="s">
        <v>2602</v>
      </c>
      <c r="S3" s="1102" t="s">
        <v>2602</v>
      </c>
      <c r="T3" s="1104" t="s">
        <v>2602</v>
      </c>
      <c r="U3" s="2460">
        <v>238</v>
      </c>
      <c r="V3" s="1108">
        <v>240</v>
      </c>
      <c r="W3" s="1101" t="s">
        <v>4094</v>
      </c>
      <c r="X3" s="1102" t="s">
        <v>2602</v>
      </c>
      <c r="Y3" s="1102" t="s">
        <v>3998</v>
      </c>
      <c r="Z3" s="1102" t="s">
        <v>2666</v>
      </c>
      <c r="AA3" s="1102" t="s">
        <v>2602</v>
      </c>
      <c r="AB3" s="1102" t="s">
        <v>2602</v>
      </c>
      <c r="AC3" s="1102" t="s">
        <v>2602</v>
      </c>
      <c r="AD3" s="1103" t="s">
        <v>2602</v>
      </c>
      <c r="AE3" s="1103" t="s">
        <v>2602</v>
      </c>
      <c r="AF3" s="1103" t="s">
        <v>2602</v>
      </c>
      <c r="AG3" s="1103" t="s">
        <v>2602</v>
      </c>
      <c r="AH3" s="1102" t="s">
        <v>2602</v>
      </c>
      <c r="AI3" s="1102" t="s">
        <v>2602</v>
      </c>
      <c r="AJ3" s="1102" t="s">
        <v>2602</v>
      </c>
      <c r="AK3" s="1102" t="s">
        <v>2602</v>
      </c>
      <c r="AL3" s="1104" t="s">
        <v>2602</v>
      </c>
      <c r="AM3" s="2460">
        <v>238</v>
      </c>
      <c r="AN3" s="1108">
        <v>240</v>
      </c>
      <c r="AO3" s="1107">
        <v>1</v>
      </c>
      <c r="AP3" s="1050" t="s">
        <v>2610</v>
      </c>
      <c r="AQ3" s="1108" t="s">
        <v>2610</v>
      </c>
      <c r="AR3" s="1050">
        <v>0</v>
      </c>
      <c r="AS3" s="1050">
        <v>0</v>
      </c>
      <c r="AT3" s="1105" t="s">
        <v>2133</v>
      </c>
      <c r="AU3" s="1050" t="s">
        <v>2688</v>
      </c>
      <c r="AV3" s="1108" t="s">
        <v>2688</v>
      </c>
      <c r="AW3" s="1109" t="s">
        <v>2168</v>
      </c>
      <c r="AX3" s="1109" t="s">
        <v>2133</v>
      </c>
      <c r="AY3" s="2467" t="s">
        <v>4095</v>
      </c>
      <c r="AZ3" s="2468">
        <v>170</v>
      </c>
      <c r="BA3" s="2468">
        <v>32</v>
      </c>
      <c r="BB3" s="1041"/>
      <c r="BC3" s="899"/>
      <c r="BD3" s="899"/>
      <c r="BE3" s="899"/>
      <c r="BF3" s="899"/>
      <c r="BG3" s="899"/>
      <c r="BH3" s="899"/>
      <c r="BI3" s="899"/>
      <c r="BJ3" s="899"/>
      <c r="BK3" s="899"/>
      <c r="BL3" s="899"/>
      <c r="BM3" s="899"/>
      <c r="BN3" s="899"/>
      <c r="BO3" s="899"/>
      <c r="BP3" s="899"/>
      <c r="BQ3" s="899"/>
      <c r="BR3" s="899"/>
      <c r="BS3" s="899"/>
      <c r="BT3" s="899"/>
      <c r="BU3" s="899"/>
    </row>
    <row r="4" spans="2:74" ht="71.5" customHeight="1">
      <c r="B4" s="2465">
        <v>288</v>
      </c>
      <c r="C4" s="2466" t="s">
        <v>4096</v>
      </c>
      <c r="D4" s="1109" t="s">
        <v>2138</v>
      </c>
      <c r="E4" s="1101" t="s">
        <v>4097</v>
      </c>
      <c r="F4" s="1102" t="s">
        <v>4098</v>
      </c>
      <c r="G4" s="1102" t="s">
        <v>3729</v>
      </c>
      <c r="H4" s="1102" t="s">
        <v>2636</v>
      </c>
      <c r="I4" s="1102" t="s">
        <v>2602</v>
      </c>
      <c r="J4" s="1102" t="s">
        <v>2602</v>
      </c>
      <c r="K4" s="1102" t="s">
        <v>2602</v>
      </c>
      <c r="L4" s="1103" t="s">
        <v>2602</v>
      </c>
      <c r="M4" s="1103" t="s">
        <v>2602</v>
      </c>
      <c r="N4" s="1103" t="s">
        <v>2602</v>
      </c>
      <c r="O4" s="1103" t="s">
        <v>2602</v>
      </c>
      <c r="P4" s="1102" t="s">
        <v>2602</v>
      </c>
      <c r="Q4" s="1102" t="s">
        <v>2602</v>
      </c>
      <c r="R4" s="1102" t="s">
        <v>2602</v>
      </c>
      <c r="S4" s="1102" t="s">
        <v>2602</v>
      </c>
      <c r="T4" s="1104" t="s">
        <v>2602</v>
      </c>
      <c r="U4" s="2460">
        <v>249</v>
      </c>
      <c r="V4" s="1108">
        <v>250</v>
      </c>
      <c r="W4" s="1101" t="s">
        <v>4097</v>
      </c>
      <c r="X4" s="1102" t="s">
        <v>4098</v>
      </c>
      <c r="Y4" s="1102" t="s">
        <v>3729</v>
      </c>
      <c r="Z4" s="1102" t="s">
        <v>2636</v>
      </c>
      <c r="AA4" s="1102" t="s">
        <v>2602</v>
      </c>
      <c r="AB4" s="1102" t="s">
        <v>2602</v>
      </c>
      <c r="AC4" s="1102" t="s">
        <v>2602</v>
      </c>
      <c r="AD4" s="1103" t="s">
        <v>2602</v>
      </c>
      <c r="AE4" s="1103" t="s">
        <v>2602</v>
      </c>
      <c r="AF4" s="1103" t="s">
        <v>2602</v>
      </c>
      <c r="AG4" s="1103" t="s">
        <v>2602</v>
      </c>
      <c r="AH4" s="1102" t="s">
        <v>2602</v>
      </c>
      <c r="AI4" s="1102" t="s">
        <v>2602</v>
      </c>
      <c r="AJ4" s="1102" t="s">
        <v>2602</v>
      </c>
      <c r="AK4" s="1102" t="s">
        <v>2602</v>
      </c>
      <c r="AL4" s="1104" t="s">
        <v>2602</v>
      </c>
      <c r="AM4" s="2460">
        <v>249</v>
      </c>
      <c r="AN4" s="1108">
        <v>250</v>
      </c>
      <c r="AO4" s="1107">
        <v>1</v>
      </c>
      <c r="AP4" s="1050" t="s">
        <v>2610</v>
      </c>
      <c r="AQ4" s="1108" t="s">
        <v>2610</v>
      </c>
      <c r="AR4" s="1050">
        <v>0</v>
      </c>
      <c r="AS4" s="1050">
        <v>0</v>
      </c>
      <c r="AT4" s="1105" t="s">
        <v>2133</v>
      </c>
      <c r="AU4" s="1050" t="s">
        <v>2688</v>
      </c>
      <c r="AV4" s="1108" t="s">
        <v>2688</v>
      </c>
      <c r="AW4" s="1109" t="s">
        <v>2168</v>
      </c>
      <c r="AX4" s="1109" t="s">
        <v>2133</v>
      </c>
      <c r="AY4" s="2467" t="s">
        <v>4095</v>
      </c>
      <c r="AZ4" s="2468">
        <v>70</v>
      </c>
      <c r="BA4" s="2468">
        <v>32</v>
      </c>
      <c r="BB4" s="1041"/>
      <c r="BC4" s="899"/>
      <c r="BD4" s="899"/>
      <c r="BE4" s="899"/>
      <c r="BF4" s="899"/>
      <c r="BG4" s="899"/>
      <c r="BH4" s="899"/>
      <c r="BI4" s="899"/>
      <c r="BJ4" s="899"/>
      <c r="BK4" s="899"/>
      <c r="BL4" s="899"/>
      <c r="BM4" s="899"/>
      <c r="BN4" s="899"/>
      <c r="BO4" s="899"/>
      <c r="BP4" s="899"/>
      <c r="BQ4" s="899"/>
      <c r="BR4" s="899"/>
      <c r="BS4" s="899"/>
      <c r="BT4" s="899"/>
      <c r="BU4" s="899"/>
    </row>
    <row r="5" spans="2:74" ht="71.5" customHeight="1">
      <c r="B5" s="3221">
        <v>3010</v>
      </c>
      <c r="C5" s="940" t="s">
        <v>4099</v>
      </c>
      <c r="D5" s="950" t="s">
        <v>2364</v>
      </c>
      <c r="E5" s="942" t="s">
        <v>2602</v>
      </c>
      <c r="F5" s="943" t="s">
        <v>4100</v>
      </c>
      <c r="G5" s="943" t="s">
        <v>2602</v>
      </c>
      <c r="H5" s="943" t="s">
        <v>4054</v>
      </c>
      <c r="I5" s="943" t="s">
        <v>2602</v>
      </c>
      <c r="J5" s="943" t="s">
        <v>2602</v>
      </c>
      <c r="K5" s="943" t="s">
        <v>2602</v>
      </c>
      <c r="L5" s="944" t="s">
        <v>2602</v>
      </c>
      <c r="M5" s="944" t="s">
        <v>2602</v>
      </c>
      <c r="N5" s="944" t="s">
        <v>2602</v>
      </c>
      <c r="O5" s="944" t="s">
        <v>2602</v>
      </c>
      <c r="P5" s="943" t="s">
        <v>2602</v>
      </c>
      <c r="Q5" s="943" t="s">
        <v>2602</v>
      </c>
      <c r="R5" s="943" t="s">
        <v>2602</v>
      </c>
      <c r="S5" s="943" t="s">
        <v>2602</v>
      </c>
      <c r="T5" s="945" t="s">
        <v>2602</v>
      </c>
      <c r="U5" s="946">
        <v>132</v>
      </c>
      <c r="V5" s="941">
        <v>153</v>
      </c>
      <c r="W5" s="942" t="s">
        <v>2602</v>
      </c>
      <c r="X5" s="943" t="s">
        <v>3712</v>
      </c>
      <c r="Y5" s="943" t="s">
        <v>2602</v>
      </c>
      <c r="Z5" s="943" t="s">
        <v>2602</v>
      </c>
      <c r="AA5" s="943" t="s">
        <v>2602</v>
      </c>
      <c r="AB5" s="943" t="s">
        <v>2602</v>
      </c>
      <c r="AC5" s="943" t="s">
        <v>2602</v>
      </c>
      <c r="AD5" s="944" t="s">
        <v>2602</v>
      </c>
      <c r="AE5" s="944" t="s">
        <v>2602</v>
      </c>
      <c r="AF5" s="944" t="s">
        <v>2602</v>
      </c>
      <c r="AG5" s="944" t="s">
        <v>2602</v>
      </c>
      <c r="AH5" s="943" t="s">
        <v>2602</v>
      </c>
      <c r="AI5" s="943" t="s">
        <v>2602</v>
      </c>
      <c r="AJ5" s="943" t="s">
        <v>2602</v>
      </c>
      <c r="AK5" s="943" t="s">
        <v>2602</v>
      </c>
      <c r="AL5" s="945" t="s">
        <v>2602</v>
      </c>
      <c r="AM5" s="946">
        <v>40</v>
      </c>
      <c r="AN5" s="941">
        <v>40</v>
      </c>
      <c r="AO5" s="947">
        <v>0.30303030303030304</v>
      </c>
      <c r="AP5" s="948" t="s">
        <v>2609</v>
      </c>
      <c r="AQ5" s="941" t="s">
        <v>2610</v>
      </c>
      <c r="AR5" s="948">
        <v>0</v>
      </c>
      <c r="AS5" s="948">
        <v>0</v>
      </c>
      <c r="AT5" s="949" t="s">
        <v>2133</v>
      </c>
      <c r="AU5" s="948" t="s">
        <v>2688</v>
      </c>
      <c r="AV5" s="941" t="s">
        <v>2688</v>
      </c>
      <c r="AW5" s="950" t="s">
        <v>2168</v>
      </c>
      <c r="AX5" s="950" t="s">
        <v>2133</v>
      </c>
      <c r="AY5" s="2469" t="s">
        <v>4095</v>
      </c>
      <c r="AZ5" s="2470">
        <v>14</v>
      </c>
      <c r="BA5" s="2470">
        <v>32</v>
      </c>
      <c r="BB5" s="954"/>
      <c r="BC5" s="899"/>
      <c r="BD5" s="899"/>
      <c r="BE5" s="899"/>
      <c r="BF5" s="899"/>
      <c r="BG5" s="899"/>
      <c r="BH5" s="899"/>
      <c r="BI5" s="899"/>
      <c r="BJ5" s="899"/>
      <c r="BK5" s="899"/>
      <c r="BL5" s="899"/>
      <c r="BM5" s="899"/>
      <c r="BN5" s="899"/>
      <c r="BO5" s="899"/>
      <c r="BP5" s="899"/>
      <c r="BQ5" s="899"/>
      <c r="BR5" s="899"/>
      <c r="BS5" s="899"/>
      <c r="BT5" s="899"/>
      <c r="BU5" s="899"/>
    </row>
    <row r="6" spans="2:74" ht="71.5" customHeight="1">
      <c r="B6" s="3222">
        <v>3012</v>
      </c>
      <c r="C6" s="976" t="s">
        <v>4101</v>
      </c>
      <c r="D6" s="986" t="s">
        <v>2408</v>
      </c>
      <c r="E6" s="978" t="s">
        <v>4056</v>
      </c>
      <c r="F6" s="979" t="s">
        <v>4057</v>
      </c>
      <c r="G6" s="979" t="s">
        <v>2602</v>
      </c>
      <c r="H6" s="979" t="s">
        <v>4058</v>
      </c>
      <c r="I6" s="979" t="s">
        <v>2602</v>
      </c>
      <c r="J6" s="979" t="s">
        <v>2602</v>
      </c>
      <c r="K6" s="979" t="s">
        <v>2602</v>
      </c>
      <c r="L6" s="980" t="s">
        <v>2602</v>
      </c>
      <c r="M6" s="980" t="s">
        <v>2602</v>
      </c>
      <c r="N6" s="980" t="s">
        <v>2602</v>
      </c>
      <c r="O6" s="980" t="s">
        <v>2602</v>
      </c>
      <c r="P6" s="979" t="s">
        <v>2602</v>
      </c>
      <c r="Q6" s="979" t="s">
        <v>2602</v>
      </c>
      <c r="R6" s="979" t="s">
        <v>2602</v>
      </c>
      <c r="S6" s="979" t="s">
        <v>3981</v>
      </c>
      <c r="T6" s="981" t="s">
        <v>2602</v>
      </c>
      <c r="U6" s="982">
        <v>322</v>
      </c>
      <c r="V6" s="977">
        <v>521</v>
      </c>
      <c r="W6" s="978" t="s">
        <v>2720</v>
      </c>
      <c r="X6" s="979" t="s">
        <v>2602</v>
      </c>
      <c r="Y6" s="979" t="s">
        <v>2602</v>
      </c>
      <c r="Z6" s="979" t="s">
        <v>4059</v>
      </c>
      <c r="AA6" s="979" t="s">
        <v>2602</v>
      </c>
      <c r="AB6" s="979" t="s">
        <v>2602</v>
      </c>
      <c r="AC6" s="979" t="s">
        <v>2602</v>
      </c>
      <c r="AD6" s="980" t="s">
        <v>2602</v>
      </c>
      <c r="AE6" s="980" t="s">
        <v>2602</v>
      </c>
      <c r="AF6" s="980" t="s">
        <v>2602</v>
      </c>
      <c r="AG6" s="980" t="s">
        <v>2602</v>
      </c>
      <c r="AH6" s="979" t="s">
        <v>2602</v>
      </c>
      <c r="AI6" s="979" t="s">
        <v>2602</v>
      </c>
      <c r="AJ6" s="979" t="s">
        <v>2602</v>
      </c>
      <c r="AK6" s="979" t="s">
        <v>2602</v>
      </c>
      <c r="AL6" s="981" t="s">
        <v>2602</v>
      </c>
      <c r="AM6" s="982">
        <v>153</v>
      </c>
      <c r="AN6" s="977">
        <v>252</v>
      </c>
      <c r="AO6" s="983">
        <v>0.4751552795031056</v>
      </c>
      <c r="AP6" s="984" t="s">
        <v>2609</v>
      </c>
      <c r="AQ6" s="977" t="s">
        <v>2610</v>
      </c>
      <c r="AR6" s="984">
        <v>11</v>
      </c>
      <c r="AS6" s="984">
        <v>10</v>
      </c>
      <c r="AT6" s="985" t="s">
        <v>2133</v>
      </c>
      <c r="AU6" s="984" t="s">
        <v>2133</v>
      </c>
      <c r="AV6" s="977" t="s">
        <v>2133</v>
      </c>
      <c r="AW6" s="986" t="s">
        <v>2207</v>
      </c>
      <c r="AX6" s="986" t="s">
        <v>2612</v>
      </c>
      <c r="AY6" s="2471" t="s">
        <v>4095</v>
      </c>
      <c r="AZ6" s="2472">
        <v>14</v>
      </c>
      <c r="BA6" s="2472">
        <v>32</v>
      </c>
      <c r="BB6" s="990" t="s">
        <v>4102</v>
      </c>
      <c r="BC6" s="899"/>
      <c r="BD6" s="899"/>
      <c r="BE6" s="899"/>
      <c r="BF6" s="899"/>
      <c r="BG6" s="899"/>
      <c r="BH6" s="899"/>
      <c r="BI6" s="899"/>
      <c r="BJ6" s="899"/>
      <c r="BK6" s="899"/>
      <c r="BL6" s="899"/>
      <c r="BM6" s="899"/>
      <c r="BN6" s="899"/>
      <c r="BO6" s="899"/>
      <c r="BP6" s="899"/>
      <c r="BQ6" s="899"/>
      <c r="BR6" s="899"/>
      <c r="BS6" s="899"/>
      <c r="BT6" s="899"/>
      <c r="BU6" s="899"/>
    </row>
    <row r="7" spans="2:74" ht="71.5" customHeight="1">
      <c r="B7" s="3222">
        <v>3009</v>
      </c>
      <c r="C7" s="976" t="s">
        <v>3849</v>
      </c>
      <c r="D7" s="986" t="s">
        <v>2396</v>
      </c>
      <c r="E7" s="978" t="s">
        <v>2602</v>
      </c>
      <c r="F7" s="979" t="s">
        <v>2662</v>
      </c>
      <c r="G7" s="979" t="s">
        <v>2602</v>
      </c>
      <c r="H7" s="979" t="s">
        <v>4061</v>
      </c>
      <c r="I7" s="979" t="s">
        <v>2602</v>
      </c>
      <c r="J7" s="979" t="s">
        <v>2602</v>
      </c>
      <c r="K7" s="979" t="s">
        <v>2602</v>
      </c>
      <c r="L7" s="980" t="s">
        <v>3972</v>
      </c>
      <c r="M7" s="980" t="s">
        <v>2732</v>
      </c>
      <c r="N7" s="980" t="s">
        <v>2602</v>
      </c>
      <c r="O7" s="980" t="s">
        <v>2602</v>
      </c>
      <c r="P7" s="979" t="s">
        <v>2687</v>
      </c>
      <c r="Q7" s="979" t="s">
        <v>2732</v>
      </c>
      <c r="R7" s="979" t="s">
        <v>2602</v>
      </c>
      <c r="S7" s="979" t="s">
        <v>4018</v>
      </c>
      <c r="T7" s="981" t="s">
        <v>2602</v>
      </c>
      <c r="U7" s="982">
        <v>128</v>
      </c>
      <c r="V7" s="977">
        <v>223</v>
      </c>
      <c r="W7" s="978" t="s">
        <v>2602</v>
      </c>
      <c r="X7" s="979" t="s">
        <v>3721</v>
      </c>
      <c r="Y7" s="979" t="s">
        <v>2602</v>
      </c>
      <c r="Z7" s="979" t="s">
        <v>2684</v>
      </c>
      <c r="AA7" s="979" t="s">
        <v>2602</v>
      </c>
      <c r="AB7" s="979" t="s">
        <v>2602</v>
      </c>
      <c r="AC7" s="979" t="s">
        <v>2602</v>
      </c>
      <c r="AD7" s="980" t="s">
        <v>3972</v>
      </c>
      <c r="AE7" s="980" t="s">
        <v>2732</v>
      </c>
      <c r="AF7" s="980" t="s">
        <v>2602</v>
      </c>
      <c r="AG7" s="980" t="s">
        <v>2602</v>
      </c>
      <c r="AH7" s="979" t="s">
        <v>2602</v>
      </c>
      <c r="AI7" s="979" t="s">
        <v>2602</v>
      </c>
      <c r="AJ7" s="979" t="s">
        <v>2602</v>
      </c>
      <c r="AK7" s="979" t="s">
        <v>2602</v>
      </c>
      <c r="AL7" s="981" t="s">
        <v>2602</v>
      </c>
      <c r="AM7" s="982">
        <v>36</v>
      </c>
      <c r="AN7" s="977">
        <v>62</v>
      </c>
      <c r="AO7" s="983">
        <v>0.28125</v>
      </c>
      <c r="AP7" s="984" t="s">
        <v>2609</v>
      </c>
      <c r="AQ7" s="977" t="s">
        <v>2609</v>
      </c>
      <c r="AR7" s="984">
        <v>3</v>
      </c>
      <c r="AS7" s="984">
        <v>2</v>
      </c>
      <c r="AT7" s="985" t="s">
        <v>2133</v>
      </c>
      <c r="AU7" s="984" t="s">
        <v>2133</v>
      </c>
      <c r="AV7" s="977" t="s">
        <v>2133</v>
      </c>
      <c r="AW7" s="986" t="s">
        <v>2288</v>
      </c>
      <c r="AX7" s="986" t="s">
        <v>2612</v>
      </c>
      <c r="AY7" s="2471" t="s">
        <v>4095</v>
      </c>
      <c r="AZ7" s="2472">
        <v>7</v>
      </c>
      <c r="BA7" s="2472">
        <v>32</v>
      </c>
      <c r="BB7" s="990" t="s">
        <v>4102</v>
      </c>
      <c r="BC7" s="899"/>
      <c r="BD7" s="899"/>
      <c r="BE7" s="899"/>
      <c r="BF7" s="899"/>
      <c r="BG7" s="899"/>
      <c r="BH7" s="899"/>
      <c r="BI7" s="899"/>
      <c r="BJ7" s="899"/>
      <c r="BK7" s="899"/>
      <c r="BL7" s="899"/>
      <c r="BM7" s="899"/>
      <c r="BN7" s="899"/>
      <c r="BO7" s="899"/>
      <c r="BP7" s="899"/>
      <c r="BQ7" s="899"/>
      <c r="BR7" s="899"/>
      <c r="BS7" s="897"/>
    </row>
    <row r="8" spans="2:74" ht="71.5" customHeight="1">
      <c r="B8" s="3223">
        <v>3011</v>
      </c>
      <c r="C8" s="2466" t="s">
        <v>4103</v>
      </c>
      <c r="D8" s="1109" t="s">
        <v>2417</v>
      </c>
      <c r="E8" s="1101" t="s">
        <v>2602</v>
      </c>
      <c r="F8" s="1102" t="s">
        <v>4052</v>
      </c>
      <c r="G8" s="1102" t="s">
        <v>2602</v>
      </c>
      <c r="H8" s="1102" t="s">
        <v>4053</v>
      </c>
      <c r="I8" s="1102" t="s">
        <v>2602</v>
      </c>
      <c r="J8" s="1102" t="s">
        <v>2602</v>
      </c>
      <c r="K8" s="1102" t="s">
        <v>2602</v>
      </c>
      <c r="L8" s="1103" t="s">
        <v>2602</v>
      </c>
      <c r="M8" s="1103" t="s">
        <v>2602</v>
      </c>
      <c r="N8" s="1103" t="s">
        <v>2602</v>
      </c>
      <c r="O8" s="1103" t="s">
        <v>2602</v>
      </c>
      <c r="P8" s="1102" t="s">
        <v>2602</v>
      </c>
      <c r="Q8" s="1102" t="s">
        <v>2602</v>
      </c>
      <c r="R8" s="1102" t="s">
        <v>2602</v>
      </c>
      <c r="S8" s="1102" t="s">
        <v>4054</v>
      </c>
      <c r="T8" s="1104" t="s">
        <v>2602</v>
      </c>
      <c r="U8" s="2460">
        <v>378</v>
      </c>
      <c r="V8" s="1108">
        <v>620</v>
      </c>
      <c r="W8" s="1101" t="s">
        <v>2602</v>
      </c>
      <c r="X8" s="1102" t="s">
        <v>4020</v>
      </c>
      <c r="Y8" s="1102" t="s">
        <v>2602</v>
      </c>
      <c r="Z8" s="1102" t="s">
        <v>3701</v>
      </c>
      <c r="AA8" s="1102" t="s">
        <v>2602</v>
      </c>
      <c r="AB8" s="1102" t="s">
        <v>2602</v>
      </c>
      <c r="AC8" s="1102" t="s">
        <v>2602</v>
      </c>
      <c r="AD8" s="1103" t="s">
        <v>2602</v>
      </c>
      <c r="AE8" s="1103" t="s">
        <v>2602</v>
      </c>
      <c r="AF8" s="1103" t="s">
        <v>2602</v>
      </c>
      <c r="AG8" s="1103" t="s">
        <v>2602</v>
      </c>
      <c r="AH8" s="1102" t="s">
        <v>2602</v>
      </c>
      <c r="AI8" s="1102" t="s">
        <v>2602</v>
      </c>
      <c r="AJ8" s="1102" t="s">
        <v>2602</v>
      </c>
      <c r="AK8" s="1102" t="s">
        <v>2602</v>
      </c>
      <c r="AL8" s="1104" t="s">
        <v>2602</v>
      </c>
      <c r="AM8" s="2460">
        <v>60</v>
      </c>
      <c r="AN8" s="1108">
        <v>90</v>
      </c>
      <c r="AO8" s="1107">
        <v>0.15873015873015872</v>
      </c>
      <c r="AP8" s="1050" t="s">
        <v>2609</v>
      </c>
      <c r="AQ8" s="1108" t="s">
        <v>2610</v>
      </c>
      <c r="AR8" s="1050">
        <v>24</v>
      </c>
      <c r="AS8" s="1050">
        <v>3</v>
      </c>
      <c r="AT8" s="1105" t="s">
        <v>2133</v>
      </c>
      <c r="AU8" s="1050" t="s">
        <v>2133</v>
      </c>
      <c r="AV8" s="1108" t="s">
        <v>2133</v>
      </c>
      <c r="AW8" s="1109" t="s">
        <v>2350</v>
      </c>
      <c r="AX8" s="1109" t="s">
        <v>2612</v>
      </c>
      <c r="AY8" s="2467" t="s">
        <v>4095</v>
      </c>
      <c r="AZ8" s="2468">
        <v>7</v>
      </c>
      <c r="BA8" s="2468">
        <v>32</v>
      </c>
      <c r="BB8" s="1041" t="s">
        <v>4102</v>
      </c>
      <c r="BC8" s="899"/>
      <c r="BD8" s="899"/>
      <c r="BE8" s="899"/>
      <c r="BF8" s="899"/>
      <c r="BG8" s="899"/>
      <c r="BH8" s="899"/>
      <c r="BI8" s="899"/>
      <c r="BJ8" s="899"/>
      <c r="BK8" s="899"/>
      <c r="BL8" s="899"/>
      <c r="BM8" s="899"/>
      <c r="BN8" s="899"/>
      <c r="BO8" s="899"/>
      <c r="BP8" s="899"/>
      <c r="BQ8" s="899"/>
      <c r="BR8" s="899"/>
      <c r="BS8" s="899"/>
      <c r="BT8" s="899"/>
      <c r="BU8" s="899"/>
    </row>
    <row r="9" spans="2:74" ht="71.5" customHeight="1">
      <c r="B9" s="3223">
        <v>3008</v>
      </c>
      <c r="C9" s="2466" t="s">
        <v>3846</v>
      </c>
      <c r="D9" s="1109" t="s">
        <v>4104</v>
      </c>
      <c r="E9" s="1101" t="s">
        <v>2602</v>
      </c>
      <c r="F9" s="1102" t="s">
        <v>2602</v>
      </c>
      <c r="G9" s="1102" t="s">
        <v>2602</v>
      </c>
      <c r="H9" s="1102" t="s">
        <v>2602</v>
      </c>
      <c r="I9" s="1102" t="s">
        <v>2602</v>
      </c>
      <c r="J9" s="1102" t="s">
        <v>2602</v>
      </c>
      <c r="K9" s="1102" t="s">
        <v>2602</v>
      </c>
      <c r="L9" s="1103" t="s">
        <v>2602</v>
      </c>
      <c r="M9" s="1103" t="s">
        <v>2602</v>
      </c>
      <c r="N9" s="1103" t="s">
        <v>2602</v>
      </c>
      <c r="O9" s="1103" t="s">
        <v>2602</v>
      </c>
      <c r="P9" s="1102" t="s">
        <v>2602</v>
      </c>
      <c r="Q9" s="1102" t="s">
        <v>2602</v>
      </c>
      <c r="R9" s="1102" t="s">
        <v>2602</v>
      </c>
      <c r="S9" s="1102" t="s">
        <v>2602</v>
      </c>
      <c r="T9" s="1104" t="s">
        <v>2602</v>
      </c>
      <c r="U9" s="2460">
        <v>212</v>
      </c>
      <c r="V9" s="1108">
        <v>396</v>
      </c>
      <c r="W9" s="1101" t="s">
        <v>2602</v>
      </c>
      <c r="X9" s="1102" t="s">
        <v>2602</v>
      </c>
      <c r="Y9" s="1102" t="s">
        <v>2602</v>
      </c>
      <c r="Z9" s="1102" t="s">
        <v>2602</v>
      </c>
      <c r="AA9" s="1102" t="s">
        <v>2602</v>
      </c>
      <c r="AB9" s="1102" t="s">
        <v>2602</v>
      </c>
      <c r="AC9" s="1102" t="s">
        <v>2602</v>
      </c>
      <c r="AD9" s="1103" t="s">
        <v>2602</v>
      </c>
      <c r="AE9" s="1103" t="s">
        <v>2602</v>
      </c>
      <c r="AF9" s="1103" t="s">
        <v>2602</v>
      </c>
      <c r="AG9" s="1103" t="s">
        <v>2602</v>
      </c>
      <c r="AH9" s="1102" t="s">
        <v>2602</v>
      </c>
      <c r="AI9" s="1102" t="s">
        <v>2602</v>
      </c>
      <c r="AJ9" s="1102" t="s">
        <v>2602</v>
      </c>
      <c r="AK9" s="1102" t="s">
        <v>2602</v>
      </c>
      <c r="AL9" s="1104" t="s">
        <v>2602</v>
      </c>
      <c r="AM9" s="2460" t="s">
        <v>2648</v>
      </c>
      <c r="AN9" s="1108" t="s">
        <v>2648</v>
      </c>
      <c r="AO9" s="1107" t="s">
        <v>2648</v>
      </c>
      <c r="AP9" s="1050" t="s">
        <v>2648</v>
      </c>
      <c r="AQ9" s="1108" t="s">
        <v>2648</v>
      </c>
      <c r="AR9" s="1050">
        <v>3</v>
      </c>
      <c r="AS9" s="1050" t="s">
        <v>2648</v>
      </c>
      <c r="AT9" s="1105" t="s">
        <v>2133</v>
      </c>
      <c r="AU9" s="1050" t="s">
        <v>2133</v>
      </c>
      <c r="AV9" s="1108" t="s">
        <v>2133</v>
      </c>
      <c r="AW9" s="1109" t="s">
        <v>2133</v>
      </c>
      <c r="AX9" s="1109" t="s">
        <v>2602</v>
      </c>
      <c r="AY9" s="2467" t="s">
        <v>4095</v>
      </c>
      <c r="AZ9" s="2468">
        <v>28</v>
      </c>
      <c r="BA9" s="2468">
        <v>32</v>
      </c>
      <c r="BB9" s="1041" t="s">
        <v>4102</v>
      </c>
      <c r="BC9" s="899"/>
      <c r="BD9" s="899"/>
      <c r="BE9" s="899"/>
      <c r="BF9" s="899"/>
      <c r="BG9" s="899"/>
      <c r="BH9" s="899"/>
      <c r="BI9" s="899"/>
      <c r="BJ9" s="899"/>
      <c r="BK9" s="899"/>
      <c r="BL9" s="899"/>
      <c r="BM9" s="899"/>
      <c r="BN9" s="899"/>
      <c r="BO9" s="899"/>
      <c r="BP9" s="899"/>
      <c r="BQ9" s="899"/>
      <c r="BR9" s="899"/>
      <c r="BS9" s="899"/>
      <c r="BT9" s="899"/>
      <c r="BU9" s="899"/>
    </row>
    <row r="10" spans="2:74" ht="58.5" customHeight="1">
      <c r="B10" s="1045"/>
      <c r="C10" s="1052"/>
      <c r="D10" s="1047"/>
      <c r="E10" s="1034"/>
      <c r="F10" s="1034"/>
      <c r="G10" s="1034"/>
      <c r="H10" s="1034"/>
      <c r="I10" s="1034"/>
      <c r="J10" s="1034"/>
      <c r="K10" s="1034"/>
      <c r="L10" s="1035"/>
      <c r="M10" s="1035"/>
      <c r="N10" s="1035"/>
      <c r="O10" s="1035"/>
      <c r="P10" s="1034"/>
      <c r="Q10" s="1034"/>
      <c r="R10" s="1034"/>
      <c r="S10" s="1034"/>
      <c r="T10" s="1034"/>
      <c r="U10" s="2473">
        <f>SUM(U3:U9)</f>
        <v>1659</v>
      </c>
      <c r="V10" s="2474">
        <f>SUM(V3:V9)</f>
        <v>2403</v>
      </c>
      <c r="W10" s="1034"/>
      <c r="X10" s="1034"/>
      <c r="Y10" s="1034"/>
      <c r="Z10" s="1034"/>
      <c r="AA10" s="1034"/>
      <c r="AB10" s="1034"/>
      <c r="AC10" s="1034"/>
      <c r="AD10" s="1035"/>
      <c r="AE10" s="1035"/>
      <c r="AF10" s="1035"/>
      <c r="AG10" s="1035"/>
      <c r="AH10" s="1034"/>
      <c r="AI10" s="1034"/>
      <c r="AJ10" s="1034"/>
      <c r="AK10" s="1034"/>
      <c r="AL10" s="1034"/>
      <c r="AM10" s="2473">
        <f>SUM(AM3:AM9)</f>
        <v>776</v>
      </c>
      <c r="AN10" s="2474">
        <f>SUM(AN3:AN9)</f>
        <v>934</v>
      </c>
      <c r="AO10" s="1048"/>
      <c r="AP10" s="1047"/>
      <c r="AQ10" s="1047"/>
      <c r="AR10" s="1047"/>
      <c r="AS10" s="1049"/>
      <c r="AT10" s="1049"/>
      <c r="AU10" s="1050"/>
      <c r="AV10" s="1051"/>
      <c r="AW10" s="1051"/>
      <c r="AX10" s="1047"/>
      <c r="AY10" s="2467"/>
      <c r="AZ10" s="2475">
        <f>SUM(AZ3:AZ9)</f>
        <v>310</v>
      </c>
      <c r="BA10" s="2475"/>
      <c r="BB10" s="1041"/>
      <c r="BC10" s="899"/>
      <c r="BD10" s="899"/>
      <c r="BE10" s="899"/>
      <c r="BF10" s="899"/>
      <c r="BG10" s="899"/>
      <c r="BH10" s="899"/>
      <c r="BI10" s="899"/>
      <c r="BJ10" s="899"/>
      <c r="BK10" s="899"/>
      <c r="BL10" s="899"/>
      <c r="BM10" s="899"/>
      <c r="BN10" s="899"/>
      <c r="BO10" s="899"/>
      <c r="BP10" s="899"/>
      <c r="BQ10" s="899"/>
      <c r="BR10" s="899"/>
      <c r="BS10" s="899"/>
      <c r="BT10" s="899"/>
      <c r="BU10" s="899"/>
    </row>
    <row r="11" spans="2:74" ht="10.75" hidden="1" customHeight="1">
      <c r="D11" s="1054"/>
      <c r="U11" s="1055"/>
      <c r="V11" s="1056"/>
      <c r="W11" s="1057"/>
      <c r="X11" s="1057"/>
      <c r="Y11" s="1057"/>
      <c r="Z11" s="1057"/>
      <c r="AA11" s="1057"/>
      <c r="AB11" s="1057"/>
      <c r="AC11" s="1057"/>
      <c r="AD11" s="1057"/>
      <c r="AE11" s="1057"/>
      <c r="AF11" s="1057"/>
      <c r="AG11" s="1057"/>
      <c r="AH11" s="1057"/>
      <c r="AI11" s="1057"/>
      <c r="AJ11" s="1057"/>
      <c r="AK11" s="1057"/>
      <c r="AL11" s="1055"/>
      <c r="AM11" s="1055"/>
      <c r="AN11" s="1056"/>
      <c r="AO11" s="889"/>
      <c r="AP11" s="889"/>
      <c r="AQ11" s="1054"/>
      <c r="AR11" s="889"/>
      <c r="AS11" s="1054"/>
      <c r="AT11" s="889"/>
      <c r="AU11" s="1054"/>
      <c r="AV11" s="889"/>
      <c r="AW11" s="1054"/>
      <c r="AX11" s="889"/>
      <c r="AZ11" s="1054"/>
      <c r="BA11" s="1054"/>
    </row>
    <row r="12" spans="2:74" ht="19.399999999999999" hidden="1" customHeight="1"/>
    <row r="13" spans="2:74" ht="19.399999999999999" hidden="1" customHeight="1"/>
    <row r="14" spans="2:74" ht="19.399999999999999" hidden="1" customHeight="1"/>
  </sheetData>
  <phoneticPr fontId="2"/>
  <pageMargins left="0.23622047244094491" right="0.23622047244094491" top="0.74803149606299213" bottom="0.74803149606299213" header="0.31496062992125984" footer="0.31496062992125984"/>
  <pageSetup paperSize="8" scale="77"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62205-95BE-4206-B470-7F810C44DDCB}">
  <sheetPr codeName="Sheet1">
    <tabColor rgb="FFFF00FF"/>
    <pageSetUpPr fitToPage="1"/>
  </sheetPr>
  <dimension ref="A1:K184"/>
  <sheetViews>
    <sheetView workbookViewId="0"/>
  </sheetViews>
  <sheetFormatPr defaultColWidth="9.453125" defaultRowHeight="15"/>
  <cols>
    <col min="1" max="1" width="5" style="135" customWidth="1"/>
    <col min="2" max="2" width="5.453125" style="114" customWidth="1"/>
    <col min="3" max="3" width="50.453125" style="115" customWidth="1"/>
    <col min="4" max="4" width="13.453125" style="116" customWidth="1"/>
    <col min="5" max="5" width="14.81640625" style="116" customWidth="1"/>
    <col min="6" max="8" width="14.81640625" style="117" customWidth="1"/>
    <col min="9" max="10" width="14.81640625" style="116" customWidth="1"/>
    <col min="11" max="11" width="17.7265625" style="116" customWidth="1"/>
    <col min="12" max="16384" width="9.453125" style="116"/>
  </cols>
  <sheetData>
    <row r="1" spans="1:11" ht="20" thickBot="1">
      <c r="A1" s="113" t="s">
        <v>4105</v>
      </c>
      <c r="F1" s="113"/>
      <c r="K1" s="118" t="s">
        <v>4106</v>
      </c>
    </row>
    <row r="2" spans="1:11" ht="45.5" thickTop="1">
      <c r="A2" s="6622" t="s">
        <v>4107</v>
      </c>
      <c r="B2" s="6623"/>
      <c r="C2" s="119" t="s">
        <v>4108</v>
      </c>
      <c r="D2" s="120" t="s">
        <v>4074</v>
      </c>
      <c r="E2" s="121" t="s">
        <v>4109</v>
      </c>
      <c r="F2" s="122" t="s">
        <v>4110</v>
      </c>
      <c r="G2" s="122" t="s">
        <v>4111</v>
      </c>
      <c r="H2" s="122" t="s">
        <v>4112</v>
      </c>
      <c r="I2" s="6624" t="s">
        <v>3229</v>
      </c>
      <c r="J2" s="6625"/>
      <c r="K2" s="6626"/>
    </row>
    <row r="3" spans="1:11" ht="251.15" customHeight="1">
      <c r="A3" s="123">
        <v>1</v>
      </c>
      <c r="B3" s="124" t="s">
        <v>4113</v>
      </c>
      <c r="C3" s="125" t="s">
        <v>4114</v>
      </c>
      <c r="D3" s="126">
        <f>COUNTIF($D$11:$D$129,B3)</f>
        <v>21</v>
      </c>
      <c r="E3" s="127" t="s">
        <v>2438</v>
      </c>
      <c r="F3" s="128">
        <f>ROUNDUP(40000*1.1*105.6/102.3,-3)</f>
        <v>46000</v>
      </c>
      <c r="G3" s="129">
        <f>800*1.1</f>
        <v>880.00000000000011</v>
      </c>
      <c r="H3" s="130">
        <f>1182*8*10*3*1.15*1.1*16+17182000+(3050000*1.35*1.1+1300000)*2+3878050</f>
        <v>38460233.200000003</v>
      </c>
      <c r="I3" s="6627" t="s">
        <v>4115</v>
      </c>
      <c r="J3" s="6628"/>
      <c r="K3" s="6629"/>
    </row>
    <row r="4" spans="1:11" ht="251.15" customHeight="1">
      <c r="A4" s="123">
        <v>2</v>
      </c>
      <c r="B4" s="124" t="s">
        <v>4116</v>
      </c>
      <c r="C4" s="125" t="s">
        <v>4117</v>
      </c>
      <c r="D4" s="126">
        <f>COUNTIF($D$11:$D$129,B4)</f>
        <v>53</v>
      </c>
      <c r="E4" s="127" t="s">
        <v>2438</v>
      </c>
      <c r="F4" s="128">
        <f>+F3</f>
        <v>46000</v>
      </c>
      <c r="G4" s="129">
        <f>+G3</f>
        <v>880.00000000000011</v>
      </c>
      <c r="H4" s="130">
        <f>+H3</f>
        <v>38460233.200000003</v>
      </c>
      <c r="I4" s="6630"/>
      <c r="J4" s="6631"/>
      <c r="K4" s="6632"/>
    </row>
    <row r="5" spans="1:11" ht="165.65" customHeight="1">
      <c r="A5" s="123">
        <v>3</v>
      </c>
      <c r="B5" s="124" t="s">
        <v>4118</v>
      </c>
      <c r="C5" s="125" t="s">
        <v>4119</v>
      </c>
      <c r="D5" s="126">
        <f>COUNTIF($D$11:$D$129,B5)</f>
        <v>8</v>
      </c>
      <c r="E5" s="127" t="s">
        <v>4120</v>
      </c>
      <c r="F5" s="128">
        <f>ROUNDUP(17280*1.1*105.6/99.5,-3)</f>
        <v>21000</v>
      </c>
      <c r="G5" s="129">
        <f>+G4</f>
        <v>880.00000000000011</v>
      </c>
      <c r="H5" s="130">
        <f>1182*8*5*3*1.15*1.1*16</f>
        <v>2870841.6</v>
      </c>
      <c r="I5" s="6627" t="s">
        <v>4121</v>
      </c>
      <c r="J5" s="6628"/>
      <c r="K5" s="6629"/>
    </row>
    <row r="6" spans="1:11" ht="165.65" customHeight="1" thickBot="1">
      <c r="A6" s="131">
        <v>4</v>
      </c>
      <c r="B6" s="132" t="s">
        <v>2172</v>
      </c>
      <c r="C6" s="133" t="s">
        <v>4122</v>
      </c>
      <c r="D6" s="134">
        <f>COUNTIF($D$11:$D$129,B6)</f>
        <v>14</v>
      </c>
      <c r="E6" s="127" t="s">
        <v>4120</v>
      </c>
      <c r="F6" s="128">
        <f>+F5</f>
        <v>21000</v>
      </c>
      <c r="G6" s="129">
        <f>+G5</f>
        <v>880.00000000000011</v>
      </c>
      <c r="H6" s="130">
        <f>+H5</f>
        <v>2870841.6</v>
      </c>
      <c r="I6" s="6630"/>
      <c r="J6" s="6631"/>
      <c r="K6" s="6632"/>
    </row>
    <row r="7" spans="1:11" ht="30" customHeight="1" thickTop="1">
      <c r="F7" s="136"/>
    </row>
    <row r="8" spans="1:11" ht="20" thickBot="1">
      <c r="A8" s="113" t="s">
        <v>4123</v>
      </c>
      <c r="F8" s="136"/>
      <c r="K8" s="118" t="s">
        <v>4106</v>
      </c>
    </row>
    <row r="9" spans="1:11" ht="26.5" customHeight="1">
      <c r="A9" s="137" t="s">
        <v>4124</v>
      </c>
      <c r="B9" s="138" t="s">
        <v>2552</v>
      </c>
      <c r="C9" s="139" t="s">
        <v>4125</v>
      </c>
      <c r="D9" s="6633" t="s">
        <v>4126</v>
      </c>
      <c r="E9" s="6633" t="s">
        <v>4110</v>
      </c>
      <c r="F9" s="6633" t="s">
        <v>4127</v>
      </c>
      <c r="G9" s="6635" t="s">
        <v>4128</v>
      </c>
      <c r="H9" s="6637" t="s">
        <v>4129</v>
      </c>
      <c r="I9" s="6639" t="s">
        <v>4130</v>
      </c>
      <c r="J9" s="6635" t="s">
        <v>4112</v>
      </c>
      <c r="K9" s="6641" t="s">
        <v>48</v>
      </c>
    </row>
    <row r="10" spans="1:11" ht="26.5" customHeight="1">
      <c r="A10" s="140" t="s">
        <v>4131</v>
      </c>
      <c r="B10" s="141" t="s">
        <v>2567</v>
      </c>
      <c r="C10" s="142" t="s">
        <v>4132</v>
      </c>
      <c r="D10" s="6634"/>
      <c r="E10" s="6634"/>
      <c r="F10" s="6634"/>
      <c r="G10" s="6636"/>
      <c r="H10" s="6638"/>
      <c r="I10" s="6640"/>
      <c r="J10" s="6636"/>
      <c r="K10" s="6642"/>
    </row>
    <row r="11" spans="1:11">
      <c r="A11" s="143" t="s">
        <v>4133</v>
      </c>
      <c r="B11" s="144">
        <v>1</v>
      </c>
      <c r="C11" s="145" t="s">
        <v>4134</v>
      </c>
      <c r="D11" s="146" t="s">
        <v>2182</v>
      </c>
      <c r="E11" s="147">
        <f t="shared" ref="E11:E74" si="0">VLOOKUP(D11,$B$3:$H$6,5,FALSE)</f>
        <v>21000</v>
      </c>
      <c r="F11" s="147">
        <v>578</v>
      </c>
      <c r="G11" s="148">
        <v>16</v>
      </c>
      <c r="H11" s="149">
        <f>+E11*F11*G11</f>
        <v>194208000</v>
      </c>
      <c r="I11" s="148">
        <f>+F11*G11*$G$3</f>
        <v>8138240.0000000009</v>
      </c>
      <c r="J11" s="148">
        <f>VLOOKUP(D11,$B$3:$H$6,7,FALSE)</f>
        <v>2870841.6</v>
      </c>
      <c r="K11" s="150">
        <f t="shared" ref="K11:K74" si="1">+H11+I11+J11</f>
        <v>205217081.59999999</v>
      </c>
    </row>
    <row r="12" spans="1:11">
      <c r="A12" s="151" t="s">
        <v>4133</v>
      </c>
      <c r="B12" s="152">
        <v>2</v>
      </c>
      <c r="C12" s="153" t="s">
        <v>4135</v>
      </c>
      <c r="D12" s="154" t="s">
        <v>2134</v>
      </c>
      <c r="E12" s="155">
        <f t="shared" si="0"/>
        <v>21000</v>
      </c>
      <c r="F12" s="155">
        <v>111</v>
      </c>
      <c r="G12" s="156">
        <v>16</v>
      </c>
      <c r="H12" s="157">
        <f t="shared" ref="H12:H75" si="2">+E12*F12*G12</f>
        <v>37296000</v>
      </c>
      <c r="I12" s="156">
        <f t="shared" ref="I12:I75" si="3">+F12*G12*$G$3</f>
        <v>1562880.0000000002</v>
      </c>
      <c r="J12" s="156">
        <f t="shared" ref="J12:J75" si="4">VLOOKUP(D12,$B$3:$H$6,7,FALSE)</f>
        <v>2870841.6</v>
      </c>
      <c r="K12" s="158">
        <f t="shared" si="1"/>
        <v>41729721.600000001</v>
      </c>
    </row>
    <row r="13" spans="1:11">
      <c r="A13" s="151" t="s">
        <v>4133</v>
      </c>
      <c r="B13" s="152">
        <v>3</v>
      </c>
      <c r="C13" s="153" t="s">
        <v>4136</v>
      </c>
      <c r="D13" s="159" t="s">
        <v>2182</v>
      </c>
      <c r="E13" s="155">
        <f t="shared" si="0"/>
        <v>21000</v>
      </c>
      <c r="F13" s="155">
        <v>293</v>
      </c>
      <c r="G13" s="156">
        <v>16</v>
      </c>
      <c r="H13" s="157">
        <f t="shared" si="2"/>
        <v>98448000</v>
      </c>
      <c r="I13" s="156">
        <f t="shared" si="3"/>
        <v>4125440.0000000005</v>
      </c>
      <c r="J13" s="156">
        <f t="shared" si="4"/>
        <v>2870841.6</v>
      </c>
      <c r="K13" s="158">
        <f t="shared" si="1"/>
        <v>105444281.59999999</v>
      </c>
    </row>
    <row r="14" spans="1:11">
      <c r="A14" s="151" t="s">
        <v>4133</v>
      </c>
      <c r="B14" s="152">
        <v>4</v>
      </c>
      <c r="C14" s="153" t="s">
        <v>4137</v>
      </c>
      <c r="D14" s="159" t="s">
        <v>2134</v>
      </c>
      <c r="E14" s="155">
        <f t="shared" si="0"/>
        <v>21000</v>
      </c>
      <c r="F14" s="155">
        <v>161</v>
      </c>
      <c r="G14" s="156">
        <v>16</v>
      </c>
      <c r="H14" s="157">
        <f t="shared" si="2"/>
        <v>54096000</v>
      </c>
      <c r="I14" s="156">
        <f t="shared" si="3"/>
        <v>2266880.0000000005</v>
      </c>
      <c r="J14" s="156">
        <f t="shared" si="4"/>
        <v>2870841.6</v>
      </c>
      <c r="K14" s="158">
        <f t="shared" si="1"/>
        <v>59233721.600000001</v>
      </c>
    </row>
    <row r="15" spans="1:11">
      <c r="A15" s="151" t="s">
        <v>4133</v>
      </c>
      <c r="B15" s="152">
        <v>5</v>
      </c>
      <c r="C15" s="153" t="s">
        <v>4138</v>
      </c>
      <c r="D15" s="159" t="s">
        <v>2167</v>
      </c>
      <c r="E15" s="155">
        <f t="shared" si="0"/>
        <v>46000</v>
      </c>
      <c r="F15" s="155">
        <v>105</v>
      </c>
      <c r="G15" s="156">
        <v>16</v>
      </c>
      <c r="H15" s="157">
        <f t="shared" si="2"/>
        <v>77280000</v>
      </c>
      <c r="I15" s="156">
        <f t="shared" si="3"/>
        <v>1478400.0000000002</v>
      </c>
      <c r="J15" s="156">
        <f>VLOOKUP(D15,$B$3:$H$6,7,FALSE)</f>
        <v>38460233.200000003</v>
      </c>
      <c r="K15" s="158">
        <f t="shared" si="1"/>
        <v>117218633.2</v>
      </c>
    </row>
    <row r="16" spans="1:11">
      <c r="A16" s="151" t="s">
        <v>4133</v>
      </c>
      <c r="B16" s="152">
        <v>6</v>
      </c>
      <c r="C16" s="153" t="s">
        <v>4139</v>
      </c>
      <c r="D16" s="159" t="s">
        <v>2167</v>
      </c>
      <c r="E16" s="155">
        <f t="shared" si="0"/>
        <v>46000</v>
      </c>
      <c r="F16" s="155">
        <v>105</v>
      </c>
      <c r="G16" s="156">
        <v>16</v>
      </c>
      <c r="H16" s="157">
        <f t="shared" si="2"/>
        <v>77280000</v>
      </c>
      <c r="I16" s="156">
        <f t="shared" si="3"/>
        <v>1478400.0000000002</v>
      </c>
      <c r="J16" s="156">
        <f t="shared" si="4"/>
        <v>38460233.200000003</v>
      </c>
      <c r="K16" s="158">
        <f t="shared" si="1"/>
        <v>117218633.2</v>
      </c>
    </row>
    <row r="17" spans="1:11">
      <c r="A17" s="151" t="s">
        <v>4133</v>
      </c>
      <c r="B17" s="152">
        <v>7</v>
      </c>
      <c r="C17" s="153" t="s">
        <v>4140</v>
      </c>
      <c r="D17" s="159" t="s">
        <v>2167</v>
      </c>
      <c r="E17" s="155">
        <f t="shared" si="0"/>
        <v>46000</v>
      </c>
      <c r="F17" s="155">
        <v>75</v>
      </c>
      <c r="G17" s="156">
        <v>16</v>
      </c>
      <c r="H17" s="157">
        <f t="shared" si="2"/>
        <v>55200000</v>
      </c>
      <c r="I17" s="156">
        <f t="shared" si="3"/>
        <v>1056000.0000000002</v>
      </c>
      <c r="J17" s="156">
        <f t="shared" si="4"/>
        <v>38460233.200000003</v>
      </c>
      <c r="K17" s="158">
        <f t="shared" si="1"/>
        <v>94716233.200000003</v>
      </c>
    </row>
    <row r="18" spans="1:11">
      <c r="A18" s="151" t="s">
        <v>4133</v>
      </c>
      <c r="B18" s="152">
        <v>8</v>
      </c>
      <c r="C18" s="153" t="s">
        <v>4141</v>
      </c>
      <c r="D18" s="159" t="s">
        <v>2167</v>
      </c>
      <c r="E18" s="155">
        <f t="shared" si="0"/>
        <v>46000</v>
      </c>
      <c r="F18" s="155">
        <v>60</v>
      </c>
      <c r="G18" s="156">
        <v>16</v>
      </c>
      <c r="H18" s="157">
        <f t="shared" si="2"/>
        <v>44160000</v>
      </c>
      <c r="I18" s="156">
        <f t="shared" si="3"/>
        <v>844800.00000000012</v>
      </c>
      <c r="J18" s="156">
        <f t="shared" si="4"/>
        <v>38460233.200000003</v>
      </c>
      <c r="K18" s="158">
        <f t="shared" si="1"/>
        <v>83465033.200000003</v>
      </c>
    </row>
    <row r="19" spans="1:11">
      <c r="A19" s="151" t="s">
        <v>4133</v>
      </c>
      <c r="B19" s="152">
        <v>9</v>
      </c>
      <c r="C19" s="153" t="s">
        <v>4142</v>
      </c>
      <c r="D19" s="159" t="s">
        <v>2167</v>
      </c>
      <c r="E19" s="155">
        <f t="shared" si="0"/>
        <v>46000</v>
      </c>
      <c r="F19" s="155">
        <v>45</v>
      </c>
      <c r="G19" s="156">
        <v>16</v>
      </c>
      <c r="H19" s="157">
        <f t="shared" si="2"/>
        <v>33120000</v>
      </c>
      <c r="I19" s="156">
        <f t="shared" si="3"/>
        <v>633600.00000000012</v>
      </c>
      <c r="J19" s="156">
        <f t="shared" si="4"/>
        <v>38460233.200000003</v>
      </c>
      <c r="K19" s="158">
        <f t="shared" si="1"/>
        <v>72213833.200000003</v>
      </c>
    </row>
    <row r="20" spans="1:11">
      <c r="A20" s="151" t="s">
        <v>4133</v>
      </c>
      <c r="B20" s="152">
        <v>10</v>
      </c>
      <c r="C20" s="153" t="s">
        <v>4143</v>
      </c>
      <c r="D20" s="159" t="s">
        <v>2245</v>
      </c>
      <c r="E20" s="155">
        <f t="shared" si="0"/>
        <v>46000</v>
      </c>
      <c r="F20" s="155">
        <v>1250</v>
      </c>
      <c r="G20" s="156">
        <v>16</v>
      </c>
      <c r="H20" s="157">
        <f t="shared" si="2"/>
        <v>920000000</v>
      </c>
      <c r="I20" s="156">
        <f t="shared" si="3"/>
        <v>17600000.000000004</v>
      </c>
      <c r="J20" s="156">
        <f t="shared" si="4"/>
        <v>38460233.200000003</v>
      </c>
      <c r="K20" s="158">
        <f t="shared" si="1"/>
        <v>976060233.20000005</v>
      </c>
    </row>
    <row r="21" spans="1:11">
      <c r="A21" s="151" t="s">
        <v>4133</v>
      </c>
      <c r="B21" s="152">
        <v>11</v>
      </c>
      <c r="C21" s="153" t="s">
        <v>4144</v>
      </c>
      <c r="D21" s="159" t="s">
        <v>2245</v>
      </c>
      <c r="E21" s="155">
        <f t="shared" si="0"/>
        <v>46000</v>
      </c>
      <c r="F21" s="155">
        <v>68</v>
      </c>
      <c r="G21" s="156">
        <v>16</v>
      </c>
      <c r="H21" s="157">
        <f t="shared" si="2"/>
        <v>50048000</v>
      </c>
      <c r="I21" s="156">
        <f t="shared" si="3"/>
        <v>957440.00000000012</v>
      </c>
      <c r="J21" s="156">
        <f t="shared" si="4"/>
        <v>38460233.200000003</v>
      </c>
      <c r="K21" s="158">
        <f t="shared" si="1"/>
        <v>89465673.200000003</v>
      </c>
    </row>
    <row r="22" spans="1:11">
      <c r="A22" s="151" t="s">
        <v>4133</v>
      </c>
      <c r="B22" s="152">
        <v>12</v>
      </c>
      <c r="C22" s="153" t="s">
        <v>4145</v>
      </c>
      <c r="D22" s="159" t="s">
        <v>2245</v>
      </c>
      <c r="E22" s="155">
        <f t="shared" si="0"/>
        <v>46000</v>
      </c>
      <c r="F22" s="155">
        <v>102</v>
      </c>
      <c r="G22" s="156">
        <v>16</v>
      </c>
      <c r="H22" s="157">
        <f t="shared" si="2"/>
        <v>75072000</v>
      </c>
      <c r="I22" s="156">
        <f t="shared" si="3"/>
        <v>1436160.0000000002</v>
      </c>
      <c r="J22" s="156">
        <f t="shared" si="4"/>
        <v>38460233.200000003</v>
      </c>
      <c r="K22" s="158">
        <f t="shared" si="1"/>
        <v>114968393.2</v>
      </c>
    </row>
    <row r="23" spans="1:11">
      <c r="A23" s="151" t="s">
        <v>4133</v>
      </c>
      <c r="B23" s="152">
        <v>13</v>
      </c>
      <c r="C23" s="153" t="s">
        <v>4146</v>
      </c>
      <c r="D23" s="159" t="s">
        <v>2245</v>
      </c>
      <c r="E23" s="155">
        <f t="shared" si="0"/>
        <v>46000</v>
      </c>
      <c r="F23" s="155">
        <v>119</v>
      </c>
      <c r="G23" s="156">
        <v>16</v>
      </c>
      <c r="H23" s="157">
        <f t="shared" si="2"/>
        <v>87584000</v>
      </c>
      <c r="I23" s="156">
        <f t="shared" si="3"/>
        <v>1675520.0000000002</v>
      </c>
      <c r="J23" s="156">
        <f t="shared" si="4"/>
        <v>38460233.200000003</v>
      </c>
      <c r="K23" s="158">
        <f t="shared" si="1"/>
        <v>127719753.2</v>
      </c>
    </row>
    <row r="24" spans="1:11">
      <c r="A24" s="151" t="s">
        <v>4133</v>
      </c>
      <c r="B24" s="152">
        <v>14</v>
      </c>
      <c r="C24" s="153" t="s">
        <v>4147</v>
      </c>
      <c r="D24" s="159" t="s">
        <v>2245</v>
      </c>
      <c r="E24" s="155">
        <f t="shared" si="0"/>
        <v>46000</v>
      </c>
      <c r="F24" s="155">
        <v>34</v>
      </c>
      <c r="G24" s="156">
        <v>16</v>
      </c>
      <c r="H24" s="157">
        <f t="shared" si="2"/>
        <v>25024000</v>
      </c>
      <c r="I24" s="156">
        <f t="shared" si="3"/>
        <v>478720.00000000006</v>
      </c>
      <c r="J24" s="156">
        <f t="shared" si="4"/>
        <v>38460233.200000003</v>
      </c>
      <c r="K24" s="158">
        <f t="shared" si="1"/>
        <v>63962953.200000003</v>
      </c>
    </row>
    <row r="25" spans="1:11">
      <c r="A25" s="151" t="s">
        <v>4133</v>
      </c>
      <c r="B25" s="152">
        <v>15</v>
      </c>
      <c r="C25" s="153" t="s">
        <v>4148</v>
      </c>
      <c r="D25" s="159" t="s">
        <v>2134</v>
      </c>
      <c r="E25" s="155">
        <f t="shared" si="0"/>
        <v>21000</v>
      </c>
      <c r="F25" s="155">
        <v>504</v>
      </c>
      <c r="G25" s="156">
        <v>16</v>
      </c>
      <c r="H25" s="157">
        <f t="shared" si="2"/>
        <v>169344000</v>
      </c>
      <c r="I25" s="156">
        <f t="shared" si="3"/>
        <v>7096320.0000000009</v>
      </c>
      <c r="J25" s="156">
        <f t="shared" si="4"/>
        <v>2870841.6</v>
      </c>
      <c r="K25" s="158">
        <f t="shared" si="1"/>
        <v>179311161.59999999</v>
      </c>
    </row>
    <row r="26" spans="1:11">
      <c r="A26" s="151" t="s">
        <v>4133</v>
      </c>
      <c r="B26" s="152">
        <v>16</v>
      </c>
      <c r="C26" s="153" t="s">
        <v>4149</v>
      </c>
      <c r="D26" s="159" t="s">
        <v>2167</v>
      </c>
      <c r="E26" s="155">
        <f t="shared" si="0"/>
        <v>46000</v>
      </c>
      <c r="F26" s="155">
        <v>204</v>
      </c>
      <c r="G26" s="156">
        <v>16</v>
      </c>
      <c r="H26" s="157">
        <f t="shared" si="2"/>
        <v>150144000</v>
      </c>
      <c r="I26" s="156">
        <f t="shared" si="3"/>
        <v>2872320.0000000005</v>
      </c>
      <c r="J26" s="156">
        <f t="shared" si="4"/>
        <v>38460233.200000003</v>
      </c>
      <c r="K26" s="158">
        <f t="shared" si="1"/>
        <v>191476553.19999999</v>
      </c>
    </row>
    <row r="27" spans="1:11">
      <c r="A27" s="151" t="s">
        <v>4133</v>
      </c>
      <c r="B27" s="152">
        <v>17</v>
      </c>
      <c r="C27" s="153" t="s">
        <v>4150</v>
      </c>
      <c r="D27" s="159" t="s">
        <v>2167</v>
      </c>
      <c r="E27" s="155">
        <f t="shared" si="0"/>
        <v>46000</v>
      </c>
      <c r="F27" s="155">
        <v>80</v>
      </c>
      <c r="G27" s="156">
        <v>16</v>
      </c>
      <c r="H27" s="157">
        <f t="shared" si="2"/>
        <v>58880000</v>
      </c>
      <c r="I27" s="156">
        <f t="shared" si="3"/>
        <v>1126400.0000000002</v>
      </c>
      <c r="J27" s="156">
        <f t="shared" si="4"/>
        <v>38460233.200000003</v>
      </c>
      <c r="K27" s="158">
        <f t="shared" si="1"/>
        <v>98466633.200000003</v>
      </c>
    </row>
    <row r="28" spans="1:11">
      <c r="A28" s="151" t="s">
        <v>4133</v>
      </c>
      <c r="B28" s="152">
        <v>18</v>
      </c>
      <c r="C28" s="153" t="s">
        <v>4151</v>
      </c>
      <c r="D28" s="159" t="s">
        <v>2167</v>
      </c>
      <c r="E28" s="155">
        <f t="shared" si="0"/>
        <v>46000</v>
      </c>
      <c r="F28" s="155">
        <v>80</v>
      </c>
      <c r="G28" s="156">
        <v>16</v>
      </c>
      <c r="H28" s="157">
        <f t="shared" si="2"/>
        <v>58880000</v>
      </c>
      <c r="I28" s="156">
        <f t="shared" si="3"/>
        <v>1126400.0000000002</v>
      </c>
      <c r="J28" s="156">
        <f t="shared" si="4"/>
        <v>38460233.200000003</v>
      </c>
      <c r="K28" s="158">
        <f t="shared" si="1"/>
        <v>98466633.200000003</v>
      </c>
    </row>
    <row r="29" spans="1:11">
      <c r="A29" s="151" t="s">
        <v>4133</v>
      </c>
      <c r="B29" s="152">
        <v>19</v>
      </c>
      <c r="C29" s="153" t="s">
        <v>4152</v>
      </c>
      <c r="D29" s="159" t="s">
        <v>2167</v>
      </c>
      <c r="E29" s="155">
        <f t="shared" si="0"/>
        <v>46000</v>
      </c>
      <c r="F29" s="155">
        <v>120</v>
      </c>
      <c r="G29" s="156">
        <v>16</v>
      </c>
      <c r="H29" s="157">
        <f t="shared" si="2"/>
        <v>88320000</v>
      </c>
      <c r="I29" s="156">
        <f t="shared" si="3"/>
        <v>1689600.0000000002</v>
      </c>
      <c r="J29" s="156">
        <f t="shared" si="4"/>
        <v>38460233.200000003</v>
      </c>
      <c r="K29" s="158">
        <f t="shared" si="1"/>
        <v>128469833.2</v>
      </c>
    </row>
    <row r="30" spans="1:11">
      <c r="A30" s="151" t="s">
        <v>4133</v>
      </c>
      <c r="B30" s="152">
        <v>20</v>
      </c>
      <c r="C30" s="153" t="s">
        <v>4153</v>
      </c>
      <c r="D30" s="159" t="s">
        <v>2167</v>
      </c>
      <c r="E30" s="155">
        <f t="shared" si="0"/>
        <v>46000</v>
      </c>
      <c r="F30" s="155">
        <v>90</v>
      </c>
      <c r="G30" s="156">
        <v>16</v>
      </c>
      <c r="H30" s="157">
        <f t="shared" si="2"/>
        <v>66240000</v>
      </c>
      <c r="I30" s="156">
        <f t="shared" si="3"/>
        <v>1267200.0000000002</v>
      </c>
      <c r="J30" s="156">
        <f t="shared" si="4"/>
        <v>38460233.200000003</v>
      </c>
      <c r="K30" s="158">
        <f t="shared" si="1"/>
        <v>105967433.2</v>
      </c>
    </row>
    <row r="31" spans="1:11">
      <c r="A31" s="151" t="s">
        <v>4133</v>
      </c>
      <c r="B31" s="152">
        <v>21</v>
      </c>
      <c r="C31" s="153" t="s">
        <v>4154</v>
      </c>
      <c r="D31" s="159" t="s">
        <v>2167</v>
      </c>
      <c r="E31" s="155">
        <f t="shared" si="0"/>
        <v>46000</v>
      </c>
      <c r="F31" s="155">
        <v>40</v>
      </c>
      <c r="G31" s="156">
        <v>16</v>
      </c>
      <c r="H31" s="157">
        <f t="shared" si="2"/>
        <v>29440000</v>
      </c>
      <c r="I31" s="156">
        <f t="shared" si="3"/>
        <v>563200.00000000012</v>
      </c>
      <c r="J31" s="156">
        <f t="shared" si="4"/>
        <v>38460233.200000003</v>
      </c>
      <c r="K31" s="158">
        <f t="shared" si="1"/>
        <v>68463433.200000003</v>
      </c>
    </row>
    <row r="32" spans="1:11">
      <c r="A32" s="151" t="s">
        <v>4133</v>
      </c>
      <c r="B32" s="152">
        <v>22</v>
      </c>
      <c r="C32" s="153" t="s">
        <v>4155</v>
      </c>
      <c r="D32" s="159" t="s">
        <v>2245</v>
      </c>
      <c r="E32" s="155">
        <f t="shared" si="0"/>
        <v>46000</v>
      </c>
      <c r="F32" s="155">
        <v>120</v>
      </c>
      <c r="G32" s="156">
        <v>16</v>
      </c>
      <c r="H32" s="157">
        <f t="shared" si="2"/>
        <v>88320000</v>
      </c>
      <c r="I32" s="156">
        <f t="shared" si="3"/>
        <v>1689600.0000000002</v>
      </c>
      <c r="J32" s="156">
        <f t="shared" si="4"/>
        <v>38460233.200000003</v>
      </c>
      <c r="K32" s="158">
        <f t="shared" si="1"/>
        <v>128469833.2</v>
      </c>
    </row>
    <row r="33" spans="1:11">
      <c r="A33" s="151" t="s">
        <v>4133</v>
      </c>
      <c r="B33" s="152">
        <v>23</v>
      </c>
      <c r="C33" s="153" t="s">
        <v>4156</v>
      </c>
      <c r="D33" s="159" t="s">
        <v>2245</v>
      </c>
      <c r="E33" s="155">
        <f t="shared" si="0"/>
        <v>46000</v>
      </c>
      <c r="F33" s="155">
        <v>120</v>
      </c>
      <c r="G33" s="156">
        <v>16</v>
      </c>
      <c r="H33" s="157">
        <f t="shared" si="2"/>
        <v>88320000</v>
      </c>
      <c r="I33" s="156">
        <f t="shared" si="3"/>
        <v>1689600.0000000002</v>
      </c>
      <c r="J33" s="156">
        <f t="shared" si="4"/>
        <v>38460233.200000003</v>
      </c>
      <c r="K33" s="158">
        <f t="shared" si="1"/>
        <v>128469833.2</v>
      </c>
    </row>
    <row r="34" spans="1:11">
      <c r="A34" s="151" t="s">
        <v>4133</v>
      </c>
      <c r="B34" s="152">
        <v>24</v>
      </c>
      <c r="C34" s="153" t="s">
        <v>4157</v>
      </c>
      <c r="D34" s="159" t="s">
        <v>2167</v>
      </c>
      <c r="E34" s="155">
        <f t="shared" si="0"/>
        <v>46000</v>
      </c>
      <c r="F34" s="155">
        <v>57</v>
      </c>
      <c r="G34" s="156">
        <v>16</v>
      </c>
      <c r="H34" s="157">
        <f t="shared" si="2"/>
        <v>41952000</v>
      </c>
      <c r="I34" s="156">
        <f t="shared" si="3"/>
        <v>802560.00000000012</v>
      </c>
      <c r="J34" s="156">
        <f t="shared" si="4"/>
        <v>38460233.200000003</v>
      </c>
      <c r="K34" s="158">
        <f t="shared" si="1"/>
        <v>81214793.200000003</v>
      </c>
    </row>
    <row r="35" spans="1:11">
      <c r="A35" s="151" t="s">
        <v>4133</v>
      </c>
      <c r="B35" s="152">
        <v>25</v>
      </c>
      <c r="C35" s="153" t="s">
        <v>4158</v>
      </c>
      <c r="D35" s="159" t="s">
        <v>2167</v>
      </c>
      <c r="E35" s="155">
        <f t="shared" si="0"/>
        <v>46000</v>
      </c>
      <c r="F35" s="155">
        <v>215</v>
      </c>
      <c r="G35" s="156">
        <v>16</v>
      </c>
      <c r="H35" s="157">
        <f t="shared" si="2"/>
        <v>158240000</v>
      </c>
      <c r="I35" s="156">
        <f t="shared" si="3"/>
        <v>3027200.0000000005</v>
      </c>
      <c r="J35" s="156">
        <f t="shared" si="4"/>
        <v>38460233.200000003</v>
      </c>
      <c r="K35" s="158">
        <f t="shared" si="1"/>
        <v>199727433.19999999</v>
      </c>
    </row>
    <row r="36" spans="1:11">
      <c r="A36" s="151" t="s">
        <v>4133</v>
      </c>
      <c r="B36" s="152">
        <v>26</v>
      </c>
      <c r="C36" s="153" t="s">
        <v>4159</v>
      </c>
      <c r="D36" s="159" t="s">
        <v>2245</v>
      </c>
      <c r="E36" s="155">
        <f t="shared" si="0"/>
        <v>46000</v>
      </c>
      <c r="F36" s="155">
        <v>131</v>
      </c>
      <c r="G36" s="156">
        <v>16</v>
      </c>
      <c r="H36" s="157">
        <f t="shared" si="2"/>
        <v>96416000</v>
      </c>
      <c r="I36" s="156">
        <f t="shared" si="3"/>
        <v>1844480.0000000002</v>
      </c>
      <c r="J36" s="156">
        <f t="shared" si="4"/>
        <v>38460233.200000003</v>
      </c>
      <c r="K36" s="158">
        <f t="shared" si="1"/>
        <v>136720713.19999999</v>
      </c>
    </row>
    <row r="37" spans="1:11">
      <c r="A37" s="151" t="s">
        <v>4133</v>
      </c>
      <c r="B37" s="152">
        <v>27</v>
      </c>
      <c r="C37" s="153" t="s">
        <v>4160</v>
      </c>
      <c r="D37" s="159" t="s">
        <v>2167</v>
      </c>
      <c r="E37" s="155">
        <f t="shared" si="0"/>
        <v>46000</v>
      </c>
      <c r="F37" s="155">
        <v>60</v>
      </c>
      <c r="G37" s="156">
        <v>16</v>
      </c>
      <c r="H37" s="157">
        <f t="shared" si="2"/>
        <v>44160000</v>
      </c>
      <c r="I37" s="156">
        <f t="shared" si="3"/>
        <v>844800.00000000012</v>
      </c>
      <c r="J37" s="156">
        <f t="shared" si="4"/>
        <v>38460233.200000003</v>
      </c>
      <c r="K37" s="158">
        <f t="shared" si="1"/>
        <v>83465033.200000003</v>
      </c>
    </row>
    <row r="38" spans="1:11">
      <c r="A38" s="151" t="s">
        <v>4133</v>
      </c>
      <c r="B38" s="152">
        <v>28</v>
      </c>
      <c r="C38" s="153" t="s">
        <v>4161</v>
      </c>
      <c r="D38" s="159" t="s">
        <v>2245</v>
      </c>
      <c r="E38" s="155">
        <f t="shared" si="0"/>
        <v>46000</v>
      </c>
      <c r="F38" s="155">
        <v>27</v>
      </c>
      <c r="G38" s="156">
        <v>16</v>
      </c>
      <c r="H38" s="157">
        <f t="shared" si="2"/>
        <v>19872000</v>
      </c>
      <c r="I38" s="156">
        <f t="shared" si="3"/>
        <v>380160.00000000006</v>
      </c>
      <c r="J38" s="156">
        <f t="shared" si="4"/>
        <v>38460233.200000003</v>
      </c>
      <c r="K38" s="158">
        <f t="shared" si="1"/>
        <v>58712393.200000003</v>
      </c>
    </row>
    <row r="39" spans="1:11">
      <c r="A39" s="151" t="s">
        <v>4133</v>
      </c>
      <c r="B39" s="152">
        <v>29</v>
      </c>
      <c r="C39" s="153" t="s">
        <v>4162</v>
      </c>
      <c r="D39" s="159" t="s">
        <v>2167</v>
      </c>
      <c r="E39" s="155">
        <f t="shared" si="0"/>
        <v>46000</v>
      </c>
      <c r="F39" s="155">
        <v>228</v>
      </c>
      <c r="G39" s="156">
        <v>16</v>
      </c>
      <c r="H39" s="157">
        <f t="shared" si="2"/>
        <v>167808000</v>
      </c>
      <c r="I39" s="156">
        <f t="shared" si="3"/>
        <v>3210240.0000000005</v>
      </c>
      <c r="J39" s="156">
        <f t="shared" si="4"/>
        <v>38460233.200000003</v>
      </c>
      <c r="K39" s="158">
        <f t="shared" si="1"/>
        <v>209478473.19999999</v>
      </c>
    </row>
    <row r="40" spans="1:11">
      <c r="A40" s="151" t="s">
        <v>4133</v>
      </c>
      <c r="B40" s="152">
        <v>30</v>
      </c>
      <c r="C40" s="153" t="s">
        <v>4163</v>
      </c>
      <c r="D40" s="159" t="s">
        <v>2134</v>
      </c>
      <c r="E40" s="155">
        <f t="shared" si="0"/>
        <v>21000</v>
      </c>
      <c r="F40" s="155">
        <v>150</v>
      </c>
      <c r="G40" s="156">
        <v>16</v>
      </c>
      <c r="H40" s="157">
        <f t="shared" si="2"/>
        <v>50400000</v>
      </c>
      <c r="I40" s="156">
        <f t="shared" si="3"/>
        <v>2112000.0000000005</v>
      </c>
      <c r="J40" s="156">
        <f t="shared" si="4"/>
        <v>2870841.6</v>
      </c>
      <c r="K40" s="158">
        <f t="shared" si="1"/>
        <v>55382841.600000001</v>
      </c>
    </row>
    <row r="41" spans="1:11">
      <c r="A41" s="151" t="s">
        <v>4133</v>
      </c>
      <c r="B41" s="152">
        <v>31</v>
      </c>
      <c r="C41" s="153" t="s">
        <v>4164</v>
      </c>
      <c r="D41" s="159" t="s">
        <v>2167</v>
      </c>
      <c r="E41" s="155">
        <f t="shared" si="0"/>
        <v>46000</v>
      </c>
      <c r="F41" s="155">
        <v>225</v>
      </c>
      <c r="G41" s="156">
        <v>16</v>
      </c>
      <c r="H41" s="157">
        <f t="shared" si="2"/>
        <v>165600000</v>
      </c>
      <c r="I41" s="156">
        <f t="shared" si="3"/>
        <v>3168000.0000000005</v>
      </c>
      <c r="J41" s="156">
        <f t="shared" si="4"/>
        <v>38460233.200000003</v>
      </c>
      <c r="K41" s="158">
        <f t="shared" si="1"/>
        <v>207228233.19999999</v>
      </c>
    </row>
    <row r="42" spans="1:11">
      <c r="A42" s="151" t="s">
        <v>4133</v>
      </c>
      <c r="B42" s="152">
        <v>32</v>
      </c>
      <c r="C42" s="153" t="s">
        <v>4165</v>
      </c>
      <c r="D42" s="159" t="s">
        <v>2134</v>
      </c>
      <c r="E42" s="155">
        <f t="shared" si="0"/>
        <v>21000</v>
      </c>
      <c r="F42" s="155">
        <v>97</v>
      </c>
      <c r="G42" s="156">
        <v>16</v>
      </c>
      <c r="H42" s="157">
        <f t="shared" si="2"/>
        <v>32592000</v>
      </c>
      <c r="I42" s="156">
        <f t="shared" si="3"/>
        <v>1365760.0000000002</v>
      </c>
      <c r="J42" s="156">
        <f t="shared" si="4"/>
        <v>2870841.6</v>
      </c>
      <c r="K42" s="158">
        <f t="shared" si="1"/>
        <v>36828601.600000001</v>
      </c>
    </row>
    <row r="43" spans="1:11">
      <c r="A43" s="151" t="s">
        <v>4133</v>
      </c>
      <c r="B43" s="152">
        <v>33</v>
      </c>
      <c r="C43" s="153" t="s">
        <v>4166</v>
      </c>
      <c r="D43" s="154" t="s">
        <v>2134</v>
      </c>
      <c r="E43" s="155">
        <f t="shared" si="0"/>
        <v>21000</v>
      </c>
      <c r="F43" s="155">
        <v>88</v>
      </c>
      <c r="G43" s="156">
        <v>16</v>
      </c>
      <c r="H43" s="157">
        <f t="shared" si="2"/>
        <v>29568000</v>
      </c>
      <c r="I43" s="156">
        <f t="shared" si="3"/>
        <v>1239040.0000000002</v>
      </c>
      <c r="J43" s="156">
        <f t="shared" si="4"/>
        <v>2870841.6</v>
      </c>
      <c r="K43" s="158">
        <f t="shared" si="1"/>
        <v>33677881.600000001</v>
      </c>
    </row>
    <row r="44" spans="1:11">
      <c r="A44" s="151" t="s">
        <v>4133</v>
      </c>
      <c r="B44" s="152">
        <v>34</v>
      </c>
      <c r="C44" s="153" t="s">
        <v>4167</v>
      </c>
      <c r="D44" s="159" t="s">
        <v>2167</v>
      </c>
      <c r="E44" s="155">
        <f t="shared" si="0"/>
        <v>46000</v>
      </c>
      <c r="F44" s="155">
        <v>61</v>
      </c>
      <c r="G44" s="156">
        <v>16</v>
      </c>
      <c r="H44" s="157">
        <f t="shared" si="2"/>
        <v>44896000</v>
      </c>
      <c r="I44" s="156">
        <f t="shared" si="3"/>
        <v>858880.00000000012</v>
      </c>
      <c r="J44" s="156">
        <f t="shared" si="4"/>
        <v>38460233.200000003</v>
      </c>
      <c r="K44" s="158">
        <f t="shared" si="1"/>
        <v>84215113.200000003</v>
      </c>
    </row>
    <row r="45" spans="1:11">
      <c r="A45" s="151" t="s">
        <v>4133</v>
      </c>
      <c r="B45" s="152">
        <v>35</v>
      </c>
      <c r="C45" s="153" t="s">
        <v>4168</v>
      </c>
      <c r="D45" s="159" t="s">
        <v>2167</v>
      </c>
      <c r="E45" s="155">
        <f t="shared" si="0"/>
        <v>46000</v>
      </c>
      <c r="F45" s="155">
        <v>61</v>
      </c>
      <c r="G45" s="156">
        <v>16</v>
      </c>
      <c r="H45" s="157">
        <f t="shared" si="2"/>
        <v>44896000</v>
      </c>
      <c r="I45" s="156">
        <f t="shared" si="3"/>
        <v>858880.00000000012</v>
      </c>
      <c r="J45" s="156">
        <f t="shared" si="4"/>
        <v>38460233.200000003</v>
      </c>
      <c r="K45" s="158">
        <f t="shared" si="1"/>
        <v>84215113.200000003</v>
      </c>
    </row>
    <row r="46" spans="1:11">
      <c r="A46" s="151" t="s">
        <v>4133</v>
      </c>
      <c r="B46" s="152">
        <v>36</v>
      </c>
      <c r="C46" s="153" t="s">
        <v>4169</v>
      </c>
      <c r="D46" s="159" t="s">
        <v>2167</v>
      </c>
      <c r="E46" s="155">
        <f t="shared" si="0"/>
        <v>46000</v>
      </c>
      <c r="F46" s="155">
        <v>61</v>
      </c>
      <c r="G46" s="156">
        <v>16</v>
      </c>
      <c r="H46" s="157">
        <f t="shared" si="2"/>
        <v>44896000</v>
      </c>
      <c r="I46" s="156">
        <f t="shared" si="3"/>
        <v>858880.00000000012</v>
      </c>
      <c r="J46" s="156">
        <f t="shared" si="4"/>
        <v>38460233.200000003</v>
      </c>
      <c r="K46" s="158">
        <f t="shared" si="1"/>
        <v>84215113.200000003</v>
      </c>
    </row>
    <row r="47" spans="1:11">
      <c r="A47" s="151" t="s">
        <v>4133</v>
      </c>
      <c r="B47" s="152">
        <v>37</v>
      </c>
      <c r="C47" s="153" t="s">
        <v>4170</v>
      </c>
      <c r="D47" s="159" t="s">
        <v>2167</v>
      </c>
      <c r="E47" s="155">
        <f t="shared" si="0"/>
        <v>46000</v>
      </c>
      <c r="F47" s="155">
        <v>61</v>
      </c>
      <c r="G47" s="156">
        <v>16</v>
      </c>
      <c r="H47" s="157">
        <f t="shared" si="2"/>
        <v>44896000</v>
      </c>
      <c r="I47" s="156">
        <f t="shared" si="3"/>
        <v>858880.00000000012</v>
      </c>
      <c r="J47" s="156">
        <f t="shared" si="4"/>
        <v>38460233.200000003</v>
      </c>
      <c r="K47" s="158">
        <f t="shared" si="1"/>
        <v>84215113.200000003</v>
      </c>
    </row>
    <row r="48" spans="1:11">
      <c r="A48" s="151" t="s">
        <v>4133</v>
      </c>
      <c r="B48" s="152">
        <v>38</v>
      </c>
      <c r="C48" s="153" t="s">
        <v>4171</v>
      </c>
      <c r="D48" s="159" t="s">
        <v>2167</v>
      </c>
      <c r="E48" s="155">
        <f t="shared" si="0"/>
        <v>46000</v>
      </c>
      <c r="F48" s="155">
        <v>122</v>
      </c>
      <c r="G48" s="156">
        <v>16</v>
      </c>
      <c r="H48" s="157">
        <f t="shared" si="2"/>
        <v>89792000</v>
      </c>
      <c r="I48" s="156">
        <f t="shared" si="3"/>
        <v>1717760.0000000002</v>
      </c>
      <c r="J48" s="156">
        <f t="shared" si="4"/>
        <v>38460233.200000003</v>
      </c>
      <c r="K48" s="158">
        <f t="shared" si="1"/>
        <v>129969993.2</v>
      </c>
    </row>
    <row r="49" spans="1:11">
      <c r="A49" s="151" t="s">
        <v>4133</v>
      </c>
      <c r="B49" s="152">
        <v>39</v>
      </c>
      <c r="C49" s="153" t="s">
        <v>4172</v>
      </c>
      <c r="D49" s="159" t="s">
        <v>2167</v>
      </c>
      <c r="E49" s="155">
        <f t="shared" si="0"/>
        <v>46000</v>
      </c>
      <c r="F49" s="155">
        <v>61</v>
      </c>
      <c r="G49" s="156">
        <v>16</v>
      </c>
      <c r="H49" s="157">
        <f t="shared" si="2"/>
        <v>44896000</v>
      </c>
      <c r="I49" s="156">
        <f t="shared" si="3"/>
        <v>858880.00000000012</v>
      </c>
      <c r="J49" s="156">
        <f t="shared" si="4"/>
        <v>38460233.200000003</v>
      </c>
      <c r="K49" s="158">
        <f t="shared" si="1"/>
        <v>84215113.200000003</v>
      </c>
    </row>
    <row r="50" spans="1:11">
      <c r="A50" s="151" t="s">
        <v>4133</v>
      </c>
      <c r="B50" s="152">
        <v>40</v>
      </c>
      <c r="C50" s="153" t="s">
        <v>4173</v>
      </c>
      <c r="D50" s="159" t="s">
        <v>2182</v>
      </c>
      <c r="E50" s="155">
        <f t="shared" si="0"/>
        <v>21000</v>
      </c>
      <c r="F50" s="155">
        <v>61</v>
      </c>
      <c r="G50" s="156">
        <v>16</v>
      </c>
      <c r="H50" s="157">
        <f t="shared" si="2"/>
        <v>20496000</v>
      </c>
      <c r="I50" s="156">
        <f t="shared" si="3"/>
        <v>858880.00000000012</v>
      </c>
      <c r="J50" s="156">
        <f t="shared" si="4"/>
        <v>2870841.6</v>
      </c>
      <c r="K50" s="158">
        <f t="shared" si="1"/>
        <v>24225721.600000001</v>
      </c>
    </row>
    <row r="51" spans="1:11">
      <c r="A51" s="151" t="s">
        <v>4133</v>
      </c>
      <c r="B51" s="152">
        <v>41</v>
      </c>
      <c r="C51" s="153" t="s">
        <v>4174</v>
      </c>
      <c r="D51" s="159" t="s">
        <v>2134</v>
      </c>
      <c r="E51" s="155">
        <f t="shared" si="0"/>
        <v>21000</v>
      </c>
      <c r="F51" s="155">
        <v>61</v>
      </c>
      <c r="G51" s="156">
        <v>16</v>
      </c>
      <c r="H51" s="157">
        <f t="shared" si="2"/>
        <v>20496000</v>
      </c>
      <c r="I51" s="156">
        <f t="shared" si="3"/>
        <v>858880.00000000012</v>
      </c>
      <c r="J51" s="156">
        <f t="shared" si="4"/>
        <v>2870841.6</v>
      </c>
      <c r="K51" s="158">
        <f t="shared" si="1"/>
        <v>24225721.600000001</v>
      </c>
    </row>
    <row r="52" spans="1:11">
      <c r="A52" s="151" t="s">
        <v>4133</v>
      </c>
      <c r="B52" s="152">
        <v>42</v>
      </c>
      <c r="C52" s="153" t="s">
        <v>4175</v>
      </c>
      <c r="D52" s="159" t="s">
        <v>2134</v>
      </c>
      <c r="E52" s="155">
        <f t="shared" si="0"/>
        <v>21000</v>
      </c>
      <c r="F52" s="155">
        <v>61</v>
      </c>
      <c r="G52" s="156">
        <v>16</v>
      </c>
      <c r="H52" s="157">
        <f t="shared" si="2"/>
        <v>20496000</v>
      </c>
      <c r="I52" s="156">
        <f t="shared" si="3"/>
        <v>858880.00000000012</v>
      </c>
      <c r="J52" s="156">
        <f t="shared" si="4"/>
        <v>2870841.6</v>
      </c>
      <c r="K52" s="158">
        <f t="shared" si="1"/>
        <v>24225721.600000001</v>
      </c>
    </row>
    <row r="53" spans="1:11">
      <c r="A53" s="151" t="s">
        <v>4133</v>
      </c>
      <c r="B53" s="152">
        <v>43</v>
      </c>
      <c r="C53" s="153" t="s">
        <v>4176</v>
      </c>
      <c r="D53" s="159" t="s">
        <v>2134</v>
      </c>
      <c r="E53" s="155">
        <f t="shared" si="0"/>
        <v>21000</v>
      </c>
      <c r="F53" s="155">
        <v>61</v>
      </c>
      <c r="G53" s="156">
        <v>16</v>
      </c>
      <c r="H53" s="157">
        <f t="shared" si="2"/>
        <v>20496000</v>
      </c>
      <c r="I53" s="156">
        <f t="shared" si="3"/>
        <v>858880.00000000012</v>
      </c>
      <c r="J53" s="156">
        <f t="shared" si="4"/>
        <v>2870841.6</v>
      </c>
      <c r="K53" s="158">
        <f t="shared" si="1"/>
        <v>24225721.600000001</v>
      </c>
    </row>
    <row r="54" spans="1:11">
      <c r="A54" s="151" t="s">
        <v>4133</v>
      </c>
      <c r="B54" s="152">
        <v>44</v>
      </c>
      <c r="C54" s="153" t="s">
        <v>4177</v>
      </c>
      <c r="D54" s="159" t="s">
        <v>2182</v>
      </c>
      <c r="E54" s="155">
        <f t="shared" si="0"/>
        <v>21000</v>
      </c>
      <c r="F54" s="155">
        <v>61</v>
      </c>
      <c r="G54" s="156">
        <v>16</v>
      </c>
      <c r="H54" s="157">
        <f t="shared" si="2"/>
        <v>20496000</v>
      </c>
      <c r="I54" s="156">
        <f t="shared" si="3"/>
        <v>858880.00000000012</v>
      </c>
      <c r="J54" s="156">
        <f t="shared" si="4"/>
        <v>2870841.6</v>
      </c>
      <c r="K54" s="158">
        <f t="shared" si="1"/>
        <v>24225721.600000001</v>
      </c>
    </row>
    <row r="55" spans="1:11">
      <c r="A55" s="151" t="s">
        <v>4133</v>
      </c>
      <c r="B55" s="152">
        <v>45</v>
      </c>
      <c r="C55" s="153" t="s">
        <v>4178</v>
      </c>
      <c r="D55" s="159" t="s">
        <v>2134</v>
      </c>
      <c r="E55" s="155">
        <f t="shared" si="0"/>
        <v>21000</v>
      </c>
      <c r="F55" s="155">
        <v>32</v>
      </c>
      <c r="G55" s="156">
        <v>16</v>
      </c>
      <c r="H55" s="157">
        <f t="shared" si="2"/>
        <v>10752000</v>
      </c>
      <c r="I55" s="156">
        <f t="shared" si="3"/>
        <v>450560.00000000006</v>
      </c>
      <c r="J55" s="156">
        <f t="shared" si="4"/>
        <v>2870841.6</v>
      </c>
      <c r="K55" s="158">
        <f t="shared" si="1"/>
        <v>14073401.6</v>
      </c>
    </row>
    <row r="56" spans="1:11">
      <c r="A56" s="151" t="s">
        <v>4133</v>
      </c>
      <c r="B56" s="152">
        <v>46</v>
      </c>
      <c r="C56" s="153" t="s">
        <v>4179</v>
      </c>
      <c r="D56" s="159" t="s">
        <v>2134</v>
      </c>
      <c r="E56" s="155">
        <f t="shared" si="0"/>
        <v>21000</v>
      </c>
      <c r="F56" s="155">
        <v>61</v>
      </c>
      <c r="G56" s="156">
        <v>16</v>
      </c>
      <c r="H56" s="157">
        <f t="shared" si="2"/>
        <v>20496000</v>
      </c>
      <c r="I56" s="156">
        <f t="shared" si="3"/>
        <v>858880.00000000012</v>
      </c>
      <c r="J56" s="156">
        <f t="shared" si="4"/>
        <v>2870841.6</v>
      </c>
      <c r="K56" s="158">
        <f t="shared" si="1"/>
        <v>24225721.600000001</v>
      </c>
    </row>
    <row r="57" spans="1:11">
      <c r="A57" s="151" t="s">
        <v>4133</v>
      </c>
      <c r="B57" s="152">
        <v>47</v>
      </c>
      <c r="C57" s="153" t="s">
        <v>4180</v>
      </c>
      <c r="D57" s="159" t="s">
        <v>2182</v>
      </c>
      <c r="E57" s="155">
        <f t="shared" si="0"/>
        <v>21000</v>
      </c>
      <c r="F57" s="155">
        <v>61</v>
      </c>
      <c r="G57" s="156">
        <v>16</v>
      </c>
      <c r="H57" s="157">
        <f t="shared" si="2"/>
        <v>20496000</v>
      </c>
      <c r="I57" s="156">
        <f t="shared" si="3"/>
        <v>858880.00000000012</v>
      </c>
      <c r="J57" s="156">
        <f t="shared" si="4"/>
        <v>2870841.6</v>
      </c>
      <c r="K57" s="158">
        <f t="shared" si="1"/>
        <v>24225721.600000001</v>
      </c>
    </row>
    <row r="58" spans="1:11">
      <c r="A58" s="151" t="s">
        <v>4133</v>
      </c>
      <c r="B58" s="152">
        <v>48</v>
      </c>
      <c r="C58" s="153" t="s">
        <v>4181</v>
      </c>
      <c r="D58" s="159" t="s">
        <v>2134</v>
      </c>
      <c r="E58" s="155">
        <f t="shared" si="0"/>
        <v>21000</v>
      </c>
      <c r="F58" s="155">
        <v>91</v>
      </c>
      <c r="G58" s="156">
        <v>16</v>
      </c>
      <c r="H58" s="157">
        <f t="shared" si="2"/>
        <v>30576000</v>
      </c>
      <c r="I58" s="156">
        <f t="shared" si="3"/>
        <v>1281280.0000000002</v>
      </c>
      <c r="J58" s="156">
        <f t="shared" si="4"/>
        <v>2870841.6</v>
      </c>
      <c r="K58" s="158">
        <f t="shared" si="1"/>
        <v>34728121.600000001</v>
      </c>
    </row>
    <row r="59" spans="1:11">
      <c r="A59" s="151" t="s">
        <v>4133</v>
      </c>
      <c r="B59" s="152">
        <v>49</v>
      </c>
      <c r="C59" s="153" t="s">
        <v>4182</v>
      </c>
      <c r="D59" s="159" t="s">
        <v>2167</v>
      </c>
      <c r="E59" s="155">
        <f t="shared" si="0"/>
        <v>46000</v>
      </c>
      <c r="F59" s="155">
        <v>287</v>
      </c>
      <c r="G59" s="156">
        <v>16</v>
      </c>
      <c r="H59" s="157">
        <f t="shared" si="2"/>
        <v>211232000</v>
      </c>
      <c r="I59" s="156">
        <f t="shared" si="3"/>
        <v>4040960.0000000005</v>
      </c>
      <c r="J59" s="156">
        <f t="shared" si="4"/>
        <v>38460233.200000003</v>
      </c>
      <c r="K59" s="158">
        <f t="shared" si="1"/>
        <v>253733193.19999999</v>
      </c>
    </row>
    <row r="60" spans="1:11">
      <c r="A60" s="151" t="s">
        <v>4133</v>
      </c>
      <c r="B60" s="152">
        <v>50</v>
      </c>
      <c r="C60" s="153" t="s">
        <v>4183</v>
      </c>
      <c r="D60" s="159" t="s">
        <v>2167</v>
      </c>
      <c r="E60" s="155">
        <f t="shared" si="0"/>
        <v>46000</v>
      </c>
      <c r="F60" s="155">
        <v>137</v>
      </c>
      <c r="G60" s="156">
        <v>16</v>
      </c>
      <c r="H60" s="157">
        <f t="shared" si="2"/>
        <v>100832000</v>
      </c>
      <c r="I60" s="156">
        <f t="shared" si="3"/>
        <v>1928960.0000000002</v>
      </c>
      <c r="J60" s="156">
        <f t="shared" si="4"/>
        <v>38460233.200000003</v>
      </c>
      <c r="K60" s="158">
        <f t="shared" si="1"/>
        <v>141221193.19999999</v>
      </c>
    </row>
    <row r="61" spans="1:11">
      <c r="A61" s="151" t="s">
        <v>4133</v>
      </c>
      <c r="B61" s="152">
        <v>51</v>
      </c>
      <c r="C61" s="153" t="s">
        <v>4184</v>
      </c>
      <c r="D61" s="159" t="s">
        <v>2167</v>
      </c>
      <c r="E61" s="155">
        <f t="shared" si="0"/>
        <v>46000</v>
      </c>
      <c r="F61" s="155">
        <v>318</v>
      </c>
      <c r="G61" s="156">
        <v>16</v>
      </c>
      <c r="H61" s="157">
        <f t="shared" si="2"/>
        <v>234048000</v>
      </c>
      <c r="I61" s="156">
        <f t="shared" si="3"/>
        <v>4477440.0000000009</v>
      </c>
      <c r="J61" s="156">
        <f t="shared" si="4"/>
        <v>38460233.200000003</v>
      </c>
      <c r="K61" s="158">
        <f t="shared" si="1"/>
        <v>276985673.19999999</v>
      </c>
    </row>
    <row r="62" spans="1:11">
      <c r="A62" s="151" t="s">
        <v>4133</v>
      </c>
      <c r="B62" s="152">
        <v>52</v>
      </c>
      <c r="C62" s="153" t="s">
        <v>4185</v>
      </c>
      <c r="D62" s="159" t="s">
        <v>2167</v>
      </c>
      <c r="E62" s="155">
        <f t="shared" si="0"/>
        <v>46000</v>
      </c>
      <c r="F62" s="155">
        <v>64</v>
      </c>
      <c r="G62" s="156">
        <v>16</v>
      </c>
      <c r="H62" s="157">
        <f t="shared" si="2"/>
        <v>47104000</v>
      </c>
      <c r="I62" s="156">
        <f t="shared" si="3"/>
        <v>901120.00000000012</v>
      </c>
      <c r="J62" s="156">
        <f t="shared" si="4"/>
        <v>38460233.200000003</v>
      </c>
      <c r="K62" s="158">
        <f t="shared" si="1"/>
        <v>86465353.200000003</v>
      </c>
    </row>
    <row r="63" spans="1:11">
      <c r="A63" s="151" t="s">
        <v>4133</v>
      </c>
      <c r="B63" s="152">
        <v>53</v>
      </c>
      <c r="C63" s="153" t="s">
        <v>4186</v>
      </c>
      <c r="D63" s="159" t="s">
        <v>2167</v>
      </c>
      <c r="E63" s="155">
        <f t="shared" si="0"/>
        <v>46000</v>
      </c>
      <c r="F63" s="155">
        <v>128</v>
      </c>
      <c r="G63" s="156">
        <v>16</v>
      </c>
      <c r="H63" s="157">
        <f t="shared" si="2"/>
        <v>94208000</v>
      </c>
      <c r="I63" s="156">
        <f t="shared" si="3"/>
        <v>1802240.0000000002</v>
      </c>
      <c r="J63" s="156">
        <f t="shared" si="4"/>
        <v>38460233.200000003</v>
      </c>
      <c r="K63" s="158">
        <f t="shared" si="1"/>
        <v>134470473.19999999</v>
      </c>
    </row>
    <row r="64" spans="1:11">
      <c r="A64" s="151" t="s">
        <v>4133</v>
      </c>
      <c r="B64" s="152">
        <v>54</v>
      </c>
      <c r="C64" s="153" t="s">
        <v>4187</v>
      </c>
      <c r="D64" s="159" t="s">
        <v>2167</v>
      </c>
      <c r="E64" s="155">
        <f t="shared" si="0"/>
        <v>46000</v>
      </c>
      <c r="F64" s="155">
        <v>352</v>
      </c>
      <c r="G64" s="156">
        <v>16</v>
      </c>
      <c r="H64" s="157">
        <f t="shared" si="2"/>
        <v>259072000</v>
      </c>
      <c r="I64" s="156">
        <f t="shared" si="3"/>
        <v>4956160.0000000009</v>
      </c>
      <c r="J64" s="156">
        <f t="shared" si="4"/>
        <v>38460233.200000003</v>
      </c>
      <c r="K64" s="158">
        <f t="shared" si="1"/>
        <v>302488393.19999999</v>
      </c>
    </row>
    <row r="65" spans="1:11">
      <c r="A65" s="151" t="s">
        <v>4133</v>
      </c>
      <c r="B65" s="152">
        <v>55</v>
      </c>
      <c r="C65" s="153" t="s">
        <v>4188</v>
      </c>
      <c r="D65" s="159" t="s">
        <v>2134</v>
      </c>
      <c r="E65" s="155">
        <f t="shared" si="0"/>
        <v>21000</v>
      </c>
      <c r="F65" s="155">
        <v>200</v>
      </c>
      <c r="G65" s="156">
        <v>16</v>
      </c>
      <c r="H65" s="157">
        <f t="shared" si="2"/>
        <v>67200000</v>
      </c>
      <c r="I65" s="156">
        <f t="shared" si="3"/>
        <v>2816000.0000000005</v>
      </c>
      <c r="J65" s="156">
        <f t="shared" si="4"/>
        <v>2870841.6</v>
      </c>
      <c r="K65" s="158">
        <f t="shared" si="1"/>
        <v>72886841.599999994</v>
      </c>
    </row>
    <row r="66" spans="1:11">
      <c r="A66" s="151" t="s">
        <v>4133</v>
      </c>
      <c r="B66" s="152">
        <v>56</v>
      </c>
      <c r="C66" s="153" t="s">
        <v>4189</v>
      </c>
      <c r="D66" s="159" t="s">
        <v>2245</v>
      </c>
      <c r="E66" s="155">
        <f t="shared" si="0"/>
        <v>46000</v>
      </c>
      <c r="F66" s="155">
        <v>150</v>
      </c>
      <c r="G66" s="156">
        <v>16</v>
      </c>
      <c r="H66" s="157">
        <f t="shared" si="2"/>
        <v>110400000</v>
      </c>
      <c r="I66" s="156">
        <f t="shared" si="3"/>
        <v>2112000.0000000005</v>
      </c>
      <c r="J66" s="156">
        <f t="shared" si="4"/>
        <v>38460233.200000003</v>
      </c>
      <c r="K66" s="158">
        <f t="shared" si="1"/>
        <v>150972233.19999999</v>
      </c>
    </row>
    <row r="67" spans="1:11">
      <c r="A67" s="151" t="s">
        <v>4133</v>
      </c>
      <c r="B67" s="152">
        <v>57</v>
      </c>
      <c r="C67" s="153" t="s">
        <v>4190</v>
      </c>
      <c r="D67" s="159" t="s">
        <v>2167</v>
      </c>
      <c r="E67" s="155">
        <f t="shared" si="0"/>
        <v>46000</v>
      </c>
      <c r="F67" s="155">
        <v>250</v>
      </c>
      <c r="G67" s="156">
        <v>16</v>
      </c>
      <c r="H67" s="157">
        <f t="shared" si="2"/>
        <v>184000000</v>
      </c>
      <c r="I67" s="156">
        <f t="shared" si="3"/>
        <v>3520000.0000000005</v>
      </c>
      <c r="J67" s="156">
        <f t="shared" si="4"/>
        <v>38460233.200000003</v>
      </c>
      <c r="K67" s="158">
        <f t="shared" si="1"/>
        <v>225980233.19999999</v>
      </c>
    </row>
    <row r="68" spans="1:11">
      <c r="A68" s="151" t="s">
        <v>4133</v>
      </c>
      <c r="B68" s="152">
        <v>58</v>
      </c>
      <c r="C68" s="153" t="s">
        <v>4191</v>
      </c>
      <c r="D68" s="159" t="s">
        <v>2167</v>
      </c>
      <c r="E68" s="155">
        <f t="shared" si="0"/>
        <v>46000</v>
      </c>
      <c r="F68" s="155">
        <v>50</v>
      </c>
      <c r="G68" s="156">
        <v>16</v>
      </c>
      <c r="H68" s="157">
        <f t="shared" si="2"/>
        <v>36800000</v>
      </c>
      <c r="I68" s="156">
        <f t="shared" si="3"/>
        <v>704000.00000000012</v>
      </c>
      <c r="J68" s="156">
        <f t="shared" si="4"/>
        <v>38460233.200000003</v>
      </c>
      <c r="K68" s="158">
        <f t="shared" si="1"/>
        <v>75964233.200000003</v>
      </c>
    </row>
    <row r="69" spans="1:11">
      <c r="A69" s="151" t="s">
        <v>4133</v>
      </c>
      <c r="B69" s="152">
        <v>59</v>
      </c>
      <c r="C69" s="153" t="s">
        <v>4192</v>
      </c>
      <c r="D69" s="159" t="s">
        <v>2245</v>
      </c>
      <c r="E69" s="155">
        <f t="shared" si="0"/>
        <v>46000</v>
      </c>
      <c r="F69" s="155">
        <v>110</v>
      </c>
      <c r="G69" s="156">
        <v>16</v>
      </c>
      <c r="H69" s="157">
        <f t="shared" si="2"/>
        <v>80960000</v>
      </c>
      <c r="I69" s="156">
        <f t="shared" si="3"/>
        <v>1548800.0000000002</v>
      </c>
      <c r="J69" s="156">
        <f t="shared" si="4"/>
        <v>38460233.200000003</v>
      </c>
      <c r="K69" s="158">
        <f t="shared" si="1"/>
        <v>120969033.2</v>
      </c>
    </row>
    <row r="70" spans="1:11">
      <c r="A70" s="151" t="s">
        <v>4133</v>
      </c>
      <c r="B70" s="152">
        <v>60</v>
      </c>
      <c r="C70" s="153" t="s">
        <v>4193</v>
      </c>
      <c r="D70" s="159" t="s">
        <v>2245</v>
      </c>
      <c r="E70" s="155">
        <f t="shared" si="0"/>
        <v>46000</v>
      </c>
      <c r="F70" s="155">
        <v>70</v>
      </c>
      <c r="G70" s="156">
        <v>16</v>
      </c>
      <c r="H70" s="157">
        <f t="shared" si="2"/>
        <v>51520000</v>
      </c>
      <c r="I70" s="156">
        <f t="shared" si="3"/>
        <v>985600.00000000012</v>
      </c>
      <c r="J70" s="156">
        <f t="shared" si="4"/>
        <v>38460233.200000003</v>
      </c>
      <c r="K70" s="158">
        <f t="shared" si="1"/>
        <v>90965833.200000003</v>
      </c>
    </row>
    <row r="71" spans="1:11">
      <c r="A71" s="151" t="s">
        <v>4133</v>
      </c>
      <c r="B71" s="152">
        <v>61</v>
      </c>
      <c r="C71" s="153" t="s">
        <v>4194</v>
      </c>
      <c r="D71" s="159" t="s">
        <v>2245</v>
      </c>
      <c r="E71" s="155">
        <f t="shared" si="0"/>
        <v>46000</v>
      </c>
      <c r="F71" s="155">
        <v>150</v>
      </c>
      <c r="G71" s="156">
        <v>16</v>
      </c>
      <c r="H71" s="157">
        <f t="shared" si="2"/>
        <v>110400000</v>
      </c>
      <c r="I71" s="156">
        <f t="shared" si="3"/>
        <v>2112000.0000000005</v>
      </c>
      <c r="J71" s="156">
        <f t="shared" si="4"/>
        <v>38460233.200000003</v>
      </c>
      <c r="K71" s="158">
        <f t="shared" si="1"/>
        <v>150972233.19999999</v>
      </c>
    </row>
    <row r="72" spans="1:11">
      <c r="A72" s="151" t="s">
        <v>4133</v>
      </c>
      <c r="B72" s="152">
        <v>62</v>
      </c>
      <c r="C72" s="153" t="s">
        <v>4195</v>
      </c>
      <c r="D72" s="159" t="s">
        <v>2167</v>
      </c>
      <c r="E72" s="155">
        <f t="shared" si="0"/>
        <v>46000</v>
      </c>
      <c r="F72" s="155">
        <v>126</v>
      </c>
      <c r="G72" s="156">
        <v>16</v>
      </c>
      <c r="H72" s="157">
        <f t="shared" si="2"/>
        <v>92736000</v>
      </c>
      <c r="I72" s="156">
        <f t="shared" si="3"/>
        <v>1774080.0000000002</v>
      </c>
      <c r="J72" s="156">
        <f t="shared" si="4"/>
        <v>38460233.200000003</v>
      </c>
      <c r="K72" s="158">
        <f t="shared" si="1"/>
        <v>132970313.2</v>
      </c>
    </row>
    <row r="73" spans="1:11">
      <c r="A73" s="151" t="s">
        <v>4133</v>
      </c>
      <c r="B73" s="152">
        <v>63</v>
      </c>
      <c r="C73" s="153" t="s">
        <v>4196</v>
      </c>
      <c r="D73" s="159" t="s">
        <v>2167</v>
      </c>
      <c r="E73" s="155">
        <f t="shared" si="0"/>
        <v>46000</v>
      </c>
      <c r="F73" s="155">
        <v>144</v>
      </c>
      <c r="G73" s="156">
        <v>16</v>
      </c>
      <c r="H73" s="157">
        <f t="shared" si="2"/>
        <v>105984000</v>
      </c>
      <c r="I73" s="156">
        <f t="shared" si="3"/>
        <v>2027520.0000000002</v>
      </c>
      <c r="J73" s="156">
        <f t="shared" si="4"/>
        <v>38460233.200000003</v>
      </c>
      <c r="K73" s="158">
        <f t="shared" si="1"/>
        <v>146471753.19999999</v>
      </c>
    </row>
    <row r="74" spans="1:11">
      <c r="A74" s="151" t="s">
        <v>4133</v>
      </c>
      <c r="B74" s="152">
        <v>64</v>
      </c>
      <c r="C74" s="153" t="s">
        <v>4197</v>
      </c>
      <c r="D74" s="159" t="s">
        <v>2167</v>
      </c>
      <c r="E74" s="155">
        <f t="shared" si="0"/>
        <v>46000</v>
      </c>
      <c r="F74" s="155">
        <v>108</v>
      </c>
      <c r="G74" s="156">
        <v>16</v>
      </c>
      <c r="H74" s="157">
        <f t="shared" si="2"/>
        <v>79488000</v>
      </c>
      <c r="I74" s="156">
        <f t="shared" si="3"/>
        <v>1520640.0000000002</v>
      </c>
      <c r="J74" s="156">
        <f t="shared" si="4"/>
        <v>38460233.200000003</v>
      </c>
      <c r="K74" s="158">
        <f t="shared" si="1"/>
        <v>119468873.2</v>
      </c>
    </row>
    <row r="75" spans="1:11">
      <c r="A75" s="151" t="s">
        <v>4133</v>
      </c>
      <c r="B75" s="152">
        <v>65</v>
      </c>
      <c r="C75" s="153" t="s">
        <v>4198</v>
      </c>
      <c r="D75" s="159" t="s">
        <v>2167</v>
      </c>
      <c r="E75" s="155">
        <f t="shared" ref="E75:E106" si="5">VLOOKUP(D75,$B$3:$H$6,5,FALSE)</f>
        <v>46000</v>
      </c>
      <c r="F75" s="155">
        <v>234</v>
      </c>
      <c r="G75" s="156">
        <v>16</v>
      </c>
      <c r="H75" s="157">
        <f t="shared" si="2"/>
        <v>172224000</v>
      </c>
      <c r="I75" s="156">
        <f t="shared" si="3"/>
        <v>3294720.0000000005</v>
      </c>
      <c r="J75" s="156">
        <f t="shared" si="4"/>
        <v>38460233.200000003</v>
      </c>
      <c r="K75" s="158">
        <f t="shared" ref="K75:K106" si="6">+H75+I75+J75</f>
        <v>213978953.19999999</v>
      </c>
    </row>
    <row r="76" spans="1:11">
      <c r="A76" s="151" t="s">
        <v>4133</v>
      </c>
      <c r="B76" s="152">
        <v>66</v>
      </c>
      <c r="C76" s="153" t="s">
        <v>4199</v>
      </c>
      <c r="D76" s="159" t="s">
        <v>2167</v>
      </c>
      <c r="E76" s="155">
        <f t="shared" si="5"/>
        <v>46000</v>
      </c>
      <c r="F76" s="155">
        <v>130</v>
      </c>
      <c r="G76" s="156">
        <v>16</v>
      </c>
      <c r="H76" s="157">
        <f t="shared" ref="H76:H106" si="7">+E76*F76*G76</f>
        <v>95680000</v>
      </c>
      <c r="I76" s="156">
        <f t="shared" ref="I76:I106" si="8">+F76*G76*$G$3</f>
        <v>1830400.0000000002</v>
      </c>
      <c r="J76" s="156">
        <f t="shared" ref="J76:J106" si="9">VLOOKUP(D76,$B$3:$H$6,7,FALSE)</f>
        <v>38460233.200000003</v>
      </c>
      <c r="K76" s="158">
        <f t="shared" si="6"/>
        <v>135970633.19999999</v>
      </c>
    </row>
    <row r="77" spans="1:11">
      <c r="A77" s="151" t="s">
        <v>4133</v>
      </c>
      <c r="B77" s="152">
        <v>67</v>
      </c>
      <c r="C77" s="153" t="s">
        <v>4200</v>
      </c>
      <c r="D77" s="159" t="s">
        <v>2167</v>
      </c>
      <c r="E77" s="155">
        <f t="shared" si="5"/>
        <v>46000</v>
      </c>
      <c r="F77" s="155">
        <v>173</v>
      </c>
      <c r="G77" s="156">
        <v>16</v>
      </c>
      <c r="H77" s="157">
        <f t="shared" si="7"/>
        <v>127328000</v>
      </c>
      <c r="I77" s="156">
        <f t="shared" si="8"/>
        <v>2435840.0000000005</v>
      </c>
      <c r="J77" s="156">
        <f t="shared" si="9"/>
        <v>38460233.200000003</v>
      </c>
      <c r="K77" s="158">
        <f t="shared" si="6"/>
        <v>168224073.19999999</v>
      </c>
    </row>
    <row r="78" spans="1:11">
      <c r="A78" s="151" t="s">
        <v>4133</v>
      </c>
      <c r="B78" s="152">
        <v>68</v>
      </c>
      <c r="C78" s="153" t="s">
        <v>4201</v>
      </c>
      <c r="D78" s="159" t="s">
        <v>2245</v>
      </c>
      <c r="E78" s="155">
        <f t="shared" si="5"/>
        <v>46000</v>
      </c>
      <c r="F78" s="155">
        <v>800</v>
      </c>
      <c r="G78" s="156">
        <v>16</v>
      </c>
      <c r="H78" s="157">
        <f t="shared" si="7"/>
        <v>588800000</v>
      </c>
      <c r="I78" s="156">
        <f t="shared" si="8"/>
        <v>11264000.000000002</v>
      </c>
      <c r="J78" s="156">
        <f t="shared" si="9"/>
        <v>38460233.200000003</v>
      </c>
      <c r="K78" s="158">
        <f t="shared" si="6"/>
        <v>638524233.20000005</v>
      </c>
    </row>
    <row r="79" spans="1:11">
      <c r="A79" s="151" t="s">
        <v>4133</v>
      </c>
      <c r="B79" s="152">
        <v>69</v>
      </c>
      <c r="C79" s="153" t="s">
        <v>4202</v>
      </c>
      <c r="D79" s="159" t="s">
        <v>2167</v>
      </c>
      <c r="E79" s="155">
        <f t="shared" si="5"/>
        <v>46000</v>
      </c>
      <c r="F79" s="155">
        <v>233</v>
      </c>
      <c r="G79" s="156">
        <v>16</v>
      </c>
      <c r="H79" s="157">
        <f t="shared" si="7"/>
        <v>171488000</v>
      </c>
      <c r="I79" s="156">
        <f t="shared" si="8"/>
        <v>3280640.0000000005</v>
      </c>
      <c r="J79" s="156">
        <f t="shared" si="9"/>
        <v>38460233.200000003</v>
      </c>
      <c r="K79" s="158">
        <f t="shared" si="6"/>
        <v>213228873.19999999</v>
      </c>
    </row>
    <row r="80" spans="1:11">
      <c r="A80" s="151" t="s">
        <v>4133</v>
      </c>
      <c r="B80" s="152">
        <v>70</v>
      </c>
      <c r="C80" s="153" t="s">
        <v>4203</v>
      </c>
      <c r="D80" s="159" t="s">
        <v>2182</v>
      </c>
      <c r="E80" s="155">
        <f t="shared" si="5"/>
        <v>21000</v>
      </c>
      <c r="F80" s="155">
        <v>216</v>
      </c>
      <c r="G80" s="156">
        <v>16</v>
      </c>
      <c r="H80" s="157">
        <f t="shared" si="7"/>
        <v>72576000</v>
      </c>
      <c r="I80" s="156">
        <f t="shared" si="8"/>
        <v>3041280.0000000005</v>
      </c>
      <c r="J80" s="156">
        <f t="shared" si="9"/>
        <v>2870841.6</v>
      </c>
      <c r="K80" s="158">
        <f t="shared" si="6"/>
        <v>78488121.599999994</v>
      </c>
    </row>
    <row r="81" spans="1:11">
      <c r="A81" s="151" t="s">
        <v>4133</v>
      </c>
      <c r="B81" s="152">
        <v>71</v>
      </c>
      <c r="C81" s="153" t="s">
        <v>4204</v>
      </c>
      <c r="D81" s="159" t="s">
        <v>2182</v>
      </c>
      <c r="E81" s="155">
        <f t="shared" si="5"/>
        <v>21000</v>
      </c>
      <c r="F81" s="155">
        <v>279</v>
      </c>
      <c r="G81" s="156">
        <v>16</v>
      </c>
      <c r="H81" s="157">
        <f t="shared" si="7"/>
        <v>93744000</v>
      </c>
      <c r="I81" s="156">
        <f t="shared" si="8"/>
        <v>3928320.0000000005</v>
      </c>
      <c r="J81" s="156">
        <f t="shared" si="9"/>
        <v>2870841.6</v>
      </c>
      <c r="K81" s="158">
        <f t="shared" si="6"/>
        <v>100543161.59999999</v>
      </c>
    </row>
    <row r="82" spans="1:11">
      <c r="A82" s="151" t="s">
        <v>4133</v>
      </c>
      <c r="B82" s="152">
        <v>72</v>
      </c>
      <c r="C82" s="153" t="s">
        <v>4205</v>
      </c>
      <c r="D82" s="159" t="s">
        <v>2167</v>
      </c>
      <c r="E82" s="155">
        <f t="shared" si="5"/>
        <v>46000</v>
      </c>
      <c r="F82" s="155">
        <v>332</v>
      </c>
      <c r="G82" s="156">
        <v>16</v>
      </c>
      <c r="H82" s="157">
        <f t="shared" si="7"/>
        <v>244352000</v>
      </c>
      <c r="I82" s="156">
        <f t="shared" si="8"/>
        <v>4674560.0000000009</v>
      </c>
      <c r="J82" s="156">
        <f t="shared" si="9"/>
        <v>38460233.200000003</v>
      </c>
      <c r="K82" s="158">
        <f t="shared" si="6"/>
        <v>287486793.19999999</v>
      </c>
    </row>
    <row r="83" spans="1:11">
      <c r="A83" s="151" t="s">
        <v>4133</v>
      </c>
      <c r="B83" s="152">
        <v>73</v>
      </c>
      <c r="C83" s="153" t="s">
        <v>4206</v>
      </c>
      <c r="D83" s="159" t="s">
        <v>2167</v>
      </c>
      <c r="E83" s="155">
        <f t="shared" si="5"/>
        <v>46000</v>
      </c>
      <c r="F83" s="155">
        <v>49</v>
      </c>
      <c r="G83" s="156">
        <v>16</v>
      </c>
      <c r="H83" s="157">
        <f t="shared" si="7"/>
        <v>36064000</v>
      </c>
      <c r="I83" s="156">
        <f t="shared" si="8"/>
        <v>689920.00000000012</v>
      </c>
      <c r="J83" s="156">
        <f t="shared" si="9"/>
        <v>38460233.200000003</v>
      </c>
      <c r="K83" s="158">
        <f t="shared" si="6"/>
        <v>75214153.200000003</v>
      </c>
    </row>
    <row r="84" spans="1:11">
      <c r="A84" s="151" t="s">
        <v>4133</v>
      </c>
      <c r="B84" s="152">
        <v>74</v>
      </c>
      <c r="C84" s="153" t="s">
        <v>4207</v>
      </c>
      <c r="D84" s="159" t="s">
        <v>2167</v>
      </c>
      <c r="E84" s="155">
        <f t="shared" si="5"/>
        <v>46000</v>
      </c>
      <c r="F84" s="155">
        <v>49</v>
      </c>
      <c r="G84" s="156">
        <v>16</v>
      </c>
      <c r="H84" s="157">
        <f t="shared" si="7"/>
        <v>36064000</v>
      </c>
      <c r="I84" s="156">
        <f t="shared" si="8"/>
        <v>689920.00000000012</v>
      </c>
      <c r="J84" s="156">
        <f t="shared" si="9"/>
        <v>38460233.200000003</v>
      </c>
      <c r="K84" s="158">
        <f t="shared" si="6"/>
        <v>75214153.200000003</v>
      </c>
    </row>
    <row r="85" spans="1:11">
      <c r="A85" s="151" t="s">
        <v>4133</v>
      </c>
      <c r="B85" s="152">
        <v>75</v>
      </c>
      <c r="C85" s="153" t="s">
        <v>4208</v>
      </c>
      <c r="D85" s="159" t="s">
        <v>2245</v>
      </c>
      <c r="E85" s="155">
        <f t="shared" si="5"/>
        <v>46000</v>
      </c>
      <c r="F85" s="155">
        <v>140</v>
      </c>
      <c r="G85" s="156">
        <v>16</v>
      </c>
      <c r="H85" s="157">
        <f t="shared" si="7"/>
        <v>103040000</v>
      </c>
      <c r="I85" s="156">
        <f t="shared" si="8"/>
        <v>1971200.0000000002</v>
      </c>
      <c r="J85" s="156">
        <f t="shared" si="9"/>
        <v>38460233.200000003</v>
      </c>
      <c r="K85" s="158">
        <f t="shared" si="6"/>
        <v>143471433.19999999</v>
      </c>
    </row>
    <row r="86" spans="1:11">
      <c r="A86" s="151" t="s">
        <v>4133</v>
      </c>
      <c r="B86" s="152">
        <v>76</v>
      </c>
      <c r="C86" s="153" t="s">
        <v>4209</v>
      </c>
      <c r="D86" s="159" t="s">
        <v>2245</v>
      </c>
      <c r="E86" s="155">
        <f t="shared" si="5"/>
        <v>46000</v>
      </c>
      <c r="F86" s="155">
        <v>126</v>
      </c>
      <c r="G86" s="156">
        <v>16</v>
      </c>
      <c r="H86" s="157">
        <f t="shared" si="7"/>
        <v>92736000</v>
      </c>
      <c r="I86" s="156">
        <f t="shared" si="8"/>
        <v>1774080.0000000002</v>
      </c>
      <c r="J86" s="156">
        <f t="shared" si="9"/>
        <v>38460233.200000003</v>
      </c>
      <c r="K86" s="158">
        <f t="shared" si="6"/>
        <v>132970313.2</v>
      </c>
    </row>
    <row r="87" spans="1:11">
      <c r="A87" s="151" t="s">
        <v>4133</v>
      </c>
      <c r="B87" s="152">
        <v>77</v>
      </c>
      <c r="C87" s="153" t="s">
        <v>4210</v>
      </c>
      <c r="D87" s="159" t="s">
        <v>2245</v>
      </c>
      <c r="E87" s="155">
        <f t="shared" si="5"/>
        <v>46000</v>
      </c>
      <c r="F87" s="155">
        <v>234</v>
      </c>
      <c r="G87" s="156">
        <v>16</v>
      </c>
      <c r="H87" s="157">
        <f t="shared" si="7"/>
        <v>172224000</v>
      </c>
      <c r="I87" s="156">
        <f t="shared" si="8"/>
        <v>3294720.0000000005</v>
      </c>
      <c r="J87" s="156">
        <f t="shared" si="9"/>
        <v>38460233.200000003</v>
      </c>
      <c r="K87" s="158">
        <f t="shared" si="6"/>
        <v>213978953.19999999</v>
      </c>
    </row>
    <row r="88" spans="1:11">
      <c r="A88" s="151" t="s">
        <v>4133</v>
      </c>
      <c r="B88" s="152">
        <v>78</v>
      </c>
      <c r="C88" s="153" t="s">
        <v>4211</v>
      </c>
      <c r="D88" s="159" t="s">
        <v>2167</v>
      </c>
      <c r="E88" s="155">
        <f t="shared" si="5"/>
        <v>46000</v>
      </c>
      <c r="F88" s="155">
        <v>90</v>
      </c>
      <c r="G88" s="156">
        <v>16</v>
      </c>
      <c r="H88" s="157">
        <f t="shared" si="7"/>
        <v>66240000</v>
      </c>
      <c r="I88" s="156">
        <f t="shared" si="8"/>
        <v>1267200.0000000002</v>
      </c>
      <c r="J88" s="156">
        <f t="shared" si="9"/>
        <v>38460233.200000003</v>
      </c>
      <c r="K88" s="158">
        <f t="shared" si="6"/>
        <v>105967433.2</v>
      </c>
    </row>
    <row r="89" spans="1:11">
      <c r="A89" s="151" t="s">
        <v>4133</v>
      </c>
      <c r="B89" s="152">
        <v>79</v>
      </c>
      <c r="C89" s="153" t="s">
        <v>4212</v>
      </c>
      <c r="D89" s="159" t="s">
        <v>2134</v>
      </c>
      <c r="E89" s="155">
        <f t="shared" si="5"/>
        <v>21000</v>
      </c>
      <c r="F89" s="155">
        <v>144</v>
      </c>
      <c r="G89" s="156">
        <v>16</v>
      </c>
      <c r="H89" s="157">
        <f t="shared" si="7"/>
        <v>48384000</v>
      </c>
      <c r="I89" s="156">
        <f t="shared" si="8"/>
        <v>2027520.0000000002</v>
      </c>
      <c r="J89" s="156">
        <f t="shared" si="9"/>
        <v>2870841.6</v>
      </c>
      <c r="K89" s="158">
        <f t="shared" si="6"/>
        <v>53282361.600000001</v>
      </c>
    </row>
    <row r="90" spans="1:11">
      <c r="A90" s="151" t="s">
        <v>4133</v>
      </c>
      <c r="B90" s="152">
        <v>80</v>
      </c>
      <c r="C90" s="153" t="s">
        <v>4213</v>
      </c>
      <c r="D90" s="159" t="s">
        <v>2245</v>
      </c>
      <c r="E90" s="155">
        <f t="shared" si="5"/>
        <v>46000</v>
      </c>
      <c r="F90" s="155">
        <v>245</v>
      </c>
      <c r="G90" s="156">
        <v>16</v>
      </c>
      <c r="H90" s="157">
        <f t="shared" si="7"/>
        <v>180320000</v>
      </c>
      <c r="I90" s="156">
        <f t="shared" si="8"/>
        <v>3449600.0000000005</v>
      </c>
      <c r="J90" s="156">
        <f t="shared" si="9"/>
        <v>38460233.200000003</v>
      </c>
      <c r="K90" s="158">
        <f t="shared" si="6"/>
        <v>222229833.19999999</v>
      </c>
    </row>
    <row r="91" spans="1:11">
      <c r="A91" s="151" t="s">
        <v>4133</v>
      </c>
      <c r="B91" s="152">
        <v>81</v>
      </c>
      <c r="C91" s="153" t="s">
        <v>4214</v>
      </c>
      <c r="D91" s="159" t="s">
        <v>2245</v>
      </c>
      <c r="E91" s="155">
        <f t="shared" si="5"/>
        <v>46000</v>
      </c>
      <c r="F91" s="155">
        <v>346</v>
      </c>
      <c r="G91" s="156">
        <v>16</v>
      </c>
      <c r="H91" s="157">
        <f t="shared" si="7"/>
        <v>254656000</v>
      </c>
      <c r="I91" s="156">
        <f t="shared" si="8"/>
        <v>4871680.0000000009</v>
      </c>
      <c r="J91" s="156">
        <f t="shared" si="9"/>
        <v>38460233.200000003</v>
      </c>
      <c r="K91" s="158">
        <f t="shared" si="6"/>
        <v>297987913.19999999</v>
      </c>
    </row>
    <row r="92" spans="1:11">
      <c r="A92" s="151" t="s">
        <v>4133</v>
      </c>
      <c r="B92" s="152">
        <v>82</v>
      </c>
      <c r="C92" s="153" t="s">
        <v>4215</v>
      </c>
      <c r="D92" s="159" t="s">
        <v>2167</v>
      </c>
      <c r="E92" s="155">
        <f t="shared" si="5"/>
        <v>46000</v>
      </c>
      <c r="F92" s="155">
        <v>65</v>
      </c>
      <c r="G92" s="156">
        <v>16</v>
      </c>
      <c r="H92" s="157">
        <f t="shared" si="7"/>
        <v>47840000</v>
      </c>
      <c r="I92" s="156">
        <f t="shared" si="8"/>
        <v>915200.00000000012</v>
      </c>
      <c r="J92" s="156">
        <f t="shared" si="9"/>
        <v>38460233.200000003</v>
      </c>
      <c r="K92" s="158">
        <f t="shared" si="6"/>
        <v>87215433.200000003</v>
      </c>
    </row>
    <row r="93" spans="1:11">
      <c r="A93" s="151" t="s">
        <v>4133</v>
      </c>
      <c r="B93" s="152">
        <v>83</v>
      </c>
      <c r="C93" s="153" t="s">
        <v>4216</v>
      </c>
      <c r="D93" s="159" t="s">
        <v>2167</v>
      </c>
      <c r="E93" s="155">
        <f t="shared" si="5"/>
        <v>46000</v>
      </c>
      <c r="F93" s="155">
        <v>152</v>
      </c>
      <c r="G93" s="156">
        <v>16</v>
      </c>
      <c r="H93" s="157">
        <f t="shared" si="7"/>
        <v>111872000</v>
      </c>
      <c r="I93" s="156">
        <f t="shared" si="8"/>
        <v>2140160.0000000005</v>
      </c>
      <c r="J93" s="156">
        <f t="shared" si="9"/>
        <v>38460233.200000003</v>
      </c>
      <c r="K93" s="158">
        <f t="shared" si="6"/>
        <v>152472393.19999999</v>
      </c>
    </row>
    <row r="94" spans="1:11">
      <c r="A94" s="151" t="s">
        <v>4133</v>
      </c>
      <c r="B94" s="152">
        <v>84</v>
      </c>
      <c r="C94" s="153" t="s">
        <v>4217</v>
      </c>
      <c r="D94" s="159" t="s">
        <v>2167</v>
      </c>
      <c r="E94" s="155">
        <f t="shared" si="5"/>
        <v>46000</v>
      </c>
      <c r="F94" s="155">
        <v>53</v>
      </c>
      <c r="G94" s="156">
        <v>16</v>
      </c>
      <c r="H94" s="157">
        <f t="shared" si="7"/>
        <v>39008000</v>
      </c>
      <c r="I94" s="156">
        <f t="shared" si="8"/>
        <v>746240.00000000012</v>
      </c>
      <c r="J94" s="156">
        <f t="shared" si="9"/>
        <v>38460233.200000003</v>
      </c>
      <c r="K94" s="158">
        <f t="shared" si="6"/>
        <v>78214473.200000003</v>
      </c>
    </row>
    <row r="95" spans="1:11">
      <c r="A95" s="151" t="s">
        <v>4133</v>
      </c>
      <c r="B95" s="152">
        <v>85</v>
      </c>
      <c r="C95" s="153" t="s">
        <v>4218</v>
      </c>
      <c r="D95" s="159" t="s">
        <v>2167</v>
      </c>
      <c r="E95" s="155">
        <f t="shared" si="5"/>
        <v>46000</v>
      </c>
      <c r="F95" s="155">
        <v>123</v>
      </c>
      <c r="G95" s="156">
        <v>16</v>
      </c>
      <c r="H95" s="157">
        <f t="shared" si="7"/>
        <v>90528000</v>
      </c>
      <c r="I95" s="156">
        <f t="shared" si="8"/>
        <v>1731840.0000000002</v>
      </c>
      <c r="J95" s="156">
        <f t="shared" si="9"/>
        <v>38460233.200000003</v>
      </c>
      <c r="K95" s="158">
        <f t="shared" si="6"/>
        <v>130720073.2</v>
      </c>
    </row>
    <row r="96" spans="1:11">
      <c r="A96" s="151" t="s">
        <v>4133</v>
      </c>
      <c r="B96" s="152">
        <v>86</v>
      </c>
      <c r="C96" s="153" t="s">
        <v>4219</v>
      </c>
      <c r="D96" s="159" t="s">
        <v>2167</v>
      </c>
      <c r="E96" s="155">
        <f t="shared" si="5"/>
        <v>46000</v>
      </c>
      <c r="F96" s="155">
        <v>278</v>
      </c>
      <c r="G96" s="156">
        <v>16</v>
      </c>
      <c r="H96" s="157">
        <f t="shared" si="7"/>
        <v>204608000</v>
      </c>
      <c r="I96" s="156">
        <f t="shared" si="8"/>
        <v>3914240.0000000005</v>
      </c>
      <c r="J96" s="156">
        <f t="shared" si="9"/>
        <v>38460233.200000003</v>
      </c>
      <c r="K96" s="158">
        <f t="shared" si="6"/>
        <v>246982473.19999999</v>
      </c>
    </row>
    <row r="97" spans="1:11">
      <c r="A97" s="151" t="s">
        <v>4133</v>
      </c>
      <c r="B97" s="152">
        <v>87</v>
      </c>
      <c r="C97" s="153" t="s">
        <v>4220</v>
      </c>
      <c r="D97" s="159" t="s">
        <v>2167</v>
      </c>
      <c r="E97" s="155">
        <f t="shared" si="5"/>
        <v>46000</v>
      </c>
      <c r="F97" s="155">
        <v>254</v>
      </c>
      <c r="G97" s="156">
        <v>16</v>
      </c>
      <c r="H97" s="157">
        <f t="shared" si="7"/>
        <v>186944000</v>
      </c>
      <c r="I97" s="156">
        <f t="shared" si="8"/>
        <v>3576320.0000000005</v>
      </c>
      <c r="J97" s="156">
        <f t="shared" si="9"/>
        <v>38460233.200000003</v>
      </c>
      <c r="K97" s="158">
        <f t="shared" si="6"/>
        <v>228980553.19999999</v>
      </c>
    </row>
    <row r="98" spans="1:11">
      <c r="A98" s="151" t="s">
        <v>4133</v>
      </c>
      <c r="B98" s="152">
        <v>88</v>
      </c>
      <c r="C98" s="153" t="s">
        <v>4221</v>
      </c>
      <c r="D98" s="159" t="s">
        <v>2167</v>
      </c>
      <c r="E98" s="155">
        <f t="shared" si="5"/>
        <v>46000</v>
      </c>
      <c r="F98" s="155">
        <v>87</v>
      </c>
      <c r="G98" s="156">
        <v>16</v>
      </c>
      <c r="H98" s="157">
        <f t="shared" si="7"/>
        <v>64032000</v>
      </c>
      <c r="I98" s="156">
        <f t="shared" si="8"/>
        <v>1224960.0000000002</v>
      </c>
      <c r="J98" s="156">
        <f t="shared" si="9"/>
        <v>38460233.200000003</v>
      </c>
      <c r="K98" s="158">
        <f t="shared" si="6"/>
        <v>103717193.2</v>
      </c>
    </row>
    <row r="99" spans="1:11">
      <c r="A99" s="151" t="s">
        <v>4133</v>
      </c>
      <c r="B99" s="152">
        <v>89</v>
      </c>
      <c r="C99" s="153" t="s">
        <v>4222</v>
      </c>
      <c r="D99" s="159" t="s">
        <v>2167</v>
      </c>
      <c r="E99" s="155">
        <f t="shared" si="5"/>
        <v>46000</v>
      </c>
      <c r="F99" s="155">
        <v>87</v>
      </c>
      <c r="G99" s="156">
        <v>16</v>
      </c>
      <c r="H99" s="157">
        <f t="shared" si="7"/>
        <v>64032000</v>
      </c>
      <c r="I99" s="156">
        <f t="shared" si="8"/>
        <v>1224960.0000000002</v>
      </c>
      <c r="J99" s="156">
        <f t="shared" si="9"/>
        <v>38460233.200000003</v>
      </c>
      <c r="K99" s="158">
        <f t="shared" si="6"/>
        <v>103717193.2</v>
      </c>
    </row>
    <row r="100" spans="1:11">
      <c r="A100" s="151" t="s">
        <v>4133</v>
      </c>
      <c r="B100" s="152">
        <v>90</v>
      </c>
      <c r="C100" s="153" t="s">
        <v>4223</v>
      </c>
      <c r="D100" s="159" t="s">
        <v>2245</v>
      </c>
      <c r="E100" s="155">
        <f t="shared" si="5"/>
        <v>46000</v>
      </c>
      <c r="F100" s="155">
        <v>116</v>
      </c>
      <c r="G100" s="156">
        <v>16</v>
      </c>
      <c r="H100" s="157">
        <f t="shared" si="7"/>
        <v>85376000</v>
      </c>
      <c r="I100" s="156">
        <f t="shared" si="8"/>
        <v>1633280.0000000002</v>
      </c>
      <c r="J100" s="156">
        <f t="shared" si="9"/>
        <v>38460233.200000003</v>
      </c>
      <c r="K100" s="158">
        <f t="shared" si="6"/>
        <v>125469513.2</v>
      </c>
    </row>
    <row r="101" spans="1:11">
      <c r="A101" s="151" t="s">
        <v>4133</v>
      </c>
      <c r="B101" s="152">
        <v>91</v>
      </c>
      <c r="C101" s="153" t="s">
        <v>4224</v>
      </c>
      <c r="D101" s="159" t="s">
        <v>2245</v>
      </c>
      <c r="E101" s="155">
        <f t="shared" si="5"/>
        <v>46000</v>
      </c>
      <c r="F101" s="155">
        <v>144</v>
      </c>
      <c r="G101" s="156">
        <v>16</v>
      </c>
      <c r="H101" s="157">
        <f t="shared" si="7"/>
        <v>105984000</v>
      </c>
      <c r="I101" s="156">
        <f t="shared" si="8"/>
        <v>2027520.0000000002</v>
      </c>
      <c r="J101" s="156">
        <f t="shared" si="9"/>
        <v>38460233.200000003</v>
      </c>
      <c r="K101" s="158">
        <f t="shared" si="6"/>
        <v>146471753.19999999</v>
      </c>
    </row>
    <row r="102" spans="1:11">
      <c r="A102" s="151" t="s">
        <v>4133</v>
      </c>
      <c r="B102" s="152">
        <v>92</v>
      </c>
      <c r="C102" s="153" t="s">
        <v>4225</v>
      </c>
      <c r="D102" s="159" t="s">
        <v>2167</v>
      </c>
      <c r="E102" s="155">
        <f t="shared" si="5"/>
        <v>46000</v>
      </c>
      <c r="F102" s="155">
        <v>110</v>
      </c>
      <c r="G102" s="156">
        <v>16</v>
      </c>
      <c r="H102" s="157">
        <f t="shared" si="7"/>
        <v>80960000</v>
      </c>
      <c r="I102" s="156">
        <f t="shared" si="8"/>
        <v>1548800.0000000002</v>
      </c>
      <c r="J102" s="156">
        <f t="shared" si="9"/>
        <v>38460233.200000003</v>
      </c>
      <c r="K102" s="158">
        <f t="shared" si="6"/>
        <v>120969033.2</v>
      </c>
    </row>
    <row r="103" spans="1:11">
      <c r="A103" s="151" t="s">
        <v>4133</v>
      </c>
      <c r="B103" s="152">
        <v>93</v>
      </c>
      <c r="C103" s="153" t="s">
        <v>4226</v>
      </c>
      <c r="D103" s="159" t="s">
        <v>2167</v>
      </c>
      <c r="E103" s="155">
        <f t="shared" si="5"/>
        <v>46000</v>
      </c>
      <c r="F103" s="155">
        <v>52</v>
      </c>
      <c r="G103" s="156">
        <v>16</v>
      </c>
      <c r="H103" s="157">
        <f t="shared" si="7"/>
        <v>38272000</v>
      </c>
      <c r="I103" s="156">
        <f t="shared" si="8"/>
        <v>732160.00000000012</v>
      </c>
      <c r="J103" s="156">
        <f t="shared" si="9"/>
        <v>38460233.200000003</v>
      </c>
      <c r="K103" s="158">
        <f t="shared" si="6"/>
        <v>77464393.200000003</v>
      </c>
    </row>
    <row r="104" spans="1:11">
      <c r="A104" s="151" t="s">
        <v>4133</v>
      </c>
      <c r="B104" s="152">
        <v>94</v>
      </c>
      <c r="C104" s="153" t="s">
        <v>4227</v>
      </c>
      <c r="D104" s="159" t="s">
        <v>2167</v>
      </c>
      <c r="E104" s="155">
        <f t="shared" si="5"/>
        <v>46000</v>
      </c>
      <c r="F104" s="155">
        <v>162</v>
      </c>
      <c r="G104" s="156">
        <v>16</v>
      </c>
      <c r="H104" s="157">
        <f t="shared" si="7"/>
        <v>119232000</v>
      </c>
      <c r="I104" s="156">
        <f t="shared" si="8"/>
        <v>2280960.0000000005</v>
      </c>
      <c r="J104" s="156">
        <f t="shared" si="9"/>
        <v>38460233.200000003</v>
      </c>
      <c r="K104" s="158">
        <f t="shared" si="6"/>
        <v>159973193.19999999</v>
      </c>
    </row>
    <row r="105" spans="1:11">
      <c r="A105" s="151" t="s">
        <v>4133</v>
      </c>
      <c r="B105" s="152">
        <v>95</v>
      </c>
      <c r="C105" s="153" t="s">
        <v>4228</v>
      </c>
      <c r="D105" s="159" t="s">
        <v>2167</v>
      </c>
      <c r="E105" s="155">
        <f t="shared" si="5"/>
        <v>46000</v>
      </c>
      <c r="F105" s="155">
        <v>90</v>
      </c>
      <c r="G105" s="156">
        <v>16</v>
      </c>
      <c r="H105" s="157">
        <f t="shared" si="7"/>
        <v>66240000</v>
      </c>
      <c r="I105" s="156">
        <f t="shared" si="8"/>
        <v>1267200.0000000002</v>
      </c>
      <c r="J105" s="156">
        <f t="shared" si="9"/>
        <v>38460233.200000003</v>
      </c>
      <c r="K105" s="158">
        <f t="shared" si="6"/>
        <v>105967433.2</v>
      </c>
    </row>
    <row r="106" spans="1:11" ht="15.5" thickBot="1">
      <c r="A106" s="160" t="s">
        <v>4133</v>
      </c>
      <c r="B106" s="152">
        <v>96</v>
      </c>
      <c r="C106" s="161" t="s">
        <v>4229</v>
      </c>
      <c r="D106" s="162" t="s">
        <v>2182</v>
      </c>
      <c r="E106" s="163">
        <f t="shared" si="5"/>
        <v>21000</v>
      </c>
      <c r="F106" s="163">
        <v>120</v>
      </c>
      <c r="G106" s="164">
        <v>16</v>
      </c>
      <c r="H106" s="165">
        <f t="shared" si="7"/>
        <v>40320000</v>
      </c>
      <c r="I106" s="164">
        <f t="shared" si="8"/>
        <v>1689600.0000000002</v>
      </c>
      <c r="J106" s="164">
        <f t="shared" si="9"/>
        <v>2870841.6</v>
      </c>
      <c r="K106" s="166">
        <f t="shared" si="6"/>
        <v>44880441.600000001</v>
      </c>
    </row>
    <row r="107" spans="1:11" ht="15.5" thickTop="1">
      <c r="A107" s="6643" t="s">
        <v>127</v>
      </c>
      <c r="B107" s="6644"/>
      <c r="C107" s="6644"/>
      <c r="D107" s="6644"/>
      <c r="E107" s="6644"/>
      <c r="F107" s="6644"/>
      <c r="G107" s="6645"/>
      <c r="H107" s="167">
        <f>SUM(H11:H106)</f>
        <v>9699536000</v>
      </c>
      <c r="I107" s="167">
        <f>SUM(I11:I106)</f>
        <v>212270080.00000003</v>
      </c>
      <c r="J107" s="167">
        <f>SUM(J11:J106)</f>
        <v>2909215771.9999967</v>
      </c>
      <c r="K107" s="168">
        <f>SUM(K11:K106)</f>
        <v>12821021852.000017</v>
      </c>
    </row>
    <row r="108" spans="1:11">
      <c r="A108" s="6646" t="s">
        <v>4230</v>
      </c>
      <c r="B108" s="6647"/>
      <c r="C108" s="6647"/>
      <c r="D108" s="6647"/>
      <c r="E108" s="6647"/>
      <c r="F108" s="6647"/>
      <c r="G108" s="6647"/>
      <c r="H108" s="6647"/>
      <c r="I108" s="6647"/>
      <c r="J108" s="6648"/>
      <c r="K108" s="169">
        <f>+ROUNDUP(K107/1000,0)</f>
        <v>12821022</v>
      </c>
    </row>
    <row r="109" spans="1:11" ht="15.5" thickBot="1">
      <c r="A109" s="6649" t="s">
        <v>4231</v>
      </c>
      <c r="B109" s="6650"/>
      <c r="C109" s="6650"/>
      <c r="D109" s="6650"/>
      <c r="E109" s="6650"/>
      <c r="F109" s="6650"/>
      <c r="G109" s="6650"/>
      <c r="H109" s="6650"/>
      <c r="I109" s="6650"/>
      <c r="J109" s="6651"/>
      <c r="K109" s="170">
        <f>ROUNDUP(K108/SUM(F11:F106)/16,1)</f>
        <v>53.2</v>
      </c>
    </row>
    <row r="110" spans="1:11" ht="16" thickTop="1" thickBot="1">
      <c r="A110" s="6619" t="s">
        <v>4232</v>
      </c>
      <c r="B110" s="6620"/>
      <c r="C110" s="6620"/>
      <c r="D110" s="6620"/>
      <c r="E110" s="6620"/>
      <c r="F110" s="6620"/>
      <c r="G110" s="6620"/>
      <c r="H110" s="6620"/>
      <c r="I110" s="6620"/>
      <c r="J110" s="6621"/>
      <c r="K110" s="171">
        <f>+K109*16*12000*1.1</f>
        <v>11235840</v>
      </c>
    </row>
    <row r="111" spans="1:11" ht="9.65" customHeight="1" thickTop="1" thickBot="1">
      <c r="I111"/>
      <c r="J111"/>
      <c r="K111"/>
    </row>
    <row r="112" spans="1:11" ht="26">
      <c r="E112" s="117"/>
      <c r="H112" s="6652" t="s">
        <v>4233</v>
      </c>
      <c r="I112" s="6653"/>
      <c r="J112" s="6653"/>
      <c r="K112" s="172" t="s">
        <v>4234</v>
      </c>
    </row>
    <row r="113" spans="1:11" ht="22" customHeight="1">
      <c r="A113" s="173"/>
      <c r="D113" s="174">
        <v>11235840</v>
      </c>
      <c r="E113" s="174">
        <v>8321010</v>
      </c>
      <c r="F113" s="116"/>
      <c r="H113" s="6654" t="s">
        <v>4235</v>
      </c>
      <c r="I113" s="6655"/>
      <c r="J113" s="6655"/>
      <c r="K113" s="175">
        <v>2378796</v>
      </c>
    </row>
    <row r="114" spans="1:11" ht="22" customHeight="1">
      <c r="A114" s="173"/>
      <c r="D114" s="174">
        <v>3491400.0000000005</v>
      </c>
      <c r="E114" s="174">
        <v>2585407.0000000005</v>
      </c>
      <c r="F114" s="116"/>
      <c r="H114" s="6654" t="s">
        <v>4236</v>
      </c>
      <c r="I114" s="6655"/>
      <c r="J114" s="6655"/>
      <c r="K114" s="175">
        <v>498467</v>
      </c>
    </row>
    <row r="115" spans="1:11" ht="22" customHeight="1" thickBot="1">
      <c r="A115" s="176"/>
      <c r="B115" s="176"/>
      <c r="C115" s="177"/>
      <c r="D115" s="174">
        <f>SUM(D113:D114)</f>
        <v>14727240</v>
      </c>
      <c r="E115" s="178">
        <f>E113+E114</f>
        <v>10906417</v>
      </c>
      <c r="H115" s="6656" t="s">
        <v>4237</v>
      </c>
      <c r="I115" s="6657"/>
      <c r="J115" s="6657"/>
      <c r="K115" s="179">
        <v>37567</v>
      </c>
    </row>
    <row r="116" spans="1:11" ht="22" customHeight="1" thickTop="1" thickBot="1">
      <c r="B116" s="176"/>
      <c r="C116" s="177"/>
      <c r="H116" s="6658" t="s">
        <v>4238</v>
      </c>
      <c r="I116" s="6659"/>
      <c r="J116" s="6659"/>
      <c r="K116" s="180">
        <f>+K110-K114-K113-K115</f>
        <v>8321010</v>
      </c>
    </row>
    <row r="117" spans="1:11" ht="15.5" thickTop="1">
      <c r="B117" s="176"/>
      <c r="C117" s="177"/>
      <c r="I117"/>
      <c r="J117"/>
      <c r="K117"/>
    </row>
    <row r="118" spans="1:11">
      <c r="B118" s="176"/>
      <c r="C118" s="177"/>
      <c r="I118"/>
      <c r="J118"/>
      <c r="K118"/>
    </row>
    <row r="119" spans="1:11">
      <c r="A119" s="173"/>
      <c r="B119" s="176"/>
      <c r="C119" s="177"/>
      <c r="I119"/>
      <c r="J119"/>
      <c r="K119"/>
    </row>
    <row r="120" spans="1:11">
      <c r="A120" s="173"/>
      <c r="B120" s="176"/>
      <c r="C120" s="177"/>
      <c r="I120"/>
      <c r="J120"/>
      <c r="K120"/>
    </row>
    <row r="121" spans="1:11">
      <c r="A121" s="173"/>
      <c r="B121" s="176"/>
      <c r="C121" s="177"/>
      <c r="I121"/>
      <c r="J121"/>
      <c r="K121"/>
    </row>
    <row r="122" spans="1:11">
      <c r="A122" s="173"/>
      <c r="B122" s="181"/>
      <c r="C122" s="182"/>
      <c r="I122"/>
      <c r="J122"/>
      <c r="K122"/>
    </row>
    <row r="123" spans="1:11">
      <c r="A123" s="173"/>
      <c r="I123"/>
      <c r="J123"/>
      <c r="K123"/>
    </row>
    <row r="124" spans="1:11">
      <c r="A124" s="173"/>
      <c r="I124"/>
      <c r="J124"/>
      <c r="K124"/>
    </row>
    <row r="125" spans="1:11">
      <c r="A125" s="173"/>
      <c r="I125"/>
      <c r="J125"/>
      <c r="K125"/>
    </row>
    <row r="126" spans="1:11">
      <c r="A126" s="173"/>
      <c r="I126"/>
      <c r="J126"/>
      <c r="K126"/>
    </row>
    <row r="127" spans="1:11">
      <c r="I127"/>
      <c r="J127"/>
      <c r="K127"/>
    </row>
    <row r="128" spans="1:11">
      <c r="I128"/>
      <c r="J128"/>
      <c r="K128"/>
    </row>
    <row r="129" spans="9:11">
      <c r="I129"/>
      <c r="J129"/>
      <c r="K129"/>
    </row>
    <row r="130" spans="9:11">
      <c r="I130"/>
      <c r="J130"/>
      <c r="K130"/>
    </row>
    <row r="131" spans="9:11">
      <c r="I131"/>
      <c r="J131"/>
      <c r="K131"/>
    </row>
    <row r="132" spans="9:11">
      <c r="I132"/>
      <c r="J132"/>
      <c r="K132"/>
    </row>
    <row r="133" spans="9:11">
      <c r="I133"/>
      <c r="J133"/>
      <c r="K133"/>
    </row>
    <row r="134" spans="9:11">
      <c r="I134"/>
      <c r="J134"/>
      <c r="K134"/>
    </row>
    <row r="135" spans="9:11">
      <c r="I135"/>
      <c r="J135"/>
      <c r="K135"/>
    </row>
    <row r="136" spans="9:11">
      <c r="I136"/>
      <c r="J136"/>
      <c r="K136"/>
    </row>
    <row r="137" spans="9:11">
      <c r="I137"/>
      <c r="J137"/>
      <c r="K137"/>
    </row>
    <row r="138" spans="9:11">
      <c r="I138"/>
      <c r="J138"/>
      <c r="K138"/>
    </row>
    <row r="139" spans="9:11">
      <c r="I139"/>
      <c r="J139"/>
      <c r="K139"/>
    </row>
    <row r="140" spans="9:11">
      <c r="I140"/>
      <c r="J140"/>
      <c r="K140"/>
    </row>
    <row r="141" spans="9:11">
      <c r="I141"/>
      <c r="J141"/>
      <c r="K141"/>
    </row>
    <row r="142" spans="9:11">
      <c r="I142"/>
      <c r="J142"/>
      <c r="K142"/>
    </row>
    <row r="143" spans="9:11">
      <c r="I143"/>
      <c r="J143"/>
      <c r="K143"/>
    </row>
    <row r="144" spans="9:11">
      <c r="I144"/>
      <c r="J144"/>
      <c r="K144"/>
    </row>
    <row r="145" spans="9:11">
      <c r="I145"/>
      <c r="J145"/>
      <c r="K145"/>
    </row>
    <row r="146" spans="9:11">
      <c r="I146"/>
      <c r="J146"/>
      <c r="K146"/>
    </row>
    <row r="147" spans="9:11">
      <c r="I147"/>
      <c r="J147"/>
      <c r="K147"/>
    </row>
    <row r="148" spans="9:11">
      <c r="I148"/>
      <c r="J148"/>
      <c r="K148"/>
    </row>
    <row r="149" spans="9:11">
      <c r="I149"/>
      <c r="J149"/>
      <c r="K149"/>
    </row>
    <row r="150" spans="9:11">
      <c r="I150"/>
      <c r="J150"/>
      <c r="K150"/>
    </row>
    <row r="151" spans="9:11">
      <c r="I151"/>
      <c r="J151"/>
      <c r="K151"/>
    </row>
    <row r="152" spans="9:11">
      <c r="I152"/>
      <c r="J152"/>
      <c r="K152"/>
    </row>
    <row r="153" spans="9:11">
      <c r="I153"/>
      <c r="J153"/>
      <c r="K153"/>
    </row>
    <row r="154" spans="9:11">
      <c r="I154"/>
      <c r="J154"/>
      <c r="K154"/>
    </row>
    <row r="155" spans="9:11">
      <c r="I155"/>
      <c r="J155"/>
      <c r="K155"/>
    </row>
    <row r="156" spans="9:11">
      <c r="I156"/>
      <c r="J156"/>
      <c r="K156"/>
    </row>
    <row r="157" spans="9:11">
      <c r="I157"/>
      <c r="J157"/>
      <c r="K157"/>
    </row>
    <row r="158" spans="9:11">
      <c r="I158"/>
      <c r="J158"/>
      <c r="K158"/>
    </row>
    <row r="159" spans="9:11">
      <c r="I159"/>
      <c r="J159"/>
      <c r="K159"/>
    </row>
    <row r="160" spans="9:11">
      <c r="I160"/>
      <c r="J160"/>
      <c r="K160"/>
    </row>
    <row r="161" spans="9:11">
      <c r="I161"/>
      <c r="J161"/>
      <c r="K161"/>
    </row>
    <row r="162" spans="9:11">
      <c r="I162"/>
      <c r="J162"/>
      <c r="K162"/>
    </row>
    <row r="163" spans="9:11">
      <c r="I163"/>
      <c r="J163"/>
      <c r="K163"/>
    </row>
    <row r="164" spans="9:11">
      <c r="I164"/>
      <c r="J164"/>
      <c r="K164"/>
    </row>
    <row r="165" spans="9:11">
      <c r="I165"/>
      <c r="J165"/>
      <c r="K165"/>
    </row>
    <row r="166" spans="9:11">
      <c r="I166"/>
      <c r="J166"/>
      <c r="K166"/>
    </row>
    <row r="167" spans="9:11">
      <c r="I167"/>
      <c r="J167"/>
      <c r="K167"/>
    </row>
    <row r="168" spans="9:11">
      <c r="I168"/>
      <c r="J168"/>
      <c r="K168"/>
    </row>
    <row r="169" spans="9:11">
      <c r="I169"/>
      <c r="J169"/>
      <c r="K169"/>
    </row>
    <row r="170" spans="9:11">
      <c r="I170"/>
      <c r="J170"/>
      <c r="K170"/>
    </row>
    <row r="171" spans="9:11">
      <c r="I171"/>
      <c r="J171"/>
      <c r="K171"/>
    </row>
    <row r="172" spans="9:11">
      <c r="I172"/>
      <c r="J172"/>
      <c r="K172"/>
    </row>
    <row r="173" spans="9:11">
      <c r="I173"/>
      <c r="J173"/>
      <c r="K173"/>
    </row>
    <row r="174" spans="9:11">
      <c r="I174"/>
      <c r="J174"/>
      <c r="K174"/>
    </row>
    <row r="175" spans="9:11">
      <c r="I175"/>
      <c r="J175"/>
      <c r="K175"/>
    </row>
    <row r="176" spans="9:11">
      <c r="I176"/>
      <c r="J176"/>
      <c r="K176"/>
    </row>
    <row r="177" spans="9:11">
      <c r="I177"/>
      <c r="J177"/>
      <c r="K177"/>
    </row>
    <row r="178" spans="9:11">
      <c r="I178"/>
      <c r="J178"/>
      <c r="K178"/>
    </row>
    <row r="179" spans="9:11">
      <c r="I179"/>
      <c r="J179"/>
      <c r="K179"/>
    </row>
    <row r="180" spans="9:11">
      <c r="I180"/>
      <c r="J180"/>
      <c r="K180"/>
    </row>
    <row r="181" spans="9:11">
      <c r="I181"/>
      <c r="J181"/>
      <c r="K181"/>
    </row>
    <row r="182" spans="9:11">
      <c r="I182"/>
      <c r="J182"/>
      <c r="K182"/>
    </row>
    <row r="183" spans="9:11">
      <c r="I183"/>
      <c r="J183"/>
      <c r="K183"/>
    </row>
    <row r="184" spans="9:11">
      <c r="I184"/>
      <c r="J184"/>
      <c r="K184"/>
    </row>
  </sheetData>
  <mergeCells count="21">
    <mergeCell ref="H112:J112"/>
    <mergeCell ref="H113:J113"/>
    <mergeCell ref="H114:J114"/>
    <mergeCell ref="H115:J115"/>
    <mergeCell ref="H116:J116"/>
    <mergeCell ref="A110:J110"/>
    <mergeCell ref="A2:B2"/>
    <mergeCell ref="I2:K2"/>
    <mergeCell ref="I3:K4"/>
    <mergeCell ref="I5:K6"/>
    <mergeCell ref="D9:D10"/>
    <mergeCell ref="E9:E10"/>
    <mergeCell ref="F9:F10"/>
    <mergeCell ref="G9:G10"/>
    <mergeCell ref="H9:H10"/>
    <mergeCell ref="I9:I10"/>
    <mergeCell ref="J9:J10"/>
    <mergeCell ref="K9:K10"/>
    <mergeCell ref="A107:G107"/>
    <mergeCell ref="A108:J108"/>
    <mergeCell ref="A109:J109"/>
  </mergeCells>
  <phoneticPr fontId="2"/>
  <printOptions horizontalCentered="1"/>
  <pageMargins left="0.25" right="0.25" top="0.35" bottom="0.41" header="0.22" footer="0.22"/>
  <pageSetup paperSize="8" scale="45" orientation="portrait" r:id="rId1"/>
  <rowBreaks count="1" manualBreakCount="1">
    <brk id="7" max="10"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0A39-6FE1-4943-8EC4-050C6F316FE4}">
  <sheetPr codeName="Sheet2">
    <tabColor rgb="FFFF0000"/>
    <pageSetUpPr fitToPage="1"/>
  </sheetPr>
  <dimension ref="A1:V15"/>
  <sheetViews>
    <sheetView workbookViewId="0"/>
  </sheetViews>
  <sheetFormatPr defaultRowHeight="13"/>
  <cols>
    <col min="1" max="1" width="14.81640625" customWidth="1"/>
    <col min="2" max="2" width="168.26953125" customWidth="1"/>
  </cols>
  <sheetData>
    <row r="1" spans="1:22">
      <c r="A1" t="s">
        <v>4239</v>
      </c>
      <c r="B1" t="s">
        <v>4240</v>
      </c>
      <c r="D1" t="s">
        <v>302</v>
      </c>
      <c r="E1" t="s">
        <v>303</v>
      </c>
      <c r="F1" t="s">
        <v>304</v>
      </c>
      <c r="G1" t="s">
        <v>305</v>
      </c>
      <c r="H1" t="s">
        <v>306</v>
      </c>
      <c r="I1">
        <v>2018</v>
      </c>
      <c r="J1">
        <v>2019</v>
      </c>
      <c r="K1">
        <v>2020</v>
      </c>
      <c r="L1">
        <v>2021</v>
      </c>
      <c r="M1">
        <v>2022</v>
      </c>
      <c r="N1">
        <v>2023</v>
      </c>
      <c r="O1">
        <v>2024</v>
      </c>
      <c r="P1">
        <v>2025</v>
      </c>
      <c r="Q1">
        <v>2026</v>
      </c>
      <c r="R1" t="s">
        <v>307</v>
      </c>
    </row>
    <row r="2" spans="1:22">
      <c r="A2" t="s">
        <v>4241</v>
      </c>
      <c r="B2" t="s">
        <v>4242</v>
      </c>
      <c r="D2" t="s">
        <v>308</v>
      </c>
      <c r="E2" t="s">
        <v>309</v>
      </c>
      <c r="F2" t="s">
        <v>310</v>
      </c>
      <c r="G2" t="s">
        <v>304</v>
      </c>
      <c r="H2" t="s">
        <v>311</v>
      </c>
      <c r="I2">
        <v>99.6</v>
      </c>
      <c r="J2">
        <v>100.02</v>
      </c>
      <c r="K2">
        <v>99.992999999999995</v>
      </c>
      <c r="L2" s="191">
        <v>99.759</v>
      </c>
      <c r="M2">
        <v>102.25</v>
      </c>
      <c r="N2">
        <v>105.59099999999999</v>
      </c>
      <c r="O2">
        <v>107.95399999999999</v>
      </c>
      <c r="P2">
        <v>110.217</v>
      </c>
      <c r="Q2">
        <v>112.428</v>
      </c>
      <c r="R2">
        <v>2023</v>
      </c>
    </row>
    <row r="3" spans="1:22">
      <c r="B3" t="s">
        <v>4243</v>
      </c>
      <c r="D3" s="190" t="s">
        <v>312</v>
      </c>
      <c r="E3" s="187"/>
      <c r="F3" s="187"/>
      <c r="G3" s="187"/>
      <c r="H3" s="187"/>
      <c r="I3" s="188">
        <v>0.99840615884281114</v>
      </c>
      <c r="J3" s="188">
        <v>1.0026163052957628</v>
      </c>
      <c r="K3" s="188">
        <v>1.0023456530237873</v>
      </c>
      <c r="L3" s="189">
        <v>1</v>
      </c>
      <c r="M3" s="188">
        <v>1.0249701781292917</v>
      </c>
      <c r="N3" s="188">
        <v>1.0584608907466995</v>
      </c>
      <c r="O3" s="188">
        <v>1.082147976623663</v>
      </c>
      <c r="P3" s="188">
        <v>1.1048326466784952</v>
      </c>
      <c r="Q3" s="188">
        <v>1.1269960605058189</v>
      </c>
      <c r="R3" s="187"/>
      <c r="S3" s="187"/>
      <c r="T3" s="187"/>
      <c r="U3" s="187"/>
      <c r="V3" s="187"/>
    </row>
    <row r="4" spans="1:22">
      <c r="B4" s="112" t="s">
        <v>4244</v>
      </c>
      <c r="D4" t="s">
        <v>313</v>
      </c>
      <c r="O4" s="186" t="s">
        <v>314</v>
      </c>
      <c r="P4" s="185" t="s">
        <v>314</v>
      </c>
      <c r="Q4" s="185" t="s">
        <v>314</v>
      </c>
    </row>
    <row r="5" spans="1:22">
      <c r="B5" t="s">
        <v>4245</v>
      </c>
    </row>
    <row r="6" spans="1:22" hidden="1">
      <c r="A6" t="s">
        <v>2802</v>
      </c>
      <c r="B6" t="s">
        <v>4246</v>
      </c>
    </row>
    <row r="7" spans="1:22" hidden="1">
      <c r="B7" t="s">
        <v>4247</v>
      </c>
    </row>
    <row r="8" spans="1:22" hidden="1">
      <c r="A8" s="183" t="s">
        <v>127</v>
      </c>
      <c r="B8" s="184">
        <f>ROUNDUP(17280*1.1*112.4/99.5,-3)</f>
        <v>22000</v>
      </c>
    </row>
    <row r="9" spans="1:22" hidden="1">
      <c r="A9" s="183" t="s">
        <v>194</v>
      </c>
      <c r="B9" s="184">
        <f>ROUNDUP(3371*1.1*112.4/99.5,-3)</f>
        <v>5000</v>
      </c>
    </row>
    <row r="10" spans="1:22" hidden="1">
      <c r="A10" s="183" t="s">
        <v>4248</v>
      </c>
      <c r="B10" s="184">
        <f>ROUNDDOWN(6025*1.1*112.4/99.5,-3)</f>
        <v>7000</v>
      </c>
    </row>
    <row r="11" spans="1:22" hidden="1">
      <c r="A11" s="183" t="s">
        <v>4249</v>
      </c>
      <c r="B11" s="184">
        <f>ROUNDUP(7884*1.1*112.4/99.5,-3)</f>
        <v>10000</v>
      </c>
    </row>
    <row r="12" spans="1:22">
      <c r="A12" t="s">
        <v>4250</v>
      </c>
      <c r="B12" t="s">
        <v>4251</v>
      </c>
    </row>
    <row r="13" spans="1:22">
      <c r="B13" t="s">
        <v>4252</v>
      </c>
    </row>
    <row r="14" spans="1:22">
      <c r="B14" t="s">
        <v>4253</v>
      </c>
    </row>
    <row r="15" spans="1:22">
      <c r="A15" t="s">
        <v>255</v>
      </c>
      <c r="B15" t="s">
        <v>4254</v>
      </c>
    </row>
  </sheetData>
  <phoneticPr fontId="2"/>
  <pageMargins left="0.7" right="0.7" top="0.75" bottom="0.75" header="0.3" footer="0.3"/>
  <pageSetup paperSize="9" scale="37" orientation="landscape"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8DCC1-2813-4CE0-9203-0F49C6E095B1}">
  <sheetPr codeName="Sheet232">
    <tabColor rgb="FFFFC000"/>
    <pageSetUpPr fitToPage="1"/>
  </sheetPr>
  <dimension ref="A1:CI42"/>
  <sheetViews>
    <sheetView topLeftCell="A3" zoomScale="70" zoomScaleNormal="70" workbookViewId="0">
      <selection activeCell="H5" sqref="H5"/>
    </sheetView>
  </sheetViews>
  <sheetFormatPr defaultColWidth="8.54296875" defaultRowHeight="19.399999999999999" customHeight="1" outlineLevelCol="2"/>
  <cols>
    <col min="1" max="1" width="13.453125" style="885" customWidth="1"/>
    <col min="2" max="2" width="13.453125" style="884" customWidth="1"/>
    <col min="3" max="5" width="13.453125" style="885" customWidth="1"/>
    <col min="6" max="8" width="13.453125" style="897" customWidth="1"/>
    <col min="9" max="9" width="13.453125" style="1914" customWidth="1"/>
    <col min="10" max="10" width="29.26953125" style="1054" customWidth="1"/>
    <col min="11" max="11" width="13.453125" style="1851" customWidth="1"/>
    <col min="12" max="12" width="13.453125" style="887" customWidth="1"/>
    <col min="13" max="28" width="13.453125" style="886" hidden="1" customWidth="1" outlineLevel="1"/>
    <col min="29" max="29" width="13.453125" style="887" hidden="1" customWidth="1" collapsed="1"/>
    <col min="30" max="30" width="13.453125" style="887" hidden="1" customWidth="1"/>
    <col min="31" max="46" width="13.453125" style="886" hidden="1" customWidth="1" outlineLevel="2"/>
    <col min="47" max="47" width="13.453125" style="2092" customWidth="1" collapsed="1"/>
    <col min="48" max="49" width="13.453125" style="1840" customWidth="1"/>
    <col min="50" max="50" width="13.453125" style="887" customWidth="1"/>
    <col min="51" max="51" width="13.453125" style="888" hidden="1" customWidth="1"/>
    <col min="52" max="61" width="13.453125" style="887" customWidth="1"/>
    <col min="62" max="66" width="13.453125" style="889" customWidth="1"/>
    <col min="67" max="67" width="13.453125" style="1058" customWidth="1"/>
    <col min="68" max="68" width="8.54296875" style="897"/>
    <col min="69" max="69" width="8.1796875" style="897" customWidth="1"/>
    <col min="70" max="75" width="4.1796875" style="892" customWidth="1"/>
    <col min="76" max="76" width="8.1796875" style="893" customWidth="1"/>
    <col min="77" max="79" width="4.1796875" style="895" customWidth="1"/>
    <col min="80" max="80" width="4.1796875" style="1059" customWidth="1"/>
    <col min="81" max="82" width="11.54296875" style="1059" customWidth="1"/>
    <col min="83" max="83" width="26.54296875" style="1059" customWidth="1"/>
    <col min="84" max="84" width="6.54296875" style="1059" customWidth="1"/>
    <col min="85" max="16384" width="8.54296875" style="897"/>
  </cols>
  <sheetData>
    <row r="1" spans="1:87" ht="28.75" customHeight="1">
      <c r="A1" s="883" t="s">
        <v>3687</v>
      </c>
      <c r="F1" s="885"/>
      <c r="G1" s="885"/>
      <c r="H1" s="885"/>
      <c r="I1" s="1844"/>
      <c r="J1" s="885"/>
      <c r="K1" s="1844"/>
      <c r="L1" s="885"/>
      <c r="AV1" s="1840" t="s">
        <v>2547</v>
      </c>
      <c r="AW1" s="1840" t="s">
        <v>2547</v>
      </c>
      <c r="BO1" s="890" t="s">
        <v>4255</v>
      </c>
      <c r="BP1" s="891"/>
      <c r="BQ1" s="891"/>
      <c r="BR1" s="891"/>
      <c r="BS1" s="891"/>
      <c r="BT1" s="891"/>
      <c r="BV1" s="891"/>
      <c r="BW1" s="891"/>
      <c r="BY1" s="894"/>
      <c r="BZ1" s="894"/>
      <c r="CB1" s="896"/>
      <c r="CC1" s="896"/>
      <c r="CD1" s="896"/>
      <c r="CE1" s="896"/>
      <c r="CF1" s="896"/>
      <c r="CG1" s="892"/>
      <c r="CH1" s="892"/>
      <c r="CI1" s="892"/>
    </row>
    <row r="2" spans="1:87" s="895" customFormat="1" ht="15.65" customHeight="1">
      <c r="A2" s="6598" t="s">
        <v>3110</v>
      </c>
      <c r="B2" s="6599"/>
      <c r="C2" s="6599"/>
      <c r="D2" s="6599" t="s">
        <v>2101</v>
      </c>
      <c r="E2" s="6679" t="s">
        <v>2548</v>
      </c>
      <c r="F2" s="6488" t="s">
        <v>4256</v>
      </c>
      <c r="G2" s="6489"/>
      <c r="H2" s="6475" t="s">
        <v>3112</v>
      </c>
      <c r="I2" s="6476"/>
      <c r="J2" s="6476"/>
      <c r="K2" s="6476"/>
      <c r="L2" s="6476"/>
      <c r="M2" s="6476"/>
      <c r="N2" s="6476"/>
      <c r="O2" s="6476"/>
      <c r="P2" s="6476"/>
      <c r="Q2" s="6476"/>
      <c r="R2" s="6476"/>
      <c r="S2" s="6476"/>
      <c r="T2" s="6476"/>
      <c r="U2" s="6476"/>
      <c r="V2" s="6476"/>
      <c r="W2" s="6476"/>
      <c r="X2" s="6476"/>
      <c r="Y2" s="6476"/>
      <c r="Z2" s="6476"/>
      <c r="AA2" s="6476"/>
      <c r="AB2" s="6476"/>
      <c r="AC2" s="6476"/>
      <c r="AD2" s="6476"/>
      <c r="AE2" s="6476"/>
      <c r="AF2" s="6476"/>
      <c r="AG2" s="6476"/>
      <c r="AH2" s="6476"/>
      <c r="AI2" s="6476"/>
      <c r="AJ2" s="6476"/>
      <c r="AK2" s="6476"/>
      <c r="AL2" s="6476"/>
      <c r="AM2" s="6476"/>
      <c r="AN2" s="6476"/>
      <c r="AO2" s="6476"/>
      <c r="AP2" s="6476"/>
      <c r="AQ2" s="6476"/>
      <c r="AR2" s="6476"/>
      <c r="AS2" s="6476"/>
      <c r="AT2" s="6476"/>
      <c r="AU2" s="6476"/>
      <c r="AV2" s="6476"/>
      <c r="AW2" s="6476"/>
      <c r="AX2" s="6476"/>
      <c r="AY2" s="6476"/>
      <c r="AZ2" s="6476"/>
      <c r="BA2" s="6476"/>
      <c r="BB2" s="6476"/>
      <c r="BC2" s="6476"/>
      <c r="BD2" s="6476"/>
      <c r="BE2" s="6476"/>
      <c r="BF2" s="6476"/>
      <c r="BG2" s="6476"/>
      <c r="BH2" s="6476"/>
      <c r="BI2" s="6476"/>
      <c r="BJ2" s="6476"/>
      <c r="BK2" s="6476"/>
      <c r="BL2" s="6476"/>
      <c r="BM2" s="6476"/>
      <c r="BN2" s="6477"/>
      <c r="BO2" s="898"/>
      <c r="BP2" s="899"/>
      <c r="BQ2" s="899"/>
      <c r="BR2" s="899"/>
      <c r="BS2" s="899"/>
      <c r="BT2" s="899"/>
      <c r="BU2" s="899"/>
      <c r="BV2" s="899"/>
      <c r="BW2" s="899"/>
      <c r="BX2" s="899"/>
      <c r="BY2" s="899"/>
      <c r="BZ2" s="899"/>
      <c r="CA2" s="899"/>
      <c r="CB2" s="899"/>
      <c r="CC2" s="899"/>
      <c r="CD2" s="899"/>
      <c r="CE2" s="899"/>
      <c r="CF2" s="899"/>
      <c r="CG2" s="899"/>
    </row>
    <row r="3" spans="1:87" s="895" customFormat="1" ht="15.65" customHeight="1">
      <c r="A3" s="6600"/>
      <c r="B3" s="6601"/>
      <c r="C3" s="6601"/>
      <c r="D3" s="6601"/>
      <c r="E3" s="6680"/>
      <c r="F3" s="6490"/>
      <c r="G3" s="6491"/>
      <c r="H3" s="901" t="s">
        <v>2566</v>
      </c>
      <c r="I3" s="1906" t="s">
        <v>2552</v>
      </c>
      <c r="J3" s="902"/>
      <c r="K3" s="1845"/>
      <c r="L3" s="903" t="s">
        <v>2553</v>
      </c>
      <c r="M3" s="6478" t="s">
        <v>2554</v>
      </c>
      <c r="N3" s="6478"/>
      <c r="O3" s="6478"/>
      <c r="P3" s="6478"/>
      <c r="Q3" s="6478"/>
      <c r="R3" s="6478"/>
      <c r="S3" s="6478"/>
      <c r="T3" s="6478"/>
      <c r="U3" s="6478"/>
      <c r="V3" s="6478"/>
      <c r="W3" s="6478"/>
      <c r="X3" s="6478"/>
      <c r="Y3" s="6478"/>
      <c r="Z3" s="6478"/>
      <c r="AA3" s="6478"/>
      <c r="AB3" s="6478"/>
      <c r="AC3" s="6478"/>
      <c r="AD3" s="6478"/>
      <c r="AE3" s="6479" t="s">
        <v>2555</v>
      </c>
      <c r="AF3" s="6480"/>
      <c r="AG3" s="6480"/>
      <c r="AH3" s="6480"/>
      <c r="AI3" s="6480"/>
      <c r="AJ3" s="6480"/>
      <c r="AK3" s="6480"/>
      <c r="AL3" s="6480"/>
      <c r="AM3" s="6480"/>
      <c r="AN3" s="6480"/>
      <c r="AO3" s="6480"/>
      <c r="AP3" s="6480"/>
      <c r="AQ3" s="6480"/>
      <c r="AR3" s="6480"/>
      <c r="AS3" s="6480"/>
      <c r="AT3" s="6480"/>
      <c r="AU3" s="6480"/>
      <c r="AV3" s="6480"/>
      <c r="AW3" s="6480"/>
      <c r="AX3" s="6480"/>
      <c r="AY3" s="6480"/>
      <c r="AZ3" s="6480" t="s">
        <v>2556</v>
      </c>
      <c r="BA3" s="6481"/>
      <c r="BB3" s="6480" t="s">
        <v>2557</v>
      </c>
      <c r="BC3" s="6480"/>
      <c r="BD3" s="6479" t="s">
        <v>2558</v>
      </c>
      <c r="BE3" s="6480"/>
      <c r="BF3" s="6481"/>
      <c r="BG3" s="904" t="s">
        <v>2088</v>
      </c>
      <c r="BH3" s="904" t="s">
        <v>2559</v>
      </c>
      <c r="BI3" s="905" t="s">
        <v>2560</v>
      </c>
      <c r="BJ3" s="6482" t="s">
        <v>2561</v>
      </c>
      <c r="BK3" s="6471" t="s">
        <v>2562</v>
      </c>
      <c r="BL3" s="6471" t="s">
        <v>2563</v>
      </c>
      <c r="BM3" s="6471" t="s">
        <v>2564</v>
      </c>
      <c r="BN3" s="6473" t="s">
        <v>2565</v>
      </c>
      <c r="BO3" s="906"/>
      <c r="BP3" s="899"/>
      <c r="BQ3" s="899"/>
      <c r="BR3" s="899"/>
      <c r="BS3" s="899"/>
      <c r="BT3" s="899"/>
      <c r="BU3" s="899"/>
      <c r="BV3" s="899"/>
      <c r="BW3" s="899"/>
      <c r="BX3" s="899"/>
      <c r="BY3" s="899"/>
      <c r="BZ3" s="899"/>
      <c r="CA3" s="899"/>
      <c r="CB3" s="899"/>
      <c r="CC3" s="899"/>
      <c r="CD3" s="899"/>
      <c r="CE3" s="899"/>
      <c r="CF3" s="899"/>
      <c r="CG3" s="899"/>
    </row>
    <row r="4" spans="1:87" s="895" customFormat="1" ht="150">
      <c r="A4" s="6602"/>
      <c r="B4" s="6603"/>
      <c r="C4" s="6603"/>
      <c r="D4" s="6603"/>
      <c r="E4" s="6681"/>
      <c r="F4" s="907" t="s">
        <v>2599</v>
      </c>
      <c r="G4" s="900" t="s">
        <v>127</v>
      </c>
      <c r="H4" s="908" t="s">
        <v>2598</v>
      </c>
      <c r="I4" s="1863" t="s">
        <v>2567</v>
      </c>
      <c r="J4" s="909" t="s">
        <v>2568</v>
      </c>
      <c r="K4" s="1918" t="s">
        <v>3690</v>
      </c>
      <c r="L4" s="910" t="s">
        <v>2101</v>
      </c>
      <c r="M4" s="911" t="s">
        <v>2569</v>
      </c>
      <c r="N4" s="912" t="s">
        <v>2570</v>
      </c>
      <c r="O4" s="912" t="s">
        <v>2571</v>
      </c>
      <c r="P4" s="912" t="s">
        <v>2572</v>
      </c>
      <c r="Q4" s="912" t="s">
        <v>2573</v>
      </c>
      <c r="R4" s="912" t="s">
        <v>2574</v>
      </c>
      <c r="S4" s="912" t="s">
        <v>2575</v>
      </c>
      <c r="T4" s="913" t="s">
        <v>2576</v>
      </c>
      <c r="U4" s="913" t="s">
        <v>2577</v>
      </c>
      <c r="V4" s="913" t="s">
        <v>2578</v>
      </c>
      <c r="W4" s="913" t="s">
        <v>2579</v>
      </c>
      <c r="X4" s="912" t="s">
        <v>2580</v>
      </c>
      <c r="Y4" s="912" t="s">
        <v>2581</v>
      </c>
      <c r="Z4" s="912" t="s">
        <v>2582</v>
      </c>
      <c r="AA4" s="912" t="s">
        <v>2583</v>
      </c>
      <c r="AB4" s="914" t="s">
        <v>2584</v>
      </c>
      <c r="AC4" s="905" t="s">
        <v>2104</v>
      </c>
      <c r="AD4" s="915" t="s">
        <v>2585</v>
      </c>
      <c r="AE4" s="911" t="s">
        <v>2569</v>
      </c>
      <c r="AF4" s="912" t="s">
        <v>2570</v>
      </c>
      <c r="AG4" s="912" t="s">
        <v>2571</v>
      </c>
      <c r="AH4" s="912" t="s">
        <v>2572</v>
      </c>
      <c r="AI4" s="912" t="s">
        <v>2573</v>
      </c>
      <c r="AJ4" s="912" t="s">
        <v>2574</v>
      </c>
      <c r="AK4" s="912" t="s">
        <v>2575</v>
      </c>
      <c r="AL4" s="913" t="s">
        <v>2576</v>
      </c>
      <c r="AM4" s="913" t="s">
        <v>2577</v>
      </c>
      <c r="AN4" s="913" t="s">
        <v>2578</v>
      </c>
      <c r="AO4" s="913" t="s">
        <v>2579</v>
      </c>
      <c r="AP4" s="912" t="s">
        <v>2580</v>
      </c>
      <c r="AQ4" s="912" t="s">
        <v>2581</v>
      </c>
      <c r="AR4" s="912" t="s">
        <v>2582</v>
      </c>
      <c r="AS4" s="912" t="s">
        <v>2583</v>
      </c>
      <c r="AT4" s="914" t="s">
        <v>2584</v>
      </c>
      <c r="AU4" s="2100" t="s">
        <v>2586</v>
      </c>
      <c r="AV4" s="2086" t="s">
        <v>4257</v>
      </c>
      <c r="AW4" s="2086" t="s">
        <v>2551</v>
      </c>
      <c r="AX4" s="915" t="s">
        <v>2587</v>
      </c>
      <c r="AY4" s="916" t="s">
        <v>2588</v>
      </c>
      <c r="AZ4" s="917" t="s">
        <v>2589</v>
      </c>
      <c r="BA4" s="915" t="s">
        <v>2590</v>
      </c>
      <c r="BB4" s="917" t="s">
        <v>2591</v>
      </c>
      <c r="BC4" s="917" t="s">
        <v>2592</v>
      </c>
      <c r="BD4" s="905" t="s">
        <v>2593</v>
      </c>
      <c r="BE4" s="917" t="s">
        <v>2594</v>
      </c>
      <c r="BF4" s="915" t="s">
        <v>2595</v>
      </c>
      <c r="BG4" s="903" t="s">
        <v>2109</v>
      </c>
      <c r="BH4" s="918" t="s">
        <v>2596</v>
      </c>
      <c r="BI4" s="919" t="s">
        <v>2597</v>
      </c>
      <c r="BJ4" s="6483"/>
      <c r="BK4" s="6472"/>
      <c r="BL4" s="6472"/>
      <c r="BM4" s="6472"/>
      <c r="BN4" s="6474"/>
      <c r="BO4" s="920" t="s">
        <v>2600</v>
      </c>
      <c r="BP4" s="899"/>
      <c r="BQ4" s="899"/>
      <c r="BR4" s="899"/>
      <c r="BS4" s="899"/>
      <c r="BT4" s="899"/>
      <c r="BU4" s="899"/>
      <c r="BV4" s="899"/>
      <c r="BW4" s="899"/>
      <c r="BX4" s="899"/>
      <c r="BY4" s="899"/>
      <c r="BZ4" s="899"/>
      <c r="CA4" s="899"/>
      <c r="CB4" s="899"/>
      <c r="CC4" s="899"/>
      <c r="CD4" s="899"/>
      <c r="CE4" s="899"/>
      <c r="CF4" s="899"/>
      <c r="CG4" s="899"/>
    </row>
    <row r="5" spans="1:87" ht="23.15" customHeight="1">
      <c r="A5" s="6677" t="s">
        <v>3693</v>
      </c>
      <c r="B5" s="6678"/>
      <c r="C5" s="6678"/>
      <c r="D5" s="6614" t="s">
        <v>3468</v>
      </c>
      <c r="E5" s="6670" t="s">
        <v>3637</v>
      </c>
      <c r="F5" s="6672">
        <v>500</v>
      </c>
      <c r="G5" s="6604">
        <f>SUM(F5:F21)</f>
        <v>2000</v>
      </c>
      <c r="H5" s="921" t="s">
        <v>3694</v>
      </c>
      <c r="I5" s="1907">
        <v>51</v>
      </c>
      <c r="J5" s="922" t="s">
        <v>4258</v>
      </c>
      <c r="K5" s="6667">
        <f>COUNTA(J5:J10)</f>
        <v>6</v>
      </c>
      <c r="L5" s="923" t="s">
        <v>2138</v>
      </c>
      <c r="M5" s="924" t="s">
        <v>4259</v>
      </c>
      <c r="N5" s="925" t="s">
        <v>3972</v>
      </c>
      <c r="O5" s="925" t="s">
        <v>2602</v>
      </c>
      <c r="P5" s="925" t="s">
        <v>4260</v>
      </c>
      <c r="Q5" s="925" t="s">
        <v>2602</v>
      </c>
      <c r="R5" s="925" t="s">
        <v>2602</v>
      </c>
      <c r="S5" s="925" t="s">
        <v>2602</v>
      </c>
      <c r="T5" s="926" t="s">
        <v>2602</v>
      </c>
      <c r="U5" s="926" t="s">
        <v>2602</v>
      </c>
      <c r="V5" s="926" t="s">
        <v>2602</v>
      </c>
      <c r="W5" s="926" t="s">
        <v>2602</v>
      </c>
      <c r="X5" s="925" t="s">
        <v>2602</v>
      </c>
      <c r="Y5" s="925" t="s">
        <v>2602</v>
      </c>
      <c r="Z5" s="925" t="s">
        <v>2602</v>
      </c>
      <c r="AA5" s="925" t="s">
        <v>2602</v>
      </c>
      <c r="AB5" s="927" t="s">
        <v>2602</v>
      </c>
      <c r="AC5" s="928">
        <v>165</v>
      </c>
      <c r="AD5" s="923">
        <v>207</v>
      </c>
      <c r="AE5" s="924" t="s">
        <v>3707</v>
      </c>
      <c r="AF5" s="925" t="s">
        <v>2602</v>
      </c>
      <c r="AG5" s="925" t="s">
        <v>2602</v>
      </c>
      <c r="AH5" s="925" t="s">
        <v>4046</v>
      </c>
      <c r="AI5" s="925" t="s">
        <v>2602</v>
      </c>
      <c r="AJ5" s="925" t="s">
        <v>2602</v>
      </c>
      <c r="AK5" s="925" t="s">
        <v>2602</v>
      </c>
      <c r="AL5" s="926" t="s">
        <v>2602</v>
      </c>
      <c r="AM5" s="926" t="s">
        <v>2602</v>
      </c>
      <c r="AN5" s="926" t="s">
        <v>2602</v>
      </c>
      <c r="AO5" s="926" t="s">
        <v>2602</v>
      </c>
      <c r="AP5" s="925" t="s">
        <v>2602</v>
      </c>
      <c r="AQ5" s="925" t="s">
        <v>2602</v>
      </c>
      <c r="AR5" s="925" t="s">
        <v>2602</v>
      </c>
      <c r="AS5" s="925" t="s">
        <v>2602</v>
      </c>
      <c r="AT5" s="927" t="s">
        <v>2602</v>
      </c>
      <c r="AU5" s="2093">
        <v>70</v>
      </c>
      <c r="AV5" s="2087">
        <v>75</v>
      </c>
      <c r="AW5" s="2087">
        <v>32</v>
      </c>
      <c r="AX5" s="923">
        <v>90</v>
      </c>
      <c r="AY5" s="929">
        <v>0.42424242424242425</v>
      </c>
      <c r="AZ5" s="930" t="s">
        <v>2609</v>
      </c>
      <c r="BA5" s="923" t="s">
        <v>2610</v>
      </c>
      <c r="BB5" s="930">
        <v>1</v>
      </c>
      <c r="BC5" s="930">
        <v>1</v>
      </c>
      <c r="BD5" s="931" t="s">
        <v>2688</v>
      </c>
      <c r="BE5" s="930" t="s">
        <v>2688</v>
      </c>
      <c r="BF5" s="923" t="s">
        <v>2688</v>
      </c>
      <c r="BG5" s="932" t="s">
        <v>2728</v>
      </c>
      <c r="BH5" s="932" t="s">
        <v>2133</v>
      </c>
      <c r="BI5" s="930" t="s">
        <v>2723</v>
      </c>
      <c r="BJ5" s="933" t="s">
        <v>2133</v>
      </c>
      <c r="BK5" s="934" t="s">
        <v>2129</v>
      </c>
      <c r="BL5" s="934" t="s">
        <v>2129</v>
      </c>
      <c r="BM5" s="934" t="s">
        <v>2129</v>
      </c>
      <c r="BN5" s="935"/>
      <c r="BO5" s="936"/>
      <c r="BP5" s="899"/>
      <c r="BQ5" s="899"/>
      <c r="BR5" s="899"/>
      <c r="BS5" s="899"/>
      <c r="BT5" s="899"/>
      <c r="BU5" s="899"/>
      <c r="BV5" s="899"/>
      <c r="BW5" s="899"/>
      <c r="BX5" s="899"/>
      <c r="BY5" s="899"/>
      <c r="BZ5" s="899"/>
      <c r="CA5" s="899"/>
      <c r="CB5" s="899"/>
      <c r="CC5" s="899"/>
      <c r="CD5" s="899"/>
      <c r="CE5" s="899"/>
      <c r="CF5" s="899"/>
      <c r="CG5" s="899"/>
      <c r="CH5" s="899"/>
    </row>
    <row r="6" spans="1:87" ht="23.15" customHeight="1">
      <c r="A6" s="6610"/>
      <c r="B6" s="6611"/>
      <c r="C6" s="6611"/>
      <c r="D6" s="6665"/>
      <c r="E6" s="6671"/>
      <c r="F6" s="6673"/>
      <c r="G6" s="6666"/>
      <c r="H6" s="939" t="s">
        <v>3694</v>
      </c>
      <c r="I6" s="1908">
        <v>60</v>
      </c>
      <c r="J6" s="940" t="s">
        <v>4261</v>
      </c>
      <c r="K6" s="6668"/>
      <c r="L6" s="941" t="s">
        <v>2138</v>
      </c>
      <c r="M6" s="942" t="s">
        <v>2602</v>
      </c>
      <c r="N6" s="943" t="s">
        <v>3698</v>
      </c>
      <c r="O6" s="943" t="s">
        <v>2602</v>
      </c>
      <c r="P6" s="943" t="s">
        <v>3699</v>
      </c>
      <c r="Q6" s="943" t="s">
        <v>2602</v>
      </c>
      <c r="R6" s="943" t="s">
        <v>2602</v>
      </c>
      <c r="S6" s="943" t="s">
        <v>2602</v>
      </c>
      <c r="T6" s="944" t="s">
        <v>2602</v>
      </c>
      <c r="U6" s="944" t="s">
        <v>2602</v>
      </c>
      <c r="V6" s="944" t="s">
        <v>2602</v>
      </c>
      <c r="W6" s="944" t="s">
        <v>2602</v>
      </c>
      <c r="X6" s="943" t="s">
        <v>2602</v>
      </c>
      <c r="Y6" s="943" t="s">
        <v>2602</v>
      </c>
      <c r="Z6" s="943" t="s">
        <v>2602</v>
      </c>
      <c r="AA6" s="943" t="s">
        <v>2602</v>
      </c>
      <c r="AB6" s="945" t="s">
        <v>2602</v>
      </c>
      <c r="AC6" s="946">
        <v>272</v>
      </c>
      <c r="AD6" s="941">
        <v>342</v>
      </c>
      <c r="AE6" s="942" t="s">
        <v>2602</v>
      </c>
      <c r="AF6" s="943" t="s">
        <v>3700</v>
      </c>
      <c r="AG6" s="943" t="s">
        <v>2602</v>
      </c>
      <c r="AH6" s="943" t="s">
        <v>3701</v>
      </c>
      <c r="AI6" s="943" t="s">
        <v>2602</v>
      </c>
      <c r="AJ6" s="943" t="s">
        <v>2602</v>
      </c>
      <c r="AK6" s="943" t="s">
        <v>2602</v>
      </c>
      <c r="AL6" s="944" t="s">
        <v>2602</v>
      </c>
      <c r="AM6" s="944" t="s">
        <v>2602</v>
      </c>
      <c r="AN6" s="944" t="s">
        <v>2602</v>
      </c>
      <c r="AO6" s="944" t="s">
        <v>2602</v>
      </c>
      <c r="AP6" s="943" t="s">
        <v>2602</v>
      </c>
      <c r="AQ6" s="943" t="s">
        <v>2602</v>
      </c>
      <c r="AR6" s="943" t="s">
        <v>2602</v>
      </c>
      <c r="AS6" s="943" t="s">
        <v>2602</v>
      </c>
      <c r="AT6" s="945" t="s">
        <v>2602</v>
      </c>
      <c r="AU6" s="2094">
        <v>120</v>
      </c>
      <c r="AV6" s="2088">
        <v>130</v>
      </c>
      <c r="AW6" s="2088">
        <v>32</v>
      </c>
      <c r="AX6" s="941">
        <v>150</v>
      </c>
      <c r="AY6" s="947">
        <v>0.44117647058823528</v>
      </c>
      <c r="AZ6" s="948" t="s">
        <v>2609</v>
      </c>
      <c r="BA6" s="941" t="s">
        <v>2609</v>
      </c>
      <c r="BB6" s="948">
        <v>0</v>
      </c>
      <c r="BC6" s="948">
        <v>0</v>
      </c>
      <c r="BD6" s="949" t="s">
        <v>2133</v>
      </c>
      <c r="BE6" s="948" t="s">
        <v>2688</v>
      </c>
      <c r="BF6" s="941" t="s">
        <v>2688</v>
      </c>
      <c r="BG6" s="950" t="s">
        <v>2168</v>
      </c>
      <c r="BH6" s="950" t="s">
        <v>2133</v>
      </c>
      <c r="BI6" s="948" t="s">
        <v>2723</v>
      </c>
      <c r="BJ6" s="951" t="s">
        <v>2133</v>
      </c>
      <c r="BK6" s="952" t="s">
        <v>2129</v>
      </c>
      <c r="BL6" s="952" t="s">
        <v>2129</v>
      </c>
      <c r="BM6" s="952" t="s">
        <v>2129</v>
      </c>
      <c r="BN6" s="953"/>
      <c r="BO6" s="954"/>
      <c r="BP6" s="899"/>
      <c r="BQ6" s="899"/>
      <c r="BR6" s="899"/>
      <c r="BS6" s="899"/>
      <c r="BT6" s="899"/>
      <c r="BU6" s="899"/>
      <c r="BV6" s="899"/>
      <c r="BW6" s="899"/>
      <c r="BX6" s="899"/>
      <c r="BY6" s="899"/>
      <c r="BZ6" s="899"/>
      <c r="CA6" s="899"/>
      <c r="CB6" s="899"/>
      <c r="CC6" s="899"/>
      <c r="CD6" s="899"/>
      <c r="CE6" s="899"/>
      <c r="CF6" s="899"/>
      <c r="CG6" s="899"/>
      <c r="CH6" s="899"/>
    </row>
    <row r="7" spans="1:87" ht="23.15" customHeight="1">
      <c r="A7" s="6610"/>
      <c r="B7" s="6611"/>
      <c r="C7" s="6611"/>
      <c r="D7" s="6665"/>
      <c r="E7" s="6671"/>
      <c r="F7" s="6673"/>
      <c r="G7" s="6666"/>
      <c r="H7" s="939" t="s">
        <v>3694</v>
      </c>
      <c r="I7" s="1908">
        <v>78</v>
      </c>
      <c r="J7" s="940" t="s">
        <v>3654</v>
      </c>
      <c r="K7" s="6668"/>
      <c r="L7" s="941" t="s">
        <v>2138</v>
      </c>
      <c r="M7" s="942" t="s">
        <v>4041</v>
      </c>
      <c r="N7" s="943" t="s">
        <v>2721</v>
      </c>
      <c r="O7" s="943" t="s">
        <v>2602</v>
      </c>
      <c r="P7" s="943" t="s">
        <v>2665</v>
      </c>
      <c r="Q7" s="943" t="s">
        <v>2602</v>
      </c>
      <c r="R7" s="943" t="s">
        <v>2602</v>
      </c>
      <c r="S7" s="943" t="s">
        <v>2602</v>
      </c>
      <c r="T7" s="944" t="s">
        <v>2602</v>
      </c>
      <c r="U7" s="944" t="s">
        <v>2602</v>
      </c>
      <c r="V7" s="944" t="s">
        <v>2602</v>
      </c>
      <c r="W7" s="944" t="s">
        <v>2602</v>
      </c>
      <c r="X7" s="943" t="s">
        <v>2602</v>
      </c>
      <c r="Y7" s="943" t="s">
        <v>2602</v>
      </c>
      <c r="Z7" s="943" t="s">
        <v>2602</v>
      </c>
      <c r="AA7" s="943" t="s">
        <v>2602</v>
      </c>
      <c r="AB7" s="945" t="s">
        <v>2602</v>
      </c>
      <c r="AC7" s="946">
        <v>128</v>
      </c>
      <c r="AD7" s="941">
        <v>136</v>
      </c>
      <c r="AE7" s="942" t="s">
        <v>3708</v>
      </c>
      <c r="AF7" s="943" t="s">
        <v>2602</v>
      </c>
      <c r="AG7" s="943" t="s">
        <v>2602</v>
      </c>
      <c r="AH7" s="943" t="s">
        <v>2602</v>
      </c>
      <c r="AI7" s="943" t="s">
        <v>2602</v>
      </c>
      <c r="AJ7" s="943" t="s">
        <v>2602</v>
      </c>
      <c r="AK7" s="943" t="s">
        <v>2602</v>
      </c>
      <c r="AL7" s="944" t="s">
        <v>2602</v>
      </c>
      <c r="AM7" s="944" t="s">
        <v>2602</v>
      </c>
      <c r="AN7" s="944" t="s">
        <v>2602</v>
      </c>
      <c r="AO7" s="944" t="s">
        <v>2602</v>
      </c>
      <c r="AP7" s="943" t="s">
        <v>2602</v>
      </c>
      <c r="AQ7" s="943" t="s">
        <v>2602</v>
      </c>
      <c r="AR7" s="943" t="s">
        <v>2602</v>
      </c>
      <c r="AS7" s="943" t="s">
        <v>2602</v>
      </c>
      <c r="AT7" s="945" t="s">
        <v>2602</v>
      </c>
      <c r="AU7" s="2094">
        <v>45</v>
      </c>
      <c r="AV7" s="2088">
        <v>50</v>
      </c>
      <c r="AW7" s="2088">
        <v>32</v>
      </c>
      <c r="AX7" s="941">
        <v>45</v>
      </c>
      <c r="AY7" s="947">
        <v>0.3515625</v>
      </c>
      <c r="AZ7" s="948" t="s">
        <v>2609</v>
      </c>
      <c r="BA7" s="941" t="s">
        <v>2609</v>
      </c>
      <c r="BB7" s="948">
        <v>0</v>
      </c>
      <c r="BC7" s="948">
        <v>0</v>
      </c>
      <c r="BD7" s="949" t="s">
        <v>2133</v>
      </c>
      <c r="BE7" s="948" t="s">
        <v>2688</v>
      </c>
      <c r="BF7" s="941" t="s">
        <v>2688</v>
      </c>
      <c r="BG7" s="950" t="s">
        <v>2168</v>
      </c>
      <c r="BH7" s="950" t="s">
        <v>2133</v>
      </c>
      <c r="BI7" s="948" t="s">
        <v>2723</v>
      </c>
      <c r="BJ7" s="951" t="s">
        <v>2133</v>
      </c>
      <c r="BK7" s="952" t="s">
        <v>2129</v>
      </c>
      <c r="BL7" s="952" t="s">
        <v>2129</v>
      </c>
      <c r="BM7" s="952" t="s">
        <v>2129</v>
      </c>
      <c r="BN7" s="953"/>
      <c r="BO7" s="954"/>
      <c r="BP7" s="899"/>
      <c r="BQ7" s="899"/>
      <c r="BR7" s="899"/>
      <c r="BS7" s="899"/>
      <c r="BT7" s="899"/>
      <c r="BU7" s="899"/>
      <c r="BV7" s="899"/>
      <c r="BW7" s="899"/>
      <c r="BX7" s="899"/>
      <c r="BY7" s="899"/>
      <c r="BZ7" s="899"/>
      <c r="CA7" s="899"/>
      <c r="CB7" s="899"/>
      <c r="CC7" s="899"/>
      <c r="CD7" s="899"/>
      <c r="CE7" s="899"/>
      <c r="CF7" s="899"/>
      <c r="CG7" s="899"/>
      <c r="CH7" s="899"/>
    </row>
    <row r="8" spans="1:87" ht="23.15" customHeight="1">
      <c r="A8" s="6610"/>
      <c r="B8" s="6611"/>
      <c r="C8" s="6611"/>
      <c r="D8" s="6665"/>
      <c r="E8" s="6671"/>
      <c r="F8" s="6673"/>
      <c r="G8" s="6666"/>
      <c r="H8" s="939" t="s">
        <v>3694</v>
      </c>
      <c r="I8" s="1908">
        <v>154</v>
      </c>
      <c r="J8" s="940" t="s">
        <v>3658</v>
      </c>
      <c r="K8" s="6668"/>
      <c r="L8" s="941" t="s">
        <v>2138</v>
      </c>
      <c r="M8" s="942" t="s">
        <v>4262</v>
      </c>
      <c r="N8" s="943" t="s">
        <v>4000</v>
      </c>
      <c r="O8" s="943" t="s">
        <v>2602</v>
      </c>
      <c r="P8" s="943" t="s">
        <v>4263</v>
      </c>
      <c r="Q8" s="943" t="s">
        <v>2602</v>
      </c>
      <c r="R8" s="943" t="s">
        <v>2602</v>
      </c>
      <c r="S8" s="943" t="s">
        <v>2602</v>
      </c>
      <c r="T8" s="944" t="s">
        <v>2602</v>
      </c>
      <c r="U8" s="944" t="s">
        <v>2602</v>
      </c>
      <c r="V8" s="944" t="s">
        <v>2602</v>
      </c>
      <c r="W8" s="944" t="s">
        <v>2602</v>
      </c>
      <c r="X8" s="943" t="s">
        <v>2602</v>
      </c>
      <c r="Y8" s="943" t="s">
        <v>2602</v>
      </c>
      <c r="Z8" s="943" t="s">
        <v>2602</v>
      </c>
      <c r="AA8" s="943" t="s">
        <v>2602</v>
      </c>
      <c r="AB8" s="945" t="s">
        <v>2602</v>
      </c>
      <c r="AC8" s="946">
        <v>246</v>
      </c>
      <c r="AD8" s="941">
        <v>342</v>
      </c>
      <c r="AE8" s="942" t="s">
        <v>3707</v>
      </c>
      <c r="AF8" s="943" t="s">
        <v>2602</v>
      </c>
      <c r="AG8" s="943" t="s">
        <v>2602</v>
      </c>
      <c r="AH8" s="943" t="s">
        <v>4046</v>
      </c>
      <c r="AI8" s="943" t="s">
        <v>2602</v>
      </c>
      <c r="AJ8" s="943" t="s">
        <v>2602</v>
      </c>
      <c r="AK8" s="943" t="s">
        <v>2602</v>
      </c>
      <c r="AL8" s="944" t="s">
        <v>2602</v>
      </c>
      <c r="AM8" s="944" t="s">
        <v>2602</v>
      </c>
      <c r="AN8" s="944" t="s">
        <v>2602</v>
      </c>
      <c r="AO8" s="944" t="s">
        <v>2602</v>
      </c>
      <c r="AP8" s="943" t="s">
        <v>2602</v>
      </c>
      <c r="AQ8" s="943" t="s">
        <v>2602</v>
      </c>
      <c r="AR8" s="943" t="s">
        <v>2602</v>
      </c>
      <c r="AS8" s="943" t="s">
        <v>2602</v>
      </c>
      <c r="AT8" s="945" t="s">
        <v>2602</v>
      </c>
      <c r="AU8" s="2094">
        <v>70</v>
      </c>
      <c r="AV8" s="2088">
        <v>80</v>
      </c>
      <c r="AW8" s="2088">
        <v>32</v>
      </c>
      <c r="AX8" s="941">
        <v>90</v>
      </c>
      <c r="AY8" s="947">
        <v>0.28455284552845528</v>
      </c>
      <c r="AZ8" s="948" t="s">
        <v>2609</v>
      </c>
      <c r="BA8" s="941" t="s">
        <v>2609</v>
      </c>
      <c r="BB8" s="948">
        <v>0</v>
      </c>
      <c r="BC8" s="948">
        <v>0</v>
      </c>
      <c r="BD8" s="949" t="s">
        <v>2133</v>
      </c>
      <c r="BE8" s="948" t="s">
        <v>2688</v>
      </c>
      <c r="BF8" s="941" t="s">
        <v>2688</v>
      </c>
      <c r="BG8" s="950" t="s">
        <v>2168</v>
      </c>
      <c r="BH8" s="950" t="s">
        <v>2133</v>
      </c>
      <c r="BI8" s="948" t="s">
        <v>2723</v>
      </c>
      <c r="BJ8" s="951" t="s">
        <v>2133</v>
      </c>
      <c r="BK8" s="952" t="s">
        <v>2129</v>
      </c>
      <c r="BL8" s="952" t="s">
        <v>2129</v>
      </c>
      <c r="BM8" s="952" t="s">
        <v>2129</v>
      </c>
      <c r="BN8" s="953"/>
      <c r="BO8" s="954"/>
      <c r="BP8" s="899"/>
      <c r="BQ8" s="899"/>
      <c r="BR8" s="899"/>
      <c r="BS8" s="899"/>
      <c r="BT8" s="899"/>
      <c r="BU8" s="899"/>
      <c r="BV8" s="899"/>
      <c r="BW8" s="899"/>
      <c r="BX8" s="899"/>
      <c r="BY8" s="899"/>
      <c r="BZ8" s="899"/>
      <c r="CA8" s="899"/>
      <c r="CB8" s="899"/>
      <c r="CC8" s="899"/>
      <c r="CD8" s="899"/>
      <c r="CE8" s="899"/>
      <c r="CF8" s="899"/>
      <c r="CG8" s="899"/>
      <c r="CH8" s="899"/>
    </row>
    <row r="9" spans="1:87" ht="23.15" customHeight="1">
      <c r="A9" s="6610"/>
      <c r="B9" s="6611"/>
      <c r="C9" s="6611"/>
      <c r="D9" s="6665"/>
      <c r="E9" s="6671"/>
      <c r="F9" s="6673"/>
      <c r="G9" s="6666"/>
      <c r="H9" s="939" t="s">
        <v>3694</v>
      </c>
      <c r="I9" s="1908">
        <v>161</v>
      </c>
      <c r="J9" s="940" t="s">
        <v>3661</v>
      </c>
      <c r="K9" s="6668"/>
      <c r="L9" s="941" t="s">
        <v>2138</v>
      </c>
      <c r="M9" s="942" t="s">
        <v>2676</v>
      </c>
      <c r="N9" s="943" t="s">
        <v>3747</v>
      </c>
      <c r="O9" s="943" t="s">
        <v>2602</v>
      </c>
      <c r="P9" s="943" t="s">
        <v>3699</v>
      </c>
      <c r="Q9" s="943" t="s">
        <v>2602</v>
      </c>
      <c r="R9" s="943" t="s">
        <v>2602</v>
      </c>
      <c r="S9" s="943" t="s">
        <v>2602</v>
      </c>
      <c r="T9" s="944" t="s">
        <v>2602</v>
      </c>
      <c r="U9" s="944" t="s">
        <v>2602</v>
      </c>
      <c r="V9" s="944" t="s">
        <v>2602</v>
      </c>
      <c r="W9" s="944" t="s">
        <v>2602</v>
      </c>
      <c r="X9" s="943" t="s">
        <v>2602</v>
      </c>
      <c r="Y9" s="943" t="s">
        <v>2602</v>
      </c>
      <c r="Z9" s="943" t="s">
        <v>2602</v>
      </c>
      <c r="AA9" s="943" t="s">
        <v>2602</v>
      </c>
      <c r="AB9" s="945" t="s">
        <v>2602</v>
      </c>
      <c r="AC9" s="946">
        <v>233</v>
      </c>
      <c r="AD9" s="941">
        <v>303</v>
      </c>
      <c r="AE9" s="942" t="s">
        <v>2602</v>
      </c>
      <c r="AF9" s="943" t="s">
        <v>3707</v>
      </c>
      <c r="AG9" s="943" t="s">
        <v>2602</v>
      </c>
      <c r="AH9" s="943" t="s">
        <v>4044</v>
      </c>
      <c r="AI9" s="943" t="s">
        <v>2602</v>
      </c>
      <c r="AJ9" s="943" t="s">
        <v>2602</v>
      </c>
      <c r="AK9" s="943" t="s">
        <v>2602</v>
      </c>
      <c r="AL9" s="944" t="s">
        <v>2602</v>
      </c>
      <c r="AM9" s="944" t="s">
        <v>2602</v>
      </c>
      <c r="AN9" s="944" t="s">
        <v>2602</v>
      </c>
      <c r="AO9" s="944" t="s">
        <v>2602</v>
      </c>
      <c r="AP9" s="943" t="s">
        <v>2602</v>
      </c>
      <c r="AQ9" s="943" t="s">
        <v>2602</v>
      </c>
      <c r="AR9" s="943" t="s">
        <v>2602</v>
      </c>
      <c r="AS9" s="943" t="s">
        <v>2602</v>
      </c>
      <c r="AT9" s="945" t="s">
        <v>2602</v>
      </c>
      <c r="AU9" s="2094">
        <v>60</v>
      </c>
      <c r="AV9" s="2088">
        <v>65</v>
      </c>
      <c r="AW9" s="2088">
        <v>32</v>
      </c>
      <c r="AX9" s="941">
        <v>70</v>
      </c>
      <c r="AY9" s="947">
        <v>0.25751072961373389</v>
      </c>
      <c r="AZ9" s="948" t="s">
        <v>2609</v>
      </c>
      <c r="BA9" s="941" t="s">
        <v>2610</v>
      </c>
      <c r="BB9" s="948">
        <v>0</v>
      </c>
      <c r="BC9" s="948">
        <v>0</v>
      </c>
      <c r="BD9" s="949" t="s">
        <v>2133</v>
      </c>
      <c r="BE9" s="948" t="s">
        <v>2688</v>
      </c>
      <c r="BF9" s="941" t="s">
        <v>2688</v>
      </c>
      <c r="BG9" s="950" t="s">
        <v>2168</v>
      </c>
      <c r="BH9" s="950" t="s">
        <v>2133</v>
      </c>
      <c r="BI9" s="948" t="s">
        <v>2723</v>
      </c>
      <c r="BJ9" s="951" t="s">
        <v>2133</v>
      </c>
      <c r="BK9" s="952" t="s">
        <v>2129</v>
      </c>
      <c r="BL9" s="952" t="s">
        <v>2129</v>
      </c>
      <c r="BM9" s="952" t="s">
        <v>2129</v>
      </c>
      <c r="BN9" s="953"/>
      <c r="BO9" s="954"/>
      <c r="BP9" s="899"/>
      <c r="BQ9" s="899"/>
      <c r="BR9" s="899"/>
      <c r="BS9" s="899"/>
      <c r="BT9" s="899"/>
      <c r="BU9" s="899"/>
      <c r="BV9" s="899"/>
      <c r="BW9" s="899"/>
      <c r="BX9" s="899"/>
      <c r="BY9" s="899"/>
      <c r="BZ9" s="899"/>
      <c r="CA9" s="899"/>
      <c r="CB9" s="899"/>
      <c r="CC9" s="899"/>
      <c r="CD9" s="899"/>
      <c r="CE9" s="899"/>
      <c r="CF9" s="899"/>
      <c r="CG9" s="899"/>
      <c r="CH9" s="899"/>
    </row>
    <row r="10" spans="1:87" ht="23.15" customHeight="1">
      <c r="A10" s="6610"/>
      <c r="B10" s="6611"/>
      <c r="C10" s="6611"/>
      <c r="D10" s="6665"/>
      <c r="E10" s="6674"/>
      <c r="F10" s="6675"/>
      <c r="G10" s="6666"/>
      <c r="H10" s="956" t="s">
        <v>3694</v>
      </c>
      <c r="I10" s="1909">
        <v>1004</v>
      </c>
      <c r="J10" s="957" t="s">
        <v>3664</v>
      </c>
      <c r="K10" s="6669"/>
      <c r="L10" s="958" t="s">
        <v>2138</v>
      </c>
      <c r="M10" s="959" t="s">
        <v>3720</v>
      </c>
      <c r="N10" s="960" t="s">
        <v>4264</v>
      </c>
      <c r="O10" s="960" t="s">
        <v>2602</v>
      </c>
      <c r="P10" s="960" t="s">
        <v>4260</v>
      </c>
      <c r="Q10" s="960" t="s">
        <v>2665</v>
      </c>
      <c r="R10" s="960" t="s">
        <v>2602</v>
      </c>
      <c r="S10" s="960" t="s">
        <v>2602</v>
      </c>
      <c r="T10" s="961" t="s">
        <v>2602</v>
      </c>
      <c r="U10" s="961" t="s">
        <v>2602</v>
      </c>
      <c r="V10" s="961" t="s">
        <v>2602</v>
      </c>
      <c r="W10" s="961" t="s">
        <v>2602</v>
      </c>
      <c r="X10" s="960" t="s">
        <v>2602</v>
      </c>
      <c r="Y10" s="960" t="s">
        <v>2602</v>
      </c>
      <c r="Z10" s="960" t="s">
        <v>2602</v>
      </c>
      <c r="AA10" s="960" t="s">
        <v>2602</v>
      </c>
      <c r="AB10" s="962" t="s">
        <v>2602</v>
      </c>
      <c r="AC10" s="963">
        <v>239</v>
      </c>
      <c r="AD10" s="958">
        <v>289</v>
      </c>
      <c r="AE10" s="959" t="s">
        <v>2602</v>
      </c>
      <c r="AF10" s="960" t="s">
        <v>4008</v>
      </c>
      <c r="AG10" s="960" t="s">
        <v>2602</v>
      </c>
      <c r="AH10" s="960" t="s">
        <v>4044</v>
      </c>
      <c r="AI10" s="960" t="s">
        <v>2666</v>
      </c>
      <c r="AJ10" s="960" t="s">
        <v>2602</v>
      </c>
      <c r="AK10" s="960" t="s">
        <v>2602</v>
      </c>
      <c r="AL10" s="961" t="s">
        <v>2602</v>
      </c>
      <c r="AM10" s="961" t="s">
        <v>2602</v>
      </c>
      <c r="AN10" s="961" t="s">
        <v>2602</v>
      </c>
      <c r="AO10" s="961" t="s">
        <v>2602</v>
      </c>
      <c r="AP10" s="960" t="s">
        <v>2602</v>
      </c>
      <c r="AQ10" s="960" t="s">
        <v>2602</v>
      </c>
      <c r="AR10" s="960" t="s">
        <v>2602</v>
      </c>
      <c r="AS10" s="960" t="s">
        <v>2602</v>
      </c>
      <c r="AT10" s="962" t="s">
        <v>2602</v>
      </c>
      <c r="AU10" s="2095">
        <v>91</v>
      </c>
      <c r="AV10" s="1905">
        <v>100</v>
      </c>
      <c r="AW10" s="1905">
        <v>32</v>
      </c>
      <c r="AX10" s="958">
        <v>103</v>
      </c>
      <c r="AY10" s="964">
        <v>0.3807531380753138</v>
      </c>
      <c r="AZ10" s="965" t="s">
        <v>2609</v>
      </c>
      <c r="BA10" s="958" t="s">
        <v>2610</v>
      </c>
      <c r="BB10" s="965" t="s">
        <v>2669</v>
      </c>
      <c r="BC10" s="965" t="s">
        <v>2669</v>
      </c>
      <c r="BD10" s="966" t="s">
        <v>2133</v>
      </c>
      <c r="BE10" s="965" t="s">
        <v>2133</v>
      </c>
      <c r="BF10" s="958" t="s">
        <v>2133</v>
      </c>
      <c r="BG10" s="967" t="s">
        <v>2168</v>
      </c>
      <c r="BH10" s="967" t="s">
        <v>2133</v>
      </c>
      <c r="BI10" s="965" t="s">
        <v>2723</v>
      </c>
      <c r="BJ10" s="968" t="s">
        <v>2133</v>
      </c>
      <c r="BK10" s="969" t="s">
        <v>2129</v>
      </c>
      <c r="BL10" s="969" t="s">
        <v>2129</v>
      </c>
      <c r="BM10" s="969" t="s">
        <v>2129</v>
      </c>
      <c r="BN10" s="970"/>
      <c r="BO10" s="971"/>
      <c r="BP10" s="899"/>
      <c r="BQ10" s="899"/>
      <c r="BR10" s="899"/>
      <c r="BS10" s="899"/>
      <c r="BT10" s="899"/>
      <c r="BU10" s="899"/>
      <c r="BV10" s="899"/>
      <c r="BW10" s="899"/>
      <c r="BX10" s="899"/>
      <c r="BY10" s="899"/>
      <c r="BZ10" s="899"/>
      <c r="CA10" s="899"/>
      <c r="CB10" s="899"/>
      <c r="CC10" s="899"/>
      <c r="CD10" s="899"/>
      <c r="CE10" s="899"/>
      <c r="CF10" s="899"/>
      <c r="CG10" s="899"/>
      <c r="CH10" s="899"/>
    </row>
    <row r="11" spans="1:87" ht="23.15" customHeight="1">
      <c r="A11" s="6610"/>
      <c r="B11" s="6611"/>
      <c r="C11" s="6611"/>
      <c r="D11" s="6665"/>
      <c r="E11" s="6670" t="s">
        <v>4265</v>
      </c>
      <c r="F11" s="6672">
        <v>1500</v>
      </c>
      <c r="G11" s="6666"/>
      <c r="H11" s="972" t="s">
        <v>3694</v>
      </c>
      <c r="I11" s="1908">
        <v>26</v>
      </c>
      <c r="J11" s="940" t="s">
        <v>4266</v>
      </c>
      <c r="K11" s="6667">
        <f>COUNTA(J11:J21)</f>
        <v>11</v>
      </c>
      <c r="L11" s="941" t="s">
        <v>2138</v>
      </c>
      <c r="M11" s="942" t="s">
        <v>4267</v>
      </c>
      <c r="N11" s="943" t="s">
        <v>2699</v>
      </c>
      <c r="O11" s="943" t="s">
        <v>2602</v>
      </c>
      <c r="P11" s="943" t="s">
        <v>3981</v>
      </c>
      <c r="Q11" s="943" t="s">
        <v>2602</v>
      </c>
      <c r="R11" s="943" t="s">
        <v>2602</v>
      </c>
      <c r="S11" s="943" t="s">
        <v>2602</v>
      </c>
      <c r="T11" s="944" t="s">
        <v>2602</v>
      </c>
      <c r="U11" s="944" t="s">
        <v>2602</v>
      </c>
      <c r="V11" s="944" t="s">
        <v>2602</v>
      </c>
      <c r="W11" s="944" t="s">
        <v>2602</v>
      </c>
      <c r="X11" s="943" t="s">
        <v>2602</v>
      </c>
      <c r="Y11" s="943" t="s">
        <v>2602</v>
      </c>
      <c r="Z11" s="943" t="s">
        <v>2602</v>
      </c>
      <c r="AA11" s="943" t="s">
        <v>2602</v>
      </c>
      <c r="AB11" s="945" t="s">
        <v>2602</v>
      </c>
      <c r="AC11" s="946">
        <v>285</v>
      </c>
      <c r="AD11" s="941">
        <v>292</v>
      </c>
      <c r="AE11" s="942" t="s">
        <v>2697</v>
      </c>
      <c r="AF11" s="943" t="s">
        <v>2602</v>
      </c>
      <c r="AG11" s="943" t="s">
        <v>2602</v>
      </c>
      <c r="AH11" s="943" t="s">
        <v>2602</v>
      </c>
      <c r="AI11" s="943" t="s">
        <v>2602</v>
      </c>
      <c r="AJ11" s="943" t="s">
        <v>2602</v>
      </c>
      <c r="AK11" s="943" t="s">
        <v>2602</v>
      </c>
      <c r="AL11" s="944" t="s">
        <v>2602</v>
      </c>
      <c r="AM11" s="944" t="s">
        <v>2602</v>
      </c>
      <c r="AN11" s="944" t="s">
        <v>2602</v>
      </c>
      <c r="AO11" s="944" t="s">
        <v>2602</v>
      </c>
      <c r="AP11" s="943" t="s">
        <v>2602</v>
      </c>
      <c r="AQ11" s="943" t="s">
        <v>2602</v>
      </c>
      <c r="AR11" s="943" t="s">
        <v>2602</v>
      </c>
      <c r="AS11" s="943" t="s">
        <v>2602</v>
      </c>
      <c r="AT11" s="945" t="s">
        <v>2602</v>
      </c>
      <c r="AU11" s="2094">
        <v>70</v>
      </c>
      <c r="AV11" s="2088">
        <v>205</v>
      </c>
      <c r="AW11" s="2088">
        <v>32</v>
      </c>
      <c r="AX11" s="941">
        <v>70</v>
      </c>
      <c r="AY11" s="947">
        <v>0.24561403508771928</v>
      </c>
      <c r="AZ11" s="948" t="s">
        <v>2609</v>
      </c>
      <c r="BA11" s="941" t="s">
        <v>2610</v>
      </c>
      <c r="BB11" s="948">
        <v>0</v>
      </c>
      <c r="BC11" s="948">
        <v>0</v>
      </c>
      <c r="BD11" s="949" t="s">
        <v>2133</v>
      </c>
      <c r="BE11" s="948" t="s">
        <v>2688</v>
      </c>
      <c r="BF11" s="941" t="s">
        <v>2688</v>
      </c>
      <c r="BG11" s="950" t="s">
        <v>2168</v>
      </c>
      <c r="BH11" s="950" t="s">
        <v>2133</v>
      </c>
      <c r="BI11" s="948" t="s">
        <v>2723</v>
      </c>
      <c r="BJ11" s="951" t="s">
        <v>2133</v>
      </c>
      <c r="BK11" s="952" t="s">
        <v>2129</v>
      </c>
      <c r="BL11" s="952" t="s">
        <v>2129</v>
      </c>
      <c r="BM11" s="952" t="s">
        <v>2129</v>
      </c>
      <c r="BN11" s="953"/>
      <c r="BO11" s="954"/>
      <c r="BP11" s="899"/>
      <c r="BQ11" s="899"/>
      <c r="BR11" s="899"/>
      <c r="BS11" s="899"/>
      <c r="BT11" s="899"/>
      <c r="BU11" s="899"/>
      <c r="BV11" s="899"/>
      <c r="BW11" s="899"/>
      <c r="BX11" s="899"/>
      <c r="BY11" s="899"/>
      <c r="BZ11" s="899"/>
      <c r="CA11" s="899"/>
      <c r="CB11" s="899"/>
      <c r="CC11" s="899"/>
      <c r="CD11" s="899"/>
      <c r="CE11" s="899"/>
      <c r="CF11" s="899"/>
      <c r="CG11" s="899"/>
      <c r="CH11" s="899"/>
    </row>
    <row r="12" spans="1:87" ht="23.15" customHeight="1">
      <c r="A12" s="6610"/>
      <c r="B12" s="6611"/>
      <c r="C12" s="6611"/>
      <c r="D12" s="6665"/>
      <c r="E12" s="6671"/>
      <c r="F12" s="6673"/>
      <c r="G12" s="6666"/>
      <c r="H12" s="939" t="s">
        <v>3694</v>
      </c>
      <c r="I12" s="1908">
        <v>38</v>
      </c>
      <c r="J12" s="940" t="s">
        <v>4268</v>
      </c>
      <c r="K12" s="6668"/>
      <c r="L12" s="941" t="s">
        <v>2138</v>
      </c>
      <c r="M12" s="942" t="s">
        <v>4269</v>
      </c>
      <c r="N12" s="943" t="s">
        <v>2721</v>
      </c>
      <c r="O12" s="943" t="s">
        <v>3711</v>
      </c>
      <c r="P12" s="943" t="s">
        <v>2602</v>
      </c>
      <c r="Q12" s="943" t="s">
        <v>2602</v>
      </c>
      <c r="R12" s="943" t="s">
        <v>2602</v>
      </c>
      <c r="S12" s="943" t="s">
        <v>2602</v>
      </c>
      <c r="T12" s="944" t="s">
        <v>2602</v>
      </c>
      <c r="U12" s="944" t="s">
        <v>2602</v>
      </c>
      <c r="V12" s="944" t="s">
        <v>2602</v>
      </c>
      <c r="W12" s="944" t="s">
        <v>2602</v>
      </c>
      <c r="X12" s="943" t="s">
        <v>2602</v>
      </c>
      <c r="Y12" s="943" t="s">
        <v>2602</v>
      </c>
      <c r="Z12" s="943" t="s">
        <v>2602</v>
      </c>
      <c r="AA12" s="943" t="s">
        <v>2602</v>
      </c>
      <c r="AB12" s="945" t="s">
        <v>2602</v>
      </c>
      <c r="AC12" s="946">
        <v>102</v>
      </c>
      <c r="AD12" s="941">
        <v>102</v>
      </c>
      <c r="AE12" s="942" t="s">
        <v>3712</v>
      </c>
      <c r="AF12" s="943" t="s">
        <v>3721</v>
      </c>
      <c r="AG12" s="943" t="s">
        <v>2623</v>
      </c>
      <c r="AH12" s="943" t="s">
        <v>2602</v>
      </c>
      <c r="AI12" s="943" t="s">
        <v>2602</v>
      </c>
      <c r="AJ12" s="943" t="s">
        <v>2602</v>
      </c>
      <c r="AK12" s="943" t="s">
        <v>2602</v>
      </c>
      <c r="AL12" s="944" t="s">
        <v>2602</v>
      </c>
      <c r="AM12" s="944" t="s">
        <v>2602</v>
      </c>
      <c r="AN12" s="944" t="s">
        <v>2602</v>
      </c>
      <c r="AO12" s="944" t="s">
        <v>2602</v>
      </c>
      <c r="AP12" s="943" t="s">
        <v>2602</v>
      </c>
      <c r="AQ12" s="943" t="s">
        <v>2602</v>
      </c>
      <c r="AR12" s="943" t="s">
        <v>2602</v>
      </c>
      <c r="AS12" s="943" t="s">
        <v>2602</v>
      </c>
      <c r="AT12" s="945" t="s">
        <v>2602</v>
      </c>
      <c r="AU12" s="2094">
        <v>49</v>
      </c>
      <c r="AV12" s="2088">
        <v>75</v>
      </c>
      <c r="AW12" s="2088">
        <v>32</v>
      </c>
      <c r="AX12" s="941">
        <v>49</v>
      </c>
      <c r="AY12" s="947">
        <v>0.48039215686274511</v>
      </c>
      <c r="AZ12" s="948" t="s">
        <v>2609</v>
      </c>
      <c r="BA12" s="941" t="s">
        <v>2610</v>
      </c>
      <c r="BB12" s="948">
        <v>0</v>
      </c>
      <c r="BC12" s="948">
        <v>0</v>
      </c>
      <c r="BD12" s="949" t="s">
        <v>2133</v>
      </c>
      <c r="BE12" s="948" t="s">
        <v>2688</v>
      </c>
      <c r="BF12" s="941" t="s">
        <v>2688</v>
      </c>
      <c r="BG12" s="950" t="s">
        <v>2168</v>
      </c>
      <c r="BH12" s="950" t="s">
        <v>2133</v>
      </c>
      <c r="BI12" s="948" t="s">
        <v>2723</v>
      </c>
      <c r="BJ12" s="951" t="s">
        <v>2129</v>
      </c>
      <c r="BK12" s="952" t="s">
        <v>2129</v>
      </c>
      <c r="BL12" s="952" t="s">
        <v>2129</v>
      </c>
      <c r="BM12" s="952" t="s">
        <v>2129</v>
      </c>
      <c r="BN12" s="953"/>
      <c r="BO12" s="954"/>
      <c r="BP12" s="899"/>
      <c r="BQ12" s="899"/>
      <c r="BR12" s="899"/>
      <c r="BS12" s="899"/>
      <c r="BT12" s="899"/>
      <c r="BU12" s="899"/>
      <c r="BV12" s="899"/>
      <c r="BW12" s="899"/>
      <c r="BX12" s="899"/>
      <c r="BY12" s="899"/>
      <c r="BZ12" s="899"/>
      <c r="CA12" s="899"/>
      <c r="CB12" s="899"/>
      <c r="CC12" s="899"/>
      <c r="CD12" s="899"/>
      <c r="CE12" s="899"/>
      <c r="CF12" s="899"/>
      <c r="CG12" s="899"/>
      <c r="CH12" s="899"/>
    </row>
    <row r="13" spans="1:87" ht="23.15" customHeight="1">
      <c r="A13" s="6610"/>
      <c r="B13" s="6611"/>
      <c r="C13" s="6611"/>
      <c r="D13" s="6665"/>
      <c r="E13" s="6671"/>
      <c r="F13" s="6673"/>
      <c r="G13" s="6666"/>
      <c r="H13" s="939" t="s">
        <v>3694</v>
      </c>
      <c r="I13" s="1908">
        <v>41</v>
      </c>
      <c r="J13" s="940" t="s">
        <v>3702</v>
      </c>
      <c r="K13" s="6668"/>
      <c r="L13" s="941" t="s">
        <v>2138</v>
      </c>
      <c r="M13" s="942" t="s">
        <v>3703</v>
      </c>
      <c r="N13" s="943" t="s">
        <v>2731</v>
      </c>
      <c r="O13" s="943" t="s">
        <v>2602</v>
      </c>
      <c r="P13" s="943" t="s">
        <v>2687</v>
      </c>
      <c r="Q13" s="943" t="s">
        <v>2602</v>
      </c>
      <c r="R13" s="943" t="s">
        <v>2602</v>
      </c>
      <c r="S13" s="943" t="s">
        <v>2602</v>
      </c>
      <c r="T13" s="944" t="s">
        <v>2602</v>
      </c>
      <c r="U13" s="944" t="s">
        <v>2602</v>
      </c>
      <c r="V13" s="944" t="s">
        <v>2602</v>
      </c>
      <c r="W13" s="944" t="s">
        <v>2602</v>
      </c>
      <c r="X13" s="943" t="s">
        <v>2602</v>
      </c>
      <c r="Y13" s="943" t="s">
        <v>2602</v>
      </c>
      <c r="Z13" s="943" t="s">
        <v>2602</v>
      </c>
      <c r="AA13" s="943" t="s">
        <v>2602</v>
      </c>
      <c r="AB13" s="945" t="s">
        <v>2602</v>
      </c>
      <c r="AC13" s="946">
        <v>195</v>
      </c>
      <c r="AD13" s="941">
        <v>201</v>
      </c>
      <c r="AE13" s="942" t="s">
        <v>2697</v>
      </c>
      <c r="AF13" s="943" t="s">
        <v>2602</v>
      </c>
      <c r="AG13" s="943" t="s">
        <v>2602</v>
      </c>
      <c r="AH13" s="943" t="s">
        <v>2602</v>
      </c>
      <c r="AI13" s="943" t="s">
        <v>2602</v>
      </c>
      <c r="AJ13" s="943" t="s">
        <v>2602</v>
      </c>
      <c r="AK13" s="943" t="s">
        <v>2602</v>
      </c>
      <c r="AL13" s="944" t="s">
        <v>2602</v>
      </c>
      <c r="AM13" s="944" t="s">
        <v>2602</v>
      </c>
      <c r="AN13" s="944" t="s">
        <v>2602</v>
      </c>
      <c r="AO13" s="944" t="s">
        <v>2602</v>
      </c>
      <c r="AP13" s="943" t="s">
        <v>2602</v>
      </c>
      <c r="AQ13" s="943" t="s">
        <v>2602</v>
      </c>
      <c r="AR13" s="943" t="s">
        <v>2602</v>
      </c>
      <c r="AS13" s="943" t="s">
        <v>2602</v>
      </c>
      <c r="AT13" s="945" t="s">
        <v>2602</v>
      </c>
      <c r="AU13" s="2094">
        <v>70</v>
      </c>
      <c r="AV13" s="2088">
        <v>140</v>
      </c>
      <c r="AW13" s="2088">
        <v>32</v>
      </c>
      <c r="AX13" s="941">
        <v>70</v>
      </c>
      <c r="AY13" s="947">
        <v>0.35897435897435898</v>
      </c>
      <c r="AZ13" s="948" t="s">
        <v>2609</v>
      </c>
      <c r="BA13" s="941" t="s">
        <v>2609</v>
      </c>
      <c r="BB13" s="948">
        <v>0</v>
      </c>
      <c r="BC13" s="948">
        <v>0</v>
      </c>
      <c r="BD13" s="949" t="s">
        <v>2133</v>
      </c>
      <c r="BE13" s="948" t="s">
        <v>2688</v>
      </c>
      <c r="BF13" s="941" t="s">
        <v>2688</v>
      </c>
      <c r="BG13" s="950" t="s">
        <v>2728</v>
      </c>
      <c r="BH13" s="950" t="s">
        <v>2133</v>
      </c>
      <c r="BI13" s="948" t="s">
        <v>2723</v>
      </c>
      <c r="BJ13" s="951" t="s">
        <v>2133</v>
      </c>
      <c r="BK13" s="952" t="s">
        <v>2129</v>
      </c>
      <c r="BL13" s="952" t="s">
        <v>2129</v>
      </c>
      <c r="BM13" s="952" t="s">
        <v>2129</v>
      </c>
      <c r="BN13" s="953"/>
      <c r="BO13" s="954"/>
      <c r="BP13" s="899"/>
      <c r="BQ13" s="899"/>
      <c r="BR13" s="899"/>
      <c r="BS13" s="899"/>
      <c r="BT13" s="899"/>
      <c r="BU13" s="899"/>
      <c r="BV13" s="899"/>
      <c r="BW13" s="899"/>
      <c r="BX13" s="899"/>
      <c r="BY13" s="899"/>
      <c r="BZ13" s="899"/>
      <c r="CA13" s="899"/>
      <c r="CB13" s="899"/>
      <c r="CC13" s="899"/>
      <c r="CD13" s="899"/>
      <c r="CE13" s="899"/>
      <c r="CF13" s="899"/>
      <c r="CG13" s="899"/>
      <c r="CH13" s="899"/>
    </row>
    <row r="14" spans="1:87" ht="23.15" customHeight="1">
      <c r="A14" s="6610"/>
      <c r="B14" s="6611"/>
      <c r="C14" s="6611"/>
      <c r="D14" s="6665"/>
      <c r="E14" s="6671"/>
      <c r="F14" s="6673"/>
      <c r="G14" s="6666"/>
      <c r="H14" s="939" t="s">
        <v>3694</v>
      </c>
      <c r="I14" s="1908">
        <v>42</v>
      </c>
      <c r="J14" s="940" t="s">
        <v>3704</v>
      </c>
      <c r="K14" s="6668"/>
      <c r="L14" s="941" t="s">
        <v>2138</v>
      </c>
      <c r="M14" s="942" t="s">
        <v>2602</v>
      </c>
      <c r="N14" s="943" t="s">
        <v>3705</v>
      </c>
      <c r="O14" s="943" t="s">
        <v>3706</v>
      </c>
      <c r="P14" s="943" t="s">
        <v>2602</v>
      </c>
      <c r="Q14" s="943" t="s">
        <v>2602</v>
      </c>
      <c r="R14" s="943" t="s">
        <v>2602</v>
      </c>
      <c r="S14" s="943" t="s">
        <v>2602</v>
      </c>
      <c r="T14" s="944" t="s">
        <v>2602</v>
      </c>
      <c r="U14" s="944" t="s">
        <v>2602</v>
      </c>
      <c r="V14" s="944" t="s">
        <v>2602</v>
      </c>
      <c r="W14" s="944" t="s">
        <v>2602</v>
      </c>
      <c r="X14" s="943" t="s">
        <v>2602</v>
      </c>
      <c r="Y14" s="943" t="s">
        <v>2602</v>
      </c>
      <c r="Z14" s="943" t="s">
        <v>2602</v>
      </c>
      <c r="AA14" s="943" t="s">
        <v>2602</v>
      </c>
      <c r="AB14" s="945" t="s">
        <v>2602</v>
      </c>
      <c r="AC14" s="946">
        <v>139</v>
      </c>
      <c r="AD14" s="941">
        <v>139</v>
      </c>
      <c r="AE14" s="942" t="s">
        <v>2602</v>
      </c>
      <c r="AF14" s="943" t="s">
        <v>3707</v>
      </c>
      <c r="AG14" s="943" t="s">
        <v>3708</v>
      </c>
      <c r="AH14" s="943" t="s">
        <v>2602</v>
      </c>
      <c r="AI14" s="943" t="s">
        <v>2602</v>
      </c>
      <c r="AJ14" s="943" t="s">
        <v>2602</v>
      </c>
      <c r="AK14" s="943" t="s">
        <v>2602</v>
      </c>
      <c r="AL14" s="944" t="s">
        <v>2602</v>
      </c>
      <c r="AM14" s="944" t="s">
        <v>2602</v>
      </c>
      <c r="AN14" s="944" t="s">
        <v>2602</v>
      </c>
      <c r="AO14" s="944" t="s">
        <v>2602</v>
      </c>
      <c r="AP14" s="943" t="s">
        <v>2602</v>
      </c>
      <c r="AQ14" s="943" t="s">
        <v>2602</v>
      </c>
      <c r="AR14" s="943" t="s">
        <v>2602</v>
      </c>
      <c r="AS14" s="943" t="s">
        <v>2602</v>
      </c>
      <c r="AT14" s="945" t="s">
        <v>2602</v>
      </c>
      <c r="AU14" s="2094">
        <v>95</v>
      </c>
      <c r="AV14" s="2088">
        <v>100</v>
      </c>
      <c r="AW14" s="2088">
        <v>32</v>
      </c>
      <c r="AX14" s="941">
        <v>95</v>
      </c>
      <c r="AY14" s="947">
        <v>0.68345323741007191</v>
      </c>
      <c r="AZ14" s="948" t="s">
        <v>2610</v>
      </c>
      <c r="BA14" s="941" t="s">
        <v>2610</v>
      </c>
      <c r="BB14" s="948">
        <v>0</v>
      </c>
      <c r="BC14" s="948">
        <v>0</v>
      </c>
      <c r="BD14" s="949" t="s">
        <v>2133</v>
      </c>
      <c r="BE14" s="948" t="s">
        <v>2688</v>
      </c>
      <c r="BF14" s="941" t="s">
        <v>2688</v>
      </c>
      <c r="BG14" s="950" t="s">
        <v>2728</v>
      </c>
      <c r="BH14" s="950" t="s">
        <v>2133</v>
      </c>
      <c r="BI14" s="948" t="s">
        <v>2723</v>
      </c>
      <c r="BJ14" s="951" t="s">
        <v>2129</v>
      </c>
      <c r="BK14" s="952" t="s">
        <v>2129</v>
      </c>
      <c r="BL14" s="952" t="s">
        <v>2129</v>
      </c>
      <c r="BM14" s="952" t="s">
        <v>2129</v>
      </c>
      <c r="BN14" s="953"/>
      <c r="BO14" s="954"/>
      <c r="BP14" s="899"/>
      <c r="BQ14" s="899"/>
      <c r="BR14" s="899"/>
      <c r="BS14" s="899"/>
      <c r="BT14" s="899"/>
      <c r="BU14" s="899"/>
      <c r="BV14" s="899"/>
      <c r="BW14" s="899"/>
      <c r="BX14" s="899"/>
      <c r="BY14" s="899"/>
      <c r="BZ14" s="899"/>
      <c r="CA14" s="899"/>
      <c r="CB14" s="899"/>
      <c r="CC14" s="899"/>
      <c r="CD14" s="899"/>
      <c r="CE14" s="899"/>
      <c r="CF14" s="899"/>
      <c r="CG14" s="899"/>
      <c r="CH14" s="899"/>
    </row>
    <row r="15" spans="1:87" ht="23.15" customHeight="1">
      <c r="A15" s="6610"/>
      <c r="B15" s="6611"/>
      <c r="C15" s="6611"/>
      <c r="D15" s="6665"/>
      <c r="E15" s="6671"/>
      <c r="F15" s="6673"/>
      <c r="G15" s="6666"/>
      <c r="H15" s="939" t="s">
        <v>3694</v>
      </c>
      <c r="I15" s="1908">
        <v>43</v>
      </c>
      <c r="J15" s="940" t="s">
        <v>3709</v>
      </c>
      <c r="K15" s="6668"/>
      <c r="L15" s="941" t="s">
        <v>2138</v>
      </c>
      <c r="M15" s="942" t="s">
        <v>3710</v>
      </c>
      <c r="N15" s="943" t="s">
        <v>3711</v>
      </c>
      <c r="O15" s="943" t="s">
        <v>3712</v>
      </c>
      <c r="P15" s="943" t="s">
        <v>2602</v>
      </c>
      <c r="Q15" s="943" t="s">
        <v>2602</v>
      </c>
      <c r="R15" s="943" t="s">
        <v>2602</v>
      </c>
      <c r="S15" s="943" t="s">
        <v>2602</v>
      </c>
      <c r="T15" s="944" t="s">
        <v>2602</v>
      </c>
      <c r="U15" s="944" t="s">
        <v>2602</v>
      </c>
      <c r="V15" s="944" t="s">
        <v>2602</v>
      </c>
      <c r="W15" s="944" t="s">
        <v>2602</v>
      </c>
      <c r="X15" s="943" t="s">
        <v>2602</v>
      </c>
      <c r="Y15" s="943" t="s">
        <v>2602</v>
      </c>
      <c r="Z15" s="943" t="s">
        <v>2602</v>
      </c>
      <c r="AA15" s="943" t="s">
        <v>2602</v>
      </c>
      <c r="AB15" s="945" t="s">
        <v>2602</v>
      </c>
      <c r="AC15" s="946">
        <v>375</v>
      </c>
      <c r="AD15" s="941">
        <v>375</v>
      </c>
      <c r="AE15" s="942" t="s">
        <v>3713</v>
      </c>
      <c r="AF15" s="943" t="s">
        <v>3714</v>
      </c>
      <c r="AG15" s="943" t="s">
        <v>3715</v>
      </c>
      <c r="AH15" s="943" t="s">
        <v>2602</v>
      </c>
      <c r="AI15" s="943" t="s">
        <v>2602</v>
      </c>
      <c r="AJ15" s="943" t="s">
        <v>2602</v>
      </c>
      <c r="AK15" s="943" t="s">
        <v>2602</v>
      </c>
      <c r="AL15" s="944" t="s">
        <v>2602</v>
      </c>
      <c r="AM15" s="944" t="s">
        <v>2602</v>
      </c>
      <c r="AN15" s="944" t="s">
        <v>2602</v>
      </c>
      <c r="AO15" s="944" t="s">
        <v>2602</v>
      </c>
      <c r="AP15" s="943" t="s">
        <v>2602</v>
      </c>
      <c r="AQ15" s="943" t="s">
        <v>2602</v>
      </c>
      <c r="AR15" s="943" t="s">
        <v>2602</v>
      </c>
      <c r="AS15" s="943" t="s">
        <v>2602</v>
      </c>
      <c r="AT15" s="945" t="s">
        <v>2602</v>
      </c>
      <c r="AU15" s="2094">
        <v>212</v>
      </c>
      <c r="AV15" s="2088">
        <v>270</v>
      </c>
      <c r="AW15" s="2088">
        <v>32</v>
      </c>
      <c r="AX15" s="941">
        <v>212</v>
      </c>
      <c r="AY15" s="947">
        <v>0.56533333333333335</v>
      </c>
      <c r="AZ15" s="948" t="s">
        <v>2609</v>
      </c>
      <c r="BA15" s="941" t="s">
        <v>2610</v>
      </c>
      <c r="BB15" s="948">
        <v>2</v>
      </c>
      <c r="BC15" s="948">
        <v>2</v>
      </c>
      <c r="BD15" s="949" t="s">
        <v>2133</v>
      </c>
      <c r="BE15" s="948" t="s">
        <v>2688</v>
      </c>
      <c r="BF15" s="941" t="s">
        <v>2688</v>
      </c>
      <c r="BG15" s="950" t="s">
        <v>2728</v>
      </c>
      <c r="BH15" s="950" t="s">
        <v>2133</v>
      </c>
      <c r="BI15" s="948" t="s">
        <v>2723</v>
      </c>
      <c r="BJ15" s="951" t="s">
        <v>2133</v>
      </c>
      <c r="BK15" s="952" t="s">
        <v>2129</v>
      </c>
      <c r="BL15" s="952" t="s">
        <v>2129</v>
      </c>
      <c r="BM15" s="952" t="s">
        <v>2129</v>
      </c>
      <c r="BN15" s="953"/>
      <c r="BO15" s="954"/>
      <c r="BP15" s="899"/>
      <c r="BQ15" s="899"/>
      <c r="BR15" s="899"/>
      <c r="BS15" s="899"/>
      <c r="BT15" s="899"/>
      <c r="BU15" s="899"/>
      <c r="BV15" s="899"/>
      <c r="BW15" s="899"/>
      <c r="BX15" s="899"/>
      <c r="BY15" s="899"/>
      <c r="BZ15" s="899"/>
      <c r="CA15" s="899"/>
      <c r="CB15" s="899"/>
      <c r="CC15" s="899"/>
      <c r="CD15" s="899"/>
      <c r="CE15" s="899"/>
      <c r="CF15" s="899"/>
      <c r="CG15" s="899"/>
      <c r="CH15" s="899"/>
    </row>
    <row r="16" spans="1:87" ht="23.15" customHeight="1">
      <c r="A16" s="6610"/>
      <c r="B16" s="6611"/>
      <c r="C16" s="6611"/>
      <c r="D16" s="6665"/>
      <c r="E16" s="6671"/>
      <c r="F16" s="6673"/>
      <c r="G16" s="6666"/>
      <c r="H16" s="939" t="s">
        <v>3694</v>
      </c>
      <c r="I16" s="1908">
        <v>44</v>
      </c>
      <c r="J16" s="940" t="s">
        <v>3716</v>
      </c>
      <c r="K16" s="6668"/>
      <c r="L16" s="941" t="s">
        <v>2138</v>
      </c>
      <c r="M16" s="942" t="s">
        <v>3717</v>
      </c>
      <c r="N16" s="943" t="s">
        <v>2623</v>
      </c>
      <c r="O16" s="943" t="s">
        <v>2623</v>
      </c>
      <c r="P16" s="943" t="s">
        <v>2636</v>
      </c>
      <c r="Q16" s="943" t="s">
        <v>2602</v>
      </c>
      <c r="R16" s="943" t="s">
        <v>2602</v>
      </c>
      <c r="S16" s="943" t="s">
        <v>2602</v>
      </c>
      <c r="T16" s="944" t="s">
        <v>3718</v>
      </c>
      <c r="U16" s="944" t="s">
        <v>2602</v>
      </c>
      <c r="V16" s="944" t="s">
        <v>2602</v>
      </c>
      <c r="W16" s="944" t="s">
        <v>2602</v>
      </c>
      <c r="X16" s="943" t="s">
        <v>2602</v>
      </c>
      <c r="Y16" s="943" t="s">
        <v>2602</v>
      </c>
      <c r="Z16" s="943" t="s">
        <v>2602</v>
      </c>
      <c r="AA16" s="943" t="s">
        <v>2602</v>
      </c>
      <c r="AB16" s="945" t="s">
        <v>2602</v>
      </c>
      <c r="AC16" s="946">
        <v>100</v>
      </c>
      <c r="AD16" s="941">
        <v>99</v>
      </c>
      <c r="AE16" s="942" t="s">
        <v>3719</v>
      </c>
      <c r="AF16" s="943" t="s">
        <v>3720</v>
      </c>
      <c r="AG16" s="943" t="s">
        <v>3721</v>
      </c>
      <c r="AH16" s="943" t="s">
        <v>2636</v>
      </c>
      <c r="AI16" s="943" t="s">
        <v>2602</v>
      </c>
      <c r="AJ16" s="943" t="s">
        <v>2602</v>
      </c>
      <c r="AK16" s="943" t="s">
        <v>2602</v>
      </c>
      <c r="AL16" s="944" t="s">
        <v>2635</v>
      </c>
      <c r="AM16" s="944" t="s">
        <v>2602</v>
      </c>
      <c r="AN16" s="944" t="s">
        <v>2602</v>
      </c>
      <c r="AO16" s="944" t="s">
        <v>2602</v>
      </c>
      <c r="AP16" s="943" t="s">
        <v>2602</v>
      </c>
      <c r="AQ16" s="943" t="s">
        <v>2602</v>
      </c>
      <c r="AR16" s="943" t="s">
        <v>2602</v>
      </c>
      <c r="AS16" s="943" t="s">
        <v>2602</v>
      </c>
      <c r="AT16" s="945" t="s">
        <v>2602</v>
      </c>
      <c r="AU16" s="2094">
        <v>65</v>
      </c>
      <c r="AV16" s="2088">
        <v>75</v>
      </c>
      <c r="AW16" s="2088">
        <v>32</v>
      </c>
      <c r="AX16" s="941">
        <v>65</v>
      </c>
      <c r="AY16" s="947">
        <v>0.65</v>
      </c>
      <c r="AZ16" s="948" t="s">
        <v>2609</v>
      </c>
      <c r="BA16" s="941" t="s">
        <v>2610</v>
      </c>
      <c r="BB16" s="948" t="s">
        <v>2669</v>
      </c>
      <c r="BC16" s="948" t="s">
        <v>2669</v>
      </c>
      <c r="BD16" s="949" t="s">
        <v>2133</v>
      </c>
      <c r="BE16" s="948" t="s">
        <v>2688</v>
      </c>
      <c r="BF16" s="941" t="s">
        <v>2688</v>
      </c>
      <c r="BG16" s="950" t="s">
        <v>2317</v>
      </c>
      <c r="BH16" s="950" t="s">
        <v>2133</v>
      </c>
      <c r="BI16" s="948" t="s">
        <v>3915</v>
      </c>
      <c r="BJ16" s="951" t="s">
        <v>2129</v>
      </c>
      <c r="BK16" s="952" t="s">
        <v>2129</v>
      </c>
      <c r="BL16" s="952" t="s">
        <v>2129</v>
      </c>
      <c r="BM16" s="952" t="s">
        <v>2129</v>
      </c>
      <c r="BN16" s="953"/>
      <c r="BO16" s="954"/>
      <c r="BP16" s="899"/>
      <c r="BQ16" s="899"/>
      <c r="BR16" s="899"/>
      <c r="BS16" s="899"/>
      <c r="BT16" s="899"/>
      <c r="BU16" s="899"/>
      <c r="BV16" s="899"/>
      <c r="BW16" s="899"/>
      <c r="BX16" s="899"/>
      <c r="BY16" s="899"/>
      <c r="BZ16" s="899"/>
      <c r="CA16" s="899"/>
      <c r="CB16" s="899"/>
      <c r="CC16" s="899"/>
      <c r="CD16" s="899"/>
      <c r="CE16" s="899"/>
      <c r="CF16" s="899"/>
      <c r="CG16" s="899"/>
      <c r="CH16" s="899"/>
    </row>
    <row r="17" spans="1:86" ht="23.15" customHeight="1">
      <c r="A17" s="6610"/>
      <c r="B17" s="6611"/>
      <c r="C17" s="6611"/>
      <c r="D17" s="6665"/>
      <c r="E17" s="6671"/>
      <c r="F17" s="6673"/>
      <c r="G17" s="6666"/>
      <c r="H17" s="939" t="s">
        <v>3694</v>
      </c>
      <c r="I17" s="1908">
        <v>47</v>
      </c>
      <c r="J17" s="940" t="s">
        <v>3722</v>
      </c>
      <c r="K17" s="6668"/>
      <c r="L17" s="941" t="s">
        <v>2138</v>
      </c>
      <c r="M17" s="942" t="s">
        <v>3723</v>
      </c>
      <c r="N17" s="943" t="s">
        <v>2676</v>
      </c>
      <c r="O17" s="943" t="s">
        <v>3724</v>
      </c>
      <c r="P17" s="943" t="s">
        <v>3725</v>
      </c>
      <c r="Q17" s="943" t="s">
        <v>2602</v>
      </c>
      <c r="R17" s="943" t="s">
        <v>2602</v>
      </c>
      <c r="S17" s="943" t="s">
        <v>2602</v>
      </c>
      <c r="T17" s="944" t="s">
        <v>2602</v>
      </c>
      <c r="U17" s="944" t="s">
        <v>2602</v>
      </c>
      <c r="V17" s="944" t="s">
        <v>2602</v>
      </c>
      <c r="W17" s="944" t="s">
        <v>2602</v>
      </c>
      <c r="X17" s="943" t="s">
        <v>2602</v>
      </c>
      <c r="Y17" s="943" t="s">
        <v>2602</v>
      </c>
      <c r="Z17" s="943" t="s">
        <v>2602</v>
      </c>
      <c r="AA17" s="943" t="s">
        <v>2602</v>
      </c>
      <c r="AB17" s="945" t="s">
        <v>2602</v>
      </c>
      <c r="AC17" s="946">
        <v>161</v>
      </c>
      <c r="AD17" s="941">
        <v>162</v>
      </c>
      <c r="AE17" s="942" t="s">
        <v>3723</v>
      </c>
      <c r="AF17" s="943" t="s">
        <v>2676</v>
      </c>
      <c r="AG17" s="943" t="s">
        <v>3726</v>
      </c>
      <c r="AH17" s="943" t="s">
        <v>2636</v>
      </c>
      <c r="AI17" s="943" t="s">
        <v>2602</v>
      </c>
      <c r="AJ17" s="943" t="s">
        <v>2602</v>
      </c>
      <c r="AK17" s="943" t="s">
        <v>2602</v>
      </c>
      <c r="AL17" s="944" t="s">
        <v>2602</v>
      </c>
      <c r="AM17" s="944" t="s">
        <v>2602</v>
      </c>
      <c r="AN17" s="944" t="s">
        <v>2602</v>
      </c>
      <c r="AO17" s="944" t="s">
        <v>2602</v>
      </c>
      <c r="AP17" s="943" t="s">
        <v>2602</v>
      </c>
      <c r="AQ17" s="943" t="s">
        <v>2602</v>
      </c>
      <c r="AR17" s="943" t="s">
        <v>2602</v>
      </c>
      <c r="AS17" s="943" t="s">
        <v>2602</v>
      </c>
      <c r="AT17" s="945" t="s">
        <v>2602</v>
      </c>
      <c r="AU17" s="2094">
        <v>161</v>
      </c>
      <c r="AV17" s="2088">
        <v>120</v>
      </c>
      <c r="AW17" s="2088">
        <v>32</v>
      </c>
      <c r="AX17" s="941">
        <v>162</v>
      </c>
      <c r="AY17" s="947">
        <v>1</v>
      </c>
      <c r="AZ17" s="948" t="s">
        <v>2610</v>
      </c>
      <c r="BA17" s="941" t="s">
        <v>2610</v>
      </c>
      <c r="BB17" s="948">
        <v>0</v>
      </c>
      <c r="BC17" s="948">
        <v>0</v>
      </c>
      <c r="BD17" s="949" t="s">
        <v>2133</v>
      </c>
      <c r="BE17" s="948" t="s">
        <v>2688</v>
      </c>
      <c r="BF17" s="941" t="s">
        <v>2688</v>
      </c>
      <c r="BG17" s="950" t="s">
        <v>2728</v>
      </c>
      <c r="BH17" s="950" t="s">
        <v>2133</v>
      </c>
      <c r="BI17" s="948" t="s">
        <v>2723</v>
      </c>
      <c r="BJ17" s="951" t="s">
        <v>2129</v>
      </c>
      <c r="BK17" s="952" t="s">
        <v>2129</v>
      </c>
      <c r="BL17" s="952" t="s">
        <v>2129</v>
      </c>
      <c r="BM17" s="952" t="s">
        <v>2129</v>
      </c>
      <c r="BN17" s="953"/>
      <c r="BO17" s="954"/>
      <c r="BP17" s="899"/>
      <c r="BQ17" s="899"/>
      <c r="BR17" s="899"/>
      <c r="BS17" s="899"/>
      <c r="BT17" s="899"/>
      <c r="BU17" s="899"/>
      <c r="BV17" s="899"/>
      <c r="BW17" s="899"/>
      <c r="BX17" s="899"/>
      <c r="BY17" s="899"/>
      <c r="BZ17" s="899"/>
      <c r="CA17" s="899"/>
      <c r="CB17" s="899"/>
      <c r="CC17" s="899"/>
      <c r="CD17" s="899"/>
      <c r="CE17" s="899"/>
      <c r="CF17" s="899"/>
      <c r="CG17" s="899"/>
      <c r="CH17" s="899"/>
    </row>
    <row r="18" spans="1:86" ht="23.15" customHeight="1">
      <c r="A18" s="6610"/>
      <c r="B18" s="6611"/>
      <c r="C18" s="6611"/>
      <c r="D18" s="6665"/>
      <c r="E18" s="6671"/>
      <c r="F18" s="6673"/>
      <c r="G18" s="6666"/>
      <c r="H18" s="939" t="s">
        <v>3694</v>
      </c>
      <c r="I18" s="1908">
        <v>52</v>
      </c>
      <c r="J18" s="940" t="s">
        <v>3671</v>
      </c>
      <c r="K18" s="6668"/>
      <c r="L18" s="941" t="s">
        <v>2138</v>
      </c>
      <c r="M18" s="942" t="s">
        <v>4270</v>
      </c>
      <c r="N18" s="943" t="s">
        <v>2602</v>
      </c>
      <c r="O18" s="943" t="s">
        <v>2699</v>
      </c>
      <c r="P18" s="943" t="s">
        <v>2636</v>
      </c>
      <c r="Q18" s="943" t="s">
        <v>2602</v>
      </c>
      <c r="R18" s="943" t="s">
        <v>2602</v>
      </c>
      <c r="S18" s="943" t="s">
        <v>2602</v>
      </c>
      <c r="T18" s="944" t="s">
        <v>2602</v>
      </c>
      <c r="U18" s="944" t="s">
        <v>2602</v>
      </c>
      <c r="V18" s="944" t="s">
        <v>2602</v>
      </c>
      <c r="W18" s="944" t="s">
        <v>2602</v>
      </c>
      <c r="X18" s="943" t="s">
        <v>2602</v>
      </c>
      <c r="Y18" s="943" t="s">
        <v>2602</v>
      </c>
      <c r="Z18" s="943" t="s">
        <v>2602</v>
      </c>
      <c r="AA18" s="943" t="s">
        <v>2602</v>
      </c>
      <c r="AB18" s="945" t="s">
        <v>2602</v>
      </c>
      <c r="AC18" s="946">
        <v>98</v>
      </c>
      <c r="AD18" s="941">
        <v>99</v>
      </c>
      <c r="AE18" s="942" t="s">
        <v>3715</v>
      </c>
      <c r="AF18" s="943" t="s">
        <v>2602</v>
      </c>
      <c r="AG18" s="943" t="s">
        <v>2602</v>
      </c>
      <c r="AH18" s="943" t="s">
        <v>2602</v>
      </c>
      <c r="AI18" s="943" t="s">
        <v>2602</v>
      </c>
      <c r="AJ18" s="943" t="s">
        <v>2602</v>
      </c>
      <c r="AK18" s="943" t="s">
        <v>2602</v>
      </c>
      <c r="AL18" s="944" t="s">
        <v>2602</v>
      </c>
      <c r="AM18" s="944" t="s">
        <v>2602</v>
      </c>
      <c r="AN18" s="944" t="s">
        <v>2602</v>
      </c>
      <c r="AO18" s="944" t="s">
        <v>2602</v>
      </c>
      <c r="AP18" s="943" t="s">
        <v>2602</v>
      </c>
      <c r="AQ18" s="943" t="s">
        <v>2602</v>
      </c>
      <c r="AR18" s="943" t="s">
        <v>2602</v>
      </c>
      <c r="AS18" s="943" t="s">
        <v>2602</v>
      </c>
      <c r="AT18" s="945" t="s">
        <v>2602</v>
      </c>
      <c r="AU18" s="2094">
        <v>20</v>
      </c>
      <c r="AV18" s="2088">
        <v>70</v>
      </c>
      <c r="AW18" s="2088">
        <v>32</v>
      </c>
      <c r="AX18" s="941">
        <v>20</v>
      </c>
      <c r="AY18" s="947">
        <v>0.20408163265306123</v>
      </c>
      <c r="AZ18" s="948" t="s">
        <v>2609</v>
      </c>
      <c r="BA18" s="941" t="s">
        <v>2609</v>
      </c>
      <c r="BB18" s="948">
        <v>0</v>
      </c>
      <c r="BC18" s="948">
        <v>0</v>
      </c>
      <c r="BD18" s="949" t="s">
        <v>2133</v>
      </c>
      <c r="BE18" s="948" t="s">
        <v>2688</v>
      </c>
      <c r="BF18" s="941" t="s">
        <v>2688</v>
      </c>
      <c r="BG18" s="950" t="s">
        <v>2168</v>
      </c>
      <c r="BH18" s="950" t="s">
        <v>2133</v>
      </c>
      <c r="BI18" s="948" t="s">
        <v>2723</v>
      </c>
      <c r="BJ18" s="951" t="s">
        <v>2133</v>
      </c>
      <c r="BK18" s="952" t="s">
        <v>2129</v>
      </c>
      <c r="BL18" s="952" t="s">
        <v>2129</v>
      </c>
      <c r="BM18" s="952" t="s">
        <v>2129</v>
      </c>
      <c r="BN18" s="953"/>
      <c r="BO18" s="954"/>
      <c r="BP18" s="899"/>
      <c r="BQ18" s="899"/>
      <c r="BR18" s="899"/>
      <c r="BS18" s="899"/>
      <c r="BT18" s="899"/>
      <c r="BU18" s="899"/>
      <c r="BV18" s="899"/>
      <c r="BW18" s="899"/>
      <c r="BX18" s="899"/>
      <c r="BY18" s="899"/>
      <c r="BZ18" s="899"/>
      <c r="CA18" s="899"/>
      <c r="CB18" s="899"/>
      <c r="CC18" s="899"/>
      <c r="CD18" s="899"/>
      <c r="CE18" s="899"/>
      <c r="CF18" s="899"/>
      <c r="CG18" s="899"/>
      <c r="CH18" s="899"/>
    </row>
    <row r="19" spans="1:86" ht="23.15" customHeight="1">
      <c r="A19" s="6610"/>
      <c r="B19" s="6611"/>
      <c r="C19" s="6611"/>
      <c r="D19" s="6665"/>
      <c r="E19" s="6671"/>
      <c r="F19" s="6673"/>
      <c r="G19" s="6666"/>
      <c r="H19" s="939" t="s">
        <v>3694</v>
      </c>
      <c r="I19" s="1908">
        <v>74</v>
      </c>
      <c r="J19" s="940" t="s">
        <v>3727</v>
      </c>
      <c r="K19" s="6668"/>
      <c r="L19" s="941" t="s">
        <v>2138</v>
      </c>
      <c r="M19" s="942" t="s">
        <v>3728</v>
      </c>
      <c r="N19" s="943" t="s">
        <v>3721</v>
      </c>
      <c r="O19" s="943" t="s">
        <v>2623</v>
      </c>
      <c r="P19" s="943" t="s">
        <v>2602</v>
      </c>
      <c r="Q19" s="943" t="s">
        <v>2602</v>
      </c>
      <c r="R19" s="943" t="s">
        <v>2602</v>
      </c>
      <c r="S19" s="943" t="s">
        <v>2602</v>
      </c>
      <c r="T19" s="944" t="s">
        <v>2602</v>
      </c>
      <c r="U19" s="944" t="s">
        <v>2602</v>
      </c>
      <c r="V19" s="944" t="s">
        <v>2602</v>
      </c>
      <c r="W19" s="944" t="s">
        <v>2602</v>
      </c>
      <c r="X19" s="943" t="s">
        <v>2602</v>
      </c>
      <c r="Y19" s="943" t="s">
        <v>2602</v>
      </c>
      <c r="Z19" s="943" t="s">
        <v>2602</v>
      </c>
      <c r="AA19" s="943" t="s">
        <v>2602</v>
      </c>
      <c r="AB19" s="945" t="s">
        <v>2602</v>
      </c>
      <c r="AC19" s="946">
        <v>117</v>
      </c>
      <c r="AD19" s="941">
        <v>117</v>
      </c>
      <c r="AE19" s="942" t="s">
        <v>3729</v>
      </c>
      <c r="AF19" s="943" t="s">
        <v>2602</v>
      </c>
      <c r="AG19" s="943" t="s">
        <v>2602</v>
      </c>
      <c r="AH19" s="943" t="s">
        <v>2602</v>
      </c>
      <c r="AI19" s="943" t="s">
        <v>2602</v>
      </c>
      <c r="AJ19" s="943" t="s">
        <v>2602</v>
      </c>
      <c r="AK19" s="943" t="s">
        <v>2602</v>
      </c>
      <c r="AL19" s="944" t="s">
        <v>2602</v>
      </c>
      <c r="AM19" s="944" t="s">
        <v>2602</v>
      </c>
      <c r="AN19" s="944" t="s">
        <v>2602</v>
      </c>
      <c r="AO19" s="944" t="s">
        <v>2602</v>
      </c>
      <c r="AP19" s="943" t="s">
        <v>2602</v>
      </c>
      <c r="AQ19" s="943" t="s">
        <v>2602</v>
      </c>
      <c r="AR19" s="943" t="s">
        <v>2602</v>
      </c>
      <c r="AS19" s="943" t="s">
        <v>2602</v>
      </c>
      <c r="AT19" s="945" t="s">
        <v>2602</v>
      </c>
      <c r="AU19" s="2094">
        <v>24</v>
      </c>
      <c r="AV19" s="2088">
        <v>85</v>
      </c>
      <c r="AW19" s="2088">
        <v>32</v>
      </c>
      <c r="AX19" s="941">
        <v>24</v>
      </c>
      <c r="AY19" s="947">
        <v>0.20512820512820512</v>
      </c>
      <c r="AZ19" s="948" t="s">
        <v>2609</v>
      </c>
      <c r="BA19" s="941" t="s">
        <v>2610</v>
      </c>
      <c r="BB19" s="948">
        <v>0</v>
      </c>
      <c r="BC19" s="948">
        <v>0</v>
      </c>
      <c r="BD19" s="949" t="s">
        <v>2133</v>
      </c>
      <c r="BE19" s="948" t="s">
        <v>2688</v>
      </c>
      <c r="BF19" s="941" t="s">
        <v>2688</v>
      </c>
      <c r="BG19" s="950" t="s">
        <v>2728</v>
      </c>
      <c r="BH19" s="950" t="s">
        <v>2133</v>
      </c>
      <c r="BI19" s="948" t="s">
        <v>2723</v>
      </c>
      <c r="BJ19" s="951" t="s">
        <v>2133</v>
      </c>
      <c r="BK19" s="952" t="s">
        <v>2129</v>
      </c>
      <c r="BL19" s="952" t="s">
        <v>2129</v>
      </c>
      <c r="BM19" s="952" t="s">
        <v>2129</v>
      </c>
      <c r="BN19" s="953"/>
      <c r="BO19" s="954"/>
      <c r="BP19" s="899"/>
      <c r="BQ19" s="899"/>
      <c r="BR19" s="899"/>
      <c r="BS19" s="899"/>
      <c r="BT19" s="899"/>
      <c r="BU19" s="899"/>
      <c r="BV19" s="899"/>
      <c r="BW19" s="899"/>
      <c r="BX19" s="899"/>
      <c r="BY19" s="899"/>
      <c r="BZ19" s="899"/>
      <c r="CA19" s="899"/>
      <c r="CB19" s="899"/>
      <c r="CC19" s="899"/>
      <c r="CD19" s="899"/>
      <c r="CE19" s="899"/>
      <c r="CF19" s="899"/>
      <c r="CG19" s="899"/>
      <c r="CH19" s="899"/>
    </row>
    <row r="20" spans="1:86" ht="23.15" customHeight="1">
      <c r="A20" s="6610"/>
      <c r="B20" s="6611"/>
      <c r="C20" s="6611"/>
      <c r="D20" s="6665"/>
      <c r="E20" s="6671"/>
      <c r="F20" s="6673"/>
      <c r="G20" s="6666"/>
      <c r="H20" s="939" t="s">
        <v>3694</v>
      </c>
      <c r="I20" s="1908">
        <v>75</v>
      </c>
      <c r="J20" s="940" t="s">
        <v>3730</v>
      </c>
      <c r="K20" s="6668"/>
      <c r="L20" s="941" t="s">
        <v>2138</v>
      </c>
      <c r="M20" s="942" t="s">
        <v>3731</v>
      </c>
      <c r="N20" s="943" t="s">
        <v>2602</v>
      </c>
      <c r="O20" s="943" t="s">
        <v>2602</v>
      </c>
      <c r="P20" s="943" t="s">
        <v>2602</v>
      </c>
      <c r="Q20" s="943" t="s">
        <v>2602</v>
      </c>
      <c r="R20" s="943" t="s">
        <v>2602</v>
      </c>
      <c r="S20" s="943" t="s">
        <v>2602</v>
      </c>
      <c r="T20" s="944" t="s">
        <v>2602</v>
      </c>
      <c r="U20" s="944" t="s">
        <v>2602</v>
      </c>
      <c r="V20" s="944" t="s">
        <v>2602</v>
      </c>
      <c r="W20" s="944" t="s">
        <v>2602</v>
      </c>
      <c r="X20" s="943" t="s">
        <v>2602</v>
      </c>
      <c r="Y20" s="943" t="s">
        <v>2602</v>
      </c>
      <c r="Z20" s="943" t="s">
        <v>2602</v>
      </c>
      <c r="AA20" s="943" t="s">
        <v>2602</v>
      </c>
      <c r="AB20" s="945" t="s">
        <v>2602</v>
      </c>
      <c r="AC20" s="946">
        <v>262</v>
      </c>
      <c r="AD20" s="941">
        <v>262</v>
      </c>
      <c r="AE20" s="942" t="s">
        <v>3732</v>
      </c>
      <c r="AF20" s="943" t="s">
        <v>2602</v>
      </c>
      <c r="AG20" s="943" t="s">
        <v>2602</v>
      </c>
      <c r="AH20" s="943" t="s">
        <v>2602</v>
      </c>
      <c r="AI20" s="943" t="s">
        <v>2602</v>
      </c>
      <c r="AJ20" s="943" t="s">
        <v>2602</v>
      </c>
      <c r="AK20" s="943" t="s">
        <v>2602</v>
      </c>
      <c r="AL20" s="944" t="s">
        <v>2602</v>
      </c>
      <c r="AM20" s="944" t="s">
        <v>2602</v>
      </c>
      <c r="AN20" s="944" t="s">
        <v>2602</v>
      </c>
      <c r="AO20" s="944" t="s">
        <v>2602</v>
      </c>
      <c r="AP20" s="943" t="s">
        <v>2602</v>
      </c>
      <c r="AQ20" s="943" t="s">
        <v>2602</v>
      </c>
      <c r="AR20" s="943" t="s">
        <v>2602</v>
      </c>
      <c r="AS20" s="943" t="s">
        <v>2602</v>
      </c>
      <c r="AT20" s="945" t="s">
        <v>2602</v>
      </c>
      <c r="AU20" s="2094">
        <v>80</v>
      </c>
      <c r="AV20" s="2088">
        <v>190</v>
      </c>
      <c r="AW20" s="2088">
        <v>32</v>
      </c>
      <c r="AX20" s="941">
        <v>80</v>
      </c>
      <c r="AY20" s="947">
        <v>0.30534351145038169</v>
      </c>
      <c r="AZ20" s="948" t="s">
        <v>2609</v>
      </c>
      <c r="BA20" s="941" t="s">
        <v>2610</v>
      </c>
      <c r="BB20" s="948">
        <v>0</v>
      </c>
      <c r="BC20" s="948">
        <v>0</v>
      </c>
      <c r="BD20" s="949" t="s">
        <v>2133</v>
      </c>
      <c r="BE20" s="948" t="s">
        <v>2688</v>
      </c>
      <c r="BF20" s="941" t="s">
        <v>2688</v>
      </c>
      <c r="BG20" s="950" t="s">
        <v>2728</v>
      </c>
      <c r="BH20" s="950" t="s">
        <v>2133</v>
      </c>
      <c r="BI20" s="948" t="s">
        <v>2723</v>
      </c>
      <c r="BJ20" s="951" t="s">
        <v>2129</v>
      </c>
      <c r="BK20" s="952" t="s">
        <v>2129</v>
      </c>
      <c r="BL20" s="952" t="s">
        <v>2129</v>
      </c>
      <c r="BM20" s="952" t="s">
        <v>2129</v>
      </c>
      <c r="BN20" s="953"/>
      <c r="BO20" s="954"/>
      <c r="BP20" s="899"/>
      <c r="BQ20" s="899"/>
      <c r="BR20" s="899"/>
      <c r="BS20" s="899"/>
      <c r="BT20" s="899"/>
      <c r="BU20" s="899"/>
      <c r="BV20" s="899"/>
      <c r="BW20" s="899"/>
      <c r="BX20" s="899"/>
      <c r="BY20" s="899"/>
      <c r="BZ20" s="899"/>
      <c r="CA20" s="899"/>
      <c r="CB20" s="899"/>
      <c r="CC20" s="899"/>
      <c r="CD20" s="899"/>
      <c r="CE20" s="899"/>
      <c r="CF20" s="899"/>
      <c r="CG20" s="899"/>
      <c r="CH20" s="899"/>
    </row>
    <row r="21" spans="1:86" ht="23.15" customHeight="1">
      <c r="A21" s="6610"/>
      <c r="B21" s="6611"/>
      <c r="C21" s="6611"/>
      <c r="D21" s="6665"/>
      <c r="E21" s="6671"/>
      <c r="F21" s="6673"/>
      <c r="G21" s="6666"/>
      <c r="H21" s="939" t="s">
        <v>3694</v>
      </c>
      <c r="I21" s="1908">
        <v>83</v>
      </c>
      <c r="J21" s="940" t="s">
        <v>4271</v>
      </c>
      <c r="K21" s="6669"/>
      <c r="L21" s="941" t="s">
        <v>2138</v>
      </c>
      <c r="M21" s="942" t="s">
        <v>4272</v>
      </c>
      <c r="N21" s="943" t="s">
        <v>2602</v>
      </c>
      <c r="O21" s="943" t="s">
        <v>3994</v>
      </c>
      <c r="P21" s="943" t="s">
        <v>2602</v>
      </c>
      <c r="Q21" s="943" t="s">
        <v>2602</v>
      </c>
      <c r="R21" s="943" t="s">
        <v>2602</v>
      </c>
      <c r="S21" s="943" t="s">
        <v>2602</v>
      </c>
      <c r="T21" s="944" t="s">
        <v>2602</v>
      </c>
      <c r="U21" s="944" t="s">
        <v>2602</v>
      </c>
      <c r="V21" s="944" t="s">
        <v>2602</v>
      </c>
      <c r="W21" s="944" t="s">
        <v>2602</v>
      </c>
      <c r="X21" s="943" t="s">
        <v>2602</v>
      </c>
      <c r="Y21" s="943" t="s">
        <v>2602</v>
      </c>
      <c r="Z21" s="943" t="s">
        <v>2602</v>
      </c>
      <c r="AA21" s="943" t="s">
        <v>2602</v>
      </c>
      <c r="AB21" s="945" t="s">
        <v>2602</v>
      </c>
      <c r="AC21" s="946">
        <v>237</v>
      </c>
      <c r="AD21" s="941">
        <v>237</v>
      </c>
      <c r="AE21" s="942" t="s">
        <v>2697</v>
      </c>
      <c r="AF21" s="943" t="s">
        <v>2602</v>
      </c>
      <c r="AG21" s="943" t="s">
        <v>2602</v>
      </c>
      <c r="AH21" s="943" t="s">
        <v>2602</v>
      </c>
      <c r="AI21" s="943" t="s">
        <v>2602</v>
      </c>
      <c r="AJ21" s="943" t="s">
        <v>2602</v>
      </c>
      <c r="AK21" s="943" t="s">
        <v>2602</v>
      </c>
      <c r="AL21" s="944" t="s">
        <v>2602</v>
      </c>
      <c r="AM21" s="944" t="s">
        <v>2602</v>
      </c>
      <c r="AN21" s="944" t="s">
        <v>2602</v>
      </c>
      <c r="AO21" s="944" t="s">
        <v>2602</v>
      </c>
      <c r="AP21" s="943" t="s">
        <v>2602</v>
      </c>
      <c r="AQ21" s="943" t="s">
        <v>2602</v>
      </c>
      <c r="AR21" s="943" t="s">
        <v>2602</v>
      </c>
      <c r="AS21" s="943" t="s">
        <v>2602</v>
      </c>
      <c r="AT21" s="945" t="s">
        <v>2602</v>
      </c>
      <c r="AU21" s="2094">
        <v>70</v>
      </c>
      <c r="AV21" s="2088">
        <v>170</v>
      </c>
      <c r="AW21" s="2088">
        <v>32</v>
      </c>
      <c r="AX21" s="941">
        <v>70</v>
      </c>
      <c r="AY21" s="947">
        <v>0.29535864978902954</v>
      </c>
      <c r="AZ21" s="948" t="s">
        <v>2609</v>
      </c>
      <c r="BA21" s="941" t="s">
        <v>2610</v>
      </c>
      <c r="BB21" s="948">
        <v>0</v>
      </c>
      <c r="BC21" s="948">
        <v>0</v>
      </c>
      <c r="BD21" s="949" t="s">
        <v>2133</v>
      </c>
      <c r="BE21" s="948" t="s">
        <v>2688</v>
      </c>
      <c r="BF21" s="941" t="s">
        <v>2688</v>
      </c>
      <c r="BG21" s="950" t="s">
        <v>2168</v>
      </c>
      <c r="BH21" s="950" t="s">
        <v>2133</v>
      </c>
      <c r="BI21" s="948" t="s">
        <v>2723</v>
      </c>
      <c r="BJ21" s="951" t="s">
        <v>2129</v>
      </c>
      <c r="BK21" s="952" t="s">
        <v>2129</v>
      </c>
      <c r="BL21" s="952" t="s">
        <v>2129</v>
      </c>
      <c r="BM21" s="952" t="s">
        <v>2129</v>
      </c>
      <c r="BN21" s="953"/>
      <c r="BO21" s="954"/>
      <c r="BP21" s="899"/>
      <c r="BQ21" s="899"/>
      <c r="BR21" s="899"/>
      <c r="BS21" s="899"/>
      <c r="BT21" s="899"/>
      <c r="BU21" s="899"/>
      <c r="BV21" s="899"/>
      <c r="BW21" s="899"/>
      <c r="BX21" s="899"/>
      <c r="BY21" s="899"/>
      <c r="BZ21" s="899"/>
      <c r="CA21" s="899"/>
      <c r="CB21" s="899"/>
      <c r="CC21" s="899"/>
      <c r="CD21" s="899"/>
      <c r="CE21" s="899"/>
      <c r="CF21" s="899"/>
      <c r="CG21" s="899"/>
      <c r="CH21" s="899"/>
    </row>
    <row r="22" spans="1:86" ht="23.15" customHeight="1">
      <c r="A22" s="6610"/>
      <c r="B22" s="6611"/>
      <c r="C22" s="6611"/>
      <c r="D22" s="6614" t="s">
        <v>3744</v>
      </c>
      <c r="E22" s="973" t="s">
        <v>3637</v>
      </c>
      <c r="F22" s="974">
        <v>20</v>
      </c>
      <c r="G22" s="6604">
        <f>SUM(F22:F25)</f>
        <v>250</v>
      </c>
      <c r="H22" s="975" t="s">
        <v>3694</v>
      </c>
      <c r="I22" s="1910">
        <v>282</v>
      </c>
      <c r="J22" s="976" t="s">
        <v>3583</v>
      </c>
      <c r="K22" s="1847">
        <f>COUNTA(J22)</f>
        <v>1</v>
      </c>
      <c r="L22" s="977" t="s">
        <v>2364</v>
      </c>
      <c r="M22" s="978" t="s">
        <v>2602</v>
      </c>
      <c r="N22" s="979" t="s">
        <v>4024</v>
      </c>
      <c r="O22" s="979" t="s">
        <v>2602</v>
      </c>
      <c r="P22" s="979" t="s">
        <v>3725</v>
      </c>
      <c r="Q22" s="979" t="s">
        <v>2602</v>
      </c>
      <c r="R22" s="979" t="s">
        <v>2602</v>
      </c>
      <c r="S22" s="979" t="s">
        <v>2602</v>
      </c>
      <c r="T22" s="980" t="s">
        <v>2602</v>
      </c>
      <c r="U22" s="980" t="s">
        <v>2602</v>
      </c>
      <c r="V22" s="980" t="s">
        <v>2602</v>
      </c>
      <c r="W22" s="980" t="s">
        <v>2602</v>
      </c>
      <c r="X22" s="979" t="s">
        <v>2602</v>
      </c>
      <c r="Y22" s="979" t="s">
        <v>2602</v>
      </c>
      <c r="Z22" s="979" t="s">
        <v>2602</v>
      </c>
      <c r="AA22" s="979" t="s">
        <v>2602</v>
      </c>
      <c r="AB22" s="981" t="s">
        <v>3714</v>
      </c>
      <c r="AC22" s="982">
        <v>91</v>
      </c>
      <c r="AD22" s="977">
        <v>109</v>
      </c>
      <c r="AE22" s="978" t="s">
        <v>2602</v>
      </c>
      <c r="AF22" s="979" t="s">
        <v>4020</v>
      </c>
      <c r="AG22" s="979" t="s">
        <v>2602</v>
      </c>
      <c r="AH22" s="979" t="s">
        <v>2602</v>
      </c>
      <c r="AI22" s="979" t="s">
        <v>2602</v>
      </c>
      <c r="AJ22" s="979" t="s">
        <v>2602</v>
      </c>
      <c r="AK22" s="979" t="s">
        <v>2602</v>
      </c>
      <c r="AL22" s="980" t="s">
        <v>2602</v>
      </c>
      <c r="AM22" s="980" t="s">
        <v>2602</v>
      </c>
      <c r="AN22" s="980" t="s">
        <v>2602</v>
      </c>
      <c r="AO22" s="980" t="s">
        <v>2602</v>
      </c>
      <c r="AP22" s="979" t="s">
        <v>2602</v>
      </c>
      <c r="AQ22" s="979" t="s">
        <v>2602</v>
      </c>
      <c r="AR22" s="979" t="s">
        <v>2602</v>
      </c>
      <c r="AS22" s="979" t="s">
        <v>2602</v>
      </c>
      <c r="AT22" s="981" t="s">
        <v>2602</v>
      </c>
      <c r="AU22" s="2096">
        <v>30</v>
      </c>
      <c r="AV22" s="2089">
        <v>20</v>
      </c>
      <c r="AW22" s="2089">
        <v>32</v>
      </c>
      <c r="AX22" s="977">
        <v>30</v>
      </c>
      <c r="AY22" s="983">
        <v>0.32967032967032966</v>
      </c>
      <c r="AZ22" s="984" t="s">
        <v>2609</v>
      </c>
      <c r="BA22" s="977" t="s">
        <v>2610</v>
      </c>
      <c r="BB22" s="984">
        <v>8</v>
      </c>
      <c r="BC22" s="984">
        <v>8</v>
      </c>
      <c r="BD22" s="985" t="s">
        <v>2133</v>
      </c>
      <c r="BE22" s="984" t="s">
        <v>2133</v>
      </c>
      <c r="BF22" s="977" t="s">
        <v>2133</v>
      </c>
      <c r="BG22" s="986" t="s">
        <v>2168</v>
      </c>
      <c r="BH22" s="986" t="s">
        <v>2612</v>
      </c>
      <c r="BI22" s="984" t="s">
        <v>2670</v>
      </c>
      <c r="BJ22" s="987" t="s">
        <v>2129</v>
      </c>
      <c r="BK22" s="988" t="s">
        <v>2129</v>
      </c>
      <c r="BL22" s="988" t="s">
        <v>2129</v>
      </c>
      <c r="BM22" s="988" t="s">
        <v>2129</v>
      </c>
      <c r="BN22" s="989"/>
      <c r="BO22" s="990"/>
      <c r="BP22" s="899"/>
      <c r="BQ22" s="899"/>
      <c r="BR22" s="899"/>
      <c r="BS22" s="899"/>
      <c r="BT22" s="899"/>
      <c r="BU22" s="899"/>
      <c r="BV22" s="899"/>
      <c r="BW22" s="899"/>
      <c r="BX22" s="899"/>
      <c r="BY22" s="899"/>
      <c r="BZ22" s="899"/>
      <c r="CA22" s="899"/>
      <c r="CB22" s="899"/>
      <c r="CC22" s="899"/>
      <c r="CD22" s="899"/>
      <c r="CE22" s="899"/>
      <c r="CF22" s="899"/>
      <c r="CG22" s="899"/>
      <c r="CH22" s="899"/>
    </row>
    <row r="23" spans="1:86" ht="16" customHeight="1">
      <c r="A23" s="6610"/>
      <c r="B23" s="6611"/>
      <c r="C23" s="6611"/>
      <c r="D23" s="6665"/>
      <c r="E23" s="6671" t="s">
        <v>4273</v>
      </c>
      <c r="F23" s="6673">
        <v>230</v>
      </c>
      <c r="G23" s="6666"/>
      <c r="H23" s="972" t="s">
        <v>3694</v>
      </c>
      <c r="I23" s="1908">
        <v>283</v>
      </c>
      <c r="J23" s="991" t="s">
        <v>4274</v>
      </c>
      <c r="K23" s="6676">
        <f>COUNTA(J23:J25)</f>
        <v>3</v>
      </c>
      <c r="L23" s="941"/>
      <c r="M23" s="942"/>
      <c r="N23" s="943"/>
      <c r="O23" s="943"/>
      <c r="P23" s="943"/>
      <c r="Q23" s="943"/>
      <c r="R23" s="943"/>
      <c r="S23" s="943"/>
      <c r="T23" s="944"/>
      <c r="U23" s="944"/>
      <c r="V23" s="944"/>
      <c r="W23" s="944"/>
      <c r="X23" s="943"/>
      <c r="Y23" s="943"/>
      <c r="Z23" s="943"/>
      <c r="AA23" s="943"/>
      <c r="AB23" s="945"/>
      <c r="AC23" s="946">
        <v>135</v>
      </c>
      <c r="AD23" s="941">
        <v>135</v>
      </c>
      <c r="AE23" s="942"/>
      <c r="AF23" s="943"/>
      <c r="AG23" s="943"/>
      <c r="AH23" s="943"/>
      <c r="AI23" s="943"/>
      <c r="AJ23" s="943"/>
      <c r="AK23" s="943"/>
      <c r="AL23" s="944"/>
      <c r="AM23" s="944"/>
      <c r="AN23" s="944"/>
      <c r="AO23" s="944"/>
      <c r="AP23" s="943"/>
      <c r="AQ23" s="943"/>
      <c r="AR23" s="943"/>
      <c r="AS23" s="943"/>
      <c r="AT23" s="945"/>
      <c r="AU23" s="2094">
        <v>60</v>
      </c>
      <c r="AV23" s="2088">
        <v>60</v>
      </c>
      <c r="AW23" s="2088">
        <v>32</v>
      </c>
      <c r="AX23" s="941">
        <v>60</v>
      </c>
      <c r="AY23" s="983"/>
      <c r="AZ23" s="948" t="s">
        <v>2609</v>
      </c>
      <c r="BA23" s="941" t="s">
        <v>2610</v>
      </c>
      <c r="BB23" s="948">
        <v>0</v>
      </c>
      <c r="BC23" s="948">
        <v>0</v>
      </c>
      <c r="BD23" s="949" t="s">
        <v>2133</v>
      </c>
      <c r="BE23" s="948" t="s">
        <v>2688</v>
      </c>
      <c r="BF23" s="941" t="s">
        <v>2688</v>
      </c>
      <c r="BG23" s="950" t="s">
        <v>2168</v>
      </c>
      <c r="BH23" s="950" t="s">
        <v>2133</v>
      </c>
      <c r="BI23" s="948"/>
      <c r="BJ23" s="951"/>
      <c r="BK23" s="952"/>
      <c r="BL23" s="952"/>
      <c r="BM23" s="952"/>
      <c r="BN23" s="953"/>
      <c r="BO23" s="954"/>
      <c r="BP23" s="899"/>
      <c r="BQ23" s="899"/>
      <c r="BR23" s="899"/>
      <c r="BS23" s="899"/>
      <c r="BT23" s="899"/>
      <c r="BU23" s="899"/>
      <c r="BV23" s="899"/>
      <c r="BW23" s="899"/>
      <c r="BX23" s="899"/>
      <c r="BY23" s="899"/>
      <c r="BZ23" s="899"/>
      <c r="CA23" s="899"/>
      <c r="CB23" s="899"/>
      <c r="CC23" s="899"/>
      <c r="CD23" s="899"/>
      <c r="CE23" s="899"/>
      <c r="CF23" s="899"/>
      <c r="CG23" s="899"/>
      <c r="CH23" s="899"/>
    </row>
    <row r="24" spans="1:86" ht="23.15" customHeight="1">
      <c r="A24" s="6610"/>
      <c r="B24" s="6611"/>
      <c r="C24" s="6611"/>
      <c r="D24" s="6665"/>
      <c r="E24" s="6671"/>
      <c r="F24" s="6673"/>
      <c r="G24" s="6666"/>
      <c r="H24" s="939" t="s">
        <v>3694</v>
      </c>
      <c r="I24" s="1908">
        <v>290</v>
      </c>
      <c r="J24" s="940" t="s">
        <v>3746</v>
      </c>
      <c r="K24" s="6668"/>
      <c r="L24" s="941" t="s">
        <v>2364</v>
      </c>
      <c r="M24" s="942" t="s">
        <v>3747</v>
      </c>
      <c r="N24" s="943" t="s">
        <v>3748</v>
      </c>
      <c r="O24" s="943" t="s">
        <v>2602</v>
      </c>
      <c r="P24" s="943" t="s">
        <v>2687</v>
      </c>
      <c r="Q24" s="943" t="s">
        <v>2602</v>
      </c>
      <c r="R24" s="943" t="s">
        <v>2602</v>
      </c>
      <c r="S24" s="943" t="s">
        <v>2602</v>
      </c>
      <c r="T24" s="944" t="s">
        <v>2602</v>
      </c>
      <c r="U24" s="944" t="s">
        <v>2602</v>
      </c>
      <c r="V24" s="944" t="s">
        <v>2602</v>
      </c>
      <c r="W24" s="944" t="s">
        <v>2602</v>
      </c>
      <c r="X24" s="943" t="s">
        <v>2602</v>
      </c>
      <c r="Y24" s="943" t="s">
        <v>2602</v>
      </c>
      <c r="Z24" s="943" t="s">
        <v>2602</v>
      </c>
      <c r="AA24" s="943" t="s">
        <v>2602</v>
      </c>
      <c r="AB24" s="945" t="s">
        <v>2602</v>
      </c>
      <c r="AC24" s="946">
        <v>171</v>
      </c>
      <c r="AD24" s="941">
        <v>177</v>
      </c>
      <c r="AE24" s="942" t="s">
        <v>2727</v>
      </c>
      <c r="AF24" s="943" t="s">
        <v>2602</v>
      </c>
      <c r="AG24" s="943" t="s">
        <v>2602</v>
      </c>
      <c r="AH24" s="943" t="s">
        <v>2602</v>
      </c>
      <c r="AI24" s="943" t="s">
        <v>2602</v>
      </c>
      <c r="AJ24" s="943" t="s">
        <v>2602</v>
      </c>
      <c r="AK24" s="943" t="s">
        <v>2602</v>
      </c>
      <c r="AL24" s="944" t="s">
        <v>2602</v>
      </c>
      <c r="AM24" s="944" t="s">
        <v>2602</v>
      </c>
      <c r="AN24" s="944" t="s">
        <v>2602</v>
      </c>
      <c r="AO24" s="944" t="s">
        <v>2602</v>
      </c>
      <c r="AP24" s="943" t="s">
        <v>2602</v>
      </c>
      <c r="AQ24" s="943" t="s">
        <v>2602</v>
      </c>
      <c r="AR24" s="943" t="s">
        <v>2602</v>
      </c>
      <c r="AS24" s="943" t="s">
        <v>2602</v>
      </c>
      <c r="AT24" s="945" t="s">
        <v>2602</v>
      </c>
      <c r="AU24" s="2094">
        <v>60</v>
      </c>
      <c r="AV24" s="2088">
        <v>70</v>
      </c>
      <c r="AW24" s="2088">
        <v>32</v>
      </c>
      <c r="AX24" s="941">
        <v>60</v>
      </c>
      <c r="AY24" s="947">
        <v>0.35087719298245612</v>
      </c>
      <c r="AZ24" s="948" t="s">
        <v>2609</v>
      </c>
      <c r="BA24" s="941" t="s">
        <v>2610</v>
      </c>
      <c r="BB24" s="948">
        <v>0</v>
      </c>
      <c r="BC24" s="948">
        <v>0</v>
      </c>
      <c r="BD24" s="949" t="s">
        <v>2133</v>
      </c>
      <c r="BE24" s="948" t="s">
        <v>2688</v>
      </c>
      <c r="BF24" s="941" t="s">
        <v>2688</v>
      </c>
      <c r="BG24" s="950" t="s">
        <v>3749</v>
      </c>
      <c r="BH24" s="950" t="s">
        <v>2133</v>
      </c>
      <c r="BI24" s="948" t="s">
        <v>2723</v>
      </c>
      <c r="BJ24" s="951" t="s">
        <v>2129</v>
      </c>
      <c r="BK24" s="952" t="s">
        <v>2129</v>
      </c>
      <c r="BL24" s="952" t="s">
        <v>2129</v>
      </c>
      <c r="BM24" s="952" t="s">
        <v>2129</v>
      </c>
      <c r="BN24" s="953"/>
      <c r="BO24" s="954"/>
      <c r="BP24" s="899"/>
      <c r="BQ24" s="899"/>
      <c r="BR24" s="899"/>
      <c r="BS24" s="899"/>
      <c r="BT24" s="899"/>
      <c r="BU24" s="899"/>
      <c r="BV24" s="899"/>
      <c r="BW24" s="899"/>
      <c r="BX24" s="899"/>
      <c r="BY24" s="899"/>
      <c r="BZ24" s="899"/>
      <c r="CA24" s="899"/>
      <c r="CB24" s="899"/>
      <c r="CC24" s="899"/>
      <c r="CD24" s="899"/>
      <c r="CE24" s="899"/>
      <c r="CF24" s="899"/>
      <c r="CG24" s="899"/>
      <c r="CH24" s="899"/>
    </row>
    <row r="25" spans="1:86" ht="16" customHeight="1">
      <c r="A25" s="6610"/>
      <c r="B25" s="6611"/>
      <c r="C25" s="6611"/>
      <c r="D25" s="6663"/>
      <c r="E25" s="6674"/>
      <c r="F25" s="6675"/>
      <c r="G25" s="6664"/>
      <c r="H25" s="956" t="s">
        <v>3694</v>
      </c>
      <c r="I25" s="1909">
        <v>288</v>
      </c>
      <c r="J25" s="992" t="s">
        <v>4275</v>
      </c>
      <c r="K25" s="6669"/>
      <c r="L25" s="958"/>
      <c r="M25" s="959"/>
      <c r="N25" s="960"/>
      <c r="O25" s="960"/>
      <c r="P25" s="960"/>
      <c r="Q25" s="960"/>
      <c r="R25" s="960"/>
      <c r="S25" s="960"/>
      <c r="T25" s="961"/>
      <c r="U25" s="961"/>
      <c r="V25" s="961"/>
      <c r="W25" s="961"/>
      <c r="X25" s="960"/>
      <c r="Y25" s="960"/>
      <c r="Z25" s="960"/>
      <c r="AA25" s="960"/>
      <c r="AB25" s="962"/>
      <c r="AC25" s="963">
        <v>196</v>
      </c>
      <c r="AD25" s="958">
        <v>196</v>
      </c>
      <c r="AE25" s="959"/>
      <c r="AF25" s="960"/>
      <c r="AG25" s="960"/>
      <c r="AH25" s="960"/>
      <c r="AI25" s="960"/>
      <c r="AJ25" s="960"/>
      <c r="AK25" s="960"/>
      <c r="AL25" s="961"/>
      <c r="AM25" s="961"/>
      <c r="AN25" s="961"/>
      <c r="AO25" s="961"/>
      <c r="AP25" s="960"/>
      <c r="AQ25" s="960"/>
      <c r="AR25" s="960"/>
      <c r="AS25" s="960"/>
      <c r="AT25" s="962"/>
      <c r="AU25" s="2095">
        <v>100</v>
      </c>
      <c r="AV25" s="1905">
        <v>100</v>
      </c>
      <c r="AW25" s="1905">
        <v>32</v>
      </c>
      <c r="AX25" s="958">
        <v>100</v>
      </c>
      <c r="AY25" s="964"/>
      <c r="AZ25" s="965" t="s">
        <v>2609</v>
      </c>
      <c r="BA25" s="958" t="s">
        <v>2610</v>
      </c>
      <c r="BB25" s="965">
        <v>0</v>
      </c>
      <c r="BC25" s="965">
        <v>0</v>
      </c>
      <c r="BD25" s="966" t="s">
        <v>2133</v>
      </c>
      <c r="BE25" s="965" t="s">
        <v>2688</v>
      </c>
      <c r="BF25" s="958" t="s">
        <v>2688</v>
      </c>
      <c r="BG25" s="967" t="s">
        <v>2168</v>
      </c>
      <c r="BH25" s="967" t="s">
        <v>2133</v>
      </c>
      <c r="BI25" s="965"/>
      <c r="BJ25" s="968"/>
      <c r="BK25" s="969"/>
      <c r="BL25" s="969"/>
      <c r="BM25" s="969"/>
      <c r="BN25" s="970"/>
      <c r="BO25" s="971"/>
      <c r="BP25" s="899"/>
      <c r="BQ25" s="899"/>
      <c r="BR25" s="899"/>
      <c r="BS25" s="899"/>
      <c r="BT25" s="899"/>
      <c r="BU25" s="899"/>
      <c r="BV25" s="899"/>
      <c r="BW25" s="899"/>
      <c r="BX25" s="899"/>
      <c r="BY25" s="899"/>
      <c r="BZ25" s="899"/>
      <c r="CA25" s="899"/>
      <c r="CB25" s="899"/>
      <c r="CC25" s="899"/>
      <c r="CD25" s="899"/>
      <c r="CE25" s="899"/>
      <c r="CF25" s="899"/>
      <c r="CG25" s="899"/>
      <c r="CH25" s="899"/>
    </row>
    <row r="26" spans="1:86" ht="23.15" customHeight="1">
      <c r="A26" s="6610"/>
      <c r="B26" s="6611"/>
      <c r="C26" s="6611"/>
      <c r="D26" s="6614" t="s">
        <v>3752</v>
      </c>
      <c r="E26" s="973" t="s">
        <v>3637</v>
      </c>
      <c r="F26" s="974">
        <v>10</v>
      </c>
      <c r="G26" s="6604">
        <f>SUM(F26:F27)</f>
        <v>100</v>
      </c>
      <c r="H26" s="975" t="s">
        <v>3694</v>
      </c>
      <c r="I26" s="3235">
        <v>3014</v>
      </c>
      <c r="J26" s="3236" t="s">
        <v>4276</v>
      </c>
      <c r="K26" s="1847">
        <f>COUNTA(J26)</f>
        <v>1</v>
      </c>
      <c r="L26" s="977" t="s">
        <v>2408</v>
      </c>
      <c r="M26" s="978" t="s">
        <v>4056</v>
      </c>
      <c r="N26" s="979" t="s">
        <v>4057</v>
      </c>
      <c r="O26" s="979" t="s">
        <v>2602</v>
      </c>
      <c r="P26" s="979" t="s">
        <v>4058</v>
      </c>
      <c r="Q26" s="979" t="s">
        <v>2602</v>
      </c>
      <c r="R26" s="979" t="s">
        <v>2602</v>
      </c>
      <c r="S26" s="979" t="s">
        <v>2602</v>
      </c>
      <c r="T26" s="980" t="s">
        <v>2602</v>
      </c>
      <c r="U26" s="980" t="s">
        <v>2602</v>
      </c>
      <c r="V26" s="980" t="s">
        <v>2602</v>
      </c>
      <c r="W26" s="980" t="s">
        <v>2602</v>
      </c>
      <c r="X26" s="979" t="s">
        <v>2602</v>
      </c>
      <c r="Y26" s="979" t="s">
        <v>2602</v>
      </c>
      <c r="Z26" s="979" t="s">
        <v>2602</v>
      </c>
      <c r="AA26" s="979" t="s">
        <v>3981</v>
      </c>
      <c r="AB26" s="981" t="s">
        <v>2602</v>
      </c>
      <c r="AC26" s="982">
        <v>322</v>
      </c>
      <c r="AD26" s="977">
        <v>521</v>
      </c>
      <c r="AE26" s="978" t="s">
        <v>2720</v>
      </c>
      <c r="AF26" s="979" t="s">
        <v>2602</v>
      </c>
      <c r="AG26" s="979" t="s">
        <v>2602</v>
      </c>
      <c r="AH26" s="979" t="s">
        <v>4059</v>
      </c>
      <c r="AI26" s="979" t="s">
        <v>2602</v>
      </c>
      <c r="AJ26" s="979" t="s">
        <v>2602</v>
      </c>
      <c r="AK26" s="979" t="s">
        <v>2602</v>
      </c>
      <c r="AL26" s="980" t="s">
        <v>2602</v>
      </c>
      <c r="AM26" s="980" t="s">
        <v>2602</v>
      </c>
      <c r="AN26" s="980" t="s">
        <v>2602</v>
      </c>
      <c r="AO26" s="980" t="s">
        <v>2602</v>
      </c>
      <c r="AP26" s="979" t="s">
        <v>2602</v>
      </c>
      <c r="AQ26" s="979" t="s">
        <v>2602</v>
      </c>
      <c r="AR26" s="979" t="s">
        <v>2602</v>
      </c>
      <c r="AS26" s="979" t="s">
        <v>2602</v>
      </c>
      <c r="AT26" s="981" t="s">
        <v>2602</v>
      </c>
      <c r="AU26" s="2096" t="s">
        <v>3757</v>
      </c>
      <c r="AV26" s="2089">
        <v>10</v>
      </c>
      <c r="AW26" s="2089">
        <v>32</v>
      </c>
      <c r="AX26" s="977" t="s">
        <v>3757</v>
      </c>
      <c r="AY26" s="983" t="s">
        <v>3757</v>
      </c>
      <c r="AZ26" s="984" t="s">
        <v>3757</v>
      </c>
      <c r="BA26" s="977" t="s">
        <v>3757</v>
      </c>
      <c r="BB26" s="984" t="s">
        <v>3757</v>
      </c>
      <c r="BC26" s="984" t="s">
        <v>3757</v>
      </c>
      <c r="BD26" s="985" t="s">
        <v>3757</v>
      </c>
      <c r="BE26" s="984" t="s">
        <v>3757</v>
      </c>
      <c r="BF26" s="977" t="s">
        <v>3757</v>
      </c>
      <c r="BG26" s="986" t="s">
        <v>3757</v>
      </c>
      <c r="BH26" s="986" t="s">
        <v>3757</v>
      </c>
      <c r="BI26" s="984" t="s">
        <v>3757</v>
      </c>
      <c r="BJ26" s="987" t="s">
        <v>2129</v>
      </c>
      <c r="BK26" s="988" t="s">
        <v>2129</v>
      </c>
      <c r="BL26" s="988" t="s">
        <v>2129</v>
      </c>
      <c r="BM26" s="988" t="s">
        <v>2129</v>
      </c>
      <c r="BN26" s="989"/>
      <c r="BO26" s="990"/>
      <c r="BP26" s="899"/>
      <c r="BQ26" s="899"/>
      <c r="BR26" s="899"/>
      <c r="BS26" s="899"/>
      <c r="BT26" s="899"/>
      <c r="BU26" s="899"/>
      <c r="BV26" s="899"/>
      <c r="BW26" s="899"/>
      <c r="BX26" s="899"/>
      <c r="BY26" s="899"/>
      <c r="BZ26" s="899"/>
      <c r="CA26" s="899"/>
      <c r="CB26" s="899"/>
      <c r="CC26" s="899"/>
      <c r="CD26" s="899"/>
      <c r="CE26" s="899"/>
      <c r="CF26" s="899"/>
      <c r="CG26" s="899"/>
      <c r="CH26" s="899"/>
    </row>
    <row r="27" spans="1:86" ht="23.15" customHeight="1">
      <c r="A27" s="6610"/>
      <c r="B27" s="6611"/>
      <c r="C27" s="6611"/>
      <c r="D27" s="6663"/>
      <c r="E27" s="937" t="s">
        <v>4273</v>
      </c>
      <c r="F27" s="938">
        <v>90</v>
      </c>
      <c r="G27" s="6664"/>
      <c r="H27" s="972" t="s">
        <v>3694</v>
      </c>
      <c r="I27" s="1119">
        <v>3016</v>
      </c>
      <c r="J27" s="3241" t="s">
        <v>4277</v>
      </c>
      <c r="K27" s="1847">
        <f>COUNTA(J27)</f>
        <v>1</v>
      </c>
      <c r="L27" s="941" t="s">
        <v>3609</v>
      </c>
      <c r="M27" s="942" t="s">
        <v>3728</v>
      </c>
      <c r="N27" s="943" t="s">
        <v>3720</v>
      </c>
      <c r="O27" s="943" t="s">
        <v>3754</v>
      </c>
      <c r="P27" s="943" t="s">
        <v>3755</v>
      </c>
      <c r="Q27" s="943" t="s">
        <v>3756</v>
      </c>
      <c r="R27" s="943" t="s">
        <v>2602</v>
      </c>
      <c r="S27" s="943" t="s">
        <v>2602</v>
      </c>
      <c r="T27" s="944" t="s">
        <v>2602</v>
      </c>
      <c r="U27" s="944" t="s">
        <v>2602</v>
      </c>
      <c r="V27" s="944" t="s">
        <v>2602</v>
      </c>
      <c r="W27" s="944" t="s">
        <v>2602</v>
      </c>
      <c r="X27" s="943" t="s">
        <v>2602</v>
      </c>
      <c r="Y27" s="943" t="s">
        <v>2602</v>
      </c>
      <c r="Z27" s="943" t="s">
        <v>2602</v>
      </c>
      <c r="AA27" s="943" t="s">
        <v>2636</v>
      </c>
      <c r="AB27" s="945" t="s">
        <v>2602</v>
      </c>
      <c r="AC27" s="946">
        <v>196</v>
      </c>
      <c r="AD27" s="941" t="s">
        <v>3757</v>
      </c>
      <c r="AE27" s="942"/>
      <c r="AF27" s="943"/>
      <c r="AG27" s="943"/>
      <c r="AH27" s="943"/>
      <c r="AI27" s="943"/>
      <c r="AJ27" s="943"/>
      <c r="AK27" s="943"/>
      <c r="AL27" s="944"/>
      <c r="AM27" s="944"/>
      <c r="AN27" s="944"/>
      <c r="AO27" s="944"/>
      <c r="AP27" s="943"/>
      <c r="AQ27" s="943"/>
      <c r="AR27" s="943"/>
      <c r="AS27" s="943"/>
      <c r="AT27" s="945"/>
      <c r="AU27" s="2094" t="s">
        <v>3757</v>
      </c>
      <c r="AV27" s="2991">
        <v>90</v>
      </c>
      <c r="AW27" s="2088">
        <v>32</v>
      </c>
      <c r="AX27" s="941" t="s">
        <v>3757</v>
      </c>
      <c r="AY27" s="947" t="s">
        <v>3757</v>
      </c>
      <c r="AZ27" s="948" t="s">
        <v>3757</v>
      </c>
      <c r="BA27" s="941" t="s">
        <v>3757</v>
      </c>
      <c r="BB27" s="948" t="s">
        <v>3757</v>
      </c>
      <c r="BC27" s="948" t="s">
        <v>3757</v>
      </c>
      <c r="BD27" s="949" t="s">
        <v>3757</v>
      </c>
      <c r="BE27" s="948" t="s">
        <v>3757</v>
      </c>
      <c r="BF27" s="941" t="s">
        <v>3757</v>
      </c>
      <c r="BG27" s="950" t="s">
        <v>3757</v>
      </c>
      <c r="BH27" s="950" t="s">
        <v>3757</v>
      </c>
      <c r="BI27" s="948" t="s">
        <v>3757</v>
      </c>
      <c r="BJ27" s="951"/>
      <c r="BK27" s="952"/>
      <c r="BL27" s="952"/>
      <c r="BM27" s="952"/>
      <c r="BN27" s="953"/>
      <c r="BO27" s="954"/>
      <c r="BP27" s="899"/>
      <c r="BQ27" s="899"/>
      <c r="BR27" s="899"/>
      <c r="BS27" s="899"/>
      <c r="BT27" s="899"/>
      <c r="BU27" s="899"/>
      <c r="BV27" s="899"/>
      <c r="BW27" s="899"/>
      <c r="BX27" s="899"/>
      <c r="BY27" s="899"/>
      <c r="BZ27" s="899"/>
      <c r="CA27" s="899"/>
      <c r="CB27" s="899"/>
      <c r="CC27" s="899"/>
      <c r="CD27" s="899"/>
      <c r="CE27" s="899"/>
      <c r="CF27" s="899"/>
      <c r="CG27" s="899"/>
      <c r="CH27" s="899"/>
    </row>
    <row r="28" spans="1:86" ht="23.15" customHeight="1">
      <c r="A28" s="6610"/>
      <c r="B28" s="6611"/>
      <c r="C28" s="6611"/>
      <c r="D28" s="6665" t="s">
        <v>3136</v>
      </c>
      <c r="E28" s="973" t="s">
        <v>3637</v>
      </c>
      <c r="F28" s="974">
        <v>10</v>
      </c>
      <c r="G28" s="6666">
        <f>SUM(F28:F29)</f>
        <v>100</v>
      </c>
      <c r="H28" s="975" t="s">
        <v>3694</v>
      </c>
      <c r="I28" s="3235">
        <v>2009</v>
      </c>
      <c r="J28" s="3236" t="s">
        <v>4278</v>
      </c>
      <c r="K28" s="1848">
        <f>COUNTA(J28:J28)</f>
        <v>1</v>
      </c>
      <c r="L28" s="977" t="s">
        <v>2417</v>
      </c>
      <c r="M28" s="978" t="s">
        <v>2602</v>
      </c>
      <c r="N28" s="979" t="s">
        <v>4052</v>
      </c>
      <c r="O28" s="979" t="s">
        <v>2602</v>
      </c>
      <c r="P28" s="979" t="s">
        <v>4053</v>
      </c>
      <c r="Q28" s="979" t="s">
        <v>2602</v>
      </c>
      <c r="R28" s="979" t="s">
        <v>2602</v>
      </c>
      <c r="S28" s="979" t="s">
        <v>2602</v>
      </c>
      <c r="T28" s="980" t="s">
        <v>2602</v>
      </c>
      <c r="U28" s="980" t="s">
        <v>2602</v>
      </c>
      <c r="V28" s="980" t="s">
        <v>2602</v>
      </c>
      <c r="W28" s="980" t="s">
        <v>2602</v>
      </c>
      <c r="X28" s="979" t="s">
        <v>2602</v>
      </c>
      <c r="Y28" s="979" t="s">
        <v>2602</v>
      </c>
      <c r="Z28" s="979" t="s">
        <v>2602</v>
      </c>
      <c r="AA28" s="979" t="s">
        <v>4054</v>
      </c>
      <c r="AB28" s="981" t="s">
        <v>2602</v>
      </c>
      <c r="AC28" s="982">
        <v>378</v>
      </c>
      <c r="AD28" s="977">
        <v>620</v>
      </c>
      <c r="AE28" s="978" t="s">
        <v>2602</v>
      </c>
      <c r="AF28" s="979" t="s">
        <v>4020</v>
      </c>
      <c r="AG28" s="979" t="s">
        <v>2602</v>
      </c>
      <c r="AH28" s="979" t="s">
        <v>3701</v>
      </c>
      <c r="AI28" s="979" t="s">
        <v>2602</v>
      </c>
      <c r="AJ28" s="979" t="s">
        <v>2602</v>
      </c>
      <c r="AK28" s="979" t="s">
        <v>2602</v>
      </c>
      <c r="AL28" s="980" t="s">
        <v>2602</v>
      </c>
      <c r="AM28" s="980" t="s">
        <v>2602</v>
      </c>
      <c r="AN28" s="980" t="s">
        <v>2602</v>
      </c>
      <c r="AO28" s="980" t="s">
        <v>2602</v>
      </c>
      <c r="AP28" s="979" t="s">
        <v>2602</v>
      </c>
      <c r="AQ28" s="979" t="s">
        <v>2602</v>
      </c>
      <c r="AR28" s="979" t="s">
        <v>2602</v>
      </c>
      <c r="AS28" s="979" t="s">
        <v>2602</v>
      </c>
      <c r="AT28" s="981" t="s">
        <v>2602</v>
      </c>
      <c r="AU28" s="2096" t="s">
        <v>3757</v>
      </c>
      <c r="AV28" s="2089">
        <v>10</v>
      </c>
      <c r="AW28" s="2089">
        <v>32</v>
      </c>
      <c r="AX28" s="977" t="s">
        <v>3757</v>
      </c>
      <c r="AY28" s="983" t="s">
        <v>3757</v>
      </c>
      <c r="AZ28" s="984" t="s">
        <v>3757</v>
      </c>
      <c r="BA28" s="977" t="s">
        <v>3757</v>
      </c>
      <c r="BB28" s="984" t="s">
        <v>3757</v>
      </c>
      <c r="BC28" s="984" t="s">
        <v>3757</v>
      </c>
      <c r="BD28" s="985" t="s">
        <v>3757</v>
      </c>
      <c r="BE28" s="984" t="s">
        <v>3757</v>
      </c>
      <c r="BF28" s="977" t="s">
        <v>3757</v>
      </c>
      <c r="BG28" s="986" t="s">
        <v>3757</v>
      </c>
      <c r="BH28" s="986" t="s">
        <v>3757</v>
      </c>
      <c r="BI28" s="984" t="s">
        <v>3757</v>
      </c>
      <c r="BJ28" s="987" t="s">
        <v>2129</v>
      </c>
      <c r="BK28" s="988" t="s">
        <v>2129</v>
      </c>
      <c r="BL28" s="988" t="s">
        <v>2129</v>
      </c>
      <c r="BM28" s="988" t="s">
        <v>2129</v>
      </c>
      <c r="BN28" s="989"/>
      <c r="BO28" s="990"/>
      <c r="BP28" s="899"/>
      <c r="BQ28" s="899"/>
      <c r="BR28" s="899"/>
      <c r="BS28" s="899"/>
      <c r="BT28" s="899"/>
      <c r="BU28" s="899"/>
      <c r="BV28" s="899"/>
      <c r="BW28" s="899"/>
      <c r="BX28" s="899"/>
      <c r="BY28" s="899"/>
      <c r="BZ28" s="899"/>
      <c r="CA28" s="899"/>
      <c r="CB28" s="899"/>
      <c r="CC28" s="899"/>
      <c r="CD28" s="899"/>
      <c r="CE28" s="899"/>
      <c r="CF28" s="899"/>
      <c r="CG28" s="899"/>
      <c r="CH28" s="899"/>
    </row>
    <row r="29" spans="1:86" ht="23.15" customHeight="1">
      <c r="A29" s="6610"/>
      <c r="B29" s="6611"/>
      <c r="C29" s="6611"/>
      <c r="D29" s="6663"/>
      <c r="E29" s="973" t="s">
        <v>4273</v>
      </c>
      <c r="F29" s="955">
        <v>90</v>
      </c>
      <c r="G29" s="6664"/>
      <c r="H29" s="993" t="s">
        <v>3694</v>
      </c>
      <c r="I29" s="3237">
        <v>3005</v>
      </c>
      <c r="J29" s="3238" t="s">
        <v>4279</v>
      </c>
      <c r="K29" s="1847">
        <f>COUNTA(J29)</f>
        <v>1</v>
      </c>
      <c r="L29" s="958" t="s">
        <v>4280</v>
      </c>
      <c r="M29" s="959"/>
      <c r="N29" s="960"/>
      <c r="O29" s="960"/>
      <c r="P29" s="960"/>
      <c r="Q29" s="960"/>
      <c r="R29" s="960"/>
      <c r="S29" s="960"/>
      <c r="T29" s="961"/>
      <c r="U29" s="961"/>
      <c r="V29" s="961"/>
      <c r="W29" s="961"/>
      <c r="X29" s="960"/>
      <c r="Y29" s="960"/>
      <c r="Z29" s="960"/>
      <c r="AA29" s="960"/>
      <c r="AB29" s="962"/>
      <c r="AC29" s="963">
        <v>660</v>
      </c>
      <c r="AD29" s="958" t="s">
        <v>3757</v>
      </c>
      <c r="AE29" s="959"/>
      <c r="AF29" s="960"/>
      <c r="AG29" s="960"/>
      <c r="AH29" s="960"/>
      <c r="AI29" s="960"/>
      <c r="AJ29" s="960"/>
      <c r="AK29" s="960"/>
      <c r="AL29" s="961"/>
      <c r="AM29" s="961"/>
      <c r="AN29" s="961"/>
      <c r="AO29" s="961"/>
      <c r="AP29" s="960"/>
      <c r="AQ29" s="960"/>
      <c r="AR29" s="960"/>
      <c r="AS29" s="960"/>
      <c r="AT29" s="962"/>
      <c r="AU29" s="2095" t="s">
        <v>3757</v>
      </c>
      <c r="AV29" s="2992">
        <v>90</v>
      </c>
      <c r="AW29" s="1905">
        <v>32</v>
      </c>
      <c r="AX29" s="958" t="s">
        <v>3757</v>
      </c>
      <c r="AY29" s="964" t="s">
        <v>3757</v>
      </c>
      <c r="AZ29" s="965" t="s">
        <v>3757</v>
      </c>
      <c r="BA29" s="958" t="s">
        <v>3757</v>
      </c>
      <c r="BB29" s="965" t="s">
        <v>3757</v>
      </c>
      <c r="BC29" s="965" t="s">
        <v>3757</v>
      </c>
      <c r="BD29" s="966" t="s">
        <v>3757</v>
      </c>
      <c r="BE29" s="965" t="s">
        <v>3757</v>
      </c>
      <c r="BF29" s="958" t="s">
        <v>3757</v>
      </c>
      <c r="BG29" s="967" t="s">
        <v>3757</v>
      </c>
      <c r="BH29" s="967" t="s">
        <v>3757</v>
      </c>
      <c r="BI29" s="965" t="s">
        <v>3757</v>
      </c>
      <c r="BJ29" s="968"/>
      <c r="BK29" s="969"/>
      <c r="BL29" s="969"/>
      <c r="BM29" s="969"/>
      <c r="BN29" s="970"/>
      <c r="BO29" s="971"/>
      <c r="BP29" s="899"/>
      <c r="BQ29" s="899"/>
      <c r="BR29" s="899"/>
      <c r="BS29" s="899"/>
      <c r="BT29" s="899"/>
      <c r="BU29" s="899"/>
      <c r="BV29" s="899"/>
      <c r="BW29" s="899"/>
      <c r="BX29" s="899"/>
      <c r="BY29" s="899"/>
      <c r="BZ29" s="899"/>
      <c r="CA29" s="899"/>
      <c r="CB29" s="899"/>
      <c r="CC29" s="899"/>
      <c r="CD29" s="899"/>
      <c r="CE29" s="899"/>
      <c r="CF29" s="899"/>
      <c r="CG29" s="899"/>
      <c r="CH29" s="899"/>
    </row>
    <row r="30" spans="1:86" ht="23.15" customHeight="1">
      <c r="A30" s="6610"/>
      <c r="B30" s="6611"/>
      <c r="C30" s="6611"/>
      <c r="D30" s="6614" t="s">
        <v>4281</v>
      </c>
      <c r="E30" s="973" t="s">
        <v>3637</v>
      </c>
      <c r="F30" s="974">
        <v>10</v>
      </c>
      <c r="G30" s="6666">
        <f>SUM(F30:F31)</f>
        <v>100</v>
      </c>
      <c r="H30" s="975" t="s">
        <v>3694</v>
      </c>
      <c r="I30" s="1119">
        <v>3015</v>
      </c>
      <c r="J30" s="3239" t="s">
        <v>4282</v>
      </c>
      <c r="K30" s="1847">
        <v>1</v>
      </c>
      <c r="L30" s="2979" t="s">
        <v>2492</v>
      </c>
      <c r="M30" s="2980"/>
      <c r="N30" s="2981"/>
      <c r="O30" s="2981"/>
      <c r="P30" s="2981"/>
      <c r="Q30" s="2981"/>
      <c r="R30" s="2981"/>
      <c r="S30" s="2981"/>
      <c r="T30" s="2982"/>
      <c r="U30" s="2982"/>
      <c r="V30" s="2982"/>
      <c r="W30" s="2982"/>
      <c r="X30" s="2981"/>
      <c r="Y30" s="2981"/>
      <c r="Z30" s="2981"/>
      <c r="AA30" s="2981"/>
      <c r="AB30" s="2983"/>
      <c r="AC30" s="919"/>
      <c r="AD30" s="2979"/>
      <c r="AE30" s="2980"/>
      <c r="AF30" s="2981"/>
      <c r="AG30" s="2981"/>
      <c r="AH30" s="2981"/>
      <c r="AI30" s="2981"/>
      <c r="AJ30" s="2981"/>
      <c r="AK30" s="2981"/>
      <c r="AL30" s="2982"/>
      <c r="AM30" s="2982"/>
      <c r="AN30" s="2982"/>
      <c r="AO30" s="2982"/>
      <c r="AP30" s="2981"/>
      <c r="AQ30" s="2981"/>
      <c r="AR30" s="2981"/>
      <c r="AS30" s="2981"/>
      <c r="AT30" s="2983"/>
      <c r="AU30" s="2984" t="s">
        <v>3757</v>
      </c>
      <c r="AV30" s="2089">
        <v>10</v>
      </c>
      <c r="AW30" s="1843">
        <v>32</v>
      </c>
      <c r="AX30" s="2979" t="s">
        <v>3757</v>
      </c>
      <c r="AY30" s="1129" t="s">
        <v>3757</v>
      </c>
      <c r="AZ30" s="1055" t="s">
        <v>3757</v>
      </c>
      <c r="BA30" s="2979" t="s">
        <v>3757</v>
      </c>
      <c r="BB30" s="1055" t="s">
        <v>3757</v>
      </c>
      <c r="BC30" s="1055" t="s">
        <v>3757</v>
      </c>
      <c r="BD30" s="2985" t="s">
        <v>3757</v>
      </c>
      <c r="BE30" s="1055" t="s">
        <v>3757</v>
      </c>
      <c r="BF30" s="2979" t="s">
        <v>3757</v>
      </c>
      <c r="BG30" s="2986" t="s">
        <v>3757</v>
      </c>
      <c r="BH30" s="2986" t="s">
        <v>3757</v>
      </c>
      <c r="BI30" s="1055" t="s">
        <v>3757</v>
      </c>
      <c r="BJ30" s="2987"/>
      <c r="BK30" s="2988"/>
      <c r="BL30" s="2988"/>
      <c r="BM30" s="2988"/>
      <c r="BN30" s="2989"/>
      <c r="BO30" s="2990"/>
      <c r="BP30" s="899"/>
      <c r="BQ30" s="899"/>
      <c r="BR30" s="899"/>
      <c r="BS30" s="899"/>
      <c r="BT30" s="899"/>
      <c r="BU30" s="899"/>
      <c r="BV30" s="899"/>
      <c r="BW30" s="899"/>
      <c r="BX30" s="899"/>
      <c r="BY30" s="899"/>
      <c r="BZ30" s="899"/>
      <c r="CA30" s="899"/>
      <c r="CB30" s="899"/>
      <c r="CC30" s="899"/>
      <c r="CD30" s="899"/>
      <c r="CE30" s="899"/>
      <c r="CF30" s="899"/>
      <c r="CG30" s="899"/>
      <c r="CH30" s="899"/>
    </row>
    <row r="31" spans="1:86" ht="23.15" customHeight="1">
      <c r="A31" s="6610"/>
      <c r="B31" s="6611"/>
      <c r="C31" s="6611"/>
      <c r="D31" s="6665"/>
      <c r="E31" s="973" t="s">
        <v>4273</v>
      </c>
      <c r="F31" s="955">
        <v>90</v>
      </c>
      <c r="G31" s="6664"/>
      <c r="H31" s="993" t="s">
        <v>3694</v>
      </c>
      <c r="I31" s="1119">
        <v>3017</v>
      </c>
      <c r="J31" s="3240" t="s">
        <v>4283</v>
      </c>
      <c r="K31" s="1847">
        <v>1</v>
      </c>
      <c r="L31" s="2979" t="s">
        <v>2492</v>
      </c>
      <c r="M31" s="2980"/>
      <c r="N31" s="2981"/>
      <c r="O31" s="2981"/>
      <c r="P31" s="2981"/>
      <c r="Q31" s="2981"/>
      <c r="R31" s="2981"/>
      <c r="S31" s="2981"/>
      <c r="T31" s="2982"/>
      <c r="U31" s="2982"/>
      <c r="V31" s="2982"/>
      <c r="W31" s="2982"/>
      <c r="X31" s="2981"/>
      <c r="Y31" s="2981"/>
      <c r="Z31" s="2981"/>
      <c r="AA31" s="2981"/>
      <c r="AB31" s="2983"/>
      <c r="AC31" s="919"/>
      <c r="AD31" s="2979"/>
      <c r="AE31" s="2980"/>
      <c r="AF31" s="2981"/>
      <c r="AG31" s="2981"/>
      <c r="AH31" s="2981"/>
      <c r="AI31" s="2981"/>
      <c r="AJ31" s="2981"/>
      <c r="AK31" s="2981"/>
      <c r="AL31" s="2982"/>
      <c r="AM31" s="2982"/>
      <c r="AN31" s="2982"/>
      <c r="AO31" s="2982"/>
      <c r="AP31" s="2981"/>
      <c r="AQ31" s="2981"/>
      <c r="AR31" s="2981"/>
      <c r="AS31" s="2981"/>
      <c r="AT31" s="2983"/>
      <c r="AU31" s="2984" t="s">
        <v>3757</v>
      </c>
      <c r="AV31" s="2992">
        <v>90</v>
      </c>
      <c r="AW31" s="1843">
        <v>32</v>
      </c>
      <c r="AX31" s="2979" t="s">
        <v>3757</v>
      </c>
      <c r="AY31" s="1129" t="s">
        <v>3757</v>
      </c>
      <c r="AZ31" s="1055" t="s">
        <v>3757</v>
      </c>
      <c r="BA31" s="2979" t="s">
        <v>3757</v>
      </c>
      <c r="BB31" s="1055" t="s">
        <v>3757</v>
      </c>
      <c r="BC31" s="1055" t="s">
        <v>3757</v>
      </c>
      <c r="BD31" s="2985" t="s">
        <v>3757</v>
      </c>
      <c r="BE31" s="1055" t="s">
        <v>3757</v>
      </c>
      <c r="BF31" s="2979" t="s">
        <v>3757</v>
      </c>
      <c r="BG31" s="2986" t="s">
        <v>3757</v>
      </c>
      <c r="BH31" s="2986" t="s">
        <v>3757</v>
      </c>
      <c r="BI31" s="1055" t="s">
        <v>3757</v>
      </c>
      <c r="BJ31" s="2987"/>
      <c r="BK31" s="2988"/>
      <c r="BL31" s="2988"/>
      <c r="BM31" s="2988"/>
      <c r="BN31" s="2989"/>
      <c r="BO31" s="2990"/>
      <c r="BP31" s="899"/>
      <c r="BQ31" s="899"/>
      <c r="BR31" s="899"/>
      <c r="BS31" s="899"/>
      <c r="BT31" s="899"/>
      <c r="BU31" s="899"/>
      <c r="BV31" s="899"/>
      <c r="BW31" s="899"/>
      <c r="BX31" s="899"/>
      <c r="BY31" s="899"/>
      <c r="BZ31" s="899"/>
      <c r="CA31" s="899"/>
      <c r="CB31" s="899"/>
      <c r="CC31" s="899"/>
      <c r="CD31" s="899"/>
      <c r="CE31" s="899"/>
      <c r="CF31" s="899"/>
      <c r="CG31" s="899"/>
      <c r="CH31" s="899"/>
    </row>
    <row r="32" spans="1:86" ht="23.15" customHeight="1">
      <c r="A32" s="6610"/>
      <c r="B32" s="6611"/>
      <c r="C32" s="6611"/>
      <c r="D32" s="6665" t="s">
        <v>3759</v>
      </c>
      <c r="E32" s="973" t="s">
        <v>3637</v>
      </c>
      <c r="F32" s="974">
        <v>10</v>
      </c>
      <c r="G32" s="6666">
        <f>SUM(F32:F33)</f>
        <v>50</v>
      </c>
      <c r="H32" s="975" t="s">
        <v>3694</v>
      </c>
      <c r="I32" s="3235">
        <v>2024</v>
      </c>
      <c r="J32" s="3236" t="s">
        <v>4284</v>
      </c>
      <c r="K32" s="1847">
        <f>COUNTA(J32)</f>
        <v>1</v>
      </c>
      <c r="L32" s="977" t="s">
        <v>2661</v>
      </c>
      <c r="M32" s="978" t="s">
        <v>2602</v>
      </c>
      <c r="N32" s="979" t="s">
        <v>2662</v>
      </c>
      <c r="O32" s="979" t="s">
        <v>2602</v>
      </c>
      <c r="P32" s="979" t="s">
        <v>4061</v>
      </c>
      <c r="Q32" s="979" t="s">
        <v>2602</v>
      </c>
      <c r="R32" s="979" t="s">
        <v>2602</v>
      </c>
      <c r="S32" s="979" t="s">
        <v>2602</v>
      </c>
      <c r="T32" s="980" t="s">
        <v>3972</v>
      </c>
      <c r="U32" s="980" t="s">
        <v>2732</v>
      </c>
      <c r="V32" s="980" t="s">
        <v>2602</v>
      </c>
      <c r="W32" s="980" t="s">
        <v>2602</v>
      </c>
      <c r="X32" s="979" t="s">
        <v>2687</v>
      </c>
      <c r="Y32" s="979" t="s">
        <v>2732</v>
      </c>
      <c r="Z32" s="979" t="s">
        <v>2602</v>
      </c>
      <c r="AA32" s="979" t="s">
        <v>4018</v>
      </c>
      <c r="AB32" s="981" t="s">
        <v>2602</v>
      </c>
      <c r="AC32" s="982">
        <v>128</v>
      </c>
      <c r="AD32" s="977">
        <v>223</v>
      </c>
      <c r="AE32" s="978" t="s">
        <v>2602</v>
      </c>
      <c r="AF32" s="979" t="s">
        <v>3721</v>
      </c>
      <c r="AG32" s="979" t="s">
        <v>2602</v>
      </c>
      <c r="AH32" s="979" t="s">
        <v>2684</v>
      </c>
      <c r="AI32" s="979" t="s">
        <v>2602</v>
      </c>
      <c r="AJ32" s="979" t="s">
        <v>2602</v>
      </c>
      <c r="AK32" s="979" t="s">
        <v>2602</v>
      </c>
      <c r="AL32" s="980" t="s">
        <v>3972</v>
      </c>
      <c r="AM32" s="980" t="s">
        <v>2732</v>
      </c>
      <c r="AN32" s="980" t="s">
        <v>2602</v>
      </c>
      <c r="AO32" s="980" t="s">
        <v>2602</v>
      </c>
      <c r="AP32" s="979" t="s">
        <v>2602</v>
      </c>
      <c r="AQ32" s="979" t="s">
        <v>2602</v>
      </c>
      <c r="AR32" s="979" t="s">
        <v>2602</v>
      </c>
      <c r="AS32" s="979" t="s">
        <v>2602</v>
      </c>
      <c r="AT32" s="981" t="s">
        <v>2602</v>
      </c>
      <c r="AU32" s="2096" t="s">
        <v>3757</v>
      </c>
      <c r="AV32" s="2089">
        <v>10</v>
      </c>
      <c r="AW32" s="2089">
        <v>32</v>
      </c>
      <c r="AX32" s="977" t="s">
        <v>3757</v>
      </c>
      <c r="AY32" s="983" t="s">
        <v>3757</v>
      </c>
      <c r="AZ32" s="984" t="s">
        <v>3757</v>
      </c>
      <c r="BA32" s="977" t="s">
        <v>3757</v>
      </c>
      <c r="BB32" s="984" t="s">
        <v>3757</v>
      </c>
      <c r="BC32" s="984" t="s">
        <v>3757</v>
      </c>
      <c r="BD32" s="985" t="s">
        <v>3757</v>
      </c>
      <c r="BE32" s="984" t="s">
        <v>3757</v>
      </c>
      <c r="BF32" s="977" t="s">
        <v>3757</v>
      </c>
      <c r="BG32" s="986" t="s">
        <v>3757</v>
      </c>
      <c r="BH32" s="986" t="s">
        <v>3757</v>
      </c>
      <c r="BI32" s="984" t="s">
        <v>3757</v>
      </c>
      <c r="BJ32" s="987" t="s">
        <v>2129</v>
      </c>
      <c r="BK32" s="988" t="s">
        <v>2129</v>
      </c>
      <c r="BL32" s="988" t="s">
        <v>2129</v>
      </c>
      <c r="BM32" s="988" t="s">
        <v>2129</v>
      </c>
      <c r="BN32" s="989"/>
      <c r="BO32" s="990"/>
      <c r="BP32" s="899"/>
      <c r="BQ32" s="899"/>
      <c r="BR32" s="899"/>
      <c r="BS32" s="899"/>
      <c r="BT32" s="899"/>
      <c r="BU32" s="899"/>
      <c r="BV32" s="899"/>
      <c r="BW32" s="899"/>
      <c r="BX32" s="899"/>
      <c r="BY32" s="899"/>
      <c r="BZ32" s="899"/>
      <c r="CA32" s="899"/>
      <c r="CB32" s="899"/>
      <c r="CC32" s="899"/>
      <c r="CD32" s="899"/>
      <c r="CE32" s="899"/>
      <c r="CF32" s="897"/>
    </row>
    <row r="33" spans="1:86" ht="23.15" customHeight="1">
      <c r="A33" s="6610"/>
      <c r="B33" s="6611"/>
      <c r="C33" s="6611"/>
      <c r="D33" s="6663"/>
      <c r="E33" s="973" t="s">
        <v>4273</v>
      </c>
      <c r="F33" s="955">
        <v>40</v>
      </c>
      <c r="G33" s="6664"/>
      <c r="H33" s="993" t="s">
        <v>3694</v>
      </c>
      <c r="I33" s="1909">
        <v>3004</v>
      </c>
      <c r="J33" s="957" t="s">
        <v>4285</v>
      </c>
      <c r="K33" s="1847">
        <f>COUNTA(J33)</f>
        <v>1</v>
      </c>
      <c r="L33" s="958" t="s">
        <v>2661</v>
      </c>
      <c r="M33" s="959"/>
      <c r="N33" s="960"/>
      <c r="O33" s="960"/>
      <c r="P33" s="960"/>
      <c r="Q33" s="960"/>
      <c r="R33" s="960"/>
      <c r="S33" s="960"/>
      <c r="T33" s="961"/>
      <c r="U33" s="961"/>
      <c r="V33" s="961"/>
      <c r="W33" s="961"/>
      <c r="X33" s="960"/>
      <c r="Y33" s="960"/>
      <c r="Z33" s="960"/>
      <c r="AA33" s="960"/>
      <c r="AB33" s="962"/>
      <c r="AC33" s="963" t="s">
        <v>3757</v>
      </c>
      <c r="AD33" s="958" t="s">
        <v>3757</v>
      </c>
      <c r="AE33" s="959"/>
      <c r="AF33" s="960"/>
      <c r="AG33" s="960"/>
      <c r="AH33" s="960"/>
      <c r="AI33" s="960"/>
      <c r="AJ33" s="960"/>
      <c r="AK33" s="960"/>
      <c r="AL33" s="961"/>
      <c r="AM33" s="961"/>
      <c r="AN33" s="961"/>
      <c r="AO33" s="961"/>
      <c r="AP33" s="960"/>
      <c r="AQ33" s="960"/>
      <c r="AR33" s="960"/>
      <c r="AS33" s="960"/>
      <c r="AT33" s="962"/>
      <c r="AU33" s="2095" t="s">
        <v>3757</v>
      </c>
      <c r="AV33" s="1905">
        <v>40</v>
      </c>
      <c r="AW33" s="1905">
        <v>32</v>
      </c>
      <c r="AX33" s="958" t="s">
        <v>3757</v>
      </c>
      <c r="AY33" s="964" t="s">
        <v>3757</v>
      </c>
      <c r="AZ33" s="965" t="s">
        <v>3757</v>
      </c>
      <c r="BA33" s="958" t="s">
        <v>3757</v>
      </c>
      <c r="BB33" s="965" t="s">
        <v>3757</v>
      </c>
      <c r="BC33" s="965" t="s">
        <v>3757</v>
      </c>
      <c r="BD33" s="966" t="s">
        <v>3757</v>
      </c>
      <c r="BE33" s="965" t="s">
        <v>3757</v>
      </c>
      <c r="BF33" s="958" t="s">
        <v>3757</v>
      </c>
      <c r="BG33" s="967" t="s">
        <v>3757</v>
      </c>
      <c r="BH33" s="967" t="s">
        <v>3757</v>
      </c>
      <c r="BI33" s="965" t="s">
        <v>3757</v>
      </c>
      <c r="BJ33" s="968"/>
      <c r="BK33" s="969"/>
      <c r="BL33" s="969"/>
      <c r="BM33" s="969"/>
      <c r="BN33" s="970"/>
      <c r="BO33" s="971"/>
      <c r="BP33" s="899"/>
      <c r="BQ33" s="899"/>
      <c r="BR33" s="899"/>
      <c r="BS33" s="899"/>
      <c r="BT33" s="899"/>
      <c r="BU33" s="899"/>
      <c r="BV33" s="899"/>
      <c r="BW33" s="899"/>
      <c r="BX33" s="899"/>
      <c r="BY33" s="899"/>
      <c r="BZ33" s="899"/>
      <c r="CA33" s="899"/>
      <c r="CB33" s="899"/>
      <c r="CC33" s="899"/>
      <c r="CD33" s="899"/>
      <c r="CE33" s="899"/>
      <c r="CF33" s="897"/>
    </row>
    <row r="34" spans="1:86" ht="23.15" customHeight="1">
      <c r="A34" s="6610"/>
      <c r="B34" s="6611"/>
      <c r="C34" s="6611"/>
      <c r="D34" s="6614" t="s">
        <v>2653</v>
      </c>
      <c r="E34" s="973" t="s">
        <v>3637</v>
      </c>
      <c r="F34" s="974">
        <v>100</v>
      </c>
      <c r="G34" s="6604">
        <f>SUM(F34:F35)</f>
        <v>400</v>
      </c>
      <c r="H34" s="975" t="s">
        <v>3694</v>
      </c>
      <c r="I34" s="3235">
        <v>3019</v>
      </c>
      <c r="J34" s="3236" t="s">
        <v>4286</v>
      </c>
      <c r="K34" s="1847">
        <f>COUNTA(J34)</f>
        <v>1</v>
      </c>
      <c r="L34" s="977" t="s">
        <v>4104</v>
      </c>
      <c r="M34" s="978"/>
      <c r="N34" s="979"/>
      <c r="O34" s="979"/>
      <c r="P34" s="979"/>
      <c r="Q34" s="979"/>
      <c r="R34" s="979"/>
      <c r="S34" s="979"/>
      <c r="T34" s="980"/>
      <c r="U34" s="980"/>
      <c r="V34" s="980"/>
      <c r="W34" s="980"/>
      <c r="X34" s="979"/>
      <c r="Y34" s="979"/>
      <c r="Z34" s="979"/>
      <c r="AA34" s="979"/>
      <c r="AB34" s="981"/>
      <c r="AC34" s="994">
        <v>882</v>
      </c>
      <c r="AD34" s="995" t="s">
        <v>3757</v>
      </c>
      <c r="AE34" s="996"/>
      <c r="AF34" s="997"/>
      <c r="AG34" s="997"/>
      <c r="AH34" s="997"/>
      <c r="AI34" s="997"/>
      <c r="AJ34" s="997"/>
      <c r="AK34" s="997"/>
      <c r="AL34" s="998"/>
      <c r="AM34" s="998"/>
      <c r="AN34" s="998"/>
      <c r="AO34" s="998"/>
      <c r="AP34" s="997"/>
      <c r="AQ34" s="997"/>
      <c r="AR34" s="997"/>
      <c r="AS34" s="997"/>
      <c r="AT34" s="999"/>
      <c r="AU34" s="2073" t="s">
        <v>3757</v>
      </c>
      <c r="AV34" s="2090">
        <v>100</v>
      </c>
      <c r="AW34" s="2090">
        <v>32</v>
      </c>
      <c r="AX34" s="995" t="s">
        <v>3757</v>
      </c>
      <c r="AY34" s="1000" t="s">
        <v>3757</v>
      </c>
      <c r="AZ34" s="1001" t="s">
        <v>3757</v>
      </c>
      <c r="BA34" s="995" t="s">
        <v>3757</v>
      </c>
      <c r="BB34" s="1001" t="s">
        <v>3757</v>
      </c>
      <c r="BC34" s="1001" t="s">
        <v>3757</v>
      </c>
      <c r="BD34" s="1002" t="s">
        <v>3757</v>
      </c>
      <c r="BE34" s="1001" t="s">
        <v>3757</v>
      </c>
      <c r="BF34" s="995" t="s">
        <v>3757</v>
      </c>
      <c r="BG34" s="1003" t="s">
        <v>3757</v>
      </c>
      <c r="BH34" s="1003" t="s">
        <v>3757</v>
      </c>
      <c r="BI34" s="1001" t="s">
        <v>3757</v>
      </c>
      <c r="BJ34" s="1004"/>
      <c r="BK34" s="1005"/>
      <c r="BL34" s="1005"/>
      <c r="BM34" s="1005"/>
      <c r="BN34" s="1006"/>
      <c r="BO34" s="990"/>
      <c r="BP34" s="899"/>
      <c r="BQ34" s="899"/>
      <c r="BR34" s="899"/>
      <c r="BS34" s="899"/>
      <c r="BT34" s="899"/>
      <c r="BU34" s="899"/>
      <c r="BV34" s="899"/>
      <c r="BW34" s="899"/>
      <c r="BX34" s="899"/>
      <c r="BY34" s="899"/>
      <c r="BZ34" s="899"/>
      <c r="CA34" s="899"/>
      <c r="CB34" s="899"/>
      <c r="CC34" s="899"/>
      <c r="CD34" s="899"/>
      <c r="CE34" s="899"/>
      <c r="CF34" s="899"/>
      <c r="CG34" s="899"/>
      <c r="CH34" s="899"/>
    </row>
    <row r="35" spans="1:86" ht="23.15" customHeight="1" thickBot="1">
      <c r="A35" s="6610"/>
      <c r="B35" s="6611"/>
      <c r="C35" s="6611"/>
      <c r="D35" s="6615"/>
      <c r="E35" s="1007" t="s">
        <v>4273</v>
      </c>
      <c r="F35" s="1008">
        <v>300</v>
      </c>
      <c r="G35" s="6605"/>
      <c r="H35" s="1009" t="s">
        <v>3694</v>
      </c>
      <c r="I35" s="1911">
        <v>3006</v>
      </c>
      <c r="J35" s="1010" t="s">
        <v>4287</v>
      </c>
      <c r="K35" s="1849">
        <f>COUNTA(J35)</f>
        <v>1</v>
      </c>
      <c r="L35" s="1011" t="s">
        <v>4288</v>
      </c>
      <c r="M35" s="942"/>
      <c r="N35" s="943"/>
      <c r="O35" s="943"/>
      <c r="P35" s="943"/>
      <c r="Q35" s="943"/>
      <c r="R35" s="943"/>
      <c r="S35" s="943"/>
      <c r="T35" s="944"/>
      <c r="U35" s="944"/>
      <c r="V35" s="944"/>
      <c r="W35" s="944"/>
      <c r="X35" s="943"/>
      <c r="Y35" s="943"/>
      <c r="Z35" s="943"/>
      <c r="AA35" s="943"/>
      <c r="AB35" s="945"/>
      <c r="AC35" s="1012">
        <v>706</v>
      </c>
      <c r="AD35" s="1013" t="s">
        <v>3757</v>
      </c>
      <c r="AE35" s="1014"/>
      <c r="AF35" s="1015"/>
      <c r="AG35" s="1015"/>
      <c r="AH35" s="1015"/>
      <c r="AI35" s="1015"/>
      <c r="AJ35" s="1015"/>
      <c r="AK35" s="1015"/>
      <c r="AL35" s="1016"/>
      <c r="AM35" s="1016"/>
      <c r="AN35" s="1016"/>
      <c r="AO35" s="1016"/>
      <c r="AP35" s="1015"/>
      <c r="AQ35" s="1015"/>
      <c r="AR35" s="1015"/>
      <c r="AS35" s="1015"/>
      <c r="AT35" s="1017"/>
      <c r="AU35" s="2097" t="s">
        <v>3757</v>
      </c>
      <c r="AV35" s="2091">
        <v>300</v>
      </c>
      <c r="AW35" s="2091">
        <v>32</v>
      </c>
      <c r="AX35" s="1013" t="s">
        <v>3757</v>
      </c>
      <c r="AY35" s="1018" t="s">
        <v>3757</v>
      </c>
      <c r="AZ35" s="1019" t="s">
        <v>3757</v>
      </c>
      <c r="BA35" s="1013" t="s">
        <v>3757</v>
      </c>
      <c r="BB35" s="1019" t="s">
        <v>3757</v>
      </c>
      <c r="BC35" s="1019" t="s">
        <v>3757</v>
      </c>
      <c r="BD35" s="1020" t="s">
        <v>3757</v>
      </c>
      <c r="BE35" s="1019" t="s">
        <v>3757</v>
      </c>
      <c r="BF35" s="1013" t="s">
        <v>3757</v>
      </c>
      <c r="BG35" s="1021" t="s">
        <v>3757</v>
      </c>
      <c r="BH35" s="1021" t="s">
        <v>3757</v>
      </c>
      <c r="BI35" s="1019" t="s">
        <v>3757</v>
      </c>
      <c r="BJ35" s="1022"/>
      <c r="BK35" s="1023"/>
      <c r="BL35" s="1023"/>
      <c r="BM35" s="1023"/>
      <c r="BN35" s="1024"/>
      <c r="BO35" s="954"/>
      <c r="BP35" s="899"/>
      <c r="BQ35" s="899"/>
      <c r="BR35" s="899"/>
      <c r="BS35" s="899"/>
      <c r="BT35" s="899"/>
      <c r="BU35" s="899"/>
      <c r="BV35" s="899"/>
      <c r="BW35" s="899"/>
      <c r="BX35" s="899"/>
      <c r="BY35" s="899"/>
      <c r="BZ35" s="899"/>
      <c r="CA35" s="899"/>
      <c r="CB35" s="899"/>
      <c r="CC35" s="899"/>
      <c r="CD35" s="899"/>
      <c r="CE35" s="899"/>
      <c r="CF35" s="899"/>
      <c r="CG35" s="899"/>
      <c r="CH35" s="899"/>
    </row>
    <row r="36" spans="1:86" ht="20" thickTop="1">
      <c r="A36" s="1025"/>
      <c r="B36" s="1026"/>
      <c r="C36" s="1027"/>
      <c r="D36" s="6660" t="s">
        <v>4289</v>
      </c>
      <c r="E36" s="1028" t="s">
        <v>3637</v>
      </c>
      <c r="F36" s="1029" t="s">
        <v>297</v>
      </c>
      <c r="G36" s="1029">
        <f>SUM(F5,F22,F26,F28,F32,F34)</f>
        <v>650</v>
      </c>
      <c r="H36" s="1030"/>
      <c r="I36" s="1912"/>
      <c r="J36" s="1032"/>
      <c r="K36" s="1846"/>
      <c r="L36" s="1033"/>
      <c r="M36" s="1034"/>
      <c r="N36" s="1034"/>
      <c r="O36" s="1034"/>
      <c r="P36" s="1034"/>
      <c r="Q36" s="1034"/>
      <c r="R36" s="1034"/>
      <c r="S36" s="1034"/>
      <c r="T36" s="1035"/>
      <c r="U36" s="1035"/>
      <c r="V36" s="1035"/>
      <c r="W36" s="1035"/>
      <c r="X36" s="1034"/>
      <c r="Y36" s="1034"/>
      <c r="Z36" s="1034"/>
      <c r="AA36" s="1034"/>
      <c r="AB36" s="1034"/>
      <c r="AC36" s="1029"/>
      <c r="AD36" s="1029"/>
      <c r="AE36" s="1036"/>
      <c r="AF36" s="1036"/>
      <c r="AG36" s="1036"/>
      <c r="AH36" s="1036"/>
      <c r="AI36" s="1036"/>
      <c r="AJ36" s="1036"/>
      <c r="AK36" s="1036"/>
      <c r="AL36" s="1037"/>
      <c r="AM36" s="1037"/>
      <c r="AN36" s="1037"/>
      <c r="AO36" s="1037"/>
      <c r="AP36" s="1036"/>
      <c r="AQ36" s="1036"/>
      <c r="AR36" s="1036"/>
      <c r="AS36" s="1036"/>
      <c r="AT36" s="1036"/>
      <c r="AU36" s="2098"/>
      <c r="AV36" s="1841"/>
      <c r="AW36" s="1841"/>
      <c r="AX36" s="3228"/>
      <c r="AY36" s="1038"/>
      <c r="AZ36" s="1033"/>
      <c r="BA36" s="1033"/>
      <c r="BB36" s="1033"/>
      <c r="BC36" s="1039"/>
      <c r="BD36" s="1039"/>
      <c r="BE36" s="965"/>
      <c r="BF36" s="1040"/>
      <c r="BG36" s="1040"/>
      <c r="BH36" s="1033"/>
      <c r="BI36" s="1033"/>
      <c r="BJ36" s="1031"/>
      <c r="BK36" s="1031"/>
      <c r="BL36" s="1031"/>
      <c r="BM36" s="1031"/>
      <c r="BN36" s="1031"/>
      <c r="BO36" s="1041"/>
      <c r="BP36" s="899"/>
      <c r="BQ36" s="899"/>
      <c r="BR36" s="899"/>
      <c r="BS36" s="899"/>
      <c r="BT36" s="899"/>
      <c r="BU36" s="899"/>
      <c r="BV36" s="899"/>
      <c r="BW36" s="899"/>
      <c r="BX36" s="899"/>
      <c r="BY36" s="899"/>
      <c r="BZ36" s="899"/>
      <c r="CA36" s="899"/>
      <c r="CB36" s="899"/>
      <c r="CC36" s="899"/>
      <c r="CD36" s="899"/>
      <c r="CE36" s="899"/>
      <c r="CF36" s="899"/>
      <c r="CG36" s="899"/>
      <c r="CH36" s="899"/>
    </row>
    <row r="37" spans="1:86" ht="19.5">
      <c r="A37" s="1025"/>
      <c r="B37" s="1026"/>
      <c r="C37" s="1027"/>
      <c r="D37" s="6660"/>
      <c r="E37" s="1042" t="s">
        <v>4265</v>
      </c>
      <c r="F37" s="1043" t="s">
        <v>297</v>
      </c>
      <c r="G37" s="1043">
        <f>SUM(F11,F23,F27,F29,F33,F35)</f>
        <v>2250</v>
      </c>
      <c r="H37" s="1044"/>
      <c r="I37" s="1913"/>
      <c r="J37" s="1046"/>
      <c r="K37" s="1850"/>
      <c r="L37" s="1047"/>
      <c r="M37" s="1034"/>
      <c r="N37" s="1034"/>
      <c r="O37" s="1034"/>
      <c r="P37" s="1034"/>
      <c r="Q37" s="1034"/>
      <c r="R37" s="1034"/>
      <c r="S37" s="1034"/>
      <c r="T37" s="1035"/>
      <c r="U37" s="1035"/>
      <c r="V37" s="1035"/>
      <c r="W37" s="1035"/>
      <c r="X37" s="1034"/>
      <c r="Y37" s="1034"/>
      <c r="Z37" s="1034"/>
      <c r="AA37" s="1034"/>
      <c r="AB37" s="1034"/>
      <c r="AC37" s="1043"/>
      <c r="AD37" s="1043"/>
      <c r="AE37" s="1034"/>
      <c r="AF37" s="1034"/>
      <c r="AG37" s="1034"/>
      <c r="AH37" s="1034"/>
      <c r="AI37" s="1034"/>
      <c r="AJ37" s="1034"/>
      <c r="AK37" s="1034"/>
      <c r="AL37" s="1035"/>
      <c r="AM37" s="1035"/>
      <c r="AN37" s="1035"/>
      <c r="AO37" s="1035"/>
      <c r="AP37" s="1034"/>
      <c r="AQ37" s="1034"/>
      <c r="AR37" s="1034"/>
      <c r="AS37" s="1034"/>
      <c r="AT37" s="1034"/>
      <c r="AU37" s="2099"/>
      <c r="AV37" s="1842"/>
      <c r="AW37" s="1842"/>
      <c r="AX37" s="3229"/>
      <c r="AY37" s="1048"/>
      <c r="AZ37" s="1047"/>
      <c r="BA37" s="1047"/>
      <c r="BB37" s="1047"/>
      <c r="BC37" s="1049"/>
      <c r="BD37" s="1049"/>
      <c r="BE37" s="1050"/>
      <c r="BF37" s="1051"/>
      <c r="BG37" s="1051"/>
      <c r="BH37" s="1047"/>
      <c r="BI37" s="1047"/>
      <c r="BJ37" s="1045"/>
      <c r="BK37" s="1045"/>
      <c r="BL37" s="1045"/>
      <c r="BM37" s="1045"/>
      <c r="BN37" s="1045"/>
      <c r="BO37" s="1041"/>
      <c r="BP37" s="899"/>
      <c r="BQ37" s="899"/>
      <c r="BR37" s="899"/>
      <c r="BS37" s="899"/>
      <c r="BT37" s="899"/>
      <c r="BU37" s="899"/>
      <c r="BV37" s="899"/>
      <c r="BW37" s="899"/>
      <c r="BX37" s="899"/>
      <c r="BY37" s="899"/>
      <c r="BZ37" s="899"/>
      <c r="CA37" s="899"/>
      <c r="CB37" s="899"/>
      <c r="CC37" s="899"/>
      <c r="CD37" s="899"/>
      <c r="CE37" s="899"/>
      <c r="CF37" s="899"/>
      <c r="CG37" s="899"/>
      <c r="CH37" s="899"/>
    </row>
    <row r="38" spans="1:86" ht="58.5" customHeight="1">
      <c r="A38" s="1025"/>
      <c r="B38" s="1026"/>
      <c r="C38" s="1027"/>
      <c r="D38" s="6661"/>
      <c r="E38" s="1042"/>
      <c r="F38" s="1043" t="s">
        <v>3766</v>
      </c>
      <c r="G38" s="1043">
        <f>SUM(G5:G35)</f>
        <v>3000</v>
      </c>
      <c r="H38" s="1044"/>
      <c r="I38" s="1913"/>
      <c r="J38" s="1052"/>
      <c r="K38" s="1850">
        <f>SUM(K5:K35)</f>
        <v>31</v>
      </c>
      <c r="L38" s="1047"/>
      <c r="M38" s="1034"/>
      <c r="N38" s="1034"/>
      <c r="O38" s="1034"/>
      <c r="P38" s="1034"/>
      <c r="Q38" s="1034"/>
      <c r="R38" s="1034"/>
      <c r="S38" s="1034"/>
      <c r="T38" s="1035"/>
      <c r="U38" s="1035"/>
      <c r="V38" s="1035"/>
      <c r="W38" s="1035"/>
      <c r="X38" s="1034"/>
      <c r="Y38" s="1034"/>
      <c r="Z38" s="1034"/>
      <c r="AA38" s="1034"/>
      <c r="AB38" s="1034"/>
      <c r="AC38" s="1043">
        <f>SUM(AC5:AC35)</f>
        <v>7219</v>
      </c>
      <c r="AD38" s="1043">
        <f>SUM(AD5:AD35)</f>
        <v>5685</v>
      </c>
      <c r="AE38" s="1034"/>
      <c r="AF38" s="1034"/>
      <c r="AG38" s="1034"/>
      <c r="AH38" s="1034"/>
      <c r="AI38" s="1034"/>
      <c r="AJ38" s="1034"/>
      <c r="AK38" s="1034"/>
      <c r="AL38" s="1035"/>
      <c r="AM38" s="1035"/>
      <c r="AN38" s="1035"/>
      <c r="AO38" s="1035"/>
      <c r="AP38" s="1034"/>
      <c r="AQ38" s="1034"/>
      <c r="AR38" s="1034"/>
      <c r="AS38" s="1034"/>
      <c r="AT38" s="1034"/>
      <c r="AU38" s="2099">
        <f>SUM(AU5:AU35)</f>
        <v>1622</v>
      </c>
      <c r="AV38" s="1842">
        <f>SUM(AV5:AV35)</f>
        <v>3000</v>
      </c>
      <c r="AW38" s="1842"/>
      <c r="AX38" s="3229">
        <f>SUM(AX5:AX35)</f>
        <v>1715</v>
      </c>
      <c r="AY38" s="1048"/>
      <c r="AZ38" s="1047"/>
      <c r="BA38" s="1047"/>
      <c r="BB38" s="1047"/>
      <c r="BC38" s="1049"/>
      <c r="BD38" s="1049"/>
      <c r="BE38" s="1050"/>
      <c r="BF38" s="1051"/>
      <c r="BG38" s="1051"/>
      <c r="BH38" s="1047"/>
      <c r="BI38" s="1047"/>
      <c r="BJ38" s="1045"/>
      <c r="BK38" s="1045"/>
      <c r="BL38" s="1045"/>
      <c r="BM38" s="1045"/>
      <c r="BN38" s="1045"/>
      <c r="BO38" s="1041"/>
      <c r="BP38" s="899"/>
      <c r="BQ38" s="899"/>
      <c r="BR38" s="899"/>
      <c r="BS38" s="899"/>
      <c r="BT38" s="899"/>
      <c r="BU38" s="899"/>
      <c r="BV38" s="899"/>
      <c r="BW38" s="899"/>
      <c r="BX38" s="899"/>
      <c r="BY38" s="899"/>
      <c r="BZ38" s="899"/>
      <c r="CA38" s="899"/>
      <c r="CB38" s="899"/>
      <c r="CC38" s="899"/>
      <c r="CD38" s="899"/>
      <c r="CE38" s="899"/>
      <c r="CF38" s="899"/>
      <c r="CG38" s="899"/>
      <c r="CH38" s="899"/>
    </row>
    <row r="39" spans="1:86" ht="10.75" customHeight="1">
      <c r="B39" s="1053"/>
      <c r="F39" s="6662"/>
      <c r="G39" s="6662"/>
      <c r="L39" s="1054"/>
      <c r="AC39" s="1055"/>
      <c r="AD39" s="1056"/>
      <c r="AE39" s="1057"/>
      <c r="AF39" s="1057"/>
      <c r="AG39" s="1057"/>
      <c r="AH39" s="1057"/>
      <c r="AI39" s="1057"/>
      <c r="AJ39" s="1057"/>
      <c r="AK39" s="1057"/>
      <c r="AL39" s="1057"/>
      <c r="AM39" s="1057"/>
      <c r="AN39" s="1057"/>
      <c r="AO39" s="1057"/>
      <c r="AP39" s="1057"/>
      <c r="AQ39" s="1057"/>
      <c r="AR39" s="1057"/>
      <c r="AS39" s="1057"/>
      <c r="AT39" s="1055"/>
      <c r="AU39" s="2084"/>
      <c r="AV39" s="1843"/>
      <c r="AW39" s="1843"/>
      <c r="AX39" s="1056"/>
      <c r="AY39" s="889"/>
      <c r="AZ39" s="889"/>
      <c r="BA39" s="1054"/>
      <c r="BB39" s="889"/>
      <c r="BC39" s="1054"/>
      <c r="BD39" s="889"/>
      <c r="BE39" s="1054"/>
      <c r="BF39" s="889"/>
      <c r="BG39" s="1054"/>
      <c r="BH39" s="889"/>
      <c r="BI39" s="1054"/>
      <c r="BK39" s="1054"/>
      <c r="BM39" s="1054"/>
    </row>
    <row r="40" spans="1:86" ht="19.399999999999999" customHeight="1">
      <c r="B40" s="1060" t="s">
        <v>4290</v>
      </c>
    </row>
    <row r="41" spans="1:86" ht="19.399999999999999" customHeight="1">
      <c r="B41" s="1053" t="s">
        <v>4291</v>
      </c>
    </row>
    <row r="42" spans="1:86" ht="19.399999999999999" customHeight="1">
      <c r="B42" s="1053" t="s">
        <v>4292</v>
      </c>
    </row>
  </sheetData>
  <mergeCells count="41">
    <mergeCell ref="A2:C4"/>
    <mergeCell ref="D2:D4"/>
    <mergeCell ref="E2:E4"/>
    <mergeCell ref="F2:G3"/>
    <mergeCell ref="H2:BN2"/>
    <mergeCell ref="M3:AD3"/>
    <mergeCell ref="AE3:AY3"/>
    <mergeCell ref="AZ3:BA3"/>
    <mergeCell ref="BB3:BC3"/>
    <mergeCell ref="BD3:BF3"/>
    <mergeCell ref="BJ3:BJ4"/>
    <mergeCell ref="BK3:BK4"/>
    <mergeCell ref="BL3:BL4"/>
    <mergeCell ref="BM3:BM4"/>
    <mergeCell ref="BN3:BN4"/>
    <mergeCell ref="A5:C35"/>
    <mergeCell ref="D5:D21"/>
    <mergeCell ref="E5:E10"/>
    <mergeCell ref="F5:F10"/>
    <mergeCell ref="G5:G21"/>
    <mergeCell ref="D34:D35"/>
    <mergeCell ref="G34:G35"/>
    <mergeCell ref="D30:D31"/>
    <mergeCell ref="G30:G31"/>
    <mergeCell ref="K5:K10"/>
    <mergeCell ref="E11:E21"/>
    <mergeCell ref="F11:F21"/>
    <mergeCell ref="K11:K21"/>
    <mergeCell ref="D22:D25"/>
    <mergeCell ref="G22:G25"/>
    <mergeCell ref="E23:E25"/>
    <mergeCell ref="F23:F25"/>
    <mergeCell ref="K23:K25"/>
    <mergeCell ref="D36:D38"/>
    <mergeCell ref="F39:G39"/>
    <mergeCell ref="D26:D27"/>
    <mergeCell ref="G26:G27"/>
    <mergeCell ref="D28:D29"/>
    <mergeCell ref="G28:G29"/>
    <mergeCell ref="D32:D33"/>
    <mergeCell ref="G32:G33"/>
  </mergeCells>
  <phoneticPr fontId="2"/>
  <conditionalFormatting sqref="F5">
    <cfRule type="cellIs" dxfId="899" priority="1" operator="equal">
      <formula>"ホテル等"</formula>
    </cfRule>
    <cfRule type="cellIs" dxfId="898" priority="2" operator="equal">
      <formula>"サブ選手村"</formula>
    </cfRule>
  </conditionalFormatting>
  <conditionalFormatting sqref="BI1:BN1 BJ3:BN3 BI3:BI4 BI5:BN38 BI40:BN1048576">
    <cfRule type="cellIs" dxfId="897" priority="3" operator="equal">
      <formula>"定義外"</formula>
    </cfRule>
  </conditionalFormatting>
  <pageMargins left="0.23622047244094491" right="0.23622047244094491" top="0.74803149606299213" bottom="0.74803149606299213" header="0.31496062992125984" footer="0.31496062992125984"/>
  <pageSetup paperSize="9" scale="32" orientation="landscape"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396F1-6542-4B60-A883-5ED4900FFD94}">
  <sheetPr codeName="Sheet286">
    <tabColor rgb="FFFFC000"/>
    <pageSetUpPr fitToPage="1"/>
  </sheetPr>
  <dimension ref="A1:CI42"/>
  <sheetViews>
    <sheetView showGridLines="0" view="pageBreakPreview" topLeftCell="A18" zoomScale="70" zoomScaleNormal="70" zoomScaleSheetLayoutView="70" workbookViewId="0">
      <selection activeCell="L1" sqref="L1:L1048576"/>
    </sheetView>
  </sheetViews>
  <sheetFormatPr defaultColWidth="9.453125" defaultRowHeight="19.399999999999999" customHeight="1" outlineLevelCol="2"/>
  <cols>
    <col min="1" max="1" width="5.54296875" style="885" customWidth="1"/>
    <col min="2" max="2" width="5.54296875" style="884" customWidth="1"/>
    <col min="3" max="3" width="5.54296875" style="885" customWidth="1"/>
    <col min="4" max="4" width="12.1796875" style="885" customWidth="1"/>
    <col min="5" max="5" width="11.453125" style="897" customWidth="1"/>
    <col min="6" max="6" width="8.81640625" style="897" hidden="1" customWidth="1"/>
    <col min="7" max="7" width="5.54296875" style="889" hidden="1" customWidth="1"/>
    <col min="8" max="8" width="5.54296875" style="889" customWidth="1"/>
    <col min="9" max="9" width="77.7265625" style="1054" customWidth="1"/>
    <col min="10" max="10" width="10.453125" style="1054" bestFit="1" customWidth="1"/>
    <col min="11" max="11" width="10.7265625" style="887" bestFit="1" customWidth="1"/>
    <col min="12" max="12" width="10.7265625" style="887" customWidth="1"/>
    <col min="13" max="14" width="10.7265625" style="887" bestFit="1" customWidth="1"/>
    <col min="15" max="30" width="6.54296875" style="886" hidden="1" customWidth="1" outlineLevel="1"/>
    <col min="31" max="31" width="9.453125" style="887" customWidth="1" collapsed="1"/>
    <col min="32" max="32" width="11.54296875" style="887" customWidth="1"/>
    <col min="33" max="48" width="6.54296875" style="886" hidden="1" customWidth="1" outlineLevel="2"/>
    <col min="49" max="49" width="9.54296875" style="887" customWidth="1" collapsed="1"/>
    <col min="50" max="50" width="9.54296875" style="887" customWidth="1"/>
    <col min="51" max="51" width="4.453125" style="888" customWidth="1"/>
    <col min="52" max="53" width="3.453125" style="887" customWidth="1"/>
    <col min="54" max="54" width="8.7265625" style="887" customWidth="1"/>
    <col min="55" max="58" width="3.453125" style="887" customWidth="1"/>
    <col min="59" max="59" width="33.54296875" style="887" bestFit="1" customWidth="1"/>
    <col min="60" max="60" width="25.453125" style="887" customWidth="1"/>
    <col min="61" max="61" width="5.81640625" style="887" customWidth="1"/>
    <col min="62" max="65" width="3.453125" style="889" customWidth="1"/>
    <col min="66" max="66" width="10.453125" style="889" customWidth="1"/>
    <col min="67" max="67" width="50.1796875" style="1058" customWidth="1"/>
    <col min="68" max="68" width="9.453125" style="897"/>
    <col min="69" max="69" width="8.81640625" style="897" customWidth="1"/>
    <col min="70" max="75" width="4.453125" style="892" customWidth="1"/>
    <col min="76" max="76" width="8.81640625" style="893" customWidth="1"/>
    <col min="77" max="79" width="4.453125" style="895" customWidth="1"/>
    <col min="80" max="80" width="4.453125" style="1059" customWidth="1"/>
    <col min="81" max="82" width="12.54296875" style="1059" customWidth="1"/>
    <col min="83" max="83" width="29" style="1059" customWidth="1"/>
    <col min="84" max="84" width="7.1796875" style="1059" customWidth="1"/>
    <col min="85" max="16384" width="9.453125" style="897"/>
  </cols>
  <sheetData>
    <row r="1" spans="1:87" ht="28.75" customHeight="1">
      <c r="A1" s="883" t="s">
        <v>3687</v>
      </c>
      <c r="E1" s="885"/>
      <c r="F1" s="885"/>
      <c r="G1" s="885"/>
      <c r="H1" s="885"/>
      <c r="I1" s="885"/>
      <c r="J1" s="885"/>
      <c r="K1" s="885"/>
      <c r="L1" s="885"/>
      <c r="M1" s="885"/>
      <c r="N1" s="885"/>
      <c r="BO1" s="890" t="s">
        <v>4293</v>
      </c>
      <c r="BP1" s="891"/>
      <c r="BQ1" s="891"/>
      <c r="BR1" s="891"/>
      <c r="BS1" s="891"/>
      <c r="BT1" s="891"/>
      <c r="BV1" s="891"/>
      <c r="BW1" s="891"/>
      <c r="BY1" s="894"/>
      <c r="BZ1" s="894"/>
      <c r="CB1" s="896"/>
      <c r="CC1" s="896"/>
      <c r="CD1" s="896"/>
      <c r="CE1" s="896"/>
      <c r="CF1" s="896"/>
      <c r="CG1" s="892"/>
      <c r="CH1" s="892"/>
      <c r="CI1" s="892"/>
    </row>
    <row r="2" spans="1:87" ht="24.5">
      <c r="A2" s="3242" t="s">
        <v>4294</v>
      </c>
      <c r="E2" s="885"/>
      <c r="F2" s="885"/>
      <c r="G2" s="885"/>
      <c r="H2" s="885"/>
      <c r="I2" s="885"/>
      <c r="J2" s="885"/>
      <c r="K2" s="885"/>
      <c r="L2" s="885"/>
      <c r="M2" s="885"/>
      <c r="N2" s="885"/>
      <c r="BO2" s="890"/>
      <c r="BP2" s="891"/>
      <c r="BQ2" s="891"/>
      <c r="BR2" s="891"/>
      <c r="BS2" s="891"/>
      <c r="BT2" s="891"/>
      <c r="BV2" s="891"/>
      <c r="BW2" s="891"/>
      <c r="BY2" s="894"/>
      <c r="BZ2" s="894"/>
      <c r="CB2" s="896"/>
      <c r="CC2" s="896"/>
      <c r="CD2" s="896"/>
      <c r="CE2" s="896"/>
      <c r="CF2" s="896"/>
      <c r="CG2" s="892"/>
      <c r="CH2" s="892"/>
      <c r="CI2" s="892"/>
    </row>
    <row r="3" spans="1:87" ht="24.5">
      <c r="A3" s="3242" t="s">
        <v>4295</v>
      </c>
      <c r="E3" s="885"/>
      <c r="F3" s="885"/>
      <c r="G3" s="885"/>
      <c r="H3" s="885"/>
      <c r="I3" s="885"/>
      <c r="J3" s="885"/>
      <c r="K3" s="885"/>
      <c r="L3" s="885"/>
      <c r="M3" s="885"/>
      <c r="N3" s="885"/>
      <c r="BO3" s="890"/>
      <c r="BP3" s="891"/>
      <c r="BQ3" s="891"/>
      <c r="BR3" s="891"/>
      <c r="BS3" s="891"/>
      <c r="BT3" s="891"/>
      <c r="BV3" s="891"/>
      <c r="BW3" s="891"/>
      <c r="BY3" s="894"/>
      <c r="BZ3" s="894"/>
      <c r="CB3" s="896"/>
      <c r="CC3" s="896"/>
      <c r="CD3" s="896"/>
      <c r="CE3" s="896"/>
      <c r="CF3" s="896"/>
      <c r="CG3" s="892"/>
      <c r="CH3" s="892"/>
      <c r="CI3" s="892"/>
    </row>
    <row r="4" spans="1:87" ht="24.5">
      <c r="A4" s="3242" t="s">
        <v>4296</v>
      </c>
      <c r="E4" s="885"/>
      <c r="F4" s="885"/>
      <c r="G4" s="885"/>
      <c r="H4" s="885"/>
      <c r="I4" s="885"/>
      <c r="J4" s="885"/>
      <c r="K4" s="885"/>
      <c r="L4" s="885"/>
      <c r="M4" s="885"/>
      <c r="N4" s="885"/>
      <c r="BO4" s="890"/>
      <c r="BP4" s="891"/>
      <c r="BQ4" s="891"/>
      <c r="BR4" s="891"/>
      <c r="BS4" s="891"/>
      <c r="BT4" s="891"/>
      <c r="BV4" s="891"/>
      <c r="BW4" s="891"/>
      <c r="BY4" s="894"/>
      <c r="BZ4" s="894"/>
      <c r="CB4" s="896"/>
      <c r="CC4" s="896"/>
      <c r="CD4" s="896"/>
      <c r="CE4" s="896"/>
      <c r="CF4" s="896"/>
      <c r="CG4" s="892"/>
      <c r="CH4" s="892"/>
      <c r="CI4" s="892"/>
    </row>
    <row r="5" spans="1:87" ht="24.5">
      <c r="A5" s="3242"/>
      <c r="E5" s="885"/>
      <c r="F5" s="885"/>
      <c r="G5" s="885"/>
      <c r="H5" s="885"/>
      <c r="I5" s="885"/>
      <c r="J5" s="885"/>
      <c r="K5" s="885"/>
      <c r="L5" s="885"/>
      <c r="M5" s="885"/>
      <c r="N5" s="885"/>
      <c r="BO5" s="890"/>
      <c r="BP5" s="891"/>
      <c r="BQ5" s="891"/>
      <c r="BR5" s="891"/>
      <c r="BS5" s="891"/>
      <c r="BT5" s="891"/>
      <c r="BV5" s="891"/>
      <c r="BW5" s="891"/>
      <c r="BY5" s="894"/>
      <c r="BZ5" s="894"/>
      <c r="CB5" s="896"/>
      <c r="CC5" s="896"/>
      <c r="CD5" s="896"/>
      <c r="CE5" s="896"/>
      <c r="CF5" s="896"/>
      <c r="CG5" s="892"/>
      <c r="CH5" s="892"/>
      <c r="CI5" s="892"/>
    </row>
    <row r="6" spans="1:87" s="895" customFormat="1" ht="15.65" customHeight="1">
      <c r="A6" s="6598" t="s">
        <v>3110</v>
      </c>
      <c r="B6" s="6599"/>
      <c r="C6" s="6599"/>
      <c r="D6" s="6599" t="s">
        <v>2101</v>
      </c>
      <c r="E6" s="6489"/>
      <c r="F6" s="6475" t="s">
        <v>3112</v>
      </c>
      <c r="G6" s="6476"/>
      <c r="H6" s="6476"/>
      <c r="I6" s="6476"/>
      <c r="J6" s="6476"/>
      <c r="K6" s="6476"/>
      <c r="L6" s="6476"/>
      <c r="M6" s="6476"/>
      <c r="N6" s="6476"/>
      <c r="O6" s="6476"/>
      <c r="P6" s="6476"/>
      <c r="Q6" s="6476"/>
      <c r="R6" s="6476"/>
      <c r="S6" s="6476"/>
      <c r="T6" s="6476"/>
      <c r="U6" s="6476"/>
      <c r="V6" s="6476"/>
      <c r="W6" s="6476"/>
      <c r="X6" s="6476"/>
      <c r="Y6" s="6476"/>
      <c r="Z6" s="6476"/>
      <c r="AA6" s="6476"/>
      <c r="AB6" s="6476"/>
      <c r="AC6" s="6476"/>
      <c r="AD6" s="6476"/>
      <c r="AE6" s="6476"/>
      <c r="AF6" s="6476"/>
      <c r="AG6" s="6476"/>
      <c r="AH6" s="6476"/>
      <c r="AI6" s="6476"/>
      <c r="AJ6" s="6476"/>
      <c r="AK6" s="6476"/>
      <c r="AL6" s="6476"/>
      <c r="AM6" s="6476"/>
      <c r="AN6" s="6476"/>
      <c r="AO6" s="6476"/>
      <c r="AP6" s="6476"/>
      <c r="AQ6" s="6476"/>
      <c r="AR6" s="6476"/>
      <c r="AS6" s="6476"/>
      <c r="AT6" s="6476"/>
      <c r="AU6" s="6476"/>
      <c r="AV6" s="6476"/>
      <c r="AW6" s="6476"/>
      <c r="AX6" s="6476"/>
      <c r="AY6" s="6476"/>
      <c r="AZ6" s="6476"/>
      <c r="BA6" s="6476"/>
      <c r="BB6" s="6476"/>
      <c r="BC6" s="6476"/>
      <c r="BD6" s="6476"/>
      <c r="BE6" s="6476"/>
      <c r="BF6" s="6476"/>
      <c r="BG6" s="6476"/>
      <c r="BH6" s="6476"/>
      <c r="BI6" s="6476"/>
      <c r="BJ6" s="6476"/>
      <c r="BK6" s="6476"/>
      <c r="BL6" s="6476"/>
      <c r="BM6" s="6476"/>
      <c r="BN6" s="6477"/>
      <c r="BO6" s="898"/>
      <c r="BP6" s="899"/>
      <c r="BQ6" s="899"/>
      <c r="BR6" s="899"/>
      <c r="BS6" s="899"/>
      <c r="BT6" s="899"/>
      <c r="BU6" s="899"/>
      <c r="BV6" s="899"/>
      <c r="BW6" s="899"/>
      <c r="BX6" s="899"/>
      <c r="BY6" s="899"/>
      <c r="BZ6" s="899"/>
      <c r="CA6" s="899"/>
      <c r="CB6" s="899"/>
      <c r="CC6" s="899"/>
      <c r="CD6" s="899"/>
      <c r="CE6" s="899"/>
      <c r="CF6" s="899"/>
      <c r="CG6" s="899"/>
    </row>
    <row r="7" spans="1:87" s="895" customFormat="1" ht="15.65" customHeight="1">
      <c r="A7" s="6600"/>
      <c r="B7" s="6601"/>
      <c r="C7" s="6601"/>
      <c r="D7" s="6601"/>
      <c r="E7" s="6491"/>
      <c r="F7" s="901" t="s">
        <v>2566</v>
      </c>
      <c r="G7" s="3243" t="s">
        <v>2552</v>
      </c>
      <c r="H7" s="3243"/>
      <c r="I7" s="902"/>
      <c r="J7" s="3244"/>
      <c r="K7" s="903" t="s">
        <v>2553</v>
      </c>
      <c r="L7" s="903"/>
      <c r="M7" s="3245"/>
      <c r="N7" s="3245"/>
      <c r="O7" s="6478" t="s">
        <v>2554</v>
      </c>
      <c r="P7" s="6478"/>
      <c r="Q7" s="6478"/>
      <c r="R7" s="6478"/>
      <c r="S7" s="6478"/>
      <c r="T7" s="6478"/>
      <c r="U7" s="6478"/>
      <c r="V7" s="6478"/>
      <c r="W7" s="6478"/>
      <c r="X7" s="6478"/>
      <c r="Y7" s="6478"/>
      <c r="Z7" s="6478"/>
      <c r="AA7" s="6478"/>
      <c r="AB7" s="6478"/>
      <c r="AC7" s="6478"/>
      <c r="AD7" s="6478"/>
      <c r="AE7" s="6478"/>
      <c r="AF7" s="6478"/>
      <c r="AG7" s="6479" t="s">
        <v>2555</v>
      </c>
      <c r="AH7" s="6480"/>
      <c r="AI7" s="6480"/>
      <c r="AJ7" s="6480"/>
      <c r="AK7" s="6480"/>
      <c r="AL7" s="6480"/>
      <c r="AM7" s="6480"/>
      <c r="AN7" s="6480"/>
      <c r="AO7" s="6480"/>
      <c r="AP7" s="6480"/>
      <c r="AQ7" s="6480"/>
      <c r="AR7" s="6480"/>
      <c r="AS7" s="6480"/>
      <c r="AT7" s="6480"/>
      <c r="AU7" s="6480"/>
      <c r="AV7" s="6480"/>
      <c r="AW7" s="6480"/>
      <c r="AX7" s="6480"/>
      <c r="AY7" s="6480"/>
      <c r="AZ7" s="6480" t="s">
        <v>2556</v>
      </c>
      <c r="BA7" s="6481"/>
      <c r="BB7" s="6480" t="s">
        <v>2557</v>
      </c>
      <c r="BC7" s="6480"/>
      <c r="BD7" s="6479" t="s">
        <v>2558</v>
      </c>
      <c r="BE7" s="6480"/>
      <c r="BF7" s="6481"/>
      <c r="BG7" s="904" t="s">
        <v>2088</v>
      </c>
      <c r="BH7" s="904" t="s">
        <v>2559</v>
      </c>
      <c r="BI7" s="905" t="s">
        <v>2560</v>
      </c>
      <c r="BJ7" s="6482" t="s">
        <v>2561</v>
      </c>
      <c r="BK7" s="6471" t="s">
        <v>2562</v>
      </c>
      <c r="BL7" s="6471" t="s">
        <v>2563</v>
      </c>
      <c r="BM7" s="6471" t="s">
        <v>2564</v>
      </c>
      <c r="BN7" s="6473" t="s">
        <v>2565</v>
      </c>
      <c r="BO7" s="906"/>
      <c r="BP7" s="899"/>
      <c r="BQ7" s="899"/>
      <c r="BR7" s="899"/>
      <c r="BS7" s="899"/>
      <c r="BT7" s="899"/>
      <c r="BU7" s="899"/>
      <c r="BV7" s="899"/>
      <c r="BW7" s="899"/>
      <c r="BX7" s="899"/>
      <c r="BY7" s="899"/>
      <c r="BZ7" s="899"/>
      <c r="CA7" s="899"/>
      <c r="CB7" s="899"/>
      <c r="CC7" s="899"/>
      <c r="CD7" s="899"/>
      <c r="CE7" s="899"/>
      <c r="CF7" s="899"/>
      <c r="CG7" s="899"/>
    </row>
    <row r="8" spans="1:87" s="895" customFormat="1" ht="90">
      <c r="A8" s="6602"/>
      <c r="B8" s="6603"/>
      <c r="C8" s="6603"/>
      <c r="D8" s="6603"/>
      <c r="E8" s="3246" t="s">
        <v>3689</v>
      </c>
      <c r="F8" s="908" t="s">
        <v>2598</v>
      </c>
      <c r="G8" s="3247" t="s">
        <v>2567</v>
      </c>
      <c r="H8" s="3280" t="s">
        <v>0</v>
      </c>
      <c r="I8" s="909" t="s">
        <v>2568</v>
      </c>
      <c r="J8" s="3248" t="s">
        <v>3690</v>
      </c>
      <c r="K8" s="910" t="s">
        <v>2101</v>
      </c>
      <c r="L8" s="3281" t="s">
        <v>2551</v>
      </c>
      <c r="M8" s="3282" t="s">
        <v>4297</v>
      </c>
      <c r="N8" s="3249"/>
      <c r="O8" s="911" t="s">
        <v>2569</v>
      </c>
      <c r="P8" s="912" t="s">
        <v>2570</v>
      </c>
      <c r="Q8" s="912" t="s">
        <v>2571</v>
      </c>
      <c r="R8" s="912" t="s">
        <v>2572</v>
      </c>
      <c r="S8" s="912" t="s">
        <v>2573</v>
      </c>
      <c r="T8" s="912" t="s">
        <v>2574</v>
      </c>
      <c r="U8" s="912" t="s">
        <v>2575</v>
      </c>
      <c r="V8" s="913" t="s">
        <v>2576</v>
      </c>
      <c r="W8" s="913" t="s">
        <v>2577</v>
      </c>
      <c r="X8" s="913" t="s">
        <v>2578</v>
      </c>
      <c r="Y8" s="913" t="s">
        <v>2579</v>
      </c>
      <c r="Z8" s="912" t="s">
        <v>2580</v>
      </c>
      <c r="AA8" s="912" t="s">
        <v>2581</v>
      </c>
      <c r="AB8" s="912" t="s">
        <v>2582</v>
      </c>
      <c r="AC8" s="912" t="s">
        <v>2583</v>
      </c>
      <c r="AD8" s="914" t="s">
        <v>2584</v>
      </c>
      <c r="AE8" s="905" t="s">
        <v>2104</v>
      </c>
      <c r="AF8" s="915" t="s">
        <v>2585</v>
      </c>
      <c r="AG8" s="911" t="s">
        <v>2569</v>
      </c>
      <c r="AH8" s="912" t="s">
        <v>2570</v>
      </c>
      <c r="AI8" s="912" t="s">
        <v>2571</v>
      </c>
      <c r="AJ8" s="912" t="s">
        <v>2572</v>
      </c>
      <c r="AK8" s="912" t="s">
        <v>2573</v>
      </c>
      <c r="AL8" s="912" t="s">
        <v>2574</v>
      </c>
      <c r="AM8" s="912" t="s">
        <v>2575</v>
      </c>
      <c r="AN8" s="913" t="s">
        <v>2576</v>
      </c>
      <c r="AO8" s="913" t="s">
        <v>2577</v>
      </c>
      <c r="AP8" s="913" t="s">
        <v>2578</v>
      </c>
      <c r="AQ8" s="913" t="s">
        <v>2579</v>
      </c>
      <c r="AR8" s="912" t="s">
        <v>2580</v>
      </c>
      <c r="AS8" s="912" t="s">
        <v>2581</v>
      </c>
      <c r="AT8" s="912" t="s">
        <v>2582</v>
      </c>
      <c r="AU8" s="912" t="s">
        <v>2583</v>
      </c>
      <c r="AV8" s="914" t="s">
        <v>2584</v>
      </c>
      <c r="AW8" s="905" t="s">
        <v>2586</v>
      </c>
      <c r="AX8" s="915" t="s">
        <v>2587</v>
      </c>
      <c r="AY8" s="916" t="s">
        <v>2588</v>
      </c>
      <c r="AZ8" s="917" t="s">
        <v>2589</v>
      </c>
      <c r="BA8" s="915" t="s">
        <v>2590</v>
      </c>
      <c r="BB8" s="917" t="s">
        <v>2591</v>
      </c>
      <c r="BC8" s="917" t="s">
        <v>2592</v>
      </c>
      <c r="BD8" s="905" t="s">
        <v>2593</v>
      </c>
      <c r="BE8" s="917" t="s">
        <v>2594</v>
      </c>
      <c r="BF8" s="915" t="s">
        <v>2595</v>
      </c>
      <c r="BG8" s="903" t="s">
        <v>2109</v>
      </c>
      <c r="BH8" s="918" t="s">
        <v>2596</v>
      </c>
      <c r="BI8" s="919" t="s">
        <v>2597</v>
      </c>
      <c r="BJ8" s="6483"/>
      <c r="BK8" s="6472"/>
      <c r="BL8" s="6472"/>
      <c r="BM8" s="6472"/>
      <c r="BN8" s="6474"/>
      <c r="BO8" s="920" t="s">
        <v>2600</v>
      </c>
      <c r="BP8" s="899"/>
      <c r="BQ8" s="899"/>
      <c r="BR8" s="899"/>
      <c r="BS8" s="899"/>
      <c r="BT8" s="899"/>
      <c r="BU8" s="899"/>
      <c r="BV8" s="899"/>
      <c r="BW8" s="899"/>
      <c r="BX8" s="899"/>
      <c r="BY8" s="899"/>
      <c r="BZ8" s="899"/>
      <c r="CA8" s="899"/>
      <c r="CB8" s="899"/>
      <c r="CC8" s="899"/>
      <c r="CD8" s="899"/>
      <c r="CE8" s="899"/>
      <c r="CF8" s="899"/>
      <c r="CG8" s="899"/>
    </row>
    <row r="9" spans="1:87" ht="16">
      <c r="A9" s="6677" t="s">
        <v>3693</v>
      </c>
      <c r="B9" s="6678"/>
      <c r="C9" s="6678"/>
      <c r="D9" s="6614" t="s">
        <v>3468</v>
      </c>
      <c r="E9" s="6604">
        <v>2000</v>
      </c>
      <c r="F9" s="921" t="s">
        <v>3694</v>
      </c>
      <c r="G9" s="3250">
        <v>51</v>
      </c>
      <c r="H9" s="3250">
        <v>61</v>
      </c>
      <c r="I9" s="922" t="s">
        <v>3695</v>
      </c>
      <c r="J9" s="6606">
        <f>COUNTA(I9:I30)</f>
        <v>22</v>
      </c>
      <c r="K9" s="923" t="s">
        <v>2138</v>
      </c>
      <c r="L9" s="923">
        <v>32</v>
      </c>
      <c r="M9" s="3251">
        <v>153</v>
      </c>
      <c r="N9" s="6608">
        <f>SUM(M9:M30)</f>
        <v>2000</v>
      </c>
      <c r="O9" s="924"/>
      <c r="P9" s="925"/>
      <c r="Q9" s="925"/>
      <c r="R9" s="925"/>
      <c r="S9" s="925"/>
      <c r="T9" s="925"/>
      <c r="U9" s="925"/>
      <c r="V9" s="926"/>
      <c r="W9" s="926"/>
      <c r="X9" s="926"/>
      <c r="Y9" s="926"/>
      <c r="Z9" s="925"/>
      <c r="AA9" s="925"/>
      <c r="AB9" s="925"/>
      <c r="AC9" s="925"/>
      <c r="AD9" s="927"/>
      <c r="AE9" s="928">
        <v>313</v>
      </c>
      <c r="AF9" s="923">
        <v>333</v>
      </c>
      <c r="AG9" s="924"/>
      <c r="AH9" s="925"/>
      <c r="AI9" s="925"/>
      <c r="AJ9" s="925"/>
      <c r="AK9" s="925"/>
      <c r="AL9" s="925"/>
      <c r="AM9" s="925"/>
      <c r="AN9" s="926"/>
      <c r="AO9" s="926"/>
      <c r="AP9" s="926"/>
      <c r="AQ9" s="926"/>
      <c r="AR9" s="925"/>
      <c r="AS9" s="925"/>
      <c r="AT9" s="925"/>
      <c r="AU9" s="925"/>
      <c r="AV9" s="927"/>
      <c r="AW9" s="928">
        <v>60</v>
      </c>
      <c r="AX9" s="923">
        <v>60</v>
      </c>
      <c r="AY9" s="929"/>
      <c r="AZ9" s="930" t="s">
        <v>2609</v>
      </c>
      <c r="BA9" s="923" t="s">
        <v>2610</v>
      </c>
      <c r="BB9" s="930">
        <v>0</v>
      </c>
      <c r="BC9" s="930">
        <v>0</v>
      </c>
      <c r="BD9" s="931" t="s">
        <v>2133</v>
      </c>
      <c r="BE9" s="930" t="s">
        <v>2688</v>
      </c>
      <c r="BF9" s="923" t="s">
        <v>2688</v>
      </c>
      <c r="BG9" s="932" t="s">
        <v>3696</v>
      </c>
      <c r="BH9" s="932" t="s">
        <v>2133</v>
      </c>
      <c r="BI9" s="930"/>
      <c r="BJ9" s="933"/>
      <c r="BK9" s="934"/>
      <c r="BL9" s="934"/>
      <c r="BM9" s="934"/>
      <c r="BN9" s="935"/>
      <c r="BO9" s="3253"/>
      <c r="BP9" s="899"/>
      <c r="BQ9" s="899"/>
      <c r="BR9" s="899"/>
      <c r="BS9" s="899"/>
      <c r="BT9" s="899"/>
      <c r="BU9" s="899"/>
      <c r="BV9" s="899"/>
      <c r="BW9" s="899"/>
      <c r="BX9" s="899"/>
      <c r="BY9" s="899"/>
      <c r="BZ9" s="899"/>
      <c r="CA9" s="899"/>
      <c r="CB9" s="899"/>
      <c r="CC9" s="899"/>
      <c r="CD9" s="899"/>
      <c r="CE9" s="899"/>
      <c r="CF9" s="899"/>
      <c r="CG9" s="899"/>
      <c r="CH9" s="899"/>
    </row>
    <row r="10" spans="1:87" ht="23.15" customHeight="1">
      <c r="A10" s="6610"/>
      <c r="B10" s="6611"/>
      <c r="C10" s="6611"/>
      <c r="D10" s="6665"/>
      <c r="E10" s="6666"/>
      <c r="F10" s="939" t="s">
        <v>3694</v>
      </c>
      <c r="G10" s="3254">
        <v>60</v>
      </c>
      <c r="H10" s="3254">
        <v>60</v>
      </c>
      <c r="I10" s="940" t="s">
        <v>3697</v>
      </c>
      <c r="J10" s="6682"/>
      <c r="K10" s="941" t="s">
        <v>2138</v>
      </c>
      <c r="L10" s="941">
        <v>32</v>
      </c>
      <c r="M10" s="3255">
        <v>133</v>
      </c>
      <c r="N10" s="6684"/>
      <c r="O10" s="942" t="s">
        <v>2602</v>
      </c>
      <c r="P10" s="943" t="s">
        <v>3698</v>
      </c>
      <c r="Q10" s="943" t="s">
        <v>2602</v>
      </c>
      <c r="R10" s="943" t="s">
        <v>3699</v>
      </c>
      <c r="S10" s="943" t="s">
        <v>2602</v>
      </c>
      <c r="T10" s="943" t="s">
        <v>2602</v>
      </c>
      <c r="U10" s="943" t="s">
        <v>2602</v>
      </c>
      <c r="V10" s="944" t="s">
        <v>2602</v>
      </c>
      <c r="W10" s="944" t="s">
        <v>2602</v>
      </c>
      <c r="X10" s="944" t="s">
        <v>2602</v>
      </c>
      <c r="Y10" s="944" t="s">
        <v>2602</v>
      </c>
      <c r="Z10" s="943" t="s">
        <v>2602</v>
      </c>
      <c r="AA10" s="943" t="s">
        <v>2602</v>
      </c>
      <c r="AB10" s="943" t="s">
        <v>2602</v>
      </c>
      <c r="AC10" s="943" t="s">
        <v>2602</v>
      </c>
      <c r="AD10" s="945" t="s">
        <v>2602</v>
      </c>
      <c r="AE10" s="946">
        <v>272</v>
      </c>
      <c r="AF10" s="941">
        <v>342</v>
      </c>
      <c r="AG10" s="942" t="s">
        <v>2602</v>
      </c>
      <c r="AH10" s="943" t="s">
        <v>3700</v>
      </c>
      <c r="AI10" s="943" t="s">
        <v>2602</v>
      </c>
      <c r="AJ10" s="943" t="s">
        <v>3701</v>
      </c>
      <c r="AK10" s="943" t="s">
        <v>2602</v>
      </c>
      <c r="AL10" s="943" t="s">
        <v>2602</v>
      </c>
      <c r="AM10" s="943" t="s">
        <v>2602</v>
      </c>
      <c r="AN10" s="944" t="s">
        <v>2602</v>
      </c>
      <c r="AO10" s="944" t="s">
        <v>2602</v>
      </c>
      <c r="AP10" s="944" t="s">
        <v>2602</v>
      </c>
      <c r="AQ10" s="944" t="s">
        <v>2602</v>
      </c>
      <c r="AR10" s="943" t="s">
        <v>2602</v>
      </c>
      <c r="AS10" s="943" t="s">
        <v>2602</v>
      </c>
      <c r="AT10" s="943" t="s">
        <v>2602</v>
      </c>
      <c r="AU10" s="943" t="s">
        <v>2602</v>
      </c>
      <c r="AV10" s="945" t="s">
        <v>2602</v>
      </c>
      <c r="AW10" s="946">
        <v>120</v>
      </c>
      <c r="AX10" s="941">
        <v>150</v>
      </c>
      <c r="AY10" s="947">
        <v>0.44117647058823528</v>
      </c>
      <c r="AZ10" s="948" t="s">
        <v>2609</v>
      </c>
      <c r="BA10" s="941" t="s">
        <v>2609</v>
      </c>
      <c r="BB10" s="948">
        <v>0</v>
      </c>
      <c r="BC10" s="948">
        <v>0</v>
      </c>
      <c r="BD10" s="949" t="s">
        <v>2133</v>
      </c>
      <c r="BE10" s="948" t="s">
        <v>2688</v>
      </c>
      <c r="BF10" s="941" t="s">
        <v>2688</v>
      </c>
      <c r="BG10" s="950" t="s">
        <v>2168</v>
      </c>
      <c r="BH10" s="950" t="s">
        <v>2133</v>
      </c>
      <c r="BI10" s="948" t="s">
        <v>2723</v>
      </c>
      <c r="BJ10" s="951" t="s">
        <v>2133</v>
      </c>
      <c r="BK10" s="952" t="s">
        <v>2129</v>
      </c>
      <c r="BL10" s="952" t="s">
        <v>2129</v>
      </c>
      <c r="BM10" s="952" t="s">
        <v>2129</v>
      </c>
      <c r="BN10" s="953"/>
      <c r="BO10" s="954"/>
      <c r="BP10" s="899"/>
      <c r="BQ10" s="899"/>
      <c r="BR10" s="899"/>
      <c r="BS10" s="899"/>
      <c r="BT10" s="899"/>
      <c r="BU10" s="899"/>
      <c r="BV10" s="899"/>
      <c r="BW10" s="899"/>
      <c r="BX10" s="899"/>
      <c r="BY10" s="899"/>
      <c r="BZ10" s="899"/>
      <c r="CA10" s="899"/>
      <c r="CB10" s="899"/>
      <c r="CC10" s="899"/>
      <c r="CD10" s="899"/>
      <c r="CE10" s="899"/>
      <c r="CF10" s="899"/>
      <c r="CG10" s="899"/>
      <c r="CH10" s="899"/>
    </row>
    <row r="11" spans="1:87" ht="23.15" customHeight="1">
      <c r="A11" s="6610"/>
      <c r="B11" s="6611"/>
      <c r="C11" s="6611"/>
      <c r="D11" s="6665"/>
      <c r="E11" s="6666"/>
      <c r="F11" s="939" t="s">
        <v>3694</v>
      </c>
      <c r="G11" s="3254">
        <v>41</v>
      </c>
      <c r="H11" s="3254">
        <v>41</v>
      </c>
      <c r="I11" s="940" t="s">
        <v>3702</v>
      </c>
      <c r="J11" s="6682"/>
      <c r="K11" s="941" t="s">
        <v>2138</v>
      </c>
      <c r="L11" s="941">
        <v>32</v>
      </c>
      <c r="M11" s="3255">
        <v>96</v>
      </c>
      <c r="N11" s="6684"/>
      <c r="O11" s="942" t="s">
        <v>3703</v>
      </c>
      <c r="P11" s="943" t="s">
        <v>2731</v>
      </c>
      <c r="Q11" s="943" t="s">
        <v>2602</v>
      </c>
      <c r="R11" s="943" t="s">
        <v>2687</v>
      </c>
      <c r="S11" s="943" t="s">
        <v>2602</v>
      </c>
      <c r="T11" s="943" t="s">
        <v>2602</v>
      </c>
      <c r="U11" s="943" t="s">
        <v>2602</v>
      </c>
      <c r="V11" s="944" t="s">
        <v>2602</v>
      </c>
      <c r="W11" s="944" t="s">
        <v>2602</v>
      </c>
      <c r="X11" s="944" t="s">
        <v>2602</v>
      </c>
      <c r="Y11" s="944" t="s">
        <v>2602</v>
      </c>
      <c r="Z11" s="943" t="s">
        <v>2602</v>
      </c>
      <c r="AA11" s="943" t="s">
        <v>2602</v>
      </c>
      <c r="AB11" s="943" t="s">
        <v>2602</v>
      </c>
      <c r="AC11" s="943" t="s">
        <v>2602</v>
      </c>
      <c r="AD11" s="945" t="s">
        <v>2602</v>
      </c>
      <c r="AE11" s="946">
        <v>195</v>
      </c>
      <c r="AF11" s="941">
        <v>201</v>
      </c>
      <c r="AG11" s="942" t="s">
        <v>2697</v>
      </c>
      <c r="AH11" s="943" t="s">
        <v>2602</v>
      </c>
      <c r="AI11" s="943" t="s">
        <v>2602</v>
      </c>
      <c r="AJ11" s="943" t="s">
        <v>2602</v>
      </c>
      <c r="AK11" s="943" t="s">
        <v>2602</v>
      </c>
      <c r="AL11" s="943" t="s">
        <v>2602</v>
      </c>
      <c r="AM11" s="943" t="s">
        <v>2602</v>
      </c>
      <c r="AN11" s="944" t="s">
        <v>2602</v>
      </c>
      <c r="AO11" s="944" t="s">
        <v>2602</v>
      </c>
      <c r="AP11" s="944" t="s">
        <v>2602</v>
      </c>
      <c r="AQ11" s="944" t="s">
        <v>2602</v>
      </c>
      <c r="AR11" s="943" t="s">
        <v>2602</v>
      </c>
      <c r="AS11" s="943" t="s">
        <v>2602</v>
      </c>
      <c r="AT11" s="943" t="s">
        <v>2602</v>
      </c>
      <c r="AU11" s="943" t="s">
        <v>2602</v>
      </c>
      <c r="AV11" s="945" t="s">
        <v>2602</v>
      </c>
      <c r="AW11" s="946">
        <v>70</v>
      </c>
      <c r="AX11" s="941">
        <v>70</v>
      </c>
      <c r="AY11" s="947">
        <v>0.35897435897435898</v>
      </c>
      <c r="AZ11" s="948" t="s">
        <v>2609</v>
      </c>
      <c r="BA11" s="941" t="s">
        <v>2609</v>
      </c>
      <c r="BB11" s="948">
        <v>0</v>
      </c>
      <c r="BC11" s="948">
        <v>0</v>
      </c>
      <c r="BD11" s="949" t="s">
        <v>2133</v>
      </c>
      <c r="BE11" s="948" t="s">
        <v>2688</v>
      </c>
      <c r="BF11" s="941" t="s">
        <v>2688</v>
      </c>
      <c r="BG11" s="950" t="s">
        <v>2728</v>
      </c>
      <c r="BH11" s="950" t="s">
        <v>2133</v>
      </c>
      <c r="BI11" s="948" t="s">
        <v>2723</v>
      </c>
      <c r="BJ11" s="951" t="s">
        <v>2133</v>
      </c>
      <c r="BK11" s="952" t="s">
        <v>2129</v>
      </c>
      <c r="BL11" s="952" t="s">
        <v>2129</v>
      </c>
      <c r="BM11" s="952" t="s">
        <v>2129</v>
      </c>
      <c r="BN11" s="953"/>
      <c r="BO11" s="954"/>
      <c r="BP11" s="899"/>
      <c r="BQ11" s="899"/>
      <c r="BR11" s="899"/>
      <c r="BS11" s="899"/>
      <c r="BT11" s="899"/>
      <c r="BU11" s="899"/>
      <c r="BV11" s="899"/>
      <c r="BW11" s="899"/>
      <c r="BX11" s="899"/>
      <c r="BY11" s="899"/>
      <c r="BZ11" s="899"/>
      <c r="CA11" s="899"/>
      <c r="CB11" s="899"/>
      <c r="CC11" s="899"/>
      <c r="CD11" s="899"/>
      <c r="CE11" s="899"/>
      <c r="CF11" s="899"/>
      <c r="CG11" s="899"/>
      <c r="CH11" s="899"/>
    </row>
    <row r="12" spans="1:87" ht="23.15" customHeight="1">
      <c r="A12" s="6610"/>
      <c r="B12" s="6611"/>
      <c r="C12" s="6611"/>
      <c r="D12" s="6665"/>
      <c r="E12" s="6666"/>
      <c r="F12" s="939" t="s">
        <v>3694</v>
      </c>
      <c r="G12" s="3254">
        <v>42</v>
      </c>
      <c r="H12" s="3254">
        <v>42</v>
      </c>
      <c r="I12" s="940" t="s">
        <v>3704</v>
      </c>
      <c r="J12" s="6682"/>
      <c r="K12" s="941" t="s">
        <v>2138</v>
      </c>
      <c r="L12" s="941">
        <v>32</v>
      </c>
      <c r="M12" s="3255">
        <v>68</v>
      </c>
      <c r="N12" s="6684"/>
      <c r="O12" s="942" t="s">
        <v>2602</v>
      </c>
      <c r="P12" s="943" t="s">
        <v>3705</v>
      </c>
      <c r="Q12" s="943" t="s">
        <v>3706</v>
      </c>
      <c r="R12" s="943" t="s">
        <v>2602</v>
      </c>
      <c r="S12" s="943" t="s">
        <v>2602</v>
      </c>
      <c r="T12" s="943" t="s">
        <v>2602</v>
      </c>
      <c r="U12" s="943" t="s">
        <v>2602</v>
      </c>
      <c r="V12" s="944" t="s">
        <v>2602</v>
      </c>
      <c r="W12" s="944" t="s">
        <v>2602</v>
      </c>
      <c r="X12" s="944" t="s">
        <v>2602</v>
      </c>
      <c r="Y12" s="944" t="s">
        <v>2602</v>
      </c>
      <c r="Z12" s="943" t="s">
        <v>2602</v>
      </c>
      <c r="AA12" s="943" t="s">
        <v>2602</v>
      </c>
      <c r="AB12" s="943" t="s">
        <v>2602</v>
      </c>
      <c r="AC12" s="943" t="s">
        <v>2602</v>
      </c>
      <c r="AD12" s="945" t="s">
        <v>2602</v>
      </c>
      <c r="AE12" s="946">
        <v>139</v>
      </c>
      <c r="AF12" s="941">
        <v>139</v>
      </c>
      <c r="AG12" s="942" t="s">
        <v>2602</v>
      </c>
      <c r="AH12" s="943" t="s">
        <v>3707</v>
      </c>
      <c r="AI12" s="943" t="s">
        <v>3708</v>
      </c>
      <c r="AJ12" s="943" t="s">
        <v>2602</v>
      </c>
      <c r="AK12" s="943" t="s">
        <v>2602</v>
      </c>
      <c r="AL12" s="943" t="s">
        <v>2602</v>
      </c>
      <c r="AM12" s="943" t="s">
        <v>2602</v>
      </c>
      <c r="AN12" s="944" t="s">
        <v>2602</v>
      </c>
      <c r="AO12" s="944" t="s">
        <v>2602</v>
      </c>
      <c r="AP12" s="944" t="s">
        <v>2602</v>
      </c>
      <c r="AQ12" s="944" t="s">
        <v>2602</v>
      </c>
      <c r="AR12" s="943" t="s">
        <v>2602</v>
      </c>
      <c r="AS12" s="943" t="s">
        <v>2602</v>
      </c>
      <c r="AT12" s="943" t="s">
        <v>2602</v>
      </c>
      <c r="AU12" s="943" t="s">
        <v>2602</v>
      </c>
      <c r="AV12" s="945" t="s">
        <v>2602</v>
      </c>
      <c r="AW12" s="946">
        <v>95</v>
      </c>
      <c r="AX12" s="941">
        <v>95</v>
      </c>
      <c r="AY12" s="947">
        <v>0.68345323741007191</v>
      </c>
      <c r="AZ12" s="948" t="s">
        <v>2610</v>
      </c>
      <c r="BA12" s="941" t="s">
        <v>2610</v>
      </c>
      <c r="BB12" s="948">
        <v>0</v>
      </c>
      <c r="BC12" s="948">
        <v>0</v>
      </c>
      <c r="BD12" s="949" t="s">
        <v>2133</v>
      </c>
      <c r="BE12" s="948" t="s">
        <v>2688</v>
      </c>
      <c r="BF12" s="941" t="s">
        <v>2688</v>
      </c>
      <c r="BG12" s="950" t="s">
        <v>2728</v>
      </c>
      <c r="BH12" s="950" t="s">
        <v>2133</v>
      </c>
      <c r="BI12" s="948" t="s">
        <v>2723</v>
      </c>
      <c r="BJ12" s="951" t="s">
        <v>2129</v>
      </c>
      <c r="BK12" s="952" t="s">
        <v>2129</v>
      </c>
      <c r="BL12" s="952" t="s">
        <v>2129</v>
      </c>
      <c r="BM12" s="952" t="s">
        <v>2129</v>
      </c>
      <c r="BN12" s="953"/>
      <c r="BO12" s="954"/>
      <c r="BP12" s="899"/>
      <c r="BQ12" s="899"/>
      <c r="BR12" s="899"/>
      <c r="BS12" s="899"/>
      <c r="BT12" s="899"/>
      <c r="BU12" s="899"/>
      <c r="BV12" s="899"/>
      <c r="BW12" s="899"/>
      <c r="BX12" s="899"/>
      <c r="BY12" s="899"/>
      <c r="BZ12" s="899"/>
      <c r="CA12" s="899"/>
      <c r="CB12" s="899"/>
      <c r="CC12" s="899"/>
      <c r="CD12" s="899"/>
      <c r="CE12" s="899"/>
      <c r="CF12" s="899"/>
      <c r="CG12" s="899"/>
      <c r="CH12" s="899"/>
    </row>
    <row r="13" spans="1:87" ht="23.15" customHeight="1">
      <c r="A13" s="6610"/>
      <c r="B13" s="6611"/>
      <c r="C13" s="6611"/>
      <c r="D13" s="6665"/>
      <c r="E13" s="6666"/>
      <c r="F13" s="939" t="s">
        <v>3694</v>
      </c>
      <c r="G13" s="3254">
        <v>43</v>
      </c>
      <c r="H13" s="3254">
        <v>43</v>
      </c>
      <c r="I13" s="940" t="s">
        <v>3709</v>
      </c>
      <c r="J13" s="6682"/>
      <c r="K13" s="941" t="s">
        <v>2138</v>
      </c>
      <c r="L13" s="941">
        <v>32</v>
      </c>
      <c r="M13" s="3255">
        <v>184</v>
      </c>
      <c r="N13" s="6684"/>
      <c r="O13" s="942" t="s">
        <v>3710</v>
      </c>
      <c r="P13" s="943" t="s">
        <v>3711</v>
      </c>
      <c r="Q13" s="943" t="s">
        <v>3712</v>
      </c>
      <c r="R13" s="943" t="s">
        <v>2602</v>
      </c>
      <c r="S13" s="943" t="s">
        <v>2602</v>
      </c>
      <c r="T13" s="943" t="s">
        <v>2602</v>
      </c>
      <c r="U13" s="943" t="s">
        <v>2602</v>
      </c>
      <c r="V13" s="944" t="s">
        <v>2602</v>
      </c>
      <c r="W13" s="944" t="s">
        <v>2602</v>
      </c>
      <c r="X13" s="944" t="s">
        <v>2602</v>
      </c>
      <c r="Y13" s="944" t="s">
        <v>2602</v>
      </c>
      <c r="Z13" s="943" t="s">
        <v>2602</v>
      </c>
      <c r="AA13" s="943" t="s">
        <v>2602</v>
      </c>
      <c r="AB13" s="943" t="s">
        <v>2602</v>
      </c>
      <c r="AC13" s="943" t="s">
        <v>2602</v>
      </c>
      <c r="AD13" s="945" t="s">
        <v>2602</v>
      </c>
      <c r="AE13" s="946">
        <v>375</v>
      </c>
      <c r="AF13" s="941">
        <v>375</v>
      </c>
      <c r="AG13" s="942" t="s">
        <v>3713</v>
      </c>
      <c r="AH13" s="943" t="s">
        <v>3714</v>
      </c>
      <c r="AI13" s="943" t="s">
        <v>3715</v>
      </c>
      <c r="AJ13" s="943" t="s">
        <v>2602</v>
      </c>
      <c r="AK13" s="943" t="s">
        <v>2602</v>
      </c>
      <c r="AL13" s="943" t="s">
        <v>2602</v>
      </c>
      <c r="AM13" s="943" t="s">
        <v>2602</v>
      </c>
      <c r="AN13" s="944" t="s">
        <v>2602</v>
      </c>
      <c r="AO13" s="944" t="s">
        <v>2602</v>
      </c>
      <c r="AP13" s="944" t="s">
        <v>2602</v>
      </c>
      <c r="AQ13" s="944" t="s">
        <v>2602</v>
      </c>
      <c r="AR13" s="943" t="s">
        <v>2602</v>
      </c>
      <c r="AS13" s="943" t="s">
        <v>2602</v>
      </c>
      <c r="AT13" s="943" t="s">
        <v>2602</v>
      </c>
      <c r="AU13" s="943" t="s">
        <v>2602</v>
      </c>
      <c r="AV13" s="945" t="s">
        <v>2602</v>
      </c>
      <c r="AW13" s="946">
        <v>212</v>
      </c>
      <c r="AX13" s="941">
        <v>212</v>
      </c>
      <c r="AY13" s="947">
        <v>0.56533333333333335</v>
      </c>
      <c r="AZ13" s="948" t="s">
        <v>2609</v>
      </c>
      <c r="BA13" s="941" t="s">
        <v>2610</v>
      </c>
      <c r="BB13" s="948">
        <v>2</v>
      </c>
      <c r="BC13" s="948">
        <v>2</v>
      </c>
      <c r="BD13" s="949" t="s">
        <v>2133</v>
      </c>
      <c r="BE13" s="948" t="s">
        <v>2688</v>
      </c>
      <c r="BF13" s="941" t="s">
        <v>2688</v>
      </c>
      <c r="BG13" s="950" t="s">
        <v>2728</v>
      </c>
      <c r="BH13" s="950" t="s">
        <v>2133</v>
      </c>
      <c r="BI13" s="948" t="s">
        <v>2723</v>
      </c>
      <c r="BJ13" s="951" t="s">
        <v>2133</v>
      </c>
      <c r="BK13" s="952" t="s">
        <v>2129</v>
      </c>
      <c r="BL13" s="952" t="s">
        <v>2129</v>
      </c>
      <c r="BM13" s="952" t="s">
        <v>2129</v>
      </c>
      <c r="BN13" s="953"/>
      <c r="BO13" s="954"/>
      <c r="BP13" s="899"/>
      <c r="BQ13" s="899"/>
      <c r="BR13" s="899"/>
      <c r="BS13" s="899"/>
      <c r="BT13" s="899"/>
      <c r="BU13" s="899"/>
      <c r="BV13" s="899"/>
      <c r="BW13" s="899"/>
      <c r="BX13" s="899"/>
      <c r="BY13" s="899"/>
      <c r="BZ13" s="899"/>
      <c r="CA13" s="899"/>
      <c r="CB13" s="899"/>
      <c r="CC13" s="899"/>
      <c r="CD13" s="899"/>
      <c r="CE13" s="899"/>
      <c r="CF13" s="899"/>
      <c r="CG13" s="899"/>
      <c r="CH13" s="899"/>
    </row>
    <row r="14" spans="1:87" ht="23.15" customHeight="1">
      <c r="A14" s="6610"/>
      <c r="B14" s="6611"/>
      <c r="C14" s="6611"/>
      <c r="D14" s="6665"/>
      <c r="E14" s="6666"/>
      <c r="F14" s="939" t="s">
        <v>3694</v>
      </c>
      <c r="G14" s="3254">
        <v>44</v>
      </c>
      <c r="H14" s="3254">
        <v>44</v>
      </c>
      <c r="I14" s="940" t="s">
        <v>3716</v>
      </c>
      <c r="J14" s="6682"/>
      <c r="K14" s="941" t="s">
        <v>2138</v>
      </c>
      <c r="L14" s="941">
        <v>32</v>
      </c>
      <c r="M14" s="3255">
        <v>49</v>
      </c>
      <c r="N14" s="6684"/>
      <c r="O14" s="942" t="s">
        <v>3717</v>
      </c>
      <c r="P14" s="943" t="s">
        <v>2623</v>
      </c>
      <c r="Q14" s="943" t="s">
        <v>2623</v>
      </c>
      <c r="R14" s="943" t="s">
        <v>2636</v>
      </c>
      <c r="S14" s="943" t="s">
        <v>2602</v>
      </c>
      <c r="T14" s="943" t="s">
        <v>2602</v>
      </c>
      <c r="U14" s="943" t="s">
        <v>2602</v>
      </c>
      <c r="V14" s="944" t="s">
        <v>3718</v>
      </c>
      <c r="W14" s="944" t="s">
        <v>2602</v>
      </c>
      <c r="X14" s="944" t="s">
        <v>2602</v>
      </c>
      <c r="Y14" s="944" t="s">
        <v>2602</v>
      </c>
      <c r="Z14" s="943" t="s">
        <v>2602</v>
      </c>
      <c r="AA14" s="943" t="s">
        <v>2602</v>
      </c>
      <c r="AB14" s="943" t="s">
        <v>2602</v>
      </c>
      <c r="AC14" s="943" t="s">
        <v>2602</v>
      </c>
      <c r="AD14" s="945" t="s">
        <v>2602</v>
      </c>
      <c r="AE14" s="946">
        <v>100</v>
      </c>
      <c r="AF14" s="941">
        <v>99</v>
      </c>
      <c r="AG14" s="942" t="s">
        <v>3719</v>
      </c>
      <c r="AH14" s="943" t="s">
        <v>3720</v>
      </c>
      <c r="AI14" s="943" t="s">
        <v>3721</v>
      </c>
      <c r="AJ14" s="943" t="s">
        <v>2636</v>
      </c>
      <c r="AK14" s="943" t="s">
        <v>2602</v>
      </c>
      <c r="AL14" s="943" t="s">
        <v>2602</v>
      </c>
      <c r="AM14" s="943" t="s">
        <v>2602</v>
      </c>
      <c r="AN14" s="944" t="s">
        <v>2635</v>
      </c>
      <c r="AO14" s="944" t="s">
        <v>2602</v>
      </c>
      <c r="AP14" s="944" t="s">
        <v>2602</v>
      </c>
      <c r="AQ14" s="944" t="s">
        <v>2602</v>
      </c>
      <c r="AR14" s="943" t="s">
        <v>2602</v>
      </c>
      <c r="AS14" s="943" t="s">
        <v>2602</v>
      </c>
      <c r="AT14" s="943" t="s">
        <v>2602</v>
      </c>
      <c r="AU14" s="943" t="s">
        <v>2602</v>
      </c>
      <c r="AV14" s="945" t="s">
        <v>2602</v>
      </c>
      <c r="AW14" s="946">
        <v>65</v>
      </c>
      <c r="AX14" s="941">
        <v>65</v>
      </c>
      <c r="AY14" s="947">
        <v>0.65</v>
      </c>
      <c r="AZ14" s="948" t="s">
        <v>2609</v>
      </c>
      <c r="BA14" s="941" t="s">
        <v>2610</v>
      </c>
      <c r="BB14" s="948" t="s">
        <v>2669</v>
      </c>
      <c r="BC14" s="948" t="s">
        <v>2669</v>
      </c>
      <c r="BD14" s="949" t="s">
        <v>2133</v>
      </c>
      <c r="BE14" s="948" t="s">
        <v>2688</v>
      </c>
      <c r="BF14" s="941" t="s">
        <v>2688</v>
      </c>
      <c r="BG14" s="950" t="s">
        <v>2317</v>
      </c>
      <c r="BH14" s="950" t="s">
        <v>2133</v>
      </c>
      <c r="BI14" s="948" t="s">
        <v>3915</v>
      </c>
      <c r="BJ14" s="951" t="s">
        <v>2129</v>
      </c>
      <c r="BK14" s="952" t="s">
        <v>2129</v>
      </c>
      <c r="BL14" s="952" t="s">
        <v>2129</v>
      </c>
      <c r="BM14" s="952" t="s">
        <v>2129</v>
      </c>
      <c r="BN14" s="953"/>
      <c r="BO14" s="954"/>
      <c r="BP14" s="899"/>
      <c r="BQ14" s="899"/>
      <c r="BR14" s="899"/>
      <c r="BS14" s="899"/>
      <c r="BT14" s="899"/>
      <c r="BU14" s="899"/>
      <c r="BV14" s="899"/>
      <c r="BW14" s="899"/>
      <c r="BX14" s="899"/>
      <c r="BY14" s="899"/>
      <c r="BZ14" s="899"/>
      <c r="CA14" s="899"/>
      <c r="CB14" s="899"/>
      <c r="CC14" s="899"/>
      <c r="CD14" s="899"/>
      <c r="CE14" s="899"/>
      <c r="CF14" s="899"/>
      <c r="CG14" s="899"/>
      <c r="CH14" s="899"/>
    </row>
    <row r="15" spans="1:87" ht="23.15" customHeight="1">
      <c r="A15" s="6610"/>
      <c r="B15" s="6611"/>
      <c r="C15" s="6611"/>
      <c r="D15" s="6665"/>
      <c r="E15" s="6666"/>
      <c r="F15" s="939" t="s">
        <v>3694</v>
      </c>
      <c r="G15" s="3254">
        <v>47</v>
      </c>
      <c r="H15" s="3254">
        <v>47</v>
      </c>
      <c r="I15" s="940" t="s">
        <v>3722</v>
      </c>
      <c r="J15" s="6682"/>
      <c r="K15" s="941" t="s">
        <v>2138</v>
      </c>
      <c r="L15" s="941">
        <v>32</v>
      </c>
      <c r="M15" s="3255">
        <v>79</v>
      </c>
      <c r="N15" s="6684"/>
      <c r="O15" s="942" t="s">
        <v>3723</v>
      </c>
      <c r="P15" s="943" t="s">
        <v>2676</v>
      </c>
      <c r="Q15" s="943" t="s">
        <v>3724</v>
      </c>
      <c r="R15" s="943" t="s">
        <v>3725</v>
      </c>
      <c r="S15" s="943" t="s">
        <v>2602</v>
      </c>
      <c r="T15" s="943" t="s">
        <v>2602</v>
      </c>
      <c r="U15" s="943" t="s">
        <v>2602</v>
      </c>
      <c r="V15" s="944" t="s">
        <v>2602</v>
      </c>
      <c r="W15" s="944" t="s">
        <v>2602</v>
      </c>
      <c r="X15" s="944" t="s">
        <v>2602</v>
      </c>
      <c r="Y15" s="944" t="s">
        <v>2602</v>
      </c>
      <c r="Z15" s="943" t="s">
        <v>2602</v>
      </c>
      <c r="AA15" s="943" t="s">
        <v>2602</v>
      </c>
      <c r="AB15" s="943" t="s">
        <v>2602</v>
      </c>
      <c r="AC15" s="943" t="s">
        <v>2602</v>
      </c>
      <c r="AD15" s="945" t="s">
        <v>2602</v>
      </c>
      <c r="AE15" s="946">
        <v>161</v>
      </c>
      <c r="AF15" s="941">
        <v>162</v>
      </c>
      <c r="AG15" s="942" t="s">
        <v>3723</v>
      </c>
      <c r="AH15" s="943" t="s">
        <v>2676</v>
      </c>
      <c r="AI15" s="943" t="s">
        <v>3726</v>
      </c>
      <c r="AJ15" s="943" t="s">
        <v>2636</v>
      </c>
      <c r="AK15" s="943" t="s">
        <v>2602</v>
      </c>
      <c r="AL15" s="943" t="s">
        <v>2602</v>
      </c>
      <c r="AM15" s="943" t="s">
        <v>2602</v>
      </c>
      <c r="AN15" s="944" t="s">
        <v>2602</v>
      </c>
      <c r="AO15" s="944" t="s">
        <v>2602</v>
      </c>
      <c r="AP15" s="944" t="s">
        <v>2602</v>
      </c>
      <c r="AQ15" s="944" t="s">
        <v>2602</v>
      </c>
      <c r="AR15" s="943" t="s">
        <v>2602</v>
      </c>
      <c r="AS15" s="943" t="s">
        <v>2602</v>
      </c>
      <c r="AT15" s="943" t="s">
        <v>2602</v>
      </c>
      <c r="AU15" s="943" t="s">
        <v>2602</v>
      </c>
      <c r="AV15" s="945" t="s">
        <v>2602</v>
      </c>
      <c r="AW15" s="946">
        <v>161</v>
      </c>
      <c r="AX15" s="941">
        <v>162</v>
      </c>
      <c r="AY15" s="947">
        <v>1</v>
      </c>
      <c r="AZ15" s="948" t="s">
        <v>2610</v>
      </c>
      <c r="BA15" s="941" t="s">
        <v>2610</v>
      </c>
      <c r="BB15" s="948">
        <v>0</v>
      </c>
      <c r="BC15" s="948">
        <v>0</v>
      </c>
      <c r="BD15" s="949" t="s">
        <v>2133</v>
      </c>
      <c r="BE15" s="948" t="s">
        <v>2688</v>
      </c>
      <c r="BF15" s="941" t="s">
        <v>2688</v>
      </c>
      <c r="BG15" s="950" t="s">
        <v>2728</v>
      </c>
      <c r="BH15" s="950" t="s">
        <v>2133</v>
      </c>
      <c r="BI15" s="948" t="s">
        <v>2723</v>
      </c>
      <c r="BJ15" s="951" t="s">
        <v>2129</v>
      </c>
      <c r="BK15" s="952" t="s">
        <v>2129</v>
      </c>
      <c r="BL15" s="952" t="s">
        <v>2129</v>
      </c>
      <c r="BM15" s="952" t="s">
        <v>2129</v>
      </c>
      <c r="BN15" s="953"/>
      <c r="BO15" s="954"/>
      <c r="BP15" s="899"/>
      <c r="BQ15" s="899"/>
      <c r="BR15" s="899"/>
      <c r="BS15" s="899"/>
      <c r="BT15" s="899"/>
      <c r="BU15" s="899"/>
      <c r="BV15" s="899"/>
      <c r="BW15" s="899"/>
      <c r="BX15" s="899"/>
      <c r="BY15" s="899"/>
      <c r="BZ15" s="899"/>
      <c r="CA15" s="899"/>
      <c r="CB15" s="899"/>
      <c r="CC15" s="899"/>
      <c r="CD15" s="899"/>
      <c r="CE15" s="899"/>
      <c r="CF15" s="899"/>
      <c r="CG15" s="899"/>
      <c r="CH15" s="899"/>
    </row>
    <row r="16" spans="1:87" ht="23.15" customHeight="1">
      <c r="A16" s="6610"/>
      <c r="B16" s="6611"/>
      <c r="C16" s="6611"/>
      <c r="D16" s="6665"/>
      <c r="E16" s="6666"/>
      <c r="F16" s="939" t="s">
        <v>3694</v>
      </c>
      <c r="G16" s="3254">
        <v>74</v>
      </c>
      <c r="H16" s="3254">
        <v>74</v>
      </c>
      <c r="I16" s="940" t="s">
        <v>3727</v>
      </c>
      <c r="J16" s="6682"/>
      <c r="K16" s="941" t="s">
        <v>2138</v>
      </c>
      <c r="L16" s="941">
        <v>32</v>
      </c>
      <c r="M16" s="3255">
        <v>57</v>
      </c>
      <c r="N16" s="6684"/>
      <c r="O16" s="942" t="s">
        <v>3728</v>
      </c>
      <c r="P16" s="943" t="s">
        <v>3721</v>
      </c>
      <c r="Q16" s="943" t="s">
        <v>2623</v>
      </c>
      <c r="R16" s="943" t="s">
        <v>2602</v>
      </c>
      <c r="S16" s="943" t="s">
        <v>2602</v>
      </c>
      <c r="T16" s="943" t="s">
        <v>2602</v>
      </c>
      <c r="U16" s="943" t="s">
        <v>2602</v>
      </c>
      <c r="V16" s="944" t="s">
        <v>2602</v>
      </c>
      <c r="W16" s="944" t="s">
        <v>2602</v>
      </c>
      <c r="X16" s="944" t="s">
        <v>2602</v>
      </c>
      <c r="Y16" s="944" t="s">
        <v>2602</v>
      </c>
      <c r="Z16" s="943" t="s">
        <v>2602</v>
      </c>
      <c r="AA16" s="943" t="s">
        <v>2602</v>
      </c>
      <c r="AB16" s="943" t="s">
        <v>2602</v>
      </c>
      <c r="AC16" s="943" t="s">
        <v>2602</v>
      </c>
      <c r="AD16" s="945" t="s">
        <v>2602</v>
      </c>
      <c r="AE16" s="946">
        <v>117</v>
      </c>
      <c r="AF16" s="941">
        <v>117</v>
      </c>
      <c r="AG16" s="942" t="s">
        <v>3729</v>
      </c>
      <c r="AH16" s="943" t="s">
        <v>2602</v>
      </c>
      <c r="AI16" s="943" t="s">
        <v>2602</v>
      </c>
      <c r="AJ16" s="943" t="s">
        <v>2602</v>
      </c>
      <c r="AK16" s="943" t="s">
        <v>2602</v>
      </c>
      <c r="AL16" s="943" t="s">
        <v>2602</v>
      </c>
      <c r="AM16" s="943" t="s">
        <v>2602</v>
      </c>
      <c r="AN16" s="944" t="s">
        <v>2602</v>
      </c>
      <c r="AO16" s="944" t="s">
        <v>2602</v>
      </c>
      <c r="AP16" s="944" t="s">
        <v>2602</v>
      </c>
      <c r="AQ16" s="944" t="s">
        <v>2602</v>
      </c>
      <c r="AR16" s="943" t="s">
        <v>2602</v>
      </c>
      <c r="AS16" s="943" t="s">
        <v>2602</v>
      </c>
      <c r="AT16" s="943" t="s">
        <v>2602</v>
      </c>
      <c r="AU16" s="943" t="s">
        <v>2602</v>
      </c>
      <c r="AV16" s="945" t="s">
        <v>2602</v>
      </c>
      <c r="AW16" s="946">
        <v>24</v>
      </c>
      <c r="AX16" s="941">
        <v>24</v>
      </c>
      <c r="AY16" s="947">
        <v>0.20512820512820512</v>
      </c>
      <c r="AZ16" s="948" t="s">
        <v>2609</v>
      </c>
      <c r="BA16" s="941" t="s">
        <v>2610</v>
      </c>
      <c r="BB16" s="948">
        <v>0</v>
      </c>
      <c r="BC16" s="948">
        <v>0</v>
      </c>
      <c r="BD16" s="949" t="s">
        <v>2133</v>
      </c>
      <c r="BE16" s="948" t="s">
        <v>2688</v>
      </c>
      <c r="BF16" s="941" t="s">
        <v>2688</v>
      </c>
      <c r="BG16" s="950" t="s">
        <v>2728</v>
      </c>
      <c r="BH16" s="950" t="s">
        <v>2133</v>
      </c>
      <c r="BI16" s="948" t="s">
        <v>2723</v>
      </c>
      <c r="BJ16" s="951" t="s">
        <v>2133</v>
      </c>
      <c r="BK16" s="952" t="s">
        <v>2129</v>
      </c>
      <c r="BL16" s="952" t="s">
        <v>2129</v>
      </c>
      <c r="BM16" s="952" t="s">
        <v>2129</v>
      </c>
      <c r="BN16" s="953"/>
      <c r="BO16" s="954"/>
      <c r="BP16" s="899"/>
      <c r="BQ16" s="899"/>
      <c r="BR16" s="899"/>
      <c r="BS16" s="899"/>
      <c r="BT16" s="899"/>
      <c r="BU16" s="899"/>
      <c r="BV16" s="899"/>
      <c r="BW16" s="899"/>
      <c r="BX16" s="899"/>
      <c r="BY16" s="899"/>
      <c r="BZ16" s="899"/>
      <c r="CA16" s="899"/>
      <c r="CB16" s="899"/>
      <c r="CC16" s="899"/>
      <c r="CD16" s="899"/>
      <c r="CE16" s="899"/>
      <c r="CF16" s="899"/>
      <c r="CG16" s="899"/>
      <c r="CH16" s="899"/>
    </row>
    <row r="17" spans="1:86" ht="23.15" customHeight="1">
      <c r="A17" s="6610"/>
      <c r="B17" s="6611"/>
      <c r="C17" s="6611"/>
      <c r="D17" s="6665"/>
      <c r="E17" s="6666"/>
      <c r="F17" s="939" t="s">
        <v>3694</v>
      </c>
      <c r="G17" s="3254">
        <v>74</v>
      </c>
      <c r="H17" s="3254">
        <v>75</v>
      </c>
      <c r="I17" s="940" t="s">
        <v>3730</v>
      </c>
      <c r="J17" s="6682"/>
      <c r="K17" s="941" t="s">
        <v>2138</v>
      </c>
      <c r="L17" s="941">
        <v>32</v>
      </c>
      <c r="M17" s="3255">
        <v>128</v>
      </c>
      <c r="N17" s="6684"/>
      <c r="O17" s="942" t="s">
        <v>3731</v>
      </c>
      <c r="P17" s="943" t="s">
        <v>2602</v>
      </c>
      <c r="Q17" s="943" t="s">
        <v>2602</v>
      </c>
      <c r="R17" s="943" t="s">
        <v>2602</v>
      </c>
      <c r="S17" s="943" t="s">
        <v>2602</v>
      </c>
      <c r="T17" s="943" t="s">
        <v>2602</v>
      </c>
      <c r="U17" s="943" t="s">
        <v>2602</v>
      </c>
      <c r="V17" s="944" t="s">
        <v>2602</v>
      </c>
      <c r="W17" s="944" t="s">
        <v>2602</v>
      </c>
      <c r="X17" s="944" t="s">
        <v>2602</v>
      </c>
      <c r="Y17" s="944" t="s">
        <v>2602</v>
      </c>
      <c r="Z17" s="943" t="s">
        <v>2602</v>
      </c>
      <c r="AA17" s="943" t="s">
        <v>2602</v>
      </c>
      <c r="AB17" s="943" t="s">
        <v>2602</v>
      </c>
      <c r="AC17" s="943" t="s">
        <v>2602</v>
      </c>
      <c r="AD17" s="945" t="s">
        <v>2602</v>
      </c>
      <c r="AE17" s="946">
        <v>262</v>
      </c>
      <c r="AF17" s="941">
        <v>262</v>
      </c>
      <c r="AG17" s="942" t="s">
        <v>3732</v>
      </c>
      <c r="AH17" s="943" t="s">
        <v>2602</v>
      </c>
      <c r="AI17" s="943" t="s">
        <v>2602</v>
      </c>
      <c r="AJ17" s="943" t="s">
        <v>2602</v>
      </c>
      <c r="AK17" s="943" t="s">
        <v>2602</v>
      </c>
      <c r="AL17" s="943" t="s">
        <v>2602</v>
      </c>
      <c r="AM17" s="943" t="s">
        <v>2602</v>
      </c>
      <c r="AN17" s="944" t="s">
        <v>2602</v>
      </c>
      <c r="AO17" s="944" t="s">
        <v>2602</v>
      </c>
      <c r="AP17" s="944" t="s">
        <v>2602</v>
      </c>
      <c r="AQ17" s="944" t="s">
        <v>2602</v>
      </c>
      <c r="AR17" s="943" t="s">
        <v>2602</v>
      </c>
      <c r="AS17" s="943" t="s">
        <v>2602</v>
      </c>
      <c r="AT17" s="943" t="s">
        <v>2602</v>
      </c>
      <c r="AU17" s="943" t="s">
        <v>2602</v>
      </c>
      <c r="AV17" s="945" t="s">
        <v>2602</v>
      </c>
      <c r="AW17" s="946">
        <v>80</v>
      </c>
      <c r="AX17" s="941">
        <v>80</v>
      </c>
      <c r="AY17" s="947">
        <v>0.30534351145038169</v>
      </c>
      <c r="AZ17" s="948" t="s">
        <v>2609</v>
      </c>
      <c r="BA17" s="941" t="s">
        <v>2610</v>
      </c>
      <c r="BB17" s="948">
        <v>0</v>
      </c>
      <c r="BC17" s="948">
        <v>0</v>
      </c>
      <c r="BD17" s="949" t="s">
        <v>2133</v>
      </c>
      <c r="BE17" s="948" t="s">
        <v>2688</v>
      </c>
      <c r="BF17" s="941" t="s">
        <v>2688</v>
      </c>
      <c r="BG17" s="950" t="s">
        <v>2728</v>
      </c>
      <c r="BH17" s="950" t="s">
        <v>2133</v>
      </c>
      <c r="BI17" s="948" t="s">
        <v>2723</v>
      </c>
      <c r="BJ17" s="951" t="s">
        <v>2129</v>
      </c>
      <c r="BK17" s="952" t="s">
        <v>2129</v>
      </c>
      <c r="BL17" s="952" t="s">
        <v>2129</v>
      </c>
      <c r="BM17" s="952" t="s">
        <v>2129</v>
      </c>
      <c r="BN17" s="953"/>
      <c r="BO17" s="954"/>
      <c r="BP17" s="899"/>
      <c r="BQ17" s="899"/>
      <c r="BR17" s="899"/>
      <c r="BS17" s="899"/>
      <c r="BT17" s="899"/>
      <c r="BU17" s="899"/>
      <c r="BV17" s="899"/>
      <c r="BW17" s="899"/>
      <c r="BX17" s="899"/>
      <c r="BY17" s="899"/>
      <c r="BZ17" s="899"/>
      <c r="CA17" s="899"/>
      <c r="CB17" s="899"/>
      <c r="CC17" s="899"/>
      <c r="CD17" s="899"/>
      <c r="CE17" s="899"/>
      <c r="CF17" s="899"/>
      <c r="CG17" s="899"/>
      <c r="CH17" s="899"/>
    </row>
    <row r="18" spans="1:86" ht="23.15" customHeight="1">
      <c r="A18" s="6610"/>
      <c r="B18" s="6611"/>
      <c r="C18" s="6611"/>
      <c r="D18" s="6665"/>
      <c r="E18" s="6666"/>
      <c r="F18" s="939" t="s">
        <v>3694</v>
      </c>
      <c r="G18" s="3254">
        <v>74</v>
      </c>
      <c r="H18" s="3254">
        <v>58</v>
      </c>
      <c r="I18" s="940" t="s">
        <v>4298</v>
      </c>
      <c r="J18" s="6682"/>
      <c r="K18" s="941" t="s">
        <v>2138</v>
      </c>
      <c r="L18" s="941">
        <v>32</v>
      </c>
      <c r="M18" s="3255">
        <v>28</v>
      </c>
      <c r="N18" s="6684"/>
      <c r="O18" s="942"/>
      <c r="P18" s="943"/>
      <c r="Q18" s="943"/>
      <c r="R18" s="943"/>
      <c r="S18" s="943"/>
      <c r="T18" s="943"/>
      <c r="U18" s="943"/>
      <c r="V18" s="944"/>
      <c r="W18" s="944"/>
      <c r="X18" s="944"/>
      <c r="Y18" s="944"/>
      <c r="Z18" s="943"/>
      <c r="AA18" s="943"/>
      <c r="AB18" s="943"/>
      <c r="AC18" s="943"/>
      <c r="AD18" s="945"/>
      <c r="AE18" s="946">
        <v>57</v>
      </c>
      <c r="AF18" s="941">
        <v>59</v>
      </c>
      <c r="AG18" s="942"/>
      <c r="AH18" s="943"/>
      <c r="AI18" s="943"/>
      <c r="AJ18" s="943"/>
      <c r="AK18" s="943"/>
      <c r="AL18" s="943"/>
      <c r="AM18" s="943"/>
      <c r="AN18" s="944"/>
      <c r="AO18" s="944"/>
      <c r="AP18" s="944"/>
      <c r="AQ18" s="944"/>
      <c r="AR18" s="943"/>
      <c r="AS18" s="943"/>
      <c r="AT18" s="943"/>
      <c r="AU18" s="943"/>
      <c r="AV18" s="945"/>
      <c r="AW18" s="946">
        <v>0</v>
      </c>
      <c r="AX18" s="941">
        <v>0</v>
      </c>
      <c r="AY18" s="947"/>
      <c r="AZ18" s="948" t="s">
        <v>2609</v>
      </c>
      <c r="BA18" s="941" t="s">
        <v>3735</v>
      </c>
      <c r="BB18" s="948">
        <v>0</v>
      </c>
      <c r="BC18" s="948">
        <v>0</v>
      </c>
      <c r="BD18" s="949" t="s">
        <v>2133</v>
      </c>
      <c r="BE18" s="948" t="s">
        <v>2688</v>
      </c>
      <c r="BF18" s="941" t="s">
        <v>2688</v>
      </c>
      <c r="BG18" s="950" t="s">
        <v>3696</v>
      </c>
      <c r="BH18" s="950" t="s">
        <v>2133</v>
      </c>
      <c r="BI18" s="948"/>
      <c r="BJ18" s="951"/>
      <c r="BK18" s="952"/>
      <c r="BL18" s="952"/>
      <c r="BM18" s="952"/>
      <c r="BN18" s="953"/>
      <c r="BO18" s="954"/>
      <c r="BP18" s="899"/>
      <c r="BQ18" s="899"/>
      <c r="BR18" s="899"/>
      <c r="BS18" s="899"/>
      <c r="BT18" s="899"/>
      <c r="BU18" s="899"/>
      <c r="BV18" s="899"/>
      <c r="BW18" s="899"/>
      <c r="BX18" s="899"/>
      <c r="BY18" s="899"/>
      <c r="BZ18" s="899"/>
      <c r="CA18" s="899"/>
      <c r="CB18" s="899"/>
      <c r="CC18" s="899"/>
      <c r="CD18" s="899"/>
      <c r="CE18" s="899"/>
      <c r="CF18" s="899"/>
      <c r="CG18" s="899"/>
      <c r="CH18" s="899"/>
    </row>
    <row r="19" spans="1:86" ht="23.15" customHeight="1">
      <c r="A19" s="6610"/>
      <c r="B19" s="6611"/>
      <c r="C19" s="6611"/>
      <c r="D19" s="6665"/>
      <c r="E19" s="6666"/>
      <c r="F19" s="939" t="s">
        <v>3694</v>
      </c>
      <c r="G19" s="3254">
        <v>74</v>
      </c>
      <c r="H19" s="3254">
        <v>28</v>
      </c>
      <c r="I19" s="940" t="s">
        <v>4299</v>
      </c>
      <c r="J19" s="6682"/>
      <c r="K19" s="941" t="s">
        <v>2138</v>
      </c>
      <c r="L19" s="941">
        <v>32</v>
      </c>
      <c r="M19" s="3255">
        <v>88</v>
      </c>
      <c r="N19" s="6684"/>
      <c r="O19" s="942"/>
      <c r="P19" s="943"/>
      <c r="Q19" s="943"/>
      <c r="R19" s="943"/>
      <c r="S19" s="943"/>
      <c r="T19" s="943"/>
      <c r="U19" s="943"/>
      <c r="V19" s="944"/>
      <c r="W19" s="944"/>
      <c r="X19" s="944"/>
      <c r="Y19" s="944"/>
      <c r="Z19" s="943"/>
      <c r="AA19" s="943"/>
      <c r="AB19" s="943"/>
      <c r="AC19" s="943"/>
      <c r="AD19" s="945"/>
      <c r="AE19" s="946">
        <v>179</v>
      </c>
      <c r="AF19" s="941">
        <v>179</v>
      </c>
      <c r="AG19" s="942"/>
      <c r="AH19" s="943"/>
      <c r="AI19" s="943"/>
      <c r="AJ19" s="943"/>
      <c r="AK19" s="943"/>
      <c r="AL19" s="943"/>
      <c r="AM19" s="943"/>
      <c r="AN19" s="944"/>
      <c r="AO19" s="944"/>
      <c r="AP19" s="944"/>
      <c r="AQ19" s="944"/>
      <c r="AR19" s="943"/>
      <c r="AS19" s="943"/>
      <c r="AT19" s="943"/>
      <c r="AU19" s="943"/>
      <c r="AV19" s="945"/>
      <c r="AW19" s="946">
        <v>74</v>
      </c>
      <c r="AX19" s="941">
        <v>74</v>
      </c>
      <c r="AY19" s="947"/>
      <c r="AZ19" s="948" t="s">
        <v>2609</v>
      </c>
      <c r="BA19" s="941" t="s">
        <v>2610</v>
      </c>
      <c r="BB19" s="948">
        <v>0</v>
      </c>
      <c r="BC19" s="948">
        <v>0</v>
      </c>
      <c r="BD19" s="949" t="s">
        <v>2133</v>
      </c>
      <c r="BE19" s="948" t="s">
        <v>2688</v>
      </c>
      <c r="BF19" s="941" t="s">
        <v>2688</v>
      </c>
      <c r="BG19" s="950" t="s">
        <v>2168</v>
      </c>
      <c r="BH19" s="950" t="s">
        <v>2133</v>
      </c>
      <c r="BI19" s="948"/>
      <c r="BJ19" s="951"/>
      <c r="BK19" s="952"/>
      <c r="BL19" s="952"/>
      <c r="BM19" s="952"/>
      <c r="BN19" s="953"/>
      <c r="BO19" s="954"/>
      <c r="BP19" s="899"/>
      <c r="BQ19" s="899"/>
      <c r="BR19" s="899"/>
      <c r="BS19" s="899"/>
      <c r="BT19" s="899"/>
      <c r="BU19" s="899"/>
      <c r="BV19" s="899"/>
      <c r="BW19" s="899"/>
      <c r="BX19" s="899"/>
      <c r="BY19" s="899"/>
      <c r="BZ19" s="899"/>
      <c r="CA19" s="899"/>
      <c r="CB19" s="899"/>
      <c r="CC19" s="899"/>
      <c r="CD19" s="899"/>
      <c r="CE19" s="899"/>
      <c r="CF19" s="899"/>
      <c r="CG19" s="899"/>
      <c r="CH19" s="899"/>
    </row>
    <row r="20" spans="1:86" ht="23.15" customHeight="1">
      <c r="A20" s="6610"/>
      <c r="B20" s="6611"/>
      <c r="C20" s="6611"/>
      <c r="D20" s="6665"/>
      <c r="E20" s="6666"/>
      <c r="F20" s="939" t="s">
        <v>3694</v>
      </c>
      <c r="G20" s="3254">
        <v>74</v>
      </c>
      <c r="H20" s="3254">
        <v>45</v>
      </c>
      <c r="I20" s="940" t="s">
        <v>3734</v>
      </c>
      <c r="J20" s="6682"/>
      <c r="K20" s="941" t="s">
        <v>2138</v>
      </c>
      <c r="L20" s="941">
        <v>32</v>
      </c>
      <c r="M20" s="3255">
        <v>70</v>
      </c>
      <c r="N20" s="6684"/>
      <c r="O20" s="942"/>
      <c r="P20" s="943"/>
      <c r="Q20" s="943"/>
      <c r="R20" s="943"/>
      <c r="S20" s="943"/>
      <c r="T20" s="943"/>
      <c r="U20" s="943"/>
      <c r="V20" s="944"/>
      <c r="W20" s="944"/>
      <c r="X20" s="944"/>
      <c r="Y20" s="944"/>
      <c r="Z20" s="943"/>
      <c r="AA20" s="943"/>
      <c r="AB20" s="943"/>
      <c r="AC20" s="943"/>
      <c r="AD20" s="945"/>
      <c r="AE20" s="946">
        <v>143</v>
      </c>
      <c r="AF20" s="941">
        <v>158</v>
      </c>
      <c r="AG20" s="942"/>
      <c r="AH20" s="943"/>
      <c r="AI20" s="943"/>
      <c r="AJ20" s="943"/>
      <c r="AK20" s="943"/>
      <c r="AL20" s="943"/>
      <c r="AM20" s="943"/>
      <c r="AN20" s="944"/>
      <c r="AO20" s="944"/>
      <c r="AP20" s="944"/>
      <c r="AQ20" s="944"/>
      <c r="AR20" s="943"/>
      <c r="AS20" s="943"/>
      <c r="AT20" s="943"/>
      <c r="AU20" s="943"/>
      <c r="AV20" s="945"/>
      <c r="AW20" s="946">
        <v>102</v>
      </c>
      <c r="AX20" s="941">
        <v>107</v>
      </c>
      <c r="AY20" s="947"/>
      <c r="AZ20" s="948" t="s">
        <v>3735</v>
      </c>
      <c r="BA20" s="941" t="s">
        <v>2610</v>
      </c>
      <c r="BB20" s="948">
        <v>1</v>
      </c>
      <c r="BC20" s="948">
        <v>1</v>
      </c>
      <c r="BD20" s="949" t="s">
        <v>2133</v>
      </c>
      <c r="BE20" s="948" t="s">
        <v>2688</v>
      </c>
      <c r="BF20" s="941" t="s">
        <v>2688</v>
      </c>
      <c r="BG20" s="950" t="s">
        <v>3696</v>
      </c>
      <c r="BH20" s="950" t="s">
        <v>2133</v>
      </c>
      <c r="BI20" s="948"/>
      <c r="BJ20" s="951"/>
      <c r="BK20" s="952"/>
      <c r="BL20" s="952"/>
      <c r="BM20" s="952"/>
      <c r="BN20" s="953"/>
      <c r="BO20" s="954"/>
      <c r="BP20" s="899"/>
      <c r="BQ20" s="899"/>
      <c r="BR20" s="899"/>
      <c r="BS20" s="899"/>
      <c r="BT20" s="899"/>
      <c r="BU20" s="899"/>
      <c r="BV20" s="899"/>
      <c r="BW20" s="899"/>
      <c r="BX20" s="899"/>
      <c r="BY20" s="899"/>
      <c r="BZ20" s="899"/>
      <c r="CA20" s="899"/>
      <c r="CB20" s="899"/>
      <c r="CC20" s="899"/>
      <c r="CD20" s="899"/>
      <c r="CE20" s="899"/>
      <c r="CF20" s="899"/>
      <c r="CG20" s="899"/>
      <c r="CH20" s="899"/>
    </row>
    <row r="21" spans="1:86" ht="23.15" customHeight="1">
      <c r="A21" s="6610"/>
      <c r="B21" s="6611"/>
      <c r="C21" s="6611"/>
      <c r="D21" s="6665"/>
      <c r="E21" s="6666"/>
      <c r="F21" s="939" t="s">
        <v>3694</v>
      </c>
      <c r="G21" s="3254">
        <v>74</v>
      </c>
      <c r="H21" s="3254">
        <v>46</v>
      </c>
      <c r="I21" s="940" t="s">
        <v>3736</v>
      </c>
      <c r="J21" s="6682"/>
      <c r="K21" s="941" t="s">
        <v>2138</v>
      </c>
      <c r="L21" s="941">
        <v>32</v>
      </c>
      <c r="M21" s="3255">
        <v>38</v>
      </c>
      <c r="N21" s="6684"/>
      <c r="O21" s="942"/>
      <c r="P21" s="943"/>
      <c r="Q21" s="943"/>
      <c r="R21" s="943"/>
      <c r="S21" s="943"/>
      <c r="T21" s="943"/>
      <c r="U21" s="943"/>
      <c r="V21" s="944"/>
      <c r="W21" s="944"/>
      <c r="X21" s="944"/>
      <c r="Y21" s="944"/>
      <c r="Z21" s="943"/>
      <c r="AA21" s="943"/>
      <c r="AB21" s="943"/>
      <c r="AC21" s="943"/>
      <c r="AD21" s="945"/>
      <c r="AE21" s="946">
        <v>77</v>
      </c>
      <c r="AF21" s="941">
        <v>77</v>
      </c>
      <c r="AG21" s="942"/>
      <c r="AH21" s="943"/>
      <c r="AI21" s="943"/>
      <c r="AJ21" s="943"/>
      <c r="AK21" s="943"/>
      <c r="AL21" s="943"/>
      <c r="AM21" s="943"/>
      <c r="AN21" s="944"/>
      <c r="AO21" s="944"/>
      <c r="AP21" s="944"/>
      <c r="AQ21" s="944"/>
      <c r="AR21" s="943"/>
      <c r="AS21" s="943"/>
      <c r="AT21" s="943"/>
      <c r="AU21" s="943"/>
      <c r="AV21" s="945"/>
      <c r="AW21" s="946">
        <v>77</v>
      </c>
      <c r="AX21" s="941">
        <v>77</v>
      </c>
      <c r="AY21" s="947"/>
      <c r="AZ21" s="948" t="s">
        <v>2610</v>
      </c>
      <c r="BA21" s="941" t="s">
        <v>2610</v>
      </c>
      <c r="BB21" s="948">
        <v>0</v>
      </c>
      <c r="BC21" s="948">
        <v>0</v>
      </c>
      <c r="BD21" s="949" t="s">
        <v>2133</v>
      </c>
      <c r="BE21" s="948" t="s">
        <v>2688</v>
      </c>
      <c r="BF21" s="941" t="s">
        <v>2688</v>
      </c>
      <c r="BG21" s="950" t="s">
        <v>2168</v>
      </c>
      <c r="BH21" s="950" t="s">
        <v>2133</v>
      </c>
      <c r="BI21" s="948"/>
      <c r="BJ21" s="951"/>
      <c r="BK21" s="952"/>
      <c r="BL21" s="952"/>
      <c r="BM21" s="952"/>
      <c r="BN21" s="953"/>
      <c r="BO21" s="954"/>
      <c r="BP21" s="899"/>
      <c r="BQ21" s="899"/>
      <c r="BR21" s="899"/>
      <c r="BS21" s="899"/>
      <c r="BT21" s="899"/>
      <c r="BU21" s="899"/>
      <c r="BV21" s="899"/>
      <c r="BW21" s="899"/>
      <c r="BX21" s="899"/>
      <c r="BY21" s="899"/>
      <c r="BZ21" s="899"/>
      <c r="CA21" s="899"/>
      <c r="CB21" s="899"/>
      <c r="CC21" s="899"/>
      <c r="CD21" s="899"/>
      <c r="CE21" s="899"/>
      <c r="CF21" s="899"/>
      <c r="CG21" s="899"/>
      <c r="CH21" s="899"/>
    </row>
    <row r="22" spans="1:86" ht="16">
      <c r="A22" s="6610"/>
      <c r="B22" s="6611"/>
      <c r="C22" s="6611"/>
      <c r="D22" s="6665"/>
      <c r="E22" s="6666"/>
      <c r="F22" s="939" t="s">
        <v>3694</v>
      </c>
      <c r="G22" s="3254">
        <v>74</v>
      </c>
      <c r="H22" s="3254">
        <v>53</v>
      </c>
      <c r="I22" s="940" t="s">
        <v>4300</v>
      </c>
      <c r="J22" s="6682"/>
      <c r="K22" s="941" t="s">
        <v>2138</v>
      </c>
      <c r="L22" s="941">
        <v>32</v>
      </c>
      <c r="M22" s="3255">
        <v>117</v>
      </c>
      <c r="N22" s="6684"/>
      <c r="O22" s="942"/>
      <c r="P22" s="943"/>
      <c r="Q22" s="943"/>
      <c r="R22" s="943"/>
      <c r="S22" s="943"/>
      <c r="T22" s="943"/>
      <c r="U22" s="943"/>
      <c r="V22" s="944"/>
      <c r="W22" s="944"/>
      <c r="X22" s="944"/>
      <c r="Y22" s="944"/>
      <c r="Z22" s="943"/>
      <c r="AA22" s="943"/>
      <c r="AB22" s="943"/>
      <c r="AC22" s="943"/>
      <c r="AD22" s="945"/>
      <c r="AE22" s="946">
        <v>238</v>
      </c>
      <c r="AF22" s="941">
        <v>240</v>
      </c>
      <c r="AG22" s="942"/>
      <c r="AH22" s="943"/>
      <c r="AI22" s="943"/>
      <c r="AJ22" s="943"/>
      <c r="AK22" s="943"/>
      <c r="AL22" s="943"/>
      <c r="AM22" s="943"/>
      <c r="AN22" s="944"/>
      <c r="AO22" s="944"/>
      <c r="AP22" s="944"/>
      <c r="AQ22" s="944"/>
      <c r="AR22" s="943"/>
      <c r="AS22" s="943"/>
      <c r="AT22" s="943"/>
      <c r="AU22" s="943"/>
      <c r="AV22" s="945"/>
      <c r="AW22" s="946">
        <v>238</v>
      </c>
      <c r="AX22" s="941">
        <v>240</v>
      </c>
      <c r="AY22" s="947"/>
      <c r="AZ22" s="948" t="s">
        <v>2610</v>
      </c>
      <c r="BA22" s="941" t="s">
        <v>2610</v>
      </c>
      <c r="BB22" s="948">
        <v>0</v>
      </c>
      <c r="BC22" s="948">
        <v>0</v>
      </c>
      <c r="BD22" s="949" t="s">
        <v>2133</v>
      </c>
      <c r="BE22" s="948" t="s">
        <v>2688</v>
      </c>
      <c r="BF22" s="941" t="s">
        <v>2688</v>
      </c>
      <c r="BG22" s="950" t="s">
        <v>2168</v>
      </c>
      <c r="BH22" s="950" t="s">
        <v>2133</v>
      </c>
      <c r="BI22" s="948"/>
      <c r="BJ22" s="951"/>
      <c r="BK22" s="952"/>
      <c r="BL22" s="952"/>
      <c r="BM22" s="952"/>
      <c r="BN22" s="953"/>
      <c r="BO22" s="3256"/>
      <c r="BP22" s="899"/>
      <c r="BQ22" s="899"/>
      <c r="BR22" s="899"/>
      <c r="BS22" s="899"/>
      <c r="BT22" s="899"/>
      <c r="BU22" s="899"/>
      <c r="BV22" s="899"/>
      <c r="BW22" s="899"/>
      <c r="BX22" s="899"/>
      <c r="BY22" s="899"/>
      <c r="BZ22" s="899"/>
      <c r="CA22" s="899"/>
      <c r="CB22" s="899"/>
      <c r="CC22" s="899"/>
      <c r="CD22" s="899"/>
      <c r="CE22" s="899"/>
      <c r="CF22" s="899"/>
      <c r="CG22" s="899"/>
      <c r="CH22" s="899"/>
    </row>
    <row r="23" spans="1:86" ht="23.15" customHeight="1">
      <c r="A23" s="6610"/>
      <c r="B23" s="6611"/>
      <c r="C23" s="6611"/>
      <c r="D23" s="6665"/>
      <c r="E23" s="6666"/>
      <c r="F23" s="939" t="s">
        <v>3694</v>
      </c>
      <c r="G23" s="3254">
        <v>74</v>
      </c>
      <c r="H23" s="3254">
        <v>57</v>
      </c>
      <c r="I23" s="940" t="s">
        <v>3738</v>
      </c>
      <c r="J23" s="6682"/>
      <c r="K23" s="941" t="s">
        <v>2138</v>
      </c>
      <c r="L23" s="941">
        <v>32</v>
      </c>
      <c r="M23" s="3255">
        <v>74</v>
      </c>
      <c r="N23" s="6684"/>
      <c r="O23" s="942"/>
      <c r="P23" s="943"/>
      <c r="Q23" s="943"/>
      <c r="R23" s="943"/>
      <c r="S23" s="943"/>
      <c r="T23" s="943"/>
      <c r="U23" s="943"/>
      <c r="V23" s="944"/>
      <c r="W23" s="944"/>
      <c r="X23" s="944"/>
      <c r="Y23" s="944"/>
      <c r="Z23" s="943"/>
      <c r="AA23" s="943"/>
      <c r="AB23" s="943"/>
      <c r="AC23" s="943"/>
      <c r="AD23" s="945"/>
      <c r="AE23" s="946">
        <v>150</v>
      </c>
      <c r="AF23" s="941">
        <v>159</v>
      </c>
      <c r="AG23" s="942"/>
      <c r="AH23" s="943"/>
      <c r="AI23" s="943"/>
      <c r="AJ23" s="943"/>
      <c r="AK23" s="943"/>
      <c r="AL23" s="943"/>
      <c r="AM23" s="943"/>
      <c r="AN23" s="944"/>
      <c r="AO23" s="944"/>
      <c r="AP23" s="944"/>
      <c r="AQ23" s="944"/>
      <c r="AR23" s="943"/>
      <c r="AS23" s="943"/>
      <c r="AT23" s="943"/>
      <c r="AU23" s="943"/>
      <c r="AV23" s="945"/>
      <c r="AW23" s="946">
        <v>150</v>
      </c>
      <c r="AX23" s="941">
        <v>159</v>
      </c>
      <c r="AY23" s="947"/>
      <c r="AZ23" s="948" t="s">
        <v>2610</v>
      </c>
      <c r="BA23" s="941" t="s">
        <v>2610</v>
      </c>
      <c r="BB23" s="948">
        <v>0</v>
      </c>
      <c r="BC23" s="948">
        <v>0</v>
      </c>
      <c r="BD23" s="949" t="s">
        <v>2133</v>
      </c>
      <c r="BE23" s="948" t="s">
        <v>2688</v>
      </c>
      <c r="BF23" s="941" t="s">
        <v>2688</v>
      </c>
      <c r="BG23" s="950" t="s">
        <v>3696</v>
      </c>
      <c r="BH23" s="950" t="s">
        <v>2133</v>
      </c>
      <c r="BI23" s="948"/>
      <c r="BJ23" s="951"/>
      <c r="BK23" s="952"/>
      <c r="BL23" s="952"/>
      <c r="BM23" s="952"/>
      <c r="BN23" s="953"/>
      <c r="BO23" s="954"/>
      <c r="BP23" s="899"/>
      <c r="BQ23" s="899"/>
      <c r="BR23" s="899"/>
      <c r="BS23" s="899"/>
      <c r="BT23" s="899"/>
      <c r="BU23" s="899"/>
      <c r="BV23" s="899"/>
      <c r="BW23" s="899"/>
      <c r="BX23" s="899"/>
      <c r="BY23" s="899"/>
      <c r="BZ23" s="899"/>
      <c r="CA23" s="899"/>
      <c r="CB23" s="899"/>
      <c r="CC23" s="899"/>
      <c r="CD23" s="899"/>
      <c r="CE23" s="899"/>
      <c r="CF23" s="899"/>
      <c r="CG23" s="899"/>
      <c r="CH23" s="899"/>
    </row>
    <row r="24" spans="1:86" ht="16">
      <c r="A24" s="6610"/>
      <c r="B24" s="6611"/>
      <c r="C24" s="6611"/>
      <c r="D24" s="6665"/>
      <c r="E24" s="6666"/>
      <c r="F24" s="939" t="s">
        <v>3694</v>
      </c>
      <c r="G24" s="3254">
        <v>74</v>
      </c>
      <c r="H24" s="3254">
        <v>69</v>
      </c>
      <c r="I24" s="940" t="s">
        <v>3677</v>
      </c>
      <c r="J24" s="6682"/>
      <c r="K24" s="941" t="s">
        <v>2138</v>
      </c>
      <c r="L24" s="941">
        <v>32</v>
      </c>
      <c r="M24" s="3255">
        <v>122</v>
      </c>
      <c r="N24" s="6684"/>
      <c r="O24" s="942"/>
      <c r="P24" s="943"/>
      <c r="Q24" s="943"/>
      <c r="R24" s="943"/>
      <c r="S24" s="943"/>
      <c r="T24" s="943"/>
      <c r="U24" s="943"/>
      <c r="V24" s="944"/>
      <c r="W24" s="944"/>
      <c r="X24" s="944"/>
      <c r="Y24" s="944"/>
      <c r="Z24" s="943"/>
      <c r="AA24" s="943"/>
      <c r="AB24" s="943"/>
      <c r="AC24" s="943"/>
      <c r="AD24" s="945"/>
      <c r="AE24" s="946">
        <v>249</v>
      </c>
      <c r="AF24" s="941">
        <v>250</v>
      </c>
      <c r="AG24" s="942"/>
      <c r="AH24" s="943"/>
      <c r="AI24" s="943"/>
      <c r="AJ24" s="943"/>
      <c r="AK24" s="943"/>
      <c r="AL24" s="943"/>
      <c r="AM24" s="943"/>
      <c r="AN24" s="944"/>
      <c r="AO24" s="944"/>
      <c r="AP24" s="944"/>
      <c r="AQ24" s="944"/>
      <c r="AR24" s="943"/>
      <c r="AS24" s="943"/>
      <c r="AT24" s="943"/>
      <c r="AU24" s="943"/>
      <c r="AV24" s="945"/>
      <c r="AW24" s="946">
        <v>249</v>
      </c>
      <c r="AX24" s="941">
        <v>250</v>
      </c>
      <c r="AY24" s="947"/>
      <c r="AZ24" s="948" t="s">
        <v>2610</v>
      </c>
      <c r="BA24" s="941" t="s">
        <v>2610</v>
      </c>
      <c r="BB24" s="948">
        <v>0</v>
      </c>
      <c r="BC24" s="948">
        <v>0</v>
      </c>
      <c r="BD24" s="949" t="s">
        <v>2133</v>
      </c>
      <c r="BE24" s="948" t="s">
        <v>2688</v>
      </c>
      <c r="BF24" s="941" t="s">
        <v>2688</v>
      </c>
      <c r="BG24" s="950" t="s">
        <v>2168</v>
      </c>
      <c r="BH24" s="950" t="s">
        <v>2133</v>
      </c>
      <c r="BI24" s="948"/>
      <c r="BJ24" s="951"/>
      <c r="BK24" s="952"/>
      <c r="BL24" s="952"/>
      <c r="BM24" s="952"/>
      <c r="BN24" s="953"/>
      <c r="BO24" s="3256"/>
      <c r="BP24" s="899"/>
      <c r="BQ24" s="899"/>
      <c r="BR24" s="899"/>
      <c r="BS24" s="899"/>
      <c r="BT24" s="899"/>
      <c r="BU24" s="899"/>
      <c r="BV24" s="899"/>
      <c r="BW24" s="899"/>
      <c r="BX24" s="899"/>
      <c r="BY24" s="899"/>
      <c r="BZ24" s="899"/>
      <c r="CA24" s="899"/>
      <c r="CB24" s="899"/>
      <c r="CC24" s="899"/>
      <c r="CD24" s="899"/>
      <c r="CE24" s="899"/>
      <c r="CF24" s="899"/>
      <c r="CG24" s="899"/>
      <c r="CH24" s="899"/>
    </row>
    <row r="25" spans="1:86" ht="22.5" customHeight="1">
      <c r="A25" s="6610"/>
      <c r="B25" s="6611"/>
      <c r="C25" s="6611"/>
      <c r="D25" s="6665"/>
      <c r="E25" s="6666"/>
      <c r="F25" s="939" t="s">
        <v>3694</v>
      </c>
      <c r="G25" s="3254">
        <v>74</v>
      </c>
      <c r="H25" s="3254">
        <v>76</v>
      </c>
      <c r="I25" s="940" t="s">
        <v>3739</v>
      </c>
      <c r="J25" s="6682"/>
      <c r="K25" s="941" t="s">
        <v>2138</v>
      </c>
      <c r="L25" s="941">
        <v>32</v>
      </c>
      <c r="M25" s="3255">
        <v>76</v>
      </c>
      <c r="N25" s="6684"/>
      <c r="O25" s="942"/>
      <c r="P25" s="943"/>
      <c r="Q25" s="943"/>
      <c r="R25" s="943"/>
      <c r="S25" s="943"/>
      <c r="T25" s="943"/>
      <c r="U25" s="943"/>
      <c r="V25" s="944"/>
      <c r="W25" s="944"/>
      <c r="X25" s="944"/>
      <c r="Y25" s="944"/>
      <c r="Z25" s="943"/>
      <c r="AA25" s="943"/>
      <c r="AB25" s="943"/>
      <c r="AC25" s="943"/>
      <c r="AD25" s="945"/>
      <c r="AE25" s="946">
        <v>156</v>
      </c>
      <c r="AF25" s="941">
        <v>186</v>
      </c>
      <c r="AG25" s="942"/>
      <c r="AH25" s="943"/>
      <c r="AI25" s="943"/>
      <c r="AJ25" s="943"/>
      <c r="AK25" s="943"/>
      <c r="AL25" s="943"/>
      <c r="AM25" s="943"/>
      <c r="AN25" s="944"/>
      <c r="AO25" s="944"/>
      <c r="AP25" s="944"/>
      <c r="AQ25" s="944"/>
      <c r="AR25" s="943"/>
      <c r="AS25" s="943"/>
      <c r="AT25" s="943"/>
      <c r="AU25" s="943"/>
      <c r="AV25" s="945"/>
      <c r="AW25" s="946">
        <v>30</v>
      </c>
      <c r="AX25" s="941">
        <v>30</v>
      </c>
      <c r="AY25" s="947"/>
      <c r="AZ25" s="948" t="s">
        <v>2609</v>
      </c>
      <c r="BA25" s="941" t="s">
        <v>2610</v>
      </c>
      <c r="BB25" s="948">
        <v>0</v>
      </c>
      <c r="BC25" s="948">
        <v>0</v>
      </c>
      <c r="BD25" s="949" t="s">
        <v>2133</v>
      </c>
      <c r="BE25" s="948" t="s">
        <v>2688</v>
      </c>
      <c r="BF25" s="941" t="s">
        <v>2688</v>
      </c>
      <c r="BG25" s="950" t="s">
        <v>3696</v>
      </c>
      <c r="BH25" s="950" t="s">
        <v>2133</v>
      </c>
      <c r="BI25" s="948"/>
      <c r="BJ25" s="951"/>
      <c r="BK25" s="952"/>
      <c r="BL25" s="952"/>
      <c r="BM25" s="952"/>
      <c r="BN25" s="953"/>
      <c r="BO25" s="954"/>
      <c r="BP25" s="899"/>
      <c r="BQ25" s="899"/>
      <c r="BR25" s="899"/>
      <c r="BS25" s="899"/>
      <c r="BT25" s="899"/>
      <c r="BU25" s="899"/>
      <c r="BV25" s="899"/>
      <c r="BW25" s="899"/>
      <c r="BX25" s="899"/>
      <c r="BY25" s="899"/>
      <c r="BZ25" s="899"/>
      <c r="CA25" s="899"/>
      <c r="CB25" s="899"/>
      <c r="CC25" s="899"/>
      <c r="CD25" s="899"/>
      <c r="CE25" s="899"/>
      <c r="CF25" s="899"/>
      <c r="CG25" s="899"/>
      <c r="CH25" s="899"/>
    </row>
    <row r="26" spans="1:86" ht="23.15" customHeight="1">
      <c r="A26" s="6610"/>
      <c r="B26" s="6611"/>
      <c r="C26" s="6611"/>
      <c r="D26" s="6665"/>
      <c r="E26" s="6666"/>
      <c r="F26" s="939" t="s">
        <v>3694</v>
      </c>
      <c r="G26" s="3254">
        <v>74</v>
      </c>
      <c r="H26" s="3254">
        <v>80</v>
      </c>
      <c r="I26" s="940" t="s">
        <v>4301</v>
      </c>
      <c r="J26" s="6682"/>
      <c r="K26" s="941" t="s">
        <v>2138</v>
      </c>
      <c r="L26" s="941">
        <v>32</v>
      </c>
      <c r="M26" s="3255">
        <v>141</v>
      </c>
      <c r="N26" s="6684"/>
      <c r="O26" s="942"/>
      <c r="P26" s="943"/>
      <c r="Q26" s="943"/>
      <c r="R26" s="943"/>
      <c r="S26" s="943"/>
      <c r="T26" s="943"/>
      <c r="U26" s="943"/>
      <c r="V26" s="944"/>
      <c r="W26" s="944"/>
      <c r="X26" s="944"/>
      <c r="Y26" s="944"/>
      <c r="Z26" s="943"/>
      <c r="AA26" s="943"/>
      <c r="AB26" s="943"/>
      <c r="AC26" s="943"/>
      <c r="AD26" s="945"/>
      <c r="AE26" s="946">
        <v>288</v>
      </c>
      <c r="AF26" s="941">
        <v>288</v>
      </c>
      <c r="AG26" s="942"/>
      <c r="AH26" s="943"/>
      <c r="AI26" s="943"/>
      <c r="AJ26" s="943"/>
      <c r="AK26" s="943"/>
      <c r="AL26" s="943"/>
      <c r="AM26" s="943"/>
      <c r="AN26" s="944"/>
      <c r="AO26" s="944"/>
      <c r="AP26" s="944"/>
      <c r="AQ26" s="944"/>
      <c r="AR26" s="943"/>
      <c r="AS26" s="943"/>
      <c r="AT26" s="943"/>
      <c r="AU26" s="943"/>
      <c r="AV26" s="945"/>
      <c r="AW26" s="946">
        <v>142</v>
      </c>
      <c r="AX26" s="941">
        <v>142</v>
      </c>
      <c r="AY26" s="947"/>
      <c r="AZ26" s="948" t="s">
        <v>2609</v>
      </c>
      <c r="BA26" s="941" t="s">
        <v>2609</v>
      </c>
      <c r="BB26" s="948">
        <v>0</v>
      </c>
      <c r="BC26" s="948">
        <v>0</v>
      </c>
      <c r="BD26" s="949" t="s">
        <v>2133</v>
      </c>
      <c r="BE26" s="948" t="s">
        <v>2688</v>
      </c>
      <c r="BF26" s="941" t="s">
        <v>2688</v>
      </c>
      <c r="BG26" s="950" t="s">
        <v>3696</v>
      </c>
      <c r="BH26" s="950" t="s">
        <v>2133</v>
      </c>
      <c r="BI26" s="948"/>
      <c r="BJ26" s="951"/>
      <c r="BK26" s="952"/>
      <c r="BL26" s="952"/>
      <c r="BM26" s="952"/>
      <c r="BN26" s="953"/>
      <c r="BO26" s="954"/>
      <c r="BP26" s="899"/>
      <c r="BQ26" s="899"/>
      <c r="BR26" s="899"/>
      <c r="BS26" s="899"/>
      <c r="BT26" s="899"/>
      <c r="BU26" s="899"/>
      <c r="BV26" s="899"/>
      <c r="BW26" s="899"/>
      <c r="BX26" s="899"/>
      <c r="BY26" s="899"/>
      <c r="BZ26" s="899"/>
      <c r="CA26" s="899"/>
      <c r="CB26" s="899"/>
      <c r="CC26" s="899"/>
      <c r="CD26" s="899"/>
      <c r="CE26" s="899"/>
      <c r="CF26" s="899"/>
      <c r="CG26" s="899"/>
      <c r="CH26" s="899"/>
    </row>
    <row r="27" spans="1:86" ht="23.15" customHeight="1">
      <c r="A27" s="6610"/>
      <c r="B27" s="6611"/>
      <c r="C27" s="6611"/>
      <c r="D27" s="6665"/>
      <c r="E27" s="6666"/>
      <c r="F27" s="939" t="s">
        <v>3694</v>
      </c>
      <c r="G27" s="3254">
        <v>74</v>
      </c>
      <c r="H27" s="3254">
        <v>82</v>
      </c>
      <c r="I27" s="940" t="s">
        <v>4302</v>
      </c>
      <c r="J27" s="6682"/>
      <c r="K27" s="941" t="s">
        <v>2138</v>
      </c>
      <c r="L27" s="941">
        <v>32</v>
      </c>
      <c r="M27" s="3255">
        <v>94</v>
      </c>
      <c r="N27" s="6684"/>
      <c r="O27" s="942"/>
      <c r="P27" s="943"/>
      <c r="Q27" s="943"/>
      <c r="R27" s="943"/>
      <c r="S27" s="943"/>
      <c r="T27" s="943"/>
      <c r="U27" s="943"/>
      <c r="V27" s="944"/>
      <c r="W27" s="944"/>
      <c r="X27" s="944"/>
      <c r="Y27" s="944"/>
      <c r="Z27" s="943"/>
      <c r="AA27" s="943"/>
      <c r="AB27" s="943"/>
      <c r="AC27" s="943"/>
      <c r="AD27" s="945"/>
      <c r="AE27" s="946">
        <v>191</v>
      </c>
      <c r="AF27" s="941">
        <v>191</v>
      </c>
      <c r="AG27" s="942"/>
      <c r="AH27" s="943"/>
      <c r="AI27" s="943"/>
      <c r="AJ27" s="943"/>
      <c r="AK27" s="943"/>
      <c r="AL27" s="943"/>
      <c r="AM27" s="943"/>
      <c r="AN27" s="944"/>
      <c r="AO27" s="944"/>
      <c r="AP27" s="944"/>
      <c r="AQ27" s="944"/>
      <c r="AR27" s="943"/>
      <c r="AS27" s="943"/>
      <c r="AT27" s="943"/>
      <c r="AU27" s="943"/>
      <c r="AV27" s="945"/>
      <c r="AW27" s="946">
        <v>95</v>
      </c>
      <c r="AX27" s="941">
        <v>95</v>
      </c>
      <c r="AY27" s="947"/>
      <c r="AZ27" s="948" t="s">
        <v>2609</v>
      </c>
      <c r="BA27" s="941" t="s">
        <v>2610</v>
      </c>
      <c r="BB27" s="948">
        <v>0</v>
      </c>
      <c r="BC27" s="948">
        <v>0</v>
      </c>
      <c r="BD27" s="949" t="s">
        <v>2133</v>
      </c>
      <c r="BE27" s="948" t="s">
        <v>2688</v>
      </c>
      <c r="BF27" s="941" t="s">
        <v>2688</v>
      </c>
      <c r="BG27" s="950" t="s">
        <v>2168</v>
      </c>
      <c r="BH27" s="950" t="s">
        <v>2133</v>
      </c>
      <c r="BI27" s="948"/>
      <c r="BJ27" s="951"/>
      <c r="BK27" s="952"/>
      <c r="BL27" s="952"/>
      <c r="BM27" s="952"/>
      <c r="BN27" s="953"/>
      <c r="BO27" s="954"/>
      <c r="BP27" s="899"/>
      <c r="BQ27" s="899"/>
      <c r="BR27" s="899"/>
      <c r="BS27" s="899"/>
      <c r="BT27" s="899"/>
      <c r="BU27" s="899"/>
      <c r="BV27" s="899"/>
      <c r="BW27" s="899"/>
      <c r="BX27" s="899"/>
      <c r="BY27" s="899"/>
      <c r="BZ27" s="899"/>
      <c r="CA27" s="899"/>
      <c r="CB27" s="899"/>
      <c r="CC27" s="899"/>
      <c r="CD27" s="899"/>
      <c r="CE27" s="899"/>
      <c r="CF27" s="899"/>
      <c r="CG27" s="899"/>
      <c r="CH27" s="899"/>
    </row>
    <row r="28" spans="1:86" ht="23.15" customHeight="1">
      <c r="A28" s="6610"/>
      <c r="B28" s="6611"/>
      <c r="C28" s="6611"/>
      <c r="D28" s="6665"/>
      <c r="E28" s="6666"/>
      <c r="F28" s="939" t="s">
        <v>3694</v>
      </c>
      <c r="G28" s="3254">
        <v>74</v>
      </c>
      <c r="H28" s="3254">
        <v>1006</v>
      </c>
      <c r="I28" s="940" t="s">
        <v>3741</v>
      </c>
      <c r="J28" s="6682"/>
      <c r="K28" s="941" t="s">
        <v>2138</v>
      </c>
      <c r="L28" s="941">
        <v>32</v>
      </c>
      <c r="M28" s="3255">
        <v>112</v>
      </c>
      <c r="N28" s="6684"/>
      <c r="O28" s="942"/>
      <c r="P28" s="943"/>
      <c r="Q28" s="943"/>
      <c r="R28" s="943"/>
      <c r="S28" s="943"/>
      <c r="T28" s="943"/>
      <c r="U28" s="943"/>
      <c r="V28" s="944"/>
      <c r="W28" s="944"/>
      <c r="X28" s="944"/>
      <c r="Y28" s="944"/>
      <c r="Z28" s="943"/>
      <c r="AA28" s="943"/>
      <c r="AB28" s="943"/>
      <c r="AC28" s="943"/>
      <c r="AD28" s="945"/>
      <c r="AE28" s="946">
        <v>229</v>
      </c>
      <c r="AF28" s="941">
        <v>232</v>
      </c>
      <c r="AG28" s="942"/>
      <c r="AH28" s="943"/>
      <c r="AI28" s="943"/>
      <c r="AJ28" s="943"/>
      <c r="AK28" s="943"/>
      <c r="AL28" s="943"/>
      <c r="AM28" s="943"/>
      <c r="AN28" s="944"/>
      <c r="AO28" s="944"/>
      <c r="AP28" s="944"/>
      <c r="AQ28" s="944"/>
      <c r="AR28" s="943"/>
      <c r="AS28" s="943"/>
      <c r="AT28" s="943"/>
      <c r="AU28" s="943"/>
      <c r="AV28" s="945"/>
      <c r="AW28" s="946">
        <v>100</v>
      </c>
      <c r="AX28" s="941">
        <v>100</v>
      </c>
      <c r="AY28" s="947"/>
      <c r="AZ28" s="948" t="s">
        <v>2609</v>
      </c>
      <c r="BA28" s="941" t="s">
        <v>2610</v>
      </c>
      <c r="BB28" s="948">
        <v>0</v>
      </c>
      <c r="BC28" s="948">
        <v>0</v>
      </c>
      <c r="BD28" s="949" t="s">
        <v>2133</v>
      </c>
      <c r="BE28" s="948" t="s">
        <v>2688</v>
      </c>
      <c r="BF28" s="941" t="s">
        <v>2688</v>
      </c>
      <c r="BG28" s="950" t="s">
        <v>2168</v>
      </c>
      <c r="BH28" s="950" t="s">
        <v>2133</v>
      </c>
      <c r="BI28" s="948"/>
      <c r="BJ28" s="951"/>
      <c r="BK28" s="952"/>
      <c r="BL28" s="952"/>
      <c r="BM28" s="952"/>
      <c r="BN28" s="953"/>
      <c r="BO28" s="954"/>
      <c r="BP28" s="899"/>
      <c r="BQ28" s="899"/>
      <c r="BR28" s="899"/>
      <c r="BS28" s="899"/>
      <c r="BT28" s="899"/>
      <c r="BU28" s="899"/>
      <c r="BV28" s="899"/>
      <c r="BW28" s="899"/>
      <c r="BX28" s="899"/>
      <c r="BY28" s="899"/>
      <c r="BZ28" s="899"/>
      <c r="CA28" s="899"/>
      <c r="CB28" s="899"/>
      <c r="CC28" s="899"/>
      <c r="CD28" s="899"/>
      <c r="CE28" s="899"/>
      <c r="CF28" s="899"/>
      <c r="CG28" s="899"/>
      <c r="CH28" s="899"/>
    </row>
    <row r="29" spans="1:86" ht="23.15" customHeight="1">
      <c r="A29" s="6610"/>
      <c r="B29" s="6611"/>
      <c r="C29" s="6611"/>
      <c r="D29" s="6665"/>
      <c r="E29" s="6666"/>
      <c r="F29" s="939" t="s">
        <v>3694</v>
      </c>
      <c r="G29" s="3254">
        <v>74</v>
      </c>
      <c r="H29" s="3254">
        <v>1017</v>
      </c>
      <c r="I29" s="940" t="s">
        <v>3742</v>
      </c>
      <c r="J29" s="6682"/>
      <c r="K29" s="941" t="s">
        <v>2138</v>
      </c>
      <c r="L29" s="941">
        <v>32</v>
      </c>
      <c r="M29" s="3255">
        <v>50</v>
      </c>
      <c r="N29" s="6684"/>
      <c r="O29" s="942"/>
      <c r="P29" s="943"/>
      <c r="Q29" s="943"/>
      <c r="R29" s="943"/>
      <c r="S29" s="943"/>
      <c r="T29" s="943"/>
      <c r="U29" s="943"/>
      <c r="V29" s="944"/>
      <c r="W29" s="944"/>
      <c r="X29" s="944"/>
      <c r="Y29" s="944"/>
      <c r="Z29" s="943"/>
      <c r="AA29" s="943"/>
      <c r="AB29" s="943"/>
      <c r="AC29" s="943"/>
      <c r="AD29" s="945"/>
      <c r="AE29" s="946">
        <v>102</v>
      </c>
      <c r="AF29" s="941">
        <v>114</v>
      </c>
      <c r="AG29" s="942"/>
      <c r="AH29" s="943"/>
      <c r="AI29" s="943"/>
      <c r="AJ29" s="943"/>
      <c r="AK29" s="943"/>
      <c r="AL29" s="943"/>
      <c r="AM29" s="943"/>
      <c r="AN29" s="944"/>
      <c r="AO29" s="944"/>
      <c r="AP29" s="944"/>
      <c r="AQ29" s="944"/>
      <c r="AR29" s="943"/>
      <c r="AS29" s="943"/>
      <c r="AT29" s="943"/>
      <c r="AU29" s="943"/>
      <c r="AV29" s="945"/>
      <c r="AW29" s="946">
        <v>102</v>
      </c>
      <c r="AX29" s="941">
        <v>114</v>
      </c>
      <c r="AY29" s="947"/>
      <c r="AZ29" s="948" t="s">
        <v>2610</v>
      </c>
      <c r="BA29" s="941" t="s">
        <v>2610</v>
      </c>
      <c r="BB29" s="948">
        <v>0</v>
      </c>
      <c r="BC29" s="948">
        <v>0</v>
      </c>
      <c r="BD29" s="949" t="s">
        <v>2133</v>
      </c>
      <c r="BE29" s="948" t="s">
        <v>2133</v>
      </c>
      <c r="BF29" s="941" t="s">
        <v>2133</v>
      </c>
      <c r="BG29" s="950" t="s">
        <v>3743</v>
      </c>
      <c r="BH29" s="950" t="s">
        <v>2133</v>
      </c>
      <c r="BI29" s="948"/>
      <c r="BJ29" s="951"/>
      <c r="BK29" s="952"/>
      <c r="BL29" s="952"/>
      <c r="BM29" s="952"/>
      <c r="BN29" s="953"/>
      <c r="BO29" s="954"/>
      <c r="BP29" s="899"/>
      <c r="BQ29" s="899"/>
      <c r="BR29" s="899"/>
      <c r="BS29" s="899"/>
      <c r="BT29" s="899"/>
      <c r="BU29" s="899"/>
      <c r="BV29" s="899"/>
      <c r="BW29" s="899"/>
      <c r="BX29" s="899"/>
      <c r="BY29" s="899"/>
      <c r="BZ29" s="899"/>
      <c r="CA29" s="899"/>
      <c r="CB29" s="899"/>
      <c r="CC29" s="899"/>
      <c r="CD29" s="899"/>
      <c r="CE29" s="899"/>
      <c r="CF29" s="899"/>
      <c r="CG29" s="899"/>
      <c r="CH29" s="899"/>
    </row>
    <row r="30" spans="1:86" ht="30">
      <c r="A30" s="6610"/>
      <c r="B30" s="6611"/>
      <c r="C30" s="6611"/>
      <c r="D30" s="6663"/>
      <c r="E30" s="6664"/>
      <c r="F30" s="956" t="s">
        <v>3694</v>
      </c>
      <c r="G30" s="3237">
        <v>74</v>
      </c>
      <c r="H30" s="3237">
        <v>179</v>
      </c>
      <c r="I30" s="957" t="s">
        <v>4303</v>
      </c>
      <c r="J30" s="6683"/>
      <c r="K30" s="958" t="s">
        <v>2138</v>
      </c>
      <c r="L30" s="958">
        <v>32</v>
      </c>
      <c r="M30" s="3257">
        <v>43</v>
      </c>
      <c r="N30" s="6685"/>
      <c r="O30" s="959"/>
      <c r="P30" s="960"/>
      <c r="Q30" s="960"/>
      <c r="R30" s="960"/>
      <c r="S30" s="960"/>
      <c r="T30" s="960"/>
      <c r="U30" s="960"/>
      <c r="V30" s="961"/>
      <c r="W30" s="961"/>
      <c r="X30" s="961"/>
      <c r="Y30" s="961"/>
      <c r="Z30" s="960"/>
      <c r="AA30" s="960"/>
      <c r="AB30" s="960"/>
      <c r="AC30" s="960"/>
      <c r="AD30" s="962"/>
      <c r="AE30" s="963">
        <v>252</v>
      </c>
      <c r="AF30" s="958">
        <v>270</v>
      </c>
      <c r="AG30" s="959"/>
      <c r="AH30" s="960"/>
      <c r="AI30" s="960"/>
      <c r="AJ30" s="960"/>
      <c r="AK30" s="960"/>
      <c r="AL30" s="960"/>
      <c r="AM30" s="960"/>
      <c r="AN30" s="961"/>
      <c r="AO30" s="961"/>
      <c r="AP30" s="961"/>
      <c r="AQ30" s="961"/>
      <c r="AR30" s="960"/>
      <c r="AS30" s="960"/>
      <c r="AT30" s="960"/>
      <c r="AU30" s="960"/>
      <c r="AV30" s="962"/>
      <c r="AW30" s="963">
        <v>45</v>
      </c>
      <c r="AX30" s="958">
        <v>47</v>
      </c>
      <c r="AY30" s="964"/>
      <c r="AZ30" s="965" t="s">
        <v>2609</v>
      </c>
      <c r="BA30" s="958" t="s">
        <v>2609</v>
      </c>
      <c r="BB30" s="965">
        <v>0</v>
      </c>
      <c r="BC30" s="965">
        <v>0</v>
      </c>
      <c r="BD30" s="966" t="s">
        <v>2133</v>
      </c>
      <c r="BE30" s="965" t="s">
        <v>2133</v>
      </c>
      <c r="BF30" s="958" t="s">
        <v>2133</v>
      </c>
      <c r="BG30" s="967" t="s">
        <v>2240</v>
      </c>
      <c r="BH30" s="967"/>
      <c r="BI30" s="965"/>
      <c r="BJ30" s="968"/>
      <c r="BK30" s="969"/>
      <c r="BL30" s="969"/>
      <c r="BM30" s="969"/>
      <c r="BN30" s="970"/>
      <c r="BO30" s="3258" t="s">
        <v>4304</v>
      </c>
      <c r="BP30" s="899"/>
      <c r="BQ30" s="899"/>
      <c r="BR30" s="899"/>
      <c r="BS30" s="899"/>
      <c r="BT30" s="899"/>
      <c r="BU30" s="899"/>
      <c r="BV30" s="899"/>
      <c r="BW30" s="899"/>
      <c r="BX30" s="899"/>
      <c r="BY30" s="899"/>
      <c r="BZ30" s="899"/>
      <c r="CA30" s="899"/>
      <c r="CB30" s="899"/>
      <c r="CC30" s="899"/>
      <c r="CD30" s="899"/>
      <c r="CE30" s="899"/>
      <c r="CF30" s="899"/>
      <c r="CG30" s="899"/>
      <c r="CH30" s="899"/>
    </row>
    <row r="31" spans="1:86" ht="20.5" customHeight="1">
      <c r="A31" s="6610"/>
      <c r="B31" s="6611"/>
      <c r="C31" s="6611"/>
      <c r="D31" s="6665" t="s">
        <v>3744</v>
      </c>
      <c r="E31" s="6666">
        <v>250</v>
      </c>
      <c r="F31" s="972" t="s">
        <v>3694</v>
      </c>
      <c r="G31" s="3254">
        <v>287</v>
      </c>
      <c r="H31" s="3254">
        <v>283</v>
      </c>
      <c r="I31" s="991" t="s">
        <v>4274</v>
      </c>
      <c r="J31" s="6682">
        <f>COUNTA(I31:I33)</f>
        <v>3</v>
      </c>
      <c r="K31" s="941" t="s">
        <v>4305</v>
      </c>
      <c r="L31" s="941">
        <v>32</v>
      </c>
      <c r="M31" s="3259">
        <v>66</v>
      </c>
      <c r="N31" s="6684">
        <f>SUM(M31:M33)</f>
        <v>246</v>
      </c>
      <c r="O31" s="942"/>
      <c r="P31" s="943"/>
      <c r="Q31" s="943"/>
      <c r="R31" s="943"/>
      <c r="S31" s="943"/>
      <c r="T31" s="943"/>
      <c r="U31" s="943"/>
      <c r="V31" s="944"/>
      <c r="W31" s="944"/>
      <c r="X31" s="944"/>
      <c r="Y31" s="944"/>
      <c r="Z31" s="943"/>
      <c r="AA31" s="943"/>
      <c r="AB31" s="943"/>
      <c r="AC31" s="943"/>
      <c r="AD31" s="945"/>
      <c r="AE31" s="946">
        <v>135</v>
      </c>
      <c r="AF31" s="941">
        <v>135</v>
      </c>
      <c r="AG31" s="942"/>
      <c r="AH31" s="943"/>
      <c r="AI31" s="943"/>
      <c r="AJ31" s="943"/>
      <c r="AK31" s="943"/>
      <c r="AL31" s="943"/>
      <c r="AM31" s="943"/>
      <c r="AN31" s="944"/>
      <c r="AO31" s="944"/>
      <c r="AP31" s="944"/>
      <c r="AQ31" s="944"/>
      <c r="AR31" s="943"/>
      <c r="AS31" s="943"/>
      <c r="AT31" s="943"/>
      <c r="AU31" s="943"/>
      <c r="AV31" s="945"/>
      <c r="AW31" s="946">
        <v>60</v>
      </c>
      <c r="AX31" s="941">
        <v>60</v>
      </c>
      <c r="AY31" s="3260"/>
      <c r="AZ31" s="948" t="s">
        <v>2609</v>
      </c>
      <c r="BA31" s="941" t="s">
        <v>2610</v>
      </c>
      <c r="BB31" s="948">
        <v>0</v>
      </c>
      <c r="BC31" s="948">
        <v>0</v>
      </c>
      <c r="BD31" s="949" t="s">
        <v>2133</v>
      </c>
      <c r="BE31" s="948" t="s">
        <v>2688</v>
      </c>
      <c r="BF31" s="941" t="s">
        <v>2688</v>
      </c>
      <c r="BG31" s="950" t="s">
        <v>2168</v>
      </c>
      <c r="BH31" s="950" t="s">
        <v>2133</v>
      </c>
      <c r="BI31" s="948"/>
      <c r="BJ31" s="951"/>
      <c r="BK31" s="952"/>
      <c r="BL31" s="952"/>
      <c r="BM31" s="952"/>
      <c r="BN31" s="953"/>
      <c r="BO31" s="954"/>
      <c r="BP31" s="899"/>
      <c r="BQ31" s="899"/>
      <c r="BR31" s="899"/>
      <c r="BS31" s="899"/>
      <c r="BT31" s="899"/>
      <c r="BU31" s="899"/>
      <c r="BV31" s="899"/>
      <c r="BW31" s="899"/>
      <c r="BX31" s="899"/>
      <c r="BY31" s="899"/>
      <c r="BZ31" s="899"/>
      <c r="CA31" s="899"/>
      <c r="CB31" s="899"/>
      <c r="CC31" s="899"/>
      <c r="CD31" s="899"/>
      <c r="CE31" s="899"/>
      <c r="CF31" s="899"/>
      <c r="CG31" s="899"/>
      <c r="CH31" s="899"/>
    </row>
    <row r="32" spans="1:86" ht="20.5" customHeight="1">
      <c r="A32" s="6610"/>
      <c r="B32" s="6611"/>
      <c r="C32" s="6611"/>
      <c r="D32" s="6665"/>
      <c r="E32" s="6666"/>
      <c r="F32" s="939" t="s">
        <v>3694</v>
      </c>
      <c r="G32" s="3254">
        <v>290</v>
      </c>
      <c r="H32" s="3254">
        <v>290</v>
      </c>
      <c r="I32" s="940" t="s">
        <v>3746</v>
      </c>
      <c r="J32" s="6682"/>
      <c r="K32" s="941" t="s">
        <v>2364</v>
      </c>
      <c r="L32" s="941">
        <v>32</v>
      </c>
      <c r="M32" s="3255">
        <v>84</v>
      </c>
      <c r="N32" s="6684"/>
      <c r="O32" s="942" t="s">
        <v>3747</v>
      </c>
      <c r="P32" s="943" t="s">
        <v>3748</v>
      </c>
      <c r="Q32" s="943" t="s">
        <v>2602</v>
      </c>
      <c r="R32" s="943" t="s">
        <v>2687</v>
      </c>
      <c r="S32" s="943" t="s">
        <v>2602</v>
      </c>
      <c r="T32" s="943" t="s">
        <v>2602</v>
      </c>
      <c r="U32" s="943" t="s">
        <v>2602</v>
      </c>
      <c r="V32" s="944" t="s">
        <v>2602</v>
      </c>
      <c r="W32" s="944" t="s">
        <v>2602</v>
      </c>
      <c r="X32" s="944" t="s">
        <v>2602</v>
      </c>
      <c r="Y32" s="944" t="s">
        <v>2602</v>
      </c>
      <c r="Z32" s="943" t="s">
        <v>2602</v>
      </c>
      <c r="AA32" s="943" t="s">
        <v>2602</v>
      </c>
      <c r="AB32" s="943" t="s">
        <v>2602</v>
      </c>
      <c r="AC32" s="943" t="s">
        <v>2602</v>
      </c>
      <c r="AD32" s="945" t="s">
        <v>2602</v>
      </c>
      <c r="AE32" s="946">
        <v>171</v>
      </c>
      <c r="AF32" s="941">
        <v>177</v>
      </c>
      <c r="AG32" s="942" t="s">
        <v>2727</v>
      </c>
      <c r="AH32" s="943" t="s">
        <v>2602</v>
      </c>
      <c r="AI32" s="943" t="s">
        <v>2602</v>
      </c>
      <c r="AJ32" s="943" t="s">
        <v>2602</v>
      </c>
      <c r="AK32" s="943" t="s">
        <v>2602</v>
      </c>
      <c r="AL32" s="943" t="s">
        <v>2602</v>
      </c>
      <c r="AM32" s="943" t="s">
        <v>2602</v>
      </c>
      <c r="AN32" s="944" t="s">
        <v>2602</v>
      </c>
      <c r="AO32" s="944" t="s">
        <v>2602</v>
      </c>
      <c r="AP32" s="944" t="s">
        <v>2602</v>
      </c>
      <c r="AQ32" s="944" t="s">
        <v>2602</v>
      </c>
      <c r="AR32" s="943" t="s">
        <v>2602</v>
      </c>
      <c r="AS32" s="943" t="s">
        <v>2602</v>
      </c>
      <c r="AT32" s="943" t="s">
        <v>2602</v>
      </c>
      <c r="AU32" s="943" t="s">
        <v>2602</v>
      </c>
      <c r="AV32" s="945" t="s">
        <v>2602</v>
      </c>
      <c r="AW32" s="946">
        <v>60</v>
      </c>
      <c r="AX32" s="941">
        <v>60</v>
      </c>
      <c r="AY32" s="3261">
        <v>0.35087719298245612</v>
      </c>
      <c r="AZ32" s="948" t="s">
        <v>2609</v>
      </c>
      <c r="BA32" s="941" t="s">
        <v>2610</v>
      </c>
      <c r="BB32" s="948">
        <v>0</v>
      </c>
      <c r="BC32" s="948">
        <v>0</v>
      </c>
      <c r="BD32" s="949" t="s">
        <v>2133</v>
      </c>
      <c r="BE32" s="948" t="s">
        <v>2688</v>
      </c>
      <c r="BF32" s="941" t="s">
        <v>2688</v>
      </c>
      <c r="BG32" s="950" t="s">
        <v>3749</v>
      </c>
      <c r="BH32" s="950" t="s">
        <v>2133</v>
      </c>
      <c r="BI32" s="948" t="s">
        <v>2723</v>
      </c>
      <c r="BJ32" s="951" t="s">
        <v>2129</v>
      </c>
      <c r="BK32" s="952" t="s">
        <v>2129</v>
      </c>
      <c r="BL32" s="952" t="s">
        <v>2129</v>
      </c>
      <c r="BM32" s="952" t="s">
        <v>2129</v>
      </c>
      <c r="BN32" s="953"/>
      <c r="BO32" s="954"/>
      <c r="BP32" s="899"/>
      <c r="BQ32" s="899"/>
      <c r="BR32" s="899"/>
      <c r="BS32" s="899"/>
      <c r="BT32" s="899"/>
      <c r="BU32" s="899"/>
      <c r="BV32" s="899"/>
      <c r="BW32" s="899"/>
      <c r="BX32" s="899"/>
      <c r="BY32" s="899"/>
      <c r="BZ32" s="899"/>
      <c r="CA32" s="899"/>
      <c r="CB32" s="899"/>
      <c r="CC32" s="899"/>
      <c r="CD32" s="899"/>
      <c r="CE32" s="899"/>
      <c r="CF32" s="899"/>
      <c r="CG32" s="899"/>
      <c r="CH32" s="899"/>
    </row>
    <row r="33" spans="1:86" ht="20.5" customHeight="1">
      <c r="A33" s="6610"/>
      <c r="B33" s="6611"/>
      <c r="C33" s="6611"/>
      <c r="D33" s="6663"/>
      <c r="E33" s="6664"/>
      <c r="F33" s="956" t="s">
        <v>3694</v>
      </c>
      <c r="G33" s="3237">
        <v>1029</v>
      </c>
      <c r="H33" s="3237">
        <v>288</v>
      </c>
      <c r="I33" s="992" t="s">
        <v>4275</v>
      </c>
      <c r="J33" s="6683"/>
      <c r="K33" s="958" t="s">
        <v>4305</v>
      </c>
      <c r="L33" s="958">
        <v>32</v>
      </c>
      <c r="M33" s="3262">
        <v>96</v>
      </c>
      <c r="N33" s="6685"/>
      <c r="O33" s="959"/>
      <c r="P33" s="960"/>
      <c r="Q33" s="960"/>
      <c r="R33" s="960"/>
      <c r="S33" s="960"/>
      <c r="T33" s="960"/>
      <c r="U33" s="960"/>
      <c r="V33" s="961"/>
      <c r="W33" s="961"/>
      <c r="X33" s="961"/>
      <c r="Y33" s="961"/>
      <c r="Z33" s="960"/>
      <c r="AA33" s="960"/>
      <c r="AB33" s="960"/>
      <c r="AC33" s="960"/>
      <c r="AD33" s="962"/>
      <c r="AE33" s="963">
        <v>196</v>
      </c>
      <c r="AF33" s="958">
        <v>196</v>
      </c>
      <c r="AG33" s="959"/>
      <c r="AH33" s="960"/>
      <c r="AI33" s="960"/>
      <c r="AJ33" s="960"/>
      <c r="AK33" s="960"/>
      <c r="AL33" s="960"/>
      <c r="AM33" s="960"/>
      <c r="AN33" s="961"/>
      <c r="AO33" s="961"/>
      <c r="AP33" s="961"/>
      <c r="AQ33" s="961"/>
      <c r="AR33" s="960"/>
      <c r="AS33" s="960"/>
      <c r="AT33" s="960"/>
      <c r="AU33" s="960"/>
      <c r="AV33" s="962"/>
      <c r="AW33" s="963">
        <v>100</v>
      </c>
      <c r="AX33" s="958">
        <v>100</v>
      </c>
      <c r="AY33" s="964"/>
      <c r="AZ33" s="965" t="s">
        <v>2609</v>
      </c>
      <c r="BA33" s="958" t="s">
        <v>2610</v>
      </c>
      <c r="BB33" s="965">
        <v>0</v>
      </c>
      <c r="BC33" s="965">
        <v>0</v>
      </c>
      <c r="BD33" s="966" t="s">
        <v>2133</v>
      </c>
      <c r="BE33" s="965" t="s">
        <v>2688</v>
      </c>
      <c r="BF33" s="958" t="s">
        <v>2688</v>
      </c>
      <c r="BG33" s="967" t="s">
        <v>2168</v>
      </c>
      <c r="BH33" s="967" t="s">
        <v>2133</v>
      </c>
      <c r="BI33" s="965"/>
      <c r="BJ33" s="968"/>
      <c r="BK33" s="969"/>
      <c r="BL33" s="969"/>
      <c r="BM33" s="969"/>
      <c r="BN33" s="970"/>
      <c r="BO33" s="971"/>
      <c r="BP33" s="899"/>
      <c r="BQ33" s="899"/>
      <c r="BR33" s="899"/>
      <c r="BS33" s="899"/>
      <c r="BT33" s="899"/>
      <c r="BU33" s="899"/>
      <c r="BV33" s="899"/>
      <c r="BW33" s="899"/>
      <c r="BX33" s="899"/>
      <c r="BY33" s="899"/>
      <c r="BZ33" s="899"/>
      <c r="CA33" s="899"/>
      <c r="CB33" s="899"/>
      <c r="CC33" s="899"/>
      <c r="CD33" s="899"/>
      <c r="CE33" s="899"/>
      <c r="CF33" s="899"/>
      <c r="CG33" s="899"/>
      <c r="CH33" s="899"/>
    </row>
    <row r="34" spans="1:86" ht="37" customHeight="1">
      <c r="A34" s="6610"/>
      <c r="B34" s="6611"/>
      <c r="C34" s="6611"/>
      <c r="D34" s="3263" t="s">
        <v>3752</v>
      </c>
      <c r="E34" s="3264">
        <v>150</v>
      </c>
      <c r="F34" s="3265" t="s">
        <v>3694</v>
      </c>
      <c r="G34" s="3266">
        <v>2041</v>
      </c>
      <c r="H34" s="3266">
        <v>3014</v>
      </c>
      <c r="I34" s="2466" t="s">
        <v>4306</v>
      </c>
      <c r="J34" s="3267">
        <f>COUNTA(I34)</f>
        <v>1</v>
      </c>
      <c r="K34" s="1108" t="s">
        <v>3609</v>
      </c>
      <c r="L34" s="1109">
        <v>32</v>
      </c>
      <c r="M34" s="3268">
        <v>150</v>
      </c>
      <c r="N34" s="3268">
        <f>SUM(M34)</f>
        <v>150</v>
      </c>
      <c r="O34" s="1101" t="s">
        <v>3728</v>
      </c>
      <c r="P34" s="1102" t="s">
        <v>3720</v>
      </c>
      <c r="Q34" s="1102" t="s">
        <v>3754</v>
      </c>
      <c r="R34" s="1102" t="s">
        <v>3755</v>
      </c>
      <c r="S34" s="1102" t="s">
        <v>3756</v>
      </c>
      <c r="T34" s="1102" t="s">
        <v>2602</v>
      </c>
      <c r="U34" s="1102" t="s">
        <v>2602</v>
      </c>
      <c r="V34" s="1103" t="s">
        <v>2602</v>
      </c>
      <c r="W34" s="1103" t="s">
        <v>2602</v>
      </c>
      <c r="X34" s="1103" t="s">
        <v>2602</v>
      </c>
      <c r="Y34" s="1103" t="s">
        <v>2602</v>
      </c>
      <c r="Z34" s="1102" t="s">
        <v>2602</v>
      </c>
      <c r="AA34" s="1102" t="s">
        <v>2602</v>
      </c>
      <c r="AB34" s="1102" t="s">
        <v>2602</v>
      </c>
      <c r="AC34" s="1102" t="s">
        <v>2636</v>
      </c>
      <c r="AD34" s="1104" t="s">
        <v>2602</v>
      </c>
      <c r="AE34" s="2460">
        <v>196</v>
      </c>
      <c r="AF34" s="1108" t="s">
        <v>3757</v>
      </c>
      <c r="AG34" s="1101"/>
      <c r="AH34" s="1102"/>
      <c r="AI34" s="1102"/>
      <c r="AJ34" s="1102"/>
      <c r="AK34" s="1102"/>
      <c r="AL34" s="1102"/>
      <c r="AM34" s="1102"/>
      <c r="AN34" s="1103"/>
      <c r="AO34" s="1103"/>
      <c r="AP34" s="1103"/>
      <c r="AQ34" s="1103"/>
      <c r="AR34" s="1102"/>
      <c r="AS34" s="1102"/>
      <c r="AT34" s="1102"/>
      <c r="AU34" s="1102"/>
      <c r="AV34" s="1104"/>
      <c r="AW34" s="2460" t="s">
        <v>3757</v>
      </c>
      <c r="AX34" s="1108" t="s">
        <v>3757</v>
      </c>
      <c r="AY34" s="1107" t="s">
        <v>3757</v>
      </c>
      <c r="AZ34" s="1050" t="s">
        <v>3757</v>
      </c>
      <c r="BA34" s="1108" t="s">
        <v>3757</v>
      </c>
      <c r="BB34" s="1050" t="s">
        <v>3757</v>
      </c>
      <c r="BC34" s="1050" t="s">
        <v>3757</v>
      </c>
      <c r="BD34" s="1105" t="s">
        <v>3757</v>
      </c>
      <c r="BE34" s="1050" t="s">
        <v>3757</v>
      </c>
      <c r="BF34" s="1108" t="s">
        <v>3757</v>
      </c>
      <c r="BG34" s="1109" t="s">
        <v>3757</v>
      </c>
      <c r="BH34" s="1109" t="s">
        <v>3757</v>
      </c>
      <c r="BI34" s="1050" t="s">
        <v>3757</v>
      </c>
      <c r="BJ34" s="1110"/>
      <c r="BK34" s="1111"/>
      <c r="BL34" s="1111"/>
      <c r="BM34" s="1111"/>
      <c r="BN34" s="3269"/>
      <c r="BO34" s="1041"/>
      <c r="BP34" s="899"/>
      <c r="BQ34" s="899"/>
      <c r="BR34" s="899"/>
      <c r="BS34" s="899"/>
      <c r="BT34" s="899"/>
      <c r="BU34" s="899"/>
      <c r="BV34" s="899"/>
      <c r="BW34" s="899"/>
      <c r="BX34" s="899"/>
      <c r="BY34" s="899"/>
      <c r="BZ34" s="899"/>
      <c r="CA34" s="899"/>
      <c r="CB34" s="899"/>
      <c r="CC34" s="899"/>
      <c r="CD34" s="899"/>
      <c r="CE34" s="899"/>
      <c r="CF34" s="899"/>
      <c r="CG34" s="899"/>
      <c r="CH34" s="899"/>
    </row>
    <row r="35" spans="1:86" ht="37" customHeight="1">
      <c r="A35" s="6610"/>
      <c r="B35" s="6611"/>
      <c r="C35" s="6611"/>
      <c r="D35" s="3233" t="s">
        <v>3136</v>
      </c>
      <c r="E35" s="3234">
        <v>150</v>
      </c>
      <c r="F35" s="993" t="s">
        <v>3694</v>
      </c>
      <c r="G35" s="3237" t="s">
        <v>2647</v>
      </c>
      <c r="H35" s="3237">
        <v>3005</v>
      </c>
      <c r="I35" s="957" t="s">
        <v>4307</v>
      </c>
      <c r="J35" s="3270">
        <f>COUNTA(I35)</f>
        <v>1</v>
      </c>
      <c r="K35" s="958" t="s">
        <v>4280</v>
      </c>
      <c r="L35" s="1109">
        <v>32</v>
      </c>
      <c r="M35" s="3252">
        <v>150</v>
      </c>
      <c r="N35" s="3252">
        <f>SUM(M35)</f>
        <v>150</v>
      </c>
      <c r="O35" s="959"/>
      <c r="P35" s="960"/>
      <c r="Q35" s="960"/>
      <c r="R35" s="960"/>
      <c r="S35" s="960"/>
      <c r="T35" s="960"/>
      <c r="U35" s="960"/>
      <c r="V35" s="961"/>
      <c r="W35" s="961"/>
      <c r="X35" s="961"/>
      <c r="Y35" s="961"/>
      <c r="Z35" s="960"/>
      <c r="AA35" s="960"/>
      <c r="AB35" s="960"/>
      <c r="AC35" s="960"/>
      <c r="AD35" s="962"/>
      <c r="AE35" s="963">
        <v>660</v>
      </c>
      <c r="AF35" s="958" t="s">
        <v>3757</v>
      </c>
      <c r="AG35" s="959"/>
      <c r="AH35" s="960"/>
      <c r="AI35" s="960"/>
      <c r="AJ35" s="960"/>
      <c r="AK35" s="960"/>
      <c r="AL35" s="960"/>
      <c r="AM35" s="960"/>
      <c r="AN35" s="961"/>
      <c r="AO35" s="961"/>
      <c r="AP35" s="961"/>
      <c r="AQ35" s="961"/>
      <c r="AR35" s="960"/>
      <c r="AS35" s="960"/>
      <c r="AT35" s="960"/>
      <c r="AU35" s="960"/>
      <c r="AV35" s="962"/>
      <c r="AW35" s="963" t="s">
        <v>3757</v>
      </c>
      <c r="AX35" s="958" t="s">
        <v>3757</v>
      </c>
      <c r="AY35" s="964" t="s">
        <v>3757</v>
      </c>
      <c r="AZ35" s="965" t="s">
        <v>3757</v>
      </c>
      <c r="BA35" s="958" t="s">
        <v>3757</v>
      </c>
      <c r="BB35" s="965" t="s">
        <v>3757</v>
      </c>
      <c r="BC35" s="965" t="s">
        <v>3757</v>
      </c>
      <c r="BD35" s="966" t="s">
        <v>3757</v>
      </c>
      <c r="BE35" s="965" t="s">
        <v>3757</v>
      </c>
      <c r="BF35" s="958" t="s">
        <v>3757</v>
      </c>
      <c r="BG35" s="967" t="s">
        <v>3757</v>
      </c>
      <c r="BH35" s="967" t="s">
        <v>3757</v>
      </c>
      <c r="BI35" s="965" t="s">
        <v>3757</v>
      </c>
      <c r="BJ35" s="968"/>
      <c r="BK35" s="969"/>
      <c r="BL35" s="969"/>
      <c r="BM35" s="969"/>
      <c r="BN35" s="970"/>
      <c r="BO35" s="971"/>
      <c r="BP35" s="899"/>
      <c r="BQ35" s="899"/>
      <c r="BR35" s="899"/>
      <c r="BS35" s="899"/>
      <c r="BT35" s="899"/>
      <c r="BU35" s="899"/>
      <c r="BV35" s="899"/>
      <c r="BW35" s="899"/>
      <c r="BX35" s="899"/>
      <c r="BY35" s="899"/>
      <c r="BZ35" s="899"/>
      <c r="CA35" s="899"/>
      <c r="CB35" s="899"/>
      <c r="CC35" s="899"/>
      <c r="CD35" s="899"/>
      <c r="CE35" s="899"/>
      <c r="CF35" s="899"/>
      <c r="CG35" s="899"/>
      <c r="CH35" s="899"/>
    </row>
    <row r="36" spans="1:86" ht="37" customHeight="1">
      <c r="A36" s="6610"/>
      <c r="B36" s="6611"/>
      <c r="C36" s="6611"/>
      <c r="D36" s="3233" t="s">
        <v>3759</v>
      </c>
      <c r="E36" s="3234">
        <v>50</v>
      </c>
      <c r="F36" s="993" t="s">
        <v>3694</v>
      </c>
      <c r="G36" s="3237" t="s">
        <v>2647</v>
      </c>
      <c r="H36" s="3237">
        <v>3004</v>
      </c>
      <c r="I36" s="957" t="s">
        <v>4285</v>
      </c>
      <c r="J36" s="3271">
        <f>COUNTA(I36)</f>
        <v>1</v>
      </c>
      <c r="K36" s="958" t="s">
        <v>2661</v>
      </c>
      <c r="L36" s="1109">
        <v>32</v>
      </c>
      <c r="M36" s="3272">
        <v>50</v>
      </c>
      <c r="N36" s="3252">
        <f>SUM(M36)</f>
        <v>50</v>
      </c>
      <c r="O36" s="959"/>
      <c r="P36" s="960"/>
      <c r="Q36" s="960"/>
      <c r="R36" s="960"/>
      <c r="S36" s="960"/>
      <c r="T36" s="960"/>
      <c r="U36" s="960"/>
      <c r="V36" s="961"/>
      <c r="W36" s="961"/>
      <c r="X36" s="961"/>
      <c r="Y36" s="961"/>
      <c r="Z36" s="960"/>
      <c r="AA36" s="960"/>
      <c r="AB36" s="960"/>
      <c r="AC36" s="960"/>
      <c r="AD36" s="962"/>
      <c r="AE36" s="963" t="s">
        <v>3757</v>
      </c>
      <c r="AF36" s="958" t="s">
        <v>3757</v>
      </c>
      <c r="AG36" s="959"/>
      <c r="AH36" s="960"/>
      <c r="AI36" s="960"/>
      <c r="AJ36" s="960"/>
      <c r="AK36" s="960"/>
      <c r="AL36" s="960"/>
      <c r="AM36" s="960"/>
      <c r="AN36" s="961"/>
      <c r="AO36" s="961"/>
      <c r="AP36" s="961"/>
      <c r="AQ36" s="961"/>
      <c r="AR36" s="960"/>
      <c r="AS36" s="960"/>
      <c r="AT36" s="960"/>
      <c r="AU36" s="960"/>
      <c r="AV36" s="962"/>
      <c r="AW36" s="963" t="s">
        <v>3757</v>
      </c>
      <c r="AX36" s="958" t="s">
        <v>3757</v>
      </c>
      <c r="AY36" s="964" t="s">
        <v>3757</v>
      </c>
      <c r="AZ36" s="965" t="s">
        <v>3757</v>
      </c>
      <c r="BA36" s="958" t="s">
        <v>3757</v>
      </c>
      <c r="BB36" s="965" t="s">
        <v>3757</v>
      </c>
      <c r="BC36" s="965" t="s">
        <v>3757</v>
      </c>
      <c r="BD36" s="966" t="s">
        <v>3757</v>
      </c>
      <c r="BE36" s="965" t="s">
        <v>3757</v>
      </c>
      <c r="BF36" s="958" t="s">
        <v>3757</v>
      </c>
      <c r="BG36" s="967" t="s">
        <v>3757</v>
      </c>
      <c r="BH36" s="967" t="s">
        <v>3757</v>
      </c>
      <c r="BI36" s="965" t="s">
        <v>3757</v>
      </c>
      <c r="BJ36" s="968"/>
      <c r="BK36" s="969"/>
      <c r="BL36" s="969"/>
      <c r="BM36" s="969"/>
      <c r="BN36" s="970"/>
      <c r="BO36" s="971"/>
      <c r="BP36" s="899"/>
      <c r="BQ36" s="899"/>
      <c r="BR36" s="899"/>
      <c r="BS36" s="899"/>
      <c r="BT36" s="899"/>
      <c r="BU36" s="899"/>
      <c r="BV36" s="899"/>
      <c r="BW36" s="899"/>
      <c r="BX36" s="899"/>
      <c r="BY36" s="899"/>
      <c r="BZ36" s="899"/>
      <c r="CA36" s="899"/>
      <c r="CB36" s="899"/>
      <c r="CC36" s="899"/>
      <c r="CD36" s="899"/>
      <c r="CE36" s="899"/>
      <c r="CF36" s="897"/>
    </row>
    <row r="37" spans="1:86" ht="37" customHeight="1" thickBot="1">
      <c r="A37" s="6612"/>
      <c r="B37" s="6613"/>
      <c r="C37" s="6613"/>
      <c r="D37" s="3231" t="s">
        <v>2653</v>
      </c>
      <c r="E37" s="3232">
        <v>400</v>
      </c>
      <c r="F37" s="1009" t="s">
        <v>3694</v>
      </c>
      <c r="G37" s="3273" t="s">
        <v>2647</v>
      </c>
      <c r="H37" s="3273">
        <v>3006</v>
      </c>
      <c r="I37" s="1010" t="s">
        <v>4287</v>
      </c>
      <c r="J37" s="3274">
        <f>COUNTA(I37)</f>
        <v>1</v>
      </c>
      <c r="K37" s="1011" t="s">
        <v>4288</v>
      </c>
      <c r="L37" s="1021">
        <v>32</v>
      </c>
      <c r="M37" s="3275">
        <v>346</v>
      </c>
      <c r="N37" s="3275">
        <f>SUM(M37)</f>
        <v>346</v>
      </c>
      <c r="O37" s="942"/>
      <c r="P37" s="943"/>
      <c r="Q37" s="943"/>
      <c r="R37" s="943"/>
      <c r="S37" s="943"/>
      <c r="T37" s="943"/>
      <c r="U37" s="943"/>
      <c r="V37" s="944"/>
      <c r="W37" s="944"/>
      <c r="X37" s="944"/>
      <c r="Y37" s="944"/>
      <c r="Z37" s="943"/>
      <c r="AA37" s="943"/>
      <c r="AB37" s="943"/>
      <c r="AC37" s="943"/>
      <c r="AD37" s="945"/>
      <c r="AE37" s="1012">
        <v>706</v>
      </c>
      <c r="AF37" s="1013" t="s">
        <v>3757</v>
      </c>
      <c r="AG37" s="1014"/>
      <c r="AH37" s="1015"/>
      <c r="AI37" s="1015"/>
      <c r="AJ37" s="1015"/>
      <c r="AK37" s="1015"/>
      <c r="AL37" s="1015"/>
      <c r="AM37" s="1015"/>
      <c r="AN37" s="1016"/>
      <c r="AO37" s="1016"/>
      <c r="AP37" s="1016"/>
      <c r="AQ37" s="1016"/>
      <c r="AR37" s="1015"/>
      <c r="AS37" s="1015"/>
      <c r="AT37" s="1015"/>
      <c r="AU37" s="1015"/>
      <c r="AV37" s="1017"/>
      <c r="AW37" s="1012" t="s">
        <v>3757</v>
      </c>
      <c r="AX37" s="1013" t="s">
        <v>3757</v>
      </c>
      <c r="AY37" s="1018" t="s">
        <v>3757</v>
      </c>
      <c r="AZ37" s="1019" t="s">
        <v>3757</v>
      </c>
      <c r="BA37" s="1013" t="s">
        <v>3757</v>
      </c>
      <c r="BB37" s="1019" t="s">
        <v>3757</v>
      </c>
      <c r="BC37" s="1019" t="s">
        <v>3757</v>
      </c>
      <c r="BD37" s="1020" t="s">
        <v>3757</v>
      </c>
      <c r="BE37" s="1019" t="s">
        <v>3757</v>
      </c>
      <c r="BF37" s="1013" t="s">
        <v>3757</v>
      </c>
      <c r="BG37" s="1021" t="s">
        <v>3757</v>
      </c>
      <c r="BH37" s="1021" t="s">
        <v>3757</v>
      </c>
      <c r="BI37" s="1019" t="s">
        <v>3757</v>
      </c>
      <c r="BJ37" s="1022"/>
      <c r="BK37" s="1023"/>
      <c r="BL37" s="1023"/>
      <c r="BM37" s="1023"/>
      <c r="BN37" s="1024"/>
      <c r="BO37" s="3276" t="s">
        <v>4308</v>
      </c>
      <c r="BP37" s="899"/>
      <c r="BQ37" s="899"/>
      <c r="BR37" s="899"/>
      <c r="BS37" s="899"/>
      <c r="BT37" s="899"/>
      <c r="BU37" s="899"/>
      <c r="BV37" s="899"/>
      <c r="BW37" s="899"/>
      <c r="BX37" s="899"/>
      <c r="BY37" s="899"/>
      <c r="BZ37" s="899"/>
      <c r="CA37" s="899"/>
      <c r="CB37" s="899"/>
      <c r="CC37" s="899"/>
      <c r="CD37" s="899"/>
      <c r="CE37" s="899"/>
      <c r="CF37" s="899"/>
      <c r="CG37" s="899"/>
      <c r="CH37" s="899"/>
    </row>
    <row r="38" spans="1:86" ht="58.5" customHeight="1" thickTop="1">
      <c r="A38" s="3277"/>
      <c r="B38" s="3278"/>
      <c r="C38" s="3230"/>
      <c r="D38" s="3279" t="s">
        <v>3766</v>
      </c>
      <c r="E38" s="1043">
        <f>SUM(E9:E37)</f>
        <v>3000</v>
      </c>
      <c r="F38" s="1044"/>
      <c r="G38" s="1045"/>
      <c r="H38" s="1045"/>
      <c r="I38" s="1052"/>
      <c r="J38" s="3267">
        <f>SUM(J9:J37)</f>
        <v>29</v>
      </c>
      <c r="K38" s="1047"/>
      <c r="L38" s="1033"/>
      <c r="M38" s="1033"/>
      <c r="N38" s="1033">
        <f>SUM(N9:N37)</f>
        <v>2942</v>
      </c>
      <c r="O38" s="1034"/>
      <c r="P38" s="1034"/>
      <c r="Q38" s="1034"/>
      <c r="R38" s="1034"/>
      <c r="S38" s="1034"/>
      <c r="T38" s="1034"/>
      <c r="U38" s="1034"/>
      <c r="V38" s="1035"/>
      <c r="W38" s="1035"/>
      <c r="X38" s="1035"/>
      <c r="Y38" s="1035"/>
      <c r="Z38" s="1034"/>
      <c r="AA38" s="1034"/>
      <c r="AB38" s="1034"/>
      <c r="AC38" s="1034"/>
      <c r="AD38" s="1034"/>
      <c r="AE38" s="1043">
        <f>SUM(AE9:AE37)</f>
        <v>6309</v>
      </c>
      <c r="AF38" s="1043">
        <f>SUM(AF9:AF37)</f>
        <v>4941</v>
      </c>
      <c r="AG38" s="1034"/>
      <c r="AH38" s="1034"/>
      <c r="AI38" s="1034"/>
      <c r="AJ38" s="1034"/>
      <c r="AK38" s="1034"/>
      <c r="AL38" s="1034"/>
      <c r="AM38" s="1034"/>
      <c r="AN38" s="1035"/>
      <c r="AO38" s="1035"/>
      <c r="AP38" s="1035"/>
      <c r="AQ38" s="1035"/>
      <c r="AR38" s="1034"/>
      <c r="AS38" s="1034"/>
      <c r="AT38" s="1034"/>
      <c r="AU38" s="1034"/>
      <c r="AV38" s="1034"/>
      <c r="AW38" s="1043">
        <f>SUM(AW9:AW37)</f>
        <v>2511</v>
      </c>
      <c r="AX38" s="1043">
        <f>SUM(AX9:AX37)</f>
        <v>2573</v>
      </c>
      <c r="AY38" s="1048"/>
      <c r="AZ38" s="1047"/>
      <c r="BA38" s="1047"/>
      <c r="BB38" s="1047"/>
      <c r="BC38" s="1049"/>
      <c r="BD38" s="1049"/>
      <c r="BE38" s="1050"/>
      <c r="BF38" s="1051"/>
      <c r="BG38" s="1051"/>
      <c r="BH38" s="1047"/>
      <c r="BI38" s="1047"/>
      <c r="BJ38" s="1045"/>
      <c r="BK38" s="1045"/>
      <c r="BL38" s="1045"/>
      <c r="BM38" s="1045"/>
      <c r="BN38" s="1045"/>
      <c r="BO38" s="971"/>
      <c r="BP38" s="899"/>
      <c r="BQ38" s="899"/>
      <c r="BR38" s="899"/>
      <c r="BS38" s="899"/>
      <c r="BT38" s="899"/>
      <c r="BU38" s="899"/>
      <c r="BV38" s="899"/>
      <c r="BW38" s="899"/>
      <c r="BX38" s="899"/>
      <c r="BY38" s="899"/>
      <c r="BZ38" s="899"/>
      <c r="CA38" s="899"/>
      <c r="CB38" s="899"/>
      <c r="CC38" s="899"/>
      <c r="CD38" s="899"/>
      <c r="CE38" s="899"/>
      <c r="CF38" s="899"/>
      <c r="CG38" s="899"/>
      <c r="CH38" s="899"/>
    </row>
    <row r="39" spans="1:86" ht="10.75" customHeight="1">
      <c r="B39" s="1053"/>
      <c r="E39" s="893"/>
      <c r="K39" s="1054"/>
      <c r="L39" s="1054"/>
      <c r="M39" s="1054"/>
      <c r="N39" s="1054"/>
      <c r="AE39" s="1055"/>
      <c r="AF39" s="1056"/>
      <c r="AG39" s="1057"/>
      <c r="AH39" s="1057"/>
      <c r="AI39" s="1057"/>
      <c r="AJ39" s="1057"/>
      <c r="AK39" s="1057"/>
      <c r="AL39" s="1057"/>
      <c r="AM39" s="1057"/>
      <c r="AN39" s="1057"/>
      <c r="AO39" s="1057"/>
      <c r="AP39" s="1057"/>
      <c r="AQ39" s="1057"/>
      <c r="AR39" s="1057"/>
      <c r="AS39" s="1057"/>
      <c r="AT39" s="1057"/>
      <c r="AU39" s="1057"/>
      <c r="AV39" s="1055"/>
      <c r="AW39" s="1055"/>
      <c r="AX39" s="1056"/>
      <c r="AY39" s="889"/>
      <c r="AZ39" s="889"/>
      <c r="BA39" s="1054"/>
      <c r="BB39" s="889"/>
      <c r="BC39" s="1054"/>
      <c r="BD39" s="889"/>
      <c r="BE39" s="1054"/>
      <c r="BF39" s="889"/>
      <c r="BG39" s="1054"/>
      <c r="BH39" s="889"/>
      <c r="BI39" s="1054"/>
      <c r="BK39" s="1054"/>
      <c r="BM39" s="1054"/>
    </row>
    <row r="40" spans="1:86" ht="19.399999999999999" customHeight="1">
      <c r="B40" s="1060" t="s">
        <v>4290</v>
      </c>
    </row>
    <row r="41" spans="1:86" ht="19.399999999999999" customHeight="1">
      <c r="B41" s="1053" t="s">
        <v>4291</v>
      </c>
    </row>
    <row r="42" spans="1:86" ht="19.399999999999999" customHeight="1">
      <c r="B42" s="1053" t="s">
        <v>4292</v>
      </c>
    </row>
  </sheetData>
  <mergeCells count="23">
    <mergeCell ref="E31:E33"/>
    <mergeCell ref="J31:J33"/>
    <mergeCell ref="N31:N33"/>
    <mergeCell ref="BK7:BK8"/>
    <mergeCell ref="BL7:BL8"/>
    <mergeCell ref="BD7:BF7"/>
    <mergeCell ref="BJ7:BJ8"/>
    <mergeCell ref="BM7:BM8"/>
    <mergeCell ref="BN7:BN8"/>
    <mergeCell ref="A9:C37"/>
    <mergeCell ref="D9:D30"/>
    <mergeCell ref="E9:E30"/>
    <mergeCell ref="J9:J30"/>
    <mergeCell ref="N9:N30"/>
    <mergeCell ref="D31:D33"/>
    <mergeCell ref="A6:C8"/>
    <mergeCell ref="D6:D8"/>
    <mergeCell ref="E6:E7"/>
    <mergeCell ref="F6:BN6"/>
    <mergeCell ref="O7:AF7"/>
    <mergeCell ref="AG7:AY7"/>
    <mergeCell ref="AZ7:BA7"/>
    <mergeCell ref="BB7:BC7"/>
  </mergeCells>
  <phoneticPr fontId="2"/>
  <conditionalFormatting sqref="BI1:BN5 BJ7:BN7 BI7:BI8 BI9:BN38 BI40:BN1048576">
    <cfRule type="cellIs" dxfId="896" priority="1" operator="equal">
      <formula>"定義外"</formula>
    </cfRule>
  </conditionalFormatting>
  <pageMargins left="0.23622047244094491" right="0.23622047244094491" top="0.74803149606299213" bottom="0.74803149606299213" header="0.31496062992125984" footer="0.31496062992125984"/>
  <pageSetup paperSize="9" scale="37"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43D8-2D6E-4899-BF11-0CAD78F0668B}">
  <sheetPr codeName="Sheet239">
    <tabColor rgb="FF92D050"/>
    <pageSetUpPr fitToPage="1"/>
  </sheetPr>
  <dimension ref="A1:CO35"/>
  <sheetViews>
    <sheetView workbookViewId="0"/>
  </sheetViews>
  <sheetFormatPr defaultColWidth="9.54296875" defaultRowHeight="24.5"/>
  <cols>
    <col min="1" max="1" width="5.453125" style="1217" customWidth="1"/>
    <col min="2" max="2" width="8" style="1928" customWidth="1"/>
    <col min="3" max="3" width="34.1796875" style="1289" customWidth="1"/>
    <col min="4" max="4" width="8" style="1278" customWidth="1"/>
    <col min="5" max="5" width="8" style="1279" hidden="1" customWidth="1"/>
    <col min="6" max="6" width="10.1796875" style="1278" customWidth="1"/>
    <col min="7" max="10" width="12.54296875" style="1278" customWidth="1"/>
    <col min="11" max="11" width="10.453125" style="1278" hidden="1" customWidth="1"/>
    <col min="12" max="14" width="7.453125" style="1278" hidden="1" customWidth="1"/>
    <col min="15" max="15" width="10.1796875" style="1278" hidden="1" customWidth="1"/>
    <col min="16" max="16" width="6.1796875" style="1278" hidden="1" customWidth="1"/>
    <col min="17" max="19" width="3.81640625" style="1278" hidden="1" customWidth="1"/>
    <col min="20" max="20" width="6.81640625" style="1278" hidden="1" customWidth="1"/>
    <col min="21" max="23" width="6.1796875" style="1278" hidden="1" customWidth="1"/>
    <col min="24" max="24" width="6.81640625" style="1278" hidden="1" customWidth="1"/>
    <col min="25" max="25" width="6.1796875" style="1278" hidden="1" customWidth="1"/>
    <col min="26" max="30" width="12.54296875" style="1278" hidden="1" customWidth="1"/>
    <col min="31" max="31" width="8.453125" style="1278" hidden="1" customWidth="1"/>
    <col min="32" max="32" width="12.54296875" style="1278" hidden="1" customWidth="1"/>
    <col min="33" max="34" width="39" style="1289" hidden="1" customWidth="1"/>
    <col min="35" max="35" width="13.1796875" style="1290" hidden="1" customWidth="1"/>
    <col min="36" max="36" width="3" style="1278" hidden="1" customWidth="1"/>
    <col min="37" max="37" width="14" style="1278" customWidth="1"/>
    <col min="38" max="38" width="6.54296875" style="1278" customWidth="1"/>
    <col min="39" max="39" width="7.7265625" style="1279" hidden="1" customWidth="1"/>
    <col min="40" max="40" width="13.7265625" style="1279" hidden="1" customWidth="1"/>
    <col min="41" max="41" width="13.1796875" style="1278" hidden="1" customWidth="1"/>
    <col min="42" max="42" width="7.7265625" style="1288" customWidth="1"/>
    <col min="43" max="47" width="7.7265625" style="1217" customWidth="1"/>
    <col min="48" max="48" width="7.7265625" style="1217" hidden="1" customWidth="1"/>
    <col min="49" max="49" width="7.7265625" style="1930" customWidth="1"/>
    <col min="50" max="50" width="7.7265625" style="1288" customWidth="1"/>
    <col min="51" max="55" width="7.7265625" style="1217" customWidth="1"/>
    <col min="56" max="56" width="7.7265625" style="2280" hidden="1" customWidth="1"/>
    <col min="57" max="57" width="7.7265625" style="1930" customWidth="1"/>
    <col min="58" max="58" width="14.1796875" style="2755" customWidth="1"/>
    <col min="59" max="59" width="34.1796875" style="1289" customWidth="1"/>
    <col min="60" max="60" width="14.7265625" style="1278" customWidth="1"/>
    <col min="61" max="61" width="11.453125" style="1178" customWidth="1"/>
    <col min="62" max="16384" width="9.54296875" style="1217"/>
  </cols>
  <sheetData>
    <row r="1" spans="1:93" s="1178" customFormat="1" ht="25.15" customHeight="1">
      <c r="B1" s="1920" t="s">
        <v>4309</v>
      </c>
      <c r="C1" s="1179"/>
      <c r="D1" s="1174"/>
      <c r="E1" s="1181"/>
      <c r="F1" s="1175"/>
      <c r="G1" s="1175"/>
      <c r="H1" s="1175"/>
      <c r="I1" s="1175"/>
      <c r="J1" s="1175"/>
      <c r="K1" s="1175"/>
      <c r="L1" s="1175"/>
      <c r="M1" s="1175"/>
      <c r="N1" s="1175"/>
      <c r="O1" s="1175"/>
      <c r="P1" s="1175"/>
      <c r="Q1" s="1175"/>
      <c r="R1" s="1175"/>
      <c r="S1" s="1175"/>
      <c r="T1" s="1175"/>
      <c r="U1" s="1175"/>
      <c r="V1" s="1175"/>
      <c r="W1" s="1175"/>
      <c r="X1" s="1175"/>
      <c r="Y1" s="1175"/>
      <c r="Z1" s="1181"/>
      <c r="AA1" s="1175"/>
      <c r="AB1" s="1175"/>
      <c r="AC1" s="1175"/>
      <c r="AD1" s="1175"/>
      <c r="AE1" s="1175"/>
      <c r="AF1" s="1182" t="s">
        <v>4310</v>
      </c>
      <c r="AG1" s="1179"/>
      <c r="AH1" s="1179"/>
      <c r="AI1" s="1180"/>
      <c r="AJ1" s="1175"/>
      <c r="AK1" s="1175"/>
      <c r="AL1" s="1175"/>
      <c r="AM1" s="1176"/>
      <c r="AN1" s="1176"/>
      <c r="AO1" s="1175"/>
      <c r="AP1" s="1177"/>
      <c r="AW1" s="1929"/>
      <c r="AX1" s="1177"/>
      <c r="BD1" s="2278"/>
      <c r="BE1" s="1929"/>
      <c r="BF1" s="2764" t="s">
        <v>2547</v>
      </c>
      <c r="BG1" s="1179"/>
      <c r="BH1" s="1175"/>
    </row>
    <row r="2" spans="1:93" s="1185" customFormat="1" ht="38.5" customHeight="1" thickBot="1">
      <c r="A2" s="1363"/>
      <c r="B2" s="6688" t="s">
        <v>4311</v>
      </c>
      <c r="C2" s="6688"/>
      <c r="D2" s="6688"/>
      <c r="E2" s="6688"/>
      <c r="F2" s="6688"/>
      <c r="G2" s="6688"/>
      <c r="H2" s="6688"/>
      <c r="I2" s="6688"/>
      <c r="J2" s="6688"/>
      <c r="K2" s="1365"/>
      <c r="L2" s="1365"/>
      <c r="M2" s="1365"/>
      <c r="N2" s="1365"/>
      <c r="O2" s="1365"/>
      <c r="P2" s="1366"/>
      <c r="Q2" s="1364" t="s">
        <v>4312</v>
      </c>
      <c r="R2" s="1365"/>
      <c r="S2" s="1366"/>
      <c r="T2" s="1364" t="s">
        <v>4313</v>
      </c>
      <c r="U2" s="1365"/>
      <c r="V2" s="1365"/>
      <c r="W2" s="1365"/>
      <c r="X2" s="1365"/>
      <c r="Y2" s="1365"/>
      <c r="Z2" s="1365"/>
      <c r="AA2" s="1365"/>
      <c r="AB2" s="1365"/>
      <c r="AC2" s="1365"/>
      <c r="AD2" s="1365"/>
      <c r="AE2" s="1365"/>
      <c r="AF2" s="1366"/>
      <c r="AG2" s="1373" t="s">
        <v>3229</v>
      </c>
      <c r="AH2" s="1374"/>
      <c r="AI2" s="1367" t="s">
        <v>4314</v>
      </c>
      <c r="AJ2" s="1381" t="s">
        <v>4315</v>
      </c>
      <c r="AK2" s="1377"/>
      <c r="AL2" s="1367"/>
      <c r="AM2" s="1364" t="s">
        <v>4316</v>
      </c>
      <c r="AN2" s="1366"/>
      <c r="AO2" s="1367"/>
      <c r="AP2" s="6686" t="s">
        <v>4317</v>
      </c>
      <c r="AQ2" s="6686"/>
      <c r="AR2" s="6686"/>
      <c r="AS2" s="6686"/>
      <c r="AT2" s="6686"/>
      <c r="AU2" s="6686"/>
      <c r="AV2" s="6686"/>
      <c r="AW2" s="6686"/>
      <c r="AX2" s="6687" t="s">
        <v>4318</v>
      </c>
      <c r="AY2" s="6687"/>
      <c r="AZ2" s="6687"/>
      <c r="BA2" s="6687"/>
      <c r="BB2" s="6687"/>
      <c r="BC2" s="6687"/>
      <c r="BD2" s="6687"/>
      <c r="BE2" s="1915"/>
      <c r="BF2" s="2763"/>
      <c r="BG2" s="1362" t="s">
        <v>4319</v>
      </c>
      <c r="BH2" s="1367"/>
      <c r="BI2" s="1372"/>
      <c r="BN2" s="1363"/>
      <c r="BO2" s="1363"/>
      <c r="BP2" s="1363"/>
      <c r="BQ2" s="1363"/>
      <c r="BR2" s="1363"/>
      <c r="BS2" s="1363"/>
      <c r="BT2" s="1363"/>
      <c r="BU2" s="1363"/>
      <c r="BV2" s="1363"/>
      <c r="BW2" s="1363"/>
      <c r="BX2" s="1363"/>
      <c r="BY2" s="1363"/>
      <c r="BZ2" s="1363"/>
      <c r="CA2" s="1363"/>
      <c r="CB2" s="1363"/>
      <c r="CC2" s="1363"/>
      <c r="CD2" s="1363"/>
      <c r="CE2" s="1363"/>
      <c r="CF2" s="1363"/>
      <c r="CG2" s="1363"/>
      <c r="CH2" s="1363"/>
      <c r="CI2" s="1363"/>
      <c r="CJ2" s="1363"/>
      <c r="CK2" s="1363"/>
      <c r="CL2" s="1363"/>
      <c r="CM2" s="1363"/>
      <c r="CN2" s="1363"/>
      <c r="CO2" s="1363"/>
    </row>
    <row r="3" spans="1:93" s="1185" customFormat="1" ht="82" thickTop="1" thickBot="1">
      <c r="A3" s="1363"/>
      <c r="B3" s="1921" t="s">
        <v>0</v>
      </c>
      <c r="C3" s="1397" t="s">
        <v>1</v>
      </c>
      <c r="D3" s="1361" t="s">
        <v>2911</v>
      </c>
      <c r="E3" s="1378" t="s">
        <v>2893</v>
      </c>
      <c r="F3" s="1354" t="s">
        <v>4320</v>
      </c>
      <c r="G3" s="1392" t="s">
        <v>4321</v>
      </c>
      <c r="H3" s="1393" t="s">
        <v>4322</v>
      </c>
      <c r="I3" s="1394" t="s">
        <v>4323</v>
      </c>
      <c r="J3" s="1354" t="s">
        <v>4324</v>
      </c>
      <c r="K3" s="1384" t="s">
        <v>2894</v>
      </c>
      <c r="L3" s="1367" t="s">
        <v>2895</v>
      </c>
      <c r="M3" s="1367" t="s">
        <v>2896</v>
      </c>
      <c r="N3" s="1367" t="s">
        <v>2897</v>
      </c>
      <c r="O3" s="1367" t="s">
        <v>2898</v>
      </c>
      <c r="P3" s="1367" t="s">
        <v>2899</v>
      </c>
      <c r="Q3" s="1379" t="s">
        <v>2900</v>
      </c>
      <c r="R3" s="1383" t="s">
        <v>2901</v>
      </c>
      <c r="S3" s="1380" t="s">
        <v>2902</v>
      </c>
      <c r="T3" s="1367" t="s">
        <v>2903</v>
      </c>
      <c r="U3" s="1371" t="s">
        <v>4325</v>
      </c>
      <c r="V3" s="1368"/>
      <c r="W3" s="1364" t="s">
        <v>4326</v>
      </c>
      <c r="X3" s="1365"/>
      <c r="Y3" s="1366"/>
      <c r="Z3" s="1364" t="s">
        <v>2904</v>
      </c>
      <c r="AA3" s="1365"/>
      <c r="AB3" s="1365"/>
      <c r="AC3" s="1366"/>
      <c r="AD3" s="1364" t="s">
        <v>2905</v>
      </c>
      <c r="AE3" s="1365"/>
      <c r="AF3" s="1366"/>
      <c r="AG3" s="1385"/>
      <c r="AH3" s="1386"/>
      <c r="AI3" s="1378"/>
      <c r="AJ3" s="1382"/>
      <c r="AK3" s="1398" t="s">
        <v>4327</v>
      </c>
      <c r="AL3" s="1399" t="s">
        <v>4328</v>
      </c>
      <c r="AM3" s="1352" t="s">
        <v>2891</v>
      </c>
      <c r="AN3" s="1353" t="s">
        <v>2892</v>
      </c>
      <c r="AO3" s="1399" t="s">
        <v>4329</v>
      </c>
      <c r="AP3" s="1401" t="s">
        <v>2907</v>
      </c>
      <c r="AQ3" s="1402" t="s">
        <v>2908</v>
      </c>
      <c r="AR3" s="1402" t="s">
        <v>2909</v>
      </c>
      <c r="AS3" s="1403" t="s">
        <v>2906</v>
      </c>
      <c r="AT3" s="1404" t="s">
        <v>2432</v>
      </c>
      <c r="AU3" s="2281" t="s">
        <v>2910</v>
      </c>
      <c r="AV3" s="2282" t="s">
        <v>4330</v>
      </c>
      <c r="AW3" s="1921" t="s">
        <v>4331</v>
      </c>
      <c r="AX3" s="1405" t="s">
        <v>2907</v>
      </c>
      <c r="AY3" s="1406" t="s">
        <v>2908</v>
      </c>
      <c r="AZ3" s="1406" t="s">
        <v>2909</v>
      </c>
      <c r="BA3" s="1407" t="s">
        <v>2906</v>
      </c>
      <c r="BB3" s="1408" t="s">
        <v>2432</v>
      </c>
      <c r="BC3" s="1409" t="s">
        <v>2910</v>
      </c>
      <c r="BD3" s="2283" t="s">
        <v>4330</v>
      </c>
      <c r="BE3" s="1921" t="s">
        <v>4331</v>
      </c>
      <c r="BF3" s="2762" t="s">
        <v>2551</v>
      </c>
      <c r="BG3" s="1360" t="s">
        <v>4332</v>
      </c>
      <c r="BH3" s="1399" t="s">
        <v>3229</v>
      </c>
      <c r="BI3" s="1372"/>
      <c r="BN3" s="1363"/>
      <c r="BO3" s="1363"/>
      <c r="BP3" s="1363"/>
      <c r="BQ3" s="1363"/>
      <c r="BR3" s="1363"/>
      <c r="BS3" s="1363"/>
      <c r="BT3" s="1363"/>
      <c r="BU3" s="1363"/>
      <c r="BV3" s="1363"/>
      <c r="BW3" s="1363"/>
      <c r="BX3" s="1363"/>
      <c r="BY3" s="1363"/>
      <c r="BZ3" s="1363"/>
      <c r="CA3" s="1363"/>
      <c r="CB3" s="1363"/>
      <c r="CC3" s="1363"/>
      <c r="CD3" s="1363"/>
      <c r="CE3" s="1363"/>
      <c r="CF3" s="1363"/>
      <c r="CG3" s="1363"/>
      <c r="CH3" s="1363"/>
      <c r="CI3" s="1363"/>
      <c r="CJ3" s="1363"/>
      <c r="CK3" s="1363"/>
      <c r="CL3" s="1363"/>
      <c r="CM3" s="1363"/>
      <c r="CN3" s="1363"/>
      <c r="CO3" s="1363"/>
    </row>
    <row r="4" spans="1:93" ht="70.5" customHeight="1" thickTop="1">
      <c r="B4" s="1922">
        <v>24</v>
      </c>
      <c r="C4" s="1260" t="s">
        <v>2958</v>
      </c>
      <c r="D4" s="1225" t="s">
        <v>4333</v>
      </c>
      <c r="E4" s="1207" t="s">
        <v>2959</v>
      </c>
      <c r="F4" s="1241" t="s">
        <v>4334</v>
      </c>
      <c r="G4" s="1234" t="s">
        <v>4335</v>
      </c>
      <c r="H4" s="1206">
        <v>322</v>
      </c>
      <c r="I4" s="1234" t="s">
        <v>4336</v>
      </c>
      <c r="J4" s="1206">
        <v>243</v>
      </c>
      <c r="K4" s="1207" t="s">
        <v>4337</v>
      </c>
      <c r="L4" s="1208" t="s">
        <v>2960</v>
      </c>
      <c r="M4" s="1209" t="s">
        <v>2960</v>
      </c>
      <c r="N4" s="1208" t="s">
        <v>2961</v>
      </c>
      <c r="O4" s="1208" t="s">
        <v>2962</v>
      </c>
      <c r="P4" s="1208">
        <v>122</v>
      </c>
      <c r="Q4" s="1205" t="s">
        <v>2963</v>
      </c>
      <c r="R4" s="1210" t="s">
        <v>2963</v>
      </c>
      <c r="S4" s="1206" t="s">
        <v>2963</v>
      </c>
      <c r="T4" s="1211" t="s">
        <v>2964</v>
      </c>
      <c r="U4" s="1205">
        <v>6</v>
      </c>
      <c r="V4" s="1206">
        <v>3</v>
      </c>
      <c r="W4" s="1205">
        <v>2</v>
      </c>
      <c r="X4" s="1210">
        <v>88</v>
      </c>
      <c r="Y4" s="1206">
        <v>15</v>
      </c>
      <c r="Z4" s="1205" t="s">
        <v>2965</v>
      </c>
      <c r="AA4" s="1242" t="s">
        <v>2966</v>
      </c>
      <c r="AB4" s="1243" t="s">
        <v>2967</v>
      </c>
      <c r="AC4" s="1206" t="s">
        <v>2968</v>
      </c>
      <c r="AD4" s="1205">
        <v>80</v>
      </c>
      <c r="AE4" s="1210" t="s">
        <v>2969</v>
      </c>
      <c r="AF4" s="1206">
        <v>125</v>
      </c>
      <c r="AG4" s="1356" t="s">
        <v>4338</v>
      </c>
      <c r="AH4" s="1356" t="s">
        <v>4339</v>
      </c>
      <c r="AI4" s="1322" t="s">
        <v>4340</v>
      </c>
      <c r="AJ4" s="1189" t="s">
        <v>4341</v>
      </c>
      <c r="AK4" s="1355" t="s">
        <v>2178</v>
      </c>
      <c r="AL4" s="1190" t="s">
        <v>2973</v>
      </c>
      <c r="AM4" s="1191" t="s">
        <v>3082</v>
      </c>
      <c r="AN4" s="1192" t="s">
        <v>3083</v>
      </c>
      <c r="AO4" s="1193" t="s">
        <v>2937</v>
      </c>
      <c r="AP4" s="1235">
        <v>25</v>
      </c>
      <c r="AQ4" s="1201">
        <v>38</v>
      </c>
      <c r="AR4" s="1395">
        <v>137</v>
      </c>
      <c r="AS4" s="1396">
        <v>84</v>
      </c>
      <c r="AT4" s="1309">
        <f t="shared" ref="AT4:AT30" si="0">SUM(AQ4:AS4)</f>
        <v>259</v>
      </c>
      <c r="AU4" s="1359">
        <v>25</v>
      </c>
      <c r="AV4" s="1235">
        <f>AT4+AU4</f>
        <v>284</v>
      </c>
      <c r="AW4" s="1931">
        <f>AT4+AU4</f>
        <v>284</v>
      </c>
      <c r="AX4" s="1194">
        <v>25</v>
      </c>
      <c r="AY4" s="1195">
        <v>36</v>
      </c>
      <c r="AZ4" s="1196">
        <v>119</v>
      </c>
      <c r="BA4" s="1197">
        <v>78</v>
      </c>
      <c r="BB4" s="1198">
        <f t="shared" ref="BB4:BB30" si="1">SUM(AY4:BA4)</f>
        <v>233</v>
      </c>
      <c r="BC4" s="1199">
        <v>25</v>
      </c>
      <c r="BD4" s="1219">
        <f>BB4+BC4</f>
        <v>258</v>
      </c>
      <c r="BE4" s="1931">
        <f>BB4+BC4</f>
        <v>258</v>
      </c>
      <c r="BF4" s="2761">
        <v>18</v>
      </c>
      <c r="BG4" s="1400" t="s">
        <v>4342</v>
      </c>
      <c r="BH4" s="1235" t="s">
        <v>4016</v>
      </c>
    </row>
    <row r="5" spans="1:93" ht="55.5" customHeight="1">
      <c r="B5" s="1922">
        <v>40</v>
      </c>
      <c r="C5" s="1202" t="s">
        <v>3003</v>
      </c>
      <c r="D5" s="1225" t="s">
        <v>2933</v>
      </c>
      <c r="E5" s="1203" t="s">
        <v>3004</v>
      </c>
      <c r="F5" s="1204" t="s">
        <v>4343</v>
      </c>
      <c r="G5" s="1205">
        <v>700</v>
      </c>
      <c r="H5" s="1206">
        <v>662</v>
      </c>
      <c r="I5" s="1205">
        <v>500</v>
      </c>
      <c r="J5" s="1206">
        <v>460</v>
      </c>
      <c r="K5" s="1207" t="s">
        <v>3005</v>
      </c>
      <c r="L5" s="1208" t="s">
        <v>2989</v>
      </c>
      <c r="M5" s="1208" t="s">
        <v>2989</v>
      </c>
      <c r="N5" s="1208" t="s">
        <v>2989</v>
      </c>
      <c r="O5" s="1208" t="s">
        <v>2978</v>
      </c>
      <c r="P5" s="1208">
        <v>160</v>
      </c>
      <c r="Q5" s="1205" t="s">
        <v>2979</v>
      </c>
      <c r="R5" s="1210" t="s">
        <v>2979</v>
      </c>
      <c r="S5" s="1206" t="s">
        <v>2979</v>
      </c>
      <c r="T5" s="1211" t="s">
        <v>2991</v>
      </c>
      <c r="U5" s="1205">
        <v>4</v>
      </c>
      <c r="V5" s="1206">
        <v>4</v>
      </c>
      <c r="W5" s="1205">
        <v>7</v>
      </c>
      <c r="X5" s="1212">
        <v>118</v>
      </c>
      <c r="Y5" s="1213">
        <v>20</v>
      </c>
      <c r="Z5" s="1216" t="s">
        <v>3006</v>
      </c>
      <c r="AA5" s="1226" t="s">
        <v>3007</v>
      </c>
      <c r="AB5" s="1227" t="s">
        <v>3008</v>
      </c>
      <c r="AC5" s="1213" t="s">
        <v>2968</v>
      </c>
      <c r="AD5" s="1216" t="s">
        <v>3009</v>
      </c>
      <c r="AE5" s="1212" t="s">
        <v>2969</v>
      </c>
      <c r="AF5" s="1213">
        <v>145</v>
      </c>
      <c r="AG5" s="1356" t="s">
        <v>4344</v>
      </c>
      <c r="AH5" s="1356" t="s">
        <v>4345</v>
      </c>
      <c r="AI5" s="1322"/>
      <c r="AJ5" s="1236" t="s">
        <v>4341</v>
      </c>
      <c r="AK5" s="1351" t="s">
        <v>2998</v>
      </c>
      <c r="AL5" s="1349" t="s">
        <v>2999</v>
      </c>
      <c r="AM5" s="1238" t="s">
        <v>2138</v>
      </c>
      <c r="AN5" s="1239" t="s">
        <v>3000</v>
      </c>
      <c r="AO5" s="1240" t="s">
        <v>2946</v>
      </c>
      <c r="AP5" s="1219">
        <v>21</v>
      </c>
      <c r="AQ5" s="1220">
        <v>65</v>
      </c>
      <c r="AR5" s="1221">
        <v>219</v>
      </c>
      <c r="AS5" s="1222">
        <v>136</v>
      </c>
      <c r="AT5" s="1223">
        <f t="shared" si="0"/>
        <v>420</v>
      </c>
      <c r="AU5" s="1224">
        <v>21</v>
      </c>
      <c r="AV5" s="1219">
        <f t="shared" ref="AV5:AV30" si="2">AT5+AU5</f>
        <v>441</v>
      </c>
      <c r="AW5" s="1931">
        <f t="shared" ref="AW5:AW30" si="3">AT5+AU5</f>
        <v>441</v>
      </c>
      <c r="AX5" s="1219">
        <v>23</v>
      </c>
      <c r="AY5" s="1220">
        <v>66</v>
      </c>
      <c r="AZ5" s="1221">
        <v>208</v>
      </c>
      <c r="BA5" s="1222">
        <v>138</v>
      </c>
      <c r="BB5" s="1223">
        <f t="shared" si="1"/>
        <v>412</v>
      </c>
      <c r="BC5" s="1224">
        <v>21</v>
      </c>
      <c r="BD5" s="1219">
        <f t="shared" ref="BD5:BD30" si="4">BB5+BC5</f>
        <v>433</v>
      </c>
      <c r="BE5" s="1931">
        <f t="shared" ref="BE5:BE30" si="5">BB5+BC5</f>
        <v>433</v>
      </c>
      <c r="BF5" s="2760">
        <v>18</v>
      </c>
      <c r="BG5" s="1341" t="s">
        <v>4342</v>
      </c>
      <c r="BH5" s="1200" t="s">
        <v>4341</v>
      </c>
    </row>
    <row r="6" spans="1:93" ht="55.5" customHeight="1">
      <c r="B6" s="1923">
        <v>64</v>
      </c>
      <c r="C6" s="1419" t="s">
        <v>2672</v>
      </c>
      <c r="D6" s="1418" t="s">
        <v>2933</v>
      </c>
      <c r="E6" s="1420" t="s">
        <v>3011</v>
      </c>
      <c r="F6" s="1421" t="s">
        <v>2969</v>
      </c>
      <c r="G6" s="1422">
        <v>265</v>
      </c>
      <c r="H6" s="1423">
        <v>265</v>
      </c>
      <c r="I6" s="1422">
        <v>170</v>
      </c>
      <c r="J6" s="1423">
        <v>170</v>
      </c>
      <c r="K6" s="1424" t="s">
        <v>4346</v>
      </c>
      <c r="L6" s="1425" t="s">
        <v>2989</v>
      </c>
      <c r="M6" s="1426" t="s">
        <v>2988</v>
      </c>
      <c r="N6" s="1426" t="s">
        <v>2989</v>
      </c>
      <c r="O6" s="1425" t="s">
        <v>2990</v>
      </c>
      <c r="P6" s="1425">
        <v>100</v>
      </c>
      <c r="Q6" s="1422" t="s">
        <v>2979</v>
      </c>
      <c r="R6" s="1427" t="s">
        <v>2979</v>
      </c>
      <c r="S6" s="1423" t="s">
        <v>2979</v>
      </c>
      <c r="T6" s="1358" t="s">
        <v>3012</v>
      </c>
      <c r="U6" s="1422">
        <v>1</v>
      </c>
      <c r="V6" s="1423">
        <v>1</v>
      </c>
      <c r="W6" s="1422">
        <v>2</v>
      </c>
      <c r="X6" s="1428">
        <v>98</v>
      </c>
      <c r="Y6" s="1429">
        <v>20</v>
      </c>
      <c r="Z6" s="1430" t="s">
        <v>2980</v>
      </c>
      <c r="AA6" s="1431" t="s">
        <v>2981</v>
      </c>
      <c r="AB6" s="1432" t="s">
        <v>2982</v>
      </c>
      <c r="AC6" s="1429" t="s">
        <v>2983</v>
      </c>
      <c r="AD6" s="1433" t="s">
        <v>2984</v>
      </c>
      <c r="AE6" s="1428" t="s">
        <v>2969</v>
      </c>
      <c r="AF6" s="1429" t="s">
        <v>2985</v>
      </c>
      <c r="AG6" s="1343" t="s">
        <v>4347</v>
      </c>
      <c r="AH6" s="1343" t="s">
        <v>4348</v>
      </c>
      <c r="AI6" s="1375"/>
      <c r="AJ6" s="1236" t="s">
        <v>4341</v>
      </c>
      <c r="AK6" s="1345" t="s">
        <v>2935</v>
      </c>
      <c r="AL6" s="1349" t="s">
        <v>2930</v>
      </c>
      <c r="AM6" s="1238" t="s">
        <v>2138</v>
      </c>
      <c r="AN6" s="1239" t="s">
        <v>2936</v>
      </c>
      <c r="AO6" s="1340" t="s">
        <v>2937</v>
      </c>
      <c r="AP6" s="1434">
        <v>13</v>
      </c>
      <c r="AQ6" s="1435">
        <v>44</v>
      </c>
      <c r="AR6" s="1436">
        <v>41</v>
      </c>
      <c r="AS6" s="1437">
        <v>41</v>
      </c>
      <c r="AT6" s="1438">
        <f t="shared" si="0"/>
        <v>126</v>
      </c>
      <c r="AU6" s="1411">
        <v>13</v>
      </c>
      <c r="AV6" s="1434">
        <f t="shared" si="2"/>
        <v>139</v>
      </c>
      <c r="AW6" s="1932">
        <f>AT6+AU6+AT7+AU7</f>
        <v>211</v>
      </c>
      <c r="AX6" s="1434">
        <v>13</v>
      </c>
      <c r="AY6" s="1435">
        <v>41</v>
      </c>
      <c r="AZ6" s="1436">
        <v>34</v>
      </c>
      <c r="BA6" s="1437">
        <v>38</v>
      </c>
      <c r="BB6" s="1438">
        <f t="shared" si="1"/>
        <v>113</v>
      </c>
      <c r="BC6" s="1411">
        <v>13</v>
      </c>
      <c r="BD6" s="1434">
        <f t="shared" si="4"/>
        <v>126</v>
      </c>
      <c r="BE6" s="1932">
        <f>BB6+BC6+BB7+BC7</f>
        <v>193</v>
      </c>
      <c r="BF6" s="2759">
        <v>18</v>
      </c>
      <c r="BG6" s="1439" t="s">
        <v>4342</v>
      </c>
      <c r="BH6" s="1440" t="s">
        <v>4349</v>
      </c>
      <c r="BK6" s="1178"/>
      <c r="BL6" s="1178"/>
      <c r="BM6" s="1178"/>
      <c r="BN6" s="1178"/>
      <c r="BO6" s="1178"/>
      <c r="BP6" s="1178"/>
      <c r="BQ6" s="1178"/>
      <c r="BR6" s="1178"/>
      <c r="BS6" s="1178"/>
      <c r="BT6" s="1178"/>
      <c r="BU6" s="1178"/>
      <c r="BV6" s="1178"/>
      <c r="BW6" s="1178"/>
    </row>
    <row r="7" spans="1:93" ht="55.5" customHeight="1">
      <c r="B7" s="2244">
        <v>64</v>
      </c>
      <c r="C7" s="2226" t="s">
        <v>2672</v>
      </c>
      <c r="D7" s="2227" t="s">
        <v>4333</v>
      </c>
      <c r="E7" s="2228" t="s">
        <v>3011</v>
      </c>
      <c r="F7" s="2243" t="s">
        <v>2969</v>
      </c>
      <c r="G7" s="2230">
        <v>265</v>
      </c>
      <c r="H7" s="2239">
        <v>265</v>
      </c>
      <c r="I7" s="2230">
        <v>170</v>
      </c>
      <c r="J7" s="2239">
        <v>170</v>
      </c>
      <c r="K7" s="1444" t="s">
        <v>4346</v>
      </c>
      <c r="L7" s="1445" t="s">
        <v>2989</v>
      </c>
      <c r="M7" s="1446" t="s">
        <v>2988</v>
      </c>
      <c r="N7" s="1446" t="s">
        <v>2989</v>
      </c>
      <c r="O7" s="1445" t="s">
        <v>2990</v>
      </c>
      <c r="P7" s="1445">
        <v>100</v>
      </c>
      <c r="Q7" s="1442" t="s">
        <v>2979</v>
      </c>
      <c r="R7" s="1447" t="s">
        <v>2979</v>
      </c>
      <c r="S7" s="1443" t="s">
        <v>2979</v>
      </c>
      <c r="T7" s="1448" t="s">
        <v>3012</v>
      </c>
      <c r="U7" s="1442">
        <v>1</v>
      </c>
      <c r="V7" s="1443">
        <v>1</v>
      </c>
      <c r="W7" s="1442">
        <v>2</v>
      </c>
      <c r="X7" s="1449">
        <v>98</v>
      </c>
      <c r="Y7" s="1450">
        <v>20</v>
      </c>
      <c r="Z7" s="1451" t="s">
        <v>2980</v>
      </c>
      <c r="AA7" s="1452" t="s">
        <v>2981</v>
      </c>
      <c r="AB7" s="1453" t="s">
        <v>2982</v>
      </c>
      <c r="AC7" s="1450" t="s">
        <v>2983</v>
      </c>
      <c r="AD7" s="1454" t="s">
        <v>2984</v>
      </c>
      <c r="AE7" s="1449" t="s">
        <v>2969</v>
      </c>
      <c r="AF7" s="1450" t="s">
        <v>2985</v>
      </c>
      <c r="AG7" s="1455" t="s">
        <v>4347</v>
      </c>
      <c r="AH7" s="1455" t="s">
        <v>4348</v>
      </c>
      <c r="AI7" s="1456"/>
      <c r="AJ7" s="1457" t="s">
        <v>4341</v>
      </c>
      <c r="AK7" s="1458" t="s">
        <v>2939</v>
      </c>
      <c r="AL7" s="1459" t="s">
        <v>2930</v>
      </c>
      <c r="AM7" s="1460" t="s">
        <v>2138</v>
      </c>
      <c r="AN7" s="1461" t="s">
        <v>2940</v>
      </c>
      <c r="AO7" s="1462" t="s">
        <v>2937</v>
      </c>
      <c r="AP7" s="1463">
        <v>10</v>
      </c>
      <c r="AQ7" s="1464">
        <v>29</v>
      </c>
      <c r="AR7" s="1465">
        <v>13</v>
      </c>
      <c r="AS7" s="1466">
        <v>20</v>
      </c>
      <c r="AT7" s="1467">
        <f t="shared" si="0"/>
        <v>62</v>
      </c>
      <c r="AU7" s="1468">
        <v>10</v>
      </c>
      <c r="AV7" s="1479">
        <f t="shared" si="2"/>
        <v>72</v>
      </c>
      <c r="AW7" s="1933"/>
      <c r="AX7" s="1463">
        <v>10</v>
      </c>
      <c r="AY7" s="1464">
        <v>28</v>
      </c>
      <c r="AZ7" s="1465">
        <v>10</v>
      </c>
      <c r="BA7" s="1466">
        <v>19</v>
      </c>
      <c r="BB7" s="1467">
        <f t="shared" si="1"/>
        <v>57</v>
      </c>
      <c r="BC7" s="1468">
        <v>10</v>
      </c>
      <c r="BD7" s="1479">
        <f t="shared" si="4"/>
        <v>67</v>
      </c>
      <c r="BE7" s="1933"/>
      <c r="BF7" s="2758"/>
      <c r="BG7" s="1469"/>
      <c r="BH7" s="1463" t="s">
        <v>4350</v>
      </c>
      <c r="BK7" s="1178"/>
      <c r="BL7" s="1178"/>
      <c r="BM7" s="1178"/>
      <c r="BN7" s="1178"/>
      <c r="BO7" s="1178"/>
      <c r="BP7" s="1178"/>
      <c r="BQ7" s="1178"/>
      <c r="BR7" s="1178"/>
      <c r="BS7" s="1178"/>
      <c r="BT7" s="1178"/>
      <c r="BU7" s="1178"/>
      <c r="BV7" s="1178"/>
      <c r="BW7" s="1178"/>
    </row>
    <row r="8" spans="1:93" ht="55.5" customHeight="1">
      <c r="B8" s="1922">
        <v>79</v>
      </c>
      <c r="C8" s="1202" t="s">
        <v>4351</v>
      </c>
      <c r="D8" s="1225" t="s">
        <v>2933</v>
      </c>
      <c r="E8" s="1203" t="s">
        <v>4352</v>
      </c>
      <c r="F8" s="1257" t="s">
        <v>2969</v>
      </c>
      <c r="G8" s="1205">
        <v>292</v>
      </c>
      <c r="H8" s="1206">
        <v>292</v>
      </c>
      <c r="I8" s="1205">
        <v>191</v>
      </c>
      <c r="J8" s="1206">
        <v>191</v>
      </c>
      <c r="K8" s="1207" t="s">
        <v>4353</v>
      </c>
      <c r="L8" s="1208" t="s">
        <v>2988</v>
      </c>
      <c r="M8" s="1209" t="s">
        <v>2988</v>
      </c>
      <c r="N8" s="1208" t="s">
        <v>2989</v>
      </c>
      <c r="O8" s="1208" t="s">
        <v>2990</v>
      </c>
      <c r="P8" s="1208">
        <v>62</v>
      </c>
      <c r="Q8" s="1205" t="s">
        <v>2979</v>
      </c>
      <c r="R8" s="1210" t="s">
        <v>2979</v>
      </c>
      <c r="S8" s="1206" t="s">
        <v>2979</v>
      </c>
      <c r="T8" s="1233" t="s">
        <v>2964</v>
      </c>
      <c r="U8" s="1205">
        <v>1</v>
      </c>
      <c r="V8" s="1206">
        <v>1</v>
      </c>
      <c r="W8" s="1205">
        <v>3</v>
      </c>
      <c r="X8" s="1212">
        <v>88</v>
      </c>
      <c r="Y8" s="1213">
        <v>15</v>
      </c>
      <c r="Z8" s="1214" t="s">
        <v>2980</v>
      </c>
      <c r="AA8" s="1226" t="s">
        <v>4354</v>
      </c>
      <c r="AB8" s="1212">
        <v>0.5</v>
      </c>
      <c r="AC8" s="1213" t="s">
        <v>2983</v>
      </c>
      <c r="AD8" s="1214">
        <v>80</v>
      </c>
      <c r="AE8" s="1212" t="s">
        <v>2969</v>
      </c>
      <c r="AF8" s="1213" t="s">
        <v>4355</v>
      </c>
      <c r="AG8" s="1356" t="s">
        <v>4356</v>
      </c>
      <c r="AH8" s="1356" t="s">
        <v>4357</v>
      </c>
      <c r="AI8" s="1322"/>
      <c r="AJ8" s="1274" t="s">
        <v>4341</v>
      </c>
      <c r="AK8" s="1357" t="s">
        <v>2929</v>
      </c>
      <c r="AL8" s="1237" t="s">
        <v>2930</v>
      </c>
      <c r="AM8" s="1238" t="s">
        <v>2138</v>
      </c>
      <c r="AN8" s="1275" t="s">
        <v>2931</v>
      </c>
      <c r="AO8" s="1340" t="s">
        <v>2932</v>
      </c>
      <c r="AP8" s="1256" t="s">
        <v>4358</v>
      </c>
      <c r="AQ8" s="1220">
        <v>36</v>
      </c>
      <c r="AR8" s="1221">
        <v>0</v>
      </c>
      <c r="AS8" s="1222">
        <v>17</v>
      </c>
      <c r="AT8" s="1223">
        <f t="shared" si="0"/>
        <v>53</v>
      </c>
      <c r="AU8" s="1224">
        <v>3</v>
      </c>
      <c r="AV8" s="1219">
        <f t="shared" si="2"/>
        <v>56</v>
      </c>
      <c r="AW8" s="1931">
        <f t="shared" si="3"/>
        <v>56</v>
      </c>
      <c r="AX8" s="1256" t="s">
        <v>4359</v>
      </c>
      <c r="AY8" s="1220">
        <v>24</v>
      </c>
      <c r="AZ8" s="1221">
        <v>0</v>
      </c>
      <c r="BA8" s="1222">
        <v>12</v>
      </c>
      <c r="BB8" s="1223">
        <f t="shared" si="1"/>
        <v>36</v>
      </c>
      <c r="BC8" s="1224">
        <v>2</v>
      </c>
      <c r="BD8" s="1219">
        <f t="shared" si="4"/>
        <v>38</v>
      </c>
      <c r="BE8" s="1931">
        <f t="shared" si="5"/>
        <v>38</v>
      </c>
      <c r="BF8" s="2760">
        <v>18</v>
      </c>
      <c r="BG8" s="1341" t="s">
        <v>4342</v>
      </c>
      <c r="BH8" s="1235" t="s">
        <v>4341</v>
      </c>
      <c r="BK8" s="1178"/>
      <c r="BL8" s="1178"/>
      <c r="BM8" s="1178"/>
      <c r="BN8" s="1178"/>
      <c r="BO8" s="1178"/>
      <c r="BP8" s="1178"/>
      <c r="BQ8" s="1178"/>
      <c r="BR8" s="1178"/>
      <c r="BS8" s="1178"/>
      <c r="BT8" s="1178"/>
      <c r="BU8" s="1178"/>
      <c r="BV8" s="1178"/>
      <c r="BW8" s="1178"/>
    </row>
    <row r="9" spans="1:93" ht="55.5" customHeight="1">
      <c r="B9" s="1923">
        <v>105</v>
      </c>
      <c r="C9" s="1419" t="s">
        <v>2159</v>
      </c>
      <c r="D9" s="1418" t="s">
        <v>2933</v>
      </c>
      <c r="E9" s="1420" t="s">
        <v>2987</v>
      </c>
      <c r="F9" s="1470" t="s">
        <v>4360</v>
      </c>
      <c r="G9" s="1471" t="s">
        <v>4361</v>
      </c>
      <c r="H9" s="1423">
        <v>357</v>
      </c>
      <c r="I9" s="1472" t="s">
        <v>4362</v>
      </c>
      <c r="J9" s="1423">
        <v>245</v>
      </c>
      <c r="K9" s="1424" t="s">
        <v>4363</v>
      </c>
      <c r="L9" s="1425" t="s">
        <v>2988</v>
      </c>
      <c r="M9" s="1426" t="s">
        <v>2989</v>
      </c>
      <c r="N9" s="1425" t="s">
        <v>2989</v>
      </c>
      <c r="O9" s="1425" t="s">
        <v>2990</v>
      </c>
      <c r="P9" s="1425">
        <v>154</v>
      </c>
      <c r="Q9" s="1422" t="s">
        <v>2979</v>
      </c>
      <c r="R9" s="1427" t="s">
        <v>2979</v>
      </c>
      <c r="S9" s="1423" t="s">
        <v>2979</v>
      </c>
      <c r="T9" s="1410" t="s">
        <v>2991</v>
      </c>
      <c r="U9" s="1422">
        <v>2</v>
      </c>
      <c r="V9" s="1423">
        <v>3</v>
      </c>
      <c r="W9" s="1422">
        <v>3</v>
      </c>
      <c r="X9" s="1428">
        <v>105</v>
      </c>
      <c r="Y9" s="1429">
        <v>17</v>
      </c>
      <c r="Z9" s="1433" t="s">
        <v>2992</v>
      </c>
      <c r="AA9" s="1431" t="s">
        <v>2993</v>
      </c>
      <c r="AB9" s="1432" t="s">
        <v>2994</v>
      </c>
      <c r="AC9" s="1473" t="s">
        <v>2995</v>
      </c>
      <c r="AD9" s="1433" t="s">
        <v>2996</v>
      </c>
      <c r="AE9" s="1428" t="s">
        <v>2969</v>
      </c>
      <c r="AF9" s="1429" t="s">
        <v>2997</v>
      </c>
      <c r="AG9" s="1343" t="s">
        <v>4364</v>
      </c>
      <c r="AH9" s="1343" t="s">
        <v>3001</v>
      </c>
      <c r="AI9" s="1375"/>
      <c r="AJ9" s="1236" t="s">
        <v>4341</v>
      </c>
      <c r="AK9" s="1339" t="s">
        <v>2998</v>
      </c>
      <c r="AL9" s="1349" t="s">
        <v>2999</v>
      </c>
      <c r="AM9" s="1238" t="s">
        <v>2138</v>
      </c>
      <c r="AN9" s="1239" t="s">
        <v>3000</v>
      </c>
      <c r="AO9" s="1240" t="s">
        <v>2946</v>
      </c>
      <c r="AP9" s="1434">
        <v>12</v>
      </c>
      <c r="AQ9" s="1435">
        <v>37</v>
      </c>
      <c r="AR9" s="1436">
        <v>124</v>
      </c>
      <c r="AS9" s="1437">
        <v>78</v>
      </c>
      <c r="AT9" s="1438">
        <f t="shared" si="0"/>
        <v>239</v>
      </c>
      <c r="AU9" s="1411">
        <v>12</v>
      </c>
      <c r="AV9" s="1434">
        <f t="shared" si="2"/>
        <v>251</v>
      </c>
      <c r="AW9" s="1932">
        <f>AT9+AU9+AT10+AU10</f>
        <v>302</v>
      </c>
      <c r="AX9" s="1434">
        <v>10</v>
      </c>
      <c r="AY9" s="1435">
        <v>28</v>
      </c>
      <c r="AZ9" s="1436">
        <v>91</v>
      </c>
      <c r="BA9" s="1437">
        <v>59</v>
      </c>
      <c r="BB9" s="1438">
        <f t="shared" si="1"/>
        <v>178</v>
      </c>
      <c r="BC9" s="1411">
        <v>12</v>
      </c>
      <c r="BD9" s="1434">
        <f t="shared" si="4"/>
        <v>190</v>
      </c>
      <c r="BE9" s="1932">
        <f>BB9+BC9+BB10+BC10</f>
        <v>236</v>
      </c>
      <c r="BF9" s="2759">
        <v>18</v>
      </c>
      <c r="BG9" s="1439" t="s">
        <v>4342</v>
      </c>
      <c r="BH9" s="1440" t="s">
        <v>4365</v>
      </c>
    </row>
    <row r="10" spans="1:93" ht="55.5" customHeight="1" collapsed="1">
      <c r="B10" s="2244">
        <v>105</v>
      </c>
      <c r="C10" s="2226" t="s">
        <v>2159</v>
      </c>
      <c r="D10" s="2227" t="s">
        <v>4333</v>
      </c>
      <c r="E10" s="2228" t="s">
        <v>4366</v>
      </c>
      <c r="F10" s="2240" t="s">
        <v>4360</v>
      </c>
      <c r="G10" s="2241" t="s">
        <v>4361</v>
      </c>
      <c r="H10" s="2239">
        <v>357</v>
      </c>
      <c r="I10" s="2242" t="s">
        <v>4362</v>
      </c>
      <c r="J10" s="2239">
        <v>245</v>
      </c>
      <c r="K10" s="1444" t="s">
        <v>4363</v>
      </c>
      <c r="L10" s="1445" t="s">
        <v>2988</v>
      </c>
      <c r="M10" s="1446" t="s">
        <v>2989</v>
      </c>
      <c r="N10" s="1445" t="s">
        <v>2989</v>
      </c>
      <c r="O10" s="1445" t="s">
        <v>2990</v>
      </c>
      <c r="P10" s="1445">
        <v>154</v>
      </c>
      <c r="Q10" s="1442" t="s">
        <v>2979</v>
      </c>
      <c r="R10" s="1447" t="s">
        <v>2979</v>
      </c>
      <c r="S10" s="1443" t="s">
        <v>2979</v>
      </c>
      <c r="T10" s="1474" t="s">
        <v>2991</v>
      </c>
      <c r="U10" s="1442">
        <v>2</v>
      </c>
      <c r="V10" s="1443">
        <v>3</v>
      </c>
      <c r="W10" s="1442">
        <v>3</v>
      </c>
      <c r="X10" s="1449">
        <v>105</v>
      </c>
      <c r="Y10" s="1450">
        <v>17</v>
      </c>
      <c r="Z10" s="1454" t="s">
        <v>2992</v>
      </c>
      <c r="AA10" s="1452" t="s">
        <v>2993</v>
      </c>
      <c r="AB10" s="1453" t="s">
        <v>2994</v>
      </c>
      <c r="AC10" s="1475" t="s">
        <v>2995</v>
      </c>
      <c r="AD10" s="1454" t="s">
        <v>2996</v>
      </c>
      <c r="AE10" s="1449" t="s">
        <v>2969</v>
      </c>
      <c r="AF10" s="1450" t="s">
        <v>2997</v>
      </c>
      <c r="AG10" s="1455" t="s">
        <v>4367</v>
      </c>
      <c r="AH10" s="1455" t="s">
        <v>4368</v>
      </c>
      <c r="AI10" s="1456"/>
      <c r="AJ10" s="1457" t="s">
        <v>4341</v>
      </c>
      <c r="AK10" s="1476" t="s">
        <v>2972</v>
      </c>
      <c r="AL10" s="1477" t="s">
        <v>2973</v>
      </c>
      <c r="AM10" s="1460" t="s">
        <v>2138</v>
      </c>
      <c r="AN10" s="1478" t="s">
        <v>2974</v>
      </c>
      <c r="AO10" s="1462" t="s">
        <v>2975</v>
      </c>
      <c r="AP10" s="1479">
        <v>6</v>
      </c>
      <c r="AQ10" s="1464">
        <v>31</v>
      </c>
      <c r="AR10" s="1465">
        <v>0</v>
      </c>
      <c r="AS10" s="1466">
        <v>14</v>
      </c>
      <c r="AT10" s="1467">
        <f t="shared" si="0"/>
        <v>45</v>
      </c>
      <c r="AU10" s="1468">
        <v>6</v>
      </c>
      <c r="AV10" s="1479">
        <f t="shared" si="2"/>
        <v>51</v>
      </c>
      <c r="AW10" s="1933"/>
      <c r="AX10" s="1479">
        <v>6</v>
      </c>
      <c r="AY10" s="1464">
        <v>27</v>
      </c>
      <c r="AZ10" s="1465">
        <v>0</v>
      </c>
      <c r="BA10" s="1466">
        <v>13</v>
      </c>
      <c r="BB10" s="1467">
        <f t="shared" si="1"/>
        <v>40</v>
      </c>
      <c r="BC10" s="1468">
        <v>6</v>
      </c>
      <c r="BD10" s="1479">
        <f t="shared" si="4"/>
        <v>46</v>
      </c>
      <c r="BE10" s="1933"/>
      <c r="BF10" s="2758"/>
      <c r="BG10" s="1469"/>
      <c r="BH10" s="1463" t="s">
        <v>4369</v>
      </c>
    </row>
    <row r="11" spans="1:93" ht="55.5" customHeight="1">
      <c r="B11" s="1923">
        <v>121</v>
      </c>
      <c r="C11" s="1419" t="s">
        <v>4370</v>
      </c>
      <c r="D11" s="1418" t="s">
        <v>2933</v>
      </c>
      <c r="E11" s="1420">
        <v>1987</v>
      </c>
      <c r="F11" s="1480" t="s">
        <v>2609</v>
      </c>
      <c r="G11" s="1481" t="s">
        <v>4371</v>
      </c>
      <c r="H11" s="1423">
        <v>776</v>
      </c>
      <c r="I11" s="1481" t="s">
        <v>4372</v>
      </c>
      <c r="J11" s="1423">
        <v>565</v>
      </c>
      <c r="K11" s="1424" t="s">
        <v>4373</v>
      </c>
      <c r="L11" s="1425" t="s">
        <v>2960</v>
      </c>
      <c r="M11" s="1426" t="s">
        <v>2960</v>
      </c>
      <c r="N11" s="1425" t="s">
        <v>2960</v>
      </c>
      <c r="O11" s="1425" t="s">
        <v>2978</v>
      </c>
      <c r="P11" s="1425">
        <v>116</v>
      </c>
      <c r="Q11" s="1422" t="s">
        <v>2979</v>
      </c>
      <c r="R11" s="1427" t="s">
        <v>2979</v>
      </c>
      <c r="S11" s="1423" t="s">
        <v>2979</v>
      </c>
      <c r="T11" s="1410" t="s">
        <v>2964</v>
      </c>
      <c r="U11" s="1422">
        <v>1</v>
      </c>
      <c r="V11" s="1423">
        <v>1</v>
      </c>
      <c r="W11" s="1422">
        <v>5</v>
      </c>
      <c r="X11" s="1428">
        <v>98</v>
      </c>
      <c r="Y11" s="1429">
        <v>20</v>
      </c>
      <c r="Z11" s="1430" t="s">
        <v>3006</v>
      </c>
      <c r="AA11" s="1431">
        <v>58</v>
      </c>
      <c r="AB11" s="1432">
        <v>7.5</v>
      </c>
      <c r="AC11" s="1429" t="s">
        <v>3022</v>
      </c>
      <c r="AD11" s="1430">
        <v>130</v>
      </c>
      <c r="AE11" s="1428" t="s">
        <v>2969</v>
      </c>
      <c r="AF11" s="1429">
        <v>130</v>
      </c>
      <c r="AG11" s="1343" t="s">
        <v>3025</v>
      </c>
      <c r="AH11" s="1343"/>
      <c r="AI11" s="1375"/>
      <c r="AJ11" s="1236" t="s">
        <v>2991</v>
      </c>
      <c r="AK11" s="1343" t="s">
        <v>3023</v>
      </c>
      <c r="AL11" s="1349" t="s">
        <v>3017</v>
      </c>
      <c r="AM11" s="1238" t="s">
        <v>2138</v>
      </c>
      <c r="AN11" s="1239" t="s">
        <v>3024</v>
      </c>
      <c r="AO11" s="1240" t="s">
        <v>3019</v>
      </c>
      <c r="AP11" s="1434">
        <v>10</v>
      </c>
      <c r="AQ11" s="1435">
        <v>0</v>
      </c>
      <c r="AR11" s="1436">
        <v>100</v>
      </c>
      <c r="AS11" s="1437">
        <v>48</v>
      </c>
      <c r="AT11" s="1438">
        <f t="shared" si="0"/>
        <v>148</v>
      </c>
      <c r="AU11" s="1411">
        <v>10</v>
      </c>
      <c r="AV11" s="1434">
        <f t="shared" si="2"/>
        <v>158</v>
      </c>
      <c r="AW11" s="1932">
        <f>AT11+AU11+AT12+AU12+AT13+AU13</f>
        <v>472</v>
      </c>
      <c r="AX11" s="1434">
        <v>10</v>
      </c>
      <c r="AY11" s="1435">
        <v>0</v>
      </c>
      <c r="AZ11" s="1436">
        <v>100</v>
      </c>
      <c r="BA11" s="1437">
        <v>50</v>
      </c>
      <c r="BB11" s="1438">
        <f t="shared" si="1"/>
        <v>150</v>
      </c>
      <c r="BC11" s="1411">
        <v>10</v>
      </c>
      <c r="BD11" s="1434">
        <f t="shared" si="4"/>
        <v>160</v>
      </c>
      <c r="BE11" s="1932">
        <f>BB11+BC11+BB12+BC12+BB13+BC13</f>
        <v>445</v>
      </c>
      <c r="BF11" s="2759">
        <v>18</v>
      </c>
      <c r="BG11" s="1439" t="s">
        <v>4342</v>
      </c>
      <c r="BH11" s="1440" t="s">
        <v>4374</v>
      </c>
    </row>
    <row r="12" spans="1:93" ht="55.5" customHeight="1">
      <c r="B12" s="2245">
        <v>121</v>
      </c>
      <c r="C12" s="2232" t="s">
        <v>4370</v>
      </c>
      <c r="D12" s="2233" t="s">
        <v>4333</v>
      </c>
      <c r="E12" s="2234">
        <v>1987</v>
      </c>
      <c r="F12" s="2235" t="s">
        <v>2609</v>
      </c>
      <c r="G12" s="2236" t="s">
        <v>4375</v>
      </c>
      <c r="H12" s="2237">
        <v>776</v>
      </c>
      <c r="I12" s="2236" t="s">
        <v>4376</v>
      </c>
      <c r="J12" s="2237">
        <v>565</v>
      </c>
      <c r="K12" s="1483" t="s">
        <v>3021</v>
      </c>
      <c r="L12" s="1484" t="s">
        <v>2960</v>
      </c>
      <c r="M12" s="1485" t="s">
        <v>2960</v>
      </c>
      <c r="N12" s="1484" t="s">
        <v>2960</v>
      </c>
      <c r="O12" s="1484" t="s">
        <v>2978</v>
      </c>
      <c r="P12" s="1484">
        <v>116</v>
      </c>
      <c r="Q12" s="1486" t="s">
        <v>2979</v>
      </c>
      <c r="R12" s="1487" t="s">
        <v>2979</v>
      </c>
      <c r="S12" s="1482" t="s">
        <v>2979</v>
      </c>
      <c r="T12" s="1488" t="s">
        <v>2964</v>
      </c>
      <c r="U12" s="1486">
        <v>1</v>
      </c>
      <c r="V12" s="1482">
        <v>1</v>
      </c>
      <c r="W12" s="1486">
        <v>5</v>
      </c>
      <c r="X12" s="1489">
        <v>98</v>
      </c>
      <c r="Y12" s="1490">
        <v>20</v>
      </c>
      <c r="Z12" s="1491" t="s">
        <v>3006</v>
      </c>
      <c r="AA12" s="1492">
        <v>58</v>
      </c>
      <c r="AB12" s="1493">
        <v>7.5</v>
      </c>
      <c r="AC12" s="1490" t="s">
        <v>3022</v>
      </c>
      <c r="AD12" s="1491">
        <v>130</v>
      </c>
      <c r="AE12" s="1489" t="s">
        <v>2969</v>
      </c>
      <c r="AF12" s="1490">
        <v>130</v>
      </c>
      <c r="AG12" s="1494" t="s">
        <v>3020</v>
      </c>
      <c r="AH12" s="1494" t="s">
        <v>4377</v>
      </c>
      <c r="AI12" s="1495" t="s">
        <v>4378</v>
      </c>
      <c r="AJ12" s="1496" t="s">
        <v>2991</v>
      </c>
      <c r="AK12" s="1497" t="s">
        <v>3016</v>
      </c>
      <c r="AL12" s="1498" t="s">
        <v>3017</v>
      </c>
      <c r="AM12" s="1499" t="s">
        <v>2138</v>
      </c>
      <c r="AN12" s="1500" t="s">
        <v>3018</v>
      </c>
      <c r="AO12" s="1501" t="s">
        <v>3019</v>
      </c>
      <c r="AP12" s="1502">
        <v>17</v>
      </c>
      <c r="AQ12" s="1503">
        <v>0</v>
      </c>
      <c r="AR12" s="1504">
        <v>120</v>
      </c>
      <c r="AS12" s="1505">
        <v>58</v>
      </c>
      <c r="AT12" s="1506">
        <f t="shared" si="0"/>
        <v>178</v>
      </c>
      <c r="AU12" s="1507">
        <v>17</v>
      </c>
      <c r="AV12" s="1502">
        <f t="shared" si="2"/>
        <v>195</v>
      </c>
      <c r="AW12" s="1934"/>
      <c r="AX12" s="1502">
        <v>17</v>
      </c>
      <c r="AY12" s="1503">
        <v>0</v>
      </c>
      <c r="AZ12" s="1504">
        <v>106</v>
      </c>
      <c r="BA12" s="1505">
        <v>53</v>
      </c>
      <c r="BB12" s="1506">
        <f t="shared" si="1"/>
        <v>159</v>
      </c>
      <c r="BC12" s="1507">
        <v>17</v>
      </c>
      <c r="BD12" s="1502">
        <f t="shared" si="4"/>
        <v>176</v>
      </c>
      <c r="BE12" s="1934"/>
      <c r="BF12" s="2757"/>
      <c r="BG12" s="1508"/>
      <c r="BH12" s="1509" t="s">
        <v>4379</v>
      </c>
    </row>
    <row r="13" spans="1:93" ht="55.5" customHeight="1">
      <c r="B13" s="2244">
        <v>121</v>
      </c>
      <c r="C13" s="2226" t="s">
        <v>4370</v>
      </c>
      <c r="D13" s="2227" t="s">
        <v>4333</v>
      </c>
      <c r="E13" s="2228">
        <v>1987</v>
      </c>
      <c r="F13" s="2228" t="s">
        <v>2609</v>
      </c>
      <c r="G13" s="2238" t="s">
        <v>4375</v>
      </c>
      <c r="H13" s="2239">
        <v>776</v>
      </c>
      <c r="I13" s="2238" t="s">
        <v>4376</v>
      </c>
      <c r="J13" s="2239">
        <v>565</v>
      </c>
      <c r="K13" s="1444" t="s">
        <v>4380</v>
      </c>
      <c r="L13" s="1445" t="s">
        <v>2960</v>
      </c>
      <c r="M13" s="1446" t="s">
        <v>2960</v>
      </c>
      <c r="N13" s="1445" t="s">
        <v>2960</v>
      </c>
      <c r="O13" s="1445" t="s">
        <v>2978</v>
      </c>
      <c r="P13" s="1447">
        <v>116</v>
      </c>
      <c r="Q13" s="1442" t="s">
        <v>2979</v>
      </c>
      <c r="R13" s="1447" t="s">
        <v>2979</v>
      </c>
      <c r="S13" s="1443" t="s">
        <v>2979</v>
      </c>
      <c r="T13" s="1443" t="s">
        <v>2964</v>
      </c>
      <c r="U13" s="1442">
        <v>1</v>
      </c>
      <c r="V13" s="1447">
        <v>1</v>
      </c>
      <c r="W13" s="1442">
        <v>5</v>
      </c>
      <c r="X13" s="1449">
        <v>98</v>
      </c>
      <c r="Y13" s="1450">
        <v>20</v>
      </c>
      <c r="Z13" s="1451" t="s">
        <v>3006</v>
      </c>
      <c r="AA13" s="1452">
        <v>58</v>
      </c>
      <c r="AB13" s="1453">
        <v>7.5</v>
      </c>
      <c r="AC13" s="1450" t="s">
        <v>3022</v>
      </c>
      <c r="AD13" s="1451">
        <v>130</v>
      </c>
      <c r="AE13" s="1449" t="s">
        <v>2969</v>
      </c>
      <c r="AF13" s="1450">
        <v>130</v>
      </c>
      <c r="AG13" s="1469" t="s">
        <v>3020</v>
      </c>
      <c r="AH13" s="1469"/>
      <c r="AI13" s="1444"/>
      <c r="AJ13" s="1457" t="s">
        <v>2991</v>
      </c>
      <c r="AK13" s="1458" t="s">
        <v>2369</v>
      </c>
      <c r="AL13" s="1459" t="s">
        <v>3027</v>
      </c>
      <c r="AM13" s="1460" t="s">
        <v>2138</v>
      </c>
      <c r="AN13" s="1461" t="s">
        <v>3028</v>
      </c>
      <c r="AO13" s="1510" t="s">
        <v>3019</v>
      </c>
      <c r="AP13" s="1479">
        <v>17</v>
      </c>
      <c r="AQ13" s="1464">
        <v>0</v>
      </c>
      <c r="AR13" s="1465">
        <v>69</v>
      </c>
      <c r="AS13" s="1466">
        <v>33</v>
      </c>
      <c r="AT13" s="1467">
        <f t="shared" si="0"/>
        <v>102</v>
      </c>
      <c r="AU13" s="1468">
        <v>17</v>
      </c>
      <c r="AV13" s="1479">
        <f t="shared" si="2"/>
        <v>119</v>
      </c>
      <c r="AW13" s="1933"/>
      <c r="AX13" s="1479">
        <v>17</v>
      </c>
      <c r="AY13" s="1464">
        <v>0</v>
      </c>
      <c r="AZ13" s="1465">
        <v>61</v>
      </c>
      <c r="BA13" s="1466">
        <v>31</v>
      </c>
      <c r="BB13" s="1467">
        <f t="shared" si="1"/>
        <v>92</v>
      </c>
      <c r="BC13" s="1468">
        <v>17</v>
      </c>
      <c r="BD13" s="1479">
        <f t="shared" si="4"/>
        <v>109</v>
      </c>
      <c r="BE13" s="1933"/>
      <c r="BF13" s="2758"/>
      <c r="BG13" s="1469"/>
      <c r="BH13" s="1463" t="s">
        <v>4381</v>
      </c>
      <c r="BK13" s="1178"/>
      <c r="BL13" s="1178"/>
      <c r="BM13" s="1178"/>
      <c r="BN13" s="1178"/>
      <c r="BO13" s="1178"/>
      <c r="BP13" s="1178"/>
      <c r="BQ13" s="1178"/>
      <c r="BR13" s="1178"/>
      <c r="BS13" s="1178"/>
      <c r="BT13" s="1178"/>
      <c r="BU13" s="1178"/>
      <c r="BV13" s="1178"/>
      <c r="BW13" s="1178"/>
    </row>
    <row r="14" spans="1:93" ht="55.5" customHeight="1">
      <c r="B14" s="1922">
        <v>159</v>
      </c>
      <c r="C14" s="1202" t="s">
        <v>4382</v>
      </c>
      <c r="D14" s="1225" t="s">
        <v>2933</v>
      </c>
      <c r="E14" s="1203" t="s">
        <v>2947</v>
      </c>
      <c r="F14" s="1257" t="s">
        <v>2969</v>
      </c>
      <c r="G14" s="1205">
        <v>333</v>
      </c>
      <c r="H14" s="1206">
        <v>333</v>
      </c>
      <c r="I14" s="1205">
        <v>216</v>
      </c>
      <c r="J14" s="1206">
        <v>216</v>
      </c>
      <c r="K14" s="1207" t="s">
        <v>4383</v>
      </c>
      <c r="L14" s="1208" t="s">
        <v>2988</v>
      </c>
      <c r="M14" s="1209" t="s">
        <v>2988</v>
      </c>
      <c r="N14" s="1208" t="s">
        <v>2988</v>
      </c>
      <c r="O14" s="1208" t="s">
        <v>2990</v>
      </c>
      <c r="P14" s="1208">
        <v>95</v>
      </c>
      <c r="Q14" s="1205" t="s">
        <v>2979</v>
      </c>
      <c r="R14" s="1210" t="s">
        <v>2979</v>
      </c>
      <c r="S14" s="1206" t="s">
        <v>2979</v>
      </c>
      <c r="T14" s="1211" t="s">
        <v>2991</v>
      </c>
      <c r="U14" s="1205">
        <v>1</v>
      </c>
      <c r="V14" s="1206">
        <v>1</v>
      </c>
      <c r="W14" s="1205">
        <v>3</v>
      </c>
      <c r="X14" s="1212">
        <v>89</v>
      </c>
      <c r="Y14" s="1213">
        <v>15</v>
      </c>
      <c r="Z14" s="1214" t="s">
        <v>2980</v>
      </c>
      <c r="AA14" s="1226" t="s">
        <v>4384</v>
      </c>
      <c r="AB14" s="1227">
        <v>1</v>
      </c>
      <c r="AC14" s="1213" t="s">
        <v>2983</v>
      </c>
      <c r="AD14" s="1214">
        <v>81</v>
      </c>
      <c r="AE14" s="1212" t="s">
        <v>2969</v>
      </c>
      <c r="AF14" s="1213" t="s">
        <v>4355</v>
      </c>
      <c r="AG14" s="1356" t="s">
        <v>4385</v>
      </c>
      <c r="AH14" s="1356" t="s">
        <v>3015</v>
      </c>
      <c r="AI14" s="1322"/>
      <c r="AJ14" s="1251" t="s">
        <v>4341</v>
      </c>
      <c r="AK14" s="1357" t="s">
        <v>2929</v>
      </c>
      <c r="AL14" s="1246" t="s">
        <v>2930</v>
      </c>
      <c r="AM14" s="1247" t="s">
        <v>2138</v>
      </c>
      <c r="AN14" s="1252" t="s">
        <v>2931</v>
      </c>
      <c r="AO14" s="1276" t="s">
        <v>2932</v>
      </c>
      <c r="AP14" s="1256" t="s">
        <v>4358</v>
      </c>
      <c r="AQ14" s="1220">
        <v>36</v>
      </c>
      <c r="AR14" s="1221">
        <v>0</v>
      </c>
      <c r="AS14" s="1222">
        <v>17</v>
      </c>
      <c r="AT14" s="1223">
        <f t="shared" si="0"/>
        <v>53</v>
      </c>
      <c r="AU14" s="1224">
        <v>3</v>
      </c>
      <c r="AV14" s="1219">
        <f t="shared" si="2"/>
        <v>56</v>
      </c>
      <c r="AW14" s="1931">
        <f t="shared" si="3"/>
        <v>56</v>
      </c>
      <c r="AX14" s="1256" t="s">
        <v>4358</v>
      </c>
      <c r="AY14" s="1220">
        <v>36</v>
      </c>
      <c r="AZ14" s="1221">
        <v>0</v>
      </c>
      <c r="BA14" s="1222">
        <v>18</v>
      </c>
      <c r="BB14" s="1223">
        <f t="shared" si="1"/>
        <v>54</v>
      </c>
      <c r="BC14" s="1224">
        <v>3</v>
      </c>
      <c r="BD14" s="1219">
        <f t="shared" si="4"/>
        <v>57</v>
      </c>
      <c r="BE14" s="1931">
        <f t="shared" si="5"/>
        <v>57</v>
      </c>
      <c r="BF14" s="2760">
        <v>18</v>
      </c>
      <c r="BG14" s="1341" t="s">
        <v>4342</v>
      </c>
      <c r="BH14" s="1235" t="s">
        <v>4341</v>
      </c>
      <c r="BK14" s="1178"/>
      <c r="BL14" s="1178"/>
      <c r="BM14" s="1178"/>
      <c r="BN14" s="1178"/>
      <c r="BO14" s="1178"/>
      <c r="BP14" s="1178"/>
      <c r="BQ14" s="1178"/>
      <c r="BR14" s="1178"/>
      <c r="BS14" s="1178"/>
      <c r="BT14" s="1178"/>
      <c r="BU14" s="1178"/>
      <c r="BV14" s="1178"/>
      <c r="BW14" s="1178"/>
    </row>
    <row r="15" spans="1:93" ht="55.5" customHeight="1">
      <c r="B15" s="1924">
        <v>206</v>
      </c>
      <c r="C15" s="1202" t="s">
        <v>3036</v>
      </c>
      <c r="D15" s="1201" t="s">
        <v>8</v>
      </c>
      <c r="E15" s="1203" t="s">
        <v>3038</v>
      </c>
      <c r="F15" s="1328" t="s">
        <v>4343</v>
      </c>
      <c r="G15" s="1234" t="s">
        <v>4386</v>
      </c>
      <c r="H15" s="1206">
        <v>191</v>
      </c>
      <c r="I15" s="1234" t="s">
        <v>4387</v>
      </c>
      <c r="J15" s="1206">
        <v>151</v>
      </c>
      <c r="K15" s="1207" t="s">
        <v>3039</v>
      </c>
      <c r="L15" s="1208" t="s">
        <v>2989</v>
      </c>
      <c r="M15" s="1209" t="s">
        <v>2989</v>
      </c>
      <c r="N15" s="1208" t="s">
        <v>2988</v>
      </c>
      <c r="O15" s="1208" t="s">
        <v>2990</v>
      </c>
      <c r="P15" s="1210">
        <v>60</v>
      </c>
      <c r="Q15" s="1205" t="s">
        <v>2979</v>
      </c>
      <c r="R15" s="1210" t="s">
        <v>2979</v>
      </c>
      <c r="S15" s="1206" t="s">
        <v>2979</v>
      </c>
      <c r="T15" s="1231" t="s">
        <v>2964</v>
      </c>
      <c r="U15" s="1205">
        <v>4</v>
      </c>
      <c r="V15" s="1210">
        <v>1</v>
      </c>
      <c r="W15" s="1205">
        <v>3</v>
      </c>
      <c r="X15" s="1212">
        <v>97</v>
      </c>
      <c r="Y15" s="1213">
        <v>15</v>
      </c>
      <c r="Z15" s="1216" t="s">
        <v>3040</v>
      </c>
      <c r="AA15" s="1226" t="s">
        <v>3041</v>
      </c>
      <c r="AB15" s="1212">
        <v>0</v>
      </c>
      <c r="AC15" s="1229" t="s">
        <v>3042</v>
      </c>
      <c r="AD15" s="1214">
        <v>87</v>
      </c>
      <c r="AE15" s="1212" t="s">
        <v>2969</v>
      </c>
      <c r="AF15" s="1229" t="s">
        <v>3043</v>
      </c>
      <c r="AG15" s="1341" t="s">
        <v>3037</v>
      </c>
      <c r="AH15" s="1341" t="s">
        <v>4388</v>
      </c>
      <c r="AI15" s="1207"/>
      <c r="AJ15" s="1251" t="s">
        <v>4341</v>
      </c>
      <c r="AK15" s="1357" t="s">
        <v>3033</v>
      </c>
      <c r="AL15" s="1246" t="s">
        <v>2973</v>
      </c>
      <c r="AM15" s="1247" t="s">
        <v>2256</v>
      </c>
      <c r="AN15" s="1252" t="s">
        <v>3034</v>
      </c>
      <c r="AO15" s="1218" t="s">
        <v>3035</v>
      </c>
      <c r="AP15" s="1219">
        <v>13</v>
      </c>
      <c r="AQ15" s="1220">
        <v>35</v>
      </c>
      <c r="AR15" s="1221">
        <v>37</v>
      </c>
      <c r="AS15" s="1222">
        <v>35</v>
      </c>
      <c r="AT15" s="1223">
        <f t="shared" si="0"/>
        <v>107</v>
      </c>
      <c r="AU15" s="1224">
        <v>13</v>
      </c>
      <c r="AV15" s="1219">
        <f t="shared" si="2"/>
        <v>120</v>
      </c>
      <c r="AW15" s="1931">
        <f t="shared" si="3"/>
        <v>120</v>
      </c>
      <c r="AX15" s="1219">
        <v>14</v>
      </c>
      <c r="AY15" s="1220">
        <v>35</v>
      </c>
      <c r="AZ15" s="1221">
        <v>35</v>
      </c>
      <c r="BA15" s="1222">
        <v>35</v>
      </c>
      <c r="BB15" s="1223">
        <f t="shared" si="1"/>
        <v>105</v>
      </c>
      <c r="BC15" s="1224">
        <v>13</v>
      </c>
      <c r="BD15" s="1219">
        <f t="shared" si="4"/>
        <v>118</v>
      </c>
      <c r="BE15" s="1931">
        <f t="shared" si="5"/>
        <v>118</v>
      </c>
      <c r="BF15" s="2760">
        <v>18</v>
      </c>
      <c r="BG15" s="1341" t="s">
        <v>4342</v>
      </c>
      <c r="BH15" s="1235" t="s">
        <v>4389</v>
      </c>
    </row>
    <row r="16" spans="1:93" ht="55.5" customHeight="1">
      <c r="B16" s="1925">
        <v>210</v>
      </c>
      <c r="C16" s="1202" t="s">
        <v>4390</v>
      </c>
      <c r="D16" s="1220" t="s">
        <v>8</v>
      </c>
      <c r="E16" s="1203" t="s">
        <v>4391</v>
      </c>
      <c r="F16" s="1250" t="s">
        <v>2969</v>
      </c>
      <c r="G16" s="1205">
        <v>128</v>
      </c>
      <c r="H16" s="1206">
        <v>128</v>
      </c>
      <c r="I16" s="1205">
        <v>99</v>
      </c>
      <c r="J16" s="1206">
        <v>99</v>
      </c>
      <c r="K16" s="1207" t="s">
        <v>4392</v>
      </c>
      <c r="L16" s="1208" t="s">
        <v>2989</v>
      </c>
      <c r="M16" s="1209" t="s">
        <v>2989</v>
      </c>
      <c r="N16" s="1208" t="s">
        <v>2988</v>
      </c>
      <c r="O16" s="1208" t="s">
        <v>2990</v>
      </c>
      <c r="P16" s="1208">
        <v>76</v>
      </c>
      <c r="Q16" s="1205" t="s">
        <v>2979</v>
      </c>
      <c r="R16" s="1210" t="s">
        <v>2979</v>
      </c>
      <c r="S16" s="1206" t="s">
        <v>2979</v>
      </c>
      <c r="T16" s="1255" t="s">
        <v>2964</v>
      </c>
      <c r="U16" s="1205">
        <v>1</v>
      </c>
      <c r="V16" s="1206">
        <v>1</v>
      </c>
      <c r="W16" s="1205">
        <v>3</v>
      </c>
      <c r="X16" s="1212">
        <v>98</v>
      </c>
      <c r="Y16" s="1213">
        <v>17</v>
      </c>
      <c r="Z16" s="1216" t="s">
        <v>4393</v>
      </c>
      <c r="AA16" s="1226" t="s">
        <v>4394</v>
      </c>
      <c r="AB16" s="1227" t="s">
        <v>4395</v>
      </c>
      <c r="AC16" s="1213" t="s">
        <v>2968</v>
      </c>
      <c r="AD16" s="1214" t="s">
        <v>4396</v>
      </c>
      <c r="AE16" s="1212" t="s">
        <v>2969</v>
      </c>
      <c r="AF16" s="1229" t="s">
        <v>4397</v>
      </c>
      <c r="AG16" s="1341" t="s">
        <v>4398</v>
      </c>
      <c r="AH16" s="1341" t="s">
        <v>4399</v>
      </c>
      <c r="AI16" s="1207"/>
      <c r="AJ16" s="1251" t="s">
        <v>4341</v>
      </c>
      <c r="AK16" s="1357" t="s">
        <v>3033</v>
      </c>
      <c r="AL16" s="1246" t="s">
        <v>2973</v>
      </c>
      <c r="AM16" s="1247" t="s">
        <v>2256</v>
      </c>
      <c r="AN16" s="1252" t="s">
        <v>3034</v>
      </c>
      <c r="AO16" s="1218" t="s">
        <v>3035</v>
      </c>
      <c r="AP16" s="1219">
        <v>4</v>
      </c>
      <c r="AQ16" s="1220">
        <v>10</v>
      </c>
      <c r="AR16" s="1221">
        <v>12</v>
      </c>
      <c r="AS16" s="1222">
        <v>10</v>
      </c>
      <c r="AT16" s="1223">
        <f t="shared" si="0"/>
        <v>32</v>
      </c>
      <c r="AU16" s="1224">
        <v>4</v>
      </c>
      <c r="AV16" s="1219">
        <f t="shared" si="2"/>
        <v>36</v>
      </c>
      <c r="AW16" s="1931">
        <f t="shared" si="3"/>
        <v>36</v>
      </c>
      <c r="AX16" s="1219">
        <v>3</v>
      </c>
      <c r="AY16" s="1220">
        <v>7</v>
      </c>
      <c r="AZ16" s="1221">
        <v>7</v>
      </c>
      <c r="BA16" s="1222">
        <v>7</v>
      </c>
      <c r="BB16" s="1223">
        <f t="shared" si="1"/>
        <v>21</v>
      </c>
      <c r="BC16" s="1224">
        <v>4</v>
      </c>
      <c r="BD16" s="1219">
        <f t="shared" si="4"/>
        <v>25</v>
      </c>
      <c r="BE16" s="1931">
        <f t="shared" si="5"/>
        <v>25</v>
      </c>
      <c r="BF16" s="2760">
        <v>18</v>
      </c>
      <c r="BG16" s="1341" t="s">
        <v>4342</v>
      </c>
      <c r="BH16" s="1219" t="s">
        <v>4341</v>
      </c>
    </row>
    <row r="17" spans="2:75" ht="55.5" customHeight="1">
      <c r="B17" s="1926">
        <v>221</v>
      </c>
      <c r="C17" s="1202" t="s">
        <v>4400</v>
      </c>
      <c r="D17" s="1253" t="s">
        <v>3071</v>
      </c>
      <c r="E17" s="1203" t="s">
        <v>3073</v>
      </c>
      <c r="F17" s="1257" t="s">
        <v>2969</v>
      </c>
      <c r="G17" s="1205">
        <v>162</v>
      </c>
      <c r="H17" s="1206">
        <v>162</v>
      </c>
      <c r="I17" s="1205">
        <v>108</v>
      </c>
      <c r="J17" s="1206">
        <v>108</v>
      </c>
      <c r="K17" s="1207" t="s">
        <v>3074</v>
      </c>
      <c r="L17" s="1208" t="s">
        <v>2960</v>
      </c>
      <c r="M17" s="1208" t="s">
        <v>2960</v>
      </c>
      <c r="N17" s="1208" t="s">
        <v>2961</v>
      </c>
      <c r="O17" s="1208" t="s">
        <v>2978</v>
      </c>
      <c r="P17" s="1208">
        <v>40</v>
      </c>
      <c r="Q17" s="1205" t="s">
        <v>2963</v>
      </c>
      <c r="R17" s="1210" t="s">
        <v>2963</v>
      </c>
      <c r="S17" s="1206" t="s">
        <v>2963</v>
      </c>
      <c r="T17" s="1233" t="s">
        <v>2964</v>
      </c>
      <c r="U17" s="1205" t="s">
        <v>2961</v>
      </c>
      <c r="V17" s="1206" t="s">
        <v>2961</v>
      </c>
      <c r="W17" s="1205">
        <v>3</v>
      </c>
      <c r="X17" s="1212">
        <v>88</v>
      </c>
      <c r="Y17" s="1213">
        <v>13</v>
      </c>
      <c r="Z17" s="1214" t="s">
        <v>2965</v>
      </c>
      <c r="AA17" s="1215">
        <v>70</v>
      </c>
      <c r="AB17" s="1212">
        <v>0.5</v>
      </c>
      <c r="AC17" s="1213" t="s">
        <v>2968</v>
      </c>
      <c r="AD17" s="1214">
        <v>71</v>
      </c>
      <c r="AE17" s="1212" t="s">
        <v>2969</v>
      </c>
      <c r="AF17" s="1213">
        <v>140</v>
      </c>
      <c r="AG17" s="1356" t="s">
        <v>4401</v>
      </c>
      <c r="AH17" s="1356" t="s">
        <v>4402</v>
      </c>
      <c r="AI17" s="1322"/>
      <c r="AJ17" s="1236" t="s">
        <v>4341</v>
      </c>
      <c r="AK17" s="1357" t="s">
        <v>3068</v>
      </c>
      <c r="AL17" s="1349" t="s">
        <v>2930</v>
      </c>
      <c r="AM17" s="1391" t="s">
        <v>3069</v>
      </c>
      <c r="AN17" s="1239" t="s">
        <v>3070</v>
      </c>
      <c r="AO17" s="1240" t="s">
        <v>2937</v>
      </c>
      <c r="AP17" s="1256">
        <v>6</v>
      </c>
      <c r="AQ17" s="1220">
        <v>72</v>
      </c>
      <c r="AR17" s="1221">
        <v>0</v>
      </c>
      <c r="AS17" s="1222">
        <v>35</v>
      </c>
      <c r="AT17" s="1223">
        <f t="shared" si="0"/>
        <v>107</v>
      </c>
      <c r="AU17" s="1224">
        <v>6</v>
      </c>
      <c r="AV17" s="1219">
        <f t="shared" si="2"/>
        <v>113</v>
      </c>
      <c r="AW17" s="1931">
        <f t="shared" si="3"/>
        <v>113</v>
      </c>
      <c r="AX17" s="1256">
        <v>6</v>
      </c>
      <c r="AY17" s="1220">
        <v>72</v>
      </c>
      <c r="AZ17" s="1221">
        <v>0</v>
      </c>
      <c r="BA17" s="1222">
        <v>36</v>
      </c>
      <c r="BB17" s="1223">
        <f t="shared" si="1"/>
        <v>108</v>
      </c>
      <c r="BC17" s="1224">
        <v>6</v>
      </c>
      <c r="BD17" s="1219">
        <f t="shared" si="4"/>
        <v>114</v>
      </c>
      <c r="BE17" s="1931">
        <f t="shared" si="5"/>
        <v>114</v>
      </c>
      <c r="BF17" s="2760">
        <v>18</v>
      </c>
      <c r="BG17" s="1341" t="s">
        <v>4342</v>
      </c>
      <c r="BH17" s="1256" t="s">
        <v>4341</v>
      </c>
      <c r="BK17" s="1178"/>
      <c r="BL17" s="1178"/>
      <c r="BM17" s="1178"/>
      <c r="BN17" s="1178"/>
      <c r="BO17" s="1178"/>
      <c r="BP17" s="1178"/>
      <c r="BQ17" s="1178"/>
      <c r="BR17" s="1178"/>
      <c r="BS17" s="1178"/>
      <c r="BT17" s="1178"/>
      <c r="BU17" s="1178"/>
      <c r="BV17" s="1178"/>
      <c r="BW17" s="1178"/>
    </row>
    <row r="18" spans="2:75" ht="55.5" customHeight="1">
      <c r="B18" s="1924">
        <v>245</v>
      </c>
      <c r="C18" s="1202" t="s">
        <v>4403</v>
      </c>
      <c r="D18" s="1201" t="s">
        <v>4404</v>
      </c>
      <c r="E18" s="1203" t="s">
        <v>4405</v>
      </c>
      <c r="F18" s="1257" t="s">
        <v>2969</v>
      </c>
      <c r="G18" s="1205">
        <v>200</v>
      </c>
      <c r="H18" s="1206">
        <v>200</v>
      </c>
      <c r="I18" s="1205">
        <v>100</v>
      </c>
      <c r="J18" s="1206">
        <v>100</v>
      </c>
      <c r="K18" s="1207" t="s">
        <v>4406</v>
      </c>
      <c r="L18" s="1208" t="s">
        <v>2989</v>
      </c>
      <c r="M18" s="1209" t="s">
        <v>2988</v>
      </c>
      <c r="N18" s="1207" t="s">
        <v>4407</v>
      </c>
      <c r="O18" s="1208" t="s">
        <v>2990</v>
      </c>
      <c r="P18" s="1208">
        <v>216</v>
      </c>
      <c r="Q18" s="1205" t="s">
        <v>2979</v>
      </c>
      <c r="R18" s="1210" t="s">
        <v>2979</v>
      </c>
      <c r="S18" s="1206" t="s">
        <v>2979</v>
      </c>
      <c r="T18" s="1211" t="s">
        <v>3031</v>
      </c>
      <c r="U18" s="1205">
        <v>1</v>
      </c>
      <c r="V18" s="1206">
        <v>1</v>
      </c>
      <c r="W18" s="1205">
        <v>1</v>
      </c>
      <c r="X18" s="1212">
        <v>79</v>
      </c>
      <c r="Y18" s="1213">
        <v>11</v>
      </c>
      <c r="Z18" s="1214" t="s">
        <v>2980</v>
      </c>
      <c r="AA18" s="1226" t="s">
        <v>4408</v>
      </c>
      <c r="AB18" s="1227" t="s">
        <v>4409</v>
      </c>
      <c r="AC18" s="1213" t="s">
        <v>3063</v>
      </c>
      <c r="AD18" s="1214">
        <v>82</v>
      </c>
      <c r="AE18" s="1212" t="s">
        <v>2969</v>
      </c>
      <c r="AF18" s="1213">
        <v>135</v>
      </c>
      <c r="AG18" s="1356" t="s">
        <v>4410</v>
      </c>
      <c r="AH18" s="1356" t="s">
        <v>4411</v>
      </c>
      <c r="AI18" s="1322"/>
      <c r="AJ18" s="1274" t="s">
        <v>4341</v>
      </c>
      <c r="AK18" s="1356" t="s">
        <v>3048</v>
      </c>
      <c r="AL18" s="1237" t="s">
        <v>2973</v>
      </c>
      <c r="AM18" s="1238" t="s">
        <v>2315</v>
      </c>
      <c r="AN18" s="1275" t="s">
        <v>3050</v>
      </c>
      <c r="AO18" s="1240" t="s">
        <v>3019</v>
      </c>
      <c r="AP18" s="1256" t="s">
        <v>4412</v>
      </c>
      <c r="AQ18" s="1220">
        <v>6</v>
      </c>
      <c r="AR18" s="1221">
        <v>91</v>
      </c>
      <c r="AS18" s="1222">
        <v>46</v>
      </c>
      <c r="AT18" s="1223">
        <f t="shared" si="0"/>
        <v>143</v>
      </c>
      <c r="AU18" s="1224">
        <v>8</v>
      </c>
      <c r="AV18" s="1219">
        <f t="shared" si="2"/>
        <v>151</v>
      </c>
      <c r="AW18" s="1931">
        <f t="shared" si="3"/>
        <v>151</v>
      </c>
      <c r="AX18" s="1256" t="s">
        <v>4413</v>
      </c>
      <c r="AY18" s="1220">
        <v>4</v>
      </c>
      <c r="AZ18" s="1221">
        <v>80</v>
      </c>
      <c r="BA18" s="1222">
        <v>42</v>
      </c>
      <c r="BB18" s="1223">
        <f t="shared" si="1"/>
        <v>126</v>
      </c>
      <c r="BC18" s="1224">
        <v>7</v>
      </c>
      <c r="BD18" s="1219">
        <f t="shared" si="4"/>
        <v>133</v>
      </c>
      <c r="BE18" s="1931">
        <f t="shared" si="5"/>
        <v>133</v>
      </c>
      <c r="BF18" s="2760">
        <v>18</v>
      </c>
      <c r="BG18" s="1341" t="s">
        <v>4342</v>
      </c>
      <c r="BH18" s="1200" t="s">
        <v>4341</v>
      </c>
    </row>
    <row r="19" spans="2:75" ht="55.5" customHeight="1">
      <c r="B19" s="1922">
        <v>253</v>
      </c>
      <c r="C19" s="1202" t="s">
        <v>3052</v>
      </c>
      <c r="D19" s="1225" t="s">
        <v>11</v>
      </c>
      <c r="E19" s="1203" t="s">
        <v>3054</v>
      </c>
      <c r="F19" s="1257" t="s">
        <v>2610</v>
      </c>
      <c r="G19" s="1205">
        <v>176</v>
      </c>
      <c r="H19" s="1206">
        <v>176</v>
      </c>
      <c r="I19" s="1205">
        <v>111</v>
      </c>
      <c r="J19" s="1206">
        <v>111</v>
      </c>
      <c r="K19" s="1207" t="s">
        <v>3055</v>
      </c>
      <c r="L19" s="1208" t="s">
        <v>2960</v>
      </c>
      <c r="M19" s="1208" t="s">
        <v>2960</v>
      </c>
      <c r="N19" s="1208" t="s">
        <v>3056</v>
      </c>
      <c r="O19" s="1208" t="s">
        <v>3057</v>
      </c>
      <c r="P19" s="1208">
        <v>64</v>
      </c>
      <c r="Q19" s="1205" t="s">
        <v>2963</v>
      </c>
      <c r="R19" s="1210" t="s">
        <v>2963</v>
      </c>
      <c r="S19" s="1206" t="s">
        <v>2963</v>
      </c>
      <c r="T19" s="1233" t="s">
        <v>2964</v>
      </c>
      <c r="U19" s="1205">
        <v>3</v>
      </c>
      <c r="V19" s="1206">
        <v>1</v>
      </c>
      <c r="W19" s="1234" t="s">
        <v>3058</v>
      </c>
      <c r="X19" s="1227" t="s">
        <v>3059</v>
      </c>
      <c r="Y19" s="1229" t="s">
        <v>3060</v>
      </c>
      <c r="Z19" s="1214" t="s">
        <v>2965</v>
      </c>
      <c r="AA19" s="1226" t="s">
        <v>3061</v>
      </c>
      <c r="AB19" s="1227" t="s">
        <v>3062</v>
      </c>
      <c r="AC19" s="1213" t="s">
        <v>3063</v>
      </c>
      <c r="AD19" s="1216" t="s">
        <v>3064</v>
      </c>
      <c r="AE19" s="1212" t="s">
        <v>2969</v>
      </c>
      <c r="AF19" s="1213">
        <v>130</v>
      </c>
      <c r="AG19" s="1356" t="s">
        <v>3053</v>
      </c>
      <c r="AH19" s="1356" t="s">
        <v>4414</v>
      </c>
      <c r="AI19" s="1322" t="s">
        <v>4415</v>
      </c>
      <c r="AJ19" s="1274" t="s">
        <v>4341</v>
      </c>
      <c r="AK19" s="1356" t="s">
        <v>3048</v>
      </c>
      <c r="AL19" s="1237" t="s">
        <v>2973</v>
      </c>
      <c r="AM19" s="1238" t="s">
        <v>2315</v>
      </c>
      <c r="AN19" s="1275" t="s">
        <v>3050</v>
      </c>
      <c r="AO19" s="1240" t="s">
        <v>3019</v>
      </c>
      <c r="AP19" s="1256" t="s">
        <v>4416</v>
      </c>
      <c r="AQ19" s="1220">
        <v>3</v>
      </c>
      <c r="AR19" s="1221">
        <v>68</v>
      </c>
      <c r="AS19" s="1222">
        <v>35</v>
      </c>
      <c r="AT19" s="1223">
        <f t="shared" si="0"/>
        <v>106</v>
      </c>
      <c r="AU19" s="1224">
        <v>6</v>
      </c>
      <c r="AV19" s="1219">
        <f t="shared" si="2"/>
        <v>112</v>
      </c>
      <c r="AW19" s="1931">
        <f t="shared" si="3"/>
        <v>112</v>
      </c>
      <c r="AX19" s="1256" t="s">
        <v>4417</v>
      </c>
      <c r="AY19" s="1220">
        <v>3</v>
      </c>
      <c r="AZ19" s="1221">
        <v>57</v>
      </c>
      <c r="BA19" s="1222">
        <v>30</v>
      </c>
      <c r="BB19" s="1223">
        <f t="shared" si="1"/>
        <v>90</v>
      </c>
      <c r="BC19" s="1224">
        <v>5</v>
      </c>
      <c r="BD19" s="1219">
        <f t="shared" si="4"/>
        <v>95</v>
      </c>
      <c r="BE19" s="1931">
        <f t="shared" si="5"/>
        <v>95</v>
      </c>
      <c r="BF19" s="2760">
        <v>18</v>
      </c>
      <c r="BG19" s="1341" t="s">
        <v>4342</v>
      </c>
      <c r="BH19" s="1200" t="s">
        <v>4341</v>
      </c>
      <c r="BI19" s="1258"/>
      <c r="BJ19" s="1259"/>
    </row>
    <row r="20" spans="2:75" ht="55.5" customHeight="1">
      <c r="B20" s="1924">
        <v>278</v>
      </c>
      <c r="C20" s="1260" t="s">
        <v>4418</v>
      </c>
      <c r="D20" s="1201" t="s">
        <v>13</v>
      </c>
      <c r="E20" s="1261" t="s">
        <v>4419</v>
      </c>
      <c r="F20" s="1388" t="s">
        <v>2969</v>
      </c>
      <c r="G20" s="1262">
        <v>277</v>
      </c>
      <c r="H20" s="1263">
        <v>277</v>
      </c>
      <c r="I20" s="1262">
        <v>222</v>
      </c>
      <c r="J20" s="1263">
        <v>222</v>
      </c>
      <c r="K20" s="1264" t="s">
        <v>4420</v>
      </c>
      <c r="L20" s="1265" t="s">
        <v>2989</v>
      </c>
      <c r="M20" s="1266" t="s">
        <v>2989</v>
      </c>
      <c r="N20" s="1265" t="s">
        <v>2988</v>
      </c>
      <c r="O20" s="1265" t="s">
        <v>2978</v>
      </c>
      <c r="P20" s="1265">
        <v>84</v>
      </c>
      <c r="Q20" s="1262" t="s">
        <v>2963</v>
      </c>
      <c r="R20" s="1267" t="s">
        <v>2963</v>
      </c>
      <c r="S20" s="1263" t="s">
        <v>2963</v>
      </c>
      <c r="T20" s="1211" t="s">
        <v>2602</v>
      </c>
      <c r="U20" s="1262">
        <v>1</v>
      </c>
      <c r="V20" s="1263">
        <v>2</v>
      </c>
      <c r="W20" s="1262">
        <v>3</v>
      </c>
      <c r="X20" s="1268">
        <v>85</v>
      </c>
      <c r="Y20" s="1269">
        <v>17</v>
      </c>
      <c r="Z20" s="1270" t="s">
        <v>2965</v>
      </c>
      <c r="AA20" s="1389">
        <v>64.5</v>
      </c>
      <c r="AB20" s="1268">
        <v>10.5</v>
      </c>
      <c r="AC20" s="1269" t="s">
        <v>3022</v>
      </c>
      <c r="AD20" s="1390" t="s">
        <v>4421</v>
      </c>
      <c r="AE20" s="1268" t="s">
        <v>2969</v>
      </c>
      <c r="AF20" s="1269" t="s">
        <v>4422</v>
      </c>
      <c r="AG20" s="1344" t="s">
        <v>4423</v>
      </c>
      <c r="AH20" s="1344" t="s">
        <v>4424</v>
      </c>
      <c r="AI20" s="1310" t="s">
        <v>4425</v>
      </c>
      <c r="AJ20" s="1236" t="s">
        <v>2991</v>
      </c>
      <c r="AK20" s="1357" t="s">
        <v>3076</v>
      </c>
      <c r="AL20" s="1349" t="s">
        <v>3017</v>
      </c>
      <c r="AM20" s="1238" t="s">
        <v>2364</v>
      </c>
      <c r="AN20" s="1239" t="s">
        <v>3077</v>
      </c>
      <c r="AO20" s="1240" t="s">
        <v>3019</v>
      </c>
      <c r="AP20" s="1219">
        <v>11</v>
      </c>
      <c r="AQ20" s="1220">
        <v>0</v>
      </c>
      <c r="AR20" s="1221">
        <v>78</v>
      </c>
      <c r="AS20" s="1222">
        <v>38</v>
      </c>
      <c r="AT20" s="1223">
        <f t="shared" si="0"/>
        <v>116</v>
      </c>
      <c r="AU20" s="1224">
        <v>11</v>
      </c>
      <c r="AV20" s="1219">
        <f t="shared" si="2"/>
        <v>127</v>
      </c>
      <c r="AW20" s="1931">
        <f t="shared" si="3"/>
        <v>127</v>
      </c>
      <c r="AX20" s="1219">
        <v>11</v>
      </c>
      <c r="AY20" s="1220">
        <v>0</v>
      </c>
      <c r="AZ20" s="1221">
        <v>66</v>
      </c>
      <c r="BA20" s="1222">
        <v>33</v>
      </c>
      <c r="BB20" s="1223">
        <f t="shared" si="1"/>
        <v>99</v>
      </c>
      <c r="BC20" s="1224">
        <v>11</v>
      </c>
      <c r="BD20" s="1219">
        <f t="shared" si="4"/>
        <v>110</v>
      </c>
      <c r="BE20" s="1931">
        <f t="shared" si="5"/>
        <v>110</v>
      </c>
      <c r="BF20" s="2760">
        <v>18</v>
      </c>
      <c r="BG20" s="1341" t="s">
        <v>4342</v>
      </c>
      <c r="BH20" s="1235" t="s">
        <v>4016</v>
      </c>
    </row>
    <row r="21" spans="2:75" ht="55.5" customHeight="1">
      <c r="B21" s="1924">
        <v>281</v>
      </c>
      <c r="C21" s="1202" t="s">
        <v>3078</v>
      </c>
      <c r="D21" s="1201" t="s">
        <v>13</v>
      </c>
      <c r="E21" s="1203" t="s">
        <v>3080</v>
      </c>
      <c r="F21" s="1204" t="s">
        <v>4343</v>
      </c>
      <c r="G21" s="1205">
        <v>270</v>
      </c>
      <c r="H21" s="1206">
        <v>643</v>
      </c>
      <c r="I21" s="1205">
        <v>150</v>
      </c>
      <c r="J21" s="1206">
        <v>377</v>
      </c>
      <c r="K21" s="1207" t="s">
        <v>4426</v>
      </c>
      <c r="L21" s="1208" t="s">
        <v>2989</v>
      </c>
      <c r="M21" s="1209" t="s">
        <v>2989</v>
      </c>
      <c r="N21" s="1208" t="s">
        <v>2989</v>
      </c>
      <c r="O21" s="1208" t="s">
        <v>2978</v>
      </c>
      <c r="P21" s="1208">
        <v>122</v>
      </c>
      <c r="Q21" s="1205" t="s">
        <v>2979</v>
      </c>
      <c r="R21" s="1210" t="s">
        <v>2979</v>
      </c>
      <c r="S21" s="1206" t="s">
        <v>2979</v>
      </c>
      <c r="T21" s="1211" t="s">
        <v>2991</v>
      </c>
      <c r="U21" s="1205">
        <v>5</v>
      </c>
      <c r="V21" s="1206">
        <v>3</v>
      </c>
      <c r="W21" s="1205">
        <v>4</v>
      </c>
      <c r="X21" s="1212">
        <v>93</v>
      </c>
      <c r="Y21" s="1213">
        <v>19</v>
      </c>
      <c r="Z21" s="1214" t="s">
        <v>3006</v>
      </c>
      <c r="AA21" s="1215">
        <v>67</v>
      </c>
      <c r="AB21" s="1212">
        <v>0</v>
      </c>
      <c r="AC21" s="1213" t="s">
        <v>2968</v>
      </c>
      <c r="AD21" s="1216" t="s">
        <v>3081</v>
      </c>
      <c r="AE21" s="1212" t="s">
        <v>2969</v>
      </c>
      <c r="AF21" s="1213">
        <v>135</v>
      </c>
      <c r="AG21" s="1341" t="s">
        <v>4427</v>
      </c>
      <c r="AH21" s="1341" t="s">
        <v>4428</v>
      </c>
      <c r="AI21" s="1207" t="s">
        <v>3079</v>
      </c>
      <c r="AJ21" s="1236" t="s">
        <v>4341</v>
      </c>
      <c r="AK21" s="1351" t="s">
        <v>2453</v>
      </c>
      <c r="AL21" s="1237" t="s">
        <v>2973</v>
      </c>
      <c r="AM21" s="1238" t="s">
        <v>2315</v>
      </c>
      <c r="AN21" s="1239" t="s">
        <v>4429</v>
      </c>
      <c r="AO21" s="1240" t="s">
        <v>3067</v>
      </c>
      <c r="AP21" s="1219">
        <v>22</v>
      </c>
      <c r="AQ21" s="1220">
        <v>64</v>
      </c>
      <c r="AR21" s="1221">
        <v>54</v>
      </c>
      <c r="AS21" s="1222">
        <v>57</v>
      </c>
      <c r="AT21" s="1223">
        <f t="shared" si="0"/>
        <v>175</v>
      </c>
      <c r="AU21" s="1224">
        <v>22</v>
      </c>
      <c r="AV21" s="1219">
        <f t="shared" si="2"/>
        <v>197</v>
      </c>
      <c r="AW21" s="1931">
        <f t="shared" si="3"/>
        <v>197</v>
      </c>
      <c r="AX21" s="1219">
        <v>22</v>
      </c>
      <c r="AY21" s="1220">
        <v>60</v>
      </c>
      <c r="AZ21" s="1221">
        <v>44</v>
      </c>
      <c r="BA21" s="1222">
        <v>52</v>
      </c>
      <c r="BB21" s="1223">
        <f t="shared" si="1"/>
        <v>156</v>
      </c>
      <c r="BC21" s="1224">
        <v>22</v>
      </c>
      <c r="BD21" s="1219">
        <f t="shared" si="4"/>
        <v>178</v>
      </c>
      <c r="BE21" s="1931">
        <f t="shared" si="5"/>
        <v>178</v>
      </c>
      <c r="BF21" s="2760">
        <v>18</v>
      </c>
      <c r="BG21" s="1341" t="s">
        <v>4342</v>
      </c>
      <c r="BH21" s="1200" t="s">
        <v>4341</v>
      </c>
    </row>
    <row r="22" spans="2:75" ht="55.5" customHeight="1">
      <c r="B22" s="1924">
        <v>298</v>
      </c>
      <c r="C22" s="1202" t="s">
        <v>3046</v>
      </c>
      <c r="D22" s="1201" t="s">
        <v>14</v>
      </c>
      <c r="E22" s="1203" t="s">
        <v>2947</v>
      </c>
      <c r="F22" s="1273" t="s">
        <v>4343</v>
      </c>
      <c r="G22" s="1228">
        <v>380</v>
      </c>
      <c r="H22" s="1206">
        <v>427</v>
      </c>
      <c r="I22" s="1228">
        <v>279</v>
      </c>
      <c r="J22" s="1206">
        <v>319</v>
      </c>
      <c r="K22" s="1207" t="s">
        <v>4430</v>
      </c>
      <c r="L22" s="1208" t="s">
        <v>2989</v>
      </c>
      <c r="M22" s="1209" t="s">
        <v>2988</v>
      </c>
      <c r="N22" s="1208" t="s">
        <v>2989</v>
      </c>
      <c r="O22" s="1208" t="s">
        <v>2990</v>
      </c>
      <c r="P22" s="1208">
        <v>140</v>
      </c>
      <c r="Q22" s="1205" t="s">
        <v>2979</v>
      </c>
      <c r="R22" s="1210" t="s">
        <v>2979</v>
      </c>
      <c r="S22" s="1206" t="s">
        <v>2979</v>
      </c>
      <c r="T22" s="1211" t="s">
        <v>2964</v>
      </c>
      <c r="U22" s="1205">
        <v>1</v>
      </c>
      <c r="V22" s="1206">
        <v>1</v>
      </c>
      <c r="W22" s="1205">
        <v>3</v>
      </c>
      <c r="X22" s="1212">
        <v>110</v>
      </c>
      <c r="Y22" s="1213">
        <v>17</v>
      </c>
      <c r="Z22" s="1216" t="s">
        <v>2948</v>
      </c>
      <c r="AA22" s="1226" t="s">
        <v>2949</v>
      </c>
      <c r="AB22" s="1227" t="s">
        <v>2950</v>
      </c>
      <c r="AC22" s="1229" t="s">
        <v>2951</v>
      </c>
      <c r="AD22" s="1216" t="s">
        <v>2952</v>
      </c>
      <c r="AE22" s="1227" t="s">
        <v>2953</v>
      </c>
      <c r="AF22" s="1229" t="s">
        <v>2954</v>
      </c>
      <c r="AG22" s="1341" t="s">
        <v>4431</v>
      </c>
      <c r="AH22" s="1341" t="s">
        <v>4432</v>
      </c>
      <c r="AI22" s="1207"/>
      <c r="AJ22" s="1274" t="s">
        <v>4341</v>
      </c>
      <c r="AK22" s="1357" t="s">
        <v>3044</v>
      </c>
      <c r="AL22" s="1349" t="s">
        <v>2999</v>
      </c>
      <c r="AM22" s="1238" t="s">
        <v>2138</v>
      </c>
      <c r="AN22" s="1239" t="s">
        <v>3045</v>
      </c>
      <c r="AO22" s="1240" t="s">
        <v>2946</v>
      </c>
      <c r="AP22" s="1219">
        <v>18</v>
      </c>
      <c r="AQ22" s="1220">
        <v>40</v>
      </c>
      <c r="AR22" s="1221">
        <v>143</v>
      </c>
      <c r="AS22" s="1222">
        <v>88</v>
      </c>
      <c r="AT22" s="1223">
        <f t="shared" si="0"/>
        <v>271</v>
      </c>
      <c r="AU22" s="1224">
        <v>18</v>
      </c>
      <c r="AV22" s="1219">
        <f t="shared" si="2"/>
        <v>289</v>
      </c>
      <c r="AW22" s="1931">
        <f t="shared" si="3"/>
        <v>289</v>
      </c>
      <c r="AX22" s="1219">
        <v>19</v>
      </c>
      <c r="AY22" s="1220">
        <v>40</v>
      </c>
      <c r="AZ22" s="1221">
        <v>131</v>
      </c>
      <c r="BA22" s="1222">
        <v>86</v>
      </c>
      <c r="BB22" s="1223">
        <f t="shared" si="1"/>
        <v>257</v>
      </c>
      <c r="BC22" s="1224">
        <v>19</v>
      </c>
      <c r="BD22" s="1219">
        <f t="shared" si="4"/>
        <v>276</v>
      </c>
      <c r="BE22" s="1931">
        <f t="shared" si="5"/>
        <v>276</v>
      </c>
      <c r="BF22" s="2760">
        <v>18</v>
      </c>
      <c r="BG22" s="1341" t="s">
        <v>4342</v>
      </c>
      <c r="BH22" s="1235" t="s">
        <v>4016</v>
      </c>
    </row>
    <row r="23" spans="2:75" ht="55.5" customHeight="1">
      <c r="B23" s="1922">
        <v>302</v>
      </c>
      <c r="C23" s="1202" t="s">
        <v>2841</v>
      </c>
      <c r="D23" s="1225" t="s">
        <v>14</v>
      </c>
      <c r="E23" s="1203" t="s">
        <v>4433</v>
      </c>
      <c r="F23" s="1272" t="s">
        <v>4343</v>
      </c>
      <c r="G23" s="1228">
        <v>258</v>
      </c>
      <c r="H23" s="1206">
        <v>500</v>
      </c>
      <c r="I23" s="1228">
        <v>221</v>
      </c>
      <c r="J23" s="1206">
        <v>381</v>
      </c>
      <c r="K23" s="1207" t="s">
        <v>4430</v>
      </c>
      <c r="L23" s="1208" t="s">
        <v>2960</v>
      </c>
      <c r="M23" s="1209" t="s">
        <v>2961</v>
      </c>
      <c r="N23" s="1208" t="s">
        <v>2961</v>
      </c>
      <c r="O23" s="1208"/>
      <c r="P23" s="1208">
        <v>106</v>
      </c>
      <c r="Q23" s="1205" t="s">
        <v>2963</v>
      </c>
      <c r="R23" s="1210" t="s">
        <v>2963</v>
      </c>
      <c r="S23" s="1206" t="s">
        <v>2963</v>
      </c>
      <c r="T23" s="1211"/>
      <c r="U23" s="1205">
        <v>1</v>
      </c>
      <c r="V23" s="1206">
        <v>1</v>
      </c>
      <c r="W23" s="1205">
        <v>2</v>
      </c>
      <c r="X23" s="1212">
        <v>100</v>
      </c>
      <c r="Y23" s="1213">
        <v>15</v>
      </c>
      <c r="Z23" s="1216" t="s">
        <v>2948</v>
      </c>
      <c r="AA23" s="1226" t="s">
        <v>4434</v>
      </c>
      <c r="AB23" s="1212" t="s">
        <v>2830</v>
      </c>
      <c r="AC23" s="1213" t="s">
        <v>4435</v>
      </c>
      <c r="AD23" s="1214"/>
      <c r="AE23" s="1212"/>
      <c r="AF23" s="1213"/>
      <c r="AG23" s="1356" t="s">
        <v>4436</v>
      </c>
      <c r="AH23" s="1356" t="s">
        <v>4437</v>
      </c>
      <c r="AI23" s="1322" t="s">
        <v>4438</v>
      </c>
      <c r="AJ23" s="1274" t="s">
        <v>4341</v>
      </c>
      <c r="AK23" s="1357" t="s">
        <v>3044</v>
      </c>
      <c r="AL23" s="1349" t="s">
        <v>2999</v>
      </c>
      <c r="AM23" s="1238" t="s">
        <v>2138</v>
      </c>
      <c r="AN23" s="1239" t="s">
        <v>3045</v>
      </c>
      <c r="AO23" s="1240" t="s">
        <v>2946</v>
      </c>
      <c r="AP23" s="1219">
        <v>8</v>
      </c>
      <c r="AQ23" s="1220">
        <v>17</v>
      </c>
      <c r="AR23" s="1221">
        <v>63</v>
      </c>
      <c r="AS23" s="1222">
        <v>39</v>
      </c>
      <c r="AT23" s="1223">
        <f t="shared" si="0"/>
        <v>119</v>
      </c>
      <c r="AU23" s="1224">
        <v>8</v>
      </c>
      <c r="AV23" s="1219">
        <f t="shared" si="2"/>
        <v>127</v>
      </c>
      <c r="AW23" s="1931">
        <f t="shared" si="3"/>
        <v>127</v>
      </c>
      <c r="AX23" s="1219">
        <v>7</v>
      </c>
      <c r="AY23" s="1220">
        <v>14</v>
      </c>
      <c r="AZ23" s="1221">
        <v>48</v>
      </c>
      <c r="BA23" s="1222">
        <v>31</v>
      </c>
      <c r="BB23" s="1223">
        <f t="shared" si="1"/>
        <v>93</v>
      </c>
      <c r="BC23" s="1224">
        <v>7</v>
      </c>
      <c r="BD23" s="1219">
        <f t="shared" si="4"/>
        <v>100</v>
      </c>
      <c r="BE23" s="1931">
        <f t="shared" si="5"/>
        <v>100</v>
      </c>
      <c r="BF23" s="2760">
        <v>18</v>
      </c>
      <c r="BG23" s="1341" t="s">
        <v>4342</v>
      </c>
      <c r="BH23" s="1200" t="s">
        <v>4341</v>
      </c>
    </row>
    <row r="24" spans="2:75" s="1178" customFormat="1" ht="55.5" customHeight="1">
      <c r="B24" s="1922">
        <v>304</v>
      </c>
      <c r="C24" s="1202" t="s">
        <v>2278</v>
      </c>
      <c r="D24" s="1225" t="s">
        <v>14</v>
      </c>
      <c r="E24" s="1203" t="s">
        <v>4439</v>
      </c>
      <c r="F24" s="1328" t="s">
        <v>4343</v>
      </c>
      <c r="G24" s="1234" t="s">
        <v>4440</v>
      </c>
      <c r="H24" s="1206">
        <v>246</v>
      </c>
      <c r="I24" s="1234" t="s">
        <v>4441</v>
      </c>
      <c r="J24" s="1206">
        <v>180</v>
      </c>
      <c r="K24" s="1207" t="s">
        <v>4442</v>
      </c>
      <c r="L24" s="1208" t="s">
        <v>2960</v>
      </c>
      <c r="M24" s="1209" t="s">
        <v>2960</v>
      </c>
      <c r="N24" s="1208" t="s">
        <v>2961</v>
      </c>
      <c r="O24" s="1208" t="s">
        <v>2962</v>
      </c>
      <c r="P24" s="1210">
        <v>53</v>
      </c>
      <c r="Q24" s="1205" t="s">
        <v>2963</v>
      </c>
      <c r="R24" s="1210" t="s">
        <v>2963</v>
      </c>
      <c r="S24" s="1206" t="s">
        <v>2963</v>
      </c>
      <c r="T24" s="1206" t="s">
        <v>2964</v>
      </c>
      <c r="U24" s="1205">
        <v>0</v>
      </c>
      <c r="V24" s="1210">
        <v>3</v>
      </c>
      <c r="W24" s="1205">
        <v>2</v>
      </c>
      <c r="X24" s="1212">
        <v>90</v>
      </c>
      <c r="Y24" s="1213">
        <v>15</v>
      </c>
      <c r="Z24" s="1216" t="s">
        <v>4443</v>
      </c>
      <c r="AA24" s="1226" t="s">
        <v>4444</v>
      </c>
      <c r="AB24" s="1227" t="s">
        <v>4445</v>
      </c>
      <c r="AC24" s="1229" t="s">
        <v>2983</v>
      </c>
      <c r="AD24" s="1216">
        <v>84</v>
      </c>
      <c r="AE24" s="1212" t="s">
        <v>2969</v>
      </c>
      <c r="AF24" s="1213">
        <v>125</v>
      </c>
      <c r="AG24" s="1341" t="s">
        <v>4446</v>
      </c>
      <c r="AH24" s="1341" t="s">
        <v>4447</v>
      </c>
      <c r="AI24" s="1207" t="s">
        <v>4448</v>
      </c>
      <c r="AJ24" s="1251" t="s">
        <v>4341</v>
      </c>
      <c r="AK24" s="1357" t="s">
        <v>2929</v>
      </c>
      <c r="AL24" s="1246" t="s">
        <v>2930</v>
      </c>
      <c r="AM24" s="1247" t="s">
        <v>2138</v>
      </c>
      <c r="AN24" s="1252" t="s">
        <v>2931</v>
      </c>
      <c r="AO24" s="1276" t="s">
        <v>2932</v>
      </c>
      <c r="AP24" s="1256" t="s">
        <v>4449</v>
      </c>
      <c r="AQ24" s="1220">
        <v>120</v>
      </c>
      <c r="AR24" s="1221">
        <v>0</v>
      </c>
      <c r="AS24" s="1222">
        <v>58</v>
      </c>
      <c r="AT24" s="1223">
        <f t="shared" si="0"/>
        <v>178</v>
      </c>
      <c r="AU24" s="1224">
        <v>10</v>
      </c>
      <c r="AV24" s="1219">
        <f t="shared" si="2"/>
        <v>188</v>
      </c>
      <c r="AW24" s="1931">
        <f t="shared" si="3"/>
        <v>188</v>
      </c>
      <c r="AX24" s="1256" t="s">
        <v>4450</v>
      </c>
      <c r="AY24" s="1220">
        <v>108</v>
      </c>
      <c r="AZ24" s="1221">
        <v>0</v>
      </c>
      <c r="BA24" s="1222">
        <v>54</v>
      </c>
      <c r="BB24" s="1223">
        <f t="shared" si="1"/>
        <v>162</v>
      </c>
      <c r="BC24" s="1224">
        <v>9</v>
      </c>
      <c r="BD24" s="1219">
        <f t="shared" si="4"/>
        <v>171</v>
      </c>
      <c r="BE24" s="1931">
        <f t="shared" si="5"/>
        <v>171</v>
      </c>
      <c r="BF24" s="2760">
        <v>18</v>
      </c>
      <c r="BG24" s="1341" t="s">
        <v>4342</v>
      </c>
      <c r="BH24" s="1235" t="s">
        <v>4341</v>
      </c>
      <c r="BJ24" s="1217"/>
    </row>
    <row r="25" spans="2:75" s="1178" customFormat="1" ht="55.5" customHeight="1">
      <c r="B25" s="1922">
        <v>1021</v>
      </c>
      <c r="C25" s="1202" t="s">
        <v>3123</v>
      </c>
      <c r="D25" s="1225" t="s">
        <v>4333</v>
      </c>
      <c r="E25" s="1203" t="s">
        <v>4451</v>
      </c>
      <c r="F25" s="1204" t="s">
        <v>4343</v>
      </c>
      <c r="G25" s="1234" t="s">
        <v>4452</v>
      </c>
      <c r="H25" s="1206">
        <v>500</v>
      </c>
      <c r="I25" s="1234" t="s">
        <v>4453</v>
      </c>
      <c r="J25" s="1206">
        <v>360</v>
      </c>
      <c r="K25" s="1207" t="s">
        <v>4454</v>
      </c>
      <c r="L25" s="1208" t="s">
        <v>2960</v>
      </c>
      <c r="M25" s="1207" t="s">
        <v>2960</v>
      </c>
      <c r="N25" s="1208" t="s">
        <v>2960</v>
      </c>
      <c r="O25" s="1208" t="s">
        <v>2962</v>
      </c>
      <c r="P25" s="1208">
        <v>90</v>
      </c>
      <c r="Q25" s="1205" t="s">
        <v>2963</v>
      </c>
      <c r="R25" s="1210" t="s">
        <v>2963</v>
      </c>
      <c r="S25" s="1206" t="s">
        <v>2963</v>
      </c>
      <c r="T25" s="1211" t="s">
        <v>2964</v>
      </c>
      <c r="U25" s="1205">
        <v>4</v>
      </c>
      <c r="V25" s="1206">
        <v>2</v>
      </c>
      <c r="W25" s="1205">
        <v>4</v>
      </c>
      <c r="X25" s="1212">
        <v>110</v>
      </c>
      <c r="Y25" s="1213">
        <v>20</v>
      </c>
      <c r="Z25" s="1216" t="s">
        <v>2980</v>
      </c>
      <c r="AA25" s="1226" t="s">
        <v>4455</v>
      </c>
      <c r="AB25" s="1227" t="s">
        <v>4456</v>
      </c>
      <c r="AC25" s="1213" t="s">
        <v>4457</v>
      </c>
      <c r="AD25" s="1216" t="s">
        <v>4458</v>
      </c>
      <c r="AE25" s="1227" t="s">
        <v>4459</v>
      </c>
      <c r="AF25" s="1229" t="s">
        <v>4460</v>
      </c>
      <c r="AG25" s="1356" t="s">
        <v>4461</v>
      </c>
      <c r="AH25" s="1356" t="s">
        <v>4462</v>
      </c>
      <c r="AI25" s="1322"/>
      <c r="AJ25" s="1274" t="s">
        <v>4341</v>
      </c>
      <c r="AK25" s="1357" t="s">
        <v>2942</v>
      </c>
      <c r="AL25" s="1237" t="s">
        <v>2943</v>
      </c>
      <c r="AM25" s="1238" t="s">
        <v>2944</v>
      </c>
      <c r="AN25" s="1275" t="s">
        <v>2945</v>
      </c>
      <c r="AO25" s="1240" t="s">
        <v>2946</v>
      </c>
      <c r="AP25" s="1219">
        <v>30</v>
      </c>
      <c r="AQ25" s="1220">
        <v>86</v>
      </c>
      <c r="AR25" s="1221">
        <v>147</v>
      </c>
      <c r="AS25" s="1222">
        <v>112</v>
      </c>
      <c r="AT25" s="1223">
        <f t="shared" si="0"/>
        <v>345</v>
      </c>
      <c r="AU25" s="1224">
        <v>30</v>
      </c>
      <c r="AV25" s="1219">
        <f t="shared" si="2"/>
        <v>375</v>
      </c>
      <c r="AW25" s="1931">
        <f t="shared" si="3"/>
        <v>375</v>
      </c>
      <c r="AX25" s="1219">
        <v>30</v>
      </c>
      <c r="AY25" s="1220">
        <v>82</v>
      </c>
      <c r="AZ25" s="1221">
        <v>125</v>
      </c>
      <c r="BA25" s="1222">
        <v>104</v>
      </c>
      <c r="BB25" s="1223">
        <f t="shared" si="1"/>
        <v>311</v>
      </c>
      <c r="BC25" s="1224">
        <v>30</v>
      </c>
      <c r="BD25" s="1219">
        <f t="shared" si="4"/>
        <v>341</v>
      </c>
      <c r="BE25" s="1931">
        <f t="shared" si="5"/>
        <v>341</v>
      </c>
      <c r="BF25" s="2760">
        <v>18</v>
      </c>
      <c r="BG25" s="1341" t="s">
        <v>4342</v>
      </c>
      <c r="BH25" s="1200" t="s">
        <v>4341</v>
      </c>
      <c r="BJ25" s="1217"/>
      <c r="BK25" s="1217"/>
      <c r="BL25" s="1217"/>
      <c r="BM25" s="1217"/>
      <c r="BN25" s="1217"/>
      <c r="BO25" s="1217"/>
      <c r="BP25" s="1217"/>
      <c r="BQ25" s="1217"/>
      <c r="BR25" s="1217"/>
      <c r="BS25" s="1217"/>
      <c r="BT25" s="1217"/>
      <c r="BU25" s="1217"/>
      <c r="BV25" s="1217"/>
      <c r="BW25" s="1217"/>
    </row>
    <row r="26" spans="2:75" s="1178" customFormat="1" ht="55.5" customHeight="1">
      <c r="B26" s="1923">
        <v>1027</v>
      </c>
      <c r="C26" s="1419" t="s">
        <v>2976</v>
      </c>
      <c r="D26" s="1418" t="s">
        <v>2933</v>
      </c>
      <c r="E26" s="1420">
        <v>2023</v>
      </c>
      <c r="F26" s="1511" t="s">
        <v>2969</v>
      </c>
      <c r="G26" s="1422">
        <v>216</v>
      </c>
      <c r="H26" s="1512">
        <v>216</v>
      </c>
      <c r="I26" s="1422">
        <v>150</v>
      </c>
      <c r="J26" s="1512">
        <v>150</v>
      </c>
      <c r="K26" s="1424" t="s">
        <v>4463</v>
      </c>
      <c r="L26" s="1424" t="s">
        <v>2977</v>
      </c>
      <c r="M26" s="1513" t="s">
        <v>2960</v>
      </c>
      <c r="N26" s="1424" t="s">
        <v>2960</v>
      </c>
      <c r="O26" s="1425" t="s">
        <v>2978</v>
      </c>
      <c r="P26" s="1424">
        <v>165</v>
      </c>
      <c r="Q26" s="1422" t="s">
        <v>2979</v>
      </c>
      <c r="R26" s="1427" t="s">
        <v>2979</v>
      </c>
      <c r="S26" s="1423" t="s">
        <v>2979</v>
      </c>
      <c r="T26" s="1358" t="s">
        <v>2964</v>
      </c>
      <c r="U26" s="1514">
        <v>2</v>
      </c>
      <c r="V26" s="1512">
        <v>6</v>
      </c>
      <c r="W26" s="1514">
        <v>3</v>
      </c>
      <c r="X26" s="1432">
        <v>100</v>
      </c>
      <c r="Y26" s="1473">
        <v>17</v>
      </c>
      <c r="Z26" s="1433" t="s">
        <v>2980</v>
      </c>
      <c r="AA26" s="1431" t="s">
        <v>3013</v>
      </c>
      <c r="AB26" s="1432">
        <v>1</v>
      </c>
      <c r="AC26" s="1429" t="s">
        <v>2968</v>
      </c>
      <c r="AD26" s="1433">
        <v>87</v>
      </c>
      <c r="AE26" s="1432" t="s">
        <v>2969</v>
      </c>
      <c r="AF26" s="1473">
        <v>60</v>
      </c>
      <c r="AG26" s="1343" t="s">
        <v>4464</v>
      </c>
      <c r="AH26" s="1343" t="s">
        <v>4465</v>
      </c>
      <c r="AI26" s="1375"/>
      <c r="AJ26" s="1236" t="s">
        <v>4341</v>
      </c>
      <c r="AK26" s="1339" t="s">
        <v>2998</v>
      </c>
      <c r="AL26" s="1349" t="s">
        <v>2999</v>
      </c>
      <c r="AM26" s="1238" t="s">
        <v>2138</v>
      </c>
      <c r="AN26" s="1239" t="s">
        <v>3000</v>
      </c>
      <c r="AO26" s="1240" t="s">
        <v>2946</v>
      </c>
      <c r="AP26" s="1434">
        <v>5</v>
      </c>
      <c r="AQ26" s="1435">
        <v>15</v>
      </c>
      <c r="AR26" s="1436">
        <v>53</v>
      </c>
      <c r="AS26" s="1437">
        <v>33</v>
      </c>
      <c r="AT26" s="1438">
        <f t="shared" si="0"/>
        <v>101</v>
      </c>
      <c r="AU26" s="1411">
        <v>5</v>
      </c>
      <c r="AV26" s="1434">
        <f t="shared" si="2"/>
        <v>106</v>
      </c>
      <c r="AW26" s="1932">
        <f>AT26+AU26+AT27+AU27</f>
        <v>192</v>
      </c>
      <c r="AX26" s="1434">
        <v>5</v>
      </c>
      <c r="AY26" s="1435">
        <v>15</v>
      </c>
      <c r="AZ26" s="1436">
        <v>45</v>
      </c>
      <c r="BA26" s="1437">
        <v>30</v>
      </c>
      <c r="BB26" s="1438">
        <f t="shared" si="1"/>
        <v>90</v>
      </c>
      <c r="BC26" s="1411">
        <v>5</v>
      </c>
      <c r="BD26" s="1434">
        <f t="shared" si="4"/>
        <v>95</v>
      </c>
      <c r="BE26" s="1932">
        <f>BB26+BC26+BB27+BC27</f>
        <v>173</v>
      </c>
      <c r="BF26" s="2759">
        <v>18</v>
      </c>
      <c r="BG26" s="1439" t="s">
        <v>4342</v>
      </c>
      <c r="BH26" s="1440" t="s">
        <v>4365</v>
      </c>
      <c r="BJ26" s="1217"/>
      <c r="BK26" s="1217"/>
      <c r="BL26" s="1217"/>
      <c r="BM26" s="1217"/>
      <c r="BN26" s="1217"/>
      <c r="BO26" s="1217"/>
      <c r="BP26" s="1217"/>
      <c r="BQ26" s="1217"/>
      <c r="BR26" s="1217"/>
      <c r="BS26" s="1217"/>
      <c r="BT26" s="1217"/>
      <c r="BU26" s="1217"/>
      <c r="BV26" s="1217"/>
      <c r="BW26" s="1217"/>
    </row>
    <row r="27" spans="2:75" s="1178" customFormat="1" ht="55.5" customHeight="1">
      <c r="B27" s="2244">
        <v>1027</v>
      </c>
      <c r="C27" s="2226" t="s">
        <v>2696</v>
      </c>
      <c r="D27" s="2227" t="s">
        <v>4333</v>
      </c>
      <c r="E27" s="2228">
        <v>2023</v>
      </c>
      <c r="F27" s="2229" t="s">
        <v>2969</v>
      </c>
      <c r="G27" s="2230">
        <v>216</v>
      </c>
      <c r="H27" s="2231">
        <v>216</v>
      </c>
      <c r="I27" s="2230">
        <v>150</v>
      </c>
      <c r="J27" s="2231">
        <v>150</v>
      </c>
      <c r="K27" s="1444" t="s">
        <v>4466</v>
      </c>
      <c r="L27" s="1444" t="s">
        <v>2977</v>
      </c>
      <c r="M27" s="1516" t="s">
        <v>2960</v>
      </c>
      <c r="N27" s="1444" t="s">
        <v>2960</v>
      </c>
      <c r="O27" s="1445" t="s">
        <v>2978</v>
      </c>
      <c r="P27" s="1444">
        <v>165</v>
      </c>
      <c r="Q27" s="1442" t="s">
        <v>2979</v>
      </c>
      <c r="R27" s="1447" t="s">
        <v>2979</v>
      </c>
      <c r="S27" s="1443" t="s">
        <v>2979</v>
      </c>
      <c r="T27" s="1448" t="s">
        <v>2964</v>
      </c>
      <c r="U27" s="1517">
        <v>2</v>
      </c>
      <c r="V27" s="1515">
        <v>6</v>
      </c>
      <c r="W27" s="1517">
        <v>3</v>
      </c>
      <c r="X27" s="1453">
        <v>100</v>
      </c>
      <c r="Y27" s="1475">
        <v>17</v>
      </c>
      <c r="Z27" s="1454" t="s">
        <v>2980</v>
      </c>
      <c r="AA27" s="1452" t="s">
        <v>3013</v>
      </c>
      <c r="AB27" s="1453">
        <v>1</v>
      </c>
      <c r="AC27" s="1450" t="s">
        <v>2968</v>
      </c>
      <c r="AD27" s="1454">
        <v>87</v>
      </c>
      <c r="AE27" s="1453" t="s">
        <v>2969</v>
      </c>
      <c r="AF27" s="1475">
        <v>60</v>
      </c>
      <c r="AG27" s="1455" t="s">
        <v>4467</v>
      </c>
      <c r="AH27" s="1455" t="s">
        <v>4468</v>
      </c>
      <c r="AI27" s="1456"/>
      <c r="AJ27" s="1457" t="s">
        <v>4341</v>
      </c>
      <c r="AK27" s="1476" t="s">
        <v>2972</v>
      </c>
      <c r="AL27" s="1477" t="s">
        <v>2973</v>
      </c>
      <c r="AM27" s="1460" t="s">
        <v>2138</v>
      </c>
      <c r="AN27" s="1478" t="s">
        <v>2974</v>
      </c>
      <c r="AO27" s="1462" t="s">
        <v>2975</v>
      </c>
      <c r="AP27" s="1479">
        <v>10</v>
      </c>
      <c r="AQ27" s="1464">
        <v>51</v>
      </c>
      <c r="AR27" s="1465">
        <v>0</v>
      </c>
      <c r="AS27" s="1466">
        <v>25</v>
      </c>
      <c r="AT27" s="1467">
        <f t="shared" si="0"/>
        <v>76</v>
      </c>
      <c r="AU27" s="1468">
        <v>10</v>
      </c>
      <c r="AV27" s="1479">
        <f t="shared" si="2"/>
        <v>86</v>
      </c>
      <c r="AW27" s="1933"/>
      <c r="AX27" s="1479">
        <v>10</v>
      </c>
      <c r="AY27" s="1464">
        <v>45</v>
      </c>
      <c r="AZ27" s="1465">
        <v>0</v>
      </c>
      <c r="BA27" s="1466">
        <v>23</v>
      </c>
      <c r="BB27" s="1467">
        <f t="shared" si="1"/>
        <v>68</v>
      </c>
      <c r="BC27" s="1468">
        <v>10</v>
      </c>
      <c r="BD27" s="1479">
        <f t="shared" si="4"/>
        <v>78</v>
      </c>
      <c r="BE27" s="1933"/>
      <c r="BF27" s="2758"/>
      <c r="BG27" s="1469"/>
      <c r="BH27" s="1463" t="s">
        <v>4369</v>
      </c>
      <c r="BJ27" s="1217"/>
      <c r="BK27" s="1217"/>
      <c r="BL27" s="1217"/>
      <c r="BM27" s="1217"/>
      <c r="BN27" s="1217"/>
      <c r="BO27" s="1217"/>
      <c r="BP27" s="1217"/>
      <c r="BQ27" s="1217"/>
      <c r="BR27" s="1217"/>
      <c r="BS27" s="1217"/>
      <c r="BT27" s="1217"/>
      <c r="BU27" s="1217"/>
      <c r="BV27" s="1217"/>
      <c r="BW27" s="1217"/>
    </row>
    <row r="28" spans="2:75" s="1178" customFormat="1" ht="55.5" customHeight="1" thickBot="1">
      <c r="B28" s="1922">
        <v>1033</v>
      </c>
      <c r="C28" s="1202" t="s">
        <v>2709</v>
      </c>
      <c r="D28" s="1225" t="s">
        <v>2933</v>
      </c>
      <c r="E28" s="1203">
        <v>2025</v>
      </c>
      <c r="F28" s="1230" t="s">
        <v>4469</v>
      </c>
      <c r="G28" s="1234" t="s">
        <v>4470</v>
      </c>
      <c r="H28" s="1231" t="s">
        <v>4470</v>
      </c>
      <c r="I28" s="1234" t="s">
        <v>4471</v>
      </c>
      <c r="J28" s="1231">
        <v>108</v>
      </c>
      <c r="K28" s="1207" t="s">
        <v>4472</v>
      </c>
      <c r="L28" s="1207" t="s">
        <v>2602</v>
      </c>
      <c r="M28" s="1232" t="s">
        <v>2960</v>
      </c>
      <c r="N28" s="1207" t="s">
        <v>2960</v>
      </c>
      <c r="O28" s="1208" t="s">
        <v>2978</v>
      </c>
      <c r="P28" s="1207">
        <v>165</v>
      </c>
      <c r="Q28" s="1205" t="s">
        <v>2979</v>
      </c>
      <c r="R28" s="1210" t="s">
        <v>2979</v>
      </c>
      <c r="S28" s="1206" t="s">
        <v>2979</v>
      </c>
      <c r="T28" s="1233" t="s">
        <v>4471</v>
      </c>
      <c r="U28" s="1234" t="s">
        <v>4470</v>
      </c>
      <c r="V28" s="1231" t="s">
        <v>4470</v>
      </c>
      <c r="W28" s="1234" t="s">
        <v>4470</v>
      </c>
      <c r="X28" s="1227" t="s">
        <v>4470</v>
      </c>
      <c r="Y28" s="1229" t="s">
        <v>4470</v>
      </c>
      <c r="Z28" s="1216" t="s">
        <v>4470</v>
      </c>
      <c r="AA28" s="1226" t="s">
        <v>4470</v>
      </c>
      <c r="AB28" s="1227" t="s">
        <v>4470</v>
      </c>
      <c r="AC28" s="1229" t="s">
        <v>4470</v>
      </c>
      <c r="AD28" s="1216" t="s">
        <v>4470</v>
      </c>
      <c r="AE28" s="1227" t="s">
        <v>4470</v>
      </c>
      <c r="AF28" s="1229" t="s">
        <v>4470</v>
      </c>
      <c r="AG28" s="1356"/>
      <c r="AH28" s="1356" t="s">
        <v>4473</v>
      </c>
      <c r="AI28" s="1322" t="s">
        <v>4474</v>
      </c>
      <c r="AJ28" s="1245" t="s">
        <v>4341</v>
      </c>
      <c r="AK28" s="1351" t="s">
        <v>2998</v>
      </c>
      <c r="AL28" s="1249" t="s">
        <v>2999</v>
      </c>
      <c r="AM28" s="1247" t="s">
        <v>2138</v>
      </c>
      <c r="AN28" s="1248" t="s">
        <v>3000</v>
      </c>
      <c r="AO28" s="1218" t="s">
        <v>2946</v>
      </c>
      <c r="AP28" s="1219">
        <v>5</v>
      </c>
      <c r="AQ28" s="1220">
        <v>15</v>
      </c>
      <c r="AR28" s="1221">
        <v>53</v>
      </c>
      <c r="AS28" s="1222">
        <v>33</v>
      </c>
      <c r="AT28" s="1277">
        <f>SUM(AQ28:AS28)</f>
        <v>101</v>
      </c>
      <c r="AU28" s="1224">
        <v>5</v>
      </c>
      <c r="AV28" s="1219">
        <f>AT28+AU28</f>
        <v>106</v>
      </c>
      <c r="AW28" s="1931">
        <f>AT28+AU28</f>
        <v>106</v>
      </c>
      <c r="AX28" s="1219">
        <v>5</v>
      </c>
      <c r="AY28" s="1220">
        <v>15</v>
      </c>
      <c r="AZ28" s="1221">
        <v>45</v>
      </c>
      <c r="BA28" s="1222">
        <v>30</v>
      </c>
      <c r="BB28" s="1277">
        <f>SUM(AY28:BA28)</f>
        <v>90</v>
      </c>
      <c r="BC28" s="1224">
        <v>5</v>
      </c>
      <c r="BD28" s="1219">
        <f>BB28+BC28</f>
        <v>95</v>
      </c>
      <c r="BE28" s="1931">
        <f>BB28+BC28</f>
        <v>95</v>
      </c>
      <c r="BF28" s="2760">
        <v>18</v>
      </c>
      <c r="BG28" s="1341" t="s">
        <v>4342</v>
      </c>
      <c r="BH28" s="1235" t="s">
        <v>4471</v>
      </c>
      <c r="BJ28" s="1217"/>
      <c r="BK28" s="1217"/>
      <c r="BL28" s="1217"/>
      <c r="BM28" s="1217"/>
      <c r="BN28" s="1217"/>
      <c r="BO28" s="1217"/>
      <c r="BP28" s="1217"/>
      <c r="BQ28" s="1217"/>
      <c r="BR28" s="1217"/>
      <c r="BS28" s="1217"/>
      <c r="BT28" s="1217"/>
      <c r="BU28" s="1217"/>
      <c r="BV28" s="1217"/>
      <c r="BW28" s="1217"/>
    </row>
    <row r="29" spans="2:75" s="1178" customFormat="1" ht="55.5" customHeight="1">
      <c r="B29" s="1922">
        <v>2022</v>
      </c>
      <c r="C29" s="1202" t="s">
        <v>4475</v>
      </c>
      <c r="D29" s="1225" t="s">
        <v>3097</v>
      </c>
      <c r="E29" s="1203" t="s">
        <v>3100</v>
      </c>
      <c r="F29" s="1204" t="s">
        <v>4343</v>
      </c>
      <c r="G29" s="1234">
        <v>121</v>
      </c>
      <c r="H29" s="1206">
        <v>522</v>
      </c>
      <c r="I29" s="1234" t="s">
        <v>4476</v>
      </c>
      <c r="J29" s="1206">
        <v>212</v>
      </c>
      <c r="K29" s="1207" t="s">
        <v>3101</v>
      </c>
      <c r="L29" s="1208" t="s">
        <v>2989</v>
      </c>
      <c r="M29" s="1209" t="s">
        <v>2989</v>
      </c>
      <c r="N29" s="1207" t="s">
        <v>4477</v>
      </c>
      <c r="O29" s="1207" t="s">
        <v>3102</v>
      </c>
      <c r="P29" s="1208">
        <v>122</v>
      </c>
      <c r="Q29" s="1205" t="s">
        <v>2979</v>
      </c>
      <c r="R29" s="1210" t="s">
        <v>2979</v>
      </c>
      <c r="S29" s="1206" t="s">
        <v>2979</v>
      </c>
      <c r="T29" s="1211" t="s">
        <v>2991</v>
      </c>
      <c r="U29" s="1205" t="s">
        <v>2988</v>
      </c>
      <c r="V29" s="1206" t="s">
        <v>2988</v>
      </c>
      <c r="W29" s="1205" t="s">
        <v>2988</v>
      </c>
      <c r="X29" s="1212" t="s">
        <v>3103</v>
      </c>
      <c r="Y29" s="1213" t="s">
        <v>3103</v>
      </c>
      <c r="Z29" s="1214" t="s">
        <v>2980</v>
      </c>
      <c r="AA29" s="1215" t="s">
        <v>3104</v>
      </c>
      <c r="AB29" s="1212">
        <v>0</v>
      </c>
      <c r="AC29" s="1213" t="s">
        <v>2968</v>
      </c>
      <c r="AD29" s="1216" t="s">
        <v>3105</v>
      </c>
      <c r="AE29" s="1212" t="s">
        <v>2969</v>
      </c>
      <c r="AF29" s="1213">
        <v>135</v>
      </c>
      <c r="AG29" s="1356" t="s">
        <v>3099</v>
      </c>
      <c r="AH29" s="1356" t="s">
        <v>4478</v>
      </c>
      <c r="AI29" s="1322" t="s">
        <v>4479</v>
      </c>
      <c r="AJ29" s="1245" t="s">
        <v>4341</v>
      </c>
      <c r="AK29" s="1356" t="s">
        <v>3093</v>
      </c>
      <c r="AL29" s="1246" t="s">
        <v>3094</v>
      </c>
      <c r="AM29" s="1247" t="s">
        <v>2396</v>
      </c>
      <c r="AN29" s="1248" t="s">
        <v>3095</v>
      </c>
      <c r="AO29" s="1218" t="s">
        <v>3035</v>
      </c>
      <c r="AP29" s="1219">
        <v>14</v>
      </c>
      <c r="AQ29" s="1220">
        <v>16</v>
      </c>
      <c r="AR29" s="1221">
        <v>59</v>
      </c>
      <c r="AS29" s="1222">
        <v>36</v>
      </c>
      <c r="AT29" s="1223">
        <f t="shared" si="0"/>
        <v>111</v>
      </c>
      <c r="AU29" s="1224">
        <v>14</v>
      </c>
      <c r="AV29" s="1219">
        <f t="shared" si="2"/>
        <v>125</v>
      </c>
      <c r="AW29" s="1931">
        <f t="shared" si="3"/>
        <v>125</v>
      </c>
      <c r="AX29" s="1219">
        <v>14</v>
      </c>
      <c r="AY29" s="1220">
        <v>15</v>
      </c>
      <c r="AZ29" s="1221">
        <v>52</v>
      </c>
      <c r="BA29" s="1222">
        <v>34</v>
      </c>
      <c r="BB29" s="1223">
        <f t="shared" si="1"/>
        <v>101</v>
      </c>
      <c r="BC29" s="1224">
        <v>14</v>
      </c>
      <c r="BD29" s="1219">
        <f t="shared" si="4"/>
        <v>115</v>
      </c>
      <c r="BE29" s="1931">
        <f t="shared" si="5"/>
        <v>115</v>
      </c>
      <c r="BF29" s="2760">
        <v>18</v>
      </c>
      <c r="BG29" s="1341" t="s">
        <v>4342</v>
      </c>
      <c r="BH29" s="1235" t="s">
        <v>4341</v>
      </c>
      <c r="BJ29" s="1217"/>
      <c r="BK29" s="1217"/>
      <c r="BL29" s="1217"/>
      <c r="BM29" s="1217"/>
      <c r="BN29" s="1217"/>
      <c r="BO29" s="1217"/>
      <c r="BP29" s="1217"/>
      <c r="BQ29" s="1217"/>
      <c r="BR29" s="1217"/>
      <c r="BS29" s="1217"/>
      <c r="BT29" s="1217"/>
      <c r="BU29" s="1217"/>
      <c r="BV29" s="1217"/>
      <c r="BW29" s="1217"/>
    </row>
    <row r="30" spans="2:75" s="1178" customFormat="1" ht="55.5" customHeight="1">
      <c r="B30" s="1922">
        <v>2027</v>
      </c>
      <c r="C30" s="1202" t="s">
        <v>3085</v>
      </c>
      <c r="D30" s="1225" t="s">
        <v>3084</v>
      </c>
      <c r="E30" s="1207" t="s">
        <v>3086</v>
      </c>
      <c r="F30" s="1254" t="s">
        <v>4343</v>
      </c>
      <c r="G30" s="1228" t="s">
        <v>4480</v>
      </c>
      <c r="H30" s="1206">
        <v>348</v>
      </c>
      <c r="I30" s="1228" t="s">
        <v>4481</v>
      </c>
      <c r="J30" s="1206">
        <v>192</v>
      </c>
      <c r="K30" s="1207" t="s">
        <v>4482</v>
      </c>
      <c r="L30" s="1208" t="s">
        <v>2960</v>
      </c>
      <c r="M30" s="1209" t="s">
        <v>2960</v>
      </c>
      <c r="N30" s="1208" t="s">
        <v>2960</v>
      </c>
      <c r="O30" s="1208" t="s">
        <v>3087</v>
      </c>
      <c r="P30" s="1208">
        <v>142</v>
      </c>
      <c r="Q30" s="1205" t="s">
        <v>2963</v>
      </c>
      <c r="R30" s="1210" t="s">
        <v>2963</v>
      </c>
      <c r="S30" s="1206" t="s">
        <v>2963</v>
      </c>
      <c r="T30" s="1233" t="s">
        <v>3031</v>
      </c>
      <c r="U30" s="1205">
        <v>1</v>
      </c>
      <c r="V30" s="1206">
        <v>1</v>
      </c>
      <c r="W30" s="1205">
        <v>3</v>
      </c>
      <c r="X30" s="1210">
        <v>99</v>
      </c>
      <c r="Y30" s="1206">
        <v>17</v>
      </c>
      <c r="Z30" s="1205" t="s">
        <v>2965</v>
      </c>
      <c r="AA30" s="1242" t="s">
        <v>3088</v>
      </c>
      <c r="AB30" s="1243" t="s">
        <v>3089</v>
      </c>
      <c r="AC30" s="1231" t="s">
        <v>2968</v>
      </c>
      <c r="AD30" s="1205">
        <v>75</v>
      </c>
      <c r="AE30" s="1210" t="s">
        <v>2969</v>
      </c>
      <c r="AF30" s="1206">
        <v>135</v>
      </c>
      <c r="AG30" s="1356" t="s">
        <v>4483</v>
      </c>
      <c r="AH30" s="1356" t="s">
        <v>4484</v>
      </c>
      <c r="AI30" s="1322" t="s">
        <v>4485</v>
      </c>
      <c r="AJ30" s="1251" t="s">
        <v>4341</v>
      </c>
      <c r="AK30" s="1357" t="s">
        <v>2956</v>
      </c>
      <c r="AL30" s="1246" t="s">
        <v>2930</v>
      </c>
      <c r="AM30" s="1247" t="s">
        <v>2138</v>
      </c>
      <c r="AN30" s="1252" t="s">
        <v>2957</v>
      </c>
      <c r="AO30" s="1207" t="s">
        <v>2937</v>
      </c>
      <c r="AP30" s="1219">
        <v>31</v>
      </c>
      <c r="AQ30" s="1220">
        <v>84</v>
      </c>
      <c r="AR30" s="1221">
        <v>69</v>
      </c>
      <c r="AS30" s="1222">
        <v>74</v>
      </c>
      <c r="AT30" s="1223">
        <f t="shared" si="0"/>
        <v>227</v>
      </c>
      <c r="AU30" s="1224">
        <v>31</v>
      </c>
      <c r="AV30" s="1219">
        <f t="shared" si="2"/>
        <v>258</v>
      </c>
      <c r="AW30" s="1931">
        <f t="shared" si="3"/>
        <v>258</v>
      </c>
      <c r="AX30" s="1219">
        <v>31</v>
      </c>
      <c r="AY30" s="1220">
        <v>79</v>
      </c>
      <c r="AZ30" s="1221">
        <v>56</v>
      </c>
      <c r="BA30" s="1222">
        <v>68</v>
      </c>
      <c r="BB30" s="1223">
        <f t="shared" si="1"/>
        <v>203</v>
      </c>
      <c r="BC30" s="1224">
        <v>31</v>
      </c>
      <c r="BD30" s="1219">
        <f t="shared" si="4"/>
        <v>234</v>
      </c>
      <c r="BE30" s="1931">
        <f t="shared" si="5"/>
        <v>234</v>
      </c>
      <c r="BF30" s="2760">
        <v>18</v>
      </c>
      <c r="BG30" s="1341" t="s">
        <v>4342</v>
      </c>
      <c r="BH30" s="1235" t="s">
        <v>4016</v>
      </c>
      <c r="BJ30" s="1217"/>
      <c r="BK30" s="1217"/>
      <c r="BL30" s="1217"/>
      <c r="BM30" s="1217"/>
      <c r="BN30" s="1217"/>
      <c r="BO30" s="1217"/>
      <c r="BP30" s="1217"/>
      <c r="BQ30" s="1217"/>
      <c r="BR30" s="1217"/>
      <c r="BS30" s="1217"/>
      <c r="BT30" s="1217"/>
      <c r="BU30" s="1217"/>
      <c r="BV30" s="1217"/>
      <c r="BW30" s="1217"/>
    </row>
    <row r="31" spans="2:75" s="1178" customFormat="1" ht="28.5" customHeight="1">
      <c r="B31" s="1927"/>
      <c r="C31" s="1282"/>
      <c r="D31" s="1280"/>
      <c r="E31" s="1284"/>
      <c r="F31" s="1285"/>
      <c r="G31" s="1285"/>
      <c r="H31" s="1285"/>
      <c r="I31" s="1280"/>
      <c r="J31" s="1286"/>
      <c r="K31" s="1217"/>
      <c r="L31" s="1217"/>
      <c r="M31" s="1217"/>
      <c r="N31" s="1217"/>
      <c r="O31" s="1217"/>
      <c r="P31" s="1217"/>
      <c r="Q31" s="1217"/>
      <c r="R31" s="1217"/>
      <c r="S31" s="1217"/>
      <c r="T31" s="1217"/>
      <c r="U31" s="1217"/>
      <c r="V31" s="1217"/>
      <c r="W31" s="1217"/>
      <c r="X31" s="1217"/>
      <c r="Y31" s="1217"/>
      <c r="Z31" s="1217"/>
      <c r="AA31" s="1387"/>
      <c r="AB31" s="1387"/>
      <c r="AC31" s="1387"/>
      <c r="AD31" s="1387"/>
      <c r="AE31" s="1387"/>
      <c r="AF31" s="1387"/>
      <c r="AG31" s="1282"/>
      <c r="AH31" s="1282"/>
      <c r="AI31" s="1283"/>
      <c r="AJ31" s="1217"/>
      <c r="AK31" s="1278"/>
      <c r="AL31" s="1278"/>
      <c r="AM31" s="1279"/>
      <c r="AN31" s="1279"/>
      <c r="AO31" s="1217"/>
      <c r="AP31" s="1281" t="s">
        <v>2432</v>
      </c>
      <c r="AQ31" s="1280">
        <f>SUM(AQ4:AQ30)</f>
        <v>950</v>
      </c>
      <c r="AR31" s="1280">
        <f>SUM(AR4:AR30)</f>
        <v>1750</v>
      </c>
      <c r="AS31" s="1280">
        <f>SUM(AS4:AS30)</f>
        <v>1300</v>
      </c>
      <c r="AT31" s="1280">
        <f>SUM(AT4:AT30)</f>
        <v>4000</v>
      </c>
      <c r="AU31" s="1280"/>
      <c r="AV31" s="1280"/>
      <c r="AW31" s="1927"/>
      <c r="AX31" s="1281" t="s">
        <v>2432</v>
      </c>
      <c r="AY31" s="1280">
        <f>SUM(AY4:AY30)</f>
        <v>880</v>
      </c>
      <c r="AZ31" s="1280">
        <f>SUM(AZ4:AZ30)</f>
        <v>1520</v>
      </c>
      <c r="BA31" s="1280">
        <f>SUM(BA4:BA30)</f>
        <v>1204</v>
      </c>
      <c r="BB31" s="1280">
        <f>SUM(BB4:BB30)</f>
        <v>3604</v>
      </c>
      <c r="BC31" s="1280"/>
      <c r="BD31" s="2279"/>
      <c r="BE31" s="1927"/>
      <c r="BF31" s="2756"/>
      <c r="BG31" s="1282"/>
      <c r="BH31" s="1280"/>
      <c r="BJ31" s="1217"/>
    </row>
    <row r="32" spans="2:75" s="1178" customFormat="1" ht="25.15" customHeight="1">
      <c r="B32" s="1928"/>
      <c r="C32" s="1289"/>
      <c r="D32" s="1278"/>
      <c r="E32" s="1279"/>
      <c r="F32" s="1278"/>
      <c r="G32" s="1278"/>
      <c r="H32" s="1278"/>
      <c r="I32" s="1278"/>
      <c r="J32" s="1278"/>
      <c r="K32" s="1278"/>
      <c r="L32" s="1278"/>
      <c r="M32" s="1278"/>
      <c r="N32" s="1278"/>
      <c r="O32" s="1278"/>
      <c r="P32" s="1278"/>
      <c r="Q32" s="1278"/>
      <c r="R32" s="1278"/>
      <c r="S32" s="1278"/>
      <c r="T32" s="1278"/>
      <c r="U32" s="1278"/>
      <c r="V32" s="1278"/>
      <c r="W32" s="1278"/>
      <c r="X32" s="1278"/>
      <c r="Y32" s="1278"/>
      <c r="Z32" s="1278"/>
      <c r="AA32" s="1278"/>
      <c r="AB32" s="1278"/>
      <c r="AC32" s="1278"/>
      <c r="AD32" s="1278"/>
      <c r="AE32" s="1278"/>
      <c r="AF32" s="1278"/>
      <c r="AG32" s="1289"/>
      <c r="AH32" s="1289"/>
      <c r="AI32" s="1290"/>
      <c r="AJ32" s="1287"/>
      <c r="AK32" s="1278"/>
      <c r="AL32" s="1278"/>
      <c r="AM32" s="1279"/>
      <c r="AN32" s="1279"/>
      <c r="AO32" s="1278"/>
      <c r="AP32" s="1288"/>
      <c r="AQ32" s="1217"/>
      <c r="AR32" s="1217"/>
      <c r="AS32" s="1217"/>
      <c r="AT32" s="1217"/>
      <c r="AU32" s="1217"/>
      <c r="AV32" s="1217"/>
      <c r="AW32" s="1930"/>
      <c r="AX32" s="1288"/>
      <c r="AY32" s="1217"/>
      <c r="AZ32" s="1217"/>
      <c r="BA32" s="1217"/>
      <c r="BB32" s="1217"/>
      <c r="BC32" s="1217"/>
      <c r="BD32" s="2280"/>
      <c r="BE32" s="1930"/>
      <c r="BF32" s="2755"/>
      <c r="BG32" s="1289"/>
      <c r="BH32" s="1278"/>
      <c r="BJ32" s="1217"/>
    </row>
    <row r="33" spans="2:62" s="1178" customFormat="1" ht="25.15" customHeight="1">
      <c r="B33" s="1928"/>
      <c r="C33" s="1289"/>
      <c r="D33" s="1278"/>
      <c r="E33" s="1279"/>
      <c r="F33" s="1290"/>
      <c r="G33" s="1290"/>
      <c r="H33" s="1290"/>
      <c r="I33" s="1290"/>
      <c r="J33" s="1290"/>
      <c r="K33" s="1290"/>
      <c r="L33" s="1290"/>
      <c r="M33" s="1290"/>
      <c r="N33" s="1290"/>
      <c r="O33" s="1290"/>
      <c r="P33" s="1290"/>
      <c r="Q33" s="1290"/>
      <c r="R33" s="1290"/>
      <c r="S33" s="1290"/>
      <c r="T33" s="1290"/>
      <c r="U33" s="1290"/>
      <c r="V33" s="1290"/>
      <c r="W33" s="1290"/>
      <c r="X33" s="1290"/>
      <c r="Y33" s="1290"/>
      <c r="Z33" s="1290"/>
      <c r="AA33" s="1290"/>
      <c r="AB33" s="1290"/>
      <c r="AC33" s="1290"/>
      <c r="AD33" s="1290"/>
      <c r="AE33" s="1290"/>
      <c r="AF33" s="1290"/>
      <c r="AG33" s="1289"/>
      <c r="AH33" s="1289"/>
      <c r="AI33" s="1290"/>
      <c r="AJ33" s="1278"/>
      <c r="AK33" s="1278"/>
      <c r="AL33" s="1278"/>
      <c r="AM33" s="1279"/>
      <c r="AN33" s="1279"/>
      <c r="AO33" s="1278"/>
      <c r="AP33" s="1288"/>
      <c r="AQ33" s="1217"/>
      <c r="AR33" s="1217"/>
      <c r="AS33" s="1217"/>
      <c r="AT33" s="1217"/>
      <c r="AU33" s="1217"/>
      <c r="AV33" s="1217"/>
      <c r="AW33" s="1930"/>
      <c r="AX33" s="1288"/>
      <c r="AY33" s="1217"/>
      <c r="AZ33" s="1217"/>
      <c r="BA33" s="1217"/>
      <c r="BB33" s="1217"/>
      <c r="BC33" s="1217"/>
      <c r="BD33" s="2280"/>
      <c r="BE33" s="1930"/>
      <c r="BF33" s="2755"/>
      <c r="BG33" s="1289"/>
      <c r="BH33" s="1278"/>
      <c r="BJ33" s="1217"/>
    </row>
    <row r="34" spans="2:62" s="1178" customFormat="1" ht="25.15" customHeight="1">
      <c r="B34" s="1928"/>
      <c r="C34" s="1289"/>
      <c r="D34" s="1287"/>
      <c r="E34" s="1279"/>
      <c r="F34" s="1290"/>
      <c r="G34" s="1290"/>
      <c r="H34" s="1290"/>
      <c r="I34" s="1290"/>
      <c r="J34" s="1290"/>
      <c r="K34" s="1290"/>
      <c r="L34" s="1290"/>
      <c r="M34" s="1290"/>
      <c r="N34" s="1290"/>
      <c r="O34" s="1290"/>
      <c r="P34" s="1290"/>
      <c r="Q34" s="1290"/>
      <c r="R34" s="1290"/>
      <c r="S34" s="1290"/>
      <c r="T34" s="1290"/>
      <c r="U34" s="1290"/>
      <c r="V34" s="1290"/>
      <c r="W34" s="1290"/>
      <c r="X34" s="1290"/>
      <c r="Y34" s="1290"/>
      <c r="Z34" s="1290"/>
      <c r="AA34" s="1290"/>
      <c r="AB34" s="1290"/>
      <c r="AC34" s="1290"/>
      <c r="AD34" s="1290"/>
      <c r="AE34" s="1290"/>
      <c r="AF34" s="1290"/>
      <c r="AG34" s="1289"/>
      <c r="AH34" s="1289"/>
      <c r="AI34" s="1290"/>
      <c r="AJ34" s="1287"/>
      <c r="AK34" s="1287"/>
      <c r="AL34" s="1287"/>
      <c r="AM34" s="1293"/>
      <c r="AN34" s="1293"/>
      <c r="AO34" s="1287"/>
      <c r="AP34" s="1294"/>
      <c r="AQ34" s="1295"/>
      <c r="AR34" s="1295"/>
      <c r="AS34" s="1295"/>
      <c r="AT34" s="1295"/>
      <c r="AU34" s="1295"/>
      <c r="AV34" s="1295"/>
      <c r="AW34" s="1930"/>
      <c r="AX34" s="1294"/>
      <c r="AY34" s="1295"/>
      <c r="AZ34" s="1295"/>
      <c r="BA34" s="1295"/>
      <c r="BB34" s="1295"/>
      <c r="BC34" s="1295"/>
      <c r="BD34" s="2280"/>
      <c r="BE34" s="1930"/>
      <c r="BF34" s="2755"/>
      <c r="BG34" s="1289"/>
      <c r="BH34" s="1287"/>
      <c r="BJ34" s="1217"/>
    </row>
    <row r="35" spans="2:62" s="1178" customFormat="1">
      <c r="B35" s="1928"/>
      <c r="C35" s="1289"/>
      <c r="D35" s="1278"/>
      <c r="E35" s="1279"/>
      <c r="F35" s="1290"/>
      <c r="G35" s="1290"/>
      <c r="H35" s="1290"/>
      <c r="I35" s="1290"/>
      <c r="J35" s="1290"/>
      <c r="K35" s="1290"/>
      <c r="L35" s="1290"/>
      <c r="M35" s="1290"/>
      <c r="N35" s="1290"/>
      <c r="O35" s="1290"/>
      <c r="P35" s="1290"/>
      <c r="Q35" s="1290"/>
      <c r="R35" s="1290"/>
      <c r="S35" s="1290"/>
      <c r="T35" s="1290"/>
      <c r="U35" s="1290"/>
      <c r="V35" s="1290"/>
      <c r="W35" s="1290"/>
      <c r="X35" s="1290"/>
      <c r="Y35" s="1290"/>
      <c r="Z35" s="1290"/>
      <c r="AA35" s="1290"/>
      <c r="AB35" s="1290"/>
      <c r="AC35" s="1290"/>
      <c r="AD35" s="1290"/>
      <c r="AE35" s="1290"/>
      <c r="AF35" s="1290"/>
      <c r="AG35" s="1289"/>
      <c r="AH35" s="1289"/>
      <c r="AI35" s="1290"/>
      <c r="AJ35" s="1278"/>
      <c r="AK35" s="1296"/>
      <c r="AL35" s="1278"/>
      <c r="AM35" s="1279"/>
      <c r="AN35" s="1279"/>
      <c r="AO35" s="1278"/>
      <c r="AP35" s="1288"/>
      <c r="AQ35" s="1217"/>
      <c r="AR35" s="1217"/>
      <c r="AS35" s="1217"/>
      <c r="AT35" s="1217"/>
      <c r="AU35" s="1217"/>
      <c r="AV35" s="1217"/>
      <c r="AW35" s="1930"/>
      <c r="AX35" s="1288"/>
      <c r="AY35" s="1217"/>
      <c r="AZ35" s="1217"/>
      <c r="BA35" s="1217"/>
      <c r="BB35" s="1217"/>
      <c r="BC35" s="1217"/>
      <c r="BD35" s="2280"/>
      <c r="BE35" s="1930"/>
      <c r="BF35" s="2755"/>
      <c r="BG35" s="1289"/>
      <c r="BH35" s="1278"/>
      <c r="BJ35" s="1217"/>
    </row>
  </sheetData>
  <autoFilter ref="A3:CO31" xr:uid="{1CB043D8-2D6E-4899-BF11-0CAD78F0668B}"/>
  <mergeCells count="3">
    <mergeCell ref="AP2:AW2"/>
    <mergeCell ref="AX2:BD2"/>
    <mergeCell ref="B2:J2"/>
  </mergeCells>
  <phoneticPr fontId="2"/>
  <printOptions horizontalCentered="1"/>
  <pageMargins left="0.23622047244094491" right="0.23622047244094491" top="0.74803149606299213" bottom="0.74803149606299213" header="0.31496062992125984" footer="0.31496062992125984"/>
  <pageSetup paperSize="8" scale="69" fitToHeight="0" orientation="landscape" r:id="rId1"/>
  <headerFooter>
    <oddFooter>&amp;C&amp;"Meiryo UI,標準"&amp;12&amp;P / &amp;N ページ</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4E814-1F32-4E1A-836A-B2E3E6906856}">
  <sheetPr codeName="Sheet241">
    <tabColor rgb="FF92D050"/>
  </sheetPr>
  <dimension ref="B1:BA32"/>
  <sheetViews>
    <sheetView topLeftCell="D1" workbookViewId="0"/>
  </sheetViews>
  <sheetFormatPr defaultColWidth="9.54296875" defaultRowHeight="14"/>
  <cols>
    <col min="1" max="1" width="4.453125" style="1376" customWidth="1"/>
    <col min="2" max="2" width="12.1796875" style="1713" customWidth="1"/>
    <col min="3" max="3" width="9.54296875" style="1954"/>
    <col min="4" max="4" width="30" style="1714" customWidth="1"/>
    <col min="5" max="6" width="11.453125" style="1713" hidden="1" customWidth="1"/>
    <col min="7" max="7" width="9.54296875" style="1376"/>
    <col min="8" max="23" width="0" style="1376" hidden="1" customWidth="1"/>
    <col min="24" max="25" width="9.54296875" style="1376"/>
    <col min="26" max="41" width="0" style="1376" hidden="1" customWidth="1"/>
    <col min="42" max="43" width="9.54296875" style="1376"/>
    <col min="44" max="44" width="9.54296875" style="1819"/>
    <col min="45" max="50" width="9.54296875" style="1376"/>
    <col min="51" max="52" width="10.7265625" style="1954" customWidth="1"/>
    <col min="53" max="53" width="24.1796875" style="1376" customWidth="1"/>
    <col min="54" max="16384" width="9.54296875" style="1376"/>
  </cols>
  <sheetData>
    <row r="1" spans="2:53" ht="30" customHeight="1">
      <c r="G1" s="1713"/>
      <c r="H1" s="1713"/>
      <c r="I1" s="1713"/>
      <c r="J1" s="1713"/>
      <c r="K1" s="1713"/>
      <c r="L1" s="1713"/>
      <c r="M1" s="1713"/>
      <c r="N1" s="1713"/>
      <c r="O1" s="1713"/>
      <c r="P1" s="1713"/>
      <c r="Q1" s="1713"/>
      <c r="R1" s="1713"/>
      <c r="S1" s="1713"/>
      <c r="T1" s="1713"/>
      <c r="U1" s="1713"/>
      <c r="W1" s="1713"/>
      <c r="X1" s="1713"/>
      <c r="Y1" s="1713"/>
      <c r="Z1" s="1713"/>
      <c r="AA1" s="1713"/>
      <c r="AB1" s="1713"/>
      <c r="AC1" s="1713"/>
      <c r="AD1" s="1713"/>
      <c r="AE1" s="1713"/>
      <c r="AF1" s="1713"/>
      <c r="AG1" s="1713"/>
      <c r="AH1" s="1713"/>
      <c r="AI1" s="1713"/>
      <c r="AJ1" s="1713"/>
      <c r="AK1" s="1713"/>
      <c r="AL1" s="1713"/>
      <c r="AM1" s="1713"/>
      <c r="AN1" s="1713"/>
      <c r="AO1" s="1713"/>
      <c r="AP1" s="1713"/>
      <c r="AQ1" s="1713"/>
      <c r="AV1" s="1713"/>
      <c r="AW1" s="1713"/>
      <c r="AX1" s="1713"/>
      <c r="AY1" s="1954" t="s">
        <v>3628</v>
      </c>
      <c r="AZ1" s="1954">
        <v>1600</v>
      </c>
    </row>
    <row r="2" spans="2:53" s="1715" customFormat="1" ht="33" customHeight="1">
      <c r="B2" s="1818" t="s">
        <v>4486</v>
      </c>
      <c r="C2" s="1955"/>
      <c r="D2" s="1817"/>
      <c r="E2" s="1818" t="s">
        <v>4486</v>
      </c>
      <c r="F2" s="1817"/>
      <c r="G2" s="1817"/>
      <c r="H2" s="1817"/>
      <c r="I2" s="1817"/>
      <c r="J2" s="1817"/>
      <c r="K2" s="1817"/>
      <c r="L2" s="1817"/>
      <c r="M2" s="1817"/>
      <c r="N2" s="1817"/>
      <c r="O2" s="1817"/>
      <c r="P2" s="1817"/>
      <c r="Q2" s="1817"/>
      <c r="R2" s="1817"/>
      <c r="S2" s="1817"/>
      <c r="T2" s="1817"/>
      <c r="U2" s="1817"/>
      <c r="V2" s="1817"/>
      <c r="W2" s="1817"/>
      <c r="X2" s="1817"/>
      <c r="Y2" s="1817"/>
      <c r="Z2" s="1817"/>
      <c r="AA2" s="1817"/>
      <c r="AB2" s="1817"/>
      <c r="AC2" s="1817"/>
      <c r="AD2" s="1817"/>
      <c r="AE2" s="1817"/>
      <c r="AF2" s="1817"/>
      <c r="AG2" s="1817"/>
      <c r="AH2" s="1817"/>
      <c r="AI2" s="1817"/>
      <c r="AJ2" s="1817"/>
      <c r="AK2" s="1817"/>
      <c r="AL2" s="1817"/>
      <c r="AM2" s="1817"/>
      <c r="AN2" s="1817"/>
      <c r="AO2" s="1817"/>
      <c r="AP2" s="1817"/>
      <c r="AQ2" s="1817"/>
      <c r="AR2" s="1820"/>
      <c r="AS2" s="1817"/>
      <c r="AT2" s="1817"/>
      <c r="AU2" s="1817"/>
      <c r="AV2" s="1817"/>
      <c r="AW2" s="1817"/>
      <c r="AX2" s="1817"/>
      <c r="AY2" s="2704" t="s">
        <v>2547</v>
      </c>
      <c r="AZ2" s="2704" t="s">
        <v>2547</v>
      </c>
      <c r="BA2" s="1814"/>
    </row>
    <row r="3" spans="2:53" ht="16">
      <c r="B3" s="6694" t="s">
        <v>4487</v>
      </c>
      <c r="C3" s="6692" t="s">
        <v>4488</v>
      </c>
      <c r="D3" s="6697" t="s">
        <v>2103</v>
      </c>
      <c r="E3" s="6693" t="s">
        <v>4489</v>
      </c>
      <c r="F3" s="6697" t="s">
        <v>4490</v>
      </c>
      <c r="G3" s="6693" t="s">
        <v>4491</v>
      </c>
      <c r="H3" s="6689" t="s">
        <v>4492</v>
      </c>
      <c r="I3" s="6690"/>
      <c r="J3" s="6690"/>
      <c r="K3" s="6690"/>
      <c r="L3" s="6690"/>
      <c r="M3" s="6690"/>
      <c r="N3" s="6690"/>
      <c r="O3" s="6690"/>
      <c r="P3" s="6690"/>
      <c r="Q3" s="6690"/>
      <c r="R3" s="6690"/>
      <c r="S3" s="6690"/>
      <c r="T3" s="6690"/>
      <c r="U3" s="6690"/>
      <c r="V3" s="6690"/>
      <c r="W3" s="6691"/>
      <c r="X3" s="6689" t="s">
        <v>4493</v>
      </c>
      <c r="Y3" s="6691"/>
      <c r="Z3" s="6689" t="s">
        <v>4494</v>
      </c>
      <c r="AA3" s="6690"/>
      <c r="AB3" s="6690"/>
      <c r="AC3" s="6690"/>
      <c r="AD3" s="6690"/>
      <c r="AE3" s="6690"/>
      <c r="AF3" s="6690"/>
      <c r="AG3" s="6690"/>
      <c r="AH3" s="6690"/>
      <c r="AI3" s="6690"/>
      <c r="AJ3" s="6690"/>
      <c r="AK3" s="6690"/>
      <c r="AL3" s="6690"/>
      <c r="AM3" s="6690"/>
      <c r="AN3" s="6690"/>
      <c r="AO3" s="6690"/>
      <c r="AP3" s="6689" t="s">
        <v>4495</v>
      </c>
      <c r="AQ3" s="6690"/>
      <c r="AR3" s="6691"/>
      <c r="AS3" s="6697" t="s">
        <v>4496</v>
      </c>
      <c r="AT3" s="6698"/>
      <c r="AU3" s="6698"/>
      <c r="AV3" s="6697" t="s">
        <v>4497</v>
      </c>
      <c r="AW3" s="6698"/>
      <c r="AX3" s="6693" t="s">
        <v>4498</v>
      </c>
      <c r="AY3" s="6692" t="s">
        <v>4499</v>
      </c>
      <c r="AZ3" s="6692" t="s">
        <v>2551</v>
      </c>
      <c r="BA3" s="1823"/>
    </row>
    <row r="4" spans="2:53" ht="33">
      <c r="B4" s="6695"/>
      <c r="C4" s="6696"/>
      <c r="D4" s="6698"/>
      <c r="E4" s="6698"/>
      <c r="F4" s="6698"/>
      <c r="G4" s="6698"/>
      <c r="H4" s="1716" t="s">
        <v>4500</v>
      </c>
      <c r="I4" s="1717" t="s">
        <v>4501</v>
      </c>
      <c r="J4" s="1717" t="s">
        <v>4502</v>
      </c>
      <c r="K4" s="1717" t="s">
        <v>4503</v>
      </c>
      <c r="L4" s="1718" t="s">
        <v>4504</v>
      </c>
      <c r="M4" s="1718" t="s">
        <v>4505</v>
      </c>
      <c r="N4" s="1719" t="s">
        <v>4506</v>
      </c>
      <c r="O4" s="1717" t="s">
        <v>4507</v>
      </c>
      <c r="P4" s="1717" t="s">
        <v>4508</v>
      </c>
      <c r="Q4" s="1717" t="s">
        <v>4509</v>
      </c>
      <c r="R4" s="1717" t="s">
        <v>4510</v>
      </c>
      <c r="S4" s="1717" t="s">
        <v>4511</v>
      </c>
      <c r="T4" s="1717" t="s">
        <v>4512</v>
      </c>
      <c r="U4" s="1717" t="s">
        <v>4513</v>
      </c>
      <c r="V4" s="1720" t="s">
        <v>4514</v>
      </c>
      <c r="W4" s="1720" t="s">
        <v>4515</v>
      </c>
      <c r="X4" s="1721" t="s">
        <v>3778</v>
      </c>
      <c r="Y4" s="1721" t="s">
        <v>4516</v>
      </c>
      <c r="Z4" s="1716" t="s">
        <v>4500</v>
      </c>
      <c r="AA4" s="1717" t="s">
        <v>4501</v>
      </c>
      <c r="AB4" s="1717" t="s">
        <v>4502</v>
      </c>
      <c r="AC4" s="1717" t="s">
        <v>4503</v>
      </c>
      <c r="AD4" s="1718" t="s">
        <v>4504</v>
      </c>
      <c r="AE4" s="1718" t="s">
        <v>4505</v>
      </c>
      <c r="AF4" s="1719" t="s">
        <v>4506</v>
      </c>
      <c r="AG4" s="1717" t="s">
        <v>4507</v>
      </c>
      <c r="AH4" s="1717" t="s">
        <v>4508</v>
      </c>
      <c r="AI4" s="1717" t="s">
        <v>4509</v>
      </c>
      <c r="AJ4" s="1717" t="s">
        <v>4510</v>
      </c>
      <c r="AK4" s="1717" t="s">
        <v>4511</v>
      </c>
      <c r="AL4" s="1717" t="s">
        <v>4512</v>
      </c>
      <c r="AM4" s="1717" t="s">
        <v>4513</v>
      </c>
      <c r="AN4" s="1720" t="s">
        <v>4514</v>
      </c>
      <c r="AO4" s="1720" t="s">
        <v>4515</v>
      </c>
      <c r="AP4" s="1721" t="s">
        <v>3778</v>
      </c>
      <c r="AQ4" s="1721" t="s">
        <v>4516</v>
      </c>
      <c r="AR4" s="1821" t="s">
        <v>4517</v>
      </c>
      <c r="AS4" s="1722" t="s">
        <v>3783</v>
      </c>
      <c r="AT4" s="1723" t="s">
        <v>3784</v>
      </c>
      <c r="AU4" s="1724" t="s">
        <v>3785</v>
      </c>
      <c r="AV4" s="1722" t="s">
        <v>2591</v>
      </c>
      <c r="AW4" s="1725" t="s">
        <v>2592</v>
      </c>
      <c r="AX4" s="6693"/>
      <c r="AY4" s="6692"/>
      <c r="AZ4" s="6692"/>
      <c r="BA4" s="1823" t="s">
        <v>3229</v>
      </c>
    </row>
    <row r="5" spans="2:53" ht="32.15" customHeight="1">
      <c r="B5" s="1823" t="s">
        <v>239</v>
      </c>
      <c r="C5" s="1947">
        <v>26</v>
      </c>
      <c r="D5" s="1824" t="s">
        <v>4518</v>
      </c>
      <c r="E5" s="1249" t="s">
        <v>3874</v>
      </c>
      <c r="F5" s="1249" t="s">
        <v>2127</v>
      </c>
      <c r="G5" s="1249" t="s">
        <v>4343</v>
      </c>
      <c r="H5" s="1726" t="s">
        <v>4267</v>
      </c>
      <c r="I5" s="1727" t="s">
        <v>2699</v>
      </c>
      <c r="J5" s="1727" t="s">
        <v>4519</v>
      </c>
      <c r="K5" s="1727" t="s">
        <v>3981</v>
      </c>
      <c r="L5" s="1727" t="s">
        <v>4519</v>
      </c>
      <c r="M5" s="1727" t="s">
        <v>4519</v>
      </c>
      <c r="N5" s="1728" t="s">
        <v>4519</v>
      </c>
      <c r="O5" s="1728" t="s">
        <v>4519</v>
      </c>
      <c r="P5" s="1728" t="s">
        <v>4519</v>
      </c>
      <c r="Q5" s="1728" t="s">
        <v>4519</v>
      </c>
      <c r="R5" s="1728" t="s">
        <v>4519</v>
      </c>
      <c r="S5" s="1728" t="s">
        <v>4519</v>
      </c>
      <c r="T5" s="1728" t="s">
        <v>4519</v>
      </c>
      <c r="U5" s="1728" t="s">
        <v>4519</v>
      </c>
      <c r="V5" s="1728" t="s">
        <v>4519</v>
      </c>
      <c r="W5" s="1727" t="s">
        <v>4519</v>
      </c>
      <c r="X5" s="1728">
        <v>285</v>
      </c>
      <c r="Y5" s="1729">
        <v>292</v>
      </c>
      <c r="Z5" s="1726" t="s">
        <v>2697</v>
      </c>
      <c r="AA5" s="1727" t="s">
        <v>4519</v>
      </c>
      <c r="AB5" s="1727" t="s">
        <v>4519</v>
      </c>
      <c r="AC5" s="1727" t="s">
        <v>4519</v>
      </c>
      <c r="AD5" s="1727" t="s">
        <v>4519</v>
      </c>
      <c r="AE5" s="1727" t="s">
        <v>4519</v>
      </c>
      <c r="AF5" s="1728" t="s">
        <v>4519</v>
      </c>
      <c r="AG5" s="1728" t="s">
        <v>4519</v>
      </c>
      <c r="AH5" s="1728" t="s">
        <v>4519</v>
      </c>
      <c r="AI5" s="1728" t="s">
        <v>4519</v>
      </c>
      <c r="AJ5" s="1728" t="s">
        <v>4519</v>
      </c>
      <c r="AK5" s="1728" t="s">
        <v>4519</v>
      </c>
      <c r="AL5" s="1728" t="s">
        <v>4519</v>
      </c>
      <c r="AM5" s="1728" t="s">
        <v>4519</v>
      </c>
      <c r="AN5" s="1728" t="s">
        <v>4519</v>
      </c>
      <c r="AO5" s="1727" t="s">
        <v>4519</v>
      </c>
      <c r="AP5" s="1728">
        <v>70</v>
      </c>
      <c r="AQ5" s="1729">
        <v>70</v>
      </c>
      <c r="AR5" s="1822">
        <v>0.24561403508771928</v>
      </c>
      <c r="AS5" s="1825" t="s">
        <v>4520</v>
      </c>
      <c r="AT5" s="1826" t="s">
        <v>4521</v>
      </c>
      <c r="AU5" s="1815" t="s">
        <v>4521</v>
      </c>
      <c r="AV5" s="1318">
        <v>0</v>
      </c>
      <c r="AW5" s="1815">
        <v>0</v>
      </c>
      <c r="AX5" s="1249" t="s">
        <v>4521</v>
      </c>
      <c r="AY5" s="1956">
        <v>48</v>
      </c>
      <c r="AZ5" s="1957">
        <v>16</v>
      </c>
      <c r="BA5" s="1249"/>
    </row>
    <row r="6" spans="2:53" ht="32.15" customHeight="1">
      <c r="B6" s="1823" t="s">
        <v>239</v>
      </c>
      <c r="C6" s="1947">
        <v>27</v>
      </c>
      <c r="D6" s="1824" t="s">
        <v>4522</v>
      </c>
      <c r="E6" s="1249" t="s">
        <v>3874</v>
      </c>
      <c r="F6" s="1249" t="s">
        <v>2127</v>
      </c>
      <c r="G6" s="1249" t="s">
        <v>2969</v>
      </c>
      <c r="H6" s="1726" t="s">
        <v>4523</v>
      </c>
      <c r="I6" s="1727" t="s">
        <v>4519</v>
      </c>
      <c r="J6" s="1727" t="s">
        <v>2731</v>
      </c>
      <c r="K6" s="1727" t="s">
        <v>4519</v>
      </c>
      <c r="L6" s="1727" t="s">
        <v>4519</v>
      </c>
      <c r="M6" s="1727" t="s">
        <v>4519</v>
      </c>
      <c r="N6" s="1728" t="s">
        <v>4519</v>
      </c>
      <c r="O6" s="1728" t="s">
        <v>4519</v>
      </c>
      <c r="P6" s="1728" t="s">
        <v>4519</v>
      </c>
      <c r="Q6" s="1728" t="s">
        <v>4519</v>
      </c>
      <c r="R6" s="1728" t="s">
        <v>4519</v>
      </c>
      <c r="S6" s="1728" t="s">
        <v>4519</v>
      </c>
      <c r="T6" s="1728" t="s">
        <v>4519</v>
      </c>
      <c r="U6" s="1728" t="s">
        <v>4519</v>
      </c>
      <c r="V6" s="1728" t="s">
        <v>4519</v>
      </c>
      <c r="W6" s="1727" t="s">
        <v>4519</v>
      </c>
      <c r="X6" s="1728">
        <v>94</v>
      </c>
      <c r="Y6" s="1729">
        <v>94</v>
      </c>
      <c r="Z6" s="1726" t="s">
        <v>4523</v>
      </c>
      <c r="AA6" s="1727" t="s">
        <v>4519</v>
      </c>
      <c r="AB6" s="1727" t="s">
        <v>2731</v>
      </c>
      <c r="AC6" s="1727" t="s">
        <v>4519</v>
      </c>
      <c r="AD6" s="1727" t="s">
        <v>4519</v>
      </c>
      <c r="AE6" s="1727" t="s">
        <v>4519</v>
      </c>
      <c r="AF6" s="1728" t="s">
        <v>4519</v>
      </c>
      <c r="AG6" s="1728" t="s">
        <v>4519</v>
      </c>
      <c r="AH6" s="1728" t="s">
        <v>4519</v>
      </c>
      <c r="AI6" s="1728" t="s">
        <v>4519</v>
      </c>
      <c r="AJ6" s="1728" t="s">
        <v>4519</v>
      </c>
      <c r="AK6" s="1728" t="s">
        <v>4519</v>
      </c>
      <c r="AL6" s="1728" t="s">
        <v>4519</v>
      </c>
      <c r="AM6" s="1728" t="s">
        <v>4519</v>
      </c>
      <c r="AN6" s="1728" t="s">
        <v>4519</v>
      </c>
      <c r="AO6" s="1727" t="s">
        <v>4519</v>
      </c>
      <c r="AP6" s="1728">
        <v>94</v>
      </c>
      <c r="AQ6" s="1729">
        <v>94</v>
      </c>
      <c r="AR6" s="1822">
        <v>1</v>
      </c>
      <c r="AS6" s="1825" t="s">
        <v>4520</v>
      </c>
      <c r="AT6" s="1826" t="s">
        <v>4520</v>
      </c>
      <c r="AU6" s="1815" t="s">
        <v>4520</v>
      </c>
      <c r="AV6" s="1318">
        <v>0</v>
      </c>
      <c r="AW6" s="1815">
        <v>0</v>
      </c>
      <c r="AX6" s="1249" t="s">
        <v>4521</v>
      </c>
      <c r="AY6" s="1956">
        <v>65</v>
      </c>
      <c r="AZ6" s="1957">
        <v>16</v>
      </c>
      <c r="BA6" s="1249"/>
    </row>
    <row r="7" spans="2:53" ht="32.15" customHeight="1">
      <c r="B7" s="1823" t="s">
        <v>239</v>
      </c>
      <c r="C7" s="1947">
        <v>38</v>
      </c>
      <c r="D7" s="1824" t="s">
        <v>4524</v>
      </c>
      <c r="E7" s="1249" t="s">
        <v>3841</v>
      </c>
      <c r="F7" s="1249" t="s">
        <v>2127</v>
      </c>
      <c r="G7" s="1249" t="s">
        <v>4343</v>
      </c>
      <c r="H7" s="1726" t="s">
        <v>4269</v>
      </c>
      <c r="I7" s="1727" t="s">
        <v>2721</v>
      </c>
      <c r="J7" s="1727" t="s">
        <v>3711</v>
      </c>
      <c r="K7" s="1727" t="s">
        <v>4519</v>
      </c>
      <c r="L7" s="1727" t="s">
        <v>4519</v>
      </c>
      <c r="M7" s="1727" t="s">
        <v>4519</v>
      </c>
      <c r="N7" s="1728" t="s">
        <v>4519</v>
      </c>
      <c r="O7" s="1728" t="s">
        <v>4519</v>
      </c>
      <c r="P7" s="1728" t="s">
        <v>4519</v>
      </c>
      <c r="Q7" s="1728" t="s">
        <v>4519</v>
      </c>
      <c r="R7" s="1728" t="s">
        <v>4519</v>
      </c>
      <c r="S7" s="1728" t="s">
        <v>4519</v>
      </c>
      <c r="T7" s="1728" t="s">
        <v>4519</v>
      </c>
      <c r="U7" s="1728" t="s">
        <v>4519</v>
      </c>
      <c r="V7" s="1728" t="s">
        <v>4519</v>
      </c>
      <c r="W7" s="1727" t="s">
        <v>4519</v>
      </c>
      <c r="X7" s="1728">
        <v>102</v>
      </c>
      <c r="Y7" s="1729">
        <v>102</v>
      </c>
      <c r="Z7" s="1726" t="s">
        <v>3712</v>
      </c>
      <c r="AA7" s="1727" t="s">
        <v>3721</v>
      </c>
      <c r="AB7" s="1727" t="s">
        <v>2623</v>
      </c>
      <c r="AC7" s="1727" t="s">
        <v>4519</v>
      </c>
      <c r="AD7" s="1727" t="s">
        <v>4519</v>
      </c>
      <c r="AE7" s="1727" t="s">
        <v>4519</v>
      </c>
      <c r="AF7" s="1728" t="s">
        <v>4519</v>
      </c>
      <c r="AG7" s="1728" t="s">
        <v>4519</v>
      </c>
      <c r="AH7" s="1728" t="s">
        <v>4519</v>
      </c>
      <c r="AI7" s="1728" t="s">
        <v>4519</v>
      </c>
      <c r="AJ7" s="1728" t="s">
        <v>4519</v>
      </c>
      <c r="AK7" s="1728" t="s">
        <v>4519</v>
      </c>
      <c r="AL7" s="1728" t="s">
        <v>4519</v>
      </c>
      <c r="AM7" s="1728" t="s">
        <v>4519</v>
      </c>
      <c r="AN7" s="1728" t="s">
        <v>4519</v>
      </c>
      <c r="AO7" s="1727" t="s">
        <v>4519</v>
      </c>
      <c r="AP7" s="1728">
        <v>49</v>
      </c>
      <c r="AQ7" s="1729">
        <v>49</v>
      </c>
      <c r="AR7" s="1822">
        <v>0.48039215686274511</v>
      </c>
      <c r="AS7" s="1825" t="s">
        <v>4520</v>
      </c>
      <c r="AT7" s="1826" t="s">
        <v>4521</v>
      </c>
      <c r="AU7" s="1815" t="s">
        <v>4521</v>
      </c>
      <c r="AV7" s="1318">
        <v>0</v>
      </c>
      <c r="AW7" s="1815">
        <v>0</v>
      </c>
      <c r="AX7" s="1249" t="s">
        <v>4521</v>
      </c>
      <c r="AY7" s="1956">
        <v>34</v>
      </c>
      <c r="AZ7" s="1957">
        <v>16</v>
      </c>
      <c r="BA7" s="1249"/>
    </row>
    <row r="8" spans="2:53" ht="32.15" customHeight="1">
      <c r="B8" s="1823" t="s">
        <v>239</v>
      </c>
      <c r="C8" s="1947">
        <v>41</v>
      </c>
      <c r="D8" s="1824" t="s">
        <v>4525</v>
      </c>
      <c r="E8" s="1249" t="s">
        <v>3841</v>
      </c>
      <c r="F8" s="1249" t="s">
        <v>2127</v>
      </c>
      <c r="G8" s="1249" t="s">
        <v>4343</v>
      </c>
      <c r="H8" s="1726" t="s">
        <v>3703</v>
      </c>
      <c r="I8" s="1727" t="s">
        <v>2731</v>
      </c>
      <c r="J8" s="1727" t="s">
        <v>4519</v>
      </c>
      <c r="K8" s="1727" t="s">
        <v>2687</v>
      </c>
      <c r="L8" s="1727" t="s">
        <v>4519</v>
      </c>
      <c r="M8" s="1727" t="s">
        <v>4519</v>
      </c>
      <c r="N8" s="1728" t="s">
        <v>4519</v>
      </c>
      <c r="O8" s="1728" t="s">
        <v>4519</v>
      </c>
      <c r="P8" s="1728" t="s">
        <v>4519</v>
      </c>
      <c r="Q8" s="1728" t="s">
        <v>4519</v>
      </c>
      <c r="R8" s="1728" t="s">
        <v>4519</v>
      </c>
      <c r="S8" s="1728" t="s">
        <v>4519</v>
      </c>
      <c r="T8" s="1728" t="s">
        <v>4519</v>
      </c>
      <c r="U8" s="1728" t="s">
        <v>4519</v>
      </c>
      <c r="V8" s="1728" t="s">
        <v>4519</v>
      </c>
      <c r="W8" s="1727" t="s">
        <v>4519</v>
      </c>
      <c r="X8" s="1728">
        <v>195</v>
      </c>
      <c r="Y8" s="1729">
        <v>201</v>
      </c>
      <c r="Z8" s="1726" t="s">
        <v>2697</v>
      </c>
      <c r="AA8" s="1727" t="s">
        <v>4519</v>
      </c>
      <c r="AB8" s="1727" t="s">
        <v>4519</v>
      </c>
      <c r="AC8" s="1727" t="s">
        <v>4519</v>
      </c>
      <c r="AD8" s="1727" t="s">
        <v>4519</v>
      </c>
      <c r="AE8" s="1727" t="s">
        <v>4519</v>
      </c>
      <c r="AF8" s="1728" t="s">
        <v>4519</v>
      </c>
      <c r="AG8" s="1728" t="s">
        <v>4519</v>
      </c>
      <c r="AH8" s="1728" t="s">
        <v>4519</v>
      </c>
      <c r="AI8" s="1728" t="s">
        <v>4519</v>
      </c>
      <c r="AJ8" s="1728" t="s">
        <v>4519</v>
      </c>
      <c r="AK8" s="1728" t="s">
        <v>4519</v>
      </c>
      <c r="AL8" s="1728" t="s">
        <v>4519</v>
      </c>
      <c r="AM8" s="1728" t="s">
        <v>4519</v>
      </c>
      <c r="AN8" s="1728" t="s">
        <v>4519</v>
      </c>
      <c r="AO8" s="1727" t="s">
        <v>4519</v>
      </c>
      <c r="AP8" s="1728">
        <v>70</v>
      </c>
      <c r="AQ8" s="1729">
        <v>70</v>
      </c>
      <c r="AR8" s="1822">
        <v>0.35897435897435898</v>
      </c>
      <c r="AS8" s="1825" t="s">
        <v>4520</v>
      </c>
      <c r="AT8" s="1826" t="s">
        <v>4521</v>
      </c>
      <c r="AU8" s="1815" t="s">
        <v>4521</v>
      </c>
      <c r="AV8" s="1318">
        <v>0</v>
      </c>
      <c r="AW8" s="1815">
        <v>0</v>
      </c>
      <c r="AX8" s="1249" t="s">
        <v>4521</v>
      </c>
      <c r="AY8" s="1956">
        <v>48</v>
      </c>
      <c r="AZ8" s="1957">
        <v>16</v>
      </c>
      <c r="BA8" s="1249"/>
    </row>
    <row r="9" spans="2:53" ht="32.15" customHeight="1">
      <c r="B9" s="1823" t="s">
        <v>239</v>
      </c>
      <c r="C9" s="1947">
        <v>42</v>
      </c>
      <c r="D9" s="1824" t="s">
        <v>4526</v>
      </c>
      <c r="E9" s="1249" t="s">
        <v>3841</v>
      </c>
      <c r="F9" s="1249" t="s">
        <v>2127</v>
      </c>
      <c r="G9" s="1249" t="s">
        <v>2969</v>
      </c>
      <c r="H9" s="1726" t="s">
        <v>4519</v>
      </c>
      <c r="I9" s="1727" t="s">
        <v>3705</v>
      </c>
      <c r="J9" s="1727" t="s">
        <v>3706</v>
      </c>
      <c r="K9" s="1727" t="s">
        <v>4519</v>
      </c>
      <c r="L9" s="1727" t="s">
        <v>4519</v>
      </c>
      <c r="M9" s="1727" t="s">
        <v>4519</v>
      </c>
      <c r="N9" s="1728" t="s">
        <v>4519</v>
      </c>
      <c r="O9" s="1728" t="s">
        <v>4519</v>
      </c>
      <c r="P9" s="1728" t="s">
        <v>4519</v>
      </c>
      <c r="Q9" s="1728" t="s">
        <v>4519</v>
      </c>
      <c r="R9" s="1728" t="s">
        <v>4519</v>
      </c>
      <c r="S9" s="1728" t="s">
        <v>4519</v>
      </c>
      <c r="T9" s="1728" t="s">
        <v>4519</v>
      </c>
      <c r="U9" s="1728" t="s">
        <v>4519</v>
      </c>
      <c r="V9" s="1728" t="s">
        <v>4519</v>
      </c>
      <c r="W9" s="1727" t="s">
        <v>4519</v>
      </c>
      <c r="X9" s="1728">
        <v>139</v>
      </c>
      <c r="Y9" s="1729">
        <v>139</v>
      </c>
      <c r="Z9" s="1726" t="s">
        <v>4519</v>
      </c>
      <c r="AA9" s="1727" t="s">
        <v>3707</v>
      </c>
      <c r="AB9" s="1727" t="s">
        <v>3708</v>
      </c>
      <c r="AC9" s="1727" t="s">
        <v>4519</v>
      </c>
      <c r="AD9" s="1727" t="s">
        <v>4519</v>
      </c>
      <c r="AE9" s="1727" t="s">
        <v>4519</v>
      </c>
      <c r="AF9" s="1728" t="s">
        <v>4519</v>
      </c>
      <c r="AG9" s="1728" t="s">
        <v>4519</v>
      </c>
      <c r="AH9" s="1728" t="s">
        <v>4519</v>
      </c>
      <c r="AI9" s="1728" t="s">
        <v>4519</v>
      </c>
      <c r="AJ9" s="1728" t="s">
        <v>4519</v>
      </c>
      <c r="AK9" s="1728" t="s">
        <v>4519</v>
      </c>
      <c r="AL9" s="1728" t="s">
        <v>4519</v>
      </c>
      <c r="AM9" s="1728" t="s">
        <v>4519</v>
      </c>
      <c r="AN9" s="1728" t="s">
        <v>4519</v>
      </c>
      <c r="AO9" s="1727" t="s">
        <v>4519</v>
      </c>
      <c r="AP9" s="1728">
        <v>95</v>
      </c>
      <c r="AQ9" s="1729">
        <v>95</v>
      </c>
      <c r="AR9" s="1822">
        <v>0.68345323741007191</v>
      </c>
      <c r="AS9" s="1825" t="s">
        <v>4520</v>
      </c>
      <c r="AT9" s="1826" t="s">
        <v>4521</v>
      </c>
      <c r="AU9" s="1815" t="s">
        <v>4521</v>
      </c>
      <c r="AV9" s="1318">
        <v>0</v>
      </c>
      <c r="AW9" s="1815">
        <v>0</v>
      </c>
      <c r="AX9" s="1249" t="s">
        <v>4521</v>
      </c>
      <c r="AY9" s="1956">
        <v>66</v>
      </c>
      <c r="AZ9" s="1957">
        <v>16</v>
      </c>
      <c r="BA9" s="1249"/>
    </row>
    <row r="10" spans="2:53" ht="32.15" customHeight="1">
      <c r="B10" s="1823" t="s">
        <v>239</v>
      </c>
      <c r="C10" s="1947">
        <v>43</v>
      </c>
      <c r="D10" s="1824" t="s">
        <v>4527</v>
      </c>
      <c r="E10" s="1249" t="s">
        <v>3841</v>
      </c>
      <c r="F10" s="1249" t="s">
        <v>2127</v>
      </c>
      <c r="G10" s="1249" t="s">
        <v>4343</v>
      </c>
      <c r="H10" s="1726" t="s">
        <v>3710</v>
      </c>
      <c r="I10" s="1727" t="s">
        <v>3711</v>
      </c>
      <c r="J10" s="1727" t="s">
        <v>3712</v>
      </c>
      <c r="K10" s="1727" t="s">
        <v>4519</v>
      </c>
      <c r="L10" s="1727" t="s">
        <v>4519</v>
      </c>
      <c r="M10" s="1727" t="s">
        <v>4519</v>
      </c>
      <c r="N10" s="1728" t="s">
        <v>4519</v>
      </c>
      <c r="O10" s="1728" t="s">
        <v>4519</v>
      </c>
      <c r="P10" s="1728" t="s">
        <v>4519</v>
      </c>
      <c r="Q10" s="1728" t="s">
        <v>4519</v>
      </c>
      <c r="R10" s="1728" t="s">
        <v>4519</v>
      </c>
      <c r="S10" s="1728" t="s">
        <v>4519</v>
      </c>
      <c r="T10" s="1728" t="s">
        <v>4519</v>
      </c>
      <c r="U10" s="1728" t="s">
        <v>4519</v>
      </c>
      <c r="V10" s="1728" t="s">
        <v>4519</v>
      </c>
      <c r="W10" s="1727" t="s">
        <v>4519</v>
      </c>
      <c r="X10" s="1728">
        <v>375</v>
      </c>
      <c r="Y10" s="1729">
        <v>375</v>
      </c>
      <c r="Z10" s="1726" t="s">
        <v>3713</v>
      </c>
      <c r="AA10" s="1727" t="s">
        <v>3714</v>
      </c>
      <c r="AB10" s="1727" t="s">
        <v>3715</v>
      </c>
      <c r="AC10" s="1727" t="s">
        <v>4519</v>
      </c>
      <c r="AD10" s="1727" t="s">
        <v>4519</v>
      </c>
      <c r="AE10" s="1727" t="s">
        <v>4519</v>
      </c>
      <c r="AF10" s="1728" t="s">
        <v>4519</v>
      </c>
      <c r="AG10" s="1728" t="s">
        <v>4519</v>
      </c>
      <c r="AH10" s="1728" t="s">
        <v>4519</v>
      </c>
      <c r="AI10" s="1728" t="s">
        <v>4519</v>
      </c>
      <c r="AJ10" s="1728" t="s">
        <v>4519</v>
      </c>
      <c r="AK10" s="1728" t="s">
        <v>4519</v>
      </c>
      <c r="AL10" s="1728" t="s">
        <v>4519</v>
      </c>
      <c r="AM10" s="1728" t="s">
        <v>4519</v>
      </c>
      <c r="AN10" s="1728" t="s">
        <v>4519</v>
      </c>
      <c r="AO10" s="1727" t="s">
        <v>4519</v>
      </c>
      <c r="AP10" s="1728">
        <v>212</v>
      </c>
      <c r="AQ10" s="1729">
        <v>212</v>
      </c>
      <c r="AR10" s="1822">
        <v>0.56533333333333335</v>
      </c>
      <c r="AS10" s="1825" t="s">
        <v>4520</v>
      </c>
      <c r="AT10" s="1826" t="s">
        <v>4521</v>
      </c>
      <c r="AU10" s="1815" t="s">
        <v>4521</v>
      </c>
      <c r="AV10" s="1318">
        <v>2</v>
      </c>
      <c r="AW10" s="1254">
        <v>2</v>
      </c>
      <c r="AX10" s="1249" t="s">
        <v>4521</v>
      </c>
      <c r="AY10" s="1956">
        <v>146</v>
      </c>
      <c r="AZ10" s="1957">
        <v>16</v>
      </c>
      <c r="BA10" s="1249"/>
    </row>
    <row r="11" spans="2:53" ht="32.15" customHeight="1">
      <c r="B11" s="1823" t="s">
        <v>239</v>
      </c>
      <c r="C11" s="1947">
        <v>47</v>
      </c>
      <c r="D11" s="1824" t="s">
        <v>4528</v>
      </c>
      <c r="E11" s="1249" t="s">
        <v>3841</v>
      </c>
      <c r="F11" s="1249" t="s">
        <v>2127</v>
      </c>
      <c r="G11" s="1249" t="s">
        <v>2969</v>
      </c>
      <c r="H11" s="1726" t="s">
        <v>3723</v>
      </c>
      <c r="I11" s="1727" t="s">
        <v>2676</v>
      </c>
      <c r="J11" s="1727" t="s">
        <v>3724</v>
      </c>
      <c r="K11" s="1727" t="s">
        <v>3725</v>
      </c>
      <c r="L11" s="1727" t="s">
        <v>4519</v>
      </c>
      <c r="M11" s="1727" t="s">
        <v>4519</v>
      </c>
      <c r="N11" s="1728" t="s">
        <v>4519</v>
      </c>
      <c r="O11" s="1728" t="s">
        <v>4519</v>
      </c>
      <c r="P11" s="1728" t="s">
        <v>4519</v>
      </c>
      <c r="Q11" s="1728" t="s">
        <v>4519</v>
      </c>
      <c r="R11" s="1728" t="s">
        <v>4519</v>
      </c>
      <c r="S11" s="1728" t="s">
        <v>4519</v>
      </c>
      <c r="T11" s="1728" t="s">
        <v>4519</v>
      </c>
      <c r="U11" s="1728" t="s">
        <v>4519</v>
      </c>
      <c r="V11" s="1728" t="s">
        <v>4519</v>
      </c>
      <c r="W11" s="1727" t="s">
        <v>4519</v>
      </c>
      <c r="X11" s="1728">
        <v>161</v>
      </c>
      <c r="Y11" s="1729">
        <v>179</v>
      </c>
      <c r="Z11" s="1726" t="s">
        <v>3723</v>
      </c>
      <c r="AA11" s="1727" t="s">
        <v>2676</v>
      </c>
      <c r="AB11" s="1727" t="s">
        <v>3726</v>
      </c>
      <c r="AC11" s="1727" t="s">
        <v>2636</v>
      </c>
      <c r="AD11" s="1727" t="s">
        <v>4519</v>
      </c>
      <c r="AE11" s="1727" t="s">
        <v>4519</v>
      </c>
      <c r="AF11" s="1728" t="s">
        <v>4519</v>
      </c>
      <c r="AG11" s="1728" t="s">
        <v>4519</v>
      </c>
      <c r="AH11" s="1728" t="s">
        <v>4519</v>
      </c>
      <c r="AI11" s="1728" t="s">
        <v>4519</v>
      </c>
      <c r="AJ11" s="1728" t="s">
        <v>4519</v>
      </c>
      <c r="AK11" s="1728" t="s">
        <v>4519</v>
      </c>
      <c r="AL11" s="1728" t="s">
        <v>4519</v>
      </c>
      <c r="AM11" s="1728" t="s">
        <v>4519</v>
      </c>
      <c r="AN11" s="1728" t="s">
        <v>4519</v>
      </c>
      <c r="AO11" s="1727" t="s">
        <v>4519</v>
      </c>
      <c r="AP11" s="1728">
        <v>161</v>
      </c>
      <c r="AQ11" s="1729">
        <v>162</v>
      </c>
      <c r="AR11" s="1822">
        <v>0.90502793295999995</v>
      </c>
      <c r="AS11" s="1825" t="s">
        <v>4520</v>
      </c>
      <c r="AT11" s="1826" t="s">
        <v>4521</v>
      </c>
      <c r="AU11" s="1815" t="s">
        <v>4521</v>
      </c>
      <c r="AV11" s="1318">
        <v>0</v>
      </c>
      <c r="AW11" s="1815">
        <v>0</v>
      </c>
      <c r="AX11" s="1249" t="s">
        <v>4521</v>
      </c>
      <c r="AY11" s="1956">
        <v>112</v>
      </c>
      <c r="AZ11" s="1957">
        <v>16</v>
      </c>
      <c r="BA11" s="1249"/>
    </row>
    <row r="12" spans="2:53" ht="32.15" customHeight="1">
      <c r="B12" s="1823" t="s">
        <v>239</v>
      </c>
      <c r="C12" s="1947">
        <v>51</v>
      </c>
      <c r="D12" s="1824" t="s">
        <v>4529</v>
      </c>
      <c r="E12" s="1249" t="s">
        <v>3841</v>
      </c>
      <c r="F12" s="1249" t="s">
        <v>2127</v>
      </c>
      <c r="G12" s="1249" t="s">
        <v>4343</v>
      </c>
      <c r="H12" s="1726" t="s">
        <v>4259</v>
      </c>
      <c r="I12" s="1727" t="s">
        <v>3972</v>
      </c>
      <c r="J12" s="1727" t="s">
        <v>4519</v>
      </c>
      <c r="K12" s="1727" t="s">
        <v>4260</v>
      </c>
      <c r="L12" s="1727" t="s">
        <v>4519</v>
      </c>
      <c r="M12" s="1727" t="s">
        <v>4519</v>
      </c>
      <c r="N12" s="1728" t="s">
        <v>4519</v>
      </c>
      <c r="O12" s="1728" t="s">
        <v>4519</v>
      </c>
      <c r="P12" s="1728" t="s">
        <v>4519</v>
      </c>
      <c r="Q12" s="1728" t="s">
        <v>4519</v>
      </c>
      <c r="R12" s="1728" t="s">
        <v>4519</v>
      </c>
      <c r="S12" s="1728" t="s">
        <v>4519</v>
      </c>
      <c r="T12" s="1728" t="s">
        <v>4519</v>
      </c>
      <c r="U12" s="1728" t="s">
        <v>4519</v>
      </c>
      <c r="V12" s="1728" t="s">
        <v>4519</v>
      </c>
      <c r="W12" s="1727" t="s">
        <v>4519</v>
      </c>
      <c r="X12" s="1728">
        <v>165</v>
      </c>
      <c r="Y12" s="1729">
        <v>207</v>
      </c>
      <c r="Z12" s="1726" t="s">
        <v>3707</v>
      </c>
      <c r="AA12" s="1727" t="s">
        <v>4519</v>
      </c>
      <c r="AB12" s="1727" t="s">
        <v>4519</v>
      </c>
      <c r="AC12" s="1727" t="s">
        <v>4046</v>
      </c>
      <c r="AD12" s="1727" t="s">
        <v>4519</v>
      </c>
      <c r="AE12" s="1727" t="s">
        <v>4519</v>
      </c>
      <c r="AF12" s="1728" t="s">
        <v>4519</v>
      </c>
      <c r="AG12" s="1728" t="s">
        <v>4519</v>
      </c>
      <c r="AH12" s="1728" t="s">
        <v>4519</v>
      </c>
      <c r="AI12" s="1728" t="s">
        <v>4519</v>
      </c>
      <c r="AJ12" s="1728" t="s">
        <v>4519</v>
      </c>
      <c r="AK12" s="1728" t="s">
        <v>4519</v>
      </c>
      <c r="AL12" s="1728" t="s">
        <v>4519</v>
      </c>
      <c r="AM12" s="1728" t="s">
        <v>4519</v>
      </c>
      <c r="AN12" s="1728" t="s">
        <v>4519</v>
      </c>
      <c r="AO12" s="1727" t="s">
        <v>4519</v>
      </c>
      <c r="AP12" s="1728">
        <v>70</v>
      </c>
      <c r="AQ12" s="1729">
        <v>90</v>
      </c>
      <c r="AR12" s="1822">
        <v>0.42424242424242425</v>
      </c>
      <c r="AS12" s="1825" t="s">
        <v>4521</v>
      </c>
      <c r="AT12" s="1826" t="s">
        <v>4521</v>
      </c>
      <c r="AU12" s="1815" t="s">
        <v>4521</v>
      </c>
      <c r="AV12" s="1318">
        <v>1</v>
      </c>
      <c r="AW12" s="1815">
        <v>1</v>
      </c>
      <c r="AX12" s="1249" t="s">
        <v>4521</v>
      </c>
      <c r="AY12" s="1956">
        <v>62</v>
      </c>
      <c r="AZ12" s="1957">
        <v>16</v>
      </c>
      <c r="BA12" s="1249"/>
    </row>
    <row r="13" spans="2:53" ht="32.15" customHeight="1">
      <c r="B13" s="1823" t="s">
        <v>239</v>
      </c>
      <c r="C13" s="1947">
        <v>52</v>
      </c>
      <c r="D13" s="1824" t="s">
        <v>4530</v>
      </c>
      <c r="E13" s="1249" t="s">
        <v>3841</v>
      </c>
      <c r="F13" s="1249" t="s">
        <v>2127</v>
      </c>
      <c r="G13" s="1249" t="s">
        <v>4343</v>
      </c>
      <c r="H13" s="1726" t="s">
        <v>4270</v>
      </c>
      <c r="I13" s="1727" t="s">
        <v>4519</v>
      </c>
      <c r="J13" s="1727" t="s">
        <v>2699</v>
      </c>
      <c r="K13" s="1727" t="s">
        <v>2636</v>
      </c>
      <c r="L13" s="1727" t="s">
        <v>4519</v>
      </c>
      <c r="M13" s="1727" t="s">
        <v>4519</v>
      </c>
      <c r="N13" s="1728" t="s">
        <v>4519</v>
      </c>
      <c r="O13" s="1728" t="s">
        <v>4519</v>
      </c>
      <c r="P13" s="1728" t="s">
        <v>4519</v>
      </c>
      <c r="Q13" s="1728" t="s">
        <v>4519</v>
      </c>
      <c r="R13" s="1728" t="s">
        <v>4519</v>
      </c>
      <c r="S13" s="1728" t="s">
        <v>4519</v>
      </c>
      <c r="T13" s="1728" t="s">
        <v>4519</v>
      </c>
      <c r="U13" s="1728" t="s">
        <v>4519</v>
      </c>
      <c r="V13" s="1728" t="s">
        <v>4519</v>
      </c>
      <c r="W13" s="1727" t="s">
        <v>4519</v>
      </c>
      <c r="X13" s="1728">
        <v>98</v>
      </c>
      <c r="Y13" s="1729">
        <v>99</v>
      </c>
      <c r="Z13" s="1726" t="s">
        <v>3715</v>
      </c>
      <c r="AA13" s="1727" t="s">
        <v>4519</v>
      </c>
      <c r="AB13" s="1727" t="s">
        <v>4519</v>
      </c>
      <c r="AC13" s="1727" t="s">
        <v>4519</v>
      </c>
      <c r="AD13" s="1727" t="s">
        <v>4519</v>
      </c>
      <c r="AE13" s="1727" t="s">
        <v>4519</v>
      </c>
      <c r="AF13" s="1728" t="s">
        <v>4519</v>
      </c>
      <c r="AG13" s="1728" t="s">
        <v>4519</v>
      </c>
      <c r="AH13" s="1728" t="s">
        <v>4519</v>
      </c>
      <c r="AI13" s="1728" t="s">
        <v>4519</v>
      </c>
      <c r="AJ13" s="1728" t="s">
        <v>4519</v>
      </c>
      <c r="AK13" s="1728" t="s">
        <v>4519</v>
      </c>
      <c r="AL13" s="1728" t="s">
        <v>4519</v>
      </c>
      <c r="AM13" s="1728" t="s">
        <v>4519</v>
      </c>
      <c r="AN13" s="1728" t="s">
        <v>4519</v>
      </c>
      <c r="AO13" s="1727" t="s">
        <v>4519</v>
      </c>
      <c r="AP13" s="1728">
        <v>20</v>
      </c>
      <c r="AQ13" s="1729">
        <v>20</v>
      </c>
      <c r="AR13" s="1822">
        <v>0.20408163265306123</v>
      </c>
      <c r="AS13" s="1825" t="s">
        <v>4520</v>
      </c>
      <c r="AT13" s="1826" t="s">
        <v>4521</v>
      </c>
      <c r="AU13" s="1815" t="s">
        <v>4521</v>
      </c>
      <c r="AV13" s="1318">
        <v>0</v>
      </c>
      <c r="AW13" s="1815">
        <v>0</v>
      </c>
      <c r="AX13" s="1249" t="s">
        <v>4521</v>
      </c>
      <c r="AY13" s="1956">
        <v>10</v>
      </c>
      <c r="AZ13" s="1957">
        <v>16</v>
      </c>
      <c r="BA13" s="1249"/>
    </row>
    <row r="14" spans="2:53" ht="32.15" customHeight="1">
      <c r="B14" s="1823" t="s">
        <v>239</v>
      </c>
      <c r="C14" s="1947">
        <v>60</v>
      </c>
      <c r="D14" s="1824" t="s">
        <v>4531</v>
      </c>
      <c r="E14" s="1249" t="s">
        <v>3841</v>
      </c>
      <c r="F14" s="1249" t="s">
        <v>2127</v>
      </c>
      <c r="G14" s="1249" t="s">
        <v>4343</v>
      </c>
      <c r="H14" s="1726" t="s">
        <v>4519</v>
      </c>
      <c r="I14" s="1727" t="s">
        <v>3698</v>
      </c>
      <c r="J14" s="1727" t="s">
        <v>4519</v>
      </c>
      <c r="K14" s="1727" t="s">
        <v>3699</v>
      </c>
      <c r="L14" s="1727" t="s">
        <v>4519</v>
      </c>
      <c r="M14" s="1727" t="s">
        <v>4519</v>
      </c>
      <c r="N14" s="1728" t="s">
        <v>4519</v>
      </c>
      <c r="O14" s="1728" t="s">
        <v>4519</v>
      </c>
      <c r="P14" s="1728" t="s">
        <v>4519</v>
      </c>
      <c r="Q14" s="1728" t="s">
        <v>4519</v>
      </c>
      <c r="R14" s="1728" t="s">
        <v>4519</v>
      </c>
      <c r="S14" s="1728" t="s">
        <v>4519</v>
      </c>
      <c r="T14" s="1728" t="s">
        <v>4519</v>
      </c>
      <c r="U14" s="1728" t="s">
        <v>4519</v>
      </c>
      <c r="V14" s="1728" t="s">
        <v>4519</v>
      </c>
      <c r="W14" s="1727" t="s">
        <v>4519</v>
      </c>
      <c r="X14" s="1728">
        <v>272</v>
      </c>
      <c r="Y14" s="1729">
        <v>342</v>
      </c>
      <c r="Z14" s="1726" t="s">
        <v>4519</v>
      </c>
      <c r="AA14" s="1727" t="s">
        <v>3700</v>
      </c>
      <c r="AB14" s="1727" t="s">
        <v>4519</v>
      </c>
      <c r="AC14" s="1727" t="s">
        <v>3701</v>
      </c>
      <c r="AD14" s="1727" t="s">
        <v>4519</v>
      </c>
      <c r="AE14" s="1727" t="s">
        <v>4519</v>
      </c>
      <c r="AF14" s="1728" t="s">
        <v>4519</v>
      </c>
      <c r="AG14" s="1728" t="s">
        <v>4519</v>
      </c>
      <c r="AH14" s="1728" t="s">
        <v>4519</v>
      </c>
      <c r="AI14" s="1728" t="s">
        <v>4519</v>
      </c>
      <c r="AJ14" s="1728" t="s">
        <v>4519</v>
      </c>
      <c r="AK14" s="1728" t="s">
        <v>4519</v>
      </c>
      <c r="AL14" s="1728" t="s">
        <v>4519</v>
      </c>
      <c r="AM14" s="1728" t="s">
        <v>4519</v>
      </c>
      <c r="AN14" s="1728" t="s">
        <v>4519</v>
      </c>
      <c r="AO14" s="1727" t="s">
        <v>4519</v>
      </c>
      <c r="AP14" s="1728">
        <v>120</v>
      </c>
      <c r="AQ14" s="1729">
        <v>150</v>
      </c>
      <c r="AR14" s="1822">
        <v>0.44117647058823528</v>
      </c>
      <c r="AS14" s="1825" t="s">
        <v>4520</v>
      </c>
      <c r="AT14" s="1826" t="s">
        <v>4521</v>
      </c>
      <c r="AU14" s="1815" t="s">
        <v>4521</v>
      </c>
      <c r="AV14" s="1318">
        <v>0</v>
      </c>
      <c r="AW14" s="1815">
        <v>0</v>
      </c>
      <c r="AX14" s="1249" t="s">
        <v>4521</v>
      </c>
      <c r="AY14" s="1956">
        <v>104</v>
      </c>
      <c r="AZ14" s="1957">
        <v>16</v>
      </c>
      <c r="BA14" s="1249"/>
    </row>
    <row r="15" spans="2:53" ht="32.15" customHeight="1">
      <c r="B15" s="1823" t="s">
        <v>239</v>
      </c>
      <c r="C15" s="1947">
        <v>61</v>
      </c>
      <c r="D15" s="1824" t="s">
        <v>4532</v>
      </c>
      <c r="E15" s="1249" t="s">
        <v>3841</v>
      </c>
      <c r="F15" s="1249" t="s">
        <v>2127</v>
      </c>
      <c r="G15" s="1249" t="s">
        <v>4343</v>
      </c>
      <c r="H15" s="1726" t="s">
        <v>4519</v>
      </c>
      <c r="I15" s="1727" t="s">
        <v>4533</v>
      </c>
      <c r="J15" s="1727" t="s">
        <v>4519</v>
      </c>
      <c r="K15" s="1727" t="s">
        <v>4046</v>
      </c>
      <c r="L15" s="1727" t="s">
        <v>4519</v>
      </c>
      <c r="M15" s="1727" t="s">
        <v>4519</v>
      </c>
      <c r="N15" s="1728" t="s">
        <v>4519</v>
      </c>
      <c r="O15" s="1728" t="s">
        <v>4519</v>
      </c>
      <c r="P15" s="1728" t="s">
        <v>4519</v>
      </c>
      <c r="Q15" s="1728" t="s">
        <v>4519</v>
      </c>
      <c r="R15" s="1728" t="s">
        <v>4519</v>
      </c>
      <c r="S15" s="1728" t="s">
        <v>4519</v>
      </c>
      <c r="T15" s="1728" t="s">
        <v>4519</v>
      </c>
      <c r="U15" s="1728" t="s">
        <v>4519</v>
      </c>
      <c r="V15" s="1728" t="s">
        <v>4519</v>
      </c>
      <c r="W15" s="1727" t="s">
        <v>4519</v>
      </c>
      <c r="X15" s="1728">
        <v>313</v>
      </c>
      <c r="Y15" s="1729">
        <v>333</v>
      </c>
      <c r="Z15" s="1726" t="s">
        <v>4519</v>
      </c>
      <c r="AA15" s="1727" t="s">
        <v>2727</v>
      </c>
      <c r="AB15" s="1727" t="s">
        <v>4519</v>
      </c>
      <c r="AC15" s="1727" t="s">
        <v>4519</v>
      </c>
      <c r="AD15" s="1727" t="s">
        <v>4519</v>
      </c>
      <c r="AE15" s="1727" t="s">
        <v>4519</v>
      </c>
      <c r="AF15" s="1728" t="s">
        <v>4519</v>
      </c>
      <c r="AG15" s="1728" t="s">
        <v>4519</v>
      </c>
      <c r="AH15" s="1728" t="s">
        <v>4519</v>
      </c>
      <c r="AI15" s="1728" t="s">
        <v>4519</v>
      </c>
      <c r="AJ15" s="1728" t="s">
        <v>4519</v>
      </c>
      <c r="AK15" s="1728" t="s">
        <v>4519</v>
      </c>
      <c r="AL15" s="1728" t="s">
        <v>4519</v>
      </c>
      <c r="AM15" s="1728" t="s">
        <v>4519</v>
      </c>
      <c r="AN15" s="1728" t="s">
        <v>4519</v>
      </c>
      <c r="AO15" s="1727" t="s">
        <v>4519</v>
      </c>
      <c r="AP15" s="1728">
        <v>60</v>
      </c>
      <c r="AQ15" s="1729">
        <v>60</v>
      </c>
      <c r="AR15" s="1822">
        <v>0.19169329073482427</v>
      </c>
      <c r="AS15" s="1825" t="s">
        <v>4520</v>
      </c>
      <c r="AT15" s="1826" t="s">
        <v>4521</v>
      </c>
      <c r="AU15" s="1815" t="s">
        <v>4521</v>
      </c>
      <c r="AV15" s="1318">
        <v>0</v>
      </c>
      <c r="AW15" s="1815">
        <v>0</v>
      </c>
      <c r="AX15" s="1249" t="s">
        <v>4521</v>
      </c>
      <c r="AY15" s="1956">
        <v>41</v>
      </c>
      <c r="AZ15" s="1957">
        <v>16</v>
      </c>
      <c r="BA15" s="1249"/>
    </row>
    <row r="16" spans="2:53" ht="32.15" customHeight="1">
      <c r="B16" s="1823" t="s">
        <v>239</v>
      </c>
      <c r="C16" s="1947">
        <v>63</v>
      </c>
      <c r="D16" s="1824" t="s">
        <v>4534</v>
      </c>
      <c r="E16" s="1249" t="s">
        <v>3841</v>
      </c>
      <c r="F16" s="1249" t="s">
        <v>2127</v>
      </c>
      <c r="G16" s="1249" t="s">
        <v>2969</v>
      </c>
      <c r="H16" s="1726" t="s">
        <v>4519</v>
      </c>
      <c r="I16" s="1727" t="s">
        <v>3719</v>
      </c>
      <c r="J16" s="1727" t="s">
        <v>4519</v>
      </c>
      <c r="K16" s="1727" t="s">
        <v>4519</v>
      </c>
      <c r="L16" s="1727" t="s">
        <v>4519</v>
      </c>
      <c r="M16" s="1727" t="s">
        <v>4519</v>
      </c>
      <c r="N16" s="1728" t="s">
        <v>4519</v>
      </c>
      <c r="O16" s="1728" t="s">
        <v>4519</v>
      </c>
      <c r="P16" s="1728" t="s">
        <v>4519</v>
      </c>
      <c r="Q16" s="1728" t="s">
        <v>4519</v>
      </c>
      <c r="R16" s="1728" t="s">
        <v>4519</v>
      </c>
      <c r="S16" s="1728" t="s">
        <v>4519</v>
      </c>
      <c r="T16" s="1728" t="s">
        <v>4519</v>
      </c>
      <c r="U16" s="1728" t="s">
        <v>4519</v>
      </c>
      <c r="V16" s="1728" t="s">
        <v>4519</v>
      </c>
      <c r="W16" s="1727" t="s">
        <v>4519</v>
      </c>
      <c r="X16" s="1728">
        <v>56</v>
      </c>
      <c r="Y16" s="1729">
        <v>56</v>
      </c>
      <c r="Z16" s="1726" t="s">
        <v>4519</v>
      </c>
      <c r="AA16" s="1727" t="s">
        <v>3719</v>
      </c>
      <c r="AB16" s="1727" t="s">
        <v>4519</v>
      </c>
      <c r="AC16" s="1727" t="s">
        <v>4519</v>
      </c>
      <c r="AD16" s="1727" t="s">
        <v>4519</v>
      </c>
      <c r="AE16" s="1727" t="s">
        <v>4519</v>
      </c>
      <c r="AF16" s="1728" t="s">
        <v>4519</v>
      </c>
      <c r="AG16" s="1728" t="s">
        <v>4519</v>
      </c>
      <c r="AH16" s="1728" t="s">
        <v>4519</v>
      </c>
      <c r="AI16" s="1728" t="s">
        <v>4519</v>
      </c>
      <c r="AJ16" s="1728" t="s">
        <v>4519</v>
      </c>
      <c r="AK16" s="1728" t="s">
        <v>4519</v>
      </c>
      <c r="AL16" s="1728" t="s">
        <v>4519</v>
      </c>
      <c r="AM16" s="1728" t="s">
        <v>4519</v>
      </c>
      <c r="AN16" s="1728" t="s">
        <v>4519</v>
      </c>
      <c r="AO16" s="1727" t="s">
        <v>4519</v>
      </c>
      <c r="AP16" s="1728">
        <v>56</v>
      </c>
      <c r="AQ16" s="1729">
        <v>56</v>
      </c>
      <c r="AR16" s="1822">
        <v>1</v>
      </c>
      <c r="AS16" s="1825" t="s">
        <v>4521</v>
      </c>
      <c r="AT16" s="1826" t="s">
        <v>4521</v>
      </c>
      <c r="AU16" s="1815" t="s">
        <v>4521</v>
      </c>
      <c r="AV16" s="1318">
        <v>0</v>
      </c>
      <c r="AW16" s="1815">
        <v>0</v>
      </c>
      <c r="AX16" s="1249" t="s">
        <v>4521</v>
      </c>
      <c r="AY16" s="1956">
        <v>39</v>
      </c>
      <c r="AZ16" s="1957">
        <v>16</v>
      </c>
      <c r="BA16" s="1249"/>
    </row>
    <row r="17" spans="2:53" ht="32.15" customHeight="1">
      <c r="B17" s="1823" t="s">
        <v>239</v>
      </c>
      <c r="C17" s="1947">
        <v>66</v>
      </c>
      <c r="D17" s="1824" t="s">
        <v>4535</v>
      </c>
      <c r="E17" s="1249" t="s">
        <v>3874</v>
      </c>
      <c r="F17" s="1249" t="s">
        <v>2127</v>
      </c>
      <c r="G17" s="1249" t="s">
        <v>4343</v>
      </c>
      <c r="H17" s="1726" t="s">
        <v>3997</v>
      </c>
      <c r="I17" s="1727" t="s">
        <v>4519</v>
      </c>
      <c r="J17" s="1727" t="s">
        <v>2699</v>
      </c>
      <c r="K17" s="1727" t="s">
        <v>2636</v>
      </c>
      <c r="L17" s="1727" t="s">
        <v>4519</v>
      </c>
      <c r="M17" s="1727" t="s">
        <v>4519</v>
      </c>
      <c r="N17" s="1728" t="s">
        <v>4519</v>
      </c>
      <c r="O17" s="1728" t="s">
        <v>4519</v>
      </c>
      <c r="P17" s="1728" t="s">
        <v>4519</v>
      </c>
      <c r="Q17" s="1728" t="s">
        <v>4519</v>
      </c>
      <c r="R17" s="1728" t="s">
        <v>4519</v>
      </c>
      <c r="S17" s="1728" t="s">
        <v>4519</v>
      </c>
      <c r="T17" s="1728" t="s">
        <v>4519</v>
      </c>
      <c r="U17" s="1728" t="s">
        <v>4519</v>
      </c>
      <c r="V17" s="1728" t="s">
        <v>4519</v>
      </c>
      <c r="W17" s="1727" t="s">
        <v>4519</v>
      </c>
      <c r="X17" s="1728">
        <v>118</v>
      </c>
      <c r="Y17" s="1729">
        <v>119</v>
      </c>
      <c r="Z17" s="1726" t="s">
        <v>3712</v>
      </c>
      <c r="AA17" s="1727" t="s">
        <v>4519</v>
      </c>
      <c r="AB17" s="1727" t="s">
        <v>4519</v>
      </c>
      <c r="AC17" s="1727" t="s">
        <v>4519</v>
      </c>
      <c r="AD17" s="1727" t="s">
        <v>4519</v>
      </c>
      <c r="AE17" s="1727" t="s">
        <v>4519</v>
      </c>
      <c r="AF17" s="1728" t="s">
        <v>4519</v>
      </c>
      <c r="AG17" s="1728" t="s">
        <v>4519</v>
      </c>
      <c r="AH17" s="1728" t="s">
        <v>4519</v>
      </c>
      <c r="AI17" s="1728" t="s">
        <v>4519</v>
      </c>
      <c r="AJ17" s="1728" t="s">
        <v>4519</v>
      </c>
      <c r="AK17" s="1728" t="s">
        <v>4519</v>
      </c>
      <c r="AL17" s="1728" t="s">
        <v>4519</v>
      </c>
      <c r="AM17" s="1728" t="s">
        <v>4519</v>
      </c>
      <c r="AN17" s="1728" t="s">
        <v>4519</v>
      </c>
      <c r="AO17" s="1727" t="s">
        <v>4519</v>
      </c>
      <c r="AP17" s="1728">
        <v>40</v>
      </c>
      <c r="AQ17" s="1729">
        <v>40</v>
      </c>
      <c r="AR17" s="1822">
        <v>0.33898305084745761</v>
      </c>
      <c r="AS17" s="1825" t="s">
        <v>4521</v>
      </c>
      <c r="AT17" s="1826" t="s">
        <v>4521</v>
      </c>
      <c r="AU17" s="1815" t="s">
        <v>4521</v>
      </c>
      <c r="AV17" s="1318">
        <v>0</v>
      </c>
      <c r="AW17" s="1815">
        <v>0</v>
      </c>
      <c r="AX17" s="1249" t="s">
        <v>4521</v>
      </c>
      <c r="AY17" s="1956">
        <v>28</v>
      </c>
      <c r="AZ17" s="1957">
        <v>16</v>
      </c>
      <c r="BA17" s="1249"/>
    </row>
    <row r="18" spans="2:53" ht="32.15" customHeight="1">
      <c r="B18" s="1823" t="s">
        <v>239</v>
      </c>
      <c r="C18" s="1947">
        <v>68</v>
      </c>
      <c r="D18" s="1827" t="s">
        <v>4536</v>
      </c>
      <c r="E18" s="1249" t="s">
        <v>3874</v>
      </c>
      <c r="F18" s="1249" t="s">
        <v>2127</v>
      </c>
      <c r="G18" s="1249" t="s">
        <v>2969</v>
      </c>
      <c r="H18" s="1726" t="s">
        <v>4037</v>
      </c>
      <c r="I18" s="1727" t="s">
        <v>4519</v>
      </c>
      <c r="J18" s="1727" t="s">
        <v>3715</v>
      </c>
      <c r="K18" s="1727" t="s">
        <v>4519</v>
      </c>
      <c r="L18" s="1727" t="s">
        <v>4044</v>
      </c>
      <c r="M18" s="1727" t="s">
        <v>4519</v>
      </c>
      <c r="N18" s="1728" t="s">
        <v>4519</v>
      </c>
      <c r="O18" s="1728" t="s">
        <v>4519</v>
      </c>
      <c r="P18" s="1728" t="s">
        <v>4519</v>
      </c>
      <c r="Q18" s="1728" t="s">
        <v>4519</v>
      </c>
      <c r="R18" s="1728" t="s">
        <v>4519</v>
      </c>
      <c r="S18" s="1728" t="s">
        <v>4519</v>
      </c>
      <c r="T18" s="1728" t="s">
        <v>4519</v>
      </c>
      <c r="U18" s="1728" t="s">
        <v>4519</v>
      </c>
      <c r="V18" s="1728" t="s">
        <v>4519</v>
      </c>
      <c r="W18" s="1727" t="s">
        <v>4519</v>
      </c>
      <c r="X18" s="1728">
        <v>40</v>
      </c>
      <c r="Y18" s="1729">
        <v>50</v>
      </c>
      <c r="Z18" s="1726" t="s">
        <v>4037</v>
      </c>
      <c r="AA18" s="1727" t="s">
        <v>4519</v>
      </c>
      <c r="AB18" s="1727" t="s">
        <v>3715</v>
      </c>
      <c r="AC18" s="1727" t="s">
        <v>4519</v>
      </c>
      <c r="AD18" s="1727" t="s">
        <v>4044</v>
      </c>
      <c r="AE18" s="1727" t="s">
        <v>4519</v>
      </c>
      <c r="AF18" s="1728" t="s">
        <v>4519</v>
      </c>
      <c r="AG18" s="1728" t="s">
        <v>4519</v>
      </c>
      <c r="AH18" s="1728" t="s">
        <v>4519</v>
      </c>
      <c r="AI18" s="1728" t="s">
        <v>4519</v>
      </c>
      <c r="AJ18" s="1728" t="s">
        <v>4519</v>
      </c>
      <c r="AK18" s="1728" t="s">
        <v>4519</v>
      </c>
      <c r="AL18" s="1728" t="s">
        <v>4519</v>
      </c>
      <c r="AM18" s="1728" t="s">
        <v>4519</v>
      </c>
      <c r="AN18" s="1728" t="s">
        <v>4519</v>
      </c>
      <c r="AO18" s="1727" t="s">
        <v>4519</v>
      </c>
      <c r="AP18" s="1728">
        <v>40</v>
      </c>
      <c r="AQ18" s="1729">
        <v>50</v>
      </c>
      <c r="AR18" s="1822">
        <v>1</v>
      </c>
      <c r="AS18" s="1825" t="s">
        <v>4521</v>
      </c>
      <c r="AT18" s="1826" t="s">
        <v>4521</v>
      </c>
      <c r="AU18" s="1815" t="s">
        <v>4521</v>
      </c>
      <c r="AV18" s="1318">
        <v>0</v>
      </c>
      <c r="AW18" s="1815">
        <v>0</v>
      </c>
      <c r="AX18" s="1249" t="s">
        <v>4521</v>
      </c>
      <c r="AY18" s="1956">
        <v>34</v>
      </c>
      <c r="AZ18" s="1957">
        <v>16</v>
      </c>
      <c r="BA18" s="1249" t="s">
        <v>4537</v>
      </c>
    </row>
    <row r="19" spans="2:53" ht="32.15" customHeight="1">
      <c r="B19" s="1823" t="s">
        <v>239</v>
      </c>
      <c r="C19" s="1947">
        <v>71</v>
      </c>
      <c r="D19" s="1824" t="s">
        <v>4538</v>
      </c>
      <c r="E19" s="1249" t="s">
        <v>3841</v>
      </c>
      <c r="F19" s="1249" t="s">
        <v>2127</v>
      </c>
      <c r="G19" s="1249" t="s">
        <v>2969</v>
      </c>
      <c r="H19" s="1726" t="s">
        <v>4057</v>
      </c>
      <c r="I19" s="1727" t="s">
        <v>4064</v>
      </c>
      <c r="J19" s="1727" t="s">
        <v>2721</v>
      </c>
      <c r="K19" s="1727" t="s">
        <v>4519</v>
      </c>
      <c r="L19" s="1727" t="s">
        <v>4519</v>
      </c>
      <c r="M19" s="1727" t="s">
        <v>4519</v>
      </c>
      <c r="N19" s="1728" t="s">
        <v>4519</v>
      </c>
      <c r="O19" s="1728" t="s">
        <v>4519</v>
      </c>
      <c r="P19" s="1728" t="s">
        <v>4519</v>
      </c>
      <c r="Q19" s="1728" t="s">
        <v>4519</v>
      </c>
      <c r="R19" s="1728" t="s">
        <v>4519</v>
      </c>
      <c r="S19" s="1728" t="s">
        <v>4519</v>
      </c>
      <c r="T19" s="1728" t="s">
        <v>4519</v>
      </c>
      <c r="U19" s="1728" t="s">
        <v>4519</v>
      </c>
      <c r="V19" s="1728" t="s">
        <v>4519</v>
      </c>
      <c r="W19" s="1727" t="s">
        <v>4539</v>
      </c>
      <c r="X19" s="1728">
        <v>119</v>
      </c>
      <c r="Y19" s="1729">
        <v>112</v>
      </c>
      <c r="Z19" s="1726" t="s">
        <v>4057</v>
      </c>
      <c r="AA19" s="1727" t="s">
        <v>4064</v>
      </c>
      <c r="AB19" s="1727" t="s">
        <v>2721</v>
      </c>
      <c r="AC19" s="1727" t="s">
        <v>4519</v>
      </c>
      <c r="AD19" s="1727" t="s">
        <v>4519</v>
      </c>
      <c r="AE19" s="1727" t="s">
        <v>4519</v>
      </c>
      <c r="AF19" s="1728" t="s">
        <v>4519</v>
      </c>
      <c r="AG19" s="1728" t="s">
        <v>4519</v>
      </c>
      <c r="AH19" s="1728" t="s">
        <v>4519</v>
      </c>
      <c r="AI19" s="1728" t="s">
        <v>4519</v>
      </c>
      <c r="AJ19" s="1728" t="s">
        <v>4519</v>
      </c>
      <c r="AK19" s="1728" t="s">
        <v>4519</v>
      </c>
      <c r="AL19" s="1728" t="s">
        <v>4519</v>
      </c>
      <c r="AM19" s="1728" t="s">
        <v>4519</v>
      </c>
      <c r="AN19" s="1728" t="s">
        <v>4519</v>
      </c>
      <c r="AO19" s="1727" t="s">
        <v>3995</v>
      </c>
      <c r="AP19" s="1728">
        <v>119</v>
      </c>
      <c r="AQ19" s="1729">
        <v>112</v>
      </c>
      <c r="AR19" s="1822">
        <v>1</v>
      </c>
      <c r="AS19" s="1825" t="s">
        <v>4521</v>
      </c>
      <c r="AT19" s="1826" t="s">
        <v>4521</v>
      </c>
      <c r="AU19" s="1815" t="s">
        <v>4521</v>
      </c>
      <c r="AV19" s="1318">
        <v>0</v>
      </c>
      <c r="AW19" s="1815">
        <v>0</v>
      </c>
      <c r="AX19" s="1249" t="s">
        <v>4521</v>
      </c>
      <c r="AY19" s="1956">
        <v>77</v>
      </c>
      <c r="AZ19" s="1957">
        <v>16</v>
      </c>
      <c r="BA19" s="1249"/>
    </row>
    <row r="20" spans="2:53" ht="32.15" customHeight="1">
      <c r="B20" s="1823" t="s">
        <v>239</v>
      </c>
      <c r="C20" s="1947">
        <v>73</v>
      </c>
      <c r="D20" s="1824" t="s">
        <v>4540</v>
      </c>
      <c r="E20" s="1249" t="s">
        <v>3874</v>
      </c>
      <c r="F20" s="1246" t="s">
        <v>4541</v>
      </c>
      <c r="G20" s="1249" t="s">
        <v>4343</v>
      </c>
      <c r="H20" s="1726" t="s">
        <v>3719</v>
      </c>
      <c r="I20" s="1727" t="s">
        <v>3748</v>
      </c>
      <c r="J20" s="1727" t="s">
        <v>4519</v>
      </c>
      <c r="K20" s="1727" t="s">
        <v>4519</v>
      </c>
      <c r="L20" s="1727" t="s">
        <v>4519</v>
      </c>
      <c r="M20" s="1727" t="s">
        <v>4519</v>
      </c>
      <c r="N20" s="1728" t="s">
        <v>4519</v>
      </c>
      <c r="O20" s="1728" t="s">
        <v>4049</v>
      </c>
      <c r="P20" s="1728" t="s">
        <v>4519</v>
      </c>
      <c r="Q20" s="1728" t="s">
        <v>4519</v>
      </c>
      <c r="R20" s="1728" t="s">
        <v>4519</v>
      </c>
      <c r="S20" s="1728" t="s">
        <v>4519</v>
      </c>
      <c r="T20" s="1728" t="s">
        <v>4519</v>
      </c>
      <c r="U20" s="1728" t="s">
        <v>4519</v>
      </c>
      <c r="V20" s="1728" t="s">
        <v>4519</v>
      </c>
      <c r="W20" s="1727" t="s">
        <v>4519</v>
      </c>
      <c r="X20" s="1728">
        <v>96</v>
      </c>
      <c r="Y20" s="1729">
        <v>84</v>
      </c>
      <c r="Z20" s="1726" t="s">
        <v>3707</v>
      </c>
      <c r="AA20" s="1727" t="s">
        <v>3715</v>
      </c>
      <c r="AB20" s="1727" t="s">
        <v>4519</v>
      </c>
      <c r="AC20" s="1727" t="s">
        <v>4519</v>
      </c>
      <c r="AD20" s="1727" t="s">
        <v>4519</v>
      </c>
      <c r="AE20" s="1727" t="s">
        <v>4519</v>
      </c>
      <c r="AF20" s="1728" t="s">
        <v>4519</v>
      </c>
      <c r="AG20" s="1728" t="s">
        <v>4542</v>
      </c>
      <c r="AH20" s="1728" t="s">
        <v>4519</v>
      </c>
      <c r="AI20" s="1728" t="s">
        <v>4519</v>
      </c>
      <c r="AJ20" s="1728" t="s">
        <v>4519</v>
      </c>
      <c r="AK20" s="1728" t="s">
        <v>4519</v>
      </c>
      <c r="AL20" s="1728" t="s">
        <v>4519</v>
      </c>
      <c r="AM20" s="1728" t="s">
        <v>4519</v>
      </c>
      <c r="AN20" s="1728" t="s">
        <v>4519</v>
      </c>
      <c r="AO20" s="1727" t="s">
        <v>4519</v>
      </c>
      <c r="AP20" s="1728">
        <v>80</v>
      </c>
      <c r="AQ20" s="1729">
        <v>70</v>
      </c>
      <c r="AR20" s="1822">
        <v>0.83333333333333337</v>
      </c>
      <c r="AS20" s="1825" t="s">
        <v>4520</v>
      </c>
      <c r="AT20" s="1826" t="s">
        <v>4521</v>
      </c>
      <c r="AU20" s="1815" t="s">
        <v>4521</v>
      </c>
      <c r="AV20" s="1318">
        <v>0</v>
      </c>
      <c r="AW20" s="1815">
        <v>0</v>
      </c>
      <c r="AX20" s="1249" t="s">
        <v>4521</v>
      </c>
      <c r="AY20" s="1956">
        <v>48</v>
      </c>
      <c r="AZ20" s="1957">
        <v>16</v>
      </c>
      <c r="BA20" s="1249"/>
    </row>
    <row r="21" spans="2:53" ht="32.15" customHeight="1">
      <c r="B21" s="1823" t="s">
        <v>239</v>
      </c>
      <c r="C21" s="1947">
        <v>74</v>
      </c>
      <c r="D21" s="1824" t="s">
        <v>4543</v>
      </c>
      <c r="E21" s="1249" t="s">
        <v>3841</v>
      </c>
      <c r="F21" s="1249" t="s">
        <v>2127</v>
      </c>
      <c r="G21" s="1249" t="s">
        <v>4343</v>
      </c>
      <c r="H21" s="1726" t="s">
        <v>3728</v>
      </c>
      <c r="I21" s="1727" t="s">
        <v>3721</v>
      </c>
      <c r="J21" s="1727" t="s">
        <v>2623</v>
      </c>
      <c r="K21" s="1727" t="s">
        <v>4519</v>
      </c>
      <c r="L21" s="1727" t="s">
        <v>4519</v>
      </c>
      <c r="M21" s="1727" t="s">
        <v>4519</v>
      </c>
      <c r="N21" s="1728" t="s">
        <v>4519</v>
      </c>
      <c r="O21" s="1728" t="s">
        <v>4519</v>
      </c>
      <c r="P21" s="1728" t="s">
        <v>4519</v>
      </c>
      <c r="Q21" s="1728" t="s">
        <v>4519</v>
      </c>
      <c r="R21" s="1728" t="s">
        <v>4519</v>
      </c>
      <c r="S21" s="1728" t="s">
        <v>4519</v>
      </c>
      <c r="T21" s="1728" t="s">
        <v>4519</v>
      </c>
      <c r="U21" s="1728" t="s">
        <v>4519</v>
      </c>
      <c r="V21" s="1728" t="s">
        <v>4519</v>
      </c>
      <c r="W21" s="1727" t="s">
        <v>4519</v>
      </c>
      <c r="X21" s="1728">
        <v>117</v>
      </c>
      <c r="Y21" s="1729">
        <v>117</v>
      </c>
      <c r="Z21" s="1726" t="s">
        <v>3729</v>
      </c>
      <c r="AA21" s="1727" t="s">
        <v>4519</v>
      </c>
      <c r="AB21" s="1727" t="s">
        <v>4519</v>
      </c>
      <c r="AC21" s="1727" t="s">
        <v>4519</v>
      </c>
      <c r="AD21" s="1727" t="s">
        <v>4519</v>
      </c>
      <c r="AE21" s="1727" t="s">
        <v>4519</v>
      </c>
      <c r="AF21" s="1728" t="s">
        <v>4519</v>
      </c>
      <c r="AG21" s="1728" t="s">
        <v>4519</v>
      </c>
      <c r="AH21" s="1728" t="s">
        <v>4519</v>
      </c>
      <c r="AI21" s="1728" t="s">
        <v>4519</v>
      </c>
      <c r="AJ21" s="1728" t="s">
        <v>4519</v>
      </c>
      <c r="AK21" s="1728" t="s">
        <v>4519</v>
      </c>
      <c r="AL21" s="1728" t="s">
        <v>4519</v>
      </c>
      <c r="AM21" s="1728" t="s">
        <v>4519</v>
      </c>
      <c r="AN21" s="1728" t="s">
        <v>4519</v>
      </c>
      <c r="AO21" s="1727" t="s">
        <v>4519</v>
      </c>
      <c r="AP21" s="1728">
        <v>24</v>
      </c>
      <c r="AQ21" s="1729">
        <v>24</v>
      </c>
      <c r="AR21" s="1822">
        <v>0.20512820512820512</v>
      </c>
      <c r="AS21" s="1825" t="s">
        <v>4520</v>
      </c>
      <c r="AT21" s="1826" t="s">
        <v>4521</v>
      </c>
      <c r="AU21" s="1815" t="s">
        <v>4521</v>
      </c>
      <c r="AV21" s="1318">
        <v>0</v>
      </c>
      <c r="AW21" s="1815">
        <v>0</v>
      </c>
      <c r="AX21" s="1249" t="s">
        <v>4521</v>
      </c>
      <c r="AY21" s="1956">
        <v>14</v>
      </c>
      <c r="AZ21" s="1957">
        <v>16</v>
      </c>
      <c r="BA21" s="1249"/>
    </row>
    <row r="22" spans="2:53" ht="32.15" customHeight="1">
      <c r="B22" s="1823" t="s">
        <v>239</v>
      </c>
      <c r="C22" s="1947">
        <v>75</v>
      </c>
      <c r="D22" s="1824" t="s">
        <v>4544</v>
      </c>
      <c r="E22" s="1249" t="s">
        <v>3841</v>
      </c>
      <c r="F22" s="1249" t="s">
        <v>2127</v>
      </c>
      <c r="G22" s="1249" t="s">
        <v>4343</v>
      </c>
      <c r="H22" s="1726" t="s">
        <v>3731</v>
      </c>
      <c r="I22" s="1727" t="s">
        <v>4519</v>
      </c>
      <c r="J22" s="1727" t="s">
        <v>4519</v>
      </c>
      <c r="K22" s="1727" t="s">
        <v>4519</v>
      </c>
      <c r="L22" s="1727" t="s">
        <v>4519</v>
      </c>
      <c r="M22" s="1727" t="s">
        <v>4519</v>
      </c>
      <c r="N22" s="1728" t="s">
        <v>4519</v>
      </c>
      <c r="O22" s="1728" t="s">
        <v>4519</v>
      </c>
      <c r="P22" s="1728" t="s">
        <v>4519</v>
      </c>
      <c r="Q22" s="1728" t="s">
        <v>4519</v>
      </c>
      <c r="R22" s="1728" t="s">
        <v>4519</v>
      </c>
      <c r="S22" s="1728" t="s">
        <v>4519</v>
      </c>
      <c r="T22" s="1728" t="s">
        <v>4519</v>
      </c>
      <c r="U22" s="1728" t="s">
        <v>4519</v>
      </c>
      <c r="V22" s="1728" t="s">
        <v>4519</v>
      </c>
      <c r="W22" s="1727" t="s">
        <v>4519</v>
      </c>
      <c r="X22" s="1728">
        <v>262</v>
      </c>
      <c r="Y22" s="1729">
        <v>262</v>
      </c>
      <c r="Z22" s="1726" t="s">
        <v>3732</v>
      </c>
      <c r="AA22" s="1727" t="s">
        <v>4519</v>
      </c>
      <c r="AB22" s="1727" t="s">
        <v>4519</v>
      </c>
      <c r="AC22" s="1727" t="s">
        <v>4519</v>
      </c>
      <c r="AD22" s="1727" t="s">
        <v>4519</v>
      </c>
      <c r="AE22" s="1727" t="s">
        <v>4519</v>
      </c>
      <c r="AF22" s="1728" t="s">
        <v>4519</v>
      </c>
      <c r="AG22" s="1728" t="s">
        <v>4519</v>
      </c>
      <c r="AH22" s="1728" t="s">
        <v>4519</v>
      </c>
      <c r="AI22" s="1728" t="s">
        <v>4519</v>
      </c>
      <c r="AJ22" s="1728" t="s">
        <v>4519</v>
      </c>
      <c r="AK22" s="1728" t="s">
        <v>4519</v>
      </c>
      <c r="AL22" s="1728" t="s">
        <v>4519</v>
      </c>
      <c r="AM22" s="1728" t="s">
        <v>4519</v>
      </c>
      <c r="AN22" s="1728" t="s">
        <v>4519</v>
      </c>
      <c r="AO22" s="1727" t="s">
        <v>4519</v>
      </c>
      <c r="AP22" s="1728">
        <v>80</v>
      </c>
      <c r="AQ22" s="1729">
        <v>80</v>
      </c>
      <c r="AR22" s="1822">
        <v>0.30534351145038169</v>
      </c>
      <c r="AS22" s="1825" t="s">
        <v>4520</v>
      </c>
      <c r="AT22" s="1826" t="s">
        <v>4521</v>
      </c>
      <c r="AU22" s="1815" t="s">
        <v>4521</v>
      </c>
      <c r="AV22" s="1318">
        <v>0</v>
      </c>
      <c r="AW22" s="1815">
        <v>0</v>
      </c>
      <c r="AX22" s="1249" t="s">
        <v>4521</v>
      </c>
      <c r="AY22" s="1956">
        <v>55</v>
      </c>
      <c r="AZ22" s="1957">
        <v>16</v>
      </c>
      <c r="BA22" s="1249"/>
    </row>
    <row r="23" spans="2:53" ht="32.15" customHeight="1">
      <c r="B23" s="1823" t="s">
        <v>239</v>
      </c>
      <c r="C23" s="1947">
        <v>76</v>
      </c>
      <c r="D23" s="1824" t="s">
        <v>4545</v>
      </c>
      <c r="E23" s="1249" t="s">
        <v>3874</v>
      </c>
      <c r="F23" s="1249" t="s">
        <v>2127</v>
      </c>
      <c r="G23" s="1249" t="s">
        <v>4343</v>
      </c>
      <c r="H23" s="1726" t="s">
        <v>3979</v>
      </c>
      <c r="I23" s="1727" t="s">
        <v>3715</v>
      </c>
      <c r="J23" s="1727" t="s">
        <v>4519</v>
      </c>
      <c r="K23" s="1727" t="s">
        <v>3701</v>
      </c>
      <c r="L23" s="1727" t="s">
        <v>4519</v>
      </c>
      <c r="M23" s="1727" t="s">
        <v>4519</v>
      </c>
      <c r="N23" s="1728" t="s">
        <v>4519</v>
      </c>
      <c r="O23" s="1728" t="s">
        <v>4519</v>
      </c>
      <c r="P23" s="1728" t="s">
        <v>4519</v>
      </c>
      <c r="Q23" s="1728" t="s">
        <v>4519</v>
      </c>
      <c r="R23" s="1728" t="s">
        <v>4519</v>
      </c>
      <c r="S23" s="1728" t="s">
        <v>4519</v>
      </c>
      <c r="T23" s="1728" t="s">
        <v>4519</v>
      </c>
      <c r="U23" s="1728" t="s">
        <v>4519</v>
      </c>
      <c r="V23" s="1728" t="s">
        <v>4519</v>
      </c>
      <c r="W23" s="1727" t="s">
        <v>4519</v>
      </c>
      <c r="X23" s="1728">
        <v>156</v>
      </c>
      <c r="Y23" s="1729">
        <v>186</v>
      </c>
      <c r="Z23" s="1726" t="s">
        <v>3707</v>
      </c>
      <c r="AA23" s="1727" t="s">
        <v>4519</v>
      </c>
      <c r="AB23" s="1727" t="s">
        <v>4519</v>
      </c>
      <c r="AC23" s="1727" t="s">
        <v>4519</v>
      </c>
      <c r="AD23" s="1727" t="s">
        <v>4519</v>
      </c>
      <c r="AE23" s="1727" t="s">
        <v>4519</v>
      </c>
      <c r="AF23" s="1728" t="s">
        <v>4519</v>
      </c>
      <c r="AG23" s="1728" t="s">
        <v>4519</v>
      </c>
      <c r="AH23" s="1728" t="s">
        <v>4519</v>
      </c>
      <c r="AI23" s="1728" t="s">
        <v>4519</v>
      </c>
      <c r="AJ23" s="1728" t="s">
        <v>4519</v>
      </c>
      <c r="AK23" s="1728" t="s">
        <v>4519</v>
      </c>
      <c r="AL23" s="1728" t="s">
        <v>4519</v>
      </c>
      <c r="AM23" s="1728" t="s">
        <v>4519</v>
      </c>
      <c r="AN23" s="1728" t="s">
        <v>4519</v>
      </c>
      <c r="AO23" s="1727" t="s">
        <v>4519</v>
      </c>
      <c r="AP23" s="1728">
        <v>50</v>
      </c>
      <c r="AQ23" s="1729">
        <v>50</v>
      </c>
      <c r="AR23" s="1822">
        <v>0.32051282051282054</v>
      </c>
      <c r="AS23" s="1825" t="s">
        <v>4520</v>
      </c>
      <c r="AT23" s="1826" t="s">
        <v>4521</v>
      </c>
      <c r="AU23" s="1815" t="s">
        <v>4521</v>
      </c>
      <c r="AV23" s="1318">
        <v>0</v>
      </c>
      <c r="AW23" s="1815">
        <v>0</v>
      </c>
      <c r="AX23" s="1249" t="s">
        <v>4521</v>
      </c>
      <c r="AY23" s="1956">
        <v>35</v>
      </c>
      <c r="AZ23" s="1957">
        <v>16</v>
      </c>
      <c r="BA23" s="1249"/>
    </row>
    <row r="24" spans="2:53" ht="32.15" customHeight="1">
      <c r="B24" s="1823" t="s">
        <v>239</v>
      </c>
      <c r="C24" s="1947">
        <v>77</v>
      </c>
      <c r="D24" s="1824" t="s">
        <v>4546</v>
      </c>
      <c r="E24" s="1249" t="s">
        <v>3841</v>
      </c>
      <c r="F24" s="1249" t="s">
        <v>2127</v>
      </c>
      <c r="G24" s="1249" t="s">
        <v>4343</v>
      </c>
      <c r="H24" s="1726" t="s">
        <v>4519</v>
      </c>
      <c r="I24" s="1727" t="s">
        <v>4547</v>
      </c>
      <c r="J24" s="1727" t="s">
        <v>2730</v>
      </c>
      <c r="K24" s="1727" t="s">
        <v>2636</v>
      </c>
      <c r="L24" s="1727" t="s">
        <v>4519</v>
      </c>
      <c r="M24" s="1727" t="s">
        <v>4519</v>
      </c>
      <c r="N24" s="1728" t="s">
        <v>4519</v>
      </c>
      <c r="O24" s="1728" t="s">
        <v>4519</v>
      </c>
      <c r="P24" s="1728" t="s">
        <v>4519</v>
      </c>
      <c r="Q24" s="1728" t="s">
        <v>4519</v>
      </c>
      <c r="R24" s="1728" t="s">
        <v>4519</v>
      </c>
      <c r="S24" s="1728" t="s">
        <v>4519</v>
      </c>
      <c r="T24" s="1728" t="s">
        <v>4519</v>
      </c>
      <c r="U24" s="1728" t="s">
        <v>4519</v>
      </c>
      <c r="V24" s="1728" t="s">
        <v>4519</v>
      </c>
      <c r="W24" s="1727" t="s">
        <v>4519</v>
      </c>
      <c r="X24" s="1728">
        <v>250</v>
      </c>
      <c r="Y24" s="1729">
        <v>251</v>
      </c>
      <c r="Z24" s="1726" t="s">
        <v>4519</v>
      </c>
      <c r="AA24" s="1727" t="s">
        <v>4021</v>
      </c>
      <c r="AB24" s="1727" t="s">
        <v>4519</v>
      </c>
      <c r="AC24" s="1727" t="s">
        <v>4519</v>
      </c>
      <c r="AD24" s="1727" t="s">
        <v>4519</v>
      </c>
      <c r="AE24" s="1727" t="s">
        <v>4519</v>
      </c>
      <c r="AF24" s="1728" t="s">
        <v>4519</v>
      </c>
      <c r="AG24" s="1728" t="s">
        <v>4519</v>
      </c>
      <c r="AH24" s="1728" t="s">
        <v>4519</v>
      </c>
      <c r="AI24" s="1728" t="s">
        <v>4519</v>
      </c>
      <c r="AJ24" s="1728" t="s">
        <v>4519</v>
      </c>
      <c r="AK24" s="1728" t="s">
        <v>4519</v>
      </c>
      <c r="AL24" s="1728" t="s">
        <v>4519</v>
      </c>
      <c r="AM24" s="1728" t="s">
        <v>4519</v>
      </c>
      <c r="AN24" s="1728" t="s">
        <v>4519</v>
      </c>
      <c r="AO24" s="1727" t="s">
        <v>4519</v>
      </c>
      <c r="AP24" s="1728">
        <v>100</v>
      </c>
      <c r="AQ24" s="1729">
        <v>100</v>
      </c>
      <c r="AR24" s="1822">
        <v>0.4</v>
      </c>
      <c r="AS24" s="1825" t="s">
        <v>4520</v>
      </c>
      <c r="AT24" s="1826" t="s">
        <v>4521</v>
      </c>
      <c r="AU24" s="1815" t="s">
        <v>4521</v>
      </c>
      <c r="AV24" s="1318">
        <v>0</v>
      </c>
      <c r="AW24" s="1815">
        <v>0</v>
      </c>
      <c r="AX24" s="1249" t="s">
        <v>4521</v>
      </c>
      <c r="AY24" s="1956">
        <v>69</v>
      </c>
      <c r="AZ24" s="1957">
        <v>16</v>
      </c>
      <c r="BA24" s="1249"/>
    </row>
    <row r="25" spans="2:53" ht="32.15" customHeight="1">
      <c r="B25" s="1823" t="s">
        <v>239</v>
      </c>
      <c r="C25" s="1947">
        <v>80</v>
      </c>
      <c r="D25" s="1824" t="s">
        <v>4548</v>
      </c>
      <c r="E25" s="1249" t="s">
        <v>3874</v>
      </c>
      <c r="F25" s="1249" t="s">
        <v>2127</v>
      </c>
      <c r="G25" s="1249" t="s">
        <v>4343</v>
      </c>
      <c r="H25" s="1726" t="s">
        <v>3698</v>
      </c>
      <c r="I25" s="1727" t="s">
        <v>4549</v>
      </c>
      <c r="J25" s="1727" t="s">
        <v>3998</v>
      </c>
      <c r="K25" s="1727" t="s">
        <v>4519</v>
      </c>
      <c r="L25" s="1727" t="s">
        <v>4519</v>
      </c>
      <c r="M25" s="1727" t="s">
        <v>4519</v>
      </c>
      <c r="N25" s="1728" t="s">
        <v>4519</v>
      </c>
      <c r="O25" s="1728" t="s">
        <v>4519</v>
      </c>
      <c r="P25" s="1728" t="s">
        <v>4519</v>
      </c>
      <c r="Q25" s="1728" t="s">
        <v>4519</v>
      </c>
      <c r="R25" s="1728" t="s">
        <v>4519</v>
      </c>
      <c r="S25" s="1728" t="s">
        <v>4519</v>
      </c>
      <c r="T25" s="1728" t="s">
        <v>4519</v>
      </c>
      <c r="U25" s="1728" t="s">
        <v>4519</v>
      </c>
      <c r="V25" s="1728" t="s">
        <v>4519</v>
      </c>
      <c r="W25" s="1727" t="s">
        <v>4519</v>
      </c>
      <c r="X25" s="1728">
        <v>288</v>
      </c>
      <c r="Y25" s="1729">
        <v>288</v>
      </c>
      <c r="Z25" s="1726" t="s">
        <v>4021</v>
      </c>
      <c r="AA25" s="1727" t="s">
        <v>4020</v>
      </c>
      <c r="AB25" s="1727" t="s">
        <v>2731</v>
      </c>
      <c r="AC25" s="1727" t="s">
        <v>4519</v>
      </c>
      <c r="AD25" s="1727" t="s">
        <v>4519</v>
      </c>
      <c r="AE25" s="1727" t="s">
        <v>4519</v>
      </c>
      <c r="AF25" s="1728" t="s">
        <v>4519</v>
      </c>
      <c r="AG25" s="1728" t="s">
        <v>4519</v>
      </c>
      <c r="AH25" s="1728" t="s">
        <v>4519</v>
      </c>
      <c r="AI25" s="1728" t="s">
        <v>4519</v>
      </c>
      <c r="AJ25" s="1728" t="s">
        <v>4519</v>
      </c>
      <c r="AK25" s="1728" t="s">
        <v>4519</v>
      </c>
      <c r="AL25" s="1728" t="s">
        <v>4519</v>
      </c>
      <c r="AM25" s="1728" t="s">
        <v>4519</v>
      </c>
      <c r="AN25" s="1728" t="s">
        <v>4519</v>
      </c>
      <c r="AO25" s="1727" t="s">
        <v>4519</v>
      </c>
      <c r="AP25" s="1728">
        <v>142</v>
      </c>
      <c r="AQ25" s="1729">
        <v>142</v>
      </c>
      <c r="AR25" s="1822">
        <v>0.49305555555555558</v>
      </c>
      <c r="AS25" s="1825" t="s">
        <v>4520</v>
      </c>
      <c r="AT25" s="1826" t="s">
        <v>4521</v>
      </c>
      <c r="AU25" s="1815" t="s">
        <v>4521</v>
      </c>
      <c r="AV25" s="1318">
        <v>0</v>
      </c>
      <c r="AW25" s="1815">
        <v>0</v>
      </c>
      <c r="AX25" s="1249" t="s">
        <v>4521</v>
      </c>
      <c r="AY25" s="1956">
        <v>98</v>
      </c>
      <c r="AZ25" s="1957">
        <v>16</v>
      </c>
      <c r="BA25" s="1249"/>
    </row>
    <row r="26" spans="2:53" ht="32.15" customHeight="1">
      <c r="B26" s="1823" t="s">
        <v>239</v>
      </c>
      <c r="C26" s="1947">
        <v>82</v>
      </c>
      <c r="D26" s="1824" t="s">
        <v>4550</v>
      </c>
      <c r="E26" s="1249" t="s">
        <v>3841</v>
      </c>
      <c r="F26" s="1249" t="s">
        <v>2127</v>
      </c>
      <c r="G26" s="1249" t="s">
        <v>4343</v>
      </c>
      <c r="H26" s="1726" t="s">
        <v>2703</v>
      </c>
      <c r="I26" s="1727" t="s">
        <v>4551</v>
      </c>
      <c r="J26" s="1727" t="s">
        <v>3964</v>
      </c>
      <c r="K26" s="1727" t="s">
        <v>4519</v>
      </c>
      <c r="L26" s="1727" t="s">
        <v>4519</v>
      </c>
      <c r="M26" s="1727" t="s">
        <v>4519</v>
      </c>
      <c r="N26" s="1728" t="s">
        <v>4519</v>
      </c>
      <c r="O26" s="1728" t="s">
        <v>4519</v>
      </c>
      <c r="P26" s="1728" t="s">
        <v>4519</v>
      </c>
      <c r="Q26" s="1728" t="s">
        <v>4519</v>
      </c>
      <c r="R26" s="1728" t="s">
        <v>4519</v>
      </c>
      <c r="S26" s="1728" t="s">
        <v>4519</v>
      </c>
      <c r="T26" s="1728" t="s">
        <v>4519</v>
      </c>
      <c r="U26" s="1728" t="s">
        <v>4519</v>
      </c>
      <c r="V26" s="1728" t="s">
        <v>4519</v>
      </c>
      <c r="W26" s="1727" t="s">
        <v>4519</v>
      </c>
      <c r="X26" s="1728">
        <v>191</v>
      </c>
      <c r="Y26" s="1729">
        <v>191</v>
      </c>
      <c r="Z26" s="1726" t="s">
        <v>4552</v>
      </c>
      <c r="AA26" s="1727" t="s">
        <v>4519</v>
      </c>
      <c r="AB26" s="1727" t="s">
        <v>4519</v>
      </c>
      <c r="AC26" s="1727" t="s">
        <v>4519</v>
      </c>
      <c r="AD26" s="1727" t="s">
        <v>4519</v>
      </c>
      <c r="AE26" s="1727" t="s">
        <v>4519</v>
      </c>
      <c r="AF26" s="1728" t="s">
        <v>4519</v>
      </c>
      <c r="AG26" s="1728" t="s">
        <v>4519</v>
      </c>
      <c r="AH26" s="1728" t="s">
        <v>4519</v>
      </c>
      <c r="AI26" s="1728" t="s">
        <v>4519</v>
      </c>
      <c r="AJ26" s="1728" t="s">
        <v>4519</v>
      </c>
      <c r="AK26" s="1728" t="s">
        <v>4519</v>
      </c>
      <c r="AL26" s="1728" t="s">
        <v>4519</v>
      </c>
      <c r="AM26" s="1728" t="s">
        <v>4519</v>
      </c>
      <c r="AN26" s="1728" t="s">
        <v>4519</v>
      </c>
      <c r="AO26" s="1727" t="s">
        <v>4519</v>
      </c>
      <c r="AP26" s="1728">
        <v>95</v>
      </c>
      <c r="AQ26" s="1729">
        <v>95</v>
      </c>
      <c r="AR26" s="1822">
        <v>0.49738219895287961</v>
      </c>
      <c r="AS26" s="1825" t="s">
        <v>4520</v>
      </c>
      <c r="AT26" s="1826" t="s">
        <v>4521</v>
      </c>
      <c r="AU26" s="1815" t="s">
        <v>4521</v>
      </c>
      <c r="AV26" s="1318">
        <v>0</v>
      </c>
      <c r="AW26" s="1815">
        <v>0</v>
      </c>
      <c r="AX26" s="1249" t="s">
        <v>4521</v>
      </c>
      <c r="AY26" s="1956">
        <v>66</v>
      </c>
      <c r="AZ26" s="1957">
        <v>16</v>
      </c>
      <c r="BA26" s="1249"/>
    </row>
    <row r="27" spans="2:53" ht="32.15" customHeight="1">
      <c r="B27" s="1823" t="s">
        <v>239</v>
      </c>
      <c r="C27" s="1947">
        <v>83</v>
      </c>
      <c r="D27" s="1824" t="s">
        <v>4553</v>
      </c>
      <c r="E27" s="1249" t="s">
        <v>3841</v>
      </c>
      <c r="F27" s="1249" t="s">
        <v>2127</v>
      </c>
      <c r="G27" s="1249" t="s">
        <v>4343</v>
      </c>
      <c r="H27" s="1726" t="s">
        <v>4272</v>
      </c>
      <c r="I27" s="1727" t="s">
        <v>4519</v>
      </c>
      <c r="J27" s="1727" t="s">
        <v>3994</v>
      </c>
      <c r="K27" s="1727" t="s">
        <v>4519</v>
      </c>
      <c r="L27" s="1727" t="s">
        <v>4519</v>
      </c>
      <c r="M27" s="1727" t="s">
        <v>4519</v>
      </c>
      <c r="N27" s="1728" t="s">
        <v>4519</v>
      </c>
      <c r="O27" s="1728" t="s">
        <v>4519</v>
      </c>
      <c r="P27" s="1728" t="s">
        <v>4519</v>
      </c>
      <c r="Q27" s="1728" t="s">
        <v>4519</v>
      </c>
      <c r="R27" s="1728" t="s">
        <v>4519</v>
      </c>
      <c r="S27" s="1728" t="s">
        <v>4519</v>
      </c>
      <c r="T27" s="1728" t="s">
        <v>4519</v>
      </c>
      <c r="U27" s="1728" t="s">
        <v>4519</v>
      </c>
      <c r="V27" s="1728" t="s">
        <v>4519</v>
      </c>
      <c r="W27" s="1727" t="s">
        <v>4519</v>
      </c>
      <c r="X27" s="1728">
        <v>237</v>
      </c>
      <c r="Y27" s="1729">
        <v>237</v>
      </c>
      <c r="Z27" s="1726" t="s">
        <v>2697</v>
      </c>
      <c r="AA27" s="1727" t="s">
        <v>4519</v>
      </c>
      <c r="AB27" s="1727" t="s">
        <v>4519</v>
      </c>
      <c r="AC27" s="1727" t="s">
        <v>4519</v>
      </c>
      <c r="AD27" s="1727" t="s">
        <v>4519</v>
      </c>
      <c r="AE27" s="1727" t="s">
        <v>4519</v>
      </c>
      <c r="AF27" s="1728" t="s">
        <v>4519</v>
      </c>
      <c r="AG27" s="1728" t="s">
        <v>4519</v>
      </c>
      <c r="AH27" s="1728" t="s">
        <v>4519</v>
      </c>
      <c r="AI27" s="1728" t="s">
        <v>4519</v>
      </c>
      <c r="AJ27" s="1728" t="s">
        <v>4519</v>
      </c>
      <c r="AK27" s="1728" t="s">
        <v>4519</v>
      </c>
      <c r="AL27" s="1728" t="s">
        <v>4519</v>
      </c>
      <c r="AM27" s="1728" t="s">
        <v>4519</v>
      </c>
      <c r="AN27" s="1728" t="s">
        <v>4519</v>
      </c>
      <c r="AO27" s="1727" t="s">
        <v>4519</v>
      </c>
      <c r="AP27" s="1728">
        <v>70</v>
      </c>
      <c r="AQ27" s="1729">
        <v>70</v>
      </c>
      <c r="AR27" s="1822">
        <v>0.29535864978902954</v>
      </c>
      <c r="AS27" s="1825" t="s">
        <v>4520</v>
      </c>
      <c r="AT27" s="1826" t="s">
        <v>4521</v>
      </c>
      <c r="AU27" s="1815" t="s">
        <v>4521</v>
      </c>
      <c r="AV27" s="1318">
        <v>0</v>
      </c>
      <c r="AW27" s="1815">
        <v>0</v>
      </c>
      <c r="AX27" s="1249" t="s">
        <v>4521</v>
      </c>
      <c r="AY27" s="1956">
        <v>48</v>
      </c>
      <c r="AZ27" s="1957">
        <v>16</v>
      </c>
      <c r="BA27" s="1249"/>
    </row>
    <row r="28" spans="2:53" ht="32.15" customHeight="1">
      <c r="B28" s="1823" t="s">
        <v>239</v>
      </c>
      <c r="C28" s="1947">
        <v>84</v>
      </c>
      <c r="D28" s="1824" t="s">
        <v>4554</v>
      </c>
      <c r="E28" s="1249" t="s">
        <v>3841</v>
      </c>
      <c r="F28" s="1249" t="s">
        <v>2127</v>
      </c>
      <c r="G28" s="1249" t="s">
        <v>4343</v>
      </c>
      <c r="H28" s="1726" t="s">
        <v>3979</v>
      </c>
      <c r="I28" s="1727" t="s">
        <v>3715</v>
      </c>
      <c r="J28" s="1727" t="s">
        <v>4519</v>
      </c>
      <c r="K28" s="1727" t="s">
        <v>4555</v>
      </c>
      <c r="L28" s="1727" t="s">
        <v>4519</v>
      </c>
      <c r="M28" s="1727" t="s">
        <v>4519</v>
      </c>
      <c r="N28" s="1728" t="s">
        <v>4519</v>
      </c>
      <c r="O28" s="1728" t="s">
        <v>4519</v>
      </c>
      <c r="P28" s="1728" t="s">
        <v>4519</v>
      </c>
      <c r="Q28" s="1728" t="s">
        <v>4519</v>
      </c>
      <c r="R28" s="1728" t="s">
        <v>4519</v>
      </c>
      <c r="S28" s="1728" t="s">
        <v>4519</v>
      </c>
      <c r="T28" s="1728" t="s">
        <v>4519</v>
      </c>
      <c r="U28" s="1728" t="s">
        <v>4519</v>
      </c>
      <c r="V28" s="1728" t="s">
        <v>4519</v>
      </c>
      <c r="W28" s="1727" t="s">
        <v>4519</v>
      </c>
      <c r="X28" s="1728">
        <v>178</v>
      </c>
      <c r="Y28" s="1729">
        <v>230</v>
      </c>
      <c r="Z28" s="1726" t="s">
        <v>3707</v>
      </c>
      <c r="AA28" s="1727" t="s">
        <v>4519</v>
      </c>
      <c r="AB28" s="1727" t="s">
        <v>4519</v>
      </c>
      <c r="AC28" s="1727" t="s">
        <v>4519</v>
      </c>
      <c r="AD28" s="1727" t="s">
        <v>4519</v>
      </c>
      <c r="AE28" s="1727" t="s">
        <v>4519</v>
      </c>
      <c r="AF28" s="1728" t="s">
        <v>4519</v>
      </c>
      <c r="AG28" s="1728" t="s">
        <v>4519</v>
      </c>
      <c r="AH28" s="1728" t="s">
        <v>4519</v>
      </c>
      <c r="AI28" s="1728" t="s">
        <v>4519</v>
      </c>
      <c r="AJ28" s="1728" t="s">
        <v>4519</v>
      </c>
      <c r="AK28" s="1728" t="s">
        <v>4519</v>
      </c>
      <c r="AL28" s="1728" t="s">
        <v>4519</v>
      </c>
      <c r="AM28" s="1728" t="s">
        <v>4519</v>
      </c>
      <c r="AN28" s="1728" t="s">
        <v>4519</v>
      </c>
      <c r="AO28" s="1727" t="s">
        <v>4519</v>
      </c>
      <c r="AP28" s="1728">
        <v>50</v>
      </c>
      <c r="AQ28" s="1729">
        <v>50</v>
      </c>
      <c r="AR28" s="1822">
        <v>0.2808988764044944</v>
      </c>
      <c r="AS28" s="1825" t="s">
        <v>4520</v>
      </c>
      <c r="AT28" s="1826" t="s">
        <v>4521</v>
      </c>
      <c r="AU28" s="1815" t="s">
        <v>4521</v>
      </c>
      <c r="AV28" s="1318">
        <v>0</v>
      </c>
      <c r="AW28" s="1815">
        <v>0</v>
      </c>
      <c r="AX28" s="1249" t="s">
        <v>4521</v>
      </c>
      <c r="AY28" s="1956">
        <v>34</v>
      </c>
      <c r="AZ28" s="1957">
        <v>16</v>
      </c>
      <c r="BA28" s="1249" t="s">
        <v>4537</v>
      </c>
    </row>
    <row r="29" spans="2:53" ht="32.15" customHeight="1">
      <c r="B29" s="1823" t="s">
        <v>239</v>
      </c>
      <c r="C29" s="1947">
        <v>1004</v>
      </c>
      <c r="D29" s="1824" t="s">
        <v>4556</v>
      </c>
      <c r="E29" s="1249" t="s">
        <v>3841</v>
      </c>
      <c r="F29" s="1249" t="s">
        <v>2127</v>
      </c>
      <c r="G29" s="1249" t="s">
        <v>4343</v>
      </c>
      <c r="H29" s="1726" t="s">
        <v>3720</v>
      </c>
      <c r="I29" s="1727" t="s">
        <v>4264</v>
      </c>
      <c r="J29" s="1727" t="s">
        <v>4519</v>
      </c>
      <c r="K29" s="1727" t="s">
        <v>4260</v>
      </c>
      <c r="L29" s="1727" t="s">
        <v>2665</v>
      </c>
      <c r="M29" s="1727" t="s">
        <v>4519</v>
      </c>
      <c r="N29" s="1728" t="s">
        <v>4519</v>
      </c>
      <c r="O29" s="1728" t="s">
        <v>4519</v>
      </c>
      <c r="P29" s="1728" t="s">
        <v>4519</v>
      </c>
      <c r="Q29" s="1728" t="s">
        <v>4519</v>
      </c>
      <c r="R29" s="1728" t="s">
        <v>4519</v>
      </c>
      <c r="S29" s="1728" t="s">
        <v>4519</v>
      </c>
      <c r="T29" s="1728" t="s">
        <v>4519</v>
      </c>
      <c r="U29" s="1728" t="s">
        <v>4519</v>
      </c>
      <c r="V29" s="1728" t="s">
        <v>4519</v>
      </c>
      <c r="W29" s="1727" t="s">
        <v>4519</v>
      </c>
      <c r="X29" s="1728">
        <v>239</v>
      </c>
      <c r="Y29" s="1729">
        <v>289</v>
      </c>
      <c r="Z29" s="1726" t="s">
        <v>4519</v>
      </c>
      <c r="AA29" s="1727" t="s">
        <v>4008</v>
      </c>
      <c r="AB29" s="1727" t="s">
        <v>4519</v>
      </c>
      <c r="AC29" s="1727" t="s">
        <v>4044</v>
      </c>
      <c r="AD29" s="1727" t="s">
        <v>2666</v>
      </c>
      <c r="AE29" s="1727" t="s">
        <v>4519</v>
      </c>
      <c r="AF29" s="1728" t="s">
        <v>4519</v>
      </c>
      <c r="AG29" s="1728" t="s">
        <v>4519</v>
      </c>
      <c r="AH29" s="1728" t="s">
        <v>4519</v>
      </c>
      <c r="AI29" s="1728" t="s">
        <v>4519</v>
      </c>
      <c r="AJ29" s="1728" t="s">
        <v>4519</v>
      </c>
      <c r="AK29" s="1728" t="s">
        <v>4519</v>
      </c>
      <c r="AL29" s="1728" t="s">
        <v>4519</v>
      </c>
      <c r="AM29" s="1728" t="s">
        <v>4519</v>
      </c>
      <c r="AN29" s="1728" t="s">
        <v>4519</v>
      </c>
      <c r="AO29" s="1727" t="s">
        <v>4519</v>
      </c>
      <c r="AP29" s="1728">
        <v>91</v>
      </c>
      <c r="AQ29" s="1729">
        <v>103</v>
      </c>
      <c r="AR29" s="1822">
        <v>0.3807531380753138</v>
      </c>
      <c r="AS29" s="1825" t="s">
        <v>4520</v>
      </c>
      <c r="AT29" s="1826" t="s">
        <v>4520</v>
      </c>
      <c r="AU29" s="1815" t="s">
        <v>4520</v>
      </c>
      <c r="AV29" s="1828" t="s">
        <v>4557</v>
      </c>
      <c r="AW29" s="1816" t="s">
        <v>4557</v>
      </c>
      <c r="AX29" s="1249" t="s">
        <v>4521</v>
      </c>
      <c r="AY29" s="1956">
        <v>71</v>
      </c>
      <c r="AZ29" s="1957">
        <v>16</v>
      </c>
      <c r="BA29" s="1249"/>
    </row>
    <row r="30" spans="2:53" ht="32.15" customHeight="1">
      <c r="B30" s="1823" t="s">
        <v>239</v>
      </c>
      <c r="C30" s="1947">
        <v>1006</v>
      </c>
      <c r="D30" s="1824" t="s">
        <v>4558</v>
      </c>
      <c r="E30" s="1249" t="s">
        <v>3841</v>
      </c>
      <c r="F30" s="1249" t="s">
        <v>2127</v>
      </c>
      <c r="G30" s="1249" t="s">
        <v>4343</v>
      </c>
      <c r="H30" s="1726" t="s">
        <v>4519</v>
      </c>
      <c r="I30" s="1727" t="s">
        <v>3713</v>
      </c>
      <c r="J30" s="1727" t="s">
        <v>4551</v>
      </c>
      <c r="K30" s="1727" t="s">
        <v>4018</v>
      </c>
      <c r="L30" s="1727" t="s">
        <v>4519</v>
      </c>
      <c r="M30" s="1727" t="s">
        <v>4519</v>
      </c>
      <c r="N30" s="1728" t="s">
        <v>4519</v>
      </c>
      <c r="O30" s="1728" t="s">
        <v>4519</v>
      </c>
      <c r="P30" s="1728" t="s">
        <v>4519</v>
      </c>
      <c r="Q30" s="1728" t="s">
        <v>4519</v>
      </c>
      <c r="R30" s="1728" t="s">
        <v>4519</v>
      </c>
      <c r="S30" s="1728" t="s">
        <v>4519</v>
      </c>
      <c r="T30" s="1728" t="s">
        <v>4519</v>
      </c>
      <c r="U30" s="1728" t="s">
        <v>4519</v>
      </c>
      <c r="V30" s="1728" t="s">
        <v>4519</v>
      </c>
      <c r="W30" s="1727" t="s">
        <v>4519</v>
      </c>
      <c r="X30" s="1728">
        <v>229</v>
      </c>
      <c r="Y30" s="1729">
        <v>232</v>
      </c>
      <c r="Z30" s="1726" t="s">
        <v>4519</v>
      </c>
      <c r="AA30" s="1727" t="s">
        <v>4021</v>
      </c>
      <c r="AB30" s="1727" t="s">
        <v>4519</v>
      </c>
      <c r="AC30" s="1727" t="s">
        <v>4519</v>
      </c>
      <c r="AD30" s="1727" t="s">
        <v>4519</v>
      </c>
      <c r="AE30" s="1727" t="s">
        <v>4519</v>
      </c>
      <c r="AF30" s="1728" t="s">
        <v>4519</v>
      </c>
      <c r="AG30" s="1728" t="s">
        <v>4519</v>
      </c>
      <c r="AH30" s="1728" t="s">
        <v>4519</v>
      </c>
      <c r="AI30" s="1728" t="s">
        <v>4519</v>
      </c>
      <c r="AJ30" s="1728" t="s">
        <v>4519</v>
      </c>
      <c r="AK30" s="1728" t="s">
        <v>4519</v>
      </c>
      <c r="AL30" s="1728" t="s">
        <v>4519</v>
      </c>
      <c r="AM30" s="1728" t="s">
        <v>4519</v>
      </c>
      <c r="AN30" s="1728" t="s">
        <v>4519</v>
      </c>
      <c r="AO30" s="1727" t="s">
        <v>4519</v>
      </c>
      <c r="AP30" s="1728">
        <v>100</v>
      </c>
      <c r="AQ30" s="1729">
        <v>100</v>
      </c>
      <c r="AR30" s="1822">
        <v>0.4366812227074236</v>
      </c>
      <c r="AS30" s="1825" t="s">
        <v>4520</v>
      </c>
      <c r="AT30" s="1826" t="s">
        <v>4521</v>
      </c>
      <c r="AU30" s="1815" t="s">
        <v>4521</v>
      </c>
      <c r="AV30" s="1318">
        <v>0</v>
      </c>
      <c r="AW30" s="1815">
        <v>0</v>
      </c>
      <c r="AX30" s="1249" t="s">
        <v>4521</v>
      </c>
      <c r="AY30" s="1956">
        <v>69</v>
      </c>
      <c r="AZ30" s="1957">
        <v>16</v>
      </c>
      <c r="BA30" s="1249"/>
    </row>
    <row r="31" spans="2:53" ht="32.15" customHeight="1">
      <c r="B31" s="1823" t="s">
        <v>239</v>
      </c>
      <c r="C31" s="1947">
        <v>1017</v>
      </c>
      <c r="D31" s="1824" t="s">
        <v>4559</v>
      </c>
      <c r="E31" s="1249" t="s">
        <v>3841</v>
      </c>
      <c r="F31" s="1249" t="s">
        <v>2127</v>
      </c>
      <c r="G31" s="1249" t="s">
        <v>2969</v>
      </c>
      <c r="H31" s="1829" t="s">
        <v>3700</v>
      </c>
      <c r="I31" s="1830" t="s">
        <v>4519</v>
      </c>
      <c r="J31" s="1830" t="s">
        <v>4519</v>
      </c>
      <c r="K31" s="1830" t="s">
        <v>2684</v>
      </c>
      <c r="L31" s="1830" t="s">
        <v>4519</v>
      </c>
      <c r="M31" s="1830" t="s">
        <v>4519</v>
      </c>
      <c r="N31" s="1831" t="s">
        <v>4519</v>
      </c>
      <c r="O31" s="1831" t="s">
        <v>4519</v>
      </c>
      <c r="P31" s="1831" t="s">
        <v>4519</v>
      </c>
      <c r="Q31" s="1831" t="s">
        <v>4519</v>
      </c>
      <c r="R31" s="1831" t="s">
        <v>4519</v>
      </c>
      <c r="S31" s="1831" t="s">
        <v>4519</v>
      </c>
      <c r="T31" s="1831" t="s">
        <v>4519</v>
      </c>
      <c r="U31" s="1831" t="s">
        <v>4519</v>
      </c>
      <c r="V31" s="1831" t="s">
        <v>4519</v>
      </c>
      <c r="W31" s="1830" t="s">
        <v>4519</v>
      </c>
      <c r="X31" s="1831">
        <v>102</v>
      </c>
      <c r="Y31" s="1832">
        <v>114</v>
      </c>
      <c r="Z31" s="1829" t="s">
        <v>3700</v>
      </c>
      <c r="AA31" s="1830" t="s">
        <v>4519</v>
      </c>
      <c r="AB31" s="1830" t="s">
        <v>4519</v>
      </c>
      <c r="AC31" s="1830" t="s">
        <v>2684</v>
      </c>
      <c r="AD31" s="1830" t="s">
        <v>4519</v>
      </c>
      <c r="AE31" s="1830" t="s">
        <v>4519</v>
      </c>
      <c r="AF31" s="1831" t="s">
        <v>4519</v>
      </c>
      <c r="AG31" s="1831" t="s">
        <v>4519</v>
      </c>
      <c r="AH31" s="1831" t="s">
        <v>4519</v>
      </c>
      <c r="AI31" s="1831" t="s">
        <v>4519</v>
      </c>
      <c r="AJ31" s="1831" t="s">
        <v>4519</v>
      </c>
      <c r="AK31" s="1831" t="s">
        <v>4519</v>
      </c>
      <c r="AL31" s="1831" t="s">
        <v>4519</v>
      </c>
      <c r="AM31" s="1831" t="s">
        <v>4519</v>
      </c>
      <c r="AN31" s="1831" t="s">
        <v>4519</v>
      </c>
      <c r="AO31" s="1830" t="s">
        <v>4519</v>
      </c>
      <c r="AP31" s="1831">
        <v>102</v>
      </c>
      <c r="AQ31" s="1832">
        <v>114</v>
      </c>
      <c r="AR31" s="1833">
        <v>1</v>
      </c>
      <c r="AS31" s="1825" t="s">
        <v>4520</v>
      </c>
      <c r="AT31" s="1826" t="s">
        <v>4520</v>
      </c>
      <c r="AU31" s="1815" t="s">
        <v>4520</v>
      </c>
      <c r="AV31" s="1318">
        <v>0</v>
      </c>
      <c r="AW31" s="1815">
        <v>0</v>
      </c>
      <c r="AX31" s="1249" t="s">
        <v>4521</v>
      </c>
      <c r="AY31" s="1956">
        <v>79</v>
      </c>
      <c r="AZ31" s="1957">
        <v>16</v>
      </c>
      <c r="BA31" s="1249"/>
    </row>
    <row r="32" spans="2:53">
      <c r="AY32" s="1954">
        <f>SUBTOTAL(9,AY5:AY31)</f>
        <v>1600</v>
      </c>
    </row>
  </sheetData>
  <autoFilter ref="B4:BA4" xr:uid="{C204E814-1F32-4E1A-836A-B2E3E6906856}"/>
  <mergeCells count="15">
    <mergeCell ref="AP3:AR3"/>
    <mergeCell ref="AY3:AY4"/>
    <mergeCell ref="AX3:AX4"/>
    <mergeCell ref="AZ3:AZ4"/>
    <mergeCell ref="B3:B4"/>
    <mergeCell ref="C3:C4"/>
    <mergeCell ref="D3:D4"/>
    <mergeCell ref="G3:G4"/>
    <mergeCell ref="AS3:AU3"/>
    <mergeCell ref="AV3:AW3"/>
    <mergeCell ref="E3:E4"/>
    <mergeCell ref="F3:F4"/>
    <mergeCell ref="X3:Y3"/>
    <mergeCell ref="H3:W3"/>
    <mergeCell ref="Z3:AO3"/>
  </mergeCells>
  <phoneticPr fontId="2"/>
  <printOptions horizontalCentered="1"/>
  <pageMargins left="0.23622047244094491" right="0.23622047244094491" top="0.59055118110236227" bottom="0.59055118110236227" header="0.19685039370078741" footer="0.19685039370078741"/>
  <pageSetup paperSize="8" scale="55" fitToHeight="2" orientation="landscape" r:id="rId1"/>
  <headerFooter scaleWithDoc="0">
    <oddFooter>&amp;L&amp;"Meiryo UI,標準"&amp;10　    　　　「全館貸切可」と記載されている施設でもスタッフの対応上、満館での受入ができない、また予備控室の確保等の理由で客室提供率が100%でない施設がある。 
　　    　　ファンクションルームの保有/提供数について、分割利用できる会場は分割した会場数を記した。制限のある会場を含む場合（）で記した。
&amp;C&amp;10
&amp;"Meiryo UI,標準"&amp;P</oddFooter>
  </headerFooter>
  <rowBreaks count="1" manualBreakCount="1">
    <brk id="20" max="32"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693C8-DBB1-4E5A-941A-A629ECDDDF81}">
  <sheetPr codeName="Sheet245">
    <tabColor rgb="FF92D050"/>
    <pageSetUpPr fitToPage="1"/>
  </sheetPr>
  <dimension ref="B1:BH37"/>
  <sheetViews>
    <sheetView topLeftCell="A16" zoomScale="70" zoomScaleNormal="70" workbookViewId="0"/>
  </sheetViews>
  <sheetFormatPr defaultColWidth="9.54296875" defaultRowHeight="13.5"/>
  <cols>
    <col min="1" max="1" width="6.54296875" style="1217" customWidth="1"/>
    <col min="2" max="2" width="9.453125" style="1287" customWidth="1"/>
    <col min="3" max="3" width="33.453125" style="1287" customWidth="1"/>
    <col min="4" max="4" width="10.1796875" style="1293" hidden="1" customWidth="1"/>
    <col min="5" max="5" width="5.453125" style="1287" customWidth="1"/>
    <col min="6" max="9" width="12.54296875" style="1287" customWidth="1"/>
    <col min="10" max="10" width="15.26953125" style="1287" hidden="1" customWidth="1"/>
    <col min="11" max="13" width="9" style="1287" hidden="1" customWidth="1"/>
    <col min="14" max="14" width="10.1796875" style="1287" hidden="1" customWidth="1"/>
    <col min="15" max="15" width="10.7265625" style="1287" hidden="1" customWidth="1"/>
    <col min="16" max="18" width="3.81640625" style="1287" hidden="1" customWidth="1"/>
    <col min="19" max="19" width="5.453125" style="1287" hidden="1" customWidth="1"/>
    <col min="20" max="24" width="7.7265625" style="1287" hidden="1" customWidth="1"/>
    <col min="25" max="26" width="12.54296875" style="1287" hidden="1" customWidth="1"/>
    <col min="27" max="31" width="12.54296875" style="1295" hidden="1" customWidth="1"/>
    <col min="32" max="32" width="4.453125" style="1278" hidden="1" customWidth="1"/>
    <col min="33" max="33" width="3" style="1278" hidden="1" customWidth="1"/>
    <col min="34" max="34" width="25.1796875" style="1278" customWidth="1"/>
    <col min="35" max="35" width="6.54296875" style="1278" customWidth="1"/>
    <col min="36" max="36" width="11.1796875" style="1278" customWidth="1"/>
    <col min="37" max="37" width="20" style="1279" customWidth="1"/>
    <col min="38" max="38" width="15" style="1295" customWidth="1"/>
    <col min="39" max="43" width="7.7265625" style="1287" customWidth="1"/>
    <col min="44" max="44" width="50" style="1293" customWidth="1"/>
    <col min="45" max="45" width="12.453125" style="1287" customWidth="1"/>
    <col min="46" max="16384" width="9.54296875" style="1217"/>
  </cols>
  <sheetData>
    <row r="1" spans="2:60" ht="36.4" customHeight="1" thickBot="1">
      <c r="B1" s="1174" t="s">
        <v>4560</v>
      </c>
      <c r="D1" s="1297"/>
      <c r="Y1" s="1297"/>
      <c r="AE1" s="1179"/>
      <c r="AF1" s="1174"/>
      <c r="AP1" s="1928" t="s">
        <v>2547</v>
      </c>
      <c r="AQ1" s="1928" t="s">
        <v>2547</v>
      </c>
      <c r="AR1" s="1179"/>
    </row>
    <row r="2" spans="2:60" s="1185" customFormat="1" ht="82" customHeight="1" thickBot="1">
      <c r="B2" s="1367" t="s">
        <v>4561</v>
      </c>
      <c r="C2" s="2117" t="s">
        <v>4562</v>
      </c>
      <c r="D2" s="2118" t="s">
        <v>2893</v>
      </c>
      <c r="E2" s="2119" t="s">
        <v>4320</v>
      </c>
      <c r="F2" s="1299" t="s">
        <v>4321</v>
      </c>
      <c r="G2" s="1300" t="s">
        <v>4322</v>
      </c>
      <c r="H2" s="1186" t="s">
        <v>4563</v>
      </c>
      <c r="I2" s="1301" t="s">
        <v>4564</v>
      </c>
      <c r="J2" s="2119" t="s">
        <v>4565</v>
      </c>
      <c r="K2" s="2119" t="s">
        <v>2895</v>
      </c>
      <c r="L2" s="2119" t="s">
        <v>2896</v>
      </c>
      <c r="M2" s="2119" t="s">
        <v>4566</v>
      </c>
      <c r="N2" s="2119" t="s">
        <v>2898</v>
      </c>
      <c r="O2" s="2119" t="s">
        <v>4567</v>
      </c>
      <c r="P2" s="2120" t="s">
        <v>2900</v>
      </c>
      <c r="Q2" s="2121" t="s">
        <v>2901</v>
      </c>
      <c r="R2" s="2122" t="s">
        <v>2902</v>
      </c>
      <c r="S2" s="2118" t="s">
        <v>2903</v>
      </c>
      <c r="T2" s="1186" t="s">
        <v>2912</v>
      </c>
      <c r="U2" s="1301" t="s">
        <v>2913</v>
      </c>
      <c r="V2" s="1186" t="s">
        <v>2914</v>
      </c>
      <c r="W2" s="1302" t="s">
        <v>4568</v>
      </c>
      <c r="X2" s="1301" t="s">
        <v>2915</v>
      </c>
      <c r="Y2" s="1186" t="s">
        <v>2916</v>
      </c>
      <c r="Z2" s="1186" t="s">
        <v>2917</v>
      </c>
      <c r="AA2" s="1302" t="s">
        <v>2918</v>
      </c>
      <c r="AB2" s="1301" t="s">
        <v>2919</v>
      </c>
      <c r="AC2" s="1186" t="s">
        <v>4569</v>
      </c>
      <c r="AD2" s="1302" t="s">
        <v>4570</v>
      </c>
      <c r="AE2" s="1301" t="s">
        <v>4571</v>
      </c>
      <c r="AF2" s="2123" t="s">
        <v>4572</v>
      </c>
      <c r="AG2" s="2124" t="s">
        <v>4315</v>
      </c>
      <c r="AH2" s="2125" t="s">
        <v>4327</v>
      </c>
      <c r="AI2" s="2123" t="s">
        <v>4573</v>
      </c>
      <c r="AJ2" s="2126" t="s">
        <v>4574</v>
      </c>
      <c r="AK2" s="2127" t="s">
        <v>2892</v>
      </c>
      <c r="AL2" s="2128" t="s">
        <v>4575</v>
      </c>
      <c r="AM2" s="1186" t="s">
        <v>4576</v>
      </c>
      <c r="AN2" s="2129" t="s">
        <v>3149</v>
      </c>
      <c r="AO2" s="1298" t="s">
        <v>2432</v>
      </c>
      <c r="AP2" s="2219" t="s">
        <v>4577</v>
      </c>
      <c r="AQ2" s="1916" t="s">
        <v>2551</v>
      </c>
      <c r="AR2" s="2132" t="s">
        <v>4578</v>
      </c>
      <c r="AS2" s="2119" t="s">
        <v>4579</v>
      </c>
    </row>
    <row r="3" spans="2:60" ht="67.150000000000006" customHeight="1" thickTop="1">
      <c r="B3" s="1414">
        <v>8</v>
      </c>
      <c r="C3" s="1415" t="s">
        <v>4580</v>
      </c>
      <c r="D3" s="1370" t="s">
        <v>4366</v>
      </c>
      <c r="E3" s="1203" t="s">
        <v>4343</v>
      </c>
      <c r="F3" s="1310">
        <v>72</v>
      </c>
      <c r="G3" s="1311">
        <v>102</v>
      </c>
      <c r="H3" s="1312">
        <v>66</v>
      </c>
      <c r="I3" s="1263">
        <v>90</v>
      </c>
      <c r="J3" s="1264" t="s">
        <v>4581</v>
      </c>
      <c r="K3" s="1265" t="s">
        <v>2960</v>
      </c>
      <c r="L3" s="1266" t="s">
        <v>2960</v>
      </c>
      <c r="M3" s="1313" t="s">
        <v>2961</v>
      </c>
      <c r="N3" s="1313" t="s">
        <v>2962</v>
      </c>
      <c r="O3" s="1313">
        <v>80</v>
      </c>
      <c r="P3" s="1270" t="s">
        <v>2963</v>
      </c>
      <c r="Q3" s="1268" t="s">
        <v>2963</v>
      </c>
      <c r="R3" s="1269" t="s">
        <v>2963</v>
      </c>
      <c r="S3" s="1314" t="s">
        <v>4582</v>
      </c>
      <c r="T3" s="1270">
        <v>1</v>
      </c>
      <c r="U3" s="1269">
        <v>1</v>
      </c>
      <c r="V3" s="1270">
        <v>2</v>
      </c>
      <c r="W3" s="1268">
        <v>80</v>
      </c>
      <c r="X3" s="1269">
        <v>11</v>
      </c>
      <c r="Y3" s="1270" t="s">
        <v>3006</v>
      </c>
      <c r="Z3" s="1390" t="s">
        <v>4583</v>
      </c>
      <c r="AA3" s="1271" t="s">
        <v>4584</v>
      </c>
      <c r="AB3" s="1416" t="s">
        <v>4585</v>
      </c>
      <c r="AC3" s="1390" t="s">
        <v>4586</v>
      </c>
      <c r="AD3" s="1271" t="s">
        <v>2610</v>
      </c>
      <c r="AE3" s="1269">
        <v>130</v>
      </c>
      <c r="AF3" s="1303">
        <v>15</v>
      </c>
      <c r="AG3" s="1304" t="s">
        <v>4341</v>
      </c>
      <c r="AH3" s="1417" t="s">
        <v>2929</v>
      </c>
      <c r="AI3" s="1350" t="s">
        <v>2930</v>
      </c>
      <c r="AJ3" s="1305" t="s">
        <v>2138</v>
      </c>
      <c r="AK3" s="1306" t="s">
        <v>4587</v>
      </c>
      <c r="AL3" s="1307" t="s">
        <v>3019</v>
      </c>
      <c r="AM3" s="1201">
        <v>45</v>
      </c>
      <c r="AN3" s="1308">
        <v>1</v>
      </c>
      <c r="AO3" s="1309">
        <v>44</v>
      </c>
      <c r="AP3" s="2133">
        <f>AO3</f>
        <v>44</v>
      </c>
      <c r="AQ3" s="2134">
        <v>10</v>
      </c>
      <c r="AR3" s="2135" t="s">
        <v>4588</v>
      </c>
      <c r="AS3" s="1414" t="s">
        <v>4341</v>
      </c>
      <c r="AT3" s="1315"/>
      <c r="AU3" s="1315"/>
      <c r="AV3" s="1315"/>
      <c r="AW3" s="1315"/>
      <c r="AX3" s="1315"/>
      <c r="AY3" s="1315"/>
      <c r="AZ3" s="1315"/>
      <c r="BA3" s="1315"/>
      <c r="BB3" s="1315"/>
      <c r="BC3" s="1315"/>
      <c r="BD3" s="1315"/>
      <c r="BE3" s="1315"/>
      <c r="BF3" s="1315"/>
      <c r="BG3" s="1315"/>
      <c r="BH3" s="1315"/>
    </row>
    <row r="4" spans="2:60" ht="67.150000000000006" customHeight="1">
      <c r="B4" s="1321">
        <v>21</v>
      </c>
      <c r="C4" s="1413" t="s">
        <v>4589</v>
      </c>
      <c r="D4" s="1369" t="s">
        <v>4590</v>
      </c>
      <c r="E4" s="1203" t="s">
        <v>2969</v>
      </c>
      <c r="F4" s="1322">
        <v>74</v>
      </c>
      <c r="G4" s="1231">
        <v>74</v>
      </c>
      <c r="H4" s="1330">
        <v>56</v>
      </c>
      <c r="I4" s="1206">
        <v>56</v>
      </c>
      <c r="J4" s="1207" t="s">
        <v>4591</v>
      </c>
      <c r="K4" s="1208" t="s">
        <v>2988</v>
      </c>
      <c r="L4" s="1209" t="s">
        <v>2989</v>
      </c>
      <c r="M4" s="1328" t="s">
        <v>2988</v>
      </c>
      <c r="N4" s="1328" t="s">
        <v>2990</v>
      </c>
      <c r="O4" s="1328">
        <v>60</v>
      </c>
      <c r="P4" s="1214" t="s">
        <v>2979</v>
      </c>
      <c r="Q4" s="1212" t="s">
        <v>2979</v>
      </c>
      <c r="R4" s="1213" t="s">
        <v>2979</v>
      </c>
      <c r="S4" s="1329" t="s">
        <v>3031</v>
      </c>
      <c r="T4" s="1214" t="s">
        <v>2988</v>
      </c>
      <c r="U4" s="1213">
        <v>2</v>
      </c>
      <c r="V4" s="1214">
        <v>3</v>
      </c>
      <c r="W4" s="1212">
        <v>78</v>
      </c>
      <c r="X4" s="1213">
        <v>11</v>
      </c>
      <c r="Y4" s="1216" t="s">
        <v>3006</v>
      </c>
      <c r="Z4" s="1216" t="s">
        <v>4592</v>
      </c>
      <c r="AA4" s="1227" t="s">
        <v>4593</v>
      </c>
      <c r="AB4" s="1229" t="s">
        <v>4594</v>
      </c>
      <c r="AC4" s="1214">
        <v>74</v>
      </c>
      <c r="AD4" s="1212" t="s">
        <v>2969</v>
      </c>
      <c r="AE4" s="1213">
        <v>135</v>
      </c>
      <c r="AF4" s="1316">
        <v>6</v>
      </c>
      <c r="AG4" s="1317" t="s">
        <v>2991</v>
      </c>
      <c r="AH4" s="1342" t="s">
        <v>3023</v>
      </c>
      <c r="AI4" s="1249" t="s">
        <v>3017</v>
      </c>
      <c r="AJ4" s="1318" t="s">
        <v>2138</v>
      </c>
      <c r="AK4" s="1319" t="s">
        <v>3026</v>
      </c>
      <c r="AL4" s="1276" t="s">
        <v>4595</v>
      </c>
      <c r="AM4" s="1220">
        <v>7</v>
      </c>
      <c r="AN4" s="1320">
        <v>1</v>
      </c>
      <c r="AO4" s="1223">
        <v>8</v>
      </c>
      <c r="AP4" s="2133">
        <f>AO4</f>
        <v>8</v>
      </c>
      <c r="AQ4" s="2134">
        <v>10</v>
      </c>
      <c r="AR4" s="2135" t="s">
        <v>4596</v>
      </c>
      <c r="AS4" s="1321" t="s">
        <v>4597</v>
      </c>
      <c r="AT4" s="1315"/>
      <c r="AU4" s="1315"/>
      <c r="AV4" s="1315"/>
      <c r="AW4" s="1315"/>
      <c r="AX4" s="1315"/>
      <c r="AY4" s="1315"/>
      <c r="AZ4" s="1315"/>
      <c r="BA4" s="1315"/>
      <c r="BB4" s="1315"/>
      <c r="BC4" s="1315"/>
      <c r="BD4" s="1315"/>
      <c r="BE4" s="1315"/>
      <c r="BF4" s="1315"/>
      <c r="BG4" s="1315"/>
      <c r="BH4" s="1315"/>
    </row>
    <row r="5" spans="2:60" ht="67.150000000000006" customHeight="1">
      <c r="B5" s="2136">
        <v>92</v>
      </c>
      <c r="C5" s="2137" t="s">
        <v>4598</v>
      </c>
      <c r="D5" s="2138" t="s">
        <v>4599</v>
      </c>
      <c r="E5" s="2139" t="s">
        <v>2969</v>
      </c>
      <c r="F5" s="2140">
        <v>146</v>
      </c>
      <c r="G5" s="2141">
        <v>146</v>
      </c>
      <c r="H5" s="2142">
        <v>106</v>
      </c>
      <c r="I5" s="2143">
        <v>106</v>
      </c>
      <c r="J5" s="2144" t="s">
        <v>4600</v>
      </c>
      <c r="K5" s="2144" t="s">
        <v>2989</v>
      </c>
      <c r="L5" s="2145" t="s">
        <v>2989</v>
      </c>
      <c r="M5" s="2146" t="s">
        <v>2988</v>
      </c>
      <c r="N5" s="2146" t="s">
        <v>2990</v>
      </c>
      <c r="O5" s="2146">
        <v>48</v>
      </c>
      <c r="P5" s="2147" t="s">
        <v>2963</v>
      </c>
      <c r="Q5" s="2148" t="s">
        <v>2963</v>
      </c>
      <c r="R5" s="2149" t="s">
        <v>2963</v>
      </c>
      <c r="S5" s="2150" t="s">
        <v>3031</v>
      </c>
      <c r="T5" s="2147" t="s">
        <v>2988</v>
      </c>
      <c r="U5" s="2149">
        <v>1</v>
      </c>
      <c r="V5" s="2147">
        <v>2</v>
      </c>
      <c r="W5" s="2148">
        <v>98</v>
      </c>
      <c r="X5" s="2149">
        <v>20</v>
      </c>
      <c r="Y5" s="2146" t="s">
        <v>3006</v>
      </c>
      <c r="Z5" s="2151" t="s">
        <v>4601</v>
      </c>
      <c r="AA5" s="2152" t="s">
        <v>4602</v>
      </c>
      <c r="AB5" s="2153" t="s">
        <v>2989</v>
      </c>
      <c r="AC5" s="2151">
        <v>71</v>
      </c>
      <c r="AD5" s="2152" t="s">
        <v>4603</v>
      </c>
      <c r="AE5" s="2149">
        <v>128</v>
      </c>
      <c r="AF5" s="2154">
        <v>8</v>
      </c>
      <c r="AG5" s="2155" t="s">
        <v>2991</v>
      </c>
      <c r="AH5" s="2156" t="s">
        <v>3016</v>
      </c>
      <c r="AI5" s="2157" t="s">
        <v>3017</v>
      </c>
      <c r="AJ5" s="2158" t="s">
        <v>2138</v>
      </c>
      <c r="AK5" s="2159" t="s">
        <v>2818</v>
      </c>
      <c r="AL5" s="2160" t="s">
        <v>3019</v>
      </c>
      <c r="AM5" s="2161">
        <v>66</v>
      </c>
      <c r="AN5" s="2162">
        <v>1</v>
      </c>
      <c r="AO5" s="2163">
        <v>64</v>
      </c>
      <c r="AP5" s="2164">
        <f>AO5+AO6+AO7</f>
        <v>104</v>
      </c>
      <c r="AQ5" s="2165">
        <v>10</v>
      </c>
      <c r="AR5" s="2166" t="s">
        <v>4596</v>
      </c>
      <c r="AS5" s="2136" t="s">
        <v>4604</v>
      </c>
      <c r="AT5" s="1315"/>
      <c r="AU5" s="1315"/>
      <c r="AV5" s="1315"/>
      <c r="AW5" s="1315"/>
      <c r="AX5" s="1315"/>
      <c r="AY5" s="1315"/>
      <c r="AZ5" s="1315"/>
      <c r="BA5" s="1315"/>
      <c r="BB5" s="1315"/>
      <c r="BC5" s="1315"/>
      <c r="BD5" s="1315"/>
      <c r="BE5" s="1315"/>
      <c r="BF5" s="1315"/>
      <c r="BG5" s="1315"/>
      <c r="BH5" s="1315"/>
    </row>
    <row r="6" spans="2:60" ht="67.150000000000006" customHeight="1" collapsed="1">
      <c r="B6" s="2250">
        <v>92</v>
      </c>
      <c r="C6" s="2251" t="s">
        <v>4598</v>
      </c>
      <c r="D6" s="2252" t="s">
        <v>4599</v>
      </c>
      <c r="E6" s="2234" t="s">
        <v>2969</v>
      </c>
      <c r="F6" s="2253">
        <v>146</v>
      </c>
      <c r="G6" s="2254">
        <v>146</v>
      </c>
      <c r="H6" s="2255">
        <v>106</v>
      </c>
      <c r="I6" s="2237">
        <v>106</v>
      </c>
      <c r="J6" s="1484" t="s">
        <v>4605</v>
      </c>
      <c r="K6" s="1484" t="s">
        <v>2989</v>
      </c>
      <c r="L6" s="1485" t="s">
        <v>2989</v>
      </c>
      <c r="M6" s="1529" t="s">
        <v>2988</v>
      </c>
      <c r="N6" s="1529" t="s">
        <v>2990</v>
      </c>
      <c r="O6" s="1529">
        <v>48</v>
      </c>
      <c r="P6" s="1491" t="s">
        <v>2963</v>
      </c>
      <c r="Q6" s="1489" t="s">
        <v>2963</v>
      </c>
      <c r="R6" s="1490" t="s">
        <v>2963</v>
      </c>
      <c r="S6" s="1530" t="s">
        <v>3031</v>
      </c>
      <c r="T6" s="1491" t="s">
        <v>2988</v>
      </c>
      <c r="U6" s="1490">
        <v>1</v>
      </c>
      <c r="V6" s="1491">
        <v>2</v>
      </c>
      <c r="W6" s="1489">
        <v>98</v>
      </c>
      <c r="X6" s="1490">
        <v>20</v>
      </c>
      <c r="Y6" s="1491" t="s">
        <v>3006</v>
      </c>
      <c r="Z6" s="1531" t="s">
        <v>4601</v>
      </c>
      <c r="AA6" s="1493" t="s">
        <v>4602</v>
      </c>
      <c r="AB6" s="1532" t="s">
        <v>2989</v>
      </c>
      <c r="AC6" s="1531">
        <v>71</v>
      </c>
      <c r="AD6" s="1493" t="s">
        <v>4603</v>
      </c>
      <c r="AE6" s="1490">
        <v>128</v>
      </c>
      <c r="AF6" s="1533">
        <v>9</v>
      </c>
      <c r="AG6" s="1534" t="s">
        <v>4341</v>
      </c>
      <c r="AH6" s="1535" t="s">
        <v>2956</v>
      </c>
      <c r="AI6" s="1498" t="s">
        <v>2930</v>
      </c>
      <c r="AJ6" s="1536" t="s">
        <v>2138</v>
      </c>
      <c r="AK6" s="1537" t="s">
        <v>2970</v>
      </c>
      <c r="AL6" s="1538" t="s">
        <v>3019</v>
      </c>
      <c r="AM6" s="1503">
        <v>19</v>
      </c>
      <c r="AN6" s="1539">
        <v>1</v>
      </c>
      <c r="AO6" s="1506">
        <v>20</v>
      </c>
      <c r="AP6" s="2167"/>
      <c r="AQ6" s="2168"/>
      <c r="AR6" s="2169" t="s">
        <v>4596</v>
      </c>
      <c r="AS6" s="1527" t="s">
        <v>4606</v>
      </c>
      <c r="AT6" s="1315"/>
      <c r="AU6" s="1315"/>
      <c r="AV6" s="1315"/>
      <c r="AW6" s="1315"/>
      <c r="AX6" s="1315"/>
      <c r="AY6" s="1315"/>
      <c r="AZ6" s="1315"/>
      <c r="BA6" s="1315"/>
      <c r="BB6" s="1315"/>
      <c r="BC6" s="1315"/>
      <c r="BD6" s="1315"/>
      <c r="BE6" s="1315"/>
      <c r="BF6" s="1315"/>
      <c r="BG6" s="1315"/>
      <c r="BH6" s="1315"/>
    </row>
    <row r="7" spans="2:60" ht="67.150000000000006" customHeight="1">
      <c r="B7" s="2256">
        <v>92</v>
      </c>
      <c r="C7" s="2257" t="s">
        <v>4598</v>
      </c>
      <c r="D7" s="2258" t="s">
        <v>4599</v>
      </c>
      <c r="E7" s="2228" t="s">
        <v>2969</v>
      </c>
      <c r="F7" s="2259">
        <v>146</v>
      </c>
      <c r="G7" s="2231">
        <v>146</v>
      </c>
      <c r="H7" s="2260">
        <v>106</v>
      </c>
      <c r="I7" s="2239">
        <v>106</v>
      </c>
      <c r="J7" s="1445" t="s">
        <v>4607</v>
      </c>
      <c r="K7" s="1445" t="s">
        <v>2989</v>
      </c>
      <c r="L7" s="1446" t="s">
        <v>2989</v>
      </c>
      <c r="M7" s="1520" t="s">
        <v>2988</v>
      </c>
      <c r="N7" s="1520" t="s">
        <v>2990</v>
      </c>
      <c r="O7" s="1520">
        <v>48</v>
      </c>
      <c r="P7" s="1451" t="s">
        <v>2963</v>
      </c>
      <c r="Q7" s="1449" t="s">
        <v>2963</v>
      </c>
      <c r="R7" s="1450" t="s">
        <v>2963</v>
      </c>
      <c r="S7" s="1540" t="s">
        <v>3031</v>
      </c>
      <c r="T7" s="1451" t="s">
        <v>2988</v>
      </c>
      <c r="U7" s="1450">
        <v>1</v>
      </c>
      <c r="V7" s="1451">
        <v>2</v>
      </c>
      <c r="W7" s="1449">
        <v>98</v>
      </c>
      <c r="X7" s="1450">
        <v>20</v>
      </c>
      <c r="Y7" s="1451" t="s">
        <v>3006</v>
      </c>
      <c r="Z7" s="1454" t="s">
        <v>4601</v>
      </c>
      <c r="AA7" s="1453" t="s">
        <v>4602</v>
      </c>
      <c r="AB7" s="1475" t="s">
        <v>2989</v>
      </c>
      <c r="AC7" s="1454">
        <v>71</v>
      </c>
      <c r="AD7" s="1453" t="s">
        <v>4603</v>
      </c>
      <c r="AE7" s="1450">
        <v>128</v>
      </c>
      <c r="AF7" s="1521">
        <v>14</v>
      </c>
      <c r="AG7" s="1522" t="s">
        <v>2991</v>
      </c>
      <c r="AH7" s="1541" t="s">
        <v>2369</v>
      </c>
      <c r="AI7" s="1459" t="s">
        <v>3027</v>
      </c>
      <c r="AJ7" s="1524" t="s">
        <v>2138</v>
      </c>
      <c r="AK7" s="1525" t="s">
        <v>4608</v>
      </c>
      <c r="AL7" s="1462" t="s">
        <v>4609</v>
      </c>
      <c r="AM7" s="1464">
        <v>19</v>
      </c>
      <c r="AN7" s="1526">
        <v>1</v>
      </c>
      <c r="AO7" s="1467">
        <v>20</v>
      </c>
      <c r="AP7" s="2170"/>
      <c r="AQ7" s="2171"/>
      <c r="AR7" s="2172" t="s">
        <v>4596</v>
      </c>
      <c r="AS7" s="1519" t="s">
        <v>4610</v>
      </c>
      <c r="AT7" s="1315"/>
      <c r="AU7" s="1315"/>
      <c r="AV7" s="1315"/>
      <c r="AW7" s="1315"/>
      <c r="AX7" s="1315"/>
      <c r="AY7" s="1315"/>
      <c r="AZ7" s="1315"/>
      <c r="BA7" s="1315"/>
      <c r="BB7" s="1315"/>
      <c r="BC7" s="1315"/>
      <c r="BD7" s="1315"/>
      <c r="BE7" s="1315"/>
      <c r="BF7" s="1315"/>
      <c r="BG7" s="1315"/>
      <c r="BH7" s="1315"/>
    </row>
    <row r="8" spans="2:60" ht="67.150000000000006" customHeight="1">
      <c r="B8" s="2136">
        <v>93</v>
      </c>
      <c r="C8" s="2173" t="s">
        <v>4611</v>
      </c>
      <c r="D8" s="2174" t="s">
        <v>4612</v>
      </c>
      <c r="E8" s="2174" t="s">
        <v>4343</v>
      </c>
      <c r="F8" s="2140" t="s">
        <v>4613</v>
      </c>
      <c r="G8" s="2141">
        <v>681</v>
      </c>
      <c r="H8" s="2175" t="s">
        <v>4614</v>
      </c>
      <c r="I8" s="2143">
        <v>580</v>
      </c>
      <c r="J8" s="2144" t="s">
        <v>4615</v>
      </c>
      <c r="K8" s="2144" t="s">
        <v>2988</v>
      </c>
      <c r="L8" s="2145" t="s">
        <v>2989</v>
      </c>
      <c r="M8" s="2144" t="s">
        <v>2988</v>
      </c>
      <c r="N8" s="2144" t="s">
        <v>3030</v>
      </c>
      <c r="O8" s="2174">
        <v>120</v>
      </c>
      <c r="P8" s="2176" t="s">
        <v>2963</v>
      </c>
      <c r="Q8" s="2177" t="s">
        <v>2979</v>
      </c>
      <c r="R8" s="2143" t="s">
        <v>2963</v>
      </c>
      <c r="S8" s="2178" t="s">
        <v>2964</v>
      </c>
      <c r="T8" s="2179" t="s">
        <v>2961</v>
      </c>
      <c r="U8" s="2141">
        <v>3</v>
      </c>
      <c r="V8" s="2179">
        <v>3</v>
      </c>
      <c r="W8" s="2180">
        <v>80</v>
      </c>
      <c r="X8" s="2141">
        <v>11</v>
      </c>
      <c r="Y8" s="2179" t="s">
        <v>3032</v>
      </c>
      <c r="Z8" s="2179" t="s">
        <v>4616</v>
      </c>
      <c r="AA8" s="2180" t="s">
        <v>4617</v>
      </c>
      <c r="AB8" s="2141" t="s">
        <v>4618</v>
      </c>
      <c r="AC8" s="2179" t="s">
        <v>4619</v>
      </c>
      <c r="AD8" s="2180" t="s">
        <v>2969</v>
      </c>
      <c r="AE8" s="2141" t="s">
        <v>4620</v>
      </c>
      <c r="AF8" s="2154">
        <v>2</v>
      </c>
      <c r="AG8" s="2155" t="s">
        <v>4341</v>
      </c>
      <c r="AH8" s="2156" t="s">
        <v>2998</v>
      </c>
      <c r="AI8" s="2157" t="s">
        <v>2999</v>
      </c>
      <c r="AJ8" s="2158" t="s">
        <v>2138</v>
      </c>
      <c r="AK8" s="2159" t="s">
        <v>3002</v>
      </c>
      <c r="AL8" s="2160" t="s">
        <v>3019</v>
      </c>
      <c r="AM8" s="2161">
        <v>84</v>
      </c>
      <c r="AN8" s="2162">
        <v>1</v>
      </c>
      <c r="AO8" s="2163">
        <v>81</v>
      </c>
      <c r="AP8" s="2164">
        <f>AO8+AO9+AO10</f>
        <v>153</v>
      </c>
      <c r="AQ8" s="2165">
        <v>10</v>
      </c>
      <c r="AR8" s="2166" t="s">
        <v>4596</v>
      </c>
      <c r="AS8" s="2136" t="s">
        <v>4621</v>
      </c>
      <c r="AT8" s="1315"/>
      <c r="AU8" s="1315"/>
      <c r="AV8" s="1315"/>
      <c r="AW8" s="1315"/>
      <c r="AX8" s="1315"/>
      <c r="AY8" s="1315"/>
      <c r="AZ8" s="1315"/>
      <c r="BA8" s="1315"/>
      <c r="BB8" s="1315"/>
      <c r="BC8" s="1315"/>
      <c r="BD8" s="1315"/>
      <c r="BE8" s="1315"/>
      <c r="BF8" s="1315"/>
      <c r="BG8" s="1315"/>
      <c r="BH8" s="1315"/>
    </row>
    <row r="9" spans="2:60" ht="67.150000000000006" customHeight="1">
      <c r="B9" s="2250">
        <v>93</v>
      </c>
      <c r="C9" s="2261" t="s">
        <v>4622</v>
      </c>
      <c r="D9" s="2262" t="s">
        <v>4623</v>
      </c>
      <c r="E9" s="2262" t="s">
        <v>4343</v>
      </c>
      <c r="F9" s="2253" t="s">
        <v>4613</v>
      </c>
      <c r="G9" s="2254">
        <v>681</v>
      </c>
      <c r="H9" s="2263" t="s">
        <v>4614</v>
      </c>
      <c r="I9" s="2237">
        <v>580</v>
      </c>
      <c r="J9" s="1484" t="s">
        <v>4624</v>
      </c>
      <c r="K9" s="1484" t="s">
        <v>2988</v>
      </c>
      <c r="L9" s="1485" t="s">
        <v>2989</v>
      </c>
      <c r="M9" s="1484" t="s">
        <v>2988</v>
      </c>
      <c r="N9" s="1484" t="s">
        <v>3030</v>
      </c>
      <c r="O9" s="1483">
        <v>120</v>
      </c>
      <c r="P9" s="1486" t="s">
        <v>2963</v>
      </c>
      <c r="Q9" s="1487" t="s">
        <v>2979</v>
      </c>
      <c r="R9" s="1482" t="s">
        <v>2963</v>
      </c>
      <c r="S9" s="1488" t="s">
        <v>2964</v>
      </c>
      <c r="T9" s="1542" t="s">
        <v>2961</v>
      </c>
      <c r="U9" s="1528">
        <v>3</v>
      </c>
      <c r="V9" s="1542">
        <v>3</v>
      </c>
      <c r="W9" s="1543">
        <v>80</v>
      </c>
      <c r="X9" s="1528">
        <v>11</v>
      </c>
      <c r="Y9" s="1542" t="s">
        <v>3032</v>
      </c>
      <c r="Z9" s="1542" t="s">
        <v>4616</v>
      </c>
      <c r="AA9" s="1543" t="s">
        <v>4617</v>
      </c>
      <c r="AB9" s="1528" t="s">
        <v>4618</v>
      </c>
      <c r="AC9" s="1542" t="s">
        <v>4619</v>
      </c>
      <c r="AD9" s="1543" t="s">
        <v>2969</v>
      </c>
      <c r="AE9" s="1528" t="s">
        <v>4620</v>
      </c>
      <c r="AF9" s="1533">
        <v>4</v>
      </c>
      <c r="AG9" s="1534" t="s">
        <v>4341</v>
      </c>
      <c r="AH9" s="1544" t="s">
        <v>2972</v>
      </c>
      <c r="AI9" s="1545" t="s">
        <v>2973</v>
      </c>
      <c r="AJ9" s="1536" t="s">
        <v>2138</v>
      </c>
      <c r="AK9" s="1537" t="s">
        <v>4625</v>
      </c>
      <c r="AL9" s="1538" t="s">
        <v>3019</v>
      </c>
      <c r="AM9" s="1503">
        <v>36</v>
      </c>
      <c r="AN9" s="1539">
        <v>1</v>
      </c>
      <c r="AO9" s="1506">
        <v>36</v>
      </c>
      <c r="AP9" s="2181"/>
      <c r="AQ9" s="2168"/>
      <c r="AR9" s="2169" t="s">
        <v>4596</v>
      </c>
      <c r="AS9" s="1527" t="s">
        <v>4626</v>
      </c>
      <c r="AT9" s="1315"/>
      <c r="AU9" s="1315"/>
      <c r="AV9" s="1315"/>
      <c r="AW9" s="1315"/>
      <c r="AX9" s="1315"/>
      <c r="AY9" s="1315"/>
      <c r="AZ9" s="1315"/>
      <c r="BA9" s="1315"/>
      <c r="BB9" s="1315"/>
      <c r="BC9" s="1315"/>
      <c r="BD9" s="1315"/>
      <c r="BE9" s="1315"/>
      <c r="BF9" s="1315"/>
      <c r="BG9" s="1315"/>
      <c r="BH9" s="1315"/>
    </row>
    <row r="10" spans="2:60" ht="67.150000000000006" customHeight="1">
      <c r="B10" s="2256">
        <v>93</v>
      </c>
      <c r="C10" s="2264" t="s">
        <v>4622</v>
      </c>
      <c r="D10" s="2265" t="s">
        <v>4623</v>
      </c>
      <c r="E10" s="2266" t="s">
        <v>4343</v>
      </c>
      <c r="F10" s="2259" t="s">
        <v>4613</v>
      </c>
      <c r="G10" s="2231">
        <v>681</v>
      </c>
      <c r="H10" s="2242" t="s">
        <v>4614</v>
      </c>
      <c r="I10" s="2239">
        <v>580</v>
      </c>
      <c r="J10" s="1445" t="s">
        <v>4627</v>
      </c>
      <c r="K10" s="1445" t="s">
        <v>2988</v>
      </c>
      <c r="L10" s="1446" t="s">
        <v>2989</v>
      </c>
      <c r="M10" s="1445" t="s">
        <v>2988</v>
      </c>
      <c r="N10" s="1445" t="s">
        <v>3030</v>
      </c>
      <c r="O10" s="1444">
        <v>120</v>
      </c>
      <c r="P10" s="1442" t="s">
        <v>2963</v>
      </c>
      <c r="Q10" s="1447" t="s">
        <v>2979</v>
      </c>
      <c r="R10" s="1443" t="s">
        <v>2963</v>
      </c>
      <c r="S10" s="1474" t="s">
        <v>2964</v>
      </c>
      <c r="T10" s="1517" t="s">
        <v>2961</v>
      </c>
      <c r="U10" s="1515">
        <v>3</v>
      </c>
      <c r="V10" s="1517">
        <v>3</v>
      </c>
      <c r="W10" s="1546">
        <v>80</v>
      </c>
      <c r="X10" s="1515">
        <v>11</v>
      </c>
      <c r="Y10" s="1517" t="s">
        <v>3032</v>
      </c>
      <c r="Z10" s="1517" t="s">
        <v>4616</v>
      </c>
      <c r="AA10" s="1546" t="s">
        <v>4617</v>
      </c>
      <c r="AB10" s="1515" t="s">
        <v>4618</v>
      </c>
      <c r="AC10" s="1517" t="s">
        <v>4619</v>
      </c>
      <c r="AD10" s="1546" t="s">
        <v>2969</v>
      </c>
      <c r="AE10" s="1515" t="s">
        <v>4620</v>
      </c>
      <c r="AF10" s="1521">
        <v>18</v>
      </c>
      <c r="AG10" s="1522" t="s">
        <v>4341</v>
      </c>
      <c r="AH10" s="1523" t="s">
        <v>2939</v>
      </c>
      <c r="AI10" s="1459" t="s">
        <v>2930</v>
      </c>
      <c r="AJ10" s="1524" t="s">
        <v>2138</v>
      </c>
      <c r="AK10" s="1525" t="s">
        <v>2941</v>
      </c>
      <c r="AL10" s="1462" t="s">
        <v>3019</v>
      </c>
      <c r="AM10" s="1464">
        <v>36</v>
      </c>
      <c r="AN10" s="1526">
        <v>1</v>
      </c>
      <c r="AO10" s="1467">
        <v>36</v>
      </c>
      <c r="AP10" s="2170"/>
      <c r="AQ10" s="2171"/>
      <c r="AR10" s="2172" t="s">
        <v>4596</v>
      </c>
      <c r="AS10" s="1519" t="s">
        <v>4628</v>
      </c>
      <c r="AT10" s="1315"/>
      <c r="AU10" s="1315"/>
      <c r="AV10" s="1315"/>
      <c r="AW10" s="1315"/>
      <c r="AX10" s="1315"/>
      <c r="AY10" s="1315"/>
      <c r="AZ10" s="1315"/>
      <c r="BA10" s="1315"/>
      <c r="BB10" s="1315"/>
      <c r="BC10" s="1315"/>
      <c r="BD10" s="1315"/>
      <c r="BE10" s="1315"/>
      <c r="BF10" s="1315"/>
      <c r="BG10" s="1315"/>
      <c r="BH10" s="1315"/>
    </row>
    <row r="11" spans="2:60" ht="67.150000000000006" customHeight="1">
      <c r="B11" s="1414">
        <v>96</v>
      </c>
      <c r="C11" s="2207" t="s">
        <v>4629</v>
      </c>
      <c r="D11" s="1370" t="s">
        <v>3086</v>
      </c>
      <c r="E11" s="2208" t="s">
        <v>4343</v>
      </c>
      <c r="F11" s="2209">
        <v>33</v>
      </c>
      <c r="G11" s="2210">
        <v>72</v>
      </c>
      <c r="H11" s="1262">
        <v>34</v>
      </c>
      <c r="I11" s="1263">
        <v>72</v>
      </c>
      <c r="J11" s="1265" t="s">
        <v>4630</v>
      </c>
      <c r="K11" s="1265" t="s">
        <v>2989</v>
      </c>
      <c r="L11" s="1266" t="s">
        <v>2989</v>
      </c>
      <c r="M11" s="1313" t="s">
        <v>2988</v>
      </c>
      <c r="N11" s="1313" t="s">
        <v>2990</v>
      </c>
      <c r="O11" s="1313">
        <v>72</v>
      </c>
      <c r="P11" s="1270" t="s">
        <v>2979</v>
      </c>
      <c r="Q11" s="1268" t="s">
        <v>2979</v>
      </c>
      <c r="R11" s="1269" t="s">
        <v>2979</v>
      </c>
      <c r="S11" s="1314" t="s">
        <v>2602</v>
      </c>
      <c r="T11" s="1270">
        <v>1</v>
      </c>
      <c r="U11" s="1269">
        <v>3</v>
      </c>
      <c r="V11" s="1270">
        <v>2</v>
      </c>
      <c r="W11" s="1268">
        <v>100</v>
      </c>
      <c r="X11" s="1269">
        <v>17</v>
      </c>
      <c r="Y11" s="2211" t="s">
        <v>4631</v>
      </c>
      <c r="Z11" s="1390" t="s">
        <v>4632</v>
      </c>
      <c r="AA11" s="1271" t="s">
        <v>4633</v>
      </c>
      <c r="AB11" s="1416" t="s">
        <v>4634</v>
      </c>
      <c r="AC11" s="1270">
        <v>72</v>
      </c>
      <c r="AD11" s="1271" t="s">
        <v>4635</v>
      </c>
      <c r="AE11" s="1269" t="s">
        <v>4636</v>
      </c>
      <c r="AF11" s="1303">
        <v>16</v>
      </c>
      <c r="AG11" s="1304" t="s">
        <v>4341</v>
      </c>
      <c r="AH11" s="1417" t="s">
        <v>2935</v>
      </c>
      <c r="AI11" s="1350" t="s">
        <v>2930</v>
      </c>
      <c r="AJ11" s="1305" t="s">
        <v>2138</v>
      </c>
      <c r="AK11" s="1306" t="s">
        <v>2938</v>
      </c>
      <c r="AL11" s="1307" t="s">
        <v>3019</v>
      </c>
      <c r="AM11" s="1201">
        <v>32</v>
      </c>
      <c r="AN11" s="1308">
        <v>1</v>
      </c>
      <c r="AO11" s="1309">
        <v>31</v>
      </c>
      <c r="AP11" s="2133">
        <f>AO11</f>
        <v>31</v>
      </c>
      <c r="AQ11" s="2134">
        <v>10</v>
      </c>
      <c r="AR11" s="2135" t="s">
        <v>4596</v>
      </c>
      <c r="AS11" s="1414" t="s">
        <v>4341</v>
      </c>
      <c r="AT11" s="1315"/>
      <c r="AU11" s="1315"/>
      <c r="AV11" s="1315"/>
      <c r="AW11" s="1315"/>
      <c r="AX11" s="1315"/>
      <c r="AY11" s="1315"/>
      <c r="AZ11" s="1315"/>
      <c r="BA11" s="1315"/>
      <c r="BB11" s="1315"/>
      <c r="BC11" s="1315"/>
      <c r="BD11" s="1315"/>
      <c r="BE11" s="1315"/>
      <c r="BF11" s="1315"/>
      <c r="BG11" s="1315"/>
      <c r="BH11" s="1315"/>
    </row>
    <row r="12" spans="2:60" ht="67.150000000000006" customHeight="1">
      <c r="B12" s="1321">
        <v>180</v>
      </c>
      <c r="C12" s="1413" t="s">
        <v>4637</v>
      </c>
      <c r="D12" s="1369" t="s">
        <v>4612</v>
      </c>
      <c r="E12" s="1203" t="s">
        <v>4343</v>
      </c>
      <c r="F12" s="1322">
        <v>100</v>
      </c>
      <c r="G12" s="1231">
        <v>193</v>
      </c>
      <c r="H12" s="1330">
        <v>100</v>
      </c>
      <c r="I12" s="1206">
        <v>179</v>
      </c>
      <c r="J12" s="1208" t="s">
        <v>4638</v>
      </c>
      <c r="K12" s="1208" t="s">
        <v>2989</v>
      </c>
      <c r="L12" s="1209" t="s">
        <v>2989</v>
      </c>
      <c r="M12" s="1328" t="s">
        <v>2989</v>
      </c>
      <c r="N12" s="1328" t="s">
        <v>2978</v>
      </c>
      <c r="O12" s="1328">
        <v>120</v>
      </c>
      <c r="P12" s="1214" t="s">
        <v>2979</v>
      </c>
      <c r="Q12" s="1212" t="s">
        <v>2979</v>
      </c>
      <c r="R12" s="1213" t="s">
        <v>2979</v>
      </c>
      <c r="S12" s="1329" t="s">
        <v>4639</v>
      </c>
      <c r="T12" s="1214" t="s">
        <v>2988</v>
      </c>
      <c r="U12" s="1213">
        <v>1</v>
      </c>
      <c r="V12" s="1214">
        <v>3</v>
      </c>
      <c r="W12" s="1212">
        <v>80</v>
      </c>
      <c r="X12" s="1213">
        <v>11</v>
      </c>
      <c r="Y12" s="1329" t="s">
        <v>3006</v>
      </c>
      <c r="Z12" s="1216">
        <v>60</v>
      </c>
      <c r="AA12" s="1227">
        <v>24</v>
      </c>
      <c r="AB12" s="1229" t="s">
        <v>2988</v>
      </c>
      <c r="AC12" s="1216">
        <v>76</v>
      </c>
      <c r="AD12" s="1227" t="s">
        <v>4640</v>
      </c>
      <c r="AE12" s="1213">
        <v>130</v>
      </c>
      <c r="AF12" s="1316">
        <v>12</v>
      </c>
      <c r="AG12" s="1317" t="s">
        <v>4341</v>
      </c>
      <c r="AH12" s="1324" t="s">
        <v>3044</v>
      </c>
      <c r="AI12" s="1249" t="s">
        <v>2999</v>
      </c>
      <c r="AJ12" s="1318" t="s">
        <v>2138</v>
      </c>
      <c r="AK12" s="1319" t="s">
        <v>4625</v>
      </c>
      <c r="AL12" s="1276" t="s">
        <v>3019</v>
      </c>
      <c r="AM12" s="1220">
        <v>89</v>
      </c>
      <c r="AN12" s="1320">
        <v>1</v>
      </c>
      <c r="AO12" s="1223">
        <v>87</v>
      </c>
      <c r="AP12" s="2133">
        <f>AO12</f>
        <v>87</v>
      </c>
      <c r="AQ12" s="2134">
        <v>10</v>
      </c>
      <c r="AR12" s="2135" t="s">
        <v>4596</v>
      </c>
      <c r="AS12" s="1321" t="s">
        <v>4341</v>
      </c>
      <c r="AT12" s="1315"/>
      <c r="AU12" s="1315"/>
      <c r="AV12" s="1315"/>
      <c r="AW12" s="1315"/>
      <c r="AX12" s="1315"/>
      <c r="AY12" s="1315"/>
      <c r="AZ12" s="1315"/>
      <c r="BA12" s="1315"/>
      <c r="BB12" s="1315"/>
      <c r="BC12" s="1315"/>
      <c r="BD12" s="1315"/>
      <c r="BE12" s="1315"/>
      <c r="BF12" s="1315"/>
      <c r="BG12" s="1315"/>
      <c r="BH12" s="1315"/>
    </row>
    <row r="13" spans="2:60" ht="67.150000000000006" customHeight="1">
      <c r="B13" s="1323">
        <v>201</v>
      </c>
      <c r="C13" s="1413" t="s">
        <v>4641</v>
      </c>
      <c r="D13" s="1369" t="s">
        <v>4642</v>
      </c>
      <c r="E13" s="1325" t="s">
        <v>2969</v>
      </c>
      <c r="F13" s="1326">
        <v>106</v>
      </c>
      <c r="G13" s="1327">
        <v>106</v>
      </c>
      <c r="H13" s="1205">
        <v>69</v>
      </c>
      <c r="I13" s="1206">
        <v>69</v>
      </c>
      <c r="J13" s="1208" t="s">
        <v>4643</v>
      </c>
      <c r="K13" s="1208" t="s">
        <v>2989</v>
      </c>
      <c r="L13" s="1209" t="s">
        <v>2989</v>
      </c>
      <c r="M13" s="1328" t="s">
        <v>2988</v>
      </c>
      <c r="N13" s="1328" t="s">
        <v>2978</v>
      </c>
      <c r="O13" s="1328">
        <v>106</v>
      </c>
      <c r="P13" s="1214" t="s">
        <v>2979</v>
      </c>
      <c r="Q13" s="1212" t="s">
        <v>2979</v>
      </c>
      <c r="R13" s="1213" t="s">
        <v>2979</v>
      </c>
      <c r="S13" s="1329" t="s">
        <v>3031</v>
      </c>
      <c r="T13" s="1214" t="s">
        <v>2988</v>
      </c>
      <c r="U13" s="1213">
        <v>2</v>
      </c>
      <c r="V13" s="1214">
        <v>1</v>
      </c>
      <c r="W13" s="1212">
        <v>90</v>
      </c>
      <c r="X13" s="1213">
        <v>13</v>
      </c>
      <c r="Y13" s="1216" t="s">
        <v>3006</v>
      </c>
      <c r="Z13" s="1216" t="s">
        <v>4644</v>
      </c>
      <c r="AA13" s="1227" t="s">
        <v>4645</v>
      </c>
      <c r="AB13" s="1213" t="s">
        <v>2988</v>
      </c>
      <c r="AC13" s="1214" t="s">
        <v>4646</v>
      </c>
      <c r="AD13" s="1212" t="s">
        <v>2969</v>
      </c>
      <c r="AE13" s="1229">
        <v>55</v>
      </c>
      <c r="AF13" s="1316">
        <v>10</v>
      </c>
      <c r="AG13" s="1317" t="s">
        <v>4341</v>
      </c>
      <c r="AH13" s="1324" t="s">
        <v>3033</v>
      </c>
      <c r="AI13" s="1246" t="s">
        <v>2973</v>
      </c>
      <c r="AJ13" s="1318" t="s">
        <v>2256</v>
      </c>
      <c r="AK13" s="1319" t="s">
        <v>4647</v>
      </c>
      <c r="AL13" s="1276" t="s">
        <v>3019</v>
      </c>
      <c r="AM13" s="1220">
        <v>37</v>
      </c>
      <c r="AN13" s="1320">
        <v>1</v>
      </c>
      <c r="AO13" s="1223">
        <v>36</v>
      </c>
      <c r="AP13" s="2133">
        <f>AO13</f>
        <v>36</v>
      </c>
      <c r="AQ13" s="2134">
        <v>10</v>
      </c>
      <c r="AR13" s="2135" t="s">
        <v>4596</v>
      </c>
      <c r="AS13" s="1323" t="s">
        <v>4341</v>
      </c>
      <c r="AT13" s="1315"/>
      <c r="AU13" s="1315"/>
      <c r="AV13" s="1315"/>
      <c r="AW13" s="1315"/>
      <c r="AX13" s="1315"/>
      <c r="AY13" s="1315"/>
      <c r="AZ13" s="1315"/>
      <c r="BA13" s="1315"/>
      <c r="BB13" s="1315"/>
      <c r="BC13" s="1315"/>
      <c r="BD13" s="1315"/>
      <c r="BE13" s="1315"/>
      <c r="BF13" s="1315"/>
      <c r="BG13" s="1315"/>
      <c r="BH13" s="1315"/>
    </row>
    <row r="14" spans="2:60" ht="67.150000000000006" customHeight="1">
      <c r="B14" s="2136">
        <v>227</v>
      </c>
      <c r="C14" s="2137" t="s">
        <v>4648</v>
      </c>
      <c r="D14" s="2138" t="s">
        <v>4649</v>
      </c>
      <c r="E14" s="2146" t="s">
        <v>4343</v>
      </c>
      <c r="F14" s="2184">
        <v>101</v>
      </c>
      <c r="G14" s="2143">
        <v>126</v>
      </c>
      <c r="H14" s="2176">
        <v>80</v>
      </c>
      <c r="I14" s="2143">
        <v>105</v>
      </c>
      <c r="J14" s="2144" t="s">
        <v>4650</v>
      </c>
      <c r="K14" s="2144" t="s">
        <v>2989</v>
      </c>
      <c r="L14" s="2145" t="s">
        <v>2989</v>
      </c>
      <c r="M14" s="2185" t="s">
        <v>3092</v>
      </c>
      <c r="N14" s="2146" t="s">
        <v>2990</v>
      </c>
      <c r="O14" s="2146">
        <v>70</v>
      </c>
      <c r="P14" s="2147" t="s">
        <v>2979</v>
      </c>
      <c r="Q14" s="2148" t="s">
        <v>2979</v>
      </c>
      <c r="R14" s="2149" t="s">
        <v>2979</v>
      </c>
      <c r="S14" s="2186" t="s">
        <v>3031</v>
      </c>
      <c r="T14" s="2147">
        <v>2</v>
      </c>
      <c r="U14" s="2149">
        <v>2</v>
      </c>
      <c r="V14" s="2147">
        <v>2</v>
      </c>
      <c r="W14" s="2148">
        <v>94</v>
      </c>
      <c r="X14" s="2149">
        <v>15</v>
      </c>
      <c r="Y14" s="2151" t="s">
        <v>3006</v>
      </c>
      <c r="Z14" s="2151" t="s">
        <v>4651</v>
      </c>
      <c r="AA14" s="2152">
        <v>0.5</v>
      </c>
      <c r="AB14" s="2149" t="s">
        <v>2989</v>
      </c>
      <c r="AC14" s="2151" t="s">
        <v>4652</v>
      </c>
      <c r="AD14" s="2148" t="s">
        <v>2969</v>
      </c>
      <c r="AE14" s="2149">
        <v>130</v>
      </c>
      <c r="AF14" s="2154">
        <v>13</v>
      </c>
      <c r="AG14" s="2155" t="s">
        <v>4341</v>
      </c>
      <c r="AH14" s="2156" t="s">
        <v>2942</v>
      </c>
      <c r="AI14" s="2187" t="s">
        <v>2943</v>
      </c>
      <c r="AJ14" s="2158" t="s">
        <v>2944</v>
      </c>
      <c r="AK14" s="2159" t="s">
        <v>2955</v>
      </c>
      <c r="AL14" s="2160" t="s">
        <v>3019</v>
      </c>
      <c r="AM14" s="2161">
        <v>55</v>
      </c>
      <c r="AN14" s="2162">
        <v>1</v>
      </c>
      <c r="AO14" s="2163">
        <v>53</v>
      </c>
      <c r="AP14" s="2164">
        <f>AO14+AO15</f>
        <v>71</v>
      </c>
      <c r="AQ14" s="2165">
        <v>10</v>
      </c>
      <c r="AR14" s="2166" t="s">
        <v>4596</v>
      </c>
      <c r="AS14" s="2136" t="s">
        <v>4653</v>
      </c>
      <c r="AT14" s="1315"/>
      <c r="AU14" s="1315"/>
      <c r="AV14" s="1315"/>
      <c r="AW14" s="1315"/>
      <c r="AX14" s="1315"/>
      <c r="AY14" s="1315"/>
      <c r="AZ14" s="1315"/>
      <c r="BA14" s="1315"/>
      <c r="BB14" s="1315"/>
      <c r="BC14" s="1315"/>
      <c r="BD14" s="1315"/>
      <c r="BE14" s="1315"/>
      <c r="BF14" s="1315"/>
      <c r="BG14" s="1315"/>
      <c r="BH14" s="1315"/>
    </row>
    <row r="15" spans="2:60" ht="67.150000000000006" customHeight="1">
      <c r="B15" s="2256">
        <v>227</v>
      </c>
      <c r="C15" s="2257" t="s">
        <v>4648</v>
      </c>
      <c r="D15" s="2258" t="s">
        <v>4649</v>
      </c>
      <c r="E15" s="2267" t="s">
        <v>4343</v>
      </c>
      <c r="F15" s="2268">
        <v>101</v>
      </c>
      <c r="G15" s="2239">
        <v>126</v>
      </c>
      <c r="H15" s="2230">
        <v>80</v>
      </c>
      <c r="I15" s="2239">
        <v>105</v>
      </c>
      <c r="J15" s="1445" t="s">
        <v>4654</v>
      </c>
      <c r="K15" s="1445" t="s">
        <v>2989</v>
      </c>
      <c r="L15" s="1446" t="s">
        <v>2989</v>
      </c>
      <c r="M15" s="1441" t="s">
        <v>3092</v>
      </c>
      <c r="N15" s="1520" t="s">
        <v>2990</v>
      </c>
      <c r="O15" s="1520">
        <v>70</v>
      </c>
      <c r="P15" s="1451" t="s">
        <v>2979</v>
      </c>
      <c r="Q15" s="1449" t="s">
        <v>2979</v>
      </c>
      <c r="R15" s="1450" t="s">
        <v>2979</v>
      </c>
      <c r="S15" s="1540" t="s">
        <v>3031</v>
      </c>
      <c r="T15" s="1451">
        <v>2</v>
      </c>
      <c r="U15" s="1450">
        <v>2</v>
      </c>
      <c r="V15" s="1451">
        <v>2</v>
      </c>
      <c r="W15" s="1449">
        <v>94</v>
      </c>
      <c r="X15" s="1450">
        <v>15</v>
      </c>
      <c r="Y15" s="1454" t="s">
        <v>3006</v>
      </c>
      <c r="Z15" s="1454" t="s">
        <v>4651</v>
      </c>
      <c r="AA15" s="1453">
        <v>0.5</v>
      </c>
      <c r="AB15" s="1450" t="s">
        <v>2989</v>
      </c>
      <c r="AC15" s="1454" t="s">
        <v>4652</v>
      </c>
      <c r="AD15" s="1449" t="s">
        <v>2969</v>
      </c>
      <c r="AE15" s="1450">
        <v>130</v>
      </c>
      <c r="AF15" s="1521">
        <v>17</v>
      </c>
      <c r="AG15" s="1522" t="s">
        <v>4341</v>
      </c>
      <c r="AH15" s="1523" t="s">
        <v>3068</v>
      </c>
      <c r="AI15" s="1459" t="s">
        <v>2930</v>
      </c>
      <c r="AJ15" s="1547" t="s">
        <v>3069</v>
      </c>
      <c r="AK15" s="1525" t="s">
        <v>3075</v>
      </c>
      <c r="AL15" s="1462" t="s">
        <v>3019</v>
      </c>
      <c r="AM15" s="1464">
        <v>18</v>
      </c>
      <c r="AN15" s="1526">
        <v>1</v>
      </c>
      <c r="AO15" s="1467">
        <v>18</v>
      </c>
      <c r="AP15" s="2170"/>
      <c r="AQ15" s="2171"/>
      <c r="AR15" s="2172" t="s">
        <v>4596</v>
      </c>
      <c r="AS15" s="1519" t="s">
        <v>4655</v>
      </c>
      <c r="AT15" s="1315"/>
      <c r="AU15" s="1315"/>
      <c r="AV15" s="1315"/>
      <c r="AW15" s="1315"/>
      <c r="AX15" s="1315"/>
      <c r="AY15" s="1315"/>
      <c r="AZ15" s="1315"/>
      <c r="BA15" s="1315"/>
      <c r="BB15" s="1315"/>
      <c r="BC15" s="1315"/>
      <c r="BD15" s="1315"/>
      <c r="BE15" s="1315"/>
      <c r="BF15" s="1315"/>
      <c r="BG15" s="1315"/>
      <c r="BH15" s="1315"/>
    </row>
    <row r="16" spans="2:60" ht="67.150000000000006" customHeight="1">
      <c r="B16" s="2136">
        <v>238</v>
      </c>
      <c r="C16" s="2188" t="s">
        <v>4656</v>
      </c>
      <c r="D16" s="2185" t="s">
        <v>4657</v>
      </c>
      <c r="E16" s="2139" t="s">
        <v>2969</v>
      </c>
      <c r="F16" s="2140">
        <v>87</v>
      </c>
      <c r="G16" s="2141">
        <v>92</v>
      </c>
      <c r="H16" s="2189">
        <v>85</v>
      </c>
      <c r="I16" s="2143">
        <v>90</v>
      </c>
      <c r="J16" s="2144" t="s">
        <v>4658</v>
      </c>
      <c r="K16" s="2144" t="s">
        <v>2989</v>
      </c>
      <c r="L16" s="2145" t="s">
        <v>2989</v>
      </c>
      <c r="M16" s="2146" t="s">
        <v>2988</v>
      </c>
      <c r="N16" s="2146" t="s">
        <v>3030</v>
      </c>
      <c r="O16" s="2146">
        <v>60</v>
      </c>
      <c r="P16" s="2147" t="s">
        <v>2979</v>
      </c>
      <c r="Q16" s="2148" t="s">
        <v>2979</v>
      </c>
      <c r="R16" s="2149" t="s">
        <v>2979</v>
      </c>
      <c r="S16" s="2186" t="s">
        <v>2964</v>
      </c>
      <c r="T16" s="2147" t="s">
        <v>2988</v>
      </c>
      <c r="U16" s="2149">
        <v>1</v>
      </c>
      <c r="V16" s="2147">
        <v>2</v>
      </c>
      <c r="W16" s="2148">
        <v>90</v>
      </c>
      <c r="X16" s="2149">
        <v>13</v>
      </c>
      <c r="Y16" s="2147" t="s">
        <v>3006</v>
      </c>
      <c r="Z16" s="2147">
        <v>62</v>
      </c>
      <c r="AA16" s="2148" t="s">
        <v>4659</v>
      </c>
      <c r="AB16" s="2149" t="s">
        <v>2988</v>
      </c>
      <c r="AC16" s="2147" t="s">
        <v>4660</v>
      </c>
      <c r="AD16" s="2148" t="s">
        <v>4661</v>
      </c>
      <c r="AE16" s="2149" t="s">
        <v>4662</v>
      </c>
      <c r="AF16" s="2154">
        <v>1</v>
      </c>
      <c r="AG16" s="2155" t="s">
        <v>4341</v>
      </c>
      <c r="AH16" s="2156" t="s">
        <v>2453</v>
      </c>
      <c r="AI16" s="2187" t="s">
        <v>2973</v>
      </c>
      <c r="AJ16" s="2158" t="s">
        <v>2315</v>
      </c>
      <c r="AK16" s="2159" t="s">
        <v>3066</v>
      </c>
      <c r="AL16" s="2160" t="s">
        <v>3019</v>
      </c>
      <c r="AM16" s="2161">
        <v>23</v>
      </c>
      <c r="AN16" s="2162">
        <v>1</v>
      </c>
      <c r="AO16" s="2163">
        <v>23</v>
      </c>
      <c r="AP16" s="2164">
        <f>AO16+AO17</f>
        <v>85</v>
      </c>
      <c r="AQ16" s="2165">
        <v>10</v>
      </c>
      <c r="AR16" s="2166" t="s">
        <v>4596</v>
      </c>
      <c r="AS16" s="2136" t="s">
        <v>4663</v>
      </c>
      <c r="AT16" s="1315"/>
      <c r="AU16" s="1315"/>
      <c r="AV16" s="1315"/>
      <c r="AW16" s="1315"/>
      <c r="AX16" s="1315"/>
      <c r="AY16" s="1315"/>
      <c r="AZ16" s="1315"/>
      <c r="BA16" s="1315"/>
      <c r="BB16" s="1315"/>
      <c r="BC16" s="1315"/>
      <c r="BD16" s="1315"/>
      <c r="BE16" s="1315"/>
      <c r="BF16" s="1315"/>
      <c r="BG16" s="1315"/>
      <c r="BH16" s="1315"/>
    </row>
    <row r="17" spans="2:60" ht="67.150000000000006" customHeight="1">
      <c r="B17" s="2256">
        <v>238</v>
      </c>
      <c r="C17" s="2269" t="s">
        <v>3571</v>
      </c>
      <c r="D17" s="2258" t="s">
        <v>4657</v>
      </c>
      <c r="E17" s="2270" t="s">
        <v>2969</v>
      </c>
      <c r="F17" s="2271">
        <v>87</v>
      </c>
      <c r="G17" s="2272">
        <v>92</v>
      </c>
      <c r="H17" s="2260">
        <v>85</v>
      </c>
      <c r="I17" s="2239">
        <v>90</v>
      </c>
      <c r="J17" s="1445" t="s">
        <v>4658</v>
      </c>
      <c r="K17" s="1445" t="s">
        <v>2989</v>
      </c>
      <c r="L17" s="1446" t="s">
        <v>2989</v>
      </c>
      <c r="M17" s="1520" t="s">
        <v>2988</v>
      </c>
      <c r="N17" s="1520" t="s">
        <v>3030</v>
      </c>
      <c r="O17" s="1520">
        <v>60</v>
      </c>
      <c r="P17" s="1451" t="s">
        <v>2979</v>
      </c>
      <c r="Q17" s="1449" t="s">
        <v>2979</v>
      </c>
      <c r="R17" s="1450" t="s">
        <v>2979</v>
      </c>
      <c r="S17" s="1540" t="s">
        <v>2964</v>
      </c>
      <c r="T17" s="1451" t="s">
        <v>2988</v>
      </c>
      <c r="U17" s="1450">
        <v>1</v>
      </c>
      <c r="V17" s="1451">
        <v>2</v>
      </c>
      <c r="W17" s="1449">
        <v>90</v>
      </c>
      <c r="X17" s="1450">
        <v>13</v>
      </c>
      <c r="Y17" s="1548" t="s">
        <v>3006</v>
      </c>
      <c r="Z17" s="1451">
        <v>62</v>
      </c>
      <c r="AA17" s="1449" t="s">
        <v>4659</v>
      </c>
      <c r="AB17" s="1450" t="s">
        <v>2988</v>
      </c>
      <c r="AC17" s="1451" t="s">
        <v>4660</v>
      </c>
      <c r="AD17" s="1449" t="s">
        <v>4661</v>
      </c>
      <c r="AE17" s="1450" t="s">
        <v>4662</v>
      </c>
      <c r="AF17" s="1521">
        <v>11</v>
      </c>
      <c r="AG17" s="1522" t="s">
        <v>4341</v>
      </c>
      <c r="AH17" s="1523" t="s">
        <v>3048</v>
      </c>
      <c r="AI17" s="1477" t="s">
        <v>2973</v>
      </c>
      <c r="AJ17" s="1524" t="s">
        <v>2315</v>
      </c>
      <c r="AK17" s="1525" t="s">
        <v>3049</v>
      </c>
      <c r="AL17" s="1462" t="s">
        <v>3019</v>
      </c>
      <c r="AM17" s="1464">
        <v>63</v>
      </c>
      <c r="AN17" s="1526">
        <v>1</v>
      </c>
      <c r="AO17" s="1467">
        <v>62</v>
      </c>
      <c r="AP17" s="2170"/>
      <c r="AQ17" s="2171"/>
      <c r="AR17" s="2172" t="s">
        <v>4596</v>
      </c>
      <c r="AS17" s="1519" t="s">
        <v>4664</v>
      </c>
      <c r="AT17" s="1315"/>
      <c r="AU17" s="1315"/>
      <c r="AV17" s="1315"/>
      <c r="AW17" s="1315"/>
      <c r="AX17" s="1315"/>
      <c r="AY17" s="1315"/>
      <c r="AZ17" s="1315"/>
      <c r="BA17" s="1315"/>
      <c r="BB17" s="1315"/>
      <c r="BC17" s="1315"/>
      <c r="BD17" s="1315"/>
      <c r="BE17" s="1315"/>
      <c r="BF17" s="1315"/>
      <c r="BG17" s="1315"/>
      <c r="BH17" s="1315"/>
    </row>
    <row r="18" spans="2:60" ht="67.150000000000006" customHeight="1">
      <c r="B18" s="2190">
        <v>282</v>
      </c>
      <c r="C18" s="2137" t="s">
        <v>4665</v>
      </c>
      <c r="D18" s="2138" t="s">
        <v>4419</v>
      </c>
      <c r="E18" s="2191" t="s">
        <v>2969</v>
      </c>
      <c r="F18" s="2192">
        <v>277</v>
      </c>
      <c r="G18" s="2193">
        <v>277</v>
      </c>
      <c r="H18" s="2176">
        <v>222</v>
      </c>
      <c r="I18" s="2143">
        <v>222</v>
      </c>
      <c r="J18" s="2144" t="s">
        <v>4666</v>
      </c>
      <c r="K18" s="2144" t="s">
        <v>2989</v>
      </c>
      <c r="L18" s="2145" t="s">
        <v>2989</v>
      </c>
      <c r="M18" s="2146" t="s">
        <v>2988</v>
      </c>
      <c r="N18" s="2146" t="s">
        <v>2990</v>
      </c>
      <c r="O18" s="2146">
        <v>84</v>
      </c>
      <c r="P18" s="2147" t="s">
        <v>2979</v>
      </c>
      <c r="Q18" s="2148" t="s">
        <v>2979</v>
      </c>
      <c r="R18" s="2149" t="s">
        <v>2979</v>
      </c>
      <c r="S18" s="2186" t="s">
        <v>2602</v>
      </c>
      <c r="T18" s="2147">
        <v>1</v>
      </c>
      <c r="U18" s="2149">
        <v>2</v>
      </c>
      <c r="V18" s="2147">
        <v>3</v>
      </c>
      <c r="W18" s="2148">
        <v>85</v>
      </c>
      <c r="X18" s="2149">
        <v>17</v>
      </c>
      <c r="Y18" s="2194" t="s">
        <v>3006</v>
      </c>
      <c r="Z18" s="2147">
        <v>64.5</v>
      </c>
      <c r="AA18" s="2148">
        <v>10.5</v>
      </c>
      <c r="AB18" s="2149" t="s">
        <v>2989</v>
      </c>
      <c r="AC18" s="2151" t="s">
        <v>2984</v>
      </c>
      <c r="AD18" s="2148" t="s">
        <v>2989</v>
      </c>
      <c r="AE18" s="2149" t="s">
        <v>2997</v>
      </c>
      <c r="AF18" s="2154">
        <v>7</v>
      </c>
      <c r="AG18" s="2155" t="s">
        <v>2991</v>
      </c>
      <c r="AH18" s="2156" t="s">
        <v>4667</v>
      </c>
      <c r="AI18" s="2157" t="s">
        <v>3017</v>
      </c>
      <c r="AJ18" s="2158" t="s">
        <v>2364</v>
      </c>
      <c r="AK18" s="2159" t="s">
        <v>2872</v>
      </c>
      <c r="AL18" s="2160" t="s">
        <v>3019</v>
      </c>
      <c r="AM18" s="2161">
        <v>52</v>
      </c>
      <c r="AN18" s="2162">
        <v>1</v>
      </c>
      <c r="AO18" s="2163">
        <v>51</v>
      </c>
      <c r="AP18" s="2164">
        <f>AO18</f>
        <v>51</v>
      </c>
      <c r="AQ18" s="2165">
        <v>10</v>
      </c>
      <c r="AR18" s="2166" t="s">
        <v>4596</v>
      </c>
      <c r="AS18" s="2195" t="s">
        <v>4341</v>
      </c>
      <c r="AT18" s="1315"/>
      <c r="AU18" s="1315"/>
      <c r="AV18" s="1315"/>
      <c r="AW18" s="1315"/>
      <c r="AX18" s="1315"/>
      <c r="AY18" s="1315"/>
      <c r="AZ18" s="1315"/>
      <c r="BA18" s="1315"/>
      <c r="BB18" s="1315"/>
      <c r="BC18" s="1315"/>
      <c r="BD18" s="1315"/>
      <c r="BE18" s="1315"/>
      <c r="BF18" s="1315"/>
      <c r="BG18" s="1315"/>
      <c r="BH18" s="1315"/>
    </row>
    <row r="19" spans="2:60" ht="67.150000000000006" customHeight="1">
      <c r="B19" s="2195">
        <v>2025</v>
      </c>
      <c r="C19" s="2196" t="s">
        <v>4668</v>
      </c>
      <c r="D19" s="2185" t="s">
        <v>4669</v>
      </c>
      <c r="E19" s="2191" t="s">
        <v>4343</v>
      </c>
      <c r="F19" s="2192">
        <v>62</v>
      </c>
      <c r="G19" s="2193">
        <v>223</v>
      </c>
      <c r="H19" s="2176">
        <v>36</v>
      </c>
      <c r="I19" s="2143">
        <v>128</v>
      </c>
      <c r="J19" s="2144" t="s">
        <v>4670</v>
      </c>
      <c r="K19" s="2144" t="s">
        <v>2989</v>
      </c>
      <c r="L19" s="2145" t="s">
        <v>2989</v>
      </c>
      <c r="M19" s="2146" t="s">
        <v>2989</v>
      </c>
      <c r="N19" s="2146" t="s">
        <v>3030</v>
      </c>
      <c r="O19" s="2146">
        <v>200</v>
      </c>
      <c r="P19" s="2147" t="s">
        <v>2979</v>
      </c>
      <c r="Q19" s="2148" t="s">
        <v>2979</v>
      </c>
      <c r="R19" s="2149" t="s">
        <v>2979</v>
      </c>
      <c r="S19" s="2186" t="s">
        <v>2602</v>
      </c>
      <c r="T19" s="2147" t="s">
        <v>2988</v>
      </c>
      <c r="U19" s="2149">
        <v>1</v>
      </c>
      <c r="V19" s="2147">
        <v>1</v>
      </c>
      <c r="W19" s="2148">
        <v>89</v>
      </c>
      <c r="X19" s="2149">
        <v>13</v>
      </c>
      <c r="Y19" s="2151" t="s">
        <v>2992</v>
      </c>
      <c r="Z19" s="2151" t="s">
        <v>4671</v>
      </c>
      <c r="AA19" s="2152" t="s">
        <v>4672</v>
      </c>
      <c r="AB19" s="2153" t="s">
        <v>4673</v>
      </c>
      <c r="AC19" s="2151">
        <v>80</v>
      </c>
      <c r="AD19" s="2148" t="s">
        <v>2969</v>
      </c>
      <c r="AE19" s="2149">
        <v>135</v>
      </c>
      <c r="AF19" s="2197">
        <v>5</v>
      </c>
      <c r="AG19" s="2155" t="s">
        <v>4341</v>
      </c>
      <c r="AH19" s="2198" t="s">
        <v>4674</v>
      </c>
      <c r="AI19" s="2187" t="s">
        <v>3094</v>
      </c>
      <c r="AJ19" s="2158" t="s">
        <v>2396</v>
      </c>
      <c r="AK19" s="2159" t="s">
        <v>2879</v>
      </c>
      <c r="AL19" s="2160" t="s">
        <v>3019</v>
      </c>
      <c r="AM19" s="2161">
        <v>45</v>
      </c>
      <c r="AN19" s="2162">
        <v>1</v>
      </c>
      <c r="AO19" s="2163">
        <v>46</v>
      </c>
      <c r="AP19" s="2164">
        <f>AO19+AO20</f>
        <v>88</v>
      </c>
      <c r="AQ19" s="2165">
        <v>10</v>
      </c>
      <c r="AR19" s="2166" t="s">
        <v>4596</v>
      </c>
      <c r="AS19" s="2195" t="s">
        <v>4341</v>
      </c>
      <c r="AT19" s="1315"/>
      <c r="AU19" s="1315"/>
      <c r="AV19" s="1315"/>
      <c r="AW19" s="1315"/>
      <c r="AX19" s="1315"/>
      <c r="AY19" s="1315"/>
      <c r="AZ19" s="1315"/>
      <c r="BA19" s="1315"/>
      <c r="BB19" s="1315"/>
      <c r="BC19" s="1315"/>
      <c r="BD19" s="1315"/>
      <c r="BE19" s="1315"/>
      <c r="BF19" s="1315"/>
      <c r="BG19" s="1315"/>
      <c r="BH19" s="1315"/>
    </row>
    <row r="20" spans="2:60" ht="67.150000000000006" customHeight="1">
      <c r="B20" s="2273">
        <v>2025</v>
      </c>
      <c r="C20" s="2274" t="s">
        <v>4668</v>
      </c>
      <c r="D20" s="2228" t="s">
        <v>4669</v>
      </c>
      <c r="E20" s="2275" t="s">
        <v>4343</v>
      </c>
      <c r="F20" s="2276">
        <v>62</v>
      </c>
      <c r="G20" s="2277">
        <v>223</v>
      </c>
      <c r="H20" s="2230">
        <v>36</v>
      </c>
      <c r="I20" s="2239">
        <v>128</v>
      </c>
      <c r="J20" s="1445" t="s">
        <v>4670</v>
      </c>
      <c r="K20" s="1445" t="s">
        <v>2989</v>
      </c>
      <c r="L20" s="1446" t="s">
        <v>2989</v>
      </c>
      <c r="M20" s="1520" t="s">
        <v>2989</v>
      </c>
      <c r="N20" s="1520" t="s">
        <v>3030</v>
      </c>
      <c r="O20" s="1520">
        <v>200</v>
      </c>
      <c r="P20" s="1451" t="s">
        <v>2979</v>
      </c>
      <c r="Q20" s="1449" t="s">
        <v>2979</v>
      </c>
      <c r="R20" s="1450" t="s">
        <v>2979</v>
      </c>
      <c r="S20" s="1540" t="s">
        <v>2602</v>
      </c>
      <c r="T20" s="1451" t="s">
        <v>2988</v>
      </c>
      <c r="U20" s="1450">
        <v>1</v>
      </c>
      <c r="V20" s="1451">
        <v>1</v>
      </c>
      <c r="W20" s="1449">
        <v>89</v>
      </c>
      <c r="X20" s="1450">
        <v>13</v>
      </c>
      <c r="Y20" s="1454" t="s">
        <v>2992</v>
      </c>
      <c r="Z20" s="1454" t="s">
        <v>4671</v>
      </c>
      <c r="AA20" s="1453" t="s">
        <v>4672</v>
      </c>
      <c r="AB20" s="1475" t="s">
        <v>4673</v>
      </c>
      <c r="AC20" s="1454">
        <v>80</v>
      </c>
      <c r="AD20" s="1449" t="s">
        <v>2969</v>
      </c>
      <c r="AE20" s="1450">
        <v>135</v>
      </c>
      <c r="AF20" s="2115">
        <v>5</v>
      </c>
      <c r="AG20" s="1522" t="s">
        <v>4341</v>
      </c>
      <c r="AH20" s="2218" t="s">
        <v>4675</v>
      </c>
      <c r="AI20" s="1477" t="s">
        <v>3094</v>
      </c>
      <c r="AJ20" s="1524" t="s">
        <v>2396</v>
      </c>
      <c r="AK20" s="1525" t="s">
        <v>3928</v>
      </c>
      <c r="AL20" s="1462" t="s">
        <v>3019</v>
      </c>
      <c r="AM20" s="1464">
        <v>41</v>
      </c>
      <c r="AN20" s="1526">
        <v>1</v>
      </c>
      <c r="AO20" s="1467">
        <v>42</v>
      </c>
      <c r="AP20" s="2170"/>
      <c r="AQ20" s="2171"/>
      <c r="AR20" s="2172" t="s">
        <v>4596</v>
      </c>
      <c r="AS20" s="1519" t="s">
        <v>4676</v>
      </c>
      <c r="AT20" s="1315"/>
      <c r="AU20" s="1315"/>
      <c r="AV20" s="1315"/>
      <c r="AW20" s="1315"/>
      <c r="AX20" s="1315"/>
      <c r="AY20" s="1315"/>
      <c r="AZ20" s="1315"/>
      <c r="BA20" s="1315"/>
      <c r="BB20" s="1315"/>
      <c r="BC20" s="1315"/>
      <c r="BD20" s="1315"/>
      <c r="BE20" s="1315"/>
      <c r="BF20" s="1315"/>
      <c r="BG20" s="1315"/>
      <c r="BH20" s="1315"/>
    </row>
    <row r="21" spans="2:60" ht="67.150000000000006" customHeight="1" thickBot="1">
      <c r="B21" s="1414">
        <v>2037</v>
      </c>
      <c r="C21" s="2212" t="s">
        <v>4677</v>
      </c>
      <c r="D21" s="1264" t="s">
        <v>4678</v>
      </c>
      <c r="E21" s="1265" t="s">
        <v>2969</v>
      </c>
      <c r="F21" s="2213">
        <v>141</v>
      </c>
      <c r="G21" s="1263">
        <v>283</v>
      </c>
      <c r="H21" s="2214">
        <v>136</v>
      </c>
      <c r="I21" s="1263">
        <v>264</v>
      </c>
      <c r="J21" s="2215" t="s">
        <v>4679</v>
      </c>
      <c r="K21" s="1264" t="s">
        <v>2989</v>
      </c>
      <c r="L21" s="1264" t="s">
        <v>2989</v>
      </c>
      <c r="M21" s="1264" t="s">
        <v>3092</v>
      </c>
      <c r="N21" s="1264" t="s">
        <v>4680</v>
      </c>
      <c r="O21" s="1265">
        <v>172</v>
      </c>
      <c r="P21" s="1262" t="s">
        <v>2979</v>
      </c>
      <c r="Q21" s="1267" t="s">
        <v>2991</v>
      </c>
      <c r="R21" s="1263" t="s">
        <v>2988</v>
      </c>
      <c r="S21" s="1211" t="s">
        <v>4639</v>
      </c>
      <c r="T21" s="1262" t="s">
        <v>2988</v>
      </c>
      <c r="U21" s="1263">
        <v>1</v>
      </c>
      <c r="V21" s="1262">
        <v>3</v>
      </c>
      <c r="W21" s="1267">
        <v>93</v>
      </c>
      <c r="X21" s="1263">
        <v>29</v>
      </c>
      <c r="Y21" s="2214" t="s">
        <v>3006</v>
      </c>
      <c r="Z21" s="2214" t="s">
        <v>4681</v>
      </c>
      <c r="AA21" s="2216" t="s">
        <v>4682</v>
      </c>
      <c r="AB21" s="1263" t="s">
        <v>2989</v>
      </c>
      <c r="AC21" s="1262">
        <v>73</v>
      </c>
      <c r="AD21" s="1267" t="s">
        <v>2969</v>
      </c>
      <c r="AE21" s="1263">
        <v>135</v>
      </c>
      <c r="AF21" s="1303">
        <v>3</v>
      </c>
      <c r="AG21" s="1304" t="s">
        <v>4341</v>
      </c>
      <c r="AH21" s="1355" t="s">
        <v>2178</v>
      </c>
      <c r="AI21" s="1190" t="s">
        <v>2973</v>
      </c>
      <c r="AJ21" s="1305" t="s">
        <v>3082</v>
      </c>
      <c r="AK21" s="1306" t="s">
        <v>3090</v>
      </c>
      <c r="AL21" s="1307" t="s">
        <v>3019</v>
      </c>
      <c r="AM21" s="1201">
        <v>55</v>
      </c>
      <c r="AN21" s="1308">
        <v>1</v>
      </c>
      <c r="AO21" s="2217">
        <v>54</v>
      </c>
      <c r="AP21" s="2133">
        <f>AO21</f>
        <v>54</v>
      </c>
      <c r="AQ21" s="2134">
        <v>10</v>
      </c>
      <c r="AR21" s="2135" t="s">
        <v>4596</v>
      </c>
      <c r="AS21" s="1414" t="s">
        <v>4341</v>
      </c>
      <c r="AT21" s="1315"/>
      <c r="AU21" s="1315"/>
      <c r="AV21" s="1315"/>
      <c r="AW21" s="1315"/>
      <c r="AX21" s="1315"/>
      <c r="AY21" s="1315"/>
      <c r="AZ21" s="1315"/>
      <c r="BA21" s="1315"/>
      <c r="BB21" s="1315"/>
      <c r="BC21" s="1315"/>
      <c r="BD21" s="1315"/>
      <c r="BE21" s="1315"/>
      <c r="BF21" s="1315"/>
      <c r="BG21" s="1315"/>
      <c r="BH21" s="1315"/>
    </row>
    <row r="22" spans="2:60" ht="19.899999999999999" customHeight="1">
      <c r="B22" s="1332"/>
      <c r="C22" s="1333"/>
      <c r="D22" s="1334"/>
      <c r="E22" s="1333"/>
      <c r="F22" s="1333"/>
      <c r="G22" s="1333"/>
      <c r="H22" s="1332"/>
      <c r="I22" s="1332"/>
      <c r="J22" s="1295"/>
      <c r="K22" s="1295"/>
      <c r="L22" s="1295"/>
      <c r="M22" s="1295"/>
      <c r="N22" s="1295"/>
      <c r="O22" s="1295"/>
      <c r="P22" s="1295"/>
      <c r="Q22" s="1295"/>
      <c r="R22" s="1295"/>
      <c r="S22" s="1295"/>
      <c r="T22" s="1295"/>
      <c r="U22" s="1295"/>
      <c r="V22" s="1295"/>
      <c r="W22" s="1295"/>
      <c r="X22" s="1295"/>
      <c r="Y22" s="1295"/>
      <c r="Z22" s="1412"/>
      <c r="AA22" s="1412"/>
      <c r="AB22" s="1412"/>
      <c r="AC22" s="1412"/>
      <c r="AD22" s="1412"/>
      <c r="AF22" s="1315"/>
      <c r="AG22" s="1315"/>
      <c r="AH22" s="1281"/>
      <c r="AI22" s="1315"/>
      <c r="AJ22" s="1281"/>
      <c r="AK22" s="1315"/>
      <c r="AL22" s="1331" t="s">
        <v>2432</v>
      </c>
      <c r="AM22" s="1332">
        <f>SUM(AM3:AM21)</f>
        <v>822</v>
      </c>
      <c r="AN22" s="1332">
        <f>SUM(AN3:AN21)</f>
        <v>19</v>
      </c>
      <c r="AO22" s="1332">
        <f>SUM(AO3:AO21)</f>
        <v>812</v>
      </c>
      <c r="AP22" s="1332">
        <v>812</v>
      </c>
      <c r="AQ22" s="1332"/>
      <c r="AR22" s="1334"/>
      <c r="AS22" s="1332"/>
      <c r="AT22" s="1315"/>
      <c r="AU22" s="1315"/>
      <c r="AV22" s="1315"/>
      <c r="AW22" s="1315"/>
      <c r="AX22" s="1315"/>
      <c r="AY22" s="1315"/>
      <c r="AZ22" s="1315"/>
      <c r="BA22" s="1315"/>
      <c r="BB22" s="1315"/>
      <c r="BC22" s="1315"/>
      <c r="BD22" s="1315"/>
      <c r="BE22" s="1315"/>
      <c r="BF22" s="1315"/>
      <c r="BG22" s="1315"/>
      <c r="BH22" s="1315"/>
    </row>
    <row r="23" spans="2:60" ht="21.75" customHeight="1">
      <c r="B23" s="1295"/>
      <c r="C23" s="1293"/>
      <c r="E23" s="1293"/>
      <c r="F23" s="1293"/>
      <c r="G23" s="1293"/>
      <c r="H23" s="1293"/>
      <c r="I23" s="1293"/>
      <c r="J23" s="1293"/>
      <c r="K23" s="1293"/>
      <c r="L23" s="1293"/>
      <c r="M23" s="1293"/>
      <c r="N23" s="1293"/>
      <c r="O23" s="1293"/>
      <c r="P23" s="1293"/>
      <c r="Q23" s="1293"/>
      <c r="R23" s="1293"/>
      <c r="S23" s="1293"/>
      <c r="T23" s="1293"/>
      <c r="U23" s="1293"/>
      <c r="V23" s="1293"/>
      <c r="W23" s="1293"/>
      <c r="X23" s="1293"/>
      <c r="Y23" s="1293"/>
      <c r="Z23" s="1295"/>
      <c r="AA23" s="2199"/>
      <c r="AB23" s="1287"/>
      <c r="AC23" s="2200"/>
      <c r="AD23" s="2200"/>
      <c r="AE23" s="1337"/>
      <c r="AF23" s="1335" t="s">
        <v>4683</v>
      </c>
      <c r="AI23" s="1336"/>
      <c r="AJ23" s="1279"/>
      <c r="AM23" s="1295"/>
      <c r="AN23" s="1295"/>
      <c r="AO23" s="1295"/>
      <c r="AP23" s="1295"/>
      <c r="AQ23" s="1295"/>
      <c r="AS23" s="1295"/>
      <c r="AT23" s="1315"/>
      <c r="AU23" s="1315"/>
      <c r="AV23" s="1315"/>
      <c r="AW23" s="1315"/>
      <c r="AX23" s="1315"/>
      <c r="AY23" s="1315"/>
      <c r="AZ23" s="1315"/>
      <c r="BA23" s="1315"/>
      <c r="BB23" s="1315"/>
      <c r="BC23" s="1315"/>
      <c r="BD23" s="1315"/>
      <c r="BE23" s="1315"/>
      <c r="BF23" s="1315"/>
      <c r="BG23" s="1315"/>
      <c r="BH23" s="1315"/>
    </row>
    <row r="24" spans="2:60" ht="21.75" customHeight="1">
      <c r="B24" s="1295"/>
      <c r="C24" s="1295"/>
      <c r="D24" s="1295"/>
      <c r="E24" s="1289"/>
      <c r="F24" s="1289"/>
      <c r="G24" s="1289"/>
      <c r="H24" s="1289"/>
      <c r="I24" s="1289"/>
      <c r="J24" s="1289"/>
      <c r="K24" s="1289"/>
      <c r="L24" s="1289"/>
      <c r="M24" s="1293"/>
      <c r="N24" s="1293"/>
      <c r="O24" s="1293"/>
      <c r="P24" s="1293"/>
      <c r="Q24" s="1293"/>
      <c r="R24" s="1293"/>
      <c r="S24" s="1293"/>
      <c r="T24" s="1293"/>
      <c r="U24" s="1293"/>
      <c r="V24" s="1293"/>
      <c r="W24" s="1293"/>
      <c r="X24" s="1295"/>
      <c r="Y24" s="1295"/>
      <c r="Z24" s="1295"/>
      <c r="AF24" s="1291" t="s">
        <v>4684</v>
      </c>
      <c r="AJ24" s="1279"/>
      <c r="AL24" s="1287"/>
      <c r="AM24" s="1294"/>
      <c r="AN24" s="1295"/>
      <c r="AO24" s="1295"/>
      <c r="AP24" s="1295"/>
      <c r="AQ24" s="1295"/>
      <c r="AR24" s="1295"/>
      <c r="AS24" s="1295"/>
      <c r="AT24" s="1315"/>
      <c r="AU24" s="1315"/>
      <c r="AV24" s="1315"/>
      <c r="AW24" s="1315"/>
      <c r="AX24" s="1315"/>
      <c r="AY24" s="1315"/>
      <c r="AZ24" s="1315"/>
      <c r="BA24" s="1315"/>
      <c r="BB24" s="1315"/>
      <c r="BC24" s="1315"/>
      <c r="BD24" s="1315"/>
      <c r="BE24" s="1315"/>
      <c r="BF24" s="1315"/>
      <c r="BG24" s="1315"/>
      <c r="BH24" s="1315"/>
    </row>
    <row r="25" spans="2:60" ht="19.5">
      <c r="B25" s="1295"/>
      <c r="C25" s="1295"/>
      <c r="D25" s="1289"/>
      <c r="E25" s="1289"/>
      <c r="F25" s="1289"/>
      <c r="G25" s="1289"/>
      <c r="H25" s="1293"/>
      <c r="I25" s="1289"/>
      <c r="J25" s="1289"/>
      <c r="K25" s="1289"/>
      <c r="L25" s="1289"/>
      <c r="M25" s="1289"/>
      <c r="N25" s="1289"/>
      <c r="X25" s="1295"/>
      <c r="Y25" s="1295"/>
      <c r="Z25" s="1295"/>
      <c r="AF25" s="1292" t="s">
        <v>4685</v>
      </c>
      <c r="AG25" s="1287"/>
      <c r="AH25" s="1287"/>
      <c r="AI25" s="1287"/>
      <c r="AJ25" s="1293"/>
      <c r="AK25" s="1293"/>
      <c r="AL25" s="1287"/>
      <c r="AM25" s="1294"/>
      <c r="AN25" s="1295"/>
      <c r="AO25" s="1295"/>
      <c r="AP25" s="1295"/>
      <c r="AQ25" s="1295"/>
      <c r="AR25" s="1295"/>
      <c r="AS25" s="1295"/>
      <c r="AT25" s="1315"/>
      <c r="AU25" s="1315"/>
      <c r="AV25" s="1315"/>
      <c r="AW25" s="1315"/>
      <c r="AX25" s="1315"/>
      <c r="AY25" s="1315"/>
      <c r="AZ25" s="1315"/>
      <c r="BA25" s="1315"/>
      <c r="BB25" s="1315"/>
      <c r="BC25" s="1315"/>
      <c r="BD25" s="1315"/>
      <c r="BE25" s="1315"/>
      <c r="BF25" s="1315"/>
      <c r="BG25" s="1315"/>
      <c r="BH25" s="1315"/>
    </row>
    <row r="26" spans="2:60">
      <c r="B26" s="1338"/>
      <c r="C26" s="1338"/>
      <c r="D26" s="1289"/>
      <c r="E26" s="1295"/>
      <c r="F26" s="1295"/>
      <c r="G26" s="1295"/>
      <c r="H26" s="1295"/>
      <c r="I26" s="1295"/>
      <c r="J26" s="1295"/>
      <c r="X26" s="1295"/>
      <c r="Y26" s="1295"/>
      <c r="Z26" s="1295"/>
      <c r="AG26" s="1285"/>
      <c r="AH26" s="1285"/>
      <c r="AI26" s="1285"/>
      <c r="AJ26" s="1285"/>
      <c r="AK26" s="1285"/>
      <c r="AL26" s="1338"/>
      <c r="AM26" s="1338"/>
      <c r="AN26" s="1338"/>
      <c r="AO26" s="1338"/>
      <c r="AP26" s="1338"/>
      <c r="AQ26" s="1338"/>
      <c r="AR26" s="1289"/>
      <c r="AS26" s="1338"/>
    </row>
    <row r="27" spans="2:60">
      <c r="B27" s="1338"/>
      <c r="C27" s="1338"/>
      <c r="D27" s="1289"/>
      <c r="E27" s="1295"/>
      <c r="F27" s="1295"/>
      <c r="G27" s="1295"/>
      <c r="H27" s="1295"/>
      <c r="I27" s="1295"/>
      <c r="J27" s="1295"/>
      <c r="X27" s="1295"/>
      <c r="Y27" s="1295"/>
      <c r="Z27" s="1295"/>
      <c r="AG27" s="1285"/>
      <c r="AH27" s="1285"/>
      <c r="AI27" s="1285"/>
      <c r="AJ27" s="1285"/>
      <c r="AK27" s="1285"/>
      <c r="AL27" s="1338"/>
      <c r="AM27" s="1338"/>
      <c r="AN27" s="1338"/>
      <c r="AO27" s="1338"/>
      <c r="AP27" s="1338"/>
      <c r="AQ27" s="1338"/>
      <c r="AR27" s="1289"/>
      <c r="AS27" s="1338"/>
    </row>
    <row r="28" spans="2:60">
      <c r="D28" s="1289"/>
      <c r="E28" s="1295"/>
      <c r="F28" s="1295"/>
      <c r="G28" s="1295"/>
      <c r="H28" s="1295"/>
      <c r="I28" s="1295"/>
      <c r="J28" s="1295"/>
      <c r="X28" s="1295"/>
      <c r="Y28" s="1295"/>
      <c r="Z28" s="1295"/>
      <c r="AR28" s="1289"/>
    </row>
    <row r="29" spans="2:60">
      <c r="X29" s="1295"/>
      <c r="Y29" s="1295"/>
      <c r="Z29" s="1295"/>
    </row>
    <row r="30" spans="2:60">
      <c r="X30" s="1295"/>
      <c r="Y30" s="1295"/>
      <c r="Z30" s="1295"/>
    </row>
    <row r="31" spans="2:60" s="1295" customFormat="1">
      <c r="B31" s="1287"/>
      <c r="C31" s="1287"/>
      <c r="D31" s="1293"/>
      <c r="E31" s="1287"/>
      <c r="F31" s="1287"/>
      <c r="G31" s="1287"/>
      <c r="H31" s="1287"/>
      <c r="I31" s="1287"/>
      <c r="J31" s="1287"/>
      <c r="K31" s="1287"/>
      <c r="L31" s="1287"/>
      <c r="M31" s="1287"/>
      <c r="N31" s="1287"/>
      <c r="O31" s="1287"/>
      <c r="P31" s="1287"/>
      <c r="Q31" s="1287"/>
      <c r="R31" s="1287"/>
      <c r="S31" s="1287"/>
      <c r="T31" s="1287"/>
      <c r="U31" s="1287"/>
      <c r="V31" s="1287"/>
      <c r="W31" s="1287"/>
      <c r="AF31" s="1278"/>
      <c r="AG31" s="1278"/>
      <c r="AH31" s="1278"/>
      <c r="AI31" s="1278"/>
      <c r="AJ31" s="1278"/>
      <c r="AK31" s="1279"/>
      <c r="AM31" s="1287"/>
      <c r="AN31" s="1287"/>
      <c r="AO31" s="1287"/>
      <c r="AP31" s="1287"/>
      <c r="AQ31" s="1287"/>
      <c r="AR31" s="1293"/>
      <c r="AS31" s="1287"/>
    </row>
    <row r="32" spans="2:60" s="1295" customFormat="1">
      <c r="B32" s="1287"/>
      <c r="C32" s="1287"/>
      <c r="D32" s="1293"/>
      <c r="E32" s="1287"/>
      <c r="F32" s="1287"/>
      <c r="G32" s="1287"/>
      <c r="H32" s="1287"/>
      <c r="I32" s="1287"/>
      <c r="J32" s="1287"/>
      <c r="K32" s="1287"/>
      <c r="L32" s="1287"/>
      <c r="M32" s="1287"/>
      <c r="N32" s="1287"/>
      <c r="O32" s="1287"/>
      <c r="P32" s="1287"/>
      <c r="Q32" s="1287"/>
      <c r="R32" s="1287"/>
      <c r="S32" s="1287"/>
      <c r="T32" s="1287"/>
      <c r="U32" s="1287"/>
      <c r="V32" s="1287"/>
      <c r="W32" s="1287"/>
      <c r="AF32" s="1278"/>
      <c r="AG32" s="1278"/>
      <c r="AH32" s="1278"/>
      <c r="AI32" s="1278"/>
      <c r="AJ32" s="1278"/>
      <c r="AK32" s="1279"/>
      <c r="AM32" s="1287"/>
      <c r="AN32" s="1287"/>
      <c r="AO32" s="1287"/>
      <c r="AP32" s="1287"/>
      <c r="AQ32" s="1287"/>
      <c r="AR32" s="1293"/>
      <c r="AS32" s="1287"/>
    </row>
    <row r="33" spans="2:45" s="1295" customFormat="1">
      <c r="B33" s="1287"/>
      <c r="C33" s="1287"/>
      <c r="D33" s="1293"/>
      <c r="E33" s="1287"/>
      <c r="F33" s="1287"/>
      <c r="G33" s="1287"/>
      <c r="H33" s="1287"/>
      <c r="I33" s="1287"/>
      <c r="J33" s="1287"/>
      <c r="K33" s="1287"/>
      <c r="L33" s="1287"/>
      <c r="M33" s="1287"/>
      <c r="N33" s="1287"/>
      <c r="O33" s="1287"/>
      <c r="P33" s="1287"/>
      <c r="Q33" s="1287"/>
      <c r="R33" s="1287"/>
      <c r="S33" s="1287"/>
      <c r="T33" s="1287"/>
      <c r="U33" s="1287"/>
      <c r="V33" s="1287"/>
      <c r="W33" s="1287"/>
      <c r="AF33" s="1278"/>
      <c r="AG33" s="1278"/>
      <c r="AH33" s="1278"/>
      <c r="AI33" s="1278"/>
      <c r="AJ33" s="1278"/>
      <c r="AK33" s="1279"/>
      <c r="AM33" s="1287"/>
      <c r="AN33" s="1287"/>
      <c r="AO33" s="1287"/>
      <c r="AP33" s="1287"/>
      <c r="AQ33" s="1287"/>
      <c r="AR33" s="1293"/>
      <c r="AS33" s="1287"/>
    </row>
    <row r="34" spans="2:45" s="1295" customFormat="1">
      <c r="B34" s="1287"/>
      <c r="C34" s="1287"/>
      <c r="D34" s="1293"/>
      <c r="E34" s="1287"/>
      <c r="F34" s="1287"/>
      <c r="G34" s="1287"/>
      <c r="H34" s="1287"/>
      <c r="I34" s="1287"/>
      <c r="J34" s="1287"/>
      <c r="K34" s="1287"/>
      <c r="L34" s="1287"/>
      <c r="M34" s="1287"/>
      <c r="N34" s="1287"/>
      <c r="O34" s="1287"/>
      <c r="P34" s="1287"/>
      <c r="Q34" s="1287"/>
      <c r="R34" s="1287"/>
      <c r="S34" s="1287"/>
      <c r="T34" s="1287"/>
      <c r="U34" s="1287"/>
      <c r="V34" s="1287"/>
      <c r="W34" s="1287"/>
      <c r="AF34" s="1278"/>
      <c r="AG34" s="1278"/>
      <c r="AH34" s="1278"/>
      <c r="AI34" s="1278"/>
      <c r="AJ34" s="1278"/>
      <c r="AK34" s="1279"/>
      <c r="AM34" s="1287"/>
      <c r="AN34" s="1287"/>
      <c r="AO34" s="1287"/>
      <c r="AP34" s="1287"/>
      <c r="AQ34" s="1287"/>
      <c r="AR34" s="1293"/>
      <c r="AS34" s="1287"/>
    </row>
    <row r="35" spans="2:45" s="1295" customFormat="1">
      <c r="B35" s="1287"/>
      <c r="C35" s="1287"/>
      <c r="D35" s="1293"/>
      <c r="E35" s="1287"/>
      <c r="F35" s="1287"/>
      <c r="G35" s="1287"/>
      <c r="H35" s="1287"/>
      <c r="I35" s="1287"/>
      <c r="J35" s="1287"/>
      <c r="K35" s="1287"/>
      <c r="L35" s="1287"/>
      <c r="M35" s="1287"/>
      <c r="N35" s="1287"/>
      <c r="O35" s="1287"/>
      <c r="P35" s="1287"/>
      <c r="Q35" s="1287"/>
      <c r="R35" s="1287"/>
      <c r="S35" s="1287"/>
      <c r="T35" s="1287"/>
      <c r="U35" s="1287"/>
      <c r="V35" s="1287"/>
      <c r="W35" s="1287"/>
      <c r="AF35" s="1278"/>
      <c r="AG35" s="1278"/>
      <c r="AH35" s="1278"/>
      <c r="AI35" s="1278"/>
      <c r="AJ35" s="1278"/>
      <c r="AK35" s="1279"/>
      <c r="AM35" s="1287"/>
      <c r="AN35" s="1287"/>
      <c r="AO35" s="1287"/>
      <c r="AP35" s="1287"/>
      <c r="AQ35" s="1287"/>
      <c r="AR35" s="1293"/>
      <c r="AS35" s="1287"/>
    </row>
    <row r="36" spans="2:45" s="1295" customFormat="1">
      <c r="B36" s="1287"/>
      <c r="C36" s="1287"/>
      <c r="D36" s="1293"/>
      <c r="E36" s="1287"/>
      <c r="F36" s="1287"/>
      <c r="G36" s="1287"/>
      <c r="H36" s="1287"/>
      <c r="I36" s="1287"/>
      <c r="J36" s="1287"/>
      <c r="K36" s="1287"/>
      <c r="L36" s="1287"/>
      <c r="M36" s="1287"/>
      <c r="N36" s="1287"/>
      <c r="O36" s="1287"/>
      <c r="P36" s="1287"/>
      <c r="Q36" s="1287"/>
      <c r="R36" s="1287"/>
      <c r="S36" s="1287"/>
      <c r="T36" s="1287"/>
      <c r="U36" s="1287"/>
      <c r="V36" s="1287"/>
      <c r="W36" s="1287"/>
      <c r="AF36" s="1278"/>
      <c r="AG36" s="1278"/>
      <c r="AH36" s="1278"/>
      <c r="AI36" s="1278"/>
      <c r="AJ36" s="1278"/>
      <c r="AK36" s="1279"/>
      <c r="AM36" s="1287"/>
      <c r="AN36" s="1287"/>
      <c r="AO36" s="1287"/>
      <c r="AP36" s="1287"/>
      <c r="AQ36" s="1287"/>
      <c r="AR36" s="1293"/>
      <c r="AS36" s="1287"/>
    </row>
    <row r="37" spans="2:45" s="1295" customFormat="1">
      <c r="B37" s="1287"/>
      <c r="C37" s="1287"/>
      <c r="D37" s="1293"/>
      <c r="E37" s="1287"/>
      <c r="F37" s="1287"/>
      <c r="G37" s="1287"/>
      <c r="H37" s="1287"/>
      <c r="I37" s="1287"/>
      <c r="J37" s="1287"/>
      <c r="K37" s="1287"/>
      <c r="L37" s="1287"/>
      <c r="M37" s="1287"/>
      <c r="N37" s="1287"/>
      <c r="O37" s="1287"/>
      <c r="P37" s="1287"/>
      <c r="Q37" s="1287"/>
      <c r="R37" s="1287"/>
      <c r="S37" s="1287"/>
      <c r="T37" s="1287"/>
      <c r="U37" s="1287"/>
      <c r="V37" s="1287"/>
      <c r="W37" s="1287"/>
      <c r="AF37" s="1278"/>
      <c r="AG37" s="1278"/>
      <c r="AH37" s="1278"/>
      <c r="AI37" s="1278"/>
      <c r="AJ37" s="1278"/>
      <c r="AK37" s="1279"/>
      <c r="AM37" s="1287"/>
      <c r="AN37" s="1287"/>
      <c r="AO37" s="1287"/>
      <c r="AP37" s="1287"/>
      <c r="AQ37" s="1287"/>
      <c r="AR37" s="1293"/>
      <c r="AS37" s="1287"/>
    </row>
  </sheetData>
  <autoFilter ref="B2:BH2" xr:uid="{B6E99129-DFF3-40FD-97C6-0693B1EF534D}">
    <sortState xmlns:xlrd2="http://schemas.microsoft.com/office/spreadsheetml/2017/richdata2" ref="B3:BH25">
      <sortCondition ref="B2"/>
    </sortState>
  </autoFilter>
  <phoneticPr fontId="2"/>
  <pageMargins left="0" right="0" top="0" bottom="0" header="0" footer="0"/>
  <pageSetup paperSize="8" scale="58" orientation="landscape" r:id="rId1"/>
  <headerFooter>
    <oddFooter>&amp;C&amp;"Meiryo UI,標準"&amp;12&amp;P / &amp;N ページ</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8E3F-7BD5-491A-A572-3B75727EB897}">
  <sheetPr codeName="Sheet246">
    <tabColor rgb="FF92D050"/>
    <pageSetUpPr fitToPage="1"/>
  </sheetPr>
  <dimension ref="B1:BH21"/>
  <sheetViews>
    <sheetView workbookViewId="0"/>
  </sheetViews>
  <sheetFormatPr defaultColWidth="9.54296875" defaultRowHeight="13.5"/>
  <cols>
    <col min="1" max="1" width="6.54296875" style="1217" customWidth="1"/>
    <col min="2" max="2" width="9.453125" style="1287" customWidth="1"/>
    <col min="3" max="3" width="33.453125" style="1287" customWidth="1"/>
    <col min="4" max="4" width="10.1796875" style="1293" hidden="1" customWidth="1"/>
    <col min="5" max="5" width="5.453125" style="1287" customWidth="1"/>
    <col min="6" max="9" width="12.54296875" style="1287" customWidth="1"/>
    <col min="10" max="10" width="15.26953125" style="1287" hidden="1" customWidth="1"/>
    <col min="11" max="13" width="9" style="1287" hidden="1" customWidth="1"/>
    <col min="14" max="14" width="10.1796875" style="1287" hidden="1" customWidth="1"/>
    <col min="15" max="15" width="10.7265625" style="1287" hidden="1" customWidth="1"/>
    <col min="16" max="18" width="3.81640625" style="1287" hidden="1" customWidth="1"/>
    <col min="19" max="19" width="5.453125" style="1287" hidden="1" customWidth="1"/>
    <col min="20" max="24" width="7.7265625" style="1287" hidden="1" customWidth="1"/>
    <col min="25" max="26" width="12.54296875" style="1287" hidden="1" customWidth="1"/>
    <col min="27" max="31" width="12.54296875" style="1295" hidden="1" customWidth="1"/>
    <col min="32" max="32" width="4.453125" style="1278" hidden="1" customWidth="1"/>
    <col min="33" max="33" width="3" style="1278" hidden="1" customWidth="1"/>
    <col min="34" max="34" width="25.1796875" style="1278" customWidth="1"/>
    <col min="35" max="35" width="6.54296875" style="1278" customWidth="1"/>
    <col min="36" max="36" width="11.1796875" style="1278" customWidth="1"/>
    <col min="37" max="37" width="20" style="1279" customWidth="1"/>
    <col min="38" max="38" width="15" style="1295" customWidth="1"/>
    <col min="39" max="43" width="7.7265625" style="1287" customWidth="1"/>
    <col min="44" max="44" width="50" style="1293" customWidth="1"/>
    <col min="45" max="45" width="12.453125" style="1287" customWidth="1"/>
    <col min="46" max="16384" width="9.54296875" style="1217"/>
  </cols>
  <sheetData>
    <row r="1" spans="2:60" ht="36.4" customHeight="1" thickBot="1">
      <c r="B1" s="1174" t="s">
        <v>4560</v>
      </c>
      <c r="D1" s="1297"/>
      <c r="Y1" s="1297"/>
      <c r="AE1" s="1179"/>
      <c r="AF1" s="1174"/>
      <c r="AP1" s="1928" t="s">
        <v>2547</v>
      </c>
      <c r="AQ1" s="1928" t="s">
        <v>2547</v>
      </c>
      <c r="AR1" s="1179"/>
    </row>
    <row r="2" spans="2:60" s="1185" customFormat="1" ht="82" customHeight="1" thickBot="1">
      <c r="B2" s="1367" t="s">
        <v>4561</v>
      </c>
      <c r="C2" s="2117" t="s">
        <v>4562</v>
      </c>
      <c r="D2" s="2118" t="s">
        <v>2893</v>
      </c>
      <c r="E2" s="2119" t="s">
        <v>4320</v>
      </c>
      <c r="F2" s="1299" t="s">
        <v>4321</v>
      </c>
      <c r="G2" s="1300" t="s">
        <v>4322</v>
      </c>
      <c r="H2" s="1186" t="s">
        <v>4563</v>
      </c>
      <c r="I2" s="1301" t="s">
        <v>4564</v>
      </c>
      <c r="J2" s="2119" t="s">
        <v>4565</v>
      </c>
      <c r="K2" s="2119" t="s">
        <v>2895</v>
      </c>
      <c r="L2" s="2119" t="s">
        <v>2896</v>
      </c>
      <c r="M2" s="2119" t="s">
        <v>4566</v>
      </c>
      <c r="N2" s="2119" t="s">
        <v>2898</v>
      </c>
      <c r="O2" s="2119" t="s">
        <v>4567</v>
      </c>
      <c r="P2" s="2120" t="s">
        <v>2900</v>
      </c>
      <c r="Q2" s="2121" t="s">
        <v>2901</v>
      </c>
      <c r="R2" s="2122" t="s">
        <v>2902</v>
      </c>
      <c r="S2" s="2118" t="s">
        <v>2903</v>
      </c>
      <c r="T2" s="1186" t="s">
        <v>2912</v>
      </c>
      <c r="U2" s="1301" t="s">
        <v>2913</v>
      </c>
      <c r="V2" s="1186" t="s">
        <v>2914</v>
      </c>
      <c r="W2" s="1302" t="s">
        <v>4568</v>
      </c>
      <c r="X2" s="1301" t="s">
        <v>2915</v>
      </c>
      <c r="Y2" s="1186" t="s">
        <v>2916</v>
      </c>
      <c r="Z2" s="1186" t="s">
        <v>2917</v>
      </c>
      <c r="AA2" s="1302" t="s">
        <v>2918</v>
      </c>
      <c r="AB2" s="1301" t="s">
        <v>2919</v>
      </c>
      <c r="AC2" s="1186" t="s">
        <v>4569</v>
      </c>
      <c r="AD2" s="1302" t="s">
        <v>4570</v>
      </c>
      <c r="AE2" s="1301" t="s">
        <v>4571</v>
      </c>
      <c r="AF2" s="2123" t="s">
        <v>4572</v>
      </c>
      <c r="AG2" s="2124" t="s">
        <v>4315</v>
      </c>
      <c r="AH2" s="2125" t="s">
        <v>4327</v>
      </c>
      <c r="AI2" s="2123" t="s">
        <v>4573</v>
      </c>
      <c r="AJ2" s="2126" t="s">
        <v>4574</v>
      </c>
      <c r="AK2" s="2127" t="s">
        <v>2892</v>
      </c>
      <c r="AL2" s="2128" t="s">
        <v>4575</v>
      </c>
      <c r="AM2" s="1186" t="s">
        <v>4576</v>
      </c>
      <c r="AN2" s="2129" t="s">
        <v>3149</v>
      </c>
      <c r="AO2" s="1298" t="s">
        <v>2432</v>
      </c>
      <c r="AP2" s="2130" t="s">
        <v>4577</v>
      </c>
      <c r="AQ2" s="2131" t="s">
        <v>2551</v>
      </c>
      <c r="AR2" s="2132" t="s">
        <v>4578</v>
      </c>
      <c r="AS2" s="2119" t="s">
        <v>4579</v>
      </c>
    </row>
    <row r="3" spans="2:60" ht="67.150000000000006" customHeight="1" thickTop="1">
      <c r="B3" s="2136">
        <v>93</v>
      </c>
      <c r="C3" s="2173" t="s">
        <v>4611</v>
      </c>
      <c r="D3" s="2174" t="s">
        <v>4612</v>
      </c>
      <c r="E3" s="2174" t="s">
        <v>4343</v>
      </c>
      <c r="F3" s="2140" t="s">
        <v>4613</v>
      </c>
      <c r="G3" s="2141">
        <v>681</v>
      </c>
      <c r="H3" s="2175" t="s">
        <v>4614</v>
      </c>
      <c r="I3" s="2143">
        <v>580</v>
      </c>
      <c r="J3" s="2144" t="s">
        <v>4615</v>
      </c>
      <c r="K3" s="2144" t="s">
        <v>2988</v>
      </c>
      <c r="L3" s="2145" t="s">
        <v>2989</v>
      </c>
      <c r="M3" s="2144" t="s">
        <v>2988</v>
      </c>
      <c r="N3" s="2144" t="s">
        <v>3030</v>
      </c>
      <c r="O3" s="2174">
        <v>120</v>
      </c>
      <c r="P3" s="2176" t="s">
        <v>2963</v>
      </c>
      <c r="Q3" s="2177" t="s">
        <v>2979</v>
      </c>
      <c r="R3" s="2143" t="s">
        <v>2963</v>
      </c>
      <c r="S3" s="2178" t="s">
        <v>2964</v>
      </c>
      <c r="T3" s="2179" t="s">
        <v>2961</v>
      </c>
      <c r="U3" s="2141">
        <v>3</v>
      </c>
      <c r="V3" s="2179">
        <v>3</v>
      </c>
      <c r="W3" s="2180">
        <v>80</v>
      </c>
      <c r="X3" s="2141">
        <v>11</v>
      </c>
      <c r="Y3" s="2179" t="s">
        <v>3032</v>
      </c>
      <c r="Z3" s="2179" t="s">
        <v>4616</v>
      </c>
      <c r="AA3" s="2180" t="s">
        <v>4617</v>
      </c>
      <c r="AB3" s="2141" t="s">
        <v>4618</v>
      </c>
      <c r="AC3" s="2179" t="s">
        <v>4619</v>
      </c>
      <c r="AD3" s="2180" t="s">
        <v>2969</v>
      </c>
      <c r="AE3" s="2141" t="s">
        <v>4620</v>
      </c>
      <c r="AF3" s="2154">
        <v>2</v>
      </c>
      <c r="AG3" s="2155" t="s">
        <v>4341</v>
      </c>
      <c r="AH3" s="2116" t="s">
        <v>4686</v>
      </c>
      <c r="AI3" s="1459"/>
      <c r="AJ3" s="1524"/>
      <c r="AK3" s="1525" t="s">
        <v>4687</v>
      </c>
      <c r="AL3" s="1462"/>
      <c r="AM3" s="1464">
        <v>89</v>
      </c>
      <c r="AN3" s="1526">
        <v>0</v>
      </c>
      <c r="AO3" s="1467">
        <v>89</v>
      </c>
      <c r="AP3" s="2182">
        <v>89</v>
      </c>
      <c r="AQ3" s="2183">
        <v>15</v>
      </c>
      <c r="AR3" s="2166"/>
      <c r="AS3" s="2136"/>
      <c r="AT3" s="1315"/>
      <c r="AU3" s="1315"/>
      <c r="AV3" s="1315"/>
      <c r="AW3" s="1315"/>
      <c r="AX3" s="1315"/>
      <c r="AY3" s="1315"/>
      <c r="AZ3" s="1315"/>
      <c r="BA3" s="1315"/>
      <c r="BB3" s="1315"/>
      <c r="BC3" s="1315"/>
      <c r="BD3" s="1315"/>
      <c r="BE3" s="1315"/>
      <c r="BF3" s="1315"/>
      <c r="BG3" s="1315"/>
      <c r="BH3" s="1315"/>
    </row>
    <row r="4" spans="2:60" ht="67.150000000000006" customHeight="1">
      <c r="B4" s="2190">
        <v>282</v>
      </c>
      <c r="C4" s="2137" t="s">
        <v>4665</v>
      </c>
      <c r="D4" s="2138" t="s">
        <v>4419</v>
      </c>
      <c r="E4" s="2191" t="s">
        <v>2969</v>
      </c>
      <c r="F4" s="2192">
        <v>277</v>
      </c>
      <c r="G4" s="2193">
        <v>277</v>
      </c>
      <c r="H4" s="2176">
        <v>222</v>
      </c>
      <c r="I4" s="2143">
        <v>222</v>
      </c>
      <c r="J4" s="2144" t="s">
        <v>4666</v>
      </c>
      <c r="K4" s="2144" t="s">
        <v>2989</v>
      </c>
      <c r="L4" s="2145" t="s">
        <v>2989</v>
      </c>
      <c r="M4" s="2146" t="s">
        <v>2988</v>
      </c>
      <c r="N4" s="2146" t="s">
        <v>2990</v>
      </c>
      <c r="O4" s="2146">
        <v>84</v>
      </c>
      <c r="P4" s="2147" t="s">
        <v>2979</v>
      </c>
      <c r="Q4" s="2148" t="s">
        <v>2979</v>
      </c>
      <c r="R4" s="2149" t="s">
        <v>2979</v>
      </c>
      <c r="S4" s="2186" t="s">
        <v>2602</v>
      </c>
      <c r="T4" s="2147">
        <v>1</v>
      </c>
      <c r="U4" s="2149">
        <v>2</v>
      </c>
      <c r="V4" s="2147">
        <v>3</v>
      </c>
      <c r="W4" s="2148">
        <v>85</v>
      </c>
      <c r="X4" s="2149">
        <v>17</v>
      </c>
      <c r="Y4" s="2194" t="s">
        <v>3006</v>
      </c>
      <c r="Z4" s="2147">
        <v>64.5</v>
      </c>
      <c r="AA4" s="2148">
        <v>10.5</v>
      </c>
      <c r="AB4" s="2149" t="s">
        <v>2989</v>
      </c>
      <c r="AC4" s="2151" t="s">
        <v>2984</v>
      </c>
      <c r="AD4" s="2148" t="s">
        <v>2989</v>
      </c>
      <c r="AE4" s="2149" t="s">
        <v>2997</v>
      </c>
      <c r="AF4" s="2154">
        <v>7</v>
      </c>
      <c r="AG4" s="2155" t="s">
        <v>2991</v>
      </c>
      <c r="AH4" s="2116" t="s">
        <v>4686</v>
      </c>
      <c r="AI4" s="1459"/>
      <c r="AJ4" s="1524"/>
      <c r="AK4" s="1525" t="s">
        <v>4688</v>
      </c>
      <c r="AL4" s="1462"/>
      <c r="AM4" s="1464">
        <v>21</v>
      </c>
      <c r="AN4" s="1526">
        <v>0</v>
      </c>
      <c r="AO4" s="1467">
        <v>21</v>
      </c>
      <c r="AP4" s="2182">
        <f>AO4</f>
        <v>21</v>
      </c>
      <c r="AQ4" s="2183">
        <v>15</v>
      </c>
      <c r="AR4" s="2166"/>
      <c r="AS4" s="2195"/>
      <c r="AT4" s="1315"/>
      <c r="AU4" s="1315"/>
      <c r="AV4" s="1315"/>
      <c r="AW4" s="1315"/>
      <c r="AX4" s="1315"/>
      <c r="AY4" s="1315"/>
      <c r="AZ4" s="1315"/>
      <c r="BA4" s="1315"/>
      <c r="BB4" s="1315"/>
      <c r="BC4" s="1315"/>
      <c r="BD4" s="1315"/>
      <c r="BE4" s="1315"/>
      <c r="BF4" s="1315"/>
      <c r="BG4" s="1315"/>
      <c r="BH4" s="1315"/>
    </row>
    <row r="5" spans="2:60" ht="67.150000000000006" customHeight="1">
      <c r="B5" s="1323">
        <v>2025</v>
      </c>
      <c r="C5" s="2221" t="s">
        <v>4668</v>
      </c>
      <c r="D5" s="1203" t="s">
        <v>4669</v>
      </c>
      <c r="E5" s="1325" t="s">
        <v>4343</v>
      </c>
      <c r="F5" s="1326">
        <v>62</v>
      </c>
      <c r="G5" s="1327">
        <v>223</v>
      </c>
      <c r="H5" s="1205">
        <v>36</v>
      </c>
      <c r="I5" s="1206">
        <v>128</v>
      </c>
      <c r="J5" s="1208" t="s">
        <v>4670</v>
      </c>
      <c r="K5" s="1208" t="s">
        <v>2989</v>
      </c>
      <c r="L5" s="1209" t="s">
        <v>2989</v>
      </c>
      <c r="M5" s="1328" t="s">
        <v>2989</v>
      </c>
      <c r="N5" s="1328" t="s">
        <v>3030</v>
      </c>
      <c r="O5" s="1328">
        <v>200</v>
      </c>
      <c r="P5" s="1214" t="s">
        <v>2979</v>
      </c>
      <c r="Q5" s="1212" t="s">
        <v>2979</v>
      </c>
      <c r="R5" s="1213" t="s">
        <v>2979</v>
      </c>
      <c r="S5" s="1329" t="s">
        <v>2602</v>
      </c>
      <c r="T5" s="1214" t="s">
        <v>2988</v>
      </c>
      <c r="U5" s="1213">
        <v>1</v>
      </c>
      <c r="V5" s="1214">
        <v>1</v>
      </c>
      <c r="W5" s="1212">
        <v>89</v>
      </c>
      <c r="X5" s="1213">
        <v>13</v>
      </c>
      <c r="Y5" s="1216" t="s">
        <v>2992</v>
      </c>
      <c r="Z5" s="1216" t="s">
        <v>4671</v>
      </c>
      <c r="AA5" s="1227" t="s">
        <v>4672</v>
      </c>
      <c r="AB5" s="1229" t="s">
        <v>4673</v>
      </c>
      <c r="AC5" s="1216">
        <v>80</v>
      </c>
      <c r="AD5" s="1212" t="s">
        <v>2969</v>
      </c>
      <c r="AE5" s="1213">
        <v>135</v>
      </c>
      <c r="AF5" s="1917">
        <v>5</v>
      </c>
      <c r="AG5" s="1317" t="s">
        <v>4341</v>
      </c>
      <c r="AH5" s="2222" t="s">
        <v>4686</v>
      </c>
      <c r="AI5" s="1246"/>
      <c r="AJ5" s="1318"/>
      <c r="AK5" s="1319" t="s">
        <v>4689</v>
      </c>
      <c r="AL5" s="1276"/>
      <c r="AM5" s="1220">
        <v>12</v>
      </c>
      <c r="AN5" s="1320">
        <v>0</v>
      </c>
      <c r="AO5" s="1223">
        <v>12</v>
      </c>
      <c r="AP5" s="2223">
        <f>AO5</f>
        <v>12</v>
      </c>
      <c r="AQ5" s="2224">
        <v>15</v>
      </c>
      <c r="AR5" s="2225"/>
      <c r="AS5" s="1323"/>
      <c r="AT5" s="1315"/>
      <c r="AU5" s="1315"/>
      <c r="AV5" s="1315"/>
      <c r="AW5" s="1315"/>
      <c r="AX5" s="1315"/>
      <c r="AY5" s="1315"/>
      <c r="AZ5" s="1315"/>
      <c r="BA5" s="1315"/>
      <c r="BB5" s="1315"/>
      <c r="BC5" s="1315"/>
      <c r="BD5" s="1315"/>
      <c r="BE5" s="1315"/>
      <c r="BF5" s="1315"/>
      <c r="BG5" s="1315"/>
      <c r="BH5" s="1315"/>
    </row>
    <row r="6" spans="2:60" ht="19.899999999999999" customHeight="1">
      <c r="B6" s="1332"/>
      <c r="C6" s="1333"/>
      <c r="D6" s="1334"/>
      <c r="E6" s="1333"/>
      <c r="F6" s="1333"/>
      <c r="G6" s="1333"/>
      <c r="H6" s="1332"/>
      <c r="I6" s="1332"/>
      <c r="J6" s="1295"/>
      <c r="K6" s="1295"/>
      <c r="L6" s="1295"/>
      <c r="M6" s="1295"/>
      <c r="N6" s="1295"/>
      <c r="O6" s="1295"/>
      <c r="P6" s="1295"/>
      <c r="Q6" s="1295"/>
      <c r="R6" s="1295"/>
      <c r="S6" s="1295"/>
      <c r="T6" s="1295"/>
      <c r="U6" s="1295"/>
      <c r="V6" s="1295"/>
      <c r="W6" s="1295"/>
      <c r="X6" s="1295"/>
      <c r="Y6" s="1295"/>
      <c r="Z6" s="2220"/>
      <c r="AA6" s="2220"/>
      <c r="AB6" s="2220"/>
      <c r="AC6" s="2220"/>
      <c r="AD6" s="2220"/>
      <c r="AF6" s="1315"/>
      <c r="AG6" s="1315"/>
      <c r="AH6" s="1281"/>
      <c r="AI6" s="1315"/>
      <c r="AJ6" s="1281"/>
      <c r="AK6" s="1315"/>
      <c r="AL6" s="1331" t="s">
        <v>2432</v>
      </c>
      <c r="AM6" s="1332">
        <f>SUM(AM3:AM5)</f>
        <v>122</v>
      </c>
      <c r="AN6" s="1332">
        <f>SUM(AN3:AN5)</f>
        <v>0</v>
      </c>
      <c r="AO6" s="1332">
        <f>SUM(AO3:AO5)</f>
        <v>122</v>
      </c>
      <c r="AP6" s="1332"/>
      <c r="AQ6" s="1332"/>
      <c r="AR6" s="1334"/>
      <c r="AS6" s="1332"/>
      <c r="AT6" s="1315"/>
      <c r="AU6" s="1315"/>
      <c r="AV6" s="1315"/>
      <c r="AW6" s="1315"/>
      <c r="AX6" s="1315"/>
      <c r="AY6" s="1315"/>
      <c r="AZ6" s="1315"/>
      <c r="BA6" s="1315"/>
      <c r="BB6" s="1315"/>
      <c r="BC6" s="1315"/>
      <c r="BD6" s="1315"/>
      <c r="BE6" s="1315"/>
      <c r="BF6" s="1315"/>
      <c r="BG6" s="1315"/>
      <c r="BH6" s="1315"/>
    </row>
    <row r="7" spans="2:60" ht="21.75" customHeight="1">
      <c r="B7" s="1295"/>
      <c r="C7" s="1293"/>
      <c r="E7" s="1293"/>
      <c r="F7" s="1293"/>
      <c r="G7" s="1293"/>
      <c r="H7" s="1293"/>
      <c r="I7" s="1293"/>
      <c r="J7" s="1293"/>
      <c r="K7" s="1293"/>
      <c r="L7" s="1293"/>
      <c r="M7" s="1293"/>
      <c r="N7" s="1293"/>
      <c r="O7" s="1293"/>
      <c r="P7" s="1293"/>
      <c r="Q7" s="1293"/>
      <c r="R7" s="1293"/>
      <c r="S7" s="1293"/>
      <c r="T7" s="1293"/>
      <c r="U7" s="1293"/>
      <c r="V7" s="1293"/>
      <c r="W7" s="1293"/>
      <c r="X7" s="1293"/>
      <c r="Y7" s="1293"/>
      <c r="Z7" s="1295"/>
      <c r="AA7" s="2199"/>
      <c r="AB7" s="1287"/>
      <c r="AC7" s="2200"/>
      <c r="AD7" s="2200"/>
      <c r="AE7" s="1337"/>
      <c r="AF7" s="1335" t="s">
        <v>4683</v>
      </c>
      <c r="AI7" s="1336"/>
      <c r="AJ7" s="1279"/>
      <c r="AM7" s="1295"/>
      <c r="AN7" s="1295"/>
      <c r="AO7" s="1295"/>
      <c r="AP7" s="1295"/>
      <c r="AQ7" s="1295"/>
      <c r="AS7" s="1295"/>
      <c r="AT7" s="1315"/>
      <c r="AU7" s="1315"/>
      <c r="AV7" s="1315"/>
      <c r="AW7" s="1315"/>
      <c r="AX7" s="1315"/>
      <c r="AY7" s="1315"/>
      <c r="AZ7" s="1315"/>
      <c r="BA7" s="1315"/>
      <c r="BB7" s="1315"/>
      <c r="BC7" s="1315"/>
      <c r="BD7" s="1315"/>
      <c r="BE7" s="1315"/>
      <c r="BF7" s="1315"/>
      <c r="BG7" s="1315"/>
      <c r="BH7" s="1315"/>
    </row>
    <row r="8" spans="2:60" ht="21.75" customHeight="1">
      <c r="B8" s="1295"/>
      <c r="C8" s="1295"/>
      <c r="D8" s="1295"/>
      <c r="E8" s="1289"/>
      <c r="F8" s="1289"/>
      <c r="G8" s="1289"/>
      <c r="H8" s="1289"/>
      <c r="I8" s="1289"/>
      <c r="J8" s="1289"/>
      <c r="K8" s="1289"/>
      <c r="L8" s="1289"/>
      <c r="M8" s="1293"/>
      <c r="N8" s="1293"/>
      <c r="O8" s="1293"/>
      <c r="P8" s="1293"/>
      <c r="Q8" s="1293"/>
      <c r="R8" s="1293"/>
      <c r="S8" s="1293"/>
      <c r="T8" s="1293"/>
      <c r="U8" s="1293"/>
      <c r="V8" s="1293"/>
      <c r="W8" s="1293"/>
      <c r="X8" s="1295"/>
      <c r="Y8" s="1295"/>
      <c r="Z8" s="1295"/>
      <c r="AF8" s="1291" t="s">
        <v>4684</v>
      </c>
      <c r="AJ8" s="1279"/>
      <c r="AL8" s="1287"/>
      <c r="AM8" s="1294"/>
      <c r="AN8" s="1295"/>
      <c r="AO8" s="1295"/>
      <c r="AP8" s="1295"/>
      <c r="AQ8" s="1295"/>
      <c r="AR8" s="1295"/>
      <c r="AS8" s="1295"/>
      <c r="AT8" s="1315"/>
      <c r="AU8" s="1315"/>
      <c r="AV8" s="1315"/>
      <c r="AW8" s="1315"/>
      <c r="AX8" s="1315"/>
      <c r="AY8" s="1315"/>
      <c r="AZ8" s="1315"/>
      <c r="BA8" s="1315"/>
      <c r="BB8" s="1315"/>
      <c r="BC8" s="1315"/>
      <c r="BD8" s="1315"/>
      <c r="BE8" s="1315"/>
      <c r="BF8" s="1315"/>
      <c r="BG8" s="1315"/>
      <c r="BH8" s="1315"/>
    </row>
    <row r="9" spans="2:60" ht="19.5">
      <c r="B9" s="1295"/>
      <c r="C9" s="1295"/>
      <c r="D9" s="1289"/>
      <c r="E9" s="1289"/>
      <c r="F9" s="1289"/>
      <c r="G9" s="1289"/>
      <c r="H9" s="1293"/>
      <c r="I9" s="1289"/>
      <c r="J9" s="1289"/>
      <c r="K9" s="1289"/>
      <c r="L9" s="1289"/>
      <c r="M9" s="1289"/>
      <c r="N9" s="1289"/>
      <c r="X9" s="1295"/>
      <c r="Y9" s="1295"/>
      <c r="Z9" s="1295"/>
      <c r="AF9" s="1292" t="s">
        <v>4685</v>
      </c>
      <c r="AG9" s="1287"/>
      <c r="AH9" s="1287"/>
      <c r="AI9" s="1287"/>
      <c r="AJ9" s="1293"/>
      <c r="AK9" s="1293"/>
      <c r="AL9" s="1287"/>
      <c r="AM9" s="1294"/>
      <c r="AN9" s="1295"/>
      <c r="AO9" s="1295"/>
      <c r="AP9" s="1295"/>
      <c r="AQ9" s="1295"/>
      <c r="AR9" s="1295"/>
      <c r="AS9" s="1295"/>
      <c r="AT9" s="1315"/>
      <c r="AU9" s="1315"/>
      <c r="AV9" s="1315"/>
      <c r="AW9" s="1315"/>
      <c r="AX9" s="1315"/>
      <c r="AY9" s="1315"/>
      <c r="AZ9" s="1315"/>
      <c r="BA9" s="1315"/>
      <c r="BB9" s="1315"/>
      <c r="BC9" s="1315"/>
      <c r="BD9" s="1315"/>
      <c r="BE9" s="1315"/>
      <c r="BF9" s="1315"/>
      <c r="BG9" s="1315"/>
      <c r="BH9" s="1315"/>
    </row>
    <row r="10" spans="2:60">
      <c r="B10" s="1338"/>
      <c r="C10" s="1338"/>
      <c r="D10" s="1289"/>
      <c r="E10" s="1295"/>
      <c r="F10" s="1295"/>
      <c r="G10" s="1295"/>
      <c r="H10" s="1295"/>
      <c r="I10" s="1295"/>
      <c r="J10" s="1295"/>
      <c r="X10" s="1295"/>
      <c r="Y10" s="1295"/>
      <c r="Z10" s="1295"/>
      <c r="AG10" s="1285"/>
      <c r="AH10" s="1285"/>
      <c r="AI10" s="1285"/>
      <c r="AJ10" s="1285"/>
      <c r="AK10" s="1285"/>
      <c r="AL10" s="1338"/>
      <c r="AM10" s="1338"/>
      <c r="AN10" s="1338"/>
      <c r="AO10" s="1338"/>
      <c r="AP10" s="1338"/>
      <c r="AQ10" s="1338"/>
      <c r="AR10" s="1289"/>
      <c r="AS10" s="1338"/>
    </row>
    <row r="11" spans="2:60">
      <c r="B11" s="1338"/>
      <c r="C11" s="1338"/>
      <c r="D11" s="1289"/>
      <c r="E11" s="1295"/>
      <c r="F11" s="1295"/>
      <c r="G11" s="1295"/>
      <c r="H11" s="1295"/>
      <c r="I11" s="1295"/>
      <c r="J11" s="1295"/>
      <c r="X11" s="1295"/>
      <c r="Y11" s="1295"/>
      <c r="Z11" s="1295"/>
      <c r="AG11" s="1285"/>
      <c r="AH11" s="1285"/>
      <c r="AI11" s="1285"/>
      <c r="AJ11" s="1285"/>
      <c r="AK11" s="1285"/>
      <c r="AL11" s="1338"/>
      <c r="AM11" s="1338"/>
      <c r="AN11" s="1338"/>
      <c r="AO11" s="1338"/>
      <c r="AP11" s="1338"/>
      <c r="AQ11" s="1338"/>
      <c r="AR11" s="1289"/>
      <c r="AS11" s="1338"/>
    </row>
    <row r="12" spans="2:60">
      <c r="D12" s="1289"/>
      <c r="E12" s="1295"/>
      <c r="F12" s="1295"/>
      <c r="G12" s="1295"/>
      <c r="H12" s="1295"/>
      <c r="I12" s="1295"/>
      <c r="J12" s="1295"/>
      <c r="X12" s="1295"/>
      <c r="Y12" s="1295"/>
      <c r="Z12" s="1295"/>
      <c r="AR12" s="1289"/>
    </row>
    <row r="13" spans="2:60">
      <c r="X13" s="1295"/>
      <c r="Y13" s="1295"/>
      <c r="Z13" s="1295"/>
    </row>
    <row r="14" spans="2:60">
      <c r="X14" s="1295"/>
      <c r="Y14" s="1295"/>
      <c r="Z14" s="1295"/>
    </row>
    <row r="15" spans="2:60" s="1295" customFormat="1">
      <c r="B15" s="1287"/>
      <c r="C15" s="1287"/>
      <c r="D15" s="1293"/>
      <c r="E15" s="1287"/>
      <c r="F15" s="1287"/>
      <c r="G15" s="1287"/>
      <c r="H15" s="1287"/>
      <c r="I15" s="1287"/>
      <c r="J15" s="1287"/>
      <c r="K15" s="1287"/>
      <c r="L15" s="1287"/>
      <c r="M15" s="1287"/>
      <c r="N15" s="1287"/>
      <c r="O15" s="1287"/>
      <c r="P15" s="1287"/>
      <c r="Q15" s="1287"/>
      <c r="R15" s="1287"/>
      <c r="S15" s="1287"/>
      <c r="T15" s="1287"/>
      <c r="U15" s="1287"/>
      <c r="V15" s="1287"/>
      <c r="W15" s="1287"/>
      <c r="AF15" s="1278"/>
      <c r="AG15" s="1278"/>
      <c r="AH15" s="1278"/>
      <c r="AI15" s="1278"/>
      <c r="AJ15" s="1278"/>
      <c r="AK15" s="1279"/>
      <c r="AM15" s="1287"/>
      <c r="AN15" s="1287"/>
      <c r="AO15" s="1287"/>
      <c r="AP15" s="1287"/>
      <c r="AQ15" s="1287"/>
      <c r="AR15" s="1293"/>
      <c r="AS15" s="1287"/>
    </row>
    <row r="16" spans="2:60" s="1295" customFormat="1">
      <c r="B16" s="1287"/>
      <c r="C16" s="1287"/>
      <c r="D16" s="1293"/>
      <c r="E16" s="1287"/>
      <c r="F16" s="1287"/>
      <c r="G16" s="1287"/>
      <c r="H16" s="1287"/>
      <c r="I16" s="1287"/>
      <c r="J16" s="1287"/>
      <c r="K16" s="1287"/>
      <c r="L16" s="1287"/>
      <c r="M16" s="1287"/>
      <c r="N16" s="1287"/>
      <c r="O16" s="1287"/>
      <c r="P16" s="1287"/>
      <c r="Q16" s="1287"/>
      <c r="R16" s="1287"/>
      <c r="S16" s="1287"/>
      <c r="T16" s="1287"/>
      <c r="U16" s="1287"/>
      <c r="V16" s="1287"/>
      <c r="W16" s="1287"/>
      <c r="AF16" s="1278"/>
      <c r="AG16" s="1278"/>
      <c r="AH16" s="1278"/>
      <c r="AI16" s="1278"/>
      <c r="AJ16" s="1278"/>
      <c r="AK16" s="1279"/>
      <c r="AM16" s="1287"/>
      <c r="AN16" s="1287"/>
      <c r="AO16" s="1287"/>
      <c r="AP16" s="1287"/>
      <c r="AQ16" s="1287"/>
      <c r="AR16" s="1293"/>
      <c r="AS16" s="1287"/>
    </row>
    <row r="17" spans="2:45" s="1295" customFormat="1">
      <c r="B17" s="1287"/>
      <c r="C17" s="1287"/>
      <c r="D17" s="1293"/>
      <c r="E17" s="1287"/>
      <c r="F17" s="1287"/>
      <c r="G17" s="1287"/>
      <c r="H17" s="1287"/>
      <c r="I17" s="1287"/>
      <c r="J17" s="1287"/>
      <c r="K17" s="1287"/>
      <c r="L17" s="1287"/>
      <c r="M17" s="1287"/>
      <c r="N17" s="1287"/>
      <c r="O17" s="1287"/>
      <c r="P17" s="1287"/>
      <c r="Q17" s="1287"/>
      <c r="R17" s="1287"/>
      <c r="S17" s="1287"/>
      <c r="T17" s="1287"/>
      <c r="U17" s="1287"/>
      <c r="V17" s="1287"/>
      <c r="W17" s="1287"/>
      <c r="AF17" s="1278"/>
      <c r="AG17" s="1278"/>
      <c r="AH17" s="1278"/>
      <c r="AI17" s="1278"/>
      <c r="AJ17" s="1278"/>
      <c r="AK17" s="1279"/>
      <c r="AM17" s="1287"/>
      <c r="AN17" s="1287"/>
      <c r="AO17" s="1287"/>
      <c r="AP17" s="1287"/>
      <c r="AQ17" s="1287"/>
      <c r="AR17" s="1293"/>
      <c r="AS17" s="1287"/>
    </row>
    <row r="18" spans="2:45" s="1295" customFormat="1">
      <c r="B18" s="1287"/>
      <c r="C18" s="1287"/>
      <c r="D18" s="1293"/>
      <c r="E18" s="1287"/>
      <c r="F18" s="1287"/>
      <c r="G18" s="1287"/>
      <c r="H18" s="1287"/>
      <c r="I18" s="1287"/>
      <c r="J18" s="1287"/>
      <c r="K18" s="1287"/>
      <c r="L18" s="1287"/>
      <c r="M18" s="1287"/>
      <c r="N18" s="1287"/>
      <c r="O18" s="1287"/>
      <c r="P18" s="1287"/>
      <c r="Q18" s="1287"/>
      <c r="R18" s="1287"/>
      <c r="S18" s="1287"/>
      <c r="T18" s="1287"/>
      <c r="U18" s="1287"/>
      <c r="V18" s="1287"/>
      <c r="W18" s="1287"/>
      <c r="AF18" s="1278"/>
      <c r="AG18" s="1278"/>
      <c r="AH18" s="1278"/>
      <c r="AI18" s="1278"/>
      <c r="AJ18" s="1278"/>
      <c r="AK18" s="1279"/>
      <c r="AM18" s="1287"/>
      <c r="AN18" s="1287"/>
      <c r="AO18" s="1287"/>
      <c r="AP18" s="1287"/>
      <c r="AQ18" s="1287"/>
      <c r="AR18" s="1293"/>
      <c r="AS18" s="1287"/>
    </row>
    <row r="19" spans="2:45" s="1295" customFormat="1">
      <c r="B19" s="1287"/>
      <c r="C19" s="1287"/>
      <c r="D19" s="1293"/>
      <c r="E19" s="1287"/>
      <c r="F19" s="1287"/>
      <c r="G19" s="1287"/>
      <c r="H19" s="1287"/>
      <c r="I19" s="1287"/>
      <c r="J19" s="1287"/>
      <c r="K19" s="1287"/>
      <c r="L19" s="1287"/>
      <c r="M19" s="1287"/>
      <c r="N19" s="1287"/>
      <c r="O19" s="1287"/>
      <c r="P19" s="1287"/>
      <c r="Q19" s="1287"/>
      <c r="R19" s="1287"/>
      <c r="S19" s="1287"/>
      <c r="T19" s="1287"/>
      <c r="U19" s="1287"/>
      <c r="V19" s="1287"/>
      <c r="W19" s="1287"/>
      <c r="AF19" s="1278"/>
      <c r="AG19" s="1278"/>
      <c r="AH19" s="1278"/>
      <c r="AI19" s="1278"/>
      <c r="AJ19" s="1278"/>
      <c r="AK19" s="1279"/>
      <c r="AM19" s="1287"/>
      <c r="AN19" s="1287"/>
      <c r="AO19" s="1287"/>
      <c r="AP19" s="1287"/>
      <c r="AQ19" s="1287"/>
      <c r="AR19" s="1293"/>
      <c r="AS19" s="1287"/>
    </row>
    <row r="20" spans="2:45" s="1295" customFormat="1">
      <c r="B20" s="1287"/>
      <c r="C20" s="1287"/>
      <c r="D20" s="1293"/>
      <c r="E20" s="1287"/>
      <c r="F20" s="1287"/>
      <c r="G20" s="1287"/>
      <c r="H20" s="1287"/>
      <c r="I20" s="1287"/>
      <c r="J20" s="1287"/>
      <c r="K20" s="1287"/>
      <c r="L20" s="1287"/>
      <c r="M20" s="1287"/>
      <c r="N20" s="1287"/>
      <c r="O20" s="1287"/>
      <c r="P20" s="1287"/>
      <c r="Q20" s="1287"/>
      <c r="R20" s="1287"/>
      <c r="S20" s="1287"/>
      <c r="T20" s="1287"/>
      <c r="U20" s="1287"/>
      <c r="V20" s="1287"/>
      <c r="W20" s="1287"/>
      <c r="AF20" s="1278"/>
      <c r="AG20" s="1278"/>
      <c r="AH20" s="1278"/>
      <c r="AI20" s="1278"/>
      <c r="AJ20" s="1278"/>
      <c r="AK20" s="1279"/>
      <c r="AM20" s="1287"/>
      <c r="AN20" s="1287"/>
      <c r="AO20" s="1287"/>
      <c r="AP20" s="1287"/>
      <c r="AQ20" s="1287"/>
      <c r="AR20" s="1293"/>
      <c r="AS20" s="1287"/>
    </row>
    <row r="21" spans="2:45" s="1295" customFormat="1">
      <c r="B21" s="1287"/>
      <c r="C21" s="1287"/>
      <c r="D21" s="1293"/>
      <c r="E21" s="1287"/>
      <c r="F21" s="1287"/>
      <c r="G21" s="1287"/>
      <c r="H21" s="1287"/>
      <c r="I21" s="1287"/>
      <c r="J21" s="1287"/>
      <c r="K21" s="1287"/>
      <c r="L21" s="1287"/>
      <c r="M21" s="1287"/>
      <c r="N21" s="1287"/>
      <c r="O21" s="1287"/>
      <c r="P21" s="1287"/>
      <c r="Q21" s="1287"/>
      <c r="R21" s="1287"/>
      <c r="S21" s="1287"/>
      <c r="T21" s="1287"/>
      <c r="U21" s="1287"/>
      <c r="V21" s="1287"/>
      <c r="W21" s="1287"/>
      <c r="AF21" s="1278"/>
      <c r="AG21" s="1278"/>
      <c r="AH21" s="1278"/>
      <c r="AI21" s="1278"/>
      <c r="AJ21" s="1278"/>
      <c r="AK21" s="1279"/>
      <c r="AM21" s="1287"/>
      <c r="AN21" s="1287"/>
      <c r="AO21" s="1287"/>
      <c r="AP21" s="1287"/>
      <c r="AQ21" s="1287"/>
      <c r="AR21" s="1293"/>
      <c r="AS21" s="1287"/>
    </row>
  </sheetData>
  <autoFilter ref="B2:BH2" xr:uid="{B6E99129-DFF3-40FD-97C6-0693B1EF534D}">
    <sortState xmlns:xlrd2="http://schemas.microsoft.com/office/spreadsheetml/2017/richdata2" ref="B3:BH25">
      <sortCondition ref="B2"/>
    </sortState>
  </autoFilter>
  <phoneticPr fontId="2"/>
  <pageMargins left="0" right="0" top="0" bottom="0" header="0" footer="0"/>
  <pageSetup paperSize="8" scale="68" orientation="landscape" r:id="rId1"/>
  <headerFooter>
    <oddFooter>&amp;C&amp;"Meiryo UI,標準"&amp;12&amp;P / &amp;N ページ</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54E1-0F14-48F0-AE12-0F0DED50F4E1}">
  <sheetPr codeName="Sheet4">
    <tabColor rgb="FFFF0000"/>
  </sheetPr>
  <dimension ref="A1:H26"/>
  <sheetViews>
    <sheetView workbookViewId="0"/>
  </sheetViews>
  <sheetFormatPr defaultRowHeight="13"/>
  <cols>
    <col min="2" max="2" width="17.7265625" customWidth="1"/>
    <col min="3" max="3" width="15.26953125" customWidth="1"/>
    <col min="4" max="4" width="19.453125" customWidth="1"/>
    <col min="5" max="5" width="23.81640625" customWidth="1"/>
    <col min="6" max="6" width="14.81640625" customWidth="1"/>
    <col min="7" max="7" width="11.453125" customWidth="1"/>
    <col min="8" max="8" width="16.453125" customWidth="1"/>
  </cols>
  <sheetData>
    <row r="1" spans="1:8">
      <c r="A1" s="112" t="s">
        <v>4690</v>
      </c>
    </row>
    <row r="2" spans="1:8" ht="26">
      <c r="A2" s="108"/>
      <c r="B2" s="194" t="s">
        <v>4691</v>
      </c>
      <c r="C2" s="194" t="s">
        <v>4692</v>
      </c>
      <c r="D2" s="194" t="s">
        <v>4693</v>
      </c>
      <c r="E2" s="195" t="s">
        <v>4694</v>
      </c>
      <c r="F2" s="195" t="s">
        <v>4695</v>
      </c>
      <c r="G2" s="195" t="s">
        <v>2551</v>
      </c>
      <c r="H2" s="109" t="s">
        <v>4696</v>
      </c>
    </row>
    <row r="3" spans="1:8">
      <c r="A3" s="111" t="s">
        <v>4697</v>
      </c>
      <c r="B3" s="108"/>
      <c r="C3" s="108"/>
      <c r="D3" s="108" t="s">
        <v>4698</v>
      </c>
      <c r="E3" s="111" t="s">
        <v>4699</v>
      </c>
      <c r="F3" s="111"/>
      <c r="G3" s="111" t="s">
        <v>4700</v>
      </c>
      <c r="H3" s="108" t="s">
        <v>4701</v>
      </c>
    </row>
    <row r="4" spans="1:8">
      <c r="A4" s="108" t="s">
        <v>4702</v>
      </c>
      <c r="B4" s="108"/>
      <c r="C4" s="108"/>
      <c r="D4" s="108"/>
      <c r="E4" s="108"/>
      <c r="F4" s="108"/>
      <c r="G4" s="108"/>
      <c r="H4" s="108"/>
    </row>
    <row r="5" spans="1:8">
      <c r="A5" s="111" t="s">
        <v>4703</v>
      </c>
      <c r="B5" s="108"/>
      <c r="C5" s="108"/>
      <c r="D5" s="108"/>
      <c r="E5" s="108"/>
      <c r="F5" s="108"/>
      <c r="G5" s="108"/>
      <c r="H5" s="108"/>
    </row>
    <row r="6" spans="1:8">
      <c r="A6" s="108" t="s">
        <v>4704</v>
      </c>
      <c r="B6" s="108"/>
      <c r="C6" s="108"/>
      <c r="D6" s="108"/>
      <c r="E6" s="108"/>
      <c r="F6" s="108"/>
      <c r="G6" s="108"/>
      <c r="H6" s="108"/>
    </row>
    <row r="7" spans="1:8">
      <c r="B7" s="192"/>
      <c r="C7" s="193"/>
      <c r="D7" s="193"/>
      <c r="H7" s="110" t="s">
        <v>4705</v>
      </c>
    </row>
    <row r="16" spans="1:8">
      <c r="A16" s="112" t="s">
        <v>4706</v>
      </c>
    </row>
    <row r="17" spans="1:8" ht="26">
      <c r="A17" s="108"/>
      <c r="B17" s="194" t="s">
        <v>4691</v>
      </c>
      <c r="C17" s="194" t="s">
        <v>4692</v>
      </c>
      <c r="D17" s="194" t="s">
        <v>4693</v>
      </c>
      <c r="E17" s="195" t="s">
        <v>4694</v>
      </c>
      <c r="F17" s="195" t="s">
        <v>4695</v>
      </c>
      <c r="G17" s="195" t="s">
        <v>4707</v>
      </c>
      <c r="H17" s="109" t="s">
        <v>4696</v>
      </c>
    </row>
    <row r="18" spans="1:8">
      <c r="A18" s="111" t="s">
        <v>4697</v>
      </c>
      <c r="B18" s="108"/>
      <c r="C18" s="108"/>
      <c r="D18" s="108" t="s">
        <v>4708</v>
      </c>
      <c r="E18" s="111" t="s">
        <v>4699</v>
      </c>
      <c r="F18" s="111"/>
      <c r="G18" s="111" t="s">
        <v>4709</v>
      </c>
      <c r="H18" s="108" t="s">
        <v>4710</v>
      </c>
    </row>
    <row r="19" spans="1:8">
      <c r="A19" s="108" t="s">
        <v>4702</v>
      </c>
      <c r="B19" s="108"/>
      <c r="C19" s="108"/>
      <c r="D19" s="108"/>
      <c r="E19" s="108"/>
      <c r="F19" s="108"/>
      <c r="G19" s="108"/>
      <c r="H19" s="108"/>
    </row>
    <row r="20" spans="1:8">
      <c r="A20" s="111" t="s">
        <v>4703</v>
      </c>
      <c r="B20" s="108"/>
      <c r="C20" s="108"/>
      <c r="D20" s="108"/>
      <c r="E20" s="108"/>
      <c r="F20" s="108"/>
      <c r="G20" s="108"/>
      <c r="H20" s="108"/>
    </row>
    <row r="21" spans="1:8">
      <c r="A21" s="108" t="s">
        <v>4704</v>
      </c>
      <c r="B21" s="108"/>
      <c r="C21" s="108"/>
      <c r="D21" s="108"/>
      <c r="E21" s="108"/>
      <c r="F21" s="108"/>
      <c r="G21" s="108"/>
      <c r="H21" s="108"/>
    </row>
    <row r="22" spans="1:8">
      <c r="B22" s="192"/>
      <c r="C22" s="193"/>
      <c r="D22" s="193"/>
      <c r="H22" s="110" t="s">
        <v>4705</v>
      </c>
    </row>
    <row r="26" spans="1:8">
      <c r="A26" t="s">
        <v>4711</v>
      </c>
    </row>
  </sheetData>
  <phoneticPr fontId="2"/>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A41A-7089-4967-854E-5BF75AAEAA58}">
  <sheetPr codeName="Sheet254">
    <tabColor rgb="FF2E81FA"/>
    <pageSetUpPr fitToPage="1"/>
  </sheetPr>
  <dimension ref="A1:K20"/>
  <sheetViews>
    <sheetView zoomScale="25" zoomScaleNormal="25" workbookViewId="0">
      <selection sqref="A1:A9"/>
    </sheetView>
  </sheetViews>
  <sheetFormatPr defaultColWidth="8.7265625" defaultRowHeight="19"/>
  <cols>
    <col min="1" max="1" width="8.7265625" style="2486"/>
    <col min="2" max="2" width="53" style="2486" bestFit="1" customWidth="1"/>
    <col min="3" max="3" width="53" style="2486" customWidth="1"/>
    <col min="4" max="4" width="79.453125" style="2486" customWidth="1"/>
    <col min="5" max="7" width="53" style="2486" customWidth="1"/>
    <col min="8" max="8" width="59.81640625" style="2486" bestFit="1" customWidth="1"/>
    <col min="9" max="9" width="59.81640625" style="2516" customWidth="1"/>
    <col min="10" max="10" width="34.7265625" style="2486" customWidth="1"/>
    <col min="11" max="11" width="25.453125" style="2486" customWidth="1"/>
    <col min="12" max="16384" width="8.7265625" style="2486"/>
  </cols>
  <sheetData>
    <row r="1" spans="1:11" ht="38">
      <c r="A1" s="6699" t="s">
        <v>37</v>
      </c>
      <c r="B1" s="2481" t="s">
        <v>4712</v>
      </c>
      <c r="C1" s="2481" t="s">
        <v>4713</v>
      </c>
      <c r="D1" s="2482" t="s">
        <v>4714</v>
      </c>
      <c r="E1" s="2482" t="s">
        <v>4715</v>
      </c>
      <c r="F1" s="2483" t="s">
        <v>4716</v>
      </c>
      <c r="G1" s="2483" t="s">
        <v>4717</v>
      </c>
      <c r="H1" s="2484" t="s">
        <v>4718</v>
      </c>
      <c r="I1" s="2485" t="s">
        <v>4719</v>
      </c>
      <c r="J1" s="2485" t="s">
        <v>4720</v>
      </c>
      <c r="K1" s="2485" t="s">
        <v>4721</v>
      </c>
    </row>
    <row r="2" spans="1:11" ht="133" customHeight="1">
      <c r="A2" s="6700"/>
      <c r="B2" s="2487" t="s">
        <v>4722</v>
      </c>
      <c r="C2" s="2487" t="s">
        <v>4723</v>
      </c>
      <c r="D2" s="2488" t="s">
        <v>4724</v>
      </c>
      <c r="E2" s="2489" t="s">
        <v>4725</v>
      </c>
      <c r="F2" s="2490" t="s">
        <v>4726</v>
      </c>
      <c r="G2" s="2491" t="s">
        <v>4727</v>
      </c>
      <c r="H2" s="2492" t="s">
        <v>4728</v>
      </c>
      <c r="I2" s="2492" t="s">
        <v>4729</v>
      </c>
      <c r="J2" s="6701" t="s">
        <v>4730</v>
      </c>
      <c r="K2" s="6703" t="s">
        <v>4731</v>
      </c>
    </row>
    <row r="3" spans="1:11" ht="133" customHeight="1">
      <c r="A3" s="6700"/>
      <c r="B3" s="2493" t="s">
        <v>4732</v>
      </c>
      <c r="C3" s="2487" t="s">
        <v>4733</v>
      </c>
      <c r="D3" s="2494" t="s">
        <v>4734</v>
      </c>
      <c r="E3" s="2494" t="s">
        <v>4735</v>
      </c>
      <c r="F3" s="2495" t="s">
        <v>4736</v>
      </c>
      <c r="G3" s="2491" t="s">
        <v>4727</v>
      </c>
      <c r="H3" s="2492" t="s">
        <v>4737</v>
      </c>
      <c r="I3" s="2492" t="s">
        <v>4737</v>
      </c>
      <c r="J3" s="6702"/>
      <c r="K3" s="6704"/>
    </row>
    <row r="4" spans="1:11" ht="245.5" customHeight="1">
      <c r="A4" s="6700"/>
      <c r="B4" s="2487" t="s">
        <v>4738</v>
      </c>
      <c r="C4" s="2487" t="s">
        <v>4739</v>
      </c>
      <c r="D4" s="2496" t="s">
        <v>4740</v>
      </c>
      <c r="E4" s="2496" t="s">
        <v>4740</v>
      </c>
      <c r="F4" s="2495" t="s">
        <v>4741</v>
      </c>
      <c r="G4" s="2497" t="s">
        <v>4742</v>
      </c>
      <c r="H4" s="2492" t="s">
        <v>4743</v>
      </c>
      <c r="I4" s="2492" t="s">
        <v>4744</v>
      </c>
      <c r="J4" s="2498" t="s">
        <v>4745</v>
      </c>
      <c r="K4" s="2499" t="s">
        <v>4746</v>
      </c>
    </row>
    <row r="5" spans="1:11" ht="175.5" customHeight="1">
      <c r="A5" s="6700"/>
      <c r="B5" s="2487" t="s">
        <v>4747</v>
      </c>
      <c r="C5" s="2487" t="s">
        <v>4748</v>
      </c>
      <c r="D5" s="2500" t="s">
        <v>4749</v>
      </c>
      <c r="E5" s="2500" t="s">
        <v>4750</v>
      </c>
      <c r="F5" s="2501" t="s">
        <v>4751</v>
      </c>
      <c r="G5" s="2502"/>
      <c r="H5" s="2493" t="s">
        <v>4737</v>
      </c>
      <c r="I5" s="2492" t="s">
        <v>4737</v>
      </c>
      <c r="J5" s="2498" t="s">
        <v>4745</v>
      </c>
      <c r="K5" s="2499" t="s">
        <v>4746</v>
      </c>
    </row>
    <row r="6" spans="1:11" ht="323">
      <c r="A6" s="6700"/>
      <c r="B6" s="2493" t="s">
        <v>4752</v>
      </c>
      <c r="C6" s="2487" t="s">
        <v>4753</v>
      </c>
      <c r="D6" s="2503" t="s">
        <v>4754</v>
      </c>
      <c r="E6" s="2504" t="s">
        <v>4755</v>
      </c>
      <c r="F6" s="2495" t="s">
        <v>4756</v>
      </c>
      <c r="G6" s="2505" t="s">
        <v>4757</v>
      </c>
      <c r="H6" s="2506" t="s">
        <v>4758</v>
      </c>
      <c r="I6" s="2492" t="s">
        <v>4759</v>
      </c>
      <c r="J6" s="2499" t="s">
        <v>4760</v>
      </c>
      <c r="K6" s="2498" t="s">
        <v>4745</v>
      </c>
    </row>
    <row r="7" spans="1:11" ht="95">
      <c r="A7" s="6700"/>
      <c r="B7" s="2493" t="s">
        <v>4761</v>
      </c>
      <c r="C7" s="2487" t="s">
        <v>4753</v>
      </c>
      <c r="D7" s="2503" t="s">
        <v>4762</v>
      </c>
      <c r="E7" s="2503" t="s">
        <v>4763</v>
      </c>
      <c r="F7" s="2495" t="s">
        <v>4756</v>
      </c>
      <c r="G7" s="2505" t="s">
        <v>4757</v>
      </c>
      <c r="H7" s="2506" t="s">
        <v>4758</v>
      </c>
      <c r="I7" s="2492" t="s">
        <v>4759</v>
      </c>
      <c r="J7" s="2499" t="s">
        <v>4760</v>
      </c>
      <c r="K7" s="2498" t="s">
        <v>4745</v>
      </c>
    </row>
    <row r="8" spans="1:11" ht="38">
      <c r="A8" s="6700"/>
      <c r="B8" s="2487" t="s">
        <v>4764</v>
      </c>
      <c r="C8" s="2487" t="s">
        <v>4765</v>
      </c>
      <c r="D8" s="2507" t="s">
        <v>4766</v>
      </c>
      <c r="E8" s="2507" t="s">
        <v>4766</v>
      </c>
      <c r="F8" s="2508" t="s">
        <v>4767</v>
      </c>
      <c r="G8" s="2505" t="s">
        <v>4757</v>
      </c>
      <c r="H8" s="2506" t="s">
        <v>4767</v>
      </c>
      <c r="I8" s="2492" t="s">
        <v>4768</v>
      </c>
      <c r="J8" s="2499" t="s">
        <v>4760</v>
      </c>
      <c r="K8" s="2499" t="s">
        <v>4746</v>
      </c>
    </row>
    <row r="9" spans="1:11" ht="114">
      <c r="A9" s="6700"/>
      <c r="B9" s="2487" t="s">
        <v>4769</v>
      </c>
      <c r="C9" s="2509" t="s">
        <v>4770</v>
      </c>
      <c r="D9" s="2510" t="s">
        <v>4771</v>
      </c>
      <c r="E9" s="2510" t="s">
        <v>4771</v>
      </c>
      <c r="F9" s="2511" t="s">
        <v>4772</v>
      </c>
      <c r="G9" s="2512" t="s">
        <v>4757</v>
      </c>
      <c r="H9" s="2513" t="s">
        <v>4773</v>
      </c>
      <c r="I9" s="2492" t="s">
        <v>4774</v>
      </c>
      <c r="J9" s="2499" t="s">
        <v>4775</v>
      </c>
      <c r="K9" s="2499" t="s">
        <v>4746</v>
      </c>
    </row>
    <row r="10" spans="1:11" ht="27" customHeight="1">
      <c r="B10" s="2514"/>
      <c r="C10" s="2514"/>
      <c r="D10" s="2514"/>
      <c r="E10" s="2514"/>
      <c r="F10" s="2515"/>
      <c r="G10" s="2515"/>
      <c r="H10" s="2515"/>
    </row>
    <row r="11" spans="1:11" ht="27" customHeight="1">
      <c r="B11" s="2514"/>
      <c r="C11" s="2514"/>
      <c r="D11" s="2514"/>
      <c r="E11" s="2514"/>
      <c r="F11" s="2515"/>
      <c r="G11" s="2515"/>
      <c r="H11" s="2515"/>
    </row>
    <row r="12" spans="1:11" ht="27" customHeight="1">
      <c r="B12" s="2514"/>
      <c r="C12" s="2514"/>
      <c r="D12" s="2514"/>
      <c r="E12" s="2514"/>
      <c r="F12" s="2515"/>
      <c r="G12" s="2515"/>
      <c r="H12" s="2515"/>
    </row>
    <row r="13" spans="1:11" ht="38">
      <c r="A13" s="6705" t="s">
        <v>39</v>
      </c>
      <c r="B13" s="2481" t="s">
        <v>4712</v>
      </c>
      <c r="C13" s="2481"/>
      <c r="D13" s="2482" t="s">
        <v>4776</v>
      </c>
      <c r="E13" s="2482" t="s">
        <v>4777</v>
      </c>
      <c r="F13" s="2517" t="s">
        <v>4716</v>
      </c>
      <c r="G13" s="2517" t="s">
        <v>4717</v>
      </c>
      <c r="H13" s="2518" t="s">
        <v>4718</v>
      </c>
      <c r="I13" s="2485" t="s">
        <v>4719</v>
      </c>
      <c r="J13" s="2485" t="s">
        <v>4778</v>
      </c>
      <c r="K13" s="2485" t="s">
        <v>4779</v>
      </c>
    </row>
    <row r="14" spans="1:11" ht="114">
      <c r="A14" s="6705"/>
      <c r="B14" s="2487" t="s">
        <v>4780</v>
      </c>
      <c r="C14" s="2487" t="s">
        <v>4723</v>
      </c>
      <c r="D14" s="2519" t="s">
        <v>4781</v>
      </c>
      <c r="E14" s="2519" t="s">
        <v>4782</v>
      </c>
      <c r="F14" s="2520" t="s">
        <v>4726</v>
      </c>
      <c r="G14" s="2521" t="s">
        <v>4783</v>
      </c>
      <c r="H14" s="2513" t="s">
        <v>4784</v>
      </c>
      <c r="I14" s="2499" t="s">
        <v>4785</v>
      </c>
      <c r="J14" s="6703" t="s">
        <v>4731</v>
      </c>
      <c r="K14" s="6703" t="s">
        <v>4731</v>
      </c>
    </row>
    <row r="15" spans="1:11" ht="114">
      <c r="A15" s="6705"/>
      <c r="B15" s="2487" t="s">
        <v>4786</v>
      </c>
      <c r="C15" s="2487" t="s">
        <v>4733</v>
      </c>
      <c r="D15" s="2519" t="s">
        <v>4787</v>
      </c>
      <c r="E15" s="2519" t="s">
        <v>4788</v>
      </c>
      <c r="F15" s="2495" t="s">
        <v>4789</v>
      </c>
      <c r="G15" s="2491" t="s">
        <v>4783</v>
      </c>
      <c r="H15" s="2492" t="s">
        <v>4737</v>
      </c>
      <c r="I15" s="2492" t="s">
        <v>4737</v>
      </c>
      <c r="J15" s="6704"/>
      <c r="K15" s="6704"/>
    </row>
    <row r="16" spans="1:11" ht="285">
      <c r="A16" s="6705"/>
      <c r="B16" s="2487" t="s">
        <v>4738</v>
      </c>
      <c r="C16" s="2487" t="s">
        <v>4739</v>
      </c>
      <c r="D16" s="2496" t="s">
        <v>4790</v>
      </c>
      <c r="E16" s="2496" t="s">
        <v>4790</v>
      </c>
      <c r="F16" s="2495" t="s">
        <v>4741</v>
      </c>
      <c r="G16" s="2491" t="s">
        <v>4791</v>
      </c>
      <c r="H16" s="2499" t="s">
        <v>4792</v>
      </c>
      <c r="I16" s="2499" t="s">
        <v>4793</v>
      </c>
      <c r="J16" s="2498" t="s">
        <v>4745</v>
      </c>
      <c r="K16" s="2499" t="s">
        <v>4794</v>
      </c>
    </row>
    <row r="17" spans="1:11" ht="57">
      <c r="A17" s="6705"/>
      <c r="B17" s="2487" t="s">
        <v>4747</v>
      </c>
      <c r="C17" s="2487" t="s">
        <v>4748</v>
      </c>
      <c r="D17" s="2500" t="s">
        <v>4795</v>
      </c>
      <c r="E17" s="2500" t="s">
        <v>4795</v>
      </c>
      <c r="F17" s="2501" t="s">
        <v>4796</v>
      </c>
      <c r="G17" s="2502"/>
      <c r="H17" s="2492" t="s">
        <v>4737</v>
      </c>
      <c r="I17" s="2492" t="s">
        <v>4737</v>
      </c>
      <c r="J17" s="2498" t="s">
        <v>4745</v>
      </c>
      <c r="K17" s="2499" t="s">
        <v>4794</v>
      </c>
    </row>
    <row r="18" spans="1:11" ht="323">
      <c r="A18" s="6705"/>
      <c r="B18" s="2493" t="s">
        <v>4797</v>
      </c>
      <c r="C18" s="2487" t="s">
        <v>4753</v>
      </c>
      <c r="D18" s="2522" t="s">
        <v>4798</v>
      </c>
      <c r="E18" s="2522" t="s">
        <v>4799</v>
      </c>
      <c r="F18" s="2508" t="s">
        <v>4800</v>
      </c>
      <c r="G18" s="2505" t="s">
        <v>4801</v>
      </c>
      <c r="H18" s="2499" t="s">
        <v>4802</v>
      </c>
      <c r="I18" s="2499" t="s">
        <v>4803</v>
      </c>
      <c r="J18" s="2499" t="s">
        <v>4804</v>
      </c>
      <c r="K18" s="2498" t="s">
        <v>4745</v>
      </c>
    </row>
    <row r="19" spans="1:11" ht="57">
      <c r="A19" s="6705"/>
      <c r="B19" s="2487" t="s">
        <v>4764</v>
      </c>
      <c r="C19" s="2487" t="s">
        <v>4765</v>
      </c>
      <c r="D19" s="2507" t="s">
        <v>4805</v>
      </c>
      <c r="E19" s="2507" t="s">
        <v>4805</v>
      </c>
      <c r="F19" s="2508" t="s">
        <v>4806</v>
      </c>
      <c r="G19" s="2505" t="s">
        <v>4807</v>
      </c>
      <c r="H19" s="2499" t="s">
        <v>4808</v>
      </c>
      <c r="I19" s="2499" t="s">
        <v>4809</v>
      </c>
      <c r="J19" s="2499" t="s">
        <v>4804</v>
      </c>
      <c r="K19" s="2499" t="s">
        <v>4794</v>
      </c>
    </row>
    <row r="20" spans="1:11" ht="57">
      <c r="A20" s="6705"/>
      <c r="B20" s="2487" t="s">
        <v>4769</v>
      </c>
      <c r="C20" s="2509" t="s">
        <v>4770</v>
      </c>
      <c r="D20" s="2510" t="s">
        <v>4810</v>
      </c>
      <c r="E20" s="2510" t="s">
        <v>4810</v>
      </c>
      <c r="F20" s="2523" t="s">
        <v>4811</v>
      </c>
      <c r="G20" s="2524" t="s">
        <v>4807</v>
      </c>
      <c r="H20" s="2499" t="s">
        <v>4812</v>
      </c>
      <c r="I20" s="2499" t="s">
        <v>4813</v>
      </c>
      <c r="J20" s="2499" t="s">
        <v>4804</v>
      </c>
      <c r="K20" s="2499" t="s">
        <v>4794</v>
      </c>
    </row>
  </sheetData>
  <mergeCells count="6">
    <mergeCell ref="A1:A9"/>
    <mergeCell ref="J2:J3"/>
    <mergeCell ref="K2:K3"/>
    <mergeCell ref="A13:A20"/>
    <mergeCell ref="J14:J15"/>
    <mergeCell ref="K14:K15"/>
  </mergeCells>
  <phoneticPr fontId="2"/>
  <pageMargins left="0.7" right="0.7" top="0.75" bottom="0.75" header="0.3" footer="0.3"/>
  <pageSetup paperSize="8" scale="36" fitToHeight="0" orientation="landscape"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3BC1-E700-464C-BDD8-26CAB7272415}">
  <sheetPr codeName="Sheet255">
    <tabColor rgb="FF2E81FA"/>
    <pageSetUpPr fitToPage="1"/>
  </sheetPr>
  <dimension ref="A2:BP32"/>
  <sheetViews>
    <sheetView zoomScale="40" zoomScaleNormal="40" workbookViewId="0"/>
  </sheetViews>
  <sheetFormatPr defaultColWidth="8.7265625" defaultRowHeight="19"/>
  <cols>
    <col min="1" max="1" width="33.453125" style="2525" customWidth="1"/>
    <col min="2" max="62" width="5.453125" style="2525" customWidth="1"/>
    <col min="63" max="68" width="4.1796875" style="2525" bestFit="1" customWidth="1"/>
    <col min="69" max="16384" width="8.7265625" style="2525"/>
  </cols>
  <sheetData>
    <row r="2" spans="8:68">
      <c r="BE2" s="6706" t="s">
        <v>4814</v>
      </c>
      <c r="BF2" s="6706"/>
      <c r="BG2" s="6706"/>
      <c r="BH2" s="6706"/>
      <c r="BI2" s="6706"/>
      <c r="BJ2" s="6706"/>
      <c r="BK2" s="6706"/>
      <c r="BL2" s="6706"/>
      <c r="BM2" s="6706"/>
      <c r="BN2" s="6706"/>
      <c r="BO2" s="6706"/>
      <c r="BP2" s="6706"/>
    </row>
    <row r="3" spans="8:68" ht="19.5" thickBot="1"/>
    <row r="4" spans="8:68" ht="19.5" thickTop="1">
      <c r="AU4" s="2526"/>
      <c r="AV4" s="2527"/>
      <c r="AW4" s="2527"/>
      <c r="AX4" s="2527"/>
      <c r="AY4" s="2527"/>
      <c r="AZ4" s="2527"/>
      <c r="BA4" s="2527"/>
      <c r="BB4" s="2527"/>
      <c r="BC4" s="2527"/>
      <c r="BD4" s="2527"/>
      <c r="BE4" s="2527"/>
      <c r="BF4" s="2527"/>
      <c r="BG4" s="2527"/>
      <c r="BH4" s="2527"/>
      <c r="BI4" s="2527"/>
      <c r="BJ4" s="2527"/>
      <c r="BK4" s="2527"/>
      <c r="BL4" s="2527"/>
      <c r="BM4" s="2527"/>
      <c r="BN4" s="2527"/>
      <c r="BO4" s="2527"/>
      <c r="BP4" s="2528"/>
    </row>
    <row r="5" spans="8:68">
      <c r="AU5" s="2529"/>
      <c r="AV5" s="2530" t="s">
        <v>4815</v>
      </c>
      <c r="AW5" s="2530"/>
      <c r="AX5" s="2530"/>
      <c r="AY5" s="2530"/>
      <c r="AZ5" s="2530"/>
      <c r="BP5" s="2531"/>
    </row>
    <row r="6" spans="8:68">
      <c r="AU6" s="2529"/>
      <c r="BP6" s="2531"/>
    </row>
    <row r="7" spans="8:68">
      <c r="AU7" s="2529"/>
      <c r="AV7" s="2525" t="s">
        <v>4816</v>
      </c>
      <c r="BF7" s="2525" t="s">
        <v>4817</v>
      </c>
      <c r="BP7" s="2531"/>
    </row>
    <row r="8" spans="8:68">
      <c r="AU8" s="2529"/>
      <c r="AV8" s="2532"/>
      <c r="AW8" s="2532"/>
      <c r="AX8" s="2525" t="s">
        <v>4818</v>
      </c>
      <c r="BF8" s="2533"/>
      <c r="BG8" s="2533"/>
      <c r="BH8" s="2525" t="s">
        <v>4818</v>
      </c>
      <c r="BP8" s="2531"/>
    </row>
    <row r="9" spans="8:68">
      <c r="AU9" s="2529"/>
      <c r="BP9" s="2531"/>
    </row>
    <row r="10" spans="8:68">
      <c r="AU10" s="2529"/>
      <c r="AV10" s="2534"/>
      <c r="AW10" s="2534"/>
      <c r="AX10" s="2525" t="s">
        <v>4819</v>
      </c>
      <c r="BF10" s="2535"/>
      <c r="BG10" s="2535"/>
      <c r="BH10" s="2525" t="s">
        <v>4819</v>
      </c>
      <c r="BP10" s="2531"/>
    </row>
    <row r="11" spans="8:68">
      <c r="AU11" s="2529"/>
      <c r="BP11" s="2531"/>
    </row>
    <row r="12" spans="8:68">
      <c r="AU12" s="2529"/>
      <c r="AV12" s="2536"/>
      <c r="AW12" s="2536"/>
      <c r="AX12" s="2525" t="s">
        <v>4820</v>
      </c>
      <c r="BF12" s="2537"/>
      <c r="BG12" s="2537"/>
      <c r="BH12" s="2525" t="s">
        <v>4820</v>
      </c>
      <c r="BP12" s="2531"/>
    </row>
    <row r="13" spans="8:68" ht="19.5" thickBot="1">
      <c r="AU13" s="2538"/>
      <c r="AV13" s="2539"/>
      <c r="AW13" s="2539"/>
      <c r="AX13" s="2539"/>
      <c r="AY13" s="2539"/>
      <c r="AZ13" s="2539"/>
      <c r="BA13" s="2539"/>
      <c r="BB13" s="2539"/>
      <c r="BC13" s="2539"/>
      <c r="BD13" s="2539"/>
      <c r="BE13" s="2539"/>
      <c r="BF13" s="2539"/>
      <c r="BG13" s="2539"/>
      <c r="BH13" s="2539"/>
      <c r="BI13" s="2539"/>
      <c r="BJ13" s="2539"/>
      <c r="BK13" s="2539"/>
      <c r="BL13" s="2539"/>
      <c r="BM13" s="2539"/>
      <c r="BN13" s="2539"/>
      <c r="BO13" s="2539"/>
      <c r="BP13" s="2540"/>
    </row>
    <row r="14" spans="8:68" ht="19.5" thickTop="1"/>
    <row r="16" spans="8:68">
      <c r="H16" s="2541"/>
      <c r="I16" s="2541"/>
      <c r="J16" s="2541"/>
      <c r="K16" s="2541"/>
      <c r="L16" s="2541"/>
      <c r="M16" s="2541"/>
      <c r="N16" s="2541"/>
      <c r="O16" s="2541"/>
      <c r="P16" s="2541"/>
      <c r="Q16" s="2541"/>
      <c r="R16" s="2542"/>
      <c r="S16" s="2542"/>
      <c r="T16" s="2543" t="s">
        <v>4821</v>
      </c>
      <c r="U16" s="2542"/>
      <c r="V16" s="2542"/>
      <c r="W16" s="2542"/>
      <c r="X16" s="2542"/>
      <c r="Y16" s="2542"/>
      <c r="Z16" s="2542"/>
      <c r="AA16" s="2541"/>
      <c r="AB16" s="2541"/>
      <c r="AC16" s="2541"/>
      <c r="AD16" s="2541"/>
      <c r="AE16" s="2541"/>
      <c r="AF16" s="2541"/>
      <c r="AG16" s="2541"/>
      <c r="AH16" s="2541"/>
      <c r="AI16" s="2544" t="s">
        <v>4822</v>
      </c>
      <c r="AJ16" s="2541"/>
      <c r="AK16" s="6707"/>
      <c r="AL16" s="6707"/>
      <c r="AW16" s="2545" t="s">
        <v>4821</v>
      </c>
      <c r="BC16" s="2545" t="s">
        <v>4822</v>
      </c>
    </row>
    <row r="17" spans="1:68">
      <c r="B17" s="6708" t="s">
        <v>4823</v>
      </c>
      <c r="C17" s="6709"/>
      <c r="D17" s="6709"/>
      <c r="E17" s="6709"/>
      <c r="F17" s="6709"/>
      <c r="G17" s="6709"/>
      <c r="H17" s="6709"/>
      <c r="I17" s="6709"/>
      <c r="J17" s="6709"/>
      <c r="K17" s="6709"/>
      <c r="L17" s="6709"/>
      <c r="M17" s="6709"/>
      <c r="N17" s="6709"/>
      <c r="O17" s="6709"/>
      <c r="P17" s="6709"/>
      <c r="Q17" s="6709"/>
      <c r="R17" s="6709"/>
      <c r="S17" s="6709"/>
      <c r="T17" s="6709"/>
      <c r="U17" s="6709"/>
      <c r="V17" s="6709"/>
      <c r="W17" s="6709"/>
      <c r="X17" s="6709"/>
      <c r="Y17" s="6709"/>
      <c r="Z17" s="6709"/>
      <c r="AA17" s="6709"/>
      <c r="AB17" s="6709"/>
      <c r="AC17" s="6709"/>
      <c r="AD17" s="6709"/>
      <c r="AE17" s="6709"/>
      <c r="AF17" s="6710" t="s">
        <v>4824</v>
      </c>
      <c r="AG17" s="6711"/>
      <c r="AH17" s="6711"/>
      <c r="AI17" s="6711"/>
      <c r="AJ17" s="6711"/>
      <c r="AK17" s="6711"/>
      <c r="AL17" s="6711"/>
      <c r="AM17" s="6711"/>
      <c r="AN17" s="6711"/>
      <c r="AO17" s="6711"/>
      <c r="AP17" s="6711"/>
      <c r="AQ17" s="6711"/>
      <c r="AR17" s="6711"/>
      <c r="AS17" s="6711"/>
      <c r="AT17" s="6711"/>
      <c r="AU17" s="6711"/>
      <c r="AV17" s="6711"/>
      <c r="AW17" s="6711"/>
      <c r="AX17" s="6711"/>
      <c r="AY17" s="6711"/>
      <c r="AZ17" s="6711"/>
      <c r="BA17" s="6711"/>
      <c r="BB17" s="6711"/>
      <c r="BC17" s="6711"/>
      <c r="BD17" s="6711"/>
      <c r="BE17" s="6711"/>
      <c r="BF17" s="6711"/>
      <c r="BG17" s="6711"/>
      <c r="BH17" s="6711"/>
      <c r="BI17" s="6711"/>
      <c r="BJ17" s="6712"/>
    </row>
    <row r="18" spans="1:68">
      <c r="B18" s="2546">
        <v>46266</v>
      </c>
      <c r="C18" s="2547">
        <v>46267</v>
      </c>
      <c r="D18" s="2547">
        <v>46268</v>
      </c>
      <c r="E18" s="2547">
        <v>46269</v>
      </c>
      <c r="F18" s="2547">
        <v>46270</v>
      </c>
      <c r="G18" s="2547">
        <v>46271</v>
      </c>
      <c r="H18" s="2547">
        <v>46272</v>
      </c>
      <c r="I18" s="2547">
        <v>46273</v>
      </c>
      <c r="J18" s="2547">
        <v>46274</v>
      </c>
      <c r="K18" s="2547">
        <v>46275</v>
      </c>
      <c r="L18" s="2547">
        <v>46276</v>
      </c>
      <c r="M18" s="2548">
        <v>46277</v>
      </c>
      <c r="N18" s="2548">
        <v>46278</v>
      </c>
      <c r="O18" s="2547">
        <v>46279</v>
      </c>
      <c r="P18" s="2547">
        <v>46280</v>
      </c>
      <c r="Q18" s="2547">
        <v>46281</v>
      </c>
      <c r="R18" s="2547">
        <v>46282</v>
      </c>
      <c r="S18" s="2547">
        <v>46283</v>
      </c>
      <c r="T18" s="2549">
        <v>46284</v>
      </c>
      <c r="U18" s="2548">
        <v>46285</v>
      </c>
      <c r="V18" s="2548">
        <v>46286</v>
      </c>
      <c r="W18" s="2548">
        <v>46287</v>
      </c>
      <c r="X18" s="2548">
        <v>46288</v>
      </c>
      <c r="Y18" s="2547">
        <v>46289</v>
      </c>
      <c r="Z18" s="2547">
        <v>46290</v>
      </c>
      <c r="AA18" s="2548">
        <v>46291</v>
      </c>
      <c r="AB18" s="2548">
        <v>46292</v>
      </c>
      <c r="AC18" s="2547">
        <v>46293</v>
      </c>
      <c r="AD18" s="2547">
        <v>46294</v>
      </c>
      <c r="AE18" s="2550">
        <v>46295</v>
      </c>
      <c r="AF18" s="2551">
        <v>46296</v>
      </c>
      <c r="AG18" s="2552">
        <v>46297</v>
      </c>
      <c r="AH18" s="2553">
        <v>46298</v>
      </c>
      <c r="AI18" s="2554">
        <v>46299</v>
      </c>
      <c r="AJ18" s="2552">
        <v>5</v>
      </c>
      <c r="AK18" s="2552">
        <v>6</v>
      </c>
      <c r="AL18" s="2552">
        <v>7</v>
      </c>
      <c r="AM18" s="2552">
        <v>8</v>
      </c>
      <c r="AN18" s="2552">
        <v>9</v>
      </c>
      <c r="AO18" s="2552">
        <v>10</v>
      </c>
      <c r="AP18" s="2552">
        <v>11</v>
      </c>
      <c r="AQ18" s="2552">
        <v>12</v>
      </c>
      <c r="AR18" s="2552">
        <v>13</v>
      </c>
      <c r="AS18" s="2552">
        <v>14</v>
      </c>
      <c r="AT18" s="2552">
        <v>15</v>
      </c>
      <c r="AU18" s="2552">
        <v>16</v>
      </c>
      <c r="AV18" s="2552">
        <v>17</v>
      </c>
      <c r="AW18" s="2554">
        <v>18</v>
      </c>
      <c r="AX18" s="2552">
        <v>19</v>
      </c>
      <c r="AY18" s="2552">
        <v>20</v>
      </c>
      <c r="AZ18" s="2552">
        <v>21</v>
      </c>
      <c r="BA18" s="2552">
        <v>22</v>
      </c>
      <c r="BB18" s="2552">
        <v>23</v>
      </c>
      <c r="BC18" s="2555">
        <v>24</v>
      </c>
      <c r="BD18" s="2552">
        <v>25</v>
      </c>
      <c r="BE18" s="2552">
        <v>26</v>
      </c>
      <c r="BF18" s="2552">
        <v>27</v>
      </c>
      <c r="BG18" s="2552">
        <v>28</v>
      </c>
      <c r="BH18" s="2552">
        <v>29</v>
      </c>
      <c r="BI18" s="2552">
        <v>30</v>
      </c>
      <c r="BJ18" s="2556">
        <v>31</v>
      </c>
    </row>
    <row r="19" spans="1:68">
      <c r="B19" s="2557" t="s">
        <v>2124</v>
      </c>
      <c r="C19" s="2558" t="s">
        <v>2125</v>
      </c>
      <c r="D19" s="2558" t="s">
        <v>2126</v>
      </c>
      <c r="E19" s="2558" t="s">
        <v>2116</v>
      </c>
      <c r="F19" s="2558" t="s">
        <v>2117</v>
      </c>
      <c r="G19" s="2558" t="s">
        <v>2118</v>
      </c>
      <c r="H19" s="2558" t="s">
        <v>2123</v>
      </c>
      <c r="I19" s="2558" t="s">
        <v>2124</v>
      </c>
      <c r="J19" s="2558" t="s">
        <v>4825</v>
      </c>
      <c r="K19" s="2558" t="s">
        <v>4826</v>
      </c>
      <c r="L19" s="2558" t="s">
        <v>2116</v>
      </c>
      <c r="M19" s="2559" t="s">
        <v>2117</v>
      </c>
      <c r="N19" s="2559" t="s">
        <v>2118</v>
      </c>
      <c r="O19" s="2558" t="s">
        <v>2123</v>
      </c>
      <c r="P19" s="2558" t="s">
        <v>2124</v>
      </c>
      <c r="Q19" s="2558" t="s">
        <v>2125</v>
      </c>
      <c r="R19" s="2558" t="s">
        <v>2126</v>
      </c>
      <c r="S19" s="2558" t="s">
        <v>2116</v>
      </c>
      <c r="T19" s="2560" t="s">
        <v>2117</v>
      </c>
      <c r="U19" s="2559" t="s">
        <v>2118</v>
      </c>
      <c r="V19" s="2559" t="s">
        <v>2123</v>
      </c>
      <c r="W19" s="2559" t="s">
        <v>2124</v>
      </c>
      <c r="X19" s="2559" t="s">
        <v>2125</v>
      </c>
      <c r="Y19" s="2558" t="s">
        <v>2126</v>
      </c>
      <c r="Z19" s="2558" t="s">
        <v>2116</v>
      </c>
      <c r="AA19" s="2559" t="s">
        <v>2117</v>
      </c>
      <c r="AB19" s="2559" t="s">
        <v>2118</v>
      </c>
      <c r="AC19" s="2558" t="s">
        <v>2123</v>
      </c>
      <c r="AD19" s="2558" t="s">
        <v>2124</v>
      </c>
      <c r="AE19" s="2561" t="s">
        <v>2125</v>
      </c>
      <c r="AF19" s="2557" t="s">
        <v>2126</v>
      </c>
      <c r="AG19" s="2558" t="s">
        <v>2116</v>
      </c>
      <c r="AH19" s="2559" t="s">
        <v>2117</v>
      </c>
      <c r="AI19" s="2560" t="s">
        <v>2118</v>
      </c>
      <c r="AJ19" s="2558" t="s">
        <v>2123</v>
      </c>
      <c r="AK19" s="2558" t="s">
        <v>2124</v>
      </c>
      <c r="AL19" s="2558" t="s">
        <v>2125</v>
      </c>
      <c r="AM19" s="2558" t="s">
        <v>2126</v>
      </c>
      <c r="AN19" s="2558" t="s">
        <v>2116</v>
      </c>
      <c r="AO19" s="2558" t="s">
        <v>2117</v>
      </c>
      <c r="AP19" s="2558" t="s">
        <v>2118</v>
      </c>
      <c r="AQ19" s="2558" t="s">
        <v>2123</v>
      </c>
      <c r="AR19" s="2558" t="s">
        <v>2124</v>
      </c>
      <c r="AS19" s="2558" t="s">
        <v>2125</v>
      </c>
      <c r="AT19" s="2558" t="s">
        <v>2126</v>
      </c>
      <c r="AU19" s="2558" t="s">
        <v>2116</v>
      </c>
      <c r="AV19" s="2558" t="s">
        <v>2117</v>
      </c>
      <c r="AW19" s="2560" t="s">
        <v>2118</v>
      </c>
      <c r="AX19" s="2558" t="s">
        <v>2123</v>
      </c>
      <c r="AY19" s="2558" t="s">
        <v>2124</v>
      </c>
      <c r="AZ19" s="2558" t="s">
        <v>2125</v>
      </c>
      <c r="BA19" s="2558" t="s">
        <v>2126</v>
      </c>
      <c r="BB19" s="2558" t="s">
        <v>2116</v>
      </c>
      <c r="BC19" s="2562" t="s">
        <v>2117</v>
      </c>
      <c r="BD19" s="2558" t="s">
        <v>2118</v>
      </c>
      <c r="BE19" s="2558" t="s">
        <v>2123</v>
      </c>
      <c r="BF19" s="2558" t="s">
        <v>2124</v>
      </c>
      <c r="BG19" s="2558" t="s">
        <v>2125</v>
      </c>
      <c r="BH19" s="2558" t="s">
        <v>2126</v>
      </c>
      <c r="BI19" s="2558" t="s">
        <v>2116</v>
      </c>
      <c r="BJ19" s="2563" t="s">
        <v>2117</v>
      </c>
    </row>
    <row r="20" spans="1:68">
      <c r="A20" s="2564" t="s">
        <v>4827</v>
      </c>
      <c r="B20" s="2565">
        <v>-18</v>
      </c>
      <c r="C20" s="2566">
        <v>-17</v>
      </c>
      <c r="D20" s="2566">
        <v>-16</v>
      </c>
      <c r="E20" s="2566">
        <v>-15</v>
      </c>
      <c r="F20" s="2566">
        <v>-14</v>
      </c>
      <c r="G20" s="2566">
        <v>-13</v>
      </c>
      <c r="H20" s="2566">
        <v>-12</v>
      </c>
      <c r="I20" s="2566">
        <v>-11</v>
      </c>
      <c r="J20" s="2566">
        <v>-10</v>
      </c>
      <c r="K20" s="2566">
        <v>-9</v>
      </c>
      <c r="L20" s="2566">
        <v>-8</v>
      </c>
      <c r="M20" s="2567">
        <v>-7</v>
      </c>
      <c r="N20" s="2567">
        <v>-6</v>
      </c>
      <c r="O20" s="2566">
        <v>-5</v>
      </c>
      <c r="P20" s="2566">
        <v>-4</v>
      </c>
      <c r="Q20" s="2566">
        <v>-3</v>
      </c>
      <c r="R20" s="2566">
        <v>-2</v>
      </c>
      <c r="S20" s="2566">
        <v>-1</v>
      </c>
      <c r="T20" s="2568">
        <v>0</v>
      </c>
      <c r="U20" s="2569"/>
      <c r="V20" s="2569"/>
      <c r="W20" s="2569"/>
      <c r="X20" s="2569"/>
      <c r="Y20" s="2569"/>
      <c r="Z20" s="2569"/>
      <c r="AA20" s="2569"/>
      <c r="AB20" s="2569"/>
      <c r="AC20" s="2569"/>
      <c r="AD20" s="2569"/>
      <c r="AE20" s="2570"/>
      <c r="AF20" s="2571"/>
      <c r="AG20" s="2569"/>
      <c r="AH20" s="2569"/>
      <c r="AI20" s="2572">
        <v>0</v>
      </c>
      <c r="AJ20" s="2569">
        <v>1</v>
      </c>
      <c r="AK20" s="2569">
        <v>2</v>
      </c>
      <c r="AL20" s="2569">
        <v>3</v>
      </c>
      <c r="AM20" s="2569">
        <v>4</v>
      </c>
      <c r="AN20" s="2569">
        <v>5</v>
      </c>
      <c r="AO20" s="2569">
        <v>6</v>
      </c>
      <c r="AP20" s="2569">
        <v>7</v>
      </c>
      <c r="AQ20" s="2569">
        <v>8</v>
      </c>
      <c r="AR20" s="2569">
        <v>9</v>
      </c>
      <c r="AS20" s="2569">
        <v>10</v>
      </c>
      <c r="AT20" s="2569">
        <v>11</v>
      </c>
      <c r="AU20" s="2569">
        <v>12</v>
      </c>
      <c r="AV20" s="2569">
        <v>13</v>
      </c>
      <c r="AW20" s="2572"/>
      <c r="AX20" s="2569"/>
      <c r="AY20" s="2569"/>
      <c r="AZ20" s="2569"/>
      <c r="BA20" s="2569"/>
      <c r="BB20" s="2569"/>
      <c r="BC20" s="2572"/>
      <c r="BD20" s="2569"/>
      <c r="BE20" s="2569"/>
      <c r="BF20" s="2569"/>
      <c r="BG20" s="2569"/>
      <c r="BH20" s="2569"/>
      <c r="BI20" s="2569"/>
      <c r="BJ20" s="2570"/>
      <c r="BK20" s="6713" t="s">
        <v>4827</v>
      </c>
      <c r="BL20" s="6714"/>
      <c r="BM20" s="6715" t="s">
        <v>4828</v>
      </c>
      <c r="BN20" s="6714"/>
      <c r="BO20" s="6715" t="s">
        <v>4829</v>
      </c>
      <c r="BP20" s="6714"/>
    </row>
    <row r="21" spans="1:68">
      <c r="A21" s="2573" t="s">
        <v>4828</v>
      </c>
      <c r="B21" s="2574"/>
      <c r="C21" s="2575"/>
      <c r="D21" s="2575"/>
      <c r="E21" s="2575"/>
      <c r="F21" s="2575"/>
      <c r="G21" s="2575"/>
      <c r="H21" s="2575"/>
      <c r="I21" s="2575"/>
      <c r="J21" s="2575"/>
      <c r="K21" s="2575"/>
      <c r="L21" s="2575"/>
      <c r="M21" s="2575"/>
      <c r="N21" s="2575"/>
      <c r="O21" s="2575"/>
      <c r="P21" s="2575"/>
      <c r="Q21" s="2575"/>
      <c r="R21" s="2575"/>
      <c r="S21" s="2575"/>
      <c r="T21" s="2575"/>
      <c r="U21" s="2575"/>
      <c r="V21" s="2575"/>
      <c r="W21" s="2575"/>
      <c r="X21" s="2575"/>
      <c r="Y21" s="2575"/>
      <c r="Z21" s="2575"/>
      <c r="AA21" s="2575"/>
      <c r="AB21" s="2575"/>
      <c r="AC21" s="2575"/>
      <c r="AD21" s="2575"/>
      <c r="AE21" s="2576"/>
      <c r="AF21" s="2574"/>
      <c r="AG21" s="2575"/>
      <c r="AH21" s="2577">
        <v>-15</v>
      </c>
      <c r="AI21" s="2577">
        <v>-14</v>
      </c>
      <c r="AJ21" s="2578">
        <v>-13</v>
      </c>
      <c r="AK21" s="2578">
        <v>-12</v>
      </c>
      <c r="AL21" s="2578">
        <v>-11</v>
      </c>
      <c r="AM21" s="2578">
        <v>-10</v>
      </c>
      <c r="AN21" s="2578">
        <v>-9</v>
      </c>
      <c r="AO21" s="2578">
        <v>-8</v>
      </c>
      <c r="AP21" s="2578">
        <v>-7</v>
      </c>
      <c r="AQ21" s="2578">
        <v>-6</v>
      </c>
      <c r="AR21" s="2578">
        <v>-5</v>
      </c>
      <c r="AS21" s="2578">
        <v>-4</v>
      </c>
      <c r="AT21" s="2578">
        <v>-3</v>
      </c>
      <c r="AU21" s="2578">
        <v>-2</v>
      </c>
      <c r="AV21" s="2578">
        <v>-1</v>
      </c>
      <c r="AW21" s="2579">
        <v>0</v>
      </c>
      <c r="AX21" s="2578"/>
      <c r="AY21" s="2578"/>
      <c r="AZ21" s="2578"/>
      <c r="BA21" s="2578"/>
      <c r="BB21" s="2578"/>
      <c r="BC21" s="2579">
        <v>0</v>
      </c>
      <c r="BD21" s="2578">
        <v>1</v>
      </c>
      <c r="BE21" s="2578">
        <v>2</v>
      </c>
      <c r="BF21" s="2578">
        <v>3</v>
      </c>
      <c r="BG21" s="2578">
        <v>4</v>
      </c>
      <c r="BH21" s="2578">
        <v>5</v>
      </c>
      <c r="BI21" s="2578">
        <v>6</v>
      </c>
      <c r="BJ21" s="2580">
        <v>7</v>
      </c>
      <c r="BK21" s="2581" t="s">
        <v>4830</v>
      </c>
      <c r="BL21" s="2582" t="s">
        <v>2118</v>
      </c>
      <c r="BM21" s="2581" t="s">
        <v>4830</v>
      </c>
      <c r="BN21" s="2583" t="s">
        <v>2118</v>
      </c>
      <c r="BO21" s="2581" t="s">
        <v>4830</v>
      </c>
      <c r="BP21" s="2583" t="s">
        <v>2118</v>
      </c>
    </row>
    <row r="22" spans="1:68" ht="57">
      <c r="A22" s="2584" t="s">
        <v>4831</v>
      </c>
      <c r="B22" s="2585"/>
      <c r="C22" s="2586"/>
      <c r="D22" s="2586"/>
      <c r="E22" s="2586"/>
      <c r="F22" s="2586"/>
      <c r="G22" s="2586"/>
      <c r="H22" s="2586"/>
      <c r="I22" s="2586"/>
      <c r="J22" s="2586"/>
      <c r="K22" s="2586"/>
      <c r="L22" s="2586"/>
      <c r="M22" s="2586"/>
      <c r="N22" s="2586"/>
      <c r="O22" s="2586"/>
      <c r="P22" s="2586"/>
      <c r="Q22" s="2587">
        <v>1</v>
      </c>
      <c r="R22" s="2587">
        <v>1</v>
      </c>
      <c r="S22" s="2587">
        <v>1</v>
      </c>
      <c r="T22" s="2588">
        <v>1</v>
      </c>
      <c r="U22" s="2588">
        <v>1</v>
      </c>
      <c r="V22" s="2588">
        <v>1</v>
      </c>
      <c r="W22" s="2588">
        <v>1</v>
      </c>
      <c r="X22" s="2588">
        <v>1</v>
      </c>
      <c r="Y22" s="2589">
        <v>1</v>
      </c>
      <c r="Z22" s="2589">
        <v>1</v>
      </c>
      <c r="AA22" s="2589">
        <v>1</v>
      </c>
      <c r="AB22" s="2589">
        <v>1</v>
      </c>
      <c r="AC22" s="2589">
        <v>1</v>
      </c>
      <c r="AD22" s="2589">
        <v>1</v>
      </c>
      <c r="AE22" s="2590">
        <v>1</v>
      </c>
      <c r="AF22" s="2591">
        <v>1</v>
      </c>
      <c r="AG22" s="2588">
        <v>1</v>
      </c>
      <c r="AH22" s="2588">
        <v>1</v>
      </c>
      <c r="AI22" s="2587"/>
      <c r="AJ22" s="2586"/>
      <c r="AK22" s="2586"/>
      <c r="AL22" s="2586"/>
      <c r="AM22" s="2586"/>
      <c r="AN22" s="2592">
        <v>1</v>
      </c>
      <c r="AO22" s="2592">
        <v>1</v>
      </c>
      <c r="AP22" s="2592">
        <v>1</v>
      </c>
      <c r="AQ22" s="2593">
        <v>1</v>
      </c>
      <c r="AR22" s="2593">
        <v>1</v>
      </c>
      <c r="AS22" s="2593">
        <v>1</v>
      </c>
      <c r="AT22" s="2593">
        <v>1</v>
      </c>
      <c r="AU22" s="2593">
        <v>1</v>
      </c>
      <c r="AV22" s="2593">
        <v>1</v>
      </c>
      <c r="AW22" s="2594">
        <v>1</v>
      </c>
      <c r="AX22" s="2594">
        <v>1</v>
      </c>
      <c r="AY22" s="2594">
        <v>1</v>
      </c>
      <c r="AZ22" s="2594">
        <v>1</v>
      </c>
      <c r="BA22" s="2594">
        <v>1</v>
      </c>
      <c r="BB22" s="2594">
        <v>1</v>
      </c>
      <c r="BC22" s="2594">
        <v>1</v>
      </c>
      <c r="BD22" s="2593">
        <v>1</v>
      </c>
      <c r="BE22" s="2593">
        <v>1</v>
      </c>
      <c r="BF22" s="2592"/>
      <c r="BG22" s="2586"/>
      <c r="BH22" s="2586"/>
      <c r="BI22" s="2586"/>
      <c r="BJ22" s="2595"/>
      <c r="BK22" s="2585">
        <f>SUM(B22:AI22)</f>
        <v>18</v>
      </c>
      <c r="BL22" s="2586">
        <f>BK22+1</f>
        <v>19</v>
      </c>
      <c r="BM22" s="2586">
        <f>SUM(AN22:BH22)</f>
        <v>18</v>
      </c>
      <c r="BN22" s="2596">
        <f t="shared" ref="BN22:BN30" si="0">BM22+1</f>
        <v>19</v>
      </c>
      <c r="BO22" s="2586">
        <f>SUM(C22:BF22)</f>
        <v>36</v>
      </c>
      <c r="BP22" s="2596" t="s">
        <v>2647</v>
      </c>
    </row>
    <row r="23" spans="1:68">
      <c r="A23" s="2597" t="s">
        <v>4832</v>
      </c>
      <c r="B23" s="2598"/>
      <c r="C23" s="2599">
        <v>1</v>
      </c>
      <c r="D23" s="2599">
        <v>1</v>
      </c>
      <c r="E23" s="2599">
        <v>1</v>
      </c>
      <c r="F23" s="2600">
        <v>1</v>
      </c>
      <c r="G23" s="2600">
        <v>1</v>
      </c>
      <c r="H23" s="2601">
        <v>1</v>
      </c>
      <c r="I23" s="2600">
        <v>1</v>
      </c>
      <c r="J23" s="2600">
        <v>1</v>
      </c>
      <c r="K23" s="2600">
        <v>1</v>
      </c>
      <c r="L23" s="2600">
        <v>1</v>
      </c>
      <c r="M23" s="2600">
        <v>1</v>
      </c>
      <c r="N23" s="2600">
        <v>1</v>
      </c>
      <c r="O23" s="2600">
        <v>1</v>
      </c>
      <c r="P23" s="2600">
        <v>1</v>
      </c>
      <c r="Q23" s="2600">
        <v>1</v>
      </c>
      <c r="R23" s="2600">
        <v>1</v>
      </c>
      <c r="S23" s="2600">
        <v>1</v>
      </c>
      <c r="T23" s="2602">
        <v>1</v>
      </c>
      <c r="U23" s="2602">
        <v>1</v>
      </c>
      <c r="V23" s="2602">
        <v>1</v>
      </c>
      <c r="W23" s="2602">
        <v>1</v>
      </c>
      <c r="X23" s="2602">
        <v>1</v>
      </c>
      <c r="Y23" s="2602">
        <v>1</v>
      </c>
      <c r="Z23" s="2602">
        <v>1</v>
      </c>
      <c r="AA23" s="2602">
        <v>1</v>
      </c>
      <c r="AB23" s="2602">
        <v>1</v>
      </c>
      <c r="AC23" s="2602">
        <v>1</v>
      </c>
      <c r="AD23" s="2602">
        <v>1</v>
      </c>
      <c r="AE23" s="2603">
        <v>1</v>
      </c>
      <c r="AF23" s="2604">
        <v>1</v>
      </c>
      <c r="AG23" s="2602">
        <v>1</v>
      </c>
      <c r="AH23" s="2602">
        <v>1</v>
      </c>
      <c r="AI23" s="2602">
        <v>1</v>
      </c>
      <c r="AJ23" s="2600">
        <v>1</v>
      </c>
      <c r="AK23" s="2600">
        <v>1</v>
      </c>
      <c r="AL23" s="2605">
        <v>1</v>
      </c>
      <c r="AM23" s="2606"/>
      <c r="AN23" s="2607"/>
      <c r="AO23" s="2607"/>
      <c r="AP23" s="2607"/>
      <c r="AQ23" s="2607"/>
      <c r="AR23" s="2607"/>
      <c r="AS23" s="2607"/>
      <c r="AT23" s="2607"/>
      <c r="AU23" s="2607"/>
      <c r="AV23" s="2607"/>
      <c r="AW23" s="2607"/>
      <c r="AX23" s="2607"/>
      <c r="AY23" s="2607"/>
      <c r="AZ23" s="2607"/>
      <c r="BA23" s="2607"/>
      <c r="BB23" s="2607"/>
      <c r="BC23" s="2607"/>
      <c r="BD23" s="2607"/>
      <c r="BE23" s="2607"/>
      <c r="BF23" s="2607"/>
      <c r="BG23" s="2607"/>
      <c r="BH23" s="2607"/>
      <c r="BI23" s="2608"/>
      <c r="BJ23" s="2609"/>
      <c r="BK23" s="2598">
        <f>SUM(C23:AL23)</f>
        <v>36</v>
      </c>
      <c r="BL23" s="2608">
        <f>BK23+1</f>
        <v>37</v>
      </c>
      <c r="BM23" s="2608">
        <f>SUM(AM23:BJ23)</f>
        <v>0</v>
      </c>
      <c r="BN23" s="2610">
        <f t="shared" si="0"/>
        <v>1</v>
      </c>
      <c r="BO23" s="2608">
        <f>SUM(C23:BF23)</f>
        <v>36</v>
      </c>
      <c r="BP23" s="2610">
        <f>BO23+1</f>
        <v>37</v>
      </c>
    </row>
    <row r="24" spans="1:68">
      <c r="A24" s="2597" t="s">
        <v>4833</v>
      </c>
      <c r="B24" s="2598"/>
      <c r="C24" s="2598"/>
      <c r="D24" s="2598"/>
      <c r="E24" s="2598"/>
      <c r="F24" s="2598"/>
      <c r="G24" s="2598"/>
      <c r="H24" s="2598"/>
      <c r="I24" s="2598"/>
      <c r="J24" s="2598"/>
      <c r="K24" s="2598"/>
      <c r="L24" s="2598"/>
      <c r="M24" s="2598"/>
      <c r="N24" s="2598"/>
      <c r="O24" s="2598"/>
      <c r="P24" s="2598"/>
      <c r="Q24" s="2598"/>
      <c r="R24" s="2598"/>
      <c r="S24" s="2598"/>
      <c r="T24" s="2598"/>
      <c r="U24" s="2598"/>
      <c r="V24" s="2598"/>
      <c r="W24" s="2598"/>
      <c r="X24" s="2598"/>
      <c r="Y24" s="2598"/>
      <c r="Z24" s="2598"/>
      <c r="AA24" s="2598"/>
      <c r="AB24" s="2598"/>
      <c r="AC24" s="2598"/>
      <c r="AD24" s="2598"/>
      <c r="AE24" s="2598"/>
      <c r="AF24" s="2598"/>
      <c r="AG24" s="2598"/>
      <c r="AH24" s="2598"/>
      <c r="AI24" s="2598"/>
      <c r="AJ24" s="2598"/>
      <c r="AK24" s="2598"/>
      <c r="AL24" s="2598"/>
      <c r="AM24" s="2611">
        <v>1</v>
      </c>
      <c r="AN24" s="2611">
        <v>1</v>
      </c>
      <c r="AO24" s="2611">
        <v>1</v>
      </c>
      <c r="AP24" s="2612">
        <v>1</v>
      </c>
      <c r="AQ24" s="2612">
        <v>1</v>
      </c>
      <c r="AR24" s="2612">
        <v>1</v>
      </c>
      <c r="AS24" s="2612">
        <v>1</v>
      </c>
      <c r="AT24" s="2612">
        <v>1</v>
      </c>
      <c r="AU24" s="2612">
        <v>1</v>
      </c>
      <c r="AV24" s="2612">
        <v>1</v>
      </c>
      <c r="AW24" s="2613">
        <v>1</v>
      </c>
      <c r="AX24" s="2613">
        <v>1</v>
      </c>
      <c r="AY24" s="2613">
        <v>1</v>
      </c>
      <c r="AZ24" s="2613">
        <v>1</v>
      </c>
      <c r="BA24" s="2613">
        <v>1</v>
      </c>
      <c r="BB24" s="2613">
        <v>1</v>
      </c>
      <c r="BC24" s="2613">
        <v>1</v>
      </c>
      <c r="BD24" s="2612">
        <v>1</v>
      </c>
      <c r="BE24" s="2612">
        <v>1</v>
      </c>
      <c r="BF24" s="2611"/>
      <c r="BG24" s="2607"/>
      <c r="BH24" s="2607"/>
      <c r="BI24" s="2608"/>
      <c r="BJ24" s="2609"/>
      <c r="BK24" s="2598"/>
      <c r="BL24" s="2608"/>
      <c r="BM24" s="2608">
        <f>SUM(AM24:BJ24)</f>
        <v>19</v>
      </c>
      <c r="BN24" s="2610">
        <f t="shared" si="0"/>
        <v>20</v>
      </c>
      <c r="BO24" s="2608">
        <f>SUM(C24:BF24)</f>
        <v>19</v>
      </c>
      <c r="BP24" s="2610">
        <f>BO24+1</f>
        <v>20</v>
      </c>
    </row>
    <row r="25" spans="1:68">
      <c r="A25" s="2597" t="s">
        <v>4738</v>
      </c>
      <c r="B25" s="2585"/>
      <c r="C25" s="2586"/>
      <c r="D25" s="2586"/>
      <c r="E25" s="2586"/>
      <c r="F25" s="2586"/>
      <c r="G25" s="2586"/>
      <c r="H25" s="2586"/>
      <c r="I25" s="2586"/>
      <c r="J25" s="2586"/>
      <c r="K25" s="2586"/>
      <c r="L25" s="2586"/>
      <c r="M25" s="2586"/>
      <c r="N25" s="2586"/>
      <c r="O25" s="2586"/>
      <c r="P25" s="2586"/>
      <c r="Q25" s="2587">
        <v>1</v>
      </c>
      <c r="R25" s="2587">
        <v>1</v>
      </c>
      <c r="S25" s="2587">
        <v>1</v>
      </c>
      <c r="T25" s="2589">
        <v>1</v>
      </c>
      <c r="U25" s="2589">
        <v>1</v>
      </c>
      <c r="V25" s="2589">
        <v>1</v>
      </c>
      <c r="W25" s="2589">
        <v>1</v>
      </c>
      <c r="X25" s="2589">
        <v>1</v>
      </c>
      <c r="Y25" s="2589">
        <v>1</v>
      </c>
      <c r="Z25" s="2589">
        <v>1</v>
      </c>
      <c r="AA25" s="2589">
        <v>1</v>
      </c>
      <c r="AB25" s="2587"/>
      <c r="AC25" s="2586"/>
      <c r="AD25" s="2586"/>
      <c r="AE25" s="2595"/>
      <c r="AF25" s="2585"/>
      <c r="AG25" s="2586"/>
      <c r="AH25" s="2586"/>
      <c r="AI25" s="2586"/>
      <c r="AJ25" s="2586"/>
      <c r="AK25" s="2586"/>
      <c r="AL25" s="2586"/>
      <c r="AM25" s="2586"/>
      <c r="AN25" s="2586"/>
      <c r="AO25" s="2586"/>
      <c r="AP25" s="2586"/>
      <c r="AQ25" s="2586"/>
      <c r="AR25" s="2586"/>
      <c r="AS25" s="2586"/>
      <c r="AT25" s="2586"/>
      <c r="AU25" s="2586"/>
      <c r="AV25" s="2586"/>
      <c r="AW25" s="2586"/>
      <c r="AX25" s="2586"/>
      <c r="AY25" s="2586"/>
      <c r="AZ25" s="2586"/>
      <c r="BA25" s="2586"/>
      <c r="BB25" s="2586"/>
      <c r="BC25" s="2586"/>
      <c r="BD25" s="2586"/>
      <c r="BE25" s="2586"/>
      <c r="BF25" s="2586"/>
      <c r="BG25" s="2586"/>
      <c r="BH25" s="2586"/>
      <c r="BI25" s="2586"/>
      <c r="BJ25" s="2595"/>
      <c r="BK25" s="2585">
        <f>SUM(B25:AI25)</f>
        <v>11</v>
      </c>
      <c r="BL25" s="2586">
        <f t="shared" ref="BL25:BL30" si="1">BK25+1</f>
        <v>12</v>
      </c>
      <c r="BM25" s="2608">
        <f>SUM(AM25:BJ25)</f>
        <v>0</v>
      </c>
      <c r="BN25" s="2610">
        <f t="shared" si="0"/>
        <v>1</v>
      </c>
      <c r="BO25" s="2586"/>
      <c r="BP25" s="2596" t="s">
        <v>2647</v>
      </c>
    </row>
    <row r="26" spans="1:68">
      <c r="A26" s="2597" t="s">
        <v>4747</v>
      </c>
      <c r="B26" s="2585"/>
      <c r="C26" s="2586"/>
      <c r="D26" s="2586"/>
      <c r="E26" s="2586"/>
      <c r="F26" s="2588">
        <v>1</v>
      </c>
      <c r="G26" s="2588">
        <v>1</v>
      </c>
      <c r="H26" s="2588">
        <v>1</v>
      </c>
      <c r="I26" s="2588">
        <v>1</v>
      </c>
      <c r="J26" s="2588">
        <v>1</v>
      </c>
      <c r="K26" s="2588">
        <v>1</v>
      </c>
      <c r="L26" s="2588">
        <v>1</v>
      </c>
      <c r="M26" s="2588">
        <v>1</v>
      </c>
      <c r="N26" s="2588">
        <v>1</v>
      </c>
      <c r="O26" s="2588">
        <v>1</v>
      </c>
      <c r="P26" s="2588">
        <v>1</v>
      </c>
      <c r="Q26" s="2588">
        <v>1</v>
      </c>
      <c r="R26" s="2588">
        <v>1</v>
      </c>
      <c r="S26" s="2588">
        <v>1</v>
      </c>
      <c r="T26" s="2589">
        <v>1</v>
      </c>
      <c r="U26" s="2589">
        <v>1</v>
      </c>
      <c r="V26" s="2589">
        <v>1</v>
      </c>
      <c r="W26" s="2589">
        <v>1</v>
      </c>
      <c r="X26" s="2589">
        <v>1</v>
      </c>
      <c r="Y26" s="2589">
        <v>1</v>
      </c>
      <c r="Z26" s="2589">
        <v>1</v>
      </c>
      <c r="AA26" s="2589">
        <v>1</v>
      </c>
      <c r="AB26" s="2589">
        <v>1</v>
      </c>
      <c r="AC26" s="2589">
        <v>1</v>
      </c>
      <c r="AD26" s="2589">
        <v>1</v>
      </c>
      <c r="AE26" s="2590">
        <v>1</v>
      </c>
      <c r="AF26" s="2591">
        <v>1</v>
      </c>
      <c r="AG26" s="2589">
        <v>1</v>
      </c>
      <c r="AH26" s="2589">
        <v>1</v>
      </c>
      <c r="AI26" s="2589">
        <v>1</v>
      </c>
      <c r="AJ26" s="2588">
        <v>1</v>
      </c>
      <c r="AK26" s="2588">
        <v>1</v>
      </c>
      <c r="AL26" s="2588"/>
      <c r="AM26" s="2586"/>
      <c r="AN26" s="2586"/>
      <c r="AO26" s="2586"/>
      <c r="AP26" s="2593">
        <v>1</v>
      </c>
      <c r="AQ26" s="2593">
        <v>1</v>
      </c>
      <c r="AR26" s="2593">
        <v>1</v>
      </c>
      <c r="AS26" s="2593">
        <v>1</v>
      </c>
      <c r="AT26" s="2593">
        <v>1</v>
      </c>
      <c r="AU26" s="2593">
        <v>1</v>
      </c>
      <c r="AV26" s="2593">
        <v>1</v>
      </c>
      <c r="AW26" s="2594">
        <v>1</v>
      </c>
      <c r="AX26" s="2594">
        <v>1</v>
      </c>
      <c r="AY26" s="2594">
        <v>1</v>
      </c>
      <c r="AZ26" s="2594">
        <v>1</v>
      </c>
      <c r="BA26" s="2594">
        <v>1</v>
      </c>
      <c r="BB26" s="2594">
        <v>1</v>
      </c>
      <c r="BC26" s="2594">
        <v>1</v>
      </c>
      <c r="BD26" s="2593">
        <v>1</v>
      </c>
      <c r="BE26" s="2593"/>
      <c r="BF26" s="2586"/>
      <c r="BG26" s="2586"/>
      <c r="BH26" s="2586"/>
      <c r="BI26" s="2586"/>
      <c r="BJ26" s="2595"/>
      <c r="BK26" s="2585">
        <f>SUM(B26:AL26)</f>
        <v>32</v>
      </c>
      <c r="BL26" s="2586">
        <f t="shared" si="1"/>
        <v>33</v>
      </c>
      <c r="BM26" s="2586">
        <f>SUM(AP26:BE26)</f>
        <v>15</v>
      </c>
      <c r="BN26" s="2596">
        <f t="shared" si="0"/>
        <v>16</v>
      </c>
      <c r="BO26" s="2586">
        <f>BK26+BM26</f>
        <v>47</v>
      </c>
      <c r="BP26" s="2596" t="s">
        <v>2647</v>
      </c>
    </row>
    <row r="27" spans="1:68" ht="38">
      <c r="A27" s="2614" t="s">
        <v>4834</v>
      </c>
      <c r="B27" s="2615"/>
      <c r="C27" s="2616"/>
      <c r="D27" s="2616"/>
      <c r="E27" s="2616"/>
      <c r="F27" s="2616"/>
      <c r="G27" s="2616"/>
      <c r="H27" s="2617"/>
      <c r="I27" s="2616"/>
      <c r="J27" s="2616"/>
      <c r="K27" s="2616"/>
      <c r="L27" s="2616"/>
      <c r="M27" s="2616"/>
      <c r="N27" s="2616"/>
      <c r="O27" s="2618">
        <v>1</v>
      </c>
      <c r="P27" s="2618">
        <v>1</v>
      </c>
      <c r="Q27" s="2619">
        <v>1</v>
      </c>
      <c r="R27" s="2619">
        <v>1</v>
      </c>
      <c r="S27" s="2619">
        <v>1</v>
      </c>
      <c r="T27" s="2620">
        <v>1</v>
      </c>
      <c r="U27" s="2620">
        <v>1</v>
      </c>
      <c r="V27" s="2620">
        <v>1</v>
      </c>
      <c r="W27" s="2620">
        <v>1</v>
      </c>
      <c r="X27" s="2620">
        <v>1</v>
      </c>
      <c r="Y27" s="2620">
        <v>1</v>
      </c>
      <c r="Z27" s="2620">
        <v>1</v>
      </c>
      <c r="AA27" s="2620">
        <v>1</v>
      </c>
      <c r="AB27" s="2620">
        <v>1</v>
      </c>
      <c r="AC27" s="2620">
        <v>1</v>
      </c>
      <c r="AD27" s="2620">
        <v>1</v>
      </c>
      <c r="AE27" s="2621">
        <v>1</v>
      </c>
      <c r="AF27" s="2622">
        <v>1</v>
      </c>
      <c r="AG27" s="2620">
        <v>1</v>
      </c>
      <c r="AH27" s="2620">
        <v>1</v>
      </c>
      <c r="AI27" s="2620">
        <v>1</v>
      </c>
      <c r="AJ27" s="2619">
        <v>1</v>
      </c>
      <c r="AK27" s="2619">
        <v>1</v>
      </c>
      <c r="AL27" s="2618"/>
      <c r="AM27" s="2616"/>
      <c r="AN27" s="2616"/>
      <c r="AO27" s="2616"/>
      <c r="AP27" s="2616"/>
      <c r="AQ27" s="2616"/>
      <c r="AR27" s="2623">
        <v>1</v>
      </c>
      <c r="AS27" s="2623">
        <v>1</v>
      </c>
      <c r="AT27" s="2624">
        <v>1</v>
      </c>
      <c r="AU27" s="2624">
        <v>1</v>
      </c>
      <c r="AV27" s="2624">
        <v>1</v>
      </c>
      <c r="AW27" s="2625">
        <v>1</v>
      </c>
      <c r="AX27" s="2625">
        <v>1</v>
      </c>
      <c r="AY27" s="2625">
        <v>1</v>
      </c>
      <c r="AZ27" s="2625">
        <v>1</v>
      </c>
      <c r="BA27" s="2625">
        <v>1</v>
      </c>
      <c r="BB27" s="2625">
        <v>1</v>
      </c>
      <c r="BC27" s="2625">
        <v>1</v>
      </c>
      <c r="BD27" s="2624">
        <v>1</v>
      </c>
      <c r="BE27" s="2626"/>
      <c r="BF27" s="2616"/>
      <c r="BG27" s="2616"/>
      <c r="BH27" s="2616"/>
      <c r="BI27" s="2616"/>
      <c r="BJ27" s="2627"/>
      <c r="BK27" s="2585">
        <f>SUM(B27:AL27)</f>
        <v>23</v>
      </c>
      <c r="BL27" s="2616">
        <f t="shared" si="1"/>
        <v>24</v>
      </c>
      <c r="BM27" s="2616">
        <f>SUM(AR27:BE27)</f>
        <v>13</v>
      </c>
      <c r="BN27" s="2628">
        <f t="shared" si="0"/>
        <v>14</v>
      </c>
      <c r="BO27" s="2616">
        <f>BK27+BM27</f>
        <v>36</v>
      </c>
      <c r="BP27" s="2628" t="s">
        <v>4835</v>
      </c>
    </row>
    <row r="28" spans="1:68" ht="38">
      <c r="A28" s="2614" t="s">
        <v>4761</v>
      </c>
      <c r="B28" s="2615"/>
      <c r="C28" s="2616"/>
      <c r="D28" s="2616"/>
      <c r="E28" s="2616"/>
      <c r="F28" s="2616"/>
      <c r="G28" s="2616"/>
      <c r="H28" s="2617"/>
      <c r="I28" s="2616"/>
      <c r="J28" s="2616"/>
      <c r="K28" s="2616"/>
      <c r="L28" s="2616"/>
      <c r="M28" s="2616"/>
      <c r="N28" s="2616"/>
      <c r="O28" s="2616"/>
      <c r="P28" s="2616"/>
      <c r="Q28" s="2619">
        <v>1</v>
      </c>
      <c r="R28" s="2619">
        <v>1</v>
      </c>
      <c r="S28" s="2619">
        <v>1</v>
      </c>
      <c r="T28" s="2620">
        <v>1</v>
      </c>
      <c r="U28" s="2620">
        <v>1</v>
      </c>
      <c r="V28" s="2620">
        <v>1</v>
      </c>
      <c r="W28" s="2620">
        <v>1</v>
      </c>
      <c r="X28" s="2620">
        <v>1</v>
      </c>
      <c r="Y28" s="2620">
        <v>1</v>
      </c>
      <c r="Z28" s="2620">
        <v>1</v>
      </c>
      <c r="AA28" s="2620">
        <v>1</v>
      </c>
      <c r="AB28" s="2620">
        <v>1</v>
      </c>
      <c r="AC28" s="2620">
        <v>1</v>
      </c>
      <c r="AD28" s="2620">
        <v>1</v>
      </c>
      <c r="AE28" s="2621">
        <v>1</v>
      </c>
      <c r="AF28" s="2622">
        <v>1</v>
      </c>
      <c r="AG28" s="2620">
        <v>1</v>
      </c>
      <c r="AH28" s="2620">
        <v>1</v>
      </c>
      <c r="AI28" s="2620">
        <v>1</v>
      </c>
      <c r="AJ28" s="2619">
        <v>1</v>
      </c>
      <c r="AK28" s="2619"/>
      <c r="AL28" s="2616"/>
      <c r="AM28" s="2616"/>
      <c r="AN28" s="2616"/>
      <c r="AO28" s="2616"/>
      <c r="AP28" s="2616"/>
      <c r="AQ28" s="2616"/>
      <c r="AR28" s="2616"/>
      <c r="AS28" s="2616"/>
      <c r="AT28" s="2616"/>
      <c r="AU28" s="2616"/>
      <c r="AV28" s="2616"/>
      <c r="AW28" s="2616"/>
      <c r="AX28" s="2616"/>
      <c r="AY28" s="2616"/>
      <c r="AZ28" s="2616"/>
      <c r="BA28" s="2616"/>
      <c r="BB28" s="2616"/>
      <c r="BC28" s="2616"/>
      <c r="BD28" s="2616"/>
      <c r="BE28" s="2616"/>
      <c r="BF28" s="2616"/>
      <c r="BG28" s="2616"/>
      <c r="BH28" s="2616"/>
      <c r="BI28" s="2616"/>
      <c r="BJ28" s="2627"/>
      <c r="BK28" s="2585">
        <f>SUM(B28:AL28)</f>
        <v>20</v>
      </c>
      <c r="BL28" s="2616">
        <f t="shared" si="1"/>
        <v>21</v>
      </c>
      <c r="BM28" s="2616">
        <f>SUM(AR28:BH28)</f>
        <v>0</v>
      </c>
      <c r="BN28" s="2628">
        <f t="shared" si="0"/>
        <v>1</v>
      </c>
      <c r="BO28" s="2616">
        <f>BK28+BM28</f>
        <v>20</v>
      </c>
      <c r="BP28" s="2628" t="s">
        <v>4835</v>
      </c>
    </row>
    <row r="29" spans="1:68">
      <c r="A29" s="2597" t="s">
        <v>4764</v>
      </c>
      <c r="B29" s="2585"/>
      <c r="C29" s="2586"/>
      <c r="D29" s="2586"/>
      <c r="E29" s="2586"/>
      <c r="F29" s="2586"/>
      <c r="G29" s="2586"/>
      <c r="H29" s="2629"/>
      <c r="I29" s="2586"/>
      <c r="J29" s="2586"/>
      <c r="K29" s="2586"/>
      <c r="L29" s="2586"/>
      <c r="M29" s="2586"/>
      <c r="N29" s="2586"/>
      <c r="O29" s="2586"/>
      <c r="P29" s="2586"/>
      <c r="Q29" s="2586"/>
      <c r="R29" s="2588">
        <v>1</v>
      </c>
      <c r="S29" s="2588">
        <v>1</v>
      </c>
      <c r="T29" s="2589">
        <v>1</v>
      </c>
      <c r="U29" s="2589">
        <v>1</v>
      </c>
      <c r="V29" s="2589">
        <v>1</v>
      </c>
      <c r="W29" s="2589">
        <v>1</v>
      </c>
      <c r="X29" s="2589">
        <v>1</v>
      </c>
      <c r="Y29" s="2589">
        <v>1</v>
      </c>
      <c r="Z29" s="2589">
        <v>1</v>
      </c>
      <c r="AA29" s="2589">
        <v>1</v>
      </c>
      <c r="AB29" s="2589">
        <v>1</v>
      </c>
      <c r="AC29" s="2589">
        <v>1</v>
      </c>
      <c r="AD29" s="2589">
        <v>1</v>
      </c>
      <c r="AE29" s="2590">
        <v>1</v>
      </c>
      <c r="AF29" s="2591">
        <v>1</v>
      </c>
      <c r="AG29" s="2589">
        <v>1</v>
      </c>
      <c r="AH29" s="2589">
        <v>1</v>
      </c>
      <c r="AI29" s="2589">
        <v>1</v>
      </c>
      <c r="AJ29" s="2588"/>
      <c r="AK29" s="2586"/>
      <c r="AL29" s="2586"/>
      <c r="AM29" s="2586"/>
      <c r="AN29" s="2586"/>
      <c r="AO29" s="2586"/>
      <c r="AP29" s="2586"/>
      <c r="AQ29" s="2586"/>
      <c r="AR29" s="2586"/>
      <c r="AS29" s="2586"/>
      <c r="AT29" s="2586"/>
      <c r="AU29" s="2593">
        <v>1</v>
      </c>
      <c r="AV29" s="2593">
        <v>1</v>
      </c>
      <c r="AW29" s="2594">
        <v>1</v>
      </c>
      <c r="AX29" s="2594">
        <v>1</v>
      </c>
      <c r="AY29" s="2594">
        <v>1</v>
      </c>
      <c r="AZ29" s="2594">
        <v>1</v>
      </c>
      <c r="BA29" s="2594">
        <v>1</v>
      </c>
      <c r="BB29" s="2594">
        <v>1</v>
      </c>
      <c r="BC29" s="2594">
        <v>1</v>
      </c>
      <c r="BD29" s="2593"/>
      <c r="BE29" s="2586"/>
      <c r="BF29" s="2586"/>
      <c r="BG29" s="2586"/>
      <c r="BH29" s="2586"/>
      <c r="BI29" s="2586"/>
      <c r="BJ29" s="2595"/>
      <c r="BK29" s="2585">
        <f>SUM(B29:AI29)</f>
        <v>18</v>
      </c>
      <c r="BL29" s="2586">
        <f t="shared" si="1"/>
        <v>19</v>
      </c>
      <c r="BM29" s="2586">
        <f>SUM(AT29:BD29)</f>
        <v>9</v>
      </c>
      <c r="BN29" s="2596">
        <f t="shared" si="0"/>
        <v>10</v>
      </c>
      <c r="BO29" s="2586">
        <f>BK29+BM29</f>
        <v>27</v>
      </c>
      <c r="BP29" s="2596" t="s">
        <v>2647</v>
      </c>
    </row>
    <row r="30" spans="1:68">
      <c r="A30" s="2630" t="s">
        <v>4769</v>
      </c>
      <c r="B30" s="2585"/>
      <c r="C30" s="2586"/>
      <c r="D30" s="2586"/>
      <c r="E30" s="2586"/>
      <c r="F30" s="2588">
        <v>1</v>
      </c>
      <c r="G30" s="2588">
        <v>1</v>
      </c>
      <c r="H30" s="2588">
        <v>1</v>
      </c>
      <c r="I30" s="2588">
        <v>1</v>
      </c>
      <c r="J30" s="2588">
        <v>1</v>
      </c>
      <c r="K30" s="2588">
        <v>1</v>
      </c>
      <c r="L30" s="2588">
        <v>1</v>
      </c>
      <c r="M30" s="2588">
        <v>1</v>
      </c>
      <c r="N30" s="2588">
        <v>1</v>
      </c>
      <c r="O30" s="2588">
        <v>1</v>
      </c>
      <c r="P30" s="2588">
        <v>1</v>
      </c>
      <c r="Q30" s="2588">
        <v>1</v>
      </c>
      <c r="R30" s="2588">
        <v>1</v>
      </c>
      <c r="S30" s="2588">
        <v>1</v>
      </c>
      <c r="T30" s="2589">
        <v>1</v>
      </c>
      <c r="U30" s="2589">
        <v>1</v>
      </c>
      <c r="V30" s="2589">
        <v>1</v>
      </c>
      <c r="W30" s="2589">
        <v>1</v>
      </c>
      <c r="X30" s="2589">
        <v>1</v>
      </c>
      <c r="Y30" s="2589">
        <v>1</v>
      </c>
      <c r="Z30" s="2589">
        <v>1</v>
      </c>
      <c r="AA30" s="2589">
        <v>1</v>
      </c>
      <c r="AB30" s="2589">
        <v>1</v>
      </c>
      <c r="AC30" s="2589">
        <v>1</v>
      </c>
      <c r="AD30" s="2589">
        <v>1</v>
      </c>
      <c r="AE30" s="2590">
        <v>1</v>
      </c>
      <c r="AF30" s="2591">
        <v>1</v>
      </c>
      <c r="AG30" s="2589">
        <v>1</v>
      </c>
      <c r="AH30" s="2589">
        <v>1</v>
      </c>
      <c r="AI30" s="2589">
        <v>1</v>
      </c>
      <c r="AJ30" s="2588">
        <v>1</v>
      </c>
      <c r="AK30" s="2588">
        <v>1</v>
      </c>
      <c r="AL30" s="2588"/>
      <c r="AM30" s="2586"/>
      <c r="AN30" s="2586"/>
      <c r="AO30" s="2586"/>
      <c r="AP30" s="2593">
        <v>1</v>
      </c>
      <c r="AQ30" s="2593">
        <v>1</v>
      </c>
      <c r="AR30" s="2593">
        <v>1</v>
      </c>
      <c r="AS30" s="2593">
        <v>1</v>
      </c>
      <c r="AT30" s="2593">
        <v>1</v>
      </c>
      <c r="AU30" s="2593">
        <v>1</v>
      </c>
      <c r="AV30" s="2593">
        <v>1</v>
      </c>
      <c r="AW30" s="2594">
        <v>1</v>
      </c>
      <c r="AX30" s="2594">
        <v>1</v>
      </c>
      <c r="AY30" s="2594">
        <v>1</v>
      </c>
      <c r="AZ30" s="2594">
        <v>1</v>
      </c>
      <c r="BA30" s="2594">
        <v>1</v>
      </c>
      <c r="BB30" s="2594">
        <v>1</v>
      </c>
      <c r="BC30" s="2594">
        <v>1</v>
      </c>
      <c r="BD30" s="2593">
        <v>1</v>
      </c>
      <c r="BE30" s="2593">
        <v>1</v>
      </c>
      <c r="BF30" s="2593"/>
      <c r="BG30" s="2586"/>
      <c r="BH30" s="2586"/>
      <c r="BI30" s="2586"/>
      <c r="BJ30" s="2595"/>
      <c r="BK30" s="2585">
        <f>SUM(E30:AL30)</f>
        <v>32</v>
      </c>
      <c r="BL30" s="2586">
        <f t="shared" si="1"/>
        <v>33</v>
      </c>
      <c r="BM30" s="2586">
        <f>SUM(AP30:BE30)</f>
        <v>16</v>
      </c>
      <c r="BN30" s="2596">
        <f t="shared" si="0"/>
        <v>17</v>
      </c>
      <c r="BO30" s="2586">
        <f>BK30+BM30</f>
        <v>48</v>
      </c>
      <c r="BP30" s="2596" t="s">
        <v>2647</v>
      </c>
    </row>
    <row r="31" spans="1:68" s="2632" customFormat="1">
      <c r="A31" s="2631" t="s">
        <v>4836</v>
      </c>
      <c r="F31" s="2632" t="s">
        <v>4837</v>
      </c>
      <c r="G31" s="2632" t="s">
        <v>4837</v>
      </c>
      <c r="H31" s="2632" t="s">
        <v>4837</v>
      </c>
      <c r="I31" s="2632" t="s">
        <v>4837</v>
      </c>
      <c r="J31" s="2632" t="s">
        <v>4837</v>
      </c>
      <c r="K31" s="2632" t="s">
        <v>4837</v>
      </c>
      <c r="L31" s="2632" t="s">
        <v>4837</v>
      </c>
      <c r="M31" s="2632" t="s">
        <v>4837</v>
      </c>
      <c r="N31" s="2632" t="s">
        <v>4837</v>
      </c>
      <c r="O31" s="2632" t="s">
        <v>4837</v>
      </c>
      <c r="P31" s="2632" t="s">
        <v>4837</v>
      </c>
      <c r="Q31" s="2632" t="s">
        <v>4837</v>
      </c>
      <c r="R31" s="2632" t="s">
        <v>4837</v>
      </c>
      <c r="S31" s="2632" t="s">
        <v>4837</v>
      </c>
      <c r="T31" s="2632" t="s">
        <v>4838</v>
      </c>
      <c r="AI31" s="2632" t="s">
        <v>4839</v>
      </c>
      <c r="AJ31" s="2632" t="s">
        <v>4837</v>
      </c>
      <c r="AK31" s="2632" t="s">
        <v>4837</v>
      </c>
      <c r="AL31" s="2632" t="s">
        <v>4837</v>
      </c>
      <c r="AP31" s="2632" t="s">
        <v>4837</v>
      </c>
      <c r="AQ31" s="2632" t="s">
        <v>4837</v>
      </c>
      <c r="AR31" s="2632" t="s">
        <v>4837</v>
      </c>
      <c r="AS31" s="2632" t="s">
        <v>4837</v>
      </c>
      <c r="AT31" s="2632" t="s">
        <v>4837</v>
      </c>
      <c r="AU31" s="2632" t="s">
        <v>4837</v>
      </c>
      <c r="AV31" s="2632" t="s">
        <v>4837</v>
      </c>
      <c r="AW31" s="2632" t="s">
        <v>4838</v>
      </c>
      <c r="BC31" s="2632" t="s">
        <v>4839</v>
      </c>
      <c r="BD31" s="2632" t="s">
        <v>4837</v>
      </c>
      <c r="BE31" s="2632" t="s">
        <v>4837</v>
      </c>
    </row>
    <row r="32" spans="1:68">
      <c r="F32" s="2525" t="s">
        <v>4840</v>
      </c>
      <c r="G32" s="2525" t="s">
        <v>4840</v>
      </c>
      <c r="H32" s="2525" t="s">
        <v>4840</v>
      </c>
      <c r="I32" s="2525" t="s">
        <v>4840</v>
      </c>
      <c r="J32" s="2525" t="s">
        <v>4840</v>
      </c>
      <c r="K32" s="2525" t="s">
        <v>4840</v>
      </c>
      <c r="L32" s="2525" t="s">
        <v>4840</v>
      </c>
      <c r="M32" s="2632" t="s">
        <v>4841</v>
      </c>
      <c r="N32" s="2632" t="s">
        <v>4841</v>
      </c>
      <c r="O32" s="2632" t="s">
        <v>4841</v>
      </c>
      <c r="P32" s="2632" t="s">
        <v>4841</v>
      </c>
      <c r="Q32" s="2632" t="s">
        <v>4841</v>
      </c>
      <c r="R32" s="2632" t="s">
        <v>4841</v>
      </c>
      <c r="S32" s="2632" t="s">
        <v>4841</v>
      </c>
      <c r="AP32" s="2525" t="s">
        <v>4840</v>
      </c>
      <c r="AQ32" s="2632" t="s">
        <v>4841</v>
      </c>
      <c r="AR32" s="2632" t="s">
        <v>4841</v>
      </c>
      <c r="AS32" s="2632" t="s">
        <v>4841</v>
      </c>
      <c r="AT32" s="2632" t="s">
        <v>4841</v>
      </c>
      <c r="AU32" s="2632" t="s">
        <v>4841</v>
      </c>
      <c r="AV32" s="2632" t="s">
        <v>4841</v>
      </c>
      <c r="AW32" s="2632"/>
      <c r="AX32" s="2632"/>
      <c r="AY32" s="2632"/>
      <c r="AZ32" s="2632"/>
      <c r="BE32" s="2632"/>
    </row>
  </sheetData>
  <mergeCells count="7">
    <mergeCell ref="BE2:BP2"/>
    <mergeCell ref="AK16:AL16"/>
    <mergeCell ref="B17:AE17"/>
    <mergeCell ref="AF17:BJ17"/>
    <mergeCell ref="BK20:BL20"/>
    <mergeCell ref="BM20:BN20"/>
    <mergeCell ref="BO20:BP20"/>
  </mergeCells>
  <phoneticPr fontId="2"/>
  <pageMargins left="0.7" right="0.7" top="0.75" bottom="0.75" header="0.3" footer="0.3"/>
  <pageSetup paperSize="8" scale="48" orientation="landscape" r:id="rId1"/>
  <drawing r:id="rId2"/>
  <legacy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C24A7-7E65-4302-844E-5A9D17229DDB}">
  <sheetPr codeName="Sheet297">
    <tabColor rgb="FFFF0000"/>
    <pageSetUpPr fitToPage="1"/>
  </sheetPr>
  <dimension ref="A1:BS90"/>
  <sheetViews>
    <sheetView view="pageBreakPreview" zoomScale="40" zoomScaleNormal="40" zoomScaleSheetLayoutView="40" workbookViewId="0">
      <pane xSplit="6" ySplit="4" topLeftCell="G5" activePane="bottomRight" state="frozen"/>
      <selection pane="topRight" activeCell="U32" sqref="U32"/>
      <selection pane="bottomLeft" activeCell="U32" sqref="U32"/>
      <selection pane="bottomRight" activeCell="F20" sqref="F20"/>
    </sheetView>
  </sheetViews>
  <sheetFormatPr defaultColWidth="9.453125" defaultRowHeight="35" outlineLevelCol="2"/>
  <cols>
    <col min="1" max="1" width="15.1796875" style="197" customWidth="1"/>
    <col min="2" max="2" width="18.26953125" style="197" customWidth="1"/>
    <col min="3" max="3" width="9.81640625" style="197" customWidth="1"/>
    <col min="4" max="5" width="11.26953125" style="854" customWidth="1"/>
    <col min="6" max="6" width="60.1796875" style="197" customWidth="1"/>
    <col min="7" max="8" width="15.54296875" style="842" customWidth="1"/>
    <col min="9" max="11" width="15.54296875" style="842" hidden="1" customWidth="1"/>
    <col min="12" max="12" width="15.54296875" style="198" customWidth="1"/>
    <col min="13" max="13" width="15.54296875" style="199" customWidth="1"/>
    <col min="14" max="14" width="21.453125" style="199" customWidth="1"/>
    <col min="15" max="15" width="11.7265625" style="198" customWidth="1"/>
    <col min="16" max="18" width="14.81640625" style="199" customWidth="1"/>
    <col min="19" max="19" width="40.453125" style="199" customWidth="1"/>
    <col min="20" max="20" width="14" style="197" customWidth="1"/>
    <col min="21" max="21" width="11" style="844" customWidth="1"/>
    <col min="22" max="22" width="49.1796875" style="3287" customWidth="1"/>
    <col min="23" max="23" width="12.54296875" style="202" customWidth="1"/>
    <col min="24" max="24" width="12.54296875" style="200" customWidth="1"/>
    <col min="25" max="25" width="12.54296875" style="858" customWidth="1"/>
    <col min="26" max="26" width="23.26953125" style="858" customWidth="1"/>
    <col min="27" max="27" width="12.81640625" style="858" customWidth="1"/>
    <col min="28" max="28" width="57" style="3485" customWidth="1" outlineLevel="1"/>
    <col min="29" max="30" width="13.1796875" style="3288" hidden="1" customWidth="1"/>
    <col min="31" max="31" width="63.453125" style="3485" hidden="1" customWidth="1" outlineLevel="1"/>
    <col min="32" max="32" width="12.54296875" style="3288" hidden="1" customWidth="1" outlineLevel="1" collapsed="1"/>
    <col min="33" max="33" width="12.54296875" style="3288" hidden="1" customWidth="1" outlineLevel="1"/>
    <col min="34" max="34" width="69" style="3485" hidden="1" customWidth="1" outlineLevel="2"/>
    <col min="35" max="35" width="12.54296875" style="3288" hidden="1" customWidth="1" outlineLevel="1" collapsed="1"/>
    <col min="36" max="36" width="12.54296875" style="3288" hidden="1" customWidth="1" outlineLevel="1"/>
    <col min="37" max="38" width="29.7265625" style="3288" customWidth="1" outlineLevel="1"/>
    <col min="39" max="39" width="20.54296875" style="3288" customWidth="1" outlineLevel="1"/>
    <col min="40" max="40" width="16.453125" style="859" hidden="1" customWidth="1"/>
    <col min="41" max="41" width="11.81640625" style="859" hidden="1" customWidth="1"/>
    <col min="42" max="42" width="18.1796875" style="854" hidden="1" customWidth="1"/>
    <col min="43" max="44" width="11.1796875" style="854" hidden="1" customWidth="1"/>
    <col min="45" max="45" width="23.81640625" style="854" hidden="1" customWidth="1"/>
    <col min="46" max="46" width="11.1796875" style="858" hidden="1" customWidth="1"/>
    <col min="47" max="49" width="11.1796875" style="861" customWidth="1"/>
    <col min="50" max="50" width="11.1796875" style="858" customWidth="1"/>
    <col min="51" max="51" width="11.1796875" style="861" customWidth="1"/>
    <col min="52" max="53" width="11.1796875" style="858" customWidth="1"/>
    <col min="54" max="55" width="11.1796875" style="861" customWidth="1"/>
    <col min="56" max="60" width="11.1796875" style="858" customWidth="1"/>
    <col min="61" max="62" width="11.1796875" style="861" customWidth="1"/>
    <col min="63" max="66" width="11.1796875" style="858" customWidth="1"/>
    <col min="67" max="67" width="8.54296875" style="858" customWidth="1"/>
    <col min="68" max="68" width="23.453125" style="3746" customWidth="1"/>
    <col min="69" max="69" width="2.26953125" style="200" customWidth="1"/>
    <col min="70" max="71" width="39.54296875" style="862" customWidth="1"/>
    <col min="72" max="16384" width="9.453125" style="202"/>
  </cols>
  <sheetData>
    <row r="1" spans="1:71" ht="90" customHeight="1" thickTop="1" thickBot="1">
      <c r="A1" s="2829" t="s">
        <v>4842</v>
      </c>
      <c r="D1" s="2830"/>
      <c r="E1" s="2830"/>
      <c r="F1" s="2831"/>
      <c r="G1" s="2832"/>
      <c r="H1" s="2832"/>
      <c r="I1" s="2832"/>
      <c r="J1" s="2832"/>
      <c r="K1" s="2832"/>
      <c r="T1" s="2830"/>
      <c r="U1" s="197"/>
      <c r="V1" s="3284"/>
      <c r="W1" s="2833"/>
      <c r="X1" s="2833"/>
      <c r="Y1" s="2833"/>
      <c r="Z1" s="2833"/>
      <c r="AA1" s="2833"/>
      <c r="AB1" s="3285"/>
      <c r="AC1" s="6566" t="s">
        <v>2443</v>
      </c>
      <c r="AD1" s="6567"/>
      <c r="AE1" s="6568"/>
      <c r="AF1" s="3284"/>
      <c r="AG1" s="3284"/>
      <c r="AH1" s="3285"/>
      <c r="AI1" s="3284"/>
      <c r="AJ1" s="3284"/>
      <c r="AK1" s="3284"/>
      <c r="AL1" s="3284"/>
      <c r="AM1" s="3284"/>
      <c r="AN1" s="2833"/>
      <c r="AO1" s="2833"/>
      <c r="AP1" s="2834"/>
      <c r="AQ1" s="2834"/>
      <c r="AR1" s="2834"/>
      <c r="AS1" s="2834"/>
      <c r="AT1" s="2836"/>
      <c r="AU1" s="201"/>
      <c r="AV1" s="201"/>
      <c r="AW1" s="201"/>
      <c r="AX1" s="2839"/>
      <c r="AY1" s="201"/>
      <c r="AZ1" s="2839"/>
      <c r="BA1" s="2839"/>
      <c r="BB1" s="201"/>
      <c r="BC1" s="201"/>
      <c r="BD1" s="2839"/>
      <c r="BE1" s="2839"/>
      <c r="BF1" s="2839"/>
      <c r="BG1" s="2839"/>
      <c r="BH1" s="2839"/>
      <c r="BI1" s="201"/>
      <c r="BJ1" s="201"/>
      <c r="BK1" s="2839"/>
      <c r="BL1" s="6466" t="s">
        <v>2443</v>
      </c>
      <c r="BM1" s="6467"/>
      <c r="BN1" s="6468"/>
      <c r="BO1" s="3733"/>
      <c r="BP1" s="3733"/>
      <c r="BQ1" s="2840"/>
      <c r="BR1" s="2841"/>
      <c r="BS1" s="2841"/>
    </row>
    <row r="2" spans="1:71" ht="30.65" hidden="1" customHeight="1" thickTop="1" thickBot="1">
      <c r="A2" s="2842"/>
      <c r="D2" s="3602" t="s">
        <v>2779</v>
      </c>
      <c r="E2" s="3602"/>
      <c r="F2" s="2831"/>
      <c r="G2" s="6401" t="s">
        <v>2779</v>
      </c>
      <c r="H2" s="6401"/>
      <c r="I2" s="6402" t="s">
        <v>2780</v>
      </c>
      <c r="J2" s="6402"/>
      <c r="K2" s="3602" t="s">
        <v>2779</v>
      </c>
      <c r="T2" s="2843"/>
      <c r="U2" s="3603" t="s">
        <v>2781</v>
      </c>
      <c r="Y2" s="2839"/>
      <c r="Z2" s="2839"/>
      <c r="AA2" s="2839"/>
      <c r="AB2" s="3285"/>
      <c r="AE2" s="6403" t="s">
        <v>2782</v>
      </c>
      <c r="AF2" s="6404"/>
      <c r="AG2" s="6404"/>
      <c r="AH2" s="6404"/>
      <c r="AI2" s="6404"/>
      <c r="AJ2" s="6404"/>
      <c r="AK2" s="3752"/>
      <c r="AL2" s="3752"/>
      <c r="AM2" s="3752"/>
      <c r="AN2" s="2833"/>
      <c r="AO2" s="2833"/>
      <c r="AP2" s="2834"/>
      <c r="AQ2" s="2834"/>
      <c r="AR2" s="2834"/>
      <c r="AS2" s="2834"/>
      <c r="AT2" s="2836"/>
      <c r="AU2" s="3861"/>
      <c r="AV2" s="2846"/>
      <c r="AW2" s="2846"/>
      <c r="AX2" s="2844"/>
      <c r="AY2" s="2846"/>
      <c r="AZ2" s="2844"/>
      <c r="BA2" s="2844"/>
      <c r="BB2" s="2837"/>
      <c r="BC2" s="2837"/>
      <c r="BD2" s="2836"/>
      <c r="BE2" s="2836"/>
      <c r="BF2" s="2836"/>
      <c r="BG2" s="2836"/>
      <c r="BH2" s="2836"/>
      <c r="BI2" s="2837"/>
      <c r="BJ2" s="2847" t="s">
        <v>2445</v>
      </c>
      <c r="BK2" s="2836"/>
      <c r="BL2" s="2836"/>
      <c r="BM2" s="2836"/>
      <c r="BN2" s="2848"/>
      <c r="BO2" s="2848"/>
      <c r="BP2" s="3736"/>
      <c r="BQ2" s="2840"/>
      <c r="BR2" s="2849"/>
      <c r="BS2" s="2849"/>
    </row>
    <row r="3" spans="1:71" s="214" customFormat="1" ht="35.15" customHeight="1" thickTop="1">
      <c r="A3" s="6393" t="s">
        <v>2078</v>
      </c>
      <c r="B3" s="6394"/>
      <c r="C3" s="6395" t="s">
        <v>2079</v>
      </c>
      <c r="D3" s="6396" t="s">
        <v>2080</v>
      </c>
      <c r="E3" s="6237" t="s">
        <v>6962</v>
      </c>
      <c r="F3" s="203" t="s">
        <v>2081</v>
      </c>
      <c r="G3" s="6397" t="s">
        <v>2082</v>
      </c>
      <c r="H3" s="6397"/>
      <c r="I3" s="6397" t="s">
        <v>3465</v>
      </c>
      <c r="J3" s="6397"/>
      <c r="K3" s="6569" t="s">
        <v>3466</v>
      </c>
      <c r="L3" s="6408" t="s">
        <v>2083</v>
      </c>
      <c r="M3" s="6408" t="s">
        <v>2084</v>
      </c>
      <c r="N3" s="6408" t="s">
        <v>2085</v>
      </c>
      <c r="O3" s="6408" t="s">
        <v>2086</v>
      </c>
      <c r="P3" s="6409" t="s">
        <v>2087</v>
      </c>
      <c r="Q3" s="6410"/>
      <c r="R3" s="6411"/>
      <c r="S3" s="204" t="s">
        <v>2088</v>
      </c>
      <c r="T3" s="3283" t="s">
        <v>2501</v>
      </c>
      <c r="U3" s="6405" t="s">
        <v>4843</v>
      </c>
      <c r="V3" s="6450" t="s">
        <v>3467</v>
      </c>
      <c r="W3" s="6381"/>
      <c r="X3" s="6381"/>
      <c r="Y3" s="6381"/>
      <c r="Z3" s="3489"/>
      <c r="AA3" s="3489"/>
      <c r="AB3" s="3289"/>
      <c r="AC3" s="6382" t="s">
        <v>2504</v>
      </c>
      <c r="AD3" s="6383"/>
      <c r="AE3" s="6384" t="s">
        <v>2795</v>
      </c>
      <c r="AF3" s="6385"/>
      <c r="AG3" s="6386"/>
      <c r="AH3" s="6384" t="s">
        <v>2796</v>
      </c>
      <c r="AI3" s="6385"/>
      <c r="AJ3" s="6386"/>
      <c r="AK3" s="6368" t="s">
        <v>2096</v>
      </c>
      <c r="AL3" s="6368" t="s">
        <v>2793</v>
      </c>
      <c r="AM3" s="6379" t="s">
        <v>2794</v>
      </c>
      <c r="AN3" s="6573" t="s">
        <v>2092</v>
      </c>
      <c r="AO3" s="6414" t="s">
        <v>2093</v>
      </c>
      <c r="AP3" s="6576" t="s">
        <v>2095</v>
      </c>
      <c r="AQ3" s="3604"/>
      <c r="AR3" s="3604"/>
      <c r="AS3" s="6576" t="s">
        <v>2095</v>
      </c>
      <c r="AT3" s="205">
        <v>46269</v>
      </c>
      <c r="AU3" s="3862">
        <v>46303</v>
      </c>
      <c r="AV3" s="3863">
        <v>46304</v>
      </c>
      <c r="AW3" s="206">
        <v>46305</v>
      </c>
      <c r="AX3" s="206">
        <v>46306</v>
      </c>
      <c r="AY3" s="3863">
        <v>46307</v>
      </c>
      <c r="AZ3" s="3863">
        <v>46308</v>
      </c>
      <c r="BA3" s="3863">
        <v>46309</v>
      </c>
      <c r="BB3" s="3863">
        <v>46310</v>
      </c>
      <c r="BC3" s="3863">
        <v>46311</v>
      </c>
      <c r="BD3" s="206">
        <v>46312</v>
      </c>
      <c r="BE3" s="206">
        <v>46313</v>
      </c>
      <c r="BF3" s="3863">
        <v>46314</v>
      </c>
      <c r="BG3" s="3863">
        <v>46315</v>
      </c>
      <c r="BH3" s="3863">
        <v>46316</v>
      </c>
      <c r="BI3" s="3863">
        <v>46317</v>
      </c>
      <c r="BJ3" s="205">
        <v>46318</v>
      </c>
      <c r="BK3" s="206">
        <v>46319</v>
      </c>
      <c r="BL3" s="206">
        <v>46320</v>
      </c>
      <c r="BM3" s="3863">
        <v>46321</v>
      </c>
      <c r="BN3" s="212">
        <v>46322</v>
      </c>
      <c r="BO3" s="3747"/>
      <c r="BP3" s="3748"/>
      <c r="BQ3" s="213"/>
      <c r="BR3" s="6387" t="s">
        <v>2099</v>
      </c>
      <c r="BS3" s="6389" t="s">
        <v>2100</v>
      </c>
    </row>
    <row r="4" spans="1:71" s="245" customFormat="1" ht="50.5" customHeight="1" thickBot="1">
      <c r="A4" s="3605" t="s">
        <v>2101</v>
      </c>
      <c r="B4" s="3606" t="s">
        <v>2102</v>
      </c>
      <c r="C4" s="6564"/>
      <c r="D4" s="6565"/>
      <c r="E4" s="6238" t="s">
        <v>6963</v>
      </c>
      <c r="F4" s="3607" t="s">
        <v>2103</v>
      </c>
      <c r="G4" s="3608" t="s">
        <v>2104</v>
      </c>
      <c r="H4" s="3608" t="s">
        <v>2105</v>
      </c>
      <c r="I4" s="3608" t="s">
        <v>2803</v>
      </c>
      <c r="J4" s="3608" t="s">
        <v>2105</v>
      </c>
      <c r="K4" s="6407"/>
      <c r="L4" s="6570"/>
      <c r="M4" s="6570"/>
      <c r="N4" s="6570"/>
      <c r="O4" s="6570"/>
      <c r="P4" s="3610" t="s">
        <v>2106</v>
      </c>
      <c r="Q4" s="3611" t="s">
        <v>2107</v>
      </c>
      <c r="R4" s="3609" t="s">
        <v>2108</v>
      </c>
      <c r="S4" s="3612" t="s">
        <v>2109</v>
      </c>
      <c r="T4" s="3613"/>
      <c r="U4" s="6406"/>
      <c r="V4" s="3614" t="s">
        <v>2110</v>
      </c>
      <c r="W4" s="3615" t="s">
        <v>2111</v>
      </c>
      <c r="X4" s="3616" t="s">
        <v>2112</v>
      </c>
      <c r="Y4" s="3617" t="s">
        <v>2113</v>
      </c>
      <c r="Z4" s="3617" t="s">
        <v>4844</v>
      </c>
      <c r="AA4" s="3617" t="s">
        <v>4845</v>
      </c>
      <c r="AB4" s="3618" t="s">
        <v>2111</v>
      </c>
      <c r="AC4" s="3619" t="s">
        <v>2505</v>
      </c>
      <c r="AD4" s="3620" t="s">
        <v>2506</v>
      </c>
      <c r="AE4" s="3621" t="s">
        <v>2795</v>
      </c>
      <c r="AF4" s="3622" t="s">
        <v>2505</v>
      </c>
      <c r="AG4" s="3623" t="s">
        <v>2506</v>
      </c>
      <c r="AH4" s="3621" t="s">
        <v>2796</v>
      </c>
      <c r="AI4" s="3622" t="s">
        <v>2505</v>
      </c>
      <c r="AJ4" s="3623" t="s">
        <v>2506</v>
      </c>
      <c r="AK4" s="6369"/>
      <c r="AL4" s="6369"/>
      <c r="AM4" s="6380"/>
      <c r="AN4" s="6574"/>
      <c r="AO4" s="6575"/>
      <c r="AP4" s="6577"/>
      <c r="AQ4" s="3626"/>
      <c r="AR4" s="3626"/>
      <c r="AS4" s="6577"/>
      <c r="AT4" s="3627" t="s">
        <v>2116</v>
      </c>
      <c r="AU4" s="3864" t="s">
        <v>2122</v>
      </c>
      <c r="AV4" s="3865" t="s">
        <v>4846</v>
      </c>
      <c r="AW4" s="3866" t="s">
        <v>2117</v>
      </c>
      <c r="AX4" s="3866" t="s">
        <v>2118</v>
      </c>
      <c r="AY4" s="3865" t="s">
        <v>2119</v>
      </c>
      <c r="AZ4" s="3865" t="s">
        <v>2120</v>
      </c>
      <c r="BA4" s="3867" t="s">
        <v>2121</v>
      </c>
      <c r="BB4" s="3867" t="s">
        <v>2122</v>
      </c>
      <c r="BC4" s="3867" t="s">
        <v>2116</v>
      </c>
      <c r="BD4" s="3868" t="s">
        <v>2117</v>
      </c>
      <c r="BE4" s="3868" t="s">
        <v>2118</v>
      </c>
      <c r="BF4" s="3869" t="s">
        <v>2123</v>
      </c>
      <c r="BG4" s="3869" t="s">
        <v>2124</v>
      </c>
      <c r="BH4" s="3869" t="s">
        <v>2125</v>
      </c>
      <c r="BI4" s="3869" t="s">
        <v>2126</v>
      </c>
      <c r="BJ4" s="3869" t="s">
        <v>2116</v>
      </c>
      <c r="BK4" s="3866" t="s">
        <v>2117</v>
      </c>
      <c r="BL4" s="3866" t="s">
        <v>2118</v>
      </c>
      <c r="BM4" s="3865" t="s">
        <v>2119</v>
      </c>
      <c r="BN4" s="3870" t="s">
        <v>2120</v>
      </c>
      <c r="BO4" s="3749"/>
      <c r="BP4" s="3750" t="s">
        <v>2812</v>
      </c>
      <c r="BQ4" s="244"/>
      <c r="BR4" s="6388"/>
      <c r="BS4" s="6390"/>
    </row>
    <row r="5" spans="1:71" ht="46" customHeight="1">
      <c r="A5" s="2862" t="s">
        <v>3468</v>
      </c>
      <c r="B5" s="2863" t="s">
        <v>7</v>
      </c>
      <c r="C5" s="372">
        <v>1</v>
      </c>
      <c r="D5" s="2871">
        <v>21</v>
      </c>
      <c r="E5" s="6246" t="s">
        <v>4985</v>
      </c>
      <c r="F5" s="373" t="s">
        <v>3522</v>
      </c>
      <c r="G5" s="733" t="s">
        <v>3523</v>
      </c>
      <c r="H5" s="3637" t="s">
        <v>3524</v>
      </c>
      <c r="I5" s="3637" t="s">
        <v>3523</v>
      </c>
      <c r="J5" s="3637" t="s">
        <v>3524</v>
      </c>
      <c r="K5" s="3637"/>
      <c r="L5" s="3637" t="s">
        <v>3525</v>
      </c>
      <c r="M5" s="3637" t="s">
        <v>3525</v>
      </c>
      <c r="N5" s="3637" t="s">
        <v>2132</v>
      </c>
      <c r="O5" s="3637" t="s">
        <v>3526</v>
      </c>
      <c r="P5" s="3637" t="s">
        <v>2134</v>
      </c>
      <c r="Q5" s="3637" t="s">
        <v>2134</v>
      </c>
      <c r="R5" s="3637" t="s">
        <v>2134</v>
      </c>
      <c r="S5" s="3871" t="s">
        <v>2168</v>
      </c>
      <c r="T5" s="3637"/>
      <c r="U5" s="372" t="s">
        <v>2814</v>
      </c>
      <c r="V5" s="387" t="s">
        <v>4855</v>
      </c>
      <c r="W5" s="3872" t="s">
        <v>2138</v>
      </c>
      <c r="X5" s="3888">
        <v>71</v>
      </c>
      <c r="Y5" s="3883">
        <f>SUM(X5:X6)</f>
        <v>71</v>
      </c>
      <c r="Z5" s="3874" t="s">
        <v>4850</v>
      </c>
      <c r="AA5" s="3874" t="s">
        <v>2602</v>
      </c>
      <c r="AB5" s="4395" t="s">
        <v>2818</v>
      </c>
      <c r="AC5" s="3323"/>
      <c r="AD5" s="3324"/>
      <c r="AE5" s="3638" t="str">
        <f>IFERROR(VLOOKUP($V5,[54]競技情報DB!$D$3:$AO$29,6,),"－")</f>
        <v>愛知県武道館</v>
      </c>
      <c r="AF5" s="3639"/>
      <c r="AG5" s="3640"/>
      <c r="AH5" s="3638" t="str">
        <f>IFERROR(VLOOKUP($V5,[54]競技情報DB!$D$3:$AO$29,8,),"－")</f>
        <v>-</v>
      </c>
      <c r="AI5" s="3639"/>
      <c r="AJ5" s="3640"/>
      <c r="AK5" s="3753" cm="1">
        <f t="array" ref="AK5">_xlfn.LET(
  _xlpm.rng, AT5:BN5,
  _xlpm.header, $AT$3:$BN$3,
  _xlpm.idx, _xlfn.XMATCH(TRUE, _xlpm.rng&lt;&gt;0),
  _xlpm.dt, INDEX(_xlpm.header, _xlpm.idx),
  IF(YEAR(_xlpm.dt)&lt;&gt;2026, DATE(2026, MONTH(_xlpm.dt), DAY(_xlpm.dt)), _xlpm.dt)
)</f>
        <v>46309</v>
      </c>
      <c r="AL5" s="3753" cm="1">
        <f t="array" ref="AL5">_xlfn.LET(
  _xlpm.rng, AT5:BN5,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46317</v>
      </c>
      <c r="AM5" s="3754">
        <f>AL5-AK5</f>
        <v>8</v>
      </c>
      <c r="AN5" s="3643">
        <f>$H5-MAX(AT5:BN5)</f>
        <v>3</v>
      </c>
      <c r="AO5" s="394">
        <f>+AN5/$H5</f>
        <v>4.0540540540540543E-2</v>
      </c>
      <c r="AP5" s="3644" t="str">
        <f>F5&amp;"　"&amp;"合計"</f>
        <v>公立学校共済組合　名古屋宿泊所　ホテルルブラ王山　合計</v>
      </c>
      <c r="AQ5" s="395"/>
      <c r="AR5" s="395"/>
      <c r="AS5" s="3644" t="str">
        <f>F5&amp;"　"&amp;"合計"</f>
        <v>公立学校共済組合　名古屋宿泊所　ホテルルブラ王山　合計</v>
      </c>
      <c r="AT5" s="470">
        <v>0</v>
      </c>
      <c r="AU5" s="3875">
        <v>0</v>
      </c>
      <c r="AV5" s="397">
        <v>0</v>
      </c>
      <c r="AW5" s="397">
        <v>0</v>
      </c>
      <c r="AX5" s="397">
        <v>0</v>
      </c>
      <c r="AY5" s="397">
        <v>0</v>
      </c>
      <c r="AZ5" s="397">
        <v>0</v>
      </c>
      <c r="BA5" s="397">
        <v>1</v>
      </c>
      <c r="BB5" s="397">
        <v>11</v>
      </c>
      <c r="BC5" s="397">
        <v>71</v>
      </c>
      <c r="BD5" s="397">
        <v>71</v>
      </c>
      <c r="BE5" s="397">
        <v>71</v>
      </c>
      <c r="BF5" s="397">
        <v>71</v>
      </c>
      <c r="BG5" s="397">
        <v>71</v>
      </c>
      <c r="BH5" s="397">
        <v>71</v>
      </c>
      <c r="BI5" s="397">
        <v>71</v>
      </c>
      <c r="BJ5" s="397">
        <v>0</v>
      </c>
      <c r="BK5" s="397">
        <v>0</v>
      </c>
      <c r="BL5" s="397">
        <v>0</v>
      </c>
      <c r="BM5" s="397">
        <v>0</v>
      </c>
      <c r="BN5" s="472">
        <v>0</v>
      </c>
      <c r="BO5" s="3712"/>
      <c r="BP5" s="3751" cm="1">
        <f t="array" ref="BP5">SUM(IF(ISNUMBER($AT5:$BN5),$AT5:$BN5, 0))</f>
        <v>509</v>
      </c>
      <c r="BQ5" s="290"/>
      <c r="BR5" s="332"/>
      <c r="BS5" s="333"/>
    </row>
    <row r="6" spans="1:71" s="521" customFormat="1" ht="46" customHeight="1" thickBot="1">
      <c r="A6" s="2862"/>
      <c r="B6" s="2863"/>
      <c r="C6" s="420"/>
      <c r="D6" s="421" t="s">
        <v>2129</v>
      </c>
      <c r="E6" s="426"/>
      <c r="F6" s="422"/>
      <c r="G6" s="2875">
        <v>0</v>
      </c>
      <c r="H6" s="2875">
        <v>0</v>
      </c>
      <c r="I6" s="2875">
        <v>0</v>
      </c>
      <c r="J6" s="2875">
        <v>0</v>
      </c>
      <c r="K6" s="2875">
        <v>0</v>
      </c>
      <c r="L6" s="2877">
        <v>0</v>
      </c>
      <c r="M6" s="2878">
        <v>0</v>
      </c>
      <c r="N6" s="2878"/>
      <c r="O6" s="2877">
        <v>0</v>
      </c>
      <c r="P6" s="2878">
        <v>0</v>
      </c>
      <c r="Q6" s="2878">
        <v>0</v>
      </c>
      <c r="R6" s="2878">
        <v>0</v>
      </c>
      <c r="S6" s="2878">
        <v>0</v>
      </c>
      <c r="T6" s="426"/>
      <c r="U6" s="420"/>
      <c r="V6" s="714"/>
      <c r="W6" s="3876"/>
      <c r="X6" s="3877"/>
      <c r="Y6" s="3878"/>
      <c r="Z6" s="6117"/>
      <c r="AA6" s="6118"/>
      <c r="AB6" s="3308"/>
      <c r="AC6" s="3323"/>
      <c r="AD6" s="3324"/>
      <c r="AE6" s="3638" t="str">
        <f>IFERROR(VLOOKUP($V6,[54]競技情報DB!$D$3:$AO$29,6,),"－")</f>
        <v>－</v>
      </c>
      <c r="AF6" s="3639"/>
      <c r="AG6" s="3640"/>
      <c r="AH6" s="3638" t="str">
        <f>IFERROR(VLOOKUP($V6,[54]競技情報DB!$D$3:$AO$29,8,),"－")</f>
        <v>－</v>
      </c>
      <c r="AI6" s="3639"/>
      <c r="AJ6" s="3640"/>
      <c r="AK6" s="3755"/>
      <c r="AL6" s="3755"/>
      <c r="AM6" s="3756"/>
      <c r="AN6" s="3650"/>
      <c r="AO6" s="435"/>
      <c r="AP6" s="3651"/>
      <c r="AQ6" s="3852"/>
      <c r="AR6" s="3852"/>
      <c r="AS6" s="3852"/>
      <c r="AT6" s="613"/>
      <c r="AU6" s="3880"/>
      <c r="AV6" s="506"/>
      <c r="AW6" s="506"/>
      <c r="AX6" s="506"/>
      <c r="AY6" s="506"/>
      <c r="AZ6" s="506"/>
      <c r="BA6" s="506"/>
      <c r="BB6" s="506"/>
      <c r="BC6" s="506"/>
      <c r="BD6" s="506"/>
      <c r="BE6" s="506"/>
      <c r="BF6" s="506"/>
      <c r="BG6" s="506"/>
      <c r="BH6" s="506"/>
      <c r="BI6" s="506"/>
      <c r="BJ6" s="506"/>
      <c r="BK6" s="506"/>
      <c r="BL6" s="506"/>
      <c r="BM6" s="506"/>
      <c r="BN6" s="520"/>
      <c r="BO6" s="3712"/>
      <c r="BP6" s="3737"/>
      <c r="BQ6" s="290"/>
      <c r="BR6" s="332"/>
      <c r="BS6" s="333"/>
    </row>
    <row r="7" spans="1:71" ht="46" customHeight="1">
      <c r="A7" s="2862"/>
      <c r="B7" s="2863"/>
      <c r="C7" s="372">
        <f>C5+1</f>
        <v>2</v>
      </c>
      <c r="D7" s="2871">
        <v>23</v>
      </c>
      <c r="E7" s="6244" t="s">
        <v>4985</v>
      </c>
      <c r="F7" s="373" t="s">
        <v>3517</v>
      </c>
      <c r="G7" s="733" t="s">
        <v>3490</v>
      </c>
      <c r="H7" s="3637" t="s">
        <v>3518</v>
      </c>
      <c r="I7" s="3637" t="s">
        <v>3519</v>
      </c>
      <c r="J7" s="3637" t="s">
        <v>3519</v>
      </c>
      <c r="K7" s="3637"/>
      <c r="L7" s="3637" t="s">
        <v>3520</v>
      </c>
      <c r="M7" s="3637" t="s">
        <v>3520</v>
      </c>
      <c r="N7" s="3637" t="s">
        <v>2229</v>
      </c>
      <c r="O7" s="3637" t="s">
        <v>3521</v>
      </c>
      <c r="P7" s="3637" t="s">
        <v>2134</v>
      </c>
      <c r="Q7" s="3637" t="s">
        <v>2134</v>
      </c>
      <c r="R7" s="3637" t="s">
        <v>2131</v>
      </c>
      <c r="S7" s="3871" t="s">
        <v>2168</v>
      </c>
      <c r="T7" s="377"/>
      <c r="U7" s="372" t="s">
        <v>2814</v>
      </c>
      <c r="V7" s="387" t="s">
        <v>4852</v>
      </c>
      <c r="W7" s="3881" t="s">
        <v>2138</v>
      </c>
      <c r="X7" s="3882">
        <v>29</v>
      </c>
      <c r="Y7" s="3883">
        <f>SUM(X7:X8)</f>
        <v>130</v>
      </c>
      <c r="Z7" s="6119" t="s">
        <v>4853</v>
      </c>
      <c r="AA7" s="6120" t="s">
        <v>4016</v>
      </c>
      <c r="AB7" s="3322" t="s">
        <v>2820</v>
      </c>
      <c r="AC7" s="3323"/>
      <c r="AD7" s="3324"/>
      <c r="AE7" s="3638" t="str">
        <f>IFERROR(VLOOKUP($V7,[54]競技情報DB!$D$3:$AO$29,6,),"－")</f>
        <v>調整中</v>
      </c>
      <c r="AF7" s="3639"/>
      <c r="AG7" s="3640"/>
      <c r="AH7" s="3638" t="str">
        <f>IFERROR(VLOOKUP($V7,[54]競技情報DB!$D$3:$AO$29,8,),"－")</f>
        <v>-</v>
      </c>
      <c r="AI7" s="3639"/>
      <c r="AJ7" s="3640"/>
      <c r="AK7" s="3757" cm="1">
        <f t="array" ref="AK7">_xlfn.LET(
  _xlpm.rng, AT7:BN7,
  _xlpm.header, $AT$3:$BN$3,
  _xlpm.idx, _xlfn.XMATCH(TRUE, _xlpm.rng&lt;&gt;0),
  _xlpm.dt, INDEX(_xlpm.header, _xlpm.idx),
  IF(YEAR(_xlpm.dt)&lt;&gt;2026, DATE(2026, MONTH(_xlpm.dt), DAY(_xlpm.dt)), _xlpm.dt)
)</f>
        <v>46305</v>
      </c>
      <c r="AL7" s="3757" cm="1">
        <f t="array" ref="AL7">_xlfn.LET(
  _xlpm.rng, AT7:BN7,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7" s="3758">
        <f>AL7-AK7</f>
        <v>15</v>
      </c>
      <c r="AN7" s="3643">
        <f>$H7-MAX(AT7:BN7)</f>
        <v>28</v>
      </c>
      <c r="AO7" s="394">
        <f>+AN7/$H7</f>
        <v>0.17721518987341772</v>
      </c>
      <c r="AP7" s="3644" t="str">
        <f>F7&amp;"　"&amp;"合計"</f>
        <v>第二富士ホテル　合計</v>
      </c>
      <c r="AQ7" s="395"/>
      <c r="AR7" s="395"/>
      <c r="AS7" s="3644" t="str">
        <f>F7&amp;"　"&amp;"合計"</f>
        <v>第二富士ホテル　合計</v>
      </c>
      <c r="AT7" s="470">
        <v>0</v>
      </c>
      <c r="AU7" s="3875">
        <v>0</v>
      </c>
      <c r="AV7" s="397">
        <v>0</v>
      </c>
      <c r="AW7" s="397">
        <v>2</v>
      </c>
      <c r="AX7" s="397">
        <v>2</v>
      </c>
      <c r="AY7" s="397">
        <v>3</v>
      </c>
      <c r="AZ7" s="397">
        <v>5</v>
      </c>
      <c r="BA7" s="397">
        <v>9</v>
      </c>
      <c r="BB7" s="397">
        <v>37</v>
      </c>
      <c r="BC7" s="397">
        <v>130</v>
      </c>
      <c r="BD7" s="397">
        <v>130</v>
      </c>
      <c r="BE7" s="397">
        <v>130</v>
      </c>
      <c r="BF7" s="397">
        <v>130</v>
      </c>
      <c r="BG7" s="397">
        <v>130</v>
      </c>
      <c r="BH7" s="397">
        <v>130</v>
      </c>
      <c r="BI7" s="397">
        <v>130</v>
      </c>
      <c r="BJ7" s="397">
        <v>130</v>
      </c>
      <c r="BK7" s="397">
        <v>130</v>
      </c>
      <c r="BL7" s="397">
        <v>27</v>
      </c>
      <c r="BM7" s="397">
        <v>0</v>
      </c>
      <c r="BN7" s="472">
        <v>0</v>
      </c>
      <c r="BO7" s="3712"/>
      <c r="BP7" s="3751" cm="1">
        <f t="array" ref="BP7">SUM(IF(ISNUMBER($AT7:$BN7),$AT7:$BN7, 0))</f>
        <v>1255</v>
      </c>
      <c r="BQ7" s="290"/>
      <c r="BR7" s="332"/>
      <c r="BS7" s="333"/>
    </row>
    <row r="8" spans="1:71" ht="46" customHeight="1">
      <c r="A8" s="2862"/>
      <c r="B8" s="2863"/>
      <c r="C8" s="296"/>
      <c r="D8" s="297"/>
      <c r="E8" s="302"/>
      <c r="F8" s="298"/>
      <c r="G8" s="2864"/>
      <c r="H8" s="2864"/>
      <c r="I8" s="2864">
        <v>0</v>
      </c>
      <c r="J8" s="2864">
        <v>0</v>
      </c>
      <c r="K8" s="2864">
        <v>0</v>
      </c>
      <c r="L8" s="2865"/>
      <c r="M8" s="2866"/>
      <c r="N8" s="2866"/>
      <c r="O8" s="2865"/>
      <c r="P8" s="2866"/>
      <c r="Q8" s="2866"/>
      <c r="R8" s="2866"/>
      <c r="S8" s="2866"/>
      <c r="T8" s="302"/>
      <c r="U8" s="296"/>
      <c r="V8" s="413" t="s">
        <v>4854</v>
      </c>
      <c r="W8" s="3884" t="s">
        <v>2138</v>
      </c>
      <c r="X8" s="3885">
        <v>101</v>
      </c>
      <c r="Y8" s="3886"/>
      <c r="Z8" s="3879" t="s">
        <v>4853</v>
      </c>
      <c r="AA8" s="3879" t="s">
        <v>4016</v>
      </c>
      <c r="AB8" s="3350" t="s">
        <v>2819</v>
      </c>
      <c r="AC8" s="3323"/>
      <c r="AD8" s="3324"/>
      <c r="AE8" s="3638" t="str">
        <f>IFERROR(VLOOKUP($V8,[54]競技情報DB!$D$3:$AO$29,6,),"－")</f>
        <v>名古屋市東山公園テニスセンター</v>
      </c>
      <c r="AF8" s="3639"/>
      <c r="AG8" s="3640"/>
      <c r="AH8" s="3638" t="str">
        <f>IFERROR(VLOOKUP($V8,[54]競技情報DB!$D$3:$AO$29,8,),"－")</f>
        <v>-</v>
      </c>
      <c r="AI8" s="3639"/>
      <c r="AJ8" s="3640"/>
      <c r="AK8" s="3759"/>
      <c r="AL8" s="3759"/>
      <c r="AM8" s="3760"/>
      <c r="AN8" s="3660"/>
      <c r="AO8" s="311"/>
      <c r="AP8" s="3661"/>
      <c r="AQ8" s="3853"/>
      <c r="AR8" s="3853"/>
      <c r="AS8" s="3853"/>
      <c r="AT8" s="339"/>
      <c r="AU8" s="3887"/>
      <c r="AV8" s="336"/>
      <c r="AW8" s="336"/>
      <c r="AX8" s="336"/>
      <c r="AY8" s="336"/>
      <c r="AZ8" s="336"/>
      <c r="BA8" s="336"/>
      <c r="BB8" s="336"/>
      <c r="BC8" s="336"/>
      <c r="BD8" s="336"/>
      <c r="BE8" s="336"/>
      <c r="BF8" s="336"/>
      <c r="BG8" s="336"/>
      <c r="BH8" s="336"/>
      <c r="BI8" s="336"/>
      <c r="BJ8" s="336"/>
      <c r="BK8" s="336"/>
      <c r="BL8" s="336"/>
      <c r="BM8" s="336"/>
      <c r="BN8" s="340"/>
      <c r="BO8" s="3712"/>
      <c r="BP8" s="3737"/>
      <c r="BQ8" s="290"/>
      <c r="BR8" s="332"/>
      <c r="BS8" s="333"/>
    </row>
    <row r="9" spans="1:71" ht="46" customHeight="1">
      <c r="A9" s="2862"/>
      <c r="B9" s="2863"/>
      <c r="C9" s="372">
        <f>C7+1</f>
        <v>3</v>
      </c>
      <c r="D9" s="2871">
        <v>92</v>
      </c>
      <c r="E9" s="6244" t="s">
        <v>4985</v>
      </c>
      <c r="F9" s="373" t="s">
        <v>3498</v>
      </c>
      <c r="G9" s="733" t="s">
        <v>3499</v>
      </c>
      <c r="H9" s="3637" t="s">
        <v>3500</v>
      </c>
      <c r="I9" s="3637" t="s">
        <v>3501</v>
      </c>
      <c r="J9" s="3637" t="s">
        <v>3502</v>
      </c>
      <c r="K9" s="3637"/>
      <c r="L9" s="3637" t="s">
        <v>3503</v>
      </c>
      <c r="M9" s="3637" t="s">
        <v>3503</v>
      </c>
      <c r="N9" s="3637" t="s">
        <v>2132</v>
      </c>
      <c r="O9" s="3637" t="s">
        <v>3504</v>
      </c>
      <c r="P9" s="3637" t="s">
        <v>2134</v>
      </c>
      <c r="Q9" s="3637" t="s">
        <v>2134</v>
      </c>
      <c r="R9" s="3637" t="s">
        <v>2133</v>
      </c>
      <c r="S9" s="3871" t="s">
        <v>2235</v>
      </c>
      <c r="T9" s="377"/>
      <c r="U9" s="372" t="s">
        <v>3804</v>
      </c>
      <c r="V9" s="387" t="s">
        <v>6895</v>
      </c>
      <c r="W9" s="3872" t="s">
        <v>2138</v>
      </c>
      <c r="X9" s="3888">
        <v>37</v>
      </c>
      <c r="Y9" s="3883">
        <f>SUM(X9:X10)</f>
        <v>51</v>
      </c>
      <c r="Z9" s="3874" t="s">
        <v>4856</v>
      </c>
      <c r="AA9" s="3874" t="s">
        <v>2602</v>
      </c>
      <c r="AB9" s="4395" t="s">
        <v>4857</v>
      </c>
      <c r="AC9" s="3323"/>
      <c r="AD9" s="3324"/>
      <c r="AE9" s="3638" t="str">
        <f>IFERROR(VLOOKUP($V9,[54]競技情報DB!$D$3:$AO$29,6,),"－")</f>
        <v>名古屋市体育館</v>
      </c>
      <c r="AF9" s="3639"/>
      <c r="AG9" s="3640"/>
      <c r="AH9" s="3638" t="str">
        <f>IFERROR(VLOOKUP($V9,[54]競技情報DB!$D$3:$AO$29,8,),"－")</f>
        <v>-</v>
      </c>
      <c r="AI9" s="3639"/>
      <c r="AJ9" s="3640"/>
      <c r="AK9" s="3757" cm="1">
        <f t="array" ref="AK9">_xlfn.LET(
  _xlpm.rng, AT9:BN9,
  _xlpm.header, $AT$3:$BN$3,
  _xlpm.idx, _xlfn.XMATCH(TRUE, _xlpm.rng&lt;&gt;0),
  _xlpm.dt, INDEX(_xlpm.header, _xlpm.idx),
  IF(YEAR(_xlpm.dt)&lt;&gt;2026, DATE(2026, MONTH(_xlpm.dt), DAY(_xlpm.dt)), _xlpm.dt)
)</f>
        <v>46306</v>
      </c>
      <c r="AL9" s="3757" cm="1">
        <f t="array" ref="AL9">_xlfn.LET(
  _xlpm.rng, AT9:BN9,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9" s="3758">
        <f>AL9-AK9</f>
        <v>14</v>
      </c>
      <c r="AN9" s="3643">
        <f>$H9-MAX(AT9:BN9)</f>
        <v>95</v>
      </c>
      <c r="AO9" s="394">
        <f>+AN9/$H9</f>
        <v>0.65068493150684936</v>
      </c>
      <c r="AP9" s="3644" t="str">
        <f>F9&amp;"　"&amp;"合計"</f>
        <v>国家公務員共済組合連合会 名古屋共済会館　合計</v>
      </c>
      <c r="AQ9" s="395"/>
      <c r="AR9" s="395"/>
      <c r="AS9" s="3644" t="str">
        <f>F9&amp;"　"&amp;"合計"</f>
        <v>国家公務員共済組合連合会 名古屋共済会館　合計</v>
      </c>
      <c r="AT9" s="470">
        <v>0</v>
      </c>
      <c r="AU9" s="3875">
        <v>0</v>
      </c>
      <c r="AV9" s="397">
        <v>0</v>
      </c>
      <c r="AW9" s="397">
        <v>0</v>
      </c>
      <c r="AX9" s="397">
        <v>3</v>
      </c>
      <c r="AY9" s="397">
        <v>4</v>
      </c>
      <c r="AZ9" s="397">
        <v>16</v>
      </c>
      <c r="BA9" s="397">
        <v>18</v>
      </c>
      <c r="BB9" s="397">
        <v>51</v>
      </c>
      <c r="BC9" s="397">
        <v>51</v>
      </c>
      <c r="BD9" s="397">
        <v>51</v>
      </c>
      <c r="BE9" s="397">
        <v>51</v>
      </c>
      <c r="BF9" s="397">
        <v>51</v>
      </c>
      <c r="BG9" s="397">
        <v>51</v>
      </c>
      <c r="BH9" s="397">
        <v>51</v>
      </c>
      <c r="BI9" s="397">
        <v>51</v>
      </c>
      <c r="BJ9" s="397">
        <v>17</v>
      </c>
      <c r="BK9" s="397">
        <v>16</v>
      </c>
      <c r="BL9" s="397">
        <v>2</v>
      </c>
      <c r="BM9" s="397">
        <v>0</v>
      </c>
      <c r="BN9" s="472">
        <v>0</v>
      </c>
      <c r="BO9" s="3712"/>
      <c r="BP9" s="3751" cm="1">
        <f t="array" ref="BP9">SUM(IF(ISNUMBER($AT9:$BN9),$AT9:$BN9, 0))</f>
        <v>484</v>
      </c>
      <c r="BQ9" s="290"/>
      <c r="BR9" s="332"/>
      <c r="BS9" s="333"/>
    </row>
    <row r="10" spans="1:71" ht="46" customHeight="1">
      <c r="A10" s="2862"/>
      <c r="B10" s="2863"/>
      <c r="C10" s="296"/>
      <c r="D10" s="297"/>
      <c r="E10" s="302"/>
      <c r="F10" s="298"/>
      <c r="G10" s="2864"/>
      <c r="H10" s="2864"/>
      <c r="I10" s="2864">
        <v>0</v>
      </c>
      <c r="J10" s="2864">
        <v>0</v>
      </c>
      <c r="K10" s="2864">
        <v>0</v>
      </c>
      <c r="L10" s="2865"/>
      <c r="M10" s="2866"/>
      <c r="N10" s="2866"/>
      <c r="O10" s="2865"/>
      <c r="P10" s="2866"/>
      <c r="Q10" s="2866"/>
      <c r="R10" s="2866"/>
      <c r="S10" s="2866"/>
      <c r="T10" s="302"/>
      <c r="U10" s="296"/>
      <c r="V10" s="714" t="s">
        <v>4849</v>
      </c>
      <c r="W10" s="3876" t="s">
        <v>2138</v>
      </c>
      <c r="X10" s="3877">
        <v>14</v>
      </c>
      <c r="Y10" s="3878"/>
      <c r="Z10" s="6117" t="s">
        <v>4850</v>
      </c>
      <c r="AA10" s="6117" t="s">
        <v>2602</v>
      </c>
      <c r="AB10" s="3308" t="s">
        <v>4851</v>
      </c>
      <c r="AC10" s="3323"/>
      <c r="AD10" s="3324"/>
      <c r="AE10" s="3638" t="str">
        <f>IFERROR(VLOOKUP($V10,[54]競技情報DB!$D$3:$AO$29,6,),"－")</f>
        <v>名古屋市鶴舞公園多目的グラウンド[テラスポ鶴舞]　</v>
      </c>
      <c r="AF10" s="3639"/>
      <c r="AG10" s="3640"/>
      <c r="AH10" s="3638" t="str">
        <f>IFERROR(VLOOKUP($V10,[54]競技情報DB!$D$3:$AO$29,8,),"－")</f>
        <v>-</v>
      </c>
      <c r="AI10" s="3639"/>
      <c r="AJ10" s="3640"/>
      <c r="AK10" s="3759"/>
      <c r="AL10" s="3759"/>
      <c r="AM10" s="3760"/>
      <c r="AN10" s="3660"/>
      <c r="AO10" s="311"/>
      <c r="AP10" s="3661"/>
      <c r="AQ10" s="3853"/>
      <c r="AR10" s="3853"/>
      <c r="AS10" s="3853"/>
      <c r="AT10" s="339"/>
      <c r="AU10" s="3887"/>
      <c r="AV10" s="336"/>
      <c r="AW10" s="336"/>
      <c r="AX10" s="336"/>
      <c r="AY10" s="336"/>
      <c r="AZ10" s="336"/>
      <c r="BA10" s="336"/>
      <c r="BB10" s="336"/>
      <c r="BC10" s="336"/>
      <c r="BD10" s="336"/>
      <c r="BE10" s="336"/>
      <c r="BF10" s="336"/>
      <c r="BG10" s="336"/>
      <c r="BH10" s="336"/>
      <c r="BI10" s="336"/>
      <c r="BJ10" s="336"/>
      <c r="BK10" s="336"/>
      <c r="BL10" s="336"/>
      <c r="BM10" s="336"/>
      <c r="BN10" s="340"/>
      <c r="BO10" s="3712"/>
      <c r="BP10" s="3737"/>
      <c r="BQ10" s="290"/>
      <c r="BR10" s="332"/>
      <c r="BS10" s="333"/>
    </row>
    <row r="11" spans="1:71" ht="46" customHeight="1">
      <c r="A11" s="2862"/>
      <c r="B11" s="2863"/>
      <c r="C11" s="372">
        <f>C9+1</f>
        <v>4</v>
      </c>
      <c r="D11" s="2871">
        <v>96</v>
      </c>
      <c r="E11" s="6243" t="s">
        <v>6964</v>
      </c>
      <c r="F11" s="373" t="s">
        <v>3513</v>
      </c>
      <c r="G11" s="733" t="s">
        <v>2853</v>
      </c>
      <c r="H11" s="3637" t="s">
        <v>2853</v>
      </c>
      <c r="I11" s="3637" t="s">
        <v>3514</v>
      </c>
      <c r="J11" s="3637" t="s">
        <v>3515</v>
      </c>
      <c r="K11" s="3637"/>
      <c r="L11" s="3637" t="s">
        <v>3516</v>
      </c>
      <c r="M11" s="3637">
        <v>0</v>
      </c>
      <c r="N11" s="3637" t="s">
        <v>2132</v>
      </c>
      <c r="O11" s="3637" t="s">
        <v>2853</v>
      </c>
      <c r="P11" s="3637" t="s">
        <v>2134</v>
      </c>
      <c r="Q11" s="3637" t="s">
        <v>2134</v>
      </c>
      <c r="R11" s="3637" t="s">
        <v>2134</v>
      </c>
      <c r="S11" s="3871" t="s">
        <v>2240</v>
      </c>
      <c r="T11" s="377"/>
      <c r="U11" s="372" t="s">
        <v>4858</v>
      </c>
      <c r="V11" s="387" t="s">
        <v>4864</v>
      </c>
      <c r="W11" s="3881" t="s">
        <v>2138</v>
      </c>
      <c r="X11" s="3882">
        <v>48</v>
      </c>
      <c r="Y11" s="3883">
        <f>SUM(X11:X12)</f>
        <v>60</v>
      </c>
      <c r="Z11" s="6119" t="s">
        <v>4853</v>
      </c>
      <c r="AA11" s="6119" t="s">
        <v>4016</v>
      </c>
      <c r="AB11" s="3322" t="s">
        <v>4865</v>
      </c>
      <c r="AC11" s="3323"/>
      <c r="AD11" s="3324"/>
      <c r="AE11" s="3638" t="str">
        <f>IFERROR(VLOOKUP($V11,[54]競技情報DB!$D$3:$AO$29,6,),"－")</f>
        <v>名古屋市稲永スポーツセンター</v>
      </c>
      <c r="AF11" s="3639"/>
      <c r="AG11" s="3640"/>
      <c r="AH11" s="3638" t="str">
        <f>IFERROR(VLOOKUP($V11,[54]競技情報DB!$D$3:$AO$29,8,),"－")</f>
        <v>-</v>
      </c>
      <c r="AI11" s="3639"/>
      <c r="AJ11" s="3640"/>
      <c r="AK11" s="3757" cm="1">
        <f t="array" ref="AK11">_xlfn.LET(
  _xlpm.rng, AT11:BN11,
  _xlpm.header, $AT$3:$BN$3,
  _xlpm.idx, _xlfn.XMATCH(TRUE, _xlpm.rng&lt;&gt;0),
  _xlpm.dt, INDEX(_xlpm.header, _xlpm.idx),
  IF(YEAR(_xlpm.dt)&lt;&gt;2026, DATE(2026, MONTH(_xlpm.dt), DAY(_xlpm.dt)), _xlpm.dt)
)</f>
        <v>46304</v>
      </c>
      <c r="AL11" s="3757" cm="1">
        <f t="array" ref="AL11">_xlfn.LET(
  _xlpm.rng, AT11:BN11,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11" s="3758">
        <f>AL11-AK11</f>
        <v>17</v>
      </c>
      <c r="AN11" s="3643">
        <f>$H11-MAX(AT11:BN11)</f>
        <v>-12</v>
      </c>
      <c r="AO11" s="394">
        <f>+AN11/$H11</f>
        <v>-0.16666666666666666</v>
      </c>
      <c r="AP11" s="3644" t="str">
        <f>F11&amp;"　"&amp;"合計"</f>
        <v>アイリス 愛知　合計</v>
      </c>
      <c r="AQ11" s="395"/>
      <c r="AR11" s="395"/>
      <c r="AS11" s="3644" t="str">
        <f>F11&amp;"　"&amp;"合計"</f>
        <v>アイリス 愛知　合計</v>
      </c>
      <c r="AT11" s="470">
        <v>0</v>
      </c>
      <c r="AU11" s="3875">
        <v>0</v>
      </c>
      <c r="AV11" s="397">
        <v>5</v>
      </c>
      <c r="AW11" s="397">
        <v>6</v>
      </c>
      <c r="AX11" s="397">
        <v>7</v>
      </c>
      <c r="AY11" s="397">
        <v>38</v>
      </c>
      <c r="AZ11" s="397">
        <v>38</v>
      </c>
      <c r="BA11" s="397">
        <v>39</v>
      </c>
      <c r="BB11" s="397">
        <v>41</v>
      </c>
      <c r="BC11" s="397">
        <v>84</v>
      </c>
      <c r="BD11" s="397">
        <v>84</v>
      </c>
      <c r="BE11" s="397">
        <v>84</v>
      </c>
      <c r="BF11" s="397">
        <v>60</v>
      </c>
      <c r="BG11" s="397">
        <v>49</v>
      </c>
      <c r="BH11" s="397">
        <v>49</v>
      </c>
      <c r="BI11" s="397">
        <v>49</v>
      </c>
      <c r="BJ11" s="397">
        <v>49</v>
      </c>
      <c r="BK11" s="397">
        <v>49</v>
      </c>
      <c r="BL11" s="397">
        <v>49</v>
      </c>
      <c r="BM11" s="397">
        <v>1</v>
      </c>
      <c r="BN11" s="472">
        <v>0</v>
      </c>
      <c r="BO11" s="3712"/>
      <c r="BP11" s="3751" cm="1">
        <f t="array" ref="BP11">SUM(IF(ISNUMBER($AT11:$BN11),$AT11:$BN11, 0))</f>
        <v>781</v>
      </c>
      <c r="BQ11" s="290"/>
      <c r="BR11" s="332"/>
      <c r="BS11" s="333"/>
    </row>
    <row r="12" spans="1:71" s="521" customFormat="1" ht="46" customHeight="1" thickBot="1">
      <c r="A12" s="2862"/>
      <c r="B12" s="2863"/>
      <c r="C12" s="420"/>
      <c r="D12" s="421" t="s">
        <v>2129</v>
      </c>
      <c r="E12" s="426"/>
      <c r="F12" s="422"/>
      <c r="G12" s="2875">
        <v>0</v>
      </c>
      <c r="H12" s="2875">
        <v>0</v>
      </c>
      <c r="I12" s="2875">
        <v>0</v>
      </c>
      <c r="J12" s="2875">
        <v>0</v>
      </c>
      <c r="K12" s="2875">
        <v>0</v>
      </c>
      <c r="L12" s="2877">
        <v>0</v>
      </c>
      <c r="M12" s="2878">
        <v>0</v>
      </c>
      <c r="N12" s="2878"/>
      <c r="O12" s="2877">
        <v>0</v>
      </c>
      <c r="P12" s="2878">
        <v>0</v>
      </c>
      <c r="Q12" s="2878">
        <v>0</v>
      </c>
      <c r="R12" s="2878">
        <v>0</v>
      </c>
      <c r="S12" s="2878">
        <v>0</v>
      </c>
      <c r="T12" s="426"/>
      <c r="U12" s="420"/>
      <c r="V12" s="714" t="s">
        <v>4860</v>
      </c>
      <c r="W12" s="3884" t="s">
        <v>2138</v>
      </c>
      <c r="X12" s="3885">
        <v>12</v>
      </c>
      <c r="Y12" s="3886"/>
      <c r="Z12" s="3879">
        <v>0</v>
      </c>
      <c r="AA12" s="3879">
        <v>0</v>
      </c>
      <c r="AB12" s="3350" t="s">
        <v>4861</v>
      </c>
      <c r="AC12" s="3354"/>
      <c r="AD12" s="3355"/>
      <c r="AE12" s="3645" t="str">
        <f>IFERROR(VLOOKUP($V12,[53]アジア練習会場!$A$3:$E$107,2,),"－")</f>
        <v>－</v>
      </c>
      <c r="AF12" s="3646"/>
      <c r="AG12" s="3647"/>
      <c r="AH12" s="3645" t="str">
        <f>IFERROR(VLOOKUP($V12,[53]アジア練習会場!$A$3:$E$107,3,),"－")</f>
        <v>－</v>
      </c>
      <c r="AI12" s="3646"/>
      <c r="AJ12" s="3647"/>
      <c r="AK12" s="3755"/>
      <c r="AL12" s="3755"/>
      <c r="AM12" s="3756"/>
      <c r="AN12" s="3650"/>
      <c r="AO12" s="435"/>
      <c r="AP12" s="3651"/>
      <c r="AQ12" s="3852"/>
      <c r="AR12" s="3852"/>
      <c r="AS12" s="3852"/>
      <c r="AT12" s="613"/>
      <c r="AU12" s="3880"/>
      <c r="AV12" s="506"/>
      <c r="AW12" s="506"/>
      <c r="AX12" s="506"/>
      <c r="AY12" s="506"/>
      <c r="AZ12" s="506"/>
      <c r="BA12" s="506"/>
      <c r="BB12" s="506"/>
      <c r="BC12" s="506"/>
      <c r="BD12" s="506"/>
      <c r="BE12" s="506"/>
      <c r="BF12" s="506"/>
      <c r="BG12" s="506"/>
      <c r="BH12" s="506"/>
      <c r="BI12" s="506"/>
      <c r="BJ12" s="506"/>
      <c r="BK12" s="506"/>
      <c r="BL12" s="506"/>
      <c r="BM12" s="506"/>
      <c r="BN12" s="520"/>
      <c r="BO12" s="3712"/>
      <c r="BP12" s="3737"/>
      <c r="BQ12" s="290"/>
      <c r="BR12" s="332"/>
      <c r="BS12" s="333"/>
    </row>
    <row r="13" spans="1:71" ht="46" customHeight="1">
      <c r="A13" s="2862"/>
      <c r="B13" s="2863"/>
      <c r="C13" s="372">
        <f>C11+1</f>
        <v>5</v>
      </c>
      <c r="D13" s="2871">
        <v>111</v>
      </c>
      <c r="E13" s="6243" t="s">
        <v>4985</v>
      </c>
      <c r="F13" s="373" t="s">
        <v>6896</v>
      </c>
      <c r="G13" s="733"/>
      <c r="H13" s="3637"/>
      <c r="I13" s="3637"/>
      <c r="J13" s="3637"/>
      <c r="K13" s="3637"/>
      <c r="L13" s="3637"/>
      <c r="M13" s="3637"/>
      <c r="N13" s="3637"/>
      <c r="O13" s="3637"/>
      <c r="P13" s="3637"/>
      <c r="Q13" s="3637"/>
      <c r="R13" s="3637"/>
      <c r="S13" s="3871"/>
      <c r="T13" s="377"/>
      <c r="U13" s="372"/>
      <c r="V13" s="703" t="s">
        <v>4862</v>
      </c>
      <c r="W13" s="3872" t="s">
        <v>2138</v>
      </c>
      <c r="X13" s="3888">
        <v>213</v>
      </c>
      <c r="Y13" s="3883">
        <f>SUM(X13:X14)</f>
        <v>213</v>
      </c>
      <c r="Z13" s="3874" t="s">
        <v>4863</v>
      </c>
      <c r="AA13" s="3874" t="s">
        <v>4016</v>
      </c>
      <c r="AB13" s="4395" t="s">
        <v>2839</v>
      </c>
      <c r="AC13" s="3323"/>
      <c r="AD13" s="3324"/>
      <c r="AE13" s="3638" t="str">
        <f>IFERROR(VLOOKUP($V13,[54]競技情報DB!$D$3:$AO$29,6,),"－")</f>
        <v>美浜町運動公園陸上競技場</v>
      </c>
      <c r="AF13" s="3639"/>
      <c r="AG13" s="3640"/>
      <c r="AH13" s="3638" t="str">
        <f>IFERROR(VLOOKUP($V13,[54]競技情報DB!$D$3:$AO$29,8,),"－")</f>
        <v>知多陸上競技場</v>
      </c>
      <c r="AI13" s="3639"/>
      <c r="AJ13" s="3640"/>
      <c r="AK13" s="3757" cm="1">
        <f t="array" ref="AK13">_xlfn.LET(
  _xlpm.rng, AT13:BN13,
  _xlpm.header, $AT$3:$BN$3,
  _xlpm.idx, _xlfn.XMATCH(TRUE, _xlpm.rng&lt;&gt;0),
  _xlpm.dt, INDEX(_xlpm.header, _xlpm.idx),
  IF(YEAR(_xlpm.dt)&lt;&gt;2026, DATE(2026, MONTH(_xlpm.dt), DAY(_xlpm.dt)), _xlpm.dt)
)</f>
        <v>46305</v>
      </c>
      <c r="AL13" s="3757" cm="1">
        <f t="array" ref="AL13">_xlfn.LET(
  _xlpm.rng, AT13:BN13,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13" s="3758">
        <f>AL13-AK13</f>
        <v>16</v>
      </c>
      <c r="AN13" s="3643">
        <f>$H13-MAX(AT13:BN13)</f>
        <v>-213</v>
      </c>
      <c r="AO13" s="394" t="e">
        <f>+AN13/$H13</f>
        <v>#DIV/0!</v>
      </c>
      <c r="AP13" s="3644" t="str">
        <f>F13&amp;"　"&amp;"合計"</f>
        <v>アパホテル＜名古屋栄駅前＞ECCELLENT　合計</v>
      </c>
      <c r="AQ13" s="395"/>
      <c r="AR13" s="395"/>
      <c r="AS13" s="3644" t="str">
        <f>F13&amp;"　"&amp;"合計"</f>
        <v>アパホテル＜名古屋栄駅前＞ECCELLENT　合計</v>
      </c>
      <c r="AT13" s="470">
        <v>0</v>
      </c>
      <c r="AU13" s="3875">
        <v>0</v>
      </c>
      <c r="AV13" s="397">
        <v>0</v>
      </c>
      <c r="AW13" s="397">
        <v>3</v>
      </c>
      <c r="AX13" s="397">
        <v>3</v>
      </c>
      <c r="AY13" s="397">
        <v>11</v>
      </c>
      <c r="AZ13" s="397">
        <v>11</v>
      </c>
      <c r="BA13" s="397">
        <v>14</v>
      </c>
      <c r="BB13" s="397">
        <v>207</v>
      </c>
      <c r="BC13" s="397">
        <v>210</v>
      </c>
      <c r="BD13" s="397">
        <v>213</v>
      </c>
      <c r="BE13" s="397">
        <v>213</v>
      </c>
      <c r="BF13" s="397">
        <v>213</v>
      </c>
      <c r="BG13" s="397">
        <v>213</v>
      </c>
      <c r="BH13" s="397">
        <v>213</v>
      </c>
      <c r="BI13" s="397">
        <v>213</v>
      </c>
      <c r="BJ13" s="397">
        <v>213</v>
      </c>
      <c r="BK13" s="397">
        <v>213</v>
      </c>
      <c r="BL13" s="397">
        <v>213</v>
      </c>
      <c r="BM13" s="397">
        <v>8</v>
      </c>
      <c r="BN13" s="472">
        <v>0</v>
      </c>
      <c r="BO13" s="3712"/>
      <c r="BP13" s="3751" cm="1">
        <f t="array" ref="BP13">SUM(IF(ISNUMBER($AT13:$BN13),$AT13:$BN13, 0))</f>
        <v>2384</v>
      </c>
      <c r="BQ13" s="290"/>
      <c r="BR13" s="332"/>
      <c r="BS13" s="333"/>
    </row>
    <row r="14" spans="1:71" ht="46" customHeight="1">
      <c r="A14" s="2862"/>
      <c r="B14" s="2863"/>
      <c r="C14" s="420"/>
      <c r="D14" s="421" t="s">
        <v>2129</v>
      </c>
      <c r="E14" s="426"/>
      <c r="F14" s="422"/>
      <c r="G14" s="2875"/>
      <c r="H14" s="2875"/>
      <c r="I14" s="2875"/>
      <c r="J14" s="2875"/>
      <c r="K14" s="2875"/>
      <c r="L14" s="2877"/>
      <c r="M14" s="2878"/>
      <c r="N14" s="2878"/>
      <c r="O14" s="2877"/>
      <c r="P14" s="2878"/>
      <c r="Q14" s="2878"/>
      <c r="R14" s="2878"/>
      <c r="S14" s="2878"/>
      <c r="T14" s="426"/>
      <c r="U14" s="420"/>
      <c r="V14" s="714"/>
      <c r="W14" s="3884"/>
      <c r="X14" s="3885"/>
      <c r="Y14" s="3886"/>
      <c r="Z14" s="6117"/>
      <c r="AA14" s="6117"/>
      <c r="AB14" s="3308"/>
      <c r="AC14" s="3354"/>
      <c r="AD14" s="3355"/>
      <c r="AE14" s="3645" t="str">
        <f>IFERROR(VLOOKUP($V14,[53]アジア練習会場!$A$3:$E$107,2,),"－")</f>
        <v>－</v>
      </c>
      <c r="AF14" s="3646"/>
      <c r="AG14" s="3647"/>
      <c r="AH14" s="3645" t="str">
        <f>IFERROR(VLOOKUP($V14,[53]アジア練習会場!$A$3:$E$107,3,),"－")</f>
        <v>－</v>
      </c>
      <c r="AI14" s="3646"/>
      <c r="AJ14" s="3647"/>
      <c r="AK14" s="3755"/>
      <c r="AL14" s="3755"/>
      <c r="AM14" s="3756"/>
      <c r="AN14" s="3650"/>
      <c r="AO14" s="435"/>
      <c r="AP14" s="3651"/>
      <c r="AQ14" s="3852"/>
      <c r="AR14" s="3852"/>
      <c r="AS14" s="3852"/>
      <c r="AT14" s="613"/>
      <c r="AU14" s="3880"/>
      <c r="AV14" s="506"/>
      <c r="AW14" s="506"/>
      <c r="AX14" s="506"/>
      <c r="AY14" s="506"/>
      <c r="AZ14" s="506"/>
      <c r="BA14" s="506"/>
      <c r="BB14" s="506"/>
      <c r="BC14" s="506"/>
      <c r="BD14" s="506"/>
      <c r="BE14" s="506"/>
      <c r="BF14" s="506"/>
      <c r="BG14" s="506"/>
      <c r="BH14" s="506"/>
      <c r="BI14" s="506"/>
      <c r="BJ14" s="506"/>
      <c r="BK14" s="506"/>
      <c r="BL14" s="506"/>
      <c r="BM14" s="506"/>
      <c r="BN14" s="520"/>
      <c r="BO14" s="3712"/>
      <c r="BP14" s="3737"/>
      <c r="BQ14" s="290"/>
      <c r="BR14" s="332"/>
      <c r="BS14" s="333"/>
    </row>
    <row r="15" spans="1:71" ht="46" customHeight="1">
      <c r="A15" s="2862"/>
      <c r="B15" s="2863"/>
      <c r="C15" s="372">
        <f>C13+1</f>
        <v>6</v>
      </c>
      <c r="D15" s="2871">
        <v>156</v>
      </c>
      <c r="E15" s="6244" t="s">
        <v>6964</v>
      </c>
      <c r="F15" s="373" t="s">
        <v>6897</v>
      </c>
      <c r="G15" s="733"/>
      <c r="H15" s="3637"/>
      <c r="I15" s="3637"/>
      <c r="J15" s="3637"/>
      <c r="K15" s="3637"/>
      <c r="L15" s="3637"/>
      <c r="M15" s="3637"/>
      <c r="N15" s="3637"/>
      <c r="O15" s="3637"/>
      <c r="P15" s="3637"/>
      <c r="Q15" s="3637"/>
      <c r="R15" s="3637"/>
      <c r="S15" s="3871"/>
      <c r="T15" s="377"/>
      <c r="U15" s="372"/>
      <c r="V15" s="703" t="s">
        <v>4869</v>
      </c>
      <c r="W15" s="3872">
        <v>0</v>
      </c>
      <c r="X15" s="3888">
        <v>130</v>
      </c>
      <c r="Y15" s="3873">
        <f>SUM(X15:X16)</f>
        <v>130</v>
      </c>
      <c r="Z15" s="6119"/>
      <c r="AA15" s="6119"/>
      <c r="AB15" s="3322"/>
      <c r="AC15" s="3323"/>
      <c r="AD15" s="3324"/>
      <c r="AE15" s="3638">
        <f>IFERROR(VLOOKUP($V15,[54]競技情報DB!$D$3:$AO$29,6,),"－")</f>
        <v>0</v>
      </c>
      <c r="AF15" s="3639"/>
      <c r="AG15" s="3640"/>
      <c r="AH15" s="3638">
        <f>IFERROR(VLOOKUP($V15,[54]競技情報DB!$D$3:$AO$29,8,),"－")</f>
        <v>0</v>
      </c>
      <c r="AI15" s="3639"/>
      <c r="AJ15" s="3640"/>
      <c r="AK15" s="3757" cm="1">
        <f t="array" ref="AK15">_xlfn.LET(
  _xlpm.rng, AT15:BN15,
  _xlpm.header, $AT$3:$BN$3,
  _xlpm.idx, _xlfn.XMATCH(TRUE, _xlpm.rng&lt;&gt;0),
  _xlpm.dt, INDEX(_xlpm.header, _xlpm.idx),
  IF(YEAR(_xlpm.dt)&lt;&gt;2026, DATE(2026, MONTH(_xlpm.dt), DAY(_xlpm.dt)), _xlpm.dt)
)</f>
        <v>46306</v>
      </c>
      <c r="AL15" s="3757" cm="1">
        <f t="array" ref="AL15">_xlfn.LET(
  _xlpm.rng, AT15:BN15,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15" s="3758">
        <f>AL15-AK15</f>
        <v>14</v>
      </c>
      <c r="AN15" s="3643">
        <f>$H15-MAX(AT15:BN15)</f>
        <v>-130</v>
      </c>
      <c r="AO15" s="394" t="e">
        <f>+AN15/$H15</f>
        <v>#DIV/0!</v>
      </c>
      <c r="AP15" s="3644" t="str">
        <f>F15&amp;"　"&amp;"合計"</f>
        <v>アパホテル＜名古屋栄北＞　合計</v>
      </c>
      <c r="AQ15" s="395"/>
      <c r="AR15" s="395"/>
      <c r="AS15" s="3644" t="str">
        <f>F15&amp;"　"&amp;"合計"</f>
        <v>アパホテル＜名古屋栄北＞　合計</v>
      </c>
      <c r="AT15" s="470">
        <v>0</v>
      </c>
      <c r="AU15" s="3875">
        <v>0</v>
      </c>
      <c r="AV15" s="397">
        <v>0</v>
      </c>
      <c r="AW15" s="397">
        <v>0</v>
      </c>
      <c r="AX15" s="397">
        <v>130</v>
      </c>
      <c r="AY15" s="397">
        <v>130</v>
      </c>
      <c r="AZ15" s="397">
        <v>130</v>
      </c>
      <c r="BA15" s="397">
        <v>130</v>
      </c>
      <c r="BB15" s="397">
        <v>130</v>
      </c>
      <c r="BC15" s="397">
        <v>130</v>
      </c>
      <c r="BD15" s="397">
        <v>130</v>
      </c>
      <c r="BE15" s="397">
        <v>130</v>
      </c>
      <c r="BF15" s="397">
        <v>130</v>
      </c>
      <c r="BG15" s="397">
        <v>130</v>
      </c>
      <c r="BH15" s="397">
        <v>130</v>
      </c>
      <c r="BI15" s="397">
        <v>130</v>
      </c>
      <c r="BJ15" s="397">
        <v>130</v>
      </c>
      <c r="BK15" s="397">
        <v>130</v>
      </c>
      <c r="BL15" s="397">
        <v>130</v>
      </c>
      <c r="BM15" s="397">
        <v>0</v>
      </c>
      <c r="BN15" s="472">
        <v>0</v>
      </c>
      <c r="BO15" s="3712"/>
      <c r="BP15" s="3751" cm="1">
        <f t="array" ref="BP15">SUM(IF(ISNUMBER($AT15:$BN15),$AT15:$BN15, 0))</f>
        <v>1950</v>
      </c>
      <c r="BQ15" s="290"/>
      <c r="BR15" s="332"/>
      <c r="BS15" s="333"/>
    </row>
    <row r="16" spans="1:71" ht="46" customHeight="1">
      <c r="A16" s="2862"/>
      <c r="B16" s="2863"/>
      <c r="C16" s="420"/>
      <c r="D16" s="421" t="s">
        <v>2129</v>
      </c>
      <c r="E16" s="426"/>
      <c r="F16" s="422"/>
      <c r="G16" s="2875"/>
      <c r="H16" s="2875"/>
      <c r="I16" s="2875"/>
      <c r="J16" s="2875"/>
      <c r="K16" s="2875"/>
      <c r="L16" s="2877"/>
      <c r="M16" s="2878"/>
      <c r="N16" s="2878"/>
      <c r="O16" s="2877"/>
      <c r="P16" s="2878"/>
      <c r="Q16" s="2878"/>
      <c r="R16" s="2878"/>
      <c r="S16" s="2878"/>
      <c r="T16" s="426"/>
      <c r="U16" s="420"/>
      <c r="V16" s="714"/>
      <c r="W16" s="3884"/>
      <c r="X16" s="3885"/>
      <c r="Y16" s="3886"/>
      <c r="Z16" s="3879"/>
      <c r="AA16" s="3879"/>
      <c r="AB16" s="3350"/>
      <c r="AC16" s="3354"/>
      <c r="AD16" s="3355"/>
      <c r="AE16" s="3645" t="str">
        <f>IFERROR(VLOOKUP($V16,[53]アジア練習会場!$A$3:$E$107,2,),"－")</f>
        <v>－</v>
      </c>
      <c r="AF16" s="3646"/>
      <c r="AG16" s="3647"/>
      <c r="AH16" s="3645" t="str">
        <f>IFERROR(VLOOKUP($V16,[53]アジア練習会場!$A$3:$E$107,3,),"－")</f>
        <v>－</v>
      </c>
      <c r="AI16" s="3646"/>
      <c r="AJ16" s="3647"/>
      <c r="AK16" s="3755"/>
      <c r="AL16" s="3755"/>
      <c r="AM16" s="3756"/>
      <c r="AN16" s="3650"/>
      <c r="AO16" s="435"/>
      <c r="AP16" s="3651"/>
      <c r="AQ16" s="3852"/>
      <c r="AR16" s="3852"/>
      <c r="AS16" s="3852"/>
      <c r="AT16" s="613"/>
      <c r="AU16" s="3880"/>
      <c r="AV16" s="506"/>
      <c r="AW16" s="506"/>
      <c r="AX16" s="506"/>
      <c r="AY16" s="506"/>
      <c r="AZ16" s="506"/>
      <c r="BA16" s="506"/>
      <c r="BB16" s="506"/>
      <c r="BC16" s="506"/>
      <c r="BD16" s="506"/>
      <c r="BE16" s="506"/>
      <c r="BF16" s="506"/>
      <c r="BG16" s="506"/>
      <c r="BH16" s="506"/>
      <c r="BI16" s="506"/>
      <c r="BJ16" s="506"/>
      <c r="BK16" s="506"/>
      <c r="BL16" s="506"/>
      <c r="BM16" s="506"/>
      <c r="BN16" s="520"/>
      <c r="BO16" s="3712"/>
      <c r="BP16" s="3737"/>
      <c r="BQ16" s="290"/>
      <c r="BR16" s="332"/>
      <c r="BS16" s="333"/>
    </row>
    <row r="17" spans="1:71" ht="46" customHeight="1">
      <c r="A17" s="2862"/>
      <c r="B17" s="2863"/>
      <c r="C17" s="372">
        <f>C15+1</f>
        <v>7</v>
      </c>
      <c r="D17" s="2871">
        <v>160</v>
      </c>
      <c r="E17" s="6243" t="s">
        <v>4985</v>
      </c>
      <c r="F17" s="373" t="s">
        <v>6898</v>
      </c>
      <c r="G17" s="733"/>
      <c r="H17" s="3637"/>
      <c r="I17" s="3637"/>
      <c r="J17" s="3637"/>
      <c r="K17" s="3637"/>
      <c r="L17" s="3637"/>
      <c r="M17" s="3637"/>
      <c r="N17" s="3637"/>
      <c r="O17" s="3637"/>
      <c r="P17" s="3637"/>
      <c r="Q17" s="3637"/>
      <c r="R17" s="3637"/>
      <c r="S17" s="3871"/>
      <c r="T17" s="377"/>
      <c r="U17" s="372"/>
      <c r="V17" s="703" t="s">
        <v>6899</v>
      </c>
      <c r="W17" s="3881" t="s">
        <v>2138</v>
      </c>
      <c r="X17" s="3882">
        <v>33</v>
      </c>
      <c r="Y17" s="3873">
        <f>SUM(X17:X18)</f>
        <v>93</v>
      </c>
      <c r="Z17" s="3874" t="s">
        <v>4863</v>
      </c>
      <c r="AA17" s="3874" t="s">
        <v>4016</v>
      </c>
      <c r="AB17" s="4395" t="s">
        <v>4870</v>
      </c>
      <c r="AC17" s="3323"/>
      <c r="AD17" s="3324"/>
      <c r="AE17" s="3638" t="str">
        <f>IFERROR(VLOOKUP($V17,[54]競技情報DB!$D$3:$AO$29,6,),"－")</f>
        <v>－</v>
      </c>
      <c r="AF17" s="3639"/>
      <c r="AG17" s="3640"/>
      <c r="AH17" s="3638" t="str">
        <f>IFERROR(VLOOKUP($V17,[54]競技情報DB!$D$3:$AO$29,8,),"－")</f>
        <v>－</v>
      </c>
      <c r="AI17" s="3639"/>
      <c r="AJ17" s="3640"/>
      <c r="AK17" s="3757" cm="1">
        <f t="array" ref="AK17">_xlfn.LET(
  _xlpm.rng, AT17:BN17,
  _xlpm.header, $AT$3:$BN$3,
  _xlpm.idx, _xlfn.XMATCH(TRUE, _xlpm.rng&lt;&gt;0),
  _xlpm.dt, INDEX(_xlpm.header, _xlpm.idx),
  IF(YEAR(_xlpm.dt)&lt;&gt;2026, DATE(2026, MONTH(_xlpm.dt), DAY(_xlpm.dt)), _xlpm.dt)
)</f>
        <v>46305</v>
      </c>
      <c r="AL17" s="3757" cm="1">
        <f t="array" ref="AL17">_xlfn.LET(
  _xlpm.rng, AT17:BN17,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17" s="3758">
        <f>AL17-AK17</f>
        <v>16</v>
      </c>
      <c r="AN17" s="3643">
        <f>$H17-MAX(AT17:BN17)</f>
        <v>-93</v>
      </c>
      <c r="AO17" s="394" t="e">
        <f>+AN17/$H17</f>
        <v>#DIV/0!</v>
      </c>
      <c r="AP17" s="3644" t="str">
        <f>F17&amp;"　"&amp;"合計"</f>
        <v>西鉄ホテルクルーム名古屋　合計</v>
      </c>
      <c r="AQ17" s="395"/>
      <c r="AR17" s="395"/>
      <c r="AS17" s="3644" t="str">
        <f>F17&amp;"　"&amp;"合計"</f>
        <v>西鉄ホテルクルーム名古屋　合計</v>
      </c>
      <c r="AT17" s="470">
        <v>0</v>
      </c>
      <c r="AU17" s="3875">
        <v>0</v>
      </c>
      <c r="AV17" s="397">
        <v>0</v>
      </c>
      <c r="AW17" s="397">
        <v>1</v>
      </c>
      <c r="AX17" s="397">
        <v>13</v>
      </c>
      <c r="AY17" s="397">
        <v>23</v>
      </c>
      <c r="AZ17" s="397">
        <v>74</v>
      </c>
      <c r="BA17" s="397">
        <v>75</v>
      </c>
      <c r="BB17" s="397">
        <v>75</v>
      </c>
      <c r="BC17" s="397">
        <v>93</v>
      </c>
      <c r="BD17" s="397">
        <v>93</v>
      </c>
      <c r="BE17" s="397">
        <v>93</v>
      </c>
      <c r="BF17" s="397">
        <v>93</v>
      </c>
      <c r="BG17" s="397">
        <v>93</v>
      </c>
      <c r="BH17" s="397">
        <v>93</v>
      </c>
      <c r="BI17" s="397">
        <v>93</v>
      </c>
      <c r="BJ17" s="397">
        <v>93</v>
      </c>
      <c r="BK17" s="397">
        <v>93</v>
      </c>
      <c r="BL17" s="397">
        <v>3</v>
      </c>
      <c r="BM17" s="397">
        <v>3</v>
      </c>
      <c r="BN17" s="472">
        <v>0</v>
      </c>
      <c r="BO17" s="3712"/>
      <c r="BP17" s="3751" cm="1">
        <f t="array" ref="BP17">SUM(IF(ISNUMBER($AT17:$BN17),$AT17:$BN17, 0))</f>
        <v>1104</v>
      </c>
      <c r="BQ17" s="290"/>
      <c r="BR17" s="332"/>
      <c r="BS17" s="333"/>
    </row>
    <row r="18" spans="1:71" ht="46" customHeight="1">
      <c r="A18" s="2862"/>
      <c r="B18" s="2863"/>
      <c r="C18" s="420"/>
      <c r="D18" s="421" t="s">
        <v>2129</v>
      </c>
      <c r="E18" s="426"/>
      <c r="F18" s="422"/>
      <c r="G18" s="2875">
        <v>0</v>
      </c>
      <c r="H18" s="2875">
        <v>0</v>
      </c>
      <c r="I18" s="2875">
        <v>0</v>
      </c>
      <c r="J18" s="2875">
        <v>0</v>
      </c>
      <c r="K18" s="2875">
        <v>0</v>
      </c>
      <c r="L18" s="2877">
        <v>0</v>
      </c>
      <c r="M18" s="2878">
        <v>0</v>
      </c>
      <c r="N18" s="2878"/>
      <c r="O18" s="2877">
        <v>0</v>
      </c>
      <c r="P18" s="2878">
        <v>0</v>
      </c>
      <c r="Q18" s="2878">
        <v>0</v>
      </c>
      <c r="R18" s="2878">
        <v>0</v>
      </c>
      <c r="S18" s="2878">
        <v>0</v>
      </c>
      <c r="T18" s="426"/>
      <c r="U18" s="420"/>
      <c r="V18" s="714" t="s">
        <v>4859</v>
      </c>
      <c r="W18" s="3884" t="s">
        <v>2138</v>
      </c>
      <c r="X18" s="3885">
        <v>60</v>
      </c>
      <c r="Y18" s="3886"/>
      <c r="Z18" s="6117" t="s">
        <v>4853</v>
      </c>
      <c r="AA18" s="6117" t="s">
        <v>4016</v>
      </c>
      <c r="AB18" s="3308" t="s">
        <v>4587</v>
      </c>
      <c r="AC18" s="3354"/>
      <c r="AD18" s="3355"/>
      <c r="AE18" s="3645" t="str">
        <f>IFERROR(VLOOKUP($V18,[53]アジア練習会場!$A$3:$E$107,2,),"－")</f>
        <v>－</v>
      </c>
      <c r="AF18" s="3646"/>
      <c r="AG18" s="3647"/>
      <c r="AH18" s="3645" t="str">
        <f>IFERROR(VLOOKUP($V18,[53]アジア練習会場!$A$3:$E$107,3,),"－")</f>
        <v>－</v>
      </c>
      <c r="AI18" s="3646"/>
      <c r="AJ18" s="3647"/>
      <c r="AK18" s="3755"/>
      <c r="AL18" s="3755"/>
      <c r="AM18" s="3756"/>
      <c r="AN18" s="3650"/>
      <c r="AO18" s="435"/>
      <c r="AP18" s="3651"/>
      <c r="AQ18" s="3852"/>
      <c r="AR18" s="3852"/>
      <c r="AS18" s="3852"/>
      <c r="AT18" s="613"/>
      <c r="AU18" s="3880"/>
      <c r="AV18" s="506"/>
      <c r="AW18" s="506"/>
      <c r="AX18" s="506"/>
      <c r="AY18" s="506"/>
      <c r="AZ18" s="506"/>
      <c r="BA18" s="506"/>
      <c r="BB18" s="506"/>
      <c r="BC18" s="506"/>
      <c r="BD18" s="506"/>
      <c r="BE18" s="506"/>
      <c r="BF18" s="506"/>
      <c r="BG18" s="506"/>
      <c r="BH18" s="506"/>
      <c r="BI18" s="506"/>
      <c r="BJ18" s="506"/>
      <c r="BK18" s="506"/>
      <c r="BL18" s="506"/>
      <c r="BM18" s="506"/>
      <c r="BN18" s="520"/>
      <c r="BO18" s="3712"/>
      <c r="BP18" s="3737"/>
      <c r="BQ18" s="290"/>
      <c r="BR18" s="332"/>
      <c r="BS18" s="333"/>
    </row>
    <row r="19" spans="1:71" ht="46" customHeight="1">
      <c r="A19" s="2862"/>
      <c r="B19" s="2863"/>
      <c r="C19" s="296">
        <f>C17+1</f>
        <v>8</v>
      </c>
      <c r="D19" s="297">
        <v>180</v>
      </c>
      <c r="E19" s="6244" t="s">
        <v>4985</v>
      </c>
      <c r="F19" s="373" t="s">
        <v>3936</v>
      </c>
      <c r="G19" s="733" t="s">
        <v>3478</v>
      </c>
      <c r="H19" s="3637" t="s">
        <v>3479</v>
      </c>
      <c r="I19" s="3637" t="s">
        <v>3480</v>
      </c>
      <c r="J19" s="3637" t="s">
        <v>3480</v>
      </c>
      <c r="K19" s="3637"/>
      <c r="L19" s="3637" t="s">
        <v>3481</v>
      </c>
      <c r="M19" s="3637" t="s">
        <v>3481</v>
      </c>
      <c r="N19" s="3637" t="s">
        <v>2132</v>
      </c>
      <c r="O19" s="3637" t="s">
        <v>3482</v>
      </c>
      <c r="P19" s="3637" t="s">
        <v>2134</v>
      </c>
      <c r="Q19" s="3637" t="s">
        <v>2206</v>
      </c>
      <c r="R19" s="3637" t="s">
        <v>2131</v>
      </c>
      <c r="S19" s="3871" t="s">
        <v>2240</v>
      </c>
      <c r="T19" s="377"/>
      <c r="U19" s="372" t="s">
        <v>3804</v>
      </c>
      <c r="V19" s="703" t="s">
        <v>6894</v>
      </c>
      <c r="W19" s="3881" t="s">
        <v>2138</v>
      </c>
      <c r="X19" s="3882">
        <v>30</v>
      </c>
      <c r="Y19" s="3873">
        <f>SUM(X19:X20)</f>
        <v>89</v>
      </c>
      <c r="Z19" s="3874" t="s">
        <v>4863</v>
      </c>
      <c r="AA19" s="3874" t="s">
        <v>4016</v>
      </c>
      <c r="AB19" s="4395" t="s">
        <v>4870</v>
      </c>
      <c r="AC19" s="3323"/>
      <c r="AD19" s="3324"/>
      <c r="AE19" s="3638" t="str">
        <f>IFERROR(VLOOKUP($V19,[54]競技情報DB!$D$3:$AO$29,6,),"－")</f>
        <v>－</v>
      </c>
      <c r="AF19" s="3639"/>
      <c r="AG19" s="3640"/>
      <c r="AH19" s="3638" t="str">
        <f>IFERROR(VLOOKUP($V19,[54]競技情報DB!$D$3:$AO$29,8,),"－")</f>
        <v>－</v>
      </c>
      <c r="AI19" s="3639"/>
      <c r="AJ19" s="3640"/>
      <c r="AK19" s="3757" cm="1">
        <f t="array" ref="AK19">_xlfn.LET(
  _xlpm.rng, AT19:BN19,
  _xlpm.header, $AT$3:$BN$3,
  _xlpm.idx, _xlfn.XMATCH(TRUE, _xlpm.rng&lt;&gt;0),
  _xlpm.dt, INDEX(_xlpm.header, _xlpm.idx),
  IF(YEAR(_xlpm.dt)&lt;&gt;2026, DATE(2026, MONTH(_xlpm.dt), DAY(_xlpm.dt)), _xlpm.dt)
)</f>
        <v>46305</v>
      </c>
      <c r="AL19" s="3757" cm="1">
        <f t="array" ref="AL19">_xlfn.LET(
  _xlpm.rng, AT19:BN19,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19" s="3758">
        <f>AL19-AK19</f>
        <v>15</v>
      </c>
      <c r="AN19" s="3643">
        <f>$H19-MAX(AT19:BN19)</f>
        <v>104</v>
      </c>
      <c r="AO19" s="394">
        <f>+AN19/$H19</f>
        <v>0.53886010362694303</v>
      </c>
      <c r="AP19" s="3644" t="str">
        <f>F19&amp;"　"&amp;"合計"</f>
        <v>名古屋笠寺ホテル　合計</v>
      </c>
      <c r="AQ19" s="395"/>
      <c r="AR19" s="395"/>
      <c r="AS19" s="3644" t="str">
        <f>F19&amp;"　"&amp;"合計"</f>
        <v>名古屋笠寺ホテル　合計</v>
      </c>
      <c r="AT19" s="696">
        <v>0</v>
      </c>
      <c r="AU19" s="3875">
        <v>0</v>
      </c>
      <c r="AV19" s="397">
        <v>0</v>
      </c>
      <c r="AW19" s="397">
        <v>1</v>
      </c>
      <c r="AX19" s="397">
        <v>6</v>
      </c>
      <c r="AY19" s="397">
        <v>10</v>
      </c>
      <c r="AZ19" s="397">
        <v>10</v>
      </c>
      <c r="BA19" s="397">
        <v>59</v>
      </c>
      <c r="BB19" s="397">
        <v>59</v>
      </c>
      <c r="BC19" s="397">
        <v>89</v>
      </c>
      <c r="BD19" s="397">
        <v>89</v>
      </c>
      <c r="BE19" s="397">
        <v>89</v>
      </c>
      <c r="BF19" s="397">
        <v>89</v>
      </c>
      <c r="BG19" s="397">
        <v>89</v>
      </c>
      <c r="BH19" s="397">
        <v>89</v>
      </c>
      <c r="BI19" s="397">
        <v>89</v>
      </c>
      <c r="BJ19" s="397">
        <v>89</v>
      </c>
      <c r="BK19" s="397">
        <v>89</v>
      </c>
      <c r="BL19" s="397">
        <v>59</v>
      </c>
      <c r="BM19" s="397">
        <v>0</v>
      </c>
      <c r="BN19" s="472">
        <v>0</v>
      </c>
      <c r="BO19" s="3712"/>
      <c r="BP19" s="3737" cm="1">
        <f t="array" ref="BP19">SUM(IF(ISNUMBER($AT19:$BN19),$AT19:$BN19, 0))</f>
        <v>1005</v>
      </c>
      <c r="BQ19" s="290"/>
      <c r="BR19" s="332"/>
      <c r="BS19" s="333"/>
    </row>
    <row r="20" spans="1:71" ht="46" customHeight="1">
      <c r="A20" s="2862"/>
      <c r="B20" s="2863"/>
      <c r="C20" s="296"/>
      <c r="D20" s="297"/>
      <c r="E20" s="302"/>
      <c r="F20" s="298"/>
      <c r="G20" s="2864"/>
      <c r="H20" s="2908"/>
      <c r="I20" s="2908"/>
      <c r="J20" s="3680"/>
      <c r="K20" s="2908">
        <v>0</v>
      </c>
      <c r="L20" s="2865"/>
      <c r="M20" s="2866"/>
      <c r="N20" s="2866"/>
      <c r="O20" s="2865"/>
      <c r="P20" s="2866"/>
      <c r="Q20" s="2866"/>
      <c r="R20" s="2866"/>
      <c r="S20" s="2866"/>
      <c r="T20" s="302"/>
      <c r="U20" s="296"/>
      <c r="V20" s="3341" t="s">
        <v>2972</v>
      </c>
      <c r="W20" s="3894" t="s">
        <v>2138</v>
      </c>
      <c r="X20" s="3895">
        <v>59</v>
      </c>
      <c r="Y20" s="3896"/>
      <c r="Z20" s="6121" t="s">
        <v>4847</v>
      </c>
      <c r="AA20" s="6121" t="s">
        <v>4016</v>
      </c>
      <c r="AB20" s="3353" t="s">
        <v>4848</v>
      </c>
      <c r="AC20" s="3366"/>
      <c r="AD20" s="3367"/>
      <c r="AE20" s="3681" t="str">
        <f>IFERROR(VLOOKUP($V20,[53]アジア練習会場!$A$3:$E$107,2,),"－")</f>
        <v>－</v>
      </c>
      <c r="AF20" s="3646"/>
      <c r="AG20" s="3647"/>
      <c r="AH20" s="3673" t="str">
        <f>IFERROR(VLOOKUP($V20,[53]アジア練習会場!$A$3:$E$107,3,),"－")</f>
        <v>－</v>
      </c>
      <c r="AI20" s="3671"/>
      <c r="AJ20" s="3672"/>
      <c r="AK20" s="3759"/>
      <c r="AL20" s="3759"/>
      <c r="AM20" s="3760"/>
      <c r="AN20" s="3660"/>
      <c r="AO20" s="311"/>
      <c r="AP20" s="3667"/>
      <c r="AQ20" s="3854"/>
      <c r="AR20" s="3854"/>
      <c r="AS20" s="3854"/>
      <c r="AT20" s="498"/>
      <c r="AU20" s="3897"/>
      <c r="AV20" s="493"/>
      <c r="AW20" s="493"/>
      <c r="AX20" s="493"/>
      <c r="AY20" s="493"/>
      <c r="AZ20" s="493"/>
      <c r="BA20" s="493"/>
      <c r="BB20" s="493"/>
      <c r="BC20" s="493"/>
      <c r="BD20" s="493"/>
      <c r="BE20" s="493"/>
      <c r="BF20" s="493"/>
      <c r="BG20" s="493"/>
      <c r="BH20" s="493"/>
      <c r="BI20" s="493"/>
      <c r="BJ20" s="493"/>
      <c r="BK20" s="493"/>
      <c r="BL20" s="493"/>
      <c r="BM20" s="493"/>
      <c r="BN20" s="499"/>
      <c r="BO20" s="3712"/>
      <c r="BP20" s="3737"/>
      <c r="BQ20" s="290"/>
      <c r="BR20" s="332"/>
      <c r="BS20" s="333"/>
    </row>
    <row r="21" spans="1:71" ht="46" customHeight="1">
      <c r="A21" s="2862"/>
      <c r="B21" s="2863"/>
      <c r="C21" s="372">
        <f>C19+1</f>
        <v>9</v>
      </c>
      <c r="D21" s="2871">
        <v>3037</v>
      </c>
      <c r="E21" s="377"/>
      <c r="F21" s="373" t="s">
        <v>6900</v>
      </c>
      <c r="G21" s="733"/>
      <c r="H21" s="3637"/>
      <c r="I21" s="3637" t="s">
        <v>3480</v>
      </c>
      <c r="J21" s="3637" t="s">
        <v>3480</v>
      </c>
      <c r="K21" s="3637"/>
      <c r="L21" s="3637"/>
      <c r="M21" s="3637"/>
      <c r="N21" s="3637"/>
      <c r="O21" s="3637"/>
      <c r="P21" s="3637"/>
      <c r="Q21" s="3637"/>
      <c r="R21" s="3637"/>
      <c r="S21" s="3871"/>
      <c r="T21" s="377"/>
      <c r="U21" s="372"/>
      <c r="V21" s="703" t="s">
        <v>6901</v>
      </c>
      <c r="W21" s="3881" t="s">
        <v>2138</v>
      </c>
      <c r="X21" s="3882">
        <v>30</v>
      </c>
      <c r="Y21" s="3873">
        <f>SUM(X21:X22)</f>
        <v>30</v>
      </c>
      <c r="Z21" s="3874"/>
      <c r="AA21" s="3874"/>
      <c r="AB21" s="4395"/>
      <c r="AC21" s="3323"/>
      <c r="AD21" s="3324"/>
      <c r="AE21" s="3638" t="str">
        <f>IFERROR(VLOOKUP($V21,[54]競技情報DB!$D$3:$AO$29,6,),"－")</f>
        <v>－</v>
      </c>
      <c r="AF21" s="3639"/>
      <c r="AG21" s="3640"/>
      <c r="AH21" s="3638" t="str">
        <f>IFERROR(VLOOKUP($V21,[54]競技情報DB!$D$3:$AO$29,8,),"－")</f>
        <v>－</v>
      </c>
      <c r="AI21" s="3639"/>
      <c r="AJ21" s="3640"/>
      <c r="AK21" s="3757" cm="1">
        <f t="array" ref="AK21">_xlfn.LET(
  _xlpm.rng, AT21:BN21,
  _xlpm.header, $AT$3:$BN$3,
  _xlpm.idx, _xlfn.XMATCH(TRUE, _xlpm.rng&lt;&gt;0),
  _xlpm.dt, INDEX(_xlpm.header, _xlpm.idx),
  IF(YEAR(_xlpm.dt)&lt;&gt;2026, DATE(2026, MONTH(_xlpm.dt), DAY(_xlpm.dt)), _xlpm.dt)
)</f>
        <v>46306</v>
      </c>
      <c r="AL21" s="3757" cm="1">
        <f t="array" ref="AL21">_xlfn.LET(
  _xlpm.rng, AT21:BN21,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21" s="3758">
        <f>AL21-AK21</f>
        <v>15</v>
      </c>
      <c r="AN21" s="3643">
        <f>$H21-MAX(AT21:BN21)</f>
        <v>-30</v>
      </c>
      <c r="AO21" s="394" t="e">
        <f>+AN21/$H21</f>
        <v>#DIV/0!</v>
      </c>
      <c r="AP21" s="3644" t="str">
        <f>F21&amp;"　"&amp;"合計"</f>
        <v>アパホテル名古屋伏見駅北　合計</v>
      </c>
      <c r="AQ21" s="395"/>
      <c r="AR21" s="395"/>
      <c r="AS21" s="3644" t="str">
        <f>F21&amp;"　"&amp;"合計"</f>
        <v>アパホテル名古屋伏見駅北　合計</v>
      </c>
      <c r="AT21" s="696">
        <v>0</v>
      </c>
      <c r="AU21" s="3875">
        <v>0</v>
      </c>
      <c r="AV21" s="397">
        <v>0</v>
      </c>
      <c r="AW21" s="397">
        <v>0</v>
      </c>
      <c r="AX21" s="397">
        <v>30</v>
      </c>
      <c r="AY21" s="397">
        <v>30</v>
      </c>
      <c r="AZ21" s="397">
        <v>30</v>
      </c>
      <c r="BA21" s="397">
        <v>30</v>
      </c>
      <c r="BB21" s="397">
        <v>30</v>
      </c>
      <c r="BC21" s="397">
        <v>30</v>
      </c>
      <c r="BD21" s="397">
        <v>30</v>
      </c>
      <c r="BE21" s="397">
        <v>30</v>
      </c>
      <c r="BF21" s="397">
        <v>30</v>
      </c>
      <c r="BG21" s="397">
        <v>30</v>
      </c>
      <c r="BH21" s="397">
        <v>30</v>
      </c>
      <c r="BI21" s="397">
        <v>30</v>
      </c>
      <c r="BJ21" s="397">
        <v>30</v>
      </c>
      <c r="BK21" s="397">
        <v>30</v>
      </c>
      <c r="BL21" s="397">
        <v>30</v>
      </c>
      <c r="BM21" s="397">
        <v>30</v>
      </c>
      <c r="BN21" s="472">
        <v>0</v>
      </c>
      <c r="BO21" s="3712"/>
      <c r="BP21" s="3751" cm="1">
        <f t="array" ref="BP21">SUM(IF(ISNUMBER($AT21:$BN21),$AT21:$BN21, 0))</f>
        <v>480</v>
      </c>
      <c r="BQ21" s="290"/>
      <c r="BR21" s="332"/>
      <c r="BS21" s="333"/>
    </row>
    <row r="22" spans="1:71" ht="46" customHeight="1">
      <c r="A22" s="2862"/>
      <c r="B22" s="2863"/>
      <c r="C22" s="296"/>
      <c r="D22" s="297"/>
      <c r="E22" s="302"/>
      <c r="F22" s="298"/>
      <c r="G22" s="2864"/>
      <c r="H22" s="2908"/>
      <c r="I22" s="2908"/>
      <c r="J22" s="3680"/>
      <c r="K22" s="2908">
        <v>0</v>
      </c>
      <c r="L22" s="2865"/>
      <c r="M22" s="2866"/>
      <c r="N22" s="2866"/>
      <c r="O22" s="2865"/>
      <c r="P22" s="2866"/>
      <c r="Q22" s="2866"/>
      <c r="R22" s="2866"/>
      <c r="S22" s="2866"/>
      <c r="T22" s="302"/>
      <c r="U22" s="296"/>
      <c r="V22" s="3341"/>
      <c r="W22" s="3894"/>
      <c r="X22" s="3895"/>
      <c r="Y22" s="3896"/>
      <c r="Z22" s="6121"/>
      <c r="AA22" s="6121"/>
      <c r="AB22" s="3353"/>
      <c r="AC22" s="3366"/>
      <c r="AD22" s="3367"/>
      <c r="AE22" s="3681" t="str">
        <f>IFERROR(VLOOKUP($V22,[53]アジア練習会場!$A$3:$E$107,2,),"－")</f>
        <v>－</v>
      </c>
      <c r="AF22" s="3646"/>
      <c r="AG22" s="3647"/>
      <c r="AH22" s="3673" t="str">
        <f>IFERROR(VLOOKUP($V22,[53]アジア練習会場!$A$3:$E$107,3,),"－")</f>
        <v>－</v>
      </c>
      <c r="AI22" s="3671"/>
      <c r="AJ22" s="3672"/>
      <c r="AK22" s="3759"/>
      <c r="AL22" s="3759"/>
      <c r="AM22" s="3760"/>
      <c r="AN22" s="3660"/>
      <c r="AO22" s="311"/>
      <c r="AP22" s="3667"/>
      <c r="AQ22" s="3854"/>
      <c r="AR22" s="3854"/>
      <c r="AS22" s="3854"/>
      <c r="AT22" s="498"/>
      <c r="AU22" s="3897"/>
      <c r="AV22" s="493"/>
      <c r="AW22" s="493"/>
      <c r="AX22" s="493"/>
      <c r="AY22" s="493"/>
      <c r="AZ22" s="493"/>
      <c r="BA22" s="493"/>
      <c r="BB22" s="493"/>
      <c r="BC22" s="493"/>
      <c r="BD22" s="493"/>
      <c r="BE22" s="493"/>
      <c r="BF22" s="493"/>
      <c r="BG22" s="493"/>
      <c r="BH22" s="493"/>
      <c r="BI22" s="493"/>
      <c r="BJ22" s="493"/>
      <c r="BK22" s="493"/>
      <c r="BL22" s="493"/>
      <c r="BM22" s="493"/>
      <c r="BN22" s="499"/>
      <c r="BO22" s="3712"/>
      <c r="BP22" s="3737"/>
      <c r="BQ22" s="290"/>
      <c r="BR22" s="332"/>
      <c r="BS22" s="333"/>
    </row>
    <row r="23" spans="1:71" ht="46" customHeight="1">
      <c r="A23" s="2912" t="s">
        <v>2466</v>
      </c>
      <c r="B23" s="3898" t="s">
        <v>4</v>
      </c>
      <c r="C23" s="372">
        <f>C21+1</f>
        <v>10</v>
      </c>
      <c r="D23" s="2871">
        <v>1</v>
      </c>
      <c r="E23" s="6244" t="s">
        <v>4985</v>
      </c>
      <c r="F23" s="373" t="s">
        <v>4871</v>
      </c>
      <c r="G23" s="733" t="s">
        <v>3509</v>
      </c>
      <c r="H23" s="3637" t="s">
        <v>4872</v>
      </c>
      <c r="I23" s="3637" t="s">
        <v>3509</v>
      </c>
      <c r="J23" s="3637" t="s">
        <v>4872</v>
      </c>
      <c r="K23" s="3637"/>
      <c r="L23" s="3637" t="s">
        <v>3481</v>
      </c>
      <c r="M23" s="3637" t="s">
        <v>3481</v>
      </c>
      <c r="N23" s="3637" t="s">
        <v>2229</v>
      </c>
      <c r="O23" s="3637" t="s">
        <v>3586</v>
      </c>
      <c r="P23" s="3637" t="s">
        <v>2134</v>
      </c>
      <c r="Q23" s="3637" t="s">
        <v>2134</v>
      </c>
      <c r="R23" s="3637" t="s">
        <v>2134</v>
      </c>
      <c r="S23" s="3871" t="s">
        <v>2702</v>
      </c>
      <c r="T23" s="377"/>
      <c r="U23" s="372" t="s">
        <v>2814</v>
      </c>
      <c r="V23" s="387" t="s">
        <v>6893</v>
      </c>
      <c r="W23" s="3872" t="s">
        <v>2179</v>
      </c>
      <c r="X23" s="3888">
        <v>44</v>
      </c>
      <c r="Y23" s="3873">
        <f>SUM(X23:X24)</f>
        <v>44</v>
      </c>
      <c r="Z23" s="6119" t="s">
        <v>4847</v>
      </c>
      <c r="AA23" s="6119" t="s">
        <v>4016</v>
      </c>
      <c r="AB23" s="3322" t="s">
        <v>2829</v>
      </c>
      <c r="AC23" s="3323"/>
      <c r="AD23" s="3324"/>
      <c r="AE23" s="3638" t="str">
        <f>IFERROR(VLOOKUP($V23,[54]競技情報DB!$D$3:$AO$29,6,),"－")</f>
        <v>－</v>
      </c>
      <c r="AF23" s="3639"/>
      <c r="AG23" s="3640"/>
      <c r="AH23" s="3638" t="str">
        <f>IFERROR(VLOOKUP($V23,[54]競技情報DB!$D$3:$AO$29,8,),"－")</f>
        <v>－</v>
      </c>
      <c r="AI23" s="3639"/>
      <c r="AJ23" s="3640"/>
      <c r="AK23" s="3757" cm="1">
        <f t="array" ref="AK23">_xlfn.LET(
  _xlpm.rng, AT23:BN23,
  _xlpm.header, $AT$3:$BN$3,
  _xlpm.idx, _xlfn.XMATCH(TRUE, _xlpm.rng&lt;&gt;0),
  _xlpm.dt, INDEX(_xlpm.header, _xlpm.idx),
  IF(YEAR(_xlpm.dt)&lt;&gt;2026, DATE(2026, MONTH(_xlpm.dt), DAY(_xlpm.dt)), _xlpm.dt)
)</f>
        <v>46305</v>
      </c>
      <c r="AL23" s="3757" cm="1">
        <f t="array" ref="AL23">_xlfn.LET(
  _xlpm.rng, AT23:BN23,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23" s="3758">
        <f>AL23-AK23</f>
        <v>16</v>
      </c>
      <c r="AN23" s="3643">
        <f>$H23-MAX(AT23:BN23)</f>
        <v>43</v>
      </c>
      <c r="AO23" s="394">
        <f>+AN23/$H23</f>
        <v>0.4942528735632184</v>
      </c>
      <c r="AP23" s="3644" t="str">
        <f>F23&amp;"　"&amp;"合計"</f>
        <v>アパホテル＜尾張一宮駅前＞　合計</v>
      </c>
      <c r="AQ23" s="395"/>
      <c r="AR23" s="395"/>
      <c r="AS23" s="3644" t="str">
        <f>F23&amp;"　"&amp;"合計"</f>
        <v>アパホテル＜尾張一宮駅前＞　合計</v>
      </c>
      <c r="AT23" s="696">
        <v>0</v>
      </c>
      <c r="AU23" s="3875">
        <v>0</v>
      </c>
      <c r="AV23" s="397">
        <v>0</v>
      </c>
      <c r="AW23" s="397">
        <v>1</v>
      </c>
      <c r="AX23" s="397">
        <v>7</v>
      </c>
      <c r="AY23" s="397">
        <v>7</v>
      </c>
      <c r="AZ23" s="397">
        <v>44</v>
      </c>
      <c r="BA23" s="397">
        <v>44</v>
      </c>
      <c r="BB23" s="397">
        <v>44</v>
      </c>
      <c r="BC23" s="397">
        <v>44</v>
      </c>
      <c r="BD23" s="397">
        <v>44</v>
      </c>
      <c r="BE23" s="397">
        <v>44</v>
      </c>
      <c r="BF23" s="397">
        <v>44</v>
      </c>
      <c r="BG23" s="397">
        <v>44</v>
      </c>
      <c r="BH23" s="397">
        <v>44</v>
      </c>
      <c r="BI23" s="397">
        <v>44</v>
      </c>
      <c r="BJ23" s="397">
        <v>44</v>
      </c>
      <c r="BK23" s="397">
        <v>44</v>
      </c>
      <c r="BL23" s="397">
        <v>1</v>
      </c>
      <c r="BM23" s="397">
        <v>1</v>
      </c>
      <c r="BN23" s="472">
        <v>0</v>
      </c>
      <c r="BO23" s="3712"/>
      <c r="BP23" s="3737" cm="1">
        <f t="array" ref="BP23">SUM(IF(ISNUMBER($AT23:$BN23),$AT23:$BN23, 0))</f>
        <v>545</v>
      </c>
      <c r="BQ23" s="290"/>
      <c r="BR23" s="404"/>
      <c r="BS23" s="405"/>
    </row>
    <row r="24" spans="1:71" ht="46" customHeight="1">
      <c r="A24" s="2862"/>
      <c r="B24" s="2863"/>
      <c r="C24" s="420"/>
      <c r="D24" s="421" t="s">
        <v>2129</v>
      </c>
      <c r="E24" s="426"/>
      <c r="F24" s="422"/>
      <c r="G24" s="2875">
        <v>0</v>
      </c>
      <c r="H24" s="2864">
        <v>0</v>
      </c>
      <c r="I24" s="2864">
        <v>0</v>
      </c>
      <c r="J24" s="3668"/>
      <c r="K24" s="2864">
        <v>0</v>
      </c>
      <c r="L24" s="2865">
        <v>0</v>
      </c>
      <c r="M24" s="2866">
        <v>0</v>
      </c>
      <c r="N24" s="2866"/>
      <c r="O24" s="2865">
        <v>0</v>
      </c>
      <c r="P24" s="2866">
        <v>0</v>
      </c>
      <c r="Q24" s="2866">
        <v>0</v>
      </c>
      <c r="R24" s="2866">
        <v>0</v>
      </c>
      <c r="S24" s="2866">
        <v>0</v>
      </c>
      <c r="T24" s="302"/>
      <c r="U24" s="296"/>
      <c r="V24" s="3314"/>
      <c r="W24" s="3876"/>
      <c r="X24" s="3877"/>
      <c r="Y24" s="3886"/>
      <c r="Z24" s="3879"/>
      <c r="AA24" s="3879"/>
      <c r="AB24" s="3374" t="s">
        <v>2134</v>
      </c>
      <c r="AC24" s="3316"/>
      <c r="AD24" s="3317"/>
      <c r="AE24" s="3652" t="str">
        <f>IFERROR(VLOOKUP($V24,[53]アジア練習会場!$A$3:$E$107,2,),"－")</f>
        <v>－</v>
      </c>
      <c r="AF24" s="3653"/>
      <c r="AG24" s="3654"/>
      <c r="AH24" s="3669" t="str">
        <f>IFERROR(VLOOKUP($V24,[53]アジア練習会場!$A$3:$E$107,3,),"－")</f>
        <v>－</v>
      </c>
      <c r="AI24" s="3678"/>
      <c r="AJ24" s="3679"/>
      <c r="AK24" s="3759"/>
      <c r="AL24" s="3759"/>
      <c r="AM24" s="3760"/>
      <c r="AN24" s="3660"/>
      <c r="AO24" s="311"/>
      <c r="AP24" s="3675"/>
      <c r="AQ24" s="3853"/>
      <c r="AR24" s="3853"/>
      <c r="AS24" s="3853"/>
      <c r="AT24" s="339"/>
      <c r="AU24" s="3889"/>
      <c r="AV24" s="445"/>
      <c r="AW24" s="445"/>
      <c r="AX24" s="445"/>
      <c r="AY24" s="445"/>
      <c r="AZ24" s="445"/>
      <c r="BA24" s="445"/>
      <c r="BB24" s="445"/>
      <c r="BC24" s="445"/>
      <c r="BD24" s="445"/>
      <c r="BE24" s="445"/>
      <c r="BF24" s="445"/>
      <c r="BG24" s="336"/>
      <c r="BH24" s="445"/>
      <c r="BI24" s="445"/>
      <c r="BJ24" s="445"/>
      <c r="BK24" s="336"/>
      <c r="BL24" s="445"/>
      <c r="BM24" s="445"/>
      <c r="BN24" s="449"/>
      <c r="BO24" s="3712"/>
      <c r="BP24" s="3737"/>
      <c r="BQ24" s="290"/>
      <c r="BR24" s="450"/>
      <c r="BS24" s="451"/>
    </row>
    <row r="25" spans="1:71" ht="46" customHeight="1">
      <c r="A25" s="2862"/>
      <c r="B25" s="2863"/>
      <c r="C25" s="372">
        <f>C23+1</f>
        <v>11</v>
      </c>
      <c r="D25" s="2871">
        <v>4</v>
      </c>
      <c r="E25" s="6244" t="s">
        <v>2960</v>
      </c>
      <c r="F25" s="373" t="s">
        <v>6902</v>
      </c>
      <c r="G25" s="733"/>
      <c r="H25" s="3637"/>
      <c r="I25" s="3637" t="s">
        <v>3509</v>
      </c>
      <c r="J25" s="3637" t="s">
        <v>4872</v>
      </c>
      <c r="K25" s="3637"/>
      <c r="L25" s="3637"/>
      <c r="M25" s="3637"/>
      <c r="N25" s="3637"/>
      <c r="O25" s="3637"/>
      <c r="P25" s="3637"/>
      <c r="Q25" s="3637"/>
      <c r="R25" s="3637"/>
      <c r="S25" s="3871"/>
      <c r="T25" s="377"/>
      <c r="U25" s="372"/>
      <c r="V25" s="387" t="s">
        <v>6903</v>
      </c>
      <c r="W25" s="3872" t="s">
        <v>2179</v>
      </c>
      <c r="X25" s="3888">
        <v>65</v>
      </c>
      <c r="Y25" s="3873">
        <f>SUM(X25:X26)</f>
        <v>65</v>
      </c>
      <c r="Z25" s="6119" t="s">
        <v>4847</v>
      </c>
      <c r="AA25" s="6119" t="s">
        <v>4016</v>
      </c>
      <c r="AB25" s="3322" t="s">
        <v>2829</v>
      </c>
      <c r="AC25" s="3323"/>
      <c r="AD25" s="3324"/>
      <c r="AE25" s="3638" t="str">
        <f>IFERROR(VLOOKUP($V25,[54]競技情報DB!$D$3:$AO$29,6,),"－")</f>
        <v>－</v>
      </c>
      <c r="AF25" s="3639"/>
      <c r="AG25" s="3640"/>
      <c r="AH25" s="3638" t="str">
        <f>IFERROR(VLOOKUP($V25,[54]競技情報DB!$D$3:$AO$29,8,),"－")</f>
        <v>－</v>
      </c>
      <c r="AI25" s="3639"/>
      <c r="AJ25" s="3640"/>
      <c r="AK25" s="3757" cm="1">
        <f t="array" ref="AK25">_xlfn.LET(
  _xlpm.rng, AT25:BN25,
  _xlpm.header, $AT$3:$BN$3,
  _xlpm.idx, _xlfn.XMATCH(TRUE, _xlpm.rng&lt;&gt;0),
  _xlpm.dt, INDEX(_xlpm.header, _xlpm.idx),
  IF(YEAR(_xlpm.dt)&lt;&gt;2026, DATE(2026, MONTH(_xlpm.dt), DAY(_xlpm.dt)), _xlpm.dt)
)</f>
        <v>46308</v>
      </c>
      <c r="AL25" s="3757" cm="1">
        <f t="array" ref="AL25">_xlfn.LET(
  _xlpm.rng, AT25:BN25,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46319</v>
      </c>
      <c r="AM25" s="3758">
        <f>AL25-AK25</f>
        <v>11</v>
      </c>
      <c r="AN25" s="3643">
        <f>$H25-MAX(AT25:BN25)</f>
        <v>-65</v>
      </c>
      <c r="AO25" s="394" t="e">
        <f>+AN25/$H25</f>
        <v>#DIV/0!</v>
      </c>
      <c r="AP25" s="3644" t="str">
        <f>F25&amp;"　"&amp;"合計"</f>
        <v>ホテルルートイン一宮駅前　合計</v>
      </c>
      <c r="AQ25" s="395"/>
      <c r="AR25" s="395"/>
      <c r="AS25" s="3644" t="str">
        <f>F25&amp;"　"&amp;"合計"</f>
        <v>ホテルルートイン一宮駅前　合計</v>
      </c>
      <c r="AT25" s="696">
        <v>0</v>
      </c>
      <c r="AU25" s="3875">
        <v>0</v>
      </c>
      <c r="AV25" s="397">
        <v>0</v>
      </c>
      <c r="AW25" s="397">
        <v>0</v>
      </c>
      <c r="AX25" s="397">
        <v>0</v>
      </c>
      <c r="AY25" s="397">
        <v>0</v>
      </c>
      <c r="AZ25" s="397">
        <v>65</v>
      </c>
      <c r="BA25" s="397">
        <v>65</v>
      </c>
      <c r="BB25" s="397">
        <v>65</v>
      </c>
      <c r="BC25" s="397">
        <v>65</v>
      </c>
      <c r="BD25" s="397">
        <v>65</v>
      </c>
      <c r="BE25" s="397">
        <v>65</v>
      </c>
      <c r="BF25" s="397">
        <v>65</v>
      </c>
      <c r="BG25" s="397">
        <v>65</v>
      </c>
      <c r="BH25" s="397">
        <v>65</v>
      </c>
      <c r="BI25" s="397">
        <v>65</v>
      </c>
      <c r="BJ25" s="397">
        <v>65</v>
      </c>
      <c r="BK25" s="397">
        <v>65</v>
      </c>
      <c r="BL25" s="397">
        <v>0</v>
      </c>
      <c r="BM25" s="397">
        <v>0</v>
      </c>
      <c r="BN25" s="472">
        <v>0</v>
      </c>
      <c r="BO25" s="3712"/>
      <c r="BP25" s="3751" cm="1">
        <f t="array" ref="BP25">SUM(IF(ISNUMBER($AT25:$BN25),$AT25:$BN25, 0))</f>
        <v>780</v>
      </c>
      <c r="BQ25" s="290"/>
      <c r="BR25" s="332"/>
      <c r="BS25" s="333"/>
    </row>
    <row r="26" spans="1:71" ht="46" customHeight="1">
      <c r="A26" s="2862"/>
      <c r="B26" s="2863"/>
      <c r="C26" s="420"/>
      <c r="D26" s="421" t="s">
        <v>2129</v>
      </c>
      <c r="E26" s="426"/>
      <c r="F26" s="422"/>
      <c r="G26" s="2875">
        <v>0</v>
      </c>
      <c r="H26" s="2864">
        <v>0</v>
      </c>
      <c r="I26" s="2864">
        <v>0</v>
      </c>
      <c r="J26" s="3668"/>
      <c r="K26" s="2864">
        <v>0</v>
      </c>
      <c r="L26" s="2865">
        <v>0</v>
      </c>
      <c r="M26" s="2866">
        <v>0</v>
      </c>
      <c r="N26" s="2866"/>
      <c r="O26" s="2865">
        <v>0</v>
      </c>
      <c r="P26" s="2866">
        <v>0</v>
      </c>
      <c r="Q26" s="2866">
        <v>0</v>
      </c>
      <c r="R26" s="2866">
        <v>0</v>
      </c>
      <c r="S26" s="2866">
        <v>0</v>
      </c>
      <c r="T26" s="302"/>
      <c r="U26" s="296"/>
      <c r="V26" s="3314"/>
      <c r="W26" s="3876"/>
      <c r="X26" s="3877"/>
      <c r="Y26" s="3886"/>
      <c r="Z26" s="3879"/>
      <c r="AA26" s="3879"/>
      <c r="AB26" s="3374" t="s">
        <v>2134</v>
      </c>
      <c r="AC26" s="3316"/>
      <c r="AD26" s="3317"/>
      <c r="AE26" s="3652" t="str">
        <f>IFERROR(VLOOKUP($V26,[53]アジア練習会場!$A$3:$E$107,2,),"－")</f>
        <v>－</v>
      </c>
      <c r="AF26" s="3653"/>
      <c r="AG26" s="3654"/>
      <c r="AH26" s="3669" t="str">
        <f>IFERROR(VLOOKUP($V26,[53]アジア練習会場!$A$3:$E$107,3,),"－")</f>
        <v>－</v>
      </c>
      <c r="AI26" s="3678"/>
      <c r="AJ26" s="3679"/>
      <c r="AK26" s="3759"/>
      <c r="AL26" s="3759"/>
      <c r="AM26" s="3760"/>
      <c r="AN26" s="3660"/>
      <c r="AO26" s="311"/>
      <c r="AP26" s="3675"/>
      <c r="AQ26" s="3853"/>
      <c r="AR26" s="3853"/>
      <c r="AS26" s="3853"/>
      <c r="AT26" s="339"/>
      <c r="AU26" s="3889"/>
      <c r="AV26" s="445"/>
      <c r="AW26" s="445"/>
      <c r="AX26" s="445"/>
      <c r="AY26" s="445"/>
      <c r="AZ26" s="445"/>
      <c r="BA26" s="445"/>
      <c r="BB26" s="445"/>
      <c r="BC26" s="445"/>
      <c r="BD26" s="445"/>
      <c r="BE26" s="445"/>
      <c r="BF26" s="445"/>
      <c r="BG26" s="336"/>
      <c r="BH26" s="445"/>
      <c r="BI26" s="445"/>
      <c r="BJ26" s="445"/>
      <c r="BK26" s="336"/>
      <c r="BL26" s="445"/>
      <c r="BM26" s="445"/>
      <c r="BN26" s="449"/>
      <c r="BO26" s="3712"/>
      <c r="BP26" s="3737"/>
      <c r="BQ26" s="290"/>
      <c r="BR26" s="332"/>
      <c r="BS26" s="333"/>
    </row>
    <row r="27" spans="1:71" ht="46" customHeight="1">
      <c r="A27" s="2862"/>
      <c r="B27" s="372" t="s">
        <v>8</v>
      </c>
      <c r="C27" s="372">
        <f>C25+1</f>
        <v>12</v>
      </c>
      <c r="D27" s="2871">
        <v>201</v>
      </c>
      <c r="E27" s="6244" t="s">
        <v>4985</v>
      </c>
      <c r="F27" s="373" t="s">
        <v>4873</v>
      </c>
      <c r="G27" s="733" t="s">
        <v>4874</v>
      </c>
      <c r="H27" s="3637" t="s">
        <v>3499</v>
      </c>
      <c r="I27" s="3637" t="s">
        <v>4874</v>
      </c>
      <c r="J27" s="3637" t="s">
        <v>3499</v>
      </c>
      <c r="K27" s="3637"/>
      <c r="L27" s="3637" t="s">
        <v>4875</v>
      </c>
      <c r="M27" s="3637" t="s">
        <v>3615</v>
      </c>
      <c r="N27" s="3637" t="s">
        <v>2132</v>
      </c>
      <c r="O27" s="3637" t="s">
        <v>3499</v>
      </c>
      <c r="P27" s="3637" t="s">
        <v>2134</v>
      </c>
      <c r="Q27" s="3637" t="s">
        <v>2133</v>
      </c>
      <c r="R27" s="3637" t="s">
        <v>2133</v>
      </c>
      <c r="S27" s="3871" t="s">
        <v>2183</v>
      </c>
      <c r="T27" s="377"/>
      <c r="U27" s="372" t="s">
        <v>3804</v>
      </c>
      <c r="V27" s="3418" t="s">
        <v>4876</v>
      </c>
      <c r="W27" s="3872" t="s">
        <v>2256</v>
      </c>
      <c r="X27" s="3888">
        <v>71</v>
      </c>
      <c r="Y27" s="3873">
        <f>SUM(X27:X28)</f>
        <v>71</v>
      </c>
      <c r="Z27" s="6119" t="s">
        <v>4847</v>
      </c>
      <c r="AA27" s="6119" t="s">
        <v>4016</v>
      </c>
      <c r="AB27" s="3322" t="s">
        <v>4877</v>
      </c>
      <c r="AC27" s="3323"/>
      <c r="AD27" s="3324"/>
      <c r="AE27" s="3638" t="str">
        <f>IFERROR(VLOOKUP($V27,[54]競技情報DB!$D$3:$AO$29,6,),"－")</f>
        <v>愛知県総合射撃場</v>
      </c>
      <c r="AF27" s="3639"/>
      <c r="AG27" s="3640"/>
      <c r="AH27" s="3638" t="str">
        <f>IFERROR(VLOOKUP($V27,[54]競技情報DB!$D$3:$AO$29,8,),"－")</f>
        <v>-</v>
      </c>
      <c r="AI27" s="3639"/>
      <c r="AJ27" s="3640"/>
      <c r="AK27" s="3757" cm="1">
        <f t="array" ref="AK27">_xlfn.LET(
  _xlpm.rng, AT27:BN27,
  _xlpm.header, $AT$3:$BN$3,
  _xlpm.idx, _xlfn.XMATCH(TRUE, _xlpm.rng&lt;&gt;0),
  _xlpm.dt, INDEX(_xlpm.header, _xlpm.idx),
  IF(YEAR(_xlpm.dt)&lt;&gt;2026, DATE(2026, MONTH(_xlpm.dt), DAY(_xlpm.dt)), _xlpm.dt)
)</f>
        <v>46308</v>
      </c>
      <c r="AL27" s="3757" cm="1">
        <f t="array" ref="AL27">_xlfn.LET(
  _xlpm.rng, AT27:BN27,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27" s="3758">
        <f>AL27-AK27</f>
        <v>12</v>
      </c>
      <c r="AN27" s="3643">
        <f>$H27-MAX(AT27:BN27)</f>
        <v>35</v>
      </c>
      <c r="AO27" s="394">
        <f>+AN27/$H27</f>
        <v>0.330188679245283</v>
      </c>
      <c r="AP27" s="3644" t="str">
        <f>F27&amp;"　"&amp;"合計"</f>
        <v>全トヨタ労連研修センター　つどいの丘　合計</v>
      </c>
      <c r="AQ27" s="395"/>
      <c r="AR27" s="395"/>
      <c r="AS27" s="3644" t="str">
        <f>F27&amp;"　"&amp;"合計"</f>
        <v>全トヨタ労連研修センター　つどいの丘　合計</v>
      </c>
      <c r="AT27" s="470">
        <v>0</v>
      </c>
      <c r="AU27" s="3875">
        <v>0</v>
      </c>
      <c r="AV27" s="397">
        <v>0</v>
      </c>
      <c r="AW27" s="397">
        <v>0</v>
      </c>
      <c r="AX27" s="397">
        <v>0</v>
      </c>
      <c r="AY27" s="397">
        <v>0</v>
      </c>
      <c r="AZ27" s="397">
        <v>31</v>
      </c>
      <c r="BA27" s="397">
        <v>31</v>
      </c>
      <c r="BB27" s="397">
        <v>47</v>
      </c>
      <c r="BC27" s="397">
        <v>71</v>
      </c>
      <c r="BD27" s="397">
        <v>71</v>
      </c>
      <c r="BE27" s="397">
        <v>71</v>
      </c>
      <c r="BF27" s="397">
        <v>71</v>
      </c>
      <c r="BG27" s="397">
        <v>71</v>
      </c>
      <c r="BH27" s="397">
        <v>71</v>
      </c>
      <c r="BI27" s="397">
        <v>71</v>
      </c>
      <c r="BJ27" s="397">
        <v>71</v>
      </c>
      <c r="BK27" s="397">
        <v>71</v>
      </c>
      <c r="BL27" s="397">
        <v>1</v>
      </c>
      <c r="BM27" s="397">
        <v>0</v>
      </c>
      <c r="BN27" s="472">
        <v>0</v>
      </c>
      <c r="BO27" s="3712"/>
      <c r="BP27" s="3737" cm="1">
        <f t="array" ref="BP27">SUM(IF(ISNUMBER($AT27:$BN27),$AT27:$BN27, 0))</f>
        <v>749</v>
      </c>
      <c r="BQ27" s="290"/>
      <c r="BR27" s="332"/>
      <c r="BS27" s="333"/>
    </row>
    <row r="28" spans="1:71" ht="46" customHeight="1">
      <c r="A28" s="2862"/>
      <c r="B28" s="296"/>
      <c r="C28" s="420"/>
      <c r="D28" s="421"/>
      <c r="E28" s="426"/>
      <c r="F28" s="422"/>
      <c r="G28" s="2875"/>
      <c r="H28" s="2875"/>
      <c r="I28" s="2875">
        <v>0</v>
      </c>
      <c r="J28" s="3684"/>
      <c r="K28" s="2875">
        <v>0</v>
      </c>
      <c r="L28" s="2877"/>
      <c r="M28" s="2878"/>
      <c r="N28" s="2878"/>
      <c r="O28" s="2877"/>
      <c r="P28" s="2878"/>
      <c r="Q28" s="2878"/>
      <c r="R28" s="2878"/>
      <c r="S28" s="2878"/>
      <c r="T28" s="426"/>
      <c r="U28" s="420"/>
      <c r="V28" s="714"/>
      <c r="W28" s="3890"/>
      <c r="X28" s="3891"/>
      <c r="Y28" s="3892"/>
      <c r="Z28" s="3899"/>
      <c r="AA28" s="3900"/>
      <c r="AB28" s="3343" t="s">
        <v>2134</v>
      </c>
      <c r="AC28" s="3366"/>
      <c r="AD28" s="3367"/>
      <c r="AE28" s="3670" t="str">
        <f>IFERROR(VLOOKUP($V28,[53]アジア練習会場!$A$3:$E$107,2,),"－")</f>
        <v>－</v>
      </c>
      <c r="AF28" s="3671"/>
      <c r="AG28" s="3672"/>
      <c r="AH28" s="3645" t="str">
        <f>IFERROR(VLOOKUP($V28,[53]アジア練習会場!$A$3:$E$107,3,),"－")</f>
        <v>－</v>
      </c>
      <c r="AI28" s="3646"/>
      <c r="AJ28" s="3647"/>
      <c r="AK28" s="3755"/>
      <c r="AL28" s="3755"/>
      <c r="AM28" s="3756"/>
      <c r="AN28" s="3650"/>
      <c r="AO28" s="435"/>
      <c r="AP28" s="3676"/>
      <c r="AQ28" s="443"/>
      <c r="AR28" s="443"/>
      <c r="AS28" s="443"/>
      <c r="AT28" s="448"/>
      <c r="AU28" s="3889"/>
      <c r="AV28" s="445"/>
      <c r="AW28" s="445"/>
      <c r="AX28" s="445"/>
      <c r="AY28" s="445"/>
      <c r="AZ28" s="445"/>
      <c r="BA28" s="445"/>
      <c r="BB28" s="445"/>
      <c r="BC28" s="445"/>
      <c r="BD28" s="445"/>
      <c r="BE28" s="445"/>
      <c r="BF28" s="445"/>
      <c r="BG28" s="445"/>
      <c r="BH28" s="445"/>
      <c r="BI28" s="445"/>
      <c r="BJ28" s="445"/>
      <c r="BK28" s="445"/>
      <c r="BL28" s="445"/>
      <c r="BM28" s="445"/>
      <c r="BN28" s="449"/>
      <c r="BO28" s="3712"/>
      <c r="BP28" s="3737"/>
      <c r="BQ28" s="290"/>
      <c r="BR28" s="332"/>
      <c r="BS28" s="333"/>
    </row>
    <row r="29" spans="1:71" ht="46" customHeight="1">
      <c r="A29" s="2862"/>
      <c r="B29" s="296"/>
      <c r="C29" s="296">
        <f>C27+1</f>
        <v>13</v>
      </c>
      <c r="D29" s="297">
        <v>210</v>
      </c>
      <c r="E29" s="6246" t="s">
        <v>4985</v>
      </c>
      <c r="F29" s="373" t="s">
        <v>4878</v>
      </c>
      <c r="G29" s="733" t="s">
        <v>3673</v>
      </c>
      <c r="H29" s="3637" t="s">
        <v>3655</v>
      </c>
      <c r="I29" s="3637" t="s">
        <v>3673</v>
      </c>
      <c r="J29" s="3637" t="s">
        <v>3655</v>
      </c>
      <c r="K29" s="3637"/>
      <c r="L29" s="3637" t="s">
        <v>4879</v>
      </c>
      <c r="M29" s="3637" t="s">
        <v>4879</v>
      </c>
      <c r="N29" s="3637" t="s">
        <v>2132</v>
      </c>
      <c r="O29" s="3637" t="s">
        <v>4880</v>
      </c>
      <c r="P29" s="3637" t="s">
        <v>2134</v>
      </c>
      <c r="Q29" s="3637" t="s">
        <v>2134</v>
      </c>
      <c r="R29" s="3637" t="s">
        <v>2134</v>
      </c>
      <c r="S29" s="3871" t="s">
        <v>2288</v>
      </c>
      <c r="T29" s="302"/>
      <c r="U29" s="372" t="s">
        <v>2814</v>
      </c>
      <c r="V29" s="3349" t="s">
        <v>4881</v>
      </c>
      <c r="W29" s="3872" t="s">
        <v>2256</v>
      </c>
      <c r="X29" s="3888">
        <v>87</v>
      </c>
      <c r="Y29" s="3873">
        <f>SUM(X29:X30)</f>
        <v>87</v>
      </c>
      <c r="Z29" s="3874" t="s">
        <v>4882</v>
      </c>
      <c r="AA29" s="3874" t="s">
        <v>4016</v>
      </c>
      <c r="AB29" s="3322" t="s">
        <v>2857</v>
      </c>
      <c r="AC29" s="3323"/>
      <c r="AD29" s="3324"/>
      <c r="AE29" s="3638" t="str">
        <f>IFERROR(VLOOKUP($V29,[54]競技情報DB!$D$3:$AO$29,6,),"－")</f>
        <v>スカイホール豊田</v>
      </c>
      <c r="AF29" s="3639"/>
      <c r="AG29" s="3640"/>
      <c r="AH29" s="3638" t="str">
        <f>IFERROR(VLOOKUP($V29,[54]競技情報DB!$D$3:$AO$29,8,),"－")</f>
        <v>-</v>
      </c>
      <c r="AI29" s="3639"/>
      <c r="AJ29" s="3640"/>
      <c r="AK29" s="3757" cm="1">
        <f t="array" ref="AK29">_xlfn.LET(
  _xlpm.rng, AT29:BN29,
  _xlpm.header, $AT$3:$BN$3,
  _xlpm.idx, _xlfn.XMATCH(TRUE, _xlpm.rng&lt;&gt;0),
  _xlpm.dt, INDEX(_xlpm.header, _xlpm.idx),
  IF(YEAR(_xlpm.dt)&lt;&gt;2026, DATE(2026, MONTH(_xlpm.dt), DAY(_xlpm.dt)), _xlpm.dt)
)</f>
        <v>46305</v>
      </c>
      <c r="AL29" s="3757" cm="1">
        <f t="array" ref="AL29">_xlfn.LET(
  _xlpm.rng, AT29:BN29,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46319</v>
      </c>
      <c r="AM29" s="3758">
        <f>AL29-AK29</f>
        <v>14</v>
      </c>
      <c r="AN29" s="3660">
        <f>$H29-MAX(AT29:BN29)</f>
        <v>41</v>
      </c>
      <c r="AO29" s="656">
        <f>+AN29/$H29</f>
        <v>0.3203125</v>
      </c>
      <c r="AP29" s="3667" t="str">
        <f>F29&amp;"　"&amp;"合計"</f>
        <v>名鉄トヨタホテル　合計</v>
      </c>
      <c r="AQ29" s="3854"/>
      <c r="AR29" s="3854"/>
      <c r="AS29" s="3644" t="str">
        <f>F29&amp;"　"&amp;"合計"</f>
        <v>名鉄トヨタホテル　合計</v>
      </c>
      <c r="AT29" s="496">
        <v>0</v>
      </c>
      <c r="AU29" s="3875">
        <v>0</v>
      </c>
      <c r="AV29" s="397">
        <v>0</v>
      </c>
      <c r="AW29" s="397">
        <v>1</v>
      </c>
      <c r="AX29" s="397">
        <v>6</v>
      </c>
      <c r="AY29" s="397">
        <v>6</v>
      </c>
      <c r="AZ29" s="397">
        <v>87</v>
      </c>
      <c r="BA29" s="397">
        <v>87</v>
      </c>
      <c r="BB29" s="397">
        <v>87</v>
      </c>
      <c r="BC29" s="397">
        <v>87</v>
      </c>
      <c r="BD29" s="397">
        <v>87</v>
      </c>
      <c r="BE29" s="397">
        <v>87</v>
      </c>
      <c r="BF29" s="397">
        <v>87</v>
      </c>
      <c r="BG29" s="397">
        <v>87</v>
      </c>
      <c r="BH29" s="397">
        <v>87</v>
      </c>
      <c r="BI29" s="397">
        <v>87</v>
      </c>
      <c r="BJ29" s="397">
        <v>87</v>
      </c>
      <c r="BK29" s="397">
        <v>87</v>
      </c>
      <c r="BL29" s="397">
        <v>0</v>
      </c>
      <c r="BM29" s="397">
        <v>0</v>
      </c>
      <c r="BN29" s="472">
        <v>0</v>
      </c>
      <c r="BO29" s="3712"/>
      <c r="BP29" s="3737" cm="1">
        <f t="array" ref="BP29">SUM(IF(ISNUMBER($AT29:$BN29),$AT29:$BN29, 0))</f>
        <v>1057</v>
      </c>
      <c r="BQ29" s="573"/>
      <c r="BR29" s="574"/>
      <c r="BS29" s="575"/>
    </row>
    <row r="30" spans="1:71" s="521" customFormat="1" ht="46" customHeight="1" thickBot="1">
      <c r="A30" s="2862"/>
      <c r="B30" s="296"/>
      <c r="C30" s="420"/>
      <c r="D30" s="421" t="s">
        <v>2129</v>
      </c>
      <c r="E30" s="426"/>
      <c r="F30" s="612"/>
      <c r="G30" s="2875">
        <v>0</v>
      </c>
      <c r="H30" s="2875">
        <v>0</v>
      </c>
      <c r="I30" s="2875">
        <v>0</v>
      </c>
      <c r="J30" s="2875">
        <v>0</v>
      </c>
      <c r="K30" s="2875">
        <v>0</v>
      </c>
      <c r="L30" s="2877">
        <v>0</v>
      </c>
      <c r="M30" s="2878">
        <v>0</v>
      </c>
      <c r="N30" s="2878">
        <v>0</v>
      </c>
      <c r="O30" s="2877">
        <v>0</v>
      </c>
      <c r="P30" s="2878">
        <v>0</v>
      </c>
      <c r="Q30" s="2878">
        <v>0</v>
      </c>
      <c r="R30" s="2878">
        <v>0</v>
      </c>
      <c r="S30" s="2878">
        <v>0</v>
      </c>
      <c r="T30" s="302"/>
      <c r="U30" s="3361"/>
      <c r="V30" s="714"/>
      <c r="W30" s="3890"/>
      <c r="X30" s="3891"/>
      <c r="Y30" s="3901"/>
      <c r="Z30" s="3899"/>
      <c r="AA30" s="3900"/>
      <c r="AB30" s="3343" t="s">
        <v>2134</v>
      </c>
      <c r="AC30" s="3354"/>
      <c r="AD30" s="3355"/>
      <c r="AE30" s="3670" t="str">
        <f>IFERROR(VLOOKUP($V30,[53]アジア練習会場!$A$3:$E$107,2,),"－")</f>
        <v>－</v>
      </c>
      <c r="AF30" s="3646"/>
      <c r="AG30" s="3647"/>
      <c r="AH30" s="3670" t="str">
        <f>IFERROR(VLOOKUP($V30,[53]アジア練習会場!$A$3:$E$107,3,),"－")</f>
        <v>－</v>
      </c>
      <c r="AI30" s="3671"/>
      <c r="AJ30" s="3672"/>
      <c r="AK30" s="3755"/>
      <c r="AL30" s="3755"/>
      <c r="AM30" s="3756"/>
      <c r="AN30" s="3650"/>
      <c r="AO30" s="652"/>
      <c r="AP30" s="3651"/>
      <c r="AQ30" s="443"/>
      <c r="AR30" s="443"/>
      <c r="AS30" s="443"/>
      <c r="AT30" s="448"/>
      <c r="AU30" s="3889"/>
      <c r="AV30" s="445"/>
      <c r="AW30" s="445"/>
      <c r="AX30" s="445"/>
      <c r="AY30" s="445"/>
      <c r="AZ30" s="445"/>
      <c r="BA30" s="445"/>
      <c r="BB30" s="445"/>
      <c r="BC30" s="445"/>
      <c r="BD30" s="445"/>
      <c r="BE30" s="445"/>
      <c r="BF30" s="445"/>
      <c r="BG30" s="336"/>
      <c r="BH30" s="445"/>
      <c r="BI30" s="445"/>
      <c r="BJ30" s="445"/>
      <c r="BK30" s="445"/>
      <c r="BL30" s="445"/>
      <c r="BM30" s="445"/>
      <c r="BN30" s="449"/>
      <c r="BO30" s="3712"/>
      <c r="BP30" s="3737"/>
      <c r="BQ30" s="573"/>
      <c r="BR30" s="614"/>
      <c r="BS30" s="615"/>
    </row>
    <row r="31" spans="1:71" ht="46" customHeight="1">
      <c r="A31" s="2862"/>
      <c r="B31" s="296"/>
      <c r="C31" s="296">
        <f>C29+1</f>
        <v>14</v>
      </c>
      <c r="D31" s="297">
        <v>208</v>
      </c>
      <c r="E31" s="6246" t="s">
        <v>4985</v>
      </c>
      <c r="F31" s="373" t="s">
        <v>6904</v>
      </c>
      <c r="G31" s="733"/>
      <c r="H31" s="3637"/>
      <c r="I31" s="3637" t="s">
        <v>3673</v>
      </c>
      <c r="J31" s="3637" t="s">
        <v>3655</v>
      </c>
      <c r="K31" s="3637"/>
      <c r="L31" s="3637"/>
      <c r="M31" s="3637"/>
      <c r="N31" s="3637"/>
      <c r="O31" s="3637"/>
      <c r="P31" s="3637"/>
      <c r="Q31" s="3637"/>
      <c r="R31" s="3637"/>
      <c r="S31" s="3871"/>
      <c r="T31" s="377"/>
      <c r="U31" s="372" t="s">
        <v>2814</v>
      </c>
      <c r="V31" s="3349" t="s">
        <v>6905</v>
      </c>
      <c r="W31" s="3872" t="s">
        <v>2256</v>
      </c>
      <c r="X31" s="3888">
        <v>5</v>
      </c>
      <c r="Y31" s="3873">
        <f>SUM(X31:X32)</f>
        <v>5</v>
      </c>
      <c r="Z31" s="3874"/>
      <c r="AA31" s="3874"/>
      <c r="AB31" s="3322" t="s">
        <v>6906</v>
      </c>
      <c r="AC31" s="3323"/>
      <c r="AD31" s="3324"/>
      <c r="AE31" s="3638" t="str">
        <f>IFERROR(VLOOKUP($V31,[54]競技情報DB!$D$3:$AO$29,6,),"－")</f>
        <v>－</v>
      </c>
      <c r="AF31" s="3639"/>
      <c r="AG31" s="3640"/>
      <c r="AH31" s="3638" t="str">
        <f>IFERROR(VLOOKUP($V31,[54]競技情報DB!$D$3:$AO$29,8,),"－")</f>
        <v>－</v>
      </c>
      <c r="AI31" s="3639"/>
      <c r="AJ31" s="3640"/>
      <c r="AK31" s="3757" cm="1">
        <f t="array" ref="AK31">_xlfn.LET(
  _xlpm.rng, AT31:BN31,
  _xlpm.header, $AT$3:$BN$3,
  _xlpm.idx, _xlfn.XMATCH(TRUE, _xlpm.rng&lt;&gt;0),
  _xlpm.dt, INDEX(_xlpm.header, _xlpm.idx),
  IF(YEAR(_xlpm.dt)&lt;&gt;2026, DATE(2026, MONTH(_xlpm.dt), DAY(_xlpm.dt)), _xlpm.dt)
)</f>
        <v>46309</v>
      </c>
      <c r="AL31" s="3757" cm="1">
        <f t="array" ref="AL31">_xlfn.LET(
  _xlpm.rng, AT31:BN31,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31" s="3758">
        <f>AL31-AK31</f>
        <v>11</v>
      </c>
      <c r="AN31" s="3660">
        <f>$H31-MAX(AT31:BN31)</f>
        <v>-5</v>
      </c>
      <c r="AO31" s="656" t="e">
        <f>+AN31/$H31</f>
        <v>#DIV/0!</v>
      </c>
      <c r="AP31" s="3667" t="str">
        <f>F31&amp;"　"&amp;"合計"</f>
        <v>東横INN豊田市駅前　合計</v>
      </c>
      <c r="AQ31" s="3854"/>
      <c r="AR31" s="3854"/>
      <c r="AS31" s="3644" t="str">
        <f>F31&amp;"　"&amp;"合計"</f>
        <v>東横INN豊田市駅前　合計</v>
      </c>
      <c r="AT31" s="496">
        <v>0</v>
      </c>
      <c r="AU31" s="3875">
        <v>0</v>
      </c>
      <c r="AV31" s="397">
        <v>0</v>
      </c>
      <c r="AW31" s="397">
        <v>0</v>
      </c>
      <c r="AX31" s="397">
        <v>0</v>
      </c>
      <c r="AY31" s="397">
        <v>0</v>
      </c>
      <c r="AZ31" s="397">
        <v>0</v>
      </c>
      <c r="BA31" s="397">
        <v>5</v>
      </c>
      <c r="BB31" s="397">
        <v>5</v>
      </c>
      <c r="BC31" s="397">
        <v>5</v>
      </c>
      <c r="BD31" s="397">
        <v>5</v>
      </c>
      <c r="BE31" s="397">
        <v>5</v>
      </c>
      <c r="BF31" s="397">
        <v>5</v>
      </c>
      <c r="BG31" s="397">
        <v>5</v>
      </c>
      <c r="BH31" s="397">
        <v>5</v>
      </c>
      <c r="BI31" s="397">
        <v>5</v>
      </c>
      <c r="BJ31" s="397">
        <v>5</v>
      </c>
      <c r="BK31" s="397">
        <v>5</v>
      </c>
      <c r="BL31" s="397">
        <v>5</v>
      </c>
      <c r="BM31" s="397">
        <v>0</v>
      </c>
      <c r="BN31" s="472">
        <v>0</v>
      </c>
      <c r="BO31" s="3712"/>
      <c r="BP31" s="3751" cm="1">
        <f t="array" ref="BP31">SUM(IF(ISNUMBER($AT31:$BN31),$AT31:$BN31, 0))</f>
        <v>60</v>
      </c>
      <c r="BQ31" s="573"/>
      <c r="BR31" s="610"/>
      <c r="BS31" s="611"/>
    </row>
    <row r="32" spans="1:71" ht="46" customHeight="1">
      <c r="A32" s="2862"/>
      <c r="B32" s="420"/>
      <c r="C32" s="420"/>
      <c r="D32" s="421" t="s">
        <v>2129</v>
      </c>
      <c r="E32" s="426"/>
      <c r="F32" s="612"/>
      <c r="G32" s="2875">
        <v>0</v>
      </c>
      <c r="H32" s="2875">
        <v>0</v>
      </c>
      <c r="I32" s="2875">
        <v>0</v>
      </c>
      <c r="J32" s="2875">
        <v>0</v>
      </c>
      <c r="K32" s="2875">
        <v>0</v>
      </c>
      <c r="L32" s="2877">
        <v>0</v>
      </c>
      <c r="M32" s="2878">
        <v>0</v>
      </c>
      <c r="N32" s="2878">
        <v>0</v>
      </c>
      <c r="O32" s="2877">
        <v>0</v>
      </c>
      <c r="P32" s="2878">
        <v>0</v>
      </c>
      <c r="Q32" s="2878">
        <v>0</v>
      </c>
      <c r="R32" s="2878">
        <v>0</v>
      </c>
      <c r="S32" s="2878">
        <v>0</v>
      </c>
      <c r="T32" s="302"/>
      <c r="U32" s="3361"/>
      <c r="V32" s="714"/>
      <c r="W32" s="3890"/>
      <c r="X32" s="3891"/>
      <c r="Y32" s="3901"/>
      <c r="Z32" s="3899"/>
      <c r="AA32" s="3900"/>
      <c r="AB32" s="3343" t="s">
        <v>2134</v>
      </c>
      <c r="AC32" s="3354"/>
      <c r="AD32" s="3355"/>
      <c r="AE32" s="3670" t="str">
        <f>IFERROR(VLOOKUP($V32,[53]アジア練習会場!$A$3:$E$107,2,),"－")</f>
        <v>－</v>
      </c>
      <c r="AF32" s="3646"/>
      <c r="AG32" s="3647"/>
      <c r="AH32" s="3670" t="str">
        <f>IFERROR(VLOOKUP($V32,[53]アジア練習会場!$A$3:$E$107,3,),"－")</f>
        <v>－</v>
      </c>
      <c r="AI32" s="3671"/>
      <c r="AJ32" s="3672"/>
      <c r="AK32" s="3755"/>
      <c r="AL32" s="3755"/>
      <c r="AM32" s="3756"/>
      <c r="AN32" s="3650"/>
      <c r="AO32" s="652"/>
      <c r="AP32" s="3651"/>
      <c r="AQ32" s="443"/>
      <c r="AR32" s="443"/>
      <c r="AS32" s="443"/>
      <c r="AT32" s="448"/>
      <c r="AU32" s="3889"/>
      <c r="AV32" s="445"/>
      <c r="AW32" s="445"/>
      <c r="AX32" s="445"/>
      <c r="AY32" s="445"/>
      <c r="AZ32" s="445"/>
      <c r="BA32" s="445"/>
      <c r="BB32" s="445"/>
      <c r="BC32" s="445"/>
      <c r="BD32" s="445"/>
      <c r="BE32" s="445"/>
      <c r="BF32" s="445"/>
      <c r="BG32" s="336"/>
      <c r="BH32" s="445"/>
      <c r="BI32" s="445"/>
      <c r="BJ32" s="445"/>
      <c r="BK32" s="445"/>
      <c r="BL32" s="445"/>
      <c r="BM32" s="445"/>
      <c r="BN32" s="449"/>
      <c r="BO32" s="3712"/>
      <c r="BP32" s="3737"/>
      <c r="BQ32" s="573"/>
      <c r="BR32" s="610"/>
      <c r="BS32" s="611"/>
    </row>
    <row r="33" spans="1:71" ht="46" customHeight="1">
      <c r="A33" s="2862"/>
      <c r="B33" s="2863" t="s">
        <v>6907</v>
      </c>
      <c r="C33" s="296">
        <f>C31+1</f>
        <v>15</v>
      </c>
      <c r="D33" s="297">
        <v>227</v>
      </c>
      <c r="E33" s="6246" t="s">
        <v>4985</v>
      </c>
      <c r="F33" s="373" t="s">
        <v>6908</v>
      </c>
      <c r="G33" s="733"/>
      <c r="H33" s="3637"/>
      <c r="I33" s="3637" t="s">
        <v>3543</v>
      </c>
      <c r="J33" s="3637" t="s">
        <v>3568</v>
      </c>
      <c r="K33" s="3637"/>
      <c r="L33" s="3637"/>
      <c r="M33" s="3637"/>
      <c r="N33" s="3637"/>
      <c r="O33" s="3637"/>
      <c r="P33" s="3637"/>
      <c r="Q33" s="3637"/>
      <c r="R33" s="3637"/>
      <c r="S33" s="3871"/>
      <c r="T33" s="377"/>
      <c r="U33" s="372" t="s">
        <v>3804</v>
      </c>
      <c r="V33" s="703" t="s">
        <v>4884</v>
      </c>
      <c r="W33" s="3872" t="s">
        <v>2171</v>
      </c>
      <c r="X33" s="3888">
        <v>28</v>
      </c>
      <c r="Y33" s="3873">
        <f>SUM(X33:X34)</f>
        <v>28</v>
      </c>
      <c r="Z33" s="3874" t="s">
        <v>4853</v>
      </c>
      <c r="AA33" s="3874" t="s">
        <v>4016</v>
      </c>
      <c r="AB33" s="4395" t="s">
        <v>4885</v>
      </c>
      <c r="AC33" s="3323"/>
      <c r="AD33" s="3324"/>
      <c r="AE33" s="3638" t="str">
        <f>IFERROR(VLOOKUP($V33,[54]競技情報DB!$D$3:$AO$29,6,),"－")</f>
        <v>ウィングアリーナ刈谷</v>
      </c>
      <c r="AF33" s="3639"/>
      <c r="AG33" s="3640"/>
      <c r="AH33" s="3638" t="str">
        <f>IFERROR(VLOOKUP($V33,[54]競技情報DB!$D$3:$AO$29,8,),"－")</f>
        <v>-</v>
      </c>
      <c r="AI33" s="3639"/>
      <c r="AJ33" s="3640"/>
      <c r="AK33" s="3757" cm="1">
        <f t="array" ref="AK33">_xlfn.LET(
  _xlpm.rng, AT33:BN33,
  _xlpm.header, $AT$3:$BN$3,
  _xlpm.idx, _xlfn.XMATCH(TRUE, _xlpm.rng&lt;&gt;0),
  _xlpm.dt, INDEX(_xlpm.header, _xlpm.idx),
  IF(YEAR(_xlpm.dt)&lt;&gt;2026, DATE(2026, MONTH(_xlpm.dt), DAY(_xlpm.dt)), _xlpm.dt)
)</f>
        <v>46305</v>
      </c>
      <c r="AL33" s="3757" cm="1">
        <f t="array" ref="AL33">_xlfn.LET(
  _xlpm.rng, AT33:BN33,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33" s="3758">
        <f>AL33-AK33</f>
        <v>16</v>
      </c>
      <c r="AN33" s="3660">
        <f>$H33-MAX(AT33:BN33)</f>
        <v>-28</v>
      </c>
      <c r="AO33" s="311" t="e">
        <f>+AN33/$H33</f>
        <v>#DIV/0!</v>
      </c>
      <c r="AP33" s="3667" t="str">
        <f>F33&amp;"　"&amp;"合計"</f>
        <v>ホテルクラウンパレス知立　合計</v>
      </c>
      <c r="AQ33" s="3854"/>
      <c r="AR33" s="3854"/>
      <c r="AS33" s="3644" t="str">
        <f>F33&amp;"　"&amp;"合計"</f>
        <v>ホテルクラウンパレス知立　合計</v>
      </c>
      <c r="AT33" s="496">
        <v>0</v>
      </c>
      <c r="AU33" s="3875">
        <v>0</v>
      </c>
      <c r="AV33" s="397">
        <v>0</v>
      </c>
      <c r="AW33" s="397">
        <v>1</v>
      </c>
      <c r="AX33" s="397">
        <v>2</v>
      </c>
      <c r="AY33" s="397">
        <v>2</v>
      </c>
      <c r="AZ33" s="397">
        <v>8</v>
      </c>
      <c r="BA33" s="397">
        <v>9</v>
      </c>
      <c r="BB33" s="397">
        <v>28</v>
      </c>
      <c r="BC33" s="397">
        <v>28</v>
      </c>
      <c r="BD33" s="397">
        <v>28</v>
      </c>
      <c r="BE33" s="397">
        <v>28</v>
      </c>
      <c r="BF33" s="397">
        <v>28</v>
      </c>
      <c r="BG33" s="397">
        <v>28</v>
      </c>
      <c r="BH33" s="397">
        <v>28</v>
      </c>
      <c r="BI33" s="397">
        <v>28</v>
      </c>
      <c r="BJ33" s="397">
        <v>28</v>
      </c>
      <c r="BK33" s="397">
        <v>28</v>
      </c>
      <c r="BL33" s="397">
        <v>1</v>
      </c>
      <c r="BM33" s="397">
        <v>1</v>
      </c>
      <c r="BN33" s="472">
        <v>0</v>
      </c>
      <c r="BO33" s="3712"/>
      <c r="BP33" s="3751" cm="1">
        <f t="array" ref="BP33">SUM(IF(ISNUMBER($AT33:$BN33),$AT33:$BN33, 0))</f>
        <v>304</v>
      </c>
      <c r="BQ33" s="573"/>
      <c r="BR33" s="610"/>
      <c r="BS33" s="611"/>
    </row>
    <row r="34" spans="1:71" ht="46" customHeight="1">
      <c r="A34" s="2862"/>
      <c r="B34" s="2863"/>
      <c r="C34" s="296"/>
      <c r="D34" s="297" t="s">
        <v>2129</v>
      </c>
      <c r="E34" s="302"/>
      <c r="F34" s="298"/>
      <c r="G34" s="2864">
        <v>0</v>
      </c>
      <c r="H34" s="2864">
        <v>0</v>
      </c>
      <c r="I34" s="2864">
        <v>0</v>
      </c>
      <c r="J34" s="2864">
        <v>0</v>
      </c>
      <c r="K34" s="2864">
        <v>0</v>
      </c>
      <c r="L34" s="2865">
        <v>0</v>
      </c>
      <c r="M34" s="2866">
        <v>0</v>
      </c>
      <c r="N34" s="2866">
        <v>0</v>
      </c>
      <c r="O34" s="2865">
        <v>0</v>
      </c>
      <c r="P34" s="2866">
        <v>0</v>
      </c>
      <c r="Q34" s="2866">
        <v>0</v>
      </c>
      <c r="R34" s="2866">
        <v>0</v>
      </c>
      <c r="S34" s="2866">
        <v>0</v>
      </c>
      <c r="T34" s="302"/>
      <c r="U34" s="296"/>
      <c r="V34" s="3341"/>
      <c r="W34" s="3890"/>
      <c r="X34" s="3891"/>
      <c r="Y34" s="3892"/>
      <c r="Z34" s="6121"/>
      <c r="AA34" s="6121"/>
      <c r="AB34" s="3353" t="s">
        <v>2134</v>
      </c>
      <c r="AC34" s="3354"/>
      <c r="AD34" s="3355"/>
      <c r="AE34" s="3670" t="str">
        <f>IFERROR(VLOOKUP($V34,[53]アジア練習会場!$A$3:$E$107,2,),"－")</f>
        <v>－</v>
      </c>
      <c r="AF34" s="3646"/>
      <c r="AG34" s="3647"/>
      <c r="AH34" s="3670" t="str">
        <f>IFERROR(VLOOKUP($V34,[53]アジア練習会場!$A$3:$E$107,3,),"－")</f>
        <v>－</v>
      </c>
      <c r="AI34" s="3671"/>
      <c r="AJ34" s="3672"/>
      <c r="AK34" s="3755"/>
      <c r="AL34" s="3755"/>
      <c r="AM34" s="3756"/>
      <c r="AN34" s="3650"/>
      <c r="AO34" s="311"/>
      <c r="AP34" s="3685"/>
      <c r="AQ34" s="3853"/>
      <c r="AR34" s="3853"/>
      <c r="AS34" s="3853"/>
      <c r="AT34" s="448"/>
      <c r="AU34" s="3889"/>
      <c r="AV34" s="445"/>
      <c r="AW34" s="445"/>
      <c r="AX34" s="445"/>
      <c r="AY34" s="445"/>
      <c r="AZ34" s="445"/>
      <c r="BA34" s="445"/>
      <c r="BB34" s="445"/>
      <c r="BC34" s="445"/>
      <c r="BD34" s="445"/>
      <c r="BE34" s="445"/>
      <c r="BF34" s="445"/>
      <c r="BG34" s="445"/>
      <c r="BH34" s="445"/>
      <c r="BI34" s="336"/>
      <c r="BJ34" s="445"/>
      <c r="BK34" s="445"/>
      <c r="BL34" s="445"/>
      <c r="BM34" s="445"/>
      <c r="BN34" s="449"/>
      <c r="BO34" s="3712"/>
      <c r="BP34" s="3737"/>
      <c r="BQ34" s="573"/>
      <c r="BR34" s="610"/>
      <c r="BS34" s="611"/>
    </row>
    <row r="35" spans="1:71" ht="46" customHeight="1">
      <c r="A35" s="2912" t="s">
        <v>3051</v>
      </c>
      <c r="B35" s="2913" t="s">
        <v>10</v>
      </c>
      <c r="C35" s="372">
        <f>C33+1</f>
        <v>16</v>
      </c>
      <c r="D35" s="2871">
        <v>238</v>
      </c>
      <c r="E35" s="6244" t="s">
        <v>4985</v>
      </c>
      <c r="F35" s="373" t="s">
        <v>3571</v>
      </c>
      <c r="G35" s="733" t="s">
        <v>3542</v>
      </c>
      <c r="H35" s="3637" t="s">
        <v>3556</v>
      </c>
      <c r="I35" s="3637" t="s">
        <v>3568</v>
      </c>
      <c r="J35" s="3637" t="s">
        <v>3572</v>
      </c>
      <c r="K35" s="3637"/>
      <c r="L35" s="3637" t="s">
        <v>3503</v>
      </c>
      <c r="M35" s="3637" t="s">
        <v>3503</v>
      </c>
      <c r="N35" s="3637" t="s">
        <v>2132</v>
      </c>
      <c r="O35" s="3637" t="s">
        <v>3526</v>
      </c>
      <c r="P35" s="3637" t="s">
        <v>2134</v>
      </c>
      <c r="Q35" s="3637" t="s">
        <v>2177</v>
      </c>
      <c r="R35" s="3637" t="s">
        <v>2134</v>
      </c>
      <c r="S35" s="3871" t="s">
        <v>2240</v>
      </c>
      <c r="T35" s="377"/>
      <c r="U35" s="372" t="s">
        <v>3804</v>
      </c>
      <c r="V35" s="387" t="s">
        <v>4886</v>
      </c>
      <c r="W35" s="3872" t="s">
        <v>2315</v>
      </c>
      <c r="X35" s="3888">
        <v>39</v>
      </c>
      <c r="Y35" s="3873">
        <f>SUM(X35:X36)</f>
        <v>108</v>
      </c>
      <c r="Z35" s="6119" t="s">
        <v>4847</v>
      </c>
      <c r="AA35" s="6119" t="s">
        <v>4016</v>
      </c>
      <c r="AB35" s="3322" t="s">
        <v>4887</v>
      </c>
      <c r="AC35" s="3323"/>
      <c r="AD35" s="3324"/>
      <c r="AE35" s="3638" t="str">
        <f>IFERROR(VLOOKUP($V35,[54]競技情報DB!$D$3:$AO$29,6,),"－")</f>
        <v>岡崎中央総合公園多目的広場</v>
      </c>
      <c r="AF35" s="3639"/>
      <c r="AG35" s="3640"/>
      <c r="AH35" s="3638" t="str">
        <f>IFERROR(VLOOKUP($V35,[54]競技情報DB!$D$3:$AO$29,8,),"－")</f>
        <v>-</v>
      </c>
      <c r="AI35" s="3639"/>
      <c r="AJ35" s="3640"/>
      <c r="AK35" s="3757" cm="1">
        <f t="array" ref="AK35">_xlfn.LET(
  _xlpm.rng, AT35:BN35,
  _xlpm.header, $AT$3:$BN$3,
  _xlpm.idx, _xlfn.XMATCH(TRUE, _xlpm.rng&lt;&gt;0),
  _xlpm.dt, INDEX(_xlpm.header, _xlpm.idx),
  IF(YEAR(_xlpm.dt)&lt;&gt;2026, DATE(2026, MONTH(_xlpm.dt), DAY(_xlpm.dt)), _xlpm.dt)
)</f>
        <v>46305</v>
      </c>
      <c r="AL35" s="3757" cm="1">
        <f t="array" ref="AL35">_xlfn.LET(
  _xlpm.rng, AT35:BN35,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35" s="3758">
        <f>AL35-AK35</f>
        <v>16</v>
      </c>
      <c r="AN35" s="3660">
        <f>$H35-MAX(AT35:BN35)</f>
        <v>-14</v>
      </c>
      <c r="AO35" s="394">
        <f>+AN35/$H35</f>
        <v>-0.14893617021276595</v>
      </c>
      <c r="AP35" s="3644" t="str">
        <f>F35&amp;"　"&amp;"合計"</f>
        <v>岡崎ニューグランドホテル　合計</v>
      </c>
      <c r="AQ35" s="395"/>
      <c r="AR35" s="395"/>
      <c r="AS35" s="3644" t="str">
        <f>F35&amp;"　"&amp;"合計"</f>
        <v>岡崎ニューグランドホテル　合計</v>
      </c>
      <c r="AT35" s="696">
        <v>0</v>
      </c>
      <c r="AU35" s="3875">
        <v>0</v>
      </c>
      <c r="AV35" s="397">
        <v>0</v>
      </c>
      <c r="AW35" s="397">
        <v>2</v>
      </c>
      <c r="AX35" s="397">
        <v>3</v>
      </c>
      <c r="AY35" s="397">
        <v>3</v>
      </c>
      <c r="AZ35" s="397">
        <v>7</v>
      </c>
      <c r="BA35" s="397">
        <v>18</v>
      </c>
      <c r="BB35" s="397">
        <v>108</v>
      </c>
      <c r="BC35" s="397">
        <v>108</v>
      </c>
      <c r="BD35" s="397">
        <v>108</v>
      </c>
      <c r="BE35" s="397">
        <v>108</v>
      </c>
      <c r="BF35" s="397">
        <v>108</v>
      </c>
      <c r="BG35" s="397">
        <v>108</v>
      </c>
      <c r="BH35" s="397">
        <v>108</v>
      </c>
      <c r="BI35" s="397">
        <v>108</v>
      </c>
      <c r="BJ35" s="397">
        <v>108</v>
      </c>
      <c r="BK35" s="397">
        <v>108</v>
      </c>
      <c r="BL35" s="397">
        <v>63</v>
      </c>
      <c r="BM35" s="397">
        <v>1</v>
      </c>
      <c r="BN35" s="472">
        <v>0</v>
      </c>
      <c r="BO35" s="3712"/>
      <c r="BP35" s="3737" cm="1">
        <f t="array" ref="BP35">SUM(IF(ISNUMBER($AT35:$BN35),$AT35:$BN35, 0))</f>
        <v>1177</v>
      </c>
      <c r="BQ35" s="290"/>
      <c r="BR35" s="404"/>
      <c r="BS35" s="405"/>
    </row>
    <row r="36" spans="1:71" s="561" customFormat="1" ht="46" customHeight="1">
      <c r="A36" s="2862"/>
      <c r="B36" s="2863"/>
      <c r="C36" s="420"/>
      <c r="D36" s="421" t="s">
        <v>2129</v>
      </c>
      <c r="E36" s="426"/>
      <c r="F36" s="422"/>
      <c r="G36" s="2875">
        <v>0</v>
      </c>
      <c r="H36" s="2875">
        <v>0</v>
      </c>
      <c r="I36" s="2875">
        <v>0</v>
      </c>
      <c r="J36" s="3684"/>
      <c r="K36" s="2875">
        <v>0</v>
      </c>
      <c r="L36" s="2877">
        <v>0</v>
      </c>
      <c r="M36" s="2878">
        <v>0</v>
      </c>
      <c r="N36" s="2878">
        <v>0</v>
      </c>
      <c r="O36" s="2877">
        <v>0</v>
      </c>
      <c r="P36" s="2878">
        <v>0</v>
      </c>
      <c r="Q36" s="2878">
        <v>0</v>
      </c>
      <c r="R36" s="2878">
        <v>0</v>
      </c>
      <c r="S36" s="2878">
        <v>0</v>
      </c>
      <c r="T36" s="302"/>
      <c r="U36" s="420"/>
      <c r="V36" s="714" t="s">
        <v>4888</v>
      </c>
      <c r="W36" s="3876" t="s">
        <v>2315</v>
      </c>
      <c r="X36" s="3877">
        <v>69</v>
      </c>
      <c r="Y36" s="3892"/>
      <c r="Z36" s="3893" t="s">
        <v>4847</v>
      </c>
      <c r="AA36" s="3899" t="s">
        <v>4016</v>
      </c>
      <c r="AB36" s="3350" t="s">
        <v>4889</v>
      </c>
      <c r="AC36" s="3323"/>
      <c r="AD36" s="3324"/>
      <c r="AE36" s="3638" t="str">
        <f>IFERROR(VLOOKUP($V36,[54]競技情報DB!$D$3:$AO$29,6,),"－")</f>
        <v>岡崎中央総合公園総合体育館</v>
      </c>
      <c r="AF36" s="3639"/>
      <c r="AG36" s="3640"/>
      <c r="AH36" s="3638" t="str">
        <f>IFERROR(VLOOKUP($V36,[54]競技情報DB!$D$3:$AO$29,8,),"－")</f>
        <v>-</v>
      </c>
      <c r="AI36" s="3639"/>
      <c r="AJ36" s="3640"/>
      <c r="AK36" s="3755"/>
      <c r="AL36" s="3755"/>
      <c r="AM36" s="3756"/>
      <c r="AN36" s="3650"/>
      <c r="AO36" s="435"/>
      <c r="AP36" s="3651"/>
      <c r="AQ36" s="443"/>
      <c r="AR36" s="443"/>
      <c r="AS36" s="443"/>
      <c r="AT36" s="448"/>
      <c r="AU36" s="3889"/>
      <c r="AV36" s="445"/>
      <c r="AW36" s="445"/>
      <c r="AX36" s="445"/>
      <c r="AY36" s="445"/>
      <c r="AZ36" s="445"/>
      <c r="BA36" s="445"/>
      <c r="BB36" s="445"/>
      <c r="BC36" s="445"/>
      <c r="BD36" s="445"/>
      <c r="BE36" s="445"/>
      <c r="BF36" s="445"/>
      <c r="BG36" s="445"/>
      <c r="BH36" s="445"/>
      <c r="BI36" s="445"/>
      <c r="BJ36" s="445"/>
      <c r="BK36" s="445"/>
      <c r="BL36" s="445"/>
      <c r="BM36" s="445"/>
      <c r="BN36" s="449"/>
      <c r="BO36" s="3712"/>
      <c r="BP36" s="3737"/>
      <c r="BQ36" s="290"/>
      <c r="BR36" s="450"/>
      <c r="BS36" s="451"/>
    </row>
    <row r="37" spans="1:71" s="564" customFormat="1" ht="46" customHeight="1">
      <c r="A37" s="2862"/>
      <c r="B37" s="372" t="s">
        <v>13</v>
      </c>
      <c r="C37" s="372">
        <f t="shared" ref="C37:C39" si="0">C35+1</f>
        <v>17</v>
      </c>
      <c r="D37" s="2871">
        <v>282</v>
      </c>
      <c r="E37" s="6247" t="s">
        <v>4985</v>
      </c>
      <c r="F37" s="373" t="s">
        <v>3583</v>
      </c>
      <c r="G37" s="733" t="s">
        <v>3584</v>
      </c>
      <c r="H37" s="3637" t="s">
        <v>3585</v>
      </c>
      <c r="I37" s="3637" t="s">
        <v>3586</v>
      </c>
      <c r="J37" s="3637" t="s">
        <v>3586</v>
      </c>
      <c r="K37" s="3637"/>
      <c r="L37" s="3637" t="s">
        <v>3570</v>
      </c>
      <c r="M37" s="3637" t="s">
        <v>3570</v>
      </c>
      <c r="N37" s="3637" t="s">
        <v>2132</v>
      </c>
      <c r="O37" s="3637" t="s">
        <v>3587</v>
      </c>
      <c r="P37" s="3637" t="s">
        <v>2133</v>
      </c>
      <c r="Q37" s="3637" t="s">
        <v>2134</v>
      </c>
      <c r="R37" s="3637" t="s">
        <v>2131</v>
      </c>
      <c r="S37" s="3871" t="s">
        <v>2168</v>
      </c>
      <c r="T37" s="377"/>
      <c r="U37" s="372" t="s">
        <v>2814</v>
      </c>
      <c r="V37" s="387" t="s">
        <v>4667</v>
      </c>
      <c r="W37" s="3881" t="s">
        <v>2364</v>
      </c>
      <c r="X37" s="3882">
        <v>25</v>
      </c>
      <c r="Y37" s="3873">
        <f>SUM(X37:X38)</f>
        <v>25</v>
      </c>
      <c r="Z37" s="3874" t="s">
        <v>4850</v>
      </c>
      <c r="AA37" s="3874" t="s">
        <v>2602</v>
      </c>
      <c r="AB37" s="4395" t="s">
        <v>2872</v>
      </c>
      <c r="AC37" s="3323"/>
      <c r="AD37" s="3324"/>
      <c r="AE37" s="3638" t="str">
        <f>IFERROR(VLOOKUP($V37,[54]競技情報DB!$D$3:$AO$29,6,),"－")</f>
        <v>豊橋市総合体育館</v>
      </c>
      <c r="AF37" s="3639"/>
      <c r="AG37" s="3640"/>
      <c r="AH37" s="3638" t="str">
        <f>IFERROR(VLOOKUP($V37,[54]競技情報DB!$D$3:$AO$29,8,),"－")</f>
        <v>-</v>
      </c>
      <c r="AI37" s="3639"/>
      <c r="AJ37" s="3640"/>
      <c r="AK37" s="3757" cm="1">
        <f t="array" ref="AK37">_xlfn.LET(
  _xlpm.rng, AT37:BN37,
  _xlpm.header, $AT$3:$BN$3,
  _xlpm.idx, _xlfn.XMATCH(TRUE, _xlpm.rng&lt;&gt;0),
  _xlpm.dt, INDEX(_xlpm.header, _xlpm.idx),
  IF(YEAR(_xlpm.dt)&lt;&gt;2026, DATE(2026, MONTH(_xlpm.dt), DAY(_xlpm.dt)), _xlpm.dt)
)</f>
        <v>46307</v>
      </c>
      <c r="AL37" s="3757" cm="1">
        <f t="array" ref="AL37">_xlfn.LET(
  _xlpm.rng, AT37:BN37,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46319</v>
      </c>
      <c r="AM37" s="3758">
        <f>AL37-AK37</f>
        <v>12</v>
      </c>
      <c r="AN37" s="3660">
        <f>$H37-MAX(AT37:BN37)</f>
        <v>84</v>
      </c>
      <c r="AO37" s="647">
        <f>+AN37/$H37</f>
        <v>0.77064220183486243</v>
      </c>
      <c r="AP37" s="3644" t="str">
        <f>F37&amp;"　"&amp;"合計"</f>
        <v>ホテルアークリッシュ豊橋　合計</v>
      </c>
      <c r="AQ37" s="395"/>
      <c r="AR37" s="395"/>
      <c r="AS37" s="3644" t="str">
        <f>F37&amp;"　"&amp;"合計"</f>
        <v>ホテルアークリッシュ豊橋　合計</v>
      </c>
      <c r="AT37" s="696">
        <v>0</v>
      </c>
      <c r="AU37" s="3875">
        <v>0</v>
      </c>
      <c r="AV37" s="397">
        <v>0</v>
      </c>
      <c r="AW37" s="397">
        <v>0</v>
      </c>
      <c r="AX37" s="397">
        <v>0</v>
      </c>
      <c r="AY37" s="397">
        <v>1</v>
      </c>
      <c r="AZ37" s="397">
        <v>1</v>
      </c>
      <c r="BA37" s="397">
        <v>25</v>
      </c>
      <c r="BB37" s="397">
        <v>25</v>
      </c>
      <c r="BC37" s="397">
        <v>25</v>
      </c>
      <c r="BD37" s="397">
        <v>25</v>
      </c>
      <c r="BE37" s="397">
        <v>25</v>
      </c>
      <c r="BF37" s="397">
        <v>25</v>
      </c>
      <c r="BG37" s="397">
        <v>25</v>
      </c>
      <c r="BH37" s="397">
        <v>25</v>
      </c>
      <c r="BI37" s="397">
        <v>25</v>
      </c>
      <c r="BJ37" s="397">
        <v>25</v>
      </c>
      <c r="BK37" s="397">
        <v>25</v>
      </c>
      <c r="BL37" s="397">
        <v>0</v>
      </c>
      <c r="BM37" s="397">
        <v>0</v>
      </c>
      <c r="BN37" s="472">
        <v>0</v>
      </c>
      <c r="BO37" s="3712"/>
      <c r="BP37" s="3737" cm="1">
        <f t="array" ref="BP37">SUM(IF(ISNUMBER($AT37:$BN37),$AT37:$BN37, 0))</f>
        <v>277</v>
      </c>
      <c r="BQ37" s="573"/>
      <c r="BR37" s="574"/>
      <c r="BS37" s="575"/>
    </row>
    <row r="38" spans="1:71" s="521" customFormat="1" ht="46" customHeight="1" thickBot="1">
      <c r="A38" s="2862"/>
      <c r="B38" s="296"/>
      <c r="C38" s="296"/>
      <c r="D38" s="421" t="s">
        <v>2129</v>
      </c>
      <c r="E38" s="426"/>
      <c r="F38" s="612"/>
      <c r="G38" s="2875">
        <v>0</v>
      </c>
      <c r="H38" s="2875">
        <v>0</v>
      </c>
      <c r="I38" s="2875">
        <v>0</v>
      </c>
      <c r="J38" s="2875">
        <v>0</v>
      </c>
      <c r="K38" s="2875">
        <v>0</v>
      </c>
      <c r="L38" s="2877">
        <v>0</v>
      </c>
      <c r="M38" s="2878">
        <v>0</v>
      </c>
      <c r="N38" s="2878">
        <v>0</v>
      </c>
      <c r="O38" s="2877">
        <v>0</v>
      </c>
      <c r="P38" s="2916">
        <v>0</v>
      </c>
      <c r="Q38" s="2878">
        <v>0</v>
      </c>
      <c r="R38" s="2878">
        <v>0</v>
      </c>
      <c r="S38" s="2878">
        <v>0</v>
      </c>
      <c r="T38" s="426"/>
      <c r="U38" s="420"/>
      <c r="V38" s="3341"/>
      <c r="W38" s="3884">
        <v>0</v>
      </c>
      <c r="X38" s="3885"/>
      <c r="Y38" s="3892"/>
      <c r="Z38" s="6121">
        <v>0</v>
      </c>
      <c r="AA38" s="6122">
        <v>0</v>
      </c>
      <c r="AB38" s="3308"/>
      <c r="AC38" s="3323"/>
      <c r="AD38" s="3324"/>
      <c r="AE38" s="3638" t="str">
        <f>IFERROR(VLOOKUP($V38,[54]競技情報DB!$D$3:$AO$29,6,),"－")</f>
        <v>－</v>
      </c>
      <c r="AF38" s="3639"/>
      <c r="AG38" s="3640"/>
      <c r="AH38" s="3638" t="str">
        <f>IFERROR(VLOOKUP($V38,[54]競技情報DB!$D$3:$AO$29,8,),"－")</f>
        <v>－</v>
      </c>
      <c r="AI38" s="3639"/>
      <c r="AJ38" s="3640"/>
      <c r="AK38" s="3755"/>
      <c r="AL38" s="3755"/>
      <c r="AM38" s="3756"/>
      <c r="AN38" s="3650"/>
      <c r="AO38" s="656"/>
      <c r="AP38" s="3675"/>
      <c r="AQ38" s="3853"/>
      <c r="AR38" s="3853"/>
      <c r="AS38" s="3853"/>
      <c r="AT38" s="448"/>
      <c r="AU38" s="3889"/>
      <c r="AV38" s="445"/>
      <c r="AW38" s="445"/>
      <c r="AX38" s="445"/>
      <c r="AY38" s="445"/>
      <c r="AZ38" s="445"/>
      <c r="BA38" s="445"/>
      <c r="BB38" s="445"/>
      <c r="BC38" s="445"/>
      <c r="BD38" s="445"/>
      <c r="BE38" s="445"/>
      <c r="BF38" s="445"/>
      <c r="BG38" s="445"/>
      <c r="BH38" s="445"/>
      <c r="BI38" s="445"/>
      <c r="BJ38" s="445"/>
      <c r="BK38" s="445"/>
      <c r="BL38" s="445"/>
      <c r="BM38" s="445"/>
      <c r="BN38" s="449"/>
      <c r="BO38" s="3712"/>
      <c r="BP38" s="3737"/>
      <c r="BQ38" s="573"/>
      <c r="BR38" s="610"/>
      <c r="BS38" s="611"/>
    </row>
    <row r="39" spans="1:71" ht="46" customHeight="1">
      <c r="A39" s="2862"/>
      <c r="B39" s="2863"/>
      <c r="C39" s="372">
        <f t="shared" si="0"/>
        <v>18</v>
      </c>
      <c r="D39" s="2871">
        <v>283</v>
      </c>
      <c r="E39" s="6244" t="s">
        <v>4985</v>
      </c>
      <c r="F39" s="373" t="s">
        <v>6909</v>
      </c>
      <c r="G39" s="733"/>
      <c r="H39" s="3637"/>
      <c r="I39" s="3637" t="s">
        <v>3586</v>
      </c>
      <c r="J39" s="3637" t="s">
        <v>3586</v>
      </c>
      <c r="K39" s="3637"/>
      <c r="L39" s="3637"/>
      <c r="M39" s="3637"/>
      <c r="N39" s="3637"/>
      <c r="O39" s="3637"/>
      <c r="P39" s="3637"/>
      <c r="Q39" s="3637"/>
      <c r="R39" s="3637"/>
      <c r="S39" s="3871"/>
      <c r="T39" s="377"/>
      <c r="U39" s="372"/>
      <c r="V39" s="387" t="s">
        <v>6910</v>
      </c>
      <c r="W39" s="3881" t="s">
        <v>2364</v>
      </c>
      <c r="X39" s="3882">
        <v>30</v>
      </c>
      <c r="Y39" s="3873">
        <f>SUM(X39:X40)</f>
        <v>30</v>
      </c>
      <c r="Z39" s="3874"/>
      <c r="AA39" s="3874"/>
      <c r="AB39" s="4395"/>
      <c r="AC39" s="3323"/>
      <c r="AD39" s="3324"/>
      <c r="AE39" s="3638">
        <f>IFERROR(VLOOKUP($V39,[54]競技情報DB!$D$3:$AO$29,6,),"－")</f>
        <v>0</v>
      </c>
      <c r="AF39" s="3639"/>
      <c r="AG39" s="3640"/>
      <c r="AH39" s="3638">
        <f>IFERROR(VLOOKUP($V39,[54]競技情報DB!$D$3:$AO$29,8,),"－")</f>
        <v>0</v>
      </c>
      <c r="AI39" s="3639"/>
      <c r="AJ39" s="3640"/>
      <c r="AK39" s="3757" cm="1">
        <f t="array" ref="AK39">_xlfn.LET(
  _xlpm.rng, AT39:BN39,
  _xlpm.header, $AT$3:$BN$3,
  _xlpm.idx, _xlfn.XMATCH(TRUE, _xlpm.rng&lt;&gt;0),
  _xlpm.dt, INDEX(_xlpm.header, _xlpm.idx),
  IF(YEAR(_xlpm.dt)&lt;&gt;2026, DATE(2026, MONTH(_xlpm.dt), DAY(_xlpm.dt)), _xlpm.dt)
)</f>
        <v>46307</v>
      </c>
      <c r="AL39" s="3757" cm="1">
        <f t="array" ref="AL39">_xlfn.LET(
  _xlpm.rng, AT39:BN39,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46320</v>
      </c>
      <c r="AM39" s="3758">
        <f>AL39-AK39</f>
        <v>13</v>
      </c>
      <c r="AN39" s="3660">
        <f>$H39-MAX(AT39:BN39)</f>
        <v>-30</v>
      </c>
      <c r="AO39" s="647" t="e">
        <f>+AN39/$H39</f>
        <v>#DIV/0!</v>
      </c>
      <c r="AP39" s="3644" t="str">
        <f>F39&amp;"　"&amp;"合計"</f>
        <v>東横INN豊橋駅東口　合計</v>
      </c>
      <c r="AQ39" s="395"/>
      <c r="AR39" s="395"/>
      <c r="AS39" s="3644" t="str">
        <f>F39&amp;"　"&amp;"合計"</f>
        <v>東横INN豊橋駅東口　合計</v>
      </c>
      <c r="AT39" s="696">
        <v>0</v>
      </c>
      <c r="AU39" s="3875">
        <v>0</v>
      </c>
      <c r="AV39" s="397">
        <v>0</v>
      </c>
      <c r="AW39" s="397">
        <v>0</v>
      </c>
      <c r="AX39" s="397">
        <v>0</v>
      </c>
      <c r="AY39" s="397">
        <v>30</v>
      </c>
      <c r="AZ39" s="397">
        <v>30</v>
      </c>
      <c r="BA39" s="397">
        <v>30</v>
      </c>
      <c r="BB39" s="397">
        <v>30</v>
      </c>
      <c r="BC39" s="397">
        <v>30</v>
      </c>
      <c r="BD39" s="397">
        <v>30</v>
      </c>
      <c r="BE39" s="397">
        <v>30</v>
      </c>
      <c r="BF39" s="397">
        <v>30</v>
      </c>
      <c r="BG39" s="397">
        <v>30</v>
      </c>
      <c r="BH39" s="397">
        <v>30</v>
      </c>
      <c r="BI39" s="397">
        <v>30</v>
      </c>
      <c r="BJ39" s="397">
        <v>30</v>
      </c>
      <c r="BK39" s="397">
        <v>30</v>
      </c>
      <c r="BL39" s="397">
        <v>30</v>
      </c>
      <c r="BM39" s="397">
        <v>0</v>
      </c>
      <c r="BN39" s="472">
        <v>0</v>
      </c>
      <c r="BO39" s="3712"/>
      <c r="BP39" s="3751" cm="1">
        <f t="array" ref="BP39">SUM(IF(ISNUMBER($AT39:$BN39),$AT39:$BN39, 0))</f>
        <v>420</v>
      </c>
      <c r="BQ39" s="573"/>
      <c r="BR39" s="610"/>
      <c r="BS39" s="611"/>
    </row>
    <row r="40" spans="1:71" ht="46" customHeight="1">
      <c r="A40" s="2862"/>
      <c r="B40" s="2863"/>
      <c r="C40" s="296"/>
      <c r="D40" s="421" t="s">
        <v>2129</v>
      </c>
      <c r="E40" s="426"/>
      <c r="F40" s="612"/>
      <c r="G40" s="2875"/>
      <c r="H40" s="2875">
        <v>0</v>
      </c>
      <c r="I40" s="2875">
        <v>0</v>
      </c>
      <c r="J40" s="2875">
        <v>0</v>
      </c>
      <c r="K40" s="2875">
        <v>0</v>
      </c>
      <c r="L40" s="2877">
        <v>0</v>
      </c>
      <c r="M40" s="2878">
        <v>0</v>
      </c>
      <c r="N40" s="2878">
        <v>0</v>
      </c>
      <c r="O40" s="2877">
        <v>0</v>
      </c>
      <c r="P40" s="2916">
        <v>0</v>
      </c>
      <c r="Q40" s="2878">
        <v>0</v>
      </c>
      <c r="R40" s="2878">
        <v>0</v>
      </c>
      <c r="S40" s="2878">
        <v>0</v>
      </c>
      <c r="T40" s="426"/>
      <c r="U40" s="420"/>
      <c r="V40" s="3341"/>
      <c r="W40" s="3884">
        <v>0</v>
      </c>
      <c r="X40" s="3885"/>
      <c r="Y40" s="3892"/>
      <c r="Z40" s="6121">
        <v>0</v>
      </c>
      <c r="AA40" s="6122">
        <v>0</v>
      </c>
      <c r="AB40" s="3308"/>
      <c r="AC40" s="3323"/>
      <c r="AD40" s="3324"/>
      <c r="AE40" s="3638" t="str">
        <f>IFERROR(VLOOKUP($V40,[54]競技情報DB!$D$3:$AO$29,6,),"－")</f>
        <v>－</v>
      </c>
      <c r="AF40" s="3639"/>
      <c r="AG40" s="3640"/>
      <c r="AH40" s="3638" t="str">
        <f>IFERROR(VLOOKUP($V40,[54]競技情報DB!$D$3:$AO$29,8,),"－")</f>
        <v>－</v>
      </c>
      <c r="AI40" s="3639"/>
      <c r="AJ40" s="3640"/>
      <c r="AK40" s="3755"/>
      <c r="AL40" s="3755"/>
      <c r="AM40" s="3756"/>
      <c r="AN40" s="3650"/>
      <c r="AO40" s="656"/>
      <c r="AP40" s="3675"/>
      <c r="AQ40" s="3853"/>
      <c r="AR40" s="3853"/>
      <c r="AS40" s="3853"/>
      <c r="AT40" s="448"/>
      <c r="AU40" s="3889"/>
      <c r="AV40" s="445"/>
      <c r="AW40" s="445"/>
      <c r="AX40" s="445"/>
      <c r="AY40" s="445"/>
      <c r="AZ40" s="445"/>
      <c r="BA40" s="445"/>
      <c r="BB40" s="445"/>
      <c r="BC40" s="445"/>
      <c r="BD40" s="445"/>
      <c r="BE40" s="445"/>
      <c r="BF40" s="445"/>
      <c r="BG40" s="445"/>
      <c r="BH40" s="445"/>
      <c r="BI40" s="445"/>
      <c r="BJ40" s="445"/>
      <c r="BK40" s="445"/>
      <c r="BL40" s="445"/>
      <c r="BM40" s="445"/>
      <c r="BN40" s="449"/>
      <c r="BO40" s="3712"/>
      <c r="BP40" s="3737"/>
      <c r="BQ40" s="573"/>
      <c r="BR40" s="610"/>
      <c r="BS40" s="611"/>
    </row>
    <row r="41" spans="1:71" ht="46" customHeight="1">
      <c r="A41" s="2912" t="s">
        <v>3096</v>
      </c>
      <c r="B41" s="2913" t="s">
        <v>4890</v>
      </c>
      <c r="C41" s="372">
        <f>C39+1</f>
        <v>19</v>
      </c>
      <c r="D41" s="297">
        <v>3031</v>
      </c>
      <c r="E41" s="6246" t="s">
        <v>4985</v>
      </c>
      <c r="F41" s="373" t="s">
        <v>3606</v>
      </c>
      <c r="G41" s="733">
        <v>56</v>
      </c>
      <c r="H41" s="3637">
        <v>0</v>
      </c>
      <c r="I41" s="3637">
        <v>0</v>
      </c>
      <c r="J41" s="3637">
        <v>0</v>
      </c>
      <c r="K41" s="3637"/>
      <c r="L41" s="3637">
        <v>0</v>
      </c>
      <c r="M41" s="3637">
        <v>0</v>
      </c>
      <c r="N41" s="3637">
        <v>0</v>
      </c>
      <c r="O41" s="3637">
        <v>0</v>
      </c>
      <c r="P41" s="3637" t="s">
        <v>2133</v>
      </c>
      <c r="Q41" s="3637" t="s">
        <v>2133</v>
      </c>
      <c r="R41" s="3637" t="s">
        <v>2133</v>
      </c>
      <c r="S41" s="3871">
        <v>0</v>
      </c>
      <c r="T41" s="302"/>
      <c r="U41" s="372" t="s">
        <v>3804</v>
      </c>
      <c r="V41" s="703" t="s">
        <v>3607</v>
      </c>
      <c r="W41" s="3872" t="s">
        <v>2396</v>
      </c>
      <c r="X41" s="3888">
        <v>21</v>
      </c>
      <c r="Y41" s="3873">
        <f>SUM(X41:X43)</f>
        <v>82</v>
      </c>
      <c r="Z41" s="6119" t="s">
        <v>4891</v>
      </c>
      <c r="AA41" s="6119" t="s">
        <v>4016</v>
      </c>
      <c r="AB41" s="3322" t="s">
        <v>2879</v>
      </c>
      <c r="AC41" s="3323"/>
      <c r="AD41" s="3324"/>
      <c r="AE41" s="3638" t="str">
        <f>IFERROR(VLOOKUP($V41,[54]競技情報DB!$D$3:$AO$29,6,),"－")</f>
        <v>伊豆ベロドローム</v>
      </c>
      <c r="AF41" s="3639"/>
      <c r="AG41" s="3640"/>
      <c r="AH41" s="3638" t="str">
        <f>IFERROR(VLOOKUP($V41,[54]競技情報DB!$D$3:$AO$29,8,),"－")</f>
        <v>-</v>
      </c>
      <c r="AI41" s="3639"/>
      <c r="AJ41" s="3640"/>
      <c r="AK41" s="3757" cm="1">
        <f t="array" ref="AK41">_xlfn.LET(
  _xlpm.rng, AT41:BN41,
  _xlpm.header, $AT$3:$BN$3,
  _xlpm.idx, _xlfn.XMATCH(TRUE, _xlpm.rng&lt;&gt;0),
  _xlpm.dt, INDEX(_xlpm.header, _xlpm.idx),
  IF(YEAR(_xlpm.dt)&lt;&gt;2026, DATE(2026, MONTH(_xlpm.dt), DAY(_xlpm.dt)), _xlpm.dt)
)</f>
        <v>46305</v>
      </c>
      <c r="AL41" s="3757" cm="1">
        <f t="array" ref="AL41">_xlfn.LET(
  _xlpm.rng, AT41:BN41,
  _xlpm.header, $AT$3:$BN$3,
  _xlpm.rev, INDEX(_xlpm.rng, _xlfn.SEQUENCE(COLUMNS(_xlpm.rng), , COLUMNS(_xlpm.rng), -1)),
  _xlpm.idx, _xlfn.XMATCH(TRUE, _xlpm.rev&lt;&gt;0),
  _xlpm.revHeader, INDEX(_xlpm.header, _xlfn.SEQUENCE(COLUMNS(_xlpm.header), , COLUMNS(_xlpm.header), -1)),
  _xlpm.dt, INDEX(_xlpm.revHeader, _xlpm.idx),
  IF(YEAR(_xlpm.dt)&lt;&gt;2026, DATE(2026, MONTH(_xlpm.dt), DAY(_xlpm.dt)), _xlpm.dt)
)</f>
        <v>46321</v>
      </c>
      <c r="AM41" s="3758">
        <f>AL41-AK41</f>
        <v>16</v>
      </c>
      <c r="AN41" s="3660">
        <f>$H41-MAX(AT41:BN41)</f>
        <v>-71</v>
      </c>
      <c r="AO41" s="311" t="e">
        <f>+AN41/$H41</f>
        <v>#DIV/0!</v>
      </c>
      <c r="AP41" s="3667" t="str">
        <f>F41&amp;"　"&amp;"合計"</f>
        <v>ホテルワイナリーヒル　合計</v>
      </c>
      <c r="AQ41" s="3854"/>
      <c r="AR41" s="3854"/>
      <c r="AS41" s="3644" t="str">
        <f>F41&amp;"　"&amp;"合計"</f>
        <v>ホテルワイナリーヒル　合計</v>
      </c>
      <c r="AT41" s="496">
        <v>0</v>
      </c>
      <c r="AU41" s="3875">
        <v>0</v>
      </c>
      <c r="AV41" s="397">
        <v>0</v>
      </c>
      <c r="AW41" s="397">
        <v>1</v>
      </c>
      <c r="AX41" s="397">
        <v>2</v>
      </c>
      <c r="AY41" s="397">
        <v>16</v>
      </c>
      <c r="AZ41" s="397">
        <v>16</v>
      </c>
      <c r="BA41" s="397">
        <v>17</v>
      </c>
      <c r="BB41" s="397">
        <v>28</v>
      </c>
      <c r="BC41" s="397">
        <v>34</v>
      </c>
      <c r="BD41" s="397">
        <v>34</v>
      </c>
      <c r="BE41" s="397">
        <v>70</v>
      </c>
      <c r="BF41" s="397">
        <v>70</v>
      </c>
      <c r="BG41" s="397">
        <v>70</v>
      </c>
      <c r="BH41" s="397">
        <v>71</v>
      </c>
      <c r="BI41" s="397">
        <v>68</v>
      </c>
      <c r="BJ41" s="397">
        <v>68</v>
      </c>
      <c r="BK41" s="397">
        <v>67</v>
      </c>
      <c r="BL41" s="397">
        <v>1</v>
      </c>
      <c r="BM41" s="397">
        <v>1</v>
      </c>
      <c r="BN41" s="472">
        <v>0</v>
      </c>
      <c r="BO41" s="3712"/>
      <c r="BP41" s="3737" cm="1">
        <f t="array" ref="BP41">SUM(IF(ISNUMBER($AT41:$BN41),$AT41:$BN41, 0))</f>
        <v>634</v>
      </c>
      <c r="BQ41" s="290"/>
      <c r="BR41" s="332"/>
      <c r="BS41" s="333"/>
    </row>
    <row r="42" spans="1:71" ht="46" customHeight="1">
      <c r="A42" s="2862"/>
      <c r="B42" s="2863"/>
      <c r="C42" s="296"/>
      <c r="D42" s="297"/>
      <c r="E42" s="302"/>
      <c r="F42" s="298"/>
      <c r="G42" s="717"/>
      <c r="H42" s="3677"/>
      <c r="I42" s="3677"/>
      <c r="J42" s="3677"/>
      <c r="K42" s="3677"/>
      <c r="L42" s="3677"/>
      <c r="M42" s="3677"/>
      <c r="N42" s="3677"/>
      <c r="O42" s="3677"/>
      <c r="P42" s="3677"/>
      <c r="Q42" s="3677"/>
      <c r="R42" s="3677"/>
      <c r="S42" s="3902"/>
      <c r="T42" s="302"/>
      <c r="U42" s="296"/>
      <c r="V42" s="703" t="s">
        <v>4892</v>
      </c>
      <c r="W42" s="3903" t="s">
        <v>2396</v>
      </c>
      <c r="X42" s="3904">
        <v>47</v>
      </c>
      <c r="Y42" s="3886"/>
      <c r="Z42" s="6123" t="s">
        <v>4891</v>
      </c>
      <c r="AA42" s="6124" t="s">
        <v>4016</v>
      </c>
      <c r="AB42" s="3308" t="s">
        <v>2879</v>
      </c>
      <c r="AC42" s="3323"/>
      <c r="AD42" s="3324"/>
      <c r="AE42" s="3638" t="str">
        <f>IFERROR(VLOOKUP($V42,[54]競技情報DB!$D$3:$AO$29,6,),"－")</f>
        <v>伊豆ベロドローム</v>
      </c>
      <c r="AF42" s="3639"/>
      <c r="AG42" s="3640"/>
      <c r="AH42" s="3638" t="str">
        <f>IFERROR(VLOOKUP($V42,[54]競技情報DB!$D$3:$AO$29,8,),"－")</f>
        <v>-</v>
      </c>
      <c r="AI42" s="3639"/>
      <c r="AJ42" s="3640"/>
      <c r="AK42" s="3905"/>
      <c r="AL42" s="3905"/>
      <c r="AM42" s="3906"/>
      <c r="AN42" s="3660"/>
      <c r="AO42" s="311"/>
      <c r="AP42" s="3661"/>
      <c r="AQ42" s="3853"/>
      <c r="AR42" s="3853"/>
      <c r="AS42" s="3853"/>
      <c r="AT42" s="3712"/>
      <c r="AU42" s="3907"/>
      <c r="AV42" s="3908"/>
      <c r="AW42" s="3908"/>
      <c r="AX42" s="3908"/>
      <c r="AY42" s="3908"/>
      <c r="AZ42" s="3908"/>
      <c r="BA42" s="3908"/>
      <c r="BB42" s="3908"/>
      <c r="BC42" s="3908"/>
      <c r="BD42" s="3908"/>
      <c r="BE42" s="3908"/>
      <c r="BF42" s="3908"/>
      <c r="BG42" s="3909"/>
      <c r="BH42" s="3908"/>
      <c r="BI42" s="3908"/>
      <c r="BJ42" s="3908"/>
      <c r="BK42" s="3908"/>
      <c r="BL42" s="3908"/>
      <c r="BM42" s="3908"/>
      <c r="BN42" s="3910"/>
      <c r="BO42" s="3712"/>
      <c r="BP42" s="3737"/>
      <c r="BQ42" s="290"/>
      <c r="BR42" s="332"/>
      <c r="BS42" s="333"/>
    </row>
    <row r="43" spans="1:71" ht="46" customHeight="1" thickBot="1">
      <c r="A43" s="3686"/>
      <c r="B43" s="2867"/>
      <c r="C43" s="343"/>
      <c r="D43" s="344" t="s">
        <v>2129</v>
      </c>
      <c r="E43" s="349"/>
      <c r="F43" s="345"/>
      <c r="G43" s="2868">
        <v>0</v>
      </c>
      <c r="H43" s="2868">
        <v>0</v>
      </c>
      <c r="I43" s="2868">
        <v>0</v>
      </c>
      <c r="J43" s="2868">
        <v>0</v>
      </c>
      <c r="K43" s="2868">
        <v>0</v>
      </c>
      <c r="L43" s="2869">
        <v>0</v>
      </c>
      <c r="M43" s="2870">
        <v>0</v>
      </c>
      <c r="N43" s="2870">
        <v>0</v>
      </c>
      <c r="O43" s="2869">
        <v>0</v>
      </c>
      <c r="P43" s="2870">
        <v>0</v>
      </c>
      <c r="Q43" s="2870">
        <v>0</v>
      </c>
      <c r="R43" s="2870">
        <v>0</v>
      </c>
      <c r="S43" s="2870">
        <v>0</v>
      </c>
      <c r="T43" s="349"/>
      <c r="U43" s="343"/>
      <c r="V43" s="3687" t="s">
        <v>4893</v>
      </c>
      <c r="W43" s="3911">
        <v>0</v>
      </c>
      <c r="X43" s="3912">
        <v>14</v>
      </c>
      <c r="Y43" s="3913"/>
      <c r="Z43" s="3914">
        <v>0</v>
      </c>
      <c r="AA43" s="3915">
        <v>0</v>
      </c>
      <c r="AB43" s="3688">
        <v>0</v>
      </c>
      <c r="AC43" s="3916"/>
      <c r="AD43" s="3917"/>
      <c r="AE43" s="3918">
        <f>IFERROR(VLOOKUP($V43,[54]競技情報DB!$D$3:$AO$29,6,),"－")</f>
        <v>0</v>
      </c>
      <c r="AF43" s="3919"/>
      <c r="AG43" s="3920"/>
      <c r="AH43" s="3918">
        <f>IFERROR(VLOOKUP($V43,[54]競技情報DB!$D$3:$AO$29,8,),"－")</f>
        <v>0</v>
      </c>
      <c r="AI43" s="3919"/>
      <c r="AJ43" s="3920"/>
      <c r="AK43" s="3761"/>
      <c r="AL43" s="3761"/>
      <c r="AM43" s="3762"/>
      <c r="AN43" s="3696"/>
      <c r="AO43" s="358"/>
      <c r="AP43" s="3697"/>
      <c r="AQ43" s="3855"/>
      <c r="AR43" s="3855"/>
      <c r="AS43" s="3855"/>
      <c r="AT43" s="3698"/>
      <c r="AU43" s="3921"/>
      <c r="AV43" s="368"/>
      <c r="AW43" s="368"/>
      <c r="AX43" s="368"/>
      <c r="AY43" s="368"/>
      <c r="AZ43" s="368"/>
      <c r="BA43" s="368"/>
      <c r="BB43" s="368"/>
      <c r="BC43" s="368"/>
      <c r="BD43" s="368"/>
      <c r="BE43" s="368"/>
      <c r="BF43" s="368"/>
      <c r="BG43" s="368"/>
      <c r="BH43" s="368"/>
      <c r="BI43" s="368"/>
      <c r="BJ43" s="368"/>
      <c r="BK43" s="368"/>
      <c r="BL43" s="368"/>
      <c r="BM43" s="368"/>
      <c r="BN43" s="369"/>
      <c r="BO43" s="3712"/>
      <c r="BP43" s="3737"/>
      <c r="BQ43" s="290"/>
      <c r="BR43" s="332"/>
      <c r="BS43" s="333"/>
    </row>
    <row r="44" spans="1:71" s="786" customFormat="1" ht="45.65" hidden="1" customHeight="1" thickBot="1">
      <c r="A44" s="775"/>
      <c r="B44" s="775"/>
      <c r="C44" s="775"/>
      <c r="D44" s="775"/>
      <c r="E44" s="775"/>
      <c r="F44" s="776"/>
      <c r="G44" s="818"/>
      <c r="H44" s="818"/>
      <c r="I44" s="6716" t="s">
        <v>3625</v>
      </c>
      <c r="J44" s="6582"/>
      <c r="K44" s="6582"/>
      <c r="L44" s="6582"/>
      <c r="M44" s="6582"/>
      <c r="N44" s="6582"/>
      <c r="O44" s="6583"/>
      <c r="P44" s="6391" t="s">
        <v>2887</v>
      </c>
      <c r="Q44" s="6391"/>
      <c r="R44" s="6391"/>
      <c r="S44" s="6392"/>
      <c r="T44" s="3725">
        <f>COUNTIF(T$5:U$12,"○")</f>
        <v>0</v>
      </c>
      <c r="U44" s="775"/>
      <c r="V44" s="3922">
        <f>SUM(Y5:AB43)</f>
        <v>1412</v>
      </c>
      <c r="X44" s="782"/>
      <c r="Y44" s="783"/>
      <c r="Z44" s="783"/>
      <c r="AA44" s="783"/>
      <c r="AB44" s="3476"/>
      <c r="AC44" s="3477"/>
      <c r="AD44" s="3477"/>
      <c r="AE44" s="3476"/>
      <c r="AF44" s="3477"/>
      <c r="AG44" s="3477"/>
      <c r="AH44" s="3476"/>
      <c r="AI44" s="3477"/>
      <c r="AJ44" s="3477"/>
      <c r="AK44" s="3477"/>
      <c r="AL44" s="3477"/>
      <c r="AM44" s="3477"/>
      <c r="AN44" s="784"/>
      <c r="AO44" s="784"/>
      <c r="AP44" s="785"/>
      <c r="AQ44" s="785"/>
      <c r="AR44" s="785"/>
      <c r="AS44" s="785"/>
      <c r="AT44" s="3923">
        <f t="shared" ref="AT44:BN44" si="1">SUM(AT5:AT43)</f>
        <v>0</v>
      </c>
      <c r="AU44" s="3923">
        <f t="shared" si="1"/>
        <v>0</v>
      </c>
      <c r="AV44" s="3923">
        <f t="shared" si="1"/>
        <v>5</v>
      </c>
      <c r="AW44" s="3923">
        <f t="shared" si="1"/>
        <v>19</v>
      </c>
      <c r="AX44" s="3923">
        <f t="shared" si="1"/>
        <v>214</v>
      </c>
      <c r="AY44" s="3923">
        <f t="shared" si="1"/>
        <v>314</v>
      </c>
      <c r="AZ44" s="3923">
        <f t="shared" si="1"/>
        <v>603</v>
      </c>
      <c r="BA44" s="3923">
        <f t="shared" si="1"/>
        <v>706</v>
      </c>
      <c r="BB44" s="3923">
        <f t="shared" si="1"/>
        <v>1108</v>
      </c>
      <c r="BC44" s="3923">
        <f t="shared" si="1"/>
        <v>1385</v>
      </c>
      <c r="BD44" s="3923">
        <f t="shared" si="1"/>
        <v>1388</v>
      </c>
      <c r="BE44" s="3923">
        <f t="shared" si="1"/>
        <v>1424</v>
      </c>
      <c r="BF44" s="3923">
        <f t="shared" si="1"/>
        <v>1400</v>
      </c>
      <c r="BG44" s="3923">
        <f t="shared" si="1"/>
        <v>1389</v>
      </c>
      <c r="BH44" s="3923">
        <f t="shared" si="1"/>
        <v>1390</v>
      </c>
      <c r="BI44" s="3923">
        <f t="shared" si="1"/>
        <v>1387</v>
      </c>
      <c r="BJ44" s="3923">
        <f t="shared" si="1"/>
        <v>1282</v>
      </c>
      <c r="BK44" s="3923">
        <f t="shared" si="1"/>
        <v>1280</v>
      </c>
      <c r="BL44" s="3923">
        <f t="shared" si="1"/>
        <v>615</v>
      </c>
      <c r="BM44" s="3923">
        <f t="shared" si="1"/>
        <v>46</v>
      </c>
      <c r="BN44" s="3924">
        <f t="shared" si="1"/>
        <v>0</v>
      </c>
      <c r="BO44" s="3735"/>
      <c r="BP44" s="3739"/>
      <c r="BQ44" s="782"/>
      <c r="BR44" s="782"/>
      <c r="BS44" s="782"/>
    </row>
    <row r="45" spans="1:71" s="786" customFormat="1" ht="45.75" hidden="1" customHeight="1" thickTop="1">
      <c r="A45" s="775"/>
      <c r="B45" s="775"/>
      <c r="C45" s="775"/>
      <c r="D45" s="775"/>
      <c r="E45" s="775"/>
      <c r="F45" s="776"/>
      <c r="G45" s="818"/>
      <c r="H45" s="818"/>
      <c r="I45" s="6581"/>
      <c r="J45" s="6582"/>
      <c r="K45" s="6582"/>
      <c r="L45" s="6582"/>
      <c r="M45" s="6582"/>
      <c r="N45" s="6582"/>
      <c r="O45" s="6583"/>
      <c r="P45" s="6371" t="s">
        <v>2429</v>
      </c>
      <c r="Q45" s="6371"/>
      <c r="R45" s="6371"/>
      <c r="S45" s="6372"/>
      <c r="T45" s="795">
        <f>COUNTIF(T$19:T$43,"○")</f>
        <v>0</v>
      </c>
      <c r="U45" s="3727"/>
      <c r="V45" s="3728" t="e">
        <f>SUM(#REF!)</f>
        <v>#REF!</v>
      </c>
      <c r="W45" s="3727"/>
      <c r="X45" s="3727"/>
      <c r="Y45" s="3727"/>
      <c r="Z45" s="3727"/>
      <c r="AA45" s="3727"/>
      <c r="AB45" s="3727"/>
      <c r="AC45" s="3477"/>
      <c r="AD45" s="3477"/>
      <c r="AE45" s="3476"/>
      <c r="AF45" s="3477"/>
      <c r="AG45" s="3477"/>
      <c r="AH45" s="3476"/>
      <c r="AI45" s="3477"/>
      <c r="AJ45" s="3477"/>
      <c r="AK45" s="3477"/>
      <c r="AL45" s="3477"/>
      <c r="AM45" s="3477"/>
      <c r="AN45" s="784"/>
      <c r="AO45" s="784"/>
      <c r="AP45" s="785"/>
      <c r="AQ45" s="785"/>
      <c r="AR45" s="785"/>
      <c r="AS45" s="785"/>
      <c r="AT45" s="783"/>
      <c r="AU45" s="810"/>
      <c r="AV45" s="810"/>
      <c r="AW45" s="810"/>
      <c r="AX45" s="783"/>
      <c r="AY45" s="810"/>
      <c r="AZ45" s="783"/>
      <c r="BA45" s="783"/>
      <c r="BB45" s="810"/>
      <c r="BC45" s="810"/>
      <c r="BD45" s="783"/>
      <c r="BE45" s="783"/>
      <c r="BF45" s="783"/>
      <c r="BG45" s="783"/>
      <c r="BH45" s="783"/>
      <c r="BI45" s="810"/>
      <c r="BJ45" s="810"/>
      <c r="BK45" s="783"/>
      <c r="BL45" s="783"/>
      <c r="BM45" s="783"/>
      <c r="BN45" s="811"/>
      <c r="BO45" s="811"/>
      <c r="BP45" s="3740"/>
      <c r="BQ45" s="782"/>
      <c r="BR45" s="782"/>
      <c r="BS45" s="782"/>
    </row>
    <row r="46" spans="1:71" s="786" customFormat="1" ht="45.75" hidden="1" customHeight="1" thickBot="1">
      <c r="A46" s="775"/>
      <c r="B46" s="775"/>
      <c r="C46" s="775"/>
      <c r="D46" s="775"/>
      <c r="E46" s="775"/>
      <c r="F46" s="776"/>
      <c r="G46" s="776"/>
      <c r="H46" s="776"/>
      <c r="I46" s="6581"/>
      <c r="J46" s="6582"/>
      <c r="K46" s="6582"/>
      <c r="L46" s="6582"/>
      <c r="M46" s="6582"/>
      <c r="N46" s="6582"/>
      <c r="O46" s="6583"/>
      <c r="P46" s="6374" t="s">
        <v>2430</v>
      </c>
      <c r="Q46" s="6374"/>
      <c r="R46" s="6374"/>
      <c r="S46" s="6375"/>
      <c r="T46" s="806" t="e">
        <f>COUNTIF(#REF!,"○")</f>
        <v>#REF!</v>
      </c>
      <c r="U46" s="3727"/>
      <c r="V46" s="3729" t="e">
        <f>SUM(#REF!)</f>
        <v>#REF!</v>
      </c>
      <c r="X46" s="782"/>
      <c r="Y46" s="783"/>
      <c r="Z46" s="783"/>
      <c r="AA46" s="783"/>
      <c r="AB46" s="3476"/>
      <c r="AC46" s="3477"/>
      <c r="AD46" s="3477"/>
      <c r="AE46" s="3476"/>
      <c r="AF46" s="3477"/>
      <c r="AG46" s="3477"/>
      <c r="AH46" s="3476"/>
      <c r="AI46" s="3477"/>
      <c r="AJ46" s="3477"/>
      <c r="AK46" s="3477"/>
      <c r="AL46" s="3477"/>
      <c r="AM46" s="3477"/>
      <c r="AN46" s="784"/>
      <c r="AO46" s="784"/>
      <c r="AP46" s="785"/>
      <c r="AQ46" s="785"/>
      <c r="AR46" s="785"/>
      <c r="AS46" s="785"/>
      <c r="AT46" s="783"/>
      <c r="AU46" s="810"/>
      <c r="AV46" s="810"/>
      <c r="AW46" s="810"/>
      <c r="AX46" s="783"/>
      <c r="AY46" s="810"/>
      <c r="AZ46" s="783"/>
      <c r="BA46" s="783"/>
      <c r="BB46" s="810"/>
      <c r="BC46" s="810"/>
      <c r="BD46" s="783"/>
      <c r="BE46" s="783"/>
      <c r="BF46" s="783"/>
      <c r="BG46" s="783"/>
      <c r="BH46" s="783"/>
      <c r="BI46" s="810"/>
      <c r="BJ46" s="810"/>
      <c r="BK46" s="783"/>
      <c r="BL46" s="783"/>
      <c r="BM46" s="783"/>
      <c r="BN46" s="811"/>
      <c r="BO46" s="811"/>
      <c r="BP46" s="3740"/>
      <c r="BQ46" s="782"/>
      <c r="BR46" s="782"/>
      <c r="BS46" s="782"/>
    </row>
    <row r="47" spans="1:71" s="786" customFormat="1" ht="45.75" hidden="1" customHeight="1" thickTop="1" thickBot="1">
      <c r="A47" s="775"/>
      <c r="B47" s="775"/>
      <c r="C47" s="775"/>
      <c r="D47" s="775"/>
      <c r="E47" s="775"/>
      <c r="F47" s="776"/>
      <c r="G47" s="776"/>
      <c r="H47" s="776"/>
      <c r="I47" s="6584"/>
      <c r="J47" s="6585"/>
      <c r="K47" s="6585"/>
      <c r="L47" s="6585"/>
      <c r="M47" s="6585"/>
      <c r="N47" s="6585"/>
      <c r="O47" s="6586"/>
      <c r="P47" s="6377" t="s">
        <v>2432</v>
      </c>
      <c r="Q47" s="6377"/>
      <c r="R47" s="6377"/>
      <c r="S47" s="6378"/>
      <c r="T47" s="3730" t="e">
        <f>SUM(T44:T46)</f>
        <v>#REF!</v>
      </c>
      <c r="U47" s="775"/>
      <c r="V47" s="3731" t="e">
        <f>SUM(V44:V46)</f>
        <v>#REF!</v>
      </c>
      <c r="W47" s="3727"/>
      <c r="X47" s="3727"/>
      <c r="Y47" s="3727"/>
      <c r="Z47" s="3727"/>
      <c r="AA47" s="3727"/>
      <c r="AB47" s="3727"/>
      <c r="AC47" s="3477"/>
      <c r="AD47" s="3477"/>
      <c r="AE47" s="3476"/>
      <c r="AF47" s="3477"/>
      <c r="AG47" s="3477"/>
      <c r="AH47" s="3476"/>
      <c r="AI47" s="3477"/>
      <c r="AJ47" s="3477"/>
      <c r="AK47" s="3477"/>
      <c r="AL47" s="3477"/>
      <c r="AM47" s="3477"/>
      <c r="AN47" s="784"/>
      <c r="AO47" s="784"/>
      <c r="AP47" s="785"/>
      <c r="AQ47" s="785"/>
      <c r="AR47" s="785"/>
      <c r="AS47" s="785"/>
      <c r="AT47" s="783"/>
      <c r="AU47" s="810"/>
      <c r="AV47" s="810"/>
      <c r="AW47" s="810"/>
      <c r="AX47" s="783"/>
      <c r="AY47" s="810"/>
      <c r="AZ47" s="783"/>
      <c r="BA47" s="783"/>
      <c r="BB47" s="810"/>
      <c r="BC47" s="810"/>
      <c r="BD47" s="783"/>
      <c r="BE47" s="783"/>
      <c r="BF47" s="783"/>
      <c r="BG47" s="783"/>
      <c r="BH47" s="783"/>
      <c r="BI47" s="810"/>
      <c r="BJ47" s="810"/>
      <c r="BK47" s="783"/>
      <c r="BL47" s="783"/>
      <c r="BM47" s="783"/>
      <c r="BN47" s="811"/>
      <c r="BO47" s="811"/>
      <c r="BP47" s="3740"/>
      <c r="BQ47" s="782"/>
      <c r="BR47" s="782"/>
      <c r="BS47" s="782"/>
    </row>
    <row r="48" spans="1:71" s="786" customFormat="1" ht="45.75" hidden="1" customHeight="1">
      <c r="A48" s="775"/>
      <c r="B48" s="775"/>
      <c r="C48" s="775"/>
      <c r="D48" s="775"/>
      <c r="E48" s="775"/>
      <c r="F48" s="776"/>
      <c r="G48" s="776"/>
      <c r="H48" s="776"/>
      <c r="I48" s="776"/>
      <c r="J48" s="776"/>
      <c r="K48" s="776"/>
      <c r="L48" s="776"/>
      <c r="M48" s="776"/>
      <c r="N48" s="776"/>
      <c r="O48" s="3732"/>
      <c r="P48" s="820"/>
      <c r="Q48" s="820"/>
      <c r="R48" s="820"/>
      <c r="S48" s="820"/>
      <c r="T48" s="821"/>
      <c r="U48" s="822"/>
      <c r="V48" s="3481"/>
      <c r="W48" s="3727"/>
      <c r="X48" s="3727"/>
      <c r="Y48" s="3727"/>
      <c r="Z48" s="3727"/>
      <c r="AA48" s="3727"/>
      <c r="AB48" s="3727"/>
      <c r="AC48" s="3477"/>
      <c r="AD48" s="3477"/>
      <c r="AE48" s="3476"/>
      <c r="AF48" s="3477"/>
      <c r="AG48" s="3477"/>
      <c r="AH48" s="3476"/>
      <c r="AI48" s="3477"/>
      <c r="AJ48" s="3477"/>
      <c r="AK48" s="3477"/>
      <c r="AL48" s="3477"/>
      <c r="AM48" s="3477"/>
      <c r="AN48" s="784"/>
      <c r="AO48" s="784"/>
      <c r="AP48" s="785"/>
      <c r="AQ48" s="785"/>
      <c r="AR48" s="785"/>
      <c r="AS48" s="785"/>
      <c r="AT48" s="783"/>
      <c r="AU48" s="810"/>
      <c r="AV48" s="810"/>
      <c r="AW48" s="810"/>
      <c r="AX48" s="783"/>
      <c r="AY48" s="810"/>
      <c r="AZ48" s="783"/>
      <c r="BA48" s="783"/>
      <c r="BB48" s="810"/>
      <c r="BC48" s="810"/>
      <c r="BD48" s="783"/>
      <c r="BE48" s="783"/>
      <c r="BF48" s="783"/>
      <c r="BG48" s="783"/>
      <c r="BH48" s="783"/>
      <c r="BI48" s="810"/>
      <c r="BJ48" s="810"/>
      <c r="BK48" s="783"/>
      <c r="BL48" s="783"/>
      <c r="BM48" s="783"/>
      <c r="BN48" s="811"/>
      <c r="BO48" s="811"/>
      <c r="BP48" s="3740"/>
      <c r="BQ48" s="812"/>
      <c r="BR48" s="782"/>
      <c r="BS48" s="782"/>
    </row>
    <row r="49" spans="1:71" s="786" customFormat="1" ht="52" hidden="1" customHeight="1">
      <c r="A49" s="775"/>
      <c r="B49" s="775"/>
      <c r="C49" s="775"/>
      <c r="D49" s="775"/>
      <c r="E49" s="775"/>
      <c r="F49" s="776"/>
      <c r="G49" s="776"/>
      <c r="H49" s="776"/>
      <c r="I49" s="776"/>
      <c r="J49" s="776"/>
      <c r="K49" s="776"/>
      <c r="L49" s="776"/>
      <c r="M49" s="776"/>
      <c r="N49" s="776"/>
      <c r="O49" s="3732"/>
      <c r="P49" s="820"/>
      <c r="Q49" s="820"/>
      <c r="R49" s="820"/>
      <c r="S49" s="820"/>
      <c r="T49" s="834" t="e">
        <f>COUNTIF(T$5:T$43,"○")-T47</f>
        <v>#REF!</v>
      </c>
      <c r="U49" s="822"/>
      <c r="V49" s="3481"/>
      <c r="W49" s="6571"/>
      <c r="X49" s="6572"/>
      <c r="Y49" s="6572"/>
      <c r="Z49" s="6572"/>
      <c r="AA49" s="6572"/>
      <c r="AB49" s="6572"/>
      <c r="AC49" s="6572"/>
      <c r="AD49" s="6572"/>
      <c r="AE49" s="6572"/>
      <c r="AF49" s="6572"/>
      <c r="AG49" s="6572"/>
      <c r="AH49" s="6572"/>
      <c r="AI49" s="3477"/>
      <c r="AJ49" s="3477"/>
      <c r="AK49" s="3477"/>
      <c r="AL49" s="3477"/>
      <c r="AM49" s="3477"/>
      <c r="AN49" s="784"/>
      <c r="AO49" s="784"/>
      <c r="AP49" s="785"/>
      <c r="AQ49" s="785"/>
      <c r="AR49" s="785"/>
      <c r="AS49" s="785"/>
      <c r="AT49" s="783"/>
      <c r="AU49" s="810"/>
      <c r="AV49" s="810"/>
      <c r="AW49" s="810"/>
      <c r="AX49" s="783"/>
      <c r="AY49" s="810"/>
      <c r="AZ49" s="783"/>
      <c r="BA49" s="783"/>
      <c r="BB49" s="810"/>
      <c r="BC49" s="810"/>
      <c r="BD49" s="783"/>
      <c r="BE49" s="783"/>
      <c r="BF49" s="783"/>
      <c r="BG49" s="783"/>
      <c r="BH49" s="783"/>
      <c r="BI49" s="810"/>
      <c r="BJ49" s="810"/>
      <c r="BK49" s="783"/>
      <c r="BL49" s="783"/>
      <c r="BM49" s="783"/>
      <c r="BN49" s="783"/>
      <c r="BO49" s="783"/>
      <c r="BP49" s="3741"/>
      <c r="BQ49" s="782"/>
      <c r="BR49" s="782"/>
      <c r="BS49" s="782"/>
    </row>
    <row r="50" spans="1:71" s="786" customFormat="1" ht="42" customHeight="1">
      <c r="A50" s="816"/>
      <c r="B50" s="785"/>
      <c r="C50" s="785"/>
      <c r="D50" s="817"/>
      <c r="E50" s="817"/>
      <c r="F50" s="785"/>
      <c r="G50" s="818"/>
      <c r="H50" s="818"/>
      <c r="I50" s="818"/>
      <c r="J50" s="818"/>
      <c r="K50" s="818"/>
      <c r="L50" s="819"/>
      <c r="M50" s="820"/>
      <c r="N50" s="820"/>
      <c r="O50" s="819"/>
      <c r="P50" s="820"/>
      <c r="Q50" s="820"/>
      <c r="R50" s="820"/>
      <c r="S50" s="820"/>
      <c r="T50" s="821"/>
      <c r="U50" s="822"/>
      <c r="V50" s="3481"/>
      <c r="W50" s="828"/>
      <c r="X50" s="829"/>
      <c r="Y50" s="830"/>
      <c r="Z50" s="830"/>
      <c r="AA50" s="830"/>
      <c r="AB50" s="3476"/>
      <c r="AC50" s="3482"/>
      <c r="AD50" s="3482"/>
      <c r="AE50" s="3476"/>
      <c r="AF50" s="3482"/>
      <c r="AG50" s="3482"/>
      <c r="AH50" s="3476"/>
      <c r="AI50" s="3482"/>
      <c r="AJ50" s="3482"/>
      <c r="AK50" s="3482"/>
      <c r="AL50" s="3482"/>
      <c r="AM50" s="3482"/>
      <c r="AN50" s="784"/>
      <c r="AO50" s="784"/>
      <c r="AP50" s="831"/>
      <c r="AQ50" s="831"/>
      <c r="AR50" s="831"/>
      <c r="AS50" s="831"/>
      <c r="AT50" s="830"/>
      <c r="AU50" s="833"/>
      <c r="AV50" s="833"/>
      <c r="AW50" s="833"/>
      <c r="AX50" s="830"/>
      <c r="AY50" s="833"/>
      <c r="AZ50" s="830"/>
      <c r="BA50" s="830"/>
      <c r="BB50" s="833"/>
      <c r="BC50" s="833"/>
      <c r="BD50" s="830"/>
      <c r="BE50" s="830"/>
      <c r="BF50" s="830"/>
      <c r="BG50" s="830"/>
      <c r="BH50" s="830"/>
      <c r="BI50" s="833"/>
      <c r="BJ50" s="833"/>
      <c r="BK50" s="830"/>
      <c r="BL50" s="830"/>
      <c r="BM50" s="830"/>
      <c r="BN50" s="830"/>
      <c r="BO50" s="830"/>
      <c r="BP50" s="3742"/>
      <c r="BQ50" s="782"/>
      <c r="BR50" s="782"/>
      <c r="BS50" s="782"/>
    </row>
    <row r="51" spans="1:71" s="786" customFormat="1" ht="42" hidden="1" customHeight="1">
      <c r="A51" s="816"/>
      <c r="B51" s="782"/>
      <c r="C51" s="834"/>
      <c r="D51" s="817"/>
      <c r="E51" s="817"/>
      <c r="F51" s="782" t="s">
        <v>2433</v>
      </c>
      <c r="G51" s="818"/>
      <c r="H51" s="818"/>
      <c r="I51" s="818"/>
      <c r="J51" s="818"/>
      <c r="K51" s="818"/>
      <c r="L51" s="819"/>
      <c r="M51" s="820"/>
      <c r="N51" s="820"/>
      <c r="O51" s="819"/>
      <c r="P51" s="820"/>
      <c r="Q51" s="820"/>
      <c r="R51" s="820"/>
      <c r="S51" s="820"/>
      <c r="T51" s="821"/>
      <c r="U51" s="822"/>
      <c r="V51" s="3481"/>
      <c r="W51" s="828"/>
      <c r="X51" s="830" t="s">
        <v>2434</v>
      </c>
      <c r="Y51" s="826">
        <f>SUM(Y5:Y43)-[53]競技情報DB!H80</f>
        <v>-2919</v>
      </c>
      <c r="Z51" s="826"/>
      <c r="AA51" s="826"/>
      <c r="AB51" s="3483"/>
      <c r="AC51" s="3484"/>
      <c r="AD51" s="3484"/>
      <c r="AE51" s="3483"/>
      <c r="AF51" s="3484"/>
      <c r="AG51" s="3484"/>
      <c r="AH51" s="3483"/>
      <c r="AI51" s="3484"/>
      <c r="AJ51" s="3484"/>
      <c r="AK51" s="3484"/>
      <c r="AL51" s="3484"/>
      <c r="AM51" s="3484"/>
      <c r="AN51" s="835"/>
      <c r="AO51" s="830" t="s">
        <v>2434</v>
      </c>
      <c r="AP51" s="831" t="s">
        <v>2174</v>
      </c>
      <c r="AQ51" s="831"/>
      <c r="AR51" s="831"/>
      <c r="AS51" s="831"/>
      <c r="AT51" s="836" t="e">
        <f>+#REF!-AT46</f>
        <v>#REF!</v>
      </c>
      <c r="AU51" s="837"/>
      <c r="AV51" s="837" t="e">
        <f>+#REF!-AV46</f>
        <v>#REF!</v>
      </c>
      <c r="AW51" s="837" t="e">
        <f>+#REF!-AW46</f>
        <v>#REF!</v>
      </c>
      <c r="AX51" s="836" t="e">
        <f>+#REF!-AX46</f>
        <v>#REF!</v>
      </c>
      <c r="AY51" s="837" t="e">
        <f>+#REF!-AY46</f>
        <v>#REF!</v>
      </c>
      <c r="AZ51" s="836" t="e">
        <f>+#REF!-AZ46</f>
        <v>#REF!</v>
      </c>
      <c r="BA51" s="836" t="e">
        <f>+#REF!-BA46</f>
        <v>#REF!</v>
      </c>
      <c r="BB51" s="837" t="e">
        <f>+#REF!-BB46</f>
        <v>#REF!</v>
      </c>
      <c r="BC51" s="837" t="e">
        <f>+#REF!-BC46</f>
        <v>#REF!</v>
      </c>
      <c r="BD51" s="836" t="e">
        <f>+#REF!-BD46</f>
        <v>#REF!</v>
      </c>
      <c r="BE51" s="836" t="e">
        <f>+#REF!-BE46</f>
        <v>#REF!</v>
      </c>
      <c r="BF51" s="836" t="e">
        <f>+#REF!-BF46</f>
        <v>#REF!</v>
      </c>
      <c r="BG51" s="836" t="e">
        <f>+#REF!-BG46</f>
        <v>#REF!</v>
      </c>
      <c r="BH51" s="836" t="e">
        <f>+#REF!-BH46</f>
        <v>#REF!</v>
      </c>
      <c r="BI51" s="837" t="e">
        <f>+#REF!-BI46</f>
        <v>#REF!</v>
      </c>
      <c r="BJ51" s="837" t="e">
        <f>+#REF!-BJ46</f>
        <v>#REF!</v>
      </c>
      <c r="BK51" s="836" t="e">
        <f>+#REF!-BK46</f>
        <v>#REF!</v>
      </c>
      <c r="BL51" s="836" t="e">
        <f>+#REF!-BL46</f>
        <v>#REF!</v>
      </c>
      <c r="BM51" s="836" t="e">
        <f>+#REF!-BM46</f>
        <v>#REF!</v>
      </c>
      <c r="BN51" s="836" t="e">
        <f>+#REF!-BN46</f>
        <v>#REF!</v>
      </c>
      <c r="BO51" s="836"/>
      <c r="BP51" s="3743"/>
      <c r="BQ51" s="782"/>
      <c r="BR51" s="782"/>
      <c r="BS51" s="782"/>
    </row>
    <row r="52" spans="1:71" s="786" customFormat="1" ht="42" customHeight="1">
      <c r="A52" s="816"/>
      <c r="B52" s="785"/>
      <c r="C52" s="785"/>
      <c r="D52" s="817"/>
      <c r="E52" s="817"/>
      <c r="F52" s="785"/>
      <c r="G52" s="818"/>
      <c r="H52" s="818"/>
      <c r="I52" s="818"/>
      <c r="J52" s="818"/>
      <c r="K52" s="818"/>
      <c r="L52" s="819"/>
      <c r="M52" s="820"/>
      <c r="N52" s="820"/>
      <c r="O52" s="819"/>
      <c r="P52" s="820"/>
      <c r="Q52" s="820"/>
      <c r="R52" s="820"/>
      <c r="S52" s="820"/>
      <c r="T52" s="821"/>
      <c r="U52" s="822"/>
      <c r="V52" s="3481"/>
      <c r="W52" s="828"/>
      <c r="X52" s="2934" t="s">
        <v>2433</v>
      </c>
      <c r="Y52" s="2934">
        <f>SUM(Y5:Y43)-[53]競技情報DB!H80</f>
        <v>-2919</v>
      </c>
      <c r="Z52" s="2934"/>
      <c r="AA52" s="2934"/>
      <c r="AB52" s="3483"/>
      <c r="AC52" s="3482"/>
      <c r="AD52" s="3482"/>
      <c r="AE52" s="3483"/>
      <c r="AF52" s="3482"/>
      <c r="AG52" s="3482"/>
      <c r="AH52" s="3483"/>
      <c r="AI52" s="3482"/>
      <c r="AJ52" s="3482"/>
      <c r="AK52" s="3482"/>
      <c r="AL52" s="3482"/>
      <c r="AM52" s="3482"/>
      <c r="AN52" s="835"/>
      <c r="AO52" s="835"/>
      <c r="AP52" s="831" t="s">
        <v>2175</v>
      </c>
      <c r="AQ52" s="831"/>
      <c r="AR52" s="831"/>
      <c r="AS52" s="831"/>
      <c r="AT52" s="837">
        <f>+[53]競技情報DB!I80-AT44</f>
        <v>0</v>
      </c>
      <c r="AU52" s="837"/>
      <c r="AV52" s="837">
        <f>+[53]競技情報DB!Y80-AV44</f>
        <v>3130</v>
      </c>
      <c r="AW52" s="837">
        <f>+[53]競技情報DB!Z80-AW44</f>
        <v>3161</v>
      </c>
      <c r="AX52" s="837">
        <f>+[53]競技情報DB!AA80-AX44</f>
        <v>3012</v>
      </c>
      <c r="AY52" s="837">
        <f>+[53]競技情報DB!AB80-AY44</f>
        <v>3088</v>
      </c>
      <c r="AZ52" s="837">
        <f>+[53]競技情報DB!AC80-AZ44</f>
        <v>2862</v>
      </c>
      <c r="BA52" s="837">
        <f>+[53]競技情報DB!AD80-BA44</f>
        <v>2721</v>
      </c>
      <c r="BB52" s="837">
        <f>+[53]競技情報DB!AE80-BB44</f>
        <v>2349</v>
      </c>
      <c r="BC52" s="837">
        <f>+[53]競技情報DB!AF80-BC44</f>
        <v>2003</v>
      </c>
      <c r="BD52" s="837">
        <f>+[53]競技情報DB!AG80-BD44</f>
        <v>2046</v>
      </c>
      <c r="BE52" s="837">
        <f>+[53]競技情報DB!AH80-BE44</f>
        <v>1778</v>
      </c>
      <c r="BF52" s="837">
        <f>+[53]競技情報DB!AI80-BF44</f>
        <v>1676</v>
      </c>
      <c r="BG52" s="837">
        <f>+[53]競技情報DB!AJ80-BG44</f>
        <v>1054</v>
      </c>
      <c r="BH52" s="837">
        <f>+[53]競技情報DB!AK80-BH44</f>
        <v>937</v>
      </c>
      <c r="BI52" s="837">
        <f>+[53]競技情報DB!AL80-BI44</f>
        <v>741</v>
      </c>
      <c r="BJ52" s="837">
        <f>+[53]競技情報DB!AM80-BJ44</f>
        <v>399</v>
      </c>
      <c r="BK52" s="837">
        <f>+[53]競技情報DB!AN80-BK44</f>
        <v>-988</v>
      </c>
      <c r="BL52" s="837">
        <f>+[53]競技情報DB!AO80-BL44</f>
        <v>-605</v>
      </c>
      <c r="BM52" s="837">
        <f>+[53]競技情報DB!AP80-BM44</f>
        <v>-36</v>
      </c>
      <c r="BN52" s="837">
        <f>+[53]競技情報DB!AR80-BN44</f>
        <v>0</v>
      </c>
      <c r="BO52" s="837"/>
      <c r="BP52" s="3744"/>
      <c r="BQ52" s="840"/>
      <c r="BR52" s="782"/>
      <c r="BS52" s="782"/>
    </row>
    <row r="53" spans="1:71" s="786" customFormat="1" ht="42" customHeight="1">
      <c r="A53" s="816"/>
      <c r="B53" s="785"/>
      <c r="C53" s="785"/>
      <c r="D53" s="817"/>
      <c r="E53" s="817"/>
      <c r="F53" s="785"/>
      <c r="G53" s="818"/>
      <c r="H53" s="818"/>
      <c r="I53" s="818"/>
      <c r="J53" s="818"/>
      <c r="K53" s="818"/>
      <c r="L53" s="819"/>
      <c r="M53" s="820"/>
      <c r="N53" s="820"/>
      <c r="O53" s="819"/>
      <c r="P53" s="820"/>
      <c r="Q53" s="820"/>
      <c r="R53" s="820"/>
      <c r="S53" s="820"/>
      <c r="T53" s="821"/>
      <c r="U53" s="822"/>
      <c r="V53" s="3481"/>
      <c r="W53" s="828"/>
      <c r="X53" s="2934"/>
      <c r="Y53" s="836"/>
      <c r="Z53" s="836"/>
      <c r="AA53" s="836"/>
      <c r="AB53" s="3483"/>
      <c r="AC53" s="3482"/>
      <c r="AD53" s="3482"/>
      <c r="AE53" s="3483"/>
      <c r="AF53" s="3482"/>
      <c r="AG53" s="3482"/>
      <c r="AH53" s="3483"/>
      <c r="AI53" s="3482"/>
      <c r="AJ53" s="3482"/>
      <c r="AK53" s="3482"/>
      <c r="AL53" s="3482"/>
      <c r="AM53" s="3482"/>
      <c r="AN53" s="835"/>
      <c r="AO53" s="835"/>
      <c r="AP53" s="831"/>
      <c r="AQ53" s="831"/>
      <c r="AR53" s="831"/>
      <c r="AS53" s="831"/>
      <c r="AT53" s="830"/>
      <c r="AU53" s="833"/>
      <c r="AV53" s="833"/>
      <c r="AW53" s="833"/>
      <c r="AX53" s="830"/>
      <c r="AY53" s="833"/>
      <c r="AZ53" s="830"/>
      <c r="BA53" s="830"/>
      <c r="BB53" s="833"/>
      <c r="BC53" s="833"/>
      <c r="BD53" s="830"/>
      <c r="BE53" s="830"/>
      <c r="BF53" s="830"/>
      <c r="BG53" s="830"/>
      <c r="BH53" s="830"/>
      <c r="BI53" s="833"/>
      <c r="BJ53" s="833"/>
      <c r="BK53" s="830"/>
      <c r="BL53" s="830"/>
      <c r="BM53" s="830"/>
      <c r="BN53" s="830"/>
      <c r="BO53" s="830"/>
      <c r="BP53" s="3742"/>
      <c r="BQ53" s="782"/>
      <c r="BR53" s="782"/>
      <c r="BS53" s="782"/>
    </row>
    <row r="54" spans="1:71" s="786" customFormat="1" ht="42" customHeight="1">
      <c r="A54" s="816"/>
      <c r="B54" s="785"/>
      <c r="C54" s="785"/>
      <c r="D54" s="817"/>
      <c r="E54" s="817"/>
      <c r="F54" s="785"/>
      <c r="G54" s="818"/>
      <c r="H54" s="818"/>
      <c r="I54" s="818"/>
      <c r="J54" s="818"/>
      <c r="K54" s="818"/>
      <c r="L54" s="819"/>
      <c r="M54" s="820"/>
      <c r="N54" s="820"/>
      <c r="O54" s="819"/>
      <c r="P54" s="199"/>
      <c r="Q54" s="199"/>
      <c r="R54" s="199"/>
      <c r="S54" s="199"/>
      <c r="T54" s="843"/>
      <c r="U54" s="844"/>
      <c r="V54" s="3287"/>
      <c r="W54" s="828"/>
      <c r="X54" s="829"/>
      <c r="Y54" s="830"/>
      <c r="Z54" s="830"/>
      <c r="AA54" s="830"/>
      <c r="AB54" s="3483"/>
      <c r="AC54" s="3482"/>
      <c r="AD54" s="3482"/>
      <c r="AE54" s="3483"/>
      <c r="AF54" s="3482"/>
      <c r="AG54" s="3482"/>
      <c r="AH54" s="3483"/>
      <c r="AI54" s="3482"/>
      <c r="AJ54" s="3482"/>
      <c r="AK54" s="3482"/>
      <c r="AL54" s="3482"/>
      <c r="AM54" s="3482"/>
      <c r="AN54" s="835"/>
      <c r="AO54" s="835"/>
      <c r="AP54" s="831"/>
      <c r="AQ54" s="831"/>
      <c r="AR54" s="831"/>
      <c r="AS54" s="831"/>
      <c r="AT54" s="830"/>
      <c r="AU54" s="833"/>
      <c r="AV54" s="833"/>
      <c r="AW54" s="833"/>
      <c r="AX54" s="830"/>
      <c r="AY54" s="833"/>
      <c r="AZ54" s="830"/>
      <c r="BA54" s="830"/>
      <c r="BB54" s="833"/>
      <c r="BC54" s="833"/>
      <c r="BD54" s="830"/>
      <c r="BE54" s="830"/>
      <c r="BF54" s="830"/>
      <c r="BG54" s="830"/>
      <c r="BH54" s="830"/>
      <c r="BI54" s="833"/>
      <c r="BJ54" s="833"/>
      <c r="BK54" s="830"/>
      <c r="BL54" s="830"/>
      <c r="BM54" s="830"/>
      <c r="BN54" s="830"/>
      <c r="BO54" s="830"/>
      <c r="BP54" s="3742"/>
      <c r="BQ54" s="782"/>
      <c r="BR54" s="841"/>
      <c r="BS54" s="841"/>
    </row>
    <row r="55" spans="1:71" s="786" customFormat="1" ht="42" customHeight="1">
      <c r="A55" s="816"/>
      <c r="B55" s="785"/>
      <c r="C55" s="785"/>
      <c r="D55" s="817"/>
      <c r="E55" s="817"/>
      <c r="F55" s="785"/>
      <c r="G55" s="818"/>
      <c r="H55" s="818"/>
      <c r="I55" s="818"/>
      <c r="J55" s="818"/>
      <c r="K55" s="818"/>
      <c r="L55" s="819"/>
      <c r="M55" s="820"/>
      <c r="N55" s="820"/>
      <c r="O55" s="819"/>
      <c r="P55" s="199"/>
      <c r="Q55" s="199"/>
      <c r="R55" s="852" t="s">
        <v>2436</v>
      </c>
      <c r="S55" s="199"/>
      <c r="T55" s="846"/>
      <c r="U55" s="844" t="s">
        <v>2136</v>
      </c>
      <c r="V55" s="3287"/>
      <c r="W55" s="828"/>
      <c r="X55" s="829"/>
      <c r="Y55" s="830"/>
      <c r="Z55" s="830"/>
      <c r="AA55" s="830"/>
      <c r="AB55" s="3483"/>
      <c r="AC55" s="3482"/>
      <c r="AD55" s="3482"/>
      <c r="AE55" s="3483"/>
      <c r="AF55" s="3482"/>
      <c r="AG55" s="3482"/>
      <c r="AH55" s="3483"/>
      <c r="AI55" s="3482"/>
      <c r="AJ55" s="3482"/>
      <c r="AK55" s="3482"/>
      <c r="AL55" s="3482"/>
      <c r="AM55" s="3482"/>
      <c r="AN55" s="835"/>
      <c r="AO55" s="835"/>
      <c r="AP55" s="831"/>
      <c r="AQ55" s="831"/>
      <c r="AR55" s="831"/>
      <c r="AS55" s="831"/>
      <c r="AT55" s="830"/>
      <c r="AU55" s="833"/>
      <c r="AV55" s="833"/>
      <c r="AW55" s="833"/>
      <c r="AX55" s="830"/>
      <c r="AY55" s="833"/>
      <c r="AZ55" s="830"/>
      <c r="BA55" s="830"/>
      <c r="BB55" s="833"/>
      <c r="BC55" s="833"/>
      <c r="BD55" s="830"/>
      <c r="BE55" s="830"/>
      <c r="BF55" s="830"/>
      <c r="BG55" s="830"/>
      <c r="BH55" s="830"/>
      <c r="BI55" s="833"/>
      <c r="BJ55" s="833"/>
      <c r="BK55" s="830"/>
      <c r="BL55" s="830"/>
      <c r="BM55" s="830"/>
      <c r="BN55" s="830"/>
      <c r="BO55" s="830"/>
      <c r="BP55" s="3742"/>
      <c r="BQ55" s="782"/>
      <c r="BR55" s="841"/>
      <c r="BS55" s="841"/>
    </row>
    <row r="56" spans="1:71" s="786" customFormat="1" ht="20.5" customHeight="1">
      <c r="A56" s="816"/>
      <c r="B56" s="197"/>
      <c r="C56" s="197"/>
      <c r="D56" s="2935"/>
      <c r="E56" s="2935"/>
      <c r="F56" s="197"/>
      <c r="G56" s="842"/>
      <c r="H56" s="842"/>
      <c r="I56" s="842"/>
      <c r="J56" s="842"/>
      <c r="K56" s="842"/>
      <c r="L56" s="198"/>
      <c r="M56" s="199"/>
      <c r="N56" s="199"/>
      <c r="O56" s="198"/>
      <c r="P56" s="199"/>
      <c r="Q56" s="199"/>
      <c r="R56" s="852" t="s">
        <v>2438</v>
      </c>
      <c r="S56" s="199"/>
      <c r="T56" s="846"/>
      <c r="U56" s="844" t="s">
        <v>2440</v>
      </c>
      <c r="V56" s="3287"/>
      <c r="W56" s="202"/>
      <c r="X56" s="200"/>
      <c r="Y56" s="848"/>
      <c r="Z56" s="848"/>
      <c r="AA56" s="848"/>
      <c r="AB56" s="3485"/>
      <c r="AC56" s="3288"/>
      <c r="AD56" s="3288"/>
      <c r="AE56" s="3485"/>
      <c r="AF56" s="3288"/>
      <c r="AG56" s="3288"/>
      <c r="AH56" s="3485"/>
      <c r="AI56" s="3288"/>
      <c r="AJ56" s="3288"/>
      <c r="AK56" s="3288"/>
      <c r="AL56" s="3288"/>
      <c r="AM56" s="3288"/>
      <c r="AN56" s="849"/>
      <c r="AO56" s="849"/>
      <c r="AP56" s="850"/>
      <c r="AQ56" s="850"/>
      <c r="AR56" s="850"/>
      <c r="AS56" s="850"/>
      <c r="AT56" s="848"/>
      <c r="AU56" s="201"/>
      <c r="AV56" s="201"/>
      <c r="AW56" s="201"/>
      <c r="AX56" s="848"/>
      <c r="AY56" s="201"/>
      <c r="AZ56" s="848"/>
      <c r="BA56" s="848"/>
      <c r="BB56" s="201"/>
      <c r="BC56" s="201"/>
      <c r="BD56" s="848"/>
      <c r="BE56" s="848"/>
      <c r="BF56" s="848"/>
      <c r="BG56" s="848"/>
      <c r="BH56" s="848"/>
      <c r="BI56" s="201"/>
      <c r="BJ56" s="201"/>
      <c r="BK56" s="848"/>
      <c r="BL56" s="848"/>
      <c r="BM56" s="848"/>
      <c r="BN56" s="848"/>
      <c r="BO56" s="848"/>
      <c r="BP56" s="3745"/>
      <c r="BQ56" s="847"/>
      <c r="BR56" s="851"/>
      <c r="BS56" s="851"/>
    </row>
    <row r="57" spans="1:71" s="786" customFormat="1" ht="20.5" customHeight="1">
      <c r="A57" s="816"/>
      <c r="B57" s="197"/>
      <c r="C57" s="197"/>
      <c r="D57" s="850"/>
      <c r="E57" s="850"/>
      <c r="F57" s="197"/>
      <c r="G57" s="842"/>
      <c r="H57" s="842"/>
      <c r="I57" s="842"/>
      <c r="J57" s="842"/>
      <c r="K57" s="842"/>
      <c r="L57" s="198"/>
      <c r="M57" s="852">
        <f>COUNTIF($M$5:$M$43,"宿泊施設")</f>
        <v>0</v>
      </c>
      <c r="N57" s="852">
        <f>COUNTIF($M$5:$M$43,"宿泊施設")</f>
        <v>0</v>
      </c>
      <c r="O57" s="853">
        <f>COUNTIF($M$5:$M$43,"宿泊施設")</f>
        <v>0</v>
      </c>
      <c r="P57" s="199"/>
      <c r="Q57" s="199"/>
      <c r="R57" s="199"/>
      <c r="S57" s="199"/>
      <c r="T57" s="846"/>
      <c r="U57" s="844" t="s">
        <v>2498</v>
      </c>
      <c r="V57" s="3287"/>
      <c r="W57" s="202"/>
      <c r="X57" s="200"/>
      <c r="Y57" s="848"/>
      <c r="Z57" s="848"/>
      <c r="AA57" s="848"/>
      <c r="AB57" s="3485"/>
      <c r="AC57" s="3288"/>
      <c r="AD57" s="3288"/>
      <c r="AE57" s="3485"/>
      <c r="AF57" s="3288"/>
      <c r="AG57" s="3288"/>
      <c r="AH57" s="3485"/>
      <c r="AI57" s="3288"/>
      <c r="AJ57" s="3288"/>
      <c r="AK57" s="3288"/>
      <c r="AL57" s="3288"/>
      <c r="AM57" s="3288"/>
      <c r="AN57" s="849"/>
      <c r="AO57" s="849"/>
      <c r="AP57" s="850"/>
      <c r="AQ57" s="850"/>
      <c r="AR57" s="850"/>
      <c r="AS57" s="850"/>
      <c r="AT57" s="848"/>
      <c r="AU57" s="201"/>
      <c r="AV57" s="201"/>
      <c r="AW57" s="201"/>
      <c r="AX57" s="848"/>
      <c r="AY57" s="201"/>
      <c r="AZ57" s="848"/>
      <c r="BA57" s="848"/>
      <c r="BB57" s="201"/>
      <c r="BC57" s="201"/>
      <c r="BD57" s="848"/>
      <c r="BE57" s="848"/>
      <c r="BF57" s="848"/>
      <c r="BG57" s="848"/>
      <c r="BH57" s="848"/>
      <c r="BI57" s="201"/>
      <c r="BJ57" s="201"/>
      <c r="BK57" s="848"/>
      <c r="BL57" s="848"/>
      <c r="BM57" s="848"/>
      <c r="BN57" s="848"/>
      <c r="BO57" s="848"/>
      <c r="BP57" s="3745"/>
      <c r="BQ57" s="847"/>
      <c r="BR57" s="851"/>
      <c r="BS57" s="851"/>
    </row>
    <row r="58" spans="1:71" s="786" customFormat="1" ht="20.5" customHeight="1">
      <c r="A58" s="816"/>
      <c r="B58" s="197"/>
      <c r="C58" s="197"/>
      <c r="D58" s="850"/>
      <c r="E58" s="850"/>
      <c r="F58" s="197"/>
      <c r="G58" s="842"/>
      <c r="H58" s="842"/>
      <c r="I58" s="842"/>
      <c r="J58" s="842"/>
      <c r="K58" s="842"/>
      <c r="L58" s="198"/>
      <c r="M58" s="852">
        <f>COUNTIF($M$5:$M$43,"ケータリング")</f>
        <v>0</v>
      </c>
      <c r="N58" s="852">
        <f>COUNTIF($M$5:$M$43,"ケータリング")</f>
        <v>0</v>
      </c>
      <c r="O58" s="853">
        <f>COUNTIF($M$5:$M$43,"ケータリング")</f>
        <v>0</v>
      </c>
      <c r="P58" s="199"/>
      <c r="Q58" s="199"/>
      <c r="R58" s="199"/>
      <c r="S58" s="199"/>
      <c r="T58" s="197"/>
      <c r="U58" s="844"/>
      <c r="V58" s="3287"/>
      <c r="W58" s="202"/>
      <c r="X58" s="200"/>
      <c r="Y58" s="848"/>
      <c r="Z58" s="848"/>
      <c r="AA58" s="848"/>
      <c r="AB58" s="3485"/>
      <c r="AC58" s="3288"/>
      <c r="AD58" s="3288"/>
      <c r="AE58" s="3485"/>
      <c r="AF58" s="3288"/>
      <c r="AG58" s="3288"/>
      <c r="AH58" s="3485"/>
      <c r="AI58" s="3288"/>
      <c r="AJ58" s="3288"/>
      <c r="AK58" s="3288"/>
      <c r="AL58" s="3288"/>
      <c r="AM58" s="3288"/>
      <c r="AN58" s="849"/>
      <c r="AO58" s="849"/>
      <c r="AP58" s="850"/>
      <c r="AQ58" s="850"/>
      <c r="AR58" s="850"/>
      <c r="AS58" s="850"/>
      <c r="AT58" s="848"/>
      <c r="AU58" s="201"/>
      <c r="AV58" s="201"/>
      <c r="AW58" s="201"/>
      <c r="AX58" s="848"/>
      <c r="AY58" s="201"/>
      <c r="AZ58" s="848"/>
      <c r="BA58" s="848"/>
      <c r="BB58" s="201"/>
      <c r="BC58" s="201"/>
      <c r="BD58" s="848"/>
      <c r="BE58" s="848"/>
      <c r="BF58" s="848"/>
      <c r="BG58" s="848"/>
      <c r="BH58" s="848"/>
      <c r="BI58" s="201"/>
      <c r="BJ58" s="201"/>
      <c r="BK58" s="848"/>
      <c r="BL58" s="848"/>
      <c r="BM58" s="848"/>
      <c r="BN58" s="848"/>
      <c r="BO58" s="848"/>
      <c r="BP58" s="3745"/>
      <c r="BQ58" s="847"/>
      <c r="BR58" s="851"/>
      <c r="BS58" s="851"/>
    </row>
    <row r="59" spans="1:71" s="786" customFormat="1" ht="20.5" customHeight="1">
      <c r="A59" s="816"/>
      <c r="B59" s="197"/>
      <c r="C59" s="197"/>
      <c r="D59" s="850"/>
      <c r="E59" s="850"/>
      <c r="F59" s="197"/>
      <c r="G59" s="842"/>
      <c r="H59" s="842"/>
      <c r="I59" s="842"/>
      <c r="J59" s="842"/>
      <c r="K59" s="842"/>
      <c r="L59" s="198"/>
      <c r="M59" s="199"/>
      <c r="N59" s="199"/>
      <c r="O59" s="198"/>
      <c r="P59" s="199"/>
      <c r="Q59" s="199"/>
      <c r="R59" s="199"/>
      <c r="S59" s="199"/>
      <c r="T59" s="197"/>
      <c r="U59" s="844"/>
      <c r="V59" s="3287"/>
      <c r="W59" s="202"/>
      <c r="X59" s="200"/>
      <c r="Y59" s="848"/>
      <c r="Z59" s="848"/>
      <c r="AA59" s="848"/>
      <c r="AB59" s="3485"/>
      <c r="AC59" s="3288"/>
      <c r="AD59" s="3288"/>
      <c r="AE59" s="3485"/>
      <c r="AF59" s="3288"/>
      <c r="AG59" s="3288"/>
      <c r="AH59" s="3485"/>
      <c r="AI59" s="3288"/>
      <c r="AJ59" s="3288"/>
      <c r="AK59" s="3288"/>
      <c r="AL59" s="3288"/>
      <c r="AM59" s="3288"/>
      <c r="AN59" s="849"/>
      <c r="AO59" s="849"/>
      <c r="AP59" s="850"/>
      <c r="AQ59" s="850"/>
      <c r="AR59" s="850"/>
      <c r="AS59" s="850"/>
      <c r="AT59" s="848"/>
      <c r="AU59" s="201"/>
      <c r="AV59" s="201"/>
      <c r="AW59" s="201"/>
      <c r="AX59" s="848"/>
      <c r="AY59" s="201"/>
      <c r="AZ59" s="848"/>
      <c r="BA59" s="848"/>
      <c r="BB59" s="201"/>
      <c r="BC59" s="201"/>
      <c r="BD59" s="848"/>
      <c r="BE59" s="848"/>
      <c r="BF59" s="848"/>
      <c r="BG59" s="848"/>
      <c r="BH59" s="848"/>
      <c r="BI59" s="201"/>
      <c r="BJ59" s="201"/>
      <c r="BK59" s="848"/>
      <c r="BL59" s="848"/>
      <c r="BM59" s="848"/>
      <c r="BN59" s="848"/>
      <c r="BO59" s="848"/>
      <c r="BP59" s="3745"/>
      <c r="BQ59" s="847"/>
      <c r="BR59" s="851"/>
      <c r="BS59" s="851"/>
    </row>
    <row r="72" spans="1:71" s="842" customFormat="1">
      <c r="A72" s="197"/>
      <c r="B72" s="197"/>
      <c r="C72" s="197"/>
      <c r="D72" s="854"/>
      <c r="E72" s="854"/>
      <c r="F72" s="855"/>
      <c r="L72" s="198"/>
      <c r="M72" s="199"/>
      <c r="N72" s="199"/>
      <c r="O72" s="198"/>
      <c r="P72" s="199"/>
      <c r="Q72" s="199"/>
      <c r="R72" s="199"/>
      <c r="S72" s="199"/>
      <c r="T72" s="197"/>
      <c r="U72" s="844"/>
      <c r="V72" s="3287"/>
      <c r="W72" s="202"/>
      <c r="X72" s="200"/>
      <c r="Y72" s="858"/>
      <c r="Z72" s="858"/>
      <c r="AA72" s="858"/>
      <c r="AB72" s="3485"/>
      <c r="AC72" s="3288"/>
      <c r="AD72" s="3288"/>
      <c r="AE72" s="3485"/>
      <c r="AF72" s="3288"/>
      <c r="AG72" s="3288"/>
      <c r="AH72" s="3485"/>
      <c r="AI72" s="3288"/>
      <c r="AJ72" s="3288"/>
      <c r="AK72" s="3288"/>
      <c r="AL72" s="3288"/>
      <c r="AM72" s="3288"/>
      <c r="AN72" s="859"/>
      <c r="AO72" s="859"/>
      <c r="AP72" s="854"/>
      <c r="AQ72" s="854"/>
      <c r="AR72" s="854"/>
      <c r="AS72" s="854"/>
      <c r="AT72" s="858"/>
      <c r="AU72" s="861"/>
      <c r="AV72" s="861"/>
      <c r="AW72" s="861"/>
      <c r="AX72" s="858"/>
      <c r="AY72" s="861"/>
      <c r="AZ72" s="858"/>
      <c r="BA72" s="858"/>
      <c r="BB72" s="861"/>
      <c r="BC72" s="861"/>
      <c r="BD72" s="858"/>
      <c r="BE72" s="858"/>
      <c r="BF72" s="858"/>
      <c r="BG72" s="858"/>
      <c r="BH72" s="858"/>
      <c r="BI72" s="861"/>
      <c r="BJ72" s="861"/>
      <c r="BK72" s="858"/>
      <c r="BL72" s="858"/>
      <c r="BM72" s="858"/>
      <c r="BN72" s="858"/>
      <c r="BO72" s="858"/>
      <c r="BP72" s="3746"/>
      <c r="BQ72" s="200"/>
      <c r="BR72" s="862"/>
      <c r="BS72" s="862"/>
    </row>
    <row r="76" spans="1:71" s="842" customFormat="1">
      <c r="A76" s="197"/>
      <c r="B76" s="197"/>
      <c r="C76" s="197"/>
      <c r="D76" s="854"/>
      <c r="E76" s="854"/>
      <c r="F76" s="855"/>
      <c r="L76" s="198"/>
      <c r="M76" s="199"/>
      <c r="N76" s="199"/>
      <c r="O76" s="198"/>
      <c r="P76" s="199"/>
      <c r="Q76" s="199"/>
      <c r="R76" s="199"/>
      <c r="S76" s="199"/>
      <c r="T76" s="197"/>
      <c r="U76" s="844"/>
      <c r="V76" s="3287"/>
      <c r="W76" s="202"/>
      <c r="X76" s="200"/>
      <c r="Y76" s="858"/>
      <c r="Z76" s="858"/>
      <c r="AA76" s="858"/>
      <c r="AB76" s="3485"/>
      <c r="AC76" s="3288"/>
      <c r="AD76" s="3288"/>
      <c r="AE76" s="3485"/>
      <c r="AF76" s="3288"/>
      <c r="AG76" s="3288"/>
      <c r="AH76" s="3485"/>
      <c r="AI76" s="3288"/>
      <c r="AJ76" s="3288"/>
      <c r="AK76" s="3288"/>
      <c r="AL76" s="3288"/>
      <c r="AM76" s="3288"/>
      <c r="AN76" s="859"/>
      <c r="AO76" s="859"/>
      <c r="AP76" s="854"/>
      <c r="AQ76" s="854"/>
      <c r="AR76" s="854"/>
      <c r="AS76" s="854"/>
      <c r="AT76" s="858"/>
      <c r="AU76" s="861"/>
      <c r="AV76" s="861"/>
      <c r="AW76" s="861"/>
      <c r="AX76" s="858"/>
      <c r="AY76" s="861"/>
      <c r="AZ76" s="858"/>
      <c r="BA76" s="858"/>
      <c r="BB76" s="861"/>
      <c r="BC76" s="861"/>
      <c r="BD76" s="858"/>
      <c r="BE76" s="858"/>
      <c r="BF76" s="858"/>
      <c r="BG76" s="858"/>
      <c r="BH76" s="858"/>
      <c r="BI76" s="861"/>
      <c r="BJ76" s="861"/>
      <c r="BK76" s="858"/>
      <c r="BL76" s="858"/>
      <c r="BM76" s="858"/>
      <c r="BN76" s="858"/>
      <c r="BO76" s="858"/>
      <c r="BP76" s="3746"/>
      <c r="BQ76" s="200"/>
      <c r="BR76" s="862"/>
      <c r="BS76" s="862"/>
    </row>
    <row r="86" spans="1:71" s="842" customFormat="1">
      <c r="A86" s="197"/>
      <c r="B86" s="197"/>
      <c r="C86" s="197"/>
      <c r="D86" s="854"/>
      <c r="E86" s="854"/>
      <c r="F86" s="855"/>
      <c r="L86" s="198"/>
      <c r="M86" s="199"/>
      <c r="N86" s="199"/>
      <c r="O86" s="198"/>
      <c r="P86" s="199"/>
      <c r="Q86" s="199"/>
      <c r="R86" s="199"/>
      <c r="S86" s="199"/>
      <c r="T86" s="197"/>
      <c r="U86" s="844"/>
      <c r="V86" s="3287"/>
      <c r="W86" s="202"/>
      <c r="X86" s="200"/>
      <c r="Y86" s="858"/>
      <c r="Z86" s="858"/>
      <c r="AA86" s="858"/>
      <c r="AB86" s="3485"/>
      <c r="AC86" s="3288"/>
      <c r="AD86" s="3288"/>
      <c r="AE86" s="3485"/>
      <c r="AF86" s="3288"/>
      <c r="AG86" s="3288"/>
      <c r="AH86" s="3485"/>
      <c r="AI86" s="3288"/>
      <c r="AJ86" s="3288"/>
      <c r="AK86" s="3288"/>
      <c r="AL86" s="3288"/>
      <c r="AM86" s="3288"/>
      <c r="AN86" s="859"/>
      <c r="AO86" s="859"/>
      <c r="AP86" s="854"/>
      <c r="AQ86" s="854"/>
      <c r="AR86" s="854"/>
      <c r="AS86" s="854"/>
      <c r="AT86" s="858"/>
      <c r="AU86" s="861"/>
      <c r="AV86" s="861"/>
      <c r="AW86" s="861"/>
      <c r="AX86" s="858"/>
      <c r="AY86" s="861"/>
      <c r="AZ86" s="858"/>
      <c r="BA86" s="858"/>
      <c r="BB86" s="861"/>
      <c r="BC86" s="861"/>
      <c r="BD86" s="858"/>
      <c r="BE86" s="858"/>
      <c r="BF86" s="858"/>
      <c r="BG86" s="858"/>
      <c r="BH86" s="858"/>
      <c r="BI86" s="861"/>
      <c r="BJ86" s="861"/>
      <c r="BK86" s="858"/>
      <c r="BL86" s="858"/>
      <c r="BM86" s="858"/>
      <c r="BN86" s="858"/>
      <c r="BO86" s="858"/>
      <c r="BP86" s="3746"/>
      <c r="BQ86" s="200"/>
      <c r="BR86" s="862"/>
      <c r="BS86" s="862"/>
    </row>
    <row r="90" spans="1:71" s="842" customFormat="1">
      <c r="A90" s="197"/>
      <c r="B90" s="197"/>
      <c r="C90" s="197"/>
      <c r="D90" s="854"/>
      <c r="E90" s="854"/>
      <c r="F90" s="855"/>
      <c r="L90" s="198"/>
      <c r="M90" s="199"/>
      <c r="N90" s="199"/>
      <c r="O90" s="198"/>
      <c r="P90" s="199"/>
      <c r="Q90" s="199"/>
      <c r="R90" s="199"/>
      <c r="S90" s="199"/>
      <c r="T90" s="197"/>
      <c r="U90" s="844"/>
      <c r="V90" s="3287"/>
      <c r="W90" s="202"/>
      <c r="X90" s="200"/>
      <c r="Y90" s="858"/>
      <c r="Z90" s="858"/>
      <c r="AA90" s="858"/>
      <c r="AB90" s="3485"/>
      <c r="AC90" s="3288"/>
      <c r="AD90" s="3288"/>
      <c r="AE90" s="3485"/>
      <c r="AF90" s="3288"/>
      <c r="AG90" s="3288"/>
      <c r="AH90" s="3485"/>
      <c r="AI90" s="3288"/>
      <c r="AJ90" s="3288"/>
      <c r="AK90" s="3288"/>
      <c r="AL90" s="3288"/>
      <c r="AM90" s="3288"/>
      <c r="AN90" s="859"/>
      <c r="AO90" s="859"/>
      <c r="AP90" s="854"/>
      <c r="AQ90" s="854"/>
      <c r="AR90" s="854"/>
      <c r="AS90" s="854"/>
      <c r="AT90" s="858"/>
      <c r="AU90" s="861"/>
      <c r="AV90" s="861"/>
      <c r="AW90" s="861"/>
      <c r="AX90" s="858"/>
      <c r="AY90" s="861"/>
      <c r="AZ90" s="858"/>
      <c r="BA90" s="858"/>
      <c r="BB90" s="861"/>
      <c r="BC90" s="861"/>
      <c r="BD90" s="858"/>
      <c r="BE90" s="858"/>
      <c r="BF90" s="858"/>
      <c r="BG90" s="858"/>
      <c r="BH90" s="858"/>
      <c r="BI90" s="861"/>
      <c r="BJ90" s="861"/>
      <c r="BK90" s="858"/>
      <c r="BL90" s="858"/>
      <c r="BM90" s="858"/>
      <c r="BN90" s="858"/>
      <c r="BO90" s="858"/>
      <c r="BP90" s="3746"/>
      <c r="BQ90" s="200"/>
      <c r="BR90" s="862"/>
      <c r="BS90" s="862"/>
    </row>
  </sheetData>
  <sheetProtection formatColumns="0"/>
  <autoFilter ref="A4:BS47" xr:uid="{7DDDC6CA-7526-44C0-AC79-2272EB3339DB}"/>
  <mergeCells count="36">
    <mergeCell ref="A3:B3"/>
    <mergeCell ref="C3:C4"/>
    <mergeCell ref="D3:D4"/>
    <mergeCell ref="G3:H3"/>
    <mergeCell ref="I3:J3"/>
    <mergeCell ref="AC1:AE1"/>
    <mergeCell ref="BL1:BN1"/>
    <mergeCell ref="G2:H2"/>
    <mergeCell ref="I2:J2"/>
    <mergeCell ref="AE2:AJ2"/>
    <mergeCell ref="AC3:AD3"/>
    <mergeCell ref="AE3:AG3"/>
    <mergeCell ref="AH3:AJ3"/>
    <mergeCell ref="AK3:AK4"/>
    <mergeCell ref="K3:K4"/>
    <mergeCell ref="L3:L4"/>
    <mergeCell ref="M3:M4"/>
    <mergeCell ref="N3:N4"/>
    <mergeCell ref="O3:O4"/>
    <mergeCell ref="P3:R3"/>
    <mergeCell ref="W49:AH49"/>
    <mergeCell ref="BR3:BR4"/>
    <mergeCell ref="BS3:BS4"/>
    <mergeCell ref="I44:O47"/>
    <mergeCell ref="P44:S44"/>
    <mergeCell ref="P45:S45"/>
    <mergeCell ref="P46:S46"/>
    <mergeCell ref="P47:S47"/>
    <mergeCell ref="AL3:AL4"/>
    <mergeCell ref="AM3:AM4"/>
    <mergeCell ref="AN3:AN4"/>
    <mergeCell ref="AO3:AO4"/>
    <mergeCell ref="AP3:AP4"/>
    <mergeCell ref="AS3:AS4"/>
    <mergeCell ref="U3:U4"/>
    <mergeCell ref="V3:Y3"/>
  </mergeCells>
  <phoneticPr fontId="2"/>
  <conditionalFormatting sqref="B51">
    <cfRule type="duplicateValues" dxfId="895" priority="8"/>
  </conditionalFormatting>
  <conditionalFormatting sqref="C29:C32">
    <cfRule type="containsText" dxfId="894" priority="10" operator="containsText" text="NGホテル">
      <formula>NOT(ISERROR(SEARCH("NGホテル",C29)))</formula>
    </cfRule>
    <cfRule type="containsText" dxfId="893" priority="11" operator="containsText" text="追加">
      <formula>NOT(ISERROR(SEARCH("追加",C29)))</formula>
    </cfRule>
  </conditionalFormatting>
  <conditionalFormatting sqref="K5:K43">
    <cfRule type="expression" dxfId="892" priority="5">
      <formula>J5&lt;K5</formula>
    </cfRule>
  </conditionalFormatting>
  <conditionalFormatting sqref="M6:O6 M8:O8 M10:O10 M12:O12 M20:O20 M24:O24 M28:O28 M30:O30 M36:O36 M38:O38 M43:O43 M14:O14 M16:O16 M18:O18 M22:O22 M26:O26 M32:O32 M34:O34 M40:O40">
    <cfRule type="cellIs" dxfId="891" priority="3" operator="equal">
      <formula>"ケータリング"</formula>
    </cfRule>
    <cfRule type="expression" dxfId="890" priority="4">
      <formula>#REF!="ケータリング"</formula>
    </cfRule>
  </conditionalFormatting>
  <conditionalFormatting sqref="P30:R30 P32:R32">
    <cfRule type="containsText" dxfId="889" priority="13" operator="containsText" text="未調査">
      <formula>NOT(ISERROR(SEARCH("未調査",P30)))</formula>
    </cfRule>
    <cfRule type="containsText" dxfId="888" priority="17" operator="containsText" text="ケータリング">
      <formula>NOT(ISERROR(SEARCH("ケータリング",P30)))</formula>
    </cfRule>
  </conditionalFormatting>
  <conditionalFormatting sqref="P38:R38 P40:R40">
    <cfRule type="cellIs" dxfId="887" priority="2" operator="lessThan">
      <formula>0</formula>
    </cfRule>
  </conditionalFormatting>
  <conditionalFormatting sqref="P1:S2 P3 S3:S4">
    <cfRule type="cellIs" dxfId="886" priority="12" operator="lessThan">
      <formula>0</formula>
    </cfRule>
  </conditionalFormatting>
  <conditionalFormatting sqref="P48:S1048576">
    <cfRule type="cellIs" dxfId="885" priority="14" operator="lessThan">
      <formula>0</formula>
    </cfRule>
  </conditionalFormatting>
  <conditionalFormatting sqref="U1:U3 U44:U1048576">
    <cfRule type="containsText" dxfId="884" priority="9" operator="containsText" text="不可">
      <formula>NOT(ISERROR(SEARCH("不可",U1)))</formula>
    </cfRule>
  </conditionalFormatting>
  <conditionalFormatting sqref="AD5:AD43">
    <cfRule type="cellIs" dxfId="883" priority="1" operator="greaterThan">
      <formula>"45分"</formula>
    </cfRule>
  </conditionalFormatting>
  <conditionalFormatting sqref="V5:V43">
    <cfRule type="duplicateValues" dxfId="882" priority="195"/>
  </conditionalFormatting>
  <dataValidations count="2">
    <dataValidation showInputMessage="1" showErrorMessage="1" sqref="BQ30:BQ34 AC20:AJ20 AC28:AJ28 BQ35:BQ42 W30:AA30 W38:AM38 BQ5:BQ7 AC24:AJ24 W28:AA28 W15:BN15 BQ11:BQ27 AK28:AM29 W26:AA26 AC30:AM30 W23:AJ23 W5:AM6 W41:AN42 W35:BP35 W36:AM36 W43:AM43 W19:AJ19 W27:BP27 W37:AN37 W33:AN33 W9:BQ9 W8:AM8 W13:BN13 AP37:BP37 W7:BP7 BP39 W18:AM18 AN5:BP5 AT44:BP44 AP41:BP42 W29:AJ29 AN29:BQ29 W12:AM12 W14:AM14 W11:BP11 W16:AM16 W10:AM10 W22:AA22 BP17 W20:AA20 AC22:AJ22 W21:AJ21 W24:AA24 AC26:AJ26 W25:AJ25 AN25:BN25 AO30 W32:AA32 AC32:AM32 W31:BN31 AO32:AO33 W34:AA34 AC34:AM34 AP33:BN33 AO37:AO42 W40:AM40 W39:AN39 AP39:BN39 BP13 BP15 AN19:BP23 BP25 BP31 BP33 W17:BN17 AK19:AM26" xr:uid="{F8A37DA1-AA98-4746-88A6-8EAD47257FC2}"/>
    <dataValidation type="list" allowBlank="1" showInputMessage="1" showErrorMessage="1" sqref="V1:X1 X51 Y57:AA1048576 BQ44:BQ51 BR44:BS1048576 BN49:BP50 AN1:AO2 AH50:AH1048576 AB50:AB1048576 AE50:AE1048576 AN44:AS1048576 AC51:AD51 AE44:AE48 AH44:AH48 AF51:AG51 AF1:AM1 AI51:AM51 Y46:AB46 Y44:AB44 Y1:AB2 AT45:BM50 AT53:BQ1048576" xr:uid="{66A36560-7220-43B4-9228-B934EE786248}">
      <formula1>#REF!</formula1>
    </dataValidation>
  </dataValidations>
  <printOptions horizontalCentered="1"/>
  <pageMargins left="0.23622047244094491" right="0.23622047244094491" top="0.74803149606299213" bottom="0.74803149606299213" header="0.31496062992125984" footer="0.31496062992125984"/>
  <pageSetup paperSize="8" scale="20" pageOrder="overThenDown" orientation="landscape" r:id="rId1"/>
  <headerFooter>
    <oddFooter>&amp;C&amp;14&amp;P / &amp;N ページ</oddFooter>
  </headerFooter>
  <colBreaks count="1" manualBreakCount="1">
    <brk id="45" max="110" man="1"/>
  </colBreak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3840E-F223-453B-9FA6-E5B940A5A9C0}">
  <sheetPr codeName="Sheet298">
    <tabColor rgb="FFFFFF00"/>
    <pageSetUpPr fitToPage="1"/>
  </sheetPr>
  <dimension ref="B1:AA58"/>
  <sheetViews>
    <sheetView showGridLines="0" view="pageBreakPreview" topLeftCell="A10" zoomScale="40" zoomScaleNormal="55" zoomScaleSheetLayoutView="40" zoomScalePageLayoutView="85" workbookViewId="0">
      <selection activeCell="G6" sqref="G6:G35"/>
    </sheetView>
  </sheetViews>
  <sheetFormatPr defaultColWidth="9.54296875" defaultRowHeight="13.5"/>
  <cols>
    <col min="1" max="2" width="9.54296875" style="1217"/>
    <col min="3" max="3" width="4.1796875" style="1278" customWidth="1"/>
    <col min="4" max="4" width="4.1796875" style="1217" customWidth="1"/>
    <col min="5" max="5" width="11.26953125" style="1217" customWidth="1"/>
    <col min="6" max="6" width="8.7265625" style="1278" customWidth="1"/>
    <col min="7" max="7" width="13.7265625" style="1217" customWidth="1"/>
    <col min="8" max="9" width="10.453125" style="1278" customWidth="1"/>
    <col min="10" max="12" width="19.453125" style="1278" customWidth="1"/>
    <col min="13" max="13" width="52.453125" style="1278" bestFit="1" customWidth="1"/>
    <col min="14" max="16" width="10.7265625" style="1278" customWidth="1"/>
    <col min="17" max="17" width="21.26953125" style="1217" customWidth="1"/>
    <col min="18" max="18" width="34.1796875" style="1217" bestFit="1" customWidth="1"/>
    <col min="19" max="20" width="12.1796875" style="1217" customWidth="1"/>
    <col min="21" max="21" width="22.7265625" style="1278" customWidth="1"/>
    <col min="22" max="22" width="12.54296875" style="1217" customWidth="1"/>
    <col min="23" max="16384" width="9.54296875" style="1217"/>
  </cols>
  <sheetData>
    <row r="1" spans="2:27" ht="41.5" hidden="1" customHeight="1">
      <c r="B1" s="1281"/>
      <c r="C1" s="3809" t="s">
        <v>4315</v>
      </c>
      <c r="D1" s="6717" t="s">
        <v>4894</v>
      </c>
      <c r="E1" s="6717"/>
      <c r="F1" s="1183" t="s">
        <v>4573</v>
      </c>
      <c r="G1" s="1184" t="s">
        <v>4575</v>
      </c>
      <c r="H1" s="6717" t="s">
        <v>3145</v>
      </c>
      <c r="I1" s="6718"/>
      <c r="J1" s="1183" t="s">
        <v>3144</v>
      </c>
      <c r="K1" s="1183"/>
      <c r="L1" s="1183"/>
      <c r="M1" s="1184" t="s">
        <v>4562</v>
      </c>
      <c r="N1" s="6718" t="s">
        <v>4895</v>
      </c>
      <c r="O1" s="6718"/>
      <c r="P1" s="6718"/>
      <c r="Q1" s="6718"/>
      <c r="R1" s="6718"/>
      <c r="S1" s="6718"/>
      <c r="T1" s="6718"/>
    </row>
    <row r="2" spans="2:27" s="1281" customFormat="1" ht="73" customHeight="1">
      <c r="B2" s="1217"/>
      <c r="C2" s="1174" t="s">
        <v>4896</v>
      </c>
      <c r="D2" s="1187"/>
      <c r="E2" s="1185"/>
      <c r="F2" s="1185"/>
      <c r="G2" s="1185"/>
      <c r="H2" s="1185"/>
      <c r="I2" s="1185"/>
      <c r="J2" s="1185"/>
      <c r="K2" s="1185"/>
      <c r="L2" s="1185"/>
      <c r="M2" s="1185"/>
      <c r="O2" s="1185"/>
      <c r="P2" s="1185"/>
      <c r="Q2" s="1187"/>
      <c r="R2" s="1185"/>
      <c r="S2" s="1187"/>
      <c r="T2" s="1187"/>
      <c r="U2" s="3810">
        <v>45818</v>
      </c>
    </row>
    <row r="3" spans="2:27" s="1281" customFormat="1" ht="51" customHeight="1">
      <c r="C3" s="6719" t="s">
        <v>4897</v>
      </c>
      <c r="D3" s="6721" t="s">
        <v>4898</v>
      </c>
      <c r="E3" s="6722"/>
      <c r="F3" s="6725" t="s">
        <v>4899</v>
      </c>
      <c r="G3" s="6538" t="s">
        <v>4575</v>
      </c>
      <c r="H3" s="6721" t="s">
        <v>4900</v>
      </c>
      <c r="I3" s="6722"/>
      <c r="J3" s="6725" t="s">
        <v>4901</v>
      </c>
      <c r="K3" s="1354"/>
      <c r="L3" s="1354"/>
      <c r="M3" s="6717" t="s">
        <v>4562</v>
      </c>
      <c r="N3" s="6731" t="s">
        <v>4895</v>
      </c>
      <c r="O3" s="6732"/>
      <c r="P3" s="6732"/>
      <c r="Q3" s="6732"/>
      <c r="R3" s="6732"/>
      <c r="S3" s="6732"/>
      <c r="T3" s="6732"/>
      <c r="U3" s="6733" t="s">
        <v>4902</v>
      </c>
    </row>
    <row r="4" spans="2:27" s="1281" customFormat="1" ht="73" customHeight="1">
      <c r="C4" s="6720"/>
      <c r="D4" s="6723"/>
      <c r="E4" s="6724"/>
      <c r="F4" s="6726"/>
      <c r="G4" s="6727"/>
      <c r="H4" s="6728"/>
      <c r="I4" s="6729"/>
      <c r="J4" s="6727"/>
      <c r="K4" s="3811" t="s">
        <v>2551</v>
      </c>
      <c r="L4" s="3811"/>
      <c r="M4" s="6718"/>
      <c r="N4" s="6717" t="s">
        <v>4320</v>
      </c>
      <c r="O4" s="6718" t="s">
        <v>2905</v>
      </c>
      <c r="P4" s="6718"/>
      <c r="Q4" s="6717" t="s">
        <v>4903</v>
      </c>
      <c r="R4" s="6717" t="s">
        <v>2895</v>
      </c>
      <c r="S4" s="6737" t="s">
        <v>2557</v>
      </c>
      <c r="T4" s="6738"/>
      <c r="U4" s="6734"/>
    </row>
    <row r="5" spans="2:27" ht="45.65" customHeight="1" thickBot="1">
      <c r="B5" s="1281" t="s">
        <v>4904</v>
      </c>
      <c r="C5" s="6720"/>
      <c r="D5" s="6723"/>
      <c r="E5" s="6724"/>
      <c r="F5" s="6726"/>
      <c r="G5" s="6727"/>
      <c r="H5" s="3812" t="s">
        <v>3148</v>
      </c>
      <c r="I5" s="3813" t="s">
        <v>3149</v>
      </c>
      <c r="J5" s="6727"/>
      <c r="K5" s="3811"/>
      <c r="L5" s="3811"/>
      <c r="M5" s="6730"/>
      <c r="N5" s="6736"/>
      <c r="O5" s="3815" t="s">
        <v>4905</v>
      </c>
      <c r="P5" s="3816" t="s">
        <v>4564</v>
      </c>
      <c r="Q5" s="6736"/>
      <c r="R5" s="6736"/>
      <c r="S5" s="3814" t="s">
        <v>4906</v>
      </c>
      <c r="T5" s="3814" t="s">
        <v>4907</v>
      </c>
      <c r="U5" s="6735"/>
      <c r="W5" s="1217" t="s">
        <v>2928</v>
      </c>
    </row>
    <row r="6" spans="2:27" ht="57.65" customHeight="1" thickTop="1">
      <c r="B6" s="3817">
        <v>94</v>
      </c>
      <c r="C6" s="6743" t="s">
        <v>3103</v>
      </c>
      <c r="D6" s="6746" t="s">
        <v>2689</v>
      </c>
      <c r="E6" s="6747"/>
      <c r="F6" s="6752" t="s">
        <v>4908</v>
      </c>
      <c r="G6" s="6755" t="s">
        <v>4909</v>
      </c>
      <c r="H6" s="6758" t="s">
        <v>4910</v>
      </c>
      <c r="I6" s="6761" t="s">
        <v>2815</v>
      </c>
      <c r="J6" s="3818">
        <v>230</v>
      </c>
      <c r="K6" s="3819">
        <v>9</v>
      </c>
      <c r="L6" s="6739">
        <v>1510</v>
      </c>
      <c r="M6" s="4133" t="s">
        <v>4911</v>
      </c>
      <c r="N6" s="3820" t="s">
        <v>2610</v>
      </c>
      <c r="O6" s="1305" t="s">
        <v>4912</v>
      </c>
      <c r="P6" s="1695" t="s">
        <v>4913</v>
      </c>
      <c r="Q6" s="1193" t="s">
        <v>4914</v>
      </c>
      <c r="R6" s="1350" t="s">
        <v>4915</v>
      </c>
      <c r="S6" s="1696" t="s">
        <v>3581</v>
      </c>
      <c r="T6" s="1696" t="s">
        <v>3581</v>
      </c>
      <c r="U6" s="3821" t="s">
        <v>3639</v>
      </c>
      <c r="W6" s="1217">
        <f>J6*K6</f>
        <v>2070</v>
      </c>
      <c r="AA6" s="3986"/>
    </row>
    <row r="7" spans="2:27" ht="57.65" customHeight="1">
      <c r="B7" s="3817">
        <v>56</v>
      </c>
      <c r="C7" s="6744"/>
      <c r="D7" s="6748"/>
      <c r="E7" s="6749"/>
      <c r="F7" s="6753"/>
      <c r="G7" s="6756"/>
      <c r="H7" s="6759"/>
      <c r="I7" s="6762"/>
      <c r="J7" s="3823">
        <v>63</v>
      </c>
      <c r="K7" s="3824">
        <v>9</v>
      </c>
      <c r="L7" s="6740"/>
      <c r="M7" s="3825" t="s">
        <v>4916</v>
      </c>
      <c r="N7" s="3820" t="s">
        <v>2609</v>
      </c>
      <c r="O7" s="1305" t="s">
        <v>4917</v>
      </c>
      <c r="P7" s="1695" t="s">
        <v>4918</v>
      </c>
      <c r="Q7" s="1193" t="s">
        <v>4919</v>
      </c>
      <c r="R7" s="1350" t="s">
        <v>4920</v>
      </c>
      <c r="S7" s="1696" t="s">
        <v>3503</v>
      </c>
      <c r="T7" s="1696" t="s">
        <v>3503</v>
      </c>
      <c r="U7" s="3826" t="s">
        <v>3639</v>
      </c>
      <c r="V7" s="1217" t="s">
        <v>4921</v>
      </c>
      <c r="W7" s="1217">
        <f t="shared" ref="W7:W35" si="0">J7*K7</f>
        <v>567</v>
      </c>
      <c r="AA7" s="3986"/>
    </row>
    <row r="8" spans="2:27" ht="57.65" customHeight="1">
      <c r="B8" s="1217">
        <v>90</v>
      </c>
      <c r="C8" s="6744"/>
      <c r="D8" s="6748"/>
      <c r="E8" s="6749"/>
      <c r="F8" s="6753"/>
      <c r="G8" s="6756"/>
      <c r="H8" s="6759"/>
      <c r="I8" s="6762"/>
      <c r="J8" s="3823">
        <v>117</v>
      </c>
      <c r="K8" s="3824">
        <v>9</v>
      </c>
      <c r="L8" s="6740"/>
      <c r="M8" s="3827" t="s">
        <v>3638</v>
      </c>
      <c r="N8" s="3820" t="s">
        <v>2609</v>
      </c>
      <c r="O8" s="1305" t="s">
        <v>3533</v>
      </c>
      <c r="P8" s="1695" t="s">
        <v>3662</v>
      </c>
      <c r="Q8" s="1193" t="s">
        <v>4922</v>
      </c>
      <c r="R8" s="1350" t="s">
        <v>4923</v>
      </c>
      <c r="S8" s="1696" t="s">
        <v>4924</v>
      </c>
      <c r="T8" s="1696" t="s">
        <v>4924</v>
      </c>
      <c r="U8" s="3826" t="s">
        <v>3639</v>
      </c>
      <c r="V8" s="1217" t="s">
        <v>6922</v>
      </c>
      <c r="W8" s="1217">
        <f>J8*K8</f>
        <v>1053</v>
      </c>
      <c r="AA8" s="3986"/>
    </row>
    <row r="9" spans="2:27" ht="57.65" customHeight="1">
      <c r="B9" s="1217">
        <v>59</v>
      </c>
      <c r="C9" s="6744"/>
      <c r="D9" s="6748"/>
      <c r="E9" s="6749"/>
      <c r="F9" s="6753"/>
      <c r="G9" s="6756"/>
      <c r="H9" s="6759"/>
      <c r="I9" s="6762"/>
      <c r="J9" s="3823">
        <v>130</v>
      </c>
      <c r="K9" s="3824">
        <v>9</v>
      </c>
      <c r="L9" s="6740"/>
      <c r="M9" s="3827" t="s">
        <v>2681</v>
      </c>
      <c r="N9" s="3820" t="s">
        <v>2609</v>
      </c>
      <c r="O9" s="1305" t="s">
        <v>4925</v>
      </c>
      <c r="P9" s="1695" t="s">
        <v>4926</v>
      </c>
      <c r="Q9" s="1193" t="s">
        <v>4927</v>
      </c>
      <c r="R9" s="1350" t="s">
        <v>4928</v>
      </c>
      <c r="S9" s="1696" t="s">
        <v>2854</v>
      </c>
      <c r="T9" s="1696" t="s">
        <v>2854</v>
      </c>
      <c r="U9" s="3826" t="s">
        <v>3639</v>
      </c>
      <c r="W9" s="1217">
        <f t="shared" si="0"/>
        <v>1170</v>
      </c>
      <c r="AA9" s="3986"/>
    </row>
    <row r="10" spans="2:27" ht="57.65" customHeight="1">
      <c r="B10" s="1217">
        <v>62</v>
      </c>
      <c r="C10" s="6744"/>
      <c r="D10" s="6748"/>
      <c r="E10" s="6749"/>
      <c r="F10" s="6753"/>
      <c r="G10" s="6756"/>
      <c r="H10" s="6759"/>
      <c r="I10" s="6762"/>
      <c r="J10" s="3823">
        <v>175</v>
      </c>
      <c r="K10" s="3824">
        <v>9</v>
      </c>
      <c r="L10" s="6740"/>
      <c r="M10" s="3827" t="s">
        <v>2692</v>
      </c>
      <c r="N10" s="3820" t="s">
        <v>2610</v>
      </c>
      <c r="O10" s="1305" t="s">
        <v>3497</v>
      </c>
      <c r="P10" s="1695" t="s">
        <v>3497</v>
      </c>
      <c r="Q10" s="1193" t="s">
        <v>4929</v>
      </c>
      <c r="R10" s="1350" t="s">
        <v>4930</v>
      </c>
      <c r="S10" s="1696" t="s">
        <v>2693</v>
      </c>
      <c r="T10" s="1696" t="s">
        <v>2694</v>
      </c>
      <c r="U10" s="3826" t="s">
        <v>3639</v>
      </c>
      <c r="W10" s="1217">
        <f t="shared" si="0"/>
        <v>1575</v>
      </c>
      <c r="AA10" s="3986"/>
    </row>
    <row r="11" spans="2:27" ht="57.65" customHeight="1">
      <c r="B11" s="1217">
        <v>1032</v>
      </c>
      <c r="C11" s="6744"/>
      <c r="D11" s="6748"/>
      <c r="E11" s="6749"/>
      <c r="F11" s="6753"/>
      <c r="G11" s="6756"/>
      <c r="H11" s="6759"/>
      <c r="I11" s="6762"/>
      <c r="J11" s="3823">
        <v>103</v>
      </c>
      <c r="K11" s="3824">
        <v>9</v>
      </c>
      <c r="L11" s="6740"/>
      <c r="M11" s="3827" t="s">
        <v>3640</v>
      </c>
      <c r="N11" s="3820" t="s">
        <v>2602</v>
      </c>
      <c r="O11" s="1305">
        <v>108</v>
      </c>
      <c r="P11" s="1695">
        <v>228</v>
      </c>
      <c r="Q11" s="1244" t="s">
        <v>4931</v>
      </c>
      <c r="R11" s="1350" t="s">
        <v>4932</v>
      </c>
      <c r="S11" s="1696">
        <v>0</v>
      </c>
      <c r="T11" s="1696">
        <v>0</v>
      </c>
      <c r="U11" s="3826" t="s">
        <v>3639</v>
      </c>
      <c r="W11" s="1217">
        <f t="shared" si="0"/>
        <v>927</v>
      </c>
      <c r="AA11" s="3986"/>
    </row>
    <row r="12" spans="2:27" ht="57.65" customHeight="1">
      <c r="B12" s="1217">
        <v>79</v>
      </c>
      <c r="C12" s="6744"/>
      <c r="D12" s="6748"/>
      <c r="E12" s="6749"/>
      <c r="F12" s="6753"/>
      <c r="G12" s="6756"/>
      <c r="H12" s="6759"/>
      <c r="I12" s="6762"/>
      <c r="J12" s="3823">
        <v>96</v>
      </c>
      <c r="K12" s="3824">
        <v>9</v>
      </c>
      <c r="L12" s="6740"/>
      <c r="M12" s="3828" t="s">
        <v>3642</v>
      </c>
      <c r="N12" s="3820" t="s">
        <v>2610</v>
      </c>
      <c r="O12" s="1305" t="s">
        <v>3490</v>
      </c>
      <c r="P12" s="1695" t="s">
        <v>4933</v>
      </c>
      <c r="Q12" s="1249" t="s">
        <v>4934</v>
      </c>
      <c r="R12" s="1350" t="s">
        <v>2168</v>
      </c>
      <c r="S12" s="1696">
        <v>0</v>
      </c>
      <c r="T12" s="1696">
        <v>0</v>
      </c>
      <c r="U12" s="3829" t="s">
        <v>3634</v>
      </c>
      <c r="W12" s="1217">
        <f t="shared" si="0"/>
        <v>864</v>
      </c>
      <c r="AA12" s="3986"/>
    </row>
    <row r="13" spans="2:27" ht="57.65" customHeight="1">
      <c r="B13" s="1217">
        <v>54</v>
      </c>
      <c r="C13" s="6744"/>
      <c r="D13" s="6748"/>
      <c r="E13" s="6749"/>
      <c r="F13" s="6753"/>
      <c r="G13" s="6756"/>
      <c r="H13" s="6759"/>
      <c r="I13" s="6762"/>
      <c r="J13" s="3823">
        <v>77</v>
      </c>
      <c r="K13" s="3824">
        <v>9</v>
      </c>
      <c r="L13" s="6740"/>
      <c r="M13" s="3828" t="s">
        <v>3643</v>
      </c>
      <c r="N13" s="3820" t="s">
        <v>2610</v>
      </c>
      <c r="O13" s="1305" t="s">
        <v>3490</v>
      </c>
      <c r="P13" s="1695" t="s">
        <v>3490</v>
      </c>
      <c r="Q13" s="1244" t="s">
        <v>4935</v>
      </c>
      <c r="R13" s="1350" t="s">
        <v>2168</v>
      </c>
      <c r="S13" s="1696">
        <v>0</v>
      </c>
      <c r="T13" s="1696">
        <v>0</v>
      </c>
      <c r="U13" s="3829" t="s">
        <v>3634</v>
      </c>
      <c r="W13" s="1217">
        <f t="shared" si="0"/>
        <v>693</v>
      </c>
      <c r="AA13" s="3986"/>
    </row>
    <row r="14" spans="2:27" ht="57.65" customHeight="1">
      <c r="B14" s="1217">
        <v>99</v>
      </c>
      <c r="C14" s="6744"/>
      <c r="D14" s="6748"/>
      <c r="E14" s="6749"/>
      <c r="F14" s="6753"/>
      <c r="G14" s="6756"/>
      <c r="H14" s="6759"/>
      <c r="I14" s="6762"/>
      <c r="J14" s="3823">
        <v>50</v>
      </c>
      <c r="K14" s="3824">
        <v>9</v>
      </c>
      <c r="L14" s="6740"/>
      <c r="M14" s="3828" t="s">
        <v>3644</v>
      </c>
      <c r="N14" s="3820" t="s">
        <v>2609</v>
      </c>
      <c r="O14" s="1305" t="s">
        <v>3494</v>
      </c>
      <c r="P14" s="1695" t="s">
        <v>4936</v>
      </c>
      <c r="Q14" s="1244" t="s">
        <v>4937</v>
      </c>
      <c r="R14" s="1350" t="s">
        <v>2129</v>
      </c>
      <c r="S14" s="1696" t="s">
        <v>3520</v>
      </c>
      <c r="T14" s="1696" t="s">
        <v>3520</v>
      </c>
      <c r="U14" s="3829" t="s">
        <v>3634</v>
      </c>
      <c r="W14" s="1217">
        <f t="shared" si="0"/>
        <v>450</v>
      </c>
      <c r="AA14" s="3986"/>
    </row>
    <row r="15" spans="2:27" ht="57.65" customHeight="1">
      <c r="B15" s="1217">
        <v>101</v>
      </c>
      <c r="C15" s="6744"/>
      <c r="D15" s="6748"/>
      <c r="E15" s="6749"/>
      <c r="F15" s="6753"/>
      <c r="G15" s="6756"/>
      <c r="H15" s="6759"/>
      <c r="I15" s="6762"/>
      <c r="J15" s="3823">
        <v>50</v>
      </c>
      <c r="K15" s="3824">
        <v>9</v>
      </c>
      <c r="L15" s="6740"/>
      <c r="M15" s="3828" t="s">
        <v>2717</v>
      </c>
      <c r="N15" s="3820" t="s">
        <v>2609</v>
      </c>
      <c r="O15" s="1305" t="s">
        <v>3494</v>
      </c>
      <c r="P15" s="1695" t="s">
        <v>3662</v>
      </c>
      <c r="Q15" s="1244" t="s">
        <v>4938</v>
      </c>
      <c r="R15" s="1350" t="s">
        <v>4939</v>
      </c>
      <c r="S15" s="1696" t="s">
        <v>4879</v>
      </c>
      <c r="T15" s="1696" t="s">
        <v>4867</v>
      </c>
      <c r="U15" s="3829" t="s">
        <v>3634</v>
      </c>
      <c r="W15" s="1217">
        <f t="shared" si="0"/>
        <v>450</v>
      </c>
      <c r="AA15" s="3986"/>
    </row>
    <row r="16" spans="2:27" ht="57.65" customHeight="1">
      <c r="B16" s="1217">
        <v>140</v>
      </c>
      <c r="C16" s="6744"/>
      <c r="D16" s="6748"/>
      <c r="E16" s="6749"/>
      <c r="F16" s="6753"/>
      <c r="G16" s="6756"/>
      <c r="H16" s="6759"/>
      <c r="I16" s="6762"/>
      <c r="J16" s="3823">
        <v>97</v>
      </c>
      <c r="K16" s="3824">
        <v>9</v>
      </c>
      <c r="L16" s="6740"/>
      <c r="M16" s="3828" t="s">
        <v>2738</v>
      </c>
      <c r="N16" s="3820" t="s">
        <v>2609</v>
      </c>
      <c r="O16" s="1305" t="s">
        <v>4940</v>
      </c>
      <c r="P16" s="1695" t="s">
        <v>4941</v>
      </c>
      <c r="Q16" s="1244" t="s">
        <v>4942</v>
      </c>
      <c r="R16" s="1350" t="s">
        <v>2168</v>
      </c>
      <c r="S16" s="1696" t="s">
        <v>3503</v>
      </c>
      <c r="T16" s="1696" t="s">
        <v>4943</v>
      </c>
      <c r="U16" s="3829" t="s">
        <v>3634</v>
      </c>
      <c r="W16" s="1217">
        <f t="shared" si="0"/>
        <v>873</v>
      </c>
      <c r="AA16" s="3986"/>
    </row>
    <row r="17" spans="2:27" ht="57.65" customHeight="1">
      <c r="B17" s="1217">
        <v>39</v>
      </c>
      <c r="C17" s="6744"/>
      <c r="D17" s="6748"/>
      <c r="E17" s="6749"/>
      <c r="F17" s="6753"/>
      <c r="G17" s="6756"/>
      <c r="H17" s="6759"/>
      <c r="I17" s="6762"/>
      <c r="J17" s="3823">
        <v>58</v>
      </c>
      <c r="K17" s="3824">
        <v>9</v>
      </c>
      <c r="L17" s="6740"/>
      <c r="M17" s="3830" t="s">
        <v>3645</v>
      </c>
      <c r="N17" s="3820" t="s">
        <v>2610</v>
      </c>
      <c r="O17" s="1305">
        <v>100</v>
      </c>
      <c r="P17" s="1695">
        <v>108</v>
      </c>
      <c r="Q17" s="1244" t="s">
        <v>4944</v>
      </c>
      <c r="R17" s="1350" t="s">
        <v>2160</v>
      </c>
      <c r="S17" s="1696" t="s">
        <v>3520</v>
      </c>
      <c r="T17" s="1696" t="s">
        <v>3520</v>
      </c>
      <c r="U17" s="3829" t="s">
        <v>3634</v>
      </c>
      <c r="W17" s="1217">
        <f t="shared" si="0"/>
        <v>522</v>
      </c>
      <c r="AA17" s="3986"/>
    </row>
    <row r="18" spans="2:27" ht="57.65" customHeight="1">
      <c r="B18" s="1217">
        <v>168</v>
      </c>
      <c r="C18" s="6744"/>
      <c r="D18" s="6748"/>
      <c r="E18" s="6749"/>
      <c r="F18" s="6753"/>
      <c r="G18" s="6756"/>
      <c r="H18" s="6759"/>
      <c r="I18" s="6762"/>
      <c r="J18" s="3823">
        <v>15</v>
      </c>
      <c r="K18" s="3824">
        <v>9</v>
      </c>
      <c r="L18" s="6740"/>
      <c r="M18" s="3830" t="s">
        <v>3646</v>
      </c>
      <c r="N18" s="1193" t="s">
        <v>2609</v>
      </c>
      <c r="O18" s="1305" t="s">
        <v>3525</v>
      </c>
      <c r="P18" s="1695" t="s">
        <v>4945</v>
      </c>
      <c r="Q18" s="1244" t="s">
        <v>4946</v>
      </c>
      <c r="R18" s="1350" t="s">
        <v>2129</v>
      </c>
      <c r="S18" s="1696" t="s">
        <v>2854</v>
      </c>
      <c r="T18" s="1696" t="s">
        <v>2854</v>
      </c>
      <c r="U18" s="3829" t="s">
        <v>3634</v>
      </c>
      <c r="W18" s="1217">
        <f t="shared" si="0"/>
        <v>135</v>
      </c>
      <c r="AA18" s="3986"/>
    </row>
    <row r="19" spans="2:27" ht="57.65" customHeight="1">
      <c r="B19" s="1217">
        <v>34</v>
      </c>
      <c r="C19" s="6744"/>
      <c r="D19" s="6748"/>
      <c r="E19" s="6749"/>
      <c r="F19" s="6753"/>
      <c r="G19" s="6756"/>
      <c r="H19" s="6759"/>
      <c r="I19" s="6762"/>
      <c r="J19" s="3823">
        <v>120</v>
      </c>
      <c r="K19" s="3824">
        <v>9</v>
      </c>
      <c r="L19" s="6740"/>
      <c r="M19" s="3830" t="s">
        <v>4947</v>
      </c>
      <c r="N19" s="1193" t="s">
        <v>2609</v>
      </c>
      <c r="O19" s="1305" t="s">
        <v>4868</v>
      </c>
      <c r="P19" s="1695" t="s">
        <v>4948</v>
      </c>
      <c r="Q19" s="1244"/>
      <c r="R19" s="1350" t="s">
        <v>2129</v>
      </c>
      <c r="S19" s="1696" t="s">
        <v>3546</v>
      </c>
      <c r="T19" s="1696" t="s">
        <v>3546</v>
      </c>
      <c r="U19" s="3829" t="s">
        <v>3634</v>
      </c>
      <c r="W19" s="1217">
        <f t="shared" si="0"/>
        <v>1080</v>
      </c>
      <c r="AA19" s="3986"/>
    </row>
    <row r="20" spans="2:27" ht="57.65" customHeight="1" thickBot="1">
      <c r="B20" s="1217">
        <v>172</v>
      </c>
      <c r="C20" s="6744"/>
      <c r="D20" s="6748"/>
      <c r="E20" s="6749"/>
      <c r="F20" s="6753"/>
      <c r="G20" s="6756"/>
      <c r="H20" s="6759"/>
      <c r="I20" s="6762"/>
      <c r="J20" s="3823">
        <v>129</v>
      </c>
      <c r="K20" s="3824">
        <v>9</v>
      </c>
      <c r="L20" s="6740"/>
      <c r="M20" s="3830" t="s">
        <v>6973</v>
      </c>
      <c r="N20" s="1193" t="s">
        <v>2609</v>
      </c>
      <c r="O20" s="1305" t="s">
        <v>3472</v>
      </c>
      <c r="P20" s="1695" t="s">
        <v>3470</v>
      </c>
      <c r="Q20" s="1244"/>
      <c r="R20" s="1350" t="s">
        <v>2168</v>
      </c>
      <c r="S20" s="1696" t="s">
        <v>3474</v>
      </c>
      <c r="T20" s="1696" t="s">
        <v>4879</v>
      </c>
      <c r="U20" s="3829" t="s">
        <v>3634</v>
      </c>
      <c r="W20" s="1217">
        <f t="shared" si="0"/>
        <v>1161</v>
      </c>
      <c r="AA20" s="3986"/>
    </row>
    <row r="21" spans="2:27" ht="57.65" customHeight="1" thickTop="1" thickBot="1">
      <c r="C21" s="6744"/>
      <c r="D21" s="6748"/>
      <c r="E21" s="6749"/>
      <c r="F21" s="6753"/>
      <c r="G21" s="6756"/>
      <c r="H21" s="6759"/>
      <c r="I21" s="6762"/>
      <c r="J21" s="3823"/>
      <c r="K21" s="3824">
        <v>9</v>
      </c>
      <c r="L21" s="3831">
        <v>1624</v>
      </c>
      <c r="M21" s="3832" t="s">
        <v>5266</v>
      </c>
      <c r="N21" s="3820" t="s">
        <v>2610</v>
      </c>
      <c r="O21" s="1305" t="s">
        <v>3662</v>
      </c>
      <c r="P21" s="1695" t="s">
        <v>3662</v>
      </c>
      <c r="Q21" s="1244" t="s">
        <v>6917</v>
      </c>
      <c r="R21" s="1350" t="s">
        <v>2168</v>
      </c>
      <c r="S21" s="1696">
        <v>0</v>
      </c>
      <c r="T21" s="1696">
        <v>0</v>
      </c>
      <c r="U21" s="3833" t="s">
        <v>6918</v>
      </c>
      <c r="W21" s="1217">
        <f>J21*K21</f>
        <v>0</v>
      </c>
    </row>
    <row r="22" spans="2:27" ht="57.65" customHeight="1" thickTop="1" thickBot="1">
      <c r="C22" s="6744"/>
      <c r="D22" s="6748"/>
      <c r="E22" s="6749"/>
      <c r="F22" s="6753"/>
      <c r="G22" s="6756"/>
      <c r="H22" s="6759"/>
      <c r="I22" s="6762"/>
      <c r="J22" s="3823"/>
      <c r="K22" s="3824">
        <v>9</v>
      </c>
      <c r="L22" s="3831">
        <v>1766</v>
      </c>
      <c r="M22" s="3834" t="s">
        <v>3648</v>
      </c>
      <c r="N22" s="1193" t="s">
        <v>2609</v>
      </c>
      <c r="O22" s="1305" t="s">
        <v>5279</v>
      </c>
      <c r="P22" s="1695" t="s">
        <v>5281</v>
      </c>
      <c r="Q22" s="1244" t="s">
        <v>6919</v>
      </c>
      <c r="R22" s="1350" t="s">
        <v>2160</v>
      </c>
      <c r="S22" s="1696" t="s">
        <v>2669</v>
      </c>
      <c r="T22" s="1696" t="s">
        <v>2669</v>
      </c>
      <c r="U22" s="3833" t="s">
        <v>6918</v>
      </c>
      <c r="W22" s="1217">
        <f t="shared" si="0"/>
        <v>0</v>
      </c>
    </row>
    <row r="23" spans="2:27" ht="57.65" customHeight="1" thickTop="1" thickBot="1">
      <c r="C23" s="6744"/>
      <c r="D23" s="6748"/>
      <c r="E23" s="6749"/>
      <c r="F23" s="6753"/>
      <c r="G23" s="6756"/>
      <c r="H23" s="6759"/>
      <c r="I23" s="6762"/>
      <c r="J23" s="3823"/>
      <c r="K23" s="3824">
        <v>9</v>
      </c>
      <c r="L23" s="3831">
        <v>1885</v>
      </c>
      <c r="M23" s="3834" t="s">
        <v>2725</v>
      </c>
      <c r="N23" s="1193" t="s">
        <v>2610</v>
      </c>
      <c r="O23" s="1305" t="s">
        <v>5243</v>
      </c>
      <c r="P23" s="1695" t="s">
        <v>5243</v>
      </c>
      <c r="Q23" s="1244" t="s">
        <v>6920</v>
      </c>
      <c r="R23" s="1350" t="s">
        <v>2129</v>
      </c>
      <c r="S23" s="1696" t="s">
        <v>2854</v>
      </c>
      <c r="T23" s="1696" t="s">
        <v>2854</v>
      </c>
      <c r="U23" s="3833" t="s">
        <v>6918</v>
      </c>
      <c r="W23" s="1217">
        <f t="shared" si="0"/>
        <v>0</v>
      </c>
    </row>
    <row r="24" spans="2:27" ht="57.65" customHeight="1" thickTop="1" thickBot="1">
      <c r="C24" s="6744"/>
      <c r="D24" s="6748"/>
      <c r="E24" s="6749"/>
      <c r="F24" s="6753"/>
      <c r="G24" s="6756"/>
      <c r="H24" s="6759"/>
      <c r="I24" s="6762"/>
      <c r="J24" s="3823"/>
      <c r="K24" s="3824">
        <v>9</v>
      </c>
      <c r="L24" s="3831">
        <v>1955</v>
      </c>
      <c r="M24" s="3834" t="s">
        <v>3651</v>
      </c>
      <c r="N24" s="1193" t="s">
        <v>2609</v>
      </c>
      <c r="O24" s="1305" t="s">
        <v>3475</v>
      </c>
      <c r="P24" s="1695" t="s">
        <v>3652</v>
      </c>
      <c r="Q24" s="1244" t="s">
        <v>6921</v>
      </c>
      <c r="R24" s="1350" t="s">
        <v>2129</v>
      </c>
      <c r="S24" s="1696" t="s">
        <v>3592</v>
      </c>
      <c r="T24" s="1696" t="s">
        <v>3592</v>
      </c>
      <c r="U24" s="3833" t="s">
        <v>6918</v>
      </c>
      <c r="W24" s="1217">
        <f t="shared" si="0"/>
        <v>0</v>
      </c>
    </row>
    <row r="25" spans="2:27" ht="57.65" customHeight="1" thickTop="1" thickBot="1">
      <c r="C25" s="6744"/>
      <c r="D25" s="6748"/>
      <c r="E25" s="6749"/>
      <c r="F25" s="6753"/>
      <c r="G25" s="6756"/>
      <c r="H25" s="6759"/>
      <c r="I25" s="6762"/>
      <c r="J25" s="3823"/>
      <c r="K25" s="3824">
        <v>9</v>
      </c>
      <c r="L25" s="3831">
        <v>2000</v>
      </c>
      <c r="M25" s="3834" t="s">
        <v>3654</v>
      </c>
      <c r="N25" s="1193" t="s">
        <v>2609</v>
      </c>
      <c r="O25" s="1305" t="s">
        <v>3657</v>
      </c>
      <c r="P25" s="1695" t="s">
        <v>3655</v>
      </c>
      <c r="Q25" s="1244"/>
      <c r="R25" s="1350" t="s">
        <v>2129</v>
      </c>
      <c r="S25" s="1696" t="s">
        <v>2854</v>
      </c>
      <c r="T25" s="1696" t="s">
        <v>2854</v>
      </c>
      <c r="U25" s="3833" t="s">
        <v>6918</v>
      </c>
      <c r="W25" s="1217">
        <f t="shared" si="0"/>
        <v>0</v>
      </c>
    </row>
    <row r="26" spans="2:27" ht="57.65" customHeight="1" thickTop="1" thickBot="1">
      <c r="C26" s="6744"/>
      <c r="D26" s="6748"/>
      <c r="E26" s="6749"/>
      <c r="F26" s="6753"/>
      <c r="G26" s="6756"/>
      <c r="H26" s="6759"/>
      <c r="I26" s="6762"/>
      <c r="J26" s="3823"/>
      <c r="K26" s="3824">
        <v>9</v>
      </c>
      <c r="L26" s="3831">
        <v>2070</v>
      </c>
      <c r="M26" s="3834" t="s">
        <v>3658</v>
      </c>
      <c r="N26" s="1193" t="s">
        <v>2609</v>
      </c>
      <c r="O26" s="1305" t="s">
        <v>3475</v>
      </c>
      <c r="P26" s="1695" t="s">
        <v>3659</v>
      </c>
      <c r="Q26" s="1244"/>
      <c r="R26" s="1350" t="s">
        <v>2129</v>
      </c>
      <c r="S26" s="1696" t="s">
        <v>2854</v>
      </c>
      <c r="T26" s="1696" t="s">
        <v>2854</v>
      </c>
      <c r="U26" s="3833" t="s">
        <v>6918</v>
      </c>
      <c r="W26" s="1217">
        <f t="shared" si="0"/>
        <v>0</v>
      </c>
    </row>
    <row r="27" spans="2:27" ht="57.65" customHeight="1" thickTop="1" thickBot="1">
      <c r="C27" s="6744"/>
      <c r="D27" s="6748"/>
      <c r="E27" s="6749"/>
      <c r="F27" s="6753"/>
      <c r="G27" s="6756"/>
      <c r="H27" s="6759"/>
      <c r="I27" s="6762"/>
      <c r="J27" s="3823"/>
      <c r="K27" s="3824">
        <v>9</v>
      </c>
      <c r="L27" s="3831">
        <v>2130</v>
      </c>
      <c r="M27" s="3834" t="s">
        <v>3661</v>
      </c>
      <c r="N27" s="1193" t="s">
        <v>2609</v>
      </c>
      <c r="O27" s="1305" t="s">
        <v>3526</v>
      </c>
      <c r="P27" s="1695" t="s">
        <v>3662</v>
      </c>
      <c r="Q27" s="1244"/>
      <c r="R27" s="1350" t="s">
        <v>2129</v>
      </c>
      <c r="S27" s="1696" t="s">
        <v>2854</v>
      </c>
      <c r="T27" s="1696" t="s">
        <v>2854</v>
      </c>
      <c r="U27" s="3833" t="s">
        <v>6918</v>
      </c>
      <c r="W27" s="1217">
        <f t="shared" si="0"/>
        <v>0</v>
      </c>
    </row>
    <row r="28" spans="2:27" ht="57.65" customHeight="1" thickTop="1" thickBot="1">
      <c r="C28" s="6744"/>
      <c r="D28" s="6748"/>
      <c r="E28" s="6749"/>
      <c r="F28" s="6753"/>
      <c r="G28" s="6756"/>
      <c r="H28" s="6759"/>
      <c r="I28" s="6762"/>
      <c r="J28" s="3823"/>
      <c r="K28" s="3824">
        <v>9</v>
      </c>
      <c r="L28" s="3831">
        <v>2221</v>
      </c>
      <c r="M28" s="3834" t="s">
        <v>3664</v>
      </c>
      <c r="N28" s="1193" t="s">
        <v>2609</v>
      </c>
      <c r="O28" s="1305" t="s">
        <v>3584</v>
      </c>
      <c r="P28" s="1695" t="s">
        <v>3665</v>
      </c>
      <c r="Q28" s="1244"/>
      <c r="R28" s="1350" t="s">
        <v>2129</v>
      </c>
      <c r="S28" s="1696" t="s">
        <v>2669</v>
      </c>
      <c r="T28" s="1696" t="s">
        <v>2669</v>
      </c>
      <c r="U28" s="3833" t="s">
        <v>6918</v>
      </c>
      <c r="W28" s="1217">
        <f t="shared" si="0"/>
        <v>0</v>
      </c>
    </row>
    <row r="29" spans="2:27" ht="57.65" customHeight="1" thickTop="1" thickBot="1">
      <c r="C29" s="6744"/>
      <c r="D29" s="6748"/>
      <c r="E29" s="6749"/>
      <c r="F29" s="6753"/>
      <c r="G29" s="6756"/>
      <c r="H29" s="6759"/>
      <c r="I29" s="6762"/>
      <c r="J29" s="3823"/>
      <c r="K29" s="3824">
        <v>9</v>
      </c>
      <c r="L29" s="3831">
        <v>2301</v>
      </c>
      <c r="M29" s="3834" t="s">
        <v>3668</v>
      </c>
      <c r="N29" s="1193" t="s">
        <v>2609</v>
      </c>
      <c r="O29" s="1305" t="s">
        <v>3568</v>
      </c>
      <c r="P29" s="1695" t="s">
        <v>3669</v>
      </c>
      <c r="Q29" s="1244"/>
      <c r="R29" s="1350" t="s">
        <v>2129</v>
      </c>
      <c r="S29" s="1696" t="s">
        <v>2854</v>
      </c>
      <c r="T29" s="1696" t="s">
        <v>2854</v>
      </c>
      <c r="U29" s="3833" t="s">
        <v>6918</v>
      </c>
      <c r="W29" s="1217">
        <f t="shared" si="0"/>
        <v>0</v>
      </c>
    </row>
    <row r="30" spans="2:27" ht="57.65" customHeight="1" thickTop="1" thickBot="1">
      <c r="C30" s="6744"/>
      <c r="D30" s="6748"/>
      <c r="E30" s="6749"/>
      <c r="F30" s="6753"/>
      <c r="G30" s="6756"/>
      <c r="H30" s="6759"/>
      <c r="I30" s="6762"/>
      <c r="J30" s="3823"/>
      <c r="K30" s="3824">
        <v>9</v>
      </c>
      <c r="L30" s="3831">
        <v>2321</v>
      </c>
      <c r="M30" s="3834" t="s">
        <v>3671</v>
      </c>
      <c r="N30" s="1193" t="s">
        <v>2609</v>
      </c>
      <c r="O30" s="1305" t="s">
        <v>3674</v>
      </c>
      <c r="P30" s="1695" t="s">
        <v>3672</v>
      </c>
      <c r="Q30" s="1244"/>
      <c r="R30" s="1350" t="s">
        <v>2129</v>
      </c>
      <c r="S30" s="1696" t="s">
        <v>2854</v>
      </c>
      <c r="T30" s="1696" t="s">
        <v>2854</v>
      </c>
      <c r="U30" s="3833" t="s">
        <v>6918</v>
      </c>
      <c r="W30" s="1217">
        <f t="shared" si="0"/>
        <v>0</v>
      </c>
    </row>
    <row r="31" spans="2:27" ht="57.65" customHeight="1" thickTop="1" thickBot="1">
      <c r="C31" s="6744"/>
      <c r="D31" s="6748"/>
      <c r="E31" s="6749"/>
      <c r="F31" s="6753"/>
      <c r="G31" s="6756"/>
      <c r="H31" s="6759"/>
      <c r="I31" s="6762"/>
      <c r="J31" s="3823"/>
      <c r="K31" s="3824">
        <v>9</v>
      </c>
      <c r="L31" s="3831">
        <v>2361</v>
      </c>
      <c r="M31" s="3834" t="s">
        <v>3675</v>
      </c>
      <c r="N31" s="1193" t="s">
        <v>2609</v>
      </c>
      <c r="O31" s="1305" t="s">
        <v>3487</v>
      </c>
      <c r="P31" s="1695" t="s">
        <v>3676</v>
      </c>
      <c r="Q31" s="1244"/>
      <c r="R31" s="1350" t="s">
        <v>2129</v>
      </c>
      <c r="S31" s="1696" t="s">
        <v>2854</v>
      </c>
      <c r="T31" s="1696" t="s">
        <v>2854</v>
      </c>
      <c r="U31" s="3833" t="s">
        <v>6918</v>
      </c>
      <c r="W31" s="1217">
        <f t="shared" si="0"/>
        <v>0</v>
      </c>
    </row>
    <row r="32" spans="2:27" ht="57.65" customHeight="1" thickTop="1" thickBot="1">
      <c r="C32" s="6744"/>
      <c r="D32" s="6748"/>
      <c r="E32" s="6749"/>
      <c r="F32" s="6753"/>
      <c r="G32" s="6756"/>
      <c r="H32" s="6759"/>
      <c r="I32" s="6762"/>
      <c r="J32" s="3823"/>
      <c r="K32" s="3824">
        <v>9</v>
      </c>
      <c r="L32" s="3831">
        <v>2485.5</v>
      </c>
      <c r="M32" s="3834" t="s">
        <v>3677</v>
      </c>
      <c r="N32" s="1193" t="s">
        <v>2610</v>
      </c>
      <c r="O32" s="1305" t="s">
        <v>3678</v>
      </c>
      <c r="P32" s="1695" t="s">
        <v>3678</v>
      </c>
      <c r="Q32" s="1244"/>
      <c r="R32" s="1350" t="s">
        <v>2129</v>
      </c>
      <c r="S32" s="1696" t="s">
        <v>2854</v>
      </c>
      <c r="T32" s="1696" t="s">
        <v>2854</v>
      </c>
      <c r="U32" s="3833" t="s">
        <v>6918</v>
      </c>
      <c r="W32" s="1217">
        <f t="shared" si="0"/>
        <v>0</v>
      </c>
    </row>
    <row r="33" spans="2:23" ht="57.65" customHeight="1" thickTop="1" thickBot="1">
      <c r="C33" s="6744"/>
      <c r="D33" s="6748"/>
      <c r="E33" s="6749"/>
      <c r="F33" s="6753"/>
      <c r="G33" s="6756"/>
      <c r="H33" s="6759"/>
      <c r="I33" s="6762"/>
      <c r="J33" s="3823"/>
      <c r="K33" s="3824">
        <v>9</v>
      </c>
      <c r="L33" s="3831">
        <v>2585.5</v>
      </c>
      <c r="M33" s="3834" t="s">
        <v>3680</v>
      </c>
      <c r="N33" s="1193" t="s">
        <v>2609</v>
      </c>
      <c r="O33" s="1305" t="s">
        <v>3480</v>
      </c>
      <c r="P33" s="1695" t="s">
        <v>3679</v>
      </c>
      <c r="Q33" s="1244"/>
      <c r="R33" s="1350" t="s">
        <v>2129</v>
      </c>
      <c r="S33" s="1696" t="s">
        <v>2854</v>
      </c>
      <c r="T33" s="1696" t="s">
        <v>2854</v>
      </c>
      <c r="U33" s="3833" t="s">
        <v>6918</v>
      </c>
      <c r="W33" s="1217">
        <f t="shared" si="0"/>
        <v>0</v>
      </c>
    </row>
    <row r="34" spans="2:23" ht="57.65" customHeight="1" thickTop="1" thickBot="1">
      <c r="C34" s="6744"/>
      <c r="D34" s="6748"/>
      <c r="E34" s="6749"/>
      <c r="F34" s="6753"/>
      <c r="G34" s="6756"/>
      <c r="H34" s="6759"/>
      <c r="I34" s="6762"/>
      <c r="J34" s="3823"/>
      <c r="K34" s="3824">
        <v>9</v>
      </c>
      <c r="L34" s="3831">
        <v>2635.5</v>
      </c>
      <c r="M34" s="3834" t="s">
        <v>3681</v>
      </c>
      <c r="N34" s="3822" t="s">
        <v>2609</v>
      </c>
      <c r="O34" s="3835" t="s">
        <v>3494</v>
      </c>
      <c r="P34" s="3836" t="s">
        <v>3682</v>
      </c>
      <c r="Q34" s="3837"/>
      <c r="R34" s="1350" t="s">
        <v>2129</v>
      </c>
      <c r="S34" s="1696" t="s">
        <v>2854</v>
      </c>
      <c r="T34" s="3838" t="s">
        <v>2854</v>
      </c>
      <c r="U34" s="3839" t="s">
        <v>6918</v>
      </c>
      <c r="W34" s="1217">
        <f t="shared" si="0"/>
        <v>0</v>
      </c>
    </row>
    <row r="35" spans="2:23" ht="57.65" customHeight="1" thickTop="1" thickBot="1">
      <c r="C35" s="6745"/>
      <c r="D35" s="6750"/>
      <c r="E35" s="6751"/>
      <c r="F35" s="6754"/>
      <c r="G35" s="6757"/>
      <c r="H35" s="6760"/>
      <c r="I35" s="6763"/>
      <c r="J35" s="3823"/>
      <c r="K35" s="3824">
        <v>9</v>
      </c>
      <c r="L35" s="3831">
        <v>2748</v>
      </c>
      <c r="M35" s="3840" t="s">
        <v>6916</v>
      </c>
      <c r="N35" s="3822" t="s">
        <v>2610</v>
      </c>
      <c r="O35" s="3835" t="s">
        <v>5375</v>
      </c>
      <c r="P35" s="3836" t="s">
        <v>5375</v>
      </c>
      <c r="Q35" s="1244"/>
      <c r="R35" s="1350" t="s">
        <v>2129</v>
      </c>
      <c r="S35" s="1696" t="s">
        <v>2854</v>
      </c>
      <c r="T35" s="1699" t="s">
        <v>2854</v>
      </c>
      <c r="U35" s="3833" t="s">
        <v>6918</v>
      </c>
      <c r="W35" s="1217">
        <f t="shared" si="0"/>
        <v>0</v>
      </c>
    </row>
    <row r="36" spans="2:23" ht="57.65" customHeight="1" thickTop="1">
      <c r="J36" s="3841"/>
      <c r="K36" s="3842"/>
      <c r="L36" s="3842"/>
      <c r="M36" s="3843"/>
      <c r="N36" s="3844" t="s">
        <v>2129</v>
      </c>
      <c r="O36" s="3845" t="s">
        <v>2129</v>
      </c>
      <c r="P36" s="3845" t="s">
        <v>2129</v>
      </c>
      <c r="Q36" s="3846"/>
      <c r="R36" s="3847" t="s">
        <v>2129</v>
      </c>
      <c r="S36" s="3848"/>
      <c r="T36" s="3848" t="s">
        <v>2129</v>
      </c>
    </row>
    <row r="37" spans="2:23" ht="57.65" customHeight="1">
      <c r="C37" s="1245"/>
      <c r="D37" s="6741" t="s">
        <v>4949</v>
      </c>
      <c r="E37" s="6742"/>
      <c r="F37" s="1245"/>
      <c r="G37" s="1348"/>
      <c r="H37" s="1245"/>
      <c r="I37" s="1245"/>
      <c r="J37" s="3849"/>
      <c r="K37" s="3849"/>
      <c r="L37" s="3849"/>
      <c r="M37" s="3850" t="s">
        <v>2709</v>
      </c>
      <c r="N37" s="1193" t="s">
        <v>2602</v>
      </c>
      <c r="O37" s="1305">
        <v>0</v>
      </c>
      <c r="P37" s="1695" t="s">
        <v>3569</v>
      </c>
      <c r="Q37" s="1188"/>
      <c r="R37" s="1350" t="s">
        <v>2129</v>
      </c>
      <c r="S37" s="1696"/>
      <c r="T37" s="1696">
        <v>0</v>
      </c>
    </row>
    <row r="38" spans="2:23" ht="27" customHeight="1">
      <c r="C38" s="1278" t="s">
        <v>4950</v>
      </c>
      <c r="D38" s="1217" t="s">
        <v>4951</v>
      </c>
      <c r="J38" s="3851"/>
      <c r="K38" s="3851"/>
      <c r="L38" s="3851"/>
    </row>
    <row r="39" spans="2:23" ht="27" customHeight="1">
      <c r="C39" s="1278" t="s">
        <v>4952</v>
      </c>
      <c r="D39" s="1217" t="s">
        <v>4953</v>
      </c>
    </row>
    <row r="40" spans="2:23" ht="27" customHeight="1">
      <c r="D40" s="1217" t="s">
        <v>4954</v>
      </c>
    </row>
    <row r="41" spans="2:23" ht="57.65" customHeight="1"/>
    <row r="42" spans="2:23" s="1278" customFormat="1" ht="57.65" customHeight="1">
      <c r="B42" s="1217"/>
      <c r="D42" s="1217"/>
      <c r="E42" s="1217"/>
      <c r="G42" s="1217"/>
      <c r="Q42" s="1217"/>
      <c r="R42" s="1217"/>
      <c r="S42" s="1217"/>
      <c r="T42" s="1217"/>
    </row>
    <row r="43" spans="2:23" s="1278" customFormat="1" ht="57.65" customHeight="1">
      <c r="B43" s="1217"/>
      <c r="D43" s="1217"/>
      <c r="E43" s="1217"/>
      <c r="G43" s="1217"/>
      <c r="Q43" s="1217"/>
      <c r="R43" s="1217"/>
      <c r="S43" s="1217"/>
      <c r="T43" s="1217"/>
    </row>
    <row r="44" spans="2:23" s="1278" customFormat="1" ht="13.5" customHeight="1">
      <c r="B44" s="1217"/>
      <c r="D44" s="1217"/>
      <c r="E44" s="1217"/>
      <c r="G44" s="1217"/>
      <c r="Q44" s="1217"/>
      <c r="R44" s="1217"/>
      <c r="S44" s="1217"/>
      <c r="T44" s="1217"/>
    </row>
    <row r="45" spans="2:23" s="1278" customFormat="1" ht="13.5" customHeight="1">
      <c r="D45" s="1217"/>
      <c r="E45" s="1217"/>
      <c r="G45" s="1217"/>
      <c r="Q45" s="1217"/>
      <c r="R45" s="1217"/>
      <c r="S45" s="1217"/>
      <c r="T45" s="1217"/>
    </row>
    <row r="46" spans="2:23" s="1278" customFormat="1" ht="13.5" customHeight="1">
      <c r="D46" s="1217"/>
      <c r="E46" s="1217"/>
      <c r="G46" s="1217"/>
      <c r="Q46" s="1217"/>
      <c r="R46" s="1217"/>
      <c r="S46" s="1217"/>
      <c r="T46" s="1217"/>
    </row>
    <row r="47" spans="2:23" s="1278" customFormat="1" ht="13.5" customHeight="1">
      <c r="D47" s="1217"/>
      <c r="E47" s="1217"/>
      <c r="G47" s="1217"/>
      <c r="Q47" s="1217"/>
      <c r="R47" s="1217"/>
      <c r="S47" s="1217"/>
      <c r="T47" s="1217"/>
    </row>
    <row r="48" spans="2:23" s="1278" customFormat="1" ht="13.5" customHeight="1">
      <c r="D48" s="1217"/>
      <c r="E48" s="1217"/>
      <c r="G48" s="1217"/>
      <c r="Q48" s="1217"/>
      <c r="R48" s="1217"/>
      <c r="S48" s="1217"/>
      <c r="T48" s="1217"/>
    </row>
    <row r="49" spans="2:2" ht="13.5" customHeight="1">
      <c r="B49" s="1278"/>
    </row>
    <row r="50" spans="2:2" ht="13.5" customHeight="1">
      <c r="B50" s="1278"/>
    </row>
    <row r="51" spans="2:2" ht="13.5" customHeight="1">
      <c r="B51" s="1278"/>
    </row>
    <row r="52" spans="2:2" ht="13.5" customHeight="1"/>
    <row r="53" spans="2:2" ht="13.5" customHeight="1"/>
    <row r="54" spans="2:2" ht="13.5" customHeight="1"/>
    <row r="55" spans="2:2" ht="13.5" customHeight="1"/>
    <row r="56" spans="2:2" ht="13.5" customHeight="1"/>
    <row r="57" spans="2:2" ht="13.5" customHeight="1"/>
    <row r="58" spans="2:2" ht="14.15" customHeight="1"/>
  </sheetData>
  <autoFilter ref="A5:V5" xr:uid="{74750A8B-551B-4EEB-BC1D-53B7712ACAA0}">
    <filterColumn colId="3" showButton="0"/>
  </autoFilter>
  <mergeCells count="25">
    <mergeCell ref="L6:L20"/>
    <mergeCell ref="D37:E37"/>
    <mergeCell ref="C6:C35"/>
    <mergeCell ref="D6:E35"/>
    <mergeCell ref="F6:F35"/>
    <mergeCell ref="G6:G35"/>
    <mergeCell ref="H6:H35"/>
    <mergeCell ref="I6:I35"/>
    <mergeCell ref="U3:U5"/>
    <mergeCell ref="N4:N5"/>
    <mergeCell ref="O4:P4"/>
    <mergeCell ref="Q4:Q5"/>
    <mergeCell ref="R4:R5"/>
    <mergeCell ref="S4:T4"/>
    <mergeCell ref="D1:E1"/>
    <mergeCell ref="H1:I1"/>
    <mergeCell ref="N1:T1"/>
    <mergeCell ref="C3:C5"/>
    <mergeCell ref="D3:E5"/>
    <mergeCell ref="F3:F5"/>
    <mergeCell ref="G3:G5"/>
    <mergeCell ref="H3:I4"/>
    <mergeCell ref="J3:J5"/>
    <mergeCell ref="M3:M5"/>
    <mergeCell ref="N3:T3"/>
  </mergeCells>
  <phoneticPr fontId="2"/>
  <pageMargins left="0" right="0" top="0" bottom="0" header="0" footer="0"/>
  <pageSetup paperSize="8" scale="60" fitToHeight="0" orientation="landscape" r:id="rId1"/>
  <headerFooter>
    <oddFooter>&amp;C&amp;"Meiryo UI,標準"&amp;12&amp;P / &amp;N ページ</oddFooter>
  </headerFooter>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C91BE-6537-4E84-9765-7BA543CDDCE2}">
  <sheetPr codeName="Sheet240">
    <tabColor rgb="FF92D050"/>
    <pageSetUpPr fitToPage="1"/>
  </sheetPr>
  <dimension ref="B1:AM32"/>
  <sheetViews>
    <sheetView topLeftCell="C11" workbookViewId="0"/>
  </sheetViews>
  <sheetFormatPr defaultColWidth="9.54296875" defaultRowHeight="13.5"/>
  <cols>
    <col min="1" max="1" width="6.1796875" style="1217" customWidth="1"/>
    <col min="2" max="2" width="12.54296875" style="1928" customWidth="1"/>
    <col min="3" max="3" width="41.453125" style="1278" customWidth="1"/>
    <col min="4" max="4" width="10.7265625" style="1278" customWidth="1"/>
    <col min="5" max="5" width="10.7265625" style="2101" customWidth="1"/>
    <col min="6" max="6" width="10.7265625" style="1278" customWidth="1"/>
    <col min="7" max="7" width="21.26953125" style="1217" customWidth="1"/>
    <col min="8" max="11" width="12.1796875" style="1217" customWidth="1"/>
    <col min="12" max="12" width="4.1796875" style="1217" customWidth="1"/>
    <col min="13" max="13" width="11.26953125" style="1217" customWidth="1"/>
    <col min="14" max="14" width="8.7265625" style="1278" customWidth="1"/>
    <col min="15" max="15" width="13.7265625" style="1217" customWidth="1"/>
    <col min="16" max="17" width="15.1796875" style="1278" customWidth="1"/>
    <col min="18" max="18" width="10.453125" style="1919" customWidth="1"/>
    <col min="19" max="19" width="10.453125" style="1928" customWidth="1"/>
    <col min="20" max="20" width="68.453125" style="1217" customWidth="1"/>
    <col min="21" max="21" width="12.54296875" style="1217" customWidth="1"/>
    <col min="22" max="22" width="11.1796875" style="1217" bestFit="1" customWidth="1"/>
    <col min="23" max="16384" width="9.54296875" style="1217"/>
  </cols>
  <sheetData>
    <row r="1" spans="2:39" ht="21" customHeight="1"/>
    <row r="2" spans="2:39" ht="32.65" customHeight="1">
      <c r="B2" s="1920" t="s">
        <v>4955</v>
      </c>
      <c r="G2" s="1278"/>
      <c r="H2" s="1278"/>
      <c r="J2" s="1278"/>
      <c r="K2" s="1182" t="s">
        <v>4956</v>
      </c>
      <c r="P2" s="1217"/>
      <c r="R2" s="2719" t="s">
        <v>2547</v>
      </c>
      <c r="S2" s="2719" t="s">
        <v>2547</v>
      </c>
    </row>
    <row r="3" spans="2:39" s="1281" customFormat="1" ht="23.5" customHeight="1">
      <c r="B3" s="1937"/>
      <c r="C3" s="6718" t="s">
        <v>4562</v>
      </c>
      <c r="D3" s="6718" t="s">
        <v>4895</v>
      </c>
      <c r="E3" s="6718"/>
      <c r="F3" s="6718"/>
      <c r="G3" s="6718"/>
      <c r="H3" s="6718"/>
      <c r="I3" s="6718"/>
      <c r="J3" s="6718"/>
      <c r="K3" s="6718"/>
      <c r="L3" s="6717" t="s">
        <v>4894</v>
      </c>
      <c r="M3" s="6717"/>
      <c r="N3" s="6717" t="s">
        <v>4573</v>
      </c>
      <c r="O3" s="6718" t="s">
        <v>4575</v>
      </c>
      <c r="P3" s="6721" t="s">
        <v>4957</v>
      </c>
      <c r="Q3" s="6722"/>
      <c r="R3" s="1837"/>
      <c r="S3" s="1948"/>
      <c r="T3" s="6774" t="s">
        <v>3229</v>
      </c>
      <c r="U3" s="6774"/>
      <c r="V3" s="6774"/>
    </row>
    <row r="4" spans="2:39" s="1281" customFormat="1" ht="86.5" customHeight="1">
      <c r="B4" s="1938" t="s">
        <v>4958</v>
      </c>
      <c r="C4" s="6718"/>
      <c r="D4" s="1183" t="s">
        <v>4320</v>
      </c>
      <c r="E4" s="2102" t="s">
        <v>4959</v>
      </c>
      <c r="F4" s="1184" t="s">
        <v>4960</v>
      </c>
      <c r="G4" s="1183" t="s">
        <v>4903</v>
      </c>
      <c r="H4" s="1183" t="s">
        <v>4961</v>
      </c>
      <c r="I4" s="1183" t="s">
        <v>4962</v>
      </c>
      <c r="J4" s="1183" t="s">
        <v>4963</v>
      </c>
      <c r="K4" s="1183" t="s">
        <v>2898</v>
      </c>
      <c r="L4" s="6717"/>
      <c r="M4" s="6717"/>
      <c r="N4" s="6717"/>
      <c r="O4" s="6718"/>
      <c r="P4" s="1835" t="s">
        <v>3148</v>
      </c>
      <c r="Q4" s="1353" t="s">
        <v>3149</v>
      </c>
      <c r="R4" s="1838" t="s">
        <v>4964</v>
      </c>
      <c r="S4" s="1949" t="s">
        <v>2551</v>
      </c>
      <c r="T4" s="6776"/>
      <c r="U4" s="6776"/>
      <c r="V4" s="6776"/>
    </row>
    <row r="5" spans="2:39" ht="54" customHeight="1">
      <c r="B5" s="1939">
        <v>94</v>
      </c>
      <c r="C5" s="1692" t="s">
        <v>4965</v>
      </c>
      <c r="D5" s="1188" t="s">
        <v>4343</v>
      </c>
      <c r="E5" s="2103">
        <v>370</v>
      </c>
      <c r="F5" s="1693">
        <v>460</v>
      </c>
      <c r="G5" s="1188" t="s">
        <v>4966</v>
      </c>
      <c r="H5" s="1188" t="s">
        <v>2989</v>
      </c>
      <c r="I5" s="1193" t="s">
        <v>2989</v>
      </c>
      <c r="J5" s="1193" t="s">
        <v>2989</v>
      </c>
      <c r="K5" s="1193" t="s">
        <v>2978</v>
      </c>
      <c r="L5" s="6764" t="s">
        <v>4967</v>
      </c>
      <c r="M5" s="6765"/>
      <c r="N5" s="1690" t="s">
        <v>4968</v>
      </c>
      <c r="O5" s="1691" t="s">
        <v>4909</v>
      </c>
      <c r="P5" s="1690">
        <v>330</v>
      </c>
      <c r="Q5" s="1690">
        <v>20</v>
      </c>
      <c r="R5" s="1935">
        <v>370</v>
      </c>
      <c r="S5" s="1950">
        <v>13</v>
      </c>
      <c r="T5" s="1836" t="s">
        <v>4969</v>
      </c>
      <c r="U5" s="1836"/>
      <c r="V5" s="1836"/>
    </row>
    <row r="6" spans="2:39" ht="46.15" customHeight="1">
      <c r="B6" s="1940">
        <v>56</v>
      </c>
      <c r="C6" s="1185" t="s">
        <v>4970</v>
      </c>
      <c r="D6" s="1281"/>
      <c r="E6" s="2104"/>
      <c r="F6" s="1185"/>
      <c r="G6" s="1187"/>
      <c r="H6" s="1185"/>
      <c r="I6" s="1187"/>
      <c r="J6" s="1187"/>
      <c r="K6" s="1187"/>
      <c r="L6" s="6766" t="s">
        <v>4971</v>
      </c>
      <c r="M6" s="6766"/>
      <c r="N6" s="2703"/>
      <c r="O6" s="1185"/>
      <c r="P6" s="1185"/>
      <c r="Q6" s="1185"/>
      <c r="R6" s="1936">
        <v>116</v>
      </c>
      <c r="S6" s="1940">
        <v>19</v>
      </c>
      <c r="AM6" s="1217" t="s">
        <v>4972</v>
      </c>
    </row>
    <row r="7" spans="2:39" ht="32.65" customHeight="1">
      <c r="B7" s="1920" t="s">
        <v>4973</v>
      </c>
      <c r="C7" s="1185"/>
      <c r="D7" s="1281"/>
      <c r="E7" s="2104"/>
      <c r="F7" s="1185"/>
      <c r="G7" s="1187"/>
      <c r="H7" s="1185"/>
      <c r="I7" s="1187"/>
      <c r="J7" s="1187"/>
      <c r="K7" s="1187"/>
      <c r="L7" s="1187"/>
      <c r="M7" s="1185"/>
      <c r="N7" s="1185"/>
      <c r="O7" s="1185"/>
      <c r="P7" s="1185"/>
      <c r="Q7" s="1185"/>
      <c r="R7" s="1936"/>
      <c r="S7" s="1940"/>
    </row>
    <row r="8" spans="2:39" s="1281" customFormat="1" ht="19.899999999999999" customHeight="1">
      <c r="B8" s="1937"/>
      <c r="C8" s="6718" t="s">
        <v>4562</v>
      </c>
      <c r="D8" s="6718" t="s">
        <v>4895</v>
      </c>
      <c r="E8" s="6718"/>
      <c r="F8" s="6718"/>
      <c r="G8" s="6718"/>
      <c r="H8" s="6718"/>
      <c r="I8" s="6718"/>
      <c r="J8" s="6718"/>
      <c r="K8" s="6718"/>
      <c r="L8" s="6717" t="s">
        <v>4894</v>
      </c>
      <c r="M8" s="6717"/>
      <c r="N8" s="6717" t="s">
        <v>4573</v>
      </c>
      <c r="O8" s="6718" t="s">
        <v>4575</v>
      </c>
      <c r="P8" s="6721" t="s">
        <v>4974</v>
      </c>
      <c r="Q8" s="6722"/>
      <c r="R8" s="1837"/>
      <c r="S8" s="1948"/>
      <c r="T8" s="6774" t="s">
        <v>3229</v>
      </c>
      <c r="U8" s="6774"/>
      <c r="V8" s="6774"/>
    </row>
    <row r="9" spans="2:39" s="1281" customFormat="1" ht="73" customHeight="1" thickBot="1">
      <c r="B9" s="1941" t="s">
        <v>4958</v>
      </c>
      <c r="C9" s="6730"/>
      <c r="D9" s="1183" t="s">
        <v>4320</v>
      </c>
      <c r="E9" s="2102" t="s">
        <v>4959</v>
      </c>
      <c r="F9" s="1184" t="s">
        <v>4960</v>
      </c>
      <c r="G9" s="1183" t="s">
        <v>4903</v>
      </c>
      <c r="H9" s="1183" t="s">
        <v>4961</v>
      </c>
      <c r="I9" s="1183" t="s">
        <v>4962</v>
      </c>
      <c r="J9" s="1183" t="s">
        <v>4963</v>
      </c>
      <c r="K9" s="1183" t="s">
        <v>2898</v>
      </c>
      <c r="L9" s="6717"/>
      <c r="M9" s="6717"/>
      <c r="N9" s="6717"/>
      <c r="O9" s="6718"/>
      <c r="P9" s="1835" t="s">
        <v>3148</v>
      </c>
      <c r="Q9" s="1353" t="s">
        <v>3149</v>
      </c>
      <c r="R9" s="1838" t="s">
        <v>4975</v>
      </c>
      <c r="S9" s="1949" t="s">
        <v>2551</v>
      </c>
      <c r="T9" s="6775"/>
      <c r="U9" s="6775"/>
      <c r="V9" s="6775"/>
    </row>
    <row r="10" spans="2:39" ht="41.15" customHeight="1" thickTop="1">
      <c r="B10" s="1942">
        <v>90</v>
      </c>
      <c r="C10" s="1694" t="s">
        <v>3638</v>
      </c>
      <c r="D10" s="1193" t="s">
        <v>4343</v>
      </c>
      <c r="E10" s="2105">
        <v>117</v>
      </c>
      <c r="F10" s="1695">
        <v>257</v>
      </c>
      <c r="G10" s="1193" t="s">
        <v>4976</v>
      </c>
      <c r="H10" s="1350" t="s">
        <v>2960</v>
      </c>
      <c r="I10" s="1696" t="s">
        <v>2989</v>
      </c>
      <c r="J10" s="1697" t="s">
        <v>2989</v>
      </c>
      <c r="K10" s="1697" t="s">
        <v>4977</v>
      </c>
      <c r="L10" s="6767" t="s">
        <v>4978</v>
      </c>
      <c r="M10" s="6767"/>
      <c r="N10" s="6768" t="s">
        <v>4968</v>
      </c>
      <c r="O10" s="6769" t="s">
        <v>4909</v>
      </c>
      <c r="P10" s="6770" t="s">
        <v>4979</v>
      </c>
      <c r="Q10" s="6772" t="s">
        <v>4980</v>
      </c>
      <c r="R10" s="2112">
        <v>117</v>
      </c>
      <c r="S10" s="1951">
        <v>9</v>
      </c>
      <c r="T10" s="1350"/>
      <c r="U10" s="1347"/>
      <c r="V10" s="1347"/>
    </row>
    <row r="11" spans="2:39" ht="41.15" customHeight="1">
      <c r="B11" s="1943">
        <v>59</v>
      </c>
      <c r="C11" s="1518" t="s">
        <v>2681</v>
      </c>
      <c r="D11" s="1193" t="s">
        <v>4343</v>
      </c>
      <c r="E11" s="2106">
        <v>130</v>
      </c>
      <c r="F11" s="1698">
        <v>295</v>
      </c>
      <c r="G11" s="1193" t="s">
        <v>4981</v>
      </c>
      <c r="H11" s="1249" t="s">
        <v>2988</v>
      </c>
      <c r="I11" s="1699" t="s">
        <v>2988</v>
      </c>
      <c r="J11" s="1700" t="s">
        <v>2988</v>
      </c>
      <c r="K11" s="1701" t="s">
        <v>2990</v>
      </c>
      <c r="L11" s="6767"/>
      <c r="M11" s="6767"/>
      <c r="N11" s="6768"/>
      <c r="O11" s="6769"/>
      <c r="P11" s="6771"/>
      <c r="Q11" s="6773"/>
      <c r="R11" s="2113">
        <v>130</v>
      </c>
      <c r="S11" s="1952">
        <v>9</v>
      </c>
      <c r="T11" s="1249"/>
      <c r="U11" s="1348"/>
      <c r="V11" s="1348"/>
    </row>
    <row r="12" spans="2:39" ht="41.15" customHeight="1">
      <c r="B12" s="1944">
        <v>62</v>
      </c>
      <c r="C12" s="1702" t="s">
        <v>2692</v>
      </c>
      <c r="D12" s="1193" t="s">
        <v>2969</v>
      </c>
      <c r="E12" s="2106">
        <v>350</v>
      </c>
      <c r="F12" s="1698">
        <v>350</v>
      </c>
      <c r="G12" s="1193" t="s">
        <v>4982</v>
      </c>
      <c r="H12" s="1249" t="s">
        <v>2988</v>
      </c>
      <c r="I12" s="1703" t="s">
        <v>4983</v>
      </c>
      <c r="J12" s="1701" t="s">
        <v>2989</v>
      </c>
      <c r="K12" s="1701" t="s">
        <v>2990</v>
      </c>
      <c r="L12" s="6767"/>
      <c r="M12" s="6767"/>
      <c r="N12" s="6768"/>
      <c r="O12" s="6769"/>
      <c r="P12" s="6771"/>
      <c r="Q12" s="6773"/>
      <c r="R12" s="2114">
        <v>350</v>
      </c>
      <c r="S12" s="1953">
        <v>9</v>
      </c>
      <c r="T12" s="1249"/>
      <c r="U12" s="1348"/>
      <c r="V12" s="1348"/>
    </row>
    <row r="13" spans="2:39" ht="41.15" customHeight="1">
      <c r="B13" s="1944">
        <v>1008</v>
      </c>
      <c r="C13" s="1704" t="s">
        <v>4984</v>
      </c>
      <c r="D13" s="1244" t="s">
        <v>2969</v>
      </c>
      <c r="E13" s="2106">
        <v>156</v>
      </c>
      <c r="F13" s="1698">
        <v>156</v>
      </c>
      <c r="G13" s="1249" t="s">
        <v>4934</v>
      </c>
      <c r="H13" s="1249" t="s">
        <v>2960</v>
      </c>
      <c r="I13" s="1699" t="s">
        <v>4985</v>
      </c>
      <c r="J13" s="1701" t="s">
        <v>2989</v>
      </c>
      <c r="K13" s="1701" t="s">
        <v>4986</v>
      </c>
      <c r="L13" s="6767"/>
      <c r="M13" s="6767"/>
      <c r="N13" s="6768"/>
      <c r="O13" s="6769"/>
      <c r="P13" s="6771"/>
      <c r="Q13" s="6773"/>
      <c r="R13" s="2114">
        <v>156</v>
      </c>
      <c r="S13" s="1953">
        <v>9</v>
      </c>
      <c r="T13" s="1249"/>
      <c r="U13" s="1348"/>
      <c r="V13" s="1348"/>
    </row>
    <row r="14" spans="2:39" ht="41.15" customHeight="1">
      <c r="B14" s="1945">
        <v>1034</v>
      </c>
      <c r="C14" s="1704" t="s">
        <v>4987</v>
      </c>
      <c r="D14" s="1705" t="s">
        <v>4471</v>
      </c>
      <c r="E14" s="2107">
        <v>100</v>
      </c>
      <c r="F14" s="1706">
        <v>170</v>
      </c>
      <c r="G14" s="1705"/>
      <c r="H14" s="1705" t="s">
        <v>4471</v>
      </c>
      <c r="I14" s="1705" t="s">
        <v>4471</v>
      </c>
      <c r="J14" s="1707" t="s">
        <v>4471</v>
      </c>
      <c r="K14" s="1707"/>
      <c r="L14" s="6767"/>
      <c r="M14" s="6767"/>
      <c r="N14" s="6768"/>
      <c r="O14" s="6769"/>
      <c r="P14" s="6771"/>
      <c r="Q14" s="6773"/>
      <c r="R14" s="1839">
        <v>100</v>
      </c>
      <c r="S14" s="1953">
        <v>9</v>
      </c>
      <c r="T14" s="1705"/>
      <c r="U14" s="1348"/>
      <c r="V14" s="1348"/>
    </row>
    <row r="15" spans="2:39" ht="41.15" customHeight="1">
      <c r="B15" s="1945">
        <v>1032</v>
      </c>
      <c r="C15" s="1704" t="s">
        <v>4988</v>
      </c>
      <c r="D15" s="1705" t="s">
        <v>4471</v>
      </c>
      <c r="E15" s="2107">
        <v>250</v>
      </c>
      <c r="F15" s="1706">
        <v>250</v>
      </c>
      <c r="G15" s="1705"/>
      <c r="H15" s="1705" t="s">
        <v>4471</v>
      </c>
      <c r="I15" s="1705" t="s">
        <v>4471</v>
      </c>
      <c r="J15" s="1707" t="s">
        <v>4471</v>
      </c>
      <c r="K15" s="1707"/>
      <c r="L15" s="6767"/>
      <c r="M15" s="6767"/>
      <c r="N15" s="6768"/>
      <c r="O15" s="6769"/>
      <c r="P15" s="6771"/>
      <c r="Q15" s="6773"/>
      <c r="R15" s="1839">
        <v>250</v>
      </c>
      <c r="S15" s="1953">
        <v>9</v>
      </c>
      <c r="T15" s="1705"/>
      <c r="U15" s="1348"/>
      <c r="V15" s="1348"/>
    </row>
    <row r="16" spans="2:39" ht="41.15" customHeight="1">
      <c r="B16" s="1945">
        <v>179</v>
      </c>
      <c r="C16" s="1704" t="s">
        <v>4989</v>
      </c>
      <c r="D16" s="1705" t="s">
        <v>4990</v>
      </c>
      <c r="E16" s="2107">
        <v>45</v>
      </c>
      <c r="F16" s="1706">
        <v>252</v>
      </c>
      <c r="G16" s="1708"/>
      <c r="H16" s="1705" t="s">
        <v>4985</v>
      </c>
      <c r="I16" s="1705" t="s">
        <v>4985</v>
      </c>
      <c r="J16" s="1707" t="s">
        <v>2988</v>
      </c>
      <c r="K16" s="1707"/>
      <c r="L16" s="6767"/>
      <c r="M16" s="6767"/>
      <c r="N16" s="6768"/>
      <c r="O16" s="6769"/>
      <c r="P16" s="6771"/>
      <c r="Q16" s="6773"/>
      <c r="R16" s="1839">
        <v>41</v>
      </c>
      <c r="S16" s="1953">
        <v>9</v>
      </c>
      <c r="T16" s="1705"/>
      <c r="U16" s="1348"/>
      <c r="V16" s="1348"/>
    </row>
    <row r="17" spans="2:22" ht="41.15" customHeight="1">
      <c r="B17" s="1946">
        <v>127</v>
      </c>
      <c r="C17" s="1834" t="s">
        <v>2729</v>
      </c>
      <c r="D17" s="1705" t="s">
        <v>4343</v>
      </c>
      <c r="E17" s="2107">
        <v>61</v>
      </c>
      <c r="F17" s="1706">
        <v>63</v>
      </c>
      <c r="G17" s="1318"/>
      <c r="H17" s="1705" t="s">
        <v>2989</v>
      </c>
      <c r="I17" s="1705" t="s">
        <v>4991</v>
      </c>
      <c r="J17" s="1707" t="s">
        <v>2989</v>
      </c>
      <c r="K17" s="1707"/>
      <c r="L17" s="6767"/>
      <c r="M17" s="6767"/>
      <c r="N17" s="6768"/>
      <c r="O17" s="6769"/>
      <c r="P17" s="6771"/>
      <c r="Q17" s="6773"/>
      <c r="R17" s="1839">
        <v>120</v>
      </c>
      <c r="S17" s="1953">
        <v>9</v>
      </c>
      <c r="T17" s="1709" t="s">
        <v>4992</v>
      </c>
      <c r="U17" s="1348"/>
      <c r="V17" s="1348"/>
    </row>
    <row r="18" spans="2:22" ht="41.15" customHeight="1" thickBot="1">
      <c r="B18" s="1946">
        <v>34</v>
      </c>
      <c r="C18" s="1710" t="s">
        <v>4993</v>
      </c>
      <c r="D18" s="1705" t="s">
        <v>4343</v>
      </c>
      <c r="E18" s="2107">
        <v>120</v>
      </c>
      <c r="F18" s="1706">
        <v>271</v>
      </c>
      <c r="G18" s="1318"/>
      <c r="H18" s="1705" t="s">
        <v>2989</v>
      </c>
      <c r="I18" s="1705" t="s">
        <v>2989</v>
      </c>
      <c r="J18" s="1707" t="s">
        <v>2989</v>
      </c>
      <c r="K18" s="1707"/>
      <c r="L18" s="6767"/>
      <c r="M18" s="6767"/>
      <c r="N18" s="6768"/>
      <c r="O18" s="6769"/>
      <c r="P18" s="6771"/>
      <c r="Q18" s="6773"/>
      <c r="R18" s="1839">
        <v>233</v>
      </c>
      <c r="S18" s="1953">
        <v>9</v>
      </c>
      <c r="T18" s="1705" t="s">
        <v>4994</v>
      </c>
      <c r="U18" s="1346"/>
      <c r="V18" s="1346"/>
    </row>
    <row r="19" spans="2:22" ht="41.15" customHeight="1" thickBot="1">
      <c r="B19" s="1945">
        <v>70</v>
      </c>
      <c r="C19" s="1710" t="s">
        <v>4995</v>
      </c>
      <c r="D19" s="1705" t="s">
        <v>4996</v>
      </c>
      <c r="E19" s="2108">
        <v>233</v>
      </c>
      <c r="F19" s="1705">
        <v>233</v>
      </c>
      <c r="G19" s="1249"/>
      <c r="H19" s="1705" t="s">
        <v>4997</v>
      </c>
      <c r="I19" s="1705" t="s">
        <v>2988</v>
      </c>
      <c r="J19" s="1707" t="s">
        <v>4997</v>
      </c>
      <c r="K19" s="1707"/>
      <c r="L19" s="6767"/>
      <c r="M19" s="6767"/>
      <c r="N19" s="6768"/>
      <c r="O19" s="6769"/>
      <c r="P19" s="6771"/>
      <c r="Q19" s="6773"/>
      <c r="R19" s="1839">
        <v>63</v>
      </c>
      <c r="S19" s="1953">
        <v>9</v>
      </c>
      <c r="T19" s="1709" t="s">
        <v>4998</v>
      </c>
      <c r="U19" s="1711">
        <f>SUM($E$10:E19)</f>
        <v>1562</v>
      </c>
      <c r="V19" s="1711">
        <f>COUNTA($C$10:C19)</f>
        <v>10</v>
      </c>
    </row>
    <row r="20" spans="2:22" ht="41.15" customHeight="1">
      <c r="E20" s="2109"/>
      <c r="G20" s="1712"/>
    </row>
    <row r="21" spans="2:22" ht="16">
      <c r="G21" s="1712"/>
    </row>
    <row r="22" spans="2:22" ht="45" customHeight="1">
      <c r="C22" s="1730" t="s">
        <v>280</v>
      </c>
      <c r="E22" s="2110">
        <f>SUM(E10:E19)</f>
        <v>1562</v>
      </c>
      <c r="G22" s="1712"/>
    </row>
    <row r="23" spans="2:22" ht="16">
      <c r="E23" s="2111" t="s">
        <v>4999</v>
      </c>
      <c r="G23" s="1712"/>
    </row>
    <row r="24" spans="2:22" ht="16">
      <c r="E24" s="2111"/>
      <c r="G24" s="1712"/>
    </row>
    <row r="25" spans="2:22" ht="16">
      <c r="E25" s="2111"/>
      <c r="G25" s="1712"/>
    </row>
    <row r="26" spans="2:22" s="1278" customFormat="1" ht="16">
      <c r="B26" s="1928"/>
      <c r="E26" s="2111"/>
      <c r="G26" s="1217"/>
      <c r="H26" s="1217"/>
      <c r="I26" s="1217"/>
      <c r="J26" s="1217"/>
      <c r="K26" s="1217"/>
      <c r="L26" s="1217"/>
      <c r="M26" s="1217"/>
      <c r="O26" s="1217"/>
      <c r="R26" s="1919"/>
      <c r="S26" s="1928"/>
      <c r="T26" s="1217"/>
    </row>
    <row r="27" spans="2:22" s="1278" customFormat="1" ht="16">
      <c r="B27" s="1928"/>
      <c r="E27" s="2111"/>
      <c r="G27" s="1217"/>
      <c r="H27" s="1217"/>
      <c r="I27" s="1217"/>
      <c r="J27" s="1217"/>
      <c r="K27" s="1217"/>
      <c r="L27" s="1217"/>
      <c r="M27" s="1217"/>
      <c r="O27" s="1217"/>
      <c r="R27" s="1919"/>
      <c r="S27" s="1928"/>
      <c r="T27" s="1217"/>
    </row>
    <row r="28" spans="2:22" s="1278" customFormat="1" ht="16">
      <c r="B28" s="1928"/>
      <c r="E28" s="2111"/>
      <c r="G28" s="1217"/>
      <c r="H28" s="1217"/>
      <c r="I28" s="1217"/>
      <c r="J28" s="1217"/>
      <c r="K28" s="1217"/>
      <c r="L28" s="1217"/>
      <c r="M28" s="1217"/>
      <c r="O28" s="1217"/>
      <c r="R28" s="1919"/>
      <c r="S28" s="1928"/>
      <c r="T28" s="1217"/>
    </row>
    <row r="29" spans="2:22" s="1278" customFormat="1" ht="16">
      <c r="B29" s="1928"/>
      <c r="E29" s="2111"/>
      <c r="G29" s="1217"/>
      <c r="H29" s="1217"/>
      <c r="I29" s="1217"/>
      <c r="J29" s="1217"/>
      <c r="K29" s="1217"/>
      <c r="L29" s="1217"/>
      <c r="M29" s="1217"/>
      <c r="O29" s="1217"/>
      <c r="R29" s="1919"/>
      <c r="S29" s="1928"/>
      <c r="T29" s="1217"/>
    </row>
    <row r="30" spans="2:22" s="1278" customFormat="1" ht="16">
      <c r="B30" s="1928"/>
      <c r="E30" s="2111"/>
      <c r="G30" s="1217"/>
      <c r="H30" s="1217"/>
      <c r="I30" s="1217"/>
      <c r="J30" s="1217"/>
      <c r="K30" s="1217"/>
      <c r="L30" s="1217"/>
      <c r="M30" s="1217"/>
      <c r="O30" s="1217"/>
      <c r="R30" s="1919"/>
      <c r="S30" s="1928"/>
      <c r="T30" s="1217"/>
    </row>
    <row r="31" spans="2:22" s="1278" customFormat="1" ht="16">
      <c r="B31" s="1928"/>
      <c r="E31" s="2111"/>
      <c r="G31" s="1217"/>
      <c r="H31" s="1217"/>
      <c r="I31" s="1217"/>
      <c r="J31" s="1217"/>
      <c r="K31" s="1217"/>
      <c r="L31" s="1217"/>
      <c r="M31" s="1217"/>
      <c r="O31" s="1217"/>
      <c r="R31" s="1919"/>
      <c r="S31" s="1928"/>
      <c r="T31" s="1217"/>
    </row>
    <row r="32" spans="2:22" s="1278" customFormat="1" ht="16">
      <c r="B32" s="1928"/>
      <c r="E32" s="2111"/>
      <c r="G32" s="1217"/>
      <c r="H32" s="1217"/>
      <c r="I32" s="1217"/>
      <c r="J32" s="1217"/>
      <c r="K32" s="1217"/>
      <c r="L32" s="1217"/>
      <c r="M32" s="1217"/>
      <c r="O32" s="1217"/>
      <c r="R32" s="1919"/>
      <c r="S32" s="1928"/>
      <c r="T32" s="1217"/>
    </row>
  </sheetData>
  <mergeCells count="25">
    <mergeCell ref="U8:U9"/>
    <mergeCell ref="V8:V9"/>
    <mergeCell ref="T3:T4"/>
    <mergeCell ref="U3:U4"/>
    <mergeCell ref="V3:V4"/>
    <mergeCell ref="T8:T9"/>
    <mergeCell ref="L10:M19"/>
    <mergeCell ref="N10:N19"/>
    <mergeCell ref="O10:O19"/>
    <mergeCell ref="P10:P19"/>
    <mergeCell ref="Q10:Q19"/>
    <mergeCell ref="L3:M4"/>
    <mergeCell ref="N3:N4"/>
    <mergeCell ref="O3:O4"/>
    <mergeCell ref="P3:Q3"/>
    <mergeCell ref="C8:C9"/>
    <mergeCell ref="D8:K8"/>
    <mergeCell ref="C3:C4"/>
    <mergeCell ref="D3:K3"/>
    <mergeCell ref="L5:M5"/>
    <mergeCell ref="L8:M9"/>
    <mergeCell ref="N8:N9"/>
    <mergeCell ref="O8:O9"/>
    <mergeCell ref="P8:Q8"/>
    <mergeCell ref="L6:M6"/>
  </mergeCells>
  <phoneticPr fontId="2"/>
  <pageMargins left="0" right="0" top="0" bottom="0" header="0" footer="0"/>
  <pageSetup paperSize="8" scale="55" orientation="landscape" r:id="rId1"/>
  <headerFooter>
    <oddFooter>&amp;C&amp;"Meiryo UI,標準"&amp;12&amp;P / &amp;N ページ</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C9122-0BE1-44D9-A607-254FDED804ED}">
  <sheetPr codeName="Sheet299">
    <tabColor rgb="FFFFFF00"/>
    <pageSetUpPr fitToPage="1"/>
  </sheetPr>
  <dimension ref="B1:U19"/>
  <sheetViews>
    <sheetView topLeftCell="A2" zoomScale="55" zoomScaleNormal="55" zoomScaleSheetLayoutView="50" workbookViewId="0">
      <selection activeCell="U5" sqref="U5:U16"/>
    </sheetView>
  </sheetViews>
  <sheetFormatPr defaultColWidth="9.54296875" defaultRowHeight="14"/>
  <cols>
    <col min="1" max="1" width="6" style="1376" customWidth="1"/>
    <col min="2" max="3" width="11.453125" style="1713" customWidth="1"/>
    <col min="4" max="4" width="27.453125" style="1713" customWidth="1"/>
    <col min="5" max="5" width="9.54296875" style="1713"/>
    <col min="6" max="6" width="49.453125" style="1714" customWidth="1"/>
    <col min="7" max="12" width="9.54296875" style="1376"/>
    <col min="13" max="14" width="9.54296875" style="3763"/>
    <col min="15" max="19" width="9.54296875" style="1376"/>
    <col min="20" max="20" width="16.7265625" style="1376" bestFit="1" customWidth="1"/>
    <col min="21" max="16384" width="9.54296875" style="1376"/>
  </cols>
  <sheetData>
    <row r="1" spans="2:21" ht="40" customHeight="1">
      <c r="G1" s="1713"/>
      <c r="H1" s="1713"/>
      <c r="I1" s="1713"/>
      <c r="J1" s="1713"/>
      <c r="K1" s="1713"/>
      <c r="N1" s="1376"/>
      <c r="T1" s="3784">
        <v>45818</v>
      </c>
    </row>
    <row r="2" spans="2:21" s="1715" customFormat="1" ht="68.150000000000006" customHeight="1">
      <c r="B2" s="6777" t="s">
        <v>5000</v>
      </c>
      <c r="C2" s="6778"/>
      <c r="D2" s="6778"/>
      <c r="E2" s="6778"/>
      <c r="F2" s="6778"/>
      <c r="G2" s="6778"/>
      <c r="H2" s="6778"/>
      <c r="I2" s="6778"/>
      <c r="J2" s="6778"/>
      <c r="K2" s="6778"/>
      <c r="L2" s="6778"/>
      <c r="M2" s="6778"/>
      <c r="N2" s="6778"/>
      <c r="O2" s="6778"/>
      <c r="P2" s="6778"/>
      <c r="Q2" s="6778"/>
      <c r="R2" s="6778"/>
      <c r="S2" s="6778"/>
      <c r="T2" s="6778"/>
    </row>
    <row r="3" spans="2:21" ht="18" customHeight="1">
      <c r="B3" s="6693" t="s">
        <v>4489</v>
      </c>
      <c r="C3" s="6697" t="s">
        <v>4490</v>
      </c>
      <c r="D3" s="6694" t="s">
        <v>4487</v>
      </c>
      <c r="E3" s="6693" t="s">
        <v>4488</v>
      </c>
      <c r="F3" s="6697" t="s">
        <v>2103</v>
      </c>
      <c r="G3" s="6693" t="s">
        <v>4491</v>
      </c>
      <c r="H3" s="1917" t="s">
        <v>5001</v>
      </c>
      <c r="I3" s="1917"/>
      <c r="J3" s="1917" t="s">
        <v>5002</v>
      </c>
      <c r="K3" s="1917"/>
      <c r="L3" s="1917"/>
      <c r="M3" s="6779" t="s">
        <v>5003</v>
      </c>
      <c r="N3" s="3783"/>
      <c r="O3" s="6697" t="s">
        <v>4496</v>
      </c>
      <c r="P3" s="6698"/>
      <c r="Q3" s="6698"/>
      <c r="R3" s="6697" t="s">
        <v>4497</v>
      </c>
      <c r="S3" s="6698"/>
      <c r="T3" s="6693" t="s">
        <v>4498</v>
      </c>
    </row>
    <row r="4" spans="2:21" ht="27">
      <c r="B4" s="6698"/>
      <c r="C4" s="6698"/>
      <c r="D4" s="6695"/>
      <c r="E4" s="6698"/>
      <c r="F4" s="6698"/>
      <c r="G4" s="6698"/>
      <c r="H4" s="1721" t="s">
        <v>3778</v>
      </c>
      <c r="I4" s="1721" t="s">
        <v>4516</v>
      </c>
      <c r="J4" s="1721" t="s">
        <v>3778</v>
      </c>
      <c r="K4" s="1721" t="s">
        <v>4516</v>
      </c>
      <c r="L4" s="3782" t="s">
        <v>4517</v>
      </c>
      <c r="M4" s="6780"/>
      <c r="N4" s="3807" t="s">
        <v>2551</v>
      </c>
      <c r="O4" s="1722" t="s">
        <v>3783</v>
      </c>
      <c r="P4" s="1723" t="s">
        <v>3784</v>
      </c>
      <c r="Q4" s="1724" t="s">
        <v>3785</v>
      </c>
      <c r="R4" s="1722" t="s">
        <v>2591</v>
      </c>
      <c r="S4" s="1725" t="s">
        <v>2592</v>
      </c>
      <c r="T4" s="6693"/>
      <c r="U4" s="1376" t="s">
        <v>2928</v>
      </c>
    </row>
    <row r="5" spans="2:21" ht="32.15" customHeight="1">
      <c r="B5" s="3769" t="s">
        <v>3841</v>
      </c>
      <c r="C5" s="3769" t="s">
        <v>2127</v>
      </c>
      <c r="D5" s="3775" t="s">
        <v>239</v>
      </c>
      <c r="E5" s="3769">
        <v>47</v>
      </c>
      <c r="F5" s="3775" t="s">
        <v>4528</v>
      </c>
      <c r="G5" s="3769" t="s">
        <v>2610</v>
      </c>
      <c r="H5" s="1728">
        <v>161</v>
      </c>
      <c r="I5" s="1728">
        <v>162</v>
      </c>
      <c r="J5" s="3778">
        <v>80</v>
      </c>
      <c r="K5" s="3777">
        <v>162</v>
      </c>
      <c r="L5" s="3776">
        <v>1</v>
      </c>
      <c r="M5" s="3774">
        <v>80</v>
      </c>
      <c r="N5" s="3808">
        <v>15</v>
      </c>
      <c r="O5" s="3773" t="s">
        <v>2133</v>
      </c>
      <c r="P5" s="3772" t="s">
        <v>2688</v>
      </c>
      <c r="Q5" s="3770" t="s">
        <v>2688</v>
      </c>
      <c r="R5" s="3771" t="s">
        <v>2854</v>
      </c>
      <c r="S5" s="3770" t="s">
        <v>2854</v>
      </c>
      <c r="T5" s="3769" t="s">
        <v>2129</v>
      </c>
      <c r="U5" s="1376">
        <f t="shared" ref="U5:U16" si="0">M5*N5</f>
        <v>1200</v>
      </c>
    </row>
    <row r="6" spans="2:21" ht="32.15" customHeight="1">
      <c r="B6" s="3769" t="s">
        <v>3841</v>
      </c>
      <c r="C6" s="3769" t="s">
        <v>2127</v>
      </c>
      <c r="D6" s="3775" t="s">
        <v>239</v>
      </c>
      <c r="E6" s="3769">
        <v>75</v>
      </c>
      <c r="F6" s="3775" t="s">
        <v>4544</v>
      </c>
      <c r="G6" s="3769" t="s">
        <v>2609</v>
      </c>
      <c r="H6" s="1728">
        <v>262</v>
      </c>
      <c r="I6" s="1728">
        <v>262</v>
      </c>
      <c r="J6" s="3778">
        <v>130</v>
      </c>
      <c r="K6" s="3777">
        <v>80</v>
      </c>
      <c r="L6" s="3776">
        <v>0.30534351145038169</v>
      </c>
      <c r="M6" s="3774">
        <v>130</v>
      </c>
      <c r="N6" s="3808">
        <v>15</v>
      </c>
      <c r="O6" s="3773" t="s">
        <v>2133</v>
      </c>
      <c r="P6" s="3772" t="s">
        <v>2688</v>
      </c>
      <c r="Q6" s="3770" t="s">
        <v>2688</v>
      </c>
      <c r="R6" s="3771" t="s">
        <v>2854</v>
      </c>
      <c r="S6" s="3770" t="s">
        <v>2854</v>
      </c>
      <c r="T6" s="3769" t="s">
        <v>2129</v>
      </c>
      <c r="U6" s="1376">
        <f t="shared" si="0"/>
        <v>1950</v>
      </c>
    </row>
    <row r="7" spans="2:21" ht="32.15" customHeight="1">
      <c r="B7" s="3769" t="s">
        <v>3874</v>
      </c>
      <c r="C7" s="3769" t="s">
        <v>2127</v>
      </c>
      <c r="D7" s="3775" t="s">
        <v>239</v>
      </c>
      <c r="E7" s="3769">
        <v>28</v>
      </c>
      <c r="F7" s="3775" t="s">
        <v>5004</v>
      </c>
      <c r="G7" s="3769" t="s">
        <v>2609</v>
      </c>
      <c r="H7" s="1728">
        <v>179</v>
      </c>
      <c r="I7" s="1728">
        <v>179</v>
      </c>
      <c r="J7" s="3778">
        <v>60</v>
      </c>
      <c r="K7" s="3777">
        <v>74</v>
      </c>
      <c r="L7" s="3776">
        <v>0.41340782122905029</v>
      </c>
      <c r="M7" s="3774">
        <v>60</v>
      </c>
      <c r="N7" s="3808">
        <v>15</v>
      </c>
      <c r="O7" s="3773" t="s">
        <v>2133</v>
      </c>
      <c r="P7" s="3772" t="s">
        <v>2688</v>
      </c>
      <c r="Q7" s="3770" t="s">
        <v>2688</v>
      </c>
      <c r="R7" s="3771" t="s">
        <v>2854</v>
      </c>
      <c r="S7" s="3770" t="s">
        <v>2854</v>
      </c>
      <c r="T7" s="3769" t="s">
        <v>2129</v>
      </c>
      <c r="U7" s="1376">
        <f>M7*N7</f>
        <v>900</v>
      </c>
    </row>
    <row r="8" spans="2:21" ht="32.15" customHeight="1">
      <c r="B8" s="3769" t="s">
        <v>3874</v>
      </c>
      <c r="C8" s="3769" t="s">
        <v>2127</v>
      </c>
      <c r="D8" s="3775" t="s">
        <v>239</v>
      </c>
      <c r="E8" s="3769">
        <v>76</v>
      </c>
      <c r="F8" s="3775" t="s">
        <v>4545</v>
      </c>
      <c r="G8" s="3769" t="s">
        <v>2609</v>
      </c>
      <c r="H8" s="1728">
        <v>156</v>
      </c>
      <c r="I8" s="1728">
        <v>186</v>
      </c>
      <c r="J8" s="3778">
        <v>60</v>
      </c>
      <c r="K8" s="3777">
        <v>50</v>
      </c>
      <c r="L8" s="3776">
        <v>0.32051282051282054</v>
      </c>
      <c r="M8" s="3774">
        <v>60</v>
      </c>
      <c r="N8" s="3808">
        <v>15</v>
      </c>
      <c r="O8" s="3773" t="s">
        <v>2133</v>
      </c>
      <c r="P8" s="3772" t="s">
        <v>2688</v>
      </c>
      <c r="Q8" s="3770" t="s">
        <v>2688</v>
      </c>
      <c r="R8" s="3771" t="s">
        <v>2854</v>
      </c>
      <c r="S8" s="3770" t="s">
        <v>2854</v>
      </c>
      <c r="T8" s="3769" t="s">
        <v>2129</v>
      </c>
      <c r="U8" s="1376">
        <f t="shared" si="0"/>
        <v>900</v>
      </c>
    </row>
    <row r="9" spans="2:21" ht="32.15" customHeight="1">
      <c r="B9" s="3769" t="s">
        <v>3841</v>
      </c>
      <c r="C9" s="3769" t="s">
        <v>2127</v>
      </c>
      <c r="D9" s="3775" t="s">
        <v>239</v>
      </c>
      <c r="E9" s="3779">
        <v>1006</v>
      </c>
      <c r="F9" s="3775" t="s">
        <v>5005</v>
      </c>
      <c r="G9" s="3769" t="s">
        <v>2609</v>
      </c>
      <c r="H9" s="1728">
        <v>229</v>
      </c>
      <c r="I9" s="1728">
        <v>232</v>
      </c>
      <c r="J9" s="3778">
        <v>30</v>
      </c>
      <c r="K9" s="3777">
        <v>100</v>
      </c>
      <c r="L9" s="3776">
        <v>0.4366812227074236</v>
      </c>
      <c r="M9" s="3774">
        <v>30</v>
      </c>
      <c r="N9" s="3808">
        <v>15</v>
      </c>
      <c r="O9" s="3773" t="s">
        <v>2133</v>
      </c>
      <c r="P9" s="3772" t="s">
        <v>2688</v>
      </c>
      <c r="Q9" s="3770" t="s">
        <v>2688</v>
      </c>
      <c r="R9" s="3771" t="s">
        <v>2854</v>
      </c>
      <c r="S9" s="3770" t="s">
        <v>2854</v>
      </c>
      <c r="T9" s="1917"/>
      <c r="U9" s="1376">
        <f t="shared" ref="U9:U10" si="1">M9*N9</f>
        <v>450</v>
      </c>
    </row>
    <row r="10" spans="2:21" ht="32.15" customHeight="1">
      <c r="B10" s="3769" t="s">
        <v>3841</v>
      </c>
      <c r="C10" s="3769" t="s">
        <v>2127</v>
      </c>
      <c r="D10" s="3775" t="s">
        <v>239</v>
      </c>
      <c r="E10" s="3769">
        <v>1017</v>
      </c>
      <c r="F10" s="3775" t="s">
        <v>4559</v>
      </c>
      <c r="G10" s="3769" t="s">
        <v>2610</v>
      </c>
      <c r="H10" s="1728">
        <v>102</v>
      </c>
      <c r="I10" s="1728">
        <v>114</v>
      </c>
      <c r="J10" s="3768">
        <v>80</v>
      </c>
      <c r="K10" s="3767">
        <v>114</v>
      </c>
      <c r="L10" s="3766">
        <v>1</v>
      </c>
      <c r="M10" s="3774">
        <v>80</v>
      </c>
      <c r="N10" s="3808">
        <v>15</v>
      </c>
      <c r="O10" s="3773" t="s">
        <v>2133</v>
      </c>
      <c r="P10" s="3772" t="s">
        <v>2133</v>
      </c>
      <c r="Q10" s="3770" t="s">
        <v>2133</v>
      </c>
      <c r="R10" s="3771" t="s">
        <v>2854</v>
      </c>
      <c r="S10" s="3770" t="s">
        <v>2854</v>
      </c>
      <c r="T10" s="3769" t="s">
        <v>2129</v>
      </c>
      <c r="U10" s="1376">
        <f t="shared" si="1"/>
        <v>1200</v>
      </c>
    </row>
    <row r="11" spans="2:21" ht="32.15" customHeight="1">
      <c r="B11" s="3769" t="s">
        <v>3874</v>
      </c>
      <c r="C11" s="3769" t="s">
        <v>2127</v>
      </c>
      <c r="D11" s="3775" t="s">
        <v>239</v>
      </c>
      <c r="E11" s="3781">
        <v>1018</v>
      </c>
      <c r="F11" s="3780" t="s">
        <v>6936</v>
      </c>
      <c r="G11" s="3781"/>
      <c r="H11" s="6196">
        <v>403</v>
      </c>
      <c r="I11" s="6196">
        <v>403</v>
      </c>
      <c r="J11" s="6197">
        <v>176</v>
      </c>
      <c r="K11" s="6198"/>
      <c r="L11" s="6199"/>
      <c r="M11" s="3774">
        <v>176</v>
      </c>
      <c r="N11" s="3808">
        <v>15</v>
      </c>
      <c r="O11" s="6200"/>
      <c r="P11" s="6201"/>
      <c r="Q11" s="6202"/>
      <c r="R11" s="6203"/>
      <c r="S11" s="6202"/>
      <c r="T11" s="3781"/>
      <c r="U11" s="1376">
        <f t="shared" si="0"/>
        <v>2640</v>
      </c>
    </row>
    <row r="12" spans="2:21" ht="32.15" customHeight="1">
      <c r="B12" s="3769" t="s">
        <v>3874</v>
      </c>
      <c r="C12" s="3769" t="s">
        <v>2127</v>
      </c>
      <c r="D12" s="3775" t="s">
        <v>239</v>
      </c>
      <c r="E12" s="3769">
        <v>68</v>
      </c>
      <c r="F12" s="3775" t="s">
        <v>6977</v>
      </c>
      <c r="G12" s="3769"/>
      <c r="H12" s="1831">
        <v>40</v>
      </c>
      <c r="I12" s="1831">
        <v>50</v>
      </c>
      <c r="J12" s="1831">
        <v>10</v>
      </c>
      <c r="K12" s="1832"/>
      <c r="L12" s="1833"/>
      <c r="M12" s="6208">
        <v>10</v>
      </c>
      <c r="N12" s="3808">
        <v>15</v>
      </c>
      <c r="O12" s="3773"/>
      <c r="P12" s="3772"/>
      <c r="Q12" s="3770"/>
      <c r="R12" s="3771"/>
      <c r="S12" s="3770"/>
      <c r="T12" s="3769"/>
      <c r="U12" s="1376">
        <f t="shared" si="0"/>
        <v>150</v>
      </c>
    </row>
    <row r="13" spans="2:21" ht="32.15" customHeight="1">
      <c r="B13" s="3769" t="s">
        <v>3874</v>
      </c>
      <c r="C13" s="3769" t="s">
        <v>2127</v>
      </c>
      <c r="D13" s="3775" t="s">
        <v>239</v>
      </c>
      <c r="E13" s="3769">
        <v>77</v>
      </c>
      <c r="F13" s="3775" t="s">
        <v>3680</v>
      </c>
      <c r="G13" s="3769"/>
      <c r="H13" s="1831">
        <v>250</v>
      </c>
      <c r="I13" s="1831">
        <v>251</v>
      </c>
      <c r="J13" s="1831">
        <v>34</v>
      </c>
      <c r="K13" s="1832"/>
      <c r="L13" s="1833"/>
      <c r="M13" s="6208">
        <v>34</v>
      </c>
      <c r="N13" s="3808">
        <v>15</v>
      </c>
      <c r="O13" s="3773"/>
      <c r="P13" s="3772"/>
      <c r="Q13" s="3770"/>
      <c r="R13" s="3771"/>
      <c r="S13" s="3770"/>
      <c r="T13" s="3769"/>
      <c r="U13" s="1376">
        <f t="shared" si="0"/>
        <v>510</v>
      </c>
    </row>
    <row r="14" spans="2:21" ht="32.15" customHeight="1">
      <c r="B14" s="3769" t="s">
        <v>3874</v>
      </c>
      <c r="C14" s="3769" t="s">
        <v>2127</v>
      </c>
      <c r="D14" s="3775" t="s">
        <v>239</v>
      </c>
      <c r="E14" s="3769">
        <v>1016</v>
      </c>
      <c r="F14" s="3775" t="s">
        <v>5620</v>
      </c>
      <c r="G14" s="3769"/>
      <c r="H14" s="1831">
        <v>147</v>
      </c>
      <c r="I14" s="1831">
        <v>159</v>
      </c>
      <c r="J14" s="1831">
        <v>80</v>
      </c>
      <c r="K14" s="1832"/>
      <c r="L14" s="1833"/>
      <c r="M14" s="6208">
        <v>80</v>
      </c>
      <c r="N14" s="3808">
        <v>15</v>
      </c>
      <c r="O14" s="3773"/>
      <c r="P14" s="3772"/>
      <c r="Q14" s="3770"/>
      <c r="R14" s="3771"/>
      <c r="S14" s="3770"/>
      <c r="T14" s="3769"/>
      <c r="U14" s="1376">
        <f t="shared" si="0"/>
        <v>1200</v>
      </c>
    </row>
    <row r="15" spans="2:21" ht="32.15" customHeight="1">
      <c r="B15" s="3769" t="s">
        <v>3874</v>
      </c>
      <c r="C15" s="3769" t="s">
        <v>2127</v>
      </c>
      <c r="D15" s="3775" t="s">
        <v>239</v>
      </c>
      <c r="E15" s="3769">
        <v>186</v>
      </c>
      <c r="F15" s="3775" t="s">
        <v>6974</v>
      </c>
      <c r="G15" s="3769"/>
      <c r="H15" s="1831">
        <v>205</v>
      </c>
      <c r="I15" s="1831">
        <v>205</v>
      </c>
      <c r="J15" s="1831">
        <v>150</v>
      </c>
      <c r="K15" s="1832"/>
      <c r="L15" s="1833"/>
      <c r="M15" s="6208">
        <v>150</v>
      </c>
      <c r="N15" s="3808">
        <v>15</v>
      </c>
      <c r="O15" s="3773"/>
      <c r="P15" s="3772"/>
      <c r="Q15" s="3770"/>
      <c r="R15" s="3771"/>
      <c r="S15" s="3770"/>
      <c r="T15" s="3769"/>
      <c r="U15" s="1376">
        <f t="shared" si="0"/>
        <v>2250</v>
      </c>
    </row>
    <row r="16" spans="2:21" ht="32.15" customHeight="1">
      <c r="B16" s="3769" t="s">
        <v>3841</v>
      </c>
      <c r="C16" s="3769" t="s">
        <v>2127</v>
      </c>
      <c r="D16" s="3775" t="s">
        <v>239</v>
      </c>
      <c r="E16" s="6204">
        <v>83</v>
      </c>
      <c r="F16" s="6205" t="s">
        <v>4553</v>
      </c>
      <c r="G16" s="6204" t="s">
        <v>2609</v>
      </c>
      <c r="H16" s="1829">
        <v>237</v>
      </c>
      <c r="I16" s="1831">
        <v>237</v>
      </c>
      <c r="J16" s="1831">
        <v>110</v>
      </c>
      <c r="K16" s="1832">
        <v>70</v>
      </c>
      <c r="L16" s="1833">
        <v>0.29535864978902954</v>
      </c>
      <c r="M16" s="6208">
        <v>110</v>
      </c>
      <c r="N16" s="6208">
        <v>15</v>
      </c>
      <c r="O16" s="3773" t="s">
        <v>2133</v>
      </c>
      <c r="P16" s="3772" t="s">
        <v>2688</v>
      </c>
      <c r="Q16" s="6206" t="s">
        <v>2688</v>
      </c>
      <c r="R16" s="6207" t="s">
        <v>2854</v>
      </c>
      <c r="S16" s="6206" t="s">
        <v>2854</v>
      </c>
      <c r="T16" s="6204" t="s">
        <v>2129</v>
      </c>
      <c r="U16" s="1376">
        <f t="shared" si="0"/>
        <v>1650</v>
      </c>
    </row>
    <row r="17" spans="8:21">
      <c r="H17" s="3765">
        <f>SUM(H5:H16)</f>
        <v>2371</v>
      </c>
      <c r="J17" s="3765">
        <f>SUM(J5:J16)</f>
        <v>1000</v>
      </c>
      <c r="M17" s="3765">
        <f>SUM(M5:M16)</f>
        <v>1000</v>
      </c>
      <c r="N17" s="3765"/>
      <c r="U17" s="1376">
        <f>SUM(U5:U16)</f>
        <v>15000</v>
      </c>
    </row>
    <row r="18" spans="8:21">
      <c r="H18" s="3765"/>
    </row>
    <row r="19" spans="8:21">
      <c r="H19" s="3764"/>
    </row>
  </sheetData>
  <autoFilter ref="B4:T18" xr:uid="{C25B58E5-3965-42BE-A8E3-C29648764AD9}"/>
  <mergeCells count="11">
    <mergeCell ref="T3:T4"/>
    <mergeCell ref="B2:T2"/>
    <mergeCell ref="B3:B4"/>
    <mergeCell ref="C3:C4"/>
    <mergeCell ref="D3:D4"/>
    <mergeCell ref="E3:E4"/>
    <mergeCell ref="F3:F4"/>
    <mergeCell ref="G3:G4"/>
    <mergeCell ref="M3:M4"/>
    <mergeCell ref="O3:Q3"/>
    <mergeCell ref="R3:S3"/>
  </mergeCells>
  <phoneticPr fontId="2"/>
  <printOptions horizontalCentered="1"/>
  <pageMargins left="0.23622047244094491" right="0.23622047244094491" top="0.59055118110236227" bottom="0.59055118110236227" header="0.19685039370078741" footer="0.19685039370078741"/>
  <pageSetup paperSize="8" scale="83" orientation="landscape" r:id="rId1"/>
  <headerFooter scaleWithDoc="0">
    <oddFooter>&amp;L&amp;"Meiryo UI,標準"&amp;10　    　　　「全館貸切可」と記載されている施設でもスタッフの対応上、満館での受入ができない、また予備控室の確保等の理由で客室提供率が100%でない施設がある。 
　　    　　ファンクションルームの保有/提供数について、分割利用できる会場は分割した会場数を記した。制限のある会場を含む場合（）で記した。
&amp;C&amp;10
&amp;"Meiryo UI,標準"&amp;P</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F5228-9EA8-46A7-B0C0-31DEB5B1E582}">
  <sheetPr codeName="Sheet312">
    <tabColor rgb="FFFFFF66"/>
    <pageSetUpPr fitToPage="1"/>
  </sheetPr>
  <dimension ref="A1:AG37"/>
  <sheetViews>
    <sheetView zoomScale="40" zoomScaleNormal="40" zoomScaleSheetLayoutView="70" workbookViewId="0">
      <selection activeCell="A20" sqref="A20:B24"/>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1796875" style="4656" customWidth="1"/>
    <col min="8" max="8" width="7.54296875" style="4657" customWidth="1"/>
    <col min="9" max="9" width="30.179687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269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6.1796875" style="4657" bestFit="1" customWidth="1"/>
    <col min="31" max="31" width="22.1796875" style="4657" customWidth="1"/>
    <col min="32" max="33" width="34.1796875" style="4657" customWidth="1"/>
    <col min="34" max="16384" width="9.81640625" style="4657"/>
  </cols>
  <sheetData>
    <row r="1" spans="1:33" ht="21" customHeight="1" thickBot="1">
      <c r="R1" s="4656"/>
      <c r="T1" s="4660"/>
      <c r="V1" s="4656"/>
    </row>
    <row r="2" spans="1:33" ht="44.25" customHeight="1" thickBot="1">
      <c r="A2" s="6874" t="s">
        <v>5707</v>
      </c>
      <c r="B2" s="6875"/>
      <c r="C2" s="6876" t="s">
        <v>5708</v>
      </c>
      <c r="D2" s="6876"/>
      <c r="E2" s="6876"/>
      <c r="F2" s="6876"/>
      <c r="G2" s="6876"/>
      <c r="H2" s="4661" t="s">
        <v>5709</v>
      </c>
      <c r="I2" s="4662"/>
      <c r="J2" s="4663"/>
      <c r="L2" s="4808" t="s">
        <v>5748</v>
      </c>
      <c r="M2" s="7106">
        <f>SUM(M8*K8,M9*K9,M10*K10,M11*K11,M12*K12,M13*K13,M14*K14,,M15*K15,M16*K16,M17*K17)</f>
        <v>3010000</v>
      </c>
      <c r="N2" s="4663"/>
      <c r="R2" s="4656"/>
      <c r="T2" s="4660"/>
      <c r="V2" s="4656"/>
      <c r="AD2" s="4664" t="s">
        <v>5710</v>
      </c>
    </row>
    <row r="3" spans="1:33" ht="30" customHeight="1">
      <c r="L3" s="4808" t="s">
        <v>5750</v>
      </c>
      <c r="M3" s="4722">
        <f>M2*1</f>
        <v>3010000</v>
      </c>
      <c r="R3" s="4656"/>
      <c r="T3" s="4660"/>
      <c r="V3" s="4656"/>
    </row>
    <row r="4" spans="1:33" ht="33.75" customHeight="1" thickBot="1">
      <c r="A4" s="4665" t="s">
        <v>5711</v>
      </c>
      <c r="B4" s="4665"/>
      <c r="R4" s="4656"/>
      <c r="V4" s="4656"/>
      <c r="Y4" s="4656"/>
      <c r="Z4" s="4656"/>
      <c r="AA4" s="4656"/>
      <c r="AB4" s="4656"/>
      <c r="AC4" s="4656"/>
      <c r="AE4" s="4656"/>
      <c r="AF4" s="7082" t="s">
        <v>7048</v>
      </c>
      <c r="AG4" s="7083"/>
    </row>
    <row r="5" spans="1:33" s="4666" customFormat="1" ht="33.75" customHeight="1" thickBo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5724</v>
      </c>
      <c r="M5" s="6855" t="s">
        <v>5725</v>
      </c>
      <c r="N5" s="6855" t="s">
        <v>5727</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c r="AF5" s="7084" t="s">
        <v>7049</v>
      </c>
      <c r="AG5" s="7084" t="s">
        <v>7050</v>
      </c>
    </row>
    <row r="6" spans="1:33" s="4666" customFormat="1" ht="20.5" thickBot="1">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c r="AF6" s="7085"/>
      <c r="AG6" s="7086"/>
    </row>
    <row r="7" spans="1:33"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677">
        <v>8000</v>
      </c>
      <c r="O7" s="4678">
        <f>SUM(D7,F7,H7)*K7</f>
        <v>1440</v>
      </c>
      <c r="P7" s="4679">
        <f>(D7*L7+F7*M7+H7*N7)*K7</f>
        <v>14040000</v>
      </c>
      <c r="Q7" s="4675">
        <v>21</v>
      </c>
      <c r="R7" s="4680" t="s">
        <v>5739</v>
      </c>
      <c r="S7" s="4681">
        <v>21</v>
      </c>
      <c r="T7" s="4675">
        <v>1</v>
      </c>
      <c r="U7" s="4675">
        <v>154</v>
      </c>
      <c r="V7" s="4680" t="s">
        <v>4521</v>
      </c>
      <c r="W7" s="4682">
        <v>203</v>
      </c>
      <c r="X7" s="4675">
        <v>1</v>
      </c>
      <c r="Y7" s="4675" t="s">
        <v>5740</v>
      </c>
      <c r="Z7" s="4683" t="s">
        <v>5035</v>
      </c>
      <c r="AA7" s="4675" t="s">
        <v>2830</v>
      </c>
      <c r="AB7" s="4683" t="s">
        <v>5050</v>
      </c>
      <c r="AC7" s="4675" t="s">
        <v>5741</v>
      </c>
      <c r="AD7" s="4684"/>
      <c r="AE7" s="4685"/>
      <c r="AF7" s="7087" t="s">
        <v>246</v>
      </c>
      <c r="AG7" s="7087" t="s">
        <v>246</v>
      </c>
    </row>
    <row r="8" spans="1:33" ht="33.75" customHeight="1">
      <c r="A8" s="4686">
        <v>1</v>
      </c>
      <c r="B8" s="4687">
        <v>46279</v>
      </c>
      <c r="C8" s="4687">
        <v>46281</v>
      </c>
      <c r="D8" s="4672">
        <f t="shared" ref="D8:D13" si="0">IF(_xlfn.DAYS(C8,B8)=0,"1",_xlfn.DAYS(C8,B8))</f>
        <v>2</v>
      </c>
      <c r="E8" s="4688">
        <v>46295</v>
      </c>
      <c r="F8" s="4689">
        <f t="shared" ref="F8:F13" si="1">IF(_xlfn.DAYS(E8,C8)=0,"1",_xlfn.DAYS(E8,C8))+1</f>
        <v>15</v>
      </c>
      <c r="G8" s="4690">
        <v>46297</v>
      </c>
      <c r="H8" s="4672">
        <f t="shared" ref="H8:H13" si="2">IF(_xlfn.DAYS(G8,E8)=0,"1",_xlfn.DAYS(G8,E8))-1</f>
        <v>1</v>
      </c>
      <c r="I8" s="4691" t="s">
        <v>5046</v>
      </c>
      <c r="J8" s="4692">
        <v>126</v>
      </c>
      <c r="K8" s="4693">
        <v>76</v>
      </c>
      <c r="L8" s="4692">
        <v>14000</v>
      </c>
      <c r="M8" s="4692">
        <f>$L$8</f>
        <v>14000</v>
      </c>
      <c r="N8" s="4692">
        <v>14000</v>
      </c>
      <c r="O8" s="4678">
        <f>SUM(D8,F8,H8)*K8</f>
        <v>1368</v>
      </c>
      <c r="P8" s="4679">
        <f>(D8*L8+F8*M8+H8*N8)*K8</f>
        <v>19152000</v>
      </c>
      <c r="Q8" s="4692">
        <v>12.3</v>
      </c>
      <c r="R8" s="4680" t="s">
        <v>5742</v>
      </c>
      <c r="S8" s="4694">
        <v>19</v>
      </c>
      <c r="T8" s="4692">
        <v>1</v>
      </c>
      <c r="U8" s="4692">
        <v>120</v>
      </c>
      <c r="V8" s="4680" t="s">
        <v>4521</v>
      </c>
      <c r="W8" s="4695">
        <v>200</v>
      </c>
      <c r="X8" s="4692">
        <v>1</v>
      </c>
      <c r="Y8" s="4692" t="s">
        <v>5743</v>
      </c>
      <c r="Z8" s="4683" t="s">
        <v>5035</v>
      </c>
      <c r="AA8" s="4692" t="s">
        <v>2814</v>
      </c>
      <c r="AB8" s="4683" t="s">
        <v>5050</v>
      </c>
      <c r="AC8" s="4692" t="s">
        <v>5741</v>
      </c>
      <c r="AD8" s="4696" t="s">
        <v>5744</v>
      </c>
      <c r="AE8" s="4685">
        <f>T8*K8</f>
        <v>76</v>
      </c>
      <c r="AF8" s="7088">
        <f>AE8*SUM(D8,F8,H8)*AF$6</f>
        <v>0</v>
      </c>
      <c r="AG8" s="7088">
        <f>AE8*SUM(D8,F8,H8)*AG$6</f>
        <v>0</v>
      </c>
    </row>
    <row r="9" spans="1:33" ht="33.75" customHeight="1">
      <c r="A9" s="4686">
        <v>2</v>
      </c>
      <c r="B9" s="4687">
        <v>46279</v>
      </c>
      <c r="C9" s="4687">
        <v>46281</v>
      </c>
      <c r="D9" s="4672">
        <f t="shared" si="0"/>
        <v>2</v>
      </c>
      <c r="E9" s="4688">
        <v>46295</v>
      </c>
      <c r="F9" s="4689">
        <f t="shared" si="1"/>
        <v>15</v>
      </c>
      <c r="G9" s="4690">
        <v>46297</v>
      </c>
      <c r="H9" s="4672">
        <f t="shared" si="2"/>
        <v>1</v>
      </c>
      <c r="I9" s="4691" t="s">
        <v>5039</v>
      </c>
      <c r="J9" s="4692">
        <v>62</v>
      </c>
      <c r="K9" s="4693">
        <v>46</v>
      </c>
      <c r="L9" s="4692">
        <v>26600</v>
      </c>
      <c r="M9" s="4692">
        <f>$L$9</f>
        <v>26600</v>
      </c>
      <c r="N9" s="4692">
        <v>26600</v>
      </c>
      <c r="O9" s="4678">
        <f>SUM(D9,F9,H9)*K9</f>
        <v>828</v>
      </c>
      <c r="P9" s="4679">
        <f>(D9*L9+F9*M9+H9*N9)*K9</f>
        <v>22024800</v>
      </c>
      <c r="Q9" s="4692">
        <v>17</v>
      </c>
      <c r="R9" s="4680" t="s">
        <v>5742</v>
      </c>
      <c r="S9" s="4694">
        <v>29</v>
      </c>
      <c r="T9" s="4692">
        <v>2</v>
      </c>
      <c r="U9" s="4692">
        <v>120</v>
      </c>
      <c r="V9" s="4680" t="s">
        <v>4521</v>
      </c>
      <c r="W9" s="4695">
        <v>200</v>
      </c>
      <c r="X9" s="4692">
        <v>2</v>
      </c>
      <c r="Y9" s="4692" t="s">
        <v>5743</v>
      </c>
      <c r="Z9" s="4683" t="s">
        <v>5035</v>
      </c>
      <c r="AA9" s="4692" t="s">
        <v>2814</v>
      </c>
      <c r="AB9" s="4683" t="s">
        <v>5050</v>
      </c>
      <c r="AC9" s="4692" t="s">
        <v>5741</v>
      </c>
      <c r="AD9" s="4696" t="s">
        <v>5745</v>
      </c>
      <c r="AE9" s="4685">
        <f>T9*K9</f>
        <v>92</v>
      </c>
      <c r="AF9" s="7088">
        <f t="shared" ref="AF9:AF18" si="3">AE9*SUM(D9,F9,H9)*AF$6</f>
        <v>0</v>
      </c>
      <c r="AG9" s="7088">
        <f>AE9*SUM(D9,F9,H9)*AG$6</f>
        <v>0</v>
      </c>
    </row>
    <row r="10" spans="1:33" ht="33.75" customHeight="1">
      <c r="A10" s="4686">
        <v>3</v>
      </c>
      <c r="B10" s="4687">
        <v>46279</v>
      </c>
      <c r="C10" s="4687">
        <v>46281</v>
      </c>
      <c r="D10" s="4672">
        <f t="shared" si="0"/>
        <v>2</v>
      </c>
      <c r="E10" s="4688">
        <v>46295</v>
      </c>
      <c r="F10" s="4689">
        <f t="shared" si="1"/>
        <v>15</v>
      </c>
      <c r="G10" s="4690">
        <v>46297</v>
      </c>
      <c r="H10" s="4672">
        <f t="shared" si="2"/>
        <v>1</v>
      </c>
      <c r="I10" s="4691" t="s">
        <v>5040</v>
      </c>
      <c r="J10" s="4692">
        <v>17</v>
      </c>
      <c r="K10" s="4693">
        <v>12</v>
      </c>
      <c r="L10" s="4692">
        <v>23800</v>
      </c>
      <c r="M10" s="4692">
        <f>$L$10</f>
        <v>23800</v>
      </c>
      <c r="N10" s="4692">
        <v>23800</v>
      </c>
      <c r="O10" s="4678">
        <f>SUM(D10,F10,H10)*K10</f>
        <v>216</v>
      </c>
      <c r="P10" s="4679">
        <f>(D10*L10+F10*M10+H10*N10)*K10</f>
        <v>5140800</v>
      </c>
      <c r="Q10" s="4692">
        <v>13</v>
      </c>
      <c r="R10" s="4680" t="s">
        <v>5742</v>
      </c>
      <c r="S10" s="4694">
        <v>16</v>
      </c>
      <c r="T10" s="4697">
        <v>1</v>
      </c>
      <c r="U10" s="4692">
        <v>140</v>
      </c>
      <c r="V10" s="4680" t="s">
        <v>4521</v>
      </c>
      <c r="W10" s="4695">
        <v>200</v>
      </c>
      <c r="X10" s="4692">
        <v>1</v>
      </c>
      <c r="Y10" s="4692" t="s">
        <v>5743</v>
      </c>
      <c r="Z10" s="4683" t="s">
        <v>5035</v>
      </c>
      <c r="AA10" s="4692" t="s">
        <v>2814</v>
      </c>
      <c r="AB10" s="4683" t="s">
        <v>5050</v>
      </c>
      <c r="AC10" s="4692" t="s">
        <v>5741</v>
      </c>
      <c r="AD10" s="4696" t="s">
        <v>5746</v>
      </c>
      <c r="AE10" s="4685">
        <f>T10*K10</f>
        <v>12</v>
      </c>
      <c r="AF10" s="7088">
        <f t="shared" si="3"/>
        <v>0</v>
      </c>
      <c r="AG10" s="7088">
        <f t="shared" ref="AG10:AG18" si="4">AE10*SUM(D10,F10,H10)*AG$6</f>
        <v>0</v>
      </c>
    </row>
    <row r="11" spans="1:33" ht="33.75" customHeight="1">
      <c r="A11" s="4686">
        <v>4</v>
      </c>
      <c r="B11" s="4687">
        <v>46279</v>
      </c>
      <c r="C11" s="4687">
        <v>46281</v>
      </c>
      <c r="D11" s="4672">
        <f t="shared" si="0"/>
        <v>2</v>
      </c>
      <c r="E11" s="4688">
        <v>46295</v>
      </c>
      <c r="F11" s="4689">
        <f t="shared" si="1"/>
        <v>15</v>
      </c>
      <c r="G11" s="4690">
        <v>46297</v>
      </c>
      <c r="H11" s="4672">
        <f t="shared" si="2"/>
        <v>1</v>
      </c>
      <c r="I11" s="4691" t="s">
        <v>5047</v>
      </c>
      <c r="J11" s="4692">
        <v>1</v>
      </c>
      <c r="K11" s="4693">
        <v>0</v>
      </c>
      <c r="L11" s="4692"/>
      <c r="M11" s="4692"/>
      <c r="N11" s="4692"/>
      <c r="O11" s="4678">
        <f>SUM(D11,F11,H11)*K11</f>
        <v>0</v>
      </c>
      <c r="P11" s="4679">
        <f>(D11*L11+F11*M11+H11*N11)*K11</f>
        <v>0</v>
      </c>
      <c r="Q11" s="4692"/>
      <c r="R11" s="4680" t="s">
        <v>5742</v>
      </c>
      <c r="S11" s="4694"/>
      <c r="T11" s="4692"/>
      <c r="U11" s="4692"/>
      <c r="V11" s="4680" t="s">
        <v>4521</v>
      </c>
      <c r="W11" s="4695"/>
      <c r="X11" s="4692"/>
      <c r="Y11" s="4692"/>
      <c r="Z11" s="4683" t="s">
        <v>5035</v>
      </c>
      <c r="AA11" s="4692" t="s">
        <v>2814</v>
      </c>
      <c r="AB11" s="4683" t="s">
        <v>5050</v>
      </c>
      <c r="AC11" s="4692" t="s">
        <v>5741</v>
      </c>
      <c r="AD11" s="4696"/>
      <c r="AE11" s="4685">
        <f>T11*K11</f>
        <v>0</v>
      </c>
      <c r="AF11" s="7088">
        <f t="shared" si="3"/>
        <v>0</v>
      </c>
      <c r="AG11" s="7088">
        <f t="shared" si="4"/>
        <v>0</v>
      </c>
    </row>
    <row r="12" spans="1:33" ht="33.75" customHeight="1">
      <c r="A12" s="4686">
        <v>5</v>
      </c>
      <c r="B12" s="4687">
        <v>46279</v>
      </c>
      <c r="C12" s="4687">
        <v>46281</v>
      </c>
      <c r="D12" s="4672">
        <f t="shared" si="0"/>
        <v>2</v>
      </c>
      <c r="E12" s="4688">
        <v>46295</v>
      </c>
      <c r="F12" s="4689">
        <f t="shared" si="1"/>
        <v>15</v>
      </c>
      <c r="G12" s="4690">
        <v>46297</v>
      </c>
      <c r="H12" s="4672">
        <f t="shared" si="2"/>
        <v>1</v>
      </c>
      <c r="I12" s="4691" t="s">
        <v>5048</v>
      </c>
      <c r="J12" s="4692">
        <v>14</v>
      </c>
      <c r="K12" s="4693">
        <v>9</v>
      </c>
      <c r="L12" s="4692">
        <v>33600</v>
      </c>
      <c r="M12" s="4692">
        <f>$L$12</f>
        <v>33600</v>
      </c>
      <c r="N12" s="4692">
        <v>33600</v>
      </c>
      <c r="O12" s="4678">
        <f>SUM(D12,F12,H12)*K12</f>
        <v>162</v>
      </c>
      <c r="P12" s="4679">
        <f>(D12*L12+F12*M12+H12*N12)*K12</f>
        <v>5443200</v>
      </c>
      <c r="Q12" s="4692">
        <v>23</v>
      </c>
      <c r="R12" s="4680" t="s">
        <v>5742</v>
      </c>
      <c r="S12" s="4694">
        <v>23</v>
      </c>
      <c r="T12" s="4692">
        <v>3</v>
      </c>
      <c r="U12" s="4692">
        <v>110</v>
      </c>
      <c r="V12" s="4680" t="s">
        <v>4521</v>
      </c>
      <c r="W12" s="4695">
        <v>200</v>
      </c>
      <c r="X12" s="4692">
        <v>3</v>
      </c>
      <c r="Y12" s="4692" t="s">
        <v>5743</v>
      </c>
      <c r="Z12" s="4683" t="s">
        <v>5035</v>
      </c>
      <c r="AA12" s="4692" t="s">
        <v>2814</v>
      </c>
      <c r="AB12" s="4683" t="s">
        <v>5050</v>
      </c>
      <c r="AC12" s="4692" t="s">
        <v>5741</v>
      </c>
      <c r="AD12" s="4696" t="s">
        <v>5747</v>
      </c>
      <c r="AE12" s="4685">
        <f>T12*K12</f>
        <v>27</v>
      </c>
      <c r="AF12" s="7088">
        <f t="shared" si="3"/>
        <v>0</v>
      </c>
      <c r="AG12" s="7088">
        <f t="shared" si="4"/>
        <v>0</v>
      </c>
    </row>
    <row r="13" spans="1:33" ht="33.75" customHeight="1">
      <c r="A13" s="4686">
        <v>6</v>
      </c>
      <c r="B13" s="4687">
        <v>46279</v>
      </c>
      <c r="C13" s="4687">
        <v>46281</v>
      </c>
      <c r="D13" s="4672">
        <f t="shared" si="0"/>
        <v>2</v>
      </c>
      <c r="E13" s="4688">
        <v>46295</v>
      </c>
      <c r="F13" s="4689">
        <f t="shared" si="1"/>
        <v>15</v>
      </c>
      <c r="G13" s="4690">
        <v>46297</v>
      </c>
      <c r="H13" s="4672">
        <f t="shared" si="2"/>
        <v>1</v>
      </c>
      <c r="I13" s="4691" t="s">
        <v>5049</v>
      </c>
      <c r="J13" s="4692">
        <v>4</v>
      </c>
      <c r="K13" s="4693">
        <v>4</v>
      </c>
      <c r="L13" s="4692">
        <v>33600</v>
      </c>
      <c r="M13" s="4692">
        <f>$L$13</f>
        <v>33600</v>
      </c>
      <c r="N13" s="4692">
        <v>33600</v>
      </c>
      <c r="O13" s="4678">
        <f>SUM(D13,F13,H13)*K13</f>
        <v>72</v>
      </c>
      <c r="P13" s="4679">
        <f>(D13*L13+F13*M13+H13*N13)*K13</f>
        <v>2419200</v>
      </c>
      <c r="Q13" s="4692">
        <v>30</v>
      </c>
      <c r="R13" s="4680" t="s">
        <v>5742</v>
      </c>
      <c r="S13" s="4694">
        <v>38</v>
      </c>
      <c r="T13" s="4692">
        <v>2</v>
      </c>
      <c r="U13" s="4692">
        <v>120</v>
      </c>
      <c r="V13" s="4680" t="s">
        <v>4521</v>
      </c>
      <c r="W13" s="4695">
        <v>200</v>
      </c>
      <c r="X13" s="4692">
        <v>2</v>
      </c>
      <c r="Y13" s="4692" t="s">
        <v>5743</v>
      </c>
      <c r="Z13" s="4683" t="s">
        <v>5035</v>
      </c>
      <c r="AA13" s="4692" t="s">
        <v>2814</v>
      </c>
      <c r="AB13" s="4683" t="s">
        <v>5050</v>
      </c>
      <c r="AC13" s="4692" t="s">
        <v>5741</v>
      </c>
      <c r="AD13" s="4696"/>
      <c r="AE13" s="4685">
        <f>T13*K13</f>
        <v>8</v>
      </c>
      <c r="AF13" s="7088">
        <f t="shared" si="3"/>
        <v>0</v>
      </c>
      <c r="AG13" s="7088">
        <f t="shared" si="4"/>
        <v>0</v>
      </c>
    </row>
    <row r="14" spans="1:33" ht="33.75" customHeight="1">
      <c r="A14" s="4686">
        <v>7</v>
      </c>
      <c r="B14" s="4687"/>
      <c r="C14" s="4687"/>
      <c r="D14" s="4672" t="str">
        <f>IF(_xlfn.DAYS(C14,B14)=0,"1",_xlfn.DAYS(C14,B14))</f>
        <v>1</v>
      </c>
      <c r="E14" s="4687"/>
      <c r="F14" s="4698">
        <f>IF(_xlfn.DAYS(E14,C14)=0,"1",_xlfn.DAYS(E14,C14))+1</f>
        <v>2</v>
      </c>
      <c r="G14" s="4699"/>
      <c r="H14" s="4672">
        <f>IF(_xlfn.DAYS(G14,E14)=0,"1",_xlfn.DAYS(G14,E14))-1</f>
        <v>0</v>
      </c>
      <c r="I14" s="4691"/>
      <c r="J14" s="4692"/>
      <c r="K14" s="4693"/>
      <c r="L14" s="4692"/>
      <c r="M14" s="4692"/>
      <c r="N14" s="4692"/>
      <c r="O14" s="4678">
        <f>SUM(D14,F14,H14)*K14</f>
        <v>0</v>
      </c>
      <c r="P14" s="4679">
        <f>(D14*L14+F14*M14+H14*N14)*K14</f>
        <v>0</v>
      </c>
      <c r="Q14" s="4692"/>
      <c r="R14" s="4680" t="s">
        <v>5742</v>
      </c>
      <c r="S14" s="4694"/>
      <c r="T14" s="4700"/>
      <c r="U14" s="4692"/>
      <c r="V14" s="4680" t="s">
        <v>4521</v>
      </c>
      <c r="W14" s="4695"/>
      <c r="X14" s="4692"/>
      <c r="Y14" s="4692"/>
      <c r="Z14" s="4683" t="s">
        <v>5035</v>
      </c>
      <c r="AA14" s="4692"/>
      <c r="AB14" s="4683" t="s">
        <v>5050</v>
      </c>
      <c r="AC14" s="4692"/>
      <c r="AD14" s="4696"/>
      <c r="AE14" s="4685">
        <f>T14*K14</f>
        <v>0</v>
      </c>
      <c r="AF14" s="7088">
        <f t="shared" si="3"/>
        <v>0</v>
      </c>
      <c r="AG14" s="7088">
        <f t="shared" si="4"/>
        <v>0</v>
      </c>
    </row>
    <row r="15" spans="1:33" ht="33.75" customHeight="1">
      <c r="A15" s="4686">
        <v>8</v>
      </c>
      <c r="B15" s="4687"/>
      <c r="C15" s="4687"/>
      <c r="D15" s="4672" t="str">
        <f>IF(_xlfn.DAYS(C15,B15)=0,"1",_xlfn.DAYS(C15,B15))</f>
        <v>1</v>
      </c>
      <c r="E15" s="4687"/>
      <c r="F15" s="4698">
        <f>IF(_xlfn.DAYS(E15,C15)=0,"1",_xlfn.DAYS(E15,C15))+1</f>
        <v>2</v>
      </c>
      <c r="G15" s="4699"/>
      <c r="H15" s="4672">
        <f>IF(_xlfn.DAYS(G15,E15)=0,"1",_xlfn.DAYS(G15,E15))-1</f>
        <v>0</v>
      </c>
      <c r="I15" s="4691"/>
      <c r="J15" s="4692"/>
      <c r="K15" s="4693"/>
      <c r="L15" s="4692"/>
      <c r="M15" s="4692"/>
      <c r="N15" s="4692"/>
      <c r="O15" s="4678">
        <f>SUM(D15,F15,H15)*K15</f>
        <v>0</v>
      </c>
      <c r="P15" s="4679">
        <f>(D15*L15+F15*M15+H15*N15)*K15</f>
        <v>0</v>
      </c>
      <c r="Q15" s="4692"/>
      <c r="R15" s="4680" t="s">
        <v>5742</v>
      </c>
      <c r="S15" s="4694"/>
      <c r="T15" s="4700"/>
      <c r="U15" s="4692"/>
      <c r="V15" s="4680" t="s">
        <v>4521</v>
      </c>
      <c r="W15" s="4695"/>
      <c r="X15" s="4692"/>
      <c r="Y15" s="4692"/>
      <c r="Z15" s="4683" t="s">
        <v>5035</v>
      </c>
      <c r="AA15" s="4692"/>
      <c r="AB15" s="4683" t="s">
        <v>5050</v>
      </c>
      <c r="AC15" s="4692"/>
      <c r="AD15" s="4696"/>
      <c r="AE15" s="4685">
        <f>T15*K15</f>
        <v>0</v>
      </c>
      <c r="AF15" s="7088">
        <f t="shared" si="3"/>
        <v>0</v>
      </c>
      <c r="AG15" s="7088">
        <f t="shared" si="4"/>
        <v>0</v>
      </c>
    </row>
    <row r="16" spans="1:33" ht="33.75" customHeight="1">
      <c r="A16" s="4686">
        <v>9</v>
      </c>
      <c r="B16" s="4687"/>
      <c r="C16" s="4687"/>
      <c r="D16" s="4672" t="str">
        <f>IF(_xlfn.DAYS(C16,B16)=0,"1",_xlfn.DAYS(C16,B16))</f>
        <v>1</v>
      </c>
      <c r="E16" s="4687"/>
      <c r="F16" s="4698">
        <f>IF(_xlfn.DAYS(E16,C16)=0,"1",_xlfn.DAYS(E16,C16))+1</f>
        <v>2</v>
      </c>
      <c r="G16" s="4699"/>
      <c r="H16" s="4672">
        <f>IF(_xlfn.DAYS(G16,E16)=0,"1",_xlfn.DAYS(G16,E16))-1</f>
        <v>0</v>
      </c>
      <c r="I16" s="4691"/>
      <c r="J16" s="4692"/>
      <c r="K16" s="4693"/>
      <c r="L16" s="4692"/>
      <c r="M16" s="4692"/>
      <c r="N16" s="4692"/>
      <c r="O16" s="4678">
        <f>SUM(D16,F16,H16)*K16</f>
        <v>0</v>
      </c>
      <c r="P16" s="4679">
        <f>(D16*L16+F16*M16+H16*N16)*K16</f>
        <v>0</v>
      </c>
      <c r="Q16" s="4692"/>
      <c r="R16" s="4680" t="s">
        <v>5742</v>
      </c>
      <c r="S16" s="4694"/>
      <c r="T16" s="4700"/>
      <c r="U16" s="4692"/>
      <c r="V16" s="4680" t="s">
        <v>4521</v>
      </c>
      <c r="W16" s="4695"/>
      <c r="X16" s="4692"/>
      <c r="Y16" s="4692"/>
      <c r="Z16" s="4683" t="s">
        <v>5035</v>
      </c>
      <c r="AA16" s="4692"/>
      <c r="AB16" s="4683" t="s">
        <v>5050</v>
      </c>
      <c r="AC16" s="4692"/>
      <c r="AD16" s="4696"/>
      <c r="AE16" s="4685">
        <f>T16*K16</f>
        <v>0</v>
      </c>
      <c r="AF16" s="7088">
        <f t="shared" si="3"/>
        <v>0</v>
      </c>
      <c r="AG16" s="7088">
        <f t="shared" si="4"/>
        <v>0</v>
      </c>
    </row>
    <row r="17" spans="1:33" ht="33.75" customHeight="1" thickBot="1">
      <c r="A17" s="4686">
        <v>10</v>
      </c>
      <c r="B17" s="4687"/>
      <c r="C17" s="4687"/>
      <c r="D17" s="4672" t="str">
        <f>IF(_xlfn.DAYS(C17,B17)=0,"1",_xlfn.DAYS(C17,B17))</f>
        <v>1</v>
      </c>
      <c r="E17" s="4687"/>
      <c r="F17" s="4698">
        <f>IF(_xlfn.DAYS(E17,C17)=0,"1",_xlfn.DAYS(E17,C17))+1</f>
        <v>2</v>
      </c>
      <c r="G17" s="4699"/>
      <c r="H17" s="4672">
        <f>IF(_xlfn.DAYS(G17,E17)=0,"1",_xlfn.DAYS(G17,E17))-1</f>
        <v>0</v>
      </c>
      <c r="I17" s="4691"/>
      <c r="J17" s="4692"/>
      <c r="K17" s="4693"/>
      <c r="L17" s="4692"/>
      <c r="M17" s="4692"/>
      <c r="N17" s="4692"/>
      <c r="O17" s="4678">
        <f>SUM(D17,F17,H17)*K17</f>
        <v>0</v>
      </c>
      <c r="P17" s="4679">
        <f>(D17*L17+F17*M17+H17*N17)*K17</f>
        <v>0</v>
      </c>
      <c r="Q17" s="4692"/>
      <c r="R17" s="4680" t="s">
        <v>5742</v>
      </c>
      <c r="S17" s="4694"/>
      <c r="T17" s="4700"/>
      <c r="U17" s="4692"/>
      <c r="V17" s="4680" t="s">
        <v>4521</v>
      </c>
      <c r="W17" s="4695"/>
      <c r="X17" s="4692"/>
      <c r="Y17" s="4692"/>
      <c r="Z17" s="4683" t="s">
        <v>5035</v>
      </c>
      <c r="AA17" s="4692"/>
      <c r="AB17" s="4683" t="s">
        <v>5050</v>
      </c>
      <c r="AC17" s="4692"/>
      <c r="AD17" s="4696"/>
      <c r="AE17" s="4685">
        <f>T17*K17</f>
        <v>0</v>
      </c>
      <c r="AF17" s="7088">
        <f>AE17*SUM(D17,F17,H17)*AF$6</f>
        <v>0</v>
      </c>
      <c r="AG17" s="7088">
        <f t="shared" si="4"/>
        <v>0</v>
      </c>
    </row>
    <row r="18" spans="1:33" ht="33.75" customHeight="1" thickTop="1" thickBot="1">
      <c r="A18" s="4701"/>
      <c r="B18" s="4702"/>
      <c r="C18" s="4702"/>
      <c r="D18" s="4702"/>
      <c r="E18" s="4702"/>
      <c r="F18" s="4703"/>
      <c r="G18" s="4704"/>
      <c r="H18" s="4702"/>
      <c r="I18" s="4705" t="s">
        <v>2432</v>
      </c>
      <c r="J18" s="4706">
        <f>SUM(J8:J17)</f>
        <v>224</v>
      </c>
      <c r="K18" s="4707">
        <f>SUM(K8:K17)</f>
        <v>147</v>
      </c>
      <c r="L18" s="4703"/>
      <c r="M18" s="4703"/>
      <c r="N18" s="4703"/>
      <c r="O18" s="4706">
        <f>SUM(O8:O17)</f>
        <v>2646</v>
      </c>
      <c r="P18" s="4706">
        <f>SUM(P8:P17)</f>
        <v>54180000</v>
      </c>
      <c r="Q18" s="6863"/>
      <c r="R18" s="6864"/>
      <c r="S18" s="6865"/>
      <c r="T18" s="4708"/>
      <c r="U18" s="6863"/>
      <c r="V18" s="6864"/>
      <c r="W18" s="6864"/>
      <c r="X18" s="4708"/>
      <c r="Y18" s="4708"/>
      <c r="Z18" s="6866"/>
      <c r="AA18" s="6867"/>
      <c r="AB18" s="6866"/>
      <c r="AC18" s="6867"/>
      <c r="AD18" s="4709"/>
      <c r="AE18" s="4685">
        <f>SUM(AE8:AE17)</f>
        <v>215</v>
      </c>
      <c r="AF18" s="7088">
        <f>SUM(AF8:AF17)</f>
        <v>0</v>
      </c>
      <c r="AG18" s="7088">
        <f>SUM(AG8:AG17)</f>
        <v>0</v>
      </c>
    </row>
    <row r="19" spans="1:33" ht="33.75" customHeight="1" thickBot="1">
      <c r="C19" s="4710"/>
      <c r="D19" s="4710"/>
      <c r="E19" s="4710"/>
      <c r="F19" s="4710"/>
      <c r="G19" s="4710"/>
      <c r="H19" s="4710"/>
      <c r="I19" s="4711"/>
      <c r="J19" s="4712"/>
      <c r="K19" s="4710"/>
      <c r="L19" s="4711"/>
      <c r="M19" s="4711"/>
      <c r="N19" s="4715"/>
      <c r="O19" s="4715"/>
      <c r="R19" s="4656"/>
      <c r="V19" s="4656"/>
      <c r="AF19" s="7089" t="s">
        <v>127</v>
      </c>
      <c r="AG19" s="7090">
        <f>SUM(AF18,AG18)</f>
        <v>0</v>
      </c>
    </row>
    <row r="20" spans="1:33" ht="33.75" customHeight="1">
      <c r="A20" s="6845" t="s">
        <v>5749</v>
      </c>
      <c r="B20" s="7120"/>
      <c r="C20" s="4716">
        <f>O18</f>
        <v>2646</v>
      </c>
      <c r="D20" s="4717"/>
      <c r="F20" s="4718"/>
      <c r="H20" s="4719"/>
      <c r="I20" s="4720"/>
      <c r="K20" s="4659"/>
      <c r="L20" s="4711"/>
      <c r="M20" s="4711"/>
      <c r="O20" s="4656"/>
    </row>
    <row r="21" spans="1:33" ht="33.75" customHeight="1">
      <c r="A21" s="6991" t="s">
        <v>5883</v>
      </c>
      <c r="B21" s="6992"/>
      <c r="C21" s="7079"/>
      <c r="D21" s="4717"/>
      <c r="F21" s="4718"/>
      <c r="H21" s="4719"/>
      <c r="I21" s="4720"/>
      <c r="K21" s="4659"/>
      <c r="O21" s="4656"/>
    </row>
    <row r="22" spans="1:33" ht="33.75" customHeight="1" thickBot="1">
      <c r="A22" s="6913" t="s">
        <v>5751</v>
      </c>
      <c r="B22" s="6914"/>
      <c r="C22" s="4823">
        <f>P18</f>
        <v>54180000</v>
      </c>
      <c r="D22" s="4717"/>
      <c r="F22" s="4724"/>
      <c r="H22" s="4719"/>
      <c r="I22" s="4720"/>
      <c r="K22" s="4659"/>
      <c r="O22" s="4656"/>
    </row>
    <row r="23" spans="1:33" ht="32.15" customHeight="1" thickBot="1">
      <c r="A23" s="6920" t="s">
        <v>6158</v>
      </c>
      <c r="B23" s="6921"/>
      <c r="C23" s="4823">
        <f>AG19</f>
        <v>0</v>
      </c>
      <c r="D23" s="4726"/>
      <c r="E23" s="4726"/>
      <c r="F23" s="4726"/>
      <c r="G23" s="4726"/>
      <c r="H23" s="4726"/>
      <c r="I23" s="4727"/>
    </row>
    <row r="24" spans="1:33" ht="32.15" customHeight="1" thickBot="1">
      <c r="A24" s="6920" t="s">
        <v>7047</v>
      </c>
      <c r="B24" s="6921"/>
      <c r="C24" s="4823">
        <f>C22+C23</f>
        <v>54180000</v>
      </c>
      <c r="D24" s="4726"/>
      <c r="E24" s="4726"/>
      <c r="F24" s="4726"/>
      <c r="G24" s="4726"/>
      <c r="H24" s="4726"/>
      <c r="I24" s="4727"/>
    </row>
    <row r="25" spans="1:33" ht="32.15" customHeight="1">
      <c r="A25" s="7078"/>
      <c r="B25" s="7078"/>
      <c r="C25" s="4724"/>
      <c r="D25" s="4726"/>
      <c r="E25" s="4726"/>
      <c r="F25" s="4726"/>
      <c r="G25" s="4726"/>
      <c r="H25" s="4726"/>
      <c r="I25" s="4727"/>
    </row>
    <row r="26" spans="1:33" ht="33.75" customHeight="1">
      <c r="A26" s="4728" t="s">
        <v>5752</v>
      </c>
      <c r="B26" s="4728"/>
      <c r="C26" s="4729"/>
      <c r="D26" s="4729"/>
      <c r="E26" s="4729"/>
      <c r="F26" s="4729"/>
      <c r="G26" s="4726"/>
      <c r="H26" s="4729"/>
      <c r="I26" s="4720"/>
      <c r="O26" s="4656"/>
    </row>
    <row r="27" spans="1:33" ht="36" customHeight="1">
      <c r="A27" s="4728" t="s">
        <v>5753</v>
      </c>
      <c r="B27" s="4728"/>
    </row>
    <row r="28" spans="1:33" ht="36" customHeight="1">
      <c r="A28" s="4730" t="s">
        <v>5754</v>
      </c>
      <c r="B28" s="4730"/>
    </row>
    <row r="29" spans="1:33" ht="36" customHeight="1">
      <c r="A29" s="4728"/>
      <c r="B29" s="4728"/>
    </row>
    <row r="30" spans="1:33" ht="36" customHeight="1"/>
    <row r="31" spans="1:33" ht="36" customHeight="1"/>
    <row r="32" spans="1:33" ht="36" customHeight="1"/>
    <row r="33" ht="36" customHeight="1"/>
    <row r="34" ht="36" customHeight="1"/>
    <row r="35" ht="36" customHeight="1"/>
    <row r="36" ht="36" customHeight="1"/>
    <row r="37" ht="10.4" customHeight="1"/>
  </sheetData>
  <mergeCells count="35">
    <mergeCell ref="A23:B23"/>
    <mergeCell ref="A24:B24"/>
    <mergeCell ref="AF4:AG4"/>
    <mergeCell ref="A2:B2"/>
    <mergeCell ref="C2:G2"/>
    <mergeCell ref="A5:A6"/>
    <mergeCell ref="B5:B6"/>
    <mergeCell ref="C5:C6"/>
    <mergeCell ref="D5:D6"/>
    <mergeCell ref="E5:E6"/>
    <mergeCell ref="F5:F6"/>
    <mergeCell ref="G5:G6"/>
    <mergeCell ref="AD5:AD6"/>
    <mergeCell ref="AE5:AE6"/>
    <mergeCell ref="Q18:S18"/>
    <mergeCell ref="U18:W18"/>
    <mergeCell ref="Z18:AA18"/>
    <mergeCell ref="AB18:AC18"/>
    <mergeCell ref="Q5:S6"/>
    <mergeCell ref="T5:T6"/>
    <mergeCell ref="U5:W6"/>
    <mergeCell ref="X5:X6"/>
    <mergeCell ref="A20:B20"/>
    <mergeCell ref="A22:B22"/>
    <mergeCell ref="Y5:Y6"/>
    <mergeCell ref="Z5:AC6"/>
    <mergeCell ref="N5:N6"/>
    <mergeCell ref="O5:P5"/>
    <mergeCell ref="H5:H6"/>
    <mergeCell ref="I5:I6"/>
    <mergeCell ref="J5:J6"/>
    <mergeCell ref="K5:K6"/>
    <mergeCell ref="L5:L6"/>
    <mergeCell ref="M5:M6"/>
    <mergeCell ref="A21:B21"/>
  </mergeCells>
  <phoneticPr fontId="2"/>
  <conditionalFormatting sqref="B8:N17 H7:N7">
    <cfRule type="containsBlanks" dxfId="881" priority="1">
      <formula>LEN(TRIM(B7))=0</formula>
    </cfRule>
  </conditionalFormatting>
  <conditionalFormatting sqref="C2:D2">
    <cfRule type="containsBlanks" dxfId="880" priority="3">
      <formula>LEN(TRIM(C2))=0</formula>
    </cfRule>
  </conditionalFormatting>
  <conditionalFormatting sqref="D7 P7:Q17 S7:U17 W7:Y17 AA7:AA17 AC7:AD17">
    <cfRule type="containsBlanks" dxfId="879" priority="5">
      <formula>LEN(TRIM(D7))=0</formula>
    </cfRule>
  </conditionalFormatting>
  <conditionalFormatting sqref="F7">
    <cfRule type="containsBlanks" dxfId="878" priority="4">
      <formula>LEN(TRIM(F7))=0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3DD8B-7B85-49FC-81C7-FA172350A10F}">
  <sheetPr codeName="Sheet313">
    <tabColor rgb="FFFFFF66"/>
    <pageSetUpPr fitToPage="1"/>
  </sheetPr>
  <dimension ref="A1:Z34"/>
  <sheetViews>
    <sheetView topLeftCell="A13" zoomScale="55" zoomScaleNormal="55" workbookViewId="0">
      <selection activeCell="M2" sqref="M2"/>
    </sheetView>
  </sheetViews>
  <sheetFormatPr defaultColWidth="9.81640625" defaultRowHeight="26.5"/>
  <cols>
    <col min="1" max="1" width="12" style="4657" customWidth="1"/>
    <col min="2" max="2" width="25.1796875" style="4658" customWidth="1"/>
    <col min="3" max="3" width="24.54296875" style="4658" bestFit="1" customWidth="1"/>
    <col min="4" max="4" width="17.1796875" style="4658" customWidth="1"/>
    <col min="5" max="5" width="17.179687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3" width="9.81640625" style="4657"/>
    <col min="24" max="24" width="9.81640625" style="4731"/>
    <col min="25" max="16384" width="9.81640625" style="4657"/>
  </cols>
  <sheetData>
    <row r="1" spans="1:26" ht="21" customHeight="1" thickBot="1">
      <c r="T1" s="4656"/>
    </row>
    <row r="2" spans="1:26" ht="55.4" customHeight="1" thickBot="1">
      <c r="A2" s="6874" t="s">
        <v>5707</v>
      </c>
      <c r="B2" s="6875"/>
      <c r="C2" s="6876" t="str">
        <f>'[5]別紙1-1）客室提供条件'!C2</f>
        <v>ルートイングランティア小牧</v>
      </c>
      <c r="D2" s="6876"/>
      <c r="E2" s="6876"/>
      <c r="F2" s="6876"/>
      <c r="G2" s="6876"/>
      <c r="H2" s="4661" t="s">
        <v>5709</v>
      </c>
      <c r="I2" s="4732"/>
      <c r="J2" s="4733"/>
      <c r="K2" s="4733"/>
      <c r="M2" s="4808" t="s">
        <v>5748</v>
      </c>
      <c r="N2" s="7105">
        <f>SUM(N8,N10,N12,N14,N16)</f>
        <v>904000</v>
      </c>
      <c r="T2" s="4656"/>
      <c r="U2" s="4734" t="s">
        <v>5755</v>
      </c>
      <c r="W2" s="4735"/>
      <c r="X2" s="4735"/>
      <c r="Y2" s="4735"/>
      <c r="Z2" s="4735"/>
    </row>
    <row r="3" spans="1:26" ht="23.15" customHeight="1">
      <c r="A3" s="4736"/>
      <c r="B3" s="4733"/>
      <c r="C3" s="4733"/>
      <c r="D3" s="4733"/>
      <c r="E3" s="4733"/>
      <c r="F3" s="4733"/>
      <c r="G3" s="4733"/>
      <c r="H3" s="4733"/>
      <c r="I3" s="4733"/>
      <c r="J3" s="4733"/>
      <c r="K3" s="4733"/>
      <c r="M3" s="4808" t="s">
        <v>5750</v>
      </c>
      <c r="N3" s="4809">
        <f>N2</f>
        <v>904000</v>
      </c>
      <c r="T3" s="4656"/>
      <c r="W3" s="4735"/>
      <c r="X3" s="4735"/>
      <c r="Y3" s="4735"/>
      <c r="Z3" s="4735"/>
    </row>
    <row r="4" spans="1:26" ht="23.15" customHeight="1" thickBot="1">
      <c r="A4" s="4737" t="s">
        <v>5756</v>
      </c>
      <c r="B4" s="4657"/>
      <c r="C4" s="4657"/>
      <c r="D4" s="4657"/>
      <c r="G4" s="4657"/>
      <c r="H4" s="4657"/>
      <c r="O4" s="4656"/>
      <c r="P4" s="4656"/>
      <c r="Q4" s="4657"/>
      <c r="X4" s="4657"/>
    </row>
    <row r="5" spans="1:26"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5769</v>
      </c>
      <c r="O5" s="6884" t="s">
        <v>5770</v>
      </c>
      <c r="P5" s="6886" t="s">
        <v>5771</v>
      </c>
      <c r="Q5" s="6887"/>
      <c r="R5" s="6888" t="s">
        <v>5772</v>
      </c>
      <c r="S5" s="6889"/>
      <c r="T5" s="6889"/>
      <c r="U5" s="6890"/>
    </row>
    <row r="6" spans="1:26"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26"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26" s="4666" customFormat="1" ht="33.75" customHeight="1">
      <c r="A8" s="4758">
        <v>1</v>
      </c>
      <c r="B8" s="4688">
        <v>46279</v>
      </c>
      <c r="C8" s="4688">
        <v>46296</v>
      </c>
      <c r="D8" s="4759">
        <v>0</v>
      </c>
      <c r="E8" s="4759">
        <v>1</v>
      </c>
      <c r="F8" s="4760">
        <f t="shared" ref="F8:F17" si="1">IF(OR(ISBLANK($B8), ISBLANK($C8)), 0, _xlfn.DAYS($C8, $B8) + 1)</f>
        <v>18</v>
      </c>
      <c r="G8" s="4761" t="s">
        <v>5783</v>
      </c>
      <c r="H8" s="4762">
        <v>2</v>
      </c>
      <c r="I8" s="4763" t="s">
        <v>5784</v>
      </c>
      <c r="J8" s="4764">
        <v>11</v>
      </c>
      <c r="K8" s="4765">
        <v>7</v>
      </c>
      <c r="L8" s="4765">
        <v>75</v>
      </c>
      <c r="M8" s="4765">
        <v>3</v>
      </c>
      <c r="N8" s="4762">
        <v>94000</v>
      </c>
      <c r="O8" s="4766">
        <f t="shared" si="0"/>
        <v>1692000</v>
      </c>
      <c r="P8" s="4767" t="s">
        <v>5785</v>
      </c>
      <c r="Q8" s="4768" t="s">
        <v>246</v>
      </c>
      <c r="R8" s="4767" t="s">
        <v>5786</v>
      </c>
      <c r="S8" s="4768">
        <v>0</v>
      </c>
      <c r="T8" s="4767" t="s">
        <v>5786</v>
      </c>
      <c r="U8" s="4769">
        <v>0</v>
      </c>
    </row>
    <row r="9" spans="1:26" ht="33.75" customHeight="1">
      <c r="A9" s="4758">
        <v>2</v>
      </c>
      <c r="B9" s="4688">
        <v>46297</v>
      </c>
      <c r="C9" s="4688">
        <v>46297</v>
      </c>
      <c r="D9" s="4759">
        <v>0</v>
      </c>
      <c r="E9" s="4759">
        <v>0.5</v>
      </c>
      <c r="F9" s="4760">
        <f t="shared" si="1"/>
        <v>1</v>
      </c>
      <c r="G9" s="4761" t="s">
        <v>5783</v>
      </c>
      <c r="H9" s="4762">
        <v>2</v>
      </c>
      <c r="I9" s="4763" t="s">
        <v>5784</v>
      </c>
      <c r="J9" s="4764">
        <v>11</v>
      </c>
      <c r="K9" s="4765">
        <v>7</v>
      </c>
      <c r="L9" s="4765">
        <v>75</v>
      </c>
      <c r="M9" s="4765">
        <v>3</v>
      </c>
      <c r="N9" s="4762">
        <v>94000</v>
      </c>
      <c r="O9" s="4766">
        <f t="shared" si="0"/>
        <v>94000</v>
      </c>
      <c r="P9" s="4767" t="s">
        <v>5785</v>
      </c>
      <c r="Q9" s="4768" t="s">
        <v>246</v>
      </c>
      <c r="R9" s="4767" t="s">
        <v>5786</v>
      </c>
      <c r="S9" s="4768">
        <v>0</v>
      </c>
      <c r="T9" s="4767" t="s">
        <v>5786</v>
      </c>
      <c r="U9" s="4769">
        <v>0</v>
      </c>
      <c r="X9" s="4657"/>
    </row>
    <row r="10" spans="1:26" ht="33.75" customHeight="1">
      <c r="A10" s="4758">
        <v>3</v>
      </c>
      <c r="B10" s="4688">
        <v>46279</v>
      </c>
      <c r="C10" s="4688">
        <v>46296</v>
      </c>
      <c r="D10" s="4759">
        <v>0</v>
      </c>
      <c r="E10" s="4759">
        <v>1</v>
      </c>
      <c r="F10" s="4770">
        <f t="shared" si="1"/>
        <v>18</v>
      </c>
      <c r="G10" s="4761" t="s">
        <v>5787</v>
      </c>
      <c r="H10" s="4762">
        <v>2</v>
      </c>
      <c r="I10" s="4763" t="s">
        <v>5784</v>
      </c>
      <c r="J10" s="4764">
        <v>12</v>
      </c>
      <c r="K10" s="4765">
        <v>7</v>
      </c>
      <c r="L10" s="4765">
        <v>92</v>
      </c>
      <c r="M10" s="4765">
        <v>3</v>
      </c>
      <c r="N10" s="4762">
        <v>94000</v>
      </c>
      <c r="O10" s="4766">
        <f t="shared" si="0"/>
        <v>1692000</v>
      </c>
      <c r="P10" s="4767" t="s">
        <v>5785</v>
      </c>
      <c r="Q10" s="4768" t="s">
        <v>246</v>
      </c>
      <c r="R10" s="4767" t="s">
        <v>5786</v>
      </c>
      <c r="S10" s="4768">
        <v>0</v>
      </c>
      <c r="T10" s="4767" t="s">
        <v>5786</v>
      </c>
      <c r="U10" s="4769">
        <v>0</v>
      </c>
      <c r="X10" s="4657"/>
    </row>
    <row r="11" spans="1:26" ht="33.75" customHeight="1">
      <c r="A11" s="4758">
        <v>4</v>
      </c>
      <c r="B11" s="4688">
        <v>46297</v>
      </c>
      <c r="C11" s="4688">
        <v>46297</v>
      </c>
      <c r="D11" s="4759">
        <v>0</v>
      </c>
      <c r="E11" s="4759">
        <v>0.5</v>
      </c>
      <c r="F11" s="4760">
        <f t="shared" si="1"/>
        <v>1</v>
      </c>
      <c r="G11" s="4771" t="s">
        <v>5787</v>
      </c>
      <c r="H11" s="4762">
        <v>2</v>
      </c>
      <c r="I11" s="4763" t="s">
        <v>5784</v>
      </c>
      <c r="J11" s="4764">
        <v>12</v>
      </c>
      <c r="K11" s="4765">
        <v>7</v>
      </c>
      <c r="L11" s="4765">
        <v>92</v>
      </c>
      <c r="M11" s="4765">
        <v>3</v>
      </c>
      <c r="N11" s="4762">
        <v>94000</v>
      </c>
      <c r="O11" s="4766">
        <f t="shared" si="0"/>
        <v>94000</v>
      </c>
      <c r="P11" s="4767" t="s">
        <v>5785</v>
      </c>
      <c r="Q11" s="4768" t="s">
        <v>246</v>
      </c>
      <c r="R11" s="4767" t="s">
        <v>5786</v>
      </c>
      <c r="S11" s="4768">
        <v>0</v>
      </c>
      <c r="T11" s="4767" t="s">
        <v>5786</v>
      </c>
      <c r="U11" s="4769">
        <v>0</v>
      </c>
      <c r="X11" s="4657"/>
    </row>
    <row r="12" spans="1:26" ht="33.75" customHeight="1">
      <c r="A12" s="4758">
        <v>5</v>
      </c>
      <c r="B12" s="4688">
        <v>46279</v>
      </c>
      <c r="C12" s="4688">
        <v>46296</v>
      </c>
      <c r="D12" s="4759">
        <v>0</v>
      </c>
      <c r="E12" s="4759">
        <v>1</v>
      </c>
      <c r="F12" s="4760">
        <f t="shared" si="1"/>
        <v>18</v>
      </c>
      <c r="G12" s="4771" t="s">
        <v>5788</v>
      </c>
      <c r="H12" s="4762">
        <v>2</v>
      </c>
      <c r="I12" s="4763" t="s">
        <v>5784</v>
      </c>
      <c r="J12" s="4764">
        <v>7</v>
      </c>
      <c r="K12" s="4765">
        <v>7</v>
      </c>
      <c r="L12" s="4765">
        <v>46</v>
      </c>
      <c r="M12" s="4765">
        <v>3</v>
      </c>
      <c r="N12" s="4762">
        <v>78000</v>
      </c>
      <c r="O12" s="4766">
        <f t="shared" si="0"/>
        <v>1404000</v>
      </c>
      <c r="P12" s="4767" t="s">
        <v>5785</v>
      </c>
      <c r="Q12" s="4768" t="s">
        <v>246</v>
      </c>
      <c r="R12" s="4767" t="s">
        <v>5786</v>
      </c>
      <c r="S12" s="4768">
        <v>0</v>
      </c>
      <c r="T12" s="4767" t="s">
        <v>5786</v>
      </c>
      <c r="U12" s="4769">
        <v>0</v>
      </c>
      <c r="X12" s="4657"/>
    </row>
    <row r="13" spans="1:26" ht="33.75" customHeight="1">
      <c r="A13" s="4758">
        <v>6</v>
      </c>
      <c r="B13" s="4688">
        <v>46297</v>
      </c>
      <c r="C13" s="4688">
        <v>46297</v>
      </c>
      <c r="D13" s="4759">
        <v>0</v>
      </c>
      <c r="E13" s="4759">
        <v>0.5</v>
      </c>
      <c r="F13" s="4760">
        <f t="shared" si="1"/>
        <v>1</v>
      </c>
      <c r="G13" s="4771" t="s">
        <v>5788</v>
      </c>
      <c r="H13" s="4762">
        <v>2</v>
      </c>
      <c r="I13" s="4763" t="s">
        <v>5784</v>
      </c>
      <c r="J13" s="4764">
        <v>7</v>
      </c>
      <c r="K13" s="4765">
        <v>7</v>
      </c>
      <c r="L13" s="4765">
        <v>46</v>
      </c>
      <c r="M13" s="4765">
        <v>3</v>
      </c>
      <c r="N13" s="4762">
        <v>78000</v>
      </c>
      <c r="O13" s="4766">
        <f t="shared" si="0"/>
        <v>78000</v>
      </c>
      <c r="P13" s="4767" t="s">
        <v>5785</v>
      </c>
      <c r="Q13" s="4768" t="s">
        <v>246</v>
      </c>
      <c r="R13" s="4767" t="s">
        <v>5786</v>
      </c>
      <c r="S13" s="4768">
        <v>0</v>
      </c>
      <c r="T13" s="4767" t="s">
        <v>5786</v>
      </c>
      <c r="U13" s="4769">
        <v>0</v>
      </c>
      <c r="X13" s="4657"/>
    </row>
    <row r="14" spans="1:26" ht="33.75" customHeight="1">
      <c r="A14" s="4758">
        <v>7</v>
      </c>
      <c r="B14" s="4688">
        <v>46279</v>
      </c>
      <c r="C14" s="4688">
        <v>46296</v>
      </c>
      <c r="D14" s="4759">
        <v>0</v>
      </c>
      <c r="E14" s="4759">
        <v>1</v>
      </c>
      <c r="F14" s="4760">
        <f t="shared" si="1"/>
        <v>18</v>
      </c>
      <c r="G14" s="4771" t="s">
        <v>5789</v>
      </c>
      <c r="H14" s="4762">
        <v>3</v>
      </c>
      <c r="I14" s="4763" t="s">
        <v>5190</v>
      </c>
      <c r="J14" s="4764">
        <v>18</v>
      </c>
      <c r="K14" s="4765">
        <v>28</v>
      </c>
      <c r="L14" s="4765">
        <v>492</v>
      </c>
      <c r="M14" s="4765">
        <v>5</v>
      </c>
      <c r="N14" s="4762">
        <v>560000</v>
      </c>
      <c r="O14" s="4766">
        <f t="shared" si="0"/>
        <v>10080000</v>
      </c>
      <c r="P14" s="4767" t="s">
        <v>5786</v>
      </c>
      <c r="Q14" s="4768">
        <v>2</v>
      </c>
      <c r="R14" s="4767" t="s">
        <v>5786</v>
      </c>
      <c r="S14" s="4768">
        <v>0</v>
      </c>
      <c r="T14" s="4767" t="s">
        <v>5786</v>
      </c>
      <c r="U14" s="4769">
        <v>0</v>
      </c>
      <c r="X14" s="4657"/>
    </row>
    <row r="15" spans="1:26" ht="33.75" customHeight="1">
      <c r="A15" s="4758">
        <v>8</v>
      </c>
      <c r="B15" s="4688">
        <v>46297</v>
      </c>
      <c r="C15" s="4688">
        <v>46297</v>
      </c>
      <c r="D15" s="4759">
        <v>0</v>
      </c>
      <c r="E15" s="4759">
        <v>0.5</v>
      </c>
      <c r="F15" s="4760">
        <f t="shared" si="1"/>
        <v>1</v>
      </c>
      <c r="G15" s="4771" t="s">
        <v>5789</v>
      </c>
      <c r="H15" s="4762">
        <v>3</v>
      </c>
      <c r="I15" s="4763" t="s">
        <v>5190</v>
      </c>
      <c r="J15" s="4764">
        <v>18</v>
      </c>
      <c r="K15" s="4765">
        <v>28</v>
      </c>
      <c r="L15" s="4765">
        <v>492</v>
      </c>
      <c r="M15" s="4765">
        <v>5</v>
      </c>
      <c r="N15" s="4762">
        <v>560000</v>
      </c>
      <c r="O15" s="4766">
        <f t="shared" si="0"/>
        <v>560000</v>
      </c>
      <c r="P15" s="4767" t="s">
        <v>5786</v>
      </c>
      <c r="Q15" s="4768">
        <v>2</v>
      </c>
      <c r="R15" s="4767" t="s">
        <v>5786</v>
      </c>
      <c r="S15" s="4768">
        <v>0</v>
      </c>
      <c r="T15" s="4767" t="s">
        <v>5786</v>
      </c>
      <c r="U15" s="4769">
        <v>0</v>
      </c>
      <c r="X15" s="4657"/>
    </row>
    <row r="16" spans="1:26" ht="33.75" customHeight="1">
      <c r="A16" s="4758">
        <v>9</v>
      </c>
      <c r="B16" s="4688">
        <v>46279</v>
      </c>
      <c r="C16" s="4688">
        <v>46296</v>
      </c>
      <c r="D16" s="4759">
        <v>0</v>
      </c>
      <c r="E16" s="4759">
        <v>1</v>
      </c>
      <c r="F16" s="4760">
        <f t="shared" si="1"/>
        <v>18</v>
      </c>
      <c r="G16" s="4771" t="s">
        <v>5790</v>
      </c>
      <c r="H16" s="4762">
        <v>3</v>
      </c>
      <c r="I16" s="4763" t="s">
        <v>5784</v>
      </c>
      <c r="J16" s="4764">
        <v>4.5</v>
      </c>
      <c r="K16" s="4765">
        <v>8</v>
      </c>
      <c r="L16" s="4765">
        <v>38</v>
      </c>
      <c r="M16" s="4765">
        <v>3</v>
      </c>
      <c r="N16" s="4762">
        <v>78000</v>
      </c>
      <c r="O16" s="4766">
        <f t="shared" si="0"/>
        <v>1404000</v>
      </c>
      <c r="P16" s="4767" t="s">
        <v>5785</v>
      </c>
      <c r="Q16" s="4768" t="s">
        <v>246</v>
      </c>
      <c r="R16" s="4767" t="s">
        <v>5786</v>
      </c>
      <c r="S16" s="4768">
        <v>0</v>
      </c>
      <c r="T16" s="4767" t="s">
        <v>5786</v>
      </c>
      <c r="U16" s="4769">
        <v>0</v>
      </c>
      <c r="X16" s="4657"/>
    </row>
    <row r="17" spans="1:26" ht="33.75" customHeight="1" thickBot="1">
      <c r="A17" s="4772">
        <v>10</v>
      </c>
      <c r="B17" s="4688">
        <v>46297</v>
      </c>
      <c r="C17" s="4688">
        <v>46297</v>
      </c>
      <c r="D17" s="4759">
        <v>0</v>
      </c>
      <c r="E17" s="4759">
        <v>0.5</v>
      </c>
      <c r="F17" s="4770">
        <f t="shared" si="1"/>
        <v>1</v>
      </c>
      <c r="G17" s="4773" t="s">
        <v>5790</v>
      </c>
      <c r="H17" s="4762">
        <v>3</v>
      </c>
      <c r="I17" s="4774" t="s">
        <v>5784</v>
      </c>
      <c r="J17" s="4764">
        <v>5</v>
      </c>
      <c r="K17" s="4765">
        <v>8</v>
      </c>
      <c r="L17" s="4765">
        <v>38</v>
      </c>
      <c r="M17" s="4765">
        <v>3</v>
      </c>
      <c r="N17" s="4775">
        <v>78000</v>
      </c>
      <c r="O17" s="4776">
        <f t="shared" si="0"/>
        <v>78000</v>
      </c>
      <c r="P17" s="4777" t="s">
        <v>5785</v>
      </c>
      <c r="Q17" s="4768" t="s">
        <v>246</v>
      </c>
      <c r="R17" s="4767" t="s">
        <v>5786</v>
      </c>
      <c r="S17" s="4768">
        <v>0</v>
      </c>
      <c r="T17" s="4767" t="s">
        <v>5786</v>
      </c>
      <c r="U17" s="4769">
        <v>0</v>
      </c>
      <c r="X17" s="4657"/>
    </row>
    <row r="18" spans="1:26" ht="33.75" customHeight="1" thickTop="1" thickBot="1">
      <c r="A18" s="4778" t="s">
        <v>5791</v>
      </c>
      <c r="B18" s="4779"/>
      <c r="C18" s="4779"/>
      <c r="D18" s="4779"/>
      <c r="E18" s="4779"/>
      <c r="F18" s="4780">
        <f>SUM(F8:F17)</f>
        <v>95</v>
      </c>
      <c r="G18" s="4779"/>
      <c r="H18" s="4781"/>
      <c r="I18" s="4782">
        <f>COUNTA(G8,G10,G12,G14,G16)</f>
        <v>5</v>
      </c>
      <c r="J18" s="4783"/>
      <c r="K18" s="4784"/>
      <c r="L18" s="4784"/>
      <c r="M18" s="4784"/>
      <c r="N18" s="4785"/>
      <c r="O18" s="4786">
        <f>SUM(O8:O17)</f>
        <v>17176000</v>
      </c>
      <c r="P18" s="4787"/>
      <c r="Q18" s="4787"/>
      <c r="R18" s="4788"/>
      <c r="S18" s="4789"/>
      <c r="T18" s="4788"/>
      <c r="U18" s="4790"/>
      <c r="X18" s="4657"/>
    </row>
    <row r="19" spans="1:26" ht="33.75" customHeight="1" thickBot="1">
      <c r="A19" s="7091" t="s">
        <v>5792</v>
      </c>
      <c r="B19" s="7092"/>
      <c r="C19" s="7093"/>
      <c r="D19" s="7093"/>
      <c r="E19" s="7093"/>
      <c r="F19" s="7094"/>
      <c r="G19" s="7093"/>
      <c r="H19" s="7095"/>
      <c r="I19" s="7093"/>
      <c r="J19" s="7096"/>
      <c r="K19" s="7096"/>
      <c r="L19" s="7096"/>
      <c r="M19" s="7096"/>
      <c r="N19" s="7097"/>
      <c r="O19" s="7098">
        <f>O18</f>
        <v>17176000</v>
      </c>
      <c r="P19" s="7099"/>
      <c r="Q19" s="7100"/>
      <c r="R19" s="7101"/>
      <c r="S19" s="7102"/>
      <c r="T19" s="7101"/>
      <c r="U19" s="7103"/>
      <c r="X19" s="4657"/>
    </row>
    <row r="20" spans="1:26" ht="33.75" customHeight="1">
      <c r="A20" s="4656"/>
      <c r="B20" s="4660"/>
      <c r="C20" s="4660"/>
      <c r="D20" s="4660"/>
      <c r="G20" s="4804"/>
      <c r="H20" s="4805"/>
      <c r="I20" s="4806"/>
      <c r="J20" s="4807"/>
      <c r="K20" s="4807"/>
      <c r="L20" s="4807"/>
      <c r="M20" s="4807"/>
      <c r="N20" s="4807"/>
      <c r="O20" s="4656"/>
      <c r="P20" s="4657"/>
      <c r="Q20" s="4657"/>
      <c r="X20" s="4657"/>
    </row>
    <row r="21" spans="1:26" ht="32.15" customHeight="1">
      <c r="A21" s="4656"/>
      <c r="B21" s="4660"/>
      <c r="C21" s="4660"/>
      <c r="D21" s="4660"/>
      <c r="G21" s="4804"/>
      <c r="H21" s="4805"/>
      <c r="I21" s="4806"/>
      <c r="J21" s="4807"/>
      <c r="K21" s="4807"/>
      <c r="L21" s="4807"/>
      <c r="M21" s="4807"/>
      <c r="N21" s="4807"/>
      <c r="O21" s="4807"/>
      <c r="P21" s="4657"/>
      <c r="Q21" s="4657"/>
      <c r="X21" s="4657"/>
    </row>
    <row r="22" spans="1:26" ht="32.15" customHeight="1">
      <c r="B22" s="4657"/>
      <c r="C22" s="4657"/>
      <c r="D22" s="4657"/>
      <c r="E22" s="4810"/>
      <c r="F22" s="4811"/>
      <c r="G22" s="4657"/>
      <c r="H22" s="4657"/>
      <c r="O22" s="4656"/>
      <c r="P22" s="4657"/>
      <c r="Q22" s="4657"/>
      <c r="X22" s="4657"/>
    </row>
    <row r="23" spans="1:26" ht="32.15" customHeight="1">
      <c r="A23" s="4812"/>
      <c r="B23" s="4813"/>
      <c r="C23" s="4813"/>
      <c r="D23" s="4813"/>
      <c r="E23" s="4814"/>
      <c r="F23" s="4814"/>
      <c r="G23" s="4804" t="s">
        <v>5793</v>
      </c>
      <c r="H23" s="4813"/>
      <c r="I23" s="4812"/>
      <c r="J23" s="4812"/>
      <c r="K23" s="4812"/>
      <c r="L23" s="4812"/>
      <c r="M23" s="4812"/>
      <c r="N23" s="4812"/>
      <c r="O23" s="4715"/>
      <c r="P23" s="4715"/>
      <c r="Q23" s="4715"/>
      <c r="R23" s="4656"/>
      <c r="S23" s="4812"/>
      <c r="T23" s="4656"/>
      <c r="U23" s="4812"/>
      <c r="W23" s="6891"/>
      <c r="X23" s="6891"/>
      <c r="Y23" s="6891"/>
      <c r="Z23" s="6891"/>
    </row>
    <row r="24" spans="1:26" ht="36" customHeight="1">
      <c r="G24" s="4804" t="s">
        <v>5794</v>
      </c>
    </row>
    <row r="25" spans="1:26" ht="36" customHeight="1"/>
    <row r="26" spans="1:26" ht="36" customHeight="1"/>
    <row r="27" spans="1:26" ht="36" customHeight="1"/>
    <row r="28" spans="1:26" ht="36" customHeight="1"/>
    <row r="29" spans="1:26" ht="36" customHeight="1"/>
    <row r="30" spans="1:26" ht="36" customHeight="1"/>
    <row r="31" spans="1:26" ht="36" customHeight="1"/>
    <row r="32" spans="1:26" ht="36" customHeight="1"/>
    <row r="33" spans="2:24" ht="36" customHeight="1"/>
    <row r="34" spans="2:24" ht="10.4" customHeight="1">
      <c r="B34" s="4657"/>
      <c r="C34" s="4657"/>
      <c r="D34" s="4657"/>
      <c r="G34" s="4657"/>
      <c r="H34" s="4657"/>
      <c r="O34" s="4656"/>
      <c r="P34" s="4657"/>
      <c r="Q34" s="4657"/>
      <c r="X34" s="4657"/>
    </row>
  </sheetData>
  <mergeCells count="20">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N5:N6"/>
    <mergeCell ref="O5:O6"/>
    <mergeCell ref="P5:Q5"/>
    <mergeCell ref="R5:U5"/>
    <mergeCell ref="W23:Z23"/>
  </mergeCells>
  <phoneticPr fontId="2"/>
  <conditionalFormatting sqref="B8:E17 G8:N17">
    <cfRule type="containsBlanks" dxfId="877" priority="1">
      <formula>LEN(TRIM(B8))=0</formula>
    </cfRule>
  </conditionalFormatting>
  <conditionalFormatting sqref="C2:D2">
    <cfRule type="containsBlanks" dxfId="876" priority="2">
      <formula>LEN(TRIM(C2))=0</formula>
    </cfRule>
  </conditionalFormatting>
  <conditionalFormatting sqref="P8:U17">
    <cfRule type="containsBlanks" dxfId="875" priority="3">
      <formula>LEN(TRIM(P8))=0</formula>
    </cfRule>
  </conditionalFormatting>
  <dataValidations count="1">
    <dataValidation type="list" allowBlank="1" showInputMessage="1" showErrorMessage="1" sqref="I7:I17" xr:uid="{A0A10CF6-D826-4E9B-ACE8-E8F010ABD20C}">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CE4B-A9AB-4887-AED6-ED63BDEF6E32}">
  <sheetPr codeName="Sheet314">
    <tabColor rgb="FFFFFF66"/>
    <pageSetUpPr fitToPage="1"/>
  </sheetPr>
  <dimension ref="A1:AH69"/>
  <sheetViews>
    <sheetView topLeftCell="A47" zoomScale="55" zoomScaleNormal="55" zoomScaleSheetLayoutView="70" workbookViewId="0">
      <selection activeCell="A52" sqref="A52:B56"/>
    </sheetView>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0.26953125" style="4658" bestFit="1" customWidth="1"/>
    <col min="10" max="11" width="11.1796875" style="4656" customWidth="1"/>
    <col min="12" max="14" width="25.453125" style="4659" customWidth="1"/>
    <col min="15" max="15" width="16.453125" style="4659" bestFit="1" customWidth="1"/>
    <col min="16" max="16" width="20.453125" style="4656" customWidth="1"/>
    <col min="17" max="17" width="11.1796875" style="4657" customWidth="1"/>
    <col min="18" max="18" width="9.54296875" style="4657" customWidth="1"/>
    <col min="19" max="19" width="11.1796875" style="4657" customWidth="1"/>
    <col min="20" max="20" width="12.453125" style="4657" customWidth="1"/>
    <col min="21" max="21" width="11.1796875" style="4657" customWidth="1"/>
    <col min="22" max="22" width="9.54296875" style="4657" customWidth="1"/>
    <col min="23" max="24" width="11.1796875" style="4657" customWidth="1"/>
    <col min="25" max="25" width="24" style="4657" customWidth="1"/>
    <col min="26" max="26" width="9.81640625" style="4657"/>
    <col min="27" max="27" width="7.81640625" style="4657" customWidth="1"/>
    <col min="28" max="28" width="9.81640625" style="4657"/>
    <col min="29" max="29" width="7.81640625" style="4657" customWidth="1"/>
    <col min="30" max="30" width="40.1796875" style="4657" customWidth="1"/>
    <col min="31" max="31" width="22.1796875" style="4657" customWidth="1"/>
    <col min="32" max="33" width="34.1796875" style="4657" customWidth="1"/>
    <col min="34" max="34" width="22.1796875" style="4657" customWidth="1"/>
    <col min="35" max="16384" width="9.81640625" style="4657"/>
  </cols>
  <sheetData>
    <row r="1" spans="1:34" ht="21" customHeight="1" thickBot="1">
      <c r="R1" s="4656"/>
      <c r="T1" s="4660"/>
      <c r="V1" s="4656"/>
    </row>
    <row r="2" spans="1:34" ht="44.25" customHeight="1" thickBot="1">
      <c r="A2" s="6874" t="s">
        <v>5707</v>
      </c>
      <c r="B2" s="6875"/>
      <c r="C2" s="6876" t="s">
        <v>2516</v>
      </c>
      <c r="D2" s="6876"/>
      <c r="E2" s="6876"/>
      <c r="F2" s="6876"/>
      <c r="G2" s="6876"/>
      <c r="H2" s="4661" t="s">
        <v>5709</v>
      </c>
      <c r="I2" s="5894" t="s">
        <v>5795</v>
      </c>
      <c r="J2" s="4663"/>
      <c r="L2" s="4808" t="s">
        <v>5748</v>
      </c>
      <c r="M2" s="7106">
        <f>SUM(M8*K8,M9*K9,M10*K10,M11*K11,M12*K12,M13*K13,M14*K14,,M15*K15,M16*K16,M17*K17)</f>
        <v>6068400</v>
      </c>
      <c r="N2" s="4663"/>
      <c r="R2" s="4656"/>
      <c r="T2" s="4660"/>
      <c r="V2" s="4656"/>
      <c r="AD2" s="4664" t="s">
        <v>5710</v>
      </c>
    </row>
    <row r="3" spans="1:34" ht="25.5" customHeight="1">
      <c r="L3" s="4808" t="s">
        <v>5750</v>
      </c>
      <c r="M3" s="4722">
        <f>M2*1.1</f>
        <v>6675240.0000000009</v>
      </c>
      <c r="R3" s="4656"/>
      <c r="T3" s="4660"/>
      <c r="V3" s="4656"/>
    </row>
    <row r="4" spans="1:34" ht="33.75" customHeight="1" thickBot="1">
      <c r="A4" s="4665" t="s">
        <v>5711</v>
      </c>
      <c r="B4" s="4665"/>
      <c r="R4" s="4656"/>
      <c r="V4" s="4656"/>
      <c r="Y4" s="4656"/>
      <c r="Z4" s="4656"/>
      <c r="AA4" s="4656"/>
      <c r="AB4" s="4656"/>
      <c r="AC4" s="4656"/>
      <c r="AE4" s="4656" t="s">
        <v>5712</v>
      </c>
      <c r="AF4" s="7082" t="s">
        <v>7048</v>
      </c>
      <c r="AG4" s="7083"/>
      <c r="AH4" s="4656"/>
    </row>
    <row r="5" spans="1:34" s="4666" customFormat="1" ht="33.75" customHeight="1" thickBo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6855" t="s">
        <v>5798</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c r="AF5" s="7084" t="s">
        <v>7049</v>
      </c>
      <c r="AG5" s="7084" t="s">
        <v>7050</v>
      </c>
      <c r="AH5" s="7080"/>
    </row>
    <row r="6" spans="1:34" s="4666" customFormat="1" ht="20.5" thickBot="1">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c r="AF6" s="7085"/>
      <c r="AG6" s="7086"/>
      <c r="AH6" s="7080"/>
    </row>
    <row r="7" spans="1:34"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677">
        <v>8000</v>
      </c>
      <c r="O7" s="4678">
        <f>SUM(D7,F7,H7)*K7</f>
        <v>1440</v>
      </c>
      <c r="P7" s="4679">
        <f>(D7*L7+F7*M7+H7*N7)*K7</f>
        <v>14040000</v>
      </c>
      <c r="Q7" s="4675">
        <v>21</v>
      </c>
      <c r="R7" s="4680" t="s">
        <v>5739</v>
      </c>
      <c r="S7" s="4681">
        <v>21</v>
      </c>
      <c r="T7" s="4815">
        <v>1</v>
      </c>
      <c r="U7" s="4675">
        <v>154</v>
      </c>
      <c r="V7" s="4680" t="s">
        <v>4521</v>
      </c>
      <c r="W7" s="4682">
        <v>203</v>
      </c>
      <c r="X7" s="4675">
        <v>1</v>
      </c>
      <c r="Y7" s="4675" t="s">
        <v>5740</v>
      </c>
      <c r="Z7" s="4683" t="s">
        <v>5035</v>
      </c>
      <c r="AA7" s="4675" t="s">
        <v>2830</v>
      </c>
      <c r="AB7" s="4683" t="s">
        <v>5050</v>
      </c>
      <c r="AC7" s="4675" t="s">
        <v>5741</v>
      </c>
      <c r="AD7" s="4684"/>
      <c r="AE7" s="4685"/>
      <c r="AF7" s="7087" t="s">
        <v>246</v>
      </c>
      <c r="AG7" s="7087" t="s">
        <v>246</v>
      </c>
      <c r="AH7" s="7081"/>
    </row>
    <row r="8" spans="1:34" ht="33.75" customHeight="1">
      <c r="A8" s="4686">
        <v>1</v>
      </c>
      <c r="B8" s="4816">
        <v>46275</v>
      </c>
      <c r="C8" s="4816">
        <v>46277</v>
      </c>
      <c r="D8" s="4817">
        <f t="shared" ref="D8:D22" si="0">IF(_xlfn.DAYS(C8,B8)=0,"1",_xlfn.DAYS(C8,B8))</f>
        <v>2</v>
      </c>
      <c r="E8" s="4816">
        <v>46291</v>
      </c>
      <c r="F8" s="4818">
        <f t="shared" ref="F8:F22" si="1">IF(_xlfn.DAYS(E8,C8)=0,"1",_xlfn.DAYS(E8,C8))+1</f>
        <v>15</v>
      </c>
      <c r="G8" s="4816">
        <v>46293</v>
      </c>
      <c r="H8" s="4817">
        <f t="shared" ref="H8:H22" si="2">IF(_xlfn.DAYS(G8,E8)=0,"1",_xlfn.DAYS(G8,E8))-1</f>
        <v>1</v>
      </c>
      <c r="I8" s="4819" t="s">
        <v>5056</v>
      </c>
      <c r="J8" s="4820">
        <v>98</v>
      </c>
      <c r="K8" s="4821">
        <v>98</v>
      </c>
      <c r="L8" s="4820">
        <v>15000</v>
      </c>
      <c r="M8" s="4820">
        <v>17400</v>
      </c>
      <c r="N8" s="4692">
        <v>15000</v>
      </c>
      <c r="O8" s="4678">
        <f>SUM(D8,F8,H8)*K8</f>
        <v>1764</v>
      </c>
      <c r="P8" s="4679">
        <f>(D8*L8+F8*M8+H8*N8)*K8</f>
        <v>29988000</v>
      </c>
      <c r="Q8" s="4692">
        <v>18</v>
      </c>
      <c r="R8" s="4680" t="s">
        <v>5742</v>
      </c>
      <c r="S8" s="4694">
        <v>18</v>
      </c>
      <c r="T8" s="4700">
        <v>1</v>
      </c>
      <c r="U8" s="4692">
        <v>110</v>
      </c>
      <c r="V8" s="4680" t="s">
        <v>4521</v>
      </c>
      <c r="W8" s="4695">
        <v>203</v>
      </c>
      <c r="X8" s="4692">
        <v>1</v>
      </c>
      <c r="Y8" s="4692" t="s">
        <v>5743</v>
      </c>
      <c r="Z8" s="4683" t="s">
        <v>5035</v>
      </c>
      <c r="AA8" s="4692" t="s">
        <v>2814</v>
      </c>
      <c r="AB8" s="4683" t="s">
        <v>5050</v>
      </c>
      <c r="AC8" s="4692" t="s">
        <v>2814</v>
      </c>
      <c r="AD8" s="4696"/>
      <c r="AE8" s="4685">
        <f>T8*K8</f>
        <v>98</v>
      </c>
      <c r="AF8" s="7088">
        <f>AE8*SUM(D8,F8,H8)*AF$6</f>
        <v>0</v>
      </c>
      <c r="AG8" s="7088">
        <f>AE8*SUM(D8,F8,H8)*AG$6</f>
        <v>0</v>
      </c>
      <c r="AH8" s="7081"/>
    </row>
    <row r="9" spans="1:34" ht="33.75" customHeight="1">
      <c r="A9" s="4686">
        <v>2</v>
      </c>
      <c r="B9" s="4816">
        <v>46275</v>
      </c>
      <c r="C9" s="4816">
        <v>46277</v>
      </c>
      <c r="D9" s="4817">
        <f t="shared" ref="D9:D17" si="3">IF(_xlfn.DAYS(C9,B9)=0,"1",_xlfn.DAYS(C9,B9))</f>
        <v>2</v>
      </c>
      <c r="E9" s="4816">
        <v>46291</v>
      </c>
      <c r="F9" s="4818">
        <f t="shared" ref="F9:F17" si="4">IF(_xlfn.DAYS(E9,C9)=0,"1",_xlfn.DAYS(E9,C9))+1</f>
        <v>15</v>
      </c>
      <c r="G9" s="4816">
        <v>46293</v>
      </c>
      <c r="H9" s="4817">
        <f t="shared" si="2"/>
        <v>1</v>
      </c>
      <c r="I9" s="4819" t="s">
        <v>5057</v>
      </c>
      <c r="J9" s="4820">
        <v>52</v>
      </c>
      <c r="K9" s="4821">
        <v>52</v>
      </c>
      <c r="L9" s="4820">
        <v>17000</v>
      </c>
      <c r="M9" s="4820">
        <v>19400</v>
      </c>
      <c r="N9" s="4692">
        <v>17000</v>
      </c>
      <c r="O9" s="4678">
        <f>SUM(D9,F9,H9)*K9</f>
        <v>936</v>
      </c>
      <c r="P9" s="4679">
        <f>(D9*L9+F9*M9+H9*N9)*K9</f>
        <v>17784000</v>
      </c>
      <c r="Q9" s="4692">
        <v>18</v>
      </c>
      <c r="R9" s="4680" t="s">
        <v>5742</v>
      </c>
      <c r="S9" s="4694">
        <v>18</v>
      </c>
      <c r="T9" s="4700">
        <v>1</v>
      </c>
      <c r="U9" s="4692">
        <v>110</v>
      </c>
      <c r="V9" s="4680" t="s">
        <v>4521</v>
      </c>
      <c r="W9" s="4695">
        <v>203</v>
      </c>
      <c r="X9" s="4692">
        <v>1</v>
      </c>
      <c r="Y9" s="4692" t="s">
        <v>5743</v>
      </c>
      <c r="Z9" s="4683" t="s">
        <v>5035</v>
      </c>
      <c r="AA9" s="4692" t="s">
        <v>2814</v>
      </c>
      <c r="AB9" s="4683" t="s">
        <v>5050</v>
      </c>
      <c r="AC9" s="4692" t="s">
        <v>2814</v>
      </c>
      <c r="AD9" s="4696"/>
      <c r="AE9" s="4685">
        <f>T9*K9</f>
        <v>52</v>
      </c>
      <c r="AF9" s="7088">
        <f t="shared" ref="AF9:AF18" si="5">AE9*SUM(D9,F9,H9)*AF$6</f>
        <v>0</v>
      </c>
      <c r="AG9" s="7088">
        <f>AE9*SUM(D9,F9,H9)*AG$6</f>
        <v>0</v>
      </c>
      <c r="AH9" s="7081"/>
    </row>
    <row r="10" spans="1:34" ht="33.75" customHeight="1">
      <c r="A10" s="4686">
        <v>3</v>
      </c>
      <c r="B10" s="4816">
        <v>46275</v>
      </c>
      <c r="C10" s="4816">
        <v>46277</v>
      </c>
      <c r="D10" s="4817">
        <f t="shared" si="3"/>
        <v>2</v>
      </c>
      <c r="E10" s="4816">
        <v>46291</v>
      </c>
      <c r="F10" s="4818">
        <f t="shared" si="4"/>
        <v>15</v>
      </c>
      <c r="G10" s="4816">
        <v>46293</v>
      </c>
      <c r="H10" s="4817">
        <f t="shared" si="2"/>
        <v>1</v>
      </c>
      <c r="I10" s="4819" t="s">
        <v>5799</v>
      </c>
      <c r="J10" s="4820">
        <v>10</v>
      </c>
      <c r="K10" s="4821">
        <v>10</v>
      </c>
      <c r="L10" s="4820">
        <v>23000</v>
      </c>
      <c r="M10" s="4820">
        <v>27800</v>
      </c>
      <c r="N10" s="4692">
        <v>23000</v>
      </c>
      <c r="O10" s="4678">
        <f>SUM(D10,F10,H10)*K10</f>
        <v>180</v>
      </c>
      <c r="P10" s="4679">
        <f>(D10*L10+F10*M10+H10*N10)*K10</f>
        <v>4860000</v>
      </c>
      <c r="Q10" s="4692">
        <v>21</v>
      </c>
      <c r="R10" s="4680" t="s">
        <v>5742</v>
      </c>
      <c r="S10" s="4694">
        <v>21</v>
      </c>
      <c r="T10" s="4700">
        <v>1</v>
      </c>
      <c r="U10" s="4692">
        <v>140</v>
      </c>
      <c r="V10" s="4680" t="s">
        <v>4521</v>
      </c>
      <c r="W10" s="4695">
        <v>203</v>
      </c>
      <c r="X10" s="4692">
        <v>1</v>
      </c>
      <c r="Y10" s="4692" t="s">
        <v>5743</v>
      </c>
      <c r="Z10" s="4683" t="s">
        <v>5035</v>
      </c>
      <c r="AA10" s="4692" t="s">
        <v>2814</v>
      </c>
      <c r="AB10" s="4683" t="s">
        <v>5050</v>
      </c>
      <c r="AC10" s="4692" t="s">
        <v>2814</v>
      </c>
      <c r="AD10" s="4696"/>
      <c r="AE10" s="4685">
        <f>T10*K10</f>
        <v>10</v>
      </c>
      <c r="AF10" s="7088">
        <f t="shared" si="5"/>
        <v>0</v>
      </c>
      <c r="AG10" s="7088">
        <f t="shared" ref="AG10:AG18" si="6">AE10*SUM(D10,F10,H10)*AG$6</f>
        <v>0</v>
      </c>
      <c r="AH10" s="7081"/>
    </row>
    <row r="11" spans="1:34" ht="33.75" customHeight="1">
      <c r="A11" s="4686">
        <v>4</v>
      </c>
      <c r="B11" s="4816">
        <v>46275</v>
      </c>
      <c r="C11" s="4816">
        <v>46277</v>
      </c>
      <c r="D11" s="4817">
        <f t="shared" si="3"/>
        <v>2</v>
      </c>
      <c r="E11" s="4816">
        <v>46291</v>
      </c>
      <c r="F11" s="4818">
        <f t="shared" si="4"/>
        <v>15</v>
      </c>
      <c r="G11" s="4816">
        <v>46293</v>
      </c>
      <c r="H11" s="4817">
        <f t="shared" si="2"/>
        <v>1</v>
      </c>
      <c r="I11" s="4819" t="s">
        <v>5800</v>
      </c>
      <c r="J11" s="4820">
        <v>32</v>
      </c>
      <c r="K11" s="4821">
        <v>32</v>
      </c>
      <c r="L11" s="4820">
        <v>30000</v>
      </c>
      <c r="M11" s="4820">
        <v>34800</v>
      </c>
      <c r="N11" s="4692">
        <v>30000</v>
      </c>
      <c r="O11" s="4678">
        <f>SUM(D11,F11,H11)*K11</f>
        <v>576</v>
      </c>
      <c r="P11" s="4679">
        <f>(D11*L11+F11*M11+H11*N11)*K11</f>
        <v>19584000</v>
      </c>
      <c r="Q11" s="4692">
        <v>27</v>
      </c>
      <c r="R11" s="4680" t="s">
        <v>5742</v>
      </c>
      <c r="S11" s="4694">
        <v>27</v>
      </c>
      <c r="T11" s="4700">
        <v>2</v>
      </c>
      <c r="U11" s="4692">
        <v>121</v>
      </c>
      <c r="V11" s="4680" t="s">
        <v>4521</v>
      </c>
      <c r="W11" s="4695">
        <v>203</v>
      </c>
      <c r="X11" s="4692">
        <v>2</v>
      </c>
      <c r="Y11" s="4692" t="s">
        <v>5743</v>
      </c>
      <c r="Z11" s="4683" t="s">
        <v>5035</v>
      </c>
      <c r="AA11" s="4692" t="s">
        <v>2814</v>
      </c>
      <c r="AB11" s="4683" t="s">
        <v>5050</v>
      </c>
      <c r="AC11" s="4692" t="s">
        <v>2814</v>
      </c>
      <c r="AD11" s="4696"/>
      <c r="AE11" s="4685">
        <f>T11*K11</f>
        <v>64</v>
      </c>
      <c r="AF11" s="7088">
        <f t="shared" si="5"/>
        <v>0</v>
      </c>
      <c r="AG11" s="7088">
        <f t="shared" si="6"/>
        <v>0</v>
      </c>
      <c r="AH11" s="7081"/>
    </row>
    <row r="12" spans="1:34" ht="33.75" customHeight="1">
      <c r="A12" s="4686">
        <v>5</v>
      </c>
      <c r="B12" s="4816">
        <v>46275</v>
      </c>
      <c r="C12" s="4816">
        <v>46277</v>
      </c>
      <c r="D12" s="4817">
        <f t="shared" si="3"/>
        <v>2</v>
      </c>
      <c r="E12" s="4816">
        <v>46291</v>
      </c>
      <c r="F12" s="4818">
        <f t="shared" si="4"/>
        <v>15</v>
      </c>
      <c r="G12" s="4816">
        <v>46293</v>
      </c>
      <c r="H12" s="4817">
        <f t="shared" si="2"/>
        <v>1</v>
      </c>
      <c r="I12" s="4819" t="s">
        <v>5801</v>
      </c>
      <c r="J12" s="4820">
        <v>14</v>
      </c>
      <c r="K12" s="4821">
        <v>14</v>
      </c>
      <c r="L12" s="4820">
        <v>30000</v>
      </c>
      <c r="M12" s="4820">
        <v>34800</v>
      </c>
      <c r="N12" s="4692">
        <v>30000</v>
      </c>
      <c r="O12" s="4678">
        <f>SUM(D12,F12,H12)*K12</f>
        <v>252</v>
      </c>
      <c r="P12" s="4679">
        <f>(D12*L12+F12*M12+H12*N12)*K12</f>
        <v>8568000</v>
      </c>
      <c r="Q12" s="4692">
        <v>27</v>
      </c>
      <c r="R12" s="4680" t="s">
        <v>5742</v>
      </c>
      <c r="S12" s="4694">
        <v>27</v>
      </c>
      <c r="T12" s="4700">
        <v>2</v>
      </c>
      <c r="U12" s="4692">
        <v>121</v>
      </c>
      <c r="V12" s="4680" t="s">
        <v>4521</v>
      </c>
      <c r="W12" s="4695">
        <v>203</v>
      </c>
      <c r="X12" s="4692">
        <v>2</v>
      </c>
      <c r="Y12" s="4692" t="s">
        <v>5743</v>
      </c>
      <c r="Z12" s="4683" t="s">
        <v>5035</v>
      </c>
      <c r="AA12" s="4692" t="s">
        <v>2814</v>
      </c>
      <c r="AB12" s="4683" t="s">
        <v>5050</v>
      </c>
      <c r="AC12" s="4692" t="s">
        <v>2814</v>
      </c>
      <c r="AD12" s="4696"/>
      <c r="AE12" s="4685">
        <f>T12*K12</f>
        <v>28</v>
      </c>
      <c r="AF12" s="7088">
        <f t="shared" si="5"/>
        <v>0</v>
      </c>
      <c r="AG12" s="7088">
        <f t="shared" si="6"/>
        <v>0</v>
      </c>
      <c r="AH12" s="7081"/>
    </row>
    <row r="13" spans="1:34" ht="33.75" customHeight="1">
      <c r="A13" s="4686">
        <v>6</v>
      </c>
      <c r="B13" s="4816">
        <v>46275</v>
      </c>
      <c r="C13" s="4816">
        <v>46277</v>
      </c>
      <c r="D13" s="4817">
        <f t="shared" si="3"/>
        <v>2</v>
      </c>
      <c r="E13" s="4816">
        <v>46291</v>
      </c>
      <c r="F13" s="4818">
        <f t="shared" si="4"/>
        <v>15</v>
      </c>
      <c r="G13" s="4816">
        <v>46293</v>
      </c>
      <c r="H13" s="4817">
        <f t="shared" si="2"/>
        <v>1</v>
      </c>
      <c r="I13" s="4819" t="s">
        <v>5802</v>
      </c>
      <c r="J13" s="4820">
        <v>20</v>
      </c>
      <c r="K13" s="4821">
        <v>20</v>
      </c>
      <c r="L13" s="4820">
        <v>33000</v>
      </c>
      <c r="M13" s="4820">
        <v>37800</v>
      </c>
      <c r="N13" s="4692">
        <v>33000</v>
      </c>
      <c r="O13" s="4678">
        <f>SUM(D13,F13,H13)*K13</f>
        <v>360</v>
      </c>
      <c r="P13" s="4679">
        <f>(D13*L13+F13*M13+H13*N13)*K13</f>
        <v>13320000</v>
      </c>
      <c r="Q13" s="4692">
        <v>27</v>
      </c>
      <c r="R13" s="4680" t="s">
        <v>5742</v>
      </c>
      <c r="S13" s="4694">
        <v>27</v>
      </c>
      <c r="T13" s="4700">
        <v>2</v>
      </c>
      <c r="U13" s="4692">
        <v>121</v>
      </c>
      <c r="V13" s="4680" t="s">
        <v>4521</v>
      </c>
      <c r="W13" s="4695">
        <v>203</v>
      </c>
      <c r="X13" s="4692">
        <v>2</v>
      </c>
      <c r="Y13" s="4692" t="s">
        <v>5743</v>
      </c>
      <c r="Z13" s="4683" t="s">
        <v>5035</v>
      </c>
      <c r="AA13" s="4692" t="s">
        <v>2814</v>
      </c>
      <c r="AB13" s="4683" t="s">
        <v>5050</v>
      </c>
      <c r="AC13" s="4692" t="s">
        <v>2814</v>
      </c>
      <c r="AD13" s="4696"/>
      <c r="AE13" s="4685">
        <f>T13*K13</f>
        <v>40</v>
      </c>
      <c r="AF13" s="7088">
        <f t="shared" si="5"/>
        <v>0</v>
      </c>
      <c r="AG13" s="7088">
        <f t="shared" si="6"/>
        <v>0</v>
      </c>
      <c r="AH13" s="7081"/>
    </row>
    <row r="14" spans="1:34" ht="33.75" customHeight="1">
      <c r="A14" s="4686">
        <v>7</v>
      </c>
      <c r="B14" s="4816">
        <v>46275</v>
      </c>
      <c r="C14" s="4816">
        <v>46277</v>
      </c>
      <c r="D14" s="4817">
        <f t="shared" si="3"/>
        <v>2</v>
      </c>
      <c r="E14" s="4816">
        <v>46291</v>
      </c>
      <c r="F14" s="4818">
        <f t="shared" si="4"/>
        <v>15</v>
      </c>
      <c r="G14" s="4816">
        <v>46293</v>
      </c>
      <c r="H14" s="4817">
        <f t="shared" si="2"/>
        <v>1</v>
      </c>
      <c r="I14" s="4819" t="s">
        <v>5092</v>
      </c>
      <c r="J14" s="4820">
        <v>3</v>
      </c>
      <c r="K14" s="4821">
        <v>3</v>
      </c>
      <c r="L14" s="4820">
        <v>53200</v>
      </c>
      <c r="M14" s="4820">
        <v>58000</v>
      </c>
      <c r="N14" s="4692">
        <v>53200</v>
      </c>
      <c r="O14" s="4678">
        <f>SUM(D14,F14,H14)*K14</f>
        <v>54</v>
      </c>
      <c r="P14" s="4679">
        <f>(D14*L14+F14*M14+H14*N14)*K14</f>
        <v>3088800</v>
      </c>
      <c r="Q14" s="4692">
        <v>53</v>
      </c>
      <c r="R14" s="4680" t="s">
        <v>5742</v>
      </c>
      <c r="S14" s="4694">
        <v>53</v>
      </c>
      <c r="T14" s="4700">
        <v>2</v>
      </c>
      <c r="U14" s="4692">
        <v>157121</v>
      </c>
      <c r="V14" s="4680" t="s">
        <v>4521</v>
      </c>
      <c r="W14" s="4695">
        <v>203</v>
      </c>
      <c r="X14" s="4692">
        <v>2</v>
      </c>
      <c r="Y14" s="4692" t="s">
        <v>5743</v>
      </c>
      <c r="Z14" s="4683" t="s">
        <v>5035</v>
      </c>
      <c r="AA14" s="4692" t="s">
        <v>2814</v>
      </c>
      <c r="AB14" s="4683" t="s">
        <v>5050</v>
      </c>
      <c r="AC14" s="4692" t="s">
        <v>2814</v>
      </c>
      <c r="AD14" s="4696"/>
      <c r="AE14" s="4685">
        <f>T14*K14</f>
        <v>6</v>
      </c>
      <c r="AF14" s="7088">
        <f t="shared" si="5"/>
        <v>0</v>
      </c>
      <c r="AG14" s="7088">
        <f t="shared" si="6"/>
        <v>0</v>
      </c>
      <c r="AH14" s="7081"/>
    </row>
    <row r="15" spans="1:34" ht="33.75" customHeight="1">
      <c r="A15" s="4686">
        <v>8</v>
      </c>
      <c r="B15" s="4816">
        <v>46275</v>
      </c>
      <c r="C15" s="4816">
        <v>46277</v>
      </c>
      <c r="D15" s="4817">
        <f t="shared" si="3"/>
        <v>2</v>
      </c>
      <c r="E15" s="4816">
        <v>46291</v>
      </c>
      <c r="F15" s="4818">
        <f t="shared" si="4"/>
        <v>15</v>
      </c>
      <c r="G15" s="4816">
        <v>46293</v>
      </c>
      <c r="H15" s="4817">
        <f t="shared" si="2"/>
        <v>1</v>
      </c>
      <c r="I15" s="4819" t="s">
        <v>5803</v>
      </c>
      <c r="J15" s="4820">
        <v>6</v>
      </c>
      <c r="K15" s="4821">
        <v>6</v>
      </c>
      <c r="L15" s="4820">
        <v>30000</v>
      </c>
      <c r="M15" s="4820">
        <v>34800</v>
      </c>
      <c r="N15" s="4692">
        <v>30000</v>
      </c>
      <c r="O15" s="4678">
        <f>SUM(D15,F15,H15)*K15</f>
        <v>108</v>
      </c>
      <c r="P15" s="4679">
        <f>(D15*L15+F15*M15+H15*N15)*K15</f>
        <v>3672000</v>
      </c>
      <c r="Q15" s="4692">
        <v>37</v>
      </c>
      <c r="R15" s="4680" t="s">
        <v>5742</v>
      </c>
      <c r="S15" s="4694">
        <v>37</v>
      </c>
      <c r="T15" s="4700">
        <v>2</v>
      </c>
      <c r="U15" s="4692">
        <v>121</v>
      </c>
      <c r="V15" s="4680" t="s">
        <v>4521</v>
      </c>
      <c r="W15" s="4695">
        <v>203</v>
      </c>
      <c r="X15" s="4692">
        <v>2</v>
      </c>
      <c r="Y15" s="4692" t="s">
        <v>5743</v>
      </c>
      <c r="Z15" s="4683" t="s">
        <v>5035</v>
      </c>
      <c r="AA15" s="4692" t="s">
        <v>2814</v>
      </c>
      <c r="AB15" s="4683" t="s">
        <v>5050</v>
      </c>
      <c r="AC15" s="4692" t="s">
        <v>2814</v>
      </c>
      <c r="AD15" s="4696"/>
      <c r="AE15" s="4685">
        <f>T15*K15</f>
        <v>12</v>
      </c>
      <c r="AF15" s="7088">
        <f t="shared" si="5"/>
        <v>0</v>
      </c>
      <c r="AG15" s="7088">
        <f t="shared" si="6"/>
        <v>0</v>
      </c>
      <c r="AH15" s="7081"/>
    </row>
    <row r="16" spans="1:34" ht="33.75" customHeight="1">
      <c r="A16" s="4686">
        <v>9</v>
      </c>
      <c r="B16" s="4816">
        <v>46275</v>
      </c>
      <c r="C16" s="4816">
        <v>46277</v>
      </c>
      <c r="D16" s="4817">
        <f t="shared" si="3"/>
        <v>2</v>
      </c>
      <c r="E16" s="4816">
        <v>46291</v>
      </c>
      <c r="F16" s="4818">
        <f t="shared" si="4"/>
        <v>15</v>
      </c>
      <c r="G16" s="4816">
        <v>46293</v>
      </c>
      <c r="H16" s="4817">
        <f t="shared" si="2"/>
        <v>1</v>
      </c>
      <c r="I16" s="4819" t="s">
        <v>5045</v>
      </c>
      <c r="J16" s="4820">
        <v>4</v>
      </c>
      <c r="K16" s="4821">
        <v>4</v>
      </c>
      <c r="L16" s="4820">
        <v>49200</v>
      </c>
      <c r="M16" s="4820">
        <v>56400</v>
      </c>
      <c r="N16" s="4692">
        <v>49200</v>
      </c>
      <c r="O16" s="4678">
        <f>SUM(D16,F16,H16)*K16</f>
        <v>72</v>
      </c>
      <c r="P16" s="4679">
        <f>(D16*L16+F16*M16+H16*N16)*K16</f>
        <v>3974400</v>
      </c>
      <c r="Q16" s="4692" t="s">
        <v>5804</v>
      </c>
      <c r="R16" s="4680" t="s">
        <v>5742</v>
      </c>
      <c r="S16" s="4694" t="s">
        <v>5804</v>
      </c>
      <c r="T16" s="4700">
        <v>3</v>
      </c>
      <c r="U16" s="4692" t="s">
        <v>2602</v>
      </c>
      <c r="V16" s="4680" t="s">
        <v>4521</v>
      </c>
      <c r="W16" s="4695" t="s">
        <v>2602</v>
      </c>
      <c r="X16" s="4692" t="s">
        <v>246</v>
      </c>
      <c r="Y16" s="4692" t="s">
        <v>5743</v>
      </c>
      <c r="Z16" s="4683" t="s">
        <v>5035</v>
      </c>
      <c r="AA16" s="4692" t="s">
        <v>2814</v>
      </c>
      <c r="AB16" s="4683" t="s">
        <v>5050</v>
      </c>
      <c r="AC16" s="4692" t="s">
        <v>2814</v>
      </c>
      <c r="AD16" s="4696"/>
      <c r="AE16" s="4685">
        <f>T16*K16</f>
        <v>12</v>
      </c>
      <c r="AF16" s="7088">
        <f t="shared" si="5"/>
        <v>0</v>
      </c>
      <c r="AG16" s="7088">
        <f t="shared" si="6"/>
        <v>0</v>
      </c>
      <c r="AH16" s="7081"/>
    </row>
    <row r="17" spans="1:34" ht="33.75" customHeight="1">
      <c r="A17" s="4686">
        <v>10</v>
      </c>
      <c r="B17" s="4816">
        <v>46275</v>
      </c>
      <c r="C17" s="4816">
        <v>46277</v>
      </c>
      <c r="D17" s="4817">
        <f t="shared" si="3"/>
        <v>2</v>
      </c>
      <c r="E17" s="4816">
        <v>46291</v>
      </c>
      <c r="F17" s="4818">
        <f t="shared" si="4"/>
        <v>15</v>
      </c>
      <c r="G17" s="4816">
        <v>46293</v>
      </c>
      <c r="H17" s="4817">
        <f t="shared" si="2"/>
        <v>1</v>
      </c>
      <c r="I17" s="4819" t="s">
        <v>5135</v>
      </c>
      <c r="J17" s="4820">
        <v>4</v>
      </c>
      <c r="K17" s="4821">
        <v>4</v>
      </c>
      <c r="L17" s="4820">
        <v>23000</v>
      </c>
      <c r="M17" s="4820">
        <v>27800</v>
      </c>
      <c r="N17" s="4692">
        <v>23000</v>
      </c>
      <c r="O17" s="4678">
        <f>SUM(D17,F17,H17)*K17</f>
        <v>72</v>
      </c>
      <c r="P17" s="4679">
        <f>(D17*L17+F17*M17+H17*N17)*K17</f>
        <v>1944000</v>
      </c>
      <c r="Q17" s="4692">
        <v>21</v>
      </c>
      <c r="R17" s="4680" t="s">
        <v>5742</v>
      </c>
      <c r="S17" s="4694">
        <v>21</v>
      </c>
      <c r="T17" s="4700">
        <v>2</v>
      </c>
      <c r="U17" s="4692">
        <v>110</v>
      </c>
      <c r="V17" s="4680" t="s">
        <v>4521</v>
      </c>
      <c r="W17" s="4695">
        <v>203</v>
      </c>
      <c r="X17" s="4692">
        <v>2</v>
      </c>
      <c r="Y17" s="4692" t="s">
        <v>5743</v>
      </c>
      <c r="Z17" s="4683" t="s">
        <v>5035</v>
      </c>
      <c r="AA17" s="4692" t="s">
        <v>2814</v>
      </c>
      <c r="AB17" s="4683" t="s">
        <v>5050</v>
      </c>
      <c r="AC17" s="4692" t="s">
        <v>2814</v>
      </c>
      <c r="AD17" s="4696"/>
      <c r="AE17" s="4685">
        <f>T17*K17</f>
        <v>8</v>
      </c>
      <c r="AF17" s="7088">
        <f t="shared" si="5"/>
        <v>0</v>
      </c>
      <c r="AG17" s="7088">
        <f t="shared" si="6"/>
        <v>0</v>
      </c>
      <c r="AH17" s="7081"/>
    </row>
    <row r="18" spans="1:34"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78">
        <f>SUM(D18,F18,H18)*K18</f>
        <v>0</v>
      </c>
      <c r="P18" s="4679">
        <f>(D18*L18+F18*M18+H18*N18)*K18</f>
        <v>0</v>
      </c>
      <c r="Q18" s="4692"/>
      <c r="R18" s="4680" t="s">
        <v>5742</v>
      </c>
      <c r="S18" s="4694"/>
      <c r="T18" s="4700"/>
      <c r="U18" s="4692"/>
      <c r="V18" s="4680" t="s">
        <v>4521</v>
      </c>
      <c r="W18" s="4695"/>
      <c r="X18" s="4692"/>
      <c r="Y18" s="4692"/>
      <c r="Z18" s="4683" t="s">
        <v>5035</v>
      </c>
      <c r="AA18" s="4692"/>
      <c r="AB18" s="4683" t="s">
        <v>5050</v>
      </c>
      <c r="AC18" s="4692"/>
      <c r="AD18" s="4696"/>
      <c r="AE18" s="4685">
        <f>T18*K18</f>
        <v>0</v>
      </c>
      <c r="AF18" s="7088">
        <f t="shared" si="5"/>
        <v>0</v>
      </c>
      <c r="AG18" s="7088">
        <f t="shared" si="6"/>
        <v>0</v>
      </c>
      <c r="AH18" s="7081"/>
    </row>
    <row r="19" spans="1:34"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78">
        <f>SUM(D19,F19,H19)*K19</f>
        <v>0</v>
      </c>
      <c r="P19" s="4679">
        <f>(D19*L19+F19*M19+H19*N19)*K19</f>
        <v>0</v>
      </c>
      <c r="Q19" s="4692"/>
      <c r="R19" s="4680" t="s">
        <v>5742</v>
      </c>
      <c r="S19" s="4694"/>
      <c r="T19" s="4700"/>
      <c r="U19" s="4692"/>
      <c r="V19" s="4680" t="s">
        <v>4521</v>
      </c>
      <c r="W19" s="4695"/>
      <c r="X19" s="4692"/>
      <c r="Y19" s="4692"/>
      <c r="Z19" s="4683" t="s">
        <v>5035</v>
      </c>
      <c r="AA19" s="4692"/>
      <c r="AB19" s="4683" t="s">
        <v>5050</v>
      </c>
      <c r="AC19" s="4692"/>
      <c r="AD19" s="4696"/>
      <c r="AE19" s="4685">
        <f>T19*K19</f>
        <v>0</v>
      </c>
      <c r="AF19" s="7088">
        <f t="shared" ref="AF19:AF20" si="7">AE19*SUM(D19,F19,H19)*AF$6</f>
        <v>0</v>
      </c>
      <c r="AG19" s="7088">
        <f t="shared" ref="AG19:AG20" si="8">AE19*SUM(D19,F19,H19)*AG$6</f>
        <v>0</v>
      </c>
      <c r="AH19" s="7081"/>
    </row>
    <row r="20" spans="1:34"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78">
        <f>SUM(D20,F20,H20)*K20</f>
        <v>0</v>
      </c>
      <c r="P20" s="4679">
        <f>(D20*L20+F20*M20+H20*N20)*K20</f>
        <v>0</v>
      </c>
      <c r="Q20" s="4692"/>
      <c r="R20" s="4680" t="s">
        <v>5742</v>
      </c>
      <c r="S20" s="4694"/>
      <c r="T20" s="4700"/>
      <c r="U20" s="4692"/>
      <c r="V20" s="4680" t="s">
        <v>4521</v>
      </c>
      <c r="W20" s="4695"/>
      <c r="X20" s="4692"/>
      <c r="Y20" s="4692"/>
      <c r="Z20" s="4683" t="s">
        <v>5035</v>
      </c>
      <c r="AA20" s="4692"/>
      <c r="AB20" s="4683" t="s">
        <v>5050</v>
      </c>
      <c r="AC20" s="4692"/>
      <c r="AD20" s="4696"/>
      <c r="AE20" s="4685">
        <f>T20*K20</f>
        <v>0</v>
      </c>
      <c r="AF20" s="7088">
        <f t="shared" si="7"/>
        <v>0</v>
      </c>
      <c r="AG20" s="7088">
        <f t="shared" si="8"/>
        <v>0</v>
      </c>
      <c r="AH20" s="7081"/>
    </row>
    <row r="21" spans="1:34"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78">
        <f>SUM(D21,F21,H21)*K21</f>
        <v>0</v>
      </c>
      <c r="P21" s="4679">
        <f>(D21*L21+F21*M21+H21*N21)*K21</f>
        <v>0</v>
      </c>
      <c r="Q21" s="4692"/>
      <c r="R21" s="4680" t="s">
        <v>5742</v>
      </c>
      <c r="S21" s="4694"/>
      <c r="T21" s="4700"/>
      <c r="U21" s="4692"/>
      <c r="V21" s="4680" t="s">
        <v>4521</v>
      </c>
      <c r="W21" s="4695"/>
      <c r="X21" s="4692"/>
      <c r="Y21" s="4692"/>
      <c r="Z21" s="4683" t="s">
        <v>5035</v>
      </c>
      <c r="AA21" s="4692"/>
      <c r="AB21" s="4683" t="s">
        <v>5050</v>
      </c>
      <c r="AC21" s="4692"/>
      <c r="AD21" s="4696"/>
      <c r="AE21" s="4685">
        <f>T21*K21</f>
        <v>0</v>
      </c>
      <c r="AF21" s="7088">
        <f t="shared" ref="AF21:AF22" si="9">AE21*SUM(D21,F21,H21)*AF$6</f>
        <v>0</v>
      </c>
      <c r="AG21" s="7088">
        <f t="shared" ref="AG21:AG22" si="10">AE21*SUM(D21,F21,H21)*AG$6</f>
        <v>0</v>
      </c>
      <c r="AH21" s="7081"/>
    </row>
    <row r="22" spans="1:34"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78">
        <f>SUM(D22,F22,H22)*K22</f>
        <v>0</v>
      </c>
      <c r="P22" s="4679">
        <f>(D22*L22+F22*M22+H22*N22)*K22</f>
        <v>0</v>
      </c>
      <c r="Q22" s="4692"/>
      <c r="R22" s="4680" t="s">
        <v>5739</v>
      </c>
      <c r="S22" s="4694"/>
      <c r="T22" s="4700"/>
      <c r="U22" s="4692"/>
      <c r="V22" s="4680" t="s">
        <v>4521</v>
      </c>
      <c r="W22" s="4695"/>
      <c r="X22" s="4692"/>
      <c r="Y22" s="4692"/>
      <c r="Z22" s="4683" t="s">
        <v>5035</v>
      </c>
      <c r="AA22" s="4692"/>
      <c r="AB22" s="4683" t="s">
        <v>5050</v>
      </c>
      <c r="AC22" s="4692"/>
      <c r="AD22" s="4696"/>
      <c r="AE22" s="4685">
        <f>T22*K22</f>
        <v>0</v>
      </c>
      <c r="AF22" s="7088">
        <f t="shared" si="9"/>
        <v>0</v>
      </c>
      <c r="AG22" s="7088">
        <f t="shared" si="10"/>
        <v>0</v>
      </c>
      <c r="AH22" s="7081"/>
    </row>
    <row r="23" spans="1:34" ht="33.75" customHeight="1" thickTop="1" thickBot="1">
      <c r="A23" s="4701"/>
      <c r="B23" s="4702"/>
      <c r="C23" s="4702"/>
      <c r="D23" s="4702"/>
      <c r="E23" s="4702"/>
      <c r="F23" s="4703"/>
      <c r="G23" s="4704"/>
      <c r="H23" s="4702"/>
      <c r="I23" s="4705" t="s">
        <v>2432</v>
      </c>
      <c r="J23" s="4706">
        <f>SUM(J8:J22)</f>
        <v>243</v>
      </c>
      <c r="K23" s="4707">
        <f>SUM(K8:K22)</f>
        <v>243</v>
      </c>
      <c r="L23" s="4703"/>
      <c r="M23" s="4822"/>
      <c r="N23" s="4703"/>
      <c r="O23" s="4706">
        <f>SUM(O8:O22)</f>
        <v>4374</v>
      </c>
      <c r="P23" s="4706">
        <f>SUM(P8:P22)</f>
        <v>106783200</v>
      </c>
      <c r="Q23" s="6863"/>
      <c r="R23" s="6864"/>
      <c r="S23" s="6865"/>
      <c r="T23" s="4708"/>
      <c r="U23" s="6863"/>
      <c r="V23" s="6864"/>
      <c r="W23" s="6864"/>
      <c r="X23" s="4708"/>
      <c r="Y23" s="4708"/>
      <c r="Z23" s="6866"/>
      <c r="AA23" s="6867"/>
      <c r="AB23" s="6866"/>
      <c r="AC23" s="6867"/>
      <c r="AD23" s="4709"/>
      <c r="AE23" s="4685">
        <f>SUM(AE7:AE22)</f>
        <v>330</v>
      </c>
      <c r="AF23" s="7088">
        <f>SUM(AF8:AF22)</f>
        <v>0</v>
      </c>
      <c r="AG23" s="7088">
        <f>SUM(AG8:AG22)</f>
        <v>0</v>
      </c>
      <c r="AH23" s="7081"/>
    </row>
    <row r="24" spans="1:34" ht="33.75" customHeight="1" thickBot="1">
      <c r="C24" s="4710"/>
      <c r="D24" s="4710"/>
      <c r="E24" s="4710"/>
      <c r="F24" s="4710"/>
      <c r="G24" s="4710"/>
      <c r="H24" s="4710"/>
      <c r="I24" s="4711"/>
      <c r="J24" s="4712"/>
      <c r="K24" s="4710"/>
      <c r="L24" s="4712"/>
      <c r="M24" s="4712"/>
      <c r="N24" s="4715"/>
      <c r="O24" s="4715"/>
      <c r="R24" s="4656"/>
      <c r="V24" s="4656"/>
      <c r="AF24" s="7089" t="s">
        <v>127</v>
      </c>
      <c r="AG24" s="7090">
        <f>SUM(AF23,AG23)</f>
        <v>0</v>
      </c>
    </row>
    <row r="25" spans="1:34" ht="33.75" customHeight="1">
      <c r="A25" s="6845" t="s">
        <v>5749</v>
      </c>
      <c r="B25" s="7120"/>
      <c r="C25" s="4716">
        <f>O23</f>
        <v>4374</v>
      </c>
      <c r="D25" s="4717"/>
      <c r="F25" s="4718"/>
      <c r="H25" s="4719"/>
      <c r="I25" s="4720"/>
      <c r="K25" s="4659"/>
      <c r="L25" s="4656"/>
      <c r="M25" s="4656"/>
      <c r="O25" s="4656"/>
    </row>
    <row r="26" spans="1:34" ht="33.75" customHeight="1">
      <c r="A26" s="6991" t="s">
        <v>5883</v>
      </c>
      <c r="B26" s="6992"/>
      <c r="C26" s="4723">
        <f>P23</f>
        <v>106783200</v>
      </c>
      <c r="D26" s="4717"/>
      <c r="F26" s="4724"/>
      <c r="H26" s="4719"/>
      <c r="I26" s="4720"/>
      <c r="K26" s="4659"/>
      <c r="O26" s="4656"/>
    </row>
    <row r="27" spans="1:34" ht="33.75" customHeight="1" thickBot="1">
      <c r="A27" s="6913" t="s">
        <v>5751</v>
      </c>
      <c r="B27" s="6914"/>
      <c r="C27" s="4823">
        <f>C26*1.1</f>
        <v>117461520.00000001</v>
      </c>
      <c r="D27" s="4719"/>
      <c r="F27" s="4724"/>
      <c r="H27" s="4719"/>
      <c r="I27" s="4720"/>
      <c r="K27" s="4659"/>
      <c r="L27" s="4824"/>
      <c r="O27" s="4656"/>
    </row>
    <row r="28" spans="1:34" ht="33.75" customHeight="1" thickBot="1">
      <c r="A28" s="6920" t="s">
        <v>6158</v>
      </c>
      <c r="B28" s="6921"/>
      <c r="C28" s="4823">
        <f>AG24</f>
        <v>0</v>
      </c>
      <c r="D28" s="4719"/>
      <c r="F28" s="4724"/>
      <c r="H28" s="4719"/>
      <c r="I28" s="4720"/>
      <c r="K28" s="4659"/>
      <c r="O28" s="4656"/>
    </row>
    <row r="29" spans="1:34" ht="32.15" customHeight="1" thickBot="1">
      <c r="A29" s="6920" t="s">
        <v>7047</v>
      </c>
      <c r="B29" s="6921"/>
      <c r="C29" s="4823">
        <f>C27+C28</f>
        <v>117461520.00000001</v>
      </c>
      <c r="D29" s="4726"/>
      <c r="E29" s="4726"/>
      <c r="F29" s="4726"/>
      <c r="G29" s="4726"/>
      <c r="H29" s="4726"/>
      <c r="I29" s="4727"/>
    </row>
    <row r="30" spans="1:34" ht="32.15" customHeight="1">
      <c r="A30" s="7078"/>
      <c r="B30" s="7078"/>
      <c r="C30" s="4724"/>
      <c r="D30" s="4726"/>
      <c r="E30" s="4726"/>
      <c r="F30" s="4726"/>
      <c r="G30" s="4726"/>
      <c r="H30" s="4726"/>
      <c r="I30" s="4727"/>
    </row>
    <row r="31" spans="1:34" ht="33.75" customHeight="1" thickBot="1">
      <c r="A31" s="4665" t="s">
        <v>5807</v>
      </c>
      <c r="B31" s="4665"/>
      <c r="R31" s="4656"/>
      <c r="V31" s="4656"/>
      <c r="Y31" s="4656"/>
      <c r="Z31" s="4656"/>
      <c r="AA31" s="4656"/>
      <c r="AB31" s="4656"/>
      <c r="AC31" s="4656"/>
      <c r="AE31" s="4656" t="s">
        <v>5712</v>
      </c>
      <c r="AF31" s="7082" t="s">
        <v>7048</v>
      </c>
      <c r="AG31" s="7083"/>
      <c r="AH31" s="4656"/>
    </row>
    <row r="32" spans="1:34" s="4666" customFormat="1" ht="33.75" customHeight="1" thickBot="1">
      <c r="A32" s="6877" t="s">
        <v>5713</v>
      </c>
      <c r="B32" s="6879" t="s">
        <v>5714</v>
      </c>
      <c r="C32" s="6855" t="s">
        <v>5715</v>
      </c>
      <c r="D32" s="6855" t="s">
        <v>5716</v>
      </c>
      <c r="E32" s="6855" t="s">
        <v>5717</v>
      </c>
      <c r="F32" s="6868" t="s">
        <v>5718</v>
      </c>
      <c r="G32" s="6855" t="s">
        <v>5719</v>
      </c>
      <c r="H32" s="6855" t="s">
        <v>5720</v>
      </c>
      <c r="I32" s="6857" t="s">
        <v>5721</v>
      </c>
      <c r="J32" s="6851" t="s">
        <v>5722</v>
      </c>
      <c r="K32" s="6851" t="s">
        <v>5723</v>
      </c>
      <c r="L32" s="6855" t="s">
        <v>5796</v>
      </c>
      <c r="M32" s="6855" t="s">
        <v>5797</v>
      </c>
      <c r="N32" s="6855" t="s">
        <v>5798</v>
      </c>
      <c r="O32" s="6851" t="s">
        <v>3766</v>
      </c>
      <c r="P32" s="6853"/>
      <c r="Q32" s="6868" t="s">
        <v>5728</v>
      </c>
      <c r="R32" s="6869"/>
      <c r="S32" s="6870"/>
      <c r="T32" s="6855" t="s">
        <v>5729</v>
      </c>
      <c r="U32" s="6869" t="s">
        <v>5730</v>
      </c>
      <c r="V32" s="6869"/>
      <c r="W32" s="6869"/>
      <c r="X32" s="6868" t="s">
        <v>5731</v>
      </c>
      <c r="Y32" s="6851" t="s">
        <v>5732</v>
      </c>
      <c r="Z32" s="6851" t="s">
        <v>5733</v>
      </c>
      <c r="AA32" s="6853"/>
      <c r="AB32" s="6853"/>
      <c r="AC32" s="6853"/>
      <c r="AD32" s="6860" t="s">
        <v>2792</v>
      </c>
      <c r="AE32" s="6862" t="s">
        <v>5734</v>
      </c>
      <c r="AF32" s="7084" t="s">
        <v>7049</v>
      </c>
      <c r="AG32" s="7084" t="s">
        <v>7050</v>
      </c>
      <c r="AH32" s="7080"/>
    </row>
    <row r="33" spans="1:34" s="4666" customFormat="1" ht="20.5" thickBot="1">
      <c r="A33" s="6878"/>
      <c r="B33" s="6880"/>
      <c r="C33" s="6858"/>
      <c r="D33" s="6856"/>
      <c r="E33" s="6856"/>
      <c r="F33" s="6881"/>
      <c r="G33" s="6856"/>
      <c r="H33" s="6856"/>
      <c r="I33" s="6858"/>
      <c r="J33" s="6859"/>
      <c r="K33" s="6859"/>
      <c r="L33" s="6856"/>
      <c r="M33" s="6856"/>
      <c r="N33" s="6856"/>
      <c r="O33" s="4667" t="s">
        <v>5735</v>
      </c>
      <c r="P33" s="4668" t="s">
        <v>5736</v>
      </c>
      <c r="Q33" s="6871"/>
      <c r="R33" s="6872"/>
      <c r="S33" s="6873"/>
      <c r="T33" s="6856"/>
      <c r="U33" s="6872"/>
      <c r="V33" s="6872"/>
      <c r="W33" s="6872"/>
      <c r="X33" s="6852"/>
      <c r="Y33" s="6852"/>
      <c r="Z33" s="6852"/>
      <c r="AA33" s="6854"/>
      <c r="AB33" s="6854"/>
      <c r="AC33" s="6854"/>
      <c r="AD33" s="6861"/>
      <c r="AE33" s="6862"/>
      <c r="AF33" s="7085"/>
      <c r="AG33" s="7086"/>
      <c r="AH33" s="7080"/>
    </row>
    <row r="34" spans="1:34" ht="33.75" customHeight="1">
      <c r="A34" s="4669" t="s">
        <v>5737</v>
      </c>
      <c r="B34" s="4826">
        <v>46305</v>
      </c>
      <c r="C34" s="4827">
        <v>46307</v>
      </c>
      <c r="D34" s="4672">
        <f>IF(_xlfn.DAYS(C34,B34)=0,"1",_xlfn.DAYS(C34,B34))</f>
        <v>2</v>
      </c>
      <c r="E34" s="4827">
        <v>46319</v>
      </c>
      <c r="F34" s="4672">
        <f t="shared" ref="F34:F49" si="11">IF(_xlfn.DAYS(E34,C34)=0,"1",_xlfn.DAYS(E34,C34))+1</f>
        <v>13</v>
      </c>
      <c r="G34" s="4827">
        <v>46321</v>
      </c>
      <c r="H34" s="4672">
        <f>IF(_xlfn.DAYS(G34,E34)=0,"1",_xlfn.DAYS(G34,E34))-1</f>
        <v>1</v>
      </c>
      <c r="I34" s="4674" t="s">
        <v>5738</v>
      </c>
      <c r="J34" s="4677">
        <v>100</v>
      </c>
      <c r="K34" s="4676">
        <v>90</v>
      </c>
      <c r="L34" s="4677">
        <v>9000</v>
      </c>
      <c r="M34" s="4677">
        <v>10000</v>
      </c>
      <c r="N34" s="4677">
        <v>8000</v>
      </c>
      <c r="O34" s="4678">
        <f>SUM(D34,F34,H34)*K34</f>
        <v>1440</v>
      </c>
      <c r="P34" s="4677">
        <f>(D34*L34+F34*M34+H34*N34)*K34</f>
        <v>14040000</v>
      </c>
      <c r="Q34" s="4682">
        <v>21</v>
      </c>
      <c r="R34" s="4680" t="s">
        <v>5739</v>
      </c>
      <c r="S34" s="4682">
        <v>21</v>
      </c>
      <c r="T34" s="4815">
        <v>1</v>
      </c>
      <c r="U34" s="4675">
        <v>154</v>
      </c>
      <c r="V34" s="4680" t="s">
        <v>4521</v>
      </c>
      <c r="W34" s="4682">
        <v>203</v>
      </c>
      <c r="X34" s="4675">
        <v>1</v>
      </c>
      <c r="Y34" s="4675" t="s">
        <v>5740</v>
      </c>
      <c r="Z34" s="4683" t="s">
        <v>5035</v>
      </c>
      <c r="AA34" s="4675" t="s">
        <v>2830</v>
      </c>
      <c r="AB34" s="4683" t="s">
        <v>5050</v>
      </c>
      <c r="AC34" s="4675" t="s">
        <v>5741</v>
      </c>
      <c r="AD34" s="4684"/>
      <c r="AE34" s="4685"/>
      <c r="AF34" s="7087" t="s">
        <v>246</v>
      </c>
      <c r="AG34" s="7087" t="s">
        <v>246</v>
      </c>
      <c r="AH34" s="7081"/>
    </row>
    <row r="35" spans="1:34" ht="33.75" customHeight="1">
      <c r="A35" s="4828">
        <v>1</v>
      </c>
      <c r="B35" s="4829">
        <v>46304</v>
      </c>
      <c r="C35" s="4829">
        <v>46306</v>
      </c>
      <c r="D35" s="4672">
        <f t="shared" ref="D35:D44" si="12">IF(_xlfn.DAYS(C35,B35)=0,"1",_xlfn.DAYS(C35,B35))</f>
        <v>2</v>
      </c>
      <c r="E35" s="4829">
        <v>46320</v>
      </c>
      <c r="F35" s="4830">
        <f t="shared" si="11"/>
        <v>15</v>
      </c>
      <c r="G35" s="4699">
        <v>46322</v>
      </c>
      <c r="H35" s="4672">
        <f t="shared" ref="H35:H49" si="13">IF(_xlfn.DAYS(G35,E35)=0,"1",_xlfn.DAYS(G35,E35))-1</f>
        <v>1</v>
      </c>
      <c r="I35" s="4831" t="s">
        <v>5056</v>
      </c>
      <c r="J35" s="4692">
        <v>98</v>
      </c>
      <c r="K35" s="4693">
        <v>98</v>
      </c>
      <c r="L35" s="4692">
        <v>15000</v>
      </c>
      <c r="M35" s="4692">
        <v>17400</v>
      </c>
      <c r="N35" s="4692">
        <v>15000</v>
      </c>
      <c r="O35" s="4678">
        <f>SUM(D35,F35,H35)*K35</f>
        <v>1764</v>
      </c>
      <c r="P35" s="4677">
        <f>(D35*L35+F35*M35+H35*N35)*K35</f>
        <v>29988000</v>
      </c>
      <c r="Q35" s="4692">
        <v>18</v>
      </c>
      <c r="R35" s="4680" t="s">
        <v>5742</v>
      </c>
      <c r="S35" s="4694">
        <v>18</v>
      </c>
      <c r="T35" s="4700">
        <v>1</v>
      </c>
      <c r="U35" s="4692">
        <v>110</v>
      </c>
      <c r="V35" s="4680" t="s">
        <v>4521</v>
      </c>
      <c r="W35" s="4695">
        <v>203</v>
      </c>
      <c r="X35" s="4692">
        <v>1</v>
      </c>
      <c r="Y35" s="4692" t="s">
        <v>5743</v>
      </c>
      <c r="Z35" s="4683" t="s">
        <v>5035</v>
      </c>
      <c r="AA35" s="4692" t="s">
        <v>2814</v>
      </c>
      <c r="AB35" s="4683" t="s">
        <v>5050</v>
      </c>
      <c r="AC35" s="4692" t="s">
        <v>2814</v>
      </c>
      <c r="AD35" s="4832"/>
      <c r="AE35" s="4685">
        <f>T35*K35</f>
        <v>98</v>
      </c>
      <c r="AF35" s="7088">
        <f>AE35*SUM(D35,F35,H35)*AF$6</f>
        <v>0</v>
      </c>
      <c r="AG35" s="7088">
        <f>AE35*SUM(D35,F35,H35)*AG$6</f>
        <v>0</v>
      </c>
      <c r="AH35" s="7081"/>
    </row>
    <row r="36" spans="1:34" ht="33.75" customHeight="1">
      <c r="A36" s="4828">
        <v>2</v>
      </c>
      <c r="B36" s="4829">
        <v>46304</v>
      </c>
      <c r="C36" s="4829">
        <v>46306</v>
      </c>
      <c r="D36" s="4672">
        <f t="shared" si="12"/>
        <v>2</v>
      </c>
      <c r="E36" s="4829">
        <v>46320</v>
      </c>
      <c r="F36" s="4830">
        <f>IF(_xlfn.DAYS(E36,C36)=0,"1",_xlfn.DAYS(E36,C36))+1</f>
        <v>15</v>
      </c>
      <c r="G36" s="4699">
        <v>46322</v>
      </c>
      <c r="H36" s="4672">
        <f t="shared" si="13"/>
        <v>1</v>
      </c>
      <c r="I36" s="4831" t="s">
        <v>5057</v>
      </c>
      <c r="J36" s="4692">
        <v>52</v>
      </c>
      <c r="K36" s="4693">
        <v>52</v>
      </c>
      <c r="L36" s="4692">
        <v>17000</v>
      </c>
      <c r="M36" s="4692">
        <v>19400</v>
      </c>
      <c r="N36" s="4692">
        <v>17000</v>
      </c>
      <c r="O36" s="4678">
        <f>SUM(D36,F36,H36)*K36</f>
        <v>936</v>
      </c>
      <c r="P36" s="4677">
        <f>(D36*L36+F36*M36+H36*N36)*K36</f>
        <v>17784000</v>
      </c>
      <c r="Q36" s="4692">
        <v>18</v>
      </c>
      <c r="R36" s="4680" t="s">
        <v>5742</v>
      </c>
      <c r="S36" s="4694">
        <v>18</v>
      </c>
      <c r="T36" s="4700">
        <v>1</v>
      </c>
      <c r="U36" s="4692">
        <v>110</v>
      </c>
      <c r="V36" s="4680" t="s">
        <v>4521</v>
      </c>
      <c r="W36" s="4695">
        <v>203</v>
      </c>
      <c r="X36" s="4692">
        <v>1</v>
      </c>
      <c r="Y36" s="4692" t="s">
        <v>5743</v>
      </c>
      <c r="Z36" s="4683" t="s">
        <v>5035</v>
      </c>
      <c r="AA36" s="4692" t="s">
        <v>2814</v>
      </c>
      <c r="AB36" s="4683" t="s">
        <v>5050</v>
      </c>
      <c r="AC36" s="4692" t="s">
        <v>2814</v>
      </c>
      <c r="AD36" s="4832"/>
      <c r="AE36" s="4685">
        <f>T36*K36</f>
        <v>52</v>
      </c>
      <c r="AF36" s="7088">
        <f t="shared" ref="AF36:AF49" si="14">AE36*SUM(D36,F36,H36)*AF$6</f>
        <v>0</v>
      </c>
      <c r="AG36" s="7088">
        <f>AE36*SUM(D36,F36,H36)*AG$6</f>
        <v>0</v>
      </c>
      <c r="AH36" s="7081"/>
    </row>
    <row r="37" spans="1:34" ht="33.75" customHeight="1">
      <c r="A37" s="4828">
        <v>3</v>
      </c>
      <c r="B37" s="4829">
        <v>46304</v>
      </c>
      <c r="C37" s="4829">
        <v>46306</v>
      </c>
      <c r="D37" s="4672">
        <f t="shared" si="12"/>
        <v>2</v>
      </c>
      <c r="E37" s="4829">
        <v>46320</v>
      </c>
      <c r="F37" s="4830">
        <f t="shared" ref="F37:F40" si="15">IF(_xlfn.DAYS(E37,C37)=0,"1",_xlfn.DAYS(E37,C37))+1</f>
        <v>15</v>
      </c>
      <c r="G37" s="4699">
        <v>46322</v>
      </c>
      <c r="H37" s="4672">
        <f t="shared" si="13"/>
        <v>1</v>
      </c>
      <c r="I37" s="4831" t="s">
        <v>5799</v>
      </c>
      <c r="J37" s="4692">
        <v>10</v>
      </c>
      <c r="K37" s="4693">
        <v>10</v>
      </c>
      <c r="L37" s="4692">
        <v>23000</v>
      </c>
      <c r="M37" s="4692">
        <v>27800</v>
      </c>
      <c r="N37" s="4692">
        <v>23000</v>
      </c>
      <c r="O37" s="4678">
        <f>SUM(D37,F37,H37)*K37</f>
        <v>180</v>
      </c>
      <c r="P37" s="4677">
        <f>(D37*L37+F37*M37+H37*N37)*K37</f>
        <v>4860000</v>
      </c>
      <c r="Q37" s="4692">
        <v>21</v>
      </c>
      <c r="R37" s="4680" t="s">
        <v>5742</v>
      </c>
      <c r="S37" s="4694">
        <v>21</v>
      </c>
      <c r="T37" s="4700">
        <v>1</v>
      </c>
      <c r="U37" s="4692">
        <v>140</v>
      </c>
      <c r="V37" s="4680" t="s">
        <v>4521</v>
      </c>
      <c r="W37" s="4695">
        <v>203</v>
      </c>
      <c r="X37" s="4692">
        <v>1</v>
      </c>
      <c r="Y37" s="4692" t="s">
        <v>5743</v>
      </c>
      <c r="Z37" s="4683" t="s">
        <v>5035</v>
      </c>
      <c r="AA37" s="4692" t="s">
        <v>2814</v>
      </c>
      <c r="AB37" s="4683" t="s">
        <v>5050</v>
      </c>
      <c r="AC37" s="4692" t="s">
        <v>2814</v>
      </c>
      <c r="AD37" s="4832"/>
      <c r="AE37" s="4685">
        <f>T37*K37</f>
        <v>10</v>
      </c>
      <c r="AF37" s="7088">
        <f t="shared" si="14"/>
        <v>0</v>
      </c>
      <c r="AG37" s="7088">
        <f t="shared" ref="AG37:AG49" si="16">AE37*SUM(D37,F37,H37)*AG$6</f>
        <v>0</v>
      </c>
      <c r="AH37" s="7081"/>
    </row>
    <row r="38" spans="1:34" ht="33.75" customHeight="1">
      <c r="A38" s="4828">
        <v>4</v>
      </c>
      <c r="B38" s="4829">
        <v>46304</v>
      </c>
      <c r="C38" s="4829">
        <v>46306</v>
      </c>
      <c r="D38" s="4672">
        <f t="shared" si="12"/>
        <v>2</v>
      </c>
      <c r="E38" s="4829">
        <v>46320</v>
      </c>
      <c r="F38" s="4830">
        <f t="shared" si="15"/>
        <v>15</v>
      </c>
      <c r="G38" s="4699">
        <v>46322</v>
      </c>
      <c r="H38" s="4672">
        <f t="shared" si="13"/>
        <v>1</v>
      </c>
      <c r="I38" s="4831" t="s">
        <v>5800</v>
      </c>
      <c r="J38" s="4692">
        <v>32</v>
      </c>
      <c r="K38" s="4693">
        <v>32</v>
      </c>
      <c r="L38" s="4692">
        <v>30000</v>
      </c>
      <c r="M38" s="4692">
        <v>34800</v>
      </c>
      <c r="N38" s="4692">
        <v>30000</v>
      </c>
      <c r="O38" s="4678">
        <f>SUM(D38,F38,H38)*K38</f>
        <v>576</v>
      </c>
      <c r="P38" s="4677">
        <f>(D38*L38+F38*M38+H38*N38)*K38</f>
        <v>19584000</v>
      </c>
      <c r="Q38" s="4692">
        <v>27</v>
      </c>
      <c r="R38" s="4680" t="s">
        <v>5742</v>
      </c>
      <c r="S38" s="4694">
        <v>27</v>
      </c>
      <c r="T38" s="4700">
        <v>2</v>
      </c>
      <c r="U38" s="4692">
        <v>121</v>
      </c>
      <c r="V38" s="4680" t="s">
        <v>4521</v>
      </c>
      <c r="W38" s="4695">
        <v>203</v>
      </c>
      <c r="X38" s="4692">
        <v>2</v>
      </c>
      <c r="Y38" s="4692" t="s">
        <v>5743</v>
      </c>
      <c r="Z38" s="4683" t="s">
        <v>5035</v>
      </c>
      <c r="AA38" s="4692" t="s">
        <v>2814</v>
      </c>
      <c r="AB38" s="4683" t="s">
        <v>5050</v>
      </c>
      <c r="AC38" s="4692" t="s">
        <v>2814</v>
      </c>
      <c r="AD38" s="4832"/>
      <c r="AE38" s="4685">
        <f>T38*K38</f>
        <v>64</v>
      </c>
      <c r="AF38" s="7088">
        <f t="shared" si="14"/>
        <v>0</v>
      </c>
      <c r="AG38" s="7088">
        <f t="shared" si="16"/>
        <v>0</v>
      </c>
      <c r="AH38" s="7081"/>
    </row>
    <row r="39" spans="1:34" ht="33.75" customHeight="1">
      <c r="A39" s="4828">
        <v>5</v>
      </c>
      <c r="B39" s="4829">
        <v>46304</v>
      </c>
      <c r="C39" s="4829">
        <v>46306</v>
      </c>
      <c r="D39" s="4672">
        <f t="shared" si="12"/>
        <v>2</v>
      </c>
      <c r="E39" s="4829">
        <v>46320</v>
      </c>
      <c r="F39" s="4830">
        <f t="shared" si="15"/>
        <v>15</v>
      </c>
      <c r="G39" s="4699">
        <v>46322</v>
      </c>
      <c r="H39" s="4672">
        <f t="shared" si="13"/>
        <v>1</v>
      </c>
      <c r="I39" s="4691" t="s">
        <v>5808</v>
      </c>
      <c r="J39" s="4692">
        <v>14</v>
      </c>
      <c r="K39" s="4693">
        <v>14</v>
      </c>
      <c r="L39" s="4692">
        <v>30000</v>
      </c>
      <c r="M39" s="4692">
        <v>34800</v>
      </c>
      <c r="N39" s="4692">
        <v>30000</v>
      </c>
      <c r="O39" s="4678">
        <f>SUM(D39,F39,H39)*K39</f>
        <v>252</v>
      </c>
      <c r="P39" s="4677">
        <f>(D39*L39+F39*M39+H39*N39)*K39</f>
        <v>8568000</v>
      </c>
      <c r="Q39" s="4692">
        <v>27</v>
      </c>
      <c r="R39" s="4680" t="s">
        <v>5742</v>
      </c>
      <c r="S39" s="4694">
        <v>27</v>
      </c>
      <c r="T39" s="4700">
        <v>2</v>
      </c>
      <c r="U39" s="4692">
        <v>121</v>
      </c>
      <c r="V39" s="4680" t="s">
        <v>4521</v>
      </c>
      <c r="W39" s="4695">
        <v>203</v>
      </c>
      <c r="X39" s="4692">
        <v>2</v>
      </c>
      <c r="Y39" s="4692" t="s">
        <v>5743</v>
      </c>
      <c r="Z39" s="4683" t="s">
        <v>5035</v>
      </c>
      <c r="AA39" s="4692" t="s">
        <v>2814</v>
      </c>
      <c r="AB39" s="4683" t="s">
        <v>5050</v>
      </c>
      <c r="AC39" s="4692" t="s">
        <v>2814</v>
      </c>
      <c r="AD39" s="4832"/>
      <c r="AE39" s="4685">
        <f>T39*K39</f>
        <v>28</v>
      </c>
      <c r="AF39" s="7088">
        <f t="shared" si="14"/>
        <v>0</v>
      </c>
      <c r="AG39" s="7088">
        <f t="shared" si="16"/>
        <v>0</v>
      </c>
      <c r="AH39" s="7081"/>
    </row>
    <row r="40" spans="1:34" ht="33.75" customHeight="1">
      <c r="A40" s="4828">
        <v>6</v>
      </c>
      <c r="B40" s="4829">
        <v>46304</v>
      </c>
      <c r="C40" s="4829">
        <v>46306</v>
      </c>
      <c r="D40" s="4672">
        <f t="shared" si="12"/>
        <v>2</v>
      </c>
      <c r="E40" s="4829">
        <v>46320</v>
      </c>
      <c r="F40" s="4830">
        <f t="shared" si="15"/>
        <v>15</v>
      </c>
      <c r="G40" s="4699">
        <v>46322</v>
      </c>
      <c r="H40" s="4672">
        <f t="shared" si="13"/>
        <v>1</v>
      </c>
      <c r="I40" s="4691" t="s">
        <v>5802</v>
      </c>
      <c r="J40" s="4692">
        <v>20</v>
      </c>
      <c r="K40" s="4693">
        <v>20</v>
      </c>
      <c r="L40" s="4692">
        <v>33000</v>
      </c>
      <c r="M40" s="4692">
        <v>37800</v>
      </c>
      <c r="N40" s="4692">
        <v>33000</v>
      </c>
      <c r="O40" s="4678">
        <f>SUM(D40,F40,H40)*K40</f>
        <v>360</v>
      </c>
      <c r="P40" s="4677">
        <f>(D40*L40+F40*M40+H40*N40)*K40</f>
        <v>13320000</v>
      </c>
      <c r="Q40" s="4692">
        <v>27</v>
      </c>
      <c r="R40" s="4680" t="s">
        <v>5742</v>
      </c>
      <c r="S40" s="4694">
        <v>27</v>
      </c>
      <c r="T40" s="4700">
        <v>2</v>
      </c>
      <c r="U40" s="4692">
        <v>121</v>
      </c>
      <c r="V40" s="4680" t="s">
        <v>4521</v>
      </c>
      <c r="W40" s="4695">
        <v>203</v>
      </c>
      <c r="X40" s="4692">
        <v>2</v>
      </c>
      <c r="Y40" s="4692" t="s">
        <v>5743</v>
      </c>
      <c r="Z40" s="4683" t="s">
        <v>5035</v>
      </c>
      <c r="AA40" s="4692" t="s">
        <v>2814</v>
      </c>
      <c r="AB40" s="4683" t="s">
        <v>5050</v>
      </c>
      <c r="AC40" s="4692" t="s">
        <v>2814</v>
      </c>
      <c r="AD40" s="4832"/>
      <c r="AE40" s="4685">
        <f>T40*K40</f>
        <v>40</v>
      </c>
      <c r="AF40" s="7088">
        <f t="shared" si="14"/>
        <v>0</v>
      </c>
      <c r="AG40" s="7088">
        <f t="shared" si="16"/>
        <v>0</v>
      </c>
      <c r="AH40" s="7081"/>
    </row>
    <row r="41" spans="1:34" ht="33.75" customHeight="1">
      <c r="A41" s="4828">
        <v>7</v>
      </c>
      <c r="B41" s="4829">
        <v>46304</v>
      </c>
      <c r="C41" s="4829">
        <v>46306</v>
      </c>
      <c r="D41" s="4672">
        <f t="shared" si="12"/>
        <v>2</v>
      </c>
      <c r="E41" s="4829">
        <v>46320</v>
      </c>
      <c r="F41" s="4830">
        <f>IF(_xlfn.DAYS(E41,C41)=0,"1",_xlfn.DAYS(E41,C41))+1</f>
        <v>15</v>
      </c>
      <c r="G41" s="4699">
        <v>46322</v>
      </c>
      <c r="H41" s="4672">
        <f t="shared" si="13"/>
        <v>1</v>
      </c>
      <c r="I41" s="4831" t="s">
        <v>5092</v>
      </c>
      <c r="J41" s="4692">
        <v>3</v>
      </c>
      <c r="K41" s="4693">
        <v>3</v>
      </c>
      <c r="L41" s="4692">
        <v>53200</v>
      </c>
      <c r="M41" s="4692">
        <v>58000</v>
      </c>
      <c r="N41" s="4692">
        <v>53200</v>
      </c>
      <c r="O41" s="4678">
        <f>SUM(D41,F41,H41)*K41</f>
        <v>54</v>
      </c>
      <c r="P41" s="4677">
        <f>(D41*L41+F41*M41+H41*N41)*K41</f>
        <v>3088800</v>
      </c>
      <c r="Q41" s="4692">
        <v>53</v>
      </c>
      <c r="R41" s="4680" t="s">
        <v>5742</v>
      </c>
      <c r="S41" s="4694">
        <v>53</v>
      </c>
      <c r="T41" s="4700">
        <v>2</v>
      </c>
      <c r="U41" s="4692">
        <v>157121</v>
      </c>
      <c r="V41" s="4680" t="s">
        <v>4521</v>
      </c>
      <c r="W41" s="4695">
        <v>203</v>
      </c>
      <c r="X41" s="4692">
        <v>2</v>
      </c>
      <c r="Y41" s="4692" t="s">
        <v>5743</v>
      </c>
      <c r="Z41" s="4683" t="s">
        <v>5035</v>
      </c>
      <c r="AA41" s="4692" t="s">
        <v>2814</v>
      </c>
      <c r="AB41" s="4683" t="s">
        <v>5050</v>
      </c>
      <c r="AC41" s="4692" t="s">
        <v>2814</v>
      </c>
      <c r="AD41" s="4832"/>
      <c r="AE41" s="4685">
        <f>T41*K41</f>
        <v>6</v>
      </c>
      <c r="AF41" s="7088">
        <f t="shared" si="14"/>
        <v>0</v>
      </c>
      <c r="AG41" s="7088">
        <f t="shared" si="16"/>
        <v>0</v>
      </c>
      <c r="AH41" s="7081"/>
    </row>
    <row r="42" spans="1:34" ht="33.75" customHeight="1">
      <c r="A42" s="4828">
        <v>8</v>
      </c>
      <c r="B42" s="4829">
        <v>46304</v>
      </c>
      <c r="C42" s="4829">
        <v>46306</v>
      </c>
      <c r="D42" s="4672">
        <f t="shared" si="12"/>
        <v>2</v>
      </c>
      <c r="E42" s="4829">
        <v>46320</v>
      </c>
      <c r="F42" s="4830">
        <f t="shared" ref="F42:F44" si="17">IF(_xlfn.DAYS(E42,C42)=0,"1",_xlfn.DAYS(E42,C42))+1</f>
        <v>15</v>
      </c>
      <c r="G42" s="4699">
        <v>46322</v>
      </c>
      <c r="H42" s="4672">
        <f t="shared" si="13"/>
        <v>1</v>
      </c>
      <c r="I42" s="4691" t="s">
        <v>5803</v>
      </c>
      <c r="J42" s="4692">
        <v>6</v>
      </c>
      <c r="K42" s="4693">
        <v>6</v>
      </c>
      <c r="L42" s="4692">
        <v>30000</v>
      </c>
      <c r="M42" s="4692">
        <v>34800</v>
      </c>
      <c r="N42" s="4692">
        <v>30000</v>
      </c>
      <c r="O42" s="4678">
        <f>SUM(D42,F42,H42)*K42</f>
        <v>108</v>
      </c>
      <c r="P42" s="4677">
        <f>(D42*L42+F42*M42+H42*N42)*K42</f>
        <v>3672000</v>
      </c>
      <c r="Q42" s="4692">
        <v>37</v>
      </c>
      <c r="R42" s="4680" t="s">
        <v>5742</v>
      </c>
      <c r="S42" s="4694">
        <v>37</v>
      </c>
      <c r="T42" s="4700">
        <v>2</v>
      </c>
      <c r="U42" s="4692">
        <v>121</v>
      </c>
      <c r="V42" s="4680" t="s">
        <v>4521</v>
      </c>
      <c r="W42" s="4695">
        <v>203</v>
      </c>
      <c r="X42" s="4692">
        <v>2</v>
      </c>
      <c r="Y42" s="4692" t="s">
        <v>5743</v>
      </c>
      <c r="Z42" s="4683" t="s">
        <v>5035</v>
      </c>
      <c r="AA42" s="4692" t="s">
        <v>2814</v>
      </c>
      <c r="AB42" s="4683" t="s">
        <v>5050</v>
      </c>
      <c r="AC42" s="4692" t="s">
        <v>2814</v>
      </c>
      <c r="AD42" s="4832"/>
      <c r="AE42" s="4685">
        <f>T42*K42</f>
        <v>12</v>
      </c>
      <c r="AF42" s="7088">
        <f t="shared" si="14"/>
        <v>0</v>
      </c>
      <c r="AG42" s="7088">
        <f t="shared" si="16"/>
        <v>0</v>
      </c>
      <c r="AH42" s="7081"/>
    </row>
    <row r="43" spans="1:34" ht="33.75" customHeight="1">
      <c r="A43" s="4828">
        <v>9</v>
      </c>
      <c r="B43" s="4829">
        <v>46304</v>
      </c>
      <c r="C43" s="4829">
        <v>46306</v>
      </c>
      <c r="D43" s="4672">
        <f t="shared" si="12"/>
        <v>2</v>
      </c>
      <c r="E43" s="4829">
        <v>46320</v>
      </c>
      <c r="F43" s="4830">
        <f t="shared" si="17"/>
        <v>15</v>
      </c>
      <c r="G43" s="4699">
        <v>46322</v>
      </c>
      <c r="H43" s="4672">
        <f t="shared" si="13"/>
        <v>1</v>
      </c>
      <c r="I43" s="4831" t="s">
        <v>5045</v>
      </c>
      <c r="J43" s="4692">
        <v>4</v>
      </c>
      <c r="K43" s="4693">
        <v>4</v>
      </c>
      <c r="L43" s="4692">
        <v>49200</v>
      </c>
      <c r="M43" s="4692">
        <v>56400</v>
      </c>
      <c r="N43" s="4692">
        <v>49200</v>
      </c>
      <c r="O43" s="4678">
        <f>SUM(D43,F43,H43)*K43</f>
        <v>72</v>
      </c>
      <c r="P43" s="4677">
        <f>(D43*L43+F43*M43+H43*N43)*K43</f>
        <v>3974400</v>
      </c>
      <c r="Q43" s="4692" t="s">
        <v>5804</v>
      </c>
      <c r="R43" s="4680" t="s">
        <v>5742</v>
      </c>
      <c r="S43" s="4694" t="s">
        <v>5804</v>
      </c>
      <c r="T43" s="4700">
        <v>3</v>
      </c>
      <c r="U43" s="4692" t="s">
        <v>2602</v>
      </c>
      <c r="V43" s="4680" t="s">
        <v>4521</v>
      </c>
      <c r="W43" s="4695" t="s">
        <v>2602</v>
      </c>
      <c r="X43" s="4692" t="s">
        <v>246</v>
      </c>
      <c r="Y43" s="4692" t="s">
        <v>5743</v>
      </c>
      <c r="Z43" s="4683" t="s">
        <v>5035</v>
      </c>
      <c r="AA43" s="4692" t="s">
        <v>2814</v>
      </c>
      <c r="AB43" s="4683" t="s">
        <v>5050</v>
      </c>
      <c r="AC43" s="4692" t="s">
        <v>2814</v>
      </c>
      <c r="AD43" s="4832"/>
      <c r="AE43" s="4685">
        <f>T43*K43</f>
        <v>12</v>
      </c>
      <c r="AF43" s="7088">
        <f t="shared" si="14"/>
        <v>0</v>
      </c>
      <c r="AG43" s="7088">
        <f t="shared" si="16"/>
        <v>0</v>
      </c>
      <c r="AH43" s="7081"/>
    </row>
    <row r="44" spans="1:34" ht="33.75" customHeight="1">
      <c r="A44" s="4828">
        <v>10</v>
      </c>
      <c r="B44" s="4829">
        <v>46304</v>
      </c>
      <c r="C44" s="4829">
        <v>46306</v>
      </c>
      <c r="D44" s="4672">
        <f t="shared" si="12"/>
        <v>2</v>
      </c>
      <c r="E44" s="4829">
        <v>46320</v>
      </c>
      <c r="F44" s="4830">
        <f t="shared" si="17"/>
        <v>15</v>
      </c>
      <c r="G44" s="4699">
        <v>46322</v>
      </c>
      <c r="H44" s="4672">
        <f t="shared" si="13"/>
        <v>1</v>
      </c>
      <c r="I44" s="4831" t="s">
        <v>5135</v>
      </c>
      <c r="J44" s="4692">
        <v>4</v>
      </c>
      <c r="K44" s="4693">
        <v>4</v>
      </c>
      <c r="L44" s="4692">
        <v>23000</v>
      </c>
      <c r="M44" s="4692">
        <v>27800</v>
      </c>
      <c r="N44" s="4692">
        <v>23000</v>
      </c>
      <c r="O44" s="4678">
        <f>SUM(D44,F44,H44)*K44</f>
        <v>72</v>
      </c>
      <c r="P44" s="4677">
        <f>(D44*L44+F44*M44+H44*N44)*K44</f>
        <v>1944000</v>
      </c>
      <c r="Q44" s="4692">
        <v>21</v>
      </c>
      <c r="R44" s="4680" t="s">
        <v>5742</v>
      </c>
      <c r="S44" s="4694">
        <v>21</v>
      </c>
      <c r="T44" s="4700">
        <v>2</v>
      </c>
      <c r="U44" s="4692">
        <v>110</v>
      </c>
      <c r="V44" s="4680" t="s">
        <v>4521</v>
      </c>
      <c r="W44" s="4695">
        <v>203</v>
      </c>
      <c r="X44" s="4692">
        <v>2</v>
      </c>
      <c r="Y44" s="4692" t="s">
        <v>5743</v>
      </c>
      <c r="Z44" s="4683" t="s">
        <v>5035</v>
      </c>
      <c r="AA44" s="4692" t="s">
        <v>2814</v>
      </c>
      <c r="AB44" s="4683" t="s">
        <v>5050</v>
      </c>
      <c r="AC44" s="4692" t="s">
        <v>2814</v>
      </c>
      <c r="AD44" s="4832"/>
      <c r="AE44" s="4685">
        <f>T44*K44</f>
        <v>8</v>
      </c>
      <c r="AF44" s="7088">
        <f t="shared" si="14"/>
        <v>0</v>
      </c>
      <c r="AG44" s="7088">
        <f t="shared" si="16"/>
        <v>0</v>
      </c>
      <c r="AH44" s="7081"/>
    </row>
    <row r="45" spans="1:34" ht="33.75" customHeight="1">
      <c r="A45" s="4828">
        <v>11</v>
      </c>
      <c r="B45" s="4833"/>
      <c r="C45" s="4829"/>
      <c r="D45" s="4672" t="str">
        <f t="shared" ref="D45:D49" si="18">IF(_xlfn.DAYS(C45,B45)=0,"1",_xlfn.DAYS(C45,B45))</f>
        <v>1</v>
      </c>
      <c r="E45" s="4829"/>
      <c r="F45" s="4672">
        <f t="shared" si="11"/>
        <v>2</v>
      </c>
      <c r="G45" s="4699"/>
      <c r="H45" s="4672">
        <f t="shared" si="13"/>
        <v>0</v>
      </c>
      <c r="I45" s="4831"/>
      <c r="J45" s="4834"/>
      <c r="K45" s="4835"/>
      <c r="L45" s="4834"/>
      <c r="M45" s="4834"/>
      <c r="N45" s="4834"/>
      <c r="O45" s="4678">
        <f>SUM(D45,F45,H45)*K45</f>
        <v>0</v>
      </c>
      <c r="P45" s="4677">
        <f>(D45*L45+F45*M45+H45*N45)*K45</f>
        <v>0</v>
      </c>
      <c r="Q45" s="4836"/>
      <c r="R45" s="4837" t="s">
        <v>5742</v>
      </c>
      <c r="S45" s="4836"/>
      <c r="T45" s="4838"/>
      <c r="U45" s="4834"/>
      <c r="V45" s="4837" t="s">
        <v>4521</v>
      </c>
      <c r="W45" s="4836"/>
      <c r="X45" s="4834"/>
      <c r="Y45" s="4834"/>
      <c r="Z45" s="4839" t="s">
        <v>5035</v>
      </c>
      <c r="AA45" s="4834"/>
      <c r="AB45" s="4839" t="s">
        <v>5050</v>
      </c>
      <c r="AC45" s="4834"/>
      <c r="AD45" s="4832"/>
      <c r="AE45" s="4685">
        <f>T45*K45</f>
        <v>0</v>
      </c>
      <c r="AF45" s="7088">
        <f t="shared" si="14"/>
        <v>0</v>
      </c>
      <c r="AG45" s="7088">
        <f t="shared" si="16"/>
        <v>0</v>
      </c>
      <c r="AH45" s="7081"/>
    </row>
    <row r="46" spans="1:34" ht="33.75" customHeight="1">
      <c r="A46" s="4828">
        <v>12</v>
      </c>
      <c r="B46" s="4833"/>
      <c r="C46" s="4829"/>
      <c r="D46" s="4672" t="str">
        <f t="shared" si="18"/>
        <v>1</v>
      </c>
      <c r="E46" s="4829"/>
      <c r="F46" s="4672">
        <f t="shared" si="11"/>
        <v>2</v>
      </c>
      <c r="G46" s="4699"/>
      <c r="H46" s="4672">
        <f t="shared" si="13"/>
        <v>0</v>
      </c>
      <c r="I46" s="4831"/>
      <c r="J46" s="4834"/>
      <c r="K46" s="4835"/>
      <c r="L46" s="4834"/>
      <c r="M46" s="4834"/>
      <c r="N46" s="4834"/>
      <c r="O46" s="4678">
        <f>SUM(D46,F46,H46)*K46</f>
        <v>0</v>
      </c>
      <c r="P46" s="4677">
        <f>(D46*L46+F46*M46+H46*N46)*K46</f>
        <v>0</v>
      </c>
      <c r="Q46" s="4836"/>
      <c r="R46" s="4837" t="s">
        <v>5742</v>
      </c>
      <c r="S46" s="4836"/>
      <c r="T46" s="4838"/>
      <c r="U46" s="4834"/>
      <c r="V46" s="4837" t="s">
        <v>4521</v>
      </c>
      <c r="W46" s="4836"/>
      <c r="X46" s="4834"/>
      <c r="Y46" s="4834"/>
      <c r="Z46" s="4839" t="s">
        <v>5035</v>
      </c>
      <c r="AA46" s="4834"/>
      <c r="AB46" s="4839" t="s">
        <v>5050</v>
      </c>
      <c r="AC46" s="4834"/>
      <c r="AD46" s="4832"/>
      <c r="AE46" s="4685">
        <f>T46*K46</f>
        <v>0</v>
      </c>
      <c r="AF46" s="7088">
        <f t="shared" si="14"/>
        <v>0</v>
      </c>
      <c r="AG46" s="7088">
        <f t="shared" si="16"/>
        <v>0</v>
      </c>
      <c r="AH46" s="7081"/>
    </row>
    <row r="47" spans="1:34" ht="33.75" customHeight="1">
      <c r="A47" s="4828">
        <v>13</v>
      </c>
      <c r="B47" s="4833"/>
      <c r="C47" s="4829"/>
      <c r="D47" s="4672" t="str">
        <f t="shared" si="18"/>
        <v>1</v>
      </c>
      <c r="E47" s="4829"/>
      <c r="F47" s="4672">
        <f t="shared" si="11"/>
        <v>2</v>
      </c>
      <c r="G47" s="4699"/>
      <c r="H47" s="4672">
        <f t="shared" si="13"/>
        <v>0</v>
      </c>
      <c r="I47" s="4831"/>
      <c r="J47" s="4834"/>
      <c r="K47" s="4835"/>
      <c r="L47" s="4834"/>
      <c r="M47" s="4834"/>
      <c r="N47" s="4834"/>
      <c r="O47" s="4678">
        <f>SUM(D47,F47,H47)*K47</f>
        <v>0</v>
      </c>
      <c r="P47" s="4677">
        <f>(D47*L47+F47*M47+H47*N47)*K47</f>
        <v>0</v>
      </c>
      <c r="Q47" s="4836"/>
      <c r="R47" s="4837" t="s">
        <v>5742</v>
      </c>
      <c r="S47" s="4836"/>
      <c r="T47" s="4838"/>
      <c r="U47" s="4834"/>
      <c r="V47" s="4837" t="s">
        <v>4521</v>
      </c>
      <c r="W47" s="4836"/>
      <c r="X47" s="4834"/>
      <c r="Y47" s="4834"/>
      <c r="Z47" s="4839" t="s">
        <v>5035</v>
      </c>
      <c r="AA47" s="4834"/>
      <c r="AB47" s="4839" t="s">
        <v>5050</v>
      </c>
      <c r="AC47" s="4834"/>
      <c r="AD47" s="4832"/>
      <c r="AE47" s="4685">
        <f>T47*K47</f>
        <v>0</v>
      </c>
      <c r="AF47" s="7088">
        <f t="shared" si="14"/>
        <v>0</v>
      </c>
      <c r="AG47" s="7088">
        <f t="shared" si="16"/>
        <v>0</v>
      </c>
      <c r="AH47" s="7081"/>
    </row>
    <row r="48" spans="1:34" ht="33.75" customHeight="1">
      <c r="A48" s="4828">
        <v>14</v>
      </c>
      <c r="B48" s="4833"/>
      <c r="C48" s="4829"/>
      <c r="D48" s="4672" t="str">
        <f t="shared" si="18"/>
        <v>1</v>
      </c>
      <c r="E48" s="4829"/>
      <c r="F48" s="4672">
        <f t="shared" si="11"/>
        <v>2</v>
      </c>
      <c r="G48" s="4699"/>
      <c r="H48" s="4672">
        <f t="shared" si="13"/>
        <v>0</v>
      </c>
      <c r="I48" s="4831"/>
      <c r="J48" s="4834"/>
      <c r="K48" s="4835"/>
      <c r="L48" s="4834"/>
      <c r="M48" s="4834"/>
      <c r="N48" s="4834"/>
      <c r="O48" s="4678">
        <f>SUM(D48,F48,H48)*K48</f>
        <v>0</v>
      </c>
      <c r="P48" s="4677">
        <f>(D48*L48+F48*M48+H48*N48)*K48</f>
        <v>0</v>
      </c>
      <c r="Q48" s="4836"/>
      <c r="R48" s="4837" t="s">
        <v>5742</v>
      </c>
      <c r="S48" s="4836"/>
      <c r="T48" s="4838"/>
      <c r="U48" s="4834"/>
      <c r="V48" s="4837" t="s">
        <v>4521</v>
      </c>
      <c r="W48" s="4836"/>
      <c r="X48" s="4834"/>
      <c r="Y48" s="4834"/>
      <c r="Z48" s="4839" t="s">
        <v>5035</v>
      </c>
      <c r="AA48" s="4834"/>
      <c r="AB48" s="4839" t="s">
        <v>5050</v>
      </c>
      <c r="AC48" s="4834"/>
      <c r="AD48" s="4832"/>
      <c r="AE48" s="4685">
        <f>T48*K48</f>
        <v>0</v>
      </c>
      <c r="AF48" s="7088">
        <f t="shared" si="14"/>
        <v>0</v>
      </c>
      <c r="AG48" s="7088">
        <f t="shared" si="16"/>
        <v>0</v>
      </c>
      <c r="AH48" s="7081"/>
    </row>
    <row r="49" spans="1:34" ht="33.75" customHeight="1" thickBot="1">
      <c r="A49" s="4828">
        <v>15</v>
      </c>
      <c r="B49" s="4833"/>
      <c r="C49" s="4829"/>
      <c r="D49" s="4672" t="str">
        <f t="shared" si="18"/>
        <v>1</v>
      </c>
      <c r="E49" s="4829"/>
      <c r="F49" s="4672">
        <f t="shared" si="11"/>
        <v>2</v>
      </c>
      <c r="G49" s="4699"/>
      <c r="H49" s="4672">
        <f t="shared" si="13"/>
        <v>0</v>
      </c>
      <c r="I49" s="4831"/>
      <c r="J49" s="4834"/>
      <c r="K49" s="4835"/>
      <c r="L49" s="4834"/>
      <c r="M49" s="4834"/>
      <c r="N49" s="4834"/>
      <c r="O49" s="4678">
        <f>SUM(D49,F49,H49)*K49</f>
        <v>0</v>
      </c>
      <c r="P49" s="4677">
        <f>(D49*L49+F49*M49+H49*N49)*K49</f>
        <v>0</v>
      </c>
      <c r="Q49" s="4836"/>
      <c r="R49" s="4837" t="s">
        <v>5739</v>
      </c>
      <c r="S49" s="4836"/>
      <c r="T49" s="4838"/>
      <c r="U49" s="4834"/>
      <c r="V49" s="4837" t="s">
        <v>4521</v>
      </c>
      <c r="W49" s="4836"/>
      <c r="X49" s="4834"/>
      <c r="Y49" s="4834"/>
      <c r="Z49" s="4839" t="s">
        <v>5035</v>
      </c>
      <c r="AA49" s="4834"/>
      <c r="AB49" s="4839" t="s">
        <v>5050</v>
      </c>
      <c r="AC49" s="4834"/>
      <c r="AD49" s="4832"/>
      <c r="AE49" s="4685">
        <f>T49*K49</f>
        <v>0</v>
      </c>
      <c r="AF49" s="7088">
        <f t="shared" si="14"/>
        <v>0</v>
      </c>
      <c r="AG49" s="7088">
        <f t="shared" si="16"/>
        <v>0</v>
      </c>
      <c r="AH49" s="7081"/>
    </row>
    <row r="50" spans="1:34" ht="33.75" customHeight="1" thickTop="1" thickBot="1">
      <c r="A50" s="4840"/>
      <c r="B50" s="4841"/>
      <c r="C50" s="4841"/>
      <c r="D50" s="4841"/>
      <c r="E50" s="4841"/>
      <c r="F50" s="4842"/>
      <c r="G50" s="4843"/>
      <c r="H50" s="4841"/>
      <c r="I50" s="4844" t="s">
        <v>2432</v>
      </c>
      <c r="J50" s="4845">
        <f>SUM(J35:J49)</f>
        <v>243</v>
      </c>
      <c r="K50" s="4846">
        <f>SUM(K35:K49)</f>
        <v>243</v>
      </c>
      <c r="L50" s="4703"/>
      <c r="M50" s="4822"/>
      <c r="N50" s="4843"/>
      <c r="O50" s="4845">
        <f>SUM(O35:O49)</f>
        <v>4374</v>
      </c>
      <c r="P50" s="4845">
        <f>SUM(P35:P49)</f>
        <v>106783200</v>
      </c>
      <c r="Q50" s="6901"/>
      <c r="R50" s="6901"/>
      <c r="S50" s="6901"/>
      <c r="T50" s="4847"/>
      <c r="U50" s="6902"/>
      <c r="V50" s="6901"/>
      <c r="W50" s="6901"/>
      <c r="X50" s="4847"/>
      <c r="Y50" s="4847"/>
      <c r="Z50" s="6903"/>
      <c r="AA50" s="6904"/>
      <c r="AB50" s="6903"/>
      <c r="AC50" s="6904"/>
      <c r="AD50" s="4848"/>
      <c r="AE50" s="4685">
        <f>SUM(AE34:AE49)</f>
        <v>330</v>
      </c>
      <c r="AF50" s="7088">
        <f>SUM(AF35:AF49)</f>
        <v>0</v>
      </c>
      <c r="AG50" s="7088">
        <f>SUM(AG35:AG49)</f>
        <v>0</v>
      </c>
      <c r="AH50" s="7081"/>
    </row>
    <row r="51" spans="1:34" ht="32.15" customHeight="1" thickBot="1">
      <c r="C51" s="4710"/>
      <c r="D51" s="4710"/>
      <c r="E51" s="4710"/>
      <c r="F51" s="4710"/>
      <c r="G51" s="4710"/>
      <c r="H51" s="4710"/>
      <c r="I51" s="4711"/>
      <c r="J51" s="4712"/>
      <c r="K51" s="4710"/>
      <c r="L51" s="4712"/>
      <c r="M51" s="4712"/>
      <c r="N51" s="4715"/>
      <c r="O51" s="4715"/>
      <c r="R51" s="4656"/>
      <c r="V51" s="4656"/>
      <c r="AE51" s="4849"/>
      <c r="AF51" s="7089" t="s">
        <v>127</v>
      </c>
      <c r="AG51" s="7090">
        <f>SUM(AF50,AG50)</f>
        <v>0</v>
      </c>
      <c r="AH51" s="7081"/>
    </row>
    <row r="52" spans="1:34" ht="33.75" customHeight="1">
      <c r="A52" s="6845" t="s">
        <v>5749</v>
      </c>
      <c r="B52" s="7120"/>
      <c r="C52" s="4716">
        <f>O50</f>
        <v>4374</v>
      </c>
      <c r="D52" s="4717"/>
      <c r="F52" s="4718"/>
      <c r="G52" s="4850"/>
      <c r="H52" s="4719"/>
      <c r="I52" s="4720"/>
      <c r="L52" s="4656"/>
      <c r="M52" s="4656"/>
      <c r="O52" s="4656"/>
      <c r="AE52" s="4851"/>
      <c r="AH52" s="4851"/>
    </row>
    <row r="53" spans="1:34" ht="33.65" customHeight="1">
      <c r="A53" s="6991" t="s">
        <v>5883</v>
      </c>
      <c r="B53" s="6992"/>
      <c r="C53" s="4723">
        <f>P50</f>
        <v>106783200</v>
      </c>
      <c r="D53" s="4717"/>
      <c r="F53" s="4724"/>
      <c r="G53" s="4852"/>
      <c r="H53" s="4719"/>
      <c r="I53" s="4720"/>
      <c r="O53" s="4656"/>
      <c r="AE53" s="4851"/>
      <c r="AH53" s="4851"/>
    </row>
    <row r="54" spans="1:34" ht="33.75" customHeight="1" thickBot="1">
      <c r="A54" s="6913" t="s">
        <v>5751</v>
      </c>
      <c r="B54" s="6914"/>
      <c r="C54" s="4823">
        <f>C53*1.1</f>
        <v>117461520.00000001</v>
      </c>
      <c r="D54" s="4719"/>
      <c r="F54" s="4724"/>
      <c r="H54" s="4719"/>
      <c r="I54" s="4720"/>
      <c r="K54" s="4659"/>
      <c r="L54" s="4824"/>
      <c r="O54" s="4656"/>
    </row>
    <row r="55" spans="1:34" ht="33.75" customHeight="1" thickBot="1">
      <c r="A55" s="6920" t="s">
        <v>6158</v>
      </c>
      <c r="B55" s="6921"/>
      <c r="C55" s="4823">
        <f>AG51</f>
        <v>0</v>
      </c>
      <c r="D55" s="4719"/>
      <c r="F55" s="4724"/>
      <c r="H55" s="4719"/>
      <c r="I55" s="4720"/>
      <c r="K55" s="4659"/>
      <c r="O55" s="4656"/>
    </row>
    <row r="56" spans="1:34" ht="32.15" customHeight="1" thickBot="1">
      <c r="A56" s="6920" t="s">
        <v>7047</v>
      </c>
      <c r="B56" s="6921"/>
      <c r="C56" s="4823">
        <f>C54+C55</f>
        <v>117461520.00000001</v>
      </c>
      <c r="D56" s="4726"/>
      <c r="E56" s="4726"/>
      <c r="F56" s="4726"/>
      <c r="G56" s="4726"/>
      <c r="H56" s="4726"/>
      <c r="I56" s="4727"/>
    </row>
    <row r="57" spans="1:34" ht="33.75" customHeight="1">
      <c r="A57" s="4729"/>
      <c r="B57" s="4729"/>
      <c r="C57" s="4729"/>
      <c r="D57" s="4729"/>
      <c r="E57" s="4729"/>
      <c r="F57" s="4729"/>
      <c r="G57" s="4726"/>
      <c r="H57" s="4729"/>
      <c r="I57" s="4720"/>
      <c r="O57" s="4656"/>
    </row>
    <row r="58" spans="1:34" ht="33.75" customHeight="1">
      <c r="A58" s="4728" t="s">
        <v>5752</v>
      </c>
      <c r="B58" s="4728"/>
      <c r="C58" s="4729"/>
      <c r="D58" s="4729"/>
      <c r="E58" s="4729"/>
      <c r="F58" s="4729"/>
      <c r="G58" s="4726"/>
      <c r="H58" s="4729"/>
      <c r="I58" s="4720"/>
      <c r="O58" s="4656"/>
    </row>
    <row r="59" spans="1:34" ht="36" customHeight="1">
      <c r="A59" s="4728" t="s">
        <v>5809</v>
      </c>
      <c r="B59" s="4728"/>
    </row>
    <row r="60" spans="1:34" ht="36" customHeight="1">
      <c r="A60" s="4730" t="s">
        <v>5754</v>
      </c>
      <c r="B60" s="4730"/>
    </row>
    <row r="61" spans="1:34" ht="36" customHeight="1">
      <c r="A61" s="4728"/>
      <c r="B61" s="4728"/>
    </row>
    <row r="62" spans="1:34" ht="36" customHeight="1"/>
    <row r="63" spans="1:34" ht="36" customHeight="1"/>
    <row r="64" spans="1:34" ht="36" customHeight="1"/>
    <row r="65" ht="36" customHeight="1"/>
    <row r="66" ht="36" customHeight="1"/>
    <row r="67" ht="36" customHeight="1"/>
    <row r="68" ht="36" customHeight="1"/>
    <row r="69" ht="10.15" customHeight="1"/>
  </sheetData>
  <mergeCells count="68">
    <mergeCell ref="AF4:AG4"/>
    <mergeCell ref="A55:B55"/>
    <mergeCell ref="A56:B56"/>
    <mergeCell ref="AF31:AG31"/>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N5:N6"/>
    <mergeCell ref="O5:P5"/>
    <mergeCell ref="Q5:S6"/>
    <mergeCell ref="T5:T6"/>
    <mergeCell ref="U5:W6"/>
    <mergeCell ref="Y5:Y6"/>
    <mergeCell ref="Z5:AC6"/>
    <mergeCell ref="AD5:AD6"/>
    <mergeCell ref="AE5:AE6"/>
    <mergeCell ref="Q23:S23"/>
    <mergeCell ref="U23:W23"/>
    <mergeCell ref="Z23:AA23"/>
    <mergeCell ref="AB23:AC23"/>
    <mergeCell ref="X5:X6"/>
    <mergeCell ref="I32:I33"/>
    <mergeCell ref="A25:B25"/>
    <mergeCell ref="A26:B26"/>
    <mergeCell ref="A27:B27"/>
    <mergeCell ref="A32:A33"/>
    <mergeCell ref="B32:B33"/>
    <mergeCell ref="C32:C33"/>
    <mergeCell ref="D32:D33"/>
    <mergeCell ref="E32:E33"/>
    <mergeCell ref="F32:F33"/>
    <mergeCell ref="G32:G33"/>
    <mergeCell ref="H32:H33"/>
    <mergeCell ref="A28:B28"/>
    <mergeCell ref="A29:B29"/>
    <mergeCell ref="K32:K33"/>
    <mergeCell ref="L32:L33"/>
    <mergeCell ref="M32:M33"/>
    <mergeCell ref="N32:N33"/>
    <mergeCell ref="O32:P32"/>
    <mergeCell ref="A52:B52"/>
    <mergeCell ref="A53:B53"/>
    <mergeCell ref="A54:B54"/>
    <mergeCell ref="AD32:AD33"/>
    <mergeCell ref="AE32:AE33"/>
    <mergeCell ref="Q50:S50"/>
    <mergeCell ref="U50:W50"/>
    <mergeCell ref="Z50:AA50"/>
    <mergeCell ref="AB50:AC50"/>
    <mergeCell ref="Q32:S33"/>
    <mergeCell ref="T32:T33"/>
    <mergeCell ref="U32:W33"/>
    <mergeCell ref="X32:X33"/>
    <mergeCell ref="Y32:Y33"/>
    <mergeCell ref="Z32:AC33"/>
    <mergeCell ref="J32:J33"/>
  </mergeCells>
  <phoneticPr fontId="2"/>
  <conditionalFormatting sqref="B8:C22 E8:G22 H7:N22 H34:N49">
    <cfRule type="containsBlanks" dxfId="874" priority="3">
      <formula>LEN(TRIM(B7))=0</formula>
    </cfRule>
  </conditionalFormatting>
  <conditionalFormatting sqref="B35:C49 E35:E49">
    <cfRule type="containsBlanks" dxfId="873" priority="14">
      <formula>LEN(TRIM(B35))=0</formula>
    </cfRule>
  </conditionalFormatting>
  <conditionalFormatting sqref="C2:D2">
    <cfRule type="containsBlanks" dxfId="872" priority="9">
      <formula>LEN(TRIM(C2))=0</formula>
    </cfRule>
  </conditionalFormatting>
  <conditionalFormatting sqref="D7:D22">
    <cfRule type="containsBlanks" dxfId="871" priority="2">
      <formula>LEN(TRIM(D7))=0</formula>
    </cfRule>
  </conditionalFormatting>
  <conditionalFormatting sqref="D34:D49">
    <cfRule type="containsBlanks" dxfId="870" priority="13">
      <formula>LEN(TRIM(D34))=0</formula>
    </cfRule>
  </conditionalFormatting>
  <conditionalFormatting sqref="F7">
    <cfRule type="containsBlanks" dxfId="869" priority="11">
      <formula>LEN(TRIM(F7))=0</formula>
    </cfRule>
  </conditionalFormatting>
  <conditionalFormatting sqref="F34:F49">
    <cfRule type="containsBlanks" dxfId="868" priority="12">
      <formula>LEN(TRIM(F34))=0</formula>
    </cfRule>
  </conditionalFormatting>
  <conditionalFormatting sqref="G35:G49">
    <cfRule type="containsBlanks" dxfId="867" priority="10">
      <formula>LEN(TRIM(G35))=0</formula>
    </cfRule>
  </conditionalFormatting>
  <conditionalFormatting sqref="P7:Q22">
    <cfRule type="containsBlanks" dxfId="866" priority="18">
      <formula>LEN(TRIM(P7))=0</formula>
    </cfRule>
  </conditionalFormatting>
  <conditionalFormatting sqref="P34:Q49">
    <cfRule type="containsBlanks" dxfId="865" priority="8">
      <formula>LEN(TRIM(P34))=0</formula>
    </cfRule>
  </conditionalFormatting>
  <conditionalFormatting sqref="S7:U22">
    <cfRule type="containsBlanks" dxfId="864" priority="16">
      <formula>LEN(TRIM(S7))=0</formula>
    </cfRule>
  </conditionalFormatting>
  <conditionalFormatting sqref="S34:U49">
    <cfRule type="containsBlanks" dxfId="863" priority="6">
      <formula>LEN(TRIM(S34))=0</formula>
    </cfRule>
  </conditionalFormatting>
  <conditionalFormatting sqref="W7:Y22">
    <cfRule type="containsBlanks" dxfId="862" priority="15">
      <formula>LEN(TRIM(W7))=0</formula>
    </cfRule>
  </conditionalFormatting>
  <conditionalFormatting sqref="W34:Y49">
    <cfRule type="containsBlanks" dxfId="861" priority="5">
      <formula>LEN(TRIM(W34))=0</formula>
    </cfRule>
  </conditionalFormatting>
  <conditionalFormatting sqref="AA7:AA22 AC7:AD22">
    <cfRule type="containsBlanks" dxfId="860" priority="17">
      <formula>LEN(TRIM(AA7))=0</formula>
    </cfRule>
  </conditionalFormatting>
  <conditionalFormatting sqref="AA34:AA49 AC34:AD49">
    <cfRule type="containsBlanks" dxfId="859" priority="7">
      <formula>LEN(TRIM(AA34))=0</formula>
    </cfRule>
  </conditionalFormatting>
  <printOptions horizontalCentered="1"/>
  <pageMargins left="0.39370078740157483" right="0.39370078740157483" top="0.55118110236220474" bottom="0.55118110236220474" header="0.31496062992125984" footer="0.31496062992125984"/>
  <pageSetup paperSize="8" scale="40" orientation="landscape" r:id="rId1"/>
  <headerFooter>
    <oddHeader>&amp;R&amp;G</oddHeader>
  </headerFooter>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9CA2-0A80-42A2-95C3-4010A0BCD5EC}">
  <sheetPr codeName="Sheet315">
    <tabColor rgb="FFFFFF66"/>
    <pageSetUpPr fitToPage="1"/>
  </sheetPr>
  <dimension ref="A1:AE91"/>
  <sheetViews>
    <sheetView view="pageBreakPreview" topLeftCell="A37" zoomScale="60" zoomScaleNormal="80" workbookViewId="0">
      <selection activeCell="O3" sqref="O3"/>
    </sheetView>
  </sheetViews>
  <sheetFormatPr defaultColWidth="9.81640625" defaultRowHeight="26.5"/>
  <cols>
    <col min="1" max="1" width="7.45312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4.5429687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tr">
        <f>'[56]別紙1-1）客室提供条件'!C2</f>
        <v>ホテルメルパルク名古屋</v>
      </c>
      <c r="D2" s="6876"/>
      <c r="E2" s="6876"/>
      <c r="F2" s="6876"/>
      <c r="G2" s="6876"/>
      <c r="H2" s="4661" t="s">
        <v>5709</v>
      </c>
      <c r="I2" s="5894" t="s">
        <v>5810</v>
      </c>
      <c r="J2" s="4733"/>
      <c r="K2" s="4733"/>
      <c r="M2" s="4808" t="s">
        <v>5748</v>
      </c>
      <c r="N2" s="4809">
        <f>SUM(N8,N10,N12,N14,N16,N18,N20,N22,N24,N26,N28,N30,N32,N34,N36)</f>
        <v>13620600</v>
      </c>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M3" s="4808" t="s">
        <v>5750</v>
      </c>
      <c r="N3" s="4809">
        <f>N2*1.1</f>
        <v>14982660.000000002</v>
      </c>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854">
        <v>5</v>
      </c>
      <c r="N7" s="4855">
        <v>150000</v>
      </c>
      <c r="O7" s="4754">
        <f>F7*N7</f>
        <v>3150000</v>
      </c>
      <c r="P7" s="4755" t="s">
        <v>5782</v>
      </c>
      <c r="Q7" s="4756">
        <v>4</v>
      </c>
      <c r="R7" s="4756" t="s">
        <v>3804</v>
      </c>
      <c r="S7" s="4751" t="s">
        <v>246</v>
      </c>
      <c r="T7" s="4756" t="s">
        <v>2161</v>
      </c>
      <c r="U7" s="4757">
        <v>2000</v>
      </c>
    </row>
    <row r="8" spans="1:31" s="4666" customFormat="1" ht="33.75" customHeight="1">
      <c r="A8" s="4758">
        <v>1</v>
      </c>
      <c r="B8" s="4816">
        <v>46273</v>
      </c>
      <c r="C8" s="4816">
        <v>46292</v>
      </c>
      <c r="D8" s="4759">
        <v>0</v>
      </c>
      <c r="E8" s="4759">
        <v>1</v>
      </c>
      <c r="F8" s="4760">
        <f>IF(OR(ISBLANK($B8), ISBLANK($C8)), 0, _xlfn.DAYS($C8, $B8) + 1)</f>
        <v>20</v>
      </c>
      <c r="G8" s="4761" t="s">
        <v>5813</v>
      </c>
      <c r="H8" s="4762">
        <v>2</v>
      </c>
      <c r="I8" s="4763" t="s">
        <v>5814</v>
      </c>
      <c r="J8" s="4764">
        <v>22</v>
      </c>
      <c r="K8" s="4765">
        <v>37</v>
      </c>
      <c r="L8" s="4765">
        <v>840</v>
      </c>
      <c r="M8" s="4856">
        <v>7</v>
      </c>
      <c r="N8" s="4771">
        <v>4007520</v>
      </c>
      <c r="O8" s="4766">
        <f>F8*N8</f>
        <v>80150400</v>
      </c>
      <c r="P8" s="4857" t="s">
        <v>5815</v>
      </c>
      <c r="Q8" s="4858">
        <v>2</v>
      </c>
      <c r="R8" s="4859" t="s">
        <v>5816</v>
      </c>
      <c r="S8" s="4858">
        <v>35200</v>
      </c>
      <c r="T8" s="4859" t="s">
        <v>5816</v>
      </c>
      <c r="U8" s="4860">
        <v>7700</v>
      </c>
    </row>
    <row r="9" spans="1:31" s="4666" customFormat="1" ht="33.75" customHeight="1">
      <c r="A9" s="4758">
        <v>2</v>
      </c>
      <c r="B9" s="4816">
        <v>46293</v>
      </c>
      <c r="C9" s="4816">
        <v>46293</v>
      </c>
      <c r="D9" s="4759">
        <v>0</v>
      </c>
      <c r="E9" s="4759">
        <v>0.5</v>
      </c>
      <c r="F9" s="4760">
        <f>IF(OR(ISBLANK($B9), ISBLANK($C9)), 0, _xlfn.DAYS($C9, $B9) + 1)</f>
        <v>1</v>
      </c>
      <c r="G9" s="4761" t="s">
        <v>5813</v>
      </c>
      <c r="H9" s="4762">
        <v>2</v>
      </c>
      <c r="I9" s="4763" t="s">
        <v>5814</v>
      </c>
      <c r="J9" s="4764">
        <v>22</v>
      </c>
      <c r="K9" s="4765">
        <v>37</v>
      </c>
      <c r="L9" s="4765">
        <v>840</v>
      </c>
      <c r="M9" s="4856">
        <v>7</v>
      </c>
      <c r="N9" s="4861">
        <v>2709630</v>
      </c>
      <c r="O9" s="4766">
        <f t="shared" ref="O9:O37" si="0">F9*N9</f>
        <v>2709630</v>
      </c>
      <c r="P9" s="4857" t="s">
        <v>5815</v>
      </c>
      <c r="Q9" s="4858">
        <v>2</v>
      </c>
      <c r="R9" s="4859" t="s">
        <v>5816</v>
      </c>
      <c r="S9" s="4858"/>
      <c r="T9" s="4859" t="s">
        <v>5816</v>
      </c>
      <c r="U9" s="4860"/>
    </row>
    <row r="10" spans="1:31" s="4666" customFormat="1" ht="33.75" customHeight="1">
      <c r="A10" s="4758">
        <v>3</v>
      </c>
      <c r="B10" s="4816">
        <v>46273</v>
      </c>
      <c r="C10" s="4816">
        <v>46292</v>
      </c>
      <c r="D10" s="4759">
        <v>0</v>
      </c>
      <c r="E10" s="4759">
        <v>0</v>
      </c>
      <c r="F10" s="4760">
        <f t="shared" ref="F10:F37" si="1">IF(OR(ISBLANK($B10), ISBLANK($C10)), 0, _xlfn.DAYS($C10, $B10) + 1)</f>
        <v>20</v>
      </c>
      <c r="G10" s="4761" t="s">
        <v>5817</v>
      </c>
      <c r="H10" s="4762">
        <v>2</v>
      </c>
      <c r="I10" s="4763" t="s">
        <v>5818</v>
      </c>
      <c r="J10" s="4764">
        <v>13</v>
      </c>
      <c r="K10" s="4765">
        <v>17</v>
      </c>
      <c r="L10" s="4765">
        <v>270</v>
      </c>
      <c r="M10" s="4856">
        <v>3.45</v>
      </c>
      <c r="N10" s="4771">
        <v>1185075</v>
      </c>
      <c r="O10" s="4766">
        <f t="shared" si="0"/>
        <v>23701500</v>
      </c>
      <c r="P10" s="4857" t="s">
        <v>3804</v>
      </c>
      <c r="Q10" s="4858">
        <v>0</v>
      </c>
      <c r="R10" s="4859" t="s">
        <v>5816</v>
      </c>
      <c r="S10" s="4858">
        <v>35200</v>
      </c>
      <c r="T10" s="4859" t="s">
        <v>5816</v>
      </c>
      <c r="U10" s="4860">
        <v>7700</v>
      </c>
    </row>
    <row r="11" spans="1:31" s="4666" customFormat="1" ht="33.75" customHeight="1">
      <c r="A11" s="4758">
        <v>4</v>
      </c>
      <c r="B11" s="4816">
        <v>46293</v>
      </c>
      <c r="C11" s="4816">
        <v>46293</v>
      </c>
      <c r="D11" s="4759">
        <v>0</v>
      </c>
      <c r="E11" s="4759">
        <v>0.5</v>
      </c>
      <c r="F11" s="4760">
        <f t="shared" si="1"/>
        <v>1</v>
      </c>
      <c r="G11" s="4761" t="s">
        <v>5817</v>
      </c>
      <c r="H11" s="4762">
        <v>2</v>
      </c>
      <c r="I11" s="4763" t="s">
        <v>5818</v>
      </c>
      <c r="J11" s="4764">
        <v>13</v>
      </c>
      <c r="K11" s="4765">
        <v>17</v>
      </c>
      <c r="L11" s="4765">
        <v>270</v>
      </c>
      <c r="M11" s="4856">
        <v>3.45</v>
      </c>
      <c r="N11" s="4861">
        <v>803159.99999999988</v>
      </c>
      <c r="O11" s="4766">
        <f t="shared" si="0"/>
        <v>803159.99999999988</v>
      </c>
      <c r="P11" s="4857" t="s">
        <v>3804</v>
      </c>
      <c r="Q11" s="4858">
        <v>0</v>
      </c>
      <c r="R11" s="4859" t="s">
        <v>5816</v>
      </c>
      <c r="S11" s="4858"/>
      <c r="T11" s="4859" t="s">
        <v>5816</v>
      </c>
      <c r="U11" s="4860"/>
    </row>
    <row r="12" spans="1:31" s="4666" customFormat="1" ht="33.75" customHeight="1">
      <c r="A12" s="4758">
        <v>5</v>
      </c>
      <c r="B12" s="4816">
        <v>46273</v>
      </c>
      <c r="C12" s="4816">
        <v>46292</v>
      </c>
      <c r="D12" s="4759">
        <v>0</v>
      </c>
      <c r="E12" s="4759">
        <v>0</v>
      </c>
      <c r="F12" s="4760">
        <f t="shared" si="1"/>
        <v>20</v>
      </c>
      <c r="G12" s="4761" t="s">
        <v>5819</v>
      </c>
      <c r="H12" s="4762">
        <v>2</v>
      </c>
      <c r="I12" s="4763" t="s">
        <v>5818</v>
      </c>
      <c r="J12" s="4764">
        <v>13</v>
      </c>
      <c r="K12" s="4765">
        <v>10</v>
      </c>
      <c r="L12" s="4765">
        <v>170</v>
      </c>
      <c r="M12" s="4856">
        <v>3.45</v>
      </c>
      <c r="N12" s="4771">
        <v>627210</v>
      </c>
      <c r="O12" s="4766">
        <f t="shared" si="0"/>
        <v>12544200</v>
      </c>
      <c r="P12" s="4857" t="s">
        <v>3804</v>
      </c>
      <c r="Q12" s="4858">
        <v>0</v>
      </c>
      <c r="R12" s="4859" t="s">
        <v>5816</v>
      </c>
      <c r="S12" s="4858">
        <v>35200</v>
      </c>
      <c r="T12" s="4859" t="s">
        <v>5816</v>
      </c>
      <c r="U12" s="4860">
        <v>7700</v>
      </c>
    </row>
    <row r="13" spans="1:31" s="4666" customFormat="1" ht="33.75" customHeight="1">
      <c r="A13" s="4758">
        <v>6</v>
      </c>
      <c r="B13" s="4816">
        <v>46293</v>
      </c>
      <c r="C13" s="4816">
        <v>46293</v>
      </c>
      <c r="D13" s="4759">
        <v>0</v>
      </c>
      <c r="E13" s="4759">
        <v>0.5</v>
      </c>
      <c r="F13" s="4760">
        <f t="shared" si="1"/>
        <v>1</v>
      </c>
      <c r="G13" s="4761" t="s">
        <v>5819</v>
      </c>
      <c r="H13" s="4762">
        <v>2</v>
      </c>
      <c r="I13" s="4763" t="s">
        <v>5818</v>
      </c>
      <c r="J13" s="4764">
        <v>13</v>
      </c>
      <c r="K13" s="4765">
        <v>10</v>
      </c>
      <c r="L13" s="4765">
        <v>170</v>
      </c>
      <c r="M13" s="4856">
        <v>3.45</v>
      </c>
      <c r="N13" s="4861">
        <v>422279.99999999994</v>
      </c>
      <c r="O13" s="4766">
        <f t="shared" si="0"/>
        <v>422279.99999999994</v>
      </c>
      <c r="P13" s="4857" t="s">
        <v>3804</v>
      </c>
      <c r="Q13" s="4858">
        <v>0</v>
      </c>
      <c r="R13" s="4859" t="s">
        <v>5816</v>
      </c>
      <c r="S13" s="4858"/>
      <c r="T13" s="4859" t="s">
        <v>5816</v>
      </c>
      <c r="U13" s="4860"/>
    </row>
    <row r="14" spans="1:31" s="4666" customFormat="1" ht="33.75" customHeight="1">
      <c r="A14" s="4758">
        <v>7</v>
      </c>
      <c r="B14" s="4816">
        <v>46273</v>
      </c>
      <c r="C14" s="4816">
        <v>46292</v>
      </c>
      <c r="D14" s="4759">
        <v>0</v>
      </c>
      <c r="E14" s="4759">
        <v>0</v>
      </c>
      <c r="F14" s="4760">
        <f t="shared" si="1"/>
        <v>20</v>
      </c>
      <c r="G14" s="4761" t="s">
        <v>5820</v>
      </c>
      <c r="H14" s="4762">
        <v>2</v>
      </c>
      <c r="I14" s="4763" t="s">
        <v>5818</v>
      </c>
      <c r="J14" s="4764">
        <v>6</v>
      </c>
      <c r="K14" s="4765">
        <v>13</v>
      </c>
      <c r="L14" s="4765">
        <v>100</v>
      </c>
      <c r="M14" s="4856">
        <v>3.45</v>
      </c>
      <c r="N14" s="4862">
        <v>416069.99999999994</v>
      </c>
      <c r="O14" s="4766">
        <f t="shared" si="0"/>
        <v>8321399.9999999991</v>
      </c>
      <c r="P14" s="4857" t="s">
        <v>3804</v>
      </c>
      <c r="Q14" s="4858">
        <v>0</v>
      </c>
      <c r="R14" s="4859" t="s">
        <v>5816</v>
      </c>
      <c r="S14" s="4858">
        <v>35200</v>
      </c>
      <c r="T14" s="4859" t="s">
        <v>5816</v>
      </c>
      <c r="U14" s="4860">
        <v>7700</v>
      </c>
    </row>
    <row r="15" spans="1:31" s="4666" customFormat="1" ht="33.75" customHeight="1">
      <c r="A15" s="4758">
        <v>8</v>
      </c>
      <c r="B15" s="4816">
        <v>46293</v>
      </c>
      <c r="C15" s="4816">
        <v>46293</v>
      </c>
      <c r="D15" s="4759">
        <v>0</v>
      </c>
      <c r="E15" s="4759">
        <v>0.5</v>
      </c>
      <c r="F15" s="4760">
        <f t="shared" si="1"/>
        <v>1</v>
      </c>
      <c r="G15" s="4761" t="s">
        <v>5820</v>
      </c>
      <c r="H15" s="4762">
        <v>2</v>
      </c>
      <c r="I15" s="4763" t="s">
        <v>5818</v>
      </c>
      <c r="J15" s="4764">
        <v>6</v>
      </c>
      <c r="K15" s="4765">
        <v>13</v>
      </c>
      <c r="L15" s="4765">
        <v>100</v>
      </c>
      <c r="M15" s="4856">
        <v>3.45</v>
      </c>
      <c r="N15" s="4861">
        <v>276345</v>
      </c>
      <c r="O15" s="4766">
        <f t="shared" si="0"/>
        <v>276345</v>
      </c>
      <c r="P15" s="4857" t="s">
        <v>3804</v>
      </c>
      <c r="Q15" s="4858">
        <v>0</v>
      </c>
      <c r="R15" s="4859" t="s">
        <v>5816</v>
      </c>
      <c r="S15" s="4858"/>
      <c r="T15" s="4859" t="s">
        <v>5816</v>
      </c>
      <c r="U15" s="4860"/>
    </row>
    <row r="16" spans="1:31" s="4666" customFormat="1" ht="33.75" customHeight="1">
      <c r="A16" s="4758">
        <v>9</v>
      </c>
      <c r="B16" s="4816">
        <v>46273</v>
      </c>
      <c r="C16" s="4816">
        <v>46292</v>
      </c>
      <c r="D16" s="4759">
        <v>0</v>
      </c>
      <c r="E16" s="4759">
        <v>0</v>
      </c>
      <c r="F16" s="4760">
        <f t="shared" si="1"/>
        <v>20</v>
      </c>
      <c r="G16" s="4761" t="s">
        <v>5053</v>
      </c>
      <c r="H16" s="4762">
        <v>3</v>
      </c>
      <c r="I16" s="4763" t="s">
        <v>5818</v>
      </c>
      <c r="J16" s="4764">
        <v>13</v>
      </c>
      <c r="K16" s="4765">
        <v>17</v>
      </c>
      <c r="L16" s="4765">
        <v>270</v>
      </c>
      <c r="M16" s="4856">
        <v>3.45</v>
      </c>
      <c r="N16" s="4771">
        <v>1185075</v>
      </c>
      <c r="O16" s="4766">
        <f t="shared" si="0"/>
        <v>23701500</v>
      </c>
      <c r="P16" s="4857" t="s">
        <v>3804</v>
      </c>
      <c r="Q16" s="4858">
        <v>0</v>
      </c>
      <c r="R16" s="4859" t="s">
        <v>5816</v>
      </c>
      <c r="S16" s="4858">
        <v>35200</v>
      </c>
      <c r="T16" s="4859" t="s">
        <v>5816</v>
      </c>
      <c r="U16" s="4860">
        <v>7700</v>
      </c>
    </row>
    <row r="17" spans="1:29" s="4666" customFormat="1" ht="33.75" customHeight="1">
      <c r="A17" s="4758">
        <v>10</v>
      </c>
      <c r="B17" s="4816">
        <v>46293</v>
      </c>
      <c r="C17" s="4816">
        <v>46293</v>
      </c>
      <c r="D17" s="4759">
        <v>0</v>
      </c>
      <c r="E17" s="4759">
        <v>0.5</v>
      </c>
      <c r="F17" s="4760">
        <f t="shared" si="1"/>
        <v>1</v>
      </c>
      <c r="G17" s="4761" t="s">
        <v>5053</v>
      </c>
      <c r="H17" s="4762">
        <v>3</v>
      </c>
      <c r="I17" s="4763" t="s">
        <v>5818</v>
      </c>
      <c r="J17" s="4764">
        <v>13</v>
      </c>
      <c r="K17" s="4765">
        <v>17</v>
      </c>
      <c r="L17" s="4765">
        <v>270</v>
      </c>
      <c r="M17" s="4856">
        <v>3.45</v>
      </c>
      <c r="N17" s="4861">
        <v>803159.99999999988</v>
      </c>
      <c r="O17" s="4766">
        <f t="shared" si="0"/>
        <v>803159.99999999988</v>
      </c>
      <c r="P17" s="4857" t="s">
        <v>3804</v>
      </c>
      <c r="Q17" s="4858">
        <v>0</v>
      </c>
      <c r="R17" s="4859" t="s">
        <v>5816</v>
      </c>
      <c r="S17" s="4858"/>
      <c r="T17" s="4859" t="s">
        <v>5816</v>
      </c>
      <c r="U17" s="4860"/>
    </row>
    <row r="18" spans="1:29" s="4666" customFormat="1" ht="33.75" customHeight="1">
      <c r="A18" s="4758">
        <v>11</v>
      </c>
      <c r="B18" s="4816">
        <v>46273</v>
      </c>
      <c r="C18" s="4816">
        <v>46292</v>
      </c>
      <c r="D18" s="4759">
        <v>0</v>
      </c>
      <c r="E18" s="4759">
        <v>0</v>
      </c>
      <c r="F18" s="4760">
        <f t="shared" si="1"/>
        <v>20</v>
      </c>
      <c r="G18" s="4761" t="s">
        <v>5821</v>
      </c>
      <c r="H18" s="4762">
        <v>3</v>
      </c>
      <c r="I18" s="4763" t="s">
        <v>5818</v>
      </c>
      <c r="J18" s="4764">
        <v>13</v>
      </c>
      <c r="K18" s="4765">
        <v>13</v>
      </c>
      <c r="L18" s="4765">
        <v>230</v>
      </c>
      <c r="M18" s="4856">
        <v>3.45</v>
      </c>
      <c r="N18" s="4771">
        <v>860084.99999999988</v>
      </c>
      <c r="O18" s="4766">
        <f t="shared" si="0"/>
        <v>17201699.999999996</v>
      </c>
      <c r="P18" s="4857" t="s">
        <v>3804</v>
      </c>
      <c r="Q18" s="4858">
        <v>0</v>
      </c>
      <c r="R18" s="4859" t="s">
        <v>5816</v>
      </c>
      <c r="S18" s="4858">
        <v>35200</v>
      </c>
      <c r="T18" s="4859" t="s">
        <v>5816</v>
      </c>
      <c r="U18" s="4860">
        <v>7700</v>
      </c>
    </row>
    <row r="19" spans="1:29" s="4666" customFormat="1" ht="33.75" customHeight="1">
      <c r="A19" s="4758">
        <v>12</v>
      </c>
      <c r="B19" s="4816">
        <v>46293</v>
      </c>
      <c r="C19" s="4816">
        <v>46293</v>
      </c>
      <c r="D19" s="4759">
        <v>0</v>
      </c>
      <c r="E19" s="4759">
        <v>0.5</v>
      </c>
      <c r="F19" s="4760">
        <f t="shared" si="1"/>
        <v>1</v>
      </c>
      <c r="G19" s="4761" t="s">
        <v>5821</v>
      </c>
      <c r="H19" s="4762">
        <v>3</v>
      </c>
      <c r="I19" s="4763" t="s">
        <v>5818</v>
      </c>
      <c r="J19" s="4764">
        <v>13</v>
      </c>
      <c r="K19" s="4765">
        <v>13</v>
      </c>
      <c r="L19" s="4765">
        <v>230</v>
      </c>
      <c r="M19" s="4856">
        <v>3.45</v>
      </c>
      <c r="N19" s="4861">
        <v>336375</v>
      </c>
      <c r="O19" s="4766">
        <f t="shared" si="0"/>
        <v>336375</v>
      </c>
      <c r="P19" s="4857" t="s">
        <v>3804</v>
      </c>
      <c r="Q19" s="4858">
        <v>0</v>
      </c>
      <c r="R19" s="4859" t="s">
        <v>5816</v>
      </c>
      <c r="S19" s="4858"/>
      <c r="T19" s="4859" t="s">
        <v>5816</v>
      </c>
      <c r="U19" s="4860"/>
    </row>
    <row r="20" spans="1:29" s="4666" customFormat="1" ht="33.75" customHeight="1">
      <c r="A20" s="4758">
        <v>13</v>
      </c>
      <c r="B20" s="4816">
        <v>46273</v>
      </c>
      <c r="C20" s="4816">
        <v>46292</v>
      </c>
      <c r="D20" s="4759">
        <v>0</v>
      </c>
      <c r="E20" s="4759">
        <v>0</v>
      </c>
      <c r="F20" s="4760">
        <f t="shared" si="1"/>
        <v>20</v>
      </c>
      <c r="G20" s="4761" t="s">
        <v>5822</v>
      </c>
      <c r="H20" s="4762">
        <v>3</v>
      </c>
      <c r="I20" s="4763" t="s">
        <v>5818</v>
      </c>
      <c r="J20" s="4764">
        <v>11</v>
      </c>
      <c r="K20" s="4765">
        <v>14</v>
      </c>
      <c r="L20" s="4765">
        <v>180</v>
      </c>
      <c r="M20" s="4856">
        <v>3.6</v>
      </c>
      <c r="N20" s="4771">
        <v>627210</v>
      </c>
      <c r="O20" s="4766">
        <f t="shared" si="0"/>
        <v>12544200</v>
      </c>
      <c r="P20" s="4857" t="s">
        <v>3804</v>
      </c>
      <c r="Q20" s="4858">
        <v>0</v>
      </c>
      <c r="R20" s="4859" t="s">
        <v>5816</v>
      </c>
      <c r="S20" s="4858">
        <v>35200</v>
      </c>
      <c r="T20" s="4859" t="s">
        <v>5816</v>
      </c>
      <c r="U20" s="4860">
        <v>7700</v>
      </c>
    </row>
    <row r="21" spans="1:29" s="4666" customFormat="1" ht="33.75" customHeight="1">
      <c r="A21" s="4758">
        <v>14</v>
      </c>
      <c r="B21" s="4816">
        <v>46293</v>
      </c>
      <c r="C21" s="4816">
        <v>46293</v>
      </c>
      <c r="D21" s="4759">
        <v>0</v>
      </c>
      <c r="E21" s="4759">
        <v>0.5</v>
      </c>
      <c r="F21" s="4760">
        <f t="shared" si="1"/>
        <v>1</v>
      </c>
      <c r="G21" s="4761" t="s">
        <v>5822</v>
      </c>
      <c r="H21" s="4762">
        <v>3</v>
      </c>
      <c r="I21" s="4763" t="s">
        <v>5818</v>
      </c>
      <c r="J21" s="4764">
        <v>11</v>
      </c>
      <c r="K21" s="4765">
        <v>14</v>
      </c>
      <c r="L21" s="4765">
        <v>180</v>
      </c>
      <c r="M21" s="4856">
        <v>3.6</v>
      </c>
      <c r="N21" s="4861">
        <v>422279.99999999994</v>
      </c>
      <c r="O21" s="4766">
        <f t="shared" si="0"/>
        <v>422279.99999999994</v>
      </c>
      <c r="P21" s="4857" t="s">
        <v>3804</v>
      </c>
      <c r="Q21" s="4858">
        <v>0</v>
      </c>
      <c r="R21" s="4859" t="s">
        <v>5816</v>
      </c>
      <c r="S21" s="4858"/>
      <c r="T21" s="4859" t="s">
        <v>5816</v>
      </c>
      <c r="U21" s="4860"/>
    </row>
    <row r="22" spans="1:29" s="4666" customFormat="1" ht="33.75" customHeight="1">
      <c r="A22" s="4758">
        <v>15</v>
      </c>
      <c r="B22" s="4816">
        <v>46273</v>
      </c>
      <c r="C22" s="4816">
        <v>46292</v>
      </c>
      <c r="D22" s="4759">
        <v>0</v>
      </c>
      <c r="E22" s="4759">
        <v>0</v>
      </c>
      <c r="F22" s="4760">
        <f t="shared" si="1"/>
        <v>20</v>
      </c>
      <c r="G22" s="4761" t="s">
        <v>5823</v>
      </c>
      <c r="H22" s="4762">
        <v>3</v>
      </c>
      <c r="I22" s="4763" t="s">
        <v>5818</v>
      </c>
      <c r="J22" s="4764">
        <v>6</v>
      </c>
      <c r="K22" s="4765">
        <v>13</v>
      </c>
      <c r="L22" s="4765">
        <v>100</v>
      </c>
      <c r="M22" s="4856">
        <v>3.45</v>
      </c>
      <c r="N22" s="4771">
        <v>416069.99999999994</v>
      </c>
      <c r="O22" s="4766">
        <f t="shared" si="0"/>
        <v>8321399.9999999991</v>
      </c>
      <c r="P22" s="4857" t="s">
        <v>3804</v>
      </c>
      <c r="Q22" s="4858">
        <v>0</v>
      </c>
      <c r="R22" s="4859" t="s">
        <v>5816</v>
      </c>
      <c r="S22" s="4858">
        <v>35200</v>
      </c>
      <c r="T22" s="4859" t="s">
        <v>5816</v>
      </c>
      <c r="U22" s="4860">
        <v>7700</v>
      </c>
    </row>
    <row r="23" spans="1:29" s="4666" customFormat="1" ht="33.75" customHeight="1">
      <c r="A23" s="4758">
        <v>16</v>
      </c>
      <c r="B23" s="4816">
        <v>46293</v>
      </c>
      <c r="C23" s="4816">
        <v>46293</v>
      </c>
      <c r="D23" s="4759">
        <v>0</v>
      </c>
      <c r="E23" s="4759">
        <v>0.5</v>
      </c>
      <c r="F23" s="4760">
        <f t="shared" si="1"/>
        <v>1</v>
      </c>
      <c r="G23" s="4761" t="s">
        <v>5823</v>
      </c>
      <c r="H23" s="4762">
        <v>3</v>
      </c>
      <c r="I23" s="4763" t="s">
        <v>5818</v>
      </c>
      <c r="J23" s="4764">
        <v>6</v>
      </c>
      <c r="K23" s="4765">
        <v>13</v>
      </c>
      <c r="L23" s="4765">
        <v>100</v>
      </c>
      <c r="M23" s="4856">
        <v>3.45</v>
      </c>
      <c r="N23" s="4861">
        <v>276345</v>
      </c>
      <c r="O23" s="4766">
        <f t="shared" si="0"/>
        <v>276345</v>
      </c>
      <c r="P23" s="4857" t="s">
        <v>3804</v>
      </c>
      <c r="Q23" s="4858">
        <v>0</v>
      </c>
      <c r="R23" s="4859" t="s">
        <v>5816</v>
      </c>
      <c r="S23" s="4858"/>
      <c r="T23" s="4859" t="s">
        <v>5816</v>
      </c>
      <c r="U23" s="4860"/>
    </row>
    <row r="24" spans="1:29" s="4666" customFormat="1" ht="33.75" customHeight="1">
      <c r="A24" s="4758">
        <v>17</v>
      </c>
      <c r="B24" s="4816">
        <v>46273</v>
      </c>
      <c r="C24" s="4816">
        <v>46292</v>
      </c>
      <c r="D24" s="4759">
        <v>0</v>
      </c>
      <c r="E24" s="4759">
        <v>0</v>
      </c>
      <c r="F24" s="4760">
        <f t="shared" si="1"/>
        <v>20</v>
      </c>
      <c r="G24" s="4761" t="s">
        <v>5824</v>
      </c>
      <c r="H24" s="4762">
        <v>3</v>
      </c>
      <c r="I24" s="4763" t="s">
        <v>5818</v>
      </c>
      <c r="J24" s="4764">
        <v>6</v>
      </c>
      <c r="K24" s="4765">
        <v>4</v>
      </c>
      <c r="L24" s="4765">
        <v>90</v>
      </c>
      <c r="M24" s="4856">
        <v>3.6</v>
      </c>
      <c r="N24" s="4771">
        <v>336375</v>
      </c>
      <c r="O24" s="4766">
        <f t="shared" si="0"/>
        <v>6727500</v>
      </c>
      <c r="P24" s="4857" t="s">
        <v>3804</v>
      </c>
      <c r="Q24" s="4858">
        <v>0</v>
      </c>
      <c r="R24" s="4859" t="s">
        <v>5816</v>
      </c>
      <c r="S24" s="4858">
        <v>35200</v>
      </c>
      <c r="T24" s="4859" t="s">
        <v>5816</v>
      </c>
      <c r="U24" s="4860">
        <v>7700</v>
      </c>
    </row>
    <row r="25" spans="1:29" s="4666" customFormat="1" ht="33.75" customHeight="1">
      <c r="A25" s="4758">
        <v>18</v>
      </c>
      <c r="B25" s="4816">
        <v>46293</v>
      </c>
      <c r="C25" s="4816">
        <v>46293</v>
      </c>
      <c r="D25" s="4759">
        <v>0</v>
      </c>
      <c r="E25" s="4759">
        <v>0.5</v>
      </c>
      <c r="F25" s="4760">
        <f t="shared" si="1"/>
        <v>1</v>
      </c>
      <c r="G25" s="4761" t="s">
        <v>5824</v>
      </c>
      <c r="H25" s="4762">
        <v>3</v>
      </c>
      <c r="I25" s="4763" t="s">
        <v>5818</v>
      </c>
      <c r="J25" s="4764">
        <v>6</v>
      </c>
      <c r="K25" s="4765">
        <v>4</v>
      </c>
      <c r="L25" s="4765">
        <v>90</v>
      </c>
      <c r="M25" s="4856">
        <v>3.6</v>
      </c>
      <c r="N25" s="4861">
        <v>221489.99999999997</v>
      </c>
      <c r="O25" s="4766">
        <f t="shared" si="0"/>
        <v>221489.99999999997</v>
      </c>
      <c r="P25" s="4857" t="s">
        <v>3804</v>
      </c>
      <c r="Q25" s="4858">
        <v>0</v>
      </c>
      <c r="R25" s="4859" t="s">
        <v>5816</v>
      </c>
      <c r="S25" s="4858"/>
      <c r="T25" s="4859" t="s">
        <v>5816</v>
      </c>
      <c r="U25" s="4860"/>
    </row>
    <row r="26" spans="1:29" s="4666" customFormat="1" ht="33.75" customHeight="1">
      <c r="A26" s="4758">
        <v>19</v>
      </c>
      <c r="B26" s="4816">
        <v>46273</v>
      </c>
      <c r="C26" s="4816">
        <v>46292</v>
      </c>
      <c r="D26" s="4759">
        <v>0</v>
      </c>
      <c r="E26" s="4759">
        <v>0</v>
      </c>
      <c r="F26" s="4760">
        <f t="shared" si="1"/>
        <v>20</v>
      </c>
      <c r="G26" s="4761" t="s">
        <v>5825</v>
      </c>
      <c r="H26" s="4762">
        <v>3</v>
      </c>
      <c r="I26" s="4763" t="s">
        <v>5818</v>
      </c>
      <c r="J26" s="4764">
        <v>11</v>
      </c>
      <c r="K26" s="4765">
        <v>13</v>
      </c>
      <c r="L26" s="4765">
        <v>170</v>
      </c>
      <c r="M26" s="4856">
        <v>3.15</v>
      </c>
      <c r="N26" s="4862">
        <v>577530</v>
      </c>
      <c r="O26" s="4766">
        <f t="shared" si="0"/>
        <v>11550600</v>
      </c>
      <c r="P26" s="4857" t="s">
        <v>3804</v>
      </c>
      <c r="Q26" s="4858">
        <v>0</v>
      </c>
      <c r="R26" s="4859" t="s">
        <v>5816</v>
      </c>
      <c r="S26" s="4858">
        <v>35200</v>
      </c>
      <c r="T26" s="4859" t="s">
        <v>5816</v>
      </c>
      <c r="U26" s="4860">
        <v>7700</v>
      </c>
    </row>
    <row r="27" spans="1:29" s="4666" customFormat="1" ht="33.75" customHeight="1">
      <c r="A27" s="4758">
        <v>20</v>
      </c>
      <c r="B27" s="4816">
        <v>46293</v>
      </c>
      <c r="C27" s="4816">
        <v>46293</v>
      </c>
      <c r="D27" s="4759">
        <v>0</v>
      </c>
      <c r="E27" s="4759">
        <v>0.5</v>
      </c>
      <c r="F27" s="4760">
        <f t="shared" si="1"/>
        <v>1</v>
      </c>
      <c r="G27" s="4761" t="s">
        <v>5825</v>
      </c>
      <c r="H27" s="4762">
        <v>3</v>
      </c>
      <c r="I27" s="4763" t="s">
        <v>5818</v>
      </c>
      <c r="J27" s="4764">
        <v>11</v>
      </c>
      <c r="K27" s="4765">
        <v>13</v>
      </c>
      <c r="L27" s="4765">
        <v>170</v>
      </c>
      <c r="M27" s="4856">
        <v>3.15</v>
      </c>
      <c r="N27" s="4861">
        <v>385019.99999999994</v>
      </c>
      <c r="O27" s="4766">
        <f t="shared" si="0"/>
        <v>385019.99999999994</v>
      </c>
      <c r="P27" s="4857" t="s">
        <v>3804</v>
      </c>
      <c r="Q27" s="4858">
        <v>0</v>
      </c>
      <c r="R27" s="4859" t="s">
        <v>5816</v>
      </c>
      <c r="S27" s="4858"/>
      <c r="T27" s="4859" t="s">
        <v>5816</v>
      </c>
      <c r="U27" s="4860"/>
    </row>
    <row r="28" spans="1:29" s="4666" customFormat="1" ht="33.75" customHeight="1">
      <c r="A28" s="4758">
        <v>21</v>
      </c>
      <c r="B28" s="4816">
        <v>46273</v>
      </c>
      <c r="C28" s="4816">
        <v>46292</v>
      </c>
      <c r="D28" s="4759">
        <v>0</v>
      </c>
      <c r="E28" s="4759">
        <v>0</v>
      </c>
      <c r="F28" s="4760">
        <f t="shared" si="1"/>
        <v>20</v>
      </c>
      <c r="G28" s="4761" t="s">
        <v>5826</v>
      </c>
      <c r="H28" s="4762" t="s">
        <v>5827</v>
      </c>
      <c r="I28" s="4763" t="s">
        <v>5818</v>
      </c>
      <c r="J28" s="4764">
        <v>7</v>
      </c>
      <c r="K28" s="4765">
        <v>14</v>
      </c>
      <c r="L28" s="4765">
        <v>140</v>
      </c>
      <c r="M28" s="4856">
        <v>3</v>
      </c>
      <c r="N28" s="4862">
        <v>519570</v>
      </c>
      <c r="O28" s="4766">
        <f t="shared" si="0"/>
        <v>10391400</v>
      </c>
      <c r="P28" s="4857" t="s">
        <v>3804</v>
      </c>
      <c r="Q28" s="4858">
        <v>0</v>
      </c>
      <c r="R28" s="4859" t="s">
        <v>5828</v>
      </c>
      <c r="S28" s="4858">
        <v>0</v>
      </c>
      <c r="T28" s="4859" t="s">
        <v>5816</v>
      </c>
      <c r="U28" s="4860">
        <v>7700</v>
      </c>
    </row>
    <row r="29" spans="1:29" ht="33.75" customHeight="1">
      <c r="A29" s="4758">
        <v>22</v>
      </c>
      <c r="B29" s="4816">
        <v>46293</v>
      </c>
      <c r="C29" s="4816">
        <v>46293</v>
      </c>
      <c r="D29" s="4759">
        <v>0</v>
      </c>
      <c r="E29" s="4759">
        <v>0.5</v>
      </c>
      <c r="F29" s="4760">
        <f t="shared" si="1"/>
        <v>1</v>
      </c>
      <c r="G29" s="4761" t="s">
        <v>5826</v>
      </c>
      <c r="H29" s="4762" t="s">
        <v>5827</v>
      </c>
      <c r="I29" s="4763" t="s">
        <v>5818</v>
      </c>
      <c r="J29" s="4764">
        <v>7</v>
      </c>
      <c r="K29" s="4765">
        <v>14</v>
      </c>
      <c r="L29" s="4765">
        <v>140</v>
      </c>
      <c r="M29" s="4856">
        <v>3</v>
      </c>
      <c r="N29" s="4861">
        <v>342584.99999999994</v>
      </c>
      <c r="O29" s="4766">
        <f t="shared" si="0"/>
        <v>342584.99999999994</v>
      </c>
      <c r="P29" s="4857" t="s">
        <v>3804</v>
      </c>
      <c r="Q29" s="4858">
        <v>0</v>
      </c>
      <c r="R29" s="4859" t="s">
        <v>5828</v>
      </c>
      <c r="S29" s="4858">
        <v>0</v>
      </c>
      <c r="T29" s="4859" t="s">
        <v>5816</v>
      </c>
      <c r="U29" s="4860"/>
      <c r="AC29" s="4657"/>
    </row>
    <row r="30" spans="1:29" ht="33.75" customHeight="1">
      <c r="A30" s="4758">
        <v>23</v>
      </c>
      <c r="B30" s="4816">
        <v>46273</v>
      </c>
      <c r="C30" s="4816">
        <v>46292</v>
      </c>
      <c r="D30" s="4759">
        <v>0</v>
      </c>
      <c r="E30" s="4759">
        <v>0</v>
      </c>
      <c r="F30" s="4760">
        <f t="shared" si="1"/>
        <v>20</v>
      </c>
      <c r="G30" s="4761" t="s">
        <v>5829</v>
      </c>
      <c r="H30" s="4762">
        <v>4</v>
      </c>
      <c r="I30" s="4763" t="s">
        <v>5830</v>
      </c>
      <c r="J30" s="4764">
        <v>7</v>
      </c>
      <c r="K30" s="4765">
        <v>8</v>
      </c>
      <c r="L30" s="4765">
        <v>70</v>
      </c>
      <c r="M30" s="4856">
        <v>3</v>
      </c>
      <c r="N30" s="4771">
        <v>1196460</v>
      </c>
      <c r="O30" s="4766">
        <f t="shared" si="0"/>
        <v>23929200</v>
      </c>
      <c r="P30" s="4857" t="s">
        <v>3804</v>
      </c>
      <c r="Q30" s="4858">
        <v>0</v>
      </c>
      <c r="R30" s="4859" t="s">
        <v>5828</v>
      </c>
      <c r="S30" s="4858">
        <v>0</v>
      </c>
      <c r="T30" s="4859" t="s">
        <v>5816</v>
      </c>
      <c r="U30" s="4860">
        <v>7700</v>
      </c>
      <c r="AC30" s="4657"/>
    </row>
    <row r="31" spans="1:29" ht="33.75" customHeight="1">
      <c r="A31" s="4758">
        <v>24</v>
      </c>
      <c r="B31" s="4816">
        <v>46293</v>
      </c>
      <c r="C31" s="4816">
        <v>46293</v>
      </c>
      <c r="D31" s="4759">
        <v>0</v>
      </c>
      <c r="E31" s="4759">
        <v>0.5</v>
      </c>
      <c r="F31" s="4760">
        <f t="shared" si="1"/>
        <v>1</v>
      </c>
      <c r="G31" s="4761" t="s">
        <v>5829</v>
      </c>
      <c r="H31" s="4762">
        <v>4</v>
      </c>
      <c r="I31" s="4763" t="s">
        <v>5830</v>
      </c>
      <c r="J31" s="4764">
        <v>7</v>
      </c>
      <c r="K31" s="4765">
        <v>8</v>
      </c>
      <c r="L31" s="4765">
        <v>70</v>
      </c>
      <c r="M31" s="4856">
        <v>3</v>
      </c>
      <c r="N31" s="4659">
        <v>786599.99999999988</v>
      </c>
      <c r="O31" s="4766">
        <f t="shared" si="0"/>
        <v>786599.99999999988</v>
      </c>
      <c r="P31" s="4857" t="s">
        <v>3804</v>
      </c>
      <c r="Q31" s="4858">
        <v>0</v>
      </c>
      <c r="R31" s="4859" t="s">
        <v>5828</v>
      </c>
      <c r="S31" s="4858">
        <v>0</v>
      </c>
      <c r="T31" s="4859" t="s">
        <v>5816</v>
      </c>
      <c r="U31" s="4860"/>
      <c r="AC31" s="4657"/>
    </row>
    <row r="32" spans="1:29" ht="33.75" customHeight="1">
      <c r="A32" s="4758">
        <v>25</v>
      </c>
      <c r="B32" s="4816">
        <v>46273</v>
      </c>
      <c r="C32" s="4816">
        <v>46292</v>
      </c>
      <c r="D32" s="4759">
        <v>0</v>
      </c>
      <c r="E32" s="4759">
        <v>0</v>
      </c>
      <c r="F32" s="4760">
        <f t="shared" si="1"/>
        <v>20</v>
      </c>
      <c r="G32" s="4761" t="s">
        <v>5831</v>
      </c>
      <c r="H32" s="4762" t="s">
        <v>5827</v>
      </c>
      <c r="I32" s="4763" t="s">
        <v>5832</v>
      </c>
      <c r="J32" s="4764" t="s">
        <v>5833</v>
      </c>
      <c r="K32" s="4765" t="s">
        <v>5833</v>
      </c>
      <c r="L32" s="4765" t="s">
        <v>2602</v>
      </c>
      <c r="M32" s="4856">
        <v>2.85</v>
      </c>
      <c r="N32" s="4771">
        <v>213209.99999999997</v>
      </c>
      <c r="O32" s="4766">
        <f t="shared" si="0"/>
        <v>4264199.9999999991</v>
      </c>
      <c r="P32" s="4857" t="s">
        <v>3804</v>
      </c>
      <c r="Q32" s="4858">
        <v>0</v>
      </c>
      <c r="R32" s="4859" t="s">
        <v>5828</v>
      </c>
      <c r="S32" s="4858">
        <v>0</v>
      </c>
      <c r="T32" s="4859" t="s">
        <v>5816</v>
      </c>
      <c r="U32" s="4860">
        <v>7700</v>
      </c>
      <c r="AC32" s="4657"/>
    </row>
    <row r="33" spans="1:29" ht="33.75" customHeight="1">
      <c r="A33" s="4758">
        <v>26</v>
      </c>
      <c r="B33" s="4816">
        <v>46293</v>
      </c>
      <c r="C33" s="4816">
        <v>46293</v>
      </c>
      <c r="D33" s="4759">
        <v>0</v>
      </c>
      <c r="E33" s="4759">
        <v>0.5</v>
      </c>
      <c r="F33" s="4760">
        <f t="shared" si="1"/>
        <v>1</v>
      </c>
      <c r="G33" s="4761" t="s">
        <v>5831</v>
      </c>
      <c r="H33" s="4762" t="s">
        <v>5827</v>
      </c>
      <c r="I33" s="4763" t="s">
        <v>5832</v>
      </c>
      <c r="J33" s="4764" t="s">
        <v>5833</v>
      </c>
      <c r="K33" s="4765" t="s">
        <v>5833</v>
      </c>
      <c r="L33" s="4765" t="s">
        <v>2602</v>
      </c>
      <c r="M33" s="4856">
        <v>2.85</v>
      </c>
      <c r="N33" s="4659">
        <v>141795</v>
      </c>
      <c r="O33" s="4766">
        <f t="shared" si="0"/>
        <v>141795</v>
      </c>
      <c r="P33" s="4857" t="s">
        <v>3804</v>
      </c>
      <c r="Q33" s="4858">
        <v>0</v>
      </c>
      <c r="R33" s="4859" t="s">
        <v>5828</v>
      </c>
      <c r="S33" s="4858">
        <v>0</v>
      </c>
      <c r="T33" s="4859" t="s">
        <v>5816</v>
      </c>
      <c r="U33" s="4860"/>
      <c r="AC33" s="4657"/>
    </row>
    <row r="34" spans="1:29" ht="33.75" customHeight="1">
      <c r="A34" s="4758">
        <v>27</v>
      </c>
      <c r="B34" s="4816">
        <v>46273</v>
      </c>
      <c r="C34" s="4816">
        <v>46292</v>
      </c>
      <c r="D34" s="4759">
        <v>0</v>
      </c>
      <c r="E34" s="4759">
        <v>0</v>
      </c>
      <c r="F34" s="4760">
        <f t="shared" si="1"/>
        <v>20</v>
      </c>
      <c r="G34" s="4761" t="s">
        <v>5834</v>
      </c>
      <c r="H34" s="4762" t="s">
        <v>5827</v>
      </c>
      <c r="I34" s="4763" t="s">
        <v>5830</v>
      </c>
      <c r="J34" s="4764">
        <v>9</v>
      </c>
      <c r="K34" s="4765">
        <v>6</v>
      </c>
      <c r="L34" s="4765">
        <v>61</v>
      </c>
      <c r="M34" s="4856">
        <v>3.1</v>
      </c>
      <c r="N34" s="4771">
        <v>268065</v>
      </c>
      <c r="O34" s="4766">
        <f t="shared" si="0"/>
        <v>5361300</v>
      </c>
      <c r="P34" s="4857" t="s">
        <v>3804</v>
      </c>
      <c r="Q34" s="4858">
        <v>0</v>
      </c>
      <c r="R34" s="4859" t="s">
        <v>5828</v>
      </c>
      <c r="S34" s="4858">
        <v>0</v>
      </c>
      <c r="T34" s="4859" t="s">
        <v>5816</v>
      </c>
      <c r="U34" s="4860">
        <v>7700</v>
      </c>
      <c r="AC34" s="4657"/>
    </row>
    <row r="35" spans="1:29" ht="33.75" customHeight="1">
      <c r="A35" s="4758">
        <v>28</v>
      </c>
      <c r="B35" s="4816">
        <v>46293</v>
      </c>
      <c r="C35" s="4816">
        <v>46293</v>
      </c>
      <c r="D35" s="4759">
        <v>0</v>
      </c>
      <c r="E35" s="4759">
        <v>0.5</v>
      </c>
      <c r="F35" s="4760">
        <f t="shared" si="1"/>
        <v>1</v>
      </c>
      <c r="G35" s="4761" t="s">
        <v>5834</v>
      </c>
      <c r="H35" s="4762" t="s">
        <v>5827</v>
      </c>
      <c r="I35" s="4763" t="s">
        <v>5830</v>
      </c>
      <c r="J35" s="4764">
        <v>9</v>
      </c>
      <c r="K35" s="4765">
        <v>6</v>
      </c>
      <c r="L35" s="4765">
        <v>61</v>
      </c>
      <c r="M35" s="4856">
        <v>3.1</v>
      </c>
      <c r="N35" s="4659">
        <v>178019.99999999997</v>
      </c>
      <c r="O35" s="4766">
        <f t="shared" si="0"/>
        <v>178019.99999999997</v>
      </c>
      <c r="P35" s="4857" t="s">
        <v>3804</v>
      </c>
      <c r="Q35" s="4858">
        <v>0</v>
      </c>
      <c r="R35" s="4859" t="s">
        <v>5828</v>
      </c>
      <c r="S35" s="4858">
        <v>0</v>
      </c>
      <c r="T35" s="4859" t="s">
        <v>5816</v>
      </c>
      <c r="U35" s="4860"/>
      <c r="AC35" s="4657"/>
    </row>
    <row r="36" spans="1:29" ht="33.75" customHeight="1">
      <c r="A36" s="4758">
        <v>29</v>
      </c>
      <c r="B36" s="4816">
        <v>46273</v>
      </c>
      <c r="C36" s="4816">
        <v>46292</v>
      </c>
      <c r="D36" s="4759">
        <v>0</v>
      </c>
      <c r="E36" s="4759">
        <v>0</v>
      </c>
      <c r="F36" s="4760">
        <f t="shared" si="1"/>
        <v>20</v>
      </c>
      <c r="G36" s="4761" t="s">
        <v>5835</v>
      </c>
      <c r="H36" s="4762">
        <v>1</v>
      </c>
      <c r="I36" s="4763" t="s">
        <v>5818</v>
      </c>
      <c r="J36" s="4764">
        <v>12</v>
      </c>
      <c r="K36" s="4765">
        <v>18</v>
      </c>
      <c r="L36" s="4765">
        <v>280</v>
      </c>
      <c r="M36" s="4856">
        <v>3.43</v>
      </c>
      <c r="N36" s="4771">
        <v>1185075</v>
      </c>
      <c r="O36" s="4766">
        <f t="shared" si="0"/>
        <v>23701500</v>
      </c>
      <c r="P36" s="4857" t="s">
        <v>3804</v>
      </c>
      <c r="Q36" s="4858">
        <v>0</v>
      </c>
      <c r="R36" s="4859" t="s">
        <v>5828</v>
      </c>
      <c r="S36" s="4858">
        <v>0</v>
      </c>
      <c r="T36" s="4859" t="s">
        <v>5816</v>
      </c>
      <c r="U36" s="4860">
        <v>7700</v>
      </c>
      <c r="AC36" s="4657"/>
    </row>
    <row r="37" spans="1:29" ht="33.75" customHeight="1" thickBot="1">
      <c r="A37" s="4758">
        <v>30</v>
      </c>
      <c r="B37" s="4816">
        <v>46293</v>
      </c>
      <c r="C37" s="4816">
        <v>46293</v>
      </c>
      <c r="D37" s="4759">
        <v>0</v>
      </c>
      <c r="E37" s="4759">
        <v>0.5</v>
      </c>
      <c r="F37" s="4760">
        <f t="shared" si="1"/>
        <v>1</v>
      </c>
      <c r="G37" s="4761" t="s">
        <v>5835</v>
      </c>
      <c r="H37" s="4762">
        <v>1</v>
      </c>
      <c r="I37" s="4763" t="s">
        <v>5818</v>
      </c>
      <c r="J37" s="4764">
        <v>12</v>
      </c>
      <c r="K37" s="4765">
        <v>18</v>
      </c>
      <c r="L37" s="4765">
        <v>280</v>
      </c>
      <c r="M37" s="4863">
        <v>3.43</v>
      </c>
      <c r="N37" s="4771">
        <v>803159.99999999988</v>
      </c>
      <c r="O37" s="4766">
        <f t="shared" si="0"/>
        <v>803159.99999999988</v>
      </c>
      <c r="P37" s="4857"/>
      <c r="Q37" s="4858"/>
      <c r="R37" s="4864"/>
      <c r="S37" s="4858"/>
      <c r="T37" s="4859"/>
      <c r="U37" s="4860"/>
      <c r="AC37" s="4657"/>
    </row>
    <row r="38" spans="1:29" ht="33.75" customHeight="1" thickTop="1" thickBot="1">
      <c r="A38" s="4865" t="s">
        <v>127</v>
      </c>
      <c r="B38" s="4866"/>
      <c r="C38" s="4866"/>
      <c r="D38" s="4866"/>
      <c r="E38" s="4866"/>
      <c r="F38" s="4867">
        <f>SUM(F8:F37)</f>
        <v>315</v>
      </c>
      <c r="G38" s="4866"/>
      <c r="H38" s="4868"/>
      <c r="I38" s="4782">
        <f>COUNTA(G8,G10,G12,G14,G16,G18,G20,G22,G24,G26,G28,G30,G32,G34,G36)</f>
        <v>15</v>
      </c>
      <c r="J38" s="4869"/>
      <c r="K38" s="4870"/>
      <c r="L38" s="4870"/>
      <c r="M38" s="4870"/>
      <c r="N38" s="4871">
        <f>SUM(N8:N37)</f>
        <v>22528845</v>
      </c>
      <c r="O38" s="4871">
        <f>SUM(O8:O37)</f>
        <v>281320245</v>
      </c>
      <c r="P38" s="4872"/>
      <c r="Q38" s="4872"/>
      <c r="R38" s="4873"/>
      <c r="S38" s="4874"/>
      <c r="T38" s="4873"/>
      <c r="U38" s="4875"/>
      <c r="AC38" s="4657"/>
    </row>
    <row r="39" spans="1:29" ht="33.75" customHeight="1" thickBot="1">
      <c r="A39" s="4876" t="s">
        <v>5792</v>
      </c>
      <c r="B39" s="4877"/>
      <c r="C39" s="4878"/>
      <c r="D39" s="4878"/>
      <c r="E39" s="4878"/>
      <c r="F39" s="4879"/>
      <c r="G39" s="4878"/>
      <c r="H39" s="4880"/>
      <c r="I39" s="4878"/>
      <c r="J39" s="4881"/>
      <c r="K39" s="4881"/>
      <c r="L39" s="4881"/>
      <c r="M39" s="4881"/>
      <c r="N39" s="4882"/>
      <c r="O39" s="4883">
        <f>O38*1.1+SUM(U8:U37)*20</f>
        <v>311762269.5</v>
      </c>
      <c r="P39" s="4884"/>
      <c r="Q39" s="4885"/>
      <c r="R39" s="4886"/>
      <c r="S39" s="4887"/>
      <c r="T39" s="4886"/>
      <c r="U39" s="4888"/>
      <c r="AC39" s="4657"/>
    </row>
    <row r="40" spans="1:29" ht="27" customHeight="1">
      <c r="A40" s="4656"/>
      <c r="B40" s="4660"/>
      <c r="C40" s="4660"/>
      <c r="D40" s="4660"/>
      <c r="G40" s="4660"/>
      <c r="H40" s="4660"/>
      <c r="O40" s="4656"/>
      <c r="P40" s="4657"/>
      <c r="Q40" s="4657"/>
      <c r="AC40" s="4657"/>
    </row>
    <row r="41" spans="1:29" ht="27" customHeight="1">
      <c r="A41" s="4656"/>
      <c r="B41" s="4660"/>
      <c r="C41" s="4660"/>
      <c r="D41" s="4660"/>
      <c r="G41" s="4660"/>
      <c r="H41" s="4660"/>
      <c r="O41" s="4889"/>
      <c r="P41" s="4657"/>
      <c r="Q41" s="4657"/>
      <c r="AC41" s="4657"/>
    </row>
    <row r="42" spans="1:29" ht="33.75" customHeight="1" thickBot="1">
      <c r="A42" s="4737" t="s">
        <v>5836</v>
      </c>
      <c r="B42" s="4657"/>
      <c r="C42" s="4657"/>
      <c r="D42" s="4657"/>
      <c r="G42" s="4657"/>
      <c r="H42" s="4657"/>
      <c r="O42" s="4656"/>
      <c r="P42" s="4656"/>
      <c r="Q42" s="4657"/>
      <c r="AC42" s="4657"/>
    </row>
    <row r="43" spans="1:29" s="4738" customFormat="1" ht="33.75" customHeight="1">
      <c r="A43" s="6893" t="s">
        <v>5713</v>
      </c>
      <c r="B43" s="6882" t="s">
        <v>5757</v>
      </c>
      <c r="C43" s="6882" t="s">
        <v>5758</v>
      </c>
      <c r="D43" s="6882" t="s">
        <v>5759</v>
      </c>
      <c r="E43" s="6882" t="s">
        <v>5760</v>
      </c>
      <c r="F43" s="6895" t="s">
        <v>5761</v>
      </c>
      <c r="G43" s="6882" t="s">
        <v>5762</v>
      </c>
      <c r="H43" s="6897" t="s">
        <v>5763</v>
      </c>
      <c r="I43" s="6882" t="s">
        <v>5764</v>
      </c>
      <c r="J43" s="6895" t="s">
        <v>5765</v>
      </c>
      <c r="K43" s="6888" t="s">
        <v>5766</v>
      </c>
      <c r="L43" s="6888" t="s">
        <v>5767</v>
      </c>
      <c r="M43" s="6888" t="s">
        <v>5768</v>
      </c>
      <c r="N43" s="6882" t="s">
        <v>5811</v>
      </c>
      <c r="O43" s="6884" t="s">
        <v>5812</v>
      </c>
      <c r="P43" s="6886" t="s">
        <v>5771</v>
      </c>
      <c r="Q43" s="6887"/>
      <c r="R43" s="6888" t="s">
        <v>5772</v>
      </c>
      <c r="S43" s="6889"/>
      <c r="T43" s="6889"/>
      <c r="U43" s="6890"/>
    </row>
    <row r="44" spans="1:29" s="4738" customFormat="1" ht="33.75" customHeight="1" thickBot="1">
      <c r="A44" s="6894"/>
      <c r="B44" s="6883"/>
      <c r="C44" s="6883"/>
      <c r="D44" s="6883"/>
      <c r="E44" s="6883"/>
      <c r="F44" s="6896"/>
      <c r="G44" s="6883"/>
      <c r="H44" s="6898"/>
      <c r="I44" s="6883"/>
      <c r="J44" s="6896"/>
      <c r="K44" s="6892"/>
      <c r="L44" s="6892"/>
      <c r="M44" s="6892"/>
      <c r="N44" s="6883"/>
      <c r="O44" s="6885"/>
      <c r="P44" s="4739" t="s">
        <v>5773</v>
      </c>
      <c r="Q44" s="4740" t="s">
        <v>5774</v>
      </c>
      <c r="R44" s="4740" t="s">
        <v>5775</v>
      </c>
      <c r="S44" s="4741" t="s">
        <v>5776</v>
      </c>
      <c r="T44" s="4740" t="s">
        <v>5777</v>
      </c>
      <c r="U44" s="4742" t="s">
        <v>5778</v>
      </c>
    </row>
    <row r="45" spans="1:29" s="4666" customFormat="1" ht="33.75" customHeight="1">
      <c r="A45" s="4743" t="s">
        <v>5779</v>
      </c>
      <c r="B45" s="4744">
        <v>46280</v>
      </c>
      <c r="C45" s="4744">
        <v>46300</v>
      </c>
      <c r="D45" s="4745">
        <v>0.3125</v>
      </c>
      <c r="E45" s="4746">
        <v>0.89583333333333337</v>
      </c>
      <c r="F45" s="4747">
        <f>IF(OR(ISBLANK($B45), ISBLANK($C45)), 0, _xlfn.DAYS($C45, $B45) + 1)</f>
        <v>21</v>
      </c>
      <c r="G45" s="4890" t="s">
        <v>5780</v>
      </c>
      <c r="H45" s="4891">
        <v>3</v>
      </c>
      <c r="I45" s="4892" t="s">
        <v>5781</v>
      </c>
      <c r="J45" s="4893">
        <v>30</v>
      </c>
      <c r="K45" s="4894">
        <v>100</v>
      </c>
      <c r="L45" s="4894">
        <f>J45*K45</f>
        <v>3000</v>
      </c>
      <c r="M45" s="4895">
        <v>5</v>
      </c>
      <c r="N45" s="4896">
        <v>150000</v>
      </c>
      <c r="O45" s="4754">
        <f>F45*N45</f>
        <v>3150000</v>
      </c>
      <c r="P45" s="4897" t="s">
        <v>5782</v>
      </c>
      <c r="Q45" s="4898">
        <v>4</v>
      </c>
      <c r="R45" s="4898" t="s">
        <v>3804</v>
      </c>
      <c r="S45" s="4894" t="s">
        <v>246</v>
      </c>
      <c r="T45" s="4898" t="s">
        <v>2161</v>
      </c>
      <c r="U45" s="4899">
        <v>2000</v>
      </c>
    </row>
    <row r="46" spans="1:29" s="4666" customFormat="1" ht="33.75" customHeight="1">
      <c r="A46" s="4758">
        <v>1</v>
      </c>
      <c r="B46" s="4900">
        <v>46305</v>
      </c>
      <c r="C46" s="4900">
        <v>46320</v>
      </c>
      <c r="D46" s="4759">
        <v>0</v>
      </c>
      <c r="E46" s="4759">
        <v>1</v>
      </c>
      <c r="F46" s="4901">
        <v>18</v>
      </c>
      <c r="G46" s="4771" t="s">
        <v>5813</v>
      </c>
      <c r="H46" s="4762">
        <v>2</v>
      </c>
      <c r="I46" s="4763" t="s">
        <v>5814</v>
      </c>
      <c r="J46" s="4902">
        <v>22</v>
      </c>
      <c r="K46" s="4765">
        <v>37</v>
      </c>
      <c r="L46" s="4765">
        <v>840</v>
      </c>
      <c r="M46" s="4765">
        <v>7</v>
      </c>
      <c r="N46" s="4762">
        <v>4007520</v>
      </c>
      <c r="O46" s="4766">
        <f>F46*N46</f>
        <v>72135360</v>
      </c>
      <c r="P46" s="4857" t="s">
        <v>5815</v>
      </c>
      <c r="Q46" s="4858">
        <v>2</v>
      </c>
      <c r="R46" s="4859" t="s">
        <v>5815</v>
      </c>
      <c r="S46" s="4858">
        <v>35200</v>
      </c>
      <c r="T46" s="4859" t="s">
        <v>5816</v>
      </c>
      <c r="U46" s="4860">
        <v>7700</v>
      </c>
    </row>
    <row r="47" spans="1:29" s="4666" customFormat="1" ht="33.75" customHeight="1">
      <c r="A47" s="4758">
        <v>2</v>
      </c>
      <c r="B47" s="4900">
        <v>46321</v>
      </c>
      <c r="C47" s="4900">
        <v>46321</v>
      </c>
      <c r="D47" s="4759">
        <v>0</v>
      </c>
      <c r="E47" s="4759">
        <v>0.5</v>
      </c>
      <c r="F47" s="4901">
        <f>IF(OR(ISBLANK($B47), ISBLANK($C47)), 0, _xlfn.DAYS($C47, $B47) + 1)</f>
        <v>1</v>
      </c>
      <c r="G47" s="4771" t="s">
        <v>5813</v>
      </c>
      <c r="H47" s="4762">
        <v>2</v>
      </c>
      <c r="I47" s="4763" t="s">
        <v>5814</v>
      </c>
      <c r="J47" s="4902">
        <v>22</v>
      </c>
      <c r="K47" s="4765">
        <v>37</v>
      </c>
      <c r="L47" s="4765">
        <v>840</v>
      </c>
      <c r="M47" s="4765">
        <v>7</v>
      </c>
      <c r="N47" s="4762">
        <v>2709630</v>
      </c>
      <c r="O47" s="4766">
        <f t="shared" ref="O47:O75" si="2">F47*N47</f>
        <v>2709630</v>
      </c>
      <c r="P47" s="4857" t="s">
        <v>5815</v>
      </c>
      <c r="Q47" s="4858">
        <v>2</v>
      </c>
      <c r="R47" s="4859" t="s">
        <v>5815</v>
      </c>
      <c r="S47" s="4858"/>
      <c r="T47" s="4859" t="s">
        <v>5816</v>
      </c>
      <c r="U47" s="4860"/>
    </row>
    <row r="48" spans="1:29" s="4666" customFormat="1" ht="33.75" customHeight="1">
      <c r="A48" s="4758">
        <v>3</v>
      </c>
      <c r="B48" s="4900">
        <v>46305</v>
      </c>
      <c r="C48" s="4900">
        <v>46320</v>
      </c>
      <c r="D48" s="4759">
        <v>0</v>
      </c>
      <c r="E48" s="4759">
        <v>0</v>
      </c>
      <c r="F48" s="4901">
        <v>18</v>
      </c>
      <c r="G48" s="4771" t="s">
        <v>5817</v>
      </c>
      <c r="H48" s="4762">
        <v>2</v>
      </c>
      <c r="I48" s="4763" t="s">
        <v>5818</v>
      </c>
      <c r="J48" s="4902">
        <v>13</v>
      </c>
      <c r="K48" s="4765">
        <v>17</v>
      </c>
      <c r="L48" s="4765">
        <v>270</v>
      </c>
      <c r="M48" s="4765">
        <v>3.45</v>
      </c>
      <c r="N48" s="4762">
        <v>1185075</v>
      </c>
      <c r="O48" s="4766">
        <f t="shared" si="2"/>
        <v>21331350</v>
      </c>
      <c r="P48" s="4857" t="s">
        <v>3804</v>
      </c>
      <c r="Q48" s="4858">
        <v>0</v>
      </c>
      <c r="R48" s="4859" t="s">
        <v>5815</v>
      </c>
      <c r="S48" s="4858">
        <v>35200</v>
      </c>
      <c r="T48" s="4859" t="s">
        <v>5816</v>
      </c>
      <c r="U48" s="4860">
        <v>7700</v>
      </c>
    </row>
    <row r="49" spans="1:21" s="4666" customFormat="1" ht="33.75" customHeight="1">
      <c r="A49" s="4758">
        <v>4</v>
      </c>
      <c r="B49" s="4900">
        <v>46321</v>
      </c>
      <c r="C49" s="4900">
        <v>46321</v>
      </c>
      <c r="D49" s="4759">
        <v>0</v>
      </c>
      <c r="E49" s="4759">
        <v>0.5</v>
      </c>
      <c r="F49" s="4901">
        <f t="shared" ref="F49:F75" si="3">IF(OR(ISBLANK($B49), ISBLANK($C49)), 0, _xlfn.DAYS($C49, $B49) + 1)</f>
        <v>1</v>
      </c>
      <c r="G49" s="4771" t="s">
        <v>5817</v>
      </c>
      <c r="H49" s="4762">
        <v>2</v>
      </c>
      <c r="I49" s="4763" t="s">
        <v>5818</v>
      </c>
      <c r="J49" s="4902">
        <v>13</v>
      </c>
      <c r="K49" s="4765">
        <v>17</v>
      </c>
      <c r="L49" s="4765">
        <v>270</v>
      </c>
      <c r="M49" s="4765">
        <v>3.45</v>
      </c>
      <c r="N49" s="4762">
        <v>803159.99999999988</v>
      </c>
      <c r="O49" s="4766">
        <f>F49*N49</f>
        <v>803159.99999999988</v>
      </c>
      <c r="P49" s="4857" t="s">
        <v>3804</v>
      </c>
      <c r="Q49" s="4858">
        <v>0</v>
      </c>
      <c r="R49" s="4859" t="s">
        <v>5815</v>
      </c>
      <c r="S49" s="4858"/>
      <c r="T49" s="4859" t="s">
        <v>5816</v>
      </c>
      <c r="U49" s="4860"/>
    </row>
    <row r="50" spans="1:21" s="4666" customFormat="1" ht="33.75" customHeight="1">
      <c r="A50" s="4758">
        <v>5</v>
      </c>
      <c r="B50" s="4900">
        <v>46305</v>
      </c>
      <c r="C50" s="4900">
        <v>46320</v>
      </c>
      <c r="D50" s="4759">
        <v>0</v>
      </c>
      <c r="E50" s="4759">
        <v>0</v>
      </c>
      <c r="F50" s="4901">
        <v>18</v>
      </c>
      <c r="G50" s="4771" t="s">
        <v>5819</v>
      </c>
      <c r="H50" s="4762">
        <v>2</v>
      </c>
      <c r="I50" s="4763" t="s">
        <v>5818</v>
      </c>
      <c r="J50" s="4902">
        <v>13</v>
      </c>
      <c r="K50" s="4765">
        <v>10</v>
      </c>
      <c r="L50" s="4765">
        <v>170</v>
      </c>
      <c r="M50" s="4765">
        <v>3.45</v>
      </c>
      <c r="N50" s="4762">
        <v>627210</v>
      </c>
      <c r="O50" s="4766">
        <f t="shared" si="2"/>
        <v>11289780</v>
      </c>
      <c r="P50" s="4857" t="s">
        <v>3804</v>
      </c>
      <c r="Q50" s="4858">
        <v>0</v>
      </c>
      <c r="R50" s="4859" t="s">
        <v>5815</v>
      </c>
      <c r="S50" s="4858">
        <v>35200</v>
      </c>
      <c r="T50" s="4859" t="s">
        <v>5816</v>
      </c>
      <c r="U50" s="4860">
        <v>7700</v>
      </c>
    </row>
    <row r="51" spans="1:21" s="4666" customFormat="1" ht="33.75" customHeight="1">
      <c r="A51" s="4758">
        <v>6</v>
      </c>
      <c r="B51" s="4900">
        <v>46321</v>
      </c>
      <c r="C51" s="4900">
        <v>46321</v>
      </c>
      <c r="D51" s="4759">
        <v>0</v>
      </c>
      <c r="E51" s="4759">
        <v>0.5</v>
      </c>
      <c r="F51" s="4901">
        <f t="shared" si="3"/>
        <v>1</v>
      </c>
      <c r="G51" s="4771" t="s">
        <v>5819</v>
      </c>
      <c r="H51" s="4762">
        <v>2</v>
      </c>
      <c r="I51" s="4763" t="s">
        <v>5818</v>
      </c>
      <c r="J51" s="4902">
        <v>13</v>
      </c>
      <c r="K51" s="4765">
        <v>10</v>
      </c>
      <c r="L51" s="4765">
        <v>170</v>
      </c>
      <c r="M51" s="4765">
        <v>3.45</v>
      </c>
      <c r="N51" s="4762">
        <v>422279.99999999994</v>
      </c>
      <c r="O51" s="4766">
        <f t="shared" si="2"/>
        <v>422279.99999999994</v>
      </c>
      <c r="P51" s="4857" t="s">
        <v>3804</v>
      </c>
      <c r="Q51" s="4858">
        <v>0</v>
      </c>
      <c r="R51" s="4859" t="s">
        <v>5815</v>
      </c>
      <c r="S51" s="4858"/>
      <c r="T51" s="4859" t="s">
        <v>5816</v>
      </c>
      <c r="U51" s="4860"/>
    </row>
    <row r="52" spans="1:21" s="4666" customFormat="1" ht="33.75" customHeight="1">
      <c r="A52" s="4758">
        <v>7</v>
      </c>
      <c r="B52" s="4900">
        <v>46305</v>
      </c>
      <c r="C52" s="4900">
        <v>46320</v>
      </c>
      <c r="D52" s="4759">
        <v>0</v>
      </c>
      <c r="E52" s="4759">
        <v>0</v>
      </c>
      <c r="F52" s="4901">
        <v>18</v>
      </c>
      <c r="G52" s="4771" t="s">
        <v>5820</v>
      </c>
      <c r="H52" s="4762">
        <v>2</v>
      </c>
      <c r="I52" s="4763" t="s">
        <v>5818</v>
      </c>
      <c r="J52" s="4902">
        <v>6</v>
      </c>
      <c r="K52" s="4765">
        <v>13</v>
      </c>
      <c r="L52" s="4765">
        <v>100</v>
      </c>
      <c r="M52" s="4765">
        <v>3.45</v>
      </c>
      <c r="N52" s="4762">
        <v>416069.99999999994</v>
      </c>
      <c r="O52" s="4766">
        <f t="shared" si="2"/>
        <v>7489259.9999999991</v>
      </c>
      <c r="P52" s="4857" t="s">
        <v>3804</v>
      </c>
      <c r="Q52" s="4858">
        <v>0</v>
      </c>
      <c r="R52" s="4859" t="s">
        <v>5815</v>
      </c>
      <c r="S52" s="4858">
        <v>35200</v>
      </c>
      <c r="T52" s="4859" t="s">
        <v>5816</v>
      </c>
      <c r="U52" s="4860">
        <v>7700</v>
      </c>
    </row>
    <row r="53" spans="1:21" s="4666" customFormat="1" ht="33.75" customHeight="1">
      <c r="A53" s="4758">
        <v>8</v>
      </c>
      <c r="B53" s="4900">
        <v>46321</v>
      </c>
      <c r="C53" s="4900">
        <v>46321</v>
      </c>
      <c r="D53" s="4759">
        <v>0</v>
      </c>
      <c r="E53" s="4759">
        <v>0.5</v>
      </c>
      <c r="F53" s="4901">
        <f t="shared" si="3"/>
        <v>1</v>
      </c>
      <c r="G53" s="4771" t="s">
        <v>5820</v>
      </c>
      <c r="H53" s="4762">
        <v>2</v>
      </c>
      <c r="I53" s="4763" t="s">
        <v>5818</v>
      </c>
      <c r="J53" s="4902">
        <v>6</v>
      </c>
      <c r="K53" s="4765">
        <v>13</v>
      </c>
      <c r="L53" s="4765">
        <v>100</v>
      </c>
      <c r="M53" s="4765">
        <v>3.45</v>
      </c>
      <c r="N53" s="4762">
        <v>276345</v>
      </c>
      <c r="O53" s="4766">
        <f t="shared" si="2"/>
        <v>276345</v>
      </c>
      <c r="P53" s="4857" t="s">
        <v>3804</v>
      </c>
      <c r="Q53" s="4858">
        <v>0</v>
      </c>
      <c r="R53" s="4859" t="s">
        <v>5815</v>
      </c>
      <c r="S53" s="4858"/>
      <c r="T53" s="4859" t="s">
        <v>5816</v>
      </c>
      <c r="U53" s="4860"/>
    </row>
    <row r="54" spans="1:21" s="4666" customFormat="1" ht="33.75" customHeight="1">
      <c r="A54" s="4758">
        <v>9</v>
      </c>
      <c r="B54" s="4900">
        <v>46305</v>
      </c>
      <c r="C54" s="4900">
        <v>46320</v>
      </c>
      <c r="D54" s="4759">
        <v>0</v>
      </c>
      <c r="E54" s="4759">
        <v>0</v>
      </c>
      <c r="F54" s="4901">
        <v>18</v>
      </c>
      <c r="G54" s="4771" t="s">
        <v>5053</v>
      </c>
      <c r="H54" s="4762">
        <v>3</v>
      </c>
      <c r="I54" s="4763" t="s">
        <v>5818</v>
      </c>
      <c r="J54" s="4902">
        <v>13</v>
      </c>
      <c r="K54" s="4765">
        <v>17</v>
      </c>
      <c r="L54" s="4765">
        <v>270</v>
      </c>
      <c r="M54" s="4765">
        <v>3.45</v>
      </c>
      <c r="N54" s="4762">
        <v>1185075</v>
      </c>
      <c r="O54" s="4766">
        <f t="shared" si="2"/>
        <v>21331350</v>
      </c>
      <c r="P54" s="4857" t="s">
        <v>3804</v>
      </c>
      <c r="Q54" s="4858">
        <v>0</v>
      </c>
      <c r="R54" s="4859" t="s">
        <v>5815</v>
      </c>
      <c r="S54" s="4858">
        <v>35200</v>
      </c>
      <c r="T54" s="4859" t="s">
        <v>5816</v>
      </c>
      <c r="U54" s="4860">
        <v>7700</v>
      </c>
    </row>
    <row r="55" spans="1:21" s="4666" customFormat="1" ht="33.75" customHeight="1">
      <c r="A55" s="4758">
        <v>10</v>
      </c>
      <c r="B55" s="4900">
        <v>46321</v>
      </c>
      <c r="C55" s="4900">
        <v>46321</v>
      </c>
      <c r="D55" s="4759">
        <v>0</v>
      </c>
      <c r="E55" s="4759">
        <v>0.5</v>
      </c>
      <c r="F55" s="4901">
        <f t="shared" si="3"/>
        <v>1</v>
      </c>
      <c r="G55" s="4771" t="s">
        <v>5053</v>
      </c>
      <c r="H55" s="4762">
        <v>3</v>
      </c>
      <c r="I55" s="4763" t="s">
        <v>5818</v>
      </c>
      <c r="J55" s="4902">
        <v>13</v>
      </c>
      <c r="K55" s="4765">
        <v>17</v>
      </c>
      <c r="L55" s="4765">
        <v>270</v>
      </c>
      <c r="M55" s="4765">
        <v>3.45</v>
      </c>
      <c r="N55" s="4762">
        <v>803159.99999999988</v>
      </c>
      <c r="O55" s="4766">
        <f t="shared" si="2"/>
        <v>803159.99999999988</v>
      </c>
      <c r="P55" s="4857" t="s">
        <v>3804</v>
      </c>
      <c r="Q55" s="4858">
        <v>0</v>
      </c>
      <c r="R55" s="4859" t="s">
        <v>5815</v>
      </c>
      <c r="S55" s="4858"/>
      <c r="T55" s="4859" t="s">
        <v>5816</v>
      </c>
      <c r="U55" s="4860"/>
    </row>
    <row r="56" spans="1:21" s="4666" customFormat="1" ht="33.75" customHeight="1">
      <c r="A56" s="4758">
        <v>11</v>
      </c>
      <c r="B56" s="4900">
        <v>46305</v>
      </c>
      <c r="C56" s="4900">
        <v>46320</v>
      </c>
      <c r="D56" s="4759">
        <v>0</v>
      </c>
      <c r="E56" s="4759">
        <v>0</v>
      </c>
      <c r="F56" s="4901">
        <v>18</v>
      </c>
      <c r="G56" s="4771" t="s">
        <v>5821</v>
      </c>
      <c r="H56" s="4762">
        <v>3</v>
      </c>
      <c r="I56" s="4763" t="s">
        <v>5818</v>
      </c>
      <c r="J56" s="4902">
        <v>13</v>
      </c>
      <c r="K56" s="4765">
        <v>13</v>
      </c>
      <c r="L56" s="4765">
        <v>230</v>
      </c>
      <c r="M56" s="4765">
        <v>3.45</v>
      </c>
      <c r="N56" s="4762">
        <v>860084.99999999988</v>
      </c>
      <c r="O56" s="4766">
        <f t="shared" si="2"/>
        <v>15481529.999999998</v>
      </c>
      <c r="P56" s="4857" t="s">
        <v>3804</v>
      </c>
      <c r="Q56" s="4858">
        <v>0</v>
      </c>
      <c r="R56" s="4859" t="s">
        <v>5815</v>
      </c>
      <c r="S56" s="4858">
        <v>35200</v>
      </c>
      <c r="T56" s="4859" t="s">
        <v>5816</v>
      </c>
      <c r="U56" s="4860">
        <v>7700</v>
      </c>
    </row>
    <row r="57" spans="1:21" s="4666" customFormat="1" ht="33.75" customHeight="1">
      <c r="A57" s="4758">
        <v>12</v>
      </c>
      <c r="B57" s="4900">
        <v>46321</v>
      </c>
      <c r="C57" s="4900">
        <v>46321</v>
      </c>
      <c r="D57" s="4759">
        <v>0</v>
      </c>
      <c r="E57" s="4759">
        <v>0.5</v>
      </c>
      <c r="F57" s="4901">
        <f t="shared" si="3"/>
        <v>1</v>
      </c>
      <c r="G57" s="4771" t="s">
        <v>5821</v>
      </c>
      <c r="H57" s="4762">
        <v>3</v>
      </c>
      <c r="I57" s="4763" t="s">
        <v>5818</v>
      </c>
      <c r="J57" s="4902">
        <v>13</v>
      </c>
      <c r="K57" s="4765">
        <v>13</v>
      </c>
      <c r="L57" s="4765">
        <v>230</v>
      </c>
      <c r="M57" s="4765">
        <v>3.45</v>
      </c>
      <c r="N57" s="4762">
        <v>336375</v>
      </c>
      <c r="O57" s="4766">
        <f t="shared" si="2"/>
        <v>336375</v>
      </c>
      <c r="P57" s="4857" t="s">
        <v>3804</v>
      </c>
      <c r="Q57" s="4858">
        <v>0</v>
      </c>
      <c r="R57" s="4859" t="s">
        <v>5815</v>
      </c>
      <c r="S57" s="4858"/>
      <c r="T57" s="4859" t="s">
        <v>5816</v>
      </c>
      <c r="U57" s="4860"/>
    </row>
    <row r="58" spans="1:21" s="4666" customFormat="1" ht="33.75" customHeight="1">
      <c r="A58" s="4758">
        <v>13</v>
      </c>
      <c r="B58" s="4900">
        <v>46305</v>
      </c>
      <c r="C58" s="4900">
        <v>46320</v>
      </c>
      <c r="D58" s="4759">
        <v>0</v>
      </c>
      <c r="E58" s="4759">
        <v>0</v>
      </c>
      <c r="F58" s="4901">
        <v>18</v>
      </c>
      <c r="G58" s="4771" t="s">
        <v>5822</v>
      </c>
      <c r="H58" s="4762">
        <v>3</v>
      </c>
      <c r="I58" s="4763" t="s">
        <v>5818</v>
      </c>
      <c r="J58" s="4902">
        <v>11</v>
      </c>
      <c r="K58" s="4765">
        <v>14</v>
      </c>
      <c r="L58" s="4765">
        <v>180</v>
      </c>
      <c r="M58" s="4765">
        <v>3.6</v>
      </c>
      <c r="N58" s="4762">
        <v>627210</v>
      </c>
      <c r="O58" s="4766">
        <f t="shared" si="2"/>
        <v>11289780</v>
      </c>
      <c r="P58" s="4857" t="s">
        <v>3804</v>
      </c>
      <c r="Q58" s="4858">
        <v>0</v>
      </c>
      <c r="R58" s="4859" t="s">
        <v>5815</v>
      </c>
      <c r="S58" s="4858">
        <v>35200</v>
      </c>
      <c r="T58" s="4859" t="s">
        <v>5816</v>
      </c>
      <c r="U58" s="4860">
        <v>7700</v>
      </c>
    </row>
    <row r="59" spans="1:21" s="4666" customFormat="1" ht="33.75" customHeight="1">
      <c r="A59" s="4758">
        <v>14</v>
      </c>
      <c r="B59" s="4900">
        <v>46321</v>
      </c>
      <c r="C59" s="4900">
        <v>46321</v>
      </c>
      <c r="D59" s="4759">
        <v>0</v>
      </c>
      <c r="E59" s="4759">
        <v>0.5</v>
      </c>
      <c r="F59" s="4901">
        <f t="shared" si="3"/>
        <v>1</v>
      </c>
      <c r="G59" s="4771" t="s">
        <v>5822</v>
      </c>
      <c r="H59" s="4762">
        <v>3</v>
      </c>
      <c r="I59" s="4763" t="s">
        <v>5818</v>
      </c>
      <c r="J59" s="4902">
        <v>11</v>
      </c>
      <c r="K59" s="4765">
        <v>14</v>
      </c>
      <c r="L59" s="4765">
        <v>180</v>
      </c>
      <c r="M59" s="4765">
        <v>3.6</v>
      </c>
      <c r="N59" s="4762">
        <v>422279.99999999994</v>
      </c>
      <c r="O59" s="4766">
        <f t="shared" si="2"/>
        <v>422279.99999999994</v>
      </c>
      <c r="P59" s="4857" t="s">
        <v>3804</v>
      </c>
      <c r="Q59" s="4858">
        <v>0</v>
      </c>
      <c r="R59" s="4859" t="s">
        <v>5815</v>
      </c>
      <c r="S59" s="4858"/>
      <c r="T59" s="4859" t="s">
        <v>5816</v>
      </c>
      <c r="U59" s="4860"/>
    </row>
    <row r="60" spans="1:21" s="4666" customFormat="1" ht="33.75" customHeight="1">
      <c r="A60" s="4758">
        <v>15</v>
      </c>
      <c r="B60" s="4900">
        <v>46305</v>
      </c>
      <c r="C60" s="4900">
        <v>46320</v>
      </c>
      <c r="D60" s="4759">
        <v>0</v>
      </c>
      <c r="E60" s="4759">
        <v>0</v>
      </c>
      <c r="F60" s="4901">
        <f t="shared" si="3"/>
        <v>16</v>
      </c>
      <c r="G60" s="4771" t="s">
        <v>5823</v>
      </c>
      <c r="H60" s="4762">
        <v>3</v>
      </c>
      <c r="I60" s="4763" t="s">
        <v>5818</v>
      </c>
      <c r="J60" s="4902">
        <v>6</v>
      </c>
      <c r="K60" s="4765">
        <v>13</v>
      </c>
      <c r="L60" s="4765">
        <v>100</v>
      </c>
      <c r="M60" s="4765">
        <v>3.45</v>
      </c>
      <c r="N60" s="4762">
        <v>416069.99999999994</v>
      </c>
      <c r="O60" s="4766">
        <f t="shared" si="2"/>
        <v>6657119.9999999991</v>
      </c>
      <c r="P60" s="4857" t="s">
        <v>3804</v>
      </c>
      <c r="Q60" s="4858">
        <v>0</v>
      </c>
      <c r="R60" s="4859" t="s">
        <v>5815</v>
      </c>
      <c r="S60" s="4858">
        <v>35200</v>
      </c>
      <c r="T60" s="4859" t="s">
        <v>5816</v>
      </c>
      <c r="U60" s="4860">
        <v>7700</v>
      </c>
    </row>
    <row r="61" spans="1:21" s="4666" customFormat="1" ht="33.75" customHeight="1">
      <c r="A61" s="4758">
        <v>16</v>
      </c>
      <c r="B61" s="4900">
        <v>46321</v>
      </c>
      <c r="C61" s="4900">
        <v>46321</v>
      </c>
      <c r="D61" s="4759">
        <v>0</v>
      </c>
      <c r="E61" s="4759">
        <v>0.5</v>
      </c>
      <c r="F61" s="4901">
        <v>18</v>
      </c>
      <c r="G61" s="4771" t="s">
        <v>5823</v>
      </c>
      <c r="H61" s="4762">
        <v>3</v>
      </c>
      <c r="I61" s="4763" t="s">
        <v>5818</v>
      </c>
      <c r="J61" s="4902">
        <v>6</v>
      </c>
      <c r="K61" s="4765">
        <v>13</v>
      </c>
      <c r="L61" s="4765">
        <v>100</v>
      </c>
      <c r="M61" s="4765">
        <v>3.45</v>
      </c>
      <c r="N61" s="4762">
        <v>276345</v>
      </c>
      <c r="O61" s="4766">
        <f t="shared" si="2"/>
        <v>4974210</v>
      </c>
      <c r="P61" s="4857" t="s">
        <v>3804</v>
      </c>
      <c r="Q61" s="4858">
        <v>0</v>
      </c>
      <c r="R61" s="4859" t="s">
        <v>5815</v>
      </c>
      <c r="S61" s="4858"/>
      <c r="T61" s="4859" t="s">
        <v>5816</v>
      </c>
      <c r="U61" s="4860"/>
    </row>
    <row r="62" spans="1:21" s="4666" customFormat="1" ht="33.75" customHeight="1">
      <c r="A62" s="4758">
        <v>17</v>
      </c>
      <c r="B62" s="4900">
        <v>46305</v>
      </c>
      <c r="C62" s="4900">
        <v>46320</v>
      </c>
      <c r="D62" s="4759">
        <v>0</v>
      </c>
      <c r="E62" s="4759">
        <v>0</v>
      </c>
      <c r="F62" s="4901">
        <v>18</v>
      </c>
      <c r="G62" s="4771" t="s">
        <v>5824</v>
      </c>
      <c r="H62" s="4762">
        <v>3</v>
      </c>
      <c r="I62" s="4763" t="s">
        <v>5818</v>
      </c>
      <c r="J62" s="4902">
        <v>6</v>
      </c>
      <c r="K62" s="4765">
        <v>4</v>
      </c>
      <c r="L62" s="4765">
        <v>90</v>
      </c>
      <c r="M62" s="4765">
        <v>3.6</v>
      </c>
      <c r="N62" s="4762">
        <v>336375</v>
      </c>
      <c r="O62" s="4766">
        <f t="shared" si="2"/>
        <v>6054750</v>
      </c>
      <c r="P62" s="4857" t="s">
        <v>3804</v>
      </c>
      <c r="Q62" s="4858">
        <v>0</v>
      </c>
      <c r="R62" s="4859" t="s">
        <v>5815</v>
      </c>
      <c r="S62" s="4858">
        <v>35200</v>
      </c>
      <c r="T62" s="4859" t="s">
        <v>5816</v>
      </c>
      <c r="U62" s="4860">
        <v>7700</v>
      </c>
    </row>
    <row r="63" spans="1:21" s="4666" customFormat="1" ht="33.75" customHeight="1">
      <c r="A63" s="4758">
        <v>18</v>
      </c>
      <c r="B63" s="4900">
        <v>46321</v>
      </c>
      <c r="C63" s="4900">
        <v>46321</v>
      </c>
      <c r="D63" s="4759">
        <v>0</v>
      </c>
      <c r="E63" s="4759">
        <v>0.5</v>
      </c>
      <c r="F63" s="4901">
        <f t="shared" si="3"/>
        <v>1</v>
      </c>
      <c r="G63" s="4771" t="s">
        <v>5824</v>
      </c>
      <c r="H63" s="4762">
        <v>3</v>
      </c>
      <c r="I63" s="4763" t="s">
        <v>5818</v>
      </c>
      <c r="J63" s="4902">
        <v>6</v>
      </c>
      <c r="K63" s="4765">
        <v>4</v>
      </c>
      <c r="L63" s="4765">
        <v>90</v>
      </c>
      <c r="M63" s="4765">
        <v>3.6</v>
      </c>
      <c r="N63" s="4762">
        <v>221489.99999999997</v>
      </c>
      <c r="O63" s="4766">
        <f t="shared" si="2"/>
        <v>221489.99999999997</v>
      </c>
      <c r="P63" s="4857" t="s">
        <v>3804</v>
      </c>
      <c r="Q63" s="4858">
        <v>0</v>
      </c>
      <c r="R63" s="4859" t="s">
        <v>5815</v>
      </c>
      <c r="S63" s="4858"/>
      <c r="T63" s="4859" t="s">
        <v>5816</v>
      </c>
      <c r="U63" s="4860"/>
    </row>
    <row r="64" spans="1:21" s="4666" customFormat="1" ht="33.75" customHeight="1">
      <c r="A64" s="4758">
        <v>19</v>
      </c>
      <c r="B64" s="4900">
        <v>46305</v>
      </c>
      <c r="C64" s="4900">
        <v>46320</v>
      </c>
      <c r="D64" s="4759">
        <v>0</v>
      </c>
      <c r="E64" s="4759">
        <v>0</v>
      </c>
      <c r="F64" s="4901">
        <v>18</v>
      </c>
      <c r="G64" s="4771" t="s">
        <v>5825</v>
      </c>
      <c r="H64" s="4762">
        <v>3</v>
      </c>
      <c r="I64" s="4763" t="s">
        <v>5818</v>
      </c>
      <c r="J64" s="4902">
        <v>11</v>
      </c>
      <c r="K64" s="4765">
        <v>13</v>
      </c>
      <c r="L64" s="4765">
        <v>170</v>
      </c>
      <c r="M64" s="4765">
        <v>3.15</v>
      </c>
      <c r="N64" s="4762">
        <v>577530</v>
      </c>
      <c r="O64" s="4766">
        <f t="shared" si="2"/>
        <v>10395540</v>
      </c>
      <c r="P64" s="4857" t="s">
        <v>3804</v>
      </c>
      <c r="Q64" s="4858">
        <v>0</v>
      </c>
      <c r="R64" s="4859" t="s">
        <v>5815</v>
      </c>
      <c r="S64" s="4858">
        <v>35200</v>
      </c>
      <c r="T64" s="4859" t="s">
        <v>5816</v>
      </c>
      <c r="U64" s="4860">
        <v>7700</v>
      </c>
    </row>
    <row r="65" spans="1:31" s="4666" customFormat="1" ht="33.75" customHeight="1">
      <c r="A65" s="4758">
        <v>20</v>
      </c>
      <c r="B65" s="4900">
        <v>46321</v>
      </c>
      <c r="C65" s="4900">
        <v>46321</v>
      </c>
      <c r="D65" s="4759">
        <v>0</v>
      </c>
      <c r="E65" s="4759">
        <v>0.5</v>
      </c>
      <c r="F65" s="4901">
        <f t="shared" si="3"/>
        <v>1</v>
      </c>
      <c r="G65" s="4771" t="s">
        <v>5825</v>
      </c>
      <c r="H65" s="4762">
        <v>3</v>
      </c>
      <c r="I65" s="4763" t="s">
        <v>5818</v>
      </c>
      <c r="J65" s="4902">
        <v>11</v>
      </c>
      <c r="K65" s="4765">
        <v>13</v>
      </c>
      <c r="L65" s="4765">
        <v>170</v>
      </c>
      <c r="M65" s="4765">
        <v>3.15</v>
      </c>
      <c r="N65" s="4762">
        <v>385019.99999999994</v>
      </c>
      <c r="O65" s="4766">
        <f t="shared" si="2"/>
        <v>385019.99999999994</v>
      </c>
      <c r="P65" s="4857" t="s">
        <v>3804</v>
      </c>
      <c r="Q65" s="4858">
        <v>0</v>
      </c>
      <c r="R65" s="4859" t="s">
        <v>5815</v>
      </c>
      <c r="S65" s="4858"/>
      <c r="T65" s="4859" t="s">
        <v>5816</v>
      </c>
      <c r="U65" s="4860"/>
    </row>
    <row r="66" spans="1:31" s="4666" customFormat="1" ht="33.75" customHeight="1">
      <c r="A66" s="4758">
        <v>21</v>
      </c>
      <c r="B66" s="4900">
        <v>46305</v>
      </c>
      <c r="C66" s="4900">
        <v>46320</v>
      </c>
      <c r="D66" s="4759">
        <v>0</v>
      </c>
      <c r="E66" s="4759">
        <v>0</v>
      </c>
      <c r="F66" s="4901">
        <v>18</v>
      </c>
      <c r="G66" s="4771" t="s">
        <v>5826</v>
      </c>
      <c r="H66" s="4762" t="s">
        <v>5827</v>
      </c>
      <c r="I66" s="4763" t="s">
        <v>5818</v>
      </c>
      <c r="J66" s="4902">
        <v>7</v>
      </c>
      <c r="K66" s="4765">
        <v>14</v>
      </c>
      <c r="L66" s="4765">
        <v>140</v>
      </c>
      <c r="M66" s="4765">
        <v>3</v>
      </c>
      <c r="N66" s="4762">
        <v>519570</v>
      </c>
      <c r="O66" s="4766">
        <f t="shared" si="2"/>
        <v>9352260</v>
      </c>
      <c r="P66" s="4857" t="s">
        <v>3804</v>
      </c>
      <c r="Q66" s="4858">
        <v>0</v>
      </c>
      <c r="R66" s="4859" t="s">
        <v>3804</v>
      </c>
      <c r="S66" s="4858">
        <v>0</v>
      </c>
      <c r="T66" s="4859" t="s">
        <v>5816</v>
      </c>
      <c r="U66" s="4860">
        <v>7700</v>
      </c>
    </row>
    <row r="67" spans="1:31" ht="33.75" customHeight="1">
      <c r="A67" s="4758">
        <v>22</v>
      </c>
      <c r="B67" s="4900">
        <v>46321</v>
      </c>
      <c r="C67" s="4900">
        <v>46321</v>
      </c>
      <c r="D67" s="4759">
        <v>0</v>
      </c>
      <c r="E67" s="4759">
        <v>0.5</v>
      </c>
      <c r="F67" s="4901">
        <f t="shared" si="3"/>
        <v>1</v>
      </c>
      <c r="G67" s="4771" t="s">
        <v>5826</v>
      </c>
      <c r="H67" s="4762" t="s">
        <v>5827</v>
      </c>
      <c r="I67" s="4763" t="s">
        <v>5818</v>
      </c>
      <c r="J67" s="4902">
        <v>7</v>
      </c>
      <c r="K67" s="4765">
        <v>14</v>
      </c>
      <c r="L67" s="4765">
        <v>140</v>
      </c>
      <c r="M67" s="4765">
        <v>3</v>
      </c>
      <c r="N67" s="4762">
        <v>342584.99999999994</v>
      </c>
      <c r="O67" s="4766">
        <f t="shared" si="2"/>
        <v>342584.99999999994</v>
      </c>
      <c r="P67" s="4857" t="s">
        <v>3804</v>
      </c>
      <c r="Q67" s="4858">
        <v>0</v>
      </c>
      <c r="R67" s="4859" t="s">
        <v>3804</v>
      </c>
      <c r="S67" s="4858">
        <v>0</v>
      </c>
      <c r="T67" s="4859" t="s">
        <v>5816</v>
      </c>
      <c r="U67" s="4860"/>
      <c r="AC67" s="4657"/>
    </row>
    <row r="68" spans="1:31" ht="33.75" customHeight="1">
      <c r="A68" s="4758">
        <v>23</v>
      </c>
      <c r="B68" s="4900">
        <v>46305</v>
      </c>
      <c r="C68" s="4900">
        <v>46320</v>
      </c>
      <c r="D68" s="4759">
        <v>0</v>
      </c>
      <c r="E68" s="4759">
        <v>0</v>
      </c>
      <c r="F68" s="4901">
        <v>18</v>
      </c>
      <c r="G68" s="4771" t="s">
        <v>5829</v>
      </c>
      <c r="H68" s="4762">
        <v>4</v>
      </c>
      <c r="I68" s="4763" t="s">
        <v>5830</v>
      </c>
      <c r="J68" s="4902">
        <v>7</v>
      </c>
      <c r="K68" s="4765">
        <v>8</v>
      </c>
      <c r="L68" s="4765">
        <v>70</v>
      </c>
      <c r="M68" s="4765">
        <v>3</v>
      </c>
      <c r="N68" s="4762">
        <v>1196460</v>
      </c>
      <c r="O68" s="4766">
        <f>F68*N68</f>
        <v>21536280</v>
      </c>
      <c r="P68" s="4857" t="s">
        <v>3804</v>
      </c>
      <c r="Q68" s="4858">
        <v>0</v>
      </c>
      <c r="R68" s="4859" t="s">
        <v>3804</v>
      </c>
      <c r="S68" s="4858">
        <v>0</v>
      </c>
      <c r="T68" s="4859" t="s">
        <v>5816</v>
      </c>
      <c r="U68" s="4860">
        <v>7700</v>
      </c>
      <c r="AC68" s="4657"/>
    </row>
    <row r="69" spans="1:31" ht="33.75" customHeight="1">
      <c r="A69" s="4758">
        <v>24</v>
      </c>
      <c r="B69" s="4900">
        <v>46321</v>
      </c>
      <c r="C69" s="4900">
        <v>46321</v>
      </c>
      <c r="D69" s="4759">
        <v>0</v>
      </c>
      <c r="E69" s="4759">
        <v>0.5</v>
      </c>
      <c r="F69" s="4901">
        <f t="shared" si="3"/>
        <v>1</v>
      </c>
      <c r="G69" s="4771" t="s">
        <v>5829</v>
      </c>
      <c r="H69" s="4762">
        <v>4</v>
      </c>
      <c r="I69" s="4763" t="s">
        <v>5830</v>
      </c>
      <c r="J69" s="4902">
        <v>7</v>
      </c>
      <c r="K69" s="4765">
        <v>8</v>
      </c>
      <c r="L69" s="4765">
        <v>70</v>
      </c>
      <c r="M69" s="4765">
        <v>3</v>
      </c>
      <c r="N69" s="4762">
        <v>786599.99999999988</v>
      </c>
      <c r="O69" s="4766">
        <f t="shared" si="2"/>
        <v>786599.99999999988</v>
      </c>
      <c r="P69" s="4857" t="s">
        <v>3804</v>
      </c>
      <c r="Q69" s="4858">
        <v>0</v>
      </c>
      <c r="R69" s="4859" t="s">
        <v>3804</v>
      </c>
      <c r="S69" s="4858">
        <v>0</v>
      </c>
      <c r="T69" s="4859" t="s">
        <v>5816</v>
      </c>
      <c r="U69" s="4860"/>
      <c r="AC69" s="4657"/>
    </row>
    <row r="70" spans="1:31" ht="33.75" customHeight="1">
      <c r="A70" s="4758">
        <v>25</v>
      </c>
      <c r="B70" s="4900">
        <v>46305</v>
      </c>
      <c r="C70" s="4900">
        <v>46320</v>
      </c>
      <c r="D70" s="4759">
        <v>0</v>
      </c>
      <c r="E70" s="4759">
        <v>0</v>
      </c>
      <c r="F70" s="4901">
        <v>18</v>
      </c>
      <c r="G70" s="4771" t="s">
        <v>5831</v>
      </c>
      <c r="H70" s="4762" t="s">
        <v>5827</v>
      </c>
      <c r="I70" s="4763" t="s">
        <v>5832</v>
      </c>
      <c r="J70" s="4902" t="s">
        <v>5833</v>
      </c>
      <c r="K70" s="4765" t="s">
        <v>5833</v>
      </c>
      <c r="L70" s="4765" t="s">
        <v>2602</v>
      </c>
      <c r="M70" s="4765">
        <v>2.85</v>
      </c>
      <c r="N70" s="4762">
        <v>213209.99999999997</v>
      </c>
      <c r="O70" s="4766">
        <f t="shared" si="2"/>
        <v>3837779.9999999995</v>
      </c>
      <c r="P70" s="4857" t="s">
        <v>3804</v>
      </c>
      <c r="Q70" s="4858">
        <v>0</v>
      </c>
      <c r="R70" s="4859" t="s">
        <v>3804</v>
      </c>
      <c r="S70" s="4858">
        <v>0</v>
      </c>
      <c r="T70" s="4859" t="s">
        <v>5816</v>
      </c>
      <c r="U70" s="4860">
        <v>7700</v>
      </c>
      <c r="AC70" s="4657"/>
    </row>
    <row r="71" spans="1:31" ht="33.75" customHeight="1">
      <c r="A71" s="4758">
        <v>26</v>
      </c>
      <c r="B71" s="4900">
        <v>46321</v>
      </c>
      <c r="C71" s="4900">
        <v>46321</v>
      </c>
      <c r="D71" s="4759">
        <v>0</v>
      </c>
      <c r="E71" s="4759">
        <v>0.5</v>
      </c>
      <c r="F71" s="4901">
        <f t="shared" si="3"/>
        <v>1</v>
      </c>
      <c r="G71" s="4771" t="s">
        <v>5831</v>
      </c>
      <c r="H71" s="4762" t="s">
        <v>5827</v>
      </c>
      <c r="I71" s="4763" t="s">
        <v>5832</v>
      </c>
      <c r="J71" s="4902" t="s">
        <v>5833</v>
      </c>
      <c r="K71" s="4765" t="s">
        <v>5833</v>
      </c>
      <c r="L71" s="4765" t="s">
        <v>2602</v>
      </c>
      <c r="M71" s="4765">
        <v>2.85</v>
      </c>
      <c r="N71" s="4762">
        <v>141795</v>
      </c>
      <c r="O71" s="4766">
        <f t="shared" si="2"/>
        <v>141795</v>
      </c>
      <c r="P71" s="4857" t="s">
        <v>3804</v>
      </c>
      <c r="Q71" s="4858">
        <v>0</v>
      </c>
      <c r="R71" s="4859" t="s">
        <v>3804</v>
      </c>
      <c r="S71" s="4858">
        <v>0</v>
      </c>
      <c r="T71" s="4859" t="s">
        <v>5816</v>
      </c>
      <c r="U71" s="4860"/>
      <c r="AC71" s="4657"/>
    </row>
    <row r="72" spans="1:31" ht="33.75" customHeight="1">
      <c r="A72" s="4758">
        <v>27</v>
      </c>
      <c r="B72" s="4900">
        <v>46305</v>
      </c>
      <c r="C72" s="4900">
        <v>46320</v>
      </c>
      <c r="D72" s="4759">
        <v>0</v>
      </c>
      <c r="E72" s="4759">
        <v>0</v>
      </c>
      <c r="F72" s="4901">
        <v>18</v>
      </c>
      <c r="G72" s="4771" t="s">
        <v>5834</v>
      </c>
      <c r="H72" s="4762" t="s">
        <v>5827</v>
      </c>
      <c r="I72" s="4763" t="s">
        <v>5830</v>
      </c>
      <c r="J72" s="4902">
        <v>9</v>
      </c>
      <c r="K72" s="4765">
        <v>6</v>
      </c>
      <c r="L72" s="4765">
        <v>61</v>
      </c>
      <c r="M72" s="4765">
        <v>3.1</v>
      </c>
      <c r="N72" s="4762">
        <v>268065</v>
      </c>
      <c r="O72" s="4766">
        <f t="shared" si="2"/>
        <v>4825170</v>
      </c>
      <c r="P72" s="4857" t="s">
        <v>3804</v>
      </c>
      <c r="Q72" s="4858">
        <v>0</v>
      </c>
      <c r="R72" s="4859" t="s">
        <v>3804</v>
      </c>
      <c r="S72" s="4858">
        <v>0</v>
      </c>
      <c r="T72" s="4859" t="s">
        <v>5816</v>
      </c>
      <c r="U72" s="4860">
        <v>7700</v>
      </c>
      <c r="AC72" s="4657"/>
    </row>
    <row r="73" spans="1:31" ht="33.75" customHeight="1">
      <c r="A73" s="4758">
        <v>28</v>
      </c>
      <c r="B73" s="4900">
        <v>46321</v>
      </c>
      <c r="C73" s="4900">
        <v>46321</v>
      </c>
      <c r="D73" s="4759">
        <v>0</v>
      </c>
      <c r="E73" s="4759">
        <v>0.5</v>
      </c>
      <c r="F73" s="4901">
        <f t="shared" si="3"/>
        <v>1</v>
      </c>
      <c r="G73" s="4771" t="s">
        <v>5834</v>
      </c>
      <c r="H73" s="4762" t="s">
        <v>5827</v>
      </c>
      <c r="I73" s="4763" t="s">
        <v>5830</v>
      </c>
      <c r="J73" s="4902">
        <v>9</v>
      </c>
      <c r="K73" s="4765">
        <v>6</v>
      </c>
      <c r="L73" s="4765">
        <v>61</v>
      </c>
      <c r="M73" s="4765">
        <v>3.1</v>
      </c>
      <c r="N73" s="4762">
        <v>178019.99999999997</v>
      </c>
      <c r="O73" s="4766">
        <f t="shared" si="2"/>
        <v>178019.99999999997</v>
      </c>
      <c r="P73" s="4857" t="s">
        <v>3804</v>
      </c>
      <c r="Q73" s="4858">
        <v>0</v>
      </c>
      <c r="R73" s="4859" t="s">
        <v>3804</v>
      </c>
      <c r="S73" s="4858">
        <v>0</v>
      </c>
      <c r="T73" s="4859" t="s">
        <v>5816</v>
      </c>
      <c r="U73" s="4860"/>
      <c r="AC73" s="4657"/>
    </row>
    <row r="74" spans="1:31" ht="33.75" customHeight="1">
      <c r="A74" s="4758">
        <v>29</v>
      </c>
      <c r="B74" s="4900">
        <v>46305</v>
      </c>
      <c r="C74" s="4900">
        <v>46320</v>
      </c>
      <c r="D74" s="4759">
        <v>0</v>
      </c>
      <c r="E74" s="4759">
        <v>0</v>
      </c>
      <c r="F74" s="4901">
        <v>18</v>
      </c>
      <c r="G74" s="4771" t="s">
        <v>5835</v>
      </c>
      <c r="H74" s="4762">
        <v>1</v>
      </c>
      <c r="I74" s="4763" t="s">
        <v>5818</v>
      </c>
      <c r="J74" s="4902">
        <v>12</v>
      </c>
      <c r="K74" s="4765">
        <v>18</v>
      </c>
      <c r="L74" s="4765">
        <v>280</v>
      </c>
      <c r="M74" s="4765">
        <v>3.43</v>
      </c>
      <c r="N74" s="4762">
        <v>1185075</v>
      </c>
      <c r="O74" s="4766">
        <f t="shared" si="2"/>
        <v>21331350</v>
      </c>
      <c r="P74" s="4857" t="s">
        <v>3804</v>
      </c>
      <c r="Q74" s="4858">
        <v>0</v>
      </c>
      <c r="R74" s="4859" t="s">
        <v>3804</v>
      </c>
      <c r="S74" s="4858">
        <v>0</v>
      </c>
      <c r="T74" s="4859" t="s">
        <v>5816</v>
      </c>
      <c r="U74" s="4860">
        <v>7700</v>
      </c>
      <c r="AC74" s="4657"/>
    </row>
    <row r="75" spans="1:31" ht="33.75" customHeight="1" thickBot="1">
      <c r="A75" s="4758">
        <v>30</v>
      </c>
      <c r="B75" s="4900">
        <v>46321</v>
      </c>
      <c r="C75" s="4900">
        <v>46321</v>
      </c>
      <c r="D75" s="4759">
        <v>0</v>
      </c>
      <c r="E75" s="4759">
        <v>0.5</v>
      </c>
      <c r="F75" s="4901">
        <f t="shared" si="3"/>
        <v>1</v>
      </c>
      <c r="G75" s="4771" t="s">
        <v>5835</v>
      </c>
      <c r="H75" s="4762">
        <v>1</v>
      </c>
      <c r="I75" s="4763" t="s">
        <v>5818</v>
      </c>
      <c r="J75" s="4902">
        <v>12</v>
      </c>
      <c r="K75" s="4765">
        <v>18</v>
      </c>
      <c r="L75" s="4765">
        <v>280</v>
      </c>
      <c r="M75" s="4765">
        <v>3.43</v>
      </c>
      <c r="N75" s="4762">
        <v>803159.99999999988</v>
      </c>
      <c r="O75" s="4766">
        <f t="shared" si="2"/>
        <v>803159.99999999988</v>
      </c>
      <c r="P75" s="4857" t="s">
        <v>3804</v>
      </c>
      <c r="Q75" s="4858">
        <v>0</v>
      </c>
      <c r="R75" s="4859" t="s">
        <v>3804</v>
      </c>
      <c r="S75" s="4858">
        <v>0</v>
      </c>
      <c r="T75" s="4859" t="s">
        <v>5816</v>
      </c>
      <c r="U75" s="4860"/>
      <c r="AC75" s="4657"/>
    </row>
    <row r="76" spans="1:31" ht="33.75" customHeight="1" thickTop="1" thickBot="1">
      <c r="A76" s="4865" t="s">
        <v>127</v>
      </c>
      <c r="B76" s="4866"/>
      <c r="C76" s="4866"/>
      <c r="D76" s="4866"/>
      <c r="E76" s="4866"/>
      <c r="F76" s="4867">
        <f>SUM(F46:F75)</f>
        <v>300</v>
      </c>
      <c r="G76" s="4866"/>
      <c r="H76" s="4868"/>
      <c r="I76" s="4782">
        <f>COUNTA(G46,G48,G50,G52,G54,G56,G58,G60,G62,G64,G66,G68,G70,G72,G74)</f>
        <v>15</v>
      </c>
      <c r="J76" s="4870"/>
      <c r="K76" s="4870"/>
      <c r="L76" s="4870"/>
      <c r="M76" s="4870"/>
      <c r="N76" s="4903"/>
      <c r="O76" s="4871">
        <f>SUM(O46:O75)</f>
        <v>257944770</v>
      </c>
      <c r="P76" s="4904"/>
      <c r="Q76" s="4904"/>
      <c r="R76" s="4905"/>
      <c r="S76" s="4906"/>
      <c r="T76" s="4905"/>
      <c r="U76" s="4907"/>
      <c r="AC76" s="4657"/>
    </row>
    <row r="77" spans="1:31" ht="33.75" customHeight="1" thickBot="1">
      <c r="A77" s="4876" t="s">
        <v>5792</v>
      </c>
      <c r="B77" s="4877"/>
      <c r="C77" s="4878"/>
      <c r="D77" s="4878"/>
      <c r="E77" s="4878"/>
      <c r="F77" s="4879"/>
      <c r="G77" s="4878"/>
      <c r="H77" s="4880"/>
      <c r="I77" s="4878"/>
      <c r="J77" s="4881"/>
      <c r="K77" s="4881"/>
      <c r="L77" s="4881"/>
      <c r="M77" s="4881"/>
      <c r="N77" s="4882"/>
      <c r="O77" s="4908">
        <f>O76*1.1+SUM(U46:U75)*19</f>
        <v>285933747</v>
      </c>
      <c r="P77" s="4884"/>
      <c r="Q77" s="4885"/>
      <c r="R77" s="4886"/>
      <c r="S77" s="4887"/>
      <c r="T77" s="4886"/>
      <c r="U77" s="4888"/>
      <c r="AC77" s="4657"/>
    </row>
    <row r="78" spans="1:31" ht="32.15" customHeight="1">
      <c r="A78" s="4656"/>
      <c r="B78" s="4660"/>
      <c r="C78" s="4660"/>
      <c r="D78" s="4660"/>
      <c r="G78" s="4660"/>
      <c r="H78" s="4660"/>
      <c r="O78" s="4656"/>
      <c r="P78" s="4657"/>
      <c r="Q78" s="4657"/>
      <c r="AC78" s="4657"/>
    </row>
    <row r="79" spans="1:31" ht="32.15" customHeight="1">
      <c r="B79" s="4657"/>
      <c r="C79" s="4657"/>
      <c r="D79" s="4657"/>
      <c r="E79" s="4810"/>
      <c r="F79" s="4811"/>
      <c r="G79" s="4657"/>
      <c r="H79" s="4657"/>
      <c r="O79" s="4889"/>
      <c r="P79" s="4657"/>
      <c r="Q79" s="4657"/>
      <c r="AC79" s="4657"/>
    </row>
    <row r="80" spans="1:31" ht="32.15" customHeight="1">
      <c r="A80" s="4812"/>
      <c r="B80" s="4813"/>
      <c r="C80" s="4813"/>
      <c r="D80" s="4813"/>
      <c r="E80" s="4814"/>
      <c r="F80" s="4814"/>
      <c r="G80" s="4813"/>
      <c r="H80" s="4813"/>
      <c r="I80" s="4812"/>
      <c r="J80" s="4812"/>
      <c r="K80" s="4812"/>
      <c r="L80" s="4812"/>
      <c r="M80" s="4812"/>
      <c r="N80" s="4812"/>
      <c r="O80" s="4715"/>
      <c r="P80" s="4715"/>
      <c r="Q80" s="4715"/>
      <c r="R80" s="4656"/>
      <c r="S80" s="4812"/>
      <c r="T80" s="4656"/>
      <c r="U80" s="4812"/>
      <c r="W80" s="6905"/>
      <c r="X80" s="6905"/>
      <c r="Y80" s="6905"/>
      <c r="Z80" s="6905"/>
      <c r="AA80" s="6905"/>
      <c r="AB80" s="6891"/>
      <c r="AC80" s="6891"/>
      <c r="AD80" s="6891"/>
      <c r="AE80" s="6891"/>
    </row>
    <row r="81" spans="2:29" ht="36" customHeight="1"/>
    <row r="82" spans="2:29" ht="36" customHeight="1"/>
    <row r="83" spans="2:29" ht="36" customHeight="1"/>
    <row r="84" spans="2:29" ht="36" customHeight="1"/>
    <row r="85" spans="2:29" ht="36" customHeight="1"/>
    <row r="86" spans="2:29" ht="36" customHeight="1"/>
    <row r="87" spans="2:29" ht="36" customHeight="1"/>
    <row r="88" spans="2:29" ht="36" customHeight="1"/>
    <row r="89" spans="2:29" ht="36" customHeight="1"/>
    <row r="90" spans="2:29" ht="36" customHeight="1"/>
    <row r="91" spans="2:29" ht="10.15" customHeight="1">
      <c r="B91" s="4657"/>
      <c r="C91" s="4657"/>
      <c r="D91" s="4657"/>
      <c r="G91" s="4657"/>
      <c r="H91" s="4657"/>
      <c r="O91" s="4656"/>
      <c r="P91" s="4657"/>
      <c r="Q91" s="4657"/>
      <c r="AC91" s="4657"/>
    </row>
  </sheetData>
  <mergeCells count="38">
    <mergeCell ref="A2:B2"/>
    <mergeCell ref="C2:G2"/>
    <mergeCell ref="A5:A6"/>
    <mergeCell ref="B5:B6"/>
    <mergeCell ref="C5:C6"/>
    <mergeCell ref="D5:D6"/>
    <mergeCell ref="E5:E6"/>
    <mergeCell ref="F5:F6"/>
    <mergeCell ref="G5:G6"/>
    <mergeCell ref="F43:F44"/>
    <mergeCell ref="H5:H6"/>
    <mergeCell ref="I5:I6"/>
    <mergeCell ref="J5:J6"/>
    <mergeCell ref="K5:K6"/>
    <mergeCell ref="G43:G44"/>
    <mergeCell ref="H43:H44"/>
    <mergeCell ref="I43:I44"/>
    <mergeCell ref="J43:J44"/>
    <mergeCell ref="K43:K44"/>
    <mergeCell ref="A43:A44"/>
    <mergeCell ref="B43:B44"/>
    <mergeCell ref="C43:C44"/>
    <mergeCell ref="D43:D44"/>
    <mergeCell ref="E43:E44"/>
    <mergeCell ref="L43:L44"/>
    <mergeCell ref="N5:N6"/>
    <mergeCell ref="O5:O6"/>
    <mergeCell ref="P5:Q5"/>
    <mergeCell ref="R5:U5"/>
    <mergeCell ref="L5:L6"/>
    <mergeCell ref="M5:M6"/>
    <mergeCell ref="AB80:AE80"/>
    <mergeCell ref="M43:M44"/>
    <mergeCell ref="N43:N44"/>
    <mergeCell ref="O43:O44"/>
    <mergeCell ref="P43:Q43"/>
    <mergeCell ref="R43:U43"/>
    <mergeCell ref="W80:AA80"/>
  </mergeCells>
  <phoneticPr fontId="2"/>
  <conditionalFormatting sqref="B8:E37">
    <cfRule type="containsBlanks" dxfId="858" priority="1">
      <formula>LEN(TRIM(B8))=0</formula>
    </cfRule>
  </conditionalFormatting>
  <conditionalFormatting sqref="C2:D2">
    <cfRule type="containsBlanks" dxfId="857" priority="3">
      <formula>LEN(TRIM(C2))=0</formula>
    </cfRule>
  </conditionalFormatting>
  <conditionalFormatting sqref="G8:N8 P8:U37 G9:M9 G10:N10 G11:M11 G12:N12 G13:M13 G14:N14 G15:M15 G16:N16 G17:M17 G18:N18 G19:M19 G20:N20 G21:M21 G22:N22 G23:M23 G24:N24 G25:M25 G26:N26 G27:M27 G28:N28 G29:M29 G30:N30 G31:M31 G32:N32 G33:M33 G34:N34 G35:M35 G36:N37 B46:E75 G46:K75 M46:N75 P46:U75">
    <cfRule type="containsBlanks" dxfId="856" priority="2">
      <formula>LEN(TRIM(B8))=0</formula>
    </cfRule>
  </conditionalFormatting>
  <dataValidations count="1">
    <dataValidation type="list" allowBlank="1" showInputMessage="1" showErrorMessage="1" sqref="I45:I75 I7:I37" xr:uid="{7EC4ADD1-342F-40F0-BEDD-527CABC5A8E3}">
      <formula1>会場形態</formula1>
    </dataValidation>
  </dataValidations>
  <printOptions horizontalCentered="1"/>
  <pageMargins left="0.59055118110236227" right="0.59055118110236227" top="0.74803149606299213" bottom="0.74803149606299213" header="0.31496062992125984" footer="0.31496062992125984"/>
  <pageSetup paperSize="8" scale="43" orientation="portrait" r:id="rId1"/>
  <headerFooter>
    <oddHeader>&amp;R&amp;G</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8D0C-4169-449D-8493-53F9D776562C}">
  <sheetPr codeName="Sheet316">
    <tabColor rgb="FFFFFF66"/>
    <pageSetUpPr fitToPage="1"/>
  </sheetPr>
  <dimension ref="A1:AE52"/>
  <sheetViews>
    <sheetView topLeftCell="A22" zoomScale="55" zoomScaleNormal="55" workbookViewId="0">
      <selection activeCell="C12" sqref="C12"/>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2516</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I4" s="4657" t="s">
        <v>5839</v>
      </c>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46273</v>
      </c>
      <c r="C8" s="4816">
        <v>46291</v>
      </c>
      <c r="D8" s="4759"/>
      <c r="E8" s="4759"/>
      <c r="F8" s="4760">
        <v>1</v>
      </c>
      <c r="G8" s="4761" t="s">
        <v>5840</v>
      </c>
      <c r="H8" s="4762">
        <v>4</v>
      </c>
      <c r="I8" s="4763" t="s">
        <v>5841</v>
      </c>
      <c r="J8" s="4764"/>
      <c r="K8" s="4765"/>
      <c r="L8" s="4765"/>
      <c r="M8" s="4765"/>
      <c r="N8" s="4762">
        <v>898455</v>
      </c>
      <c r="O8" s="4766">
        <f>F8*N8</f>
        <v>898455</v>
      </c>
      <c r="P8" s="4857"/>
      <c r="Q8" s="4858"/>
      <c r="R8" s="4864"/>
      <c r="S8" s="4858"/>
      <c r="T8" s="4859"/>
      <c r="U8" s="4860"/>
    </row>
    <row r="9" spans="1:31" ht="33.75" customHeight="1">
      <c r="A9" s="4758">
        <v>2</v>
      </c>
      <c r="B9" s="4816">
        <v>46273</v>
      </c>
      <c r="C9" s="4816">
        <v>46291</v>
      </c>
      <c r="D9" s="4759"/>
      <c r="E9" s="4759"/>
      <c r="F9" s="4760">
        <v>1</v>
      </c>
      <c r="G9" s="4761" t="s">
        <v>5842</v>
      </c>
      <c r="H9" s="4762">
        <v>4</v>
      </c>
      <c r="I9" s="4763" t="s">
        <v>5841</v>
      </c>
      <c r="J9" s="4902"/>
      <c r="K9" s="4765"/>
      <c r="L9" s="4765"/>
      <c r="M9" s="4765"/>
      <c r="N9" s="4762">
        <v>1456505</v>
      </c>
      <c r="O9" s="4766">
        <f t="shared" ref="O9:O10" si="1">F9*N9</f>
        <v>1456505</v>
      </c>
      <c r="P9" s="4857"/>
      <c r="Q9" s="4858"/>
      <c r="R9" s="4864"/>
      <c r="S9" s="4858"/>
      <c r="T9" s="4859"/>
      <c r="U9" s="4860"/>
      <c r="AC9" s="4657"/>
    </row>
    <row r="10" spans="1:31" ht="33.75" customHeight="1">
      <c r="A10" s="4758">
        <v>3</v>
      </c>
      <c r="B10" s="4816">
        <v>46273</v>
      </c>
      <c r="C10" s="4816">
        <v>46291</v>
      </c>
      <c r="D10" s="4759"/>
      <c r="E10" s="4759"/>
      <c r="F10" s="4760">
        <v>1</v>
      </c>
      <c r="G10" s="4761" t="s">
        <v>5843</v>
      </c>
      <c r="H10" s="4762" t="s">
        <v>5844</v>
      </c>
      <c r="I10" s="4763" t="s">
        <v>5841</v>
      </c>
      <c r="J10" s="4764"/>
      <c r="K10" s="4765"/>
      <c r="L10" s="4765"/>
      <c r="M10" s="4765"/>
      <c r="N10" s="4762">
        <v>1500000</v>
      </c>
      <c r="O10" s="4766">
        <f t="shared" si="1"/>
        <v>1500000</v>
      </c>
      <c r="P10" s="4909"/>
      <c r="Q10" s="4858"/>
      <c r="R10" s="4864"/>
      <c r="S10" s="4858"/>
      <c r="T10" s="4859"/>
      <c r="U10" s="4860"/>
      <c r="AC10" s="4657"/>
    </row>
    <row r="11" spans="1:31" ht="33.75" customHeight="1">
      <c r="A11" s="4758">
        <v>4</v>
      </c>
      <c r="B11" s="4910"/>
      <c r="C11" s="4911"/>
      <c r="D11" s="4759"/>
      <c r="E11" s="4759"/>
      <c r="F11" s="4912"/>
      <c r="G11" s="4771"/>
      <c r="H11" s="4762"/>
      <c r="I11" s="4763"/>
      <c r="J11" s="4764"/>
      <c r="K11" s="4765"/>
      <c r="L11" s="4765"/>
      <c r="M11" s="4765"/>
      <c r="N11" s="4762"/>
      <c r="O11" s="4766">
        <f t="shared" ref="O11:O16" si="2">F11*N11*H11</f>
        <v>0</v>
      </c>
      <c r="P11" s="4857"/>
      <c r="Q11" s="4858"/>
      <c r="R11" s="4859"/>
      <c r="S11" s="4858"/>
      <c r="T11" s="4859"/>
      <c r="U11" s="4860"/>
      <c r="AC11" s="4657"/>
    </row>
    <row r="12" spans="1:31" ht="33.75" customHeight="1">
      <c r="A12" s="4758">
        <v>5</v>
      </c>
      <c r="B12" s="4910"/>
      <c r="C12" s="4911"/>
      <c r="D12" s="4759"/>
      <c r="E12" s="4759"/>
      <c r="F12" s="4912"/>
      <c r="G12" s="4771"/>
      <c r="H12" s="4762"/>
      <c r="I12" s="4763"/>
      <c r="J12" s="4764"/>
      <c r="K12" s="4765"/>
      <c r="L12" s="4765"/>
      <c r="M12" s="4765"/>
      <c r="N12" s="4762"/>
      <c r="O12" s="4766">
        <f t="shared" si="2"/>
        <v>0</v>
      </c>
      <c r="P12" s="4857"/>
      <c r="Q12" s="4858"/>
      <c r="R12" s="4859"/>
      <c r="S12" s="4858"/>
      <c r="T12" s="4859"/>
      <c r="U12" s="4860"/>
      <c r="AC12" s="4657"/>
    </row>
    <row r="13" spans="1:31" ht="33.75" customHeight="1">
      <c r="A13" s="4758">
        <v>6</v>
      </c>
      <c r="B13" s="4910"/>
      <c r="C13" s="4911"/>
      <c r="D13" s="4913"/>
      <c r="E13" s="4759"/>
      <c r="F13" s="4912"/>
      <c r="G13" s="4771"/>
      <c r="H13" s="4762"/>
      <c r="I13" s="4763"/>
      <c r="J13" s="4764"/>
      <c r="K13" s="4765"/>
      <c r="L13" s="4765"/>
      <c r="M13" s="4765"/>
      <c r="N13" s="4762"/>
      <c r="O13" s="4766">
        <f t="shared" si="2"/>
        <v>0</v>
      </c>
      <c r="P13" s="4857"/>
      <c r="Q13" s="4858"/>
      <c r="R13" s="4859"/>
      <c r="S13" s="4858"/>
      <c r="T13" s="4859"/>
      <c r="U13" s="4860"/>
      <c r="AC13" s="4657"/>
    </row>
    <row r="14" spans="1:31" ht="33.75" customHeight="1">
      <c r="A14" s="4758">
        <v>7</v>
      </c>
      <c r="B14" s="4910"/>
      <c r="C14" s="4911"/>
      <c r="D14" s="4913"/>
      <c r="E14" s="4759"/>
      <c r="F14" s="4912"/>
      <c r="G14" s="4771"/>
      <c r="H14" s="4762"/>
      <c r="I14" s="4763"/>
      <c r="J14" s="4764"/>
      <c r="K14" s="4765"/>
      <c r="L14" s="4765"/>
      <c r="M14" s="4765"/>
      <c r="N14" s="4762"/>
      <c r="O14" s="4766">
        <f t="shared" si="2"/>
        <v>0</v>
      </c>
      <c r="P14" s="4857"/>
      <c r="Q14" s="4858"/>
      <c r="R14" s="4859"/>
      <c r="S14" s="4858"/>
      <c r="T14" s="4859"/>
      <c r="U14" s="4860"/>
      <c r="AC14" s="4657"/>
    </row>
    <row r="15" spans="1:31" ht="33.75" customHeight="1">
      <c r="A15" s="4758">
        <v>8</v>
      </c>
      <c r="B15" s="4910"/>
      <c r="C15" s="4911"/>
      <c r="D15" s="4913"/>
      <c r="E15" s="4759"/>
      <c r="F15" s="4912"/>
      <c r="G15" s="4771"/>
      <c r="H15" s="4762"/>
      <c r="I15" s="4763"/>
      <c r="J15" s="4764"/>
      <c r="K15" s="4765"/>
      <c r="L15" s="4765"/>
      <c r="M15" s="4765"/>
      <c r="N15" s="4762"/>
      <c r="O15" s="4766">
        <f t="shared" si="2"/>
        <v>0</v>
      </c>
      <c r="P15" s="4857"/>
      <c r="Q15" s="4858"/>
      <c r="R15" s="4859"/>
      <c r="S15" s="4858"/>
      <c r="T15" s="4859"/>
      <c r="U15" s="4860"/>
      <c r="AC15" s="4657"/>
    </row>
    <row r="16" spans="1:31" ht="33.75" customHeight="1">
      <c r="A16" s="4758">
        <v>9</v>
      </c>
      <c r="B16" s="4910"/>
      <c r="C16" s="4911"/>
      <c r="D16" s="4913"/>
      <c r="E16" s="4759"/>
      <c r="F16" s="4912"/>
      <c r="G16" s="4771"/>
      <c r="H16" s="4762"/>
      <c r="I16" s="4763"/>
      <c r="J16" s="4764"/>
      <c r="K16" s="4765"/>
      <c r="L16" s="4765"/>
      <c r="M16" s="4765"/>
      <c r="N16" s="4762"/>
      <c r="O16" s="4766">
        <f t="shared" si="2"/>
        <v>0</v>
      </c>
      <c r="P16" s="4857"/>
      <c r="Q16" s="4858"/>
      <c r="R16" s="4859"/>
      <c r="S16" s="4858"/>
      <c r="T16" s="4859"/>
      <c r="U16" s="4860"/>
      <c r="AC16" s="4657"/>
    </row>
    <row r="17" spans="1:31" ht="33.75" customHeight="1" thickBot="1">
      <c r="A17" s="4772">
        <v>10</v>
      </c>
      <c r="B17" s="4910"/>
      <c r="C17" s="4911"/>
      <c r="D17" s="4914"/>
      <c r="E17" s="4915"/>
      <c r="F17" s="4916"/>
      <c r="G17" s="4773"/>
      <c r="H17" s="4917"/>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3</v>
      </c>
      <c r="G18" s="4779"/>
      <c r="H18" s="4781"/>
      <c r="I18" s="4782"/>
      <c r="J18" s="4783"/>
      <c r="K18" s="4784"/>
      <c r="L18" s="4784"/>
      <c r="M18" s="4784"/>
      <c r="N18" s="4785"/>
      <c r="O18" s="4922">
        <f>SUM(O8:O17)</f>
        <v>3854960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4240456</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v>0</v>
      </c>
      <c r="D21" s="4658" t="s">
        <v>5847</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SUM(O8:O10)*1.1</f>
        <v>4240456</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23.15" customHeight="1" thickBot="1">
      <c r="A25" s="4737" t="s">
        <v>5849</v>
      </c>
      <c r="B25" s="4657"/>
      <c r="C25" s="4657"/>
      <c r="D25" s="4657"/>
      <c r="G25" s="4657"/>
      <c r="H25" s="4657"/>
      <c r="I25" s="4657" t="s">
        <v>5839</v>
      </c>
      <c r="O25" s="4656"/>
      <c r="P25" s="4656"/>
      <c r="Q25" s="4657"/>
      <c r="AC25" s="4657"/>
    </row>
    <row r="26" spans="1:31" s="4738" customFormat="1" ht="33.75" customHeight="1">
      <c r="A26" s="6893" t="s">
        <v>5713</v>
      </c>
      <c r="B26" s="6882" t="s">
        <v>5757</v>
      </c>
      <c r="C26" s="6882" t="s">
        <v>5758</v>
      </c>
      <c r="D26" s="6882" t="s">
        <v>5759</v>
      </c>
      <c r="E26" s="6882" t="s">
        <v>5760</v>
      </c>
      <c r="F26" s="6895" t="s">
        <v>5761</v>
      </c>
      <c r="G26" s="6882" t="s">
        <v>5762</v>
      </c>
      <c r="H26" s="6897" t="s">
        <v>5763</v>
      </c>
      <c r="I26" s="6882" t="s">
        <v>5764</v>
      </c>
      <c r="J26" s="6895" t="s">
        <v>5765</v>
      </c>
      <c r="K26" s="6888" t="s">
        <v>5766</v>
      </c>
      <c r="L26" s="6888" t="s">
        <v>5767</v>
      </c>
      <c r="M26" s="6888" t="s">
        <v>5768</v>
      </c>
      <c r="N26" s="6882" t="s">
        <v>5811</v>
      </c>
      <c r="O26" s="6884" t="s">
        <v>5812</v>
      </c>
      <c r="P26" s="6886" t="s">
        <v>5771</v>
      </c>
      <c r="Q26" s="6887"/>
      <c r="R26" s="6888" t="s">
        <v>5772</v>
      </c>
      <c r="S26" s="6889"/>
      <c r="T26" s="6889"/>
      <c r="U26" s="6890"/>
    </row>
    <row r="27" spans="1:31"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31" s="4666" customFormat="1" ht="33.75" customHeight="1">
      <c r="A28" s="4743" t="s">
        <v>5779</v>
      </c>
      <c r="B28" s="4744">
        <v>46280</v>
      </c>
      <c r="C28" s="4744">
        <v>46300</v>
      </c>
      <c r="D28" s="4745">
        <v>0.3125</v>
      </c>
      <c r="E28" s="4746">
        <v>0.89583333333333337</v>
      </c>
      <c r="F28" s="4747">
        <f>IF(OR(ISBLANK($B28), ISBLANK($C28)), 0, _xlfn.DAYS($C28, $B28) + 1)</f>
        <v>21</v>
      </c>
      <c r="G28" s="4748" t="s">
        <v>5780</v>
      </c>
      <c r="H28" s="4749">
        <v>3</v>
      </c>
      <c r="I28" s="4747" t="s">
        <v>5781</v>
      </c>
      <c r="J28" s="4750">
        <v>30</v>
      </c>
      <c r="K28" s="4751">
        <v>100</v>
      </c>
      <c r="L28" s="4751">
        <f>J28*K28</f>
        <v>3000</v>
      </c>
      <c r="M28" s="4752">
        <v>5</v>
      </c>
      <c r="N28" s="4753">
        <v>150000</v>
      </c>
      <c r="O28" s="4754">
        <f t="shared" ref="O28:O31" si="3">F28*N28</f>
        <v>3150000</v>
      </c>
      <c r="P28" s="4755" t="s">
        <v>5782</v>
      </c>
      <c r="Q28" s="4756">
        <v>4</v>
      </c>
      <c r="R28" s="4756" t="s">
        <v>3804</v>
      </c>
      <c r="S28" s="4751" t="s">
        <v>246</v>
      </c>
      <c r="T28" s="4756" t="s">
        <v>2161</v>
      </c>
      <c r="U28" s="4757">
        <v>2000</v>
      </c>
    </row>
    <row r="29" spans="1:31" s="4666" customFormat="1" ht="33.75" customHeight="1">
      <c r="A29" s="4758">
        <v>1</v>
      </c>
      <c r="B29" s="4926">
        <v>46303</v>
      </c>
      <c r="C29" s="4926">
        <v>46322</v>
      </c>
      <c r="D29" s="4759"/>
      <c r="E29" s="4759"/>
      <c r="F29" s="4760">
        <v>1</v>
      </c>
      <c r="G29" s="4761" t="s">
        <v>5840</v>
      </c>
      <c r="H29" s="4762">
        <v>4</v>
      </c>
      <c r="I29" s="4763" t="s">
        <v>5841</v>
      </c>
      <c r="J29" s="4764"/>
      <c r="K29" s="4765"/>
      <c r="L29" s="4765"/>
      <c r="M29" s="4765"/>
      <c r="N29" s="4762">
        <v>898455</v>
      </c>
      <c r="O29" s="4766">
        <f t="shared" si="3"/>
        <v>898455</v>
      </c>
      <c r="P29" s="4857"/>
      <c r="Q29" s="4858"/>
      <c r="R29" s="4864"/>
      <c r="S29" s="4858"/>
      <c r="T29" s="4859"/>
      <c r="U29" s="4860"/>
    </row>
    <row r="30" spans="1:31" ht="33.75" customHeight="1">
      <c r="A30" s="4758">
        <v>2</v>
      </c>
      <c r="B30" s="4926">
        <v>46303</v>
      </c>
      <c r="C30" s="4926">
        <v>46322</v>
      </c>
      <c r="D30" s="4759"/>
      <c r="E30" s="4759"/>
      <c r="F30" s="4760">
        <v>1</v>
      </c>
      <c r="G30" s="4761" t="s">
        <v>5842</v>
      </c>
      <c r="H30" s="4762">
        <v>4</v>
      </c>
      <c r="I30" s="4763" t="s">
        <v>5841</v>
      </c>
      <c r="J30" s="4902"/>
      <c r="K30" s="4765"/>
      <c r="L30" s="4765"/>
      <c r="M30" s="4765"/>
      <c r="N30" s="4762">
        <v>1456505</v>
      </c>
      <c r="O30" s="4766">
        <f t="shared" si="3"/>
        <v>1456505</v>
      </c>
      <c r="P30" s="4857"/>
      <c r="Q30" s="4858"/>
      <c r="R30" s="4864"/>
      <c r="S30" s="4858"/>
      <c r="T30" s="4859"/>
      <c r="U30" s="4860"/>
      <c r="AC30" s="4657"/>
    </row>
    <row r="31" spans="1:31" ht="33.75" customHeight="1">
      <c r="A31" s="4758">
        <v>3</v>
      </c>
      <c r="B31" s="4926">
        <v>46303</v>
      </c>
      <c r="C31" s="4926">
        <v>46322</v>
      </c>
      <c r="D31" s="4759"/>
      <c r="E31" s="4759"/>
      <c r="F31" s="4760">
        <v>1</v>
      </c>
      <c r="G31" s="4761" t="s">
        <v>5843</v>
      </c>
      <c r="H31" s="4762" t="s">
        <v>5844</v>
      </c>
      <c r="I31" s="4763" t="s">
        <v>5841</v>
      </c>
      <c r="J31" s="4764"/>
      <c r="K31" s="4765"/>
      <c r="L31" s="4765"/>
      <c r="M31" s="4765"/>
      <c r="N31" s="4762">
        <v>1500000</v>
      </c>
      <c r="O31" s="4766">
        <f t="shared" si="3"/>
        <v>1500000</v>
      </c>
      <c r="P31" s="4909"/>
      <c r="Q31" s="4858"/>
      <c r="R31" s="4864"/>
      <c r="S31" s="4858"/>
      <c r="T31" s="4859"/>
      <c r="U31" s="4860"/>
      <c r="AC31" s="4657"/>
    </row>
    <row r="32" spans="1:31" ht="33.75" customHeight="1">
      <c r="A32" s="4758">
        <v>4</v>
      </c>
      <c r="B32" s="4910"/>
      <c r="C32" s="4911"/>
      <c r="D32" s="4759"/>
      <c r="E32" s="4759"/>
      <c r="F32" s="4912"/>
      <c r="G32" s="4771"/>
      <c r="H32" s="4762"/>
      <c r="I32" s="4763"/>
      <c r="J32" s="4764"/>
      <c r="K32" s="4765"/>
      <c r="L32" s="4765"/>
      <c r="M32" s="4765"/>
      <c r="N32" s="4762"/>
      <c r="O32" s="4766">
        <f t="shared" ref="O32:O37" si="4">F32*N32*H32</f>
        <v>0</v>
      </c>
      <c r="P32" s="4857"/>
      <c r="Q32" s="4858"/>
      <c r="R32" s="4859"/>
      <c r="S32" s="4858"/>
      <c r="T32" s="4859"/>
      <c r="U32" s="4860"/>
      <c r="AC32" s="4657"/>
    </row>
    <row r="33" spans="1:31" ht="33.75" customHeight="1">
      <c r="A33" s="4758">
        <v>5</v>
      </c>
      <c r="B33" s="4910"/>
      <c r="C33" s="4911"/>
      <c r="D33" s="4759"/>
      <c r="E33" s="4759"/>
      <c r="F33" s="4912"/>
      <c r="G33" s="4771"/>
      <c r="H33" s="4762"/>
      <c r="I33" s="4763"/>
      <c r="J33" s="4764"/>
      <c r="K33" s="4765"/>
      <c r="L33" s="4765"/>
      <c r="M33" s="4765"/>
      <c r="N33" s="4762"/>
      <c r="O33" s="4766">
        <f t="shared" si="4"/>
        <v>0</v>
      </c>
      <c r="P33" s="4857"/>
      <c r="Q33" s="4858"/>
      <c r="R33" s="4859"/>
      <c r="S33" s="4858"/>
      <c r="T33" s="4859"/>
      <c r="U33" s="4860"/>
      <c r="AC33" s="4657"/>
    </row>
    <row r="34" spans="1:31" ht="33.75" customHeight="1">
      <c r="A34" s="4758">
        <v>6</v>
      </c>
      <c r="B34" s="4910"/>
      <c r="C34" s="4911"/>
      <c r="D34" s="4913"/>
      <c r="E34" s="4759"/>
      <c r="F34" s="4912"/>
      <c r="G34" s="4771"/>
      <c r="H34" s="4762"/>
      <c r="I34" s="4763"/>
      <c r="J34" s="4764"/>
      <c r="K34" s="4765"/>
      <c r="L34" s="4765"/>
      <c r="M34" s="4765"/>
      <c r="N34" s="4762"/>
      <c r="O34" s="4766">
        <f t="shared" si="4"/>
        <v>0</v>
      </c>
      <c r="P34" s="4857"/>
      <c r="Q34" s="4858"/>
      <c r="R34" s="4859"/>
      <c r="S34" s="4858"/>
      <c r="T34" s="4859"/>
      <c r="U34" s="4860"/>
      <c r="AC34" s="4657"/>
    </row>
    <row r="35" spans="1:31" ht="33.75" customHeight="1">
      <c r="A35" s="4758">
        <v>7</v>
      </c>
      <c r="B35" s="4910"/>
      <c r="C35" s="4911"/>
      <c r="D35" s="4913"/>
      <c r="E35" s="4759"/>
      <c r="F35" s="4912"/>
      <c r="G35" s="4771"/>
      <c r="H35" s="4762"/>
      <c r="I35" s="4763"/>
      <c r="J35" s="4764"/>
      <c r="K35" s="4765"/>
      <c r="L35" s="4765"/>
      <c r="M35" s="4765"/>
      <c r="N35" s="4762"/>
      <c r="O35" s="4766">
        <f t="shared" si="4"/>
        <v>0</v>
      </c>
      <c r="P35" s="4857"/>
      <c r="Q35" s="4858"/>
      <c r="R35" s="4859"/>
      <c r="S35" s="4858"/>
      <c r="T35" s="4859"/>
      <c r="U35" s="4860"/>
      <c r="AC35" s="4657"/>
    </row>
    <row r="36" spans="1:31" ht="33.75" customHeight="1">
      <c r="A36" s="4758">
        <v>8</v>
      </c>
      <c r="B36" s="4910"/>
      <c r="C36" s="4911"/>
      <c r="D36" s="4913"/>
      <c r="E36" s="4759"/>
      <c r="F36" s="4912"/>
      <c r="G36" s="4771"/>
      <c r="H36" s="4762"/>
      <c r="I36" s="4763"/>
      <c r="J36" s="4764"/>
      <c r="K36" s="4765"/>
      <c r="L36" s="4765"/>
      <c r="M36" s="4765"/>
      <c r="N36" s="4762"/>
      <c r="O36" s="4766">
        <f t="shared" si="4"/>
        <v>0</v>
      </c>
      <c r="P36" s="4857"/>
      <c r="Q36" s="4858"/>
      <c r="R36" s="4859"/>
      <c r="S36" s="4858"/>
      <c r="T36" s="4859"/>
      <c r="U36" s="4860"/>
      <c r="AC36" s="4657"/>
    </row>
    <row r="37" spans="1:31" ht="33.75" customHeight="1">
      <c r="A37" s="4758">
        <v>9</v>
      </c>
      <c r="B37" s="4910"/>
      <c r="C37" s="4911"/>
      <c r="D37" s="4913"/>
      <c r="E37" s="4759"/>
      <c r="F37" s="4912"/>
      <c r="G37" s="4771"/>
      <c r="H37" s="4762"/>
      <c r="I37" s="4763"/>
      <c r="J37" s="4764"/>
      <c r="K37" s="4765"/>
      <c r="L37" s="4765"/>
      <c r="M37" s="4765"/>
      <c r="N37" s="4762"/>
      <c r="O37" s="4766">
        <f t="shared" si="4"/>
        <v>0</v>
      </c>
      <c r="P37" s="4857"/>
      <c r="Q37" s="4858"/>
      <c r="R37" s="4859"/>
      <c r="S37" s="4858"/>
      <c r="T37" s="4859"/>
      <c r="U37" s="4860"/>
      <c r="AC37" s="4657"/>
    </row>
    <row r="38" spans="1:31" ht="33.75" customHeight="1" thickBot="1">
      <c r="A38" s="4772">
        <v>10</v>
      </c>
      <c r="B38" s="4910"/>
      <c r="C38" s="4911"/>
      <c r="D38" s="4914"/>
      <c r="E38" s="4915"/>
      <c r="F38" s="4916"/>
      <c r="G38" s="4773"/>
      <c r="H38" s="4917"/>
      <c r="I38" s="4774"/>
      <c r="J38" s="4764"/>
      <c r="K38" s="4765"/>
      <c r="L38" s="4765"/>
      <c r="M38" s="4765"/>
      <c r="N38" s="4775"/>
      <c r="O38" s="4776">
        <f t="shared" ref="O38" si="5">F38*N38</f>
        <v>0</v>
      </c>
      <c r="P38" s="4918"/>
      <c r="Q38" s="4919"/>
      <c r="R38" s="4920"/>
      <c r="S38" s="4919"/>
      <c r="T38" s="4920"/>
      <c r="U38" s="4921"/>
      <c r="AC38" s="4657"/>
    </row>
    <row r="39" spans="1:31" ht="33.75" customHeight="1" thickTop="1" thickBot="1">
      <c r="A39" s="4778" t="s">
        <v>5845</v>
      </c>
      <c r="B39" s="4779"/>
      <c r="C39" s="4779"/>
      <c r="D39" s="4779"/>
      <c r="E39" s="4779"/>
      <c r="F39" s="4780">
        <f>SUM(F29:F38)</f>
        <v>3</v>
      </c>
      <c r="G39" s="4779"/>
      <c r="H39" s="4781"/>
      <c r="I39" s="4782"/>
      <c r="J39" s="4783"/>
      <c r="K39" s="4784"/>
      <c r="L39" s="4784"/>
      <c r="M39" s="4784"/>
      <c r="N39" s="4785"/>
      <c r="O39" s="4922">
        <f>SUM(O29:O38)</f>
        <v>3854960</v>
      </c>
      <c r="P39" s="4787"/>
      <c r="Q39" s="4787"/>
      <c r="R39" s="4788"/>
      <c r="S39" s="4789"/>
      <c r="T39" s="4788"/>
      <c r="U39" s="4790"/>
      <c r="AC39" s="4657"/>
    </row>
    <row r="40" spans="1:31" ht="33.75" customHeight="1" thickBot="1">
      <c r="A40" s="4876" t="s">
        <v>5792</v>
      </c>
      <c r="B40" s="4877"/>
      <c r="C40" s="4878"/>
      <c r="D40" s="4878"/>
      <c r="E40" s="4878"/>
      <c r="F40" s="4879"/>
      <c r="G40" s="4878"/>
      <c r="H40" s="4880"/>
      <c r="I40" s="4878"/>
      <c r="J40" s="4881"/>
      <c r="K40" s="4881"/>
      <c r="L40" s="4881"/>
      <c r="M40" s="4881"/>
      <c r="N40" s="4882"/>
      <c r="O40" s="4923">
        <f>O39*1.1</f>
        <v>4240456</v>
      </c>
      <c r="P40" s="4884"/>
      <c r="Q40" s="4885"/>
      <c r="R40" s="4886"/>
      <c r="S40" s="4887"/>
      <c r="T40" s="4886"/>
      <c r="U40" s="4888"/>
      <c r="AC40" s="4657"/>
    </row>
    <row r="41" spans="1:31" ht="33.75" customHeight="1" thickBot="1">
      <c r="A41" s="4656"/>
      <c r="B41" s="4660"/>
      <c r="C41" s="4660"/>
      <c r="D41" s="4660"/>
      <c r="G41" s="4660"/>
      <c r="H41" s="4660"/>
      <c r="O41" s="4656"/>
      <c r="P41" s="4657"/>
      <c r="Q41" s="4657"/>
      <c r="AC41" s="4657"/>
    </row>
    <row r="42" spans="1:31" ht="39.65" customHeight="1" thickBot="1">
      <c r="A42" s="6908" t="s">
        <v>5846</v>
      </c>
      <c r="B42" s="6909"/>
      <c r="C42" s="4924">
        <v>0</v>
      </c>
      <c r="D42" s="4658" t="s">
        <v>5847</v>
      </c>
      <c r="E42" s="4814"/>
      <c r="F42" s="4814"/>
      <c r="G42" s="4813"/>
      <c r="H42" s="4813"/>
      <c r="I42" s="4812"/>
      <c r="J42" s="4812"/>
      <c r="K42" s="4812"/>
      <c r="L42" s="4812"/>
      <c r="M42" s="4812"/>
      <c r="N42" s="4812"/>
      <c r="O42" s="4715"/>
      <c r="P42" s="4715"/>
      <c r="Q42" s="4715"/>
      <c r="R42" s="4656"/>
      <c r="S42" s="4812"/>
      <c r="T42" s="4656"/>
      <c r="U42" s="4812"/>
      <c r="W42" s="6905"/>
      <c r="X42" s="6905"/>
      <c r="Y42" s="6905"/>
      <c r="Z42" s="6905"/>
      <c r="AA42" s="6905"/>
      <c r="AB42" s="6891"/>
      <c r="AC42" s="6891"/>
      <c r="AD42" s="6891"/>
      <c r="AE42" s="6891"/>
    </row>
    <row r="43" spans="1:31" ht="36" customHeight="1" thickBot="1">
      <c r="A43" s="6906" t="s">
        <v>5848</v>
      </c>
      <c r="B43" s="6907"/>
      <c r="C43" s="4925">
        <f>SUM(O29:O31)*1.1</f>
        <v>4240456</v>
      </c>
    </row>
    <row r="44" spans="1:31" ht="33.75" customHeight="1">
      <c r="A44" s="4656"/>
      <c r="B44" s="4660"/>
      <c r="C44" s="4660"/>
      <c r="D44" s="4660"/>
      <c r="G44" s="4660"/>
      <c r="H44" s="4660"/>
      <c r="O44" s="4656"/>
      <c r="P44" s="4657"/>
      <c r="Q44" s="4657"/>
      <c r="AC44" s="4657"/>
    </row>
    <row r="45" spans="1:31" ht="36" customHeight="1"/>
    <row r="46" spans="1:31" ht="36" customHeight="1"/>
    <row r="47" spans="1:31" ht="36" customHeight="1"/>
    <row r="48" spans="1:31" ht="36" customHeight="1"/>
    <row r="49" spans="2:29" ht="36" customHeight="1"/>
    <row r="50" spans="2:29" ht="36" customHeight="1"/>
    <row r="51" spans="2:29" ht="36" customHeight="1"/>
    <row r="52" spans="2:29" ht="10.4" customHeight="1">
      <c r="B52" s="4657"/>
      <c r="C52" s="4657"/>
      <c r="D52" s="4657"/>
      <c r="G52" s="4657"/>
      <c r="H52" s="4657"/>
      <c r="O52" s="4656"/>
      <c r="P52" s="4657"/>
      <c r="Q52" s="4657"/>
      <c r="AC52" s="4657"/>
    </row>
  </sheetData>
  <mergeCells count="44">
    <mergeCell ref="A2:B2"/>
    <mergeCell ref="C2:G2"/>
    <mergeCell ref="A5:A6"/>
    <mergeCell ref="B5:B6"/>
    <mergeCell ref="C5:C6"/>
    <mergeCell ref="D5:D6"/>
    <mergeCell ref="E5:E6"/>
    <mergeCell ref="F5:F6"/>
    <mergeCell ref="G5:G6"/>
    <mergeCell ref="N5:N6"/>
    <mergeCell ref="O5:O6"/>
    <mergeCell ref="P5:Q5"/>
    <mergeCell ref="R5:U5"/>
    <mergeCell ref="A21:B21"/>
    <mergeCell ref="H5:H6"/>
    <mergeCell ref="I5:I6"/>
    <mergeCell ref="J5:J6"/>
    <mergeCell ref="K5:K6"/>
    <mergeCell ref="L5:L6"/>
    <mergeCell ref="M5:M6"/>
    <mergeCell ref="AB21:AE21"/>
    <mergeCell ref="A22:B22"/>
    <mergeCell ref="A26:A27"/>
    <mergeCell ref="B26:B27"/>
    <mergeCell ref="C26:C27"/>
    <mergeCell ref="D26:D27"/>
    <mergeCell ref="E26:E27"/>
    <mergeCell ref="F26:F27"/>
    <mergeCell ref="G26:G27"/>
    <mergeCell ref="H26:H27"/>
    <mergeCell ref="W21:AA21"/>
    <mergeCell ref="W42:AA42"/>
    <mergeCell ref="AB42:AE42"/>
    <mergeCell ref="I26:I27"/>
    <mergeCell ref="J26:J27"/>
    <mergeCell ref="K26:K27"/>
    <mergeCell ref="L26:L27"/>
    <mergeCell ref="M26:M27"/>
    <mergeCell ref="N26:N27"/>
    <mergeCell ref="A43:B43"/>
    <mergeCell ref="O26:O27"/>
    <mergeCell ref="P26:Q26"/>
    <mergeCell ref="R26:U26"/>
    <mergeCell ref="A42:B42"/>
  </mergeCells>
  <phoneticPr fontId="2"/>
  <conditionalFormatting sqref="B8:C10">
    <cfRule type="containsBlanks" dxfId="855" priority="4">
      <formula>LEN(TRIM(B8))=0</formula>
    </cfRule>
  </conditionalFormatting>
  <conditionalFormatting sqref="B29:C31">
    <cfRule type="containsBlanks" dxfId="854" priority="1">
      <formula>LEN(TRIM(B29))=0</formula>
    </cfRule>
  </conditionalFormatting>
  <conditionalFormatting sqref="C2:D2">
    <cfRule type="containsBlanks" dxfId="853" priority="7">
      <formula>LEN(TRIM(C2))=0</formula>
    </cfRule>
  </conditionalFormatting>
  <conditionalFormatting sqref="D8:E17">
    <cfRule type="containsBlanks" dxfId="852" priority="8">
      <formula>LEN(TRIM(D8))=0</formula>
    </cfRule>
  </conditionalFormatting>
  <conditionalFormatting sqref="D29:E38">
    <cfRule type="containsBlanks" dxfId="851" priority="5">
      <formula>LEN(TRIM(D29))=0</formula>
    </cfRule>
  </conditionalFormatting>
  <conditionalFormatting sqref="G8:N17">
    <cfRule type="containsBlanks" dxfId="850" priority="3">
      <formula>LEN(TRIM(G8))=0</formula>
    </cfRule>
  </conditionalFormatting>
  <conditionalFormatting sqref="G29:N38">
    <cfRule type="containsBlanks" dxfId="849" priority="2">
      <formula>LEN(TRIM(G29))=0</formula>
    </cfRule>
  </conditionalFormatting>
  <conditionalFormatting sqref="P8:U17">
    <cfRule type="containsBlanks" dxfId="848" priority="9">
      <formula>LEN(TRIM(P8))=0</formula>
    </cfRule>
  </conditionalFormatting>
  <conditionalFormatting sqref="P29:U38">
    <cfRule type="containsBlanks" dxfId="847" priority="6">
      <formula>LEN(TRIM(P29))=0</formula>
    </cfRule>
  </conditionalFormatting>
  <dataValidations count="1">
    <dataValidation type="list" allowBlank="1" showInputMessage="1" showErrorMessage="1" sqref="I7:I17 I28:I38" xr:uid="{608E447C-53E6-42C7-83C5-734A811F1081}">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7304-7618-4B78-ABAF-08551FB0E4EC}">
  <sheetPr codeName="Sheet317">
    <tabColor rgb="FFFFFF66"/>
    <pageSetUpPr fitToPage="1"/>
  </sheetPr>
  <dimension ref="A1:AG42"/>
  <sheetViews>
    <sheetView zoomScale="40" zoomScaleNormal="40" zoomScaleSheetLayoutView="70" workbookViewId="0">
      <selection activeCell="A25" sqref="A25:B29"/>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4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0.1796875" style="4657" customWidth="1"/>
    <col min="31" max="31" width="22.1796875" style="4657" customWidth="1"/>
    <col min="32" max="33" width="34.1796875" style="4657" customWidth="1"/>
    <col min="34" max="16384" width="9.81640625" style="4657"/>
  </cols>
  <sheetData>
    <row r="1" spans="1:33" ht="21" customHeight="1" thickBot="1">
      <c r="R1" s="4656"/>
      <c r="T1" s="4660"/>
      <c r="V1" s="4656"/>
    </row>
    <row r="2" spans="1:33" ht="44.25" customHeight="1" thickBot="1">
      <c r="A2" s="6874" t="s">
        <v>5707</v>
      </c>
      <c r="B2" s="6875"/>
      <c r="C2" s="6876" t="s">
        <v>5850</v>
      </c>
      <c r="D2" s="6876"/>
      <c r="E2" s="6876"/>
      <c r="F2" s="6876"/>
      <c r="G2" s="6876"/>
      <c r="H2" s="4661" t="s">
        <v>5709</v>
      </c>
      <c r="I2" s="4662"/>
      <c r="J2" s="4663"/>
      <c r="L2" s="4713" t="s">
        <v>5748</v>
      </c>
      <c r="M2" s="7106">
        <f>SUM(M8*K8,M9*K9,M10*K10,M11*K11,M12*K12,M13*K13,M14*K14,,M15*K15,M16*K16,M17*K17)</f>
        <v>17778000</v>
      </c>
      <c r="N2" s="4663"/>
      <c r="R2" s="4656"/>
      <c r="T2" s="4660"/>
      <c r="V2" s="4656"/>
      <c r="AD2" s="4664" t="s">
        <v>5710</v>
      </c>
    </row>
    <row r="3" spans="1:33" ht="29" customHeight="1">
      <c r="L3" s="4721" t="s">
        <v>5854</v>
      </c>
      <c r="M3" s="4722">
        <f>M2</f>
        <v>17778000</v>
      </c>
      <c r="R3" s="4656"/>
      <c r="T3" s="4660"/>
      <c r="V3" s="4656"/>
    </row>
    <row r="4" spans="1:33" ht="33.75" customHeight="1" thickBot="1">
      <c r="A4" s="4665" t="s">
        <v>5807</v>
      </c>
      <c r="B4" s="4665"/>
      <c r="R4" s="4656"/>
      <c r="V4" s="4656"/>
      <c r="Y4" s="4656"/>
      <c r="Z4" s="4656"/>
      <c r="AA4" s="4656"/>
      <c r="AB4" s="4656"/>
      <c r="AC4" s="4656"/>
      <c r="AE4" s="4656" t="s">
        <v>5712</v>
      </c>
      <c r="AF4" s="7082" t="s">
        <v>7048</v>
      </c>
      <c r="AG4" s="7083"/>
    </row>
    <row r="5" spans="1:33" s="4666" customFormat="1" ht="33.75" customHeight="1" thickBo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5851</v>
      </c>
      <c r="M5" s="6855" t="s">
        <v>5852</v>
      </c>
      <c r="N5" s="6855" t="s">
        <v>5853</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c r="AF5" s="7084" t="s">
        <v>7049</v>
      </c>
      <c r="AG5" s="7084" t="s">
        <v>7050</v>
      </c>
    </row>
    <row r="6" spans="1:33" s="4666" customFormat="1" ht="20.5" thickBot="1">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c r="AF6" s="7085"/>
      <c r="AG6" s="7086"/>
    </row>
    <row r="7" spans="1:33" ht="33.75" customHeight="1">
      <c r="A7" s="4927" t="s">
        <v>5737</v>
      </c>
      <c r="B7" s="4928">
        <v>46305</v>
      </c>
      <c r="C7" s="4928">
        <v>46307</v>
      </c>
      <c r="D7" s="4929">
        <f>IF(_xlfn.DAYS(C7,B7)=0,"1",_xlfn.DAYS(C7,B7))</f>
        <v>2</v>
      </c>
      <c r="E7" s="4928">
        <v>46319</v>
      </c>
      <c r="F7" s="4929">
        <f>IF(_xlfn.DAYS(E7,C7)=0,"1",_xlfn.DAYS(E7,C7))+1</f>
        <v>13</v>
      </c>
      <c r="G7" s="4928">
        <v>46321</v>
      </c>
      <c r="H7" s="4929">
        <f>IF(_xlfn.DAYS(G7,E7)=0,"1",_xlfn.DAYS(G7,E7))-1</f>
        <v>1</v>
      </c>
      <c r="I7" s="4930" t="s">
        <v>5738</v>
      </c>
      <c r="J7" s="4931">
        <v>100</v>
      </c>
      <c r="K7" s="4932">
        <v>90</v>
      </c>
      <c r="L7" s="4931">
        <v>9000</v>
      </c>
      <c r="M7" s="4931">
        <v>10000</v>
      </c>
      <c r="N7" s="4931">
        <v>8000</v>
      </c>
      <c r="O7" s="4933">
        <f>SUM(D7,F7,H7)*K7</f>
        <v>1440</v>
      </c>
      <c r="P7" s="4931">
        <f>(D7*L7+F7*M7+H7*N7)*K7</f>
        <v>14040000</v>
      </c>
      <c r="Q7" s="4934">
        <v>21</v>
      </c>
      <c r="R7" s="4935" t="s">
        <v>5739</v>
      </c>
      <c r="S7" s="4934">
        <v>21</v>
      </c>
      <c r="T7" s="4936">
        <v>1</v>
      </c>
      <c r="U7" s="4937">
        <v>154</v>
      </c>
      <c r="V7" s="4935" t="s">
        <v>4521</v>
      </c>
      <c r="W7" s="4934">
        <v>203</v>
      </c>
      <c r="X7" s="4937">
        <v>1</v>
      </c>
      <c r="Y7" s="4937" t="s">
        <v>5740</v>
      </c>
      <c r="Z7" s="4938" t="s">
        <v>5035</v>
      </c>
      <c r="AA7" s="4937" t="s">
        <v>2830</v>
      </c>
      <c r="AB7" s="4938" t="s">
        <v>5050</v>
      </c>
      <c r="AC7" s="4937" t="s">
        <v>5741</v>
      </c>
      <c r="AD7" s="4684"/>
      <c r="AE7" s="4685"/>
      <c r="AF7" s="7087" t="s">
        <v>246</v>
      </c>
      <c r="AG7" s="7087" t="s">
        <v>246</v>
      </c>
    </row>
    <row r="8" spans="1:33" ht="33.75" customHeight="1">
      <c r="A8" s="4828">
        <v>1</v>
      </c>
      <c r="B8" s="4829">
        <v>46305</v>
      </c>
      <c r="C8" s="4829">
        <v>46307</v>
      </c>
      <c r="D8" s="4672">
        <f t="shared" ref="D8:D22" si="0">IF(_xlfn.DAYS(C8,B8)=0,"1",_xlfn.DAYS(C8,B8))</f>
        <v>2</v>
      </c>
      <c r="E8" s="4829">
        <v>46319</v>
      </c>
      <c r="F8" s="4830">
        <v>15</v>
      </c>
      <c r="G8" s="4939">
        <v>46321</v>
      </c>
      <c r="H8" s="4672">
        <f t="shared" ref="H8:H22" si="1">IF(_xlfn.DAYS(G8,E8)=0,"1",_xlfn.DAYS(G8,E8))-1</f>
        <v>1</v>
      </c>
      <c r="I8" s="4831" t="s">
        <v>5060</v>
      </c>
      <c r="J8" s="4834"/>
      <c r="K8" s="4835">
        <v>80</v>
      </c>
      <c r="L8" s="4834">
        <v>75000</v>
      </c>
      <c r="M8" s="4834">
        <v>79800</v>
      </c>
      <c r="N8" s="4834">
        <v>75000</v>
      </c>
      <c r="O8" s="4678">
        <f>SUM(D8,F8,H8)*K8</f>
        <v>1440</v>
      </c>
      <c r="P8" s="4677">
        <f>(D8*L8+F8*M8+H8*N8)*K8</f>
        <v>113760000</v>
      </c>
      <c r="Q8" s="4836">
        <v>25</v>
      </c>
      <c r="R8" s="4837" t="s">
        <v>5742</v>
      </c>
      <c r="S8" s="4836"/>
      <c r="T8" s="4838">
        <v>1</v>
      </c>
      <c r="U8" s="4834">
        <v>160</v>
      </c>
      <c r="V8" s="4837" t="s">
        <v>4521</v>
      </c>
      <c r="W8" s="4836">
        <v>200</v>
      </c>
      <c r="X8" s="4834">
        <v>1</v>
      </c>
      <c r="Y8" s="4834"/>
      <c r="Z8" s="4839" t="s">
        <v>5035</v>
      </c>
      <c r="AA8" s="4834"/>
      <c r="AB8" s="4839" t="s">
        <v>5050</v>
      </c>
      <c r="AC8" s="4834"/>
      <c r="AD8" s="4832"/>
      <c r="AE8" s="4685">
        <f>T8*K8</f>
        <v>80</v>
      </c>
      <c r="AF8" s="7088">
        <f>AE8*SUM(E8,G8,I8)*AF$6</f>
        <v>0</v>
      </c>
      <c r="AG8" s="7088">
        <f>AE8*SUM(E8,G8,I8)*AG$6</f>
        <v>0</v>
      </c>
    </row>
    <row r="9" spans="1:33" ht="33.75" customHeight="1">
      <c r="A9" s="4828">
        <v>2</v>
      </c>
      <c r="B9" s="4829">
        <v>46305</v>
      </c>
      <c r="C9" s="4829">
        <v>46307</v>
      </c>
      <c r="D9" s="4672">
        <f t="shared" si="0"/>
        <v>2</v>
      </c>
      <c r="E9" s="4829">
        <v>46319</v>
      </c>
      <c r="F9" s="4830">
        <v>15</v>
      </c>
      <c r="G9" s="4939">
        <v>46321</v>
      </c>
      <c r="H9" s="4672">
        <f t="shared" si="1"/>
        <v>1</v>
      </c>
      <c r="I9" s="4831" t="s">
        <v>5061</v>
      </c>
      <c r="J9" s="4834"/>
      <c r="K9" s="4835">
        <v>7</v>
      </c>
      <c r="L9" s="4834">
        <v>75000</v>
      </c>
      <c r="M9" s="4834">
        <v>84600</v>
      </c>
      <c r="N9" s="4834">
        <v>75000</v>
      </c>
      <c r="O9" s="4678">
        <f>SUM(D9,F9,H9)*K9</f>
        <v>126</v>
      </c>
      <c r="P9" s="4677">
        <f>(D9*L9+F9*M9+H9*N9)*K9</f>
        <v>10458000</v>
      </c>
      <c r="Q9" s="4836">
        <v>35</v>
      </c>
      <c r="R9" s="4837" t="s">
        <v>5742</v>
      </c>
      <c r="S9" s="4836"/>
      <c r="T9" s="4838">
        <v>2</v>
      </c>
      <c r="U9" s="4834">
        <v>120</v>
      </c>
      <c r="V9" s="4837" t="s">
        <v>4521</v>
      </c>
      <c r="W9" s="4836">
        <v>200</v>
      </c>
      <c r="X9" s="4834">
        <v>2</v>
      </c>
      <c r="Y9" s="4834"/>
      <c r="Z9" s="4839" t="s">
        <v>5035</v>
      </c>
      <c r="AA9" s="4834"/>
      <c r="AB9" s="4839" t="s">
        <v>5050</v>
      </c>
      <c r="AC9" s="4834"/>
      <c r="AD9" s="4832"/>
      <c r="AE9" s="4685">
        <f>T9*K9</f>
        <v>14</v>
      </c>
      <c r="AF9" s="7088">
        <f>AE9*SUM(E9,G9,I9)*AF$6</f>
        <v>0</v>
      </c>
      <c r="AG9" s="7088">
        <f>AE9*SUM(E9,G9,I9)*AG$6</f>
        <v>0</v>
      </c>
    </row>
    <row r="10" spans="1:33" ht="33.75" customHeight="1">
      <c r="A10" s="4828">
        <v>3</v>
      </c>
      <c r="B10" s="4829">
        <v>46305</v>
      </c>
      <c r="C10" s="4829">
        <v>46307</v>
      </c>
      <c r="D10" s="4672">
        <f t="shared" si="0"/>
        <v>2</v>
      </c>
      <c r="E10" s="4829">
        <v>46319</v>
      </c>
      <c r="F10" s="4830">
        <v>15</v>
      </c>
      <c r="G10" s="4939">
        <v>46321</v>
      </c>
      <c r="H10" s="4672">
        <f t="shared" si="1"/>
        <v>1</v>
      </c>
      <c r="I10" s="4831" t="s">
        <v>5062</v>
      </c>
      <c r="J10" s="4834"/>
      <c r="K10" s="4835">
        <v>4</v>
      </c>
      <c r="L10" s="4834">
        <v>75000</v>
      </c>
      <c r="M10" s="4834">
        <v>79800</v>
      </c>
      <c r="N10" s="4834">
        <v>75000</v>
      </c>
      <c r="O10" s="4678">
        <f>SUM(D10,F10,H10)*K10</f>
        <v>72</v>
      </c>
      <c r="P10" s="4677">
        <f>(D10*L10+F10*M10+H10*N10)*K10</f>
        <v>5688000</v>
      </c>
      <c r="Q10" s="4836">
        <v>38</v>
      </c>
      <c r="R10" s="4837" t="s">
        <v>5742</v>
      </c>
      <c r="S10" s="4836"/>
      <c r="T10" s="4838">
        <v>1</v>
      </c>
      <c r="U10" s="4834">
        <v>180</v>
      </c>
      <c r="V10" s="4837" t="s">
        <v>4521</v>
      </c>
      <c r="W10" s="4836">
        <v>200</v>
      </c>
      <c r="X10" s="4834">
        <v>1</v>
      </c>
      <c r="Y10" s="4834"/>
      <c r="Z10" s="4839" t="s">
        <v>5035</v>
      </c>
      <c r="AA10" s="4834"/>
      <c r="AB10" s="4839" t="s">
        <v>5050</v>
      </c>
      <c r="AC10" s="4834"/>
      <c r="AD10" s="4832"/>
      <c r="AE10" s="4685">
        <f>T10*K10</f>
        <v>4</v>
      </c>
      <c r="AF10" s="7088">
        <f>AE10*SUM(E10,G10,I10)*AF$6</f>
        <v>0</v>
      </c>
      <c r="AG10" s="7088">
        <f>AE10*SUM(E10,G10,I10)*AG$6</f>
        <v>0</v>
      </c>
    </row>
    <row r="11" spans="1:33" ht="33.75" customHeight="1">
      <c r="A11" s="4828">
        <v>4</v>
      </c>
      <c r="B11" s="4829">
        <v>46305</v>
      </c>
      <c r="C11" s="4829">
        <v>46307</v>
      </c>
      <c r="D11" s="4672">
        <f t="shared" si="0"/>
        <v>2</v>
      </c>
      <c r="E11" s="4829">
        <v>46319</v>
      </c>
      <c r="F11" s="4830">
        <v>15</v>
      </c>
      <c r="G11" s="4939">
        <v>46321</v>
      </c>
      <c r="H11" s="4672">
        <f t="shared" si="1"/>
        <v>1</v>
      </c>
      <c r="I11" s="4831" t="s">
        <v>5063</v>
      </c>
      <c r="J11" s="4834"/>
      <c r="K11" s="4835">
        <v>110</v>
      </c>
      <c r="L11" s="4834">
        <v>75000</v>
      </c>
      <c r="M11" s="4834">
        <v>84600</v>
      </c>
      <c r="N11" s="4834">
        <v>75000</v>
      </c>
      <c r="O11" s="4678">
        <f>SUM(D11,F11,H11)*K11</f>
        <v>1980</v>
      </c>
      <c r="P11" s="4677">
        <f>(D11*L11+F11*M11+H11*N11)*K11</f>
        <v>164340000</v>
      </c>
      <c r="Q11" s="4836">
        <v>38</v>
      </c>
      <c r="R11" s="4837" t="s">
        <v>5742</v>
      </c>
      <c r="S11" s="4836"/>
      <c r="T11" s="4838">
        <v>2</v>
      </c>
      <c r="U11" s="4834">
        <v>120</v>
      </c>
      <c r="V11" s="4837" t="s">
        <v>4521</v>
      </c>
      <c r="W11" s="4836">
        <v>200</v>
      </c>
      <c r="X11" s="4834">
        <v>2</v>
      </c>
      <c r="Y11" s="4834"/>
      <c r="Z11" s="4839" t="s">
        <v>5035</v>
      </c>
      <c r="AA11" s="4834"/>
      <c r="AB11" s="4839" t="s">
        <v>5050</v>
      </c>
      <c r="AC11" s="4834"/>
      <c r="AD11" s="4832"/>
      <c r="AE11" s="4685">
        <f>T11*K11</f>
        <v>220</v>
      </c>
      <c r="AF11" s="7088">
        <f>AE11*SUM(E11,G11,I11)*AF$6</f>
        <v>0</v>
      </c>
      <c r="AG11" s="7088">
        <f>AE11*SUM(E11,G11,I11)*AG$6</f>
        <v>0</v>
      </c>
    </row>
    <row r="12" spans="1:33" ht="33.75" customHeight="1">
      <c r="A12" s="4828">
        <v>5</v>
      </c>
      <c r="B12" s="4829">
        <v>46305</v>
      </c>
      <c r="C12" s="4829">
        <v>46307</v>
      </c>
      <c r="D12" s="4672">
        <f t="shared" si="0"/>
        <v>2</v>
      </c>
      <c r="E12" s="4829">
        <v>46319</v>
      </c>
      <c r="F12" s="4830">
        <v>15</v>
      </c>
      <c r="G12" s="4939">
        <v>46321</v>
      </c>
      <c r="H12" s="4672">
        <f t="shared" si="1"/>
        <v>1</v>
      </c>
      <c r="I12" s="4831" t="s">
        <v>5064</v>
      </c>
      <c r="J12" s="4834"/>
      <c r="K12" s="4835">
        <v>4</v>
      </c>
      <c r="L12" s="4834">
        <v>75000</v>
      </c>
      <c r="M12" s="4834">
        <v>84600</v>
      </c>
      <c r="N12" s="4834">
        <v>75000</v>
      </c>
      <c r="O12" s="4678">
        <f>SUM(D12,F12,H12)*K12</f>
        <v>72</v>
      </c>
      <c r="P12" s="4677">
        <f>(D12*L12+F12*M12+H12*N12)*K12</f>
        <v>5976000</v>
      </c>
      <c r="Q12" s="4836">
        <v>38</v>
      </c>
      <c r="R12" s="4837" t="s">
        <v>5742</v>
      </c>
      <c r="S12" s="4836"/>
      <c r="T12" s="4838">
        <v>2</v>
      </c>
      <c r="U12" s="4834">
        <v>120</v>
      </c>
      <c r="V12" s="4837" t="s">
        <v>4521</v>
      </c>
      <c r="W12" s="4836">
        <v>200</v>
      </c>
      <c r="X12" s="4834">
        <v>2</v>
      </c>
      <c r="Y12" s="4834"/>
      <c r="Z12" s="4839" t="s">
        <v>5035</v>
      </c>
      <c r="AA12" s="4834"/>
      <c r="AB12" s="4839" t="s">
        <v>5050</v>
      </c>
      <c r="AC12" s="4834"/>
      <c r="AD12" s="4832"/>
      <c r="AE12" s="4685">
        <f>T12*K12</f>
        <v>8</v>
      </c>
      <c r="AF12" s="7088">
        <f>AE12*SUM(E12,G12,I12)*AF$6</f>
        <v>0</v>
      </c>
      <c r="AG12" s="7088">
        <f>AE12*SUM(E12,G12,I12)*AG$6</f>
        <v>0</v>
      </c>
    </row>
    <row r="13" spans="1:33" ht="33.75" customHeight="1">
      <c r="A13" s="4828">
        <v>6</v>
      </c>
      <c r="B13" s="4829">
        <v>46305</v>
      </c>
      <c r="C13" s="4829">
        <v>46307</v>
      </c>
      <c r="D13" s="4672">
        <f t="shared" si="0"/>
        <v>2</v>
      </c>
      <c r="E13" s="4829">
        <v>46319</v>
      </c>
      <c r="F13" s="4830">
        <v>15</v>
      </c>
      <c r="G13" s="4939">
        <v>46321</v>
      </c>
      <c r="H13" s="4672">
        <f t="shared" si="1"/>
        <v>1</v>
      </c>
      <c r="I13" s="4831" t="s">
        <v>5047</v>
      </c>
      <c r="J13" s="4834"/>
      <c r="K13" s="4835">
        <v>1</v>
      </c>
      <c r="L13" s="4834">
        <v>75000</v>
      </c>
      <c r="M13" s="4834">
        <v>94200</v>
      </c>
      <c r="N13" s="4834">
        <v>75000</v>
      </c>
      <c r="O13" s="4678">
        <f>SUM(D13,F13,H13)*K13</f>
        <v>18</v>
      </c>
      <c r="P13" s="4677">
        <f>(D13*L13+F13*M13+H13*N13)*K13</f>
        <v>1638000</v>
      </c>
      <c r="Q13" s="4836"/>
      <c r="R13" s="4837" t="s">
        <v>5742</v>
      </c>
      <c r="S13" s="4836"/>
      <c r="T13" s="4838">
        <v>4</v>
      </c>
      <c r="U13" s="4834"/>
      <c r="V13" s="4837" t="s">
        <v>4521</v>
      </c>
      <c r="W13" s="4836"/>
      <c r="X13" s="4834"/>
      <c r="Y13" s="4834"/>
      <c r="Z13" s="4839" t="s">
        <v>5035</v>
      </c>
      <c r="AA13" s="4834"/>
      <c r="AB13" s="4839" t="s">
        <v>5050</v>
      </c>
      <c r="AC13" s="4834"/>
      <c r="AD13" s="4832"/>
      <c r="AE13" s="4685">
        <f>T13*K13</f>
        <v>4</v>
      </c>
      <c r="AF13" s="7088">
        <f>AE13*SUM(E13,G13,I13)*AF$6</f>
        <v>0</v>
      </c>
      <c r="AG13" s="7088">
        <f>AE13*SUM(E13,G13,I13)*AG$6</f>
        <v>0</v>
      </c>
    </row>
    <row r="14" spans="1:33" ht="33.75" customHeight="1">
      <c r="A14" s="4828">
        <v>7</v>
      </c>
      <c r="B14" s="4829">
        <v>46305</v>
      </c>
      <c r="C14" s="4829">
        <v>46307</v>
      </c>
      <c r="D14" s="4672">
        <f t="shared" si="0"/>
        <v>2</v>
      </c>
      <c r="E14" s="4829">
        <v>46319</v>
      </c>
      <c r="F14" s="4830">
        <v>15</v>
      </c>
      <c r="G14" s="4939">
        <v>46321</v>
      </c>
      <c r="H14" s="4672">
        <f t="shared" si="1"/>
        <v>1</v>
      </c>
      <c r="I14" s="4831" t="s">
        <v>5065</v>
      </c>
      <c r="J14" s="4834"/>
      <c r="K14" s="4835">
        <v>1</v>
      </c>
      <c r="L14" s="4834">
        <v>75000</v>
      </c>
      <c r="M14" s="4834">
        <v>84600</v>
      </c>
      <c r="N14" s="4834">
        <v>75000</v>
      </c>
      <c r="O14" s="4678">
        <f>SUM(D14,F14,H14)*K14</f>
        <v>18</v>
      </c>
      <c r="P14" s="4677">
        <f>(D14*L14+F14*M14+H14*N14)*K14</f>
        <v>1494000</v>
      </c>
      <c r="Q14" s="4836"/>
      <c r="R14" s="4837" t="s">
        <v>5742</v>
      </c>
      <c r="S14" s="4836"/>
      <c r="T14" s="4838">
        <v>2</v>
      </c>
      <c r="U14" s="4834"/>
      <c r="V14" s="4837" t="s">
        <v>4521</v>
      </c>
      <c r="W14" s="4836"/>
      <c r="X14" s="4834"/>
      <c r="Y14" s="4834"/>
      <c r="Z14" s="4839" t="s">
        <v>5035</v>
      </c>
      <c r="AA14" s="4834"/>
      <c r="AB14" s="4839" t="s">
        <v>5050</v>
      </c>
      <c r="AC14" s="4834"/>
      <c r="AD14" s="4832"/>
      <c r="AE14" s="4685">
        <f>T14*K14</f>
        <v>2</v>
      </c>
      <c r="AF14" s="7088">
        <f>AE14*SUM(E14,G14,I14)*AF$6</f>
        <v>0</v>
      </c>
      <c r="AG14" s="7088">
        <f>AE14*SUM(E14,G14,I14)*AG$6</f>
        <v>0</v>
      </c>
    </row>
    <row r="15" spans="1:33" ht="33.75" customHeight="1">
      <c r="A15" s="4828">
        <v>8</v>
      </c>
      <c r="B15" s="4829">
        <v>46305</v>
      </c>
      <c r="C15" s="4829">
        <v>46307</v>
      </c>
      <c r="D15" s="4672">
        <f t="shared" si="0"/>
        <v>2</v>
      </c>
      <c r="E15" s="4829">
        <v>46319</v>
      </c>
      <c r="F15" s="4830">
        <v>15</v>
      </c>
      <c r="G15" s="4939">
        <v>46321</v>
      </c>
      <c r="H15" s="4672">
        <f t="shared" si="1"/>
        <v>1</v>
      </c>
      <c r="I15" s="4831" t="s">
        <v>5066</v>
      </c>
      <c r="J15" s="4834"/>
      <c r="K15" s="4835">
        <v>7</v>
      </c>
      <c r="L15" s="4834">
        <v>75000</v>
      </c>
      <c r="M15" s="4834">
        <v>94200</v>
      </c>
      <c r="N15" s="4834">
        <v>75000</v>
      </c>
      <c r="O15" s="4678">
        <f>SUM(D15,F15,H15)*K15</f>
        <v>126</v>
      </c>
      <c r="P15" s="4677">
        <f>(D15*L15+F15*M15+H15*N15)*K15</f>
        <v>11466000</v>
      </c>
      <c r="Q15" s="4836"/>
      <c r="R15" s="4837" t="s">
        <v>5742</v>
      </c>
      <c r="S15" s="4836"/>
      <c r="T15" s="4838">
        <v>4</v>
      </c>
      <c r="U15" s="4834"/>
      <c r="V15" s="4837" t="s">
        <v>4521</v>
      </c>
      <c r="W15" s="4836"/>
      <c r="X15" s="4834"/>
      <c r="Y15" s="4834"/>
      <c r="Z15" s="4839" t="s">
        <v>5035</v>
      </c>
      <c r="AA15" s="4834"/>
      <c r="AB15" s="4839" t="s">
        <v>5050</v>
      </c>
      <c r="AC15" s="4834"/>
      <c r="AD15" s="4832"/>
      <c r="AE15" s="4685">
        <f>T15*K15</f>
        <v>28</v>
      </c>
      <c r="AF15" s="7088">
        <f>AE15*SUM(E15,G15,I15)*AF$6</f>
        <v>0</v>
      </c>
      <c r="AG15" s="7088">
        <f>AE15*SUM(E15,G15,I15)*AG$6</f>
        <v>0</v>
      </c>
    </row>
    <row r="16" spans="1:33" ht="33.75" customHeight="1">
      <c r="A16" s="4828">
        <v>9</v>
      </c>
      <c r="B16" s="4833"/>
      <c r="C16" s="4829"/>
      <c r="D16" s="4672" t="str">
        <f t="shared" si="0"/>
        <v>1</v>
      </c>
      <c r="E16" s="4829"/>
      <c r="F16" s="4672">
        <f t="shared" ref="F16:F22" si="2">IF(_xlfn.DAYS(E16,C16)=0,"1",_xlfn.DAYS(E16,C16))+1</f>
        <v>2</v>
      </c>
      <c r="G16" s="4699"/>
      <c r="H16" s="4672">
        <f t="shared" si="1"/>
        <v>0</v>
      </c>
      <c r="I16" s="4831"/>
      <c r="J16" s="4834"/>
      <c r="K16" s="4835"/>
      <c r="L16" s="4834"/>
      <c r="M16" s="4834"/>
      <c r="N16" s="4834"/>
      <c r="O16" s="4678">
        <f>SUM(D16,F16,H16)*K16</f>
        <v>0</v>
      </c>
      <c r="P16" s="4677">
        <f>(D16*L16+F16*M16+H16*N16)*K16</f>
        <v>0</v>
      </c>
      <c r="Q16" s="4836"/>
      <c r="R16" s="4837" t="s">
        <v>5742</v>
      </c>
      <c r="S16" s="4836"/>
      <c r="T16" s="4838"/>
      <c r="U16" s="4834"/>
      <c r="V16" s="4837" t="s">
        <v>4521</v>
      </c>
      <c r="W16" s="4836"/>
      <c r="X16" s="4834"/>
      <c r="Y16" s="4834"/>
      <c r="Z16" s="4839" t="s">
        <v>5035</v>
      </c>
      <c r="AA16" s="4834"/>
      <c r="AB16" s="4839" t="s">
        <v>5050</v>
      </c>
      <c r="AC16" s="4834"/>
      <c r="AD16" s="4832"/>
      <c r="AE16" s="4685">
        <f>T16*K16</f>
        <v>0</v>
      </c>
      <c r="AF16" s="7088">
        <f>AE16*SUM(E16,G16,I16)*AF$6</f>
        <v>0</v>
      </c>
      <c r="AG16" s="7088">
        <f>AE16*SUM(E16,G16,I16)*AG$6</f>
        <v>0</v>
      </c>
    </row>
    <row r="17" spans="1:33" ht="33.75" customHeight="1">
      <c r="A17" s="4828">
        <v>10</v>
      </c>
      <c r="B17" s="4833"/>
      <c r="C17" s="4829"/>
      <c r="D17" s="4672" t="str">
        <f t="shared" si="0"/>
        <v>1</v>
      </c>
      <c r="E17" s="4829"/>
      <c r="F17" s="4672">
        <f t="shared" si="2"/>
        <v>2</v>
      </c>
      <c r="G17" s="4699"/>
      <c r="H17" s="4672">
        <f t="shared" si="1"/>
        <v>0</v>
      </c>
      <c r="I17" s="4831"/>
      <c r="J17" s="4834"/>
      <c r="K17" s="4835"/>
      <c r="L17" s="4834"/>
      <c r="M17" s="4834"/>
      <c r="N17" s="4834"/>
      <c r="O17" s="4678">
        <f>SUM(D17,F17,H17)*K17</f>
        <v>0</v>
      </c>
      <c r="P17" s="4677">
        <f>(D17*L17+F17*M17+H17*N17)*K17</f>
        <v>0</v>
      </c>
      <c r="Q17" s="4836"/>
      <c r="R17" s="4837" t="s">
        <v>5742</v>
      </c>
      <c r="S17" s="4836"/>
      <c r="T17" s="4838"/>
      <c r="U17" s="4834"/>
      <c r="V17" s="4837" t="s">
        <v>4521</v>
      </c>
      <c r="W17" s="4836"/>
      <c r="X17" s="4834"/>
      <c r="Y17" s="4834"/>
      <c r="Z17" s="4839" t="s">
        <v>5035</v>
      </c>
      <c r="AA17" s="4834"/>
      <c r="AB17" s="4839" t="s">
        <v>5050</v>
      </c>
      <c r="AC17" s="4834"/>
      <c r="AD17" s="4832"/>
      <c r="AE17" s="4685">
        <f>T17*K17</f>
        <v>0</v>
      </c>
      <c r="AF17" s="7088">
        <f>AE17*SUM(E17,G17,I17)*AF$6</f>
        <v>0</v>
      </c>
      <c r="AG17" s="7088">
        <f>AE17*SUM(E17,G17,I17)*AG$6</f>
        <v>0</v>
      </c>
    </row>
    <row r="18" spans="1:33" ht="33.75" customHeight="1">
      <c r="A18" s="4828">
        <v>11</v>
      </c>
      <c r="B18" s="4833"/>
      <c r="C18" s="4829"/>
      <c r="D18" s="4672" t="str">
        <f t="shared" si="0"/>
        <v>1</v>
      </c>
      <c r="E18" s="4829"/>
      <c r="F18" s="4672">
        <f t="shared" si="2"/>
        <v>2</v>
      </c>
      <c r="G18" s="4699"/>
      <c r="H18" s="4672">
        <f t="shared" si="1"/>
        <v>0</v>
      </c>
      <c r="I18" s="4831"/>
      <c r="J18" s="4834"/>
      <c r="K18" s="4835"/>
      <c r="L18" s="4834"/>
      <c r="M18" s="4834"/>
      <c r="N18" s="4834"/>
      <c r="O18" s="4678">
        <f>SUM(D18,F18,H18)*K18</f>
        <v>0</v>
      </c>
      <c r="P18" s="4677">
        <f>(D18*L18+F18*M18+H18*N18)*K18</f>
        <v>0</v>
      </c>
      <c r="Q18" s="4836"/>
      <c r="R18" s="4837" t="s">
        <v>5742</v>
      </c>
      <c r="S18" s="4836"/>
      <c r="T18" s="4838"/>
      <c r="U18" s="4834"/>
      <c r="V18" s="4837" t="s">
        <v>4521</v>
      </c>
      <c r="W18" s="4836"/>
      <c r="X18" s="4834"/>
      <c r="Y18" s="4834"/>
      <c r="Z18" s="4839" t="s">
        <v>5035</v>
      </c>
      <c r="AA18" s="4834"/>
      <c r="AB18" s="4839" t="s">
        <v>5050</v>
      </c>
      <c r="AC18" s="4834"/>
      <c r="AD18" s="4832"/>
      <c r="AE18" s="4685">
        <f>T18*K18</f>
        <v>0</v>
      </c>
      <c r="AF18" s="7088">
        <f>AE18*SUM(E18,G18,I18)*AF$6</f>
        <v>0</v>
      </c>
      <c r="AG18" s="7088">
        <f>AE18*SUM(E18,G18,I18)*AG$6</f>
        <v>0</v>
      </c>
    </row>
    <row r="19" spans="1:33" ht="33.75" customHeight="1">
      <c r="A19" s="4828">
        <v>12</v>
      </c>
      <c r="B19" s="4833"/>
      <c r="C19" s="4829"/>
      <c r="D19" s="4672" t="str">
        <f t="shared" si="0"/>
        <v>1</v>
      </c>
      <c r="E19" s="4829"/>
      <c r="F19" s="4672">
        <f t="shared" si="2"/>
        <v>2</v>
      </c>
      <c r="G19" s="4699"/>
      <c r="H19" s="4672">
        <f t="shared" si="1"/>
        <v>0</v>
      </c>
      <c r="I19" s="4831"/>
      <c r="J19" s="4834"/>
      <c r="K19" s="4835"/>
      <c r="L19" s="4834"/>
      <c r="M19" s="4834"/>
      <c r="N19" s="4834"/>
      <c r="O19" s="4678">
        <f>SUM(D19,F19,H19)*K19</f>
        <v>0</v>
      </c>
      <c r="P19" s="4677">
        <f>(D19*L19+F19*M19+H19*N19)*K19</f>
        <v>0</v>
      </c>
      <c r="Q19" s="4836"/>
      <c r="R19" s="4837" t="s">
        <v>5742</v>
      </c>
      <c r="S19" s="4836"/>
      <c r="T19" s="4838"/>
      <c r="U19" s="4834"/>
      <c r="V19" s="4837" t="s">
        <v>4521</v>
      </c>
      <c r="W19" s="4836"/>
      <c r="X19" s="4834"/>
      <c r="Y19" s="4834"/>
      <c r="Z19" s="4839" t="s">
        <v>5035</v>
      </c>
      <c r="AA19" s="4834"/>
      <c r="AB19" s="4839" t="s">
        <v>5050</v>
      </c>
      <c r="AC19" s="4834"/>
      <c r="AD19" s="4832"/>
      <c r="AE19" s="4685">
        <f>T19*K19</f>
        <v>0</v>
      </c>
      <c r="AF19" s="7088">
        <f>AE19*SUM(E19,G19,I19)*AF$6</f>
        <v>0</v>
      </c>
      <c r="AG19" s="7088">
        <f>AE19*SUM(E19,G19,I19)*AG$6</f>
        <v>0</v>
      </c>
    </row>
    <row r="20" spans="1:33" ht="33.75" customHeight="1">
      <c r="A20" s="4828">
        <v>13</v>
      </c>
      <c r="B20" s="4833"/>
      <c r="C20" s="4829"/>
      <c r="D20" s="4672" t="str">
        <f t="shared" si="0"/>
        <v>1</v>
      </c>
      <c r="E20" s="4829"/>
      <c r="F20" s="4672">
        <f t="shared" si="2"/>
        <v>2</v>
      </c>
      <c r="G20" s="4699"/>
      <c r="H20" s="4672">
        <f t="shared" si="1"/>
        <v>0</v>
      </c>
      <c r="I20" s="4831"/>
      <c r="J20" s="4834"/>
      <c r="K20" s="4835"/>
      <c r="L20" s="4834"/>
      <c r="M20" s="4834"/>
      <c r="N20" s="4834"/>
      <c r="O20" s="4678">
        <f>SUM(D20,F20,H20)*K20</f>
        <v>0</v>
      </c>
      <c r="P20" s="4677">
        <f>(D20*L20+F20*M20+H20*N20)*K20</f>
        <v>0</v>
      </c>
      <c r="Q20" s="4836"/>
      <c r="R20" s="4837" t="s">
        <v>5742</v>
      </c>
      <c r="S20" s="4836"/>
      <c r="T20" s="4838"/>
      <c r="U20" s="4834"/>
      <c r="V20" s="4837" t="s">
        <v>4521</v>
      </c>
      <c r="W20" s="4836"/>
      <c r="X20" s="4834"/>
      <c r="Y20" s="4834"/>
      <c r="Z20" s="4839" t="s">
        <v>5035</v>
      </c>
      <c r="AA20" s="4834"/>
      <c r="AB20" s="4839" t="s">
        <v>5050</v>
      </c>
      <c r="AC20" s="4834"/>
      <c r="AD20" s="4832"/>
      <c r="AE20" s="4685">
        <f>T20*K20</f>
        <v>0</v>
      </c>
      <c r="AF20" s="7088">
        <f>AE20*SUM(E20,G20,I20)*AF$6</f>
        <v>0</v>
      </c>
      <c r="AG20" s="7088">
        <f>AE20*SUM(E20,G20,I20)*AG$6</f>
        <v>0</v>
      </c>
    </row>
    <row r="21" spans="1:33" ht="33.75" customHeight="1">
      <c r="A21" s="4828">
        <v>14</v>
      </c>
      <c r="B21" s="4833"/>
      <c r="C21" s="4829"/>
      <c r="D21" s="4672" t="str">
        <f t="shared" si="0"/>
        <v>1</v>
      </c>
      <c r="E21" s="4829"/>
      <c r="F21" s="4672">
        <f t="shared" si="2"/>
        <v>2</v>
      </c>
      <c r="G21" s="4699"/>
      <c r="H21" s="4672">
        <f t="shared" si="1"/>
        <v>0</v>
      </c>
      <c r="I21" s="4831"/>
      <c r="J21" s="4834"/>
      <c r="K21" s="4835"/>
      <c r="L21" s="4834"/>
      <c r="M21" s="4834"/>
      <c r="N21" s="4834"/>
      <c r="O21" s="4678">
        <f>SUM(D21,F21,H21)*K21</f>
        <v>0</v>
      </c>
      <c r="P21" s="4677">
        <f>(D21*L21+F21*M21+H21*N21)*K21</f>
        <v>0</v>
      </c>
      <c r="Q21" s="4836"/>
      <c r="R21" s="4837" t="s">
        <v>5742</v>
      </c>
      <c r="S21" s="4836"/>
      <c r="T21" s="4838"/>
      <c r="U21" s="4834"/>
      <c r="V21" s="4837" t="s">
        <v>4521</v>
      </c>
      <c r="W21" s="4836"/>
      <c r="X21" s="4834"/>
      <c r="Y21" s="4834"/>
      <c r="Z21" s="4839" t="s">
        <v>5035</v>
      </c>
      <c r="AA21" s="4834"/>
      <c r="AB21" s="4839" t="s">
        <v>5050</v>
      </c>
      <c r="AC21" s="4834"/>
      <c r="AD21" s="4832"/>
      <c r="AE21" s="4685">
        <f>T21*K21</f>
        <v>0</v>
      </c>
      <c r="AF21" s="7088">
        <f>AE21*SUM(E21,G21,I21)*AF$6</f>
        <v>0</v>
      </c>
      <c r="AG21" s="7088">
        <f>AE21*SUM(E21,G21,I21)*AG$6</f>
        <v>0</v>
      </c>
    </row>
    <row r="22" spans="1:33" ht="33.75" customHeight="1" thickBot="1">
      <c r="A22" s="4828">
        <v>15</v>
      </c>
      <c r="B22" s="4833"/>
      <c r="C22" s="4829"/>
      <c r="D22" s="4672" t="str">
        <f t="shared" si="0"/>
        <v>1</v>
      </c>
      <c r="E22" s="4829"/>
      <c r="F22" s="4672">
        <f t="shared" si="2"/>
        <v>2</v>
      </c>
      <c r="G22" s="4699"/>
      <c r="H22" s="4672">
        <f t="shared" si="1"/>
        <v>0</v>
      </c>
      <c r="I22" s="4831"/>
      <c r="J22" s="4834"/>
      <c r="K22" s="4835"/>
      <c r="L22" s="4834"/>
      <c r="M22" s="4834"/>
      <c r="N22" s="4834"/>
      <c r="O22" s="4678">
        <f>SUM(D22,F22,H22)*K22</f>
        <v>0</v>
      </c>
      <c r="P22" s="4677">
        <f>(D22*L22+F22*M22+H22*N22)*K22</f>
        <v>0</v>
      </c>
      <c r="Q22" s="4836"/>
      <c r="R22" s="4837" t="s">
        <v>5739</v>
      </c>
      <c r="S22" s="4836"/>
      <c r="T22" s="4838"/>
      <c r="U22" s="4834"/>
      <c r="V22" s="4837" t="s">
        <v>4521</v>
      </c>
      <c r="W22" s="4836"/>
      <c r="X22" s="4834"/>
      <c r="Y22" s="4834"/>
      <c r="Z22" s="4839" t="s">
        <v>5035</v>
      </c>
      <c r="AA22" s="4834"/>
      <c r="AB22" s="4839" t="s">
        <v>5050</v>
      </c>
      <c r="AC22" s="4834"/>
      <c r="AD22" s="4832"/>
      <c r="AE22" s="4685">
        <f>T22*K22</f>
        <v>0</v>
      </c>
      <c r="AF22" s="7088">
        <f>AE22*SUM(E22,G22,I22)*AF$6</f>
        <v>0</v>
      </c>
      <c r="AG22" s="7088">
        <f>AE22*SUM(E22,G22,I22)*AG$6</f>
        <v>0</v>
      </c>
    </row>
    <row r="23" spans="1:33" ht="33.75" customHeight="1" thickTop="1" thickBot="1">
      <c r="A23" s="4840"/>
      <c r="B23" s="4841"/>
      <c r="C23" s="4841"/>
      <c r="D23" s="4841"/>
      <c r="E23" s="4841"/>
      <c r="F23" s="4842"/>
      <c r="G23" s="4843"/>
      <c r="H23" s="4841"/>
      <c r="I23" s="4844" t="s">
        <v>2432</v>
      </c>
      <c r="J23" s="4845">
        <f>SUM(J8:J22)</f>
        <v>0</v>
      </c>
      <c r="K23" s="4846">
        <f>SUM(K8:K22)</f>
        <v>214</v>
      </c>
      <c r="L23" s="4843"/>
      <c r="M23" s="4843"/>
      <c r="N23" s="4843"/>
      <c r="O23" s="4845">
        <f>SUM(O8:O22)</f>
        <v>3852</v>
      </c>
      <c r="P23" s="4845">
        <f>SUM(P8:P22)</f>
        <v>314820000</v>
      </c>
      <c r="Q23" s="6901"/>
      <c r="R23" s="6901"/>
      <c r="S23" s="6901"/>
      <c r="T23" s="4847"/>
      <c r="U23" s="6902"/>
      <c r="V23" s="6901"/>
      <c r="W23" s="6901"/>
      <c r="X23" s="4847"/>
      <c r="Y23" s="4847"/>
      <c r="Z23" s="6903"/>
      <c r="AA23" s="6904"/>
      <c r="AB23" s="6903"/>
      <c r="AC23" s="6904"/>
      <c r="AD23" s="4848"/>
      <c r="AE23" s="4685">
        <f>SUM(AE8:AE22)</f>
        <v>360</v>
      </c>
      <c r="AF23" s="7088">
        <f>SUM(AF8:AF22)</f>
        <v>0</v>
      </c>
      <c r="AG23" s="7088">
        <f>SUM(AG8:AG22)</f>
        <v>0</v>
      </c>
    </row>
    <row r="24" spans="1:33" ht="32.15" customHeight="1" thickBot="1">
      <c r="C24" s="4710"/>
      <c r="D24" s="4710"/>
      <c r="E24" s="4710"/>
      <c r="F24" s="4710"/>
      <c r="G24" s="4710"/>
      <c r="H24" s="4710"/>
      <c r="I24" s="4711"/>
      <c r="J24" s="4712"/>
      <c r="K24" s="4710"/>
      <c r="L24" s="4711"/>
      <c r="M24" s="4711"/>
      <c r="N24" s="4715"/>
      <c r="O24" s="4715"/>
      <c r="R24" s="4656"/>
      <c r="V24" s="4656"/>
      <c r="AE24" s="4849"/>
      <c r="AF24" s="7089" t="s">
        <v>127</v>
      </c>
      <c r="AG24" s="7090">
        <f>SUM(AF23,AG23)</f>
        <v>0</v>
      </c>
    </row>
    <row r="25" spans="1:33" ht="33.75" customHeight="1">
      <c r="A25" s="6845" t="s">
        <v>5749</v>
      </c>
      <c r="B25" s="7120"/>
      <c r="C25" s="4716">
        <f>O23</f>
        <v>3852</v>
      </c>
      <c r="D25" s="4717"/>
      <c r="F25" s="4718"/>
      <c r="G25" s="4850"/>
      <c r="H25" s="4719"/>
      <c r="I25" s="4720"/>
      <c r="L25" s="4656"/>
      <c r="M25" s="4656"/>
      <c r="O25" s="4656"/>
      <c r="AE25" s="4851"/>
    </row>
    <row r="26" spans="1:33" ht="33.75" customHeight="1">
      <c r="A26" s="6991" t="s">
        <v>5883</v>
      </c>
      <c r="B26" s="6992"/>
      <c r="C26" s="7079"/>
      <c r="D26" s="4717"/>
      <c r="F26" s="4718"/>
      <c r="H26" s="4719"/>
      <c r="I26" s="4720"/>
      <c r="K26" s="4659"/>
      <c r="N26" s="4656"/>
      <c r="O26" s="4656"/>
      <c r="P26" s="4657"/>
    </row>
    <row r="27" spans="1:33" ht="33.75" customHeight="1" thickBot="1">
      <c r="A27" s="6913" t="s">
        <v>5751</v>
      </c>
      <c r="B27" s="6914"/>
      <c r="C27" s="4823">
        <f>P23</f>
        <v>314820000</v>
      </c>
      <c r="D27" s="4717"/>
      <c r="F27" s="4724"/>
      <c r="H27" s="4719"/>
      <c r="I27" s="4720"/>
      <c r="K27" s="4659"/>
      <c r="N27" s="4656"/>
      <c r="O27" s="4656"/>
      <c r="P27" s="4657"/>
    </row>
    <row r="28" spans="1:33" ht="32.15" customHeight="1" thickBot="1">
      <c r="A28" s="6920" t="s">
        <v>6158</v>
      </c>
      <c r="B28" s="6921"/>
      <c r="C28" s="4823">
        <f>AG24</f>
        <v>0</v>
      </c>
      <c r="D28" s="4726"/>
      <c r="E28" s="4726"/>
      <c r="F28" s="4726"/>
      <c r="G28" s="4726"/>
      <c r="H28" s="4726"/>
      <c r="I28" s="4727"/>
      <c r="O28" s="4656"/>
      <c r="P28" s="4657"/>
    </row>
    <row r="29" spans="1:33" ht="32.15" customHeight="1" thickBot="1">
      <c r="A29" s="6920" t="s">
        <v>7047</v>
      </c>
      <c r="B29" s="6921"/>
      <c r="C29" s="4823">
        <f>C27+C28</f>
        <v>314820000</v>
      </c>
      <c r="D29" s="4726"/>
      <c r="E29" s="4726"/>
      <c r="F29" s="4726"/>
      <c r="G29" s="4726"/>
      <c r="H29" s="4726"/>
      <c r="I29" s="4727"/>
      <c r="O29" s="4656"/>
      <c r="P29" s="4657"/>
    </row>
    <row r="30" spans="1:33" ht="33.75" customHeight="1">
      <c r="A30" s="4729"/>
      <c r="B30" s="4729"/>
      <c r="C30" s="4729"/>
      <c r="D30" s="4729"/>
      <c r="E30" s="4729"/>
      <c r="F30" s="4729"/>
      <c r="G30" s="4726"/>
      <c r="H30" s="4729"/>
      <c r="I30" s="4720"/>
      <c r="O30" s="4656"/>
    </row>
    <row r="31" spans="1:33" ht="33.75" customHeight="1">
      <c r="A31" s="4728" t="s">
        <v>5752</v>
      </c>
      <c r="B31" s="4728"/>
      <c r="C31" s="4729"/>
      <c r="D31" s="4729"/>
      <c r="E31" s="4729"/>
      <c r="F31" s="4729"/>
      <c r="G31" s="4726"/>
      <c r="H31" s="4729"/>
      <c r="I31" s="4720"/>
      <c r="O31" s="4656"/>
    </row>
    <row r="32" spans="1:33" ht="36" customHeight="1">
      <c r="A32" s="4728" t="s">
        <v>5753</v>
      </c>
      <c r="B32" s="4728"/>
    </row>
    <row r="33" spans="1:2" ht="36" customHeight="1">
      <c r="A33" s="4730" t="s">
        <v>5754</v>
      </c>
      <c r="B33" s="4730"/>
    </row>
    <row r="34" spans="1:2" ht="36" customHeight="1">
      <c r="A34" s="4728" t="s">
        <v>5855</v>
      </c>
      <c r="B34" s="4728" t="s">
        <v>5856</v>
      </c>
    </row>
    <row r="35" spans="1:2" ht="36" customHeight="1">
      <c r="A35" s="4728" t="s">
        <v>5855</v>
      </c>
      <c r="B35" s="4945" t="s">
        <v>5857</v>
      </c>
    </row>
    <row r="36" spans="1:2" ht="36" customHeight="1"/>
    <row r="37" spans="1:2" ht="36" customHeight="1"/>
    <row r="38" spans="1:2" ht="36" customHeight="1"/>
    <row r="39" spans="1:2" ht="36" customHeight="1"/>
    <row r="40" spans="1:2" ht="36" customHeight="1"/>
    <row r="41" spans="1:2" ht="36" customHeight="1"/>
    <row r="42" spans="1:2" ht="10.4" customHeight="1"/>
  </sheetData>
  <mergeCells count="35">
    <mergeCell ref="A29:B29"/>
    <mergeCell ref="AF4:AG4"/>
    <mergeCell ref="A2:B2"/>
    <mergeCell ref="C2:G2"/>
    <mergeCell ref="A5:A6"/>
    <mergeCell ref="B5:B6"/>
    <mergeCell ref="C5:C6"/>
    <mergeCell ref="D5:D6"/>
    <mergeCell ref="E5:E6"/>
    <mergeCell ref="F5:F6"/>
    <mergeCell ref="G5:G6"/>
    <mergeCell ref="AD5:AD6"/>
    <mergeCell ref="AE5:AE6"/>
    <mergeCell ref="Q23:S23"/>
    <mergeCell ref="U23:W23"/>
    <mergeCell ref="Z23:AA23"/>
    <mergeCell ref="AB23:AC23"/>
    <mergeCell ref="Q5:S6"/>
    <mergeCell ref="T5:T6"/>
    <mergeCell ref="U5:W6"/>
    <mergeCell ref="X5:X6"/>
    <mergeCell ref="A25:B25"/>
    <mergeCell ref="Y5:Y6"/>
    <mergeCell ref="Z5:AC6"/>
    <mergeCell ref="N5:N6"/>
    <mergeCell ref="O5:P5"/>
    <mergeCell ref="H5:H6"/>
    <mergeCell ref="I5:I6"/>
    <mergeCell ref="J5:J6"/>
    <mergeCell ref="K5:K6"/>
    <mergeCell ref="L5:L6"/>
    <mergeCell ref="M5:M6"/>
    <mergeCell ref="A26:B26"/>
    <mergeCell ref="A27:B27"/>
    <mergeCell ref="A28:B28"/>
  </mergeCells>
  <phoneticPr fontId="2"/>
  <conditionalFormatting sqref="B8:C22 H7:N22">
    <cfRule type="containsBlanks" dxfId="846" priority="2">
      <formula>LEN(TRIM(B7))=0</formula>
    </cfRule>
  </conditionalFormatting>
  <conditionalFormatting sqref="C2:D2">
    <cfRule type="containsBlanks" dxfId="845" priority="7">
      <formula>LEN(TRIM(C2))=0</formula>
    </cfRule>
  </conditionalFormatting>
  <conditionalFormatting sqref="D7:D22">
    <cfRule type="containsBlanks" dxfId="844" priority="5">
      <formula>LEN(TRIM(D7))=0</formula>
    </cfRule>
  </conditionalFormatting>
  <conditionalFormatting sqref="E8:E22">
    <cfRule type="containsBlanks" dxfId="843" priority="6">
      <formula>LEN(TRIM(E8))=0</formula>
    </cfRule>
  </conditionalFormatting>
  <conditionalFormatting sqref="F7:F22">
    <cfRule type="containsBlanks" dxfId="842" priority="4">
      <formula>LEN(TRIM(F7))=0</formula>
    </cfRule>
  </conditionalFormatting>
  <conditionalFormatting sqref="G8:G22">
    <cfRule type="containsBlanks" dxfId="841" priority="3">
      <formula>LEN(TRIM(G8))=0</formula>
    </cfRule>
  </conditionalFormatting>
  <conditionalFormatting sqref="P7:Q22">
    <cfRule type="containsBlanks" dxfId="840" priority="8">
      <formula>LEN(TRIM(P7))=0</formula>
    </cfRule>
  </conditionalFormatting>
  <conditionalFormatting sqref="S7:U22">
    <cfRule type="containsBlanks" dxfId="839" priority="12">
      <formula>LEN(TRIM(S7))=0</formula>
    </cfRule>
  </conditionalFormatting>
  <conditionalFormatting sqref="W7:Y22">
    <cfRule type="containsBlanks" dxfId="838" priority="11">
      <formula>LEN(TRIM(W7))=0</formula>
    </cfRule>
  </conditionalFormatting>
  <conditionalFormatting sqref="AA7:AA22">
    <cfRule type="containsBlanks" dxfId="837" priority="10">
      <formula>LEN(TRIM(AA7))=0</formula>
    </cfRule>
  </conditionalFormatting>
  <conditionalFormatting sqref="AC7:AD22">
    <cfRule type="containsBlanks" dxfId="836" priority="9">
      <formula>LEN(TRIM(AC7))=0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drawing r:id="rId2"/>
  <legacy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DC85-BEBB-43EF-8DA6-7C3AC59CCC87}">
  <sheetPr codeName="Sheet318">
    <tabColor rgb="FFFFFF66"/>
    <pageSetUpPr fitToPage="1"/>
  </sheetPr>
  <dimension ref="A1:AE42"/>
  <sheetViews>
    <sheetView zoomScale="55" zoomScaleNormal="55" workbookViewId="0">
      <selection activeCell="N2" sqref="N2"/>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'[7]別紙1-1）客室提供条件'!C2</f>
        <v>名古屋マリオットアソシアホテル</v>
      </c>
      <c r="D2" s="6876"/>
      <c r="E2" s="6876"/>
      <c r="F2" s="6876"/>
      <c r="G2" s="6876"/>
      <c r="H2" s="4661" t="s">
        <v>5709</v>
      </c>
      <c r="I2" s="4732"/>
      <c r="J2" s="4733"/>
      <c r="K2" s="4733"/>
      <c r="M2" s="4808" t="s">
        <v>5748</v>
      </c>
      <c r="N2" s="7105">
        <f>SUM(N8,N10,N12)</f>
        <v>3054400</v>
      </c>
      <c r="T2" s="4656"/>
      <c r="U2" s="4734" t="s">
        <v>5755</v>
      </c>
      <c r="W2" s="4853"/>
      <c r="X2" s="4853"/>
      <c r="Y2" s="4853"/>
      <c r="Z2" s="4853"/>
      <c r="AA2" s="4853"/>
      <c r="AB2" s="4735"/>
      <c r="AC2" s="4735"/>
      <c r="AD2" s="4735"/>
      <c r="AE2" s="4735"/>
    </row>
    <row r="3" spans="1:31" ht="33.75" customHeight="1">
      <c r="A3" s="4656"/>
      <c r="B3" s="4660"/>
      <c r="C3" s="4660"/>
      <c r="D3" s="4660"/>
      <c r="G3" s="4660"/>
      <c r="H3" s="4660"/>
      <c r="M3" s="4808" t="s">
        <v>5854</v>
      </c>
      <c r="N3" s="4809">
        <f>N2</f>
        <v>3054400</v>
      </c>
      <c r="O3" s="4656"/>
      <c r="P3" s="4657"/>
      <c r="Q3" s="4657"/>
      <c r="AC3" s="4657"/>
    </row>
    <row r="4" spans="1:31" ht="33.75" customHeight="1" thickBot="1">
      <c r="A4" s="4737" t="s">
        <v>5836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5858</v>
      </c>
      <c r="O5" s="6884" t="s">
        <v>5859</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890" t="s">
        <v>5780</v>
      </c>
      <c r="H7" s="4891">
        <v>3</v>
      </c>
      <c r="I7" s="4892" t="s">
        <v>5781</v>
      </c>
      <c r="J7" s="4893">
        <v>30</v>
      </c>
      <c r="K7" s="4894">
        <v>100</v>
      </c>
      <c r="L7" s="4894">
        <f>J7*K7</f>
        <v>3000</v>
      </c>
      <c r="M7" s="4895">
        <v>5</v>
      </c>
      <c r="N7" s="4896">
        <v>150000</v>
      </c>
      <c r="O7" s="4754">
        <f>F7*N7</f>
        <v>3150000</v>
      </c>
      <c r="P7" s="4897" t="s">
        <v>5782</v>
      </c>
      <c r="Q7" s="4898">
        <v>4</v>
      </c>
      <c r="R7" s="4898" t="s">
        <v>3804</v>
      </c>
      <c r="S7" s="4894" t="s">
        <v>246</v>
      </c>
      <c r="T7" s="4898" t="s">
        <v>2161</v>
      </c>
      <c r="U7" s="4899">
        <v>2000</v>
      </c>
    </row>
    <row r="8" spans="1:31" s="4666" customFormat="1" ht="33.75" customHeight="1">
      <c r="A8" s="4758">
        <v>1</v>
      </c>
      <c r="B8" s="4946">
        <v>46307</v>
      </c>
      <c r="C8" s="4900">
        <v>46320</v>
      </c>
      <c r="D8" s="4947">
        <v>0.29166666666666669</v>
      </c>
      <c r="E8" s="4948">
        <v>0.875</v>
      </c>
      <c r="F8" s="4949">
        <v>16</v>
      </c>
      <c r="G8" s="4771" t="s">
        <v>5860</v>
      </c>
      <c r="H8" s="4762">
        <v>51</v>
      </c>
      <c r="I8" s="4763" t="s">
        <v>5190</v>
      </c>
      <c r="J8" s="4902">
        <v>6.5</v>
      </c>
      <c r="K8" s="4765">
        <v>17.899999999999999</v>
      </c>
      <c r="L8" s="4765">
        <v>160</v>
      </c>
      <c r="M8" s="4765">
        <v>2.8</v>
      </c>
      <c r="N8" s="4762">
        <v>986700</v>
      </c>
      <c r="O8" s="4766">
        <f>F8*N8</f>
        <v>15787200</v>
      </c>
      <c r="P8" s="4857" t="s">
        <v>3804</v>
      </c>
      <c r="Q8" s="4858" t="s">
        <v>246</v>
      </c>
      <c r="R8" s="4859" t="s">
        <v>5815</v>
      </c>
      <c r="S8" s="4858">
        <v>27500</v>
      </c>
      <c r="T8" s="4859" t="s">
        <v>5815</v>
      </c>
      <c r="U8" s="4860">
        <v>0</v>
      </c>
    </row>
    <row r="9" spans="1:31" s="4666" customFormat="1" ht="33.75" customHeight="1">
      <c r="A9" s="4758">
        <v>2</v>
      </c>
      <c r="B9" s="4900">
        <v>46321</v>
      </c>
      <c r="C9" s="4900">
        <v>46321</v>
      </c>
      <c r="D9" s="4947">
        <v>0.29166666666666669</v>
      </c>
      <c r="E9" s="4948">
        <v>0.54166666666666663</v>
      </c>
      <c r="F9" s="4949">
        <f t="shared" ref="F9:F26" si="0">IF(OR(ISBLANK($B9), ISBLANK($C9)), 0, _xlfn.DAYS($C9, $B9) + 1)</f>
        <v>1</v>
      </c>
      <c r="G9" s="4771" t="s">
        <v>5860</v>
      </c>
      <c r="H9" s="4762">
        <v>51</v>
      </c>
      <c r="I9" s="4763" t="s">
        <v>5190</v>
      </c>
      <c r="J9" s="4902">
        <v>6.5</v>
      </c>
      <c r="K9" s="4765">
        <v>17.899999999999999</v>
      </c>
      <c r="L9" s="4765">
        <v>160</v>
      </c>
      <c r="M9" s="4765">
        <v>2.8</v>
      </c>
      <c r="N9" s="4762">
        <v>527850</v>
      </c>
      <c r="O9" s="4766">
        <f t="shared" ref="O9:O26" si="1">F9*N9</f>
        <v>527850</v>
      </c>
      <c r="P9" s="4857" t="s">
        <v>3804</v>
      </c>
      <c r="Q9" s="4858" t="s">
        <v>246</v>
      </c>
      <c r="R9" s="4859" t="s">
        <v>5815</v>
      </c>
      <c r="S9" s="4858">
        <v>27500</v>
      </c>
      <c r="T9" s="4859" t="s">
        <v>5815</v>
      </c>
      <c r="U9" s="4860">
        <v>0</v>
      </c>
    </row>
    <row r="10" spans="1:31" s="4666" customFormat="1" ht="33.75" customHeight="1">
      <c r="A10" s="4758">
        <v>3</v>
      </c>
      <c r="B10" s="4900">
        <v>46305</v>
      </c>
      <c r="C10" s="4900">
        <v>46320</v>
      </c>
      <c r="D10" s="4947">
        <v>0.29166666666666669</v>
      </c>
      <c r="E10" s="4948">
        <v>0.875</v>
      </c>
      <c r="F10" s="4949">
        <v>18</v>
      </c>
      <c r="G10" s="4771" t="s">
        <v>5822</v>
      </c>
      <c r="H10" s="4762">
        <v>51</v>
      </c>
      <c r="I10" s="4763" t="s">
        <v>5190</v>
      </c>
      <c r="J10" s="4902">
        <v>9.1</v>
      </c>
      <c r="K10" s="4765">
        <v>16.8</v>
      </c>
      <c r="L10" s="4765">
        <v>215</v>
      </c>
      <c r="M10" s="4765">
        <v>2.8</v>
      </c>
      <c r="N10" s="4762">
        <v>1319050</v>
      </c>
      <c r="O10" s="4766">
        <f t="shared" si="1"/>
        <v>23742900</v>
      </c>
      <c r="P10" s="4857" t="s">
        <v>3804</v>
      </c>
      <c r="Q10" s="4858" t="s">
        <v>246</v>
      </c>
      <c r="R10" s="4859" t="s">
        <v>5815</v>
      </c>
      <c r="S10" s="4858">
        <v>27500</v>
      </c>
      <c r="T10" s="4859" t="s">
        <v>5815</v>
      </c>
      <c r="U10" s="4860">
        <v>0</v>
      </c>
    </row>
    <row r="11" spans="1:31" s="4666" customFormat="1" ht="33.75" customHeight="1">
      <c r="A11" s="4758">
        <v>4</v>
      </c>
      <c r="B11" s="4900">
        <v>46321</v>
      </c>
      <c r="C11" s="4900">
        <v>46321</v>
      </c>
      <c r="D11" s="4947">
        <v>0.29166666666666669</v>
      </c>
      <c r="E11" s="4948">
        <v>0.54166666666666663</v>
      </c>
      <c r="F11" s="4949">
        <f t="shared" si="0"/>
        <v>1</v>
      </c>
      <c r="G11" s="4771" t="s">
        <v>5822</v>
      </c>
      <c r="H11" s="4762">
        <v>51</v>
      </c>
      <c r="I11" s="4763" t="s">
        <v>5190</v>
      </c>
      <c r="J11" s="4902">
        <v>9.1</v>
      </c>
      <c r="K11" s="4765">
        <v>16.8</v>
      </c>
      <c r="L11" s="4765">
        <v>215</v>
      </c>
      <c r="M11" s="4765">
        <v>2.8</v>
      </c>
      <c r="N11" s="4762">
        <v>716450</v>
      </c>
      <c r="O11" s="4766">
        <f t="shared" si="1"/>
        <v>716450</v>
      </c>
      <c r="P11" s="4857" t="s">
        <v>3804</v>
      </c>
      <c r="Q11" s="4858" t="s">
        <v>246</v>
      </c>
      <c r="R11" s="4859" t="s">
        <v>5815</v>
      </c>
      <c r="S11" s="4858">
        <v>27500</v>
      </c>
      <c r="T11" s="4859" t="s">
        <v>5815</v>
      </c>
      <c r="U11" s="4860">
        <v>0</v>
      </c>
    </row>
    <row r="12" spans="1:31" s="4666" customFormat="1" ht="33.75" customHeight="1">
      <c r="A12" s="4758">
        <v>5</v>
      </c>
      <c r="B12" s="4900">
        <v>46305</v>
      </c>
      <c r="C12" s="4900">
        <v>46320</v>
      </c>
      <c r="D12" s="4947">
        <v>0.29166666666666669</v>
      </c>
      <c r="E12" s="4948">
        <v>0.875</v>
      </c>
      <c r="F12" s="4949">
        <v>18</v>
      </c>
      <c r="G12" s="4771" t="s">
        <v>5861</v>
      </c>
      <c r="H12" s="4762">
        <v>51</v>
      </c>
      <c r="I12" s="4763" t="s">
        <v>5190</v>
      </c>
      <c r="J12" s="4902">
        <v>7.8</v>
      </c>
      <c r="K12" s="4765">
        <v>9.3000000000000007</v>
      </c>
      <c r="L12" s="4765">
        <v>110</v>
      </c>
      <c r="M12" s="4765">
        <v>2.8</v>
      </c>
      <c r="N12" s="4762">
        <v>748650</v>
      </c>
      <c r="O12" s="4766">
        <f t="shared" si="1"/>
        <v>13475700</v>
      </c>
      <c r="P12" s="4857" t="s">
        <v>3804</v>
      </c>
      <c r="Q12" s="4858" t="s">
        <v>246</v>
      </c>
      <c r="R12" s="4859" t="s">
        <v>5815</v>
      </c>
      <c r="S12" s="4858">
        <v>27500</v>
      </c>
      <c r="T12" s="4859" t="s">
        <v>5815</v>
      </c>
      <c r="U12" s="4860">
        <v>0</v>
      </c>
    </row>
    <row r="13" spans="1:31" s="4666" customFormat="1" ht="33.75" customHeight="1">
      <c r="A13" s="4758">
        <v>6</v>
      </c>
      <c r="B13" s="4900">
        <v>46321</v>
      </c>
      <c r="C13" s="4900">
        <v>46321</v>
      </c>
      <c r="D13" s="4947">
        <v>0.29166666666666669</v>
      </c>
      <c r="E13" s="4948">
        <v>0.54166666666666663</v>
      </c>
      <c r="F13" s="4949">
        <f t="shared" si="0"/>
        <v>1</v>
      </c>
      <c r="G13" s="4771" t="s">
        <v>5861</v>
      </c>
      <c r="H13" s="4762">
        <v>51</v>
      </c>
      <c r="I13" s="4763" t="s">
        <v>5190</v>
      </c>
      <c r="J13" s="4902">
        <v>7.8</v>
      </c>
      <c r="K13" s="4765">
        <v>9.3000000000000007</v>
      </c>
      <c r="L13" s="4765">
        <v>110</v>
      </c>
      <c r="M13" s="4765">
        <v>2.8</v>
      </c>
      <c r="N13" s="4762">
        <v>361100</v>
      </c>
      <c r="O13" s="4766">
        <f t="shared" si="1"/>
        <v>361100</v>
      </c>
      <c r="P13" s="4857" t="s">
        <v>3804</v>
      </c>
      <c r="Q13" s="4858" t="s">
        <v>246</v>
      </c>
      <c r="R13" s="4859" t="s">
        <v>5815</v>
      </c>
      <c r="S13" s="4858">
        <v>27500</v>
      </c>
      <c r="T13" s="4859" t="s">
        <v>5815</v>
      </c>
      <c r="U13" s="4860">
        <v>0</v>
      </c>
    </row>
    <row r="14" spans="1:31" s="4666" customFormat="1" ht="33.75" customHeight="1">
      <c r="A14" s="4758">
        <v>7</v>
      </c>
      <c r="B14" s="4900"/>
      <c r="C14" s="4900"/>
      <c r="D14" s="4913"/>
      <c r="E14" s="4759"/>
      <c r="F14" s="4760">
        <f t="shared" si="0"/>
        <v>0</v>
      </c>
      <c r="G14" s="4771"/>
      <c r="H14" s="4762"/>
      <c r="I14" s="4763"/>
      <c r="J14" s="4902"/>
      <c r="K14" s="4765"/>
      <c r="L14" s="4765"/>
      <c r="M14" s="4765"/>
      <c r="N14" s="4762"/>
      <c r="O14" s="4766">
        <f t="shared" si="1"/>
        <v>0</v>
      </c>
      <c r="P14" s="4857"/>
      <c r="Q14" s="4858"/>
      <c r="R14" s="4859"/>
      <c r="S14" s="4858"/>
      <c r="T14" s="4859"/>
      <c r="U14" s="4860"/>
    </row>
    <row r="15" spans="1:31" s="4666" customFormat="1" ht="33.75" customHeight="1">
      <c r="A15" s="4758">
        <v>8</v>
      </c>
      <c r="B15" s="4900"/>
      <c r="C15" s="4900"/>
      <c r="D15" s="4913"/>
      <c r="E15" s="4759"/>
      <c r="F15" s="4760">
        <f t="shared" si="0"/>
        <v>0</v>
      </c>
      <c r="G15" s="4771"/>
      <c r="H15" s="4762"/>
      <c r="I15" s="4763"/>
      <c r="J15" s="4902"/>
      <c r="K15" s="4765"/>
      <c r="L15" s="4765"/>
      <c r="M15" s="4765"/>
      <c r="N15" s="4762"/>
      <c r="O15" s="4766">
        <f t="shared" si="1"/>
        <v>0</v>
      </c>
      <c r="P15" s="4857"/>
      <c r="Q15" s="4858"/>
      <c r="R15" s="4859"/>
      <c r="S15" s="4858"/>
      <c r="T15" s="4859"/>
      <c r="U15" s="4860"/>
    </row>
    <row r="16" spans="1:31" s="4666" customFormat="1" ht="33.75" customHeight="1">
      <c r="A16" s="4758">
        <v>9</v>
      </c>
      <c r="B16" s="4900"/>
      <c r="C16" s="4900"/>
      <c r="D16" s="4913"/>
      <c r="E16" s="4759"/>
      <c r="F16" s="4760">
        <f t="shared" si="0"/>
        <v>0</v>
      </c>
      <c r="G16" s="4771"/>
      <c r="H16" s="4762"/>
      <c r="I16" s="4763"/>
      <c r="J16" s="4902"/>
      <c r="K16" s="4765"/>
      <c r="L16" s="4765"/>
      <c r="M16" s="4765"/>
      <c r="N16" s="4762"/>
      <c r="O16" s="4766">
        <f t="shared" si="1"/>
        <v>0</v>
      </c>
      <c r="P16" s="4857"/>
      <c r="Q16" s="4858"/>
      <c r="R16" s="4859"/>
      <c r="S16" s="4858"/>
      <c r="T16" s="4859"/>
      <c r="U16" s="4860"/>
    </row>
    <row r="17" spans="1:31" s="4666" customFormat="1" ht="33.75" customHeight="1">
      <c r="A17" s="4758">
        <v>10</v>
      </c>
      <c r="B17" s="4900"/>
      <c r="C17" s="4900"/>
      <c r="D17" s="4913"/>
      <c r="E17" s="4759"/>
      <c r="F17" s="4760">
        <f t="shared" si="0"/>
        <v>0</v>
      </c>
      <c r="G17" s="4771"/>
      <c r="H17" s="4762"/>
      <c r="I17" s="4763"/>
      <c r="J17" s="4902"/>
      <c r="K17" s="4765"/>
      <c r="L17" s="4765"/>
      <c r="M17" s="4765"/>
      <c r="N17" s="4762"/>
      <c r="O17" s="4766">
        <f t="shared" si="1"/>
        <v>0</v>
      </c>
      <c r="P17" s="4857"/>
      <c r="Q17" s="4858"/>
      <c r="R17" s="4859"/>
      <c r="S17" s="4858"/>
      <c r="T17" s="4859"/>
      <c r="U17" s="4860"/>
    </row>
    <row r="18" spans="1:31" ht="33.75" customHeight="1">
      <c r="A18" s="4758">
        <v>11</v>
      </c>
      <c r="B18" s="4900"/>
      <c r="C18" s="4900"/>
      <c r="D18" s="4913"/>
      <c r="E18" s="4759"/>
      <c r="F18" s="4760">
        <f t="shared" si="0"/>
        <v>0</v>
      </c>
      <c r="G18" s="4771"/>
      <c r="H18" s="4762"/>
      <c r="I18" s="4763"/>
      <c r="J18" s="4902"/>
      <c r="K18" s="4765"/>
      <c r="L18" s="4765"/>
      <c r="M18" s="4765"/>
      <c r="N18" s="4762"/>
      <c r="O18" s="4766">
        <f t="shared" si="1"/>
        <v>0</v>
      </c>
      <c r="P18" s="4857"/>
      <c r="Q18" s="4858"/>
      <c r="R18" s="4859"/>
      <c r="S18" s="4858"/>
      <c r="T18" s="4859"/>
      <c r="U18" s="4860"/>
      <c r="AC18" s="4657"/>
    </row>
    <row r="19" spans="1:31" ht="33.75" customHeight="1">
      <c r="A19" s="4758">
        <v>12</v>
      </c>
      <c r="B19" s="4900"/>
      <c r="C19" s="4900"/>
      <c r="D19" s="4913"/>
      <c r="E19" s="4759"/>
      <c r="F19" s="4760">
        <f t="shared" si="0"/>
        <v>0</v>
      </c>
      <c r="G19" s="4771"/>
      <c r="H19" s="4762"/>
      <c r="I19" s="4763"/>
      <c r="J19" s="4902"/>
      <c r="K19" s="4765"/>
      <c r="L19" s="4765"/>
      <c r="M19" s="4765"/>
      <c r="N19" s="4762"/>
      <c r="O19" s="4766">
        <f t="shared" si="1"/>
        <v>0</v>
      </c>
      <c r="P19" s="4857"/>
      <c r="Q19" s="4858"/>
      <c r="R19" s="4859"/>
      <c r="S19" s="4858"/>
      <c r="T19" s="4859"/>
      <c r="U19" s="4860"/>
      <c r="AC19" s="4657"/>
    </row>
    <row r="20" spans="1:31" ht="33.75" customHeight="1">
      <c r="A20" s="4758">
        <v>13</v>
      </c>
      <c r="B20" s="4900"/>
      <c r="C20" s="4900"/>
      <c r="D20" s="4913"/>
      <c r="E20" s="4759"/>
      <c r="F20" s="4760">
        <f t="shared" si="0"/>
        <v>0</v>
      </c>
      <c r="G20" s="4771"/>
      <c r="H20" s="4762"/>
      <c r="I20" s="4763"/>
      <c r="J20" s="4902"/>
      <c r="K20" s="4765"/>
      <c r="L20" s="4765"/>
      <c r="M20" s="4765"/>
      <c r="N20" s="4762"/>
      <c r="O20" s="4766">
        <f t="shared" si="1"/>
        <v>0</v>
      </c>
      <c r="P20" s="4857"/>
      <c r="Q20" s="4858"/>
      <c r="R20" s="4859"/>
      <c r="S20" s="4858"/>
      <c r="T20" s="4859"/>
      <c r="U20" s="4860"/>
      <c r="AC20" s="4657"/>
    </row>
    <row r="21" spans="1:31" ht="33.75" customHeight="1">
      <c r="A21" s="4758">
        <v>14</v>
      </c>
      <c r="B21" s="4900"/>
      <c r="C21" s="4900"/>
      <c r="D21" s="4913"/>
      <c r="E21" s="4759"/>
      <c r="F21" s="4760">
        <f t="shared" si="0"/>
        <v>0</v>
      </c>
      <c r="G21" s="4771"/>
      <c r="H21" s="4762"/>
      <c r="I21" s="4763"/>
      <c r="J21" s="4902"/>
      <c r="K21" s="4765"/>
      <c r="L21" s="4765"/>
      <c r="M21" s="4765"/>
      <c r="N21" s="4762"/>
      <c r="O21" s="4766">
        <f t="shared" si="1"/>
        <v>0</v>
      </c>
      <c r="P21" s="4857"/>
      <c r="Q21" s="4858"/>
      <c r="R21" s="4859"/>
      <c r="S21" s="4858"/>
      <c r="T21" s="4859"/>
      <c r="U21" s="4860"/>
      <c r="AC21" s="4657"/>
    </row>
    <row r="22" spans="1:31" ht="33.75" customHeight="1">
      <c r="A22" s="4758">
        <v>15</v>
      </c>
      <c r="B22" s="4950"/>
      <c r="C22" s="4950"/>
      <c r="D22" s="4951"/>
      <c r="E22" s="4759"/>
      <c r="F22" s="4760">
        <f t="shared" si="0"/>
        <v>0</v>
      </c>
      <c r="G22" s="4950"/>
      <c r="H22" s="4952"/>
      <c r="I22" s="4763"/>
      <c r="J22" s="4902"/>
      <c r="K22" s="4765"/>
      <c r="L22" s="4765"/>
      <c r="M22" s="4765"/>
      <c r="N22" s="4762"/>
      <c r="O22" s="4766">
        <f t="shared" si="1"/>
        <v>0</v>
      </c>
      <c r="P22" s="4857"/>
      <c r="Q22" s="4858"/>
      <c r="R22" s="4859"/>
      <c r="S22" s="4858"/>
      <c r="T22" s="4859"/>
      <c r="U22" s="4860"/>
      <c r="AC22" s="4657"/>
    </row>
    <row r="23" spans="1:31" ht="33.75" customHeight="1">
      <c r="A23" s="4758">
        <v>16</v>
      </c>
      <c r="B23" s="4950"/>
      <c r="C23" s="4950"/>
      <c r="D23" s="4951"/>
      <c r="E23" s="4759"/>
      <c r="F23" s="4760">
        <f t="shared" si="0"/>
        <v>0</v>
      </c>
      <c r="G23" s="4950"/>
      <c r="H23" s="4952"/>
      <c r="I23" s="4763"/>
      <c r="J23" s="4902"/>
      <c r="K23" s="4765"/>
      <c r="L23" s="4765"/>
      <c r="M23" s="4765"/>
      <c r="N23" s="4762"/>
      <c r="O23" s="4766">
        <f t="shared" si="1"/>
        <v>0</v>
      </c>
      <c r="P23" s="4857"/>
      <c r="Q23" s="4858"/>
      <c r="R23" s="4859"/>
      <c r="S23" s="4858"/>
      <c r="T23" s="4859"/>
      <c r="U23" s="4860"/>
      <c r="AC23" s="4657"/>
    </row>
    <row r="24" spans="1:31" ht="33.75" customHeight="1">
      <c r="A24" s="4758">
        <v>17</v>
      </c>
      <c r="B24" s="4950"/>
      <c r="C24" s="4950"/>
      <c r="D24" s="4951"/>
      <c r="E24" s="4759"/>
      <c r="F24" s="4760">
        <f t="shared" si="0"/>
        <v>0</v>
      </c>
      <c r="G24" s="4950"/>
      <c r="H24" s="4952"/>
      <c r="I24" s="4763"/>
      <c r="J24" s="4902"/>
      <c r="K24" s="4765"/>
      <c r="L24" s="4765"/>
      <c r="M24" s="4765"/>
      <c r="N24" s="4762"/>
      <c r="O24" s="4766">
        <f t="shared" si="1"/>
        <v>0</v>
      </c>
      <c r="P24" s="4857"/>
      <c r="Q24" s="4858"/>
      <c r="R24" s="4859"/>
      <c r="S24" s="4858"/>
      <c r="T24" s="4859"/>
      <c r="U24" s="4860"/>
      <c r="AC24" s="4657"/>
    </row>
    <row r="25" spans="1:31" ht="33.75" customHeight="1">
      <c r="A25" s="4758">
        <v>18</v>
      </c>
      <c r="B25" s="4950"/>
      <c r="C25" s="4950"/>
      <c r="D25" s="4951"/>
      <c r="E25" s="4759"/>
      <c r="F25" s="4760">
        <f t="shared" si="0"/>
        <v>0</v>
      </c>
      <c r="G25" s="4950"/>
      <c r="H25" s="4952"/>
      <c r="I25" s="4763"/>
      <c r="J25" s="4902"/>
      <c r="K25" s="4765"/>
      <c r="L25" s="4765"/>
      <c r="M25" s="4765"/>
      <c r="N25" s="4762"/>
      <c r="O25" s="4766">
        <f t="shared" si="1"/>
        <v>0</v>
      </c>
      <c r="P25" s="4857"/>
      <c r="Q25" s="4858"/>
      <c r="R25" s="4859"/>
      <c r="S25" s="4858"/>
      <c r="T25" s="4859"/>
      <c r="U25" s="4860"/>
      <c r="AC25" s="4657"/>
    </row>
    <row r="26" spans="1:31" ht="33.75" customHeight="1" thickBot="1">
      <c r="A26" s="4758">
        <v>19</v>
      </c>
      <c r="B26" s="4953"/>
      <c r="C26" s="4953"/>
      <c r="D26" s="4954"/>
      <c r="E26" s="4915"/>
      <c r="F26" s="4770">
        <f t="shared" si="0"/>
        <v>0</v>
      </c>
      <c r="G26" s="4953"/>
      <c r="H26" s="4955"/>
      <c r="I26" s="4774"/>
      <c r="J26" s="4902"/>
      <c r="K26" s="4765"/>
      <c r="L26" s="4765"/>
      <c r="M26" s="4765"/>
      <c r="N26" s="4775"/>
      <c r="O26" s="4766">
        <f t="shared" si="1"/>
        <v>0</v>
      </c>
      <c r="P26" s="4918"/>
      <c r="Q26" s="4919"/>
      <c r="R26" s="4920"/>
      <c r="S26" s="4919"/>
      <c r="T26" s="4920"/>
      <c r="U26" s="4921"/>
      <c r="AC26" s="4657"/>
    </row>
    <row r="27" spans="1:31" ht="33.75" customHeight="1" thickTop="1" thickBot="1">
      <c r="A27" s="4956" t="s">
        <v>5862</v>
      </c>
      <c r="B27" s="4866"/>
      <c r="C27" s="4866"/>
      <c r="D27" s="4866"/>
      <c r="E27" s="4866"/>
      <c r="F27" s="4867">
        <f>SUM(F8:F26)</f>
        <v>55</v>
      </c>
      <c r="G27" s="4866"/>
      <c r="H27" s="4868"/>
      <c r="I27" s="4782">
        <f>COUNTA(I8,I10,I12)</f>
        <v>3</v>
      </c>
      <c r="J27" s="4870"/>
      <c r="K27" s="4870"/>
      <c r="L27" s="4870"/>
      <c r="M27" s="4870"/>
      <c r="N27" s="4903"/>
      <c r="O27" s="4871">
        <f>SUM(O8:O26)</f>
        <v>54611200</v>
      </c>
      <c r="P27" s="4904"/>
      <c r="Q27" s="4904"/>
      <c r="R27" s="4905"/>
      <c r="S27" s="4906"/>
      <c r="T27" s="4905"/>
      <c r="U27" s="4907"/>
      <c r="AC27" s="4657"/>
    </row>
    <row r="28" spans="1:31" s="7119" customFormat="1" ht="33.75" customHeight="1" thickBot="1">
      <c r="A28" s="7091" t="s">
        <v>5792</v>
      </c>
      <c r="B28" s="7107"/>
      <c r="C28" s="7108"/>
      <c r="D28" s="7108"/>
      <c r="E28" s="7108"/>
      <c r="F28" s="7109"/>
      <c r="G28" s="7108"/>
      <c r="H28" s="7110"/>
      <c r="I28" s="7108"/>
      <c r="J28" s="7111"/>
      <c r="K28" s="7111"/>
      <c r="L28" s="7111"/>
      <c r="M28" s="7111"/>
      <c r="N28" s="7112"/>
      <c r="O28" s="7113">
        <f>O27</f>
        <v>54611200</v>
      </c>
      <c r="P28" s="7114"/>
      <c r="Q28" s="7114"/>
      <c r="R28" s="7115"/>
      <c r="S28" s="7116"/>
      <c r="T28" s="7115"/>
      <c r="U28" s="7117"/>
      <c r="V28" s="7118"/>
      <c r="W28" s="7118"/>
      <c r="X28" s="7118"/>
      <c r="Y28" s="7118"/>
      <c r="Z28" s="7118"/>
      <c r="AA28" s="7118"/>
      <c r="AB28" s="7118"/>
      <c r="AC28" s="7118"/>
      <c r="AD28" s="7118"/>
      <c r="AE28" s="7118"/>
    </row>
    <row r="29" spans="1:31" ht="32.15" customHeight="1">
      <c r="A29" s="4656"/>
      <c r="B29" s="4660"/>
      <c r="C29" s="4660"/>
      <c r="D29" s="4660"/>
      <c r="G29" s="4660"/>
      <c r="H29" s="4660"/>
      <c r="O29" s="4656"/>
      <c r="P29" s="4657"/>
      <c r="Q29" s="4657"/>
      <c r="AC29" s="4657"/>
    </row>
    <row r="30" spans="1:31" ht="32.15" customHeight="1">
      <c r="A30" s="4728" t="s">
        <v>5752</v>
      </c>
      <c r="B30" s="4657"/>
      <c r="C30" s="4657"/>
      <c r="D30" s="4657"/>
      <c r="E30" s="4810"/>
      <c r="F30" s="4811"/>
      <c r="G30" s="4657"/>
      <c r="H30" s="4657"/>
      <c r="O30" s="4656"/>
      <c r="P30" s="4657"/>
      <c r="Q30" s="4657"/>
      <c r="AC30" s="4657"/>
    </row>
    <row r="31" spans="1:31" ht="32.15" customHeight="1">
      <c r="A31" s="4728" t="s">
        <v>5863</v>
      </c>
      <c r="B31" s="4813"/>
      <c r="C31" s="4813"/>
      <c r="D31" s="4813"/>
      <c r="E31" s="4814"/>
      <c r="F31" s="4814"/>
      <c r="G31" s="4813"/>
      <c r="H31" s="4813"/>
      <c r="I31" s="4812"/>
      <c r="J31" s="4812"/>
      <c r="K31" s="4812"/>
      <c r="L31" s="4812"/>
      <c r="M31" s="4812"/>
      <c r="N31" s="4812"/>
      <c r="O31" s="4715"/>
      <c r="P31" s="4715"/>
      <c r="Q31" s="4715"/>
      <c r="R31" s="4656"/>
      <c r="S31" s="4812"/>
      <c r="T31" s="4656"/>
      <c r="U31" s="4812"/>
      <c r="W31" s="6905"/>
      <c r="X31" s="6905"/>
      <c r="Y31" s="6905"/>
      <c r="Z31" s="6905"/>
      <c r="AA31" s="6905"/>
      <c r="AB31" s="6891"/>
      <c r="AC31" s="6891"/>
      <c r="AD31" s="6891"/>
      <c r="AE31" s="6891"/>
    </row>
    <row r="32" spans="1:31" ht="36" customHeight="1">
      <c r="A32" s="4728" t="s">
        <v>5864</v>
      </c>
    </row>
    <row r="33" spans="2:29" ht="36" customHeight="1"/>
    <row r="34" spans="2:29" ht="36" customHeight="1"/>
    <row r="35" spans="2:29" ht="36" customHeight="1"/>
    <row r="36" spans="2:29" ht="36" customHeight="1"/>
    <row r="37" spans="2:29" ht="36" customHeight="1"/>
    <row r="38" spans="2:29" ht="36" customHeight="1"/>
    <row r="39" spans="2:29" ht="36" customHeight="1"/>
    <row r="40" spans="2:29" ht="36" customHeight="1"/>
    <row r="41" spans="2:29" ht="36" customHeight="1"/>
    <row r="42" spans="2:29" ht="10.4" customHeight="1">
      <c r="B42" s="4657"/>
      <c r="C42" s="4657"/>
      <c r="D42" s="4657"/>
      <c r="G42" s="4657"/>
      <c r="H42" s="4657"/>
      <c r="O42" s="4656"/>
      <c r="P42" s="4657"/>
      <c r="Q42" s="4657"/>
      <c r="AC42" s="4657"/>
    </row>
  </sheetData>
  <mergeCells count="21">
    <mergeCell ref="A2:B2"/>
    <mergeCell ref="C2:G2"/>
    <mergeCell ref="A5:A6"/>
    <mergeCell ref="B5:B6"/>
    <mergeCell ref="C5:C6"/>
    <mergeCell ref="D5:D6"/>
    <mergeCell ref="E5:E6"/>
    <mergeCell ref="F5:F6"/>
    <mergeCell ref="G5:G6"/>
    <mergeCell ref="AB31:AE31"/>
    <mergeCell ref="H5:H6"/>
    <mergeCell ref="I5:I6"/>
    <mergeCell ref="J5:J6"/>
    <mergeCell ref="K5:K6"/>
    <mergeCell ref="L5:L6"/>
    <mergeCell ref="M5:M6"/>
    <mergeCell ref="N5:N6"/>
    <mergeCell ref="O5:O6"/>
    <mergeCell ref="P5:Q5"/>
    <mergeCell ref="R5:U5"/>
    <mergeCell ref="W31:AA31"/>
  </mergeCells>
  <phoneticPr fontId="2"/>
  <conditionalFormatting sqref="B8:E26 G8:K26 M8:N26 P8:U26">
    <cfRule type="containsBlanks" dxfId="835" priority="2">
      <formula>LEN(TRIM(B8))=0</formula>
    </cfRule>
  </conditionalFormatting>
  <conditionalFormatting sqref="C2:D2">
    <cfRule type="containsBlanks" dxfId="834" priority="3">
      <formula>LEN(TRIM(C2))=0</formula>
    </cfRule>
  </conditionalFormatting>
  <conditionalFormatting sqref="L14:L26">
    <cfRule type="containsBlanks" dxfId="833" priority="1">
      <formula>LEN(TRIM(L14))=0</formula>
    </cfRule>
  </conditionalFormatting>
  <dataValidations count="1">
    <dataValidation type="list" allowBlank="1" showInputMessage="1" showErrorMessage="1" sqref="I7:I26" xr:uid="{DFE03965-4693-4C17-9ACF-84236DE1F802}">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D2FD-5FC3-4F7E-B621-C04CFC242F55}">
  <sheetPr codeName="Sheet319">
    <tabColor rgb="FFFFFF66"/>
    <pageSetUpPr fitToPage="1"/>
  </sheetPr>
  <dimension ref="A1:AG42"/>
  <sheetViews>
    <sheetView zoomScale="55" zoomScaleNormal="55" zoomScaleSheetLayoutView="70" workbookViewId="0">
      <selection activeCell="A25" sqref="A25:B29"/>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4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0.1796875" style="4657" customWidth="1"/>
    <col min="31" max="31" width="22.1796875" style="4657" customWidth="1"/>
    <col min="32" max="33" width="26.6328125" style="4657" customWidth="1"/>
    <col min="34" max="16384" width="9.81640625" style="4657"/>
  </cols>
  <sheetData>
    <row r="1" spans="1:33" ht="21" customHeight="1" thickBot="1">
      <c r="R1" s="4656"/>
      <c r="T1" s="4660"/>
      <c r="V1" s="4656"/>
    </row>
    <row r="2" spans="1:33" ht="44.25" customHeight="1" thickBot="1">
      <c r="A2" s="6874" t="s">
        <v>5707</v>
      </c>
      <c r="B2" s="6875"/>
      <c r="C2" s="6876" t="s">
        <v>5865</v>
      </c>
      <c r="D2" s="6876"/>
      <c r="E2" s="6876"/>
      <c r="F2" s="6876"/>
      <c r="G2" s="6876"/>
      <c r="H2" s="4661" t="s">
        <v>5709</v>
      </c>
      <c r="I2" s="4662"/>
      <c r="J2" s="4663"/>
      <c r="L2" s="4713" t="s">
        <v>5748</v>
      </c>
      <c r="M2" s="7106">
        <f>SUM(M8*K8,M9*K9,M10*K10,M11*K11,M12*K12,M13*K13,,M14*K14,M15*K15,M16*K16)</f>
        <v>16847042</v>
      </c>
      <c r="N2" s="4663"/>
      <c r="R2" s="4656"/>
      <c r="T2" s="4660"/>
      <c r="V2" s="4656"/>
      <c r="AD2" s="4664" t="s">
        <v>5710</v>
      </c>
    </row>
    <row r="3" spans="1:33" ht="32.5" customHeight="1">
      <c r="L3" s="4721" t="s">
        <v>5854</v>
      </c>
      <c r="M3" s="4722">
        <f>M2</f>
        <v>16847042</v>
      </c>
      <c r="R3" s="4656"/>
      <c r="T3" s="4660"/>
      <c r="V3" s="4656"/>
    </row>
    <row r="4" spans="1:33" ht="33.75" customHeight="1" thickBot="1">
      <c r="A4" s="4665" t="s">
        <v>5807</v>
      </c>
      <c r="B4" s="4665"/>
      <c r="R4" s="4656"/>
      <c r="V4" s="4656"/>
      <c r="Y4" s="4656"/>
      <c r="Z4" s="4656"/>
      <c r="AA4" s="4656"/>
      <c r="AB4" s="4656"/>
      <c r="AC4" s="4656"/>
      <c r="AE4" s="4656" t="s">
        <v>5712</v>
      </c>
      <c r="AF4" s="7084" t="s">
        <v>7049</v>
      </c>
      <c r="AG4" s="7084" t="s">
        <v>7050</v>
      </c>
    </row>
    <row r="5" spans="1:33" s="4666" customFormat="1" ht="33.75" customHeight="1" thickBo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5866</v>
      </c>
      <c r="M5" s="6855" t="s">
        <v>5867</v>
      </c>
      <c r="N5" s="6855" t="s">
        <v>5868</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c r="AF5" s="7085"/>
      <c r="AG5" s="7086"/>
    </row>
    <row r="6" spans="1:33" s="4666" customFormat="1" ht="20">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c r="AF6" s="7087" t="s">
        <v>246</v>
      </c>
      <c r="AG6" s="7087" t="s">
        <v>246</v>
      </c>
    </row>
    <row r="7" spans="1:33" ht="33.75" customHeight="1">
      <c r="A7" s="4669" t="s">
        <v>5737</v>
      </c>
      <c r="B7" s="4826">
        <v>46305</v>
      </c>
      <c r="C7" s="4827">
        <v>46307</v>
      </c>
      <c r="D7" s="4672">
        <f>IF(_xlfn.DAYS(C7,B7)=0,"1",_xlfn.DAYS(C7,B7))</f>
        <v>2</v>
      </c>
      <c r="E7" s="4827">
        <v>46319</v>
      </c>
      <c r="F7" s="4672">
        <f>IF(_xlfn.DAYS(E7,C7)=0,"1",_xlfn.DAYS(E7,C7))+1</f>
        <v>13</v>
      </c>
      <c r="G7" s="4827">
        <v>46321</v>
      </c>
      <c r="H7" s="4672">
        <f>IF(_xlfn.DAYS(G7,E7)=0,"1",_xlfn.DAYS(G7,E7))-1</f>
        <v>1</v>
      </c>
      <c r="I7" s="4674" t="s">
        <v>5738</v>
      </c>
      <c r="J7" s="4677">
        <v>100</v>
      </c>
      <c r="K7" s="4676">
        <v>90</v>
      </c>
      <c r="L7" s="4677">
        <v>9000</v>
      </c>
      <c r="M7" s="4677">
        <v>10000</v>
      </c>
      <c r="N7" s="4677">
        <v>8000</v>
      </c>
      <c r="O7" s="4678">
        <f>SUM(D7,F7,H7)*K7</f>
        <v>1440</v>
      </c>
      <c r="P7" s="4677">
        <f>(D7*L7+F7*M7+H7*N7)*K7</f>
        <v>14040000</v>
      </c>
      <c r="Q7" s="4682">
        <v>21</v>
      </c>
      <c r="R7" s="4680" t="s">
        <v>5739</v>
      </c>
      <c r="S7" s="4682">
        <v>21</v>
      </c>
      <c r="T7" s="4815">
        <v>1</v>
      </c>
      <c r="U7" s="4675">
        <v>154</v>
      </c>
      <c r="V7" s="4680" t="s">
        <v>4521</v>
      </c>
      <c r="W7" s="4682">
        <v>203</v>
      </c>
      <c r="X7" s="4675">
        <v>1</v>
      </c>
      <c r="Y7" s="4675" t="s">
        <v>5740</v>
      </c>
      <c r="Z7" s="4683" t="s">
        <v>5035</v>
      </c>
      <c r="AA7" s="4675" t="s">
        <v>2830</v>
      </c>
      <c r="AB7" s="4683" t="s">
        <v>5050</v>
      </c>
      <c r="AC7" s="4675" t="s">
        <v>5741</v>
      </c>
      <c r="AD7" s="4684"/>
      <c r="AE7" s="4685"/>
      <c r="AF7" s="7088">
        <f>AE7*SUM(F7,H7,J7)*AF$5</f>
        <v>0</v>
      </c>
      <c r="AG7" s="7088">
        <f>AE7*SUM(F7,H7,J7)*AG$5</f>
        <v>0</v>
      </c>
    </row>
    <row r="8" spans="1:33" ht="33.75" customHeight="1">
      <c r="A8" s="4828">
        <v>1</v>
      </c>
      <c r="B8" s="4687">
        <v>46305</v>
      </c>
      <c r="C8" s="4687">
        <v>46307</v>
      </c>
      <c r="D8" s="4672">
        <f t="shared" ref="D8:D16" si="0">IF(_xlfn.DAYS(C8,B8)=0,"1",_xlfn.DAYS(C8,B8))</f>
        <v>2</v>
      </c>
      <c r="E8" s="4687">
        <v>46319</v>
      </c>
      <c r="F8" s="4830">
        <v>15</v>
      </c>
      <c r="G8" s="4699">
        <v>46321</v>
      </c>
      <c r="H8" s="4672">
        <f t="shared" ref="H8:H22" si="1">IF(_xlfn.DAYS(G8,E8)=0,"1",_xlfn.DAYS(G8,E8))-1</f>
        <v>1</v>
      </c>
      <c r="I8" s="4831" t="s">
        <v>5080</v>
      </c>
      <c r="J8" s="4970">
        <v>32</v>
      </c>
      <c r="K8" s="4970">
        <v>31</v>
      </c>
      <c r="L8" s="4834">
        <v>65824</v>
      </c>
      <c r="M8" s="4834">
        <v>69624</v>
      </c>
      <c r="N8" s="4834">
        <v>65824</v>
      </c>
      <c r="O8" s="4678">
        <f>SUM(D8,F8,H8)*K8</f>
        <v>558</v>
      </c>
      <c r="P8" s="4677">
        <f>(D8*L8+F8*M8+H8*N8)*K8</f>
        <v>38496792</v>
      </c>
      <c r="Q8" s="4836">
        <v>32</v>
      </c>
      <c r="R8" s="4837" t="s">
        <v>5742</v>
      </c>
      <c r="S8" s="4836">
        <v>32</v>
      </c>
      <c r="T8" s="4838">
        <v>1</v>
      </c>
      <c r="U8" s="4834">
        <v>180</v>
      </c>
      <c r="V8" s="4837" t="s">
        <v>4521</v>
      </c>
      <c r="W8" s="4836">
        <v>203</v>
      </c>
      <c r="X8" s="4834">
        <v>1</v>
      </c>
      <c r="Y8" s="4834" t="s">
        <v>5740</v>
      </c>
      <c r="Z8" s="4839" t="s">
        <v>5035</v>
      </c>
      <c r="AA8" s="4834" t="s">
        <v>2826</v>
      </c>
      <c r="AB8" s="4839" t="s">
        <v>5050</v>
      </c>
      <c r="AC8" s="4834" t="s">
        <v>2814</v>
      </c>
      <c r="AD8" s="4832"/>
      <c r="AE8" s="4685">
        <f>T8*K8</f>
        <v>31</v>
      </c>
      <c r="AF8" s="7088">
        <f>AE8*SUM(F8,H8,J8)*AF$5</f>
        <v>0</v>
      </c>
      <c r="AG8" s="7088">
        <f>AE8*SUM(F8,H8,J8)*AG$5</f>
        <v>0</v>
      </c>
    </row>
    <row r="9" spans="1:33" ht="75" customHeight="1">
      <c r="A9" s="4828">
        <v>2</v>
      </c>
      <c r="B9" s="4687">
        <v>46305</v>
      </c>
      <c r="C9" s="4687">
        <v>46307</v>
      </c>
      <c r="D9" s="4672">
        <f t="shared" si="0"/>
        <v>2</v>
      </c>
      <c r="E9" s="4687">
        <v>46319</v>
      </c>
      <c r="F9" s="4830">
        <v>15</v>
      </c>
      <c r="G9" s="4699">
        <v>46321</v>
      </c>
      <c r="H9" s="4672">
        <f t="shared" si="1"/>
        <v>1</v>
      </c>
      <c r="I9" s="4972" t="s">
        <v>5081</v>
      </c>
      <c r="J9" s="4973">
        <v>38</v>
      </c>
      <c r="K9" s="4973">
        <v>38</v>
      </c>
      <c r="L9" s="4834">
        <v>65824</v>
      </c>
      <c r="M9" s="4834">
        <v>73424</v>
      </c>
      <c r="N9" s="4834">
        <v>65824</v>
      </c>
      <c r="O9" s="4678">
        <f>SUM(D9,F9,H9)*K9</f>
        <v>684</v>
      </c>
      <c r="P9" s="4677">
        <f>(D9*L9+F9*M9+H9*N9)*K9</f>
        <v>49355616</v>
      </c>
      <c r="Q9" s="4836">
        <v>32</v>
      </c>
      <c r="R9" s="4837" t="s">
        <v>5742</v>
      </c>
      <c r="S9" s="4836">
        <v>32</v>
      </c>
      <c r="T9" s="4838">
        <v>2</v>
      </c>
      <c r="U9" s="4834">
        <v>120</v>
      </c>
      <c r="V9" s="4837" t="s">
        <v>4521</v>
      </c>
      <c r="W9" s="4836">
        <v>203</v>
      </c>
      <c r="X9" s="4834">
        <v>2</v>
      </c>
      <c r="Y9" s="4834" t="s">
        <v>5740</v>
      </c>
      <c r="Z9" s="4839" t="s">
        <v>5035</v>
      </c>
      <c r="AA9" s="4834" t="s">
        <v>2826</v>
      </c>
      <c r="AB9" s="4839" t="s">
        <v>5050</v>
      </c>
      <c r="AC9" s="4834" t="s">
        <v>2814</v>
      </c>
      <c r="AD9" s="4974" t="s">
        <v>5869</v>
      </c>
      <c r="AE9" s="4685">
        <f>T9*K9</f>
        <v>76</v>
      </c>
      <c r="AF9" s="7088">
        <f>AE9*SUM(F9,H9,J9)*AF$5</f>
        <v>0</v>
      </c>
      <c r="AG9" s="7088">
        <f>AE9*SUM(F9,H9,J9)*AG$5</f>
        <v>0</v>
      </c>
    </row>
    <row r="10" spans="1:33" ht="74.25" customHeight="1">
      <c r="A10" s="4828">
        <v>3</v>
      </c>
      <c r="B10" s="4687">
        <v>46305</v>
      </c>
      <c r="C10" s="4687">
        <v>46307</v>
      </c>
      <c r="D10" s="4672">
        <f t="shared" si="0"/>
        <v>2</v>
      </c>
      <c r="E10" s="4687">
        <v>46319</v>
      </c>
      <c r="F10" s="4830">
        <v>15</v>
      </c>
      <c r="G10" s="4699">
        <v>46321</v>
      </c>
      <c r="H10" s="4672">
        <f t="shared" si="1"/>
        <v>1</v>
      </c>
      <c r="I10" s="4831" t="s">
        <v>5082</v>
      </c>
      <c r="J10" s="4973">
        <v>70</v>
      </c>
      <c r="K10" s="4973">
        <v>70</v>
      </c>
      <c r="L10" s="4834">
        <v>65824</v>
      </c>
      <c r="M10" s="4834">
        <v>91098</v>
      </c>
      <c r="N10" s="4834">
        <v>65824</v>
      </c>
      <c r="O10" s="4678">
        <f>SUM(D10,F10,H10)*K10</f>
        <v>1260</v>
      </c>
      <c r="P10" s="4677">
        <f>(D10*L10+F10*M10+H10*N10)*K10</f>
        <v>109475940</v>
      </c>
      <c r="Q10" s="4836">
        <v>32</v>
      </c>
      <c r="R10" s="4837" t="s">
        <v>5742</v>
      </c>
      <c r="S10" s="4836">
        <v>32</v>
      </c>
      <c r="T10" s="4838">
        <v>2</v>
      </c>
      <c r="U10" s="4834">
        <v>120</v>
      </c>
      <c r="V10" s="4837" t="s">
        <v>4521</v>
      </c>
      <c r="W10" s="4836">
        <v>203</v>
      </c>
      <c r="X10" s="4834">
        <v>2</v>
      </c>
      <c r="Y10" s="4834" t="s">
        <v>5740</v>
      </c>
      <c r="Z10" s="4839" t="s">
        <v>5035</v>
      </c>
      <c r="AA10" s="4834" t="s">
        <v>2826</v>
      </c>
      <c r="AB10" s="4839" t="s">
        <v>5050</v>
      </c>
      <c r="AC10" s="4834" t="s">
        <v>2814</v>
      </c>
      <c r="AD10" s="4974" t="s">
        <v>5869</v>
      </c>
      <c r="AE10" s="4685">
        <f>T10*K10</f>
        <v>140</v>
      </c>
      <c r="AF10" s="7088">
        <f>AE10*SUM(F10,H10,J10)*AF$5</f>
        <v>0</v>
      </c>
      <c r="AG10" s="7088">
        <f>AE10*SUM(F10,H10,J10)*AG$5</f>
        <v>0</v>
      </c>
    </row>
    <row r="11" spans="1:33" ht="73.5" customHeight="1">
      <c r="A11" s="4828">
        <v>4</v>
      </c>
      <c r="B11" s="4687">
        <v>46305</v>
      </c>
      <c r="C11" s="4687">
        <v>46307</v>
      </c>
      <c r="D11" s="4672">
        <f t="shared" si="0"/>
        <v>2</v>
      </c>
      <c r="E11" s="4687">
        <v>46319</v>
      </c>
      <c r="F11" s="4830">
        <v>15</v>
      </c>
      <c r="G11" s="4699">
        <v>46321</v>
      </c>
      <c r="H11" s="4672">
        <f t="shared" si="1"/>
        <v>1</v>
      </c>
      <c r="I11" s="4831" t="s">
        <v>5083</v>
      </c>
      <c r="J11" s="4973">
        <v>10</v>
      </c>
      <c r="K11" s="4973">
        <v>10</v>
      </c>
      <c r="L11" s="4834">
        <v>65824</v>
      </c>
      <c r="M11" s="4834">
        <v>91098</v>
      </c>
      <c r="N11" s="4834">
        <v>65824</v>
      </c>
      <c r="O11" s="4678">
        <f>SUM(D11,F11,H11)*K11</f>
        <v>180</v>
      </c>
      <c r="P11" s="4677">
        <f>(D11*L11+F11*M11+H11*N11)*K11</f>
        <v>15639420</v>
      </c>
      <c r="Q11" s="4836">
        <v>32</v>
      </c>
      <c r="R11" s="4837" t="s">
        <v>5742</v>
      </c>
      <c r="S11" s="4836">
        <v>32</v>
      </c>
      <c r="T11" s="4838">
        <v>2</v>
      </c>
      <c r="U11" s="4834">
        <v>120</v>
      </c>
      <c r="V11" s="4837" t="s">
        <v>4521</v>
      </c>
      <c r="W11" s="4836">
        <v>203</v>
      </c>
      <c r="X11" s="4834">
        <v>2</v>
      </c>
      <c r="Y11" s="4834" t="s">
        <v>5740</v>
      </c>
      <c r="Z11" s="4839" t="s">
        <v>5035</v>
      </c>
      <c r="AA11" s="4834" t="s">
        <v>2826</v>
      </c>
      <c r="AB11" s="4839" t="s">
        <v>5050</v>
      </c>
      <c r="AC11" s="4834" t="s">
        <v>2814</v>
      </c>
      <c r="AD11" s="4974" t="s">
        <v>5869</v>
      </c>
      <c r="AE11" s="4685">
        <f>T11*K11</f>
        <v>20</v>
      </c>
      <c r="AF11" s="7088">
        <f>AE11*SUM(F11,H11,J11)*AF$5</f>
        <v>0</v>
      </c>
      <c r="AG11" s="7088">
        <f>AE11*SUM(F11,H11,J11)*AG$5</f>
        <v>0</v>
      </c>
    </row>
    <row r="12" spans="1:33" ht="33.75" customHeight="1">
      <c r="A12" s="4828">
        <v>5</v>
      </c>
      <c r="B12" s="4687">
        <v>46305</v>
      </c>
      <c r="C12" s="4687">
        <v>46307</v>
      </c>
      <c r="D12" s="4672">
        <f t="shared" si="0"/>
        <v>2</v>
      </c>
      <c r="E12" s="4687">
        <v>46319</v>
      </c>
      <c r="F12" s="4830">
        <v>15</v>
      </c>
      <c r="G12" s="4699">
        <v>46321</v>
      </c>
      <c r="H12" s="4672">
        <f t="shared" si="1"/>
        <v>1</v>
      </c>
      <c r="I12" s="4831" t="s">
        <v>5084</v>
      </c>
      <c r="J12" s="4973">
        <v>2</v>
      </c>
      <c r="K12" s="4973">
        <v>2</v>
      </c>
      <c r="L12" s="4834">
        <v>193651</v>
      </c>
      <c r="M12" s="4834">
        <v>193651</v>
      </c>
      <c r="N12" s="4834">
        <v>193651</v>
      </c>
      <c r="O12" s="4678">
        <f>SUM(D12,F12,H12)*K12</f>
        <v>36</v>
      </c>
      <c r="P12" s="4677">
        <f>(D12*L12+F12*M12+H12*N12)*K12</f>
        <v>6971436</v>
      </c>
      <c r="Q12" s="4836">
        <v>59.5</v>
      </c>
      <c r="R12" s="4837" t="s">
        <v>5742</v>
      </c>
      <c r="S12" s="4836">
        <v>59.5</v>
      </c>
      <c r="T12" s="4838">
        <v>1</v>
      </c>
      <c r="U12" s="4834">
        <v>180</v>
      </c>
      <c r="V12" s="4837" t="s">
        <v>4521</v>
      </c>
      <c r="W12" s="4836">
        <v>203</v>
      </c>
      <c r="X12" s="4834">
        <v>1</v>
      </c>
      <c r="Y12" s="4834" t="s">
        <v>5740</v>
      </c>
      <c r="Z12" s="4839" t="s">
        <v>5035</v>
      </c>
      <c r="AA12" s="4834" t="s">
        <v>2826</v>
      </c>
      <c r="AB12" s="4839" t="s">
        <v>5050</v>
      </c>
      <c r="AC12" s="4834" t="s">
        <v>2814</v>
      </c>
      <c r="AD12" s="4832"/>
      <c r="AE12" s="4685">
        <f>T12*K12</f>
        <v>2</v>
      </c>
      <c r="AF12" s="7088">
        <f>AE12*SUM(F12,H12,J12)*AF$5</f>
        <v>0</v>
      </c>
      <c r="AG12" s="7088">
        <f>AE12*SUM(F12,H12,J12)*AG$5</f>
        <v>0</v>
      </c>
    </row>
    <row r="13" spans="1:33" ht="73.5" customHeight="1">
      <c r="A13" s="4828">
        <v>6</v>
      </c>
      <c r="B13" s="4687">
        <v>46305</v>
      </c>
      <c r="C13" s="4687">
        <v>46307</v>
      </c>
      <c r="D13" s="4672">
        <f t="shared" si="0"/>
        <v>2</v>
      </c>
      <c r="E13" s="4687">
        <v>46319</v>
      </c>
      <c r="F13" s="4830">
        <v>15</v>
      </c>
      <c r="G13" s="4699">
        <v>46321</v>
      </c>
      <c r="H13" s="4672">
        <f t="shared" si="1"/>
        <v>1</v>
      </c>
      <c r="I13" s="4831" t="s">
        <v>5085</v>
      </c>
      <c r="J13" s="4973">
        <v>7</v>
      </c>
      <c r="K13" s="4973">
        <v>7</v>
      </c>
      <c r="L13" s="4834">
        <v>193652</v>
      </c>
      <c r="M13" s="4834">
        <v>193652</v>
      </c>
      <c r="N13" s="4834">
        <v>193651</v>
      </c>
      <c r="O13" s="4678">
        <f>SUM(D13,F13,H13)*K13</f>
        <v>126</v>
      </c>
      <c r="P13" s="4677">
        <f>(D13*L13+F13*M13+H13*N13)*K13</f>
        <v>24400145</v>
      </c>
      <c r="Q13" s="4836">
        <v>59.5</v>
      </c>
      <c r="R13" s="4837" t="s">
        <v>5742</v>
      </c>
      <c r="S13" s="4836">
        <v>59.5</v>
      </c>
      <c r="T13" s="4838">
        <v>2</v>
      </c>
      <c r="U13" s="4834">
        <v>120</v>
      </c>
      <c r="V13" s="4837" t="s">
        <v>4521</v>
      </c>
      <c r="W13" s="4836">
        <v>203</v>
      </c>
      <c r="X13" s="4834">
        <v>2</v>
      </c>
      <c r="Y13" s="4834" t="s">
        <v>5740</v>
      </c>
      <c r="Z13" s="4839" t="s">
        <v>5035</v>
      </c>
      <c r="AA13" s="4834" t="s">
        <v>2826</v>
      </c>
      <c r="AB13" s="4839" t="s">
        <v>5050</v>
      </c>
      <c r="AC13" s="4834" t="s">
        <v>2814</v>
      </c>
      <c r="AD13" s="4974" t="s">
        <v>5870</v>
      </c>
      <c r="AE13" s="4685">
        <f>T13*K13</f>
        <v>14</v>
      </c>
      <c r="AF13" s="7088">
        <f>AE13*SUM(F13,H13,J13)*AF$5</f>
        <v>0</v>
      </c>
      <c r="AG13" s="7088">
        <f>AE13*SUM(F13,H13,J13)*AG$5</f>
        <v>0</v>
      </c>
    </row>
    <row r="14" spans="1:33" ht="33.75" customHeight="1">
      <c r="A14" s="4828">
        <v>7</v>
      </c>
      <c r="B14" s="4687">
        <v>46305</v>
      </c>
      <c r="C14" s="4687">
        <v>46307</v>
      </c>
      <c r="D14" s="4672">
        <f t="shared" si="0"/>
        <v>2</v>
      </c>
      <c r="E14" s="4687">
        <v>46319</v>
      </c>
      <c r="F14" s="4830">
        <v>15</v>
      </c>
      <c r="G14" s="4699">
        <v>46321</v>
      </c>
      <c r="H14" s="4672">
        <f t="shared" si="1"/>
        <v>1</v>
      </c>
      <c r="I14" s="4831" t="s">
        <v>5086</v>
      </c>
      <c r="J14" s="4973">
        <v>2</v>
      </c>
      <c r="K14" s="4973">
        <v>1</v>
      </c>
      <c r="L14" s="4834">
        <v>286788</v>
      </c>
      <c r="M14" s="4834">
        <v>286788</v>
      </c>
      <c r="N14" s="4834">
        <v>286788</v>
      </c>
      <c r="O14" s="4678">
        <f>SUM(D14,F14,H14)*K14</f>
        <v>18</v>
      </c>
      <c r="P14" s="4677">
        <f>(D14*L14+F14*M14+H14*N14)*K14</f>
        <v>5162184</v>
      </c>
      <c r="Q14" s="4836">
        <v>79.400000000000006</v>
      </c>
      <c r="R14" s="4837" t="s">
        <v>5742</v>
      </c>
      <c r="S14" s="4836">
        <v>79.400000000000006</v>
      </c>
      <c r="T14" s="4838">
        <v>1</v>
      </c>
      <c r="U14" s="4834">
        <v>180</v>
      </c>
      <c r="V14" s="4837" t="s">
        <v>4521</v>
      </c>
      <c r="W14" s="4836">
        <v>203</v>
      </c>
      <c r="X14" s="4834">
        <v>1</v>
      </c>
      <c r="Y14" s="4834" t="s">
        <v>5740</v>
      </c>
      <c r="Z14" s="4839" t="s">
        <v>5035</v>
      </c>
      <c r="AA14" s="4834" t="s">
        <v>2826</v>
      </c>
      <c r="AB14" s="4839" t="s">
        <v>5050</v>
      </c>
      <c r="AC14" s="4834" t="s">
        <v>2814</v>
      </c>
      <c r="AD14" s="4832"/>
      <c r="AE14" s="4685">
        <f>T14*K14</f>
        <v>1</v>
      </c>
      <c r="AF14" s="7088">
        <f>AE14*SUM(F14,H14,J14)*AF$5</f>
        <v>0</v>
      </c>
      <c r="AG14" s="7088">
        <f>AE14*SUM(F14,H14,J14)*AG$5</f>
        <v>0</v>
      </c>
    </row>
    <row r="15" spans="1:33" ht="73.5" customHeight="1">
      <c r="A15" s="4828">
        <v>8</v>
      </c>
      <c r="B15" s="4687">
        <v>46305</v>
      </c>
      <c r="C15" s="4687">
        <v>46307</v>
      </c>
      <c r="D15" s="4672">
        <f t="shared" si="0"/>
        <v>2</v>
      </c>
      <c r="E15" s="4687">
        <v>46319</v>
      </c>
      <c r="F15" s="4830">
        <v>15</v>
      </c>
      <c r="G15" s="4699">
        <v>46321</v>
      </c>
      <c r="H15" s="4672">
        <f t="shared" si="1"/>
        <v>1</v>
      </c>
      <c r="I15" s="4831" t="s">
        <v>5087</v>
      </c>
      <c r="J15" s="4973">
        <v>8</v>
      </c>
      <c r="K15" s="4973">
        <v>8</v>
      </c>
      <c r="L15" s="4834">
        <v>286788</v>
      </c>
      <c r="M15" s="4834">
        <v>286788</v>
      </c>
      <c r="N15" s="4834">
        <v>286788</v>
      </c>
      <c r="O15" s="4678">
        <f>SUM(D15,F15,H15)*K15</f>
        <v>144</v>
      </c>
      <c r="P15" s="4677">
        <f>(D15*L15+F15*M15+H15*N15)*K15</f>
        <v>41297472</v>
      </c>
      <c r="Q15" s="4836">
        <v>79</v>
      </c>
      <c r="R15" s="4837" t="s">
        <v>5742</v>
      </c>
      <c r="S15" s="4836">
        <v>79</v>
      </c>
      <c r="T15" s="4838">
        <v>2</v>
      </c>
      <c r="U15" s="4834">
        <v>140</v>
      </c>
      <c r="V15" s="4837" t="s">
        <v>4521</v>
      </c>
      <c r="W15" s="4836">
        <v>203</v>
      </c>
      <c r="X15" s="4834">
        <v>2</v>
      </c>
      <c r="Y15" s="4834" t="s">
        <v>5740</v>
      </c>
      <c r="Z15" s="4839" t="s">
        <v>5035</v>
      </c>
      <c r="AA15" s="4834" t="s">
        <v>2826</v>
      </c>
      <c r="AB15" s="4839" t="s">
        <v>5050</v>
      </c>
      <c r="AC15" s="4834" t="s">
        <v>2814</v>
      </c>
      <c r="AD15" s="4974" t="s">
        <v>5871</v>
      </c>
      <c r="AE15" s="4685">
        <f>T15*K15</f>
        <v>16</v>
      </c>
      <c r="AF15" s="7088">
        <f>AE15*SUM(F15,H15,J15)*AF$5</f>
        <v>0</v>
      </c>
      <c r="AG15" s="7088">
        <f>AE15*SUM(F15,H15,J15)*AG$5</f>
        <v>0</v>
      </c>
    </row>
    <row r="16" spans="1:33" ht="75" customHeight="1">
      <c r="A16" s="4828">
        <v>9</v>
      </c>
      <c r="B16" s="4687">
        <v>46305</v>
      </c>
      <c r="C16" s="4687">
        <v>46307</v>
      </c>
      <c r="D16" s="4672">
        <f t="shared" si="0"/>
        <v>2</v>
      </c>
      <c r="E16" s="4687">
        <v>46319</v>
      </c>
      <c r="F16" s="4830">
        <v>15</v>
      </c>
      <c r="G16" s="4699">
        <v>46321</v>
      </c>
      <c r="H16" s="4672">
        <f t="shared" si="1"/>
        <v>1</v>
      </c>
      <c r="I16" s="4831" t="s">
        <v>5088</v>
      </c>
      <c r="J16" s="4973">
        <v>1</v>
      </c>
      <c r="K16" s="4973">
        <v>1</v>
      </c>
      <c r="L16" s="4834">
        <v>286788</v>
      </c>
      <c r="M16" s="4834">
        <v>286788</v>
      </c>
      <c r="N16" s="4834">
        <v>286788</v>
      </c>
      <c r="O16" s="4678">
        <f>SUM(D16,F16,H16)*K16</f>
        <v>18</v>
      </c>
      <c r="P16" s="4677">
        <f>(D16*L16+F16*M16+H16*N16)*K16</f>
        <v>5162184</v>
      </c>
      <c r="Q16" s="4836">
        <v>78</v>
      </c>
      <c r="R16" s="4837" t="s">
        <v>5742</v>
      </c>
      <c r="S16" s="4836">
        <v>78</v>
      </c>
      <c r="T16" s="4838">
        <v>2</v>
      </c>
      <c r="U16" s="4834">
        <v>140</v>
      </c>
      <c r="V16" s="4837" t="s">
        <v>4521</v>
      </c>
      <c r="W16" s="4836">
        <v>203</v>
      </c>
      <c r="X16" s="4834">
        <v>2</v>
      </c>
      <c r="Y16" s="4834" t="s">
        <v>5740</v>
      </c>
      <c r="Z16" s="4839" t="s">
        <v>5035</v>
      </c>
      <c r="AA16" s="4834" t="s">
        <v>2826</v>
      </c>
      <c r="AB16" s="4839" t="s">
        <v>5050</v>
      </c>
      <c r="AC16" s="4834" t="s">
        <v>2814</v>
      </c>
      <c r="AD16" s="4974" t="s">
        <v>5871</v>
      </c>
      <c r="AE16" s="4685">
        <f>T16*K16</f>
        <v>2</v>
      </c>
      <c r="AF16" s="7088">
        <f>AE16*SUM(F16,H16,J16)*AF$5</f>
        <v>0</v>
      </c>
      <c r="AG16" s="7088">
        <f>AE16*SUM(F16,H16,J16)*AG$5</f>
        <v>0</v>
      </c>
    </row>
    <row r="17" spans="1:33" ht="33.75" customHeight="1">
      <c r="A17" s="4828">
        <v>10</v>
      </c>
      <c r="B17" s="4687"/>
      <c r="C17" s="4687"/>
      <c r="D17" s="4672"/>
      <c r="E17" s="4687"/>
      <c r="F17" s="4672"/>
      <c r="G17" s="4699"/>
      <c r="H17" s="4672">
        <f t="shared" si="1"/>
        <v>0</v>
      </c>
      <c r="I17" s="4831"/>
      <c r="J17" s="4834"/>
      <c r="K17" s="4835"/>
      <c r="L17" s="4834"/>
      <c r="M17" s="4834"/>
      <c r="N17" s="4834"/>
      <c r="O17" s="4678">
        <f>SUM(D17,F17,H17)*K17</f>
        <v>0</v>
      </c>
      <c r="P17" s="4677">
        <f>(D17*L17+F17*M17+H17*N17)*K17</f>
        <v>0</v>
      </c>
      <c r="Q17" s="4836"/>
      <c r="R17" s="4837" t="s">
        <v>5742</v>
      </c>
      <c r="S17" s="4836"/>
      <c r="T17" s="4838"/>
      <c r="U17" s="4834"/>
      <c r="V17" s="4837" t="s">
        <v>4521</v>
      </c>
      <c r="W17" s="4836"/>
      <c r="X17" s="4834"/>
      <c r="Y17" s="4834"/>
      <c r="Z17" s="4839" t="s">
        <v>5035</v>
      </c>
      <c r="AA17" s="4834"/>
      <c r="AB17" s="4839" t="s">
        <v>5050</v>
      </c>
      <c r="AC17" s="4834"/>
      <c r="AD17" s="4832"/>
      <c r="AE17" s="4685">
        <f>T17*K17</f>
        <v>0</v>
      </c>
      <c r="AF17" s="7088">
        <f>AE17*SUM(F17,H17,J17)*AF$5</f>
        <v>0</v>
      </c>
      <c r="AG17" s="7088">
        <f>AE17*SUM(F17,H17,J17)*AG$5</f>
        <v>0</v>
      </c>
    </row>
    <row r="18" spans="1:33" ht="33.75" customHeight="1">
      <c r="A18" s="4828">
        <v>11</v>
      </c>
      <c r="B18" s="4687"/>
      <c r="C18" s="4687"/>
      <c r="D18" s="4672"/>
      <c r="E18" s="4687"/>
      <c r="F18" s="4672"/>
      <c r="G18" s="4699"/>
      <c r="H18" s="4672">
        <f t="shared" si="1"/>
        <v>0</v>
      </c>
      <c r="I18" s="4831"/>
      <c r="J18" s="4834"/>
      <c r="K18" s="4835"/>
      <c r="L18" s="4834"/>
      <c r="M18" s="4834"/>
      <c r="N18" s="4834"/>
      <c r="O18" s="4678">
        <f>SUM(D18,F18,H18)*K18</f>
        <v>0</v>
      </c>
      <c r="P18" s="4677">
        <f>(D18*L18+F18*M18+H18*N18)*K18</f>
        <v>0</v>
      </c>
      <c r="Q18" s="4836"/>
      <c r="R18" s="4837" t="s">
        <v>5742</v>
      </c>
      <c r="S18" s="4836"/>
      <c r="T18" s="4838"/>
      <c r="U18" s="4834"/>
      <c r="V18" s="4837" t="s">
        <v>4521</v>
      </c>
      <c r="W18" s="4836"/>
      <c r="X18" s="4834"/>
      <c r="Y18" s="4834"/>
      <c r="Z18" s="4839" t="s">
        <v>5035</v>
      </c>
      <c r="AA18" s="4834"/>
      <c r="AB18" s="4839" t="s">
        <v>5050</v>
      </c>
      <c r="AC18" s="4834"/>
      <c r="AD18" s="4832"/>
      <c r="AE18" s="4685">
        <f>T18*K18</f>
        <v>0</v>
      </c>
      <c r="AF18" s="7088">
        <f>AE18*SUM(F18,H18,J18)*AF$5</f>
        <v>0</v>
      </c>
      <c r="AG18" s="7088">
        <f>AE18*SUM(F18,H18,J18)*AG$5</f>
        <v>0</v>
      </c>
    </row>
    <row r="19" spans="1:33" ht="33.75" customHeight="1">
      <c r="A19" s="4828">
        <v>12</v>
      </c>
      <c r="B19" s="4687"/>
      <c r="C19" s="4687"/>
      <c r="D19" s="4672"/>
      <c r="E19" s="4687"/>
      <c r="F19" s="4672"/>
      <c r="G19" s="4699"/>
      <c r="H19" s="4672">
        <f t="shared" si="1"/>
        <v>0</v>
      </c>
      <c r="I19" s="4831"/>
      <c r="J19" s="4834"/>
      <c r="K19" s="4835"/>
      <c r="L19" s="4834"/>
      <c r="M19" s="4834"/>
      <c r="N19" s="4834"/>
      <c r="O19" s="4678">
        <f>SUM(D19,F19,H19)*K19</f>
        <v>0</v>
      </c>
      <c r="P19" s="4677">
        <f>(D19*L19+F19*M19+H19*N19)*K19</f>
        <v>0</v>
      </c>
      <c r="Q19" s="4836"/>
      <c r="R19" s="4837" t="s">
        <v>5742</v>
      </c>
      <c r="S19" s="4836"/>
      <c r="T19" s="4838"/>
      <c r="U19" s="4834"/>
      <c r="V19" s="4837" t="s">
        <v>4521</v>
      </c>
      <c r="W19" s="4836"/>
      <c r="X19" s="4834"/>
      <c r="Y19" s="4834"/>
      <c r="Z19" s="4839" t="s">
        <v>5035</v>
      </c>
      <c r="AA19" s="4834"/>
      <c r="AB19" s="4839" t="s">
        <v>5050</v>
      </c>
      <c r="AC19" s="4834"/>
      <c r="AD19" s="4832"/>
      <c r="AE19" s="4685">
        <f>T19*K19</f>
        <v>0</v>
      </c>
      <c r="AF19" s="7088">
        <f>AE19*SUM(F19,H19,J19)*AF$5</f>
        <v>0</v>
      </c>
      <c r="AG19" s="7088">
        <f>AE19*SUM(F19,H19,J19)*AG$5</f>
        <v>0</v>
      </c>
    </row>
    <row r="20" spans="1:33" ht="33.75" customHeight="1">
      <c r="A20" s="4828">
        <v>13</v>
      </c>
      <c r="B20" s="4687"/>
      <c r="C20" s="4687"/>
      <c r="D20" s="4672"/>
      <c r="E20" s="4687"/>
      <c r="F20" s="4672"/>
      <c r="G20" s="4699"/>
      <c r="H20" s="4672">
        <f t="shared" si="1"/>
        <v>0</v>
      </c>
      <c r="I20" s="4831"/>
      <c r="J20" s="4834"/>
      <c r="K20" s="4835"/>
      <c r="L20" s="4834"/>
      <c r="M20" s="4834"/>
      <c r="N20" s="4834"/>
      <c r="O20" s="4678">
        <f>SUM(D20,F20,H20)*K20</f>
        <v>0</v>
      </c>
      <c r="P20" s="4677">
        <f>(D20*L20+F20*M20+H20*N20)*K20</f>
        <v>0</v>
      </c>
      <c r="Q20" s="4836"/>
      <c r="R20" s="4837" t="s">
        <v>5742</v>
      </c>
      <c r="S20" s="4836"/>
      <c r="T20" s="4838"/>
      <c r="U20" s="4834"/>
      <c r="V20" s="4837" t="s">
        <v>4521</v>
      </c>
      <c r="W20" s="4836"/>
      <c r="X20" s="4834"/>
      <c r="Y20" s="4834"/>
      <c r="Z20" s="4839" t="s">
        <v>5035</v>
      </c>
      <c r="AA20" s="4834"/>
      <c r="AB20" s="4839" t="s">
        <v>5050</v>
      </c>
      <c r="AC20" s="4834"/>
      <c r="AD20" s="4832"/>
      <c r="AE20" s="4685">
        <f>T20*K20</f>
        <v>0</v>
      </c>
      <c r="AF20" s="7088">
        <f>AE20*SUM(F20,H20,J20)*AF$5</f>
        <v>0</v>
      </c>
      <c r="AG20" s="7088">
        <f>AE20*SUM(F20,H20,J20)*AG$5</f>
        <v>0</v>
      </c>
    </row>
    <row r="21" spans="1:33" ht="33.75" customHeight="1">
      <c r="A21" s="4828">
        <v>14</v>
      </c>
      <c r="B21" s="4687"/>
      <c r="C21" s="4687"/>
      <c r="D21" s="4672"/>
      <c r="E21" s="4687"/>
      <c r="F21" s="4672"/>
      <c r="G21" s="4699"/>
      <c r="H21" s="4672">
        <f t="shared" si="1"/>
        <v>0</v>
      </c>
      <c r="I21" s="4831"/>
      <c r="J21" s="4834"/>
      <c r="K21" s="4835"/>
      <c r="L21" s="4834"/>
      <c r="M21" s="4834"/>
      <c r="N21" s="4834"/>
      <c r="O21" s="4678">
        <f>SUM(D21,F21,H21)*K21</f>
        <v>0</v>
      </c>
      <c r="P21" s="4677">
        <f>(D21*L21+F21*M21+H21*N21)*K21</f>
        <v>0</v>
      </c>
      <c r="Q21" s="4836"/>
      <c r="R21" s="4837" t="s">
        <v>5742</v>
      </c>
      <c r="S21" s="4836"/>
      <c r="T21" s="4838"/>
      <c r="U21" s="4834"/>
      <c r="V21" s="4837" t="s">
        <v>4521</v>
      </c>
      <c r="W21" s="4836"/>
      <c r="X21" s="4834"/>
      <c r="Y21" s="4834"/>
      <c r="Z21" s="4839" t="s">
        <v>5035</v>
      </c>
      <c r="AA21" s="4834"/>
      <c r="AB21" s="4839" t="s">
        <v>5050</v>
      </c>
      <c r="AC21" s="4834"/>
      <c r="AD21" s="4832"/>
      <c r="AE21" s="4685">
        <f>T21*K21</f>
        <v>0</v>
      </c>
      <c r="AF21" s="7088">
        <f>AE21*SUM(F21,H21,J21)*AF$5</f>
        <v>0</v>
      </c>
      <c r="AG21" s="7088">
        <f>AE21*SUM(F21,H21,J21)*AG$5</f>
        <v>0</v>
      </c>
    </row>
    <row r="22" spans="1:33" ht="33.75" customHeight="1" thickBot="1">
      <c r="A22" s="4828">
        <v>15</v>
      </c>
      <c r="B22" s="4687"/>
      <c r="C22" s="4687"/>
      <c r="D22" s="4672"/>
      <c r="E22" s="4687"/>
      <c r="F22" s="4672"/>
      <c r="G22" s="4699"/>
      <c r="H22" s="4672">
        <f t="shared" si="1"/>
        <v>0</v>
      </c>
      <c r="I22" s="4831"/>
      <c r="J22" s="4834"/>
      <c r="K22" s="4835"/>
      <c r="L22" s="4834"/>
      <c r="M22" s="4834"/>
      <c r="N22" s="4834"/>
      <c r="O22" s="4678">
        <f>SUM(D22,F22,H22)*K22</f>
        <v>0</v>
      </c>
      <c r="P22" s="4677">
        <f>(D22*L22+F22*M22+H22*N22)*K22</f>
        <v>0</v>
      </c>
      <c r="Q22" s="4836"/>
      <c r="R22" s="4837" t="s">
        <v>5739</v>
      </c>
      <c r="S22" s="4836"/>
      <c r="T22" s="4838"/>
      <c r="U22" s="4834"/>
      <c r="V22" s="4837" t="s">
        <v>4521</v>
      </c>
      <c r="W22" s="4836"/>
      <c r="X22" s="4834"/>
      <c r="Y22" s="4834"/>
      <c r="Z22" s="4839" t="s">
        <v>5035</v>
      </c>
      <c r="AA22" s="4834"/>
      <c r="AB22" s="4839" t="s">
        <v>5050</v>
      </c>
      <c r="AC22" s="4834"/>
      <c r="AD22" s="4832"/>
      <c r="AE22" s="4685">
        <f>T22*K22</f>
        <v>0</v>
      </c>
      <c r="AF22" s="7088">
        <f>SUM(AF7:AF21)</f>
        <v>0</v>
      </c>
      <c r="AG22" s="7088">
        <f>SUM(AG7:AG21)</f>
        <v>0</v>
      </c>
    </row>
    <row r="23" spans="1:33" ht="33.75" customHeight="1" thickTop="1" thickBot="1">
      <c r="A23" s="4840"/>
      <c r="B23" s="4841"/>
      <c r="C23" s="4841"/>
      <c r="D23" s="4841"/>
      <c r="E23" s="4841"/>
      <c r="F23" s="4842"/>
      <c r="G23" s="4843"/>
      <c r="H23" s="4841"/>
      <c r="I23" s="4844" t="s">
        <v>2432</v>
      </c>
      <c r="J23" s="4845">
        <f>SUM(J8:J22)</f>
        <v>170</v>
      </c>
      <c r="K23" s="4846">
        <f>SUM(K8:K22)</f>
        <v>168</v>
      </c>
      <c r="L23" s="4843"/>
      <c r="M23" s="4843"/>
      <c r="N23" s="4843"/>
      <c r="O23" s="4845">
        <f>SUM(O8:O22)</f>
        <v>3024</v>
      </c>
      <c r="P23" s="4845">
        <f>SUM(P8:P22)</f>
        <v>295961189</v>
      </c>
      <c r="Q23" s="6901"/>
      <c r="R23" s="6901"/>
      <c r="S23" s="6901"/>
      <c r="T23" s="4847"/>
      <c r="U23" s="6902"/>
      <c r="V23" s="6901"/>
      <c r="W23" s="6901"/>
      <c r="X23" s="4847"/>
      <c r="Y23" s="4847"/>
      <c r="Z23" s="6903"/>
      <c r="AA23" s="6904"/>
      <c r="AB23" s="6903"/>
      <c r="AC23" s="6904"/>
      <c r="AD23" s="4848"/>
      <c r="AE23" s="4685">
        <f>SUM(AE8:AE22)</f>
        <v>302</v>
      </c>
      <c r="AF23" s="7089" t="s">
        <v>127</v>
      </c>
      <c r="AG23" s="7090">
        <f>SUM(AF22,AG22)</f>
        <v>0</v>
      </c>
    </row>
    <row r="24" spans="1:33" ht="32.15" customHeight="1" thickBot="1">
      <c r="C24" s="4710"/>
      <c r="D24" s="4710"/>
      <c r="E24" s="4710"/>
      <c r="F24" s="4710"/>
      <c r="G24" s="4710"/>
      <c r="H24" s="4710"/>
      <c r="I24" s="4711"/>
      <c r="J24" s="4712"/>
      <c r="K24" s="4710"/>
      <c r="L24" s="4712"/>
      <c r="M24" s="4712"/>
      <c r="N24" s="4715"/>
      <c r="O24" s="4945" t="s">
        <v>5872</v>
      </c>
      <c r="P24" s="4945"/>
      <c r="Q24" s="4945"/>
      <c r="R24" s="4945"/>
      <c r="S24" s="4945"/>
      <c r="T24" s="4945"/>
      <c r="U24" s="4945"/>
      <c r="V24" s="4945"/>
      <c r="W24" s="4945"/>
      <c r="X24" s="4945"/>
      <c r="Y24" s="4945"/>
      <c r="Z24" s="4945"/>
      <c r="AA24" s="4945"/>
      <c r="AB24" s="4945"/>
      <c r="AC24" s="4945"/>
      <c r="AD24" s="4945"/>
      <c r="AE24" s="4849"/>
    </row>
    <row r="25" spans="1:33" ht="33.75" customHeight="1">
      <c r="A25" s="6845" t="s">
        <v>5749</v>
      </c>
      <c r="B25" s="7120"/>
      <c r="C25" s="4716">
        <f>O23</f>
        <v>3024</v>
      </c>
      <c r="D25" s="4717"/>
      <c r="F25" s="4718"/>
      <c r="G25" s="4850"/>
      <c r="H25" s="4719"/>
      <c r="I25" s="4720"/>
      <c r="L25" s="4656"/>
      <c r="M25" s="4656"/>
      <c r="O25" s="6912" t="s">
        <v>5873</v>
      </c>
      <c r="P25" s="6912"/>
      <c r="Q25" s="6912"/>
      <c r="R25" s="6912"/>
      <c r="S25" s="6912"/>
      <c r="T25" s="6912"/>
      <c r="U25" s="6912"/>
      <c r="V25" s="6912"/>
      <c r="W25" s="6912"/>
      <c r="X25" s="6912"/>
      <c r="Y25" s="6912"/>
      <c r="Z25" s="6912"/>
      <c r="AA25" s="6912"/>
      <c r="AB25" s="6912"/>
      <c r="AC25" s="6912"/>
      <c r="AD25" s="6912"/>
      <c r="AE25" s="4851"/>
    </row>
    <row r="26" spans="1:33" ht="33.75" customHeight="1">
      <c r="A26" s="6991" t="s">
        <v>5883</v>
      </c>
      <c r="B26" s="6992"/>
      <c r="C26" s="4723"/>
      <c r="D26" s="4717"/>
      <c r="F26" s="4724"/>
      <c r="G26" s="4852"/>
      <c r="H26" s="4719"/>
      <c r="I26" s="4720"/>
      <c r="O26" s="6912"/>
      <c r="P26" s="6912"/>
      <c r="Q26" s="6912"/>
      <c r="R26" s="6912"/>
      <c r="S26" s="6912"/>
      <c r="T26" s="6912"/>
      <c r="U26" s="6912"/>
      <c r="V26" s="6912"/>
      <c r="W26" s="6912"/>
      <c r="X26" s="6912"/>
      <c r="Y26" s="6912"/>
      <c r="Z26" s="6912"/>
      <c r="AA26" s="6912"/>
      <c r="AB26" s="6912"/>
      <c r="AC26" s="6912"/>
      <c r="AD26" s="6912"/>
      <c r="AE26" s="4851"/>
    </row>
    <row r="27" spans="1:33" ht="33.75" customHeight="1" thickBot="1">
      <c r="A27" s="6913" t="s">
        <v>5751</v>
      </c>
      <c r="B27" s="6914"/>
      <c r="C27" s="4823">
        <f>P23</f>
        <v>295961189</v>
      </c>
      <c r="D27" s="4717"/>
      <c r="F27" s="4724"/>
      <c r="H27" s="4719"/>
      <c r="I27" s="4720"/>
      <c r="K27" s="4659"/>
      <c r="N27" s="4656"/>
      <c r="O27" s="4657"/>
      <c r="P27" s="4657"/>
    </row>
    <row r="28" spans="1:33" ht="32.15" customHeight="1" thickBot="1">
      <c r="A28" s="6920" t="s">
        <v>6158</v>
      </c>
      <c r="B28" s="6921"/>
      <c r="C28" s="4823">
        <f>AG23</f>
        <v>0</v>
      </c>
      <c r="D28" s="4726"/>
      <c r="E28" s="4726"/>
      <c r="F28" s="4726"/>
      <c r="G28" s="4726"/>
      <c r="H28" s="4726"/>
      <c r="I28" s="4727"/>
      <c r="N28" s="4656"/>
      <c r="O28" s="4657"/>
      <c r="P28" s="4657"/>
    </row>
    <row r="29" spans="1:33" ht="32.15" customHeight="1" thickBot="1">
      <c r="A29" s="6920" t="s">
        <v>7047</v>
      </c>
      <c r="B29" s="6921"/>
      <c r="C29" s="4823">
        <f>C27+C28</f>
        <v>295961189</v>
      </c>
      <c r="D29" s="4726"/>
      <c r="E29" s="4726"/>
      <c r="F29" s="4726"/>
      <c r="G29" s="4726"/>
      <c r="H29" s="4726"/>
      <c r="I29" s="4727"/>
      <c r="N29" s="4656"/>
      <c r="O29" s="4657"/>
      <c r="P29" s="4657"/>
    </row>
    <row r="30" spans="1:33" ht="33.75" customHeight="1">
      <c r="A30" s="4729"/>
      <c r="B30" s="4729"/>
      <c r="C30" s="4729"/>
      <c r="D30" s="4729"/>
      <c r="E30" s="4729"/>
      <c r="F30" s="4729"/>
      <c r="G30" s="4726"/>
      <c r="H30" s="4729"/>
      <c r="I30" s="4720"/>
      <c r="O30" s="4656"/>
    </row>
    <row r="31" spans="1:33" ht="33.75" customHeight="1">
      <c r="A31" s="4728" t="s">
        <v>5752</v>
      </c>
      <c r="B31" s="4728"/>
      <c r="C31" s="4729"/>
      <c r="D31" s="4729"/>
      <c r="E31" s="4729"/>
      <c r="F31" s="4729"/>
      <c r="G31" s="4726"/>
      <c r="H31" s="4729"/>
      <c r="I31" s="4720"/>
      <c r="O31" s="6912"/>
      <c r="P31" s="6912"/>
      <c r="Q31" s="6912"/>
      <c r="R31" s="6912"/>
      <c r="S31" s="6912"/>
      <c r="T31" s="6912"/>
      <c r="U31" s="6912"/>
      <c r="V31" s="6912"/>
      <c r="W31" s="6912"/>
      <c r="X31" s="6912"/>
      <c r="Y31" s="6912"/>
      <c r="Z31" s="6912"/>
      <c r="AA31" s="6912"/>
      <c r="AB31" s="6912"/>
      <c r="AC31" s="6912"/>
      <c r="AD31" s="6912"/>
    </row>
    <row r="32" spans="1:33" ht="36" customHeight="1">
      <c r="A32" s="4728" t="s">
        <v>5753</v>
      </c>
      <c r="B32" s="4728"/>
    </row>
    <row r="33" spans="1:2" ht="36" customHeight="1">
      <c r="A33" s="4730" t="s">
        <v>5754</v>
      </c>
      <c r="B33" s="4730"/>
    </row>
    <row r="34" spans="1:2" ht="36" customHeight="1">
      <c r="A34" s="4728"/>
      <c r="B34" s="4728"/>
    </row>
    <row r="35" spans="1:2" ht="36" customHeight="1"/>
    <row r="36" spans="1:2" ht="36" customHeight="1"/>
    <row r="37" spans="1:2" ht="36" customHeight="1"/>
    <row r="38" spans="1:2" ht="36" customHeight="1"/>
    <row r="39" spans="1:2" ht="36" customHeight="1"/>
    <row r="40" spans="1:2" ht="36" customHeight="1"/>
    <row r="41" spans="1:2" ht="36" customHeight="1"/>
    <row r="42" spans="1:2" ht="10.4" customHeight="1"/>
  </sheetData>
  <mergeCells count="37">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N5:N6"/>
    <mergeCell ref="O5:P5"/>
    <mergeCell ref="Q5:S6"/>
    <mergeCell ref="T5:T6"/>
    <mergeCell ref="U5:W6"/>
    <mergeCell ref="O31:AD31"/>
    <mergeCell ref="Y5:Y6"/>
    <mergeCell ref="Z5:AC6"/>
    <mergeCell ref="AD5:AD6"/>
    <mergeCell ref="AE5:AE6"/>
    <mergeCell ref="Q23:S23"/>
    <mergeCell ref="U23:W23"/>
    <mergeCell ref="Z23:AA23"/>
    <mergeCell ref="AB23:AC23"/>
    <mergeCell ref="X5:X6"/>
    <mergeCell ref="A25:B25"/>
    <mergeCell ref="O25:AD25"/>
    <mergeCell ref="A26:B26"/>
    <mergeCell ref="O26:AD26"/>
    <mergeCell ref="A27:B27"/>
    <mergeCell ref="A28:B28"/>
    <mergeCell ref="A29:B29"/>
  </mergeCells>
  <phoneticPr fontId="2"/>
  <conditionalFormatting sqref="B8:C22 E8:E22 H17:M22 N7:N22">
    <cfRule type="containsBlanks" dxfId="832" priority="6">
      <formula>LEN(TRIM(B7))=0</formula>
    </cfRule>
  </conditionalFormatting>
  <conditionalFormatting sqref="C2:D2">
    <cfRule type="containsBlanks" dxfId="831" priority="7">
      <formula>LEN(TRIM(C2))=0</formula>
    </cfRule>
  </conditionalFormatting>
  <conditionalFormatting sqref="D7:D22">
    <cfRule type="containsBlanks" dxfId="830" priority="5">
      <formula>LEN(TRIM(D7))=0</formula>
    </cfRule>
  </conditionalFormatting>
  <conditionalFormatting sqref="F7:F22">
    <cfRule type="containsBlanks" dxfId="829" priority="4">
      <formula>LEN(TRIM(F7))=0</formula>
    </cfRule>
  </conditionalFormatting>
  <conditionalFormatting sqref="G8:G22">
    <cfRule type="containsBlanks" dxfId="828" priority="2">
      <formula>LEN(TRIM(G8))=0</formula>
    </cfRule>
  </conditionalFormatting>
  <conditionalFormatting sqref="H8:I16 L8:M16">
    <cfRule type="containsBlanks" dxfId="827" priority="3">
      <formula>LEN(TRIM(H8))=0</formula>
    </cfRule>
  </conditionalFormatting>
  <conditionalFormatting sqref="H7:M7">
    <cfRule type="containsBlanks" dxfId="826" priority="8">
      <formula>LEN(TRIM(H7))=0</formula>
    </cfRule>
  </conditionalFormatting>
  <conditionalFormatting sqref="P7:Q22">
    <cfRule type="containsBlanks" dxfId="825" priority="9">
      <formula>LEN(TRIM(P7))=0</formula>
    </cfRule>
  </conditionalFormatting>
  <conditionalFormatting sqref="S7:U22">
    <cfRule type="containsBlanks" dxfId="824" priority="13">
      <formula>LEN(TRIM(S7))=0</formula>
    </cfRule>
  </conditionalFormatting>
  <conditionalFormatting sqref="W7:Y22">
    <cfRule type="containsBlanks" dxfId="823" priority="12">
      <formula>LEN(TRIM(W7))=0</formula>
    </cfRule>
  </conditionalFormatting>
  <conditionalFormatting sqref="AA7:AA22">
    <cfRule type="containsBlanks" dxfId="822" priority="11">
      <formula>LEN(TRIM(AA7))=0</formula>
    </cfRule>
  </conditionalFormatting>
  <conditionalFormatting sqref="AC7:AD22">
    <cfRule type="containsBlanks" dxfId="821" priority="10">
      <formula>LEN(TRIM(AC7))=0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0C6B-8C36-435B-A804-0393FD59B9AF}">
  <sheetPr codeName="Sheet320">
    <tabColor rgb="FFFFFF66"/>
    <pageSetUpPr fitToPage="1"/>
  </sheetPr>
  <dimension ref="A1:AE34"/>
  <sheetViews>
    <sheetView zoomScale="70" zoomScaleNormal="70" workbookViewId="0">
      <selection activeCell="J21" sqref="I21:J21"/>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5874</v>
      </c>
      <c r="D2" s="6876"/>
      <c r="E2" s="6876"/>
      <c r="F2" s="6876"/>
      <c r="G2" s="6876"/>
      <c r="H2" s="4661" t="s">
        <v>5709</v>
      </c>
      <c r="I2" s="4732"/>
      <c r="J2" s="4733"/>
      <c r="K2" s="4733"/>
      <c r="M2" s="4808" t="s">
        <v>5748</v>
      </c>
      <c r="N2" s="7105">
        <f>SUM(N8,N10,N12)</f>
        <v>1025000</v>
      </c>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M3" s="4808" t="s">
        <v>5750</v>
      </c>
      <c r="N3" s="4809">
        <f>N2*1.1</f>
        <v>1127500</v>
      </c>
      <c r="T3" s="4656"/>
      <c r="W3" s="4853"/>
      <c r="X3" s="4853"/>
      <c r="Y3" s="4853"/>
      <c r="Z3" s="4853"/>
      <c r="AA3" s="4853"/>
      <c r="AB3" s="4735"/>
      <c r="AC3" s="4735"/>
      <c r="AD3" s="4735"/>
      <c r="AE3" s="4735"/>
    </row>
    <row r="4" spans="1:31" ht="23.15" customHeight="1" thickBot="1">
      <c r="A4" s="4737" t="s">
        <v>5836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4.9" customHeight="1">
      <c r="A8" s="4758">
        <v>1</v>
      </c>
      <c r="B8" s="4816">
        <v>46305</v>
      </c>
      <c r="C8" s="4699">
        <v>46320</v>
      </c>
      <c r="D8" s="4759">
        <v>0</v>
      </c>
      <c r="E8" s="4759">
        <v>1</v>
      </c>
      <c r="F8" s="4949">
        <v>18</v>
      </c>
      <c r="G8" s="4975" t="s">
        <v>5875</v>
      </c>
      <c r="H8" s="4762">
        <v>31</v>
      </c>
      <c r="I8" s="4763" t="s">
        <v>5784</v>
      </c>
      <c r="J8" s="4764"/>
      <c r="K8" s="4765"/>
      <c r="L8" s="4765"/>
      <c r="M8" s="4765"/>
      <c r="N8" s="4762">
        <v>125000</v>
      </c>
      <c r="O8" s="4766">
        <f t="shared" si="0"/>
        <v>2250000</v>
      </c>
      <c r="P8" s="4857" t="s">
        <v>3804</v>
      </c>
      <c r="Q8" s="4858"/>
      <c r="R8" s="4976" t="s">
        <v>3804</v>
      </c>
      <c r="S8" s="4858"/>
      <c r="T8" s="4859" t="s">
        <v>2161</v>
      </c>
      <c r="U8" s="4860"/>
    </row>
    <row r="9" spans="1:31" s="4666" customFormat="1" ht="34.9" customHeight="1">
      <c r="A9" s="4758">
        <v>2</v>
      </c>
      <c r="B9" s="4699">
        <v>46321</v>
      </c>
      <c r="C9" s="4699">
        <v>46321</v>
      </c>
      <c r="D9" s="4759">
        <v>0</v>
      </c>
      <c r="E9" s="4759">
        <v>0.5</v>
      </c>
      <c r="F9" s="4949">
        <f t="shared" ref="F9:F17" si="1">IF(OR(ISBLANK($B9), ISBLANK($C9)), 0, _xlfn.DAYS($C9, $B9) + 1)</f>
        <v>1</v>
      </c>
      <c r="G9" s="4975" t="s">
        <v>5875</v>
      </c>
      <c r="H9" s="4762">
        <v>31</v>
      </c>
      <c r="I9" s="4763" t="s">
        <v>5784</v>
      </c>
      <c r="J9" s="4764"/>
      <c r="K9" s="4765"/>
      <c r="L9" s="4765"/>
      <c r="M9" s="4765"/>
      <c r="N9" s="4762">
        <v>62500</v>
      </c>
      <c r="O9" s="4766">
        <f t="shared" si="0"/>
        <v>62500</v>
      </c>
      <c r="P9" s="4857" t="s">
        <v>3804</v>
      </c>
      <c r="Q9" s="4858"/>
      <c r="R9" s="4976" t="s">
        <v>3804</v>
      </c>
      <c r="S9" s="4858"/>
      <c r="T9" s="4859" t="s">
        <v>2161</v>
      </c>
      <c r="U9" s="4860"/>
    </row>
    <row r="10" spans="1:31" ht="33.75" customHeight="1">
      <c r="A10" s="4758">
        <v>3</v>
      </c>
      <c r="B10" s="4816">
        <v>46305</v>
      </c>
      <c r="C10" s="4699">
        <v>46320</v>
      </c>
      <c r="D10" s="4759">
        <v>0.27083333333333331</v>
      </c>
      <c r="E10" s="4759">
        <v>0.91666666666666663</v>
      </c>
      <c r="F10" s="4949">
        <v>18</v>
      </c>
      <c r="G10" s="4975" t="s">
        <v>5876</v>
      </c>
      <c r="H10" s="4762">
        <v>31</v>
      </c>
      <c r="I10" s="4763" t="s">
        <v>5814</v>
      </c>
      <c r="J10" s="4764"/>
      <c r="K10" s="4765"/>
      <c r="L10" s="4765"/>
      <c r="M10" s="4765">
        <v>220</v>
      </c>
      <c r="N10" s="4762">
        <v>400000</v>
      </c>
      <c r="O10" s="4766">
        <f t="shared" si="0"/>
        <v>7200000</v>
      </c>
      <c r="P10" s="4857" t="s">
        <v>3804</v>
      </c>
      <c r="Q10" s="4858"/>
      <c r="R10" s="4976" t="s">
        <v>3804</v>
      </c>
      <c r="S10" s="4858"/>
      <c r="T10" s="4859" t="s">
        <v>2161</v>
      </c>
      <c r="U10" s="4860"/>
      <c r="AC10" s="4657"/>
    </row>
    <row r="11" spans="1:31" ht="33.75" customHeight="1">
      <c r="A11" s="4758">
        <v>4</v>
      </c>
      <c r="B11" s="4699">
        <v>46321</v>
      </c>
      <c r="C11" s="4699">
        <v>46321</v>
      </c>
      <c r="D11" s="4759">
        <v>0.27083333333333331</v>
      </c>
      <c r="E11" s="4759">
        <v>0.5</v>
      </c>
      <c r="F11" s="4949">
        <f t="shared" si="1"/>
        <v>1</v>
      </c>
      <c r="G11" s="4975" t="s">
        <v>5876</v>
      </c>
      <c r="H11" s="4762">
        <v>31</v>
      </c>
      <c r="I11" s="4763" t="s">
        <v>5814</v>
      </c>
      <c r="J11" s="4764"/>
      <c r="K11" s="4765"/>
      <c r="L11" s="4765"/>
      <c r="M11" s="4765">
        <v>220</v>
      </c>
      <c r="N11" s="4762">
        <v>200000</v>
      </c>
      <c r="O11" s="4766">
        <f t="shared" si="0"/>
        <v>200000</v>
      </c>
      <c r="P11" s="4857" t="s">
        <v>3804</v>
      </c>
      <c r="Q11" s="4858"/>
      <c r="R11" s="4976" t="s">
        <v>3804</v>
      </c>
      <c r="S11" s="4858"/>
      <c r="T11" s="4859" t="s">
        <v>2161</v>
      </c>
      <c r="U11" s="4860"/>
      <c r="AC11" s="4657"/>
    </row>
    <row r="12" spans="1:31" ht="33.75" customHeight="1">
      <c r="A12" s="4758">
        <v>5</v>
      </c>
      <c r="B12" s="4816">
        <v>46305</v>
      </c>
      <c r="C12" s="4699">
        <v>46320</v>
      </c>
      <c r="D12" s="4759">
        <v>0.27083333333333331</v>
      </c>
      <c r="E12" s="4759">
        <v>0.91666666666666663</v>
      </c>
      <c r="F12" s="4977">
        <v>18</v>
      </c>
      <c r="G12" s="4975" t="s">
        <v>5877</v>
      </c>
      <c r="H12" s="4762">
        <v>31</v>
      </c>
      <c r="I12" s="4763" t="s">
        <v>5878</v>
      </c>
      <c r="J12" s="4764"/>
      <c r="K12" s="4765"/>
      <c r="L12" s="4765"/>
      <c r="M12" s="4765">
        <v>406</v>
      </c>
      <c r="N12" s="4762">
        <v>500000</v>
      </c>
      <c r="O12" s="4766">
        <f t="shared" si="0"/>
        <v>9000000</v>
      </c>
      <c r="P12" s="4857" t="s">
        <v>3804</v>
      </c>
      <c r="Q12" s="4858"/>
      <c r="R12" s="4976" t="s">
        <v>3804</v>
      </c>
      <c r="S12" s="4858"/>
      <c r="T12" s="4859" t="s">
        <v>2161</v>
      </c>
      <c r="U12" s="4860"/>
      <c r="AC12" s="4657"/>
    </row>
    <row r="13" spans="1:31" ht="33.75" customHeight="1">
      <c r="A13" s="4758">
        <v>6</v>
      </c>
      <c r="B13" s="4699">
        <v>46321</v>
      </c>
      <c r="C13" s="4699">
        <v>46321</v>
      </c>
      <c r="D13" s="4759">
        <v>0.27083333333333331</v>
      </c>
      <c r="E13" s="4759">
        <v>0.5</v>
      </c>
      <c r="F13" s="4949">
        <f t="shared" si="1"/>
        <v>1</v>
      </c>
      <c r="G13" s="4975" t="s">
        <v>5877</v>
      </c>
      <c r="H13" s="4762">
        <v>31</v>
      </c>
      <c r="I13" s="4763" t="s">
        <v>5878</v>
      </c>
      <c r="J13" s="4764"/>
      <c r="K13" s="4765"/>
      <c r="L13" s="4765"/>
      <c r="M13" s="4765">
        <v>406</v>
      </c>
      <c r="N13" s="4762">
        <v>250000</v>
      </c>
      <c r="O13" s="4766">
        <f t="shared" si="0"/>
        <v>250000</v>
      </c>
      <c r="P13" s="4857" t="s">
        <v>3804</v>
      </c>
      <c r="Q13" s="4858"/>
      <c r="R13" s="4976" t="s">
        <v>3804</v>
      </c>
      <c r="S13" s="4858"/>
      <c r="T13" s="4859" t="s">
        <v>2161</v>
      </c>
      <c r="U13" s="4860"/>
      <c r="AC13" s="4657"/>
    </row>
    <row r="14" spans="1:31" ht="33.75" customHeight="1">
      <c r="A14" s="4758">
        <v>7</v>
      </c>
      <c r="B14" s="4816"/>
      <c r="C14" s="4816"/>
      <c r="D14" s="4759"/>
      <c r="E14" s="4759"/>
      <c r="F14" s="4760">
        <f t="shared" si="1"/>
        <v>0</v>
      </c>
      <c r="G14" s="4771"/>
      <c r="H14" s="476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57</v>
      </c>
      <c r="G18" s="4779"/>
      <c r="H18" s="4781"/>
      <c r="I18" s="4782">
        <f>COUNTA(G8,G10,G12)</f>
        <v>3</v>
      </c>
      <c r="J18" s="4783"/>
      <c r="K18" s="4784"/>
      <c r="L18" s="4784"/>
      <c r="M18" s="4784"/>
      <c r="N18" s="4785"/>
      <c r="O18" s="4922">
        <f>SUM(O8:O17)</f>
        <v>18962500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20858750</v>
      </c>
      <c r="P19" s="4884"/>
      <c r="Q19" s="4885"/>
      <c r="R19" s="4886"/>
      <c r="S19" s="4887"/>
      <c r="T19" s="4886"/>
      <c r="U19" s="4888"/>
      <c r="AC19" s="4657"/>
    </row>
    <row r="20" spans="1:31" ht="33.75" customHeight="1">
      <c r="A20" s="4656"/>
      <c r="B20" s="4660"/>
      <c r="C20" s="4660"/>
      <c r="D20" s="4660"/>
      <c r="G20" s="4660"/>
      <c r="H20" s="4660"/>
      <c r="O20" s="4656"/>
      <c r="P20" s="4657"/>
      <c r="Q20" s="4657"/>
      <c r="AC20" s="4657"/>
    </row>
    <row r="21" spans="1:31" ht="32.15" customHeight="1">
      <c r="A21" s="4656"/>
      <c r="B21" s="4660"/>
      <c r="C21" s="4660"/>
      <c r="D21" s="4660"/>
      <c r="G21" s="4660"/>
      <c r="H21" s="4660"/>
      <c r="O21" s="4656"/>
      <c r="P21" s="4657"/>
      <c r="Q21" s="4657"/>
      <c r="AC21" s="4657"/>
    </row>
    <row r="22" spans="1:31" ht="32.15" customHeight="1">
      <c r="B22" s="4657"/>
      <c r="C22" s="4657"/>
      <c r="D22" s="4657"/>
      <c r="E22" s="4810"/>
      <c r="F22" s="4811"/>
      <c r="G22" s="4657"/>
      <c r="H22" s="4657"/>
      <c r="O22" s="4656"/>
      <c r="P22" s="4657"/>
      <c r="Q22" s="4657"/>
      <c r="AC22" s="4657"/>
    </row>
    <row r="23" spans="1:31" ht="32.15" customHeight="1">
      <c r="A23" s="4812"/>
      <c r="B23" s="4813"/>
      <c r="C23" s="4813"/>
      <c r="D23" s="4813"/>
      <c r="E23" s="4814"/>
      <c r="F23" s="4814"/>
      <c r="G23" s="4813"/>
      <c r="H23" s="4813"/>
      <c r="I23" s="4812"/>
      <c r="J23" s="4812"/>
      <c r="K23" s="4812"/>
      <c r="L23" s="4812"/>
      <c r="M23" s="4812"/>
      <c r="N23" s="4812"/>
      <c r="O23" s="4715"/>
      <c r="P23" s="4715"/>
      <c r="Q23" s="4715"/>
      <c r="R23" s="4656"/>
      <c r="S23" s="4812"/>
      <c r="T23" s="4656"/>
      <c r="U23" s="4812"/>
      <c r="W23" s="6905"/>
      <c r="X23" s="6905"/>
      <c r="Y23" s="6905"/>
      <c r="Z23" s="6905"/>
      <c r="AA23" s="6905"/>
      <c r="AB23" s="6891"/>
      <c r="AC23" s="6891"/>
      <c r="AD23" s="6891"/>
      <c r="AE23" s="6891"/>
    </row>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10.4" customHeight="1">
      <c r="B34" s="4657"/>
      <c r="C34" s="4657"/>
      <c r="D34" s="4657"/>
      <c r="G34" s="4657"/>
      <c r="H34" s="4657"/>
      <c r="O34" s="4656"/>
      <c r="P34" s="4657"/>
      <c r="Q34" s="4657"/>
      <c r="AC34" s="4657"/>
    </row>
  </sheetData>
  <mergeCells count="21">
    <mergeCell ref="A2:B2"/>
    <mergeCell ref="C2:G2"/>
    <mergeCell ref="A5:A6"/>
    <mergeCell ref="B5:B6"/>
    <mergeCell ref="C5:C6"/>
    <mergeCell ref="D5:D6"/>
    <mergeCell ref="E5:E6"/>
    <mergeCell ref="F5:F6"/>
    <mergeCell ref="G5:G6"/>
    <mergeCell ref="AB23:AE23"/>
    <mergeCell ref="H5:H6"/>
    <mergeCell ref="I5:I6"/>
    <mergeCell ref="J5:J6"/>
    <mergeCell ref="K5:K6"/>
    <mergeCell ref="L5:L6"/>
    <mergeCell ref="M5:M6"/>
    <mergeCell ref="N5:N6"/>
    <mergeCell ref="O5:O6"/>
    <mergeCell ref="P5:Q5"/>
    <mergeCell ref="R5:U5"/>
    <mergeCell ref="W23:AA23"/>
  </mergeCells>
  <phoneticPr fontId="2"/>
  <conditionalFormatting sqref="B8:E17">
    <cfRule type="containsBlanks" dxfId="820" priority="1">
      <formula>LEN(TRIM(B8))=0</formula>
    </cfRule>
  </conditionalFormatting>
  <conditionalFormatting sqref="C2:D2">
    <cfRule type="containsBlanks" dxfId="819" priority="3">
      <formula>LEN(TRIM(C2))=0</formula>
    </cfRule>
  </conditionalFormatting>
  <conditionalFormatting sqref="G8:N17 P8:U17">
    <cfRule type="containsBlanks" dxfId="818" priority="2">
      <formula>LEN(TRIM(G8))=0</formula>
    </cfRule>
  </conditionalFormatting>
  <dataValidations count="1">
    <dataValidation type="list" allowBlank="1" showInputMessage="1" showErrorMessage="1" sqref="I7:I17" xr:uid="{DDD2DCE8-73D1-4241-AE8B-73CBD01775BD}">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99E5B-290B-4091-96AD-61093759E14D}">
  <sheetPr codeName="Sheet321">
    <tabColor rgb="FFFFFF66"/>
    <pageSetUpPr fitToPage="1"/>
  </sheetPr>
  <dimension ref="A1:AG42"/>
  <sheetViews>
    <sheetView topLeftCell="A19" zoomScale="55" zoomScaleNormal="55" zoomScaleSheetLayoutView="70" workbookViewId="0">
      <selection activeCell="A25" sqref="A25:B29"/>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4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0.1796875" style="4657" customWidth="1"/>
    <col min="31" max="31" width="22.1796875" style="4657" customWidth="1"/>
    <col min="32" max="33" width="26.6328125" style="4657" customWidth="1"/>
    <col min="34" max="16384" width="9.81640625" style="4657"/>
  </cols>
  <sheetData>
    <row r="1" spans="1:33" ht="21" customHeight="1" thickBot="1">
      <c r="R1" s="4656"/>
      <c r="T1" s="4660"/>
      <c r="V1" s="4656"/>
    </row>
    <row r="2" spans="1:33" ht="44.25" customHeight="1" thickBot="1">
      <c r="A2" s="6874" t="s">
        <v>5707</v>
      </c>
      <c r="B2" s="6875"/>
      <c r="C2" s="6876" t="s">
        <v>4911</v>
      </c>
      <c r="D2" s="6876"/>
      <c r="E2" s="6876"/>
      <c r="F2" s="6876"/>
      <c r="G2" s="6876"/>
      <c r="H2" s="4661" t="s">
        <v>5709</v>
      </c>
      <c r="I2" s="4662"/>
      <c r="J2" s="4663"/>
      <c r="L2" s="4713" t="s">
        <v>5748</v>
      </c>
      <c r="M2" s="7106">
        <f>SUM(M8*K8,M9*K9,M10*K10,M11*K11,M12*K12,M13*K13,,M14*K14,M15*K15,M16*K16)</f>
        <v>52796990</v>
      </c>
      <c r="N2" s="4663"/>
      <c r="R2" s="4656"/>
      <c r="T2" s="4660"/>
      <c r="V2" s="4656"/>
      <c r="AD2" s="4664" t="s">
        <v>5710</v>
      </c>
    </row>
    <row r="3" spans="1:33" ht="22.5" customHeight="1">
      <c r="L3" s="4721" t="s">
        <v>5854</v>
      </c>
      <c r="M3" s="4722">
        <f>M2</f>
        <v>52796990</v>
      </c>
      <c r="R3" s="4656"/>
      <c r="T3" s="4660"/>
      <c r="V3" s="4656"/>
    </row>
    <row r="4" spans="1:33" ht="33.75" customHeight="1" thickBot="1">
      <c r="A4" s="4665" t="s">
        <v>5711</v>
      </c>
      <c r="B4" s="4665"/>
      <c r="R4" s="4656"/>
      <c r="V4" s="4656"/>
      <c r="Y4" s="4656"/>
      <c r="Z4" s="4656"/>
      <c r="AA4" s="4656"/>
      <c r="AB4" s="4656"/>
      <c r="AC4" s="4656"/>
      <c r="AE4" s="4656" t="s">
        <v>5712</v>
      </c>
    </row>
    <row r="5" spans="1:33" s="4666" customFormat="1" ht="33.75" customHeight="1" thickBo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5879</v>
      </c>
      <c r="M5" s="6855" t="s">
        <v>5880</v>
      </c>
      <c r="N5" s="6855" t="s">
        <v>5881</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c r="AF5" s="7084" t="s">
        <v>7049</v>
      </c>
      <c r="AG5" s="7084" t="s">
        <v>7050</v>
      </c>
    </row>
    <row r="6" spans="1:33" s="4666" customFormat="1" ht="20.5" thickBot="1">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c r="AF6" s="7085"/>
      <c r="AG6" s="7086"/>
    </row>
    <row r="7" spans="1:33" ht="33.75" customHeight="1">
      <c r="A7" s="4669" t="s">
        <v>5737</v>
      </c>
      <c r="B7" s="4826">
        <v>46305</v>
      </c>
      <c r="C7" s="4827">
        <v>46307</v>
      </c>
      <c r="D7" s="4672">
        <f>IF(_xlfn.DAYS(C7,B7)=0,"1",_xlfn.DAYS(C7,B7))</f>
        <v>2</v>
      </c>
      <c r="E7" s="4827">
        <v>46319</v>
      </c>
      <c r="F7" s="4672">
        <f>IF(_xlfn.DAYS(E7,C7)=0,"1",_xlfn.DAYS(E7,C7))+1</f>
        <v>13</v>
      </c>
      <c r="G7" s="4827">
        <v>46321</v>
      </c>
      <c r="H7" s="4672">
        <f>IF(_xlfn.DAYS(G7,E7)=0,"1",_xlfn.DAYS(G7,E7))-1</f>
        <v>1</v>
      </c>
      <c r="I7" s="4674" t="s">
        <v>5738</v>
      </c>
      <c r="J7" s="4677">
        <v>100</v>
      </c>
      <c r="K7" s="4676">
        <v>90</v>
      </c>
      <c r="L7" s="4677">
        <v>9000</v>
      </c>
      <c r="M7" s="4677">
        <v>10000</v>
      </c>
      <c r="N7" s="4677">
        <v>8000</v>
      </c>
      <c r="O7" s="4678">
        <f>SUM(D7,F7,H7)*K7</f>
        <v>1440</v>
      </c>
      <c r="P7" s="4677">
        <f>(D7*L7+F7*M7+H7*N7)*K7</f>
        <v>14040000</v>
      </c>
      <c r="Q7" s="4682">
        <v>21</v>
      </c>
      <c r="R7" s="4680" t="s">
        <v>5739</v>
      </c>
      <c r="S7" s="4682">
        <v>21</v>
      </c>
      <c r="T7" s="4815">
        <v>1</v>
      </c>
      <c r="U7" s="4675">
        <v>154</v>
      </c>
      <c r="V7" s="4680" t="s">
        <v>4521</v>
      </c>
      <c r="W7" s="4682">
        <v>203</v>
      </c>
      <c r="X7" s="4675">
        <v>1</v>
      </c>
      <c r="Y7" s="4675" t="s">
        <v>5740</v>
      </c>
      <c r="Z7" s="4683" t="s">
        <v>5035</v>
      </c>
      <c r="AA7" s="4675" t="s">
        <v>2830</v>
      </c>
      <c r="AB7" s="4683" t="s">
        <v>5050</v>
      </c>
      <c r="AC7" s="4675" t="s">
        <v>5741</v>
      </c>
      <c r="AD7" s="4684"/>
      <c r="AE7" s="4685"/>
      <c r="AF7" s="7087" t="s">
        <v>246</v>
      </c>
      <c r="AG7" s="7087" t="s">
        <v>246</v>
      </c>
    </row>
    <row r="8" spans="1:33" ht="42" customHeight="1">
      <c r="A8" s="4828">
        <v>1</v>
      </c>
      <c r="B8" s="4687">
        <v>46279</v>
      </c>
      <c r="C8" s="4687">
        <v>46279</v>
      </c>
      <c r="D8" s="4672" t="str">
        <f>IF(_xlfn.DAYS(C8,B8)=0,"1",_xlfn.DAYS(C8,B8))</f>
        <v>1</v>
      </c>
      <c r="E8" s="4687">
        <v>46301</v>
      </c>
      <c r="F8" s="4672">
        <f t="shared" ref="F8:F17" si="0">IF(_xlfn.DAYS(E8,C8)=0,"1",_xlfn.DAYS(E8,C8))+1</f>
        <v>23</v>
      </c>
      <c r="G8" s="4699">
        <v>46302</v>
      </c>
      <c r="H8" s="4672">
        <f t="shared" ref="H8:H22" si="1">IF(_xlfn.DAYS(G8,E8)=0,"1",_xlfn.DAYS(G8,E8))-1</f>
        <v>0</v>
      </c>
      <c r="I8" s="4831" t="s">
        <v>5097</v>
      </c>
      <c r="J8" s="4970">
        <v>122</v>
      </c>
      <c r="K8" s="4970">
        <v>122</v>
      </c>
      <c r="L8" s="4834"/>
      <c r="M8" s="4834">
        <v>91529.999999999985</v>
      </c>
      <c r="N8" s="4834"/>
      <c r="O8" s="4678">
        <f>SUM(D8,F8,H8)*K8</f>
        <v>2806</v>
      </c>
      <c r="P8" s="4677">
        <f>(D8*L8+F8*M8+H8*N8)*K8</f>
        <v>256833179.99999994</v>
      </c>
      <c r="Q8" s="4836">
        <v>32</v>
      </c>
      <c r="R8" s="4837" t="s">
        <v>5742</v>
      </c>
      <c r="S8" s="4836">
        <v>32</v>
      </c>
      <c r="T8" s="4838">
        <v>1</v>
      </c>
      <c r="U8" s="4834">
        <v>180</v>
      </c>
      <c r="V8" s="4837" t="s">
        <v>4521</v>
      </c>
      <c r="W8" s="4836">
        <v>203</v>
      </c>
      <c r="X8" s="4834">
        <v>1</v>
      </c>
      <c r="Y8" s="4834" t="s">
        <v>5740</v>
      </c>
      <c r="Z8" s="4839" t="s">
        <v>5035</v>
      </c>
      <c r="AA8" s="4834" t="s">
        <v>2826</v>
      </c>
      <c r="AB8" s="4839" t="s">
        <v>5050</v>
      </c>
      <c r="AC8" s="4834" t="s">
        <v>2814</v>
      </c>
      <c r="AD8" s="4832"/>
      <c r="AE8" s="4685">
        <f>T8*K8</f>
        <v>122</v>
      </c>
      <c r="AF8" s="7088">
        <f>AE7*SUM(F7,H7,J7)*AF$6</f>
        <v>0</v>
      </c>
      <c r="AG8" s="7088">
        <f>AE7*SUM(F7,H7,J7)*AG$6</f>
        <v>0</v>
      </c>
    </row>
    <row r="9" spans="1:33" ht="42" customHeight="1">
      <c r="A9" s="4828">
        <v>2</v>
      </c>
      <c r="B9" s="4687">
        <v>46279</v>
      </c>
      <c r="C9" s="4687">
        <v>46279</v>
      </c>
      <c r="D9" s="4672" t="str">
        <f t="shared" ref="D9:D17" si="2">IF(_xlfn.DAYS(C9,B9)=0,"1",_xlfn.DAYS(C9,B9))</f>
        <v>1</v>
      </c>
      <c r="E9" s="4687">
        <v>46301</v>
      </c>
      <c r="F9" s="4672">
        <f t="shared" si="0"/>
        <v>23</v>
      </c>
      <c r="G9" s="4699">
        <v>46302</v>
      </c>
      <c r="H9" s="4672">
        <f t="shared" si="1"/>
        <v>0</v>
      </c>
      <c r="I9" s="4972" t="s">
        <v>5098</v>
      </c>
      <c r="J9" s="4973">
        <v>103</v>
      </c>
      <c r="K9" s="4973">
        <v>103</v>
      </c>
      <c r="L9" s="4834"/>
      <c r="M9" s="4834">
        <v>105089.99999999999</v>
      </c>
      <c r="N9" s="4834"/>
      <c r="O9" s="4678">
        <f>SUM(D9,F9,H9)*K9</f>
        <v>2369</v>
      </c>
      <c r="P9" s="4677">
        <f>(D9*L9+F9*M9+H9*N9)*K9</f>
        <v>248958209.99999994</v>
      </c>
      <c r="Q9" s="4836">
        <v>32</v>
      </c>
      <c r="R9" s="4837" t="s">
        <v>5742</v>
      </c>
      <c r="S9" s="4836">
        <v>32</v>
      </c>
      <c r="T9" s="4838">
        <v>2</v>
      </c>
      <c r="U9" s="4834">
        <v>120</v>
      </c>
      <c r="V9" s="4837" t="s">
        <v>4521</v>
      </c>
      <c r="W9" s="4836">
        <v>203</v>
      </c>
      <c r="X9" s="4834">
        <v>2</v>
      </c>
      <c r="Y9" s="4834" t="s">
        <v>5740</v>
      </c>
      <c r="Z9" s="4839" t="s">
        <v>5035</v>
      </c>
      <c r="AA9" s="4834" t="s">
        <v>2826</v>
      </c>
      <c r="AB9" s="4839" t="s">
        <v>5050</v>
      </c>
      <c r="AC9" s="4834" t="s">
        <v>2814</v>
      </c>
      <c r="AD9" s="4974" t="s">
        <v>5869</v>
      </c>
      <c r="AE9" s="4685">
        <f>T9*K9</f>
        <v>206</v>
      </c>
      <c r="AF9" s="7088">
        <f>AE8*SUM(F8,H8,J8)*AF$6</f>
        <v>0</v>
      </c>
      <c r="AG9" s="7088">
        <f>AE8*SUM(F8,H8,J8)*AG$6</f>
        <v>0</v>
      </c>
    </row>
    <row r="10" spans="1:33" ht="42" customHeight="1">
      <c r="A10" s="4828">
        <v>3</v>
      </c>
      <c r="B10" s="4687">
        <v>46279</v>
      </c>
      <c r="C10" s="4687">
        <v>46279</v>
      </c>
      <c r="D10" s="4672" t="str">
        <f t="shared" si="2"/>
        <v>1</v>
      </c>
      <c r="E10" s="4687">
        <v>46301</v>
      </c>
      <c r="F10" s="4672">
        <f t="shared" si="0"/>
        <v>23</v>
      </c>
      <c r="G10" s="4699">
        <v>46302</v>
      </c>
      <c r="H10" s="4672">
        <f t="shared" si="1"/>
        <v>0</v>
      </c>
      <c r="I10" s="4831" t="s">
        <v>5099</v>
      </c>
      <c r="J10" s="4973">
        <v>50</v>
      </c>
      <c r="K10" s="4973">
        <v>50</v>
      </c>
      <c r="L10" s="4834"/>
      <c r="M10" s="4834">
        <v>112999.99999999999</v>
      </c>
      <c r="N10" s="4834"/>
      <c r="O10" s="4678">
        <f>SUM(D10,F10,H10)*K10</f>
        <v>1150</v>
      </c>
      <c r="P10" s="4677">
        <f>(D10*L10+F10*M10+H10*N10)*K10</f>
        <v>129949999.99999997</v>
      </c>
      <c r="Q10" s="4836">
        <v>32</v>
      </c>
      <c r="R10" s="4837" t="s">
        <v>5742</v>
      </c>
      <c r="S10" s="4836">
        <v>32</v>
      </c>
      <c r="T10" s="4838">
        <v>2</v>
      </c>
      <c r="U10" s="4834">
        <v>120</v>
      </c>
      <c r="V10" s="4837" t="s">
        <v>4521</v>
      </c>
      <c r="W10" s="4836">
        <v>203</v>
      </c>
      <c r="X10" s="4834">
        <v>2</v>
      </c>
      <c r="Y10" s="4834" t="s">
        <v>5740</v>
      </c>
      <c r="Z10" s="4839" t="s">
        <v>5035</v>
      </c>
      <c r="AA10" s="4834" t="s">
        <v>2826</v>
      </c>
      <c r="AB10" s="4839" t="s">
        <v>5050</v>
      </c>
      <c r="AC10" s="4834" t="s">
        <v>2814</v>
      </c>
      <c r="AD10" s="4974" t="s">
        <v>5869</v>
      </c>
      <c r="AE10" s="4685">
        <f>T10*K10</f>
        <v>100</v>
      </c>
      <c r="AF10" s="7088">
        <f>AE9*SUM(F9,H9,J9)*AF$6</f>
        <v>0</v>
      </c>
      <c r="AG10" s="7088">
        <f>AE9*SUM(F9,H9,J9)*AG$6</f>
        <v>0</v>
      </c>
    </row>
    <row r="11" spans="1:33" ht="42" customHeight="1">
      <c r="A11" s="4828">
        <v>4</v>
      </c>
      <c r="B11" s="4687">
        <v>46279</v>
      </c>
      <c r="C11" s="4687">
        <v>46279</v>
      </c>
      <c r="D11" s="4672" t="str">
        <f t="shared" si="2"/>
        <v>1</v>
      </c>
      <c r="E11" s="4687">
        <v>46301</v>
      </c>
      <c r="F11" s="4672">
        <f t="shared" si="0"/>
        <v>23</v>
      </c>
      <c r="G11" s="4699">
        <v>46302</v>
      </c>
      <c r="H11" s="4672">
        <f t="shared" si="1"/>
        <v>0</v>
      </c>
      <c r="I11" s="4831" t="s">
        <v>5100</v>
      </c>
      <c r="J11" s="4973">
        <v>86</v>
      </c>
      <c r="K11" s="4973">
        <v>86</v>
      </c>
      <c r="L11" s="4834"/>
      <c r="M11" s="4834">
        <v>153680</v>
      </c>
      <c r="N11" s="4834"/>
      <c r="O11" s="4678">
        <f>SUM(D11,F11,H11)*K11</f>
        <v>1978</v>
      </c>
      <c r="P11" s="4677">
        <f>(D11*L11+F11*M11+H11*N11)*K11</f>
        <v>303979040</v>
      </c>
      <c r="Q11" s="4836">
        <v>32</v>
      </c>
      <c r="R11" s="4837" t="s">
        <v>5742</v>
      </c>
      <c r="S11" s="4836">
        <v>32</v>
      </c>
      <c r="T11" s="4838">
        <v>2</v>
      </c>
      <c r="U11" s="4834">
        <v>120</v>
      </c>
      <c r="V11" s="4837" t="s">
        <v>4521</v>
      </c>
      <c r="W11" s="4836">
        <v>203</v>
      </c>
      <c r="X11" s="4834">
        <v>2</v>
      </c>
      <c r="Y11" s="4834" t="s">
        <v>5740</v>
      </c>
      <c r="Z11" s="4839" t="s">
        <v>5035</v>
      </c>
      <c r="AA11" s="4834" t="s">
        <v>2826</v>
      </c>
      <c r="AB11" s="4839" t="s">
        <v>5050</v>
      </c>
      <c r="AC11" s="4834" t="s">
        <v>2814</v>
      </c>
      <c r="AD11" s="4974" t="s">
        <v>5869</v>
      </c>
      <c r="AE11" s="4685">
        <f>T11*K11</f>
        <v>172</v>
      </c>
      <c r="AF11" s="7088">
        <f>AE10*SUM(F10,H10,J10)*AF$6</f>
        <v>0</v>
      </c>
      <c r="AG11" s="7088">
        <f>AE10*SUM(F10,H10,J10)*AG$6</f>
        <v>0</v>
      </c>
    </row>
    <row r="12" spans="1:33" ht="42" customHeight="1">
      <c r="A12" s="4828">
        <v>5</v>
      </c>
      <c r="B12" s="4687">
        <v>46279</v>
      </c>
      <c r="C12" s="4687">
        <v>46279</v>
      </c>
      <c r="D12" s="4672" t="str">
        <f t="shared" si="2"/>
        <v>1</v>
      </c>
      <c r="E12" s="4687">
        <v>46301</v>
      </c>
      <c r="F12" s="4672">
        <f t="shared" si="0"/>
        <v>23</v>
      </c>
      <c r="G12" s="4699">
        <v>46302</v>
      </c>
      <c r="H12" s="4672">
        <f t="shared" si="1"/>
        <v>0</v>
      </c>
      <c r="I12" s="4831" t="s">
        <v>5101</v>
      </c>
      <c r="J12" s="4973">
        <v>6</v>
      </c>
      <c r="K12" s="4973">
        <v>6</v>
      </c>
      <c r="L12" s="4834"/>
      <c r="M12" s="4834">
        <v>255379.99999999997</v>
      </c>
      <c r="N12" s="4834"/>
      <c r="O12" s="4678">
        <f>SUM(D12,F12,H12)*K12</f>
        <v>138</v>
      </c>
      <c r="P12" s="4677">
        <f>(D12*L12+F12*M12+H12*N12)*K12</f>
        <v>35242439.999999993</v>
      </c>
      <c r="Q12" s="4836">
        <v>59.5</v>
      </c>
      <c r="R12" s="4837" t="s">
        <v>5742</v>
      </c>
      <c r="S12" s="4836">
        <v>59.5</v>
      </c>
      <c r="T12" s="4838">
        <v>1</v>
      </c>
      <c r="U12" s="4834">
        <v>180</v>
      </c>
      <c r="V12" s="4837" t="s">
        <v>4521</v>
      </c>
      <c r="W12" s="4836">
        <v>203</v>
      </c>
      <c r="X12" s="4834">
        <v>1</v>
      </c>
      <c r="Y12" s="4834" t="s">
        <v>5740</v>
      </c>
      <c r="Z12" s="4839" t="s">
        <v>5035</v>
      </c>
      <c r="AA12" s="4834" t="s">
        <v>2826</v>
      </c>
      <c r="AB12" s="4839" t="s">
        <v>5050</v>
      </c>
      <c r="AC12" s="4834" t="s">
        <v>2814</v>
      </c>
      <c r="AD12" s="4832"/>
      <c r="AE12" s="4685">
        <f>T12*K12</f>
        <v>6</v>
      </c>
      <c r="AF12" s="7088">
        <f>AE11*SUM(F11,H11,J11)*AF$6</f>
        <v>0</v>
      </c>
      <c r="AG12" s="7088">
        <f>AE11*SUM(F11,H11,J11)*AG$6</f>
        <v>0</v>
      </c>
    </row>
    <row r="13" spans="1:33" ht="42" customHeight="1">
      <c r="A13" s="4828">
        <v>6</v>
      </c>
      <c r="B13" s="4687">
        <v>46279</v>
      </c>
      <c r="C13" s="4687">
        <v>46279</v>
      </c>
      <c r="D13" s="4672" t="str">
        <f t="shared" si="2"/>
        <v>1</v>
      </c>
      <c r="E13" s="4687">
        <v>46301</v>
      </c>
      <c r="F13" s="4672">
        <f t="shared" si="0"/>
        <v>23</v>
      </c>
      <c r="G13" s="4699">
        <v>46302</v>
      </c>
      <c r="H13" s="4672">
        <f t="shared" si="1"/>
        <v>0</v>
      </c>
      <c r="I13" s="4831" t="s">
        <v>5102</v>
      </c>
      <c r="J13" s="4973">
        <v>7</v>
      </c>
      <c r="K13" s="4973">
        <v>7</v>
      </c>
      <c r="L13" s="4834"/>
      <c r="M13" s="4834">
        <v>345779.99999999994</v>
      </c>
      <c r="N13" s="4834"/>
      <c r="O13" s="4678">
        <f>SUM(D13,F13,H13)*K13</f>
        <v>161</v>
      </c>
      <c r="P13" s="4677">
        <f>(D13*L13+F13*M13+H13*N13)*K13</f>
        <v>55670579.999999993</v>
      </c>
      <c r="Q13" s="4836">
        <v>59.5</v>
      </c>
      <c r="R13" s="4837" t="s">
        <v>5742</v>
      </c>
      <c r="S13" s="4836">
        <v>59.5</v>
      </c>
      <c r="T13" s="4838">
        <v>2</v>
      </c>
      <c r="U13" s="4834">
        <v>120</v>
      </c>
      <c r="V13" s="4837" t="s">
        <v>4521</v>
      </c>
      <c r="W13" s="4836">
        <v>203</v>
      </c>
      <c r="X13" s="4834">
        <v>2</v>
      </c>
      <c r="Y13" s="4834" t="s">
        <v>5740</v>
      </c>
      <c r="Z13" s="4839" t="s">
        <v>5035</v>
      </c>
      <c r="AA13" s="4834" t="s">
        <v>2826</v>
      </c>
      <c r="AB13" s="4839" t="s">
        <v>5050</v>
      </c>
      <c r="AC13" s="4834" t="s">
        <v>2814</v>
      </c>
      <c r="AD13" s="4974" t="s">
        <v>5870</v>
      </c>
      <c r="AE13" s="4685">
        <f>T13*K13</f>
        <v>14</v>
      </c>
      <c r="AF13" s="7088">
        <f>AE12*SUM(F12,H12,J12)*AF$6</f>
        <v>0</v>
      </c>
      <c r="AG13" s="7088">
        <f>AE12*SUM(F12,H12,J12)*AG$6</f>
        <v>0</v>
      </c>
    </row>
    <row r="14" spans="1:33" ht="42" customHeight="1">
      <c r="A14" s="4828">
        <v>7</v>
      </c>
      <c r="B14" s="4687">
        <v>46279</v>
      </c>
      <c r="C14" s="4687">
        <v>46279</v>
      </c>
      <c r="D14" s="4672" t="str">
        <f t="shared" si="2"/>
        <v>1</v>
      </c>
      <c r="E14" s="4687">
        <v>46301</v>
      </c>
      <c r="F14" s="4672">
        <f t="shared" si="0"/>
        <v>23</v>
      </c>
      <c r="G14" s="4699">
        <v>46302</v>
      </c>
      <c r="H14" s="4672">
        <f t="shared" si="1"/>
        <v>0</v>
      </c>
      <c r="I14" s="4831" t="s">
        <v>5103</v>
      </c>
      <c r="J14" s="4973">
        <v>2</v>
      </c>
      <c r="K14" s="4973">
        <v>2</v>
      </c>
      <c r="L14" s="4834"/>
      <c r="M14" s="4834">
        <v>571780</v>
      </c>
      <c r="N14" s="4834"/>
      <c r="O14" s="4678">
        <f>SUM(D14,F14,H14)*K14</f>
        <v>46</v>
      </c>
      <c r="P14" s="4677">
        <f>(D14*L14+F14*M14+H14*N14)*K14</f>
        <v>26301880</v>
      </c>
      <c r="Q14" s="4836">
        <v>79.400000000000006</v>
      </c>
      <c r="R14" s="4837" t="s">
        <v>5742</v>
      </c>
      <c r="S14" s="4836">
        <v>79.400000000000006</v>
      </c>
      <c r="T14" s="4838">
        <v>1</v>
      </c>
      <c r="U14" s="4834">
        <v>180</v>
      </c>
      <c r="V14" s="4837" t="s">
        <v>4521</v>
      </c>
      <c r="W14" s="4836">
        <v>203</v>
      </c>
      <c r="X14" s="4834">
        <v>1</v>
      </c>
      <c r="Y14" s="4834" t="s">
        <v>5740</v>
      </c>
      <c r="Z14" s="4839" t="s">
        <v>5035</v>
      </c>
      <c r="AA14" s="4834" t="s">
        <v>2826</v>
      </c>
      <c r="AB14" s="4839" t="s">
        <v>5050</v>
      </c>
      <c r="AC14" s="4834" t="s">
        <v>2814</v>
      </c>
      <c r="AD14" s="4832"/>
      <c r="AE14" s="4685">
        <f>T14*K14</f>
        <v>2</v>
      </c>
      <c r="AF14" s="7088">
        <f>AE13*SUM(F13,H13,J13)*AF$6</f>
        <v>0</v>
      </c>
      <c r="AG14" s="7088">
        <f>AE13*SUM(F13,H13,J13)*AG$6</f>
        <v>0</v>
      </c>
    </row>
    <row r="15" spans="1:33" ht="42" customHeight="1">
      <c r="A15" s="4828">
        <v>8</v>
      </c>
      <c r="B15" s="4687">
        <v>46279</v>
      </c>
      <c r="C15" s="4687">
        <v>46279</v>
      </c>
      <c r="D15" s="4672" t="str">
        <f t="shared" si="2"/>
        <v>1</v>
      </c>
      <c r="E15" s="4687">
        <v>46301</v>
      </c>
      <c r="F15" s="4672">
        <f t="shared" si="0"/>
        <v>23</v>
      </c>
      <c r="G15" s="4699">
        <v>46302</v>
      </c>
      <c r="H15" s="4672">
        <f t="shared" si="1"/>
        <v>0</v>
      </c>
      <c r="I15" s="4978" t="s">
        <v>5104</v>
      </c>
      <c r="J15" s="4973">
        <v>55</v>
      </c>
      <c r="K15" s="4973">
        <v>55</v>
      </c>
      <c r="L15" s="4834"/>
      <c r="M15" s="4834">
        <v>119779.99999999999</v>
      </c>
      <c r="N15" s="4834"/>
      <c r="O15" s="4678">
        <f>SUM(D15,F15,H15)*K15</f>
        <v>1265</v>
      </c>
      <c r="P15" s="4677">
        <f>(D15*L15+F15*M15+H15*N15)*K15</f>
        <v>151521699.99999997</v>
      </c>
      <c r="Q15" s="4836">
        <v>79</v>
      </c>
      <c r="R15" s="4837" t="s">
        <v>5742</v>
      </c>
      <c r="S15" s="4836">
        <v>79</v>
      </c>
      <c r="T15" s="4838">
        <v>2</v>
      </c>
      <c r="U15" s="4834">
        <v>140</v>
      </c>
      <c r="V15" s="4837" t="s">
        <v>4521</v>
      </c>
      <c r="W15" s="4836">
        <v>203</v>
      </c>
      <c r="X15" s="4834">
        <v>2</v>
      </c>
      <c r="Y15" s="4834" t="s">
        <v>5740</v>
      </c>
      <c r="Z15" s="4839" t="s">
        <v>5035</v>
      </c>
      <c r="AA15" s="4834" t="s">
        <v>2826</v>
      </c>
      <c r="AB15" s="4839" t="s">
        <v>5050</v>
      </c>
      <c r="AC15" s="4834" t="s">
        <v>2814</v>
      </c>
      <c r="AD15" s="4974" t="s">
        <v>5871</v>
      </c>
      <c r="AE15" s="4685">
        <f>T15*K15</f>
        <v>110</v>
      </c>
      <c r="AF15" s="7088">
        <f>AE14*SUM(F14,H14,J14)*AF$6</f>
        <v>0</v>
      </c>
      <c r="AG15" s="7088">
        <f>AE14*SUM(F14,H14,J14)*AG$6</f>
        <v>0</v>
      </c>
    </row>
    <row r="16" spans="1:33" ht="42" customHeight="1">
      <c r="A16" s="4828">
        <v>9</v>
      </c>
      <c r="B16" s="4687">
        <v>46279</v>
      </c>
      <c r="C16" s="4687">
        <v>46279</v>
      </c>
      <c r="D16" s="4672" t="str">
        <f t="shared" si="2"/>
        <v>1</v>
      </c>
      <c r="E16" s="4687">
        <v>46301</v>
      </c>
      <c r="F16" s="4672">
        <f t="shared" si="0"/>
        <v>23</v>
      </c>
      <c r="G16" s="4699">
        <v>46302</v>
      </c>
      <c r="H16" s="4672">
        <f t="shared" si="1"/>
        <v>0</v>
      </c>
      <c r="I16" s="4978" t="s">
        <v>5882</v>
      </c>
      <c r="J16" s="4973">
        <v>1</v>
      </c>
      <c r="K16" s="4973">
        <v>1</v>
      </c>
      <c r="L16" s="4834"/>
      <c r="M16" s="4834">
        <v>255379.99999999997</v>
      </c>
      <c r="N16" s="4834"/>
      <c r="O16" s="4678">
        <f>SUM(D16,F16,H16)*K16</f>
        <v>23</v>
      </c>
      <c r="P16" s="4677">
        <f>(D16*L16+F16*M16+H16*N16)*K16</f>
        <v>5873739.9999999991</v>
      </c>
      <c r="Q16" s="4836">
        <v>78</v>
      </c>
      <c r="R16" s="4837" t="s">
        <v>5742</v>
      </c>
      <c r="S16" s="4836">
        <v>78</v>
      </c>
      <c r="T16" s="4838">
        <v>2</v>
      </c>
      <c r="U16" s="4834">
        <v>140</v>
      </c>
      <c r="V16" s="4837" t="s">
        <v>4521</v>
      </c>
      <c r="W16" s="4836">
        <v>203</v>
      </c>
      <c r="X16" s="4834">
        <v>2</v>
      </c>
      <c r="Y16" s="4834" t="s">
        <v>5740</v>
      </c>
      <c r="Z16" s="4839" t="s">
        <v>5035</v>
      </c>
      <c r="AA16" s="4834" t="s">
        <v>2826</v>
      </c>
      <c r="AB16" s="4839" t="s">
        <v>5050</v>
      </c>
      <c r="AC16" s="4834" t="s">
        <v>2814</v>
      </c>
      <c r="AD16" s="4974" t="s">
        <v>5871</v>
      </c>
      <c r="AE16" s="4685">
        <f>T16*K16</f>
        <v>2</v>
      </c>
      <c r="AF16" s="7088">
        <f>AE15*SUM(F15,H15,J15)*AF$6</f>
        <v>0</v>
      </c>
      <c r="AG16" s="7088">
        <f>AE15*SUM(F15,H15,J15)*AG$6</f>
        <v>0</v>
      </c>
    </row>
    <row r="17" spans="1:33" ht="33.75" customHeight="1">
      <c r="A17" s="4828">
        <v>10</v>
      </c>
      <c r="B17" s="4979">
        <v>46270</v>
      </c>
      <c r="C17" s="4979">
        <v>46270</v>
      </c>
      <c r="D17" s="4980" t="str">
        <f t="shared" si="2"/>
        <v>1</v>
      </c>
      <c r="E17" s="4979">
        <v>46279</v>
      </c>
      <c r="F17" s="4980">
        <f t="shared" si="0"/>
        <v>10</v>
      </c>
      <c r="G17" s="4981">
        <v>46279</v>
      </c>
      <c r="H17" s="4980">
        <f t="shared" si="1"/>
        <v>0</v>
      </c>
      <c r="I17" s="4982" t="s">
        <v>5097</v>
      </c>
      <c r="J17" s="4834"/>
      <c r="K17" s="4983">
        <v>20</v>
      </c>
      <c r="L17" s="4834"/>
      <c r="M17" s="4984">
        <v>91529.999999999985</v>
      </c>
      <c r="N17" s="4834"/>
      <c r="O17" s="4985">
        <f>SUM(D17,F17,H17)*K17</f>
        <v>200</v>
      </c>
      <c r="P17" s="4986">
        <f>(D17*L17+F17*M17+H17*N17)*K17</f>
        <v>18305999.999999996</v>
      </c>
      <c r="Q17" s="4836"/>
      <c r="R17" s="4837" t="s">
        <v>5742</v>
      </c>
      <c r="S17" s="4836"/>
      <c r="T17" s="4838"/>
      <c r="U17" s="4834"/>
      <c r="V17" s="4837" t="s">
        <v>4521</v>
      </c>
      <c r="W17" s="4836"/>
      <c r="X17" s="4834"/>
      <c r="Y17" s="4834"/>
      <c r="Z17" s="4839" t="s">
        <v>5035</v>
      </c>
      <c r="AA17" s="4834"/>
      <c r="AB17" s="4839" t="s">
        <v>5050</v>
      </c>
      <c r="AC17" s="4834"/>
      <c r="AD17" s="4832"/>
      <c r="AE17" s="4685">
        <f>T17*K17</f>
        <v>0</v>
      </c>
      <c r="AF17" s="7088">
        <f>AE16*SUM(F16,H16,J16)*AF$6</f>
        <v>0</v>
      </c>
      <c r="AG17" s="7088">
        <f>AE16*SUM(F16,H16,J16)*AG$6</f>
        <v>0</v>
      </c>
    </row>
    <row r="18" spans="1:33" ht="33.75" customHeight="1">
      <c r="A18" s="4828">
        <v>11</v>
      </c>
      <c r="B18" s="4687"/>
      <c r="C18" s="4687"/>
      <c r="D18" s="4672"/>
      <c r="E18" s="4687"/>
      <c r="F18" s="4672"/>
      <c r="G18" s="4699"/>
      <c r="H18" s="4672">
        <f t="shared" si="1"/>
        <v>0</v>
      </c>
      <c r="I18" s="4831"/>
      <c r="J18" s="4834"/>
      <c r="K18" s="4835"/>
      <c r="L18" s="4834"/>
      <c r="M18" s="4834"/>
      <c r="N18" s="4834"/>
      <c r="O18" s="4678">
        <f>SUM(D18,F18,H18)*K18</f>
        <v>0</v>
      </c>
      <c r="P18" s="4677">
        <f>(D18*L18+F18*M18+H18*N18)*K18</f>
        <v>0</v>
      </c>
      <c r="Q18" s="4836"/>
      <c r="R18" s="4837" t="s">
        <v>5742</v>
      </c>
      <c r="S18" s="4836"/>
      <c r="T18" s="4838"/>
      <c r="U18" s="4834"/>
      <c r="V18" s="4837" t="s">
        <v>4521</v>
      </c>
      <c r="W18" s="4836"/>
      <c r="X18" s="4834"/>
      <c r="Y18" s="4834"/>
      <c r="Z18" s="4839" t="s">
        <v>5035</v>
      </c>
      <c r="AA18" s="4834"/>
      <c r="AB18" s="4839" t="s">
        <v>5050</v>
      </c>
      <c r="AC18" s="4834"/>
      <c r="AD18" s="4832"/>
      <c r="AE18" s="4685">
        <f>T18*K18</f>
        <v>0</v>
      </c>
      <c r="AF18" s="7088">
        <f>AE17*SUM(F17,H17,J17)*AF$6</f>
        <v>0</v>
      </c>
      <c r="AG18" s="7088">
        <f>AE17*SUM(F17,H17,J17)*AG$6</f>
        <v>0</v>
      </c>
    </row>
    <row r="19" spans="1:33" ht="33.75" customHeight="1">
      <c r="A19" s="4828">
        <v>12</v>
      </c>
      <c r="B19" s="4687"/>
      <c r="C19" s="4687"/>
      <c r="D19" s="4672"/>
      <c r="E19" s="4687"/>
      <c r="F19" s="4672"/>
      <c r="G19" s="4699"/>
      <c r="H19" s="4672">
        <f t="shared" si="1"/>
        <v>0</v>
      </c>
      <c r="I19" s="4831"/>
      <c r="J19" s="4834"/>
      <c r="K19" s="4835"/>
      <c r="L19" s="4834"/>
      <c r="M19" s="4834"/>
      <c r="N19" s="4834"/>
      <c r="O19" s="4678">
        <f>SUM(D19,F19,H19)*K19</f>
        <v>0</v>
      </c>
      <c r="P19" s="4677">
        <f>(D19*L19+F19*M19+H19*N19)*K19</f>
        <v>0</v>
      </c>
      <c r="Q19" s="4836"/>
      <c r="R19" s="4837" t="s">
        <v>5742</v>
      </c>
      <c r="S19" s="4836"/>
      <c r="T19" s="4838"/>
      <c r="U19" s="4834"/>
      <c r="V19" s="4837" t="s">
        <v>4521</v>
      </c>
      <c r="W19" s="4836"/>
      <c r="X19" s="4834"/>
      <c r="Y19" s="4834"/>
      <c r="Z19" s="4839" t="s">
        <v>5035</v>
      </c>
      <c r="AA19" s="4834"/>
      <c r="AB19" s="4839" t="s">
        <v>5050</v>
      </c>
      <c r="AC19" s="4834"/>
      <c r="AD19" s="4832"/>
      <c r="AE19" s="4685">
        <f>T19*K19</f>
        <v>0</v>
      </c>
      <c r="AF19" s="7088">
        <f>AE18*SUM(F18,H18,J18)*AF$6</f>
        <v>0</v>
      </c>
      <c r="AG19" s="7088">
        <f>AE18*SUM(F18,H18,J18)*AG$6</f>
        <v>0</v>
      </c>
    </row>
    <row r="20" spans="1:33" ht="33.75" customHeight="1">
      <c r="A20" s="4828">
        <v>13</v>
      </c>
      <c r="B20" s="4687"/>
      <c r="C20" s="4687"/>
      <c r="D20" s="4672"/>
      <c r="E20" s="4687"/>
      <c r="F20" s="4672"/>
      <c r="G20" s="4699"/>
      <c r="H20" s="4672">
        <f t="shared" si="1"/>
        <v>0</v>
      </c>
      <c r="I20" s="4831"/>
      <c r="J20" s="4834"/>
      <c r="K20" s="4835"/>
      <c r="L20" s="4834"/>
      <c r="M20" s="4834"/>
      <c r="N20" s="4834"/>
      <c r="O20" s="4678">
        <f>SUM(D20,F20,H20)*K20</f>
        <v>0</v>
      </c>
      <c r="P20" s="4677">
        <f>(D20*L20+F20*M20+H20*N20)*K20</f>
        <v>0</v>
      </c>
      <c r="Q20" s="4836"/>
      <c r="R20" s="4837" t="s">
        <v>5742</v>
      </c>
      <c r="S20" s="4836"/>
      <c r="T20" s="4838"/>
      <c r="U20" s="4834"/>
      <c r="V20" s="4837" t="s">
        <v>4521</v>
      </c>
      <c r="W20" s="4836"/>
      <c r="X20" s="4834"/>
      <c r="Y20" s="4834"/>
      <c r="Z20" s="4839" t="s">
        <v>5035</v>
      </c>
      <c r="AA20" s="4834"/>
      <c r="AB20" s="4839" t="s">
        <v>5050</v>
      </c>
      <c r="AC20" s="4834"/>
      <c r="AD20" s="4832"/>
      <c r="AE20" s="4685">
        <f>T20*K20</f>
        <v>0</v>
      </c>
      <c r="AF20" s="7088">
        <f>AE19*SUM(F19,H19,J19)*AF$6</f>
        <v>0</v>
      </c>
      <c r="AG20" s="7088">
        <f>AE19*SUM(F19,H19,J19)*AG$6</f>
        <v>0</v>
      </c>
    </row>
    <row r="21" spans="1:33" ht="33.75" customHeight="1">
      <c r="A21" s="4828">
        <v>14</v>
      </c>
      <c r="B21" s="4687"/>
      <c r="C21" s="4687"/>
      <c r="D21" s="4672"/>
      <c r="E21" s="4687"/>
      <c r="F21" s="4672"/>
      <c r="G21" s="4699"/>
      <c r="H21" s="4672">
        <f t="shared" si="1"/>
        <v>0</v>
      </c>
      <c r="I21" s="4831"/>
      <c r="J21" s="4834"/>
      <c r="K21" s="4835"/>
      <c r="L21" s="4834"/>
      <c r="M21" s="4834"/>
      <c r="N21" s="4834"/>
      <c r="O21" s="4678">
        <f>SUM(D21,F21,H21)*K21</f>
        <v>0</v>
      </c>
      <c r="P21" s="4677">
        <f>(D21*L21+F21*M21+H21*N21)*K21</f>
        <v>0</v>
      </c>
      <c r="Q21" s="4836"/>
      <c r="R21" s="4837" t="s">
        <v>5742</v>
      </c>
      <c r="S21" s="4836"/>
      <c r="T21" s="4838"/>
      <c r="U21" s="4834"/>
      <c r="V21" s="4837" t="s">
        <v>4521</v>
      </c>
      <c r="W21" s="4836"/>
      <c r="X21" s="4834"/>
      <c r="Y21" s="4834"/>
      <c r="Z21" s="4839" t="s">
        <v>5035</v>
      </c>
      <c r="AA21" s="4834"/>
      <c r="AB21" s="4839" t="s">
        <v>5050</v>
      </c>
      <c r="AC21" s="4834"/>
      <c r="AD21" s="4832"/>
      <c r="AE21" s="4685">
        <f>T21*K21</f>
        <v>0</v>
      </c>
      <c r="AF21" s="7088">
        <f>AE20*SUM(F20,H20,J20)*AF$6</f>
        <v>0</v>
      </c>
      <c r="AG21" s="7088">
        <f>AE20*SUM(F20,H20,J20)*AG$6</f>
        <v>0</v>
      </c>
    </row>
    <row r="22" spans="1:33" ht="33.75" customHeight="1" thickBot="1">
      <c r="A22" s="4828">
        <v>15</v>
      </c>
      <c r="B22" s="4687"/>
      <c r="C22" s="4687"/>
      <c r="D22" s="4672"/>
      <c r="E22" s="4687"/>
      <c r="F22" s="4672"/>
      <c r="G22" s="4699"/>
      <c r="H22" s="4672">
        <f t="shared" si="1"/>
        <v>0</v>
      </c>
      <c r="I22" s="4831"/>
      <c r="J22" s="4834"/>
      <c r="K22" s="4835"/>
      <c r="L22" s="4834"/>
      <c r="M22" s="4834"/>
      <c r="N22" s="4834"/>
      <c r="O22" s="4678">
        <f>SUM(D22,F22,H22)*K22</f>
        <v>0</v>
      </c>
      <c r="P22" s="4677">
        <f>(D22*L22+F22*M22+H22*N22)*K22</f>
        <v>0</v>
      </c>
      <c r="Q22" s="4836"/>
      <c r="R22" s="4837" t="s">
        <v>5739</v>
      </c>
      <c r="S22" s="4836"/>
      <c r="T22" s="4838"/>
      <c r="U22" s="4834"/>
      <c r="V22" s="4837" t="s">
        <v>4521</v>
      </c>
      <c r="W22" s="4836"/>
      <c r="X22" s="4834"/>
      <c r="Y22" s="4834"/>
      <c r="Z22" s="4839" t="s">
        <v>5035</v>
      </c>
      <c r="AA22" s="4834"/>
      <c r="AB22" s="4839" t="s">
        <v>5050</v>
      </c>
      <c r="AC22" s="4834"/>
      <c r="AD22" s="4832"/>
      <c r="AE22" s="4685">
        <f>T22*K22</f>
        <v>0</v>
      </c>
      <c r="AF22" s="7088">
        <f>AE21*SUM(F21,H21,J21)*AF$6</f>
        <v>0</v>
      </c>
      <c r="AG22" s="7088">
        <f>AE21*SUM(F21,H21,J21)*AG$6</f>
        <v>0</v>
      </c>
    </row>
    <row r="23" spans="1:33" ht="33.75" customHeight="1" thickTop="1" thickBot="1">
      <c r="A23" s="4840"/>
      <c r="B23" s="4841"/>
      <c r="C23" s="4841"/>
      <c r="D23" s="4841"/>
      <c r="E23" s="4841"/>
      <c r="F23" s="4842"/>
      <c r="G23" s="4843"/>
      <c r="H23" s="4841"/>
      <c r="I23" s="4844" t="s">
        <v>2432</v>
      </c>
      <c r="J23" s="4845">
        <f>SUM(J8:J22)</f>
        <v>432</v>
      </c>
      <c r="K23" s="4846">
        <f>SUM(K8:K22)</f>
        <v>452</v>
      </c>
      <c r="L23" s="4843"/>
      <c r="M23" s="4843"/>
      <c r="N23" s="4843"/>
      <c r="O23" s="4845">
        <f>SUM(O8:O22)</f>
        <v>10136</v>
      </c>
      <c r="P23" s="4845">
        <f>SUM(P8:P22)</f>
        <v>1232636769.9999998</v>
      </c>
      <c r="Q23" s="6901"/>
      <c r="R23" s="6901"/>
      <c r="S23" s="6901"/>
      <c r="T23" s="4847"/>
      <c r="U23" s="6902"/>
      <c r="V23" s="6901"/>
      <c r="W23" s="6901"/>
      <c r="X23" s="4847"/>
      <c r="Y23" s="4847"/>
      <c r="Z23" s="6903"/>
      <c r="AA23" s="6904"/>
      <c r="AB23" s="6903"/>
      <c r="AC23" s="6904"/>
      <c r="AD23" s="4848"/>
      <c r="AE23" s="4685">
        <f>SUM(AE8:AE22)</f>
        <v>734</v>
      </c>
      <c r="AF23" s="7088">
        <f>SUM(AF8:AF22)</f>
        <v>0</v>
      </c>
      <c r="AG23" s="7088">
        <f>SUM(AG8:AG22)</f>
        <v>0</v>
      </c>
    </row>
    <row r="24" spans="1:33" ht="32.15" customHeight="1" thickBot="1">
      <c r="C24" s="4710"/>
      <c r="D24" s="4710"/>
      <c r="E24" s="4710"/>
      <c r="F24" s="4710"/>
      <c r="G24" s="4710"/>
      <c r="H24" s="4710"/>
      <c r="I24" s="4711"/>
      <c r="J24" s="4712"/>
      <c r="K24" s="4710"/>
      <c r="L24" s="4712"/>
      <c r="M24" s="4712"/>
      <c r="N24" s="4715"/>
      <c r="O24" s="4715"/>
      <c r="R24" s="4656"/>
      <c r="V24" s="4656"/>
      <c r="AE24" s="4849"/>
      <c r="AF24" s="7089" t="s">
        <v>127</v>
      </c>
      <c r="AG24" s="7090">
        <f>SUM(AF23,AG23)</f>
        <v>0</v>
      </c>
    </row>
    <row r="25" spans="1:33" ht="33.75" customHeight="1">
      <c r="A25" s="6845" t="s">
        <v>5749</v>
      </c>
      <c r="B25" s="7120"/>
      <c r="C25" s="4716">
        <f>O23</f>
        <v>10136</v>
      </c>
      <c r="D25" s="4717"/>
      <c r="F25" s="4718"/>
      <c r="G25" s="4850"/>
      <c r="H25" s="4719"/>
      <c r="I25" s="4720"/>
      <c r="L25" s="4656"/>
      <c r="M25" s="4656"/>
      <c r="O25" s="4728"/>
      <c r="P25" s="4728"/>
      <c r="Q25" s="4728"/>
      <c r="R25" s="4728"/>
      <c r="S25" s="4728"/>
      <c r="T25" s="4728"/>
      <c r="U25" s="4728"/>
      <c r="V25" s="4728"/>
      <c r="W25" s="4728"/>
      <c r="X25" s="4728"/>
      <c r="Y25" s="4728"/>
      <c r="Z25" s="4728"/>
      <c r="AA25" s="4728"/>
      <c r="AB25" s="4728"/>
      <c r="AC25" s="4728"/>
      <c r="AD25" s="4728"/>
      <c r="AE25" s="4851"/>
    </row>
    <row r="26" spans="1:33" ht="33.75" customHeight="1">
      <c r="A26" s="6991" t="s">
        <v>5883</v>
      </c>
      <c r="B26" s="6992"/>
      <c r="C26" s="4723">
        <f>P23</f>
        <v>1232636769.9999998</v>
      </c>
      <c r="D26" s="4717"/>
      <c r="F26" s="4724"/>
      <c r="G26" s="4852"/>
      <c r="H26" s="4719"/>
      <c r="I26" s="4720"/>
      <c r="O26" s="4728"/>
      <c r="P26" s="4728"/>
      <c r="Q26" s="4728"/>
      <c r="R26" s="4728"/>
      <c r="S26" s="4728"/>
      <c r="T26" s="4728"/>
      <c r="U26" s="4728"/>
      <c r="V26" s="4728"/>
      <c r="W26" s="4728"/>
      <c r="X26" s="4728"/>
      <c r="Y26" s="4728"/>
      <c r="Z26" s="4728"/>
      <c r="AA26" s="4728"/>
      <c r="AB26" s="4728"/>
      <c r="AC26" s="4728"/>
      <c r="AD26" s="4728"/>
      <c r="AE26" s="4851"/>
    </row>
    <row r="27" spans="1:33" ht="33.75" customHeight="1" thickBot="1">
      <c r="A27" s="6913" t="s">
        <v>5751</v>
      </c>
      <c r="B27" s="6914"/>
      <c r="C27" s="4823">
        <f>C26*1.1</f>
        <v>1355900446.9999998</v>
      </c>
      <c r="D27" s="4717"/>
      <c r="F27" s="4724"/>
      <c r="H27" s="4719"/>
      <c r="I27" s="4720"/>
      <c r="K27" s="4659"/>
      <c r="N27" s="4656"/>
      <c r="O27" s="4657"/>
      <c r="P27" s="4657"/>
    </row>
    <row r="28" spans="1:33" ht="32.15" customHeight="1" thickBot="1">
      <c r="A28" s="6920" t="s">
        <v>6158</v>
      </c>
      <c r="B28" s="6921"/>
      <c r="C28" s="4823">
        <f>AG24</f>
        <v>0</v>
      </c>
      <c r="D28" s="4726"/>
      <c r="E28" s="4726"/>
      <c r="F28" s="4726"/>
      <c r="G28" s="4726"/>
      <c r="H28" s="4726"/>
      <c r="I28" s="4727"/>
      <c r="N28" s="4656"/>
      <c r="O28" s="4657"/>
      <c r="P28" s="4657"/>
    </row>
    <row r="29" spans="1:33" ht="32.15" customHeight="1" thickBot="1">
      <c r="A29" s="6920" t="s">
        <v>7047</v>
      </c>
      <c r="B29" s="6921"/>
      <c r="C29" s="4823">
        <f>C27+C28</f>
        <v>1355900446.9999998</v>
      </c>
      <c r="D29" s="4726"/>
      <c r="E29" s="4726"/>
      <c r="F29" s="4726"/>
      <c r="G29" s="4726"/>
      <c r="H29" s="4726"/>
      <c r="I29" s="4727"/>
      <c r="N29" s="4656"/>
      <c r="O29" s="4657"/>
      <c r="P29" s="4657"/>
    </row>
    <row r="30" spans="1:33" ht="33.75" customHeight="1">
      <c r="A30" s="4729"/>
      <c r="B30" s="4729"/>
      <c r="C30" s="4729"/>
      <c r="D30" s="4729"/>
      <c r="E30" s="4729"/>
      <c r="F30" s="4729"/>
      <c r="G30" s="4726"/>
      <c r="H30" s="4729"/>
      <c r="I30" s="4720"/>
      <c r="O30" s="4656"/>
    </row>
    <row r="31" spans="1:33" ht="33.75" customHeight="1">
      <c r="A31" s="4728" t="s">
        <v>5752</v>
      </c>
      <c r="B31" s="4728"/>
      <c r="C31" s="4729"/>
      <c r="D31" s="4729"/>
      <c r="E31" s="4729"/>
      <c r="F31" s="4729"/>
      <c r="G31" s="4726"/>
      <c r="H31" s="4729"/>
      <c r="I31" s="4720"/>
      <c r="O31" s="6912"/>
      <c r="P31" s="6912"/>
      <c r="Q31" s="6912"/>
      <c r="R31" s="6912"/>
      <c r="S31" s="6912"/>
      <c r="T31" s="6912"/>
      <c r="U31" s="6912"/>
      <c r="V31" s="6912"/>
      <c r="W31" s="6912"/>
      <c r="X31" s="6912"/>
      <c r="Y31" s="6912"/>
      <c r="Z31" s="6912"/>
      <c r="AA31" s="6912"/>
      <c r="AB31" s="6912"/>
      <c r="AC31" s="6912"/>
      <c r="AD31" s="6912"/>
    </row>
    <row r="32" spans="1:33" ht="36" customHeight="1">
      <c r="A32" s="4728" t="s">
        <v>5753</v>
      </c>
      <c r="B32" s="4728"/>
    </row>
    <row r="33" spans="1:2" ht="36" customHeight="1">
      <c r="A33" s="4730" t="s">
        <v>5754</v>
      </c>
      <c r="B33" s="4730"/>
    </row>
    <row r="34" spans="1:2" ht="36" customHeight="1">
      <c r="A34" s="4728"/>
      <c r="B34" s="4728"/>
    </row>
    <row r="35" spans="1:2" ht="36" customHeight="1"/>
    <row r="36" spans="1:2" ht="36" customHeight="1"/>
    <row r="37" spans="1:2" ht="36" customHeight="1"/>
    <row r="38" spans="1:2" ht="36" customHeight="1"/>
    <row r="39" spans="1:2" ht="36" customHeight="1"/>
    <row r="40" spans="1:2" ht="36" customHeight="1"/>
    <row r="41" spans="1:2" ht="36" customHeight="1"/>
    <row r="42" spans="1:2" ht="10.4" customHeight="1"/>
  </sheetData>
  <mergeCells count="35">
    <mergeCell ref="A28:B28"/>
    <mergeCell ref="A29:B29"/>
    <mergeCell ref="A2:B2"/>
    <mergeCell ref="C2:G2"/>
    <mergeCell ref="A5:A6"/>
    <mergeCell ref="B5:B6"/>
    <mergeCell ref="C5:C6"/>
    <mergeCell ref="D5:D6"/>
    <mergeCell ref="E5:E6"/>
    <mergeCell ref="F5:F6"/>
    <mergeCell ref="G5:G6"/>
    <mergeCell ref="AE5:AE6"/>
    <mergeCell ref="Q23:S23"/>
    <mergeCell ref="U23:W23"/>
    <mergeCell ref="Z23:AA23"/>
    <mergeCell ref="AB23:AC23"/>
    <mergeCell ref="Q5:S6"/>
    <mergeCell ref="T5:T6"/>
    <mergeCell ref="U5:W6"/>
    <mergeCell ref="X5:X6"/>
    <mergeCell ref="A25:B25"/>
    <mergeCell ref="A26:B26"/>
    <mergeCell ref="O31:AD31"/>
    <mergeCell ref="Y5:Y6"/>
    <mergeCell ref="Z5:AC6"/>
    <mergeCell ref="AD5:AD6"/>
    <mergeCell ref="N5:N6"/>
    <mergeCell ref="O5:P5"/>
    <mergeCell ref="H5:H6"/>
    <mergeCell ref="I5:I6"/>
    <mergeCell ref="J5:J6"/>
    <mergeCell ref="K5:K6"/>
    <mergeCell ref="L5:L6"/>
    <mergeCell ref="M5:M6"/>
    <mergeCell ref="A27:B27"/>
  </mergeCells>
  <phoneticPr fontId="2"/>
  <conditionalFormatting sqref="B8:C22 E8:E22 H18:M22 N7:N22">
    <cfRule type="containsBlanks" dxfId="817" priority="7">
      <formula>LEN(TRIM(B7))=0</formula>
    </cfRule>
  </conditionalFormatting>
  <conditionalFormatting sqref="C2:D2">
    <cfRule type="containsBlanks" dxfId="816" priority="8">
      <formula>LEN(TRIM(C2))=0</formula>
    </cfRule>
  </conditionalFormatting>
  <conditionalFormatting sqref="D7:D22">
    <cfRule type="containsBlanks" dxfId="815" priority="6">
      <formula>LEN(TRIM(D7))=0</formula>
    </cfRule>
  </conditionalFormatting>
  <conditionalFormatting sqref="F7:F22">
    <cfRule type="containsBlanks" dxfId="814" priority="5">
      <formula>LEN(TRIM(F7))=0</formula>
    </cfRule>
  </conditionalFormatting>
  <conditionalFormatting sqref="G8:G22">
    <cfRule type="containsBlanks" dxfId="813" priority="3">
      <formula>LEN(TRIM(G8))=0</formula>
    </cfRule>
  </conditionalFormatting>
  <conditionalFormatting sqref="H8:I16 L8:M16">
    <cfRule type="containsBlanks" dxfId="812" priority="4">
      <formula>LEN(TRIM(H8))=0</formula>
    </cfRule>
  </conditionalFormatting>
  <conditionalFormatting sqref="H7:M7">
    <cfRule type="containsBlanks" dxfId="811" priority="9">
      <formula>LEN(TRIM(H7))=0</formula>
    </cfRule>
  </conditionalFormatting>
  <conditionalFormatting sqref="H17:M17">
    <cfRule type="containsBlanks" dxfId="810" priority="1">
      <formula>LEN(TRIM(H17))=0</formula>
    </cfRule>
  </conditionalFormatting>
  <conditionalFormatting sqref="P7:Q22">
    <cfRule type="containsBlanks" dxfId="809" priority="10">
      <formula>LEN(TRIM(P7))=0</formula>
    </cfRule>
  </conditionalFormatting>
  <conditionalFormatting sqref="S7:U22">
    <cfRule type="containsBlanks" dxfId="808" priority="14">
      <formula>LEN(TRIM(S7))=0</formula>
    </cfRule>
  </conditionalFormatting>
  <conditionalFormatting sqref="W7:Y22">
    <cfRule type="containsBlanks" dxfId="807" priority="13">
      <formula>LEN(TRIM(W7))=0</formula>
    </cfRule>
  </conditionalFormatting>
  <conditionalFormatting sqref="AA7:AA22">
    <cfRule type="containsBlanks" dxfId="806" priority="12">
      <formula>LEN(TRIM(AA7))=0</formula>
    </cfRule>
  </conditionalFormatting>
  <conditionalFormatting sqref="AC7:AD22">
    <cfRule type="containsBlanks" dxfId="805" priority="11">
      <formula>LEN(TRIM(AC7))=0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2713-D325-4B6C-B4B9-73C946341208}">
  <sheetPr codeName="Sheet322">
    <tabColor rgb="FFFFFF66"/>
    <pageSetUpPr fitToPage="1"/>
  </sheetPr>
  <dimension ref="A1:AE50"/>
  <sheetViews>
    <sheetView zoomScale="55" zoomScaleNormal="55" workbookViewId="0">
      <selection activeCell="Q37" sqref="Q37"/>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36.5429687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4911</v>
      </c>
      <c r="D2" s="6876"/>
      <c r="E2" s="6876"/>
      <c r="F2" s="6876"/>
      <c r="G2" s="6876"/>
      <c r="H2" s="4661" t="s">
        <v>5709</v>
      </c>
      <c r="I2" s="4732"/>
      <c r="J2" s="4733"/>
      <c r="K2" s="4733"/>
      <c r="M2" s="4808" t="s">
        <v>5748</v>
      </c>
      <c r="N2" s="7105">
        <f>SUM(N8:N31)</f>
        <v>21622912.73</v>
      </c>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M3" s="4808" t="s">
        <v>5750</v>
      </c>
      <c r="N3" s="4809">
        <f>N2*1.1</f>
        <v>23785204.003000002</v>
      </c>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33" si="0">F7*N7</f>
        <v>3150000</v>
      </c>
      <c r="P7" s="4755" t="s">
        <v>5782</v>
      </c>
      <c r="Q7" s="4756">
        <v>4</v>
      </c>
      <c r="R7" s="4756" t="s">
        <v>3804</v>
      </c>
      <c r="S7" s="4751" t="s">
        <v>246</v>
      </c>
      <c r="T7" s="4756" t="s">
        <v>2161</v>
      </c>
      <c r="U7" s="4757">
        <v>2000</v>
      </c>
    </row>
    <row r="8" spans="1:31" s="4666" customFormat="1" ht="34.9" customHeight="1">
      <c r="A8" s="4758">
        <v>1</v>
      </c>
      <c r="B8" s="4816">
        <v>46279</v>
      </c>
      <c r="C8" s="4699">
        <v>46302</v>
      </c>
      <c r="D8" s="4759">
        <v>0</v>
      </c>
      <c r="E8" s="4759">
        <v>1</v>
      </c>
      <c r="F8" s="4760">
        <f t="shared" ref="F8:F33" si="1">IF(OR(ISBLANK($B8), ISBLANK($C8)), 0, _xlfn.DAYS($C8, $B8) + 1)</f>
        <v>24</v>
      </c>
      <c r="G8" s="4975" t="s">
        <v>5884</v>
      </c>
      <c r="H8" s="4762">
        <v>4</v>
      </c>
      <c r="I8" s="4763" t="s">
        <v>5190</v>
      </c>
      <c r="J8" s="4764"/>
      <c r="K8" s="4765"/>
      <c r="L8" s="4765"/>
      <c r="M8" s="4765"/>
      <c r="N8" s="4762">
        <v>560254</v>
      </c>
      <c r="O8" s="4766">
        <f t="shared" si="0"/>
        <v>13446096</v>
      </c>
      <c r="P8" s="4857"/>
      <c r="Q8" s="4858"/>
      <c r="R8" s="4976"/>
      <c r="S8" s="4858"/>
      <c r="T8" s="4859"/>
      <c r="U8" s="4860"/>
    </row>
    <row r="9" spans="1:31" s="4666" customFormat="1" ht="34.9" customHeight="1">
      <c r="A9" s="4758">
        <v>2</v>
      </c>
      <c r="B9" s="4816">
        <v>46279</v>
      </c>
      <c r="C9" s="4699">
        <v>46302</v>
      </c>
      <c r="D9" s="4759">
        <v>0</v>
      </c>
      <c r="E9" s="4759">
        <v>1</v>
      </c>
      <c r="F9" s="4760">
        <f t="shared" si="1"/>
        <v>24</v>
      </c>
      <c r="G9" s="4975" t="s">
        <v>5885</v>
      </c>
      <c r="H9" s="4762">
        <v>4</v>
      </c>
      <c r="I9" s="4763" t="s">
        <v>5190</v>
      </c>
      <c r="J9" s="4764"/>
      <c r="K9" s="4765"/>
      <c r="L9" s="4765"/>
      <c r="M9" s="4765"/>
      <c r="N9" s="4762">
        <v>560254</v>
      </c>
      <c r="O9" s="4766">
        <f t="shared" si="0"/>
        <v>13446096</v>
      </c>
      <c r="P9" s="4857"/>
      <c r="Q9" s="4858"/>
      <c r="R9" s="4976"/>
      <c r="S9" s="4858"/>
      <c r="T9" s="4859"/>
      <c r="U9" s="4860"/>
    </row>
    <row r="10" spans="1:31" s="4666" customFormat="1" ht="34.9" customHeight="1">
      <c r="A10" s="4758">
        <v>3</v>
      </c>
      <c r="B10" s="4816">
        <v>46279</v>
      </c>
      <c r="C10" s="4699">
        <v>46302</v>
      </c>
      <c r="D10" s="4759">
        <v>0</v>
      </c>
      <c r="E10" s="4759">
        <v>1</v>
      </c>
      <c r="F10" s="4760">
        <f t="shared" si="1"/>
        <v>24</v>
      </c>
      <c r="G10" s="4975" t="s">
        <v>5886</v>
      </c>
      <c r="H10" s="4762">
        <v>4</v>
      </c>
      <c r="I10" s="4763" t="s">
        <v>5190</v>
      </c>
      <c r="J10" s="4764"/>
      <c r="K10" s="4765"/>
      <c r="L10" s="4765"/>
      <c r="M10" s="4765"/>
      <c r="N10" s="4762">
        <v>567825</v>
      </c>
      <c r="O10" s="4766">
        <f t="shared" si="0"/>
        <v>13627800</v>
      </c>
      <c r="P10" s="4857"/>
      <c r="Q10" s="4858"/>
      <c r="R10" s="4976"/>
      <c r="S10" s="4858"/>
      <c r="T10" s="4859"/>
      <c r="U10" s="4860"/>
    </row>
    <row r="11" spans="1:31" s="4666" customFormat="1" ht="34.9" customHeight="1">
      <c r="A11" s="4758">
        <v>4</v>
      </c>
      <c r="B11" s="4816">
        <v>46279</v>
      </c>
      <c r="C11" s="4699">
        <v>46302</v>
      </c>
      <c r="D11" s="4759">
        <v>0</v>
      </c>
      <c r="E11" s="4759">
        <v>1</v>
      </c>
      <c r="F11" s="4760">
        <f t="shared" si="1"/>
        <v>24</v>
      </c>
      <c r="G11" s="4975" t="s">
        <v>5887</v>
      </c>
      <c r="H11" s="4762">
        <v>4</v>
      </c>
      <c r="I11" s="4763" t="s">
        <v>5190</v>
      </c>
      <c r="J11" s="4764"/>
      <c r="K11" s="4765"/>
      <c r="L11" s="4765"/>
      <c r="M11" s="4765"/>
      <c r="N11" s="4762">
        <v>567825</v>
      </c>
      <c r="O11" s="4766">
        <f t="shared" si="0"/>
        <v>13627800</v>
      </c>
      <c r="P11" s="4857"/>
      <c r="Q11" s="4858"/>
      <c r="R11" s="4976"/>
      <c r="S11" s="4858"/>
      <c r="T11" s="4859"/>
      <c r="U11" s="4860"/>
    </row>
    <row r="12" spans="1:31" s="4666" customFormat="1" ht="34.9" customHeight="1">
      <c r="A12" s="4758">
        <v>5</v>
      </c>
      <c r="B12" s="4816">
        <v>46279</v>
      </c>
      <c r="C12" s="4699">
        <v>46302</v>
      </c>
      <c r="D12" s="4759">
        <v>0</v>
      </c>
      <c r="E12" s="4759">
        <v>1</v>
      </c>
      <c r="F12" s="4760">
        <f t="shared" si="1"/>
        <v>24</v>
      </c>
      <c r="G12" s="4975" t="s">
        <v>5888</v>
      </c>
      <c r="H12" s="4762">
        <v>4</v>
      </c>
      <c r="I12" s="4763" t="s">
        <v>5190</v>
      </c>
      <c r="J12" s="4764"/>
      <c r="K12" s="4765"/>
      <c r="L12" s="4765"/>
      <c r="M12" s="4765"/>
      <c r="N12" s="4762">
        <v>946374.99999999988</v>
      </c>
      <c r="O12" s="4766">
        <f t="shared" si="0"/>
        <v>22712999.999999996</v>
      </c>
      <c r="P12" s="4857"/>
      <c r="Q12" s="4858"/>
      <c r="R12" s="4976"/>
      <c r="S12" s="4858"/>
      <c r="T12" s="4859"/>
      <c r="U12" s="4860"/>
    </row>
    <row r="13" spans="1:31" s="4666" customFormat="1" ht="34.9" customHeight="1">
      <c r="A13" s="4758">
        <v>6</v>
      </c>
      <c r="B13" s="4816">
        <v>46279</v>
      </c>
      <c r="C13" s="4699">
        <v>46302</v>
      </c>
      <c r="D13" s="4759">
        <v>0</v>
      </c>
      <c r="E13" s="4759">
        <v>1</v>
      </c>
      <c r="F13" s="4760">
        <f t="shared" si="1"/>
        <v>24</v>
      </c>
      <c r="G13" s="4975" t="s">
        <v>5888</v>
      </c>
      <c r="H13" s="4762">
        <v>4</v>
      </c>
      <c r="I13" s="4763" t="s">
        <v>5190</v>
      </c>
      <c r="J13" s="4764"/>
      <c r="K13" s="4765"/>
      <c r="L13" s="4765"/>
      <c r="M13" s="4765"/>
      <c r="N13" s="4762">
        <v>946374.99999999988</v>
      </c>
      <c r="O13" s="4766">
        <f t="shared" si="0"/>
        <v>22712999.999999996</v>
      </c>
      <c r="P13" s="4857"/>
      <c r="Q13" s="4858"/>
      <c r="R13" s="4976"/>
      <c r="S13" s="4858"/>
      <c r="T13" s="4859"/>
      <c r="U13" s="4860"/>
    </row>
    <row r="14" spans="1:31" s="4666" customFormat="1" ht="34.9" customHeight="1">
      <c r="A14" s="4758">
        <v>7</v>
      </c>
      <c r="B14" s="4816">
        <v>46279</v>
      </c>
      <c r="C14" s="4699">
        <v>46302</v>
      </c>
      <c r="D14" s="4759">
        <v>0</v>
      </c>
      <c r="E14" s="4759">
        <v>1</v>
      </c>
      <c r="F14" s="4760">
        <f t="shared" si="1"/>
        <v>24</v>
      </c>
      <c r="G14" s="4975" t="s">
        <v>5889</v>
      </c>
      <c r="H14" s="4762">
        <v>4</v>
      </c>
      <c r="I14" s="4763" t="s">
        <v>5190</v>
      </c>
      <c r="J14" s="4764"/>
      <c r="K14" s="4765"/>
      <c r="L14" s="4765"/>
      <c r="M14" s="4765"/>
      <c r="N14" s="4762">
        <v>1491486.9999999998</v>
      </c>
      <c r="O14" s="4766">
        <f t="shared" si="0"/>
        <v>35795687.999999993</v>
      </c>
      <c r="P14" s="4857"/>
      <c r="Q14" s="4858"/>
      <c r="R14" s="4976"/>
      <c r="S14" s="4858"/>
      <c r="T14" s="4859"/>
      <c r="U14" s="4860"/>
    </row>
    <row r="15" spans="1:31" s="4666" customFormat="1" ht="34.9" customHeight="1">
      <c r="A15" s="4758">
        <v>8</v>
      </c>
      <c r="B15" s="4816">
        <v>46279</v>
      </c>
      <c r="C15" s="4699">
        <v>46302</v>
      </c>
      <c r="D15" s="4759">
        <v>0</v>
      </c>
      <c r="E15" s="4759">
        <v>1</v>
      </c>
      <c r="F15" s="4760">
        <f t="shared" si="1"/>
        <v>24</v>
      </c>
      <c r="G15" s="4975" t="s">
        <v>5890</v>
      </c>
      <c r="H15" s="4762">
        <v>4</v>
      </c>
      <c r="I15" s="4763" t="s">
        <v>5190</v>
      </c>
      <c r="J15" s="4764"/>
      <c r="K15" s="4765"/>
      <c r="L15" s="4765"/>
      <c r="M15" s="4765"/>
      <c r="N15" s="4762">
        <v>378549.99999999994</v>
      </c>
      <c r="O15" s="4766">
        <f t="shared" si="0"/>
        <v>9085199.9999999981</v>
      </c>
      <c r="P15" s="4857"/>
      <c r="Q15" s="4858"/>
      <c r="R15" s="4976"/>
      <c r="S15" s="4858"/>
      <c r="T15" s="4859"/>
      <c r="U15" s="4860"/>
    </row>
    <row r="16" spans="1:31" s="4666" customFormat="1" ht="34.9" customHeight="1">
      <c r="A16" s="4758">
        <v>9</v>
      </c>
      <c r="B16" s="4816">
        <v>46279</v>
      </c>
      <c r="C16" s="4699">
        <v>46302</v>
      </c>
      <c r="D16" s="4759">
        <v>0</v>
      </c>
      <c r="E16" s="4759">
        <v>1</v>
      </c>
      <c r="F16" s="4760">
        <f t="shared" si="1"/>
        <v>24</v>
      </c>
      <c r="G16" s="4975" t="s">
        <v>5891</v>
      </c>
      <c r="H16" s="4762">
        <v>4</v>
      </c>
      <c r="I16" s="4763" t="s">
        <v>5190</v>
      </c>
      <c r="J16" s="4764"/>
      <c r="K16" s="4765"/>
      <c r="L16" s="4765"/>
      <c r="M16" s="4765"/>
      <c r="N16" s="4762">
        <v>719244.99999999988</v>
      </c>
      <c r="O16" s="4766">
        <f t="shared" si="0"/>
        <v>17261879.999999996</v>
      </c>
      <c r="P16" s="4857"/>
      <c r="Q16" s="4858"/>
      <c r="R16" s="4976"/>
      <c r="S16" s="4858"/>
      <c r="T16" s="4859"/>
      <c r="U16" s="4860"/>
    </row>
    <row r="17" spans="1:29" s="4666" customFormat="1" ht="34.9" customHeight="1">
      <c r="A17" s="4758">
        <v>10</v>
      </c>
      <c r="B17" s="4816">
        <v>46279</v>
      </c>
      <c r="C17" s="4699">
        <v>46302</v>
      </c>
      <c r="D17" s="4759">
        <v>0</v>
      </c>
      <c r="E17" s="4759">
        <v>1</v>
      </c>
      <c r="F17" s="4760">
        <f t="shared" si="1"/>
        <v>24</v>
      </c>
      <c r="G17" s="4975" t="s">
        <v>5892</v>
      </c>
      <c r="H17" s="4762">
        <v>4</v>
      </c>
      <c r="I17" s="4763" t="s">
        <v>5190</v>
      </c>
      <c r="J17" s="4764"/>
      <c r="K17" s="4765"/>
      <c r="L17" s="4765"/>
      <c r="M17" s="4765"/>
      <c r="N17" s="4762">
        <v>719244.99999999988</v>
      </c>
      <c r="O17" s="4766">
        <f t="shared" si="0"/>
        <v>17261879.999999996</v>
      </c>
      <c r="P17" s="4857"/>
      <c r="Q17" s="4858"/>
      <c r="R17" s="4976"/>
      <c r="S17" s="4858"/>
      <c r="T17" s="4859"/>
      <c r="U17" s="4860"/>
    </row>
    <row r="18" spans="1:29" s="4666" customFormat="1" ht="34.9" customHeight="1">
      <c r="A18" s="4758">
        <v>11</v>
      </c>
      <c r="B18" s="4816">
        <v>46279</v>
      </c>
      <c r="C18" s="4699">
        <v>46302</v>
      </c>
      <c r="D18" s="4759">
        <v>0</v>
      </c>
      <c r="E18" s="4759">
        <v>1</v>
      </c>
      <c r="F18" s="4760">
        <f t="shared" si="1"/>
        <v>24</v>
      </c>
      <c r="G18" s="4975" t="s">
        <v>5893</v>
      </c>
      <c r="H18" s="4762">
        <v>5</v>
      </c>
      <c r="I18" s="4763" t="s">
        <v>5190</v>
      </c>
      <c r="J18" s="4764"/>
      <c r="K18" s="4765"/>
      <c r="L18" s="4765"/>
      <c r="M18" s="4765"/>
      <c r="N18" s="4762">
        <v>7351440.9999999991</v>
      </c>
      <c r="O18" s="4766">
        <f t="shared" si="0"/>
        <v>176434583.99999997</v>
      </c>
      <c r="P18" s="4857"/>
      <c r="Q18" s="4858"/>
      <c r="R18" s="4976"/>
      <c r="S18" s="4858"/>
      <c r="T18" s="4859"/>
      <c r="U18" s="4860"/>
    </row>
    <row r="19" spans="1:29" s="4666" customFormat="1" ht="34.9" customHeight="1">
      <c r="A19" s="4758">
        <v>12</v>
      </c>
      <c r="B19" s="4816">
        <v>46279</v>
      </c>
      <c r="C19" s="4699">
        <v>46302</v>
      </c>
      <c r="D19" s="4759">
        <v>0</v>
      </c>
      <c r="E19" s="4759">
        <v>1</v>
      </c>
      <c r="F19" s="4760">
        <f t="shared" si="1"/>
        <v>24</v>
      </c>
      <c r="G19" s="4975" t="s">
        <v>5894</v>
      </c>
      <c r="H19" s="4762">
        <v>5</v>
      </c>
      <c r="I19" s="4763" t="s">
        <v>5190</v>
      </c>
      <c r="J19" s="4764"/>
      <c r="K19" s="4765"/>
      <c r="L19" s="4765"/>
      <c r="M19" s="4765"/>
      <c r="N19" s="4762">
        <v>545112</v>
      </c>
      <c r="O19" s="4766">
        <f t="shared" si="0"/>
        <v>13082688</v>
      </c>
      <c r="P19" s="4857"/>
      <c r="Q19" s="4858"/>
      <c r="R19" s="4976"/>
      <c r="S19" s="4858"/>
      <c r="T19" s="4859"/>
      <c r="U19" s="4860"/>
    </row>
    <row r="20" spans="1:29" s="4666" customFormat="1" ht="34.9" customHeight="1">
      <c r="A20" s="4758">
        <v>13</v>
      </c>
      <c r="B20" s="4816">
        <v>46279</v>
      </c>
      <c r="C20" s="4699">
        <v>46302</v>
      </c>
      <c r="D20" s="4759">
        <v>0</v>
      </c>
      <c r="E20" s="4759">
        <v>1</v>
      </c>
      <c r="F20" s="4760">
        <f t="shared" si="1"/>
        <v>24</v>
      </c>
      <c r="G20" s="4975" t="s">
        <v>5895</v>
      </c>
      <c r="H20" s="4762">
        <v>28</v>
      </c>
      <c r="I20" s="4763" t="s">
        <v>5190</v>
      </c>
      <c r="J20" s="4764"/>
      <c r="K20" s="4765"/>
      <c r="L20" s="4765"/>
      <c r="M20" s="4765"/>
      <c r="N20" s="4762">
        <v>2884550.9999999995</v>
      </c>
      <c r="O20" s="4766">
        <f t="shared" si="0"/>
        <v>69229223.999999985</v>
      </c>
      <c r="P20" s="4857"/>
      <c r="Q20" s="4858"/>
      <c r="R20" s="4976"/>
      <c r="S20" s="4858"/>
      <c r="T20" s="4859"/>
      <c r="U20" s="4860"/>
    </row>
    <row r="21" spans="1:29" s="4666" customFormat="1" ht="34.9" customHeight="1">
      <c r="A21" s="4758">
        <v>14</v>
      </c>
      <c r="B21" s="4816">
        <v>46279</v>
      </c>
      <c r="C21" s="4699">
        <v>46302</v>
      </c>
      <c r="D21" s="4759">
        <v>0</v>
      </c>
      <c r="E21" s="4759">
        <v>1</v>
      </c>
      <c r="F21" s="4760">
        <f t="shared" si="1"/>
        <v>24</v>
      </c>
      <c r="G21" s="4975" t="s">
        <v>5896</v>
      </c>
      <c r="H21" s="4762">
        <v>28</v>
      </c>
      <c r="I21" s="4763" t="s">
        <v>5190</v>
      </c>
      <c r="J21" s="4764"/>
      <c r="K21" s="4765"/>
      <c r="L21" s="4765"/>
      <c r="M21" s="4765"/>
      <c r="N21" s="4762">
        <v>423975.99999999994</v>
      </c>
      <c r="O21" s="4766">
        <f t="shared" si="0"/>
        <v>10175423.999999998</v>
      </c>
      <c r="P21" s="4857"/>
      <c r="Q21" s="4858"/>
      <c r="R21" s="4976"/>
      <c r="S21" s="4858"/>
      <c r="T21" s="4859"/>
      <c r="U21" s="4860"/>
    </row>
    <row r="22" spans="1:29" s="4666" customFormat="1" ht="34.9" customHeight="1">
      <c r="A22" s="4758">
        <v>15</v>
      </c>
      <c r="B22" s="4816">
        <v>46279</v>
      </c>
      <c r="C22" s="4699">
        <v>46302</v>
      </c>
      <c r="D22" s="4759">
        <v>0</v>
      </c>
      <c r="E22" s="4759">
        <v>1</v>
      </c>
      <c r="F22" s="4760">
        <f t="shared" si="1"/>
        <v>24</v>
      </c>
      <c r="G22" s="4975" t="s">
        <v>5897</v>
      </c>
      <c r="H22" s="4762">
        <v>28</v>
      </c>
      <c r="I22" s="4763" t="s">
        <v>5190</v>
      </c>
      <c r="J22" s="4764"/>
      <c r="K22" s="4765"/>
      <c r="L22" s="4765"/>
      <c r="M22" s="4765"/>
      <c r="N22" s="4762">
        <v>423975.99999999994</v>
      </c>
      <c r="O22" s="4766">
        <f t="shared" si="0"/>
        <v>10175423.999999998</v>
      </c>
      <c r="P22" s="4857"/>
      <c r="Q22" s="4858"/>
      <c r="R22" s="4976"/>
      <c r="S22" s="4858"/>
      <c r="T22" s="4859"/>
      <c r="U22" s="4860"/>
    </row>
    <row r="23" spans="1:29" ht="33.75" customHeight="1">
      <c r="A23" s="4758">
        <v>16</v>
      </c>
      <c r="B23" s="4816">
        <v>46279</v>
      </c>
      <c r="C23" s="4699">
        <v>46302</v>
      </c>
      <c r="D23" s="4759">
        <v>0</v>
      </c>
      <c r="E23" s="4759">
        <v>1</v>
      </c>
      <c r="F23" s="4760">
        <f t="shared" si="1"/>
        <v>24</v>
      </c>
      <c r="G23" s="4975" t="s">
        <v>5898</v>
      </c>
      <c r="H23" s="4762">
        <v>1</v>
      </c>
      <c r="I23" s="4763" t="s">
        <v>5190</v>
      </c>
      <c r="J23" s="4764"/>
      <c r="K23" s="4765"/>
      <c r="L23" s="4765"/>
      <c r="M23" s="4765"/>
      <c r="N23" s="4762">
        <v>227129.99999999997</v>
      </c>
      <c r="O23" s="4766">
        <f t="shared" si="0"/>
        <v>5451119.9999999991</v>
      </c>
      <c r="P23" s="4857"/>
      <c r="Q23" s="4858"/>
      <c r="R23" s="4976"/>
      <c r="S23" s="4858"/>
      <c r="T23" s="4859"/>
      <c r="U23" s="4860"/>
      <c r="AC23" s="4657"/>
    </row>
    <row r="24" spans="1:29" ht="33.75" customHeight="1">
      <c r="A24" s="4758">
        <v>17</v>
      </c>
      <c r="B24" s="4816">
        <v>46279</v>
      </c>
      <c r="C24" s="4699">
        <v>46302</v>
      </c>
      <c r="D24" s="4759">
        <v>0</v>
      </c>
      <c r="E24" s="4759">
        <v>1</v>
      </c>
      <c r="F24" s="4760">
        <f t="shared" si="1"/>
        <v>24</v>
      </c>
      <c r="G24" s="4975" t="s">
        <v>5899</v>
      </c>
      <c r="H24" s="4762">
        <v>4</v>
      </c>
      <c r="I24" s="4763" t="s">
        <v>5190</v>
      </c>
      <c r="J24" s="4764"/>
      <c r="K24" s="4765"/>
      <c r="L24" s="4765"/>
      <c r="M24" s="4765"/>
      <c r="N24" s="4762">
        <v>136278</v>
      </c>
      <c r="O24" s="4766">
        <f t="shared" si="0"/>
        <v>3270672</v>
      </c>
      <c r="P24" s="4857"/>
      <c r="Q24" s="4858"/>
      <c r="R24" s="4976"/>
      <c r="S24" s="4858"/>
      <c r="T24" s="4859"/>
      <c r="U24" s="4860"/>
      <c r="AC24" s="4657"/>
    </row>
    <row r="25" spans="1:29" ht="33.75" customHeight="1">
      <c r="A25" s="4758">
        <v>18</v>
      </c>
      <c r="B25" s="4816">
        <v>46279</v>
      </c>
      <c r="C25" s="4699">
        <v>46302</v>
      </c>
      <c r="D25" s="4759">
        <v>0</v>
      </c>
      <c r="E25" s="4759">
        <v>1</v>
      </c>
      <c r="F25" s="4760">
        <f t="shared" si="1"/>
        <v>24</v>
      </c>
      <c r="G25" s="4975" t="s">
        <v>5900</v>
      </c>
      <c r="H25" s="4762">
        <v>4</v>
      </c>
      <c r="I25" s="4763" t="s">
        <v>5190</v>
      </c>
      <c r="J25" s="4764"/>
      <c r="K25" s="4765"/>
      <c r="L25" s="4765"/>
      <c r="M25" s="4765"/>
      <c r="N25" s="4762">
        <v>60567.999999999993</v>
      </c>
      <c r="O25" s="4766">
        <f t="shared" si="0"/>
        <v>1453631.9999999998</v>
      </c>
      <c r="P25" s="4857"/>
      <c r="Q25" s="4858"/>
      <c r="R25" s="4976"/>
      <c r="S25" s="4858"/>
      <c r="T25" s="4859"/>
      <c r="U25" s="4860"/>
      <c r="AC25" s="4657"/>
    </row>
    <row r="26" spans="1:29" ht="33.75" customHeight="1">
      <c r="A26" s="4758">
        <v>19</v>
      </c>
      <c r="B26" s="4816">
        <v>46279</v>
      </c>
      <c r="C26" s="4699">
        <v>46302</v>
      </c>
      <c r="D26" s="4759">
        <v>0</v>
      </c>
      <c r="E26" s="4759">
        <v>1</v>
      </c>
      <c r="F26" s="4760">
        <f t="shared" si="1"/>
        <v>24</v>
      </c>
      <c r="G26" s="4975" t="s">
        <v>5901</v>
      </c>
      <c r="H26" s="4762">
        <v>5</v>
      </c>
      <c r="I26" s="4763" t="s">
        <v>5190</v>
      </c>
      <c r="J26" s="4764"/>
      <c r="K26" s="4765"/>
      <c r="L26" s="4765"/>
      <c r="M26" s="4765"/>
      <c r="N26" s="4762">
        <v>211987.99999999997</v>
      </c>
      <c r="O26" s="4766">
        <f t="shared" si="0"/>
        <v>5087711.9999999991</v>
      </c>
      <c r="P26" s="4857"/>
      <c r="Q26" s="4858"/>
      <c r="R26" s="4976"/>
      <c r="S26" s="4858"/>
      <c r="T26" s="4859"/>
      <c r="U26" s="4860"/>
      <c r="AC26" s="4657"/>
    </row>
    <row r="27" spans="1:29" ht="33.75" customHeight="1">
      <c r="A27" s="4758">
        <v>20</v>
      </c>
      <c r="B27" s="4816">
        <v>46279</v>
      </c>
      <c r="C27" s="4699">
        <v>46302</v>
      </c>
      <c r="D27" s="4759">
        <v>0</v>
      </c>
      <c r="E27" s="4759">
        <v>1</v>
      </c>
      <c r="F27" s="4760">
        <f t="shared" si="1"/>
        <v>24</v>
      </c>
      <c r="G27" s="4975" t="s">
        <v>5902</v>
      </c>
      <c r="H27" s="4762">
        <v>26</v>
      </c>
      <c r="I27" s="4763" t="s">
        <v>5190</v>
      </c>
      <c r="J27" s="4764"/>
      <c r="K27" s="4765"/>
      <c r="L27" s="4765"/>
      <c r="M27" s="4765"/>
      <c r="N27" s="4762">
        <v>681389.99999999988</v>
      </c>
      <c r="O27" s="4766">
        <f t="shared" si="0"/>
        <v>16353359.999999996</v>
      </c>
      <c r="P27" s="4857"/>
      <c r="Q27" s="4858"/>
      <c r="R27" s="4976"/>
      <c r="S27" s="4858"/>
      <c r="T27" s="4859"/>
      <c r="U27" s="4860"/>
      <c r="AC27" s="4657"/>
    </row>
    <row r="28" spans="1:29" ht="33.75" customHeight="1">
      <c r="A28" s="4758">
        <v>21</v>
      </c>
      <c r="B28" s="4816">
        <v>46279</v>
      </c>
      <c r="C28" s="4699">
        <v>46302</v>
      </c>
      <c r="D28" s="4759">
        <v>0</v>
      </c>
      <c r="E28" s="4759">
        <v>1</v>
      </c>
      <c r="F28" s="4760">
        <f t="shared" si="1"/>
        <v>24</v>
      </c>
      <c r="G28" s="4975" t="s">
        <v>5903</v>
      </c>
      <c r="H28" s="4762">
        <v>4</v>
      </c>
      <c r="I28" s="4763" t="s">
        <v>5190</v>
      </c>
      <c r="J28" s="4764"/>
      <c r="K28" s="4765"/>
      <c r="L28" s="4765"/>
      <c r="M28" s="4765"/>
      <c r="N28" s="4762">
        <v>368177.73</v>
      </c>
      <c r="O28" s="4766">
        <f t="shared" si="0"/>
        <v>8836265.5199999996</v>
      </c>
      <c r="P28" s="4857"/>
      <c r="Q28" s="4858"/>
      <c r="R28" s="4976"/>
      <c r="S28" s="4858"/>
      <c r="T28" s="4859"/>
      <c r="U28" s="4860"/>
      <c r="AC28" s="4657"/>
    </row>
    <row r="29" spans="1:29" ht="33.75" customHeight="1">
      <c r="A29" s="4758">
        <v>22</v>
      </c>
      <c r="B29" s="4816">
        <v>46279</v>
      </c>
      <c r="C29" s="4699">
        <v>46302</v>
      </c>
      <c r="D29" s="4759">
        <v>0</v>
      </c>
      <c r="E29" s="4759">
        <v>1</v>
      </c>
      <c r="F29" s="4760">
        <f t="shared" si="1"/>
        <v>24</v>
      </c>
      <c r="G29" s="4975" t="s">
        <v>5904</v>
      </c>
      <c r="H29" s="4762">
        <v>26</v>
      </c>
      <c r="I29" s="4763" t="s">
        <v>5190</v>
      </c>
      <c r="J29" s="4764"/>
      <c r="K29" s="4765"/>
      <c r="L29" s="4765"/>
      <c r="M29" s="4765"/>
      <c r="N29" s="4762">
        <v>681389.99999999988</v>
      </c>
      <c r="O29" s="4766">
        <f t="shared" si="0"/>
        <v>16353359.999999996</v>
      </c>
      <c r="P29" s="4857"/>
      <c r="Q29" s="4858"/>
      <c r="R29" s="4976"/>
      <c r="S29" s="4858"/>
      <c r="T29" s="4859"/>
      <c r="U29" s="4860"/>
      <c r="AC29" s="4657"/>
    </row>
    <row r="30" spans="1:29" ht="33.75" customHeight="1">
      <c r="A30" s="4758">
        <v>23</v>
      </c>
      <c r="B30" s="4816">
        <v>46279</v>
      </c>
      <c r="C30" s="4699">
        <v>46302</v>
      </c>
      <c r="D30" s="4759">
        <v>0</v>
      </c>
      <c r="E30" s="4759">
        <v>1</v>
      </c>
      <c r="F30" s="4760">
        <f t="shared" si="1"/>
        <v>24</v>
      </c>
      <c r="G30" s="4975" t="s">
        <v>5905</v>
      </c>
      <c r="H30" s="4762">
        <v>9</v>
      </c>
      <c r="I30" s="4763" t="s">
        <v>5190</v>
      </c>
      <c r="J30" s="4764"/>
      <c r="K30" s="4765"/>
      <c r="L30" s="4765"/>
      <c r="M30" s="4765"/>
      <c r="N30" s="4762">
        <v>84749.999999999985</v>
      </c>
      <c r="O30" s="4766">
        <f t="shared" si="0"/>
        <v>2033999.9999999995</v>
      </c>
      <c r="P30" s="4857"/>
      <c r="Q30" s="4858"/>
      <c r="R30" s="4859"/>
      <c r="S30" s="4858"/>
      <c r="T30" s="4859"/>
      <c r="U30" s="4860"/>
      <c r="AC30" s="4657"/>
    </row>
    <row r="31" spans="1:29" ht="33.75" customHeight="1">
      <c r="A31" s="4758">
        <v>24</v>
      </c>
      <c r="B31" s="4816">
        <v>46279</v>
      </c>
      <c r="C31" s="4699">
        <v>46302</v>
      </c>
      <c r="D31" s="4759">
        <v>0</v>
      </c>
      <c r="E31" s="4759">
        <v>1</v>
      </c>
      <c r="F31" s="4760">
        <f t="shared" si="1"/>
        <v>24</v>
      </c>
      <c r="G31" s="4975" t="s">
        <v>5906</v>
      </c>
      <c r="H31" s="4762">
        <v>9</v>
      </c>
      <c r="I31" s="4763" t="s">
        <v>5190</v>
      </c>
      <c r="J31" s="4764"/>
      <c r="K31" s="4765"/>
      <c r="L31" s="4765"/>
      <c r="M31" s="4765"/>
      <c r="N31" s="4762">
        <v>84749.999999999985</v>
      </c>
      <c r="O31" s="4766">
        <f t="shared" si="0"/>
        <v>2033999.9999999995</v>
      </c>
      <c r="P31" s="4857"/>
      <c r="Q31" s="4858"/>
      <c r="R31" s="4859"/>
      <c r="S31" s="4858"/>
      <c r="T31" s="4859"/>
      <c r="U31" s="4860"/>
      <c r="AC31" s="4657"/>
    </row>
    <row r="32" spans="1:29" ht="33.75" customHeight="1">
      <c r="A32" s="4758">
        <v>25</v>
      </c>
      <c r="B32" s="4988">
        <v>46270</v>
      </c>
      <c r="C32" s="4989">
        <v>46279</v>
      </c>
      <c r="D32" s="4990"/>
      <c r="E32" s="4991"/>
      <c r="F32" s="4992">
        <f t="shared" si="1"/>
        <v>10</v>
      </c>
      <c r="G32" s="4993" t="s">
        <v>5907</v>
      </c>
      <c r="H32" s="4994">
        <v>4</v>
      </c>
      <c r="I32" s="4995" t="s">
        <v>5190</v>
      </c>
      <c r="J32" s="4764"/>
      <c r="K32" s="4765"/>
      <c r="L32" s="4765"/>
      <c r="M32" s="4765"/>
      <c r="N32" s="4994">
        <f>SUM(N8:N17,N24:N25,N28)</f>
        <v>8022458.7300000004</v>
      </c>
      <c r="O32" s="4766">
        <f t="shared" si="0"/>
        <v>80224587.300000012</v>
      </c>
      <c r="P32" s="4918"/>
      <c r="Q32" s="4919"/>
      <c r="R32" s="4920"/>
      <c r="S32" s="4919"/>
      <c r="T32" s="4920"/>
      <c r="U32" s="4921"/>
      <c r="AC32" s="4657"/>
    </row>
    <row r="33" spans="1:31" ht="33.75" customHeight="1" thickBot="1">
      <c r="A33" s="4772">
        <v>27</v>
      </c>
      <c r="B33" s="4953"/>
      <c r="C33" s="4953"/>
      <c r="D33" s="4914"/>
      <c r="E33" s="4915"/>
      <c r="F33" s="4770">
        <f t="shared" si="1"/>
        <v>0</v>
      </c>
      <c r="G33" s="4953"/>
      <c r="H33" s="4955"/>
      <c r="I33" s="4774"/>
      <c r="J33" s="4764"/>
      <c r="K33" s="4765"/>
      <c r="L33" s="4765"/>
      <c r="M33" s="4765"/>
      <c r="N33" s="4775"/>
      <c r="O33" s="4776">
        <f t="shared" si="0"/>
        <v>0</v>
      </c>
      <c r="P33" s="4918"/>
      <c r="Q33" s="4919"/>
      <c r="R33" s="4920"/>
      <c r="S33" s="4919"/>
      <c r="T33" s="4920"/>
      <c r="U33" s="4921"/>
      <c r="AC33" s="4657"/>
    </row>
    <row r="34" spans="1:31" ht="33.75" customHeight="1" thickTop="1" thickBot="1">
      <c r="A34" s="4778" t="s">
        <v>5845</v>
      </c>
      <c r="B34" s="4779"/>
      <c r="C34" s="4779"/>
      <c r="D34" s="4779"/>
      <c r="E34" s="4779"/>
      <c r="F34" s="4780">
        <f>SUM(F8:F33)</f>
        <v>586</v>
      </c>
      <c r="G34" s="4779"/>
      <c r="H34" s="4781"/>
      <c r="I34" s="4782">
        <f>COUNTA(G8:G31)</f>
        <v>24</v>
      </c>
      <c r="J34" s="4783"/>
      <c r="K34" s="4784"/>
      <c r="L34" s="4784"/>
      <c r="M34" s="4784"/>
      <c r="N34" s="4785"/>
      <c r="O34" s="4922">
        <f>SUM(O8:O33)</f>
        <v>599174492.81999993</v>
      </c>
      <c r="P34" s="4787"/>
      <c r="Q34" s="4787"/>
      <c r="R34" s="4788"/>
      <c r="S34" s="4789"/>
      <c r="T34" s="4788"/>
      <c r="U34" s="4790"/>
      <c r="AC34" s="4657"/>
    </row>
    <row r="35" spans="1:31" ht="33.75" customHeight="1" thickBot="1">
      <c r="A35" s="4876" t="s">
        <v>5792</v>
      </c>
      <c r="B35" s="4877"/>
      <c r="C35" s="4878"/>
      <c r="D35" s="4878"/>
      <c r="E35" s="4878"/>
      <c r="F35" s="4879"/>
      <c r="G35" s="4878"/>
      <c r="H35" s="4880"/>
      <c r="I35" s="4878"/>
      <c r="J35" s="4881"/>
      <c r="K35" s="4881"/>
      <c r="L35" s="4881"/>
      <c r="M35" s="4881"/>
      <c r="N35" s="4882"/>
      <c r="O35" s="4923">
        <f>O34*1.1</f>
        <v>659091942.102</v>
      </c>
      <c r="P35" s="4884"/>
      <c r="Q35" s="4885"/>
      <c r="R35" s="4886"/>
      <c r="S35" s="4887"/>
      <c r="T35" s="4886"/>
      <c r="U35" s="4888"/>
      <c r="AC35" s="4657"/>
    </row>
    <row r="36" spans="1:31" ht="33.75" customHeight="1">
      <c r="A36" s="4656"/>
      <c r="B36" s="4660"/>
      <c r="C36" s="4660"/>
      <c r="D36" s="4660"/>
      <c r="G36" s="4660"/>
      <c r="H36" s="4660"/>
      <c r="O36" s="4656"/>
      <c r="P36" s="4657"/>
      <c r="Q36" s="4657"/>
      <c r="AC36" s="4657"/>
    </row>
    <row r="37" spans="1:31" ht="32.15" customHeight="1">
      <c r="A37" s="4656"/>
      <c r="B37" s="4660"/>
      <c r="C37" s="4660"/>
      <c r="D37" s="4660"/>
      <c r="G37" s="4660"/>
      <c r="H37" s="4660"/>
      <c r="O37" s="4656"/>
      <c r="P37" s="4657"/>
      <c r="Q37" s="4657"/>
      <c r="AC37" s="4657"/>
    </row>
    <row r="38" spans="1:31" ht="32.15" customHeight="1">
      <c r="B38" s="4657"/>
      <c r="C38" s="4657"/>
      <c r="D38" s="4657"/>
      <c r="E38" s="4810"/>
      <c r="F38" s="4811"/>
      <c r="G38" s="6070"/>
      <c r="H38" s="4657"/>
      <c r="O38" s="4656"/>
      <c r="P38" s="4657"/>
      <c r="Q38" s="4657"/>
      <c r="AC38" s="4657"/>
    </row>
    <row r="39" spans="1:31" ht="32.15" customHeight="1">
      <c r="A39" s="4812"/>
      <c r="B39" s="4813"/>
      <c r="C39" s="4813"/>
      <c r="D39" s="4813"/>
      <c r="E39" s="4814"/>
      <c r="F39" s="4814"/>
      <c r="G39" s="6071"/>
      <c r="H39" s="4813"/>
      <c r="I39" s="4812"/>
      <c r="J39" s="4812"/>
      <c r="K39" s="4812"/>
      <c r="L39" s="4812"/>
      <c r="M39" s="4812"/>
      <c r="N39" s="4812"/>
      <c r="O39" s="4715"/>
      <c r="P39" s="4715"/>
      <c r="Q39" s="4715"/>
      <c r="R39" s="4656"/>
      <c r="S39" s="4812"/>
      <c r="T39" s="4656"/>
      <c r="U39" s="4812"/>
      <c r="W39" s="6905"/>
      <c r="X39" s="6905"/>
      <c r="Y39" s="6905"/>
      <c r="Z39" s="6905"/>
      <c r="AA39" s="6905"/>
      <c r="AB39" s="6891"/>
      <c r="AC39" s="6891"/>
      <c r="AD39" s="6891"/>
      <c r="AE39" s="6891"/>
    </row>
    <row r="40" spans="1:31" ht="36" customHeight="1"/>
    <row r="41" spans="1:31" ht="36" customHeight="1"/>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10.4" customHeight="1">
      <c r="B50" s="4657"/>
      <c r="C50" s="4657"/>
      <c r="D50" s="4657"/>
      <c r="G50" s="4657"/>
      <c r="H50" s="4657"/>
      <c r="O50" s="4656"/>
      <c r="P50" s="4657"/>
      <c r="Q50" s="4657"/>
      <c r="AC50" s="4657"/>
    </row>
  </sheetData>
  <mergeCells count="21">
    <mergeCell ref="A2:B2"/>
    <mergeCell ref="C2:G2"/>
    <mergeCell ref="A5:A6"/>
    <mergeCell ref="B5:B6"/>
    <mergeCell ref="C5:C6"/>
    <mergeCell ref="D5:D6"/>
    <mergeCell ref="E5:E6"/>
    <mergeCell ref="F5:F6"/>
    <mergeCell ref="G5:G6"/>
    <mergeCell ref="AB39:AE39"/>
    <mergeCell ref="H5:H6"/>
    <mergeCell ref="I5:I6"/>
    <mergeCell ref="J5:J6"/>
    <mergeCell ref="K5:K6"/>
    <mergeCell ref="L5:L6"/>
    <mergeCell ref="M5:M6"/>
    <mergeCell ref="N5:N6"/>
    <mergeCell ref="O5:O6"/>
    <mergeCell ref="P5:Q5"/>
    <mergeCell ref="R5:U5"/>
    <mergeCell ref="W39:AA39"/>
  </mergeCells>
  <phoneticPr fontId="2"/>
  <conditionalFormatting sqref="B8:E33 G8:N33 P8:U33">
    <cfRule type="containsBlanks" dxfId="804" priority="1">
      <formula>LEN(TRIM(B8))=0</formula>
    </cfRule>
  </conditionalFormatting>
  <conditionalFormatting sqref="C2:D2">
    <cfRule type="containsBlanks" dxfId="803" priority="2">
      <formula>LEN(TRIM(C2))=0</formula>
    </cfRule>
  </conditionalFormatting>
  <dataValidations count="1">
    <dataValidation type="list" allowBlank="1" showInputMessage="1" showErrorMessage="1" sqref="I7:I33" xr:uid="{7ECF0D39-8293-4DB6-BC33-F0ABEB159D60}">
      <formula1>会場形態</formula1>
    </dataValidation>
  </dataValidations>
  <printOptions horizontalCentered="1"/>
  <pageMargins left="0.39370078740157483" right="0.39370078740157483" top="0.55118110236220474" bottom="0.55118110236220474" header="0.31496062992125984" footer="0.31496062992125984"/>
  <pageSetup paperSize="9" scale="43" orientation="landscape" r:id="rId1"/>
  <headerFooter>
    <oddHeader>&amp;R&amp;G</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DA917-B9CE-4AAD-B8F9-F704DF269695}">
  <sheetPr codeName="Sheet323">
    <tabColor rgb="FFFFFF66"/>
    <pageSetUpPr fitToPage="1"/>
  </sheetPr>
  <dimension ref="A1:AE32"/>
  <sheetViews>
    <sheetView zoomScale="55" zoomScaleNormal="55" workbookViewId="0">
      <selection activeCell="H21" sqref="H21"/>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4911</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5908</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46279</v>
      </c>
      <c r="C8" s="4911">
        <v>46301</v>
      </c>
      <c r="D8" s="4759"/>
      <c r="E8" s="4759"/>
      <c r="F8" s="4760">
        <f t="shared" ref="F8:F17" si="1">IF(OR(ISBLANK($B8), ISBLANK($C8)), 0, _xlfn.DAYS($C8, $B8) + 1)</f>
        <v>23</v>
      </c>
      <c r="G8" s="4975"/>
      <c r="H8" s="4762">
        <v>370</v>
      </c>
      <c r="I8" s="4763" t="s">
        <v>4248</v>
      </c>
      <c r="J8" s="4902"/>
      <c r="K8" s="4765"/>
      <c r="L8" s="4765"/>
      <c r="M8" s="4765"/>
      <c r="N8" s="4762">
        <f>8000*1.13</f>
        <v>9040</v>
      </c>
      <c r="O8" s="4766">
        <f>F8*N8*H8</f>
        <v>76930400</v>
      </c>
      <c r="P8" s="4857"/>
      <c r="Q8" s="4858"/>
      <c r="R8" s="4864"/>
      <c r="S8" s="4858"/>
      <c r="T8" s="4859"/>
      <c r="U8" s="4860"/>
    </row>
    <row r="9" spans="1:31" ht="33.75" customHeight="1">
      <c r="A9" s="4758">
        <v>2</v>
      </c>
      <c r="B9" s="4910">
        <v>46279</v>
      </c>
      <c r="C9" s="4911">
        <v>46301</v>
      </c>
      <c r="D9" s="4759"/>
      <c r="E9" s="4759"/>
      <c r="F9" s="4760">
        <f t="shared" si="1"/>
        <v>23</v>
      </c>
      <c r="G9" s="4975"/>
      <c r="H9" s="4762">
        <v>370</v>
      </c>
      <c r="I9" s="4763" t="s">
        <v>4249</v>
      </c>
      <c r="J9" s="4902"/>
      <c r="K9" s="4765"/>
      <c r="L9" s="4765"/>
      <c r="M9" s="4765"/>
      <c r="N9" s="4762">
        <f>10000*1.13</f>
        <v>11299.999999999998</v>
      </c>
      <c r="O9" s="4766">
        <f>F9*N9*H9</f>
        <v>96162999.999999985</v>
      </c>
      <c r="P9" s="4857"/>
      <c r="Q9" s="4858"/>
      <c r="R9" s="4864"/>
      <c r="S9" s="4858"/>
      <c r="T9" s="4859"/>
      <c r="U9" s="4860"/>
      <c r="AC9" s="4657"/>
    </row>
    <row r="10" spans="1:31" ht="33.75" customHeight="1">
      <c r="A10" s="4758">
        <v>3</v>
      </c>
      <c r="B10" s="4910">
        <v>46279</v>
      </c>
      <c r="C10" s="4911">
        <v>46301</v>
      </c>
      <c r="D10" s="4759"/>
      <c r="E10" s="4759"/>
      <c r="F10" s="4912">
        <v>1</v>
      </c>
      <c r="G10" s="4975"/>
      <c r="H10" s="4762">
        <v>1</v>
      </c>
      <c r="I10" s="4763" t="s">
        <v>5909</v>
      </c>
      <c r="J10" s="4764"/>
      <c r="K10" s="4765"/>
      <c r="L10" s="4765"/>
      <c r="M10" s="4765" t="s">
        <v>5750</v>
      </c>
      <c r="N10" s="4762">
        <v>20000000</v>
      </c>
      <c r="O10" s="4766">
        <f t="shared" ref="O10:O16" si="2">F10*N10*H10</f>
        <v>20000000</v>
      </c>
      <c r="P10" s="4909"/>
      <c r="Q10" s="4858"/>
      <c r="R10" s="4864"/>
      <c r="S10" s="4858"/>
      <c r="T10" s="4859"/>
      <c r="U10" s="4860"/>
      <c r="AC10" s="4657"/>
    </row>
    <row r="11" spans="1:31" ht="33.75" customHeight="1">
      <c r="A11" s="4758">
        <v>4</v>
      </c>
      <c r="B11" s="4910">
        <v>46279</v>
      </c>
      <c r="C11" s="4911">
        <v>46301</v>
      </c>
      <c r="D11" s="4759"/>
      <c r="E11" s="4759"/>
      <c r="F11" s="4912">
        <v>1</v>
      </c>
      <c r="G11" s="4771" t="s">
        <v>5910</v>
      </c>
      <c r="H11" s="4762">
        <v>1</v>
      </c>
      <c r="I11" s="4763" t="s">
        <v>5841</v>
      </c>
      <c r="J11" s="4764"/>
      <c r="K11" s="4765"/>
      <c r="L11" s="4765"/>
      <c r="M11" s="4765" t="s">
        <v>5750</v>
      </c>
      <c r="N11" s="4762">
        <v>800000</v>
      </c>
      <c r="O11" s="4766">
        <f t="shared" si="2"/>
        <v>800000</v>
      </c>
      <c r="P11" s="4857"/>
      <c r="Q11" s="4858"/>
      <c r="R11" s="4859"/>
      <c r="S11" s="4858"/>
      <c r="T11" s="4859"/>
      <c r="U11" s="4860"/>
      <c r="AC11" s="4657"/>
    </row>
    <row r="12" spans="1:31" ht="33.75" customHeight="1">
      <c r="A12" s="4758">
        <v>5</v>
      </c>
      <c r="B12" s="4910">
        <v>46279</v>
      </c>
      <c r="C12" s="4911">
        <v>46301</v>
      </c>
      <c r="D12" s="4759"/>
      <c r="E12" s="4759"/>
      <c r="F12" s="4912">
        <v>1</v>
      </c>
      <c r="G12" s="4771" t="s">
        <v>5911</v>
      </c>
      <c r="H12" s="4762">
        <v>1</v>
      </c>
      <c r="I12" s="4763" t="s">
        <v>5841</v>
      </c>
      <c r="J12" s="4764"/>
      <c r="K12" s="4765"/>
      <c r="L12" s="4765"/>
      <c r="M12" s="4765" t="s">
        <v>5750</v>
      </c>
      <c r="N12" s="4762">
        <v>1500000</v>
      </c>
      <c r="O12" s="4766">
        <f t="shared" si="2"/>
        <v>1500000</v>
      </c>
      <c r="P12" s="4857"/>
      <c r="Q12" s="4858"/>
      <c r="R12" s="4859"/>
      <c r="S12" s="4858"/>
      <c r="T12" s="4859"/>
      <c r="U12" s="4860"/>
      <c r="AC12" s="4657"/>
    </row>
    <row r="13" spans="1:31" ht="33.75" customHeight="1">
      <c r="A13" s="4758">
        <v>6</v>
      </c>
      <c r="B13" s="4910">
        <v>46279</v>
      </c>
      <c r="C13" s="4911">
        <v>46301</v>
      </c>
      <c r="D13" s="4913"/>
      <c r="E13" s="4759"/>
      <c r="F13" s="4912">
        <v>1</v>
      </c>
      <c r="G13" s="4771" t="s">
        <v>5912</v>
      </c>
      <c r="H13" s="4762">
        <v>1</v>
      </c>
      <c r="I13" s="4763" t="s">
        <v>5841</v>
      </c>
      <c r="J13" s="4764"/>
      <c r="K13" s="4765"/>
      <c r="L13" s="4765"/>
      <c r="M13" s="4765" t="s">
        <v>5750</v>
      </c>
      <c r="N13" s="4762">
        <v>9000000</v>
      </c>
      <c r="O13" s="4766">
        <f t="shared" si="2"/>
        <v>9000000</v>
      </c>
      <c r="P13" s="4857"/>
      <c r="Q13" s="4858"/>
      <c r="R13" s="4859"/>
      <c r="S13" s="4858"/>
      <c r="T13" s="4859"/>
      <c r="U13" s="4860"/>
      <c r="AC13" s="4657"/>
    </row>
    <row r="14" spans="1:31" ht="33.75" customHeight="1">
      <c r="A14" s="4758">
        <v>7</v>
      </c>
      <c r="B14" s="4910">
        <v>46279</v>
      </c>
      <c r="C14" s="4911">
        <v>46301</v>
      </c>
      <c r="D14" s="4913"/>
      <c r="E14" s="4759"/>
      <c r="F14" s="4912">
        <v>1</v>
      </c>
      <c r="G14" s="4771" t="s">
        <v>5913</v>
      </c>
      <c r="H14" s="4762">
        <v>1</v>
      </c>
      <c r="I14" s="4763" t="s">
        <v>5841</v>
      </c>
      <c r="J14" s="4764"/>
      <c r="K14" s="4765"/>
      <c r="L14" s="4765"/>
      <c r="M14" s="4765" t="s">
        <v>5750</v>
      </c>
      <c r="N14" s="4762">
        <v>1500000</v>
      </c>
      <c r="O14" s="4766">
        <f t="shared" si="2"/>
        <v>1500000</v>
      </c>
      <c r="P14" s="4857"/>
      <c r="Q14" s="4858"/>
      <c r="R14" s="4859"/>
      <c r="S14" s="4858"/>
      <c r="T14" s="4859"/>
      <c r="U14" s="4860"/>
      <c r="AC14" s="4657"/>
    </row>
    <row r="15" spans="1:31" ht="33.75" customHeight="1">
      <c r="A15" s="4758">
        <v>8</v>
      </c>
      <c r="B15" s="4910">
        <v>46279</v>
      </c>
      <c r="C15" s="4911">
        <v>46301</v>
      </c>
      <c r="D15" s="4913"/>
      <c r="E15" s="4759"/>
      <c r="F15" s="4912">
        <v>1</v>
      </c>
      <c r="G15" s="4771" t="s">
        <v>5914</v>
      </c>
      <c r="H15" s="4762">
        <v>1</v>
      </c>
      <c r="I15" s="4763" t="s">
        <v>5841</v>
      </c>
      <c r="J15" s="4764"/>
      <c r="K15" s="4765"/>
      <c r="L15" s="4765"/>
      <c r="M15" s="4765" t="s">
        <v>5750</v>
      </c>
      <c r="N15" s="4762">
        <v>1100000</v>
      </c>
      <c r="O15" s="4766">
        <f t="shared" si="2"/>
        <v>1100000</v>
      </c>
      <c r="P15" s="4857"/>
      <c r="Q15" s="4858"/>
      <c r="R15" s="4859"/>
      <c r="S15" s="4858"/>
      <c r="T15" s="4859"/>
      <c r="U15" s="4860"/>
      <c r="AC15" s="4657"/>
    </row>
    <row r="16" spans="1:31" ht="33.75" customHeight="1">
      <c r="A16" s="4758">
        <v>9</v>
      </c>
      <c r="B16" s="4910">
        <v>46279</v>
      </c>
      <c r="C16" s="4911">
        <v>46301</v>
      </c>
      <c r="D16" s="4913"/>
      <c r="E16" s="4759"/>
      <c r="F16" s="4912">
        <v>1</v>
      </c>
      <c r="G16" s="4771" t="s">
        <v>5915</v>
      </c>
      <c r="H16" s="4762">
        <v>1</v>
      </c>
      <c r="I16" s="4763" t="s">
        <v>5841</v>
      </c>
      <c r="J16" s="4764"/>
      <c r="K16" s="4765"/>
      <c r="L16" s="4765"/>
      <c r="M16" s="4765" t="s">
        <v>5750</v>
      </c>
      <c r="N16" s="4762">
        <v>500000</v>
      </c>
      <c r="O16" s="4766">
        <f t="shared" si="2"/>
        <v>500000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53</v>
      </c>
      <c r="G18" s="4779"/>
      <c r="H18" s="4781"/>
      <c r="I18" s="4782"/>
      <c r="J18" s="4783"/>
      <c r="K18" s="4784"/>
      <c r="L18" s="4784"/>
      <c r="M18" s="4784"/>
      <c r="N18" s="4785"/>
      <c r="O18" s="4922">
        <f>SUM(O8:O17)</f>
        <v>207493400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SUM(O8:O9)*1.1+SUM(O10:O16)</f>
        <v>224802740.00000003</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f>1.1*SUM(O8:O9)</f>
        <v>190402740.00000003</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SUM(O10:O16)</f>
        <v>34400000</v>
      </c>
      <c r="D22" s="4658" t="s">
        <v>5917</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36" customHeight="1"/>
    <row r="26" spans="1:31" ht="36" customHeight="1"/>
    <row r="27" spans="1:31" ht="36" customHeight="1"/>
    <row r="28" spans="1:31" ht="36" customHeight="1"/>
    <row r="29" spans="1:31" ht="36" customHeight="1"/>
    <row r="30" spans="1:31" ht="36" customHeight="1"/>
    <row r="31" spans="1:31" ht="36" customHeight="1"/>
    <row r="32" spans="1:31" ht="10.4" customHeight="1">
      <c r="B32" s="4657"/>
      <c r="C32" s="4657"/>
      <c r="D32" s="4657"/>
      <c r="G32" s="4657"/>
      <c r="H32" s="4657"/>
      <c r="O32" s="4656"/>
      <c r="P32" s="4657"/>
      <c r="Q32" s="4657"/>
      <c r="AC32" s="4657"/>
    </row>
  </sheetData>
  <mergeCells count="23">
    <mergeCell ref="A2:B2"/>
    <mergeCell ref="C2:G2"/>
    <mergeCell ref="A5:A6"/>
    <mergeCell ref="B5:B6"/>
    <mergeCell ref="C5:C6"/>
    <mergeCell ref="D5:D6"/>
    <mergeCell ref="E5:E6"/>
    <mergeCell ref="F5:F6"/>
    <mergeCell ref="G5:G6"/>
    <mergeCell ref="AB21:AE21"/>
    <mergeCell ref="A22:B22"/>
    <mergeCell ref="N5:N6"/>
    <mergeCell ref="O5:O6"/>
    <mergeCell ref="P5:Q5"/>
    <mergeCell ref="R5:U5"/>
    <mergeCell ref="A21:B21"/>
    <mergeCell ref="W21:AA21"/>
    <mergeCell ref="H5:H6"/>
    <mergeCell ref="I5:I6"/>
    <mergeCell ref="J5:J6"/>
    <mergeCell ref="K5:K6"/>
    <mergeCell ref="L5:L6"/>
    <mergeCell ref="M5:M6"/>
  </mergeCells>
  <phoneticPr fontId="2"/>
  <conditionalFormatting sqref="C2:D2">
    <cfRule type="containsBlanks" dxfId="802" priority="1">
      <formula>LEN(TRIM(C2))=0</formula>
    </cfRule>
  </conditionalFormatting>
  <conditionalFormatting sqref="D8:E16">
    <cfRule type="containsBlanks" dxfId="801" priority="4">
      <formula>LEN(TRIM(D8))=0</formula>
    </cfRule>
  </conditionalFormatting>
  <conditionalFormatting sqref="G8:K9">
    <cfRule type="containsBlanks" dxfId="800" priority="3">
      <formula>LEN(TRIM(G8))=0</formula>
    </cfRule>
  </conditionalFormatting>
  <conditionalFormatting sqref="G10:N17 B17:E17">
    <cfRule type="containsBlanks" dxfId="799" priority="5">
      <formula>LEN(TRIM(B10))=0</formula>
    </cfRule>
  </conditionalFormatting>
  <conditionalFormatting sqref="M8:N9">
    <cfRule type="containsBlanks" dxfId="798" priority="2">
      <formula>LEN(TRIM(M8))=0</formula>
    </cfRule>
  </conditionalFormatting>
  <conditionalFormatting sqref="P8:U17">
    <cfRule type="containsBlanks" dxfId="797" priority="6">
      <formula>LEN(TRIM(P8))=0</formula>
    </cfRule>
  </conditionalFormatting>
  <dataValidations count="1">
    <dataValidation type="list" allowBlank="1" showInputMessage="1" showErrorMessage="1" sqref="I7:I17" xr:uid="{CB2CC5E0-5A99-419D-A5F1-92C0EAAB2691}">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518B-7F4A-4768-86C3-2C547FC18201}">
  <sheetPr codeName="Sheet324">
    <tabColor rgb="FFFFFF66"/>
    <pageSetUpPr fitToPage="1"/>
  </sheetPr>
  <dimension ref="A1:AG69"/>
  <sheetViews>
    <sheetView topLeftCell="A2" zoomScale="55" zoomScaleNormal="55" zoomScaleSheetLayoutView="70" workbookViewId="0">
      <selection activeCell="A52" sqref="A52:B56"/>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4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0.1796875" style="4657" customWidth="1"/>
    <col min="31" max="31" width="22.1796875" style="4657" customWidth="1"/>
    <col min="32" max="33" width="26.6328125" style="4657" customWidth="1"/>
    <col min="34" max="16384" width="9.81640625" style="4657"/>
  </cols>
  <sheetData>
    <row r="1" spans="1:33" ht="21" customHeight="1" thickBot="1">
      <c r="A1" s="4656" t="s">
        <v>7051</v>
      </c>
      <c r="R1" s="4656"/>
      <c r="T1" s="4660"/>
      <c r="V1" s="4656"/>
    </row>
    <row r="2" spans="1:33" ht="44.25" customHeight="1" thickBot="1">
      <c r="A2" s="6874" t="s">
        <v>5707</v>
      </c>
      <c r="B2" s="6875"/>
      <c r="C2" s="6876" t="s">
        <v>5918</v>
      </c>
      <c r="D2" s="6876"/>
      <c r="E2" s="6876"/>
      <c r="F2" s="6876"/>
      <c r="G2" s="6876"/>
      <c r="H2" s="4661" t="s">
        <v>5709</v>
      </c>
      <c r="I2" s="4662"/>
      <c r="J2" s="4663"/>
      <c r="L2" s="4713" t="s">
        <v>5748</v>
      </c>
      <c r="M2" s="7106">
        <f>SUM(M8*K8,M9*K9,M10*K10,M11*K11,M12*K12,M13*K13,,M14*K14,M15*K15,M16*K16)</f>
        <v>12168800</v>
      </c>
      <c r="N2" s="4663"/>
      <c r="R2" s="4656"/>
      <c r="T2" s="4660"/>
      <c r="V2" s="4656"/>
      <c r="AD2" s="4664" t="s">
        <v>5710</v>
      </c>
    </row>
    <row r="3" spans="1:33" ht="22.5" customHeight="1">
      <c r="L3" s="4721" t="s">
        <v>5854</v>
      </c>
      <c r="M3" s="4722">
        <f>M2*1.1</f>
        <v>13385680.000000002</v>
      </c>
      <c r="R3" s="4656"/>
      <c r="T3" s="4660"/>
      <c r="V3" s="4656"/>
    </row>
    <row r="4" spans="1:33" ht="33.75" customHeight="1" thickBot="1">
      <c r="A4" s="4665" t="s">
        <v>5711</v>
      </c>
      <c r="B4" s="4665"/>
      <c r="R4" s="4656"/>
      <c r="V4" s="4656"/>
      <c r="Y4" s="4656"/>
      <c r="Z4" s="4656"/>
      <c r="AA4" s="4656"/>
      <c r="AB4" s="4656"/>
      <c r="AC4" s="4656"/>
      <c r="AE4" s="4656" t="s">
        <v>5712</v>
      </c>
    </row>
    <row r="5" spans="1:33" s="4666" customFormat="1" ht="33.75" customHeight="1" thickBo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6855" t="s">
        <v>5798</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c r="AF5" s="7084" t="s">
        <v>7049</v>
      </c>
      <c r="AG5" s="7084" t="s">
        <v>7050</v>
      </c>
    </row>
    <row r="6" spans="1:33" s="4666" customFormat="1" ht="20.5" thickBot="1">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c r="AF6" s="7085"/>
      <c r="AG6" s="7086"/>
    </row>
    <row r="7" spans="1:33"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677">
        <v>8000</v>
      </c>
      <c r="O7" s="4678">
        <f>SUM(D7,F7,H7)*K7</f>
        <v>1440</v>
      </c>
      <c r="P7" s="4679">
        <f>(D7*L7+F7*M7+H7*N7)*K7</f>
        <v>14040000</v>
      </c>
      <c r="Q7" s="4675">
        <v>21</v>
      </c>
      <c r="R7" s="4680" t="s">
        <v>5739</v>
      </c>
      <c r="S7" s="4681">
        <v>21</v>
      </c>
      <c r="T7" s="4815">
        <v>1</v>
      </c>
      <c r="U7" s="4675">
        <v>154</v>
      </c>
      <c r="V7" s="4680" t="s">
        <v>4521</v>
      </c>
      <c r="W7" s="4682">
        <v>203</v>
      </c>
      <c r="X7" s="4675">
        <v>1</v>
      </c>
      <c r="Y7" s="4675" t="s">
        <v>5740</v>
      </c>
      <c r="Z7" s="4683" t="s">
        <v>5035</v>
      </c>
      <c r="AA7" s="4675" t="s">
        <v>2830</v>
      </c>
      <c r="AB7" s="4683" t="s">
        <v>5050</v>
      </c>
      <c r="AC7" s="4675" t="s">
        <v>5741</v>
      </c>
      <c r="AD7" s="4684"/>
      <c r="AE7" s="4685"/>
      <c r="AF7" s="7087" t="s">
        <v>246</v>
      </c>
      <c r="AG7" s="7087" t="s">
        <v>246</v>
      </c>
    </row>
    <row r="8" spans="1:33" ht="33.75" customHeight="1">
      <c r="A8" s="4686">
        <v>1</v>
      </c>
      <c r="B8" s="4687">
        <v>46281</v>
      </c>
      <c r="C8" s="5065">
        <v>46281</v>
      </c>
      <c r="D8" s="5895">
        <v>0</v>
      </c>
      <c r="E8" s="5011">
        <v>46301</v>
      </c>
      <c r="F8" s="5759">
        <f>IF(_xlfn.DAYS(E8,C8)=0,"1",_xlfn.DAYS(E8,C8))</f>
        <v>20</v>
      </c>
      <c r="G8" s="4699">
        <v>46301</v>
      </c>
      <c r="H8" s="4672">
        <f t="shared" ref="H8:H17" si="0">IF(_xlfn.DAYS(G8,E8)=0,"1",_xlfn.DAYS(G8,E8))-1</f>
        <v>0</v>
      </c>
      <c r="I8" s="4691" t="s">
        <v>5919</v>
      </c>
      <c r="J8" s="4692">
        <v>90</v>
      </c>
      <c r="K8" s="4693">
        <v>90</v>
      </c>
      <c r="L8" s="4692">
        <v>35650</v>
      </c>
      <c r="M8" s="4692">
        <v>40000</v>
      </c>
      <c r="N8" s="4692">
        <v>35650</v>
      </c>
      <c r="O8" s="4678">
        <f>SUM(D8,F8,H8)*K8</f>
        <v>1800</v>
      </c>
      <c r="P8" s="4679">
        <f>(D8*L8+F8*M8+H8*N8)*K8</f>
        <v>72000000</v>
      </c>
      <c r="Q8" s="4692">
        <v>24</v>
      </c>
      <c r="R8" s="4680" t="s">
        <v>5742</v>
      </c>
      <c r="S8" s="4694">
        <v>24</v>
      </c>
      <c r="T8" s="4700">
        <v>1</v>
      </c>
      <c r="U8" s="4692">
        <v>150</v>
      </c>
      <c r="V8" s="4680" t="s">
        <v>4521</v>
      </c>
      <c r="W8" s="4695">
        <v>203</v>
      </c>
      <c r="X8" s="4692">
        <v>1</v>
      </c>
      <c r="Y8" s="4692" t="s">
        <v>5740</v>
      </c>
      <c r="Z8" s="4683" t="s">
        <v>5035</v>
      </c>
      <c r="AA8" s="4692" t="s">
        <v>5920</v>
      </c>
      <c r="AB8" s="4683" t="s">
        <v>5050</v>
      </c>
      <c r="AC8" s="4692" t="s">
        <v>5920</v>
      </c>
      <c r="AD8" s="4696"/>
      <c r="AE8" s="4685">
        <f>T8*K8</f>
        <v>90</v>
      </c>
      <c r="AF8" s="7088">
        <f>AE7*SUM(F7,H7,J7)*AF$6</f>
        <v>0</v>
      </c>
      <c r="AG8" s="7088">
        <f>AE7*SUM(F7,H7,J7)*AG$6</f>
        <v>0</v>
      </c>
    </row>
    <row r="9" spans="1:33" ht="33.75" customHeight="1">
      <c r="A9" s="4686">
        <v>2</v>
      </c>
      <c r="B9" s="4687">
        <v>46281</v>
      </c>
      <c r="C9" s="5065">
        <v>46281</v>
      </c>
      <c r="D9" s="5895">
        <v>0</v>
      </c>
      <c r="E9" s="5011">
        <v>46301</v>
      </c>
      <c r="F9" s="5759">
        <f t="shared" ref="F9:F17" si="1">IF(_xlfn.DAYS(E9,C9)=0,"1",_xlfn.DAYS(E9,C9))</f>
        <v>20</v>
      </c>
      <c r="G9" s="4699">
        <v>46301</v>
      </c>
      <c r="H9" s="4672">
        <f t="shared" si="0"/>
        <v>0</v>
      </c>
      <c r="I9" s="4691" t="s">
        <v>5125</v>
      </c>
      <c r="J9" s="4692">
        <v>40</v>
      </c>
      <c r="K9" s="4693">
        <v>40</v>
      </c>
      <c r="L9" s="4692">
        <v>47500</v>
      </c>
      <c r="M9" s="4692">
        <v>51850</v>
      </c>
      <c r="N9" s="4692">
        <v>47500</v>
      </c>
      <c r="O9" s="4678">
        <f>SUM(D9,F9,H9)*K9</f>
        <v>800</v>
      </c>
      <c r="P9" s="4679">
        <f>(D9*L9+F9*M9+H9*N9)*K9</f>
        <v>41480000</v>
      </c>
      <c r="Q9" s="4692">
        <v>34</v>
      </c>
      <c r="R9" s="4680" t="s">
        <v>5742</v>
      </c>
      <c r="S9" s="4694">
        <v>34</v>
      </c>
      <c r="T9" s="4700">
        <v>1</v>
      </c>
      <c r="U9" s="4692">
        <v>120</v>
      </c>
      <c r="V9" s="4680" t="s">
        <v>4521</v>
      </c>
      <c r="W9" s="4695">
        <v>203</v>
      </c>
      <c r="X9" s="4692">
        <v>2</v>
      </c>
      <c r="Y9" s="4692" t="s">
        <v>5740</v>
      </c>
      <c r="Z9" s="4683" t="s">
        <v>5035</v>
      </c>
      <c r="AA9" s="4692" t="s">
        <v>5920</v>
      </c>
      <c r="AB9" s="4683" t="s">
        <v>5050</v>
      </c>
      <c r="AC9" s="4692" t="s">
        <v>5920</v>
      </c>
      <c r="AD9" s="4696"/>
      <c r="AE9" s="4685">
        <f>T9*K9</f>
        <v>40</v>
      </c>
      <c r="AF9" s="7088">
        <f>AE8*SUM(F8,H8,J8)*AF$6</f>
        <v>0</v>
      </c>
      <c r="AG9" s="7088">
        <f>AE8*SUM(F8,H8,J8)*AG$6</f>
        <v>0</v>
      </c>
    </row>
    <row r="10" spans="1:33" ht="33.75" customHeight="1">
      <c r="A10" s="4686">
        <v>3</v>
      </c>
      <c r="B10" s="4687">
        <v>46281</v>
      </c>
      <c r="C10" s="5065">
        <v>46281</v>
      </c>
      <c r="D10" s="5895">
        <v>0</v>
      </c>
      <c r="E10" s="5011">
        <v>46301</v>
      </c>
      <c r="F10" s="5759">
        <f t="shared" si="1"/>
        <v>20</v>
      </c>
      <c r="G10" s="4699">
        <v>46301</v>
      </c>
      <c r="H10" s="4672">
        <f t="shared" si="0"/>
        <v>0</v>
      </c>
      <c r="I10" s="4691" t="s">
        <v>5921</v>
      </c>
      <c r="J10" s="4692">
        <v>3</v>
      </c>
      <c r="K10" s="4693">
        <v>3</v>
      </c>
      <c r="L10" s="4692">
        <v>65500</v>
      </c>
      <c r="M10" s="4692">
        <v>69850</v>
      </c>
      <c r="N10" s="4692">
        <v>65500</v>
      </c>
      <c r="O10" s="4678">
        <f>SUM(D10,F10,H10)*K10</f>
        <v>60</v>
      </c>
      <c r="P10" s="4679">
        <f>(D10*L10+F10*M10+H10*N10)*K10</f>
        <v>4191000</v>
      </c>
      <c r="Q10" s="4692">
        <v>42</v>
      </c>
      <c r="R10" s="4680" t="s">
        <v>5742</v>
      </c>
      <c r="S10" s="4694">
        <v>42</v>
      </c>
      <c r="T10" s="4700">
        <v>1</v>
      </c>
      <c r="U10" s="4692">
        <v>85</v>
      </c>
      <c r="V10" s="4680" t="s">
        <v>4521</v>
      </c>
      <c r="W10" s="4695">
        <v>203</v>
      </c>
      <c r="X10" s="4692">
        <v>4</v>
      </c>
      <c r="Y10" s="4998" t="s">
        <v>5922</v>
      </c>
      <c r="Z10" s="4683" t="s">
        <v>5035</v>
      </c>
      <c r="AA10" s="4692" t="s">
        <v>5920</v>
      </c>
      <c r="AB10" s="4683" t="s">
        <v>5050</v>
      </c>
      <c r="AC10" s="4692" t="s">
        <v>5920</v>
      </c>
      <c r="AD10" s="4696" t="s">
        <v>5923</v>
      </c>
      <c r="AE10" s="4685">
        <f>T10*K10</f>
        <v>3</v>
      </c>
      <c r="AF10" s="7088">
        <f>AE9*SUM(F9,H9,J9)*AF$6</f>
        <v>0</v>
      </c>
      <c r="AG10" s="7088">
        <f>AE9*SUM(F9,H9,J9)*AG$6</f>
        <v>0</v>
      </c>
    </row>
    <row r="11" spans="1:33" ht="33.75" customHeight="1">
      <c r="A11" s="4686">
        <v>4</v>
      </c>
      <c r="B11" s="4687">
        <v>46281</v>
      </c>
      <c r="C11" s="5065">
        <v>46281</v>
      </c>
      <c r="D11" s="5895">
        <v>0</v>
      </c>
      <c r="E11" s="5011">
        <v>46301</v>
      </c>
      <c r="F11" s="5759">
        <f t="shared" si="1"/>
        <v>20</v>
      </c>
      <c r="G11" s="4699">
        <v>46301</v>
      </c>
      <c r="H11" s="4672">
        <f t="shared" si="0"/>
        <v>0</v>
      </c>
      <c r="I11" s="4691" t="s">
        <v>5093</v>
      </c>
      <c r="J11" s="4692">
        <v>30</v>
      </c>
      <c r="K11" s="4693">
        <v>29</v>
      </c>
      <c r="L11" s="4692">
        <v>51000</v>
      </c>
      <c r="M11" s="4692">
        <v>55350</v>
      </c>
      <c r="N11" s="4692">
        <v>51000</v>
      </c>
      <c r="O11" s="4678">
        <f>SUM(D11,F11,H11)*K11</f>
        <v>580</v>
      </c>
      <c r="P11" s="4679">
        <f>(D11*L11+F11*M11+H11*N11)*K11</f>
        <v>32103000</v>
      </c>
      <c r="Q11" s="4692">
        <v>35</v>
      </c>
      <c r="R11" s="4680" t="s">
        <v>5742</v>
      </c>
      <c r="S11" s="4694">
        <v>35</v>
      </c>
      <c r="T11" s="4700">
        <v>1</v>
      </c>
      <c r="U11" s="4692">
        <v>180</v>
      </c>
      <c r="V11" s="4680" t="s">
        <v>4521</v>
      </c>
      <c r="W11" s="4695">
        <v>203</v>
      </c>
      <c r="X11" s="4692">
        <v>1</v>
      </c>
      <c r="Y11" s="4998" t="s">
        <v>5922</v>
      </c>
      <c r="Z11" s="4683" t="s">
        <v>5035</v>
      </c>
      <c r="AA11" s="4692" t="s">
        <v>5920</v>
      </c>
      <c r="AB11" s="4683" t="s">
        <v>5050</v>
      </c>
      <c r="AC11" s="4692" t="s">
        <v>5920</v>
      </c>
      <c r="AD11" s="4696"/>
      <c r="AE11" s="4685">
        <f>T11*K11</f>
        <v>29</v>
      </c>
      <c r="AF11" s="7088">
        <f>AE10*SUM(F10,H10,J10)*AF$6</f>
        <v>0</v>
      </c>
      <c r="AG11" s="7088">
        <f>AE10*SUM(F10,H10,J10)*AG$6</f>
        <v>0</v>
      </c>
    </row>
    <row r="12" spans="1:33" ht="33.75" customHeight="1">
      <c r="A12" s="4686">
        <v>5</v>
      </c>
      <c r="B12" s="4687">
        <v>46281</v>
      </c>
      <c r="C12" s="5065">
        <v>46281</v>
      </c>
      <c r="D12" s="5895">
        <v>0</v>
      </c>
      <c r="E12" s="5011">
        <v>46301</v>
      </c>
      <c r="F12" s="5759">
        <f t="shared" si="1"/>
        <v>20</v>
      </c>
      <c r="G12" s="4699">
        <v>46301</v>
      </c>
      <c r="H12" s="4672">
        <f t="shared" si="0"/>
        <v>0</v>
      </c>
      <c r="I12" s="4691" t="s">
        <v>5126</v>
      </c>
      <c r="J12" s="4692">
        <v>65</v>
      </c>
      <c r="K12" s="4693">
        <v>64</v>
      </c>
      <c r="L12" s="4692">
        <v>55400</v>
      </c>
      <c r="M12" s="4692">
        <v>59750</v>
      </c>
      <c r="N12" s="4692">
        <v>55400</v>
      </c>
      <c r="O12" s="4678">
        <f>SUM(D12,F12,H12)*K12</f>
        <v>1280</v>
      </c>
      <c r="P12" s="4679">
        <f>(D12*L12+F12*M12+H12*N12)*K12</f>
        <v>76480000</v>
      </c>
      <c r="Q12" s="4692">
        <v>37</v>
      </c>
      <c r="R12" s="4680" t="s">
        <v>5742</v>
      </c>
      <c r="S12" s="4694">
        <v>37</v>
      </c>
      <c r="T12" s="4700">
        <v>1</v>
      </c>
      <c r="U12" s="4692">
        <v>120</v>
      </c>
      <c r="V12" s="4680" t="s">
        <v>4521</v>
      </c>
      <c r="W12" s="4695">
        <v>203</v>
      </c>
      <c r="X12" s="4692">
        <v>2</v>
      </c>
      <c r="Y12" s="4998" t="s">
        <v>5922</v>
      </c>
      <c r="Z12" s="4683" t="s">
        <v>5035</v>
      </c>
      <c r="AA12" s="4692" t="s">
        <v>5920</v>
      </c>
      <c r="AB12" s="4683" t="s">
        <v>5050</v>
      </c>
      <c r="AC12" s="4692" t="s">
        <v>5920</v>
      </c>
      <c r="AD12" s="4696"/>
      <c r="AE12" s="4685">
        <f>T12*K12</f>
        <v>64</v>
      </c>
      <c r="AF12" s="7088">
        <f>AE11*SUM(F11,H11,J11)*AF$6</f>
        <v>0</v>
      </c>
      <c r="AG12" s="7088">
        <f>AE11*SUM(F11,H11,J11)*AG$6</f>
        <v>0</v>
      </c>
    </row>
    <row r="13" spans="1:33" ht="33.75" customHeight="1">
      <c r="A13" s="4686">
        <v>6</v>
      </c>
      <c r="B13" s="4687">
        <v>46281</v>
      </c>
      <c r="C13" s="5065">
        <v>46281</v>
      </c>
      <c r="D13" s="5895">
        <v>0</v>
      </c>
      <c r="E13" s="5011">
        <v>46301</v>
      </c>
      <c r="F13" s="5759">
        <f t="shared" si="1"/>
        <v>20</v>
      </c>
      <c r="G13" s="4699">
        <v>46301</v>
      </c>
      <c r="H13" s="4672">
        <f t="shared" si="0"/>
        <v>0</v>
      </c>
      <c r="I13" s="4691" t="s">
        <v>5924</v>
      </c>
      <c r="J13" s="4692">
        <v>9</v>
      </c>
      <c r="K13" s="4693">
        <v>9</v>
      </c>
      <c r="L13" s="4692">
        <v>59050</v>
      </c>
      <c r="M13" s="4692">
        <v>63400</v>
      </c>
      <c r="N13" s="4692">
        <v>59050</v>
      </c>
      <c r="O13" s="4678">
        <f>SUM(D13,F13,H13)*K13</f>
        <v>180</v>
      </c>
      <c r="P13" s="4679">
        <f>(D13*L13+F13*M13+H13*N13)*K13</f>
        <v>11412000</v>
      </c>
      <c r="Q13" s="4692">
        <v>42</v>
      </c>
      <c r="R13" s="4680" t="s">
        <v>5742</v>
      </c>
      <c r="S13" s="4694">
        <v>42</v>
      </c>
      <c r="T13" s="4700">
        <v>1</v>
      </c>
      <c r="U13" s="4692">
        <v>180</v>
      </c>
      <c r="V13" s="4680" t="s">
        <v>4521</v>
      </c>
      <c r="W13" s="4695">
        <v>203</v>
      </c>
      <c r="X13" s="4692">
        <v>1</v>
      </c>
      <c r="Y13" s="4998" t="s">
        <v>5922</v>
      </c>
      <c r="Z13" s="4683" t="s">
        <v>5035</v>
      </c>
      <c r="AA13" s="4692" t="s">
        <v>5920</v>
      </c>
      <c r="AB13" s="4683" t="s">
        <v>5050</v>
      </c>
      <c r="AC13" s="4692" t="s">
        <v>5920</v>
      </c>
      <c r="AD13" s="4696"/>
      <c r="AE13" s="4685">
        <f>T13*K13</f>
        <v>9</v>
      </c>
      <c r="AF13" s="7088">
        <f>AE12*SUM(F12,H12,J12)*AF$6</f>
        <v>0</v>
      </c>
      <c r="AG13" s="7088">
        <f>AE12*SUM(F12,H12,J12)*AG$6</f>
        <v>0</v>
      </c>
    </row>
    <row r="14" spans="1:33" ht="33.75" customHeight="1">
      <c r="A14" s="4686">
        <v>7</v>
      </c>
      <c r="B14" s="4687">
        <v>46281</v>
      </c>
      <c r="C14" s="5065">
        <v>46281</v>
      </c>
      <c r="D14" s="5895">
        <v>0</v>
      </c>
      <c r="E14" s="5011">
        <v>46301</v>
      </c>
      <c r="F14" s="5759">
        <f t="shared" si="1"/>
        <v>20</v>
      </c>
      <c r="G14" s="4699">
        <v>46301</v>
      </c>
      <c r="H14" s="4672">
        <f t="shared" si="0"/>
        <v>0</v>
      </c>
      <c r="I14" s="4691" t="s">
        <v>5925</v>
      </c>
      <c r="J14" s="4692">
        <v>2</v>
      </c>
      <c r="K14" s="4693">
        <v>1</v>
      </c>
      <c r="L14" s="4692">
        <v>138400</v>
      </c>
      <c r="M14" s="4692">
        <v>142750</v>
      </c>
      <c r="N14" s="4692">
        <v>138400</v>
      </c>
      <c r="O14" s="4678">
        <f>SUM(D14,F14,H14)*K14</f>
        <v>20</v>
      </c>
      <c r="P14" s="4679">
        <f>(D14*L14+F14*M14+H14*N14)*K14</f>
        <v>2855000</v>
      </c>
      <c r="Q14" s="4692">
        <v>66</v>
      </c>
      <c r="R14" s="4680" t="s">
        <v>5742</v>
      </c>
      <c r="S14" s="4694">
        <v>66</v>
      </c>
      <c r="T14" s="4700">
        <v>1</v>
      </c>
      <c r="U14" s="4692">
        <v>180</v>
      </c>
      <c r="V14" s="4680" t="s">
        <v>4521</v>
      </c>
      <c r="W14" s="4695">
        <v>203</v>
      </c>
      <c r="X14" s="4692">
        <v>1</v>
      </c>
      <c r="Y14" s="4998" t="s">
        <v>5922</v>
      </c>
      <c r="Z14" s="4683" t="s">
        <v>5035</v>
      </c>
      <c r="AA14" s="4692" t="s">
        <v>5920</v>
      </c>
      <c r="AB14" s="4683" t="s">
        <v>5050</v>
      </c>
      <c r="AC14" s="4692" t="s">
        <v>5920</v>
      </c>
      <c r="AD14" s="4696"/>
      <c r="AE14" s="4685">
        <f>T14*K14</f>
        <v>1</v>
      </c>
      <c r="AF14" s="7088">
        <f>AE13*SUM(F13,H13,J13)*AF$6</f>
        <v>0</v>
      </c>
      <c r="AG14" s="7088">
        <f>AE13*SUM(F13,H13,J13)*AG$6</f>
        <v>0</v>
      </c>
    </row>
    <row r="15" spans="1:33" ht="33.75" customHeight="1">
      <c r="A15" s="4686">
        <v>8</v>
      </c>
      <c r="B15" s="4687">
        <v>46281</v>
      </c>
      <c r="C15" s="5065">
        <v>46281</v>
      </c>
      <c r="D15" s="5895">
        <v>0</v>
      </c>
      <c r="E15" s="5011">
        <v>46301</v>
      </c>
      <c r="F15" s="5759">
        <f t="shared" si="1"/>
        <v>20</v>
      </c>
      <c r="G15" s="4699">
        <v>46301</v>
      </c>
      <c r="H15" s="4672">
        <f t="shared" si="0"/>
        <v>0</v>
      </c>
      <c r="I15" s="4691" t="s">
        <v>5926</v>
      </c>
      <c r="J15" s="4692">
        <v>4</v>
      </c>
      <c r="K15" s="4693">
        <v>1</v>
      </c>
      <c r="L15" s="4692">
        <v>138400</v>
      </c>
      <c r="M15" s="4692">
        <v>142750</v>
      </c>
      <c r="N15" s="4692">
        <v>138400</v>
      </c>
      <c r="O15" s="4678">
        <f>SUM(D15,F15,H15)*K15</f>
        <v>20</v>
      </c>
      <c r="P15" s="4679">
        <f>(D15*L15+F15*M15+H15*N15)*K15</f>
        <v>2855000</v>
      </c>
      <c r="Q15" s="4692">
        <v>72</v>
      </c>
      <c r="R15" s="4680" t="s">
        <v>5742</v>
      </c>
      <c r="S15" s="4694">
        <v>72</v>
      </c>
      <c r="T15" s="4700">
        <v>1</v>
      </c>
      <c r="U15" s="4692">
        <v>120</v>
      </c>
      <c r="V15" s="4680" t="s">
        <v>4521</v>
      </c>
      <c r="W15" s="4695">
        <v>203</v>
      </c>
      <c r="X15" s="4692">
        <v>2</v>
      </c>
      <c r="Y15" s="4998" t="s">
        <v>5922</v>
      </c>
      <c r="Z15" s="4683" t="s">
        <v>5035</v>
      </c>
      <c r="AA15" s="4692" t="s">
        <v>5920</v>
      </c>
      <c r="AB15" s="4683" t="s">
        <v>5050</v>
      </c>
      <c r="AC15" s="4692" t="s">
        <v>5920</v>
      </c>
      <c r="AD15" s="4696"/>
      <c r="AE15" s="4685">
        <f>T15*K15</f>
        <v>1</v>
      </c>
      <c r="AF15" s="7088">
        <f>AE14*SUM(F14,H14,J14)*AF$6</f>
        <v>0</v>
      </c>
      <c r="AG15" s="7088">
        <f>AE14*SUM(F14,H14,J14)*AG$6</f>
        <v>0</v>
      </c>
    </row>
    <row r="16" spans="1:33" ht="33.75" customHeight="1">
      <c r="A16" s="4686">
        <v>9</v>
      </c>
      <c r="B16" s="4687">
        <v>46281</v>
      </c>
      <c r="C16" s="5065">
        <v>46281</v>
      </c>
      <c r="D16" s="5895">
        <v>0</v>
      </c>
      <c r="E16" s="5011">
        <v>46301</v>
      </c>
      <c r="F16" s="5759">
        <f t="shared" si="1"/>
        <v>20</v>
      </c>
      <c r="G16" s="4699">
        <v>46301</v>
      </c>
      <c r="H16" s="4672">
        <f t="shared" si="0"/>
        <v>0</v>
      </c>
      <c r="I16" s="4691" t="s">
        <v>5138</v>
      </c>
      <c r="J16" s="4692">
        <v>1</v>
      </c>
      <c r="K16" s="4693">
        <v>0</v>
      </c>
      <c r="L16" s="4692"/>
      <c r="M16" s="4692"/>
      <c r="N16" s="4692"/>
      <c r="O16" s="4678">
        <f>SUM(D16,F16,H16)*K16</f>
        <v>0</v>
      </c>
      <c r="P16" s="4679">
        <f>(D16*L16+F16*M16+H16*N16)*K16</f>
        <v>0</v>
      </c>
      <c r="Q16" s="4692"/>
      <c r="R16" s="4680" t="s">
        <v>5742</v>
      </c>
      <c r="S16" s="4694"/>
      <c r="T16" s="4700"/>
      <c r="U16" s="4692"/>
      <c r="V16" s="4680" t="s">
        <v>4521</v>
      </c>
      <c r="W16" s="4695"/>
      <c r="X16" s="4692"/>
      <c r="Y16" s="4692"/>
      <c r="Z16" s="4683" t="s">
        <v>5035</v>
      </c>
      <c r="AA16" s="4692"/>
      <c r="AB16" s="4683" t="s">
        <v>5050</v>
      </c>
      <c r="AC16" s="4692"/>
      <c r="AD16" s="4696"/>
      <c r="AE16" s="4685">
        <f>T16*K16</f>
        <v>0</v>
      </c>
      <c r="AF16" s="7088">
        <f>AE15*SUM(F15,H15,J15)*AF$6</f>
        <v>0</v>
      </c>
      <c r="AG16" s="7088">
        <f>AE15*SUM(F15,H15,J15)*AG$6</f>
        <v>0</v>
      </c>
    </row>
    <row r="17" spans="1:33" ht="33.75" customHeight="1">
      <c r="A17" s="4686">
        <v>10</v>
      </c>
      <c r="B17" s="4687">
        <v>46281</v>
      </c>
      <c r="C17" s="5065">
        <v>46281</v>
      </c>
      <c r="D17" s="5895">
        <v>0</v>
      </c>
      <c r="E17" s="5011">
        <v>46301</v>
      </c>
      <c r="F17" s="5759">
        <f t="shared" si="1"/>
        <v>20</v>
      </c>
      <c r="G17" s="4699">
        <v>46301</v>
      </c>
      <c r="H17" s="4672">
        <f t="shared" si="0"/>
        <v>0</v>
      </c>
      <c r="I17" s="4691" t="s">
        <v>5927</v>
      </c>
      <c r="J17" s="4692">
        <v>1</v>
      </c>
      <c r="K17" s="4693">
        <v>0</v>
      </c>
      <c r="L17" s="4692"/>
      <c r="M17" s="4692"/>
      <c r="N17" s="4692"/>
      <c r="O17" s="4678">
        <f>SUM(D17,F17,H17)*K17</f>
        <v>0</v>
      </c>
      <c r="P17" s="4679">
        <f>(D17*L17+F17*M17+H17*N17)*K17</f>
        <v>0</v>
      </c>
      <c r="Q17" s="4692"/>
      <c r="R17" s="4680" t="s">
        <v>5742</v>
      </c>
      <c r="S17" s="4694"/>
      <c r="T17" s="4700"/>
      <c r="U17" s="4692"/>
      <c r="V17" s="4680" t="s">
        <v>4521</v>
      </c>
      <c r="W17" s="4695"/>
      <c r="X17" s="4692"/>
      <c r="Y17" s="4692"/>
      <c r="Z17" s="4683" t="s">
        <v>5035</v>
      </c>
      <c r="AA17" s="4692"/>
      <c r="AB17" s="4683" t="s">
        <v>5050</v>
      </c>
      <c r="AC17" s="4692"/>
      <c r="AD17" s="4696"/>
      <c r="AE17" s="4685">
        <f>T17*K17</f>
        <v>0</v>
      </c>
      <c r="AF17" s="7088">
        <f>AE16*SUM(F16,H16,J16)*AF$6</f>
        <v>0</v>
      </c>
      <c r="AG17" s="7088">
        <f>AE16*SUM(F16,H16,J16)*AG$6</f>
        <v>0</v>
      </c>
    </row>
    <row r="18" spans="1:33" ht="33.75" customHeight="1">
      <c r="A18" s="4686">
        <v>11</v>
      </c>
      <c r="B18" s="4687"/>
      <c r="C18" s="4687"/>
      <c r="D18" s="4672" t="str">
        <f t="shared" ref="D18:D22" si="2">IF(_xlfn.DAYS(C18,B18)=0,"1",_xlfn.DAYS(C18,B18))</f>
        <v>1</v>
      </c>
      <c r="E18" s="4687"/>
      <c r="F18" s="4698">
        <f t="shared" ref="F18:F22" si="3">IF(_xlfn.DAYS(E18,C18)=0,"1",_xlfn.DAYS(E18,C18))+1</f>
        <v>2</v>
      </c>
      <c r="G18" s="4699"/>
      <c r="H18" s="4672">
        <f t="shared" ref="H18:H22" si="4">IF(_xlfn.DAYS(G18,E18)=0,"1",_xlfn.DAYS(G18,E18))-1</f>
        <v>0</v>
      </c>
      <c r="I18" s="4691"/>
      <c r="J18" s="4692"/>
      <c r="K18" s="4693"/>
      <c r="L18" s="4692"/>
      <c r="M18" s="4692"/>
      <c r="N18" s="4692"/>
      <c r="O18" s="4678">
        <f>SUM(D18,F18,H18)*K18</f>
        <v>0</v>
      </c>
      <c r="P18" s="4679">
        <f>(D18*L18+F18*M18+H18*N18)*K18</f>
        <v>0</v>
      </c>
      <c r="Q18" s="4692"/>
      <c r="R18" s="4680" t="s">
        <v>5742</v>
      </c>
      <c r="S18" s="4694"/>
      <c r="T18" s="4700"/>
      <c r="U18" s="4692"/>
      <c r="V18" s="4680" t="s">
        <v>4521</v>
      </c>
      <c r="W18" s="4695"/>
      <c r="X18" s="4692"/>
      <c r="Y18" s="4692"/>
      <c r="Z18" s="4683" t="s">
        <v>5035</v>
      </c>
      <c r="AA18" s="4692"/>
      <c r="AB18" s="4683" t="s">
        <v>5050</v>
      </c>
      <c r="AC18" s="4692"/>
      <c r="AD18" s="4696"/>
      <c r="AE18" s="4685">
        <f>T18*K18</f>
        <v>0</v>
      </c>
      <c r="AF18" s="7088">
        <f>AE17*SUM(F17,H17,J17)*AF$6</f>
        <v>0</v>
      </c>
      <c r="AG18" s="7088">
        <f>AE17*SUM(F17,H17,J17)*AG$6</f>
        <v>0</v>
      </c>
    </row>
    <row r="19" spans="1:33" ht="33.75" customHeight="1">
      <c r="A19" s="4686">
        <v>12</v>
      </c>
      <c r="B19" s="4687"/>
      <c r="C19" s="4687"/>
      <c r="D19" s="4672" t="str">
        <f t="shared" si="2"/>
        <v>1</v>
      </c>
      <c r="E19" s="4687"/>
      <c r="F19" s="4698">
        <f t="shared" si="3"/>
        <v>2</v>
      </c>
      <c r="G19" s="4699"/>
      <c r="H19" s="4672">
        <f t="shared" si="4"/>
        <v>0</v>
      </c>
      <c r="I19" s="4691"/>
      <c r="J19" s="4692"/>
      <c r="K19" s="4693"/>
      <c r="L19" s="4692"/>
      <c r="M19" s="4692"/>
      <c r="N19" s="4692"/>
      <c r="O19" s="4678">
        <f>SUM(D19,F19,H19)*K19</f>
        <v>0</v>
      </c>
      <c r="P19" s="4679">
        <f>(D19*L19+F19*M19+H19*N19)*K19</f>
        <v>0</v>
      </c>
      <c r="Q19" s="4692"/>
      <c r="R19" s="4680" t="s">
        <v>5742</v>
      </c>
      <c r="S19" s="4694"/>
      <c r="T19" s="4700"/>
      <c r="U19" s="4692"/>
      <c r="V19" s="4680" t="s">
        <v>4521</v>
      </c>
      <c r="W19" s="4695"/>
      <c r="X19" s="4692"/>
      <c r="Y19" s="4692"/>
      <c r="Z19" s="4683" t="s">
        <v>5035</v>
      </c>
      <c r="AA19" s="4692"/>
      <c r="AB19" s="4683" t="s">
        <v>5050</v>
      </c>
      <c r="AC19" s="4692"/>
      <c r="AD19" s="4696"/>
      <c r="AE19" s="4685">
        <f>T19*K19</f>
        <v>0</v>
      </c>
      <c r="AF19" s="7088">
        <f>AE18*SUM(F18,H18,J18)*AF$6</f>
        <v>0</v>
      </c>
      <c r="AG19" s="7088">
        <f>AE18*SUM(F18,H18,J18)*AG$6</f>
        <v>0</v>
      </c>
    </row>
    <row r="20" spans="1:33" ht="33.75" customHeight="1">
      <c r="A20" s="4686">
        <v>13</v>
      </c>
      <c r="B20" s="4687"/>
      <c r="C20" s="4687"/>
      <c r="D20" s="4672" t="str">
        <f t="shared" si="2"/>
        <v>1</v>
      </c>
      <c r="E20" s="4687"/>
      <c r="F20" s="4698">
        <f t="shared" si="3"/>
        <v>2</v>
      </c>
      <c r="G20" s="4699"/>
      <c r="H20" s="4672">
        <f t="shared" si="4"/>
        <v>0</v>
      </c>
      <c r="I20" s="4691"/>
      <c r="J20" s="4692"/>
      <c r="K20" s="4693"/>
      <c r="L20" s="4692"/>
      <c r="M20" s="4692"/>
      <c r="N20" s="4692"/>
      <c r="O20" s="4678">
        <f>SUM(D20,F20,H20)*K20</f>
        <v>0</v>
      </c>
      <c r="P20" s="4679">
        <f>(D20*L20+F20*M20+H20*N20)*K20</f>
        <v>0</v>
      </c>
      <c r="Q20" s="4692"/>
      <c r="R20" s="4680" t="s">
        <v>5742</v>
      </c>
      <c r="S20" s="4694"/>
      <c r="T20" s="4700"/>
      <c r="U20" s="4692"/>
      <c r="V20" s="4680" t="s">
        <v>4521</v>
      </c>
      <c r="W20" s="4695"/>
      <c r="X20" s="4692"/>
      <c r="Y20" s="4692"/>
      <c r="Z20" s="4683" t="s">
        <v>5035</v>
      </c>
      <c r="AA20" s="4692"/>
      <c r="AB20" s="4683" t="s">
        <v>5050</v>
      </c>
      <c r="AC20" s="4692"/>
      <c r="AD20" s="4696"/>
      <c r="AE20" s="4685">
        <f>T20*K20</f>
        <v>0</v>
      </c>
      <c r="AF20" s="7088">
        <f>AE19*SUM(F19,H19,J19)*AF$6</f>
        <v>0</v>
      </c>
      <c r="AG20" s="7088">
        <f>AE19*SUM(F19,H19,J19)*AG$6</f>
        <v>0</v>
      </c>
    </row>
    <row r="21" spans="1:33" ht="33.75" customHeight="1">
      <c r="A21" s="4686">
        <v>14</v>
      </c>
      <c r="B21" s="4687"/>
      <c r="C21" s="4687"/>
      <c r="D21" s="4672" t="str">
        <f t="shared" si="2"/>
        <v>1</v>
      </c>
      <c r="E21" s="4687"/>
      <c r="F21" s="4698">
        <f t="shared" si="3"/>
        <v>2</v>
      </c>
      <c r="G21" s="4699"/>
      <c r="H21" s="4672">
        <f t="shared" si="4"/>
        <v>0</v>
      </c>
      <c r="I21" s="4691"/>
      <c r="J21" s="4692"/>
      <c r="K21" s="4693"/>
      <c r="L21" s="4692"/>
      <c r="M21" s="4692"/>
      <c r="N21" s="4692"/>
      <c r="O21" s="4678">
        <f>SUM(D21,F21,H21)*K21</f>
        <v>0</v>
      </c>
      <c r="P21" s="4679">
        <f>(D21*L21+F21*M21+H21*N21)*K21</f>
        <v>0</v>
      </c>
      <c r="Q21" s="4692"/>
      <c r="R21" s="4680" t="s">
        <v>5742</v>
      </c>
      <c r="S21" s="4694"/>
      <c r="T21" s="4700"/>
      <c r="U21" s="4692"/>
      <c r="V21" s="4680" t="s">
        <v>4521</v>
      </c>
      <c r="W21" s="4695"/>
      <c r="X21" s="4692"/>
      <c r="Y21" s="4692"/>
      <c r="Z21" s="4683" t="s">
        <v>5035</v>
      </c>
      <c r="AA21" s="4692"/>
      <c r="AB21" s="4683" t="s">
        <v>5050</v>
      </c>
      <c r="AC21" s="4692"/>
      <c r="AD21" s="4696"/>
      <c r="AE21" s="4685">
        <f>T21*K21</f>
        <v>0</v>
      </c>
      <c r="AF21" s="7088">
        <f>AE20*SUM(F20,H20,J20)*AF$6</f>
        <v>0</v>
      </c>
      <c r="AG21" s="7088">
        <f>AE20*SUM(F20,H20,J20)*AG$6</f>
        <v>0</v>
      </c>
    </row>
    <row r="22" spans="1:33" ht="33.75" customHeight="1" thickBot="1">
      <c r="A22" s="4686">
        <v>15</v>
      </c>
      <c r="B22" s="4687"/>
      <c r="C22" s="4687"/>
      <c r="D22" s="4672" t="str">
        <f t="shared" si="2"/>
        <v>1</v>
      </c>
      <c r="E22" s="4687"/>
      <c r="F22" s="4698">
        <f t="shared" si="3"/>
        <v>2</v>
      </c>
      <c r="G22" s="4699"/>
      <c r="H22" s="4672">
        <f t="shared" si="4"/>
        <v>0</v>
      </c>
      <c r="I22" s="4691"/>
      <c r="J22" s="4692"/>
      <c r="K22" s="4693"/>
      <c r="L22" s="4692"/>
      <c r="M22" s="4692"/>
      <c r="N22" s="4692"/>
      <c r="O22" s="4678">
        <f>SUM(D22,F22,H22)*K22</f>
        <v>0</v>
      </c>
      <c r="P22" s="4679">
        <f>(D22*L22+F22*M22+H22*N22)*K22</f>
        <v>0</v>
      </c>
      <c r="Q22" s="4692"/>
      <c r="R22" s="4680" t="s">
        <v>5739</v>
      </c>
      <c r="S22" s="4694"/>
      <c r="T22" s="4700"/>
      <c r="U22" s="4692"/>
      <c r="V22" s="4680" t="s">
        <v>4521</v>
      </c>
      <c r="W22" s="4695"/>
      <c r="X22" s="4692"/>
      <c r="Y22" s="4692"/>
      <c r="Z22" s="4683" t="s">
        <v>5035</v>
      </c>
      <c r="AA22" s="4692"/>
      <c r="AB22" s="4683" t="s">
        <v>5050</v>
      </c>
      <c r="AC22" s="4692"/>
      <c r="AD22" s="4696"/>
      <c r="AE22" s="4685">
        <f>T22*K22</f>
        <v>0</v>
      </c>
      <c r="AF22" s="7088">
        <f>AE21*SUM(F21,H21,J21)*AF$6</f>
        <v>0</v>
      </c>
      <c r="AG22" s="7088">
        <f>AE21*SUM(F21,H21,J21)*AG$6</f>
        <v>0</v>
      </c>
    </row>
    <row r="23" spans="1:33" ht="33.75" customHeight="1" thickTop="1" thickBot="1">
      <c r="A23" s="4701"/>
      <c r="B23" s="4702"/>
      <c r="C23" s="4702"/>
      <c r="D23" s="4702"/>
      <c r="E23" s="4702"/>
      <c r="F23" s="4703"/>
      <c r="G23" s="4704"/>
      <c r="H23" s="4702"/>
      <c r="I23" s="4705" t="s">
        <v>2432</v>
      </c>
      <c r="J23" s="4706">
        <f>SUM(J8:J22)</f>
        <v>245</v>
      </c>
      <c r="K23" s="4707">
        <f>SUM(K8:K22)</f>
        <v>237</v>
      </c>
      <c r="L23" s="4703"/>
      <c r="M23" s="4703"/>
      <c r="N23" s="4703"/>
      <c r="O23" s="4706">
        <f>SUM(O8:O22)</f>
        <v>4740</v>
      </c>
      <c r="P23" s="4706">
        <f>SUM(P8:P22)</f>
        <v>243376000</v>
      </c>
      <c r="Q23" s="6863"/>
      <c r="R23" s="6864"/>
      <c r="S23" s="6865"/>
      <c r="T23" s="4708"/>
      <c r="U23" s="6863"/>
      <c r="V23" s="6864"/>
      <c r="W23" s="6864"/>
      <c r="X23" s="4708"/>
      <c r="Y23" s="4708"/>
      <c r="Z23" s="6866"/>
      <c r="AA23" s="6867"/>
      <c r="AB23" s="6866"/>
      <c r="AC23" s="6867"/>
      <c r="AD23" s="4709"/>
      <c r="AE23" s="4685">
        <f>SUM(AE8:AE22)</f>
        <v>237</v>
      </c>
      <c r="AF23" s="7088">
        <f>SUM(AF8:AF22)</f>
        <v>0</v>
      </c>
      <c r="AG23" s="7088">
        <f>SUM(AG8:AG22)</f>
        <v>0</v>
      </c>
    </row>
    <row r="24" spans="1:33" ht="33.75" customHeight="1" thickBot="1">
      <c r="C24" s="4710"/>
      <c r="D24" s="4710"/>
      <c r="E24" s="4710"/>
      <c r="F24" s="4710"/>
      <c r="G24" s="4710"/>
      <c r="H24" s="4710"/>
      <c r="I24" s="4711"/>
      <c r="J24" s="4712"/>
      <c r="K24" s="4710"/>
      <c r="L24" s="4712"/>
      <c r="M24" s="4712"/>
      <c r="N24" s="4715"/>
      <c r="O24" s="4715"/>
      <c r="R24" s="4656"/>
      <c r="V24" s="4656"/>
      <c r="AF24" s="7089" t="s">
        <v>127</v>
      </c>
      <c r="AG24" s="7090">
        <f>SUM(AF23,AG23)</f>
        <v>0</v>
      </c>
    </row>
    <row r="25" spans="1:33" ht="33.75" customHeight="1">
      <c r="A25" s="6845" t="s">
        <v>5749</v>
      </c>
      <c r="B25" s="7120"/>
      <c r="C25" s="4716">
        <f>O23</f>
        <v>4740</v>
      </c>
      <c r="D25" s="4717"/>
      <c r="F25" s="4718"/>
      <c r="H25" s="4719"/>
      <c r="I25" s="4720"/>
      <c r="K25" s="4659"/>
      <c r="L25" s="4656"/>
      <c r="M25" s="4656"/>
      <c r="O25" s="4656"/>
    </row>
    <row r="26" spans="1:33" ht="33.75" customHeight="1">
      <c r="A26" s="6991" t="s">
        <v>5883</v>
      </c>
      <c r="B26" s="6992"/>
      <c r="C26" s="4723">
        <f>P23</f>
        <v>243376000</v>
      </c>
      <c r="D26" s="4717"/>
      <c r="F26" s="4724"/>
      <c r="H26" s="4719"/>
      <c r="I26" s="4720"/>
      <c r="K26" s="4659"/>
      <c r="O26" s="4656"/>
    </row>
    <row r="27" spans="1:33" ht="33.75" customHeight="1" thickBot="1">
      <c r="A27" s="6913" t="s">
        <v>5751</v>
      </c>
      <c r="B27" s="6914"/>
      <c r="C27" s="4987">
        <f>ROUNDDOWN(C26*1.1,0)</f>
        <v>267713600</v>
      </c>
      <c r="D27" s="4719"/>
      <c r="F27" s="4724"/>
      <c r="H27" s="4719"/>
      <c r="I27" s="4720"/>
      <c r="K27" s="4659"/>
      <c r="O27" s="4656"/>
    </row>
    <row r="28" spans="1:33" ht="32.15" customHeight="1" thickBot="1">
      <c r="A28" s="6920" t="s">
        <v>6158</v>
      </c>
      <c r="B28" s="6921"/>
      <c r="C28" s="4823">
        <f>AG24</f>
        <v>0</v>
      </c>
      <c r="D28" s="4726"/>
      <c r="E28" s="4726"/>
      <c r="F28" s="4726"/>
      <c r="G28" s="4726"/>
      <c r="H28" s="4726"/>
      <c r="I28" s="4727"/>
      <c r="N28" s="4656"/>
      <c r="O28" s="4657"/>
      <c r="P28" s="4657"/>
    </row>
    <row r="29" spans="1:33" ht="32.15" customHeight="1" thickBot="1">
      <c r="A29" s="6920" t="s">
        <v>7047</v>
      </c>
      <c r="B29" s="6921"/>
      <c r="C29" s="4823">
        <f>C27+C28</f>
        <v>267713600</v>
      </c>
      <c r="D29" s="4726"/>
      <c r="E29" s="4726"/>
      <c r="F29" s="4726"/>
      <c r="G29" s="4726"/>
      <c r="H29" s="4726"/>
      <c r="I29" s="4727"/>
      <c r="N29" s="4656"/>
      <c r="O29" s="4657"/>
      <c r="P29" s="4657"/>
    </row>
    <row r="30" spans="1:33" ht="32.15" customHeight="1">
      <c r="A30" s="4726"/>
      <c r="B30" s="4726"/>
      <c r="C30" s="4726"/>
      <c r="D30" s="4726"/>
      <c r="E30" s="4726"/>
      <c r="F30" s="4726"/>
      <c r="G30" s="4726"/>
      <c r="H30" s="4726"/>
      <c r="I30" s="4727"/>
    </row>
    <row r="31" spans="1:33" ht="33.75" customHeight="1" thickBot="1">
      <c r="A31" s="4665" t="s">
        <v>5807</v>
      </c>
      <c r="B31" s="4665"/>
      <c r="R31" s="4656"/>
      <c r="V31" s="4656"/>
      <c r="Y31" s="4656"/>
      <c r="Z31" s="4656"/>
      <c r="AA31" s="4656"/>
      <c r="AB31" s="4656"/>
      <c r="AC31" s="4656"/>
      <c r="AE31" s="4656" t="s">
        <v>5712</v>
      </c>
    </row>
    <row r="32" spans="1:33" s="4666" customFormat="1" ht="33.75" customHeight="1" thickBot="1">
      <c r="A32" s="6877" t="s">
        <v>5713</v>
      </c>
      <c r="B32" s="6879" t="s">
        <v>5714</v>
      </c>
      <c r="C32" s="6855" t="s">
        <v>5715</v>
      </c>
      <c r="D32" s="6855" t="s">
        <v>5716</v>
      </c>
      <c r="E32" s="6855" t="s">
        <v>5717</v>
      </c>
      <c r="F32" s="6868" t="s">
        <v>5718</v>
      </c>
      <c r="G32" s="6855" t="s">
        <v>5719</v>
      </c>
      <c r="H32" s="6855" t="s">
        <v>5720</v>
      </c>
      <c r="I32" s="6857" t="s">
        <v>5721</v>
      </c>
      <c r="J32" s="6851" t="s">
        <v>5722</v>
      </c>
      <c r="K32" s="6851" t="s">
        <v>5723</v>
      </c>
      <c r="L32" s="6855" t="s">
        <v>5796</v>
      </c>
      <c r="M32" s="6855" t="s">
        <v>5797</v>
      </c>
      <c r="N32" s="6855" t="s">
        <v>5798</v>
      </c>
      <c r="O32" s="6851" t="s">
        <v>3766</v>
      </c>
      <c r="P32" s="6853"/>
      <c r="Q32" s="6868" t="s">
        <v>5728</v>
      </c>
      <c r="R32" s="6869"/>
      <c r="S32" s="6870"/>
      <c r="T32" s="6855" t="s">
        <v>5729</v>
      </c>
      <c r="U32" s="6869" t="s">
        <v>5730</v>
      </c>
      <c r="V32" s="6869"/>
      <c r="W32" s="6869"/>
      <c r="X32" s="6868" t="s">
        <v>5731</v>
      </c>
      <c r="Y32" s="6851" t="s">
        <v>5732</v>
      </c>
      <c r="Z32" s="6851" t="s">
        <v>5733</v>
      </c>
      <c r="AA32" s="6853"/>
      <c r="AB32" s="6853"/>
      <c r="AC32" s="6853"/>
      <c r="AD32" s="6860" t="s">
        <v>2792</v>
      </c>
      <c r="AE32" s="6862" t="s">
        <v>5734</v>
      </c>
      <c r="AF32" s="7084" t="s">
        <v>7049</v>
      </c>
      <c r="AG32" s="7084" t="s">
        <v>7050</v>
      </c>
    </row>
    <row r="33" spans="1:33" s="4666" customFormat="1" ht="20.5" thickBot="1">
      <c r="A33" s="6878"/>
      <c r="B33" s="6880"/>
      <c r="C33" s="6858"/>
      <c r="D33" s="6856"/>
      <c r="E33" s="6856"/>
      <c r="F33" s="6881"/>
      <c r="G33" s="6856"/>
      <c r="H33" s="6856"/>
      <c r="I33" s="6858"/>
      <c r="J33" s="6859"/>
      <c r="K33" s="6859"/>
      <c r="L33" s="6856"/>
      <c r="M33" s="6856"/>
      <c r="N33" s="6856"/>
      <c r="O33" s="4667" t="s">
        <v>5735</v>
      </c>
      <c r="P33" s="4668" t="s">
        <v>5736</v>
      </c>
      <c r="Q33" s="6871"/>
      <c r="R33" s="6872"/>
      <c r="S33" s="6873"/>
      <c r="T33" s="6856"/>
      <c r="U33" s="6872"/>
      <c r="V33" s="6872"/>
      <c r="W33" s="6872"/>
      <c r="X33" s="6852"/>
      <c r="Y33" s="6852"/>
      <c r="Z33" s="6852"/>
      <c r="AA33" s="6854"/>
      <c r="AB33" s="6854"/>
      <c r="AC33" s="6854"/>
      <c r="AD33" s="6861"/>
      <c r="AE33" s="6862"/>
      <c r="AF33" s="7085"/>
      <c r="AG33" s="7086"/>
    </row>
    <row r="34" spans="1:33" ht="33.75" customHeight="1">
      <c r="A34" s="4669" t="s">
        <v>5737</v>
      </c>
      <c r="B34" s="4826">
        <v>46305</v>
      </c>
      <c r="C34" s="4827">
        <v>46307</v>
      </c>
      <c r="D34" s="4672">
        <f>IF(_xlfn.DAYS(C34,B34)=0,"1",_xlfn.DAYS(C34,B34))</f>
        <v>2</v>
      </c>
      <c r="E34" s="4827">
        <v>46319</v>
      </c>
      <c r="F34" s="4672">
        <f>IF(_xlfn.DAYS(E34,C34)=0,"1",_xlfn.DAYS(E34,C34))+1</f>
        <v>13</v>
      </c>
      <c r="G34" s="4827">
        <v>46321</v>
      </c>
      <c r="H34" s="4672">
        <f>IF(_xlfn.DAYS(G34,E34)=0,"1",_xlfn.DAYS(G34,E34))-1</f>
        <v>1</v>
      </c>
      <c r="I34" s="4674" t="s">
        <v>5738</v>
      </c>
      <c r="J34" s="4677">
        <v>100</v>
      </c>
      <c r="K34" s="4676">
        <v>90</v>
      </c>
      <c r="L34" s="4677">
        <v>9000</v>
      </c>
      <c r="M34" s="4677">
        <v>10000</v>
      </c>
      <c r="N34" s="4677">
        <v>8000</v>
      </c>
      <c r="O34" s="4678">
        <f>SUM(D34,F34,H34)*K34</f>
        <v>1440</v>
      </c>
      <c r="P34" s="4677">
        <f>(D34*L34+F34*M34+H34*N34)*K34</f>
        <v>14040000</v>
      </c>
      <c r="Q34" s="4682">
        <v>21</v>
      </c>
      <c r="R34" s="4680" t="s">
        <v>5739</v>
      </c>
      <c r="S34" s="4682">
        <v>21</v>
      </c>
      <c r="T34" s="4815">
        <v>1</v>
      </c>
      <c r="U34" s="4675">
        <v>154</v>
      </c>
      <c r="V34" s="4680" t="s">
        <v>4521</v>
      </c>
      <c r="W34" s="4682">
        <v>203</v>
      </c>
      <c r="X34" s="4675">
        <v>1</v>
      </c>
      <c r="Y34" s="4675" t="s">
        <v>5740</v>
      </c>
      <c r="Z34" s="4683" t="s">
        <v>5035</v>
      </c>
      <c r="AA34" s="4675" t="s">
        <v>2830</v>
      </c>
      <c r="AB34" s="4683" t="s">
        <v>5050</v>
      </c>
      <c r="AC34" s="4675" t="s">
        <v>5741</v>
      </c>
      <c r="AD34" s="4684"/>
      <c r="AE34" s="4685"/>
      <c r="AF34" s="7087" t="s">
        <v>246</v>
      </c>
      <c r="AG34" s="7087" t="s">
        <v>246</v>
      </c>
    </row>
    <row r="35" spans="1:33" ht="33.75" customHeight="1">
      <c r="A35" s="4686">
        <v>1</v>
      </c>
      <c r="B35" s="4946">
        <v>46304</v>
      </c>
      <c r="C35" s="4946">
        <v>46306</v>
      </c>
      <c r="D35" s="4672">
        <f t="shared" ref="D35:D44" si="5">IF(_xlfn.DAYS(C35,B35)=0,"1",_xlfn.DAYS(C35,B35))</f>
        <v>2</v>
      </c>
      <c r="E35" s="4946">
        <v>46320</v>
      </c>
      <c r="F35" s="4672">
        <f t="shared" ref="F35:F44" si="6">IF(_xlfn.DAYS(E35,C35)=0,"1",_xlfn.DAYS(E35,C35))+1</f>
        <v>15</v>
      </c>
      <c r="G35" s="5011">
        <v>46322</v>
      </c>
      <c r="H35" s="4672">
        <f t="shared" ref="H35:H49" si="7">IF(_xlfn.DAYS(G35,E35)=0,"1",_xlfn.DAYS(G35,E35))-1</f>
        <v>1</v>
      </c>
      <c r="I35" s="4691" t="s">
        <v>5919</v>
      </c>
      <c r="J35" s="4692">
        <v>90</v>
      </c>
      <c r="K35" s="4693">
        <v>90</v>
      </c>
      <c r="L35" s="4692">
        <v>41250</v>
      </c>
      <c r="M35" s="4692">
        <v>47000</v>
      </c>
      <c r="N35" s="4692">
        <v>41250</v>
      </c>
      <c r="O35" s="4678">
        <f>SUM(D35,F35,H35)*K35</f>
        <v>1620</v>
      </c>
      <c r="P35" s="4677">
        <f>(D35*L35+F35*M35+H35*N35)*K35</f>
        <v>74587500</v>
      </c>
      <c r="Q35" s="4695">
        <v>24</v>
      </c>
      <c r="R35" s="4680" t="s">
        <v>5742</v>
      </c>
      <c r="S35" s="4695">
        <v>24</v>
      </c>
      <c r="T35" s="4700">
        <v>1</v>
      </c>
      <c r="U35" s="4692">
        <v>150</v>
      </c>
      <c r="V35" s="4680" t="s">
        <v>4521</v>
      </c>
      <c r="W35" s="4695">
        <v>203</v>
      </c>
      <c r="X35" s="4692">
        <v>1</v>
      </c>
      <c r="Y35" s="4692" t="s">
        <v>5740</v>
      </c>
      <c r="Z35" s="4683" t="s">
        <v>5035</v>
      </c>
      <c r="AA35" s="4692" t="s">
        <v>5920</v>
      </c>
      <c r="AB35" s="4683" t="s">
        <v>5050</v>
      </c>
      <c r="AC35" s="4692" t="s">
        <v>5920</v>
      </c>
      <c r="AD35" s="4696"/>
      <c r="AE35" s="4685">
        <f>T35*K35</f>
        <v>90</v>
      </c>
      <c r="AF35" s="7088">
        <f>AE34*SUM(F34,H34,J34)*AF$6</f>
        <v>0</v>
      </c>
      <c r="AG35" s="7088">
        <f>AE34*SUM(F34,H34,J34)*AG$6</f>
        <v>0</v>
      </c>
    </row>
    <row r="36" spans="1:33" ht="33.75" customHeight="1">
      <c r="A36" s="4686">
        <v>2</v>
      </c>
      <c r="B36" s="4946">
        <v>46304</v>
      </c>
      <c r="C36" s="4946">
        <v>46306</v>
      </c>
      <c r="D36" s="4672">
        <f t="shared" si="5"/>
        <v>2</v>
      </c>
      <c r="E36" s="4946">
        <v>46320</v>
      </c>
      <c r="F36" s="4672">
        <f>IF(_xlfn.DAYS(E36,C36)=0,"1",_xlfn.DAYS(E36,C36))+1</f>
        <v>15</v>
      </c>
      <c r="G36" s="5011">
        <v>46322</v>
      </c>
      <c r="H36" s="4672">
        <f t="shared" si="7"/>
        <v>1</v>
      </c>
      <c r="I36" s="4691" t="s">
        <v>5125</v>
      </c>
      <c r="J36" s="4692">
        <v>40</v>
      </c>
      <c r="K36" s="4693">
        <v>40</v>
      </c>
      <c r="L36" s="4692">
        <v>60700</v>
      </c>
      <c r="M36" s="4692">
        <v>72200</v>
      </c>
      <c r="N36" s="4692">
        <v>60700</v>
      </c>
      <c r="O36" s="4678">
        <f>SUM(D36,F36,H36)*K36</f>
        <v>720</v>
      </c>
      <c r="P36" s="4677">
        <f>(D36*L36+F36*M36+H36*N36)*K36</f>
        <v>50604000</v>
      </c>
      <c r="Q36" s="4695">
        <v>34</v>
      </c>
      <c r="R36" s="4680" t="s">
        <v>5742</v>
      </c>
      <c r="S36" s="4695">
        <v>34</v>
      </c>
      <c r="T36" s="4700">
        <v>2</v>
      </c>
      <c r="U36" s="4692">
        <v>120</v>
      </c>
      <c r="V36" s="4680" t="s">
        <v>4521</v>
      </c>
      <c r="W36" s="4695">
        <v>203</v>
      </c>
      <c r="X36" s="4692">
        <v>2</v>
      </c>
      <c r="Y36" s="4692" t="s">
        <v>5740</v>
      </c>
      <c r="Z36" s="4683" t="s">
        <v>5035</v>
      </c>
      <c r="AA36" s="4692" t="s">
        <v>5920</v>
      </c>
      <c r="AB36" s="4683" t="s">
        <v>5050</v>
      </c>
      <c r="AC36" s="4692" t="s">
        <v>5920</v>
      </c>
      <c r="AD36" s="4696"/>
      <c r="AE36" s="4685">
        <f>T36*K36</f>
        <v>80</v>
      </c>
      <c r="AF36" s="7088">
        <f>AE35*SUM(F35,H35,J35)*AF$6</f>
        <v>0</v>
      </c>
      <c r="AG36" s="7088">
        <f>AE35*SUM(F35,H35,J35)*AG$6</f>
        <v>0</v>
      </c>
    </row>
    <row r="37" spans="1:33" ht="33.75" customHeight="1">
      <c r="A37" s="4686">
        <v>3</v>
      </c>
      <c r="B37" s="4946">
        <v>46304</v>
      </c>
      <c r="C37" s="4946">
        <v>46306</v>
      </c>
      <c r="D37" s="4672">
        <f t="shared" si="5"/>
        <v>2</v>
      </c>
      <c r="E37" s="4946">
        <v>46320</v>
      </c>
      <c r="F37" s="4672">
        <f t="shared" ref="F37:F39" si="8">IF(_xlfn.DAYS(E37,C37)=0,"1",_xlfn.DAYS(E37,C37))+1</f>
        <v>15</v>
      </c>
      <c r="G37" s="5011">
        <v>46322</v>
      </c>
      <c r="H37" s="4672">
        <f t="shared" si="7"/>
        <v>1</v>
      </c>
      <c r="I37" s="4691" t="s">
        <v>5921</v>
      </c>
      <c r="J37" s="4692">
        <v>3</v>
      </c>
      <c r="K37" s="4693">
        <v>3</v>
      </c>
      <c r="L37" s="4692">
        <v>80700</v>
      </c>
      <c r="M37" s="4692">
        <v>92200</v>
      </c>
      <c r="N37" s="4692">
        <v>80700</v>
      </c>
      <c r="O37" s="4678">
        <f>SUM(D37,F37,H37)*K37</f>
        <v>54</v>
      </c>
      <c r="P37" s="4677">
        <f>(D37*L37+F37*M37+H37*N37)*K37</f>
        <v>4875300</v>
      </c>
      <c r="Q37" s="4695">
        <v>42</v>
      </c>
      <c r="R37" s="4680" t="s">
        <v>5742</v>
      </c>
      <c r="S37" s="4695">
        <v>42</v>
      </c>
      <c r="T37" s="4700">
        <v>2</v>
      </c>
      <c r="U37" s="4692">
        <v>85</v>
      </c>
      <c r="V37" s="4680" t="s">
        <v>4521</v>
      </c>
      <c r="W37" s="4695">
        <v>203</v>
      </c>
      <c r="X37" s="4692">
        <v>2</v>
      </c>
      <c r="Y37" s="4998" t="s">
        <v>5928</v>
      </c>
      <c r="Z37" s="4683" t="s">
        <v>5035</v>
      </c>
      <c r="AA37" s="4692" t="s">
        <v>5920</v>
      </c>
      <c r="AB37" s="4683" t="s">
        <v>5050</v>
      </c>
      <c r="AC37" s="4692" t="s">
        <v>5920</v>
      </c>
      <c r="AD37" s="4696" t="s">
        <v>5923</v>
      </c>
      <c r="AE37" s="4685">
        <f>T37*K37</f>
        <v>6</v>
      </c>
      <c r="AF37" s="7088">
        <f>AE36*SUM(F36,H36,J36)*AF$6</f>
        <v>0</v>
      </c>
      <c r="AG37" s="7088">
        <f>AE36*SUM(F36,H36,J36)*AG$6</f>
        <v>0</v>
      </c>
    </row>
    <row r="38" spans="1:33" ht="33.75" customHeight="1">
      <c r="A38" s="4686">
        <v>4</v>
      </c>
      <c r="B38" s="4946">
        <v>46304</v>
      </c>
      <c r="C38" s="4946">
        <v>46306</v>
      </c>
      <c r="D38" s="4672">
        <f t="shared" si="5"/>
        <v>2</v>
      </c>
      <c r="E38" s="4946">
        <v>46320</v>
      </c>
      <c r="F38" s="4672">
        <f t="shared" si="8"/>
        <v>15</v>
      </c>
      <c r="G38" s="5011">
        <v>46322</v>
      </c>
      <c r="H38" s="4672">
        <f t="shared" si="7"/>
        <v>1</v>
      </c>
      <c r="I38" s="4691" t="s">
        <v>5093</v>
      </c>
      <c r="J38" s="4692">
        <v>30</v>
      </c>
      <c r="K38" s="4693">
        <v>30</v>
      </c>
      <c r="L38" s="4692">
        <v>62250</v>
      </c>
      <c r="M38" s="4692">
        <v>68000</v>
      </c>
      <c r="N38" s="4692">
        <v>62250</v>
      </c>
      <c r="O38" s="4678">
        <f>SUM(D38,F38,H38)*K38</f>
        <v>540</v>
      </c>
      <c r="P38" s="4677">
        <f>(D38*L38+F38*M38+H38*N38)*K38</f>
        <v>36202500</v>
      </c>
      <c r="Q38" s="4695">
        <v>35</v>
      </c>
      <c r="R38" s="4680" t="s">
        <v>5742</v>
      </c>
      <c r="S38" s="4695">
        <v>35</v>
      </c>
      <c r="T38" s="4700">
        <v>1</v>
      </c>
      <c r="U38" s="4692">
        <v>180</v>
      </c>
      <c r="V38" s="4680" t="s">
        <v>4521</v>
      </c>
      <c r="W38" s="4695">
        <v>203</v>
      </c>
      <c r="X38" s="4692">
        <v>1</v>
      </c>
      <c r="Y38" s="4998" t="s">
        <v>5928</v>
      </c>
      <c r="Z38" s="4683" t="s">
        <v>5035</v>
      </c>
      <c r="AA38" s="4692" t="s">
        <v>5920</v>
      </c>
      <c r="AB38" s="4683" t="s">
        <v>5050</v>
      </c>
      <c r="AC38" s="4692" t="s">
        <v>5920</v>
      </c>
      <c r="AD38" s="4696"/>
      <c r="AE38" s="4685">
        <f>T38*K38</f>
        <v>30</v>
      </c>
      <c r="AF38" s="7088">
        <f>AE37*SUM(F37,H37,J37)*AF$6</f>
        <v>0</v>
      </c>
      <c r="AG38" s="7088">
        <f>AE37*SUM(F37,H37,J37)*AG$6</f>
        <v>0</v>
      </c>
    </row>
    <row r="39" spans="1:33" ht="33.75" customHeight="1">
      <c r="A39" s="4686">
        <v>5</v>
      </c>
      <c r="B39" s="4946">
        <v>46304</v>
      </c>
      <c r="C39" s="4946">
        <v>46306</v>
      </c>
      <c r="D39" s="4672">
        <f t="shared" si="5"/>
        <v>2</v>
      </c>
      <c r="E39" s="4946">
        <v>46320</v>
      </c>
      <c r="F39" s="4672">
        <f t="shared" si="8"/>
        <v>15</v>
      </c>
      <c r="G39" s="5011">
        <v>46322</v>
      </c>
      <c r="H39" s="4672">
        <f t="shared" si="7"/>
        <v>1</v>
      </c>
      <c r="I39" s="4691" t="s">
        <v>5126</v>
      </c>
      <c r="J39" s="4692">
        <v>65</v>
      </c>
      <c r="K39" s="4693">
        <v>65</v>
      </c>
      <c r="L39" s="4692">
        <v>69700</v>
      </c>
      <c r="M39" s="4692">
        <v>81200</v>
      </c>
      <c r="N39" s="4692">
        <v>69700</v>
      </c>
      <c r="O39" s="4678">
        <f>SUM(D39,F39,H39)*K39</f>
        <v>1170</v>
      </c>
      <c r="P39" s="4677">
        <f>(D39*L39+F39*M39+H39*N39)*K39</f>
        <v>92761500</v>
      </c>
      <c r="Q39" s="4695">
        <v>37</v>
      </c>
      <c r="R39" s="4680" t="s">
        <v>5742</v>
      </c>
      <c r="S39" s="4695">
        <v>37</v>
      </c>
      <c r="T39" s="4700">
        <v>2</v>
      </c>
      <c r="U39" s="4692">
        <v>120</v>
      </c>
      <c r="V39" s="4680" t="s">
        <v>4521</v>
      </c>
      <c r="W39" s="4695">
        <v>203</v>
      </c>
      <c r="X39" s="4692">
        <v>2</v>
      </c>
      <c r="Y39" s="4998" t="s">
        <v>5928</v>
      </c>
      <c r="Z39" s="4683" t="s">
        <v>5035</v>
      </c>
      <c r="AA39" s="4692" t="s">
        <v>5920</v>
      </c>
      <c r="AB39" s="4683" t="s">
        <v>5050</v>
      </c>
      <c r="AC39" s="4692" t="s">
        <v>5920</v>
      </c>
      <c r="AD39" s="4696"/>
      <c r="AE39" s="4685">
        <f>T39*K39</f>
        <v>130</v>
      </c>
      <c r="AF39" s="7088">
        <f>AE38*SUM(F38,H38,J38)*AF$6</f>
        <v>0</v>
      </c>
      <c r="AG39" s="7088">
        <f>AE38*SUM(F38,H38,J38)*AG$6</f>
        <v>0</v>
      </c>
    </row>
    <row r="40" spans="1:33" ht="33.75" customHeight="1">
      <c r="A40" s="4686">
        <v>6</v>
      </c>
      <c r="B40" s="4946">
        <v>46304</v>
      </c>
      <c r="C40" s="4946">
        <v>46306</v>
      </c>
      <c r="D40" s="4672">
        <f t="shared" si="5"/>
        <v>2</v>
      </c>
      <c r="E40" s="4946">
        <v>46320</v>
      </c>
      <c r="F40" s="4672">
        <f>IF(_xlfn.DAYS(E40,C40)=0,"1",_xlfn.DAYS(E40,C40))+1</f>
        <v>15</v>
      </c>
      <c r="G40" s="5011">
        <v>46322</v>
      </c>
      <c r="H40" s="4672">
        <f t="shared" si="7"/>
        <v>1</v>
      </c>
      <c r="I40" s="4691" t="s">
        <v>5924</v>
      </c>
      <c r="J40" s="4692">
        <v>9</v>
      </c>
      <c r="K40" s="4693">
        <v>9</v>
      </c>
      <c r="L40" s="4692">
        <v>71250</v>
      </c>
      <c r="M40" s="4692">
        <v>77000</v>
      </c>
      <c r="N40" s="4692">
        <v>71250</v>
      </c>
      <c r="O40" s="4678">
        <f>SUM(D40,F40,H40)*K40</f>
        <v>162</v>
      </c>
      <c r="P40" s="4677">
        <f>(D40*L40+F40*M40+H40*N40)*K40</f>
        <v>12318750</v>
      </c>
      <c r="Q40" s="4695">
        <v>42</v>
      </c>
      <c r="R40" s="4680" t="s">
        <v>5742</v>
      </c>
      <c r="S40" s="4695">
        <v>42</v>
      </c>
      <c r="T40" s="4700">
        <v>1</v>
      </c>
      <c r="U40" s="4692">
        <v>180</v>
      </c>
      <c r="V40" s="4680" t="s">
        <v>4521</v>
      </c>
      <c r="W40" s="4695">
        <v>203</v>
      </c>
      <c r="X40" s="4692">
        <v>1</v>
      </c>
      <c r="Y40" s="4998" t="s">
        <v>5928</v>
      </c>
      <c r="Z40" s="4683" t="s">
        <v>5035</v>
      </c>
      <c r="AA40" s="4692" t="s">
        <v>5920</v>
      </c>
      <c r="AB40" s="4683" t="s">
        <v>5050</v>
      </c>
      <c r="AC40" s="4692" t="s">
        <v>5920</v>
      </c>
      <c r="AD40" s="4696"/>
      <c r="AE40" s="4685">
        <f>T40*K40</f>
        <v>9</v>
      </c>
      <c r="AF40" s="7088">
        <f>AE39*SUM(F39,H39,J39)*AF$6</f>
        <v>0</v>
      </c>
      <c r="AG40" s="7088">
        <f>AE39*SUM(F39,H39,J39)*AG$6</f>
        <v>0</v>
      </c>
    </row>
    <row r="41" spans="1:33" ht="33.75" customHeight="1">
      <c r="A41" s="4686">
        <v>7</v>
      </c>
      <c r="B41" s="4946">
        <v>46304</v>
      </c>
      <c r="C41" s="4946">
        <v>46306</v>
      </c>
      <c r="D41" s="4672">
        <f t="shared" si="5"/>
        <v>2</v>
      </c>
      <c r="E41" s="4946">
        <v>46320</v>
      </c>
      <c r="F41" s="4672">
        <f t="shared" si="6"/>
        <v>15</v>
      </c>
      <c r="G41" s="5011">
        <v>46322</v>
      </c>
      <c r="H41" s="4672">
        <f t="shared" si="7"/>
        <v>1</v>
      </c>
      <c r="I41" s="4691" t="s">
        <v>5138</v>
      </c>
      <c r="J41" s="4692">
        <v>1</v>
      </c>
      <c r="K41" s="4693">
        <v>1</v>
      </c>
      <c r="L41" s="4692">
        <v>177150</v>
      </c>
      <c r="M41" s="4692">
        <v>194400</v>
      </c>
      <c r="N41" s="4692">
        <v>177150</v>
      </c>
      <c r="O41" s="4678">
        <f>SUM(D41,F41,H41)*K41</f>
        <v>18</v>
      </c>
      <c r="P41" s="4677">
        <f>(D41*L41+F41*M41+H41*N41)*K41</f>
        <v>3447450</v>
      </c>
      <c r="Q41" s="4695">
        <v>69</v>
      </c>
      <c r="R41" s="4680" t="s">
        <v>5742</v>
      </c>
      <c r="S41" s="4695">
        <v>69</v>
      </c>
      <c r="T41" s="4700">
        <v>3</v>
      </c>
      <c r="U41" s="4692">
        <v>120</v>
      </c>
      <c r="V41" s="4680" t="s">
        <v>4521</v>
      </c>
      <c r="W41" s="4695">
        <v>203</v>
      </c>
      <c r="X41" s="4692">
        <v>3</v>
      </c>
      <c r="Y41" s="4692" t="s">
        <v>5929</v>
      </c>
      <c r="Z41" s="4683" t="s">
        <v>5035</v>
      </c>
      <c r="AA41" s="4692" t="s">
        <v>5920</v>
      </c>
      <c r="AB41" s="4683" t="s">
        <v>5050</v>
      </c>
      <c r="AC41" s="4692" t="s">
        <v>5920</v>
      </c>
      <c r="AD41" s="4696"/>
      <c r="AE41" s="4685">
        <f>T41*K41</f>
        <v>3</v>
      </c>
      <c r="AF41" s="7088">
        <f>AE40*SUM(F40,H40,J40)*AF$6</f>
        <v>0</v>
      </c>
      <c r="AG41" s="7088">
        <f>AE40*SUM(F40,H40,J40)*AG$6</f>
        <v>0</v>
      </c>
    </row>
    <row r="42" spans="1:33" ht="33.75" customHeight="1">
      <c r="A42" s="4686">
        <v>8</v>
      </c>
      <c r="B42" s="4946">
        <v>46304</v>
      </c>
      <c r="C42" s="4946">
        <v>46306</v>
      </c>
      <c r="D42" s="4672">
        <f t="shared" si="5"/>
        <v>2</v>
      </c>
      <c r="E42" s="4946">
        <v>46320</v>
      </c>
      <c r="F42" s="4672">
        <f t="shared" si="6"/>
        <v>15</v>
      </c>
      <c r="G42" s="5011">
        <v>46322</v>
      </c>
      <c r="H42" s="4672">
        <f t="shared" si="7"/>
        <v>1</v>
      </c>
      <c r="I42" s="4691" t="s">
        <v>5925</v>
      </c>
      <c r="J42" s="4692">
        <v>2</v>
      </c>
      <c r="K42" s="4693">
        <v>2</v>
      </c>
      <c r="L42" s="4692">
        <v>166250</v>
      </c>
      <c r="M42" s="4692">
        <v>172000</v>
      </c>
      <c r="N42" s="4692">
        <v>166250</v>
      </c>
      <c r="O42" s="4678">
        <f>SUM(D42,F42,H42)*K42</f>
        <v>36</v>
      </c>
      <c r="P42" s="4677">
        <f>(D42*L42+F42*M42+H42*N42)*K42</f>
        <v>6157500</v>
      </c>
      <c r="Q42" s="4695">
        <v>66</v>
      </c>
      <c r="R42" s="4680" t="s">
        <v>5742</v>
      </c>
      <c r="S42" s="4695">
        <v>66</v>
      </c>
      <c r="T42" s="4700">
        <v>1</v>
      </c>
      <c r="U42" s="4692">
        <v>180</v>
      </c>
      <c r="V42" s="4680" t="s">
        <v>4521</v>
      </c>
      <c r="W42" s="4695">
        <v>203</v>
      </c>
      <c r="X42" s="4692">
        <v>1</v>
      </c>
      <c r="Y42" s="4998" t="s">
        <v>5930</v>
      </c>
      <c r="Z42" s="4683" t="s">
        <v>5035</v>
      </c>
      <c r="AA42" s="4692" t="s">
        <v>5920</v>
      </c>
      <c r="AB42" s="4683" t="s">
        <v>5050</v>
      </c>
      <c r="AC42" s="4692" t="s">
        <v>5920</v>
      </c>
      <c r="AD42" s="4696"/>
      <c r="AE42" s="4685">
        <f>T42*K42</f>
        <v>2</v>
      </c>
      <c r="AF42" s="7088">
        <f>AE41*SUM(F41,H41,J41)*AF$6</f>
        <v>0</v>
      </c>
      <c r="AG42" s="7088">
        <f>AE41*SUM(F41,H41,J41)*AG$6</f>
        <v>0</v>
      </c>
    </row>
    <row r="43" spans="1:33" ht="33.75" customHeight="1">
      <c r="A43" s="4686">
        <v>9</v>
      </c>
      <c r="B43" s="4946">
        <v>46304</v>
      </c>
      <c r="C43" s="4946">
        <v>46306</v>
      </c>
      <c r="D43" s="4672">
        <f t="shared" si="5"/>
        <v>2</v>
      </c>
      <c r="E43" s="4946">
        <v>46320</v>
      </c>
      <c r="F43" s="4672">
        <f t="shared" si="6"/>
        <v>15</v>
      </c>
      <c r="G43" s="5011">
        <v>46322</v>
      </c>
      <c r="H43" s="4672">
        <f t="shared" si="7"/>
        <v>1</v>
      </c>
      <c r="I43" s="4691" t="s">
        <v>5926</v>
      </c>
      <c r="J43" s="4692">
        <v>4</v>
      </c>
      <c r="K43" s="4693">
        <v>4</v>
      </c>
      <c r="L43" s="4692">
        <v>169700</v>
      </c>
      <c r="M43" s="4692">
        <v>181200</v>
      </c>
      <c r="N43" s="4692">
        <v>169700</v>
      </c>
      <c r="O43" s="4678">
        <f>SUM(D43,F43,H43)*K43</f>
        <v>72</v>
      </c>
      <c r="P43" s="4677">
        <f>(D43*L43+F43*M43+H43*N43)*K43</f>
        <v>12908400</v>
      </c>
      <c r="Q43" s="4695">
        <v>72</v>
      </c>
      <c r="R43" s="4680" t="s">
        <v>5742</v>
      </c>
      <c r="S43" s="4695">
        <v>72</v>
      </c>
      <c r="T43" s="4700">
        <v>2</v>
      </c>
      <c r="U43" s="4692">
        <v>120</v>
      </c>
      <c r="V43" s="4680" t="s">
        <v>4521</v>
      </c>
      <c r="W43" s="4695">
        <v>203</v>
      </c>
      <c r="X43" s="4692">
        <v>2</v>
      </c>
      <c r="Y43" s="4998" t="s">
        <v>5922</v>
      </c>
      <c r="Z43" s="4683" t="s">
        <v>5035</v>
      </c>
      <c r="AA43" s="4692" t="s">
        <v>5920</v>
      </c>
      <c r="AB43" s="4683" t="s">
        <v>5050</v>
      </c>
      <c r="AC43" s="4692" t="s">
        <v>5920</v>
      </c>
      <c r="AD43" s="4696"/>
      <c r="AE43" s="4685">
        <f>T43*K43</f>
        <v>8</v>
      </c>
      <c r="AF43" s="7088">
        <f>AE42*SUM(F42,H42,J42)*AF$6</f>
        <v>0</v>
      </c>
      <c r="AG43" s="7088">
        <f>AE42*SUM(F42,H42,J42)*AG$6</f>
        <v>0</v>
      </c>
    </row>
    <row r="44" spans="1:33" ht="33.75" customHeight="1">
      <c r="A44" s="4686">
        <v>10</v>
      </c>
      <c r="B44" s="4946">
        <v>46304</v>
      </c>
      <c r="C44" s="4946">
        <v>46306</v>
      </c>
      <c r="D44" s="4672">
        <f t="shared" si="5"/>
        <v>2</v>
      </c>
      <c r="E44" s="4946">
        <v>46320</v>
      </c>
      <c r="F44" s="4672">
        <f t="shared" si="6"/>
        <v>15</v>
      </c>
      <c r="G44" s="5011">
        <v>46322</v>
      </c>
      <c r="H44" s="4672">
        <f t="shared" si="7"/>
        <v>1</v>
      </c>
      <c r="I44" s="4691" t="s">
        <v>5927</v>
      </c>
      <c r="J44" s="4692">
        <v>1</v>
      </c>
      <c r="K44" s="4693">
        <v>1</v>
      </c>
      <c r="L44" s="4692">
        <v>417700</v>
      </c>
      <c r="M44" s="4692">
        <v>429200</v>
      </c>
      <c r="N44" s="4692">
        <v>417700</v>
      </c>
      <c r="O44" s="4678">
        <f>SUM(D44,F44,H44)*K44</f>
        <v>18</v>
      </c>
      <c r="P44" s="4677">
        <f>(D44*L44+F44*M44+H44*N44)*K44</f>
        <v>7691100</v>
      </c>
      <c r="Q44" s="4695">
        <v>175</v>
      </c>
      <c r="R44" s="4680" t="s">
        <v>5742</v>
      </c>
      <c r="S44" s="4695">
        <v>175</v>
      </c>
      <c r="T44" s="4700">
        <v>2</v>
      </c>
      <c r="U44" s="4692">
        <v>120</v>
      </c>
      <c r="V44" s="4680" t="s">
        <v>4521</v>
      </c>
      <c r="W44" s="4695">
        <v>203</v>
      </c>
      <c r="X44" s="4692">
        <v>2</v>
      </c>
      <c r="Y44" s="4998" t="s">
        <v>5928</v>
      </c>
      <c r="Z44" s="4683" t="s">
        <v>5035</v>
      </c>
      <c r="AA44" s="4692" t="s">
        <v>5920</v>
      </c>
      <c r="AB44" s="4683" t="s">
        <v>5050</v>
      </c>
      <c r="AC44" s="4692" t="s">
        <v>5920</v>
      </c>
      <c r="AD44" s="4696"/>
      <c r="AE44" s="4685">
        <f>T44*K44</f>
        <v>2</v>
      </c>
      <c r="AF44" s="7088">
        <f>AE43*SUM(F43,H43,J43)*AF$6</f>
        <v>0</v>
      </c>
      <c r="AG44" s="7088">
        <f>AE43*SUM(F43,H43,J43)*AG$6</f>
        <v>0</v>
      </c>
    </row>
    <row r="45" spans="1:33" ht="33.75" customHeight="1">
      <c r="A45" s="4686">
        <v>11</v>
      </c>
      <c r="B45" s="5000"/>
      <c r="C45" s="4999"/>
      <c r="D45" s="4672" t="str">
        <f t="shared" ref="D45:D49" si="9">IF(_xlfn.DAYS(C45,B45)=0,"1",_xlfn.DAYS(C45,B45))</f>
        <v>1</v>
      </c>
      <c r="E45" s="4999"/>
      <c r="F45" s="4672">
        <f t="shared" ref="F45:F49" si="10">IF(_xlfn.DAYS(E45,C45)=0,"1",_xlfn.DAYS(E45,C45))+1</f>
        <v>2</v>
      </c>
      <c r="G45" s="4699"/>
      <c r="H45" s="4672">
        <f t="shared" si="7"/>
        <v>0</v>
      </c>
      <c r="I45" s="4691"/>
      <c r="J45" s="4692"/>
      <c r="K45" s="4693"/>
      <c r="L45" s="4692"/>
      <c r="M45" s="4692"/>
      <c r="N45" s="4692"/>
      <c r="O45" s="4678">
        <f>SUM(D45,F45,H45)*K45</f>
        <v>0</v>
      </c>
      <c r="P45" s="4677">
        <f>(D45*L45+F45*M45+H45*N45)*K45</f>
        <v>0</v>
      </c>
      <c r="Q45" s="4695"/>
      <c r="R45" s="4680" t="s">
        <v>5742</v>
      </c>
      <c r="S45" s="4695"/>
      <c r="T45" s="4700"/>
      <c r="U45" s="4692"/>
      <c r="V45" s="4680" t="s">
        <v>4521</v>
      </c>
      <c r="W45" s="4695"/>
      <c r="X45" s="4692"/>
      <c r="Y45" s="4692"/>
      <c r="Z45" s="4683" t="s">
        <v>5035</v>
      </c>
      <c r="AA45" s="4692"/>
      <c r="AB45" s="4683" t="s">
        <v>5050</v>
      </c>
      <c r="AC45" s="4692"/>
      <c r="AD45" s="4696"/>
      <c r="AE45" s="4685">
        <f>T45*K45</f>
        <v>0</v>
      </c>
      <c r="AF45" s="7088">
        <f>AE44*SUM(F44,H44,J44)*AF$6</f>
        <v>0</v>
      </c>
      <c r="AG45" s="7088">
        <f>AE44*SUM(F44,H44,J44)*AG$6</f>
        <v>0</v>
      </c>
    </row>
    <row r="46" spans="1:33" ht="33.75" customHeight="1">
      <c r="A46" s="4686">
        <v>12</v>
      </c>
      <c r="B46" s="5000"/>
      <c r="C46" s="4999"/>
      <c r="D46" s="4672" t="str">
        <f t="shared" si="9"/>
        <v>1</v>
      </c>
      <c r="E46" s="4999"/>
      <c r="F46" s="4672">
        <f t="shared" si="10"/>
        <v>2</v>
      </c>
      <c r="G46" s="4699"/>
      <c r="H46" s="4672">
        <f t="shared" si="7"/>
        <v>0</v>
      </c>
      <c r="I46" s="4691"/>
      <c r="J46" s="4692"/>
      <c r="K46" s="4693"/>
      <c r="L46" s="4692"/>
      <c r="M46" s="4692"/>
      <c r="N46" s="4692"/>
      <c r="O46" s="4678">
        <f>SUM(D46,F46,H46)*K46</f>
        <v>0</v>
      </c>
      <c r="P46" s="4677">
        <f>(D46*L46+F46*M46+H46*N46)*K46</f>
        <v>0</v>
      </c>
      <c r="Q46" s="4695"/>
      <c r="R46" s="4680" t="s">
        <v>5742</v>
      </c>
      <c r="S46" s="4695"/>
      <c r="T46" s="4700"/>
      <c r="U46" s="4692"/>
      <c r="V46" s="4680" t="s">
        <v>4521</v>
      </c>
      <c r="W46" s="4695"/>
      <c r="X46" s="4692"/>
      <c r="Y46" s="4692"/>
      <c r="Z46" s="4683" t="s">
        <v>5035</v>
      </c>
      <c r="AA46" s="4692"/>
      <c r="AB46" s="4683" t="s">
        <v>5050</v>
      </c>
      <c r="AC46" s="4692"/>
      <c r="AD46" s="4696"/>
      <c r="AE46" s="4685">
        <f>T46*K46</f>
        <v>0</v>
      </c>
      <c r="AF46" s="7088">
        <f>AE45*SUM(F45,H45,J45)*AF$6</f>
        <v>0</v>
      </c>
      <c r="AG46" s="7088">
        <f>AE45*SUM(F45,H45,J45)*AG$6</f>
        <v>0</v>
      </c>
    </row>
    <row r="47" spans="1:33" ht="33.75" customHeight="1">
      <c r="A47" s="4686">
        <v>13</v>
      </c>
      <c r="B47" s="5000"/>
      <c r="C47" s="4999"/>
      <c r="D47" s="4672" t="str">
        <f t="shared" si="9"/>
        <v>1</v>
      </c>
      <c r="E47" s="4999"/>
      <c r="F47" s="4672">
        <f t="shared" si="10"/>
        <v>2</v>
      </c>
      <c r="G47" s="4699"/>
      <c r="H47" s="4672">
        <f t="shared" si="7"/>
        <v>0</v>
      </c>
      <c r="I47" s="4691"/>
      <c r="J47" s="4692"/>
      <c r="K47" s="4693"/>
      <c r="L47" s="4692"/>
      <c r="M47" s="4692"/>
      <c r="N47" s="4692"/>
      <c r="O47" s="4678">
        <f>SUM(D47,F47,H47)*K47</f>
        <v>0</v>
      </c>
      <c r="P47" s="4677">
        <f>(D47*L47+F47*M47+H47*N47)*K47</f>
        <v>0</v>
      </c>
      <c r="Q47" s="4695"/>
      <c r="R47" s="4680" t="s">
        <v>5742</v>
      </c>
      <c r="S47" s="4695"/>
      <c r="T47" s="4700"/>
      <c r="U47" s="4692"/>
      <c r="V47" s="4680" t="s">
        <v>4521</v>
      </c>
      <c r="W47" s="4695"/>
      <c r="X47" s="4692"/>
      <c r="Y47" s="4692"/>
      <c r="Z47" s="4683" t="s">
        <v>5035</v>
      </c>
      <c r="AA47" s="4692"/>
      <c r="AB47" s="4683" t="s">
        <v>5050</v>
      </c>
      <c r="AC47" s="4692"/>
      <c r="AD47" s="4696"/>
      <c r="AE47" s="4685">
        <f>T47*K47</f>
        <v>0</v>
      </c>
      <c r="AF47" s="7088">
        <f>AE46*SUM(F46,H46,J46)*AF$6</f>
        <v>0</v>
      </c>
      <c r="AG47" s="7088">
        <f>AE46*SUM(F46,H46,J46)*AG$6</f>
        <v>0</v>
      </c>
    </row>
    <row r="48" spans="1:33" ht="33.75" customHeight="1">
      <c r="A48" s="4686">
        <v>14</v>
      </c>
      <c r="B48" s="5000"/>
      <c r="C48" s="4999"/>
      <c r="D48" s="4672" t="str">
        <f t="shared" si="9"/>
        <v>1</v>
      </c>
      <c r="E48" s="4999"/>
      <c r="F48" s="4672">
        <f t="shared" si="10"/>
        <v>2</v>
      </c>
      <c r="G48" s="4699"/>
      <c r="H48" s="4672">
        <f t="shared" si="7"/>
        <v>0</v>
      </c>
      <c r="I48" s="4691"/>
      <c r="J48" s="4692"/>
      <c r="K48" s="4693"/>
      <c r="L48" s="4692"/>
      <c r="M48" s="4692"/>
      <c r="N48" s="4692"/>
      <c r="O48" s="4678">
        <f>SUM(D48,F48,H48)*K48</f>
        <v>0</v>
      </c>
      <c r="P48" s="4677">
        <f>(D48*L48+F48*M48+H48*N48)*K48</f>
        <v>0</v>
      </c>
      <c r="Q48" s="4695"/>
      <c r="R48" s="4680" t="s">
        <v>5742</v>
      </c>
      <c r="S48" s="4695"/>
      <c r="T48" s="4700"/>
      <c r="U48" s="4692"/>
      <c r="V48" s="4680" t="s">
        <v>4521</v>
      </c>
      <c r="W48" s="4695"/>
      <c r="X48" s="4692"/>
      <c r="Y48" s="4692"/>
      <c r="Z48" s="4683" t="s">
        <v>5035</v>
      </c>
      <c r="AA48" s="4692"/>
      <c r="AB48" s="4683" t="s">
        <v>5050</v>
      </c>
      <c r="AC48" s="4692"/>
      <c r="AD48" s="4696"/>
      <c r="AE48" s="4685">
        <f>T48*K48</f>
        <v>0</v>
      </c>
      <c r="AF48" s="7088">
        <f>AE47*SUM(F47,H47,J47)*AF$6</f>
        <v>0</v>
      </c>
      <c r="AG48" s="7088">
        <f>AE47*SUM(F47,H47,J47)*AG$6</f>
        <v>0</v>
      </c>
    </row>
    <row r="49" spans="1:33" ht="33.75" customHeight="1" thickBot="1">
      <c r="A49" s="4686">
        <v>15</v>
      </c>
      <c r="B49" s="5000"/>
      <c r="C49" s="4999"/>
      <c r="D49" s="4672" t="str">
        <f t="shared" si="9"/>
        <v>1</v>
      </c>
      <c r="E49" s="4999"/>
      <c r="F49" s="4672">
        <f t="shared" si="10"/>
        <v>2</v>
      </c>
      <c r="G49" s="4699"/>
      <c r="H49" s="4672">
        <f t="shared" si="7"/>
        <v>0</v>
      </c>
      <c r="I49" s="4691"/>
      <c r="J49" s="4692"/>
      <c r="K49" s="4693"/>
      <c r="L49" s="4692"/>
      <c r="M49" s="4692"/>
      <c r="N49" s="4692"/>
      <c r="O49" s="4678">
        <f>SUM(D49,F49,H49)*K49</f>
        <v>0</v>
      </c>
      <c r="P49" s="4677">
        <f>(D49*L49+F49*M49+H49*N49)*K49</f>
        <v>0</v>
      </c>
      <c r="Q49" s="4695"/>
      <c r="R49" s="4680" t="s">
        <v>5739</v>
      </c>
      <c r="S49" s="4695"/>
      <c r="T49" s="4700"/>
      <c r="U49" s="4692"/>
      <c r="V49" s="4680" t="s">
        <v>4521</v>
      </c>
      <c r="W49" s="4695"/>
      <c r="X49" s="4692"/>
      <c r="Y49" s="4692"/>
      <c r="Z49" s="4683" t="s">
        <v>5035</v>
      </c>
      <c r="AA49" s="4692"/>
      <c r="AB49" s="4683" t="s">
        <v>5050</v>
      </c>
      <c r="AC49" s="4692"/>
      <c r="AD49" s="4696"/>
      <c r="AE49" s="4685">
        <f>T49*K49</f>
        <v>0</v>
      </c>
      <c r="AF49" s="7088">
        <f>AE48*SUM(F48,H48,J48)*AF$6</f>
        <v>0</v>
      </c>
      <c r="AG49" s="7088">
        <f>AE48*SUM(F48,H48,J48)*AG$6</f>
        <v>0</v>
      </c>
    </row>
    <row r="50" spans="1:33" ht="33.75" customHeight="1" thickTop="1" thickBot="1">
      <c r="A50" s="4840"/>
      <c r="B50" s="4841"/>
      <c r="C50" s="4841"/>
      <c r="D50" s="4841"/>
      <c r="E50" s="4841"/>
      <c r="F50" s="4842"/>
      <c r="G50" s="4843"/>
      <c r="H50" s="4841"/>
      <c r="I50" s="4844" t="s">
        <v>2432</v>
      </c>
      <c r="J50" s="4845">
        <f>SUM(J35:J49)</f>
        <v>245</v>
      </c>
      <c r="K50" s="4846">
        <f>SUM(K35:K49)</f>
        <v>245</v>
      </c>
      <c r="L50" s="4843"/>
      <c r="M50" s="4843"/>
      <c r="N50" s="4843"/>
      <c r="O50" s="4845">
        <f>SUM(O35:O49)</f>
        <v>4410</v>
      </c>
      <c r="P50" s="4845">
        <f>SUM(P35:P49)</f>
        <v>301554000</v>
      </c>
      <c r="Q50" s="6901"/>
      <c r="R50" s="6901"/>
      <c r="S50" s="6901"/>
      <c r="T50" s="4847"/>
      <c r="U50" s="6902"/>
      <c r="V50" s="6901"/>
      <c r="W50" s="6901"/>
      <c r="X50" s="4847"/>
      <c r="Y50" s="4847"/>
      <c r="Z50" s="6903"/>
      <c r="AA50" s="6904"/>
      <c r="AB50" s="6903"/>
      <c r="AC50" s="6904"/>
      <c r="AD50" s="4848"/>
      <c r="AE50" s="4685">
        <f>SUM(AE35:AE49)</f>
        <v>360</v>
      </c>
      <c r="AF50" s="7088">
        <f>SUM(AF35:AF49)</f>
        <v>0</v>
      </c>
      <c r="AG50" s="7088">
        <f>SUM(AG35:AG49)</f>
        <v>0</v>
      </c>
    </row>
    <row r="51" spans="1:33" ht="32.15" customHeight="1" thickBot="1">
      <c r="C51" s="4710"/>
      <c r="D51" s="4710"/>
      <c r="E51" s="4710"/>
      <c r="F51" s="4710"/>
      <c r="G51" s="4710"/>
      <c r="H51" s="4710"/>
      <c r="I51" s="4711"/>
      <c r="J51" s="4712"/>
      <c r="K51" s="4710"/>
      <c r="L51" s="4712"/>
      <c r="M51" s="4712"/>
      <c r="N51" s="4715"/>
      <c r="O51" s="4715"/>
      <c r="R51" s="4656"/>
      <c r="V51" s="4656"/>
      <c r="AE51" s="4849"/>
      <c r="AF51" s="7089" t="s">
        <v>127</v>
      </c>
      <c r="AG51" s="7090">
        <f>SUM(AF50,AG50)</f>
        <v>0</v>
      </c>
    </row>
    <row r="52" spans="1:33" ht="33.75" customHeight="1">
      <c r="A52" s="6845" t="s">
        <v>5749</v>
      </c>
      <c r="B52" s="7120"/>
      <c r="C52" s="4716">
        <f>O50</f>
        <v>4410</v>
      </c>
      <c r="D52" s="4717"/>
      <c r="F52" s="4718"/>
      <c r="G52" s="4850"/>
      <c r="H52" s="4719"/>
      <c r="I52" s="4720"/>
      <c r="L52" s="4656"/>
      <c r="M52" s="4656"/>
      <c r="O52" s="4656"/>
      <c r="AE52" s="4851"/>
    </row>
    <row r="53" spans="1:33" ht="33.75" customHeight="1">
      <c r="A53" s="6991" t="s">
        <v>5883</v>
      </c>
      <c r="B53" s="6992"/>
      <c r="C53" s="4723">
        <f>P50</f>
        <v>301554000</v>
      </c>
      <c r="D53" s="4717"/>
      <c r="F53" s="4724"/>
      <c r="G53" s="4852"/>
      <c r="H53" s="4719"/>
      <c r="I53" s="4720"/>
      <c r="O53" s="4656"/>
      <c r="AE53" s="4851"/>
    </row>
    <row r="54" spans="1:33" ht="33.75" customHeight="1" thickBot="1">
      <c r="A54" s="6913" t="s">
        <v>5751</v>
      </c>
      <c r="B54" s="6914"/>
      <c r="C54" s="4987">
        <f>ROUNDDOWN(C53*1.1,0)</f>
        <v>331709400</v>
      </c>
      <c r="D54" s="4940"/>
      <c r="E54" s="4941"/>
      <c r="F54" s="4942"/>
      <c r="G54" s="4943"/>
      <c r="H54" s="4940"/>
      <c r="I54" s="4944"/>
      <c r="J54" s="4943"/>
      <c r="K54" s="4861"/>
      <c r="L54" s="4861"/>
      <c r="M54" s="4861"/>
      <c r="N54" s="4861"/>
      <c r="O54" s="4943"/>
      <c r="P54" s="4943"/>
      <c r="Q54" s="4941"/>
      <c r="R54" s="4941"/>
      <c r="S54" s="4941"/>
      <c r="T54" s="4941"/>
      <c r="U54" s="4941"/>
      <c r="V54" s="4941"/>
      <c r="W54" s="4941"/>
      <c r="X54" s="4941"/>
      <c r="Y54" s="4941"/>
      <c r="Z54" s="4941"/>
      <c r="AA54" s="4941"/>
      <c r="AB54" s="4941"/>
      <c r="AC54" s="4941"/>
      <c r="AD54" s="4941"/>
      <c r="AE54" s="4941"/>
    </row>
    <row r="55" spans="1:33" ht="32.15" customHeight="1" thickBot="1">
      <c r="A55" s="6920" t="s">
        <v>6158</v>
      </c>
      <c r="B55" s="6921"/>
      <c r="C55" s="4823">
        <f>AG51</f>
        <v>0</v>
      </c>
      <c r="D55" s="4726"/>
      <c r="E55" s="4726"/>
      <c r="F55" s="4726"/>
      <c r="G55" s="4726"/>
      <c r="H55" s="4726"/>
      <c r="I55" s="4727"/>
      <c r="N55" s="4656"/>
      <c r="O55" s="4657"/>
      <c r="P55" s="4657"/>
    </row>
    <row r="56" spans="1:33" ht="32.15" customHeight="1" thickBot="1">
      <c r="A56" s="6920" t="s">
        <v>7047</v>
      </c>
      <c r="B56" s="6921"/>
      <c r="C56" s="4823">
        <f>C54+C55</f>
        <v>331709400</v>
      </c>
      <c r="D56" s="4726"/>
      <c r="E56" s="4726"/>
      <c r="F56" s="4726"/>
      <c r="G56" s="4726"/>
      <c r="H56" s="4726"/>
      <c r="I56" s="4727"/>
      <c r="N56" s="4656"/>
      <c r="O56" s="4657"/>
      <c r="P56" s="4657"/>
    </row>
    <row r="57" spans="1:33" ht="33.75" customHeight="1">
      <c r="A57" s="4729"/>
      <c r="B57" s="4729"/>
      <c r="C57" s="4729"/>
      <c r="D57" s="4729"/>
      <c r="E57" s="4729"/>
      <c r="F57" s="4729"/>
      <c r="G57" s="4726"/>
      <c r="H57" s="4729"/>
      <c r="I57" s="4720"/>
      <c r="O57" s="4656"/>
    </row>
    <row r="58" spans="1:33" ht="33.75" customHeight="1">
      <c r="A58" s="4728" t="s">
        <v>5752</v>
      </c>
      <c r="B58" s="4728"/>
      <c r="C58" s="4729"/>
      <c r="D58" s="4729"/>
      <c r="E58" s="4729"/>
      <c r="F58" s="4729"/>
      <c r="G58" s="4726"/>
      <c r="H58" s="4729"/>
      <c r="I58" s="4720"/>
      <c r="O58" s="4656"/>
    </row>
    <row r="59" spans="1:33" ht="36" customHeight="1">
      <c r="A59" s="4728" t="s">
        <v>5753</v>
      </c>
      <c r="B59" s="4728"/>
    </row>
    <row r="60" spans="1:33" ht="36" customHeight="1">
      <c r="A60" s="4730" t="s">
        <v>5754</v>
      </c>
      <c r="B60" s="4730"/>
    </row>
    <row r="61" spans="1:33" ht="36" customHeight="1">
      <c r="A61" s="4728"/>
      <c r="B61" s="4728"/>
    </row>
    <row r="62" spans="1:33" ht="36" customHeight="1"/>
    <row r="63" spans="1:33" ht="36" customHeight="1"/>
    <row r="64" spans="1:33" ht="36" customHeight="1"/>
    <row r="65" ht="36" customHeight="1"/>
    <row r="66" ht="36" customHeight="1"/>
    <row r="67" ht="36" customHeight="1"/>
    <row r="68" ht="36" customHeight="1"/>
    <row r="69" ht="10.4" customHeight="1"/>
  </sheetData>
  <mergeCells count="66">
    <mergeCell ref="A55:B55"/>
    <mergeCell ref="A56:B56"/>
    <mergeCell ref="A28:B28"/>
    <mergeCell ref="A29:B29"/>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N5:N6"/>
    <mergeCell ref="O5:P5"/>
    <mergeCell ref="Q5:S6"/>
    <mergeCell ref="T5:T6"/>
    <mergeCell ref="U5:W6"/>
    <mergeCell ref="Y5:Y6"/>
    <mergeCell ref="Z5:AC6"/>
    <mergeCell ref="AD5:AD6"/>
    <mergeCell ref="AE5:AE6"/>
    <mergeCell ref="Q23:S23"/>
    <mergeCell ref="U23:W23"/>
    <mergeCell ref="Z23:AA23"/>
    <mergeCell ref="AB23:AC23"/>
    <mergeCell ref="X5:X6"/>
    <mergeCell ref="I32:I33"/>
    <mergeCell ref="A25:B25"/>
    <mergeCell ref="A26:B26"/>
    <mergeCell ref="A27:B27"/>
    <mergeCell ref="A32:A33"/>
    <mergeCell ref="B32:B33"/>
    <mergeCell ref="C32:C33"/>
    <mergeCell ref="D32:D33"/>
    <mergeCell ref="E32:E33"/>
    <mergeCell ref="F32:F33"/>
    <mergeCell ref="G32:G33"/>
    <mergeCell ref="H32:H33"/>
    <mergeCell ref="K32:K33"/>
    <mergeCell ref="L32:L33"/>
    <mergeCell ref="M32:M33"/>
    <mergeCell ref="N32:N33"/>
    <mergeCell ref="O32:P32"/>
    <mergeCell ref="A52:B52"/>
    <mergeCell ref="A53:B53"/>
    <mergeCell ref="A54:B54"/>
    <mergeCell ref="AD32:AD33"/>
    <mergeCell ref="AE32:AE33"/>
    <mergeCell ref="Q50:S50"/>
    <mergeCell ref="U50:W50"/>
    <mergeCell ref="Z50:AA50"/>
    <mergeCell ref="AB50:AC50"/>
    <mergeCell ref="Q32:S33"/>
    <mergeCell ref="T32:T33"/>
    <mergeCell ref="U32:W33"/>
    <mergeCell ref="X32:X33"/>
    <mergeCell ref="Y32:Y33"/>
    <mergeCell ref="Z32:AC33"/>
    <mergeCell ref="J32:J33"/>
  </mergeCells>
  <phoneticPr fontId="2"/>
  <conditionalFormatting sqref="B18:C22 E45:E49 H7:N7 E18:N22 J8:N17 H34:N49">
    <cfRule type="containsBlanks" dxfId="796" priority="20">
      <formula>LEN(TRIM(B7))=0</formula>
    </cfRule>
  </conditionalFormatting>
  <conditionalFormatting sqref="B45:C49">
    <cfRule type="containsBlanks" dxfId="795" priority="12">
      <formula>LEN(TRIM(B45))=0</formula>
    </cfRule>
  </conditionalFormatting>
  <conditionalFormatting sqref="C2:D2">
    <cfRule type="containsBlanks" dxfId="794" priority="13">
      <formula>LEN(TRIM(C2))=0</formula>
    </cfRule>
  </conditionalFormatting>
  <conditionalFormatting sqref="D7 D18:D22">
    <cfRule type="containsBlanks" dxfId="793" priority="19">
      <formula>LEN(TRIM(D7))=0</formula>
    </cfRule>
  </conditionalFormatting>
  <conditionalFormatting sqref="D34 D45:D49">
    <cfRule type="containsBlanks" dxfId="792" priority="18">
      <formula>LEN(TRIM(D34))=0</formula>
    </cfRule>
  </conditionalFormatting>
  <conditionalFormatting sqref="F7">
    <cfRule type="containsBlanks" dxfId="791" priority="15">
      <formula>LEN(TRIM(F7))=0</formula>
    </cfRule>
  </conditionalFormatting>
  <conditionalFormatting sqref="F34 F45:F49">
    <cfRule type="containsBlanks" dxfId="790" priority="17">
      <formula>LEN(TRIM(F34))=0</formula>
    </cfRule>
  </conditionalFormatting>
  <conditionalFormatting sqref="G45:G49">
    <cfRule type="containsBlanks" dxfId="789" priority="14">
      <formula>LEN(TRIM(G45))=0</formula>
    </cfRule>
  </conditionalFormatting>
  <conditionalFormatting sqref="P7:Q22">
    <cfRule type="containsBlanks" dxfId="788" priority="27">
      <formula>LEN(TRIM(P7))=0</formula>
    </cfRule>
  </conditionalFormatting>
  <conditionalFormatting sqref="P34:Q49">
    <cfRule type="containsBlanks" dxfId="787" priority="16">
      <formula>LEN(TRIM(P34))=0</formula>
    </cfRule>
  </conditionalFormatting>
  <conditionalFormatting sqref="S7:U22">
    <cfRule type="containsBlanks" dxfId="786" priority="25">
      <formula>LEN(TRIM(S7))=0</formula>
    </cfRule>
  </conditionalFormatting>
  <conditionalFormatting sqref="S34:U49">
    <cfRule type="containsBlanks" dxfId="785" priority="23">
      <formula>LEN(TRIM(S34))=0</formula>
    </cfRule>
  </conditionalFormatting>
  <conditionalFormatting sqref="W7:Y22">
    <cfRule type="containsBlanks" dxfId="784" priority="24">
      <formula>LEN(TRIM(W7))=0</formula>
    </cfRule>
  </conditionalFormatting>
  <conditionalFormatting sqref="W34:Y49">
    <cfRule type="containsBlanks" dxfId="783" priority="22">
      <formula>LEN(TRIM(W34))=0</formula>
    </cfRule>
  </conditionalFormatting>
  <conditionalFormatting sqref="AA7:AA22 AC7:AD22">
    <cfRule type="containsBlanks" dxfId="782" priority="26">
      <formula>LEN(TRIM(AA7))=0</formula>
    </cfRule>
  </conditionalFormatting>
  <conditionalFormatting sqref="AA34:AA49">
    <cfRule type="containsBlanks" dxfId="781" priority="21">
      <formula>LEN(TRIM(AA34))=0</formula>
    </cfRule>
  </conditionalFormatting>
  <conditionalFormatting sqref="AC34:AD49">
    <cfRule type="containsBlanks" dxfId="780" priority="11">
      <formula>LEN(TRIM(AC34))=0</formula>
    </cfRule>
  </conditionalFormatting>
  <conditionalFormatting sqref="B8:C17 E8:G17">
    <cfRule type="containsBlanks" dxfId="779" priority="8">
      <formula>LEN(TRIM(B8))=0</formula>
    </cfRule>
  </conditionalFormatting>
  <conditionalFormatting sqref="D8:D17">
    <cfRule type="containsBlanks" dxfId="778" priority="7">
      <formula>LEN(TRIM(D8))=0</formula>
    </cfRule>
  </conditionalFormatting>
  <conditionalFormatting sqref="H8:I17">
    <cfRule type="containsBlanks" dxfId="777" priority="6">
      <formula>LEN(TRIM(H8))=0</formula>
    </cfRule>
  </conditionalFormatting>
  <conditionalFormatting sqref="E35:E44">
    <cfRule type="containsBlanks" dxfId="776" priority="5">
      <formula>LEN(TRIM(E35))=0</formula>
    </cfRule>
  </conditionalFormatting>
  <conditionalFormatting sqref="B35:C44">
    <cfRule type="containsBlanks" dxfId="775" priority="1">
      <formula>LEN(TRIM(B35))=0</formula>
    </cfRule>
  </conditionalFormatting>
  <conditionalFormatting sqref="D35:D44">
    <cfRule type="containsBlanks" dxfId="774" priority="4">
      <formula>LEN(TRIM(D35))=0</formula>
    </cfRule>
  </conditionalFormatting>
  <conditionalFormatting sqref="F35:F44">
    <cfRule type="containsBlanks" dxfId="773" priority="3">
      <formula>LEN(TRIM(F35))=0</formula>
    </cfRule>
  </conditionalFormatting>
  <conditionalFormatting sqref="G35:G44">
    <cfRule type="containsBlanks" dxfId="772" priority="2">
      <formula>LEN(TRIM(G35))=0</formula>
    </cfRule>
  </conditionalFormatting>
  <printOptions horizontalCentered="1"/>
  <pageMargins left="0.39370078740157483" right="0.39370078740157483" top="0.55118110236220474" bottom="0.55118110236220474" header="0.31496062992125984" footer="0.31496062992125984"/>
  <pageSetup paperSize="8" scale="40" orientation="landscape" r:id="rId1"/>
  <headerFooter>
    <oddHeader>&amp;R&amp;G</oddHeader>
  </headerFooter>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F32B-3B0E-4661-AB98-9BA7D61EE410}">
  <sheetPr codeName="Sheet325">
    <tabColor rgb="FFFFFF66"/>
    <pageSetUpPr fitToPage="1"/>
  </sheetPr>
  <dimension ref="A1:AE52"/>
  <sheetViews>
    <sheetView view="pageBreakPreview" topLeftCell="A20" zoomScale="55" zoomScaleNormal="55" zoomScaleSheetLayoutView="55" workbookViewId="0">
      <selection activeCell="N2" sqref="N2"/>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'[9]別紙1-1）客室提供条件'!C2</f>
        <v>ANAクラウンプラザグランコート名古屋</v>
      </c>
      <c r="D2" s="6876"/>
      <c r="E2" s="6876"/>
      <c r="F2" s="6876"/>
      <c r="G2" s="6876"/>
      <c r="H2" s="4661" t="s">
        <v>5709</v>
      </c>
      <c r="I2" s="4732"/>
      <c r="J2" s="4733"/>
      <c r="K2" s="4733"/>
      <c r="N2" s="7104">
        <f>SUM(N8)</f>
        <v>5210650</v>
      </c>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5931</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46281</v>
      </c>
      <c r="C8" s="4816">
        <v>46300</v>
      </c>
      <c r="D8" s="4759">
        <v>0</v>
      </c>
      <c r="E8" s="4759">
        <v>0.99930555555555556</v>
      </c>
      <c r="F8" s="4760">
        <f t="shared" ref="F8:F17" si="1">IF(OR(ISBLANK($B8), ISBLANK($C8)), 0, _xlfn.DAYS($C8, $B8) + 1)</f>
        <v>20</v>
      </c>
      <c r="G8" s="4761" t="s">
        <v>5932</v>
      </c>
      <c r="H8" s="4762">
        <v>5</v>
      </c>
      <c r="I8" s="4763" t="s">
        <v>5781</v>
      </c>
      <c r="J8" s="5001">
        <v>12.7</v>
      </c>
      <c r="K8" s="5002">
        <v>32.4</v>
      </c>
      <c r="L8" s="4765">
        <v>493</v>
      </c>
      <c r="M8" s="5002">
        <v>6.4</v>
      </c>
      <c r="N8" s="4762">
        <v>5210650</v>
      </c>
      <c r="O8" s="4766">
        <f>F8*N8</f>
        <v>104213000</v>
      </c>
      <c r="P8" s="4857" t="s">
        <v>2161</v>
      </c>
      <c r="Q8" s="4858">
        <v>3</v>
      </c>
      <c r="R8" s="5003" t="s">
        <v>2161</v>
      </c>
      <c r="S8" s="4858" t="s">
        <v>246</v>
      </c>
      <c r="T8" s="4859" t="s">
        <v>2161</v>
      </c>
      <c r="U8" s="4860">
        <v>300000</v>
      </c>
    </row>
    <row r="9" spans="1:31" ht="33.75" customHeight="1">
      <c r="A9" s="4758">
        <v>2</v>
      </c>
      <c r="B9" s="4816">
        <v>46281</v>
      </c>
      <c r="C9" s="4816">
        <v>46300</v>
      </c>
      <c r="D9" s="4759">
        <v>0</v>
      </c>
      <c r="E9" s="4759">
        <v>0.99930555555555556</v>
      </c>
      <c r="F9" s="4760">
        <f t="shared" si="1"/>
        <v>20</v>
      </c>
      <c r="G9" s="4761" t="s">
        <v>5933</v>
      </c>
      <c r="H9" s="4762">
        <v>5</v>
      </c>
      <c r="I9" s="4763" t="s">
        <v>5781</v>
      </c>
      <c r="J9" s="5001">
        <v>5.9</v>
      </c>
      <c r="K9" s="5002">
        <v>9.1</v>
      </c>
      <c r="L9" s="4765">
        <v>59</v>
      </c>
      <c r="M9" s="5002">
        <v>2.9</v>
      </c>
      <c r="N9" s="4762" t="s">
        <v>246</v>
      </c>
      <c r="O9" s="4766" t="s">
        <v>246</v>
      </c>
      <c r="P9" s="4857" t="s">
        <v>3804</v>
      </c>
      <c r="Q9" s="4858">
        <v>1</v>
      </c>
      <c r="R9" s="5003" t="s">
        <v>2161</v>
      </c>
      <c r="S9" s="4858" t="s">
        <v>246</v>
      </c>
      <c r="T9" s="4859" t="s">
        <v>2161</v>
      </c>
      <c r="U9" s="4860" t="s">
        <v>246</v>
      </c>
      <c r="AC9" s="4657"/>
    </row>
    <row r="10" spans="1:31" ht="33.75" customHeight="1">
      <c r="A10" s="4758">
        <v>3</v>
      </c>
      <c r="B10" s="4816">
        <v>46281</v>
      </c>
      <c r="C10" s="4816">
        <v>46300</v>
      </c>
      <c r="D10" s="4759">
        <v>0</v>
      </c>
      <c r="E10" s="4759">
        <v>0.999305555555556</v>
      </c>
      <c r="F10" s="4770">
        <f t="shared" si="1"/>
        <v>20</v>
      </c>
      <c r="G10" s="4761" t="s">
        <v>5934</v>
      </c>
      <c r="H10" s="4762">
        <v>5</v>
      </c>
      <c r="I10" s="4763" t="s">
        <v>5781</v>
      </c>
      <c r="J10" s="5001">
        <v>4.0999999999999996</v>
      </c>
      <c r="K10" s="5002">
        <v>8.5</v>
      </c>
      <c r="L10" s="4765">
        <v>48</v>
      </c>
      <c r="M10" s="5002">
        <v>2.9</v>
      </c>
      <c r="N10" s="4762" t="s">
        <v>246</v>
      </c>
      <c r="O10" s="4766" t="s">
        <v>246</v>
      </c>
      <c r="P10" s="4857" t="s">
        <v>2161</v>
      </c>
      <c r="Q10" s="4858">
        <v>2</v>
      </c>
      <c r="R10" s="5003" t="s">
        <v>2161</v>
      </c>
      <c r="S10" s="4858" t="s">
        <v>246</v>
      </c>
      <c r="T10" s="4859" t="s">
        <v>2161</v>
      </c>
      <c r="U10" s="4860" t="s">
        <v>246</v>
      </c>
      <c r="AC10" s="4657"/>
    </row>
    <row r="11" spans="1:31" ht="33.75" customHeight="1">
      <c r="A11" s="4758">
        <v>4</v>
      </c>
      <c r="B11" s="4816">
        <v>46281</v>
      </c>
      <c r="C11" s="4816">
        <v>46300</v>
      </c>
      <c r="D11" s="4759">
        <v>0</v>
      </c>
      <c r="E11" s="4759">
        <v>0.999305555555556</v>
      </c>
      <c r="F11" s="4760">
        <f t="shared" si="1"/>
        <v>20</v>
      </c>
      <c r="G11" s="4771" t="s">
        <v>5935</v>
      </c>
      <c r="H11" s="4762">
        <v>5</v>
      </c>
      <c r="I11" s="4763" t="s">
        <v>5190</v>
      </c>
      <c r="J11" s="5001">
        <v>4.0999999999999996</v>
      </c>
      <c r="K11" s="5002">
        <v>9.1</v>
      </c>
      <c r="L11" s="4765">
        <v>52</v>
      </c>
      <c r="M11" s="5002">
        <v>2.9</v>
      </c>
      <c r="N11" s="4762" t="s">
        <v>246</v>
      </c>
      <c r="O11" s="4766" t="s">
        <v>246</v>
      </c>
      <c r="P11" s="4857" t="s">
        <v>2161</v>
      </c>
      <c r="Q11" s="4858">
        <v>2</v>
      </c>
      <c r="R11" s="5003" t="s">
        <v>2161</v>
      </c>
      <c r="S11" s="4858" t="s">
        <v>246</v>
      </c>
      <c r="T11" s="4859" t="s">
        <v>2161</v>
      </c>
      <c r="U11" s="4860" t="s">
        <v>246</v>
      </c>
      <c r="AC11" s="4657"/>
    </row>
    <row r="12" spans="1:31" ht="33.75" customHeight="1">
      <c r="A12" s="4758">
        <v>5</v>
      </c>
      <c r="B12" s="5004">
        <v>46281</v>
      </c>
      <c r="C12" s="5004">
        <v>46301</v>
      </c>
      <c r="D12" s="4759"/>
      <c r="E12" s="4759"/>
      <c r="F12" s="5005">
        <f t="shared" si="1"/>
        <v>21</v>
      </c>
      <c r="G12" s="5006" t="s">
        <v>5936</v>
      </c>
      <c r="H12" s="5007" t="s">
        <v>5844</v>
      </c>
      <c r="I12" s="5008" t="s">
        <v>5784</v>
      </c>
      <c r="J12" s="4764"/>
      <c r="K12" s="4765"/>
      <c r="L12" s="4765"/>
      <c r="M12" s="4765"/>
      <c r="N12" s="4762"/>
      <c r="O12" s="4766">
        <v>2520000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29"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29" ht="33.75" customHeight="1" thickTop="1" thickBot="1">
      <c r="A18" s="4778" t="s">
        <v>5845</v>
      </c>
      <c r="B18" s="4779"/>
      <c r="C18" s="4779"/>
      <c r="D18" s="4779"/>
      <c r="E18" s="4779"/>
      <c r="F18" s="4780">
        <f>SUM(F8:F17)</f>
        <v>101</v>
      </c>
      <c r="G18" s="4779"/>
      <c r="H18" s="4781"/>
      <c r="I18" s="4782">
        <f>COUNTA(G8)</f>
        <v>1</v>
      </c>
      <c r="J18" s="4783"/>
      <c r="K18" s="4784"/>
      <c r="L18" s="4784"/>
      <c r="M18" s="4784"/>
      <c r="N18" s="4785"/>
      <c r="O18" s="4922">
        <f>SUM(O8:O17)</f>
        <v>106733000</v>
      </c>
      <c r="P18" s="4787"/>
      <c r="Q18" s="4787"/>
      <c r="R18" s="4788"/>
      <c r="S18" s="4789"/>
      <c r="T18" s="4788"/>
      <c r="U18" s="4790"/>
      <c r="AC18" s="4657"/>
    </row>
    <row r="19" spans="1:29" ht="33.75" customHeight="1" thickBot="1">
      <c r="A19" s="4876" t="s">
        <v>5792</v>
      </c>
      <c r="B19" s="4877"/>
      <c r="C19" s="4878"/>
      <c r="D19" s="4878"/>
      <c r="E19" s="4878"/>
      <c r="F19" s="4879"/>
      <c r="G19" s="4878"/>
      <c r="H19" s="4880"/>
      <c r="I19" s="4878"/>
      <c r="J19" s="4881"/>
      <c r="K19" s="4881"/>
      <c r="L19" s="4881"/>
      <c r="M19" s="4881"/>
      <c r="N19" s="4882"/>
      <c r="O19" s="4923">
        <f>O18*1.1</f>
        <v>117406300.00000001</v>
      </c>
      <c r="P19" s="4884"/>
      <c r="Q19" s="4885"/>
      <c r="R19" s="4886"/>
      <c r="S19" s="4887"/>
      <c r="T19" s="4886"/>
      <c r="U19" s="4888"/>
      <c r="AC19" s="4657"/>
    </row>
    <row r="20" spans="1:29" ht="33.75" customHeight="1">
      <c r="A20" s="4656"/>
      <c r="B20" s="4660"/>
      <c r="C20" s="4660"/>
      <c r="D20" s="4660"/>
      <c r="G20" s="4660"/>
      <c r="H20" s="4660"/>
      <c r="M20" s="4808" t="s">
        <v>5748</v>
      </c>
      <c r="N20" s="4809">
        <f>SUM(N8)</f>
        <v>5210650</v>
      </c>
      <c r="O20" s="4656"/>
      <c r="P20" s="4657"/>
      <c r="Q20" s="4657"/>
      <c r="U20" s="4660" t="s">
        <v>5937</v>
      </c>
      <c r="AC20" s="4657"/>
    </row>
    <row r="21" spans="1:29" ht="33.75" customHeight="1">
      <c r="A21" s="4656"/>
      <c r="B21" s="4660"/>
      <c r="C21" s="4660"/>
      <c r="D21" s="4660"/>
      <c r="G21" s="4660"/>
      <c r="H21" s="4660"/>
      <c r="M21" s="4808" t="s">
        <v>5750</v>
      </c>
      <c r="N21" s="4809">
        <f>N20*1.1</f>
        <v>5731715</v>
      </c>
      <c r="O21" s="4656"/>
      <c r="P21" s="4657"/>
      <c r="Q21" s="4657"/>
      <c r="U21" s="4660"/>
      <c r="AC21" s="4657"/>
    </row>
    <row r="22" spans="1:29" ht="33.75" customHeight="1">
      <c r="A22" s="4656"/>
      <c r="B22" s="4660"/>
      <c r="C22" s="4660"/>
      <c r="D22" s="4660"/>
      <c r="G22" s="4660"/>
      <c r="H22" s="4660"/>
      <c r="O22" s="4656"/>
      <c r="P22" s="4657"/>
      <c r="Q22" s="4657"/>
      <c r="U22" s="4660"/>
      <c r="AC22" s="4657"/>
    </row>
    <row r="23" spans="1:29" ht="33.75" customHeight="1" thickBot="1">
      <c r="A23" s="4737" t="s">
        <v>5836</v>
      </c>
      <c r="B23" s="4657"/>
      <c r="C23" s="4657"/>
      <c r="D23" s="4657"/>
      <c r="G23" s="4657"/>
      <c r="H23" s="4657"/>
      <c r="O23" s="4656"/>
      <c r="P23" s="4656"/>
      <c r="Q23" s="4657"/>
      <c r="AC23" s="4657"/>
    </row>
    <row r="24" spans="1:29" s="4738" customFormat="1" ht="33.75" customHeight="1">
      <c r="A24" s="6893" t="s">
        <v>5713</v>
      </c>
      <c r="B24" s="6882" t="s">
        <v>5757</v>
      </c>
      <c r="C24" s="6882" t="s">
        <v>5758</v>
      </c>
      <c r="D24" s="6882" t="s">
        <v>5759</v>
      </c>
      <c r="E24" s="6882" t="s">
        <v>5760</v>
      </c>
      <c r="F24" s="6895" t="s">
        <v>5761</v>
      </c>
      <c r="G24" s="6882" t="s">
        <v>5762</v>
      </c>
      <c r="H24" s="6897" t="s">
        <v>5763</v>
      </c>
      <c r="I24" s="6882" t="s">
        <v>5764</v>
      </c>
      <c r="J24" s="6895" t="s">
        <v>5765</v>
      </c>
      <c r="K24" s="6888" t="s">
        <v>5766</v>
      </c>
      <c r="L24" s="6888" t="s">
        <v>5767</v>
      </c>
      <c r="M24" s="6888" t="s">
        <v>5768</v>
      </c>
      <c r="N24" s="6882" t="s">
        <v>5811</v>
      </c>
      <c r="O24" s="6884" t="s">
        <v>5812</v>
      </c>
      <c r="P24" s="6886" t="s">
        <v>5771</v>
      </c>
      <c r="Q24" s="6887"/>
      <c r="R24" s="6888" t="s">
        <v>5931</v>
      </c>
      <c r="S24" s="6889"/>
      <c r="T24" s="6889"/>
      <c r="U24" s="6890"/>
    </row>
    <row r="25" spans="1:29" s="4738" customFormat="1" ht="33.75" customHeight="1" thickBot="1">
      <c r="A25" s="6894"/>
      <c r="B25" s="6883"/>
      <c r="C25" s="6883"/>
      <c r="D25" s="6883"/>
      <c r="E25" s="6883"/>
      <c r="F25" s="6896"/>
      <c r="G25" s="6883"/>
      <c r="H25" s="6898"/>
      <c r="I25" s="6883"/>
      <c r="J25" s="6896"/>
      <c r="K25" s="6892"/>
      <c r="L25" s="6892"/>
      <c r="M25" s="6892"/>
      <c r="N25" s="6883"/>
      <c r="O25" s="6885"/>
      <c r="P25" s="4739" t="s">
        <v>5773</v>
      </c>
      <c r="Q25" s="4740" t="s">
        <v>5774</v>
      </c>
      <c r="R25" s="4740" t="s">
        <v>5775</v>
      </c>
      <c r="S25" s="4741" t="s">
        <v>5776</v>
      </c>
      <c r="T25" s="4740" t="s">
        <v>5777</v>
      </c>
      <c r="U25" s="4742" t="s">
        <v>5778</v>
      </c>
    </row>
    <row r="26" spans="1:29" s="4666" customFormat="1" ht="33.75" customHeight="1">
      <c r="A26" s="4743" t="s">
        <v>5779</v>
      </c>
      <c r="B26" s="4744">
        <v>46280</v>
      </c>
      <c r="C26" s="4744">
        <v>46300</v>
      </c>
      <c r="D26" s="4745">
        <v>0.3125</v>
      </c>
      <c r="E26" s="4746">
        <v>0.89583333333333337</v>
      </c>
      <c r="F26" s="4747">
        <f>IF(OR(ISBLANK($B26), ISBLANK($C26)), 0, _xlfn.DAYS($C26, $B26) + 1)</f>
        <v>21</v>
      </c>
      <c r="G26" s="4890" t="s">
        <v>5780</v>
      </c>
      <c r="H26" s="4891">
        <v>3</v>
      </c>
      <c r="I26" s="4892" t="s">
        <v>5781</v>
      </c>
      <c r="J26" s="4893">
        <v>30</v>
      </c>
      <c r="K26" s="4894">
        <v>100</v>
      </c>
      <c r="L26" s="4894">
        <f>J26*K26</f>
        <v>3000</v>
      </c>
      <c r="M26" s="4895">
        <v>5</v>
      </c>
      <c r="N26" s="4896">
        <v>150000</v>
      </c>
      <c r="O26" s="4754">
        <f t="shared" ref="O26:O36" si="2">F26*N26</f>
        <v>3150000</v>
      </c>
      <c r="P26" s="4897" t="s">
        <v>5782</v>
      </c>
      <c r="Q26" s="4898">
        <v>4</v>
      </c>
      <c r="R26" s="4898" t="s">
        <v>3804</v>
      </c>
      <c r="S26" s="4894" t="s">
        <v>246</v>
      </c>
      <c r="T26" s="4898" t="s">
        <v>2161</v>
      </c>
      <c r="U26" s="4899">
        <v>2000</v>
      </c>
    </row>
    <row r="27" spans="1:29" s="4666" customFormat="1" ht="33.75" customHeight="1">
      <c r="A27" s="4758">
        <v>1</v>
      </c>
      <c r="B27" s="4946">
        <v>46304</v>
      </c>
      <c r="C27" s="4946">
        <v>46321</v>
      </c>
      <c r="D27" s="4913">
        <v>0</v>
      </c>
      <c r="E27" s="4759">
        <v>0.99930555555555556</v>
      </c>
      <c r="F27" s="4760">
        <f t="shared" ref="F27:F34" si="3">IF(OR(ISBLANK($B27), ISBLANK($C27)), 0, _xlfn.DAYS($C27, $B27) + 1)</f>
        <v>18</v>
      </c>
      <c r="G27" s="4761" t="s">
        <v>5932</v>
      </c>
      <c r="H27" s="4762">
        <v>5</v>
      </c>
      <c r="I27" s="4763" t="s">
        <v>5190</v>
      </c>
      <c r="J27" s="5001">
        <v>12.7</v>
      </c>
      <c r="K27" s="5002">
        <v>32.4</v>
      </c>
      <c r="L27" s="4765">
        <v>493</v>
      </c>
      <c r="M27" s="5002">
        <v>6.4</v>
      </c>
      <c r="N27" s="4762">
        <v>8560353</v>
      </c>
      <c r="O27" s="4766">
        <f>F27*N27</f>
        <v>154086354</v>
      </c>
      <c r="P27" s="4857" t="s">
        <v>2161</v>
      </c>
      <c r="Q27" s="4858">
        <v>3</v>
      </c>
      <c r="R27" s="5003" t="s">
        <v>2161</v>
      </c>
      <c r="S27" s="4858" t="s">
        <v>246</v>
      </c>
      <c r="T27" s="4859" t="s">
        <v>2161</v>
      </c>
      <c r="U27" s="4860">
        <v>300000</v>
      </c>
    </row>
    <row r="28" spans="1:29" ht="33.75" customHeight="1">
      <c r="A28" s="4758">
        <v>2</v>
      </c>
      <c r="B28" s="4946">
        <v>46304</v>
      </c>
      <c r="C28" s="4946">
        <v>46321</v>
      </c>
      <c r="D28" s="4913">
        <v>0</v>
      </c>
      <c r="E28" s="4759">
        <v>0.99930555555555556</v>
      </c>
      <c r="F28" s="4760">
        <f t="shared" si="3"/>
        <v>18</v>
      </c>
      <c r="G28" s="4761" t="s">
        <v>5933</v>
      </c>
      <c r="H28" s="4762">
        <v>5</v>
      </c>
      <c r="I28" s="4763" t="s">
        <v>5190</v>
      </c>
      <c r="J28" s="5001">
        <v>5.9</v>
      </c>
      <c r="K28" s="5002">
        <v>9.1</v>
      </c>
      <c r="L28" s="4765">
        <v>59</v>
      </c>
      <c r="M28" s="5002">
        <v>2.9</v>
      </c>
      <c r="N28" s="4762" t="s">
        <v>246</v>
      </c>
      <c r="O28" s="4766" t="s">
        <v>246</v>
      </c>
      <c r="P28" s="4857" t="s">
        <v>3804</v>
      </c>
      <c r="Q28" s="4858">
        <v>1</v>
      </c>
      <c r="R28" s="5003" t="s">
        <v>2161</v>
      </c>
      <c r="S28" s="4858" t="s">
        <v>246</v>
      </c>
      <c r="T28" s="4859" t="s">
        <v>2161</v>
      </c>
      <c r="U28" s="4860" t="s">
        <v>246</v>
      </c>
      <c r="AC28" s="4657"/>
    </row>
    <row r="29" spans="1:29" ht="33.75" customHeight="1">
      <c r="A29" s="4758">
        <v>3</v>
      </c>
      <c r="B29" s="4946">
        <v>46304</v>
      </c>
      <c r="C29" s="4946">
        <v>46321</v>
      </c>
      <c r="D29" s="4913">
        <v>0</v>
      </c>
      <c r="E29" s="4759">
        <v>0.99930555555555556</v>
      </c>
      <c r="F29" s="4760">
        <f t="shared" si="3"/>
        <v>18</v>
      </c>
      <c r="G29" s="4761" t="s">
        <v>5934</v>
      </c>
      <c r="H29" s="4762">
        <v>5</v>
      </c>
      <c r="I29" s="4763" t="s">
        <v>5190</v>
      </c>
      <c r="J29" s="5001">
        <v>4.0999999999999996</v>
      </c>
      <c r="K29" s="5002">
        <v>8.5</v>
      </c>
      <c r="L29" s="4765">
        <v>48</v>
      </c>
      <c r="M29" s="5002">
        <v>2.9</v>
      </c>
      <c r="N29" s="4762" t="s">
        <v>246</v>
      </c>
      <c r="O29" s="4766" t="s">
        <v>246</v>
      </c>
      <c r="P29" s="4857" t="s">
        <v>2161</v>
      </c>
      <c r="Q29" s="4858">
        <v>2</v>
      </c>
      <c r="R29" s="5003" t="s">
        <v>2161</v>
      </c>
      <c r="S29" s="4858" t="s">
        <v>246</v>
      </c>
      <c r="T29" s="4859" t="s">
        <v>2161</v>
      </c>
      <c r="U29" s="4860" t="s">
        <v>246</v>
      </c>
      <c r="AC29" s="4657"/>
    </row>
    <row r="30" spans="1:29" ht="33.75" customHeight="1">
      <c r="A30" s="4758">
        <v>4</v>
      </c>
      <c r="B30" s="4946">
        <v>46304</v>
      </c>
      <c r="C30" s="4946">
        <v>46321</v>
      </c>
      <c r="D30" s="4913">
        <v>0</v>
      </c>
      <c r="E30" s="4759">
        <v>0.99930555555555556</v>
      </c>
      <c r="F30" s="4760">
        <f t="shared" si="3"/>
        <v>18</v>
      </c>
      <c r="G30" s="4771" t="s">
        <v>5935</v>
      </c>
      <c r="H30" s="4762">
        <v>5</v>
      </c>
      <c r="I30" s="4763" t="s">
        <v>5190</v>
      </c>
      <c r="J30" s="5001">
        <v>4.0999999999999996</v>
      </c>
      <c r="K30" s="5002">
        <v>9.1</v>
      </c>
      <c r="L30" s="4765">
        <v>52</v>
      </c>
      <c r="M30" s="5002">
        <v>2.9</v>
      </c>
      <c r="N30" s="4762" t="s">
        <v>246</v>
      </c>
      <c r="O30" s="4766" t="s">
        <v>246</v>
      </c>
      <c r="P30" s="4857" t="s">
        <v>2161</v>
      </c>
      <c r="Q30" s="4858">
        <v>2</v>
      </c>
      <c r="R30" s="5003" t="s">
        <v>2161</v>
      </c>
      <c r="S30" s="4858" t="s">
        <v>246</v>
      </c>
      <c r="T30" s="4859" t="s">
        <v>2161</v>
      </c>
      <c r="U30" s="4860" t="s">
        <v>246</v>
      </c>
      <c r="AC30" s="4657"/>
    </row>
    <row r="31" spans="1:29" ht="33.75" customHeight="1">
      <c r="A31" s="4758">
        <v>5</v>
      </c>
      <c r="B31" s="4946">
        <v>46322</v>
      </c>
      <c r="C31" s="4946">
        <v>46322</v>
      </c>
      <c r="D31" s="4913">
        <v>0</v>
      </c>
      <c r="E31" s="4759">
        <v>0.5</v>
      </c>
      <c r="F31" s="4760">
        <f t="shared" si="3"/>
        <v>1</v>
      </c>
      <c r="G31" s="4761" t="s">
        <v>5932</v>
      </c>
      <c r="H31" s="4762">
        <v>5</v>
      </c>
      <c r="I31" s="4763" t="s">
        <v>5190</v>
      </c>
      <c r="J31" s="5001">
        <v>12.7</v>
      </c>
      <c r="K31" s="5002">
        <v>32.4</v>
      </c>
      <c r="L31" s="4765">
        <v>493</v>
      </c>
      <c r="M31" s="5002">
        <v>6.4</v>
      </c>
      <c r="N31" s="4762">
        <v>4280177</v>
      </c>
      <c r="O31" s="4766">
        <f>F31*N31</f>
        <v>4280177</v>
      </c>
      <c r="P31" s="4857" t="s">
        <v>2161</v>
      </c>
      <c r="Q31" s="4858">
        <v>3</v>
      </c>
      <c r="R31" s="5003" t="s">
        <v>2161</v>
      </c>
      <c r="S31" s="4858" t="s">
        <v>246</v>
      </c>
      <c r="T31" s="4859" t="s">
        <v>2161</v>
      </c>
      <c r="U31" s="4860" t="s">
        <v>5938</v>
      </c>
      <c r="AC31" s="4657"/>
    </row>
    <row r="32" spans="1:29" ht="33.75" customHeight="1">
      <c r="A32" s="4758">
        <v>6</v>
      </c>
      <c r="B32" s="4946">
        <v>46322</v>
      </c>
      <c r="C32" s="4946">
        <v>46322</v>
      </c>
      <c r="D32" s="4913">
        <v>0</v>
      </c>
      <c r="E32" s="4759">
        <v>0.5</v>
      </c>
      <c r="F32" s="4760">
        <f t="shared" si="3"/>
        <v>1</v>
      </c>
      <c r="G32" s="4761" t="s">
        <v>5933</v>
      </c>
      <c r="H32" s="4762">
        <v>5</v>
      </c>
      <c r="I32" s="4763" t="s">
        <v>5190</v>
      </c>
      <c r="J32" s="5001">
        <v>5.9</v>
      </c>
      <c r="K32" s="5002">
        <v>9.1</v>
      </c>
      <c r="L32" s="4765">
        <v>59</v>
      </c>
      <c r="M32" s="5002">
        <v>2.9</v>
      </c>
      <c r="N32" s="4762" t="s">
        <v>246</v>
      </c>
      <c r="O32" s="4766" t="s">
        <v>246</v>
      </c>
      <c r="P32" s="4857" t="s">
        <v>3804</v>
      </c>
      <c r="Q32" s="4858">
        <v>1</v>
      </c>
      <c r="R32" s="5003" t="s">
        <v>2161</v>
      </c>
      <c r="S32" s="4858" t="s">
        <v>246</v>
      </c>
      <c r="T32" s="4859" t="s">
        <v>2161</v>
      </c>
      <c r="U32" s="4860" t="s">
        <v>246</v>
      </c>
      <c r="AC32" s="4657"/>
    </row>
    <row r="33" spans="1:31" ht="33.75" customHeight="1">
      <c r="A33" s="4758">
        <v>7</v>
      </c>
      <c r="B33" s="4946">
        <v>46322</v>
      </c>
      <c r="C33" s="4946">
        <v>46322</v>
      </c>
      <c r="D33" s="4913">
        <v>0</v>
      </c>
      <c r="E33" s="4759">
        <v>0.5</v>
      </c>
      <c r="F33" s="4760">
        <f t="shared" si="3"/>
        <v>1</v>
      </c>
      <c r="G33" s="4761" t="s">
        <v>5934</v>
      </c>
      <c r="H33" s="4762">
        <v>5</v>
      </c>
      <c r="I33" s="4763" t="s">
        <v>5190</v>
      </c>
      <c r="J33" s="5001">
        <v>4.0999999999999996</v>
      </c>
      <c r="K33" s="5002">
        <v>8.5</v>
      </c>
      <c r="L33" s="4765">
        <v>48</v>
      </c>
      <c r="M33" s="5002">
        <v>2.9</v>
      </c>
      <c r="N33" s="4762" t="s">
        <v>246</v>
      </c>
      <c r="O33" s="4766" t="s">
        <v>246</v>
      </c>
      <c r="P33" s="4857" t="s">
        <v>2161</v>
      </c>
      <c r="Q33" s="4858">
        <v>2</v>
      </c>
      <c r="R33" s="5003" t="s">
        <v>2161</v>
      </c>
      <c r="S33" s="4858" t="s">
        <v>246</v>
      </c>
      <c r="T33" s="4859" t="s">
        <v>2161</v>
      </c>
      <c r="U33" s="4860" t="s">
        <v>246</v>
      </c>
      <c r="AC33" s="4657"/>
    </row>
    <row r="34" spans="1:31" ht="33.75" customHeight="1">
      <c r="A34" s="4758">
        <v>8</v>
      </c>
      <c r="B34" s="4946">
        <v>46322</v>
      </c>
      <c r="C34" s="4946">
        <v>46322</v>
      </c>
      <c r="D34" s="4913">
        <v>0</v>
      </c>
      <c r="E34" s="4759">
        <v>0.5</v>
      </c>
      <c r="F34" s="4760">
        <f t="shared" si="3"/>
        <v>1</v>
      </c>
      <c r="G34" s="4771" t="s">
        <v>5935</v>
      </c>
      <c r="H34" s="4762">
        <v>5</v>
      </c>
      <c r="I34" s="4763" t="s">
        <v>5190</v>
      </c>
      <c r="J34" s="5001">
        <v>4.0999999999999996</v>
      </c>
      <c r="K34" s="5002">
        <v>9.1</v>
      </c>
      <c r="L34" s="4765">
        <v>52</v>
      </c>
      <c r="M34" s="5002">
        <v>2.9</v>
      </c>
      <c r="N34" s="4762" t="s">
        <v>246</v>
      </c>
      <c r="O34" s="4766" t="s">
        <v>246</v>
      </c>
      <c r="P34" s="4857" t="s">
        <v>2161</v>
      </c>
      <c r="Q34" s="4858">
        <v>2</v>
      </c>
      <c r="R34" s="5003" t="s">
        <v>2161</v>
      </c>
      <c r="S34" s="4858" t="s">
        <v>246</v>
      </c>
      <c r="T34" s="4859" t="s">
        <v>2161</v>
      </c>
      <c r="U34" s="4860" t="s">
        <v>246</v>
      </c>
      <c r="AC34" s="4657"/>
    </row>
    <row r="35" spans="1:31" ht="33.75" customHeight="1">
      <c r="A35" s="4758">
        <v>9</v>
      </c>
      <c r="B35" s="4950"/>
      <c r="C35" s="4950"/>
      <c r="D35" s="4951"/>
      <c r="E35" s="4759"/>
      <c r="F35" s="4760">
        <f t="shared" ref="F35:F36" si="4">IF(OR(ISBLANK($B35), ISBLANK($C35)), 0, _xlfn.DAYS($C35, $B35) + 1)</f>
        <v>0</v>
      </c>
      <c r="G35" s="4950"/>
      <c r="H35" s="4952"/>
      <c r="I35" s="4763"/>
      <c r="J35" s="4902"/>
      <c r="K35" s="4765"/>
      <c r="L35" s="4765"/>
      <c r="M35" s="4765"/>
      <c r="N35" s="4762"/>
      <c r="O35" s="4766">
        <f t="shared" si="2"/>
        <v>0</v>
      </c>
      <c r="P35" s="4857"/>
      <c r="Q35" s="4858"/>
      <c r="R35" s="4859"/>
      <c r="S35" s="4858"/>
      <c r="T35" s="4859"/>
      <c r="U35" s="4860"/>
      <c r="AC35" s="4657"/>
    </row>
    <row r="36" spans="1:31" ht="33.75" customHeight="1" thickBot="1">
      <c r="A36" s="4772">
        <v>10</v>
      </c>
      <c r="B36" s="4953"/>
      <c r="C36" s="4953"/>
      <c r="D36" s="4954"/>
      <c r="E36" s="4915"/>
      <c r="F36" s="4770">
        <f t="shared" si="4"/>
        <v>0</v>
      </c>
      <c r="G36" s="4953"/>
      <c r="H36" s="4955"/>
      <c r="I36" s="4774"/>
      <c r="J36" s="4902"/>
      <c r="K36" s="4765"/>
      <c r="L36" s="5009"/>
      <c r="M36" s="4765"/>
      <c r="N36" s="4775"/>
      <c r="O36" s="4776">
        <f t="shared" si="2"/>
        <v>0</v>
      </c>
      <c r="P36" s="4918"/>
      <c r="Q36" s="4919"/>
      <c r="R36" s="4920"/>
      <c r="S36" s="4919"/>
      <c r="T36" s="4920"/>
      <c r="U36" s="4921"/>
      <c r="AC36" s="4657"/>
    </row>
    <row r="37" spans="1:31" ht="33.75" customHeight="1" thickTop="1" thickBot="1">
      <c r="A37" s="4865" t="s">
        <v>5939</v>
      </c>
      <c r="B37" s="4866"/>
      <c r="C37" s="4866"/>
      <c r="D37" s="4866"/>
      <c r="E37" s="4866"/>
      <c r="F37" s="4867">
        <f>SUM(F27:F36)</f>
        <v>76</v>
      </c>
      <c r="G37" s="4866"/>
      <c r="H37" s="4868"/>
      <c r="I37" s="4782">
        <f>COUNTA(G27)</f>
        <v>1</v>
      </c>
      <c r="J37" s="4870"/>
      <c r="K37" s="4870"/>
      <c r="L37" s="4870"/>
      <c r="M37" s="4870"/>
      <c r="N37" s="4903"/>
      <c r="O37" s="4871">
        <f>SUM(O27:O36)</f>
        <v>158366531</v>
      </c>
      <c r="P37" s="4904"/>
      <c r="Q37" s="4904"/>
      <c r="R37" s="4905"/>
      <c r="S37" s="4906"/>
      <c r="T37" s="4905"/>
      <c r="U37" s="4907"/>
      <c r="AC37" s="4657"/>
    </row>
    <row r="38" spans="1:31" ht="33.75" customHeight="1" thickBot="1">
      <c r="A38" s="4876" t="s">
        <v>5792</v>
      </c>
      <c r="B38" s="4957"/>
      <c r="C38" s="4958"/>
      <c r="D38" s="4958"/>
      <c r="E38" s="4958"/>
      <c r="F38" s="4959"/>
      <c r="G38" s="4958"/>
      <c r="H38" s="4960"/>
      <c r="I38" s="4958"/>
      <c r="J38" s="4961"/>
      <c r="K38" s="4961"/>
      <c r="L38" s="4961"/>
      <c r="M38" s="4961"/>
      <c r="N38" s="4962"/>
      <c r="O38" s="5010">
        <f>O37*1.1</f>
        <v>174203184.10000002</v>
      </c>
      <c r="P38" s="4963"/>
      <c r="Q38" s="4963"/>
      <c r="R38" s="4964"/>
      <c r="S38" s="4965"/>
      <c r="T38" s="4964"/>
      <c r="U38" s="4966"/>
      <c r="V38" s="4941"/>
      <c r="W38" s="4941"/>
      <c r="X38" s="4941"/>
      <c r="Y38" s="4941"/>
      <c r="Z38" s="4941"/>
      <c r="AA38" s="4941"/>
      <c r="AB38" s="4941"/>
      <c r="AC38" s="4941"/>
      <c r="AD38" s="4941"/>
      <c r="AE38" s="4941"/>
    </row>
    <row r="39" spans="1:31" ht="32.15" customHeight="1">
      <c r="A39" s="4656"/>
      <c r="B39" s="4660"/>
      <c r="C39" s="4660"/>
      <c r="D39" s="4660"/>
      <c r="G39" s="4660"/>
      <c r="H39" s="4660"/>
      <c r="M39" s="4808" t="s">
        <v>5748</v>
      </c>
      <c r="N39" s="4809">
        <f>SUM(N27)</f>
        <v>8560353</v>
      </c>
      <c r="O39" s="4656"/>
      <c r="P39" s="4657"/>
      <c r="Q39" s="4657"/>
      <c r="U39" s="4660" t="s">
        <v>5937</v>
      </c>
      <c r="AC39" s="4657"/>
    </row>
    <row r="40" spans="1:31" ht="32.15" customHeight="1">
      <c r="B40" s="4657"/>
      <c r="C40" s="4657"/>
      <c r="D40" s="4657"/>
      <c r="E40" s="4810"/>
      <c r="F40" s="4811"/>
      <c r="G40" s="4657"/>
      <c r="H40" s="4657"/>
      <c r="M40" s="4808" t="s">
        <v>5750</v>
      </c>
      <c r="N40" s="4809">
        <f>N39*1.1</f>
        <v>9416388.3000000007</v>
      </c>
      <c r="O40" s="4656"/>
      <c r="P40" s="4657"/>
      <c r="Q40" s="4657"/>
      <c r="AC40" s="4657"/>
    </row>
    <row r="41" spans="1:31" ht="32.15" customHeight="1">
      <c r="A41" s="4812"/>
      <c r="B41" s="4813"/>
      <c r="C41" s="4813"/>
      <c r="D41" s="4813"/>
      <c r="E41" s="4814"/>
      <c r="F41" s="4814"/>
      <c r="G41" s="4813"/>
      <c r="H41" s="4813"/>
      <c r="I41" s="4812"/>
      <c r="J41" s="4812"/>
      <c r="K41" s="4812"/>
      <c r="L41" s="4812"/>
      <c r="M41" s="4812"/>
      <c r="N41" s="4812"/>
      <c r="O41" s="4715"/>
      <c r="P41" s="4715"/>
      <c r="Q41" s="4715"/>
      <c r="R41" s="4656"/>
      <c r="S41" s="4812"/>
      <c r="T41" s="4656"/>
      <c r="U41" s="4812"/>
      <c r="W41" s="6905"/>
      <c r="X41" s="6905"/>
      <c r="Y41" s="6905"/>
      <c r="Z41" s="6905"/>
      <c r="AA41" s="6905"/>
      <c r="AB41" s="6891"/>
      <c r="AC41" s="6891"/>
      <c r="AD41" s="6891"/>
      <c r="AE41" s="6891"/>
    </row>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36" customHeight="1"/>
    <row r="51" spans="2:29" ht="36" customHeight="1"/>
    <row r="52" spans="2:29" ht="10.4" customHeight="1">
      <c r="B52" s="4657"/>
      <c r="C52" s="4657"/>
      <c r="D52" s="4657"/>
      <c r="G52" s="4657"/>
      <c r="H52" s="4657"/>
      <c r="O52" s="4656"/>
      <c r="P52" s="4657"/>
      <c r="Q52" s="4657"/>
      <c r="AC52" s="4657"/>
    </row>
  </sheetData>
  <mergeCells count="38">
    <mergeCell ref="A2:B2"/>
    <mergeCell ref="C2:G2"/>
    <mergeCell ref="A5:A6"/>
    <mergeCell ref="B5:B6"/>
    <mergeCell ref="C5:C6"/>
    <mergeCell ref="D5:D6"/>
    <mergeCell ref="E5:E6"/>
    <mergeCell ref="F5:F6"/>
    <mergeCell ref="G5:G6"/>
    <mergeCell ref="F24:F25"/>
    <mergeCell ref="H5:H6"/>
    <mergeCell ref="I5:I6"/>
    <mergeCell ref="J5:J6"/>
    <mergeCell ref="K5:K6"/>
    <mergeCell ref="G24:G25"/>
    <mergeCell ref="H24:H25"/>
    <mergeCell ref="I24:I25"/>
    <mergeCell ref="J24:J25"/>
    <mergeCell ref="K24:K25"/>
    <mergeCell ref="A24:A25"/>
    <mergeCell ref="B24:B25"/>
    <mergeCell ref="C24:C25"/>
    <mergeCell ref="D24:D25"/>
    <mergeCell ref="E24:E25"/>
    <mergeCell ref="L24:L25"/>
    <mergeCell ref="N5:N6"/>
    <mergeCell ref="O5:O6"/>
    <mergeCell ref="P5:Q5"/>
    <mergeCell ref="R5:U5"/>
    <mergeCell ref="L5:L6"/>
    <mergeCell ref="M5:M6"/>
    <mergeCell ref="AB41:AE41"/>
    <mergeCell ref="M24:M25"/>
    <mergeCell ref="N24:N25"/>
    <mergeCell ref="O24:O25"/>
    <mergeCell ref="P24:Q24"/>
    <mergeCell ref="R24:U24"/>
    <mergeCell ref="W41:AA41"/>
  </mergeCells>
  <phoneticPr fontId="2"/>
  <conditionalFormatting sqref="B8:E17 G8:N17">
    <cfRule type="containsBlanks" dxfId="771" priority="9">
      <formula>LEN(TRIM(B8))=0</formula>
    </cfRule>
  </conditionalFormatting>
  <conditionalFormatting sqref="B35:E36 G35:K36">
    <cfRule type="containsBlanks" dxfId="770" priority="8">
      <formula>LEN(TRIM(B35))=0</formula>
    </cfRule>
  </conditionalFormatting>
  <conditionalFormatting sqref="C2:D2">
    <cfRule type="containsBlanks" dxfId="769" priority="10">
      <formula>LEN(TRIM(C2))=0</formula>
    </cfRule>
  </conditionalFormatting>
  <conditionalFormatting sqref="J27:N30">
    <cfRule type="containsBlanks" dxfId="768" priority="7">
      <formula>LEN(TRIM(J27))=0</formula>
    </cfRule>
  </conditionalFormatting>
  <conditionalFormatting sqref="M35:N36">
    <cfRule type="containsBlanks" dxfId="767" priority="11">
      <formula>LEN(TRIM(M35))=0</formula>
    </cfRule>
  </conditionalFormatting>
  <conditionalFormatting sqref="P8:U17">
    <cfRule type="containsBlanks" dxfId="766" priority="12">
      <formula>LEN(TRIM(P8))=0</formula>
    </cfRule>
  </conditionalFormatting>
  <conditionalFormatting sqref="P27:U30 P35:U36">
    <cfRule type="containsBlanks" dxfId="765" priority="6">
      <formula>LEN(TRIM(P27))=0</formula>
    </cfRule>
  </conditionalFormatting>
  <conditionalFormatting sqref="B27:E34">
    <cfRule type="containsBlanks" dxfId="764" priority="5">
      <formula>LEN(TRIM(B27))=0</formula>
    </cfRule>
  </conditionalFormatting>
  <conditionalFormatting sqref="G27:I34">
    <cfRule type="containsBlanks" dxfId="763" priority="4">
      <formula>LEN(TRIM(G27))=0</formula>
    </cfRule>
  </conditionalFormatting>
  <conditionalFormatting sqref="J31:M34">
    <cfRule type="containsBlanks" dxfId="762" priority="3">
      <formula>LEN(TRIM(J31))=0</formula>
    </cfRule>
  </conditionalFormatting>
  <conditionalFormatting sqref="N31:N34">
    <cfRule type="containsBlanks" dxfId="761" priority="1">
      <formula>LEN(TRIM(N31))=0</formula>
    </cfRule>
  </conditionalFormatting>
  <conditionalFormatting sqref="P31:U34">
    <cfRule type="containsBlanks" dxfId="760" priority="2">
      <formula>LEN(TRIM(P31))=0</formula>
    </cfRule>
  </conditionalFormatting>
  <dataValidations count="1">
    <dataValidation type="list" allowBlank="1" showInputMessage="1" showErrorMessage="1" sqref="I7:I17 I26:I36" xr:uid="{1B26A71F-B103-454F-94BE-36FB34A4EE26}">
      <formula1>会場形態</formula1>
    </dataValidation>
  </dataValidations>
  <printOptions horizontalCentered="1"/>
  <pageMargins left="0.39370078740157483" right="0.39370078740157483" top="0.55118110236220474" bottom="0.55118110236220474" header="0.31496062992125984" footer="0.31496062992125984"/>
  <pageSetup paperSize="8" scale="61" orientation="landscape" r:id="rId1"/>
  <headerFooter>
    <oddHeader>&amp;R&amp;G</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B336-5D99-473B-A67B-31E1423CE4E1}">
  <sheetPr codeName="Sheet326">
    <tabColor rgb="FFFFFF66"/>
    <pageSetUpPr fitToPage="1"/>
  </sheetPr>
  <dimension ref="A1:AE52"/>
  <sheetViews>
    <sheetView topLeftCell="A17" zoomScale="55" zoomScaleNormal="55" workbookViewId="0">
      <selection activeCell="I19" sqref="I19"/>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5940</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46281</v>
      </c>
      <c r="C8" s="4911">
        <v>46300</v>
      </c>
      <c r="D8" s="4759"/>
      <c r="E8" s="4759"/>
      <c r="F8" s="4760">
        <f t="shared" ref="F8:F9" si="1">IF(OR(ISBLANK($B8), ISBLANK($C8)), 0, _xlfn.DAYS($C8, $B8) + 1)</f>
        <v>20</v>
      </c>
      <c r="G8" s="4975"/>
      <c r="H8" s="4762">
        <v>237</v>
      </c>
      <c r="I8" s="4763" t="s">
        <v>4248</v>
      </c>
      <c r="J8" s="4902"/>
      <c r="K8" s="4765"/>
      <c r="L8" s="4765"/>
      <c r="M8" s="4765"/>
      <c r="N8" s="4762">
        <v>8050</v>
      </c>
      <c r="O8" s="4766">
        <f>F8*N8*H8</f>
        <v>38157000</v>
      </c>
      <c r="P8" s="4857"/>
      <c r="Q8" s="4858"/>
      <c r="R8" s="4864"/>
      <c r="S8" s="4858"/>
      <c r="T8" s="4859"/>
      <c r="U8" s="4860"/>
    </row>
    <row r="9" spans="1:31" ht="33.75" customHeight="1">
      <c r="A9" s="4758">
        <v>2</v>
      </c>
      <c r="B9" s="4910">
        <v>46281</v>
      </c>
      <c r="C9" s="4911">
        <v>46300</v>
      </c>
      <c r="D9" s="4759"/>
      <c r="E9" s="4759"/>
      <c r="F9" s="4760">
        <f t="shared" si="1"/>
        <v>20</v>
      </c>
      <c r="G9" s="4975"/>
      <c r="H9" s="4762">
        <v>237</v>
      </c>
      <c r="I9" s="4763" t="s">
        <v>4249</v>
      </c>
      <c r="J9" s="4902"/>
      <c r="K9" s="4765"/>
      <c r="L9" s="4765"/>
      <c r="M9" s="4765"/>
      <c r="N9" s="4762">
        <v>11500</v>
      </c>
      <c r="O9" s="4766">
        <f>F9*N9*H9</f>
        <v>54510000</v>
      </c>
      <c r="P9" s="4857"/>
      <c r="Q9" s="4858"/>
      <c r="R9" s="4864"/>
      <c r="S9" s="4858"/>
      <c r="T9" s="4859"/>
      <c r="U9" s="4860"/>
      <c r="AC9" s="4657"/>
    </row>
    <row r="10" spans="1:31" ht="33.75" customHeight="1">
      <c r="A10" s="4758">
        <v>3</v>
      </c>
      <c r="B10" s="4910">
        <v>46281</v>
      </c>
      <c r="C10" s="4911">
        <v>46300</v>
      </c>
      <c r="D10" s="4759"/>
      <c r="E10" s="4759"/>
      <c r="F10" s="4912">
        <v>1</v>
      </c>
      <c r="G10" s="4975" t="s">
        <v>5941</v>
      </c>
      <c r="H10" s="4762">
        <v>1</v>
      </c>
      <c r="I10" s="4763" t="s">
        <v>5841</v>
      </c>
      <c r="J10" s="4764"/>
      <c r="K10" s="4765"/>
      <c r="L10" s="4765"/>
      <c r="M10" s="4765"/>
      <c r="N10" s="4762">
        <v>4201900</v>
      </c>
      <c r="O10" s="4766">
        <f t="shared" ref="O10:O16" si="2">F10*N10*H10</f>
        <v>4201900</v>
      </c>
      <c r="P10" s="4909"/>
      <c r="Q10" s="4858"/>
      <c r="R10" s="4864"/>
      <c r="S10" s="4858"/>
      <c r="T10" s="4859"/>
      <c r="U10" s="4860"/>
      <c r="AC10" s="4657"/>
    </row>
    <row r="11" spans="1:31" ht="33.75" customHeight="1">
      <c r="A11" s="4758">
        <v>4</v>
      </c>
      <c r="B11" s="4910">
        <v>46281</v>
      </c>
      <c r="C11" s="4911">
        <v>46300</v>
      </c>
      <c r="D11" s="4759"/>
      <c r="E11" s="4759"/>
      <c r="F11" s="4912">
        <v>1</v>
      </c>
      <c r="G11" s="4771" t="s">
        <v>5942</v>
      </c>
      <c r="H11" s="4762">
        <v>1</v>
      </c>
      <c r="I11" s="4763" t="s">
        <v>5841</v>
      </c>
      <c r="J11" s="4764"/>
      <c r="K11" s="4765"/>
      <c r="L11" s="4765"/>
      <c r="M11" s="4765"/>
      <c r="N11" s="4762">
        <v>1456505</v>
      </c>
      <c r="O11" s="4766">
        <f t="shared" si="2"/>
        <v>1456505</v>
      </c>
      <c r="P11" s="4857"/>
      <c r="Q11" s="4858"/>
      <c r="R11" s="4859"/>
      <c r="S11" s="4858"/>
      <c r="T11" s="4859"/>
      <c r="U11" s="4860"/>
      <c r="AC11" s="4657"/>
    </row>
    <row r="12" spans="1:31" ht="33.75" customHeight="1">
      <c r="A12" s="4758">
        <v>5</v>
      </c>
      <c r="B12" s="4910">
        <v>46281</v>
      </c>
      <c r="C12" s="4911">
        <v>46300</v>
      </c>
      <c r="D12" s="4759"/>
      <c r="E12" s="4759"/>
      <c r="F12" s="4912">
        <v>1</v>
      </c>
      <c r="G12" s="4771" t="s">
        <v>5943</v>
      </c>
      <c r="H12" s="4762">
        <v>1</v>
      </c>
      <c r="I12" s="4763" t="s">
        <v>5841</v>
      </c>
      <c r="J12" s="4764"/>
      <c r="K12" s="4765"/>
      <c r="L12" s="4765"/>
      <c r="M12" s="4765"/>
      <c r="N12" s="4762">
        <v>898455</v>
      </c>
      <c r="O12" s="4766">
        <f t="shared" si="2"/>
        <v>898455</v>
      </c>
      <c r="P12" s="4857"/>
      <c r="Q12" s="4858"/>
      <c r="R12" s="4859"/>
      <c r="S12" s="4858"/>
      <c r="T12" s="4859"/>
      <c r="U12" s="4860"/>
      <c r="AC12" s="4657"/>
    </row>
    <row r="13" spans="1:31" ht="33.75" customHeight="1">
      <c r="A13" s="4758">
        <v>6</v>
      </c>
      <c r="B13" s="4910">
        <v>46281</v>
      </c>
      <c r="C13" s="4911">
        <v>46300</v>
      </c>
      <c r="D13" s="4913"/>
      <c r="E13" s="4759"/>
      <c r="F13" s="4912">
        <v>1</v>
      </c>
      <c r="G13" s="4771" t="s">
        <v>5910</v>
      </c>
      <c r="H13" s="4762">
        <v>1</v>
      </c>
      <c r="I13" s="4763" t="s">
        <v>5841</v>
      </c>
      <c r="J13" s="4764"/>
      <c r="K13" s="4765"/>
      <c r="L13" s="4765"/>
      <c r="M13" s="4765"/>
      <c r="N13" s="4762">
        <v>472500</v>
      </c>
      <c r="O13" s="4766">
        <f t="shared" si="2"/>
        <v>472500</v>
      </c>
      <c r="P13" s="4857"/>
      <c r="Q13" s="4858"/>
      <c r="R13" s="4859"/>
      <c r="S13" s="4858"/>
      <c r="T13" s="4859"/>
      <c r="U13" s="4860"/>
      <c r="AC13" s="4657"/>
    </row>
    <row r="14" spans="1:31" ht="33.75" customHeight="1">
      <c r="A14" s="4758">
        <v>7</v>
      </c>
      <c r="B14" s="4910">
        <v>46281</v>
      </c>
      <c r="C14" s="4911">
        <v>46300</v>
      </c>
      <c r="D14" s="4913"/>
      <c r="E14" s="4759"/>
      <c r="F14" s="4912">
        <v>1</v>
      </c>
      <c r="G14" s="4771" t="s">
        <v>5944</v>
      </c>
      <c r="H14" s="4762">
        <v>1</v>
      </c>
      <c r="I14" s="4763" t="s">
        <v>5841</v>
      </c>
      <c r="J14" s="4764"/>
      <c r="K14" s="4765"/>
      <c r="L14" s="4765"/>
      <c r="M14" s="4765"/>
      <c r="N14" s="4762">
        <v>1500000</v>
      </c>
      <c r="O14" s="4766">
        <f t="shared" si="2"/>
        <v>1500000</v>
      </c>
      <c r="P14" s="4857"/>
      <c r="Q14" s="4858"/>
      <c r="R14" s="4859"/>
      <c r="S14" s="4858"/>
      <c r="T14" s="4859"/>
      <c r="U14" s="4860"/>
      <c r="AC14" s="4657"/>
    </row>
    <row r="15" spans="1:31" ht="33.75" customHeight="1">
      <c r="A15" s="4758">
        <v>8</v>
      </c>
      <c r="B15" s="4910">
        <v>46281</v>
      </c>
      <c r="C15" s="4911">
        <v>46300</v>
      </c>
      <c r="D15" s="4913"/>
      <c r="E15" s="4759"/>
      <c r="F15" s="4912">
        <v>1</v>
      </c>
      <c r="G15" s="4771" t="s">
        <v>5945</v>
      </c>
      <c r="H15" s="4762">
        <v>1</v>
      </c>
      <c r="I15" s="4763" t="s">
        <v>5841</v>
      </c>
      <c r="J15" s="4764"/>
      <c r="K15" s="4765"/>
      <c r="L15" s="4765"/>
      <c r="M15" s="4765"/>
      <c r="N15" s="4762">
        <v>0</v>
      </c>
      <c r="O15" s="4766">
        <f t="shared" si="2"/>
        <v>0</v>
      </c>
      <c r="P15" s="4857"/>
      <c r="Q15" s="4858"/>
      <c r="R15" s="4859"/>
      <c r="S15" s="4858"/>
      <c r="T15" s="4859"/>
      <c r="U15" s="4860"/>
      <c r="AC15" s="4657"/>
    </row>
    <row r="16" spans="1:31" ht="33.75" customHeight="1">
      <c r="A16" s="4758">
        <v>9</v>
      </c>
      <c r="B16" s="4910">
        <v>46281</v>
      </c>
      <c r="C16" s="4911">
        <v>46300</v>
      </c>
      <c r="D16" s="4913"/>
      <c r="E16" s="4759"/>
      <c r="F16" s="4912">
        <v>1</v>
      </c>
      <c r="G16" s="4771" t="s">
        <v>5946</v>
      </c>
      <c r="H16" s="4762">
        <v>1</v>
      </c>
      <c r="I16" s="4763" t="s">
        <v>5841</v>
      </c>
      <c r="J16" s="4764"/>
      <c r="K16" s="4765"/>
      <c r="L16" s="4765"/>
      <c r="M16" s="4765"/>
      <c r="N16" s="4762">
        <v>0</v>
      </c>
      <c r="O16" s="4766">
        <f t="shared" si="2"/>
        <v>0</v>
      </c>
      <c r="P16" s="4857"/>
      <c r="Q16" s="4858"/>
      <c r="R16" s="4859"/>
      <c r="S16" s="4858"/>
      <c r="T16" s="4859"/>
      <c r="U16" s="4860"/>
      <c r="AC16" s="4657"/>
    </row>
    <row r="17" spans="1:31" ht="33.75" customHeight="1" thickBot="1">
      <c r="A17" s="4772">
        <v>10</v>
      </c>
      <c r="B17" s="4910">
        <v>46281</v>
      </c>
      <c r="C17" s="4911">
        <v>46300</v>
      </c>
      <c r="D17" s="4914"/>
      <c r="E17" s="4915"/>
      <c r="F17" s="4916">
        <v>1</v>
      </c>
      <c r="G17" s="4773" t="s">
        <v>5947</v>
      </c>
      <c r="H17" s="4917">
        <v>1</v>
      </c>
      <c r="I17" s="4774" t="s">
        <v>5948</v>
      </c>
      <c r="J17" s="4764"/>
      <c r="K17" s="4765"/>
      <c r="L17" s="4765"/>
      <c r="M17" s="4765"/>
      <c r="N17" s="4775">
        <v>2085099</v>
      </c>
      <c r="O17" s="4776">
        <f t="shared" si="0"/>
        <v>2085099</v>
      </c>
      <c r="P17" s="4918"/>
      <c r="Q17" s="4919"/>
      <c r="R17" s="4920"/>
      <c r="S17" s="4919"/>
      <c r="T17" s="4920"/>
      <c r="U17" s="4921"/>
      <c r="AC17" s="4657"/>
    </row>
    <row r="18" spans="1:31" ht="33.75" customHeight="1" thickTop="1" thickBot="1">
      <c r="A18" s="4778" t="s">
        <v>5845</v>
      </c>
      <c r="B18" s="4779"/>
      <c r="C18" s="4779"/>
      <c r="D18" s="4779"/>
      <c r="E18" s="4779"/>
      <c r="F18" s="4780">
        <f>SUM(F8:F17)</f>
        <v>48</v>
      </c>
      <c r="G18" s="4779"/>
      <c r="H18" s="4781"/>
      <c r="I18" s="4782"/>
      <c r="J18" s="4783"/>
      <c r="K18" s="4784"/>
      <c r="L18" s="4784"/>
      <c r="M18" s="4784"/>
      <c r="N18" s="4785"/>
      <c r="O18" s="4922">
        <f>SUM(O8:O17)</f>
        <v>103281459</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113609604.90000001</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f>1.1*SUM(O8:O9)</f>
        <v>101933700.00000001</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SUM(O10:O17)*1.1</f>
        <v>11675904.9</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23.15" customHeight="1" thickBot="1">
      <c r="A25" s="4737" t="s">
        <v>5849</v>
      </c>
      <c r="B25" s="4657"/>
      <c r="C25" s="4657"/>
      <c r="D25" s="4657"/>
      <c r="G25" s="4657"/>
      <c r="H25" s="4657"/>
      <c r="O25" s="4656"/>
      <c r="P25" s="4656"/>
      <c r="Q25" s="4657"/>
      <c r="AC25" s="4657"/>
    </row>
    <row r="26" spans="1:31" s="4738" customFormat="1" ht="33.75" customHeight="1">
      <c r="A26" s="6893" t="s">
        <v>5713</v>
      </c>
      <c r="B26" s="6882" t="s">
        <v>5757</v>
      </c>
      <c r="C26" s="6882" t="s">
        <v>5758</v>
      </c>
      <c r="D26" s="6882" t="s">
        <v>5759</v>
      </c>
      <c r="E26" s="6882" t="s">
        <v>5760</v>
      </c>
      <c r="F26" s="6895" t="s">
        <v>5761</v>
      </c>
      <c r="G26" s="6882" t="s">
        <v>5762</v>
      </c>
      <c r="H26" s="6897" t="s">
        <v>5763</v>
      </c>
      <c r="I26" s="6882" t="s">
        <v>5764</v>
      </c>
      <c r="J26" s="6895" t="s">
        <v>5765</v>
      </c>
      <c r="K26" s="6888" t="s">
        <v>5766</v>
      </c>
      <c r="L26" s="6888" t="s">
        <v>5767</v>
      </c>
      <c r="M26" s="6888" t="s">
        <v>5768</v>
      </c>
      <c r="N26" s="6882" t="s">
        <v>5811</v>
      </c>
      <c r="O26" s="6884" t="s">
        <v>5812</v>
      </c>
      <c r="P26" s="6886" t="s">
        <v>5771</v>
      </c>
      <c r="Q26" s="6887"/>
      <c r="R26" s="6888" t="s">
        <v>5772</v>
      </c>
      <c r="S26" s="6889"/>
      <c r="T26" s="6889"/>
      <c r="U26" s="6890"/>
    </row>
    <row r="27" spans="1:31"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31" s="4666" customFormat="1" ht="33.75" customHeight="1">
      <c r="A28" s="4743" t="s">
        <v>5779</v>
      </c>
      <c r="B28" s="4744">
        <v>46280</v>
      </c>
      <c r="C28" s="4744">
        <v>46300</v>
      </c>
      <c r="D28" s="4745">
        <v>0.3125</v>
      </c>
      <c r="E28" s="4746">
        <v>0.89583333333333337</v>
      </c>
      <c r="F28" s="4747">
        <f>IF(OR(ISBLANK($B28), ISBLANK($C28)), 0, _xlfn.DAYS($C28, $B28) + 1)</f>
        <v>21</v>
      </c>
      <c r="G28" s="4748" t="s">
        <v>5780</v>
      </c>
      <c r="H28" s="4749">
        <v>3</v>
      </c>
      <c r="I28" s="4747" t="s">
        <v>5781</v>
      </c>
      <c r="J28" s="4750">
        <v>30</v>
      </c>
      <c r="K28" s="4751">
        <v>100</v>
      </c>
      <c r="L28" s="4751">
        <f>J28*K28</f>
        <v>3000</v>
      </c>
      <c r="M28" s="4752">
        <v>5</v>
      </c>
      <c r="N28" s="4753">
        <v>150000</v>
      </c>
      <c r="O28" s="4754">
        <f t="shared" ref="O28" si="3">F28*N28</f>
        <v>3150000</v>
      </c>
      <c r="P28" s="4755" t="s">
        <v>5782</v>
      </c>
      <c r="Q28" s="4756">
        <v>4</v>
      </c>
      <c r="R28" s="4756" t="s">
        <v>3804</v>
      </c>
      <c r="S28" s="4751" t="s">
        <v>246</v>
      </c>
      <c r="T28" s="4756" t="s">
        <v>2161</v>
      </c>
      <c r="U28" s="4757">
        <v>2000</v>
      </c>
    </row>
    <row r="29" spans="1:31" s="4666" customFormat="1" ht="33.75" customHeight="1">
      <c r="A29" s="4758">
        <v>1</v>
      </c>
      <c r="B29" s="4910"/>
      <c r="C29" s="4911"/>
      <c r="D29" s="4759"/>
      <c r="E29" s="4759"/>
      <c r="F29" s="4760"/>
      <c r="G29" s="4975"/>
      <c r="H29" s="4762"/>
      <c r="I29" s="4763"/>
      <c r="J29" s="4902"/>
      <c r="K29" s="4765"/>
      <c r="L29" s="4765"/>
      <c r="M29" s="4765"/>
      <c r="N29" s="4762"/>
      <c r="O29" s="4766">
        <f>F29*N29*H29</f>
        <v>0</v>
      </c>
      <c r="P29" s="4857"/>
      <c r="Q29" s="4858"/>
      <c r="R29" s="4864"/>
      <c r="S29" s="4858"/>
      <c r="T29" s="4859"/>
      <c r="U29" s="4860"/>
    </row>
    <row r="30" spans="1:31" ht="33.75" customHeight="1">
      <c r="A30" s="4758">
        <v>2</v>
      </c>
      <c r="B30" s="4910"/>
      <c r="C30" s="4911"/>
      <c r="D30" s="4759"/>
      <c r="E30" s="4759"/>
      <c r="F30" s="4760"/>
      <c r="G30" s="4975"/>
      <c r="H30" s="4762"/>
      <c r="I30" s="4763"/>
      <c r="J30" s="4902"/>
      <c r="K30" s="4765"/>
      <c r="L30" s="4765"/>
      <c r="M30" s="4765"/>
      <c r="N30" s="4762"/>
      <c r="O30" s="4766">
        <f>F30*N30*H30</f>
        <v>0</v>
      </c>
      <c r="P30" s="4857"/>
      <c r="Q30" s="4858"/>
      <c r="R30" s="4864"/>
      <c r="S30" s="4858"/>
      <c r="T30" s="4859"/>
      <c r="U30" s="4860"/>
      <c r="AC30" s="4657"/>
    </row>
    <row r="31" spans="1:31" ht="33.75" customHeight="1">
      <c r="A31" s="4758">
        <v>3</v>
      </c>
      <c r="B31" s="4900">
        <v>46303</v>
      </c>
      <c r="C31" s="4900">
        <v>46322</v>
      </c>
      <c r="D31" s="4759"/>
      <c r="E31" s="4759"/>
      <c r="F31" s="4912">
        <v>1</v>
      </c>
      <c r="G31" s="4975" t="s">
        <v>5941</v>
      </c>
      <c r="H31" s="4762">
        <v>1</v>
      </c>
      <c r="I31" s="4763" t="s">
        <v>5841</v>
      </c>
      <c r="J31" s="4764"/>
      <c r="K31" s="4765"/>
      <c r="L31" s="4765"/>
      <c r="M31" s="4765"/>
      <c r="N31" s="4762">
        <v>0</v>
      </c>
      <c r="O31" s="4766">
        <f t="shared" ref="O31:O37" si="4">F31*N31*H31</f>
        <v>0</v>
      </c>
      <c r="P31" s="4909"/>
      <c r="Q31" s="4858"/>
      <c r="R31" s="4864"/>
      <c r="S31" s="4858"/>
      <c r="T31" s="4859"/>
      <c r="U31" s="4860"/>
      <c r="AC31" s="4657"/>
    </row>
    <row r="32" spans="1:31" ht="33.75" customHeight="1">
      <c r="A32" s="4758">
        <v>4</v>
      </c>
      <c r="B32" s="4900">
        <v>46303</v>
      </c>
      <c r="C32" s="4900">
        <v>46322</v>
      </c>
      <c r="D32" s="4759"/>
      <c r="E32" s="4759"/>
      <c r="F32" s="4912">
        <v>1</v>
      </c>
      <c r="G32" s="4771" t="s">
        <v>5949</v>
      </c>
      <c r="H32" s="4762">
        <v>1</v>
      </c>
      <c r="I32" s="4763" t="s">
        <v>5841</v>
      </c>
      <c r="J32" s="4764"/>
      <c r="K32" s="4765"/>
      <c r="L32" s="4765"/>
      <c r="M32" s="4765"/>
      <c r="N32" s="4762">
        <v>0</v>
      </c>
      <c r="O32" s="4766">
        <f t="shared" si="4"/>
        <v>0</v>
      </c>
      <c r="P32" s="4857"/>
      <c r="Q32" s="4858"/>
      <c r="R32" s="4859"/>
      <c r="S32" s="4858"/>
      <c r="T32" s="4859"/>
      <c r="U32" s="4860"/>
      <c r="AC32" s="4657"/>
    </row>
    <row r="33" spans="1:31" ht="33.75" customHeight="1">
      <c r="A33" s="4758">
        <v>5</v>
      </c>
      <c r="B33" s="4900">
        <v>46303</v>
      </c>
      <c r="C33" s="4900">
        <v>46322</v>
      </c>
      <c r="D33" s="4759"/>
      <c r="E33" s="4759"/>
      <c r="F33" s="4912">
        <v>1</v>
      </c>
      <c r="G33" s="4771" t="s">
        <v>5943</v>
      </c>
      <c r="H33" s="4762">
        <v>1</v>
      </c>
      <c r="I33" s="4763" t="s">
        <v>5841</v>
      </c>
      <c r="J33" s="4764"/>
      <c r="K33" s="4765"/>
      <c r="L33" s="4765"/>
      <c r="M33" s="4765"/>
      <c r="N33" s="4762">
        <v>2004816</v>
      </c>
      <c r="O33" s="4766">
        <f t="shared" si="4"/>
        <v>2004816</v>
      </c>
      <c r="P33" s="4857"/>
      <c r="Q33" s="4858"/>
      <c r="R33" s="4859"/>
      <c r="S33" s="4858"/>
      <c r="T33" s="4859"/>
      <c r="U33" s="4860"/>
      <c r="AC33" s="4657"/>
    </row>
    <row r="34" spans="1:31" ht="33.75" customHeight="1">
      <c r="A34" s="4758">
        <v>6</v>
      </c>
      <c r="B34" s="4900">
        <v>46303</v>
      </c>
      <c r="C34" s="4900">
        <v>46322</v>
      </c>
      <c r="D34" s="4913"/>
      <c r="E34" s="4759"/>
      <c r="F34" s="4912">
        <v>1</v>
      </c>
      <c r="G34" s="4771" t="s">
        <v>5910</v>
      </c>
      <c r="H34" s="4762">
        <v>1</v>
      </c>
      <c r="I34" s="4763" t="s">
        <v>5841</v>
      </c>
      <c r="J34" s="4764"/>
      <c r="K34" s="4765"/>
      <c r="L34" s="4765"/>
      <c r="M34" s="4765"/>
      <c r="N34" s="4762">
        <v>382500</v>
      </c>
      <c r="O34" s="4766">
        <f t="shared" si="4"/>
        <v>382500</v>
      </c>
      <c r="P34" s="4857"/>
      <c r="Q34" s="4858"/>
      <c r="R34" s="4859"/>
      <c r="S34" s="4858"/>
      <c r="T34" s="4859"/>
      <c r="U34" s="4860"/>
      <c r="AC34" s="4657"/>
    </row>
    <row r="35" spans="1:31" ht="33.75" customHeight="1">
      <c r="A35" s="4758">
        <v>7</v>
      </c>
      <c r="B35" s="4900">
        <v>46303</v>
      </c>
      <c r="C35" s="4900">
        <v>46322</v>
      </c>
      <c r="D35" s="4913"/>
      <c r="E35" s="4759"/>
      <c r="F35" s="4912">
        <v>1</v>
      </c>
      <c r="G35" s="4771" t="s">
        <v>5944</v>
      </c>
      <c r="H35" s="4762">
        <v>1</v>
      </c>
      <c r="I35" s="4763" t="s">
        <v>5841</v>
      </c>
      <c r="J35" s="4764"/>
      <c r="K35" s="4765"/>
      <c r="L35" s="4765"/>
      <c r="M35" s="4765"/>
      <c r="N35" s="4762">
        <v>1275000</v>
      </c>
      <c r="O35" s="4766">
        <f t="shared" si="4"/>
        <v>1275000</v>
      </c>
      <c r="P35" s="4857"/>
      <c r="Q35" s="4858"/>
      <c r="R35" s="4859"/>
      <c r="S35" s="4858"/>
      <c r="T35" s="4859"/>
      <c r="U35" s="4860"/>
      <c r="AC35" s="4657"/>
    </row>
    <row r="36" spans="1:31" ht="33.75" customHeight="1">
      <c r="A36" s="4758">
        <v>8</v>
      </c>
      <c r="B36" s="4900">
        <v>46303</v>
      </c>
      <c r="C36" s="4900">
        <v>46322</v>
      </c>
      <c r="D36" s="4913"/>
      <c r="E36" s="4759"/>
      <c r="F36" s="4912">
        <v>1</v>
      </c>
      <c r="G36" s="4771" t="s">
        <v>5945</v>
      </c>
      <c r="H36" s="4762">
        <v>1</v>
      </c>
      <c r="I36" s="4763" t="s">
        <v>5841</v>
      </c>
      <c r="J36" s="4764"/>
      <c r="K36" s="4765"/>
      <c r="L36" s="4765"/>
      <c r="M36" s="4765"/>
      <c r="N36" s="4762">
        <v>0</v>
      </c>
      <c r="O36" s="4766">
        <f t="shared" si="4"/>
        <v>0</v>
      </c>
      <c r="P36" s="4857"/>
      <c r="Q36" s="4858"/>
      <c r="R36" s="4859"/>
      <c r="S36" s="4858"/>
      <c r="T36" s="4859"/>
      <c r="U36" s="4860"/>
      <c r="AC36" s="4657"/>
    </row>
    <row r="37" spans="1:31" ht="33.75" customHeight="1">
      <c r="A37" s="4758">
        <v>9</v>
      </c>
      <c r="B37" s="4900">
        <v>46303</v>
      </c>
      <c r="C37" s="4900">
        <v>46322</v>
      </c>
      <c r="D37" s="4913"/>
      <c r="E37" s="4759"/>
      <c r="F37" s="4912">
        <v>1</v>
      </c>
      <c r="G37" s="4771" t="s">
        <v>5946</v>
      </c>
      <c r="H37" s="4762">
        <v>1</v>
      </c>
      <c r="I37" s="4763" t="s">
        <v>5841</v>
      </c>
      <c r="J37" s="4764"/>
      <c r="K37" s="4765"/>
      <c r="L37" s="4765"/>
      <c r="M37" s="4765"/>
      <c r="N37" s="4762">
        <v>0</v>
      </c>
      <c r="O37" s="4766">
        <f t="shared" si="4"/>
        <v>0</v>
      </c>
      <c r="P37" s="4857"/>
      <c r="Q37" s="4858"/>
      <c r="R37" s="4859"/>
      <c r="S37" s="4858"/>
      <c r="T37" s="4859"/>
      <c r="U37" s="4860"/>
      <c r="AC37" s="4657"/>
    </row>
    <row r="38" spans="1:31" ht="33.75" customHeight="1" thickBot="1">
      <c r="A38" s="4772">
        <v>10</v>
      </c>
      <c r="B38" s="4900">
        <v>46303</v>
      </c>
      <c r="C38" s="4900">
        <v>46322</v>
      </c>
      <c r="D38" s="4914"/>
      <c r="E38" s="4915"/>
      <c r="F38" s="4916">
        <v>1</v>
      </c>
      <c r="G38" s="4773" t="s">
        <v>5947</v>
      </c>
      <c r="H38" s="4917">
        <v>1</v>
      </c>
      <c r="I38" s="4774" t="s">
        <v>5948</v>
      </c>
      <c r="J38" s="4764"/>
      <c r="K38" s="4765"/>
      <c r="L38" s="4765"/>
      <c r="M38" s="4765"/>
      <c r="N38" s="4775">
        <v>844170</v>
      </c>
      <c r="O38" s="4776">
        <f t="shared" ref="O38" si="5">F38*N38</f>
        <v>844170</v>
      </c>
      <c r="P38" s="4918"/>
      <c r="Q38" s="4919"/>
      <c r="R38" s="4920"/>
      <c r="S38" s="4919"/>
      <c r="T38" s="4920"/>
      <c r="U38" s="4921"/>
      <c r="AC38" s="4657"/>
    </row>
    <row r="39" spans="1:31" ht="33.75" customHeight="1" thickTop="1" thickBot="1">
      <c r="A39" s="4778" t="s">
        <v>5845</v>
      </c>
      <c r="B39" s="4779"/>
      <c r="C39" s="4779"/>
      <c r="D39" s="4779"/>
      <c r="E39" s="4779"/>
      <c r="F39" s="4780">
        <f>SUM(F29:F38)</f>
        <v>8</v>
      </c>
      <c r="G39" s="4779"/>
      <c r="H39" s="4781"/>
      <c r="I39" s="4782"/>
      <c r="J39" s="4783"/>
      <c r="K39" s="4784"/>
      <c r="L39" s="4784"/>
      <c r="M39" s="4784"/>
      <c r="N39" s="4785"/>
      <c r="O39" s="4922">
        <f>SUM(O29:O38)</f>
        <v>4506486</v>
      </c>
      <c r="P39" s="4787"/>
      <c r="Q39" s="4787"/>
      <c r="R39" s="4788"/>
      <c r="S39" s="4789"/>
      <c r="T39" s="4788"/>
      <c r="U39" s="4790"/>
      <c r="AC39" s="4657"/>
    </row>
    <row r="40" spans="1:31" ht="33.75" customHeight="1" thickBot="1">
      <c r="A40" s="4876" t="s">
        <v>5792</v>
      </c>
      <c r="B40" s="4877"/>
      <c r="C40" s="4878"/>
      <c r="D40" s="4878"/>
      <c r="E40" s="4878"/>
      <c r="F40" s="4879"/>
      <c r="G40" s="4878"/>
      <c r="H40" s="4880"/>
      <c r="I40" s="4878"/>
      <c r="J40" s="4881"/>
      <c r="K40" s="4881"/>
      <c r="L40" s="4881"/>
      <c r="M40" s="4881"/>
      <c r="N40" s="4882"/>
      <c r="O40" s="4923">
        <f>O39*1.1</f>
        <v>4957134.6000000006</v>
      </c>
      <c r="P40" s="4884"/>
      <c r="Q40" s="4885"/>
      <c r="R40" s="4886"/>
      <c r="S40" s="4887"/>
      <c r="T40" s="4886"/>
      <c r="U40" s="4888"/>
      <c r="AC40" s="4657"/>
    </row>
    <row r="41" spans="1:31" ht="33.75" customHeight="1" thickBot="1">
      <c r="A41" s="4656"/>
      <c r="B41" s="4660"/>
      <c r="C41" s="4660"/>
      <c r="D41" s="4660"/>
      <c r="G41" s="4660"/>
      <c r="H41" s="4660"/>
      <c r="O41" s="4656"/>
      <c r="P41" s="4657"/>
      <c r="Q41" s="4657"/>
      <c r="AC41" s="4657"/>
    </row>
    <row r="42" spans="1:31" ht="39.65" customHeight="1" thickBot="1">
      <c r="A42" s="6908" t="s">
        <v>5846</v>
      </c>
      <c r="B42" s="6909"/>
      <c r="C42" s="4924">
        <f>1.1*SUM(O29:O30)</f>
        <v>0</v>
      </c>
      <c r="D42" s="4658" t="s">
        <v>5847</v>
      </c>
      <c r="E42" s="4814"/>
      <c r="F42" s="4814"/>
      <c r="G42" s="4813"/>
      <c r="H42" s="4813"/>
      <c r="I42" s="4812"/>
      <c r="J42" s="4812"/>
      <c r="K42" s="4812"/>
      <c r="L42" s="4812"/>
      <c r="M42" s="4812"/>
      <c r="N42" s="4812"/>
      <c r="O42" s="4715"/>
      <c r="P42" s="4715"/>
      <c r="Q42" s="4715"/>
      <c r="R42" s="4656"/>
      <c r="S42" s="4812"/>
      <c r="T42" s="4656"/>
      <c r="U42" s="4812"/>
      <c r="W42" s="6905"/>
      <c r="X42" s="6905"/>
      <c r="Y42" s="6905"/>
      <c r="Z42" s="6905"/>
      <c r="AA42" s="6905"/>
      <c r="AB42" s="6891"/>
      <c r="AC42" s="6891"/>
      <c r="AD42" s="6891"/>
      <c r="AE42" s="6891"/>
    </row>
    <row r="43" spans="1:31" ht="36" customHeight="1" thickBot="1">
      <c r="A43" s="6906" t="s">
        <v>5848</v>
      </c>
      <c r="B43" s="6907"/>
      <c r="C43" s="4925">
        <f>SUM(O31:O38)*1.1</f>
        <v>4957134.6000000006</v>
      </c>
    </row>
    <row r="44" spans="1:31" ht="33.75" customHeight="1">
      <c r="A44" s="4656"/>
      <c r="B44" s="4660"/>
      <c r="C44" s="4660"/>
      <c r="D44" s="4660"/>
      <c r="G44" s="4660"/>
      <c r="H44" s="4660"/>
      <c r="O44" s="4656"/>
      <c r="P44" s="4657"/>
      <c r="Q44" s="4657"/>
      <c r="AC44" s="4657"/>
    </row>
    <row r="45" spans="1:31" ht="36" customHeight="1"/>
    <row r="46" spans="1:31" ht="36" customHeight="1"/>
    <row r="47" spans="1:31" ht="36" customHeight="1"/>
    <row r="48" spans="1:31" ht="36" customHeight="1"/>
    <row r="49" spans="2:29" ht="36" customHeight="1"/>
    <row r="50" spans="2:29" ht="36" customHeight="1"/>
    <row r="51" spans="2:29" ht="36" customHeight="1"/>
    <row r="52" spans="2:29" ht="10.4" customHeight="1">
      <c r="B52" s="4657"/>
      <c r="C52" s="4657"/>
      <c r="D52" s="4657"/>
      <c r="G52" s="4657"/>
      <c r="H52" s="4657"/>
      <c r="O52" s="4656"/>
      <c r="P52" s="4657"/>
      <c r="Q52" s="4657"/>
      <c r="AC52" s="4657"/>
    </row>
  </sheetData>
  <mergeCells count="44">
    <mergeCell ref="A2:B2"/>
    <mergeCell ref="C2:G2"/>
    <mergeCell ref="A5:A6"/>
    <mergeCell ref="B5:B6"/>
    <mergeCell ref="C5:C6"/>
    <mergeCell ref="D5:D6"/>
    <mergeCell ref="E5:E6"/>
    <mergeCell ref="F5:F6"/>
    <mergeCell ref="G5:G6"/>
    <mergeCell ref="N5:N6"/>
    <mergeCell ref="O5:O6"/>
    <mergeCell ref="P5:Q5"/>
    <mergeCell ref="R5:U5"/>
    <mergeCell ref="A21:B21"/>
    <mergeCell ref="H5:H6"/>
    <mergeCell ref="I5:I6"/>
    <mergeCell ref="J5:J6"/>
    <mergeCell ref="K5:K6"/>
    <mergeCell ref="L5:L6"/>
    <mergeCell ref="M5:M6"/>
    <mergeCell ref="AB21:AE21"/>
    <mergeCell ref="A22:B22"/>
    <mergeCell ref="A26:A27"/>
    <mergeCell ref="B26:B27"/>
    <mergeCell ref="C26:C27"/>
    <mergeCell ref="D26:D27"/>
    <mergeCell ref="E26:E27"/>
    <mergeCell ref="F26:F27"/>
    <mergeCell ref="G26:G27"/>
    <mergeCell ref="H26:H27"/>
    <mergeCell ref="W21:AA21"/>
    <mergeCell ref="W42:AA42"/>
    <mergeCell ref="AB42:AE42"/>
    <mergeCell ref="I26:I27"/>
    <mergeCell ref="J26:J27"/>
    <mergeCell ref="K26:K27"/>
    <mergeCell ref="L26:L27"/>
    <mergeCell ref="M26:M27"/>
    <mergeCell ref="N26:N27"/>
    <mergeCell ref="A43:B43"/>
    <mergeCell ref="O26:O27"/>
    <mergeCell ref="P26:Q26"/>
    <mergeCell ref="R26:U26"/>
    <mergeCell ref="A42:B42"/>
  </mergeCells>
  <phoneticPr fontId="2"/>
  <conditionalFormatting sqref="B31:C38">
    <cfRule type="containsBlanks" dxfId="759" priority="1">
      <formula>LEN(TRIM(B31))=0</formula>
    </cfRule>
  </conditionalFormatting>
  <conditionalFormatting sqref="C2:D2">
    <cfRule type="containsBlanks" dxfId="758" priority="7">
      <formula>LEN(TRIM(C2))=0</formula>
    </cfRule>
  </conditionalFormatting>
  <conditionalFormatting sqref="D8:E17">
    <cfRule type="containsBlanks" dxfId="757" priority="10">
      <formula>LEN(TRIM(D8))=0</formula>
    </cfRule>
  </conditionalFormatting>
  <conditionalFormatting sqref="D29:E38">
    <cfRule type="containsBlanks" dxfId="756" priority="4">
      <formula>LEN(TRIM(D29))=0</formula>
    </cfRule>
  </conditionalFormatting>
  <conditionalFormatting sqref="G8:K9">
    <cfRule type="containsBlanks" dxfId="755" priority="9">
      <formula>LEN(TRIM(G8))=0</formula>
    </cfRule>
  </conditionalFormatting>
  <conditionalFormatting sqref="G29:K30">
    <cfRule type="containsBlanks" dxfId="754" priority="3">
      <formula>LEN(TRIM(G29))=0</formula>
    </cfRule>
  </conditionalFormatting>
  <conditionalFormatting sqref="G31:N38">
    <cfRule type="containsBlanks" dxfId="753" priority="5">
      <formula>LEN(TRIM(G31))=0</formula>
    </cfRule>
  </conditionalFormatting>
  <conditionalFormatting sqref="L8:L17 G10:K17 M10:N17">
    <cfRule type="containsBlanks" dxfId="752" priority="11">
      <formula>LEN(TRIM(G8))=0</formula>
    </cfRule>
  </conditionalFormatting>
  <conditionalFormatting sqref="M8:N9">
    <cfRule type="containsBlanks" dxfId="751" priority="8">
      <formula>LEN(TRIM(M8))=0</formula>
    </cfRule>
  </conditionalFormatting>
  <conditionalFormatting sqref="M29:N30">
    <cfRule type="containsBlanks" dxfId="750" priority="2">
      <formula>LEN(TRIM(M29))=0</formula>
    </cfRule>
  </conditionalFormatting>
  <conditionalFormatting sqref="P8:U17">
    <cfRule type="containsBlanks" dxfId="749" priority="12">
      <formula>LEN(TRIM(P8))=0</formula>
    </cfRule>
  </conditionalFormatting>
  <conditionalFormatting sqref="P29:U38">
    <cfRule type="containsBlanks" dxfId="748" priority="6">
      <formula>LEN(TRIM(P29))=0</formula>
    </cfRule>
  </conditionalFormatting>
  <dataValidations count="1">
    <dataValidation type="list" allowBlank="1" showInputMessage="1" showErrorMessage="1" sqref="I7:I17 I28:I38" xr:uid="{E3C1C323-B20D-437E-BE9D-440BE32773B3}">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3719-2196-4D09-8A36-8459A3C90D1F}">
  <sheetPr codeName="Sheet327">
    <tabColor rgb="FFFFFF66"/>
    <pageSetUpPr fitToPage="1"/>
  </sheetPr>
  <dimension ref="A1:AE40"/>
  <sheetViews>
    <sheetView topLeftCell="A21" zoomScale="55" zoomScaleNormal="55" zoomScaleSheetLayoutView="70" workbookViewId="0">
      <selection activeCell="A25" sqref="A25:B27"/>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45.8164062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4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8.54296875" style="4657" bestFit="1" customWidth="1"/>
    <col min="31" max="31" width="22.1796875" style="4657" customWidth="1"/>
    <col min="32" max="16384" width="9.81640625" style="4657"/>
  </cols>
  <sheetData>
    <row r="1" spans="1:31" ht="21" customHeight="1" thickBot="1">
      <c r="R1" s="4656"/>
      <c r="T1" s="4660"/>
      <c r="V1" s="4656"/>
    </row>
    <row r="2" spans="1:31" ht="44.25" customHeight="1" thickBot="1">
      <c r="A2" s="6874" t="s">
        <v>5707</v>
      </c>
      <c r="B2" s="6875"/>
      <c r="C2" s="6876" t="s">
        <v>5950</v>
      </c>
      <c r="D2" s="6876"/>
      <c r="E2" s="6876"/>
      <c r="F2" s="6876"/>
      <c r="G2" s="6876"/>
      <c r="H2" s="4661" t="s">
        <v>5709</v>
      </c>
      <c r="I2" s="4662"/>
      <c r="J2" s="4663"/>
      <c r="L2" s="4663"/>
      <c r="M2" s="4663"/>
      <c r="N2" s="4663"/>
      <c r="R2" s="4656"/>
      <c r="T2" s="4660"/>
      <c r="V2" s="4656"/>
      <c r="AD2" s="4664" t="s">
        <v>5710</v>
      </c>
    </row>
    <row r="3" spans="1:31" ht="10.4" customHeight="1">
      <c r="R3" s="4656"/>
      <c r="T3" s="4660"/>
      <c r="V3" s="4656"/>
    </row>
    <row r="4" spans="1:31" ht="33.75" customHeight="1" thickBot="1">
      <c r="A4" s="4665" t="s">
        <v>5711</v>
      </c>
      <c r="B4" s="4665"/>
      <c r="R4" s="4656"/>
      <c r="V4" s="4656"/>
      <c r="Y4" s="4656"/>
      <c r="Z4" s="4656"/>
      <c r="AA4" s="4656"/>
      <c r="AB4" s="4656"/>
      <c r="AC4" s="4656"/>
      <c r="AE4" s="4656" t="s">
        <v>5712</v>
      </c>
    </row>
    <row r="5" spans="1:31"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6855" t="s">
        <v>5798</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row>
    <row r="6" spans="1:31" s="4666" customFormat="1" ht="20">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row>
    <row r="7" spans="1:31"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677">
        <v>8000</v>
      </c>
      <c r="O7" s="4678">
        <f>SUM(D7,F7,H7)*K7</f>
        <v>1440</v>
      </c>
      <c r="P7" s="4679">
        <f>(D7*L7+F7*M7+H7*N7)*K7</f>
        <v>14040000</v>
      </c>
      <c r="Q7" s="4675">
        <v>21</v>
      </c>
      <c r="R7" s="4680" t="s">
        <v>5739</v>
      </c>
      <c r="S7" s="4681">
        <v>21</v>
      </c>
      <c r="T7" s="4815">
        <v>1</v>
      </c>
      <c r="U7" s="4675">
        <v>154</v>
      </c>
      <c r="V7" s="4680" t="s">
        <v>4521</v>
      </c>
      <c r="W7" s="4682">
        <v>203</v>
      </c>
      <c r="X7" s="4675">
        <v>1</v>
      </c>
      <c r="Y7" s="4675" t="s">
        <v>5740</v>
      </c>
      <c r="Z7" s="4683" t="s">
        <v>5035</v>
      </c>
      <c r="AA7" s="4675" t="s">
        <v>2830</v>
      </c>
      <c r="AB7" s="4683" t="s">
        <v>5050</v>
      </c>
      <c r="AC7" s="4675" t="s">
        <v>5741</v>
      </c>
      <c r="AD7" s="4684"/>
      <c r="AE7" s="4685"/>
    </row>
    <row r="8" spans="1:31" ht="33.75" customHeight="1">
      <c r="A8" s="4686">
        <v>1</v>
      </c>
      <c r="B8" s="4687">
        <v>46277</v>
      </c>
      <c r="C8" s="4687">
        <v>46279</v>
      </c>
      <c r="D8" s="4672">
        <f t="shared" ref="D8:D22" si="0">IF(_xlfn.DAYS(C8,B8)=0,"1",_xlfn.DAYS(C8,B8))</f>
        <v>2</v>
      </c>
      <c r="E8" s="5011">
        <v>46298</v>
      </c>
      <c r="F8" s="4698">
        <f t="shared" ref="F8:F22" si="1">IF(_xlfn.DAYS(E8,C8)=0,"1",_xlfn.DAYS(E8,C8))+1</f>
        <v>20</v>
      </c>
      <c r="G8" s="5011">
        <v>46300</v>
      </c>
      <c r="H8" s="4672">
        <f t="shared" ref="H8:H22" si="2">IF(_xlfn.DAYS(G8,E8)=0,"1",_xlfn.DAYS(G8,E8))-1</f>
        <v>1</v>
      </c>
      <c r="I8" s="4691" t="s">
        <v>5112</v>
      </c>
      <c r="J8" s="4692">
        <v>146</v>
      </c>
      <c r="K8" s="4693">
        <v>190</v>
      </c>
      <c r="L8" s="5012">
        <v>17272</v>
      </c>
      <c r="M8" s="5012">
        <v>17272</v>
      </c>
      <c r="N8" s="5012">
        <v>17272</v>
      </c>
      <c r="O8" s="4678">
        <f>SUM(D8,F8,H8)*K8</f>
        <v>4370</v>
      </c>
      <c r="P8" s="4679">
        <f>(D8*L8+F8*M8+H8*N8)*K8</f>
        <v>75478640</v>
      </c>
      <c r="Q8" s="4692">
        <v>14</v>
      </c>
      <c r="R8" s="4680" t="s">
        <v>5742</v>
      </c>
      <c r="S8" s="4694">
        <v>14</v>
      </c>
      <c r="T8" s="4700">
        <v>1</v>
      </c>
      <c r="U8" s="4692">
        <v>210</v>
      </c>
      <c r="V8" s="4680" t="s">
        <v>4521</v>
      </c>
      <c r="W8" s="4695">
        <v>120</v>
      </c>
      <c r="X8" s="4692">
        <v>1</v>
      </c>
      <c r="Y8" s="4692" t="s">
        <v>5743</v>
      </c>
      <c r="Z8" s="4683" t="s">
        <v>5035</v>
      </c>
      <c r="AA8" s="4692" t="s">
        <v>2814</v>
      </c>
      <c r="AB8" s="4683" t="s">
        <v>5050</v>
      </c>
      <c r="AC8" s="4692" t="s">
        <v>2814</v>
      </c>
      <c r="AD8" s="4696"/>
      <c r="AE8" s="4685">
        <f>T8*K8</f>
        <v>190</v>
      </c>
    </row>
    <row r="9" spans="1:31" ht="33.75" customHeight="1">
      <c r="A9" s="4686">
        <v>2</v>
      </c>
      <c r="B9" s="4687">
        <v>46277</v>
      </c>
      <c r="C9" s="4687">
        <v>46279</v>
      </c>
      <c r="D9" s="4672">
        <f t="shared" si="0"/>
        <v>2</v>
      </c>
      <c r="E9" s="5011">
        <v>46298</v>
      </c>
      <c r="F9" s="4698">
        <f t="shared" si="1"/>
        <v>20</v>
      </c>
      <c r="G9" s="5011">
        <v>46300</v>
      </c>
      <c r="H9" s="4672">
        <f t="shared" si="2"/>
        <v>1</v>
      </c>
      <c r="I9" s="4691" t="s">
        <v>5089</v>
      </c>
      <c r="J9" s="4692">
        <v>72</v>
      </c>
      <c r="K9" s="4693">
        <v>0</v>
      </c>
      <c r="L9" s="5012"/>
      <c r="M9" s="5012"/>
      <c r="N9" s="5012"/>
      <c r="O9" s="4678">
        <f>SUM(D9,F9,H9)*K9</f>
        <v>0</v>
      </c>
      <c r="P9" s="4679">
        <f>(D9*L9+F9*M9+H9*N9)*K9</f>
        <v>0</v>
      </c>
      <c r="Q9" s="4692">
        <v>14</v>
      </c>
      <c r="R9" s="4680" t="s">
        <v>5742</v>
      </c>
      <c r="S9" s="4694">
        <v>14</v>
      </c>
      <c r="T9" s="4700">
        <v>1</v>
      </c>
      <c r="U9" s="4692">
        <v>210</v>
      </c>
      <c r="V9" s="4680" t="s">
        <v>4521</v>
      </c>
      <c r="W9" s="4695">
        <v>140</v>
      </c>
      <c r="X9" s="4692">
        <v>1</v>
      </c>
      <c r="Y9" s="4692" t="s">
        <v>5743</v>
      </c>
      <c r="Z9" s="4683" t="s">
        <v>5035</v>
      </c>
      <c r="AA9" s="4692" t="s">
        <v>2814</v>
      </c>
      <c r="AB9" s="4683" t="s">
        <v>5050</v>
      </c>
      <c r="AC9" s="4692" t="s">
        <v>2814</v>
      </c>
      <c r="AD9" s="4696" t="s">
        <v>5951</v>
      </c>
      <c r="AE9" s="4685">
        <f>T9*K9</f>
        <v>0</v>
      </c>
    </row>
    <row r="10" spans="1:31" ht="33.75" customHeight="1">
      <c r="A10" s="4686">
        <v>3</v>
      </c>
      <c r="B10" s="4687">
        <v>46277</v>
      </c>
      <c r="C10" s="4687">
        <v>46279</v>
      </c>
      <c r="D10" s="4672">
        <f t="shared" si="0"/>
        <v>2</v>
      </c>
      <c r="E10" s="5011">
        <v>46298</v>
      </c>
      <c r="F10" s="4698">
        <f t="shared" si="1"/>
        <v>20</v>
      </c>
      <c r="G10" s="5011">
        <v>46300</v>
      </c>
      <c r="H10" s="4672">
        <f t="shared" si="2"/>
        <v>1</v>
      </c>
      <c r="I10" s="4691" t="s">
        <v>5090</v>
      </c>
      <c r="J10" s="4692">
        <v>26</v>
      </c>
      <c r="K10" s="4693">
        <v>25</v>
      </c>
      <c r="L10" s="5012">
        <v>31818</v>
      </c>
      <c r="M10" s="5012">
        <v>31818</v>
      </c>
      <c r="N10" s="5012">
        <v>31818</v>
      </c>
      <c r="O10" s="4678">
        <f>SUM(D10,F10,H10)*K10</f>
        <v>575</v>
      </c>
      <c r="P10" s="4679">
        <f>(D10*L10+F10*M10+H10*N10)*K10</f>
        <v>18295350</v>
      </c>
      <c r="Q10" s="4692">
        <v>17</v>
      </c>
      <c r="R10" s="4680" t="s">
        <v>5742</v>
      </c>
      <c r="S10" s="4694">
        <v>17</v>
      </c>
      <c r="T10" s="4700">
        <v>2</v>
      </c>
      <c r="U10" s="4692">
        <v>210</v>
      </c>
      <c r="V10" s="4680" t="s">
        <v>4521</v>
      </c>
      <c r="W10" s="4695">
        <v>110</v>
      </c>
      <c r="X10" s="4692">
        <v>2</v>
      </c>
      <c r="Y10" s="4692" t="s">
        <v>5743</v>
      </c>
      <c r="Z10" s="4683" t="s">
        <v>5035</v>
      </c>
      <c r="AA10" s="4692" t="s">
        <v>2814</v>
      </c>
      <c r="AB10" s="4683" t="s">
        <v>5050</v>
      </c>
      <c r="AC10" s="4692" t="s">
        <v>2814</v>
      </c>
      <c r="AD10" s="4696"/>
      <c r="AE10" s="4685">
        <f>T10*K10</f>
        <v>50</v>
      </c>
    </row>
    <row r="11" spans="1:31" ht="33.75" customHeight="1">
      <c r="A11" s="4686">
        <v>4</v>
      </c>
      <c r="B11" s="4687">
        <v>46277</v>
      </c>
      <c r="C11" s="4687">
        <v>46279</v>
      </c>
      <c r="D11" s="4672">
        <f t="shared" si="0"/>
        <v>2</v>
      </c>
      <c r="E11" s="5011">
        <v>46298</v>
      </c>
      <c r="F11" s="4698">
        <f t="shared" si="1"/>
        <v>20</v>
      </c>
      <c r="G11" s="5011">
        <v>46300</v>
      </c>
      <c r="H11" s="4672">
        <f t="shared" si="2"/>
        <v>1</v>
      </c>
      <c r="I11" s="4691" t="s">
        <v>5091</v>
      </c>
      <c r="J11" s="4692">
        <v>4</v>
      </c>
      <c r="K11" s="4693">
        <v>4</v>
      </c>
      <c r="L11" s="5012">
        <v>40909</v>
      </c>
      <c r="M11" s="5012">
        <v>40909</v>
      </c>
      <c r="N11" s="5012">
        <v>40909</v>
      </c>
      <c r="O11" s="4678">
        <f>SUM(D11,F11,H11)*K11</f>
        <v>92</v>
      </c>
      <c r="P11" s="4679">
        <f>(D11*L11+F11*M11+H11*N11)*K11</f>
        <v>3763628</v>
      </c>
      <c r="Q11" s="4692">
        <v>22</v>
      </c>
      <c r="R11" s="4680" t="s">
        <v>5742</v>
      </c>
      <c r="S11" s="4694">
        <v>22</v>
      </c>
      <c r="T11" s="4700">
        <v>2</v>
      </c>
      <c r="U11" s="4692">
        <v>210</v>
      </c>
      <c r="V11" s="4680" t="s">
        <v>4521</v>
      </c>
      <c r="W11" s="4695">
        <v>110</v>
      </c>
      <c r="X11" s="4692">
        <v>2</v>
      </c>
      <c r="Y11" s="4692" t="s">
        <v>5743</v>
      </c>
      <c r="Z11" s="4683" t="s">
        <v>5035</v>
      </c>
      <c r="AA11" s="4692" t="s">
        <v>2814</v>
      </c>
      <c r="AB11" s="4683" t="s">
        <v>5050</v>
      </c>
      <c r="AC11" s="4692" t="s">
        <v>2814</v>
      </c>
      <c r="AD11" s="4696"/>
      <c r="AE11" s="4685">
        <f>T11*K11</f>
        <v>8</v>
      </c>
    </row>
    <row r="12" spans="1:31" ht="33.75" customHeight="1">
      <c r="A12" s="4686">
        <v>5</v>
      </c>
      <c r="B12" s="4687">
        <v>46277</v>
      </c>
      <c r="C12" s="4687">
        <v>46279</v>
      </c>
      <c r="D12" s="4672">
        <f t="shared" si="0"/>
        <v>2</v>
      </c>
      <c r="E12" s="5011">
        <v>46298</v>
      </c>
      <c r="F12" s="4698">
        <f t="shared" si="1"/>
        <v>20</v>
      </c>
      <c r="G12" s="5011">
        <v>46300</v>
      </c>
      <c r="H12" s="4672">
        <f t="shared" si="2"/>
        <v>1</v>
      </c>
      <c r="I12" s="4691" t="s">
        <v>5113</v>
      </c>
      <c r="J12" s="4692">
        <v>5</v>
      </c>
      <c r="K12" s="4693">
        <v>4</v>
      </c>
      <c r="L12" s="5012">
        <v>47272</v>
      </c>
      <c r="M12" s="5012">
        <v>47272</v>
      </c>
      <c r="N12" s="5012">
        <v>47272</v>
      </c>
      <c r="O12" s="4678">
        <f>SUM(D12,F12,H12)*K12</f>
        <v>92</v>
      </c>
      <c r="P12" s="4679">
        <f>(D12*L12+F12*M12+H12*N12)*K12</f>
        <v>4349024</v>
      </c>
      <c r="Q12" s="4692">
        <v>22</v>
      </c>
      <c r="R12" s="4680" t="s">
        <v>5742</v>
      </c>
      <c r="S12" s="4694">
        <v>22</v>
      </c>
      <c r="T12" s="4700">
        <v>3</v>
      </c>
      <c r="U12" s="4692">
        <v>210</v>
      </c>
      <c r="V12" s="4680" t="s">
        <v>4521</v>
      </c>
      <c r="W12" s="4695">
        <v>110</v>
      </c>
      <c r="X12" s="4692">
        <v>3</v>
      </c>
      <c r="Y12" s="4692" t="s">
        <v>5743</v>
      </c>
      <c r="Z12" s="4683" t="s">
        <v>5035</v>
      </c>
      <c r="AA12" s="4692" t="s">
        <v>2814</v>
      </c>
      <c r="AB12" s="4683" t="s">
        <v>5050</v>
      </c>
      <c r="AC12" s="4692" t="s">
        <v>2814</v>
      </c>
      <c r="AD12" s="4696"/>
      <c r="AE12" s="4685">
        <f>T12*K12</f>
        <v>12</v>
      </c>
    </row>
    <row r="13" spans="1:31" ht="33.75" customHeight="1">
      <c r="A13" s="4686">
        <v>6</v>
      </c>
      <c r="B13" s="4687">
        <v>46277</v>
      </c>
      <c r="C13" s="4687">
        <v>46279</v>
      </c>
      <c r="D13" s="4672">
        <f t="shared" si="0"/>
        <v>2</v>
      </c>
      <c r="E13" s="5011">
        <v>46298</v>
      </c>
      <c r="F13" s="4698">
        <f t="shared" si="1"/>
        <v>20</v>
      </c>
      <c r="G13" s="5011">
        <v>46300</v>
      </c>
      <c r="H13" s="4672">
        <f t="shared" si="2"/>
        <v>1</v>
      </c>
      <c r="I13" s="4691" t="s">
        <v>5114</v>
      </c>
      <c r="J13" s="4692">
        <v>1</v>
      </c>
      <c r="K13" s="4693"/>
      <c r="L13" s="5012"/>
      <c r="M13" s="5012"/>
      <c r="N13" s="5012"/>
      <c r="O13" s="4678">
        <f>SUM(D13,F13,H13)*K13</f>
        <v>0</v>
      </c>
      <c r="P13" s="4679">
        <f>(D13*L13+F13*M13+H13*N13)*K13</f>
        <v>0</v>
      </c>
      <c r="Q13" s="4692">
        <v>44</v>
      </c>
      <c r="R13" s="4680" t="s">
        <v>5742</v>
      </c>
      <c r="S13" s="4694">
        <v>44</v>
      </c>
      <c r="T13" s="4700">
        <v>2</v>
      </c>
      <c r="U13" s="4692">
        <v>210</v>
      </c>
      <c r="V13" s="4680" t="s">
        <v>4521</v>
      </c>
      <c r="W13" s="4695">
        <v>120</v>
      </c>
      <c r="X13" s="4692">
        <v>2</v>
      </c>
      <c r="Y13" s="4692" t="s">
        <v>5743</v>
      </c>
      <c r="Z13" s="4683" t="s">
        <v>5035</v>
      </c>
      <c r="AA13" s="4692" t="s">
        <v>2814</v>
      </c>
      <c r="AB13" s="4683" t="s">
        <v>5050</v>
      </c>
      <c r="AC13" s="4692" t="s">
        <v>2814</v>
      </c>
      <c r="AD13" s="4696"/>
      <c r="AE13" s="4685">
        <f>T13*K13</f>
        <v>0</v>
      </c>
    </row>
    <row r="14" spans="1:31" ht="33.75" customHeight="1">
      <c r="A14" s="4686">
        <v>7</v>
      </c>
      <c r="B14" s="4687">
        <v>46277</v>
      </c>
      <c r="C14" s="4687">
        <v>46279</v>
      </c>
      <c r="D14" s="4672">
        <f t="shared" si="0"/>
        <v>2</v>
      </c>
      <c r="E14" s="5011">
        <v>46298</v>
      </c>
      <c r="F14" s="4698">
        <f t="shared" si="1"/>
        <v>20</v>
      </c>
      <c r="G14" s="5011">
        <v>46300</v>
      </c>
      <c r="H14" s="4672">
        <f t="shared" si="2"/>
        <v>1</v>
      </c>
      <c r="I14" s="4691" t="s">
        <v>5045</v>
      </c>
      <c r="J14" s="4692">
        <v>1</v>
      </c>
      <c r="K14" s="4693">
        <v>1</v>
      </c>
      <c r="L14" s="5012">
        <v>47272</v>
      </c>
      <c r="M14" s="5012">
        <v>47272</v>
      </c>
      <c r="N14" s="5012">
        <v>47272</v>
      </c>
      <c r="O14" s="4678">
        <f>SUM(D14,F14,H14)*K14</f>
        <v>23</v>
      </c>
      <c r="P14" s="4679">
        <f>(D14*L14+F14*M14+H14*N14)*K14</f>
        <v>1087256</v>
      </c>
      <c r="Q14" s="4692">
        <v>52</v>
      </c>
      <c r="R14" s="4680" t="s">
        <v>5742</v>
      </c>
      <c r="S14" s="4694">
        <v>52</v>
      </c>
      <c r="T14" s="4700">
        <v>4</v>
      </c>
      <c r="U14" s="4692" t="s">
        <v>5952</v>
      </c>
      <c r="V14" s="4680" t="s">
        <v>4521</v>
      </c>
      <c r="W14" s="4695" t="s">
        <v>5952</v>
      </c>
      <c r="X14" s="4692" t="s">
        <v>5952</v>
      </c>
      <c r="Y14" s="4692" t="s">
        <v>5953</v>
      </c>
      <c r="Z14" s="4683" t="s">
        <v>5035</v>
      </c>
      <c r="AA14" s="4692" t="s">
        <v>2814</v>
      </c>
      <c r="AB14" s="4683" t="s">
        <v>5050</v>
      </c>
      <c r="AC14" s="4692" t="s">
        <v>2814</v>
      </c>
      <c r="AD14" s="4696"/>
      <c r="AE14" s="4685">
        <f>T14*K14</f>
        <v>4</v>
      </c>
    </row>
    <row r="15" spans="1:31" ht="33.75" customHeight="1">
      <c r="A15" s="4686">
        <v>8</v>
      </c>
      <c r="B15" s="4687">
        <v>46277</v>
      </c>
      <c r="C15" s="4687">
        <v>46279</v>
      </c>
      <c r="D15" s="4672">
        <f t="shared" si="0"/>
        <v>2</v>
      </c>
      <c r="E15" s="5011">
        <v>46298</v>
      </c>
      <c r="F15" s="4698">
        <f t="shared" si="1"/>
        <v>20</v>
      </c>
      <c r="G15" s="5011">
        <v>46300</v>
      </c>
      <c r="H15" s="4672">
        <f t="shared" si="2"/>
        <v>1</v>
      </c>
      <c r="I15" s="4691" t="s">
        <v>5954</v>
      </c>
      <c r="J15" s="4692">
        <v>18</v>
      </c>
      <c r="K15" s="4693">
        <v>10</v>
      </c>
      <c r="L15" s="5012">
        <v>17272</v>
      </c>
      <c r="M15" s="5012">
        <v>17272</v>
      </c>
      <c r="N15" s="5012">
        <v>17272</v>
      </c>
      <c r="O15" s="4678">
        <f>SUM(D15,F15,H15)*K15</f>
        <v>230</v>
      </c>
      <c r="P15" s="4679">
        <f>(D15*L15+F15*M15+H15*N15)*K15</f>
        <v>3972560</v>
      </c>
      <c r="Q15" s="4692">
        <v>14</v>
      </c>
      <c r="R15" s="4680" t="s">
        <v>5742</v>
      </c>
      <c r="S15" s="4694">
        <v>14</v>
      </c>
      <c r="T15" s="4700">
        <v>2</v>
      </c>
      <c r="U15" s="4692">
        <v>210</v>
      </c>
      <c r="V15" s="4680" t="s">
        <v>4521</v>
      </c>
      <c r="W15" s="4695">
        <v>160</v>
      </c>
      <c r="X15" s="4692">
        <v>2</v>
      </c>
      <c r="Y15" s="4692" t="s">
        <v>5743</v>
      </c>
      <c r="Z15" s="4683" t="s">
        <v>5035</v>
      </c>
      <c r="AA15" s="4692" t="s">
        <v>2814</v>
      </c>
      <c r="AB15" s="4683" t="s">
        <v>5050</v>
      </c>
      <c r="AC15" s="4692" t="s">
        <v>2814</v>
      </c>
      <c r="AD15" s="4696" t="s">
        <v>5955</v>
      </c>
      <c r="AE15" s="4685">
        <f>T15*K15</f>
        <v>20</v>
      </c>
    </row>
    <row r="16" spans="1:31" ht="33.75" customHeight="1">
      <c r="A16" s="4686">
        <v>9</v>
      </c>
      <c r="B16" s="4687"/>
      <c r="C16" s="4687"/>
      <c r="D16" s="4672" t="str">
        <f t="shared" si="0"/>
        <v>1</v>
      </c>
      <c r="E16" s="4687"/>
      <c r="F16" s="4698">
        <f t="shared" si="1"/>
        <v>2</v>
      </c>
      <c r="G16" s="4699"/>
      <c r="H16" s="4672">
        <f t="shared" si="2"/>
        <v>0</v>
      </c>
      <c r="I16" s="4691"/>
      <c r="J16" s="4692"/>
      <c r="K16" s="4693"/>
      <c r="L16" s="4692"/>
      <c r="M16" s="4692"/>
      <c r="N16" s="4692"/>
      <c r="O16" s="4678">
        <f>SUM(D16,F16,H16)*K16</f>
        <v>0</v>
      </c>
      <c r="P16" s="4679">
        <f>(D16*L16+F16*M16+H16*N16)*K16</f>
        <v>0</v>
      </c>
      <c r="Q16" s="4692"/>
      <c r="R16" s="4680" t="s">
        <v>5742</v>
      </c>
      <c r="S16" s="4694"/>
      <c r="T16" s="4700"/>
      <c r="U16" s="4692"/>
      <c r="V16" s="4680" t="s">
        <v>4521</v>
      </c>
      <c r="W16" s="4695"/>
      <c r="X16" s="4692"/>
      <c r="Y16" s="4692"/>
      <c r="Z16" s="4683" t="s">
        <v>5035</v>
      </c>
      <c r="AA16" s="4692"/>
      <c r="AB16" s="4683" t="s">
        <v>5050</v>
      </c>
      <c r="AC16" s="4692"/>
      <c r="AD16" s="4696"/>
      <c r="AE16" s="4685">
        <f>T16*K16</f>
        <v>0</v>
      </c>
    </row>
    <row r="17" spans="1:31"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78">
        <f>SUM(D17,F17,H17)*K17</f>
        <v>0</v>
      </c>
      <c r="P17" s="4679">
        <f>(D17*L17+F17*M17+H17*N17)*K17</f>
        <v>0</v>
      </c>
      <c r="Q17" s="4692"/>
      <c r="R17" s="4680" t="s">
        <v>5742</v>
      </c>
      <c r="S17" s="4694"/>
      <c r="T17" s="4700"/>
      <c r="U17" s="4692"/>
      <c r="V17" s="4680" t="s">
        <v>4521</v>
      </c>
      <c r="W17" s="4695"/>
      <c r="X17" s="4692"/>
      <c r="Y17" s="4692"/>
      <c r="Z17" s="4683" t="s">
        <v>5035</v>
      </c>
      <c r="AA17" s="4692"/>
      <c r="AB17" s="4683" t="s">
        <v>5050</v>
      </c>
      <c r="AC17" s="4692"/>
      <c r="AD17" s="4696"/>
      <c r="AE17" s="4685">
        <f>T17*K17</f>
        <v>0</v>
      </c>
    </row>
    <row r="18" spans="1:31"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78">
        <f>SUM(D18,F18,H18)*K18</f>
        <v>0</v>
      </c>
      <c r="P18" s="4679">
        <f>(D18*L18+F18*M18+H18*N18)*K18</f>
        <v>0</v>
      </c>
      <c r="Q18" s="4692"/>
      <c r="R18" s="4680" t="s">
        <v>5742</v>
      </c>
      <c r="S18" s="4694"/>
      <c r="T18" s="4700"/>
      <c r="U18" s="4692"/>
      <c r="V18" s="4680" t="s">
        <v>4521</v>
      </c>
      <c r="W18" s="4695"/>
      <c r="X18" s="4692"/>
      <c r="Y18" s="4692"/>
      <c r="Z18" s="4683" t="s">
        <v>5035</v>
      </c>
      <c r="AA18" s="4692"/>
      <c r="AB18" s="4683" t="s">
        <v>5050</v>
      </c>
      <c r="AC18" s="4692"/>
      <c r="AD18" s="4696"/>
      <c r="AE18" s="4685">
        <f>T18*K18</f>
        <v>0</v>
      </c>
    </row>
    <row r="19" spans="1:31"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78">
        <f>SUM(D19,F19,H19)*K19</f>
        <v>0</v>
      </c>
      <c r="P19" s="4679">
        <f>(D19*L19+F19*M19+H19*N19)*K19</f>
        <v>0</v>
      </c>
      <c r="Q19" s="4692"/>
      <c r="R19" s="4680" t="s">
        <v>5742</v>
      </c>
      <c r="S19" s="4694"/>
      <c r="T19" s="4700"/>
      <c r="U19" s="4692"/>
      <c r="V19" s="4680" t="s">
        <v>4521</v>
      </c>
      <c r="W19" s="4695"/>
      <c r="X19" s="4692"/>
      <c r="Y19" s="4692"/>
      <c r="Z19" s="4683" t="s">
        <v>5035</v>
      </c>
      <c r="AA19" s="4692"/>
      <c r="AB19" s="4683" t="s">
        <v>5050</v>
      </c>
      <c r="AC19" s="4692"/>
      <c r="AD19" s="4696"/>
      <c r="AE19" s="4685">
        <f>T19*K19</f>
        <v>0</v>
      </c>
    </row>
    <row r="20" spans="1:31"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78">
        <f>SUM(D20,F20,H20)*K20</f>
        <v>0</v>
      </c>
      <c r="P20" s="4679">
        <f>(D20*L20+F20*M20+H20*N20)*K20</f>
        <v>0</v>
      </c>
      <c r="Q20" s="4692"/>
      <c r="R20" s="4680" t="s">
        <v>5742</v>
      </c>
      <c r="S20" s="4694"/>
      <c r="T20" s="4700"/>
      <c r="U20" s="4692"/>
      <c r="V20" s="4680" t="s">
        <v>4521</v>
      </c>
      <c r="W20" s="4695"/>
      <c r="X20" s="4692"/>
      <c r="Y20" s="4692"/>
      <c r="Z20" s="4683" t="s">
        <v>5035</v>
      </c>
      <c r="AA20" s="4692"/>
      <c r="AB20" s="4683" t="s">
        <v>5050</v>
      </c>
      <c r="AC20" s="4692"/>
      <c r="AD20" s="4696"/>
      <c r="AE20" s="4685">
        <f>T20*K20</f>
        <v>0</v>
      </c>
    </row>
    <row r="21" spans="1:31"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78">
        <f>SUM(D21,F21,H21)*K21</f>
        <v>0</v>
      </c>
      <c r="P21" s="4679">
        <f>(D21*L21+F21*M21+H21*N21)*K21</f>
        <v>0</v>
      </c>
      <c r="Q21" s="4692"/>
      <c r="R21" s="4680" t="s">
        <v>5742</v>
      </c>
      <c r="S21" s="4694"/>
      <c r="T21" s="4700"/>
      <c r="U21" s="4692"/>
      <c r="V21" s="4680" t="s">
        <v>4521</v>
      </c>
      <c r="W21" s="4695"/>
      <c r="X21" s="4692"/>
      <c r="Y21" s="4692"/>
      <c r="Z21" s="4683" t="s">
        <v>5035</v>
      </c>
      <c r="AA21" s="4692"/>
      <c r="AB21" s="4683" t="s">
        <v>5050</v>
      </c>
      <c r="AC21" s="4692"/>
      <c r="AD21" s="4696"/>
      <c r="AE21" s="4685">
        <f>T21*K21</f>
        <v>0</v>
      </c>
    </row>
    <row r="22" spans="1:31"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78">
        <f>SUM(D22,F22,H22)*K22</f>
        <v>0</v>
      </c>
      <c r="P22" s="4679">
        <f>(D22*L22+F22*M22+H22*N22)*K22</f>
        <v>0</v>
      </c>
      <c r="Q22" s="4692"/>
      <c r="R22" s="4680" t="s">
        <v>5739</v>
      </c>
      <c r="S22" s="4694"/>
      <c r="T22" s="4700"/>
      <c r="U22" s="4692"/>
      <c r="V22" s="4680" t="s">
        <v>4521</v>
      </c>
      <c r="W22" s="4695"/>
      <c r="X22" s="4692"/>
      <c r="Y22" s="4692"/>
      <c r="Z22" s="4683" t="s">
        <v>5035</v>
      </c>
      <c r="AA22" s="4692"/>
      <c r="AB22" s="4683" t="s">
        <v>5050</v>
      </c>
      <c r="AC22" s="4692"/>
      <c r="AD22" s="4696"/>
      <c r="AE22" s="4685">
        <f>T22*K22</f>
        <v>0</v>
      </c>
    </row>
    <row r="23" spans="1:31" ht="33.75" customHeight="1" thickTop="1" thickBot="1">
      <c r="A23" s="4701"/>
      <c r="B23" s="4702"/>
      <c r="C23" s="4702"/>
      <c r="D23" s="4702"/>
      <c r="E23" s="4702"/>
      <c r="F23" s="4703"/>
      <c r="G23" s="4704"/>
      <c r="H23" s="4702"/>
      <c r="I23" s="4705" t="s">
        <v>2432</v>
      </c>
      <c r="J23" s="4706">
        <f>SUM(J8:J22)</f>
        <v>273</v>
      </c>
      <c r="K23" s="4707">
        <f>SUM(K8:K22)</f>
        <v>234</v>
      </c>
      <c r="L23" s="4703"/>
      <c r="M23" s="4703"/>
      <c r="N23" s="4703"/>
      <c r="O23" s="4706">
        <f>SUM(O8:O22)</f>
        <v>5382</v>
      </c>
      <c r="P23" s="4706">
        <f>SUM(P8:P22)</f>
        <v>106946458</v>
      </c>
      <c r="Q23" s="6863"/>
      <c r="R23" s="6864"/>
      <c r="S23" s="6865"/>
      <c r="T23" s="4708"/>
      <c r="U23" s="6863"/>
      <c r="V23" s="6864"/>
      <c r="W23" s="6864"/>
      <c r="X23" s="4708"/>
      <c r="Y23" s="4708"/>
      <c r="Z23" s="6866"/>
      <c r="AA23" s="6867"/>
      <c r="AB23" s="6866"/>
      <c r="AC23" s="6867"/>
      <c r="AD23" s="4709"/>
      <c r="AE23" s="4685">
        <f>SUM(AE8:AE22)</f>
        <v>284</v>
      </c>
    </row>
    <row r="24" spans="1:31" ht="33.75" customHeight="1" thickBot="1">
      <c r="C24" s="4710"/>
      <c r="D24" s="4710"/>
      <c r="E24" s="4710"/>
      <c r="F24" s="4710"/>
      <c r="G24" s="4710"/>
      <c r="H24" s="4710"/>
      <c r="I24" s="4711"/>
      <c r="J24" s="4712"/>
      <c r="K24" s="4710"/>
      <c r="L24" s="4713" t="s">
        <v>5748</v>
      </c>
      <c r="M24" s="4714" t="e">
        <f>SUM(#REF!)</f>
        <v>#REF!</v>
      </c>
      <c r="N24" s="4715"/>
      <c r="O24" s="4715"/>
      <c r="R24" s="4656"/>
      <c r="V24" s="4656"/>
    </row>
    <row r="25" spans="1:31" ht="33.75" customHeight="1">
      <c r="A25" s="6845" t="s">
        <v>5749</v>
      </c>
      <c r="B25" s="6846"/>
      <c r="C25" s="4716">
        <f>O23</f>
        <v>5382</v>
      </c>
      <c r="D25" s="4717"/>
      <c r="F25" s="4718"/>
      <c r="H25" s="4719"/>
      <c r="I25" s="4720"/>
      <c r="K25" s="4659"/>
      <c r="L25" s="4721" t="s">
        <v>5750</v>
      </c>
      <c r="M25" s="4722" t="e">
        <f>M24*1.1</f>
        <v>#REF!</v>
      </c>
      <c r="O25" s="4656"/>
    </row>
    <row r="26" spans="1:31" ht="33.75" customHeight="1">
      <c r="A26" s="6847" t="s">
        <v>5883</v>
      </c>
      <c r="B26" s="6848"/>
      <c r="C26" s="4723">
        <f>P23</f>
        <v>106946458</v>
      </c>
      <c r="D26" s="4717"/>
      <c r="F26" s="4724"/>
      <c r="H26" s="4719"/>
      <c r="I26" s="4720"/>
      <c r="K26" s="4659"/>
      <c r="O26" s="4656"/>
    </row>
    <row r="27" spans="1:31" ht="33.75" customHeight="1" thickBot="1">
      <c r="A27" s="6913" t="s">
        <v>5751</v>
      </c>
      <c r="B27" s="6914"/>
      <c r="C27" s="4987">
        <f>ROUNDDOWN(C26*1.1,0)</f>
        <v>117641103</v>
      </c>
      <c r="D27" s="4719"/>
      <c r="F27" s="4724"/>
      <c r="H27" s="4719"/>
      <c r="I27" s="4720"/>
      <c r="K27" s="4659"/>
      <c r="O27" s="4656"/>
    </row>
    <row r="28" spans="1:31" ht="32.15" customHeight="1">
      <c r="A28" s="4726"/>
      <c r="B28" s="4726"/>
      <c r="C28" s="4726"/>
      <c r="D28" s="4726"/>
      <c r="E28" s="4726"/>
      <c r="F28" s="4726"/>
      <c r="G28" s="4726"/>
      <c r="H28" s="4726"/>
      <c r="I28" s="4727"/>
    </row>
    <row r="29" spans="1:31" ht="33.75" customHeight="1">
      <c r="A29" s="4728" t="s">
        <v>5752</v>
      </c>
      <c r="B29" s="4728"/>
      <c r="C29" s="4729"/>
      <c r="D29" s="4729"/>
      <c r="E29" s="4729"/>
      <c r="F29" s="4729"/>
      <c r="G29" s="4726"/>
      <c r="H29" s="4729"/>
      <c r="I29" s="4720"/>
      <c r="O29" s="4656"/>
    </row>
    <row r="30" spans="1:31" ht="36" customHeight="1">
      <c r="A30" s="4728" t="s">
        <v>5753</v>
      </c>
      <c r="B30" s="4728"/>
    </row>
    <row r="31" spans="1:31" ht="36" customHeight="1">
      <c r="A31" s="4730" t="s">
        <v>5754</v>
      </c>
      <c r="B31" s="4730"/>
    </row>
    <row r="32" spans="1:31"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D5:AD6"/>
    <mergeCell ref="AE5:AE6"/>
    <mergeCell ref="Q23:S23"/>
    <mergeCell ref="U23:W23"/>
    <mergeCell ref="Z23:AA23"/>
    <mergeCell ref="AB23:AC23"/>
    <mergeCell ref="Q5:S6"/>
    <mergeCell ref="T5:T6"/>
    <mergeCell ref="U5:W6"/>
    <mergeCell ref="X5:X6"/>
    <mergeCell ref="A25:B25"/>
    <mergeCell ref="A26:B26"/>
    <mergeCell ref="A27:B27"/>
    <mergeCell ref="Y5:Y6"/>
    <mergeCell ref="Z5:AC6"/>
    <mergeCell ref="N5:N6"/>
    <mergeCell ref="O5:P5"/>
    <mergeCell ref="H5:H6"/>
    <mergeCell ref="I5:I6"/>
    <mergeCell ref="J5:J6"/>
    <mergeCell ref="K5:K6"/>
    <mergeCell ref="L5:L6"/>
    <mergeCell ref="M5:M6"/>
  </mergeCells>
  <phoneticPr fontId="2"/>
  <conditionalFormatting sqref="B8:C22 E8:G22 H7:N22">
    <cfRule type="containsBlanks" dxfId="747" priority="3">
      <formula>LEN(TRIM(B7))=0</formula>
    </cfRule>
  </conditionalFormatting>
  <conditionalFormatting sqref="C2:D2">
    <cfRule type="containsBlanks" dxfId="746" priority="4">
      <formula>LEN(TRIM(C2))=0</formula>
    </cfRule>
  </conditionalFormatting>
  <conditionalFormatting sqref="D7:D22">
    <cfRule type="containsBlanks" dxfId="745" priority="2">
      <formula>LEN(TRIM(D7))=0</formula>
    </cfRule>
  </conditionalFormatting>
  <conditionalFormatting sqref="F7">
    <cfRule type="containsBlanks" dxfId="744" priority="5">
      <formula>LEN(TRIM(F7))=0</formula>
    </cfRule>
  </conditionalFormatting>
  <conditionalFormatting sqref="P7:Q22">
    <cfRule type="containsBlanks" dxfId="743" priority="9">
      <formula>LEN(TRIM(P7))=0</formula>
    </cfRule>
  </conditionalFormatting>
  <conditionalFormatting sqref="S7:U22">
    <cfRule type="containsBlanks" dxfId="742" priority="7">
      <formula>LEN(TRIM(S7))=0</formula>
    </cfRule>
  </conditionalFormatting>
  <conditionalFormatting sqref="W7:Y22">
    <cfRule type="containsBlanks" dxfId="741" priority="6">
      <formula>LEN(TRIM(W7))=0</formula>
    </cfRule>
  </conditionalFormatting>
  <conditionalFormatting sqref="AA7:AA22 AC7:AD22">
    <cfRule type="containsBlanks" dxfId="740" priority="8">
      <formula>LEN(TRIM(AA7))=0</formula>
    </cfRule>
  </conditionalFormatting>
  <printOptions horizontalCentered="1"/>
  <pageMargins left="0.39370078740157483" right="0.39370078740157483" top="0.55118110236220474" bottom="0.55118110236220474" header="0.31496062992125984" footer="0.31496062992125984"/>
  <pageSetup paperSize="8" scale="40" orientation="landscape" r:id="rId1"/>
  <headerFooter>
    <oddHeader>&amp;R&amp;G</oddHeader>
  </headerFooter>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2E12-D9D3-4581-B34F-19A8ADF3B72D}">
  <sheetPr codeName="Sheet328">
    <tabColor rgb="FFFFFF66"/>
    <pageSetUpPr fitToPage="1"/>
  </sheetPr>
  <dimension ref="A1:AE34"/>
  <sheetViews>
    <sheetView zoomScale="55" zoomScaleNormal="55" workbookViewId="0">
      <selection activeCell="J3" sqref="J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'[10]別紙1-1）客室提供条件'!C2</f>
        <v>アパホテル＜名古屋栄駅前＞EXCELLENT</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5013">
        <v>46277</v>
      </c>
      <c r="C8" s="5014">
        <v>46299</v>
      </c>
      <c r="D8" s="5015">
        <v>0.29166666666666669</v>
      </c>
      <c r="E8" s="5015">
        <v>0.95833333333333337</v>
      </c>
      <c r="F8" s="5016">
        <f t="shared" ref="F8:F13" si="1">IF(OR(ISBLANK($B8), ISBLANK($C8)), 0, _xlfn.DAYS($C8, $B8) + 1)</f>
        <v>23</v>
      </c>
      <c r="G8" s="5017" t="s">
        <v>5956</v>
      </c>
      <c r="H8" s="5018">
        <v>11</v>
      </c>
      <c r="I8" s="5019" t="s">
        <v>5957</v>
      </c>
      <c r="J8" s="5020">
        <v>13.7</v>
      </c>
      <c r="K8" s="5021">
        <v>8.1999999999999993</v>
      </c>
      <c r="L8" s="5022">
        <v>125</v>
      </c>
      <c r="M8" s="5023">
        <v>2.8</v>
      </c>
      <c r="N8" s="5018">
        <v>339658.6</v>
      </c>
      <c r="O8" s="4766">
        <f t="shared" si="0"/>
        <v>7812147.7999999998</v>
      </c>
      <c r="P8" s="4857"/>
      <c r="Q8" s="4858"/>
      <c r="R8" s="4864"/>
      <c r="S8" s="4858"/>
      <c r="T8" s="4859"/>
      <c r="U8" s="4860"/>
    </row>
    <row r="9" spans="1:31" ht="33.75" customHeight="1">
      <c r="A9" s="4758">
        <v>2</v>
      </c>
      <c r="B9" s="5014">
        <v>46300</v>
      </c>
      <c r="C9" s="5014">
        <v>46300</v>
      </c>
      <c r="D9" s="5015">
        <v>0.29166666666666669</v>
      </c>
      <c r="E9" s="5015">
        <v>0.5</v>
      </c>
      <c r="F9" s="5016">
        <f t="shared" si="1"/>
        <v>1</v>
      </c>
      <c r="G9" s="5017" t="s">
        <v>5956</v>
      </c>
      <c r="H9" s="5018">
        <v>11</v>
      </c>
      <c r="I9" s="5019" t="s">
        <v>5957</v>
      </c>
      <c r="J9" s="5020">
        <v>13.7</v>
      </c>
      <c r="K9" s="5021">
        <v>8.1999999999999993</v>
      </c>
      <c r="L9" s="5022">
        <v>125</v>
      </c>
      <c r="M9" s="5023">
        <v>2.8</v>
      </c>
      <c r="N9" s="5018">
        <v>139780</v>
      </c>
      <c r="O9" s="4766">
        <f t="shared" si="0"/>
        <v>139780</v>
      </c>
      <c r="P9" s="4857"/>
      <c r="Q9" s="4858"/>
      <c r="R9" s="4864"/>
      <c r="S9" s="4858"/>
      <c r="T9" s="4859"/>
      <c r="U9" s="4860"/>
      <c r="AC9" s="4657"/>
    </row>
    <row r="10" spans="1:31" ht="33.75" customHeight="1">
      <c r="A10" s="4758">
        <v>3</v>
      </c>
      <c r="B10" s="5013">
        <v>46277</v>
      </c>
      <c r="C10" s="5014">
        <v>46299</v>
      </c>
      <c r="D10" s="5015">
        <v>0.29166666666666669</v>
      </c>
      <c r="E10" s="5015">
        <v>0.95833333333333337</v>
      </c>
      <c r="F10" s="5024">
        <f t="shared" si="1"/>
        <v>23</v>
      </c>
      <c r="G10" s="5017" t="s">
        <v>5958</v>
      </c>
      <c r="H10" s="5018">
        <v>4</v>
      </c>
      <c r="I10" s="5019" t="s">
        <v>5157</v>
      </c>
      <c r="J10" s="5020">
        <v>11.9</v>
      </c>
      <c r="K10" s="5021">
        <v>24.5</v>
      </c>
      <c r="L10" s="5022">
        <v>310</v>
      </c>
      <c r="M10" s="5023">
        <v>2.9</v>
      </c>
      <c r="N10" s="5018">
        <v>602354.30000000005</v>
      </c>
      <c r="O10" s="4766">
        <f t="shared" si="0"/>
        <v>13854148.9</v>
      </c>
      <c r="P10" s="4857"/>
      <c r="Q10" s="4858"/>
      <c r="R10" s="4864"/>
      <c r="S10" s="4858"/>
      <c r="T10" s="4859"/>
      <c r="U10" s="4860"/>
      <c r="AC10" s="4657"/>
    </row>
    <row r="11" spans="1:31" ht="33.75" customHeight="1">
      <c r="A11" s="4758">
        <v>4</v>
      </c>
      <c r="B11" s="5014">
        <v>46300</v>
      </c>
      <c r="C11" s="5014">
        <v>46300</v>
      </c>
      <c r="D11" s="5015">
        <v>0.29166666666666669</v>
      </c>
      <c r="E11" s="5015">
        <v>0.5</v>
      </c>
      <c r="F11" s="5016">
        <f t="shared" si="1"/>
        <v>1</v>
      </c>
      <c r="G11" s="5017" t="s">
        <v>5958</v>
      </c>
      <c r="H11" s="5018">
        <v>4</v>
      </c>
      <c r="I11" s="5019" t="s">
        <v>5157</v>
      </c>
      <c r="J11" s="5020">
        <v>11.9</v>
      </c>
      <c r="K11" s="5021">
        <v>24.5</v>
      </c>
      <c r="L11" s="5022">
        <v>310</v>
      </c>
      <c r="M11" s="5023">
        <v>2.9</v>
      </c>
      <c r="N11" s="5018">
        <v>248240</v>
      </c>
      <c r="O11" s="4766">
        <f t="shared" si="0"/>
        <v>248240</v>
      </c>
      <c r="P11" s="4857"/>
      <c r="Q11" s="4858"/>
      <c r="R11" s="4864"/>
      <c r="S11" s="4858"/>
      <c r="T11" s="4859"/>
      <c r="U11" s="4860"/>
      <c r="AC11" s="4657"/>
    </row>
    <row r="12" spans="1:31" ht="33.75" customHeight="1">
      <c r="A12" s="4758">
        <v>5</v>
      </c>
      <c r="B12" s="5013">
        <v>46277</v>
      </c>
      <c r="C12" s="5014">
        <v>46299</v>
      </c>
      <c r="D12" s="5015">
        <v>0.29166666666666669</v>
      </c>
      <c r="E12" s="5015">
        <v>0.95833333333333337</v>
      </c>
      <c r="F12" s="5016">
        <f t="shared" si="1"/>
        <v>23</v>
      </c>
      <c r="G12" s="5017" t="s">
        <v>5959</v>
      </c>
      <c r="H12" s="5018">
        <v>4</v>
      </c>
      <c r="I12" s="5019" t="s">
        <v>5157</v>
      </c>
      <c r="J12" s="5020">
        <v>8.4</v>
      </c>
      <c r="K12" s="5021">
        <v>5.9</v>
      </c>
      <c r="L12" s="5022">
        <v>116</v>
      </c>
      <c r="M12" s="5023">
        <v>2.85</v>
      </c>
      <c r="N12" s="5018">
        <v>250494.3</v>
      </c>
      <c r="O12" s="4766">
        <f t="shared" si="0"/>
        <v>5761368.8999999994</v>
      </c>
      <c r="P12" s="4909"/>
      <c r="Q12" s="4858"/>
      <c r="R12" s="4864"/>
      <c r="S12" s="4858"/>
      <c r="T12" s="4859"/>
      <c r="U12" s="4860"/>
      <c r="AC12" s="4657"/>
    </row>
    <row r="13" spans="1:31" ht="33.75" customHeight="1">
      <c r="A13" s="4758">
        <v>6</v>
      </c>
      <c r="B13" s="5014">
        <v>46300</v>
      </c>
      <c r="C13" s="5014">
        <v>46300</v>
      </c>
      <c r="D13" s="5015">
        <v>0.29166666666666669</v>
      </c>
      <c r="E13" s="5015">
        <v>0.5</v>
      </c>
      <c r="F13" s="5016">
        <f t="shared" si="1"/>
        <v>1</v>
      </c>
      <c r="G13" s="5017" t="s">
        <v>5959</v>
      </c>
      <c r="H13" s="5018">
        <v>4</v>
      </c>
      <c r="I13" s="5019" t="s">
        <v>5157</v>
      </c>
      <c r="J13" s="5020">
        <v>8.4</v>
      </c>
      <c r="K13" s="5021">
        <v>5.9</v>
      </c>
      <c r="L13" s="5022">
        <v>116</v>
      </c>
      <c r="M13" s="5023">
        <v>2.85</v>
      </c>
      <c r="N13" s="5018">
        <v>103240</v>
      </c>
      <c r="O13" s="4766">
        <f t="shared" si="0"/>
        <v>103240</v>
      </c>
      <c r="P13" s="4909"/>
      <c r="Q13" s="4858"/>
      <c r="R13" s="4864"/>
      <c r="S13" s="4858"/>
      <c r="T13" s="4859"/>
      <c r="U13" s="4860"/>
      <c r="AC13" s="4657"/>
    </row>
    <row r="14" spans="1:31" ht="33.75" customHeight="1">
      <c r="A14" s="4758">
        <v>7</v>
      </c>
      <c r="B14" s="5025"/>
      <c r="C14" s="5026"/>
      <c r="D14" s="5027"/>
      <c r="E14" s="5027"/>
      <c r="F14" s="5016">
        <v>0</v>
      </c>
      <c r="G14" s="4771" t="s">
        <v>5095</v>
      </c>
      <c r="H14" s="4762">
        <v>5</v>
      </c>
      <c r="I14" s="4763" t="s">
        <v>5157</v>
      </c>
      <c r="J14" s="4764"/>
      <c r="K14" s="4765"/>
      <c r="L14" s="4765">
        <v>33</v>
      </c>
      <c r="M14" s="4765">
        <v>2.5</v>
      </c>
      <c r="N14" s="5028"/>
      <c r="O14" s="4766">
        <f t="shared" si="0"/>
        <v>0</v>
      </c>
      <c r="P14" s="4857"/>
      <c r="Q14" s="4858"/>
      <c r="R14" s="5029" t="s">
        <v>2129</v>
      </c>
      <c r="S14" s="5030"/>
      <c r="T14" s="5029" t="s">
        <v>2129</v>
      </c>
      <c r="U14" s="5031"/>
      <c r="AC14" s="4657"/>
    </row>
    <row r="15" spans="1:31" ht="33.75" customHeight="1">
      <c r="A15" s="4758">
        <v>8</v>
      </c>
      <c r="B15" s="5026"/>
      <c r="C15" s="5026"/>
      <c r="D15" s="5027"/>
      <c r="E15" s="5027"/>
      <c r="F15" s="5016">
        <v>0</v>
      </c>
      <c r="G15" s="4771" t="s">
        <v>5095</v>
      </c>
      <c r="H15" s="4762">
        <v>5</v>
      </c>
      <c r="I15" s="4763" t="s">
        <v>5157</v>
      </c>
      <c r="J15" s="4764"/>
      <c r="K15" s="4765"/>
      <c r="L15" s="4765">
        <v>33</v>
      </c>
      <c r="M15" s="4765">
        <v>2.5</v>
      </c>
      <c r="N15" s="5028"/>
      <c r="O15" s="4766">
        <f t="shared" si="0"/>
        <v>0</v>
      </c>
      <c r="P15" s="4857"/>
      <c r="Q15" s="4858"/>
      <c r="R15" s="5029" t="s">
        <v>2129</v>
      </c>
      <c r="S15" s="5030"/>
      <c r="T15" s="5029" t="s">
        <v>2129</v>
      </c>
      <c r="U15" s="5031"/>
      <c r="AC15" s="4657"/>
    </row>
    <row r="16" spans="1:31" ht="33.75" customHeight="1">
      <c r="A16" s="4758">
        <v>9</v>
      </c>
      <c r="B16" s="5032"/>
      <c r="C16" s="5032"/>
      <c r="D16" s="5033"/>
      <c r="E16" s="5015"/>
      <c r="F16" s="5016">
        <v>0</v>
      </c>
      <c r="G16" s="5032"/>
      <c r="H16" s="5034"/>
      <c r="I16" s="5019"/>
      <c r="J16" s="5035"/>
      <c r="K16" s="5022"/>
      <c r="L16" s="5022"/>
      <c r="M16" s="5022"/>
      <c r="N16" s="5018"/>
      <c r="O16" s="4766">
        <f t="shared" si="0"/>
        <v>0</v>
      </c>
      <c r="P16" s="4857"/>
      <c r="Q16" s="4858"/>
      <c r="R16" s="4859"/>
      <c r="S16" s="4858"/>
      <c r="T16" s="4859"/>
      <c r="U16" s="4860"/>
      <c r="AC16" s="4657"/>
    </row>
    <row r="17" spans="1:31" ht="33.75" customHeight="1" thickBot="1">
      <c r="A17" s="4772">
        <v>10</v>
      </c>
      <c r="B17" s="5036"/>
      <c r="C17" s="5036"/>
      <c r="D17" s="5037"/>
      <c r="E17" s="5038"/>
      <c r="F17" s="5016">
        <v>0</v>
      </c>
      <c r="G17" s="5036"/>
      <c r="H17" s="5039"/>
      <c r="I17" s="5040"/>
      <c r="J17" s="5035"/>
      <c r="K17" s="5022"/>
      <c r="L17" s="5022"/>
      <c r="M17" s="5022"/>
      <c r="N17" s="5041"/>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72</v>
      </c>
      <c r="G18" s="4779"/>
      <c r="H18" s="4781"/>
      <c r="I18" s="4782">
        <f>COUNTA(G8,G10,G12)</f>
        <v>3</v>
      </c>
      <c r="J18" s="4783"/>
      <c r="K18" s="4784"/>
      <c r="L18" s="4784"/>
      <c r="M18" s="4784"/>
      <c r="N18" s="4785"/>
      <c r="O18" s="4922">
        <f>SUM(O8:O17)</f>
        <v>27918925.599999998</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30710818.16</v>
      </c>
      <c r="P19" s="4884"/>
      <c r="Q19" s="4885"/>
      <c r="R19" s="4886"/>
      <c r="S19" s="4887"/>
      <c r="T19" s="4886"/>
      <c r="U19" s="4888"/>
      <c r="AC19" s="4657"/>
    </row>
    <row r="20" spans="1:31" ht="33.75" customHeight="1">
      <c r="A20" s="4656"/>
      <c r="B20" s="4660"/>
      <c r="C20" s="4660"/>
      <c r="D20" s="4660"/>
      <c r="G20" s="4660"/>
      <c r="H20" s="4660"/>
      <c r="M20" s="4808" t="s">
        <v>5748</v>
      </c>
      <c r="N20" s="4809">
        <f>SUM(N8,N10,N12)</f>
        <v>1192507.2</v>
      </c>
      <c r="O20" s="4656"/>
      <c r="P20" s="4657"/>
      <c r="Q20" s="4657"/>
      <c r="AC20" s="4657"/>
    </row>
    <row r="21" spans="1:31" ht="32.15" customHeight="1">
      <c r="A21" s="4656"/>
      <c r="B21" s="4660"/>
      <c r="C21" s="4660"/>
      <c r="D21" s="4660"/>
      <c r="G21" s="4660"/>
      <c r="H21" s="4660"/>
      <c r="M21" s="4808" t="s">
        <v>5750</v>
      </c>
      <c r="N21" s="4809">
        <f>N20*1.1</f>
        <v>1311757.9200000002</v>
      </c>
      <c r="O21" s="4656"/>
      <c r="P21" s="4657"/>
      <c r="Q21" s="4657"/>
      <c r="AC21" s="4657"/>
    </row>
    <row r="22" spans="1:31" ht="32.15" customHeight="1">
      <c r="B22" s="4657"/>
      <c r="C22" s="4657"/>
      <c r="D22" s="4657"/>
      <c r="E22" s="4810"/>
      <c r="F22" s="4811"/>
      <c r="G22" s="4657"/>
      <c r="H22" s="4657"/>
      <c r="O22" s="4656"/>
      <c r="P22" s="4657"/>
      <c r="Q22" s="4657"/>
      <c r="AC22" s="4657"/>
    </row>
    <row r="23" spans="1:31" ht="32.15" customHeight="1">
      <c r="A23" s="4812"/>
      <c r="B23" s="4813"/>
      <c r="C23" s="4813"/>
      <c r="D23" s="4813"/>
      <c r="E23" s="4814"/>
      <c r="F23" s="4814"/>
      <c r="G23" s="4813"/>
      <c r="H23" s="4813"/>
      <c r="I23" s="4812"/>
      <c r="J23" s="4812"/>
      <c r="K23" s="4812"/>
      <c r="L23" s="4812"/>
      <c r="M23" s="4812"/>
      <c r="N23" s="4812"/>
      <c r="O23" s="4715"/>
      <c r="P23" s="4715"/>
      <c r="Q23" s="4715"/>
      <c r="R23" s="4656"/>
      <c r="S23" s="4812"/>
      <c r="T23" s="4656"/>
      <c r="U23" s="4812"/>
      <c r="W23" s="6905"/>
      <c r="X23" s="6905"/>
      <c r="Y23" s="6905"/>
      <c r="Z23" s="6905"/>
      <c r="AA23" s="6905"/>
      <c r="AB23" s="6891"/>
      <c r="AC23" s="6891"/>
      <c r="AD23" s="6891"/>
      <c r="AE23" s="6891"/>
    </row>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10.4" customHeight="1">
      <c r="B34" s="4657"/>
      <c r="C34" s="4657"/>
      <c r="D34" s="4657"/>
      <c r="G34" s="4657"/>
      <c r="H34" s="4657"/>
      <c r="O34" s="4656"/>
      <c r="P34" s="4657"/>
      <c r="Q34" s="4657"/>
      <c r="AC34" s="4657"/>
    </row>
  </sheetData>
  <mergeCells count="21">
    <mergeCell ref="A2:B2"/>
    <mergeCell ref="C2:G2"/>
    <mergeCell ref="A5:A6"/>
    <mergeCell ref="B5:B6"/>
    <mergeCell ref="C5:C6"/>
    <mergeCell ref="D5:D6"/>
    <mergeCell ref="E5:E6"/>
    <mergeCell ref="F5:F6"/>
    <mergeCell ref="G5:G6"/>
    <mergeCell ref="AB23:AE23"/>
    <mergeCell ref="H5:H6"/>
    <mergeCell ref="I5:I6"/>
    <mergeCell ref="J5:J6"/>
    <mergeCell ref="K5:K6"/>
    <mergeCell ref="L5:L6"/>
    <mergeCell ref="M5:M6"/>
    <mergeCell ref="N5:N6"/>
    <mergeCell ref="O5:O6"/>
    <mergeCell ref="P5:Q5"/>
    <mergeCell ref="R5:U5"/>
    <mergeCell ref="W23:AA23"/>
  </mergeCells>
  <phoneticPr fontId="2"/>
  <conditionalFormatting sqref="B8:E17">
    <cfRule type="containsBlanks" dxfId="739" priority="2">
      <formula>LEN(TRIM(B8))=0</formula>
    </cfRule>
  </conditionalFormatting>
  <conditionalFormatting sqref="C2:D2">
    <cfRule type="containsBlanks" dxfId="738" priority="4">
      <formula>LEN(TRIM(C2))=0</formula>
    </cfRule>
  </conditionalFormatting>
  <conditionalFormatting sqref="G8:N17">
    <cfRule type="containsBlanks" dxfId="737" priority="1">
      <formula>LEN(TRIM(G8))=0</formula>
    </cfRule>
  </conditionalFormatting>
  <conditionalFormatting sqref="P8:U17">
    <cfRule type="containsBlanks" dxfId="736" priority="3">
      <formula>LEN(TRIM(P8))=0</formula>
    </cfRule>
  </conditionalFormatting>
  <dataValidations count="1">
    <dataValidation type="list" allowBlank="1" showInputMessage="1" showErrorMessage="1" sqref="I7:I17" xr:uid="{0AEFC42A-04A6-4142-9648-C8D16B876721}">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A8859-F309-4DB2-88CD-CDEE6EA55888}">
  <sheetPr codeName="Sheet329">
    <tabColor rgb="FFFFFF66"/>
    <pageSetUpPr fitToPage="1"/>
  </sheetPr>
  <dimension ref="A1:AE73"/>
  <sheetViews>
    <sheetView view="pageBreakPreview" zoomScale="55" zoomScaleNormal="70" zoomScaleSheetLayoutView="55" workbookViewId="0">
      <selection activeCell="A29" sqref="A29:B31"/>
    </sheetView>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0.26953125" style="4658" bestFit="1" customWidth="1"/>
    <col min="10" max="11" width="11.1796875" style="4656" customWidth="1"/>
    <col min="12" max="14" width="25.453125" style="4659" customWidth="1"/>
    <col min="15" max="15" width="16.453125" style="4659" bestFit="1" customWidth="1"/>
    <col min="16" max="16" width="20.453125" style="4656" customWidth="1"/>
    <col min="17" max="17" width="11.1796875" style="4657" customWidth="1"/>
    <col min="18" max="18" width="9.54296875" style="4657" customWidth="1"/>
    <col min="19" max="19" width="11.1796875" style="4657" customWidth="1"/>
    <col min="20" max="20" width="12.453125" style="4657" customWidth="1"/>
    <col min="21" max="21" width="11.1796875" style="4657" customWidth="1"/>
    <col min="22" max="22" width="9.54296875" style="4657" customWidth="1"/>
    <col min="23" max="24" width="11.1796875" style="4657" customWidth="1"/>
    <col min="25" max="25" width="24" style="4657" customWidth="1"/>
    <col min="26" max="26" width="9.81640625" style="4657"/>
    <col min="27" max="27" width="7.81640625" style="4657" customWidth="1"/>
    <col min="28" max="28" width="9.81640625" style="4657"/>
    <col min="29" max="29" width="7.81640625" style="4657" customWidth="1"/>
    <col min="30" max="30" width="40.1796875" style="4657" customWidth="1"/>
    <col min="31" max="31" width="22.1796875" style="4657" customWidth="1"/>
    <col min="32" max="16384" width="9.81640625" style="4657"/>
  </cols>
  <sheetData>
    <row r="1" spans="1:31" ht="21" customHeight="1" thickBot="1">
      <c r="R1" s="4656"/>
      <c r="T1" s="4660"/>
      <c r="V1" s="4656"/>
    </row>
    <row r="2" spans="1:31" ht="44.25" customHeight="1" thickBot="1">
      <c r="A2" s="6874" t="s">
        <v>5707</v>
      </c>
      <c r="B2" s="6875"/>
      <c r="C2" s="6876" t="s">
        <v>2824</v>
      </c>
      <c r="D2" s="6876"/>
      <c r="E2" s="6876"/>
      <c r="F2" s="6876"/>
      <c r="G2" s="6876"/>
      <c r="H2" s="4661" t="s">
        <v>5709</v>
      </c>
      <c r="I2" s="4662"/>
      <c r="J2" s="4663"/>
      <c r="L2" s="4663"/>
      <c r="M2" s="4663"/>
      <c r="N2" s="4663"/>
      <c r="R2" s="4656"/>
      <c r="T2" s="4660"/>
      <c r="V2" s="4656"/>
      <c r="AD2" s="4664" t="s">
        <v>5710</v>
      </c>
    </row>
    <row r="3" spans="1:31" ht="10.15" customHeight="1">
      <c r="R3" s="4656"/>
      <c r="T3" s="4660"/>
      <c r="V3" s="4656"/>
    </row>
    <row r="4" spans="1:31" ht="33.75" customHeight="1" thickBot="1">
      <c r="A4" s="4665" t="s">
        <v>5711</v>
      </c>
      <c r="B4" s="4665"/>
      <c r="R4" s="4656"/>
      <c r="V4" s="4656"/>
      <c r="Y4" s="4656"/>
      <c r="Z4" s="4656"/>
      <c r="AA4" s="4656"/>
      <c r="AB4" s="4656"/>
      <c r="AC4" s="4656"/>
      <c r="AE4" s="4656" t="s">
        <v>5712</v>
      </c>
    </row>
    <row r="5" spans="1:31"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5960</v>
      </c>
      <c r="N5" s="6855" t="s">
        <v>5798</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2792</v>
      </c>
      <c r="AE5" s="6862" t="s">
        <v>5734</v>
      </c>
    </row>
    <row r="6" spans="1:31" s="4666" customFormat="1" ht="20">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row>
    <row r="7" spans="1:31"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c r="N7" s="4677">
        <v>8000</v>
      </c>
      <c r="O7" s="4678">
        <f>SUM(D7,F7,H7)*K7</f>
        <v>1440</v>
      </c>
      <c r="P7" s="4679">
        <f>(D7*L7+F7*M7+H7*N7)*K7</f>
        <v>2340000</v>
      </c>
      <c r="Q7" s="4675">
        <v>21</v>
      </c>
      <c r="R7" s="4680" t="s">
        <v>5739</v>
      </c>
      <c r="S7" s="4681">
        <v>21</v>
      </c>
      <c r="T7" s="4815">
        <v>1</v>
      </c>
      <c r="U7" s="4675">
        <v>154</v>
      </c>
      <c r="V7" s="4680" t="s">
        <v>4521</v>
      </c>
      <c r="W7" s="4682">
        <v>203</v>
      </c>
      <c r="X7" s="4675">
        <v>1</v>
      </c>
      <c r="Y7" s="4675" t="s">
        <v>5740</v>
      </c>
      <c r="Z7" s="4683" t="s">
        <v>5035</v>
      </c>
      <c r="AA7" s="4675" t="s">
        <v>2830</v>
      </c>
      <c r="AB7" s="4683" t="s">
        <v>5050</v>
      </c>
      <c r="AC7" s="4675" t="s">
        <v>5741</v>
      </c>
      <c r="AD7" s="4684"/>
      <c r="AE7" s="4685"/>
    </row>
    <row r="8" spans="1:31" ht="33.75" customHeight="1">
      <c r="A8" s="4686">
        <v>1</v>
      </c>
      <c r="B8" s="4687">
        <v>46279</v>
      </c>
      <c r="C8" s="4687">
        <v>46281</v>
      </c>
      <c r="D8" s="4672">
        <f t="shared" ref="D8:D26" si="0">IF(_xlfn.DAYS(C8,B8)=0,"1",_xlfn.DAYS(C8,B8))</f>
        <v>2</v>
      </c>
      <c r="E8" s="4687">
        <v>46294</v>
      </c>
      <c r="F8" s="4698">
        <f t="shared" ref="F8:F26" si="1">IF(_xlfn.DAYS(E8,C8)=0,"1",_xlfn.DAYS(E8,C8))+1</f>
        <v>14</v>
      </c>
      <c r="G8" s="4687">
        <v>46296</v>
      </c>
      <c r="H8" s="4672">
        <f t="shared" ref="H8:H26" si="2">IF(_xlfn.DAYS(G8,E8)=0,"1",_xlfn.DAYS(G8,E8))-1</f>
        <v>1</v>
      </c>
      <c r="I8" s="4691" t="s">
        <v>5067</v>
      </c>
      <c r="J8" s="4692">
        <v>59</v>
      </c>
      <c r="K8" s="4693">
        <v>48</v>
      </c>
      <c r="L8" s="4692">
        <v>26000</v>
      </c>
      <c r="M8" s="4692">
        <v>26000</v>
      </c>
      <c r="N8" s="4692">
        <v>26000</v>
      </c>
      <c r="O8" s="4678">
        <f>SUM(D8,F8,H8)*K8</f>
        <v>816</v>
      </c>
      <c r="P8" s="4679">
        <f>(D8*L8+F8*M8+H8*N8)*K8</f>
        <v>21216000</v>
      </c>
      <c r="Q8" s="4692">
        <v>19.600000000000001</v>
      </c>
      <c r="R8" s="4680" t="s">
        <v>5742</v>
      </c>
      <c r="S8" s="4694">
        <v>19.600000000000001</v>
      </c>
      <c r="T8" s="4700">
        <v>1</v>
      </c>
      <c r="U8" s="4692">
        <v>141</v>
      </c>
      <c r="V8" s="4680" t="s">
        <v>4521</v>
      </c>
      <c r="W8" s="4695">
        <v>196</v>
      </c>
      <c r="X8" s="4692">
        <v>1</v>
      </c>
      <c r="Y8" s="4692" t="s">
        <v>5743</v>
      </c>
      <c r="Z8" s="4683" t="s">
        <v>5035</v>
      </c>
      <c r="AA8" s="4692" t="s">
        <v>5741</v>
      </c>
      <c r="AB8" s="4683" t="s">
        <v>5050</v>
      </c>
      <c r="AC8" s="4692" t="s">
        <v>2814</v>
      </c>
      <c r="AD8" s="4696"/>
      <c r="AE8" s="4685">
        <f>T8*K8</f>
        <v>48</v>
      </c>
    </row>
    <row r="9" spans="1:31" ht="33.75" customHeight="1">
      <c r="A9" s="4686">
        <v>2</v>
      </c>
      <c r="B9" s="4687">
        <v>46279</v>
      </c>
      <c r="C9" s="4687">
        <v>46281</v>
      </c>
      <c r="D9" s="4672">
        <f t="shared" si="0"/>
        <v>2</v>
      </c>
      <c r="E9" s="4687">
        <v>46294</v>
      </c>
      <c r="F9" s="4698">
        <f t="shared" si="1"/>
        <v>14</v>
      </c>
      <c r="G9" s="4687">
        <v>46296</v>
      </c>
      <c r="H9" s="4672">
        <f t="shared" si="2"/>
        <v>1</v>
      </c>
      <c r="I9" s="4691" t="s">
        <v>5961</v>
      </c>
      <c r="J9" s="4692">
        <v>73</v>
      </c>
      <c r="K9" s="4693">
        <v>63</v>
      </c>
      <c r="L9" s="4692">
        <v>48000</v>
      </c>
      <c r="M9" s="4692">
        <v>48000</v>
      </c>
      <c r="N9" s="4692">
        <v>48000</v>
      </c>
      <c r="O9" s="4678">
        <f>SUM(D9,F9,H9)*K9</f>
        <v>1071</v>
      </c>
      <c r="P9" s="4679">
        <f>(D9*L9+F9*M9+H9*N9)*K9</f>
        <v>51408000</v>
      </c>
      <c r="Q9" s="4692">
        <v>29.7</v>
      </c>
      <c r="R9" s="4680" t="s">
        <v>5742</v>
      </c>
      <c r="S9" s="4694">
        <v>31.5</v>
      </c>
      <c r="T9" s="5043">
        <v>2</v>
      </c>
      <c r="U9" s="4998">
        <v>121</v>
      </c>
      <c r="V9" s="4680" t="s">
        <v>4521</v>
      </c>
      <c r="W9" s="5044">
        <v>196</v>
      </c>
      <c r="X9" s="4998">
        <v>2</v>
      </c>
      <c r="Y9" s="4692" t="s">
        <v>5743</v>
      </c>
      <c r="Z9" s="4683" t="s">
        <v>5035</v>
      </c>
      <c r="AA9" s="4692" t="s">
        <v>5741</v>
      </c>
      <c r="AB9" s="4683" t="s">
        <v>5050</v>
      </c>
      <c r="AC9" s="4692" t="s">
        <v>5741</v>
      </c>
      <c r="AD9" s="4696"/>
      <c r="AE9" s="4685">
        <f>T9*K9</f>
        <v>126</v>
      </c>
    </row>
    <row r="10" spans="1:31" ht="33.75" customHeight="1">
      <c r="A10" s="4686">
        <v>3</v>
      </c>
      <c r="B10" s="4687">
        <v>46279</v>
      </c>
      <c r="C10" s="4687">
        <v>46281</v>
      </c>
      <c r="D10" s="4672">
        <f>IF(_xlfn.DAYS(C10,B10)=0,"1",_xlfn.DAYS(C10,B10))</f>
        <v>2</v>
      </c>
      <c r="E10" s="4687">
        <v>46294</v>
      </c>
      <c r="F10" s="4698">
        <f>IF(_xlfn.DAYS(E10,C10)=0,"1",_xlfn.DAYS(E10,C10))+1</f>
        <v>14</v>
      </c>
      <c r="G10" s="4687">
        <v>46296</v>
      </c>
      <c r="H10" s="4672">
        <f>IF(_xlfn.DAYS(G10,E10)=0,"1",_xlfn.DAYS(G10,E10))-1</f>
        <v>1</v>
      </c>
      <c r="I10" s="4691" t="s">
        <v>5962</v>
      </c>
      <c r="J10" s="4692">
        <v>3</v>
      </c>
      <c r="K10" s="4693">
        <v>3</v>
      </c>
      <c r="L10" s="4692">
        <v>48000</v>
      </c>
      <c r="M10" s="4692">
        <v>48000</v>
      </c>
      <c r="N10" s="4692">
        <v>48000</v>
      </c>
      <c r="O10" s="4678">
        <f>SUM(D10,F10,H10)*K10</f>
        <v>51</v>
      </c>
      <c r="P10" s="4679">
        <f>(D10*L10+F10*M10+H10*N10)*K10</f>
        <v>2448000</v>
      </c>
      <c r="Q10" s="4692">
        <v>29.7</v>
      </c>
      <c r="R10" s="4680" t="s">
        <v>5742</v>
      </c>
      <c r="S10" s="4694">
        <v>31.5</v>
      </c>
      <c r="T10" s="5043">
        <v>1</v>
      </c>
      <c r="U10" s="4998">
        <v>190</v>
      </c>
      <c r="V10" s="4680"/>
      <c r="W10" s="5044">
        <v>203</v>
      </c>
      <c r="X10" s="4998">
        <v>1</v>
      </c>
      <c r="Y10" s="4692" t="s">
        <v>5743</v>
      </c>
      <c r="Z10" s="4683" t="s">
        <v>5035</v>
      </c>
      <c r="AA10" s="4692" t="s">
        <v>5741</v>
      </c>
      <c r="AB10" s="4683" t="s">
        <v>5050</v>
      </c>
      <c r="AC10" s="4692" t="s">
        <v>5741</v>
      </c>
      <c r="AD10" s="4696"/>
      <c r="AE10" s="4685">
        <f>T10*K10</f>
        <v>3</v>
      </c>
    </row>
    <row r="11" spans="1:31" ht="33.75" customHeight="1">
      <c r="A11" s="4686">
        <v>4</v>
      </c>
      <c r="B11" s="4687">
        <v>46279</v>
      </c>
      <c r="C11" s="4687">
        <v>46281</v>
      </c>
      <c r="D11" s="4672">
        <f t="shared" si="0"/>
        <v>2</v>
      </c>
      <c r="E11" s="4687">
        <v>46294</v>
      </c>
      <c r="F11" s="4698">
        <f t="shared" si="1"/>
        <v>14</v>
      </c>
      <c r="G11" s="4687">
        <v>46296</v>
      </c>
      <c r="H11" s="4672">
        <f t="shared" si="2"/>
        <v>1</v>
      </c>
      <c r="I11" s="4691" t="s">
        <v>5963</v>
      </c>
      <c r="J11" s="4692">
        <v>48</v>
      </c>
      <c r="K11" s="4693">
        <v>36</v>
      </c>
      <c r="L11" s="4692">
        <v>34000</v>
      </c>
      <c r="M11" s="4692">
        <v>34000</v>
      </c>
      <c r="N11" s="4692">
        <v>34000</v>
      </c>
      <c r="O11" s="4678">
        <f>SUM(D11,F11,H11)*K11</f>
        <v>612</v>
      </c>
      <c r="P11" s="4679">
        <f>(D11*L11+F11*M11+H11*N11)*K11</f>
        <v>20808000</v>
      </c>
      <c r="Q11" s="4692">
        <v>21.9</v>
      </c>
      <c r="R11" s="4680" t="s">
        <v>5742</v>
      </c>
      <c r="S11" s="4694">
        <v>21.9</v>
      </c>
      <c r="T11" s="4700">
        <v>1</v>
      </c>
      <c r="U11" s="4692">
        <v>160</v>
      </c>
      <c r="V11" s="4680" t="s">
        <v>4521</v>
      </c>
      <c r="W11" s="4695">
        <v>196</v>
      </c>
      <c r="X11" s="4692">
        <v>1</v>
      </c>
      <c r="Y11" s="4692" t="s">
        <v>5743</v>
      </c>
      <c r="Z11" s="4683" t="s">
        <v>5035</v>
      </c>
      <c r="AA11" s="4692" t="s">
        <v>5741</v>
      </c>
      <c r="AB11" s="4683" t="s">
        <v>5050</v>
      </c>
      <c r="AC11" s="4692" t="s">
        <v>5741</v>
      </c>
      <c r="AD11" s="4696"/>
      <c r="AE11" s="4685">
        <f>T11*K11</f>
        <v>36</v>
      </c>
    </row>
    <row r="12" spans="1:31" ht="33.75" customHeight="1">
      <c r="A12" s="4686">
        <v>5</v>
      </c>
      <c r="B12" s="4687">
        <v>46279</v>
      </c>
      <c r="C12" s="4687">
        <v>46281</v>
      </c>
      <c r="D12" s="4672">
        <f t="shared" si="0"/>
        <v>2</v>
      </c>
      <c r="E12" s="4687">
        <v>46294</v>
      </c>
      <c r="F12" s="4698">
        <f t="shared" si="1"/>
        <v>14</v>
      </c>
      <c r="G12" s="4687">
        <v>46296</v>
      </c>
      <c r="H12" s="4672">
        <f t="shared" si="2"/>
        <v>1</v>
      </c>
      <c r="I12" s="4691" t="s">
        <v>5115</v>
      </c>
      <c r="J12" s="4692">
        <v>74</v>
      </c>
      <c r="K12" s="4693">
        <v>26</v>
      </c>
      <c r="L12" s="4692">
        <v>26000</v>
      </c>
      <c r="M12" s="4692">
        <v>26000</v>
      </c>
      <c r="N12" s="4692">
        <v>26000</v>
      </c>
      <c r="O12" s="4678">
        <f>SUM(D12,F12,H12)*K12</f>
        <v>442</v>
      </c>
      <c r="P12" s="4679">
        <f>(D12*L12+F12*M12+H12*N12)*K12</f>
        <v>11492000</v>
      </c>
      <c r="Q12" s="4692">
        <v>19.600000000000001</v>
      </c>
      <c r="R12" s="4680" t="s">
        <v>5742</v>
      </c>
      <c r="S12" s="4694">
        <v>19.600000000000001</v>
      </c>
      <c r="T12" s="4700">
        <v>1</v>
      </c>
      <c r="U12" s="4692">
        <v>141</v>
      </c>
      <c r="V12" s="4680" t="s">
        <v>4521</v>
      </c>
      <c r="W12" s="4695">
        <v>203</v>
      </c>
      <c r="X12" s="4692">
        <v>1</v>
      </c>
      <c r="Y12" s="4692" t="s">
        <v>5743</v>
      </c>
      <c r="Z12" s="4683" t="s">
        <v>5035</v>
      </c>
      <c r="AA12" s="4692" t="s">
        <v>5741</v>
      </c>
      <c r="AB12" s="4683" t="s">
        <v>5050</v>
      </c>
      <c r="AC12" s="4692" t="s">
        <v>5741</v>
      </c>
      <c r="AD12" s="4696"/>
      <c r="AE12" s="4685">
        <f>T12*K12</f>
        <v>26</v>
      </c>
    </row>
    <row r="13" spans="1:31" ht="33.75" customHeight="1">
      <c r="A13" s="4686">
        <v>6</v>
      </c>
      <c r="B13" s="4687">
        <v>46279</v>
      </c>
      <c r="C13" s="4687">
        <v>46281</v>
      </c>
      <c r="D13" s="4672">
        <f t="shared" si="0"/>
        <v>2</v>
      </c>
      <c r="E13" s="4687">
        <v>46294</v>
      </c>
      <c r="F13" s="4698">
        <f t="shared" si="1"/>
        <v>14</v>
      </c>
      <c r="G13" s="4687">
        <v>46296</v>
      </c>
      <c r="H13" s="4672">
        <f t="shared" si="2"/>
        <v>1</v>
      </c>
      <c r="I13" s="4691" t="s">
        <v>5070</v>
      </c>
      <c r="J13" s="4692">
        <v>6</v>
      </c>
      <c r="K13" s="4693">
        <v>6</v>
      </c>
      <c r="L13" s="4692">
        <v>26000</v>
      </c>
      <c r="M13" s="4692">
        <v>26000</v>
      </c>
      <c r="N13" s="4692">
        <v>26000</v>
      </c>
      <c r="O13" s="4678">
        <f>SUM(D13,F13,H13)*K13</f>
        <v>102</v>
      </c>
      <c r="P13" s="4679">
        <f>(D13*L13+F13*M13+H13*N13)*K13</f>
        <v>2652000</v>
      </c>
      <c r="Q13" s="4692">
        <v>19.600000000000001</v>
      </c>
      <c r="R13" s="4680" t="s">
        <v>5742</v>
      </c>
      <c r="S13" s="4694">
        <v>19.600000000000001</v>
      </c>
      <c r="T13" s="4700">
        <v>1</v>
      </c>
      <c r="U13" s="4692">
        <v>141</v>
      </c>
      <c r="V13" s="4680" t="s">
        <v>4521</v>
      </c>
      <c r="W13" s="4695">
        <v>203</v>
      </c>
      <c r="X13" s="4692">
        <v>1</v>
      </c>
      <c r="Y13" s="4692" t="s">
        <v>5743</v>
      </c>
      <c r="Z13" s="4683" t="s">
        <v>5035</v>
      </c>
      <c r="AA13" s="4692" t="s">
        <v>5741</v>
      </c>
      <c r="AB13" s="4683" t="s">
        <v>5050</v>
      </c>
      <c r="AC13" s="4692" t="s">
        <v>5741</v>
      </c>
      <c r="AD13" s="4696"/>
      <c r="AE13" s="4685">
        <f>T13*K13</f>
        <v>6</v>
      </c>
    </row>
    <row r="14" spans="1:31" ht="33.75" customHeight="1">
      <c r="A14" s="4686">
        <v>7</v>
      </c>
      <c r="B14" s="4687">
        <v>46279</v>
      </c>
      <c r="C14" s="4687">
        <v>46281</v>
      </c>
      <c r="D14" s="4672">
        <f t="shared" si="0"/>
        <v>2</v>
      </c>
      <c r="E14" s="4687">
        <v>46294</v>
      </c>
      <c r="F14" s="4698">
        <f t="shared" si="1"/>
        <v>14</v>
      </c>
      <c r="G14" s="4687">
        <v>46296</v>
      </c>
      <c r="H14" s="4672">
        <f t="shared" si="2"/>
        <v>1</v>
      </c>
      <c r="I14" s="4691" t="s">
        <v>5117</v>
      </c>
      <c r="J14" s="4692">
        <v>81</v>
      </c>
      <c r="K14" s="4693">
        <v>26</v>
      </c>
      <c r="L14" s="4692">
        <v>48000</v>
      </c>
      <c r="M14" s="4692">
        <v>48000</v>
      </c>
      <c r="N14" s="4692">
        <v>48000</v>
      </c>
      <c r="O14" s="4678">
        <f>SUM(D14,F14,H14)*K14</f>
        <v>442</v>
      </c>
      <c r="P14" s="4679">
        <f>(D14*L14+F14*M14+H14*N14)*K14</f>
        <v>21216000</v>
      </c>
      <c r="Q14" s="4692">
        <v>29.7</v>
      </c>
      <c r="R14" s="4680" t="s">
        <v>5742</v>
      </c>
      <c r="S14" s="4694">
        <v>31.5</v>
      </c>
      <c r="T14" s="4700">
        <v>2</v>
      </c>
      <c r="U14" s="4692">
        <v>121</v>
      </c>
      <c r="V14" s="4680" t="s">
        <v>4521</v>
      </c>
      <c r="W14" s="4695">
        <v>203</v>
      </c>
      <c r="X14" s="4692">
        <v>2</v>
      </c>
      <c r="Y14" s="4692" t="s">
        <v>5743</v>
      </c>
      <c r="Z14" s="4683" t="s">
        <v>5035</v>
      </c>
      <c r="AA14" s="4692" t="s">
        <v>5741</v>
      </c>
      <c r="AB14" s="4683" t="s">
        <v>5050</v>
      </c>
      <c r="AC14" s="4692" t="s">
        <v>5741</v>
      </c>
      <c r="AD14" s="4696"/>
      <c r="AE14" s="4685">
        <f>T14*K14</f>
        <v>52</v>
      </c>
    </row>
    <row r="15" spans="1:31" ht="33.75" customHeight="1">
      <c r="A15" s="4686">
        <v>8</v>
      </c>
      <c r="B15" s="4687">
        <v>46279</v>
      </c>
      <c r="C15" s="4687">
        <v>46281</v>
      </c>
      <c r="D15" s="4672">
        <f t="shared" si="0"/>
        <v>2</v>
      </c>
      <c r="E15" s="4687">
        <v>46294</v>
      </c>
      <c r="F15" s="4698">
        <f t="shared" si="1"/>
        <v>14</v>
      </c>
      <c r="G15" s="4687">
        <v>46296</v>
      </c>
      <c r="H15" s="4672">
        <f t="shared" si="2"/>
        <v>1</v>
      </c>
      <c r="I15" s="4691" t="s">
        <v>5118</v>
      </c>
      <c r="J15" s="4692">
        <v>13</v>
      </c>
      <c r="K15" s="4693">
        <v>12</v>
      </c>
      <c r="L15" s="4692">
        <v>48000</v>
      </c>
      <c r="M15" s="4692">
        <v>48000</v>
      </c>
      <c r="N15" s="4692">
        <v>48000</v>
      </c>
      <c r="O15" s="4678">
        <f>SUM(D15,F15,H15)*K15</f>
        <v>204</v>
      </c>
      <c r="P15" s="4679">
        <f>(D15*L15+F15*M15+H15*N15)*K15</f>
        <v>9792000</v>
      </c>
      <c r="Q15" s="4692">
        <v>31.5</v>
      </c>
      <c r="R15" s="4680" t="s">
        <v>5742</v>
      </c>
      <c r="S15" s="4694">
        <v>31.5</v>
      </c>
      <c r="T15" s="4700">
        <v>2</v>
      </c>
      <c r="U15" s="4692">
        <v>121</v>
      </c>
      <c r="V15" s="4680" t="s">
        <v>4521</v>
      </c>
      <c r="W15" s="4695">
        <v>203</v>
      </c>
      <c r="X15" s="4692">
        <v>2</v>
      </c>
      <c r="Y15" s="4692" t="s">
        <v>5743</v>
      </c>
      <c r="Z15" s="4683" t="s">
        <v>5035</v>
      </c>
      <c r="AA15" s="4692" t="s">
        <v>5741</v>
      </c>
      <c r="AB15" s="4683" t="s">
        <v>5050</v>
      </c>
      <c r="AC15" s="4692" t="s">
        <v>5741</v>
      </c>
      <c r="AD15" s="4696"/>
      <c r="AE15" s="4685">
        <f>T15*K15</f>
        <v>24</v>
      </c>
    </row>
    <row r="16" spans="1:31" ht="33.75" customHeight="1">
      <c r="A16" s="4686">
        <v>9</v>
      </c>
      <c r="B16" s="4687">
        <v>46279</v>
      </c>
      <c r="C16" s="4687">
        <v>46281</v>
      </c>
      <c r="D16" s="4672">
        <f t="shared" si="0"/>
        <v>2</v>
      </c>
      <c r="E16" s="4687">
        <v>46294</v>
      </c>
      <c r="F16" s="4698">
        <f t="shared" si="1"/>
        <v>14</v>
      </c>
      <c r="G16" s="4687">
        <v>46296</v>
      </c>
      <c r="H16" s="4672">
        <f t="shared" si="2"/>
        <v>1</v>
      </c>
      <c r="I16" s="4691" t="s">
        <v>5074</v>
      </c>
      <c r="J16" s="4692">
        <v>60</v>
      </c>
      <c r="K16" s="4693">
        <v>24</v>
      </c>
      <c r="L16" s="4692">
        <v>34000</v>
      </c>
      <c r="M16" s="4692">
        <v>34000</v>
      </c>
      <c r="N16" s="4692">
        <v>34000</v>
      </c>
      <c r="O16" s="4678">
        <f>SUM(D16,F16,H16)*K16</f>
        <v>408</v>
      </c>
      <c r="P16" s="4679">
        <f>(D16*L16+F16*M16+H16*N16)*K16</f>
        <v>13872000</v>
      </c>
      <c r="Q16" s="4692">
        <v>21.9</v>
      </c>
      <c r="R16" s="4680" t="s">
        <v>5742</v>
      </c>
      <c r="S16" s="4694">
        <v>21.9</v>
      </c>
      <c r="T16" s="4700">
        <v>1</v>
      </c>
      <c r="U16" s="4692">
        <v>160</v>
      </c>
      <c r="V16" s="4680" t="s">
        <v>4521</v>
      </c>
      <c r="W16" s="4695">
        <v>203</v>
      </c>
      <c r="X16" s="4692">
        <v>1</v>
      </c>
      <c r="Y16" s="4692" t="s">
        <v>5743</v>
      </c>
      <c r="Z16" s="4683" t="s">
        <v>5035</v>
      </c>
      <c r="AA16" s="4692" t="s">
        <v>5741</v>
      </c>
      <c r="AB16" s="4683" t="s">
        <v>5050</v>
      </c>
      <c r="AC16" s="4692" t="s">
        <v>5741</v>
      </c>
      <c r="AD16" s="4696"/>
      <c r="AE16" s="4685">
        <f>T16*K16</f>
        <v>24</v>
      </c>
    </row>
    <row r="17" spans="1:31" ht="33.75" customHeight="1">
      <c r="A17" s="4686">
        <v>10</v>
      </c>
      <c r="B17" s="4687">
        <v>46279</v>
      </c>
      <c r="C17" s="4687">
        <v>46281</v>
      </c>
      <c r="D17" s="4672">
        <f t="shared" si="0"/>
        <v>2</v>
      </c>
      <c r="E17" s="4687">
        <v>46294</v>
      </c>
      <c r="F17" s="4698">
        <f t="shared" si="1"/>
        <v>14</v>
      </c>
      <c r="G17" s="4687">
        <v>46296</v>
      </c>
      <c r="H17" s="4672">
        <f t="shared" si="2"/>
        <v>1</v>
      </c>
      <c r="I17" s="4691" t="s">
        <v>5068</v>
      </c>
      <c r="J17" s="4692">
        <v>48</v>
      </c>
      <c r="K17" s="4693">
        <v>0</v>
      </c>
      <c r="L17" s="4692"/>
      <c r="M17" s="4692"/>
      <c r="N17" s="4692"/>
      <c r="O17" s="4678">
        <f>SUM(D17,F17,H17)*K17</f>
        <v>0</v>
      </c>
      <c r="P17" s="4679">
        <f>(D17*L17+F17*M17+H17*N17)*K17</f>
        <v>0</v>
      </c>
      <c r="Q17" s="4692">
        <v>19.600000000000001</v>
      </c>
      <c r="R17" s="4680" t="s">
        <v>5742</v>
      </c>
      <c r="S17" s="4694">
        <v>19.600000000000001</v>
      </c>
      <c r="T17" s="4700">
        <v>1</v>
      </c>
      <c r="U17" s="4692">
        <v>141</v>
      </c>
      <c r="V17" s="4680" t="s">
        <v>4521</v>
      </c>
      <c r="W17" s="4695">
        <v>203</v>
      </c>
      <c r="X17" s="4692">
        <v>1</v>
      </c>
      <c r="Y17" s="4692" t="s">
        <v>5743</v>
      </c>
      <c r="Z17" s="4683" t="s">
        <v>5035</v>
      </c>
      <c r="AA17" s="4692"/>
      <c r="AB17" s="4683" t="s">
        <v>5050</v>
      </c>
      <c r="AC17" s="4692"/>
      <c r="AD17" s="4696"/>
      <c r="AE17" s="4685">
        <f>T17*K17</f>
        <v>0</v>
      </c>
    </row>
    <row r="18" spans="1:31" ht="33.75" customHeight="1">
      <c r="A18" s="4686">
        <v>11</v>
      </c>
      <c r="B18" s="4687">
        <v>46279</v>
      </c>
      <c r="C18" s="4687">
        <v>46281</v>
      </c>
      <c r="D18" s="4672">
        <f t="shared" si="0"/>
        <v>2</v>
      </c>
      <c r="E18" s="4687">
        <v>46294</v>
      </c>
      <c r="F18" s="4698">
        <f t="shared" si="1"/>
        <v>14</v>
      </c>
      <c r="G18" s="4687">
        <v>46296</v>
      </c>
      <c r="H18" s="4672">
        <f t="shared" si="2"/>
        <v>1</v>
      </c>
      <c r="I18" s="4691" t="s">
        <v>5119</v>
      </c>
      <c r="J18" s="4692">
        <v>30</v>
      </c>
      <c r="K18" s="4693">
        <v>0</v>
      </c>
      <c r="L18" s="4692"/>
      <c r="M18" s="4692"/>
      <c r="N18" s="4692"/>
      <c r="O18" s="4678">
        <f>SUM(D18,F18,H18)*K18</f>
        <v>0</v>
      </c>
      <c r="P18" s="4679">
        <f>(D18*L18+F18*M18+H18*N18)*K18</f>
        <v>0</v>
      </c>
      <c r="Q18" s="4692">
        <v>29.7</v>
      </c>
      <c r="R18" s="4680" t="s">
        <v>5742</v>
      </c>
      <c r="S18" s="4694">
        <v>29.7</v>
      </c>
      <c r="T18" s="4700">
        <v>2</v>
      </c>
      <c r="U18" s="4692">
        <v>121</v>
      </c>
      <c r="V18" s="4680" t="s">
        <v>4521</v>
      </c>
      <c r="W18" s="4695">
        <v>203</v>
      </c>
      <c r="X18" s="4692">
        <v>2</v>
      </c>
      <c r="Y18" s="4692" t="s">
        <v>5743</v>
      </c>
      <c r="Z18" s="4683" t="s">
        <v>5035</v>
      </c>
      <c r="AA18" s="4692"/>
      <c r="AB18" s="4683" t="s">
        <v>5050</v>
      </c>
      <c r="AC18" s="4692"/>
      <c r="AD18" s="4696"/>
      <c r="AE18" s="4685">
        <f>T18*K18</f>
        <v>0</v>
      </c>
    </row>
    <row r="19" spans="1:31" ht="33.75" customHeight="1">
      <c r="A19" s="4686">
        <v>12</v>
      </c>
      <c r="B19" s="4687">
        <v>46279</v>
      </c>
      <c r="C19" s="4687">
        <v>46281</v>
      </c>
      <c r="D19" s="4672">
        <f t="shared" si="0"/>
        <v>2</v>
      </c>
      <c r="E19" s="4687">
        <v>46294</v>
      </c>
      <c r="F19" s="4698">
        <f t="shared" si="1"/>
        <v>14</v>
      </c>
      <c r="G19" s="4687">
        <v>46296</v>
      </c>
      <c r="H19" s="4672">
        <f t="shared" si="2"/>
        <v>1</v>
      </c>
      <c r="I19" s="4691" t="s">
        <v>5116</v>
      </c>
      <c r="J19" s="4692">
        <v>52</v>
      </c>
      <c r="K19" s="4693">
        <v>0</v>
      </c>
      <c r="L19" s="4692"/>
      <c r="M19" s="4692"/>
      <c r="N19" s="4692"/>
      <c r="O19" s="4678">
        <f>SUM(D19,F19,H19)*K19</f>
        <v>0</v>
      </c>
      <c r="P19" s="4679">
        <f>(D19*L19+F19*M19+H19*N19)*K19</f>
        <v>0</v>
      </c>
      <c r="Q19" s="4692">
        <v>21.9</v>
      </c>
      <c r="R19" s="4680" t="s">
        <v>5742</v>
      </c>
      <c r="S19" s="4694">
        <v>21.9</v>
      </c>
      <c r="T19" s="4700">
        <v>1</v>
      </c>
      <c r="U19" s="4692">
        <v>160</v>
      </c>
      <c r="V19" s="4680" t="s">
        <v>4521</v>
      </c>
      <c r="W19" s="4695">
        <v>203</v>
      </c>
      <c r="X19" s="4692">
        <v>1</v>
      </c>
      <c r="Y19" s="4692" t="s">
        <v>5743</v>
      </c>
      <c r="Z19" s="4683" t="s">
        <v>5035</v>
      </c>
      <c r="AA19" s="4692"/>
      <c r="AB19" s="4683" t="s">
        <v>5050</v>
      </c>
      <c r="AC19" s="4692"/>
      <c r="AD19" s="4696"/>
      <c r="AE19" s="4685">
        <f>T19*K19</f>
        <v>0</v>
      </c>
    </row>
    <row r="20" spans="1:31" ht="33.75" customHeight="1">
      <c r="A20" s="4686">
        <v>13</v>
      </c>
      <c r="B20" s="4687">
        <v>46279</v>
      </c>
      <c r="C20" s="4687">
        <v>46281</v>
      </c>
      <c r="D20" s="4672">
        <f t="shared" si="0"/>
        <v>2</v>
      </c>
      <c r="E20" s="4687">
        <v>46294</v>
      </c>
      <c r="F20" s="4698">
        <f t="shared" si="1"/>
        <v>14</v>
      </c>
      <c r="G20" s="4687">
        <v>46296</v>
      </c>
      <c r="H20" s="4672">
        <f t="shared" si="2"/>
        <v>1</v>
      </c>
      <c r="I20" s="4691" t="s">
        <v>5120</v>
      </c>
      <c r="J20" s="4692">
        <v>9</v>
      </c>
      <c r="K20" s="4693">
        <v>2</v>
      </c>
      <c r="L20" s="4692">
        <v>90000</v>
      </c>
      <c r="M20" s="4692">
        <v>90000</v>
      </c>
      <c r="N20" s="4692">
        <v>90000</v>
      </c>
      <c r="O20" s="4678">
        <f>SUM(D20,F20,H20)*K20</f>
        <v>34</v>
      </c>
      <c r="P20" s="4679">
        <f>(D20*L20+F20*M20+H20*N20)*K20</f>
        <v>3060000</v>
      </c>
      <c r="Q20" s="4692">
        <v>59.9</v>
      </c>
      <c r="R20" s="4680" t="s">
        <v>5742</v>
      </c>
      <c r="S20" s="4694">
        <v>59.9</v>
      </c>
      <c r="T20" s="4700">
        <v>2</v>
      </c>
      <c r="U20" s="4692">
        <v>141</v>
      </c>
      <c r="V20" s="4680" t="s">
        <v>4521</v>
      </c>
      <c r="W20" s="4695">
        <v>203</v>
      </c>
      <c r="X20" s="4692">
        <v>2</v>
      </c>
      <c r="Y20" s="4692" t="s">
        <v>5743</v>
      </c>
      <c r="Z20" s="4683" t="s">
        <v>5035</v>
      </c>
      <c r="AA20" s="4692" t="s">
        <v>5741</v>
      </c>
      <c r="AB20" s="4683" t="s">
        <v>5050</v>
      </c>
      <c r="AC20" s="4692" t="s">
        <v>5741</v>
      </c>
      <c r="AD20" s="4696"/>
      <c r="AE20" s="4685">
        <f>T20*K20</f>
        <v>4</v>
      </c>
    </row>
    <row r="21" spans="1:31" ht="33.75" customHeight="1">
      <c r="A21" s="4686">
        <v>14</v>
      </c>
      <c r="B21" s="4687">
        <v>46279</v>
      </c>
      <c r="C21" s="4687">
        <v>46281</v>
      </c>
      <c r="D21" s="4672">
        <f t="shared" si="0"/>
        <v>2</v>
      </c>
      <c r="E21" s="4687">
        <v>46294</v>
      </c>
      <c r="F21" s="4698">
        <f t="shared" si="1"/>
        <v>14</v>
      </c>
      <c r="G21" s="4687">
        <v>46296</v>
      </c>
      <c r="H21" s="4672">
        <f t="shared" si="2"/>
        <v>1</v>
      </c>
      <c r="I21" s="4691" t="s">
        <v>5964</v>
      </c>
      <c r="J21" s="4692">
        <v>1</v>
      </c>
      <c r="K21" s="4693">
        <v>0</v>
      </c>
      <c r="L21" s="4692"/>
      <c r="M21" s="4692"/>
      <c r="N21" s="4692"/>
      <c r="O21" s="4678">
        <f>SUM(D21,F21,H21)*K21</f>
        <v>0</v>
      </c>
      <c r="P21" s="4679">
        <f>(D21*L21+F21*M21+H21*N21)*K21</f>
        <v>0</v>
      </c>
      <c r="Q21" s="4692">
        <v>59.9</v>
      </c>
      <c r="R21" s="4680" t="s">
        <v>5742</v>
      </c>
      <c r="S21" s="4694">
        <v>59.9</v>
      </c>
      <c r="T21" s="4700">
        <v>2</v>
      </c>
      <c r="U21" s="4692">
        <v>121</v>
      </c>
      <c r="V21" s="4680" t="s">
        <v>4521</v>
      </c>
      <c r="W21" s="4695">
        <v>203</v>
      </c>
      <c r="X21" s="4692">
        <v>2</v>
      </c>
      <c r="Y21" s="4692" t="s">
        <v>5953</v>
      </c>
      <c r="Z21" s="4683" t="s">
        <v>5035</v>
      </c>
      <c r="AA21" s="4692"/>
      <c r="AB21" s="4683" t="s">
        <v>5050</v>
      </c>
      <c r="AC21" s="4692"/>
      <c r="AD21" s="4696"/>
      <c r="AE21" s="4685">
        <f>T21*K21</f>
        <v>0</v>
      </c>
    </row>
    <row r="22" spans="1:31" ht="33.75" customHeight="1">
      <c r="A22" s="4686">
        <v>15</v>
      </c>
      <c r="B22" s="4687">
        <v>46279</v>
      </c>
      <c r="C22" s="4687">
        <v>46281</v>
      </c>
      <c r="D22" s="4672">
        <f t="shared" si="0"/>
        <v>2</v>
      </c>
      <c r="E22" s="4687">
        <v>46294</v>
      </c>
      <c r="F22" s="4698">
        <f t="shared" si="1"/>
        <v>14</v>
      </c>
      <c r="G22" s="4687">
        <v>46296</v>
      </c>
      <c r="H22" s="4672">
        <f t="shared" si="2"/>
        <v>1</v>
      </c>
      <c r="I22" s="4691" t="s">
        <v>5121</v>
      </c>
      <c r="J22" s="4692">
        <v>2</v>
      </c>
      <c r="K22" s="4693">
        <v>0</v>
      </c>
      <c r="L22" s="4692"/>
      <c r="M22" s="4692"/>
      <c r="N22" s="4692"/>
      <c r="O22" s="4678">
        <f>SUM(D22,F22,H22)*K22</f>
        <v>0</v>
      </c>
      <c r="P22" s="4679">
        <f>(D22*L22+F22*M22+H22*N22)*K22</f>
        <v>0</v>
      </c>
      <c r="Q22" s="4692">
        <v>86.3</v>
      </c>
      <c r="R22" s="4680" t="s">
        <v>5742</v>
      </c>
      <c r="S22" s="4694">
        <v>86.3</v>
      </c>
      <c r="T22" s="4700">
        <v>2</v>
      </c>
      <c r="U22" s="4692">
        <v>121</v>
      </c>
      <c r="V22" s="4680" t="s">
        <v>4521</v>
      </c>
      <c r="W22" s="4695">
        <v>196</v>
      </c>
      <c r="X22" s="4692">
        <v>2</v>
      </c>
      <c r="Y22" s="4692" t="s">
        <v>5953</v>
      </c>
      <c r="Z22" s="4683" t="s">
        <v>5035</v>
      </c>
      <c r="AA22" s="4692"/>
      <c r="AB22" s="4683" t="s">
        <v>5050</v>
      </c>
      <c r="AC22" s="4692"/>
      <c r="AD22" s="4696"/>
      <c r="AE22" s="4685">
        <f>T22*K22</f>
        <v>0</v>
      </c>
    </row>
    <row r="23" spans="1:31" ht="33.75" customHeight="1">
      <c r="A23" s="4686">
        <v>16</v>
      </c>
      <c r="B23" s="4687">
        <v>46279</v>
      </c>
      <c r="C23" s="4687">
        <v>46281</v>
      </c>
      <c r="D23" s="4672">
        <f t="shared" si="0"/>
        <v>2</v>
      </c>
      <c r="E23" s="4687">
        <v>46294</v>
      </c>
      <c r="F23" s="4698">
        <f t="shared" si="1"/>
        <v>14</v>
      </c>
      <c r="G23" s="4687">
        <v>46296</v>
      </c>
      <c r="H23" s="4672">
        <f t="shared" si="2"/>
        <v>1</v>
      </c>
      <c r="I23" s="4691" t="s">
        <v>5122</v>
      </c>
      <c r="J23" s="4692">
        <v>1</v>
      </c>
      <c r="K23" s="4693">
        <v>0</v>
      </c>
      <c r="L23" s="4692"/>
      <c r="M23" s="4692"/>
      <c r="N23" s="4692"/>
      <c r="O23" s="4678">
        <f>SUM(D23,F23,H23)*K23</f>
        <v>0</v>
      </c>
      <c r="P23" s="4679">
        <f>(D23*L23+F23*M23+H23*N23)*K23</f>
        <v>0</v>
      </c>
      <c r="Q23" s="4692">
        <v>123.9</v>
      </c>
      <c r="R23" s="4680" t="s">
        <v>5742</v>
      </c>
      <c r="S23" s="4694">
        <v>123.9</v>
      </c>
      <c r="T23" s="4700">
        <v>2</v>
      </c>
      <c r="U23" s="4692">
        <v>141</v>
      </c>
      <c r="V23" s="4680" t="s">
        <v>4521</v>
      </c>
      <c r="W23" s="4695">
        <v>196</v>
      </c>
      <c r="X23" s="4692">
        <v>2</v>
      </c>
      <c r="Y23" s="4692" t="s">
        <v>5953</v>
      </c>
      <c r="Z23" s="4683" t="s">
        <v>5035</v>
      </c>
      <c r="AA23" s="4692"/>
      <c r="AB23" s="4683" t="s">
        <v>5050</v>
      </c>
      <c r="AC23" s="4692"/>
      <c r="AD23" s="4696"/>
      <c r="AE23" s="4685">
        <f>T23*K23</f>
        <v>0</v>
      </c>
    </row>
    <row r="24" spans="1:31" ht="33.75" customHeight="1">
      <c r="A24" s="4686">
        <v>17</v>
      </c>
      <c r="B24" s="4687">
        <v>46279</v>
      </c>
      <c r="C24" s="4687">
        <v>46281</v>
      </c>
      <c r="D24" s="4672">
        <f t="shared" si="0"/>
        <v>2</v>
      </c>
      <c r="E24" s="4687">
        <v>46294</v>
      </c>
      <c r="F24" s="4698">
        <f t="shared" si="1"/>
        <v>14</v>
      </c>
      <c r="G24" s="4687">
        <v>46296</v>
      </c>
      <c r="H24" s="4672">
        <f t="shared" si="2"/>
        <v>1</v>
      </c>
      <c r="I24" s="4691" t="s">
        <v>5123</v>
      </c>
      <c r="J24" s="4692">
        <v>1</v>
      </c>
      <c r="K24" s="4693">
        <v>0</v>
      </c>
      <c r="L24" s="4692"/>
      <c r="M24" s="4692"/>
      <c r="N24" s="4692"/>
      <c r="O24" s="4678">
        <f>SUM(D24,F24,H24)*K24</f>
        <v>0</v>
      </c>
      <c r="P24" s="4679">
        <f>(D24*L24+F24*M24+H24*N24)*K24</f>
        <v>0</v>
      </c>
      <c r="Q24" s="4692">
        <v>174.5</v>
      </c>
      <c r="R24" s="4680" t="s">
        <v>5742</v>
      </c>
      <c r="S24" s="4694">
        <v>174.5</v>
      </c>
      <c r="T24" s="4700">
        <v>2</v>
      </c>
      <c r="U24" s="4692">
        <v>141</v>
      </c>
      <c r="V24" s="4680" t="s">
        <v>4521</v>
      </c>
      <c r="W24" s="4695">
        <v>196</v>
      </c>
      <c r="X24" s="4692">
        <v>2</v>
      </c>
      <c r="Y24" s="4692" t="s">
        <v>5953</v>
      </c>
      <c r="Z24" s="4683" t="s">
        <v>5035</v>
      </c>
      <c r="AA24" s="4692"/>
      <c r="AB24" s="4683" t="s">
        <v>5050</v>
      </c>
      <c r="AC24" s="4692"/>
      <c r="AD24" s="4696"/>
      <c r="AE24" s="4685">
        <f>T24*K24</f>
        <v>0</v>
      </c>
    </row>
    <row r="25" spans="1:31" ht="33.75" customHeight="1">
      <c r="A25" s="4686">
        <v>18</v>
      </c>
      <c r="B25" s="4687">
        <v>46279</v>
      </c>
      <c r="C25" s="4687">
        <v>46281</v>
      </c>
      <c r="D25" s="4672">
        <f t="shared" si="0"/>
        <v>2</v>
      </c>
      <c r="E25" s="4687">
        <v>46294</v>
      </c>
      <c r="F25" s="4698">
        <f t="shared" si="1"/>
        <v>14</v>
      </c>
      <c r="G25" s="4687">
        <v>46296</v>
      </c>
      <c r="H25" s="4672">
        <f t="shared" si="2"/>
        <v>1</v>
      </c>
      <c r="I25" s="4691" t="s">
        <v>5045</v>
      </c>
      <c r="J25" s="4692">
        <v>2</v>
      </c>
      <c r="K25" s="4693">
        <v>0</v>
      </c>
      <c r="L25" s="4692"/>
      <c r="M25" s="4692"/>
      <c r="N25" s="4692"/>
      <c r="O25" s="4678">
        <f>SUM(D25,F25,H25)*K25</f>
        <v>0</v>
      </c>
      <c r="P25" s="4679">
        <f>(D25*L25+F25*M25+H25*N25)*K25</f>
        <v>0</v>
      </c>
      <c r="Q25" s="4692">
        <v>61.9</v>
      </c>
      <c r="R25" s="4680" t="s">
        <v>5742</v>
      </c>
      <c r="S25" s="4694">
        <v>61.9</v>
      </c>
      <c r="T25" s="4700">
        <v>3</v>
      </c>
      <c r="U25" s="4692" t="s">
        <v>246</v>
      </c>
      <c r="V25" s="4680" t="s">
        <v>4521</v>
      </c>
      <c r="W25" s="4695" t="s">
        <v>246</v>
      </c>
      <c r="X25" s="4692" t="s">
        <v>246</v>
      </c>
      <c r="Y25" s="4692" t="s">
        <v>5953</v>
      </c>
      <c r="Z25" s="4683" t="s">
        <v>5035</v>
      </c>
      <c r="AA25" s="4692"/>
      <c r="AB25" s="4683" t="s">
        <v>5050</v>
      </c>
      <c r="AC25" s="4692"/>
      <c r="AD25" s="4696"/>
      <c r="AE25" s="4685">
        <f>T25*K25</f>
        <v>0</v>
      </c>
    </row>
    <row r="26" spans="1:31" ht="33.75" customHeight="1" thickBot="1">
      <c r="A26" s="4686">
        <v>19</v>
      </c>
      <c r="B26" s="4687">
        <v>46279</v>
      </c>
      <c r="C26" s="4687">
        <v>46281</v>
      </c>
      <c r="D26" s="4672">
        <f t="shared" si="0"/>
        <v>2</v>
      </c>
      <c r="E26" s="4687">
        <v>46294</v>
      </c>
      <c r="F26" s="4698">
        <f t="shared" si="1"/>
        <v>14</v>
      </c>
      <c r="G26" s="4687">
        <v>46296</v>
      </c>
      <c r="H26" s="4672">
        <f t="shared" si="2"/>
        <v>1</v>
      </c>
      <c r="I26" s="4691" t="s">
        <v>5094</v>
      </c>
      <c r="J26" s="4692">
        <v>1</v>
      </c>
      <c r="K26" s="4693">
        <v>0</v>
      </c>
      <c r="L26" s="4692"/>
      <c r="M26" s="4692"/>
      <c r="N26" s="4692"/>
      <c r="O26" s="4678">
        <f>SUM(D26,F26,H26)*K26</f>
        <v>0</v>
      </c>
      <c r="P26" s="4679">
        <f>(D26*L26+F26*M26+H26*N26)*K26</f>
        <v>0</v>
      </c>
      <c r="Q26" s="4692">
        <v>29.7</v>
      </c>
      <c r="R26" s="4680" t="s">
        <v>5739</v>
      </c>
      <c r="S26" s="4694">
        <v>29.7</v>
      </c>
      <c r="T26" s="4700">
        <v>2</v>
      </c>
      <c r="U26" s="4692">
        <v>121</v>
      </c>
      <c r="V26" s="4680" t="s">
        <v>4521</v>
      </c>
      <c r="W26" s="4695">
        <v>196</v>
      </c>
      <c r="X26" s="4692">
        <v>2</v>
      </c>
      <c r="Y26" s="4692" t="s">
        <v>5743</v>
      </c>
      <c r="Z26" s="4683" t="s">
        <v>5035</v>
      </c>
      <c r="AA26" s="4692"/>
      <c r="AB26" s="4683" t="s">
        <v>5050</v>
      </c>
      <c r="AC26" s="4692"/>
      <c r="AD26" s="4696"/>
      <c r="AE26" s="4685">
        <f>T26*K26</f>
        <v>0</v>
      </c>
    </row>
    <row r="27" spans="1:31" ht="33.75" customHeight="1" thickTop="1" thickBot="1">
      <c r="A27" s="4701"/>
      <c r="B27" s="4702"/>
      <c r="C27" s="4702"/>
      <c r="D27" s="4702"/>
      <c r="E27" s="4702"/>
      <c r="F27" s="4703"/>
      <c r="G27" s="4704"/>
      <c r="H27" s="4702"/>
      <c r="I27" s="4705" t="s">
        <v>2432</v>
      </c>
      <c r="J27" s="4706">
        <f>SUM(J8:J26)</f>
        <v>564</v>
      </c>
      <c r="K27" s="4707">
        <f>SUM(K8:K26)</f>
        <v>246</v>
      </c>
      <c r="L27" s="4703"/>
      <c r="M27" s="4703"/>
      <c r="N27" s="4703"/>
      <c r="O27" s="4706">
        <f>SUM(O8:O26)</f>
        <v>4182</v>
      </c>
      <c r="P27" s="4706">
        <f>SUM(P8:P26)</f>
        <v>157964000</v>
      </c>
      <c r="Q27" s="6863"/>
      <c r="R27" s="6864"/>
      <c r="S27" s="6865"/>
      <c r="T27" s="4708"/>
      <c r="U27" s="6863"/>
      <c r="V27" s="6864"/>
      <c r="W27" s="6864"/>
      <c r="X27" s="4708"/>
      <c r="Y27" s="4708"/>
      <c r="Z27" s="6866"/>
      <c r="AA27" s="6867"/>
      <c r="AB27" s="6866"/>
      <c r="AC27" s="6867"/>
      <c r="AD27" s="4709"/>
      <c r="AE27" s="4685">
        <f>SUM(AE7:AE26)</f>
        <v>349</v>
      </c>
    </row>
    <row r="28" spans="1:31" ht="33.75" customHeight="1" thickBot="1">
      <c r="C28" s="4710"/>
      <c r="D28" s="4710"/>
      <c r="E28" s="4710"/>
      <c r="F28" s="4710"/>
      <c r="G28" s="4710"/>
      <c r="H28" s="4710"/>
      <c r="I28" s="4711"/>
      <c r="J28" s="4712"/>
      <c r="K28" s="4710"/>
      <c r="L28" s="4713" t="s">
        <v>5748</v>
      </c>
      <c r="M28" s="4714" t="e">
        <f>SUM(#REF!)</f>
        <v>#REF!</v>
      </c>
      <c r="N28" s="4715"/>
      <c r="O28" s="4715"/>
      <c r="R28" s="4656"/>
      <c r="V28" s="4656"/>
    </row>
    <row r="29" spans="1:31" ht="33.75" customHeight="1">
      <c r="A29" s="6845" t="s">
        <v>5749</v>
      </c>
      <c r="B29" s="6846"/>
      <c r="C29" s="4716">
        <f>O27</f>
        <v>4182</v>
      </c>
      <c r="D29" s="4717"/>
      <c r="F29" s="4718"/>
      <c r="H29" s="4719"/>
      <c r="I29" s="4720"/>
      <c r="K29" s="4659"/>
      <c r="L29" s="4721" t="s">
        <v>5750</v>
      </c>
      <c r="M29" s="4722" t="e">
        <f>M28*1.1</f>
        <v>#REF!</v>
      </c>
      <c r="O29" s="5047"/>
    </row>
    <row r="30" spans="1:31" ht="33.75" customHeight="1">
      <c r="A30" s="6847" t="s">
        <v>5883</v>
      </c>
      <c r="B30" s="6848"/>
      <c r="C30" s="4723">
        <f>P27</f>
        <v>157964000</v>
      </c>
      <c r="D30" s="4717"/>
      <c r="F30" s="4724"/>
      <c r="H30" s="4719"/>
      <c r="I30" s="4720"/>
      <c r="K30" s="4659"/>
      <c r="L30" s="4824" t="s">
        <v>5965</v>
      </c>
      <c r="O30" s="4656"/>
    </row>
    <row r="31" spans="1:31" ht="33.75" customHeight="1" thickBot="1">
      <c r="A31" s="6913" t="s">
        <v>5751</v>
      </c>
      <c r="B31" s="6914"/>
      <c r="C31" s="4823">
        <f>C30*1.1</f>
        <v>173760400</v>
      </c>
      <c r="D31" s="4719"/>
      <c r="F31" s="4724"/>
      <c r="H31" s="4719"/>
      <c r="I31" s="4720"/>
      <c r="K31" s="4659"/>
      <c r="L31" s="4824"/>
      <c r="O31" s="4656"/>
    </row>
    <row r="32" spans="1:31" ht="32.15" customHeight="1">
      <c r="A32" s="4726"/>
      <c r="B32" s="4726"/>
      <c r="C32" s="4726"/>
      <c r="D32" s="4726"/>
      <c r="E32" s="4726"/>
      <c r="F32" s="4726"/>
      <c r="G32" s="4726"/>
      <c r="H32" s="4726"/>
      <c r="I32" s="4727"/>
    </row>
    <row r="33" spans="1:31" ht="33.75" customHeight="1" thickBot="1">
      <c r="A33" s="4665" t="s">
        <v>5807</v>
      </c>
      <c r="B33" s="4665"/>
      <c r="R33" s="4656"/>
      <c r="V33" s="4656"/>
      <c r="Y33" s="4656"/>
      <c r="Z33" s="4656"/>
      <c r="AA33" s="4656"/>
      <c r="AB33" s="4656"/>
      <c r="AC33" s="4656"/>
      <c r="AE33" s="4656" t="s">
        <v>5712</v>
      </c>
    </row>
    <row r="34" spans="1:31" s="4666" customFormat="1" ht="33.75" customHeight="1">
      <c r="A34" s="6877" t="s">
        <v>5713</v>
      </c>
      <c r="B34" s="6879" t="s">
        <v>5714</v>
      </c>
      <c r="C34" s="6855" t="s">
        <v>5715</v>
      </c>
      <c r="D34" s="6855" t="s">
        <v>5716</v>
      </c>
      <c r="E34" s="6855" t="s">
        <v>5717</v>
      </c>
      <c r="F34" s="6868" t="s">
        <v>5718</v>
      </c>
      <c r="G34" s="6855" t="s">
        <v>5719</v>
      </c>
      <c r="H34" s="6855" t="s">
        <v>5720</v>
      </c>
      <c r="I34" s="6857" t="s">
        <v>5721</v>
      </c>
      <c r="J34" s="6851" t="s">
        <v>5722</v>
      </c>
      <c r="K34" s="6851" t="s">
        <v>5723</v>
      </c>
      <c r="L34" s="6855" t="s">
        <v>5796</v>
      </c>
      <c r="M34" s="6855" t="s">
        <v>5797</v>
      </c>
      <c r="N34" s="6855" t="s">
        <v>5798</v>
      </c>
      <c r="O34" s="6851" t="s">
        <v>3766</v>
      </c>
      <c r="P34" s="6853"/>
      <c r="Q34" s="6868" t="s">
        <v>5728</v>
      </c>
      <c r="R34" s="6869"/>
      <c r="S34" s="6870"/>
      <c r="T34" s="6855" t="s">
        <v>5729</v>
      </c>
      <c r="U34" s="6869" t="s">
        <v>5730</v>
      </c>
      <c r="V34" s="6869"/>
      <c r="W34" s="6869"/>
      <c r="X34" s="6868" t="s">
        <v>5731</v>
      </c>
      <c r="Y34" s="6851" t="s">
        <v>5732</v>
      </c>
      <c r="Z34" s="6851" t="s">
        <v>5733</v>
      </c>
      <c r="AA34" s="6853"/>
      <c r="AB34" s="6853"/>
      <c r="AC34" s="6853"/>
      <c r="AD34" s="6860" t="s">
        <v>2792</v>
      </c>
      <c r="AE34" s="6862" t="s">
        <v>5734</v>
      </c>
    </row>
    <row r="35" spans="1:31" s="4666" customFormat="1" ht="20">
      <c r="A35" s="6878"/>
      <c r="B35" s="6880"/>
      <c r="C35" s="6858"/>
      <c r="D35" s="6856"/>
      <c r="E35" s="6856"/>
      <c r="F35" s="6881"/>
      <c r="G35" s="6856"/>
      <c r="H35" s="6856"/>
      <c r="I35" s="6858"/>
      <c r="J35" s="6859"/>
      <c r="K35" s="6859"/>
      <c r="L35" s="6856"/>
      <c r="M35" s="6856"/>
      <c r="N35" s="6856"/>
      <c r="O35" s="4667" t="s">
        <v>5735</v>
      </c>
      <c r="P35" s="4668" t="s">
        <v>5736</v>
      </c>
      <c r="Q35" s="6871"/>
      <c r="R35" s="6872"/>
      <c r="S35" s="6873"/>
      <c r="T35" s="6856"/>
      <c r="U35" s="6872"/>
      <c r="V35" s="6872"/>
      <c r="W35" s="6872"/>
      <c r="X35" s="6852"/>
      <c r="Y35" s="6852"/>
      <c r="Z35" s="6852"/>
      <c r="AA35" s="6854"/>
      <c r="AB35" s="6854"/>
      <c r="AC35" s="6854"/>
      <c r="AD35" s="6861"/>
      <c r="AE35" s="6862"/>
    </row>
    <row r="36" spans="1:31" ht="33.75" customHeight="1">
      <c r="A36" s="4669" t="s">
        <v>5737</v>
      </c>
      <c r="B36" s="4670">
        <v>46266</v>
      </c>
      <c r="C36" s="4671">
        <v>46268</v>
      </c>
      <c r="D36" s="4672">
        <f>IF(_xlfn.DAYS(C36,B36)=0,"1",_xlfn.DAYS(C36,B36))</f>
        <v>2</v>
      </c>
      <c r="E36" s="4671">
        <v>46280</v>
      </c>
      <c r="F36" s="4672">
        <f>IF(_xlfn.DAYS(E36,C36)=0,"1",_xlfn.DAYS(E36,C36))+1</f>
        <v>13</v>
      </c>
      <c r="G36" s="4673">
        <v>46282</v>
      </c>
      <c r="H36" s="4672">
        <f>IF(_xlfn.DAYS(G36,E36)=0,"1",_xlfn.DAYS(G36,E36))-1</f>
        <v>1</v>
      </c>
      <c r="I36" s="4674" t="s">
        <v>5738</v>
      </c>
      <c r="J36" s="4675">
        <v>100</v>
      </c>
      <c r="K36" s="4676">
        <v>90</v>
      </c>
      <c r="L36" s="4677">
        <v>9000</v>
      </c>
      <c r="M36" s="4677"/>
      <c r="N36" s="4677">
        <v>8000</v>
      </c>
      <c r="O36" s="4678">
        <f>SUM(D36,F36,H36)*K36</f>
        <v>1440</v>
      </c>
      <c r="P36" s="4679">
        <f>(D36*L36+F36*M36+H36*N36)*K36</f>
        <v>2340000</v>
      </c>
      <c r="Q36" s="4675">
        <v>21</v>
      </c>
      <c r="R36" s="4680" t="s">
        <v>5739</v>
      </c>
      <c r="S36" s="4681">
        <v>21</v>
      </c>
      <c r="T36" s="4815">
        <v>1</v>
      </c>
      <c r="U36" s="4675">
        <v>154</v>
      </c>
      <c r="V36" s="4680" t="s">
        <v>4521</v>
      </c>
      <c r="W36" s="4682">
        <v>203</v>
      </c>
      <c r="X36" s="4675">
        <v>1</v>
      </c>
      <c r="Y36" s="4675" t="s">
        <v>5740</v>
      </c>
      <c r="Z36" s="4683" t="s">
        <v>5035</v>
      </c>
      <c r="AA36" s="4675" t="s">
        <v>2830</v>
      </c>
      <c r="AB36" s="4683" t="s">
        <v>5050</v>
      </c>
      <c r="AC36" s="4675" t="s">
        <v>5741</v>
      </c>
      <c r="AD36" s="4684"/>
      <c r="AE36" s="4685"/>
    </row>
    <row r="37" spans="1:31" ht="33.75" customHeight="1">
      <c r="A37" s="4686">
        <v>1</v>
      </c>
      <c r="B37" s="4829">
        <v>46304</v>
      </c>
      <c r="C37" s="4829">
        <v>46306</v>
      </c>
      <c r="D37" s="4672">
        <f t="shared" ref="D37" si="3">IF(_xlfn.DAYS(C37,B37)=0,"1",_xlfn.DAYS(C37,B37))</f>
        <v>2</v>
      </c>
      <c r="E37" s="4829">
        <v>46320</v>
      </c>
      <c r="F37" s="4830">
        <f>IF(_xlfn.DAYS(E37,C37)=0,"1",_xlfn.DAYS(E37,C37))+1</f>
        <v>15</v>
      </c>
      <c r="G37" s="4699">
        <v>46322</v>
      </c>
      <c r="H37" s="4672">
        <f t="shared" ref="H37:H55" si="4">IF(_xlfn.DAYS(G37,E37)=0,"1",_xlfn.DAYS(G37,E37))-1</f>
        <v>1</v>
      </c>
      <c r="I37" s="4691" t="s">
        <v>5067</v>
      </c>
      <c r="J37" s="4692">
        <v>59</v>
      </c>
      <c r="K37" s="4693">
        <v>48</v>
      </c>
      <c r="L37" s="4692">
        <v>26000</v>
      </c>
      <c r="M37" s="4692">
        <v>26000</v>
      </c>
      <c r="N37" s="4692">
        <v>26000</v>
      </c>
      <c r="O37" s="4678">
        <f>SUM(D37,F37,H37)*K37</f>
        <v>864</v>
      </c>
      <c r="P37" s="4679">
        <f>(D37*L37+F37*M37+H37*N37)*K37</f>
        <v>22464000</v>
      </c>
      <c r="Q37" s="4692">
        <v>19.600000000000001</v>
      </c>
      <c r="R37" s="4680" t="s">
        <v>5742</v>
      </c>
      <c r="S37" s="4694">
        <v>19.600000000000001</v>
      </c>
      <c r="T37" s="4700">
        <v>1</v>
      </c>
      <c r="U37" s="4692">
        <v>141</v>
      </c>
      <c r="V37" s="4680" t="s">
        <v>4521</v>
      </c>
      <c r="W37" s="4695">
        <v>196</v>
      </c>
      <c r="X37" s="4692">
        <v>1</v>
      </c>
      <c r="Y37" s="4692" t="s">
        <v>5743</v>
      </c>
      <c r="Z37" s="4683" t="s">
        <v>5035</v>
      </c>
      <c r="AA37" s="4692" t="s">
        <v>5741</v>
      </c>
      <c r="AB37" s="4683" t="s">
        <v>5050</v>
      </c>
      <c r="AC37" s="4692" t="s">
        <v>2814</v>
      </c>
      <c r="AD37" s="4696"/>
      <c r="AE37" s="4685">
        <f>T37*K37</f>
        <v>48</v>
      </c>
    </row>
    <row r="38" spans="1:31" ht="33.75" customHeight="1">
      <c r="A38" s="4686">
        <v>2</v>
      </c>
      <c r="B38" s="4829">
        <v>46304</v>
      </c>
      <c r="C38" s="4829">
        <v>46306</v>
      </c>
      <c r="D38" s="4672">
        <f t="shared" ref="D38:D55" si="5">IF(_xlfn.DAYS(C38,B38)=0,"1",_xlfn.DAYS(C38,B38))</f>
        <v>2</v>
      </c>
      <c r="E38" s="4829">
        <v>46320</v>
      </c>
      <c r="F38" s="4830">
        <f t="shared" ref="F38:F55" si="6">IF(_xlfn.DAYS(E38,C38)=0,"1",_xlfn.DAYS(E38,C38))+1</f>
        <v>15</v>
      </c>
      <c r="G38" s="4699">
        <v>46322</v>
      </c>
      <c r="H38" s="4672">
        <f t="shared" si="4"/>
        <v>1</v>
      </c>
      <c r="I38" s="4691" t="s">
        <v>5961</v>
      </c>
      <c r="J38" s="4692">
        <v>73</v>
      </c>
      <c r="K38" s="4693">
        <v>63</v>
      </c>
      <c r="L38" s="4692">
        <v>48000</v>
      </c>
      <c r="M38" s="4692">
        <v>48000</v>
      </c>
      <c r="N38" s="4692">
        <v>48000</v>
      </c>
      <c r="O38" s="4678">
        <f>SUM(D38,F38,H38)*K38</f>
        <v>1134</v>
      </c>
      <c r="P38" s="4679">
        <f>(D38*L38+F38*M38+H38*N38)*K38</f>
        <v>54432000</v>
      </c>
      <c r="Q38" s="4692">
        <v>29.7</v>
      </c>
      <c r="R38" s="4680" t="s">
        <v>5742</v>
      </c>
      <c r="S38" s="4694">
        <v>31.5</v>
      </c>
      <c r="T38" s="5043">
        <v>2</v>
      </c>
      <c r="U38" s="4998">
        <v>121</v>
      </c>
      <c r="V38" s="4680" t="s">
        <v>4521</v>
      </c>
      <c r="W38" s="5044">
        <v>196</v>
      </c>
      <c r="X38" s="4998">
        <v>2</v>
      </c>
      <c r="Y38" s="4692" t="s">
        <v>5743</v>
      </c>
      <c r="Z38" s="4683" t="s">
        <v>5035</v>
      </c>
      <c r="AA38" s="4692" t="s">
        <v>5741</v>
      </c>
      <c r="AB38" s="4683" t="s">
        <v>5050</v>
      </c>
      <c r="AC38" s="4692" t="s">
        <v>5741</v>
      </c>
      <c r="AD38" s="4696"/>
      <c r="AE38" s="4685">
        <f>T38*K38</f>
        <v>126</v>
      </c>
    </row>
    <row r="39" spans="1:31" ht="33.75" customHeight="1">
      <c r="A39" s="4686">
        <v>3</v>
      </c>
      <c r="B39" s="4829">
        <v>46304</v>
      </c>
      <c r="C39" s="4829">
        <v>46306</v>
      </c>
      <c r="D39" s="4672">
        <f t="shared" si="5"/>
        <v>2</v>
      </c>
      <c r="E39" s="4829">
        <v>46320</v>
      </c>
      <c r="F39" s="4830">
        <f t="shared" si="6"/>
        <v>15</v>
      </c>
      <c r="G39" s="4699">
        <v>46322</v>
      </c>
      <c r="H39" s="4672">
        <f t="shared" si="4"/>
        <v>1</v>
      </c>
      <c r="I39" s="4691" t="s">
        <v>5962</v>
      </c>
      <c r="J39" s="4692">
        <v>3</v>
      </c>
      <c r="K39" s="4693">
        <v>3</v>
      </c>
      <c r="L39" s="4692">
        <v>48000</v>
      </c>
      <c r="M39" s="4692">
        <v>48000</v>
      </c>
      <c r="N39" s="4692">
        <v>48000</v>
      </c>
      <c r="O39" s="4678">
        <f>SUM(D39,F39,H39)*K39</f>
        <v>54</v>
      </c>
      <c r="P39" s="4679">
        <f>(D39*L39+F39*M39+H39*N39)*K39</f>
        <v>2592000</v>
      </c>
      <c r="Q39" s="4692">
        <v>29.7</v>
      </c>
      <c r="R39" s="4680" t="s">
        <v>5742</v>
      </c>
      <c r="S39" s="4694">
        <v>31.5</v>
      </c>
      <c r="T39" s="5043">
        <v>1</v>
      </c>
      <c r="U39" s="4998">
        <v>190</v>
      </c>
      <c r="V39" s="4680"/>
      <c r="W39" s="5044">
        <v>203</v>
      </c>
      <c r="X39" s="4998">
        <v>1</v>
      </c>
      <c r="Y39" s="4692" t="s">
        <v>5743</v>
      </c>
      <c r="Z39" s="4683" t="s">
        <v>5035</v>
      </c>
      <c r="AA39" s="4692" t="s">
        <v>5741</v>
      </c>
      <c r="AB39" s="4683" t="s">
        <v>5050</v>
      </c>
      <c r="AC39" s="4692" t="s">
        <v>5741</v>
      </c>
      <c r="AD39" s="4696"/>
      <c r="AE39" s="4685">
        <f>T39*K39</f>
        <v>3</v>
      </c>
    </row>
    <row r="40" spans="1:31" ht="33.75" customHeight="1">
      <c r="A40" s="4686">
        <v>4</v>
      </c>
      <c r="B40" s="4829">
        <v>46304</v>
      </c>
      <c r="C40" s="4829">
        <v>46306</v>
      </c>
      <c r="D40" s="4672">
        <f t="shared" si="5"/>
        <v>2</v>
      </c>
      <c r="E40" s="4829">
        <v>46320</v>
      </c>
      <c r="F40" s="4830">
        <f t="shared" si="6"/>
        <v>15</v>
      </c>
      <c r="G40" s="4699">
        <v>46322</v>
      </c>
      <c r="H40" s="4672">
        <f t="shared" si="4"/>
        <v>1</v>
      </c>
      <c r="I40" s="4691" t="s">
        <v>5963</v>
      </c>
      <c r="J40" s="4692">
        <v>48</v>
      </c>
      <c r="K40" s="4693">
        <v>36</v>
      </c>
      <c r="L40" s="4692">
        <v>34000</v>
      </c>
      <c r="M40" s="4692">
        <v>34000</v>
      </c>
      <c r="N40" s="4692">
        <v>34000</v>
      </c>
      <c r="O40" s="4678">
        <f>SUM(D40,F40,H40)*K40</f>
        <v>648</v>
      </c>
      <c r="P40" s="4679">
        <f>(D40*L40+F40*M40+H40*N40)*K40</f>
        <v>22032000</v>
      </c>
      <c r="Q40" s="4692">
        <v>21.9</v>
      </c>
      <c r="R40" s="4680" t="s">
        <v>5742</v>
      </c>
      <c r="S40" s="4694">
        <v>21.9</v>
      </c>
      <c r="T40" s="4700">
        <v>1</v>
      </c>
      <c r="U40" s="4692">
        <v>160</v>
      </c>
      <c r="V40" s="4680" t="s">
        <v>4521</v>
      </c>
      <c r="W40" s="4695">
        <v>196</v>
      </c>
      <c r="X40" s="4692">
        <v>1</v>
      </c>
      <c r="Y40" s="4692" t="s">
        <v>5743</v>
      </c>
      <c r="Z40" s="4683" t="s">
        <v>5035</v>
      </c>
      <c r="AA40" s="4692" t="s">
        <v>5741</v>
      </c>
      <c r="AB40" s="4683" t="s">
        <v>5050</v>
      </c>
      <c r="AC40" s="4692" t="s">
        <v>5741</v>
      </c>
      <c r="AD40" s="4696"/>
      <c r="AE40" s="4685">
        <f>T40*K40</f>
        <v>36</v>
      </c>
    </row>
    <row r="41" spans="1:31" ht="33.75" customHeight="1">
      <c r="A41" s="4686">
        <v>5</v>
      </c>
      <c r="B41" s="4829">
        <v>46304</v>
      </c>
      <c r="C41" s="4829">
        <v>46306</v>
      </c>
      <c r="D41" s="4672">
        <f t="shared" si="5"/>
        <v>2</v>
      </c>
      <c r="E41" s="4829">
        <v>46320</v>
      </c>
      <c r="F41" s="4830">
        <f t="shared" si="6"/>
        <v>15</v>
      </c>
      <c r="G41" s="4699">
        <v>46322</v>
      </c>
      <c r="H41" s="4672">
        <f t="shared" si="4"/>
        <v>1</v>
      </c>
      <c r="I41" s="4691" t="s">
        <v>5115</v>
      </c>
      <c r="J41" s="4692">
        <v>74</v>
      </c>
      <c r="K41" s="4693">
        <v>26</v>
      </c>
      <c r="L41" s="4692">
        <v>26000</v>
      </c>
      <c r="M41" s="4692">
        <v>26000</v>
      </c>
      <c r="N41" s="4692">
        <v>26000</v>
      </c>
      <c r="O41" s="4678">
        <f>SUM(D41,F41,H41)*K41</f>
        <v>468</v>
      </c>
      <c r="P41" s="4679">
        <f>(D41*L41+F41*M41+H41*N41)*K41</f>
        <v>12168000</v>
      </c>
      <c r="Q41" s="4692">
        <v>19.600000000000001</v>
      </c>
      <c r="R41" s="4680" t="s">
        <v>5742</v>
      </c>
      <c r="S41" s="4694">
        <v>19.600000000000001</v>
      </c>
      <c r="T41" s="4700">
        <v>1</v>
      </c>
      <c r="U41" s="4692">
        <v>141</v>
      </c>
      <c r="V41" s="4680" t="s">
        <v>4521</v>
      </c>
      <c r="W41" s="4695">
        <v>203</v>
      </c>
      <c r="X41" s="4692">
        <v>1</v>
      </c>
      <c r="Y41" s="4692" t="s">
        <v>5743</v>
      </c>
      <c r="Z41" s="4683" t="s">
        <v>5035</v>
      </c>
      <c r="AA41" s="4692" t="s">
        <v>5741</v>
      </c>
      <c r="AB41" s="4683" t="s">
        <v>5050</v>
      </c>
      <c r="AC41" s="4692" t="s">
        <v>5741</v>
      </c>
      <c r="AD41" s="4696"/>
      <c r="AE41" s="4685">
        <f>T41*K41</f>
        <v>26</v>
      </c>
    </row>
    <row r="42" spans="1:31" ht="33.75" customHeight="1">
      <c r="A42" s="4686">
        <v>6</v>
      </c>
      <c r="B42" s="4829">
        <v>46304</v>
      </c>
      <c r="C42" s="4829">
        <v>46306</v>
      </c>
      <c r="D42" s="4672">
        <f t="shared" si="5"/>
        <v>2</v>
      </c>
      <c r="E42" s="4829">
        <v>46320</v>
      </c>
      <c r="F42" s="4830">
        <f t="shared" si="6"/>
        <v>15</v>
      </c>
      <c r="G42" s="4699">
        <v>46322</v>
      </c>
      <c r="H42" s="4672">
        <f t="shared" si="4"/>
        <v>1</v>
      </c>
      <c r="I42" s="4691" t="s">
        <v>5070</v>
      </c>
      <c r="J42" s="4692">
        <v>6</v>
      </c>
      <c r="K42" s="4693">
        <v>6</v>
      </c>
      <c r="L42" s="4692">
        <v>26000</v>
      </c>
      <c r="M42" s="4692">
        <v>26000</v>
      </c>
      <c r="N42" s="4692">
        <v>26000</v>
      </c>
      <c r="O42" s="4678">
        <f>SUM(D42,F42,H42)*K42</f>
        <v>108</v>
      </c>
      <c r="P42" s="4679">
        <f>(D42*L42+F42*M42+H42*N42)*K42</f>
        <v>2808000</v>
      </c>
      <c r="Q42" s="4692">
        <v>19.600000000000001</v>
      </c>
      <c r="R42" s="4680" t="s">
        <v>5742</v>
      </c>
      <c r="S42" s="4694">
        <v>19.600000000000001</v>
      </c>
      <c r="T42" s="4700">
        <v>1</v>
      </c>
      <c r="U42" s="4692">
        <v>141</v>
      </c>
      <c r="V42" s="4680" t="s">
        <v>4521</v>
      </c>
      <c r="W42" s="4695">
        <v>203</v>
      </c>
      <c r="X42" s="4692">
        <v>1</v>
      </c>
      <c r="Y42" s="4692" t="s">
        <v>5743</v>
      </c>
      <c r="Z42" s="4683" t="s">
        <v>5035</v>
      </c>
      <c r="AA42" s="4692" t="s">
        <v>5741</v>
      </c>
      <c r="AB42" s="4683" t="s">
        <v>5050</v>
      </c>
      <c r="AC42" s="4692" t="s">
        <v>5741</v>
      </c>
      <c r="AD42" s="4696"/>
      <c r="AE42" s="4685">
        <f>T42*K42</f>
        <v>6</v>
      </c>
    </row>
    <row r="43" spans="1:31" ht="33.75" customHeight="1">
      <c r="A43" s="4686">
        <v>7</v>
      </c>
      <c r="B43" s="4829">
        <v>46304</v>
      </c>
      <c r="C43" s="4829">
        <v>46306</v>
      </c>
      <c r="D43" s="4672">
        <f t="shared" si="5"/>
        <v>2</v>
      </c>
      <c r="E43" s="4829">
        <v>46320</v>
      </c>
      <c r="F43" s="4830">
        <f t="shared" si="6"/>
        <v>15</v>
      </c>
      <c r="G43" s="4699">
        <v>46322</v>
      </c>
      <c r="H43" s="4672">
        <f t="shared" si="4"/>
        <v>1</v>
      </c>
      <c r="I43" s="4691" t="s">
        <v>5117</v>
      </c>
      <c r="J43" s="4692">
        <v>81</v>
      </c>
      <c r="K43" s="4693">
        <v>26</v>
      </c>
      <c r="L43" s="4692">
        <v>48000</v>
      </c>
      <c r="M43" s="4692">
        <v>48000</v>
      </c>
      <c r="N43" s="4692">
        <v>48000</v>
      </c>
      <c r="O43" s="4678">
        <f>SUM(D43,F43,H43)*K43</f>
        <v>468</v>
      </c>
      <c r="P43" s="4679">
        <f>(D43*L43+F43*M43+H43*N43)*K43</f>
        <v>22464000</v>
      </c>
      <c r="Q43" s="4692">
        <v>29.7</v>
      </c>
      <c r="R43" s="4680" t="s">
        <v>5742</v>
      </c>
      <c r="S43" s="4694">
        <v>31.5</v>
      </c>
      <c r="T43" s="4700">
        <v>2</v>
      </c>
      <c r="U43" s="4692">
        <v>121</v>
      </c>
      <c r="V43" s="4680" t="s">
        <v>4521</v>
      </c>
      <c r="W43" s="4695">
        <v>203</v>
      </c>
      <c r="X43" s="4692">
        <v>2</v>
      </c>
      <c r="Y43" s="4692" t="s">
        <v>5743</v>
      </c>
      <c r="Z43" s="4683" t="s">
        <v>5035</v>
      </c>
      <c r="AA43" s="4692" t="s">
        <v>5741</v>
      </c>
      <c r="AB43" s="4683" t="s">
        <v>5050</v>
      </c>
      <c r="AC43" s="4692" t="s">
        <v>5741</v>
      </c>
      <c r="AD43" s="4696"/>
      <c r="AE43" s="4685">
        <f>T43*K43</f>
        <v>52</v>
      </c>
    </row>
    <row r="44" spans="1:31" ht="33.75" customHeight="1">
      <c r="A44" s="4686">
        <v>8</v>
      </c>
      <c r="B44" s="4829">
        <v>46304</v>
      </c>
      <c r="C44" s="4829">
        <v>46306</v>
      </c>
      <c r="D44" s="4672">
        <f t="shared" si="5"/>
        <v>2</v>
      </c>
      <c r="E44" s="4829">
        <v>46320</v>
      </c>
      <c r="F44" s="4830">
        <f t="shared" si="6"/>
        <v>15</v>
      </c>
      <c r="G44" s="4699">
        <v>46322</v>
      </c>
      <c r="H44" s="4672">
        <f t="shared" si="4"/>
        <v>1</v>
      </c>
      <c r="I44" s="4691" t="s">
        <v>5118</v>
      </c>
      <c r="J44" s="4692">
        <v>13</v>
      </c>
      <c r="K44" s="4693">
        <v>12</v>
      </c>
      <c r="L44" s="4692">
        <v>48000</v>
      </c>
      <c r="M44" s="4692">
        <v>48000</v>
      </c>
      <c r="N44" s="4692">
        <v>48000</v>
      </c>
      <c r="O44" s="4678">
        <f>SUM(D44,F44,H44)*K44</f>
        <v>216</v>
      </c>
      <c r="P44" s="4679">
        <f>(D44*L44+F44*M44+H44*N44)*K44</f>
        <v>10368000</v>
      </c>
      <c r="Q44" s="4692">
        <v>31.5</v>
      </c>
      <c r="R44" s="4680" t="s">
        <v>5742</v>
      </c>
      <c r="S44" s="4694">
        <v>31.5</v>
      </c>
      <c r="T44" s="4700">
        <v>2</v>
      </c>
      <c r="U44" s="4692">
        <v>121</v>
      </c>
      <c r="V44" s="4680" t="s">
        <v>4521</v>
      </c>
      <c r="W44" s="4695">
        <v>203</v>
      </c>
      <c r="X44" s="4692">
        <v>2</v>
      </c>
      <c r="Y44" s="4692" t="s">
        <v>5743</v>
      </c>
      <c r="Z44" s="4683" t="s">
        <v>5035</v>
      </c>
      <c r="AA44" s="4692" t="s">
        <v>5741</v>
      </c>
      <c r="AB44" s="4683" t="s">
        <v>5050</v>
      </c>
      <c r="AC44" s="4692" t="s">
        <v>5741</v>
      </c>
      <c r="AD44" s="4696"/>
      <c r="AE44" s="4685">
        <f>T44*K44</f>
        <v>24</v>
      </c>
    </row>
    <row r="45" spans="1:31" ht="33.75" customHeight="1">
      <c r="A45" s="4686">
        <v>9</v>
      </c>
      <c r="B45" s="4829">
        <v>46304</v>
      </c>
      <c r="C45" s="4829">
        <v>46306</v>
      </c>
      <c r="D45" s="4672">
        <f t="shared" si="5"/>
        <v>2</v>
      </c>
      <c r="E45" s="4829">
        <v>46320</v>
      </c>
      <c r="F45" s="4830">
        <f t="shared" si="6"/>
        <v>15</v>
      </c>
      <c r="G45" s="4699">
        <v>46322</v>
      </c>
      <c r="H45" s="4672">
        <f t="shared" si="4"/>
        <v>1</v>
      </c>
      <c r="I45" s="4691" t="s">
        <v>5074</v>
      </c>
      <c r="J45" s="4692">
        <v>60</v>
      </c>
      <c r="K45" s="4693">
        <v>24</v>
      </c>
      <c r="L45" s="4692">
        <v>34000</v>
      </c>
      <c r="M45" s="4692">
        <v>34000</v>
      </c>
      <c r="N45" s="4692">
        <v>34000</v>
      </c>
      <c r="O45" s="4678">
        <f>SUM(D45,F45,H45)*K45</f>
        <v>432</v>
      </c>
      <c r="P45" s="4679">
        <f>(D45*L45+F45*M45+H45*N45)*K45</f>
        <v>14688000</v>
      </c>
      <c r="Q45" s="4692">
        <v>21.9</v>
      </c>
      <c r="R45" s="4680" t="s">
        <v>5742</v>
      </c>
      <c r="S45" s="4694">
        <v>21.9</v>
      </c>
      <c r="T45" s="4700">
        <v>1</v>
      </c>
      <c r="U45" s="4692">
        <v>160</v>
      </c>
      <c r="V45" s="4680" t="s">
        <v>4521</v>
      </c>
      <c r="W45" s="4695">
        <v>203</v>
      </c>
      <c r="X45" s="4692">
        <v>1</v>
      </c>
      <c r="Y45" s="4692" t="s">
        <v>5743</v>
      </c>
      <c r="Z45" s="4683" t="s">
        <v>5035</v>
      </c>
      <c r="AA45" s="4692" t="s">
        <v>5741</v>
      </c>
      <c r="AB45" s="4683" t="s">
        <v>5050</v>
      </c>
      <c r="AC45" s="4692" t="s">
        <v>5741</v>
      </c>
      <c r="AD45" s="4696"/>
      <c r="AE45" s="4685">
        <f>T45*K45</f>
        <v>24</v>
      </c>
    </row>
    <row r="46" spans="1:31" ht="33.75" customHeight="1">
      <c r="A46" s="4686">
        <v>10</v>
      </c>
      <c r="B46" s="4829">
        <v>46304</v>
      </c>
      <c r="C46" s="4829">
        <v>46306</v>
      </c>
      <c r="D46" s="4672">
        <f t="shared" si="5"/>
        <v>2</v>
      </c>
      <c r="E46" s="4829">
        <v>46320</v>
      </c>
      <c r="F46" s="4830">
        <f t="shared" si="6"/>
        <v>15</v>
      </c>
      <c r="G46" s="4699">
        <v>46322</v>
      </c>
      <c r="H46" s="4672">
        <f t="shared" si="4"/>
        <v>1</v>
      </c>
      <c r="I46" s="4691" t="s">
        <v>5068</v>
      </c>
      <c r="J46" s="4692">
        <v>48</v>
      </c>
      <c r="K46" s="4693">
        <v>0</v>
      </c>
      <c r="L46" s="4692"/>
      <c r="M46" s="4692"/>
      <c r="N46" s="4692"/>
      <c r="O46" s="4678">
        <f>SUM(D46,F46,H46)*K46</f>
        <v>0</v>
      </c>
      <c r="P46" s="4679">
        <f>(D46*L46+F46*M46+H46*N46)*K46</f>
        <v>0</v>
      </c>
      <c r="Q46" s="4692">
        <v>19.600000000000001</v>
      </c>
      <c r="R46" s="4680" t="s">
        <v>5742</v>
      </c>
      <c r="S46" s="4694">
        <v>19.600000000000001</v>
      </c>
      <c r="T46" s="4700">
        <v>1</v>
      </c>
      <c r="U46" s="4692">
        <v>141</v>
      </c>
      <c r="V46" s="4680" t="s">
        <v>4521</v>
      </c>
      <c r="W46" s="4695">
        <v>203</v>
      </c>
      <c r="X46" s="4692">
        <v>1</v>
      </c>
      <c r="Y46" s="4692" t="s">
        <v>5743</v>
      </c>
      <c r="Z46" s="4683" t="s">
        <v>5035</v>
      </c>
      <c r="AA46" s="4692"/>
      <c r="AB46" s="4683" t="s">
        <v>5050</v>
      </c>
      <c r="AC46" s="4692"/>
      <c r="AD46" s="4696"/>
      <c r="AE46" s="4685">
        <f>T46*K46</f>
        <v>0</v>
      </c>
    </row>
    <row r="47" spans="1:31" ht="33.75" customHeight="1">
      <c r="A47" s="4686">
        <v>11</v>
      </c>
      <c r="B47" s="4829">
        <v>46304</v>
      </c>
      <c r="C47" s="4829">
        <v>46306</v>
      </c>
      <c r="D47" s="4672">
        <f t="shared" si="5"/>
        <v>2</v>
      </c>
      <c r="E47" s="4829">
        <v>46320</v>
      </c>
      <c r="F47" s="4830">
        <f t="shared" si="6"/>
        <v>15</v>
      </c>
      <c r="G47" s="4699">
        <v>46322</v>
      </c>
      <c r="H47" s="4672">
        <f t="shared" si="4"/>
        <v>1</v>
      </c>
      <c r="I47" s="4691" t="s">
        <v>5119</v>
      </c>
      <c r="J47" s="4692">
        <v>30</v>
      </c>
      <c r="K47" s="4693">
        <v>0</v>
      </c>
      <c r="L47" s="4692"/>
      <c r="M47" s="4692"/>
      <c r="N47" s="4692"/>
      <c r="O47" s="4678">
        <f>SUM(D47,F47,H47)*K47</f>
        <v>0</v>
      </c>
      <c r="P47" s="4679">
        <f>(D47*L47+F47*M47+H47*N47)*K47</f>
        <v>0</v>
      </c>
      <c r="Q47" s="4692">
        <v>29.7</v>
      </c>
      <c r="R47" s="4680" t="s">
        <v>5742</v>
      </c>
      <c r="S47" s="4694">
        <v>29.7</v>
      </c>
      <c r="T47" s="4700">
        <v>2</v>
      </c>
      <c r="U47" s="4692">
        <v>121</v>
      </c>
      <c r="V47" s="4680" t="s">
        <v>4521</v>
      </c>
      <c r="W47" s="4695">
        <v>203</v>
      </c>
      <c r="X47" s="4692">
        <v>2</v>
      </c>
      <c r="Y47" s="4692" t="s">
        <v>5743</v>
      </c>
      <c r="Z47" s="4683" t="s">
        <v>5035</v>
      </c>
      <c r="AA47" s="4692"/>
      <c r="AB47" s="4683" t="s">
        <v>5050</v>
      </c>
      <c r="AC47" s="4692"/>
      <c r="AD47" s="4696"/>
      <c r="AE47" s="4685">
        <f>T47*K47</f>
        <v>0</v>
      </c>
    </row>
    <row r="48" spans="1:31" ht="33.75" customHeight="1">
      <c r="A48" s="4686">
        <v>12</v>
      </c>
      <c r="B48" s="4829">
        <v>46304</v>
      </c>
      <c r="C48" s="4829">
        <v>46306</v>
      </c>
      <c r="D48" s="4672">
        <f t="shared" si="5"/>
        <v>2</v>
      </c>
      <c r="E48" s="4829">
        <v>46320</v>
      </c>
      <c r="F48" s="4830">
        <f t="shared" si="6"/>
        <v>15</v>
      </c>
      <c r="G48" s="4699">
        <v>46322</v>
      </c>
      <c r="H48" s="4672">
        <f t="shared" si="4"/>
        <v>1</v>
      </c>
      <c r="I48" s="4691" t="s">
        <v>5116</v>
      </c>
      <c r="J48" s="4692">
        <v>52</v>
      </c>
      <c r="K48" s="4693">
        <v>0</v>
      </c>
      <c r="L48" s="4692"/>
      <c r="M48" s="4692"/>
      <c r="N48" s="4692"/>
      <c r="O48" s="4678">
        <f>SUM(D48,F48,H48)*K48</f>
        <v>0</v>
      </c>
      <c r="P48" s="4679">
        <f>(D48*L48+F48*M48+H48*N48)*K48</f>
        <v>0</v>
      </c>
      <c r="Q48" s="4692">
        <v>21.9</v>
      </c>
      <c r="R48" s="4680" t="s">
        <v>5742</v>
      </c>
      <c r="S48" s="4694">
        <v>21.9</v>
      </c>
      <c r="T48" s="4700">
        <v>1</v>
      </c>
      <c r="U48" s="4692">
        <v>160</v>
      </c>
      <c r="V48" s="4680" t="s">
        <v>4521</v>
      </c>
      <c r="W48" s="4695">
        <v>203</v>
      </c>
      <c r="X48" s="4692">
        <v>1</v>
      </c>
      <c r="Y48" s="4692" t="s">
        <v>5743</v>
      </c>
      <c r="Z48" s="4683" t="s">
        <v>5035</v>
      </c>
      <c r="AA48" s="4692"/>
      <c r="AB48" s="4683" t="s">
        <v>5050</v>
      </c>
      <c r="AC48" s="4692"/>
      <c r="AD48" s="4696"/>
      <c r="AE48" s="4685">
        <f>T48*K48</f>
        <v>0</v>
      </c>
    </row>
    <row r="49" spans="1:31" ht="33.75" customHeight="1">
      <c r="A49" s="4686">
        <v>13</v>
      </c>
      <c r="B49" s="4829">
        <v>46304</v>
      </c>
      <c r="C49" s="4829">
        <v>46306</v>
      </c>
      <c r="D49" s="4672">
        <f t="shared" si="5"/>
        <v>2</v>
      </c>
      <c r="E49" s="4829">
        <v>46320</v>
      </c>
      <c r="F49" s="4830">
        <f t="shared" si="6"/>
        <v>15</v>
      </c>
      <c r="G49" s="4699">
        <v>46322</v>
      </c>
      <c r="H49" s="4672">
        <f t="shared" si="4"/>
        <v>1</v>
      </c>
      <c r="I49" s="4691" t="s">
        <v>5120</v>
      </c>
      <c r="J49" s="4692">
        <v>9</v>
      </c>
      <c r="K49" s="4693">
        <v>2</v>
      </c>
      <c r="L49" s="4692">
        <v>90000</v>
      </c>
      <c r="M49" s="4692">
        <v>90000</v>
      </c>
      <c r="N49" s="4692">
        <v>90000</v>
      </c>
      <c r="O49" s="4678">
        <f>SUM(D49,F49,H49)*K49</f>
        <v>36</v>
      </c>
      <c r="P49" s="4679">
        <f>(D49*L49+F49*M49+H49*N49)*K49</f>
        <v>3240000</v>
      </c>
      <c r="Q49" s="4692">
        <v>59.9</v>
      </c>
      <c r="R49" s="4680" t="s">
        <v>5742</v>
      </c>
      <c r="S49" s="4694">
        <v>59.9</v>
      </c>
      <c r="T49" s="4700">
        <v>2</v>
      </c>
      <c r="U49" s="4692">
        <v>141</v>
      </c>
      <c r="V49" s="4680" t="s">
        <v>4521</v>
      </c>
      <c r="W49" s="4695">
        <v>203</v>
      </c>
      <c r="X49" s="4692">
        <v>2</v>
      </c>
      <c r="Y49" s="4692" t="s">
        <v>5743</v>
      </c>
      <c r="Z49" s="4683" t="s">
        <v>5035</v>
      </c>
      <c r="AA49" s="4692" t="s">
        <v>5741</v>
      </c>
      <c r="AB49" s="4683" t="s">
        <v>5050</v>
      </c>
      <c r="AC49" s="4692" t="s">
        <v>5741</v>
      </c>
      <c r="AD49" s="4696"/>
      <c r="AE49" s="4685">
        <f>T49*K49</f>
        <v>4</v>
      </c>
    </row>
    <row r="50" spans="1:31" ht="33.75" customHeight="1">
      <c r="A50" s="4686">
        <v>14</v>
      </c>
      <c r="B50" s="4829">
        <v>46304</v>
      </c>
      <c r="C50" s="4829">
        <v>46306</v>
      </c>
      <c r="D50" s="4672">
        <f t="shared" si="5"/>
        <v>2</v>
      </c>
      <c r="E50" s="4829">
        <v>46320</v>
      </c>
      <c r="F50" s="4830">
        <f t="shared" si="6"/>
        <v>15</v>
      </c>
      <c r="G50" s="4699">
        <v>46322</v>
      </c>
      <c r="H50" s="4672">
        <f t="shared" si="4"/>
        <v>1</v>
      </c>
      <c r="I50" s="4691" t="s">
        <v>5964</v>
      </c>
      <c r="J50" s="4692">
        <v>1</v>
      </c>
      <c r="K50" s="4693">
        <v>0</v>
      </c>
      <c r="L50" s="4692"/>
      <c r="M50" s="4692"/>
      <c r="N50" s="4692"/>
      <c r="O50" s="4678">
        <f>SUM(D50,F50,H50)*K50</f>
        <v>0</v>
      </c>
      <c r="P50" s="4679">
        <f>(D50*L50+F50*M50+H50*N50)*K50</f>
        <v>0</v>
      </c>
      <c r="Q50" s="4692">
        <v>59.9</v>
      </c>
      <c r="R50" s="4680" t="s">
        <v>5742</v>
      </c>
      <c r="S50" s="4694">
        <v>59.9</v>
      </c>
      <c r="T50" s="4700">
        <v>2</v>
      </c>
      <c r="U50" s="4692">
        <v>121</v>
      </c>
      <c r="V50" s="4680" t="s">
        <v>4521</v>
      </c>
      <c r="W50" s="4695">
        <v>203</v>
      </c>
      <c r="X50" s="4692">
        <v>2</v>
      </c>
      <c r="Y50" s="4692" t="s">
        <v>5953</v>
      </c>
      <c r="Z50" s="4683" t="s">
        <v>5035</v>
      </c>
      <c r="AA50" s="4692"/>
      <c r="AB50" s="4683" t="s">
        <v>5050</v>
      </c>
      <c r="AC50" s="4692"/>
      <c r="AD50" s="4696"/>
      <c r="AE50" s="4685">
        <f>T50*K50</f>
        <v>0</v>
      </c>
    </row>
    <row r="51" spans="1:31" ht="33.75" customHeight="1">
      <c r="A51" s="4686">
        <v>15</v>
      </c>
      <c r="B51" s="4829">
        <v>46304</v>
      </c>
      <c r="C51" s="4829">
        <v>46306</v>
      </c>
      <c r="D51" s="4672">
        <f t="shared" si="5"/>
        <v>2</v>
      </c>
      <c r="E51" s="4829">
        <v>46320</v>
      </c>
      <c r="F51" s="4830">
        <f t="shared" si="6"/>
        <v>15</v>
      </c>
      <c r="G51" s="4699">
        <v>46322</v>
      </c>
      <c r="H51" s="4672">
        <f t="shared" si="4"/>
        <v>1</v>
      </c>
      <c r="I51" s="4691" t="s">
        <v>5121</v>
      </c>
      <c r="J51" s="4692">
        <v>2</v>
      </c>
      <c r="K51" s="4693">
        <v>0</v>
      </c>
      <c r="L51" s="4692"/>
      <c r="M51" s="4692"/>
      <c r="N51" s="4692"/>
      <c r="O51" s="4678">
        <f>SUM(D51,F51,H51)*K51</f>
        <v>0</v>
      </c>
      <c r="P51" s="4679">
        <f>(D51*L51+F51*M51+H51*N51)*K51</f>
        <v>0</v>
      </c>
      <c r="Q51" s="4692">
        <v>86.3</v>
      </c>
      <c r="R51" s="4680" t="s">
        <v>5742</v>
      </c>
      <c r="S51" s="4694">
        <v>86.3</v>
      </c>
      <c r="T51" s="4700">
        <v>2</v>
      </c>
      <c r="U51" s="4692">
        <v>121</v>
      </c>
      <c r="V51" s="4680" t="s">
        <v>4521</v>
      </c>
      <c r="W51" s="4695">
        <v>196</v>
      </c>
      <c r="X51" s="4692">
        <v>2</v>
      </c>
      <c r="Y51" s="4692" t="s">
        <v>5953</v>
      </c>
      <c r="Z51" s="4683" t="s">
        <v>5035</v>
      </c>
      <c r="AA51" s="4692"/>
      <c r="AB51" s="4683" t="s">
        <v>5050</v>
      </c>
      <c r="AC51" s="4692"/>
      <c r="AD51" s="4696"/>
      <c r="AE51" s="4685">
        <f>T51*K51</f>
        <v>0</v>
      </c>
    </row>
    <row r="52" spans="1:31" ht="33.75" customHeight="1">
      <c r="A52" s="4686">
        <v>16</v>
      </c>
      <c r="B52" s="4829">
        <v>46304</v>
      </c>
      <c r="C52" s="4829">
        <v>46306</v>
      </c>
      <c r="D52" s="4672">
        <f t="shared" si="5"/>
        <v>2</v>
      </c>
      <c r="E52" s="4829">
        <v>46320</v>
      </c>
      <c r="F52" s="4830">
        <f t="shared" si="6"/>
        <v>15</v>
      </c>
      <c r="G52" s="4699">
        <v>46322</v>
      </c>
      <c r="H52" s="4672">
        <f t="shared" si="4"/>
        <v>1</v>
      </c>
      <c r="I52" s="4691" t="s">
        <v>5122</v>
      </c>
      <c r="J52" s="4692">
        <v>1</v>
      </c>
      <c r="K52" s="4693">
        <v>0</v>
      </c>
      <c r="L52" s="4692"/>
      <c r="M52" s="4692"/>
      <c r="N52" s="4692"/>
      <c r="O52" s="4678">
        <f>SUM(D52,F52,H52)*K52</f>
        <v>0</v>
      </c>
      <c r="P52" s="4679">
        <f>(D52*L52+F52*M52+H52*N52)*K52</f>
        <v>0</v>
      </c>
      <c r="Q52" s="4692">
        <v>123.9</v>
      </c>
      <c r="R52" s="4680" t="s">
        <v>5742</v>
      </c>
      <c r="S52" s="4694">
        <v>123.9</v>
      </c>
      <c r="T52" s="4700">
        <v>2</v>
      </c>
      <c r="U52" s="4692">
        <v>141</v>
      </c>
      <c r="V52" s="4680" t="s">
        <v>4521</v>
      </c>
      <c r="W52" s="4695">
        <v>196</v>
      </c>
      <c r="X52" s="4692">
        <v>2</v>
      </c>
      <c r="Y52" s="4692" t="s">
        <v>5953</v>
      </c>
      <c r="Z52" s="4683" t="s">
        <v>5035</v>
      </c>
      <c r="AA52" s="4692"/>
      <c r="AB52" s="4683" t="s">
        <v>5050</v>
      </c>
      <c r="AC52" s="4692"/>
      <c r="AD52" s="4696"/>
      <c r="AE52" s="4685">
        <f>T52*K52</f>
        <v>0</v>
      </c>
    </row>
    <row r="53" spans="1:31" ht="33.75" customHeight="1">
      <c r="A53" s="4686">
        <v>17</v>
      </c>
      <c r="B53" s="4829">
        <v>46304</v>
      </c>
      <c r="C53" s="4829">
        <v>46306</v>
      </c>
      <c r="D53" s="4672">
        <f t="shared" si="5"/>
        <v>2</v>
      </c>
      <c r="E53" s="4829">
        <v>46320</v>
      </c>
      <c r="F53" s="4830">
        <f t="shared" si="6"/>
        <v>15</v>
      </c>
      <c r="G53" s="4699">
        <v>46322</v>
      </c>
      <c r="H53" s="4672">
        <f t="shared" si="4"/>
        <v>1</v>
      </c>
      <c r="I53" s="4691" t="s">
        <v>5123</v>
      </c>
      <c r="J53" s="4692">
        <v>1</v>
      </c>
      <c r="K53" s="4693">
        <v>0</v>
      </c>
      <c r="L53" s="4692"/>
      <c r="M53" s="4692"/>
      <c r="N53" s="4692"/>
      <c r="O53" s="4678">
        <f>SUM(D53,F53,H53)*K53</f>
        <v>0</v>
      </c>
      <c r="P53" s="4679">
        <f>(D53*L53+F53*M53+H53*N53)*K53</f>
        <v>0</v>
      </c>
      <c r="Q53" s="4692">
        <v>174.5</v>
      </c>
      <c r="R53" s="4680" t="s">
        <v>5742</v>
      </c>
      <c r="S53" s="4694">
        <v>174.5</v>
      </c>
      <c r="T53" s="4700">
        <v>2</v>
      </c>
      <c r="U53" s="4692">
        <v>141</v>
      </c>
      <c r="V53" s="4680" t="s">
        <v>4521</v>
      </c>
      <c r="W53" s="4695">
        <v>196</v>
      </c>
      <c r="X53" s="4692">
        <v>2</v>
      </c>
      <c r="Y53" s="4692" t="s">
        <v>5953</v>
      </c>
      <c r="Z53" s="4683" t="s">
        <v>5035</v>
      </c>
      <c r="AA53" s="4692"/>
      <c r="AB53" s="4683" t="s">
        <v>5050</v>
      </c>
      <c r="AC53" s="4692"/>
      <c r="AD53" s="4696"/>
      <c r="AE53" s="4685">
        <f>T53*K53</f>
        <v>0</v>
      </c>
    </row>
    <row r="54" spans="1:31" ht="33.75" customHeight="1">
      <c r="A54" s="4686">
        <v>18</v>
      </c>
      <c r="B54" s="4829">
        <v>46304</v>
      </c>
      <c r="C54" s="4829">
        <v>46306</v>
      </c>
      <c r="D54" s="4672">
        <f t="shared" si="5"/>
        <v>2</v>
      </c>
      <c r="E54" s="4829">
        <v>46320</v>
      </c>
      <c r="F54" s="4830">
        <f t="shared" si="6"/>
        <v>15</v>
      </c>
      <c r="G54" s="4699">
        <v>46322</v>
      </c>
      <c r="H54" s="4672">
        <f t="shared" si="4"/>
        <v>1</v>
      </c>
      <c r="I54" s="4691" t="s">
        <v>5045</v>
      </c>
      <c r="J54" s="4692">
        <v>2</v>
      </c>
      <c r="K54" s="4693">
        <v>0</v>
      </c>
      <c r="L54" s="4692"/>
      <c r="M54" s="4692"/>
      <c r="N54" s="4692"/>
      <c r="O54" s="4678">
        <f>SUM(D54,F54,H54)*K54</f>
        <v>0</v>
      </c>
      <c r="P54" s="4679">
        <f>(D54*L54+F54*M54+H54*N54)*K54</f>
        <v>0</v>
      </c>
      <c r="Q54" s="4692">
        <v>61.9</v>
      </c>
      <c r="R54" s="4680" t="s">
        <v>5742</v>
      </c>
      <c r="S54" s="4694">
        <v>61.9</v>
      </c>
      <c r="T54" s="4700">
        <v>3</v>
      </c>
      <c r="U54" s="4692" t="s">
        <v>246</v>
      </c>
      <c r="V54" s="4680" t="s">
        <v>4521</v>
      </c>
      <c r="W54" s="4695" t="s">
        <v>246</v>
      </c>
      <c r="X54" s="4692" t="s">
        <v>246</v>
      </c>
      <c r="Y54" s="4692" t="s">
        <v>5953</v>
      </c>
      <c r="Z54" s="4683" t="s">
        <v>5035</v>
      </c>
      <c r="AA54" s="4692"/>
      <c r="AB54" s="4683" t="s">
        <v>5050</v>
      </c>
      <c r="AC54" s="4692"/>
      <c r="AD54" s="4696"/>
      <c r="AE54" s="4685">
        <f>T54*K54</f>
        <v>0</v>
      </c>
    </row>
    <row r="55" spans="1:31" ht="33.75" customHeight="1" thickBot="1">
      <c r="A55" s="4686">
        <v>19</v>
      </c>
      <c r="B55" s="4829">
        <v>46304</v>
      </c>
      <c r="C55" s="4829">
        <v>46306</v>
      </c>
      <c r="D55" s="4672">
        <f t="shared" si="5"/>
        <v>2</v>
      </c>
      <c r="E55" s="4829">
        <v>46320</v>
      </c>
      <c r="F55" s="4830">
        <f t="shared" si="6"/>
        <v>15</v>
      </c>
      <c r="G55" s="4699">
        <v>46322</v>
      </c>
      <c r="H55" s="4672">
        <f t="shared" si="4"/>
        <v>1</v>
      </c>
      <c r="I55" s="4691" t="s">
        <v>5094</v>
      </c>
      <c r="J55" s="4692">
        <v>1</v>
      </c>
      <c r="K55" s="4693">
        <v>0</v>
      </c>
      <c r="L55" s="4692"/>
      <c r="M55" s="4692"/>
      <c r="N55" s="4692"/>
      <c r="O55" s="4678">
        <f>SUM(D55,F55,H55)*K55</f>
        <v>0</v>
      </c>
      <c r="P55" s="4679">
        <f>(D55*L55+F55*M55+H55*N55)*K55</f>
        <v>0</v>
      </c>
      <c r="Q55" s="4692">
        <v>29.7</v>
      </c>
      <c r="R55" s="4680" t="s">
        <v>5739</v>
      </c>
      <c r="S55" s="4694">
        <v>29.7</v>
      </c>
      <c r="T55" s="4700">
        <v>2</v>
      </c>
      <c r="U55" s="4692">
        <v>121</v>
      </c>
      <c r="V55" s="4680" t="s">
        <v>4521</v>
      </c>
      <c r="W55" s="4695">
        <v>196</v>
      </c>
      <c r="X55" s="4692">
        <v>2</v>
      </c>
      <c r="Y55" s="4692" t="s">
        <v>5743</v>
      </c>
      <c r="Z55" s="4683" t="s">
        <v>5035</v>
      </c>
      <c r="AA55" s="4692"/>
      <c r="AB55" s="4683" t="s">
        <v>5050</v>
      </c>
      <c r="AC55" s="4692"/>
      <c r="AD55" s="4696"/>
      <c r="AE55" s="4685">
        <f>T55*K55</f>
        <v>0</v>
      </c>
    </row>
    <row r="56" spans="1:31" ht="33.75" customHeight="1" thickTop="1" thickBot="1">
      <c r="A56" s="4840"/>
      <c r="B56" s="4841"/>
      <c r="C56" s="4841"/>
      <c r="D56" s="4841"/>
      <c r="E56" s="4841"/>
      <c r="F56" s="4842"/>
      <c r="G56" s="4843"/>
      <c r="H56" s="4841"/>
      <c r="I56" s="4844" t="s">
        <v>2432</v>
      </c>
      <c r="J56" s="4845">
        <f>SUM(J37:J55)</f>
        <v>564</v>
      </c>
      <c r="K56" s="4846">
        <f>SUM(K37:K55)</f>
        <v>246</v>
      </c>
      <c r="L56" s="4843"/>
      <c r="M56" s="4843"/>
      <c r="N56" s="4843"/>
      <c r="O56" s="4845">
        <f>SUM(O37:O55)</f>
        <v>4428</v>
      </c>
      <c r="P56" s="4845">
        <f>SUM(P37:P55)</f>
        <v>167256000</v>
      </c>
      <c r="Q56" s="6901"/>
      <c r="R56" s="6901"/>
      <c r="S56" s="6901"/>
      <c r="T56" s="4847"/>
      <c r="U56" s="6902"/>
      <c r="V56" s="6901"/>
      <c r="W56" s="6901"/>
      <c r="X56" s="4847"/>
      <c r="Y56" s="4847"/>
      <c r="Z56" s="6903"/>
      <c r="AA56" s="6904"/>
      <c r="AB56" s="6903"/>
      <c r="AC56" s="6904"/>
      <c r="AD56" s="4848"/>
      <c r="AE56" s="4685">
        <f>SUM(AE37:AE55)</f>
        <v>349</v>
      </c>
    </row>
    <row r="57" spans="1:31" ht="32.15" customHeight="1" thickBot="1">
      <c r="C57" s="4710"/>
      <c r="D57" s="4710"/>
      <c r="E57" s="4710"/>
      <c r="F57" s="4710"/>
      <c r="G57" s="4710"/>
      <c r="H57" s="4710"/>
      <c r="I57" s="4711"/>
      <c r="J57" s="4712"/>
      <c r="K57" s="4710"/>
      <c r="L57" s="4713" t="s">
        <v>5748</v>
      </c>
      <c r="M57" s="4714" t="e">
        <f>SUM(#REF!)</f>
        <v>#REF!</v>
      </c>
      <c r="N57" s="4715"/>
      <c r="O57" s="4715"/>
      <c r="R57" s="4656"/>
      <c r="V57" s="4656"/>
      <c r="AE57" s="4849"/>
    </row>
    <row r="58" spans="1:31" ht="33.75" customHeight="1">
      <c r="A58" s="6845" t="s">
        <v>5749</v>
      </c>
      <c r="B58" s="6846"/>
      <c r="C58" s="4716">
        <f>O56</f>
        <v>4428</v>
      </c>
      <c r="D58" s="4717"/>
      <c r="F58" s="4718"/>
      <c r="G58" s="4850"/>
      <c r="H58" s="4719"/>
      <c r="I58" s="4720"/>
      <c r="L58" s="4721" t="s">
        <v>5750</v>
      </c>
      <c r="M58" s="4722" t="e">
        <f>M57*1.1</f>
        <v>#REF!</v>
      </c>
      <c r="O58" s="4656"/>
      <c r="AE58" s="4851"/>
    </row>
    <row r="59" spans="1:31" ht="33.75" customHeight="1">
      <c r="A59" s="6847" t="s">
        <v>5883</v>
      </c>
      <c r="B59" s="6848"/>
      <c r="C59" s="4723">
        <f>P56</f>
        <v>167256000</v>
      </c>
      <c r="D59" s="4717"/>
      <c r="F59" s="4724"/>
      <c r="G59" s="4852"/>
      <c r="H59" s="4719"/>
      <c r="I59" s="4720"/>
      <c r="O59" s="4656"/>
      <c r="AE59" s="4851"/>
    </row>
    <row r="60" spans="1:31" ht="33.75" customHeight="1" thickBot="1">
      <c r="A60" s="6913" t="s">
        <v>5751</v>
      </c>
      <c r="B60" s="6914"/>
      <c r="C60" s="4823">
        <f>C59*1.1</f>
        <v>183981600</v>
      </c>
      <c r="D60" s="4719"/>
      <c r="F60" s="4724"/>
      <c r="H60" s="4719"/>
      <c r="I60" s="4720"/>
      <c r="K60" s="4659"/>
      <c r="L60" s="4824"/>
      <c r="O60" s="4656"/>
    </row>
    <row r="61" spans="1:31" ht="33.75" customHeight="1">
      <c r="A61" s="4729"/>
      <c r="B61" s="4729"/>
      <c r="C61" s="4729"/>
      <c r="D61" s="4729"/>
      <c r="E61" s="4729"/>
      <c r="F61" s="4729"/>
      <c r="G61" s="4726"/>
      <c r="H61" s="4729"/>
      <c r="I61" s="4720"/>
      <c r="O61" s="4656"/>
    </row>
    <row r="62" spans="1:31" ht="33.75" customHeight="1">
      <c r="A62" s="4728" t="s">
        <v>5752</v>
      </c>
      <c r="B62" s="4728"/>
      <c r="C62" s="4729"/>
      <c r="D62" s="4729"/>
      <c r="E62" s="4729"/>
      <c r="F62" s="4729"/>
      <c r="G62" s="4726"/>
      <c r="H62" s="4729"/>
      <c r="I62" s="4720"/>
      <c r="O62" s="4656"/>
    </row>
    <row r="63" spans="1:31" ht="36" customHeight="1">
      <c r="A63" s="5048" t="s">
        <v>5966</v>
      </c>
      <c r="B63" s="5048"/>
      <c r="C63" s="5049"/>
      <c r="D63" s="5049"/>
      <c r="E63" s="5049"/>
      <c r="F63" s="5049"/>
      <c r="G63" s="5050"/>
      <c r="H63" s="5049"/>
    </row>
    <row r="64" spans="1:31" ht="36" customHeight="1">
      <c r="A64" s="4730" t="s">
        <v>5754</v>
      </c>
      <c r="B64" s="4730"/>
    </row>
    <row r="65" spans="1:31" ht="36" customHeight="1">
      <c r="A65" s="4728"/>
      <c r="B65" s="4728"/>
    </row>
    <row r="66" spans="1:31" ht="36" customHeight="1"/>
    <row r="67" spans="1:31" ht="36" customHeight="1"/>
    <row r="68" spans="1:31" ht="36" customHeight="1"/>
    <row r="69" spans="1:31" s="4656" customFormat="1" ht="36" customHeight="1">
      <c r="C69" s="4657"/>
      <c r="D69" s="4657"/>
      <c r="E69" s="4657"/>
      <c r="F69" s="4657"/>
      <c r="H69" s="4657"/>
      <c r="I69" s="4658"/>
      <c r="L69" s="4659"/>
      <c r="M69" s="4659"/>
      <c r="N69" s="4659"/>
      <c r="O69" s="4659"/>
      <c r="Q69" s="4657"/>
      <c r="R69" s="4657"/>
      <c r="S69" s="4657"/>
      <c r="T69" s="4657"/>
      <c r="U69" s="4657"/>
      <c r="V69" s="4657"/>
      <c r="W69" s="4657"/>
      <c r="X69" s="4657"/>
      <c r="Y69" s="4657"/>
      <c r="Z69" s="4657"/>
      <c r="AA69" s="4657"/>
      <c r="AB69" s="4657"/>
      <c r="AC69" s="4657"/>
      <c r="AD69" s="4657"/>
      <c r="AE69" s="4657"/>
    </row>
    <row r="70" spans="1:31" s="4656" customFormat="1" ht="36" customHeight="1">
      <c r="C70" s="4657"/>
      <c r="D70" s="4657"/>
      <c r="E70" s="4657"/>
      <c r="F70" s="4657"/>
      <c r="H70" s="4657"/>
      <c r="I70" s="4658"/>
      <c r="L70" s="4659"/>
      <c r="M70" s="4659"/>
      <c r="N70" s="4659"/>
      <c r="O70" s="4659"/>
      <c r="Q70" s="4657"/>
      <c r="R70" s="4657"/>
      <c r="S70" s="4657"/>
      <c r="T70" s="4657"/>
      <c r="U70" s="4657"/>
      <c r="V70" s="4657"/>
      <c r="W70" s="4657"/>
      <c r="X70" s="4657"/>
      <c r="Y70" s="4657"/>
      <c r="Z70" s="4657"/>
      <c r="AA70" s="4657"/>
      <c r="AB70" s="4657"/>
      <c r="AC70" s="4657"/>
      <c r="AD70" s="4657"/>
      <c r="AE70" s="4657"/>
    </row>
    <row r="71" spans="1:31" s="4656" customFormat="1" ht="36" customHeight="1">
      <c r="C71" s="4657"/>
      <c r="D71" s="4657"/>
      <c r="E71" s="4657"/>
      <c r="F71" s="4657"/>
      <c r="H71" s="4657"/>
      <c r="I71" s="4658"/>
      <c r="L71" s="4659"/>
      <c r="M71" s="4659"/>
      <c r="N71" s="4659"/>
      <c r="O71" s="4659"/>
      <c r="Q71" s="4657"/>
      <c r="R71" s="4657"/>
      <c r="S71" s="4657"/>
      <c r="T71" s="4657"/>
      <c r="U71" s="4657"/>
      <c r="V71" s="4657"/>
      <c r="W71" s="4657"/>
      <c r="X71" s="4657"/>
      <c r="Y71" s="4657"/>
      <c r="Z71" s="4657"/>
      <c r="AA71" s="4657"/>
      <c r="AB71" s="4657"/>
      <c r="AC71" s="4657"/>
      <c r="AD71" s="4657"/>
      <c r="AE71" s="4657"/>
    </row>
    <row r="72" spans="1:31" s="4656" customFormat="1" ht="36" customHeight="1">
      <c r="C72" s="4657"/>
      <c r="D72" s="4657"/>
      <c r="E72" s="4657"/>
      <c r="F72" s="4657"/>
      <c r="H72" s="4657"/>
      <c r="I72" s="4658"/>
      <c r="L72" s="4659"/>
      <c r="M72" s="4659"/>
      <c r="N72" s="4659"/>
      <c r="O72" s="4659"/>
      <c r="Q72" s="4657"/>
      <c r="R72" s="4657"/>
      <c r="S72" s="4657"/>
      <c r="T72" s="4657"/>
      <c r="U72" s="4657"/>
      <c r="V72" s="4657"/>
      <c r="W72" s="4657"/>
      <c r="X72" s="4657"/>
      <c r="Y72" s="4657"/>
      <c r="Z72" s="4657"/>
      <c r="AA72" s="4657"/>
      <c r="AB72" s="4657"/>
      <c r="AC72" s="4657"/>
      <c r="AD72" s="4657"/>
      <c r="AE72" s="4657"/>
    </row>
    <row r="73" spans="1:31" s="4656" customFormat="1" ht="10.15" customHeight="1">
      <c r="C73" s="4657"/>
      <c r="D73" s="4657"/>
      <c r="E73" s="4657"/>
      <c r="F73" s="4657"/>
      <c r="H73" s="4657"/>
      <c r="I73" s="4658"/>
      <c r="L73" s="4659"/>
      <c r="M73" s="4659"/>
      <c r="N73" s="4659"/>
      <c r="O73" s="4659"/>
      <c r="Q73" s="4657"/>
      <c r="R73" s="4657"/>
      <c r="S73" s="4657"/>
      <c r="T73" s="4657"/>
      <c r="U73" s="4657"/>
      <c r="V73" s="4657"/>
      <c r="W73" s="4657"/>
      <c r="X73" s="4657"/>
      <c r="Y73" s="4657"/>
      <c r="Z73" s="4657"/>
      <c r="AA73" s="4657"/>
      <c r="AB73" s="4657"/>
      <c r="AC73" s="4657"/>
      <c r="AD73" s="4657"/>
      <c r="AE73" s="4657"/>
    </row>
  </sheetData>
  <mergeCells count="6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N5:N6"/>
    <mergeCell ref="O5:P5"/>
    <mergeCell ref="Q5:S6"/>
    <mergeCell ref="T5:T6"/>
    <mergeCell ref="U5:W6"/>
    <mergeCell ref="Y5:Y6"/>
    <mergeCell ref="Z5:AC6"/>
    <mergeCell ref="AD5:AD6"/>
    <mergeCell ref="AE5:AE6"/>
    <mergeCell ref="Q27:S27"/>
    <mergeCell ref="U27:W27"/>
    <mergeCell ref="Z27:AA27"/>
    <mergeCell ref="AB27:AC27"/>
    <mergeCell ref="X5:X6"/>
    <mergeCell ref="I34:I35"/>
    <mergeCell ref="A29:B29"/>
    <mergeCell ref="A30:B30"/>
    <mergeCell ref="A31:B31"/>
    <mergeCell ref="A34:A35"/>
    <mergeCell ref="B34:B35"/>
    <mergeCell ref="C34:C35"/>
    <mergeCell ref="D34:D35"/>
    <mergeCell ref="E34:E35"/>
    <mergeCell ref="F34:F35"/>
    <mergeCell ref="G34:G35"/>
    <mergeCell ref="H34:H35"/>
    <mergeCell ref="K34:K35"/>
    <mergeCell ref="L34:L35"/>
    <mergeCell ref="M34:M35"/>
    <mergeCell ref="N34:N35"/>
    <mergeCell ref="O34:P34"/>
    <mergeCell ref="A58:B58"/>
    <mergeCell ref="A59:B59"/>
    <mergeCell ref="A60:B60"/>
    <mergeCell ref="AD34:AD35"/>
    <mergeCell ref="AE34:AE35"/>
    <mergeCell ref="Q56:S56"/>
    <mergeCell ref="U56:W56"/>
    <mergeCell ref="Z56:AA56"/>
    <mergeCell ref="AB56:AC56"/>
    <mergeCell ref="Q34:S35"/>
    <mergeCell ref="T34:T35"/>
    <mergeCell ref="U34:W35"/>
    <mergeCell ref="X34:X35"/>
    <mergeCell ref="Y34:Y35"/>
    <mergeCell ref="Z34:AC35"/>
    <mergeCell ref="J34:J35"/>
  </mergeCells>
  <phoneticPr fontId="2"/>
  <conditionalFormatting sqref="B8:C26 E8:G26 H7:N26 H36:N55">
    <cfRule type="containsBlanks" dxfId="735" priority="14">
      <formula>LEN(TRIM(B7))=0</formula>
    </cfRule>
  </conditionalFormatting>
  <conditionalFormatting sqref="B37:C55 E37:E55">
    <cfRule type="containsBlanks" dxfId="734" priority="4">
      <formula>LEN(TRIM(B37))=0</formula>
    </cfRule>
  </conditionalFormatting>
  <conditionalFormatting sqref="C2:D2">
    <cfRule type="containsBlanks" dxfId="733" priority="11">
      <formula>LEN(TRIM(C2))=0</formula>
    </cfRule>
  </conditionalFormatting>
  <conditionalFormatting sqref="D7:D26">
    <cfRule type="containsBlanks" dxfId="732" priority="13">
      <formula>LEN(TRIM(D7))=0</formula>
    </cfRule>
  </conditionalFormatting>
  <conditionalFormatting sqref="D36:D55">
    <cfRule type="containsBlanks" dxfId="731" priority="3">
      <formula>LEN(TRIM(D36))=0</formula>
    </cfRule>
  </conditionalFormatting>
  <conditionalFormatting sqref="F7">
    <cfRule type="containsBlanks" dxfId="730" priority="12">
      <formula>LEN(TRIM(F7))=0</formula>
    </cfRule>
  </conditionalFormatting>
  <conditionalFormatting sqref="F36:F55">
    <cfRule type="containsBlanks" dxfId="729" priority="2">
      <formula>LEN(TRIM(F36))=0</formula>
    </cfRule>
  </conditionalFormatting>
  <conditionalFormatting sqref="G37:G55">
    <cfRule type="containsBlanks" dxfId="728" priority="1">
      <formula>LEN(TRIM(G37))=0</formula>
    </cfRule>
  </conditionalFormatting>
  <conditionalFormatting sqref="P7:Q26">
    <cfRule type="containsBlanks" dxfId="727" priority="18">
      <formula>LEN(TRIM(P7))=0</formula>
    </cfRule>
  </conditionalFormatting>
  <conditionalFormatting sqref="P36:Q55">
    <cfRule type="containsBlanks" dxfId="726" priority="10">
      <formula>LEN(TRIM(P36))=0</formula>
    </cfRule>
  </conditionalFormatting>
  <conditionalFormatting sqref="S7:U26">
    <cfRule type="containsBlanks" dxfId="725" priority="16">
      <formula>LEN(TRIM(S7))=0</formula>
    </cfRule>
  </conditionalFormatting>
  <conditionalFormatting sqref="S36:U55">
    <cfRule type="containsBlanks" dxfId="724" priority="8">
      <formula>LEN(TRIM(S36))=0</formula>
    </cfRule>
  </conditionalFormatting>
  <conditionalFormatting sqref="W7:Y26">
    <cfRule type="containsBlanks" dxfId="723" priority="15">
      <formula>LEN(TRIM(W7))=0</formula>
    </cfRule>
  </conditionalFormatting>
  <conditionalFormatting sqref="W36:Y55">
    <cfRule type="containsBlanks" dxfId="722" priority="7">
      <formula>LEN(TRIM(W36))=0</formula>
    </cfRule>
  </conditionalFormatting>
  <conditionalFormatting sqref="AA7:AA26 AC7:AD26">
    <cfRule type="containsBlanks" dxfId="721" priority="17">
      <formula>LEN(TRIM(AA7))=0</formula>
    </cfRule>
  </conditionalFormatting>
  <conditionalFormatting sqref="AA36:AA55 AC36:AD55">
    <cfRule type="containsBlanks" dxfId="720" priority="9">
      <formula>LEN(TRIM(AA36))=0</formula>
    </cfRule>
  </conditionalFormatting>
  <printOptions horizontalCentered="1"/>
  <pageMargins left="0.39370078740157483" right="0.39370078740157483" top="0.55118110236220474" bottom="0.55118110236220474" header="0.31496062992125984" footer="0.31496062992125984"/>
  <pageSetup paperSize="8" scale="38" orientation="landscape" r:id="rId1"/>
  <headerFooter>
    <oddHeader>&amp;R&amp;G</oddHeader>
  </headerFooter>
  <legacy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3A82-BA35-4CDE-8FE3-F9C3EEF52D4F}">
  <sheetPr codeName="Sheet330">
    <tabColor rgb="FFFFFF66"/>
    <pageSetUpPr fitToPage="1"/>
  </sheetPr>
  <dimension ref="A1:AE56"/>
  <sheetViews>
    <sheetView topLeftCell="A28" zoomScale="70" zoomScaleNormal="70" workbookViewId="0">
      <selection activeCell="N24" sqref="N24"/>
    </sheetView>
  </sheetViews>
  <sheetFormatPr defaultColWidth="9.81640625" defaultRowHeight="26.5"/>
  <cols>
    <col min="1" max="1" width="7.45312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1.8164062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tr">
        <f>'[11]別紙1-1）客室提供条件'!C2</f>
        <v>名古屋東急ホテル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5051" t="s">
        <v>5967</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9" si="0">F7*N7</f>
        <v>3150000</v>
      </c>
      <c r="P7" s="4755" t="s">
        <v>5782</v>
      </c>
      <c r="Q7" s="4756">
        <v>4</v>
      </c>
      <c r="R7" s="4756" t="s">
        <v>3804</v>
      </c>
      <c r="S7" s="4751" t="s">
        <v>246</v>
      </c>
      <c r="T7" s="4756" t="s">
        <v>2161</v>
      </c>
      <c r="U7" s="4757">
        <v>2000</v>
      </c>
    </row>
    <row r="8" spans="1:31" s="4666" customFormat="1" ht="33.75" customHeight="1">
      <c r="A8" s="4758">
        <v>1</v>
      </c>
      <c r="B8" s="4816">
        <v>46279</v>
      </c>
      <c r="C8" s="4816">
        <v>46295</v>
      </c>
      <c r="D8" s="4759">
        <v>0.27083333333333331</v>
      </c>
      <c r="E8" s="4759">
        <v>0.91666666666666663</v>
      </c>
      <c r="F8" s="4760">
        <f t="shared" ref="F8:F17" si="1">IF(OR(ISBLANK($B8), ISBLANK($C8)), 0, _xlfn.DAYS($C8, $B8) + 1)</f>
        <v>17</v>
      </c>
      <c r="G8" s="4761" t="s">
        <v>5968</v>
      </c>
      <c r="H8" s="4762">
        <v>4</v>
      </c>
      <c r="I8" s="4763" t="s">
        <v>5190</v>
      </c>
      <c r="J8" s="4764">
        <v>14</v>
      </c>
      <c r="K8" s="4765">
        <v>30</v>
      </c>
      <c r="L8" s="4765">
        <v>408</v>
      </c>
      <c r="M8" s="4765">
        <v>3.1</v>
      </c>
      <c r="N8" s="4762">
        <v>2140160</v>
      </c>
      <c r="O8" s="4766">
        <f>F8*N8</f>
        <v>36382720</v>
      </c>
      <c r="P8" s="4857" t="s">
        <v>5815</v>
      </c>
      <c r="Q8" s="4858">
        <v>2</v>
      </c>
      <c r="R8" s="4976" t="s">
        <v>5815</v>
      </c>
      <c r="S8" s="4858">
        <v>80000</v>
      </c>
      <c r="T8" s="4976" t="s">
        <v>5815</v>
      </c>
      <c r="U8" s="4860">
        <v>0</v>
      </c>
    </row>
    <row r="9" spans="1:31" ht="33.75" customHeight="1">
      <c r="A9" s="4758">
        <v>2</v>
      </c>
      <c r="B9" s="4816">
        <v>46296</v>
      </c>
      <c r="C9" s="4816">
        <v>46296</v>
      </c>
      <c r="D9" s="4759">
        <v>0.27083333333333331</v>
      </c>
      <c r="E9" s="4759">
        <v>0.5</v>
      </c>
      <c r="F9" s="4760">
        <f t="shared" si="1"/>
        <v>1</v>
      </c>
      <c r="G9" s="4761" t="s">
        <v>5968</v>
      </c>
      <c r="H9" s="4762">
        <v>4</v>
      </c>
      <c r="I9" s="4763" t="s">
        <v>5190</v>
      </c>
      <c r="J9" s="4764">
        <v>14</v>
      </c>
      <c r="K9" s="4765">
        <v>30</v>
      </c>
      <c r="L9" s="4765">
        <v>408</v>
      </c>
      <c r="M9" s="4765">
        <v>3.1</v>
      </c>
      <c r="N9" s="4762">
        <v>870400</v>
      </c>
      <c r="O9" s="4766">
        <f t="shared" si="0"/>
        <v>870400</v>
      </c>
      <c r="P9" s="4857" t="s">
        <v>5815</v>
      </c>
      <c r="Q9" s="4858">
        <v>2</v>
      </c>
      <c r="R9" s="4976" t="s">
        <v>5815</v>
      </c>
      <c r="S9" s="4858">
        <v>80000</v>
      </c>
      <c r="T9" s="4976" t="s">
        <v>5815</v>
      </c>
      <c r="U9" s="4860">
        <v>0</v>
      </c>
      <c r="AC9" s="4657"/>
    </row>
    <row r="10" spans="1:31" ht="33.75" customHeight="1">
      <c r="A10" s="4758">
        <v>3</v>
      </c>
      <c r="B10" s="4816">
        <v>46279</v>
      </c>
      <c r="C10" s="4816">
        <v>46295</v>
      </c>
      <c r="D10" s="4759">
        <v>0.27083333333333298</v>
      </c>
      <c r="E10" s="4759">
        <v>0.95833333333333337</v>
      </c>
      <c r="F10" s="4770">
        <f t="shared" si="1"/>
        <v>17</v>
      </c>
      <c r="G10" s="4761" t="s">
        <v>5969</v>
      </c>
      <c r="H10" s="4762">
        <v>4</v>
      </c>
      <c r="I10" s="4763" t="s">
        <v>5190</v>
      </c>
      <c r="J10" s="4764">
        <v>11</v>
      </c>
      <c r="K10" s="4765">
        <v>14</v>
      </c>
      <c r="L10" s="4765">
        <v>150</v>
      </c>
      <c r="M10" s="4765">
        <v>3.2</v>
      </c>
      <c r="N10" s="4762">
        <v>1039360</v>
      </c>
      <c r="O10" s="4766">
        <f t="shared" si="0"/>
        <v>17669120</v>
      </c>
      <c r="P10" s="4857" t="s">
        <v>3804</v>
      </c>
      <c r="Q10" s="4858" t="s">
        <v>2815</v>
      </c>
      <c r="R10" s="4976" t="s">
        <v>5815</v>
      </c>
      <c r="S10" s="4858">
        <v>80000</v>
      </c>
      <c r="T10" s="4976" t="s">
        <v>5815</v>
      </c>
      <c r="U10" s="4860">
        <v>0</v>
      </c>
      <c r="AC10" s="4657"/>
    </row>
    <row r="11" spans="1:31" ht="33.75" customHeight="1">
      <c r="A11" s="4758">
        <v>4</v>
      </c>
      <c r="B11" s="4816">
        <v>46296</v>
      </c>
      <c r="C11" s="4816">
        <v>46296</v>
      </c>
      <c r="D11" s="4759">
        <v>0.27083333333333298</v>
      </c>
      <c r="E11" s="4759">
        <v>0.5</v>
      </c>
      <c r="F11" s="4760">
        <f t="shared" si="1"/>
        <v>1</v>
      </c>
      <c r="G11" s="4761" t="s">
        <v>5969</v>
      </c>
      <c r="H11" s="4762">
        <v>4</v>
      </c>
      <c r="I11" s="4763" t="s">
        <v>5190</v>
      </c>
      <c r="J11" s="4764">
        <v>11</v>
      </c>
      <c r="K11" s="4765">
        <v>14</v>
      </c>
      <c r="L11" s="4765">
        <v>150</v>
      </c>
      <c r="M11" s="4765">
        <v>3.2</v>
      </c>
      <c r="N11" s="4762">
        <v>376320</v>
      </c>
      <c r="O11" s="4766">
        <f t="shared" si="0"/>
        <v>376320</v>
      </c>
      <c r="P11" s="4857" t="s">
        <v>3804</v>
      </c>
      <c r="Q11" s="4858" t="s">
        <v>2815</v>
      </c>
      <c r="R11" s="4976" t="s">
        <v>5815</v>
      </c>
      <c r="S11" s="4858">
        <v>80000</v>
      </c>
      <c r="T11" s="4976" t="s">
        <v>5815</v>
      </c>
      <c r="U11" s="4860">
        <v>0</v>
      </c>
      <c r="AC11" s="4657"/>
    </row>
    <row r="12" spans="1:31" ht="33.75" customHeight="1">
      <c r="A12" s="4758">
        <v>5</v>
      </c>
      <c r="B12" s="4816">
        <v>46279</v>
      </c>
      <c r="C12" s="4816">
        <v>46295</v>
      </c>
      <c r="D12" s="4759">
        <v>0.27083333333333298</v>
      </c>
      <c r="E12" s="4759">
        <v>0.95833333333333337</v>
      </c>
      <c r="F12" s="4760">
        <f t="shared" si="1"/>
        <v>17</v>
      </c>
      <c r="G12" s="4761" t="s">
        <v>5970</v>
      </c>
      <c r="H12" s="4762">
        <v>4</v>
      </c>
      <c r="I12" s="4763" t="s">
        <v>5190</v>
      </c>
      <c r="J12" s="4764">
        <v>8</v>
      </c>
      <c r="K12" s="4765">
        <v>8</v>
      </c>
      <c r="L12" s="4765">
        <v>60</v>
      </c>
      <c r="M12" s="4765">
        <v>3</v>
      </c>
      <c r="N12" s="4762">
        <v>448000</v>
      </c>
      <c r="O12" s="4766">
        <f t="shared" si="0"/>
        <v>7616000</v>
      </c>
      <c r="P12" s="4857" t="s">
        <v>3804</v>
      </c>
      <c r="Q12" s="4858" t="s">
        <v>2815</v>
      </c>
      <c r="R12" s="4976" t="s">
        <v>5815</v>
      </c>
      <c r="S12" s="4858">
        <v>80000</v>
      </c>
      <c r="T12" s="4976" t="s">
        <v>5815</v>
      </c>
      <c r="U12" s="4860">
        <v>0</v>
      </c>
      <c r="AC12" s="4657"/>
    </row>
    <row r="13" spans="1:31" ht="33.75" customHeight="1">
      <c r="A13" s="4758">
        <v>6</v>
      </c>
      <c r="B13" s="4816">
        <v>46296</v>
      </c>
      <c r="C13" s="4816">
        <v>46296</v>
      </c>
      <c r="D13" s="4759">
        <v>0.27083333333333298</v>
      </c>
      <c r="E13" s="4759">
        <v>0.5</v>
      </c>
      <c r="F13" s="4760">
        <f t="shared" si="1"/>
        <v>1</v>
      </c>
      <c r="G13" s="4761" t="s">
        <v>5970</v>
      </c>
      <c r="H13" s="4762">
        <v>4</v>
      </c>
      <c r="I13" s="4763" t="s">
        <v>5190</v>
      </c>
      <c r="J13" s="4764">
        <v>8</v>
      </c>
      <c r="K13" s="4765">
        <v>8</v>
      </c>
      <c r="L13" s="4765">
        <v>60</v>
      </c>
      <c r="M13" s="4765">
        <v>3</v>
      </c>
      <c r="N13" s="4762">
        <v>156160</v>
      </c>
      <c r="O13" s="4766">
        <f t="shared" si="0"/>
        <v>156160</v>
      </c>
      <c r="P13" s="4857" t="s">
        <v>3804</v>
      </c>
      <c r="Q13" s="4858" t="s">
        <v>2815</v>
      </c>
      <c r="R13" s="4976" t="s">
        <v>5815</v>
      </c>
      <c r="S13" s="4858">
        <v>80000</v>
      </c>
      <c r="T13" s="4976" t="s">
        <v>5815</v>
      </c>
      <c r="U13" s="4860">
        <v>0</v>
      </c>
      <c r="AC13" s="4657"/>
    </row>
    <row r="14" spans="1:31" ht="33.75" customHeight="1">
      <c r="A14" s="4758">
        <v>7</v>
      </c>
      <c r="B14" s="4816">
        <v>46279</v>
      </c>
      <c r="C14" s="4816">
        <v>46295</v>
      </c>
      <c r="D14" s="4759">
        <v>0.27083333333333298</v>
      </c>
      <c r="E14" s="4759">
        <v>0.95833333333333337</v>
      </c>
      <c r="F14" s="4760">
        <f t="shared" si="1"/>
        <v>17</v>
      </c>
      <c r="G14" s="4771" t="s">
        <v>5971</v>
      </c>
      <c r="H14" s="4762">
        <v>4</v>
      </c>
      <c r="I14" s="4763" t="s">
        <v>5190</v>
      </c>
      <c r="J14" s="4764">
        <v>8</v>
      </c>
      <c r="K14" s="4765">
        <v>8</v>
      </c>
      <c r="L14" s="4765">
        <v>60</v>
      </c>
      <c r="M14" s="4765">
        <v>3</v>
      </c>
      <c r="N14" s="4762">
        <v>448000</v>
      </c>
      <c r="O14" s="4766">
        <f t="shared" si="0"/>
        <v>7616000</v>
      </c>
      <c r="P14" s="4857" t="s">
        <v>3804</v>
      </c>
      <c r="Q14" s="4858" t="s">
        <v>2815</v>
      </c>
      <c r="R14" s="4976" t="s">
        <v>5815</v>
      </c>
      <c r="S14" s="4858">
        <v>80000</v>
      </c>
      <c r="T14" s="4976" t="s">
        <v>5815</v>
      </c>
      <c r="U14" s="4860">
        <v>0</v>
      </c>
      <c r="AC14" s="4657"/>
    </row>
    <row r="15" spans="1:31" ht="33.75" customHeight="1">
      <c r="A15" s="4758">
        <v>8</v>
      </c>
      <c r="B15" s="4816">
        <v>46296</v>
      </c>
      <c r="C15" s="4816">
        <v>46296</v>
      </c>
      <c r="D15" s="4759">
        <v>0.27083333333333298</v>
      </c>
      <c r="E15" s="4759">
        <v>0.5</v>
      </c>
      <c r="F15" s="4760">
        <f t="shared" si="1"/>
        <v>1</v>
      </c>
      <c r="G15" s="4771" t="s">
        <v>5971</v>
      </c>
      <c r="H15" s="4762">
        <v>4</v>
      </c>
      <c r="I15" s="4763" t="s">
        <v>5190</v>
      </c>
      <c r="J15" s="4764">
        <v>8</v>
      </c>
      <c r="K15" s="4765">
        <v>8</v>
      </c>
      <c r="L15" s="4765">
        <v>60</v>
      </c>
      <c r="M15" s="4765">
        <v>3</v>
      </c>
      <c r="N15" s="4762">
        <v>156160</v>
      </c>
      <c r="O15" s="4766">
        <f t="shared" si="0"/>
        <v>156160</v>
      </c>
      <c r="P15" s="4857" t="s">
        <v>3804</v>
      </c>
      <c r="Q15" s="4858" t="s">
        <v>2815</v>
      </c>
      <c r="R15" s="4976" t="s">
        <v>5815</v>
      </c>
      <c r="S15" s="4858">
        <v>80000</v>
      </c>
      <c r="T15" s="4976" t="s">
        <v>5815</v>
      </c>
      <c r="U15" s="4860">
        <v>0</v>
      </c>
      <c r="AC15" s="4657"/>
    </row>
    <row r="16" spans="1:31" ht="33.75" customHeight="1">
      <c r="A16" s="4758">
        <v>9</v>
      </c>
      <c r="B16" s="4816">
        <v>46279</v>
      </c>
      <c r="C16" s="4816">
        <v>46295</v>
      </c>
      <c r="D16" s="4759">
        <v>0.27083333333333298</v>
      </c>
      <c r="E16" s="4759">
        <v>0.95833333333333337</v>
      </c>
      <c r="F16" s="4760">
        <f t="shared" si="1"/>
        <v>17</v>
      </c>
      <c r="G16" s="4771" t="s">
        <v>5096</v>
      </c>
      <c r="H16" s="4762">
        <v>4</v>
      </c>
      <c r="I16" s="4763" t="s">
        <v>5190</v>
      </c>
      <c r="J16" s="4764">
        <v>8</v>
      </c>
      <c r="K16" s="4765">
        <v>8</v>
      </c>
      <c r="L16" s="4765">
        <v>60</v>
      </c>
      <c r="M16" s="4765">
        <v>3</v>
      </c>
      <c r="N16" s="4762">
        <v>448000</v>
      </c>
      <c r="O16" s="4766">
        <f t="shared" si="0"/>
        <v>7616000</v>
      </c>
      <c r="P16" s="4857" t="s">
        <v>3804</v>
      </c>
      <c r="Q16" s="4858" t="s">
        <v>2815</v>
      </c>
      <c r="R16" s="4976" t="s">
        <v>5815</v>
      </c>
      <c r="S16" s="4858">
        <v>80000</v>
      </c>
      <c r="T16" s="4976" t="s">
        <v>5815</v>
      </c>
      <c r="U16" s="4860">
        <v>0</v>
      </c>
      <c r="AC16" s="4657"/>
    </row>
    <row r="17" spans="1:29" ht="33.75" customHeight="1">
      <c r="A17" s="4758">
        <v>10</v>
      </c>
      <c r="B17" s="4816">
        <v>46296</v>
      </c>
      <c r="C17" s="4816">
        <v>46296</v>
      </c>
      <c r="D17" s="4759">
        <v>0.27083333333333298</v>
      </c>
      <c r="E17" s="4759">
        <v>0.5</v>
      </c>
      <c r="F17" s="4770">
        <f t="shared" si="1"/>
        <v>1</v>
      </c>
      <c r="G17" s="4771" t="s">
        <v>5096</v>
      </c>
      <c r="H17" s="4762">
        <v>4</v>
      </c>
      <c r="I17" s="4763" t="s">
        <v>5190</v>
      </c>
      <c r="J17" s="4764">
        <v>8</v>
      </c>
      <c r="K17" s="4765">
        <v>8</v>
      </c>
      <c r="L17" s="4765">
        <v>60</v>
      </c>
      <c r="M17" s="4765">
        <v>3</v>
      </c>
      <c r="N17" s="4762">
        <v>156160</v>
      </c>
      <c r="O17" s="4766">
        <f t="shared" si="0"/>
        <v>156160</v>
      </c>
      <c r="P17" s="4857" t="s">
        <v>3804</v>
      </c>
      <c r="Q17" s="4858" t="s">
        <v>2815</v>
      </c>
      <c r="R17" s="4976" t="s">
        <v>5815</v>
      </c>
      <c r="S17" s="4858">
        <v>80000</v>
      </c>
      <c r="T17" s="4976" t="s">
        <v>5815</v>
      </c>
      <c r="U17" s="4860">
        <v>0</v>
      </c>
      <c r="AC17" s="4657"/>
    </row>
    <row r="18" spans="1:29" ht="33.75" customHeight="1">
      <c r="A18" s="4758">
        <v>11</v>
      </c>
      <c r="B18" s="4816">
        <v>46279</v>
      </c>
      <c r="C18" s="4816">
        <v>46295</v>
      </c>
      <c r="D18" s="4759">
        <v>0.27083333333333298</v>
      </c>
      <c r="E18" s="4759">
        <v>0.95833333333333337</v>
      </c>
      <c r="F18" s="4770">
        <f>IF(OR(ISBLANK($B18), ISBLANK($C18)), 0, _xlfn.DAYS($C18, $B18) + 1)</f>
        <v>17</v>
      </c>
      <c r="G18" s="4762">
        <v>901</v>
      </c>
      <c r="H18" s="4762">
        <v>9</v>
      </c>
      <c r="I18" s="4763" t="s">
        <v>5784</v>
      </c>
      <c r="J18" s="4764"/>
      <c r="K18" s="4765"/>
      <c r="L18" s="4765"/>
      <c r="M18" s="4765"/>
      <c r="N18" s="4762">
        <v>26000</v>
      </c>
      <c r="O18" s="4766">
        <f t="shared" si="0"/>
        <v>442000</v>
      </c>
      <c r="P18" s="5052"/>
      <c r="Q18" s="5053"/>
      <c r="R18" s="5054"/>
      <c r="S18" s="5055"/>
      <c r="T18" s="5054"/>
      <c r="U18" s="5056"/>
      <c r="AC18" s="4657"/>
    </row>
    <row r="19" spans="1:29" ht="33.75" customHeight="1" thickBot="1">
      <c r="A19" s="5057">
        <v>12</v>
      </c>
      <c r="B19" s="4816">
        <v>46296</v>
      </c>
      <c r="C19" s="4816">
        <v>46296</v>
      </c>
      <c r="D19" s="4759">
        <v>0.27083333333333298</v>
      </c>
      <c r="E19" s="4759">
        <v>0.5</v>
      </c>
      <c r="F19" s="4770">
        <f t="shared" ref="F19" si="2">IF(OR(ISBLANK($B19), ISBLANK($C19)), 0, _xlfn.DAYS($C19, $B19) + 1)</f>
        <v>1</v>
      </c>
      <c r="G19" s="5058">
        <v>901</v>
      </c>
      <c r="H19" s="5059">
        <v>9</v>
      </c>
      <c r="I19" s="4763" t="s">
        <v>5784</v>
      </c>
      <c r="J19" s="5060"/>
      <c r="K19" s="5061"/>
      <c r="L19" s="5061"/>
      <c r="M19" s="5061"/>
      <c r="N19" s="4762">
        <v>26000</v>
      </c>
      <c r="O19" s="4766">
        <f t="shared" si="0"/>
        <v>26000</v>
      </c>
      <c r="P19" s="5052"/>
      <c r="Q19" s="5053"/>
      <c r="R19" s="5054"/>
      <c r="S19" s="5055"/>
      <c r="T19" s="5054"/>
      <c r="U19" s="5056"/>
      <c r="AC19" s="4657"/>
    </row>
    <row r="20" spans="1:29" ht="33.75" customHeight="1" thickTop="1" thickBot="1">
      <c r="A20" s="4865" t="s">
        <v>127</v>
      </c>
      <c r="B20" s="4866"/>
      <c r="C20" s="4866"/>
      <c r="D20" s="4866"/>
      <c r="E20" s="4866"/>
      <c r="F20" s="4867">
        <f>SUM(F8:F17)</f>
        <v>90</v>
      </c>
      <c r="G20" s="4866"/>
      <c r="H20" s="4868"/>
      <c r="I20" s="4782">
        <f>COUNTA(G2,G4,G6,G8,G10,G12,G14,G16,G18)</f>
        <v>6</v>
      </c>
      <c r="J20" s="4869"/>
      <c r="K20" s="4870"/>
      <c r="L20" s="4870"/>
      <c r="M20" s="4870"/>
      <c r="N20" s="5062"/>
      <c r="O20" s="4871">
        <f>SUM(O8:O19)</f>
        <v>79083040</v>
      </c>
      <c r="P20" s="4872"/>
      <c r="Q20" s="4872"/>
      <c r="R20" s="4873"/>
      <c r="S20" s="4874"/>
      <c r="T20" s="4873"/>
      <c r="U20" s="4875"/>
      <c r="AC20" s="4657"/>
    </row>
    <row r="21" spans="1:29" ht="33.75" customHeight="1" thickBot="1">
      <c r="A21" s="4876" t="s">
        <v>5792</v>
      </c>
      <c r="B21" s="4877"/>
      <c r="C21" s="4878"/>
      <c r="D21" s="4878"/>
      <c r="E21" s="4878"/>
      <c r="F21" s="4879"/>
      <c r="G21" s="4878"/>
      <c r="H21" s="4880"/>
      <c r="I21" s="4878"/>
      <c r="J21" s="4881"/>
      <c r="K21" s="4881"/>
      <c r="L21" s="4881"/>
      <c r="M21" s="4881"/>
      <c r="N21" s="4882"/>
      <c r="O21" s="4923">
        <f>O20*1.1</f>
        <v>86991344</v>
      </c>
      <c r="P21" s="4884"/>
      <c r="Q21" s="4885"/>
      <c r="R21" s="4886"/>
      <c r="S21" s="4887"/>
      <c r="T21" s="4886"/>
      <c r="U21" s="4888"/>
      <c r="AC21" s="4657"/>
    </row>
    <row r="22" spans="1:29" ht="33.75" customHeight="1">
      <c r="A22" s="4656"/>
      <c r="B22" s="4660"/>
      <c r="C22" s="4660"/>
      <c r="D22" s="4660"/>
      <c r="G22" s="4660"/>
      <c r="H22" s="4660"/>
      <c r="M22" s="4808" t="s">
        <v>5748</v>
      </c>
      <c r="N22" s="4809">
        <f>SUM(N8,N10,N12,N14,N16,N18)</f>
        <v>4549520</v>
      </c>
      <c r="O22" s="5063"/>
      <c r="P22" s="4657"/>
      <c r="Q22" s="4657"/>
      <c r="AC22" s="4657"/>
    </row>
    <row r="23" spans="1:29" ht="33.75" customHeight="1">
      <c r="A23" s="4737" t="s">
        <v>5836</v>
      </c>
      <c r="B23" s="4657"/>
      <c r="C23" s="4657"/>
      <c r="D23" s="4657"/>
      <c r="G23" s="4657"/>
      <c r="H23" s="4657"/>
      <c r="M23" s="4808" t="s">
        <v>5750</v>
      </c>
      <c r="N23" s="4809">
        <f>N22*1.1</f>
        <v>5004472</v>
      </c>
      <c r="O23" s="4889" t="s">
        <v>5972</v>
      </c>
      <c r="P23" s="4656"/>
      <c r="Q23" s="4657"/>
      <c r="AC23" s="4657"/>
    </row>
    <row r="24" spans="1:29" ht="33.75" customHeight="1" thickBot="1">
      <c r="A24" s="4737"/>
      <c r="B24" s="4657"/>
      <c r="C24" s="4657"/>
      <c r="D24" s="4657"/>
      <c r="G24" s="4657"/>
      <c r="H24" s="4657"/>
      <c r="N24" s="5064"/>
      <c r="O24" s="5063"/>
      <c r="P24" s="4656"/>
      <c r="Q24" s="4657"/>
      <c r="AC24" s="4657"/>
    </row>
    <row r="25" spans="1:29" s="4738" customFormat="1" ht="33.75" customHeight="1">
      <c r="A25" s="6893" t="s">
        <v>5713</v>
      </c>
      <c r="B25" s="6882" t="s">
        <v>5757</v>
      </c>
      <c r="C25" s="6882" t="s">
        <v>5758</v>
      </c>
      <c r="D25" s="6882" t="s">
        <v>5759</v>
      </c>
      <c r="E25" s="6882" t="s">
        <v>5760</v>
      </c>
      <c r="F25" s="6895" t="s">
        <v>5761</v>
      </c>
      <c r="G25" s="6882" t="s">
        <v>5762</v>
      </c>
      <c r="H25" s="6897" t="s">
        <v>5763</v>
      </c>
      <c r="I25" s="6882" t="s">
        <v>5764</v>
      </c>
      <c r="J25" s="6895" t="s">
        <v>5765</v>
      </c>
      <c r="K25" s="6888" t="s">
        <v>5766</v>
      </c>
      <c r="L25" s="6888" t="s">
        <v>5767</v>
      </c>
      <c r="M25" s="6888" t="s">
        <v>5768</v>
      </c>
      <c r="N25" s="6882" t="s">
        <v>5811</v>
      </c>
      <c r="O25" s="6884" t="s">
        <v>5812</v>
      </c>
      <c r="P25" s="6886" t="s">
        <v>5771</v>
      </c>
      <c r="Q25" s="6887"/>
      <c r="R25" s="6888" t="s">
        <v>5772</v>
      </c>
      <c r="S25" s="6889"/>
      <c r="T25" s="6889"/>
      <c r="U25" s="6890"/>
    </row>
    <row r="26" spans="1:29" s="4738" customFormat="1" ht="33.75" customHeight="1" thickBot="1">
      <c r="A26" s="6894"/>
      <c r="B26" s="6883"/>
      <c r="C26" s="6883"/>
      <c r="D26" s="6883"/>
      <c r="E26" s="6883"/>
      <c r="F26" s="6896"/>
      <c r="G26" s="6883"/>
      <c r="H26" s="6898"/>
      <c r="I26" s="6883"/>
      <c r="J26" s="6896"/>
      <c r="K26" s="6892"/>
      <c r="L26" s="6892"/>
      <c r="M26" s="6892"/>
      <c r="N26" s="6883"/>
      <c r="O26" s="6885"/>
      <c r="P26" s="4739" t="s">
        <v>5773</v>
      </c>
      <c r="Q26" s="4740" t="s">
        <v>5774</v>
      </c>
      <c r="R26" s="4740" t="s">
        <v>5775</v>
      </c>
      <c r="S26" s="5051" t="s">
        <v>5967</v>
      </c>
      <c r="T26" s="4740" t="s">
        <v>5777</v>
      </c>
      <c r="U26" s="4742" t="s">
        <v>5778</v>
      </c>
    </row>
    <row r="27" spans="1:29" s="4666" customFormat="1" ht="33.75" customHeight="1">
      <c r="A27" s="4743" t="s">
        <v>5779</v>
      </c>
      <c r="B27" s="4744">
        <v>46280</v>
      </c>
      <c r="C27" s="4744">
        <v>46300</v>
      </c>
      <c r="D27" s="4745">
        <v>0.3125</v>
      </c>
      <c r="E27" s="4746">
        <v>0.89583333333333337</v>
      </c>
      <c r="F27" s="4747">
        <f>IF(OR(ISBLANK($B27), ISBLANK($C27)), 0, _xlfn.DAYS($C27, $B27) + 1)</f>
        <v>21</v>
      </c>
      <c r="G27" s="4890" t="s">
        <v>5780</v>
      </c>
      <c r="H27" s="4891">
        <v>3</v>
      </c>
      <c r="I27" s="4892" t="s">
        <v>5781</v>
      </c>
      <c r="J27" s="4893">
        <v>30</v>
      </c>
      <c r="K27" s="4894">
        <v>100</v>
      </c>
      <c r="L27" s="4894">
        <f>J27*K27</f>
        <v>3000</v>
      </c>
      <c r="M27" s="4895">
        <v>5</v>
      </c>
      <c r="N27" s="4896">
        <v>150000</v>
      </c>
      <c r="O27" s="4754">
        <f t="shared" ref="O27:O40" si="3">F27*N27</f>
        <v>3150000</v>
      </c>
      <c r="P27" s="4897" t="s">
        <v>5782</v>
      </c>
      <c r="Q27" s="4898">
        <v>4</v>
      </c>
      <c r="R27" s="4898" t="s">
        <v>3804</v>
      </c>
      <c r="S27" s="4894" t="s">
        <v>246</v>
      </c>
      <c r="T27" s="4898" t="s">
        <v>2161</v>
      </c>
      <c r="U27" s="4899">
        <v>2000</v>
      </c>
    </row>
    <row r="28" spans="1:29" s="4666" customFormat="1" ht="33.75" customHeight="1">
      <c r="A28" s="4758">
        <v>1</v>
      </c>
      <c r="B28" s="5065">
        <v>46304</v>
      </c>
      <c r="C28" s="5065">
        <v>46321</v>
      </c>
      <c r="D28" s="4759">
        <v>0.27083333333333331</v>
      </c>
      <c r="E28" s="4759">
        <v>0.91666666666666663</v>
      </c>
      <c r="F28" s="4760">
        <f t="shared" ref="F28:F38" si="4">IF(OR(ISBLANK($B28), ISBLANK($C28)), 0, _xlfn.DAYS($C28, $B28) + 1)</f>
        <v>18</v>
      </c>
      <c r="G28" s="4771" t="s">
        <v>5968</v>
      </c>
      <c r="H28" s="4762">
        <v>4</v>
      </c>
      <c r="I28" s="4763" t="s">
        <v>5190</v>
      </c>
      <c r="J28" s="4902">
        <v>14</v>
      </c>
      <c r="K28" s="4765">
        <v>30</v>
      </c>
      <c r="L28" s="4765">
        <v>408</v>
      </c>
      <c r="M28" s="4765">
        <v>3.1</v>
      </c>
      <c r="N28" s="4762">
        <v>2140160</v>
      </c>
      <c r="O28" s="4766">
        <f t="shared" si="3"/>
        <v>38522880</v>
      </c>
      <c r="P28" s="4857" t="s">
        <v>5815</v>
      </c>
      <c r="Q28" s="4858">
        <v>2</v>
      </c>
      <c r="R28" s="4859" t="s">
        <v>2963</v>
      </c>
      <c r="S28" s="4858">
        <v>80000</v>
      </c>
      <c r="T28" s="4859" t="s">
        <v>2963</v>
      </c>
      <c r="U28" s="4860">
        <v>0</v>
      </c>
    </row>
    <row r="29" spans="1:29" ht="33.75" customHeight="1">
      <c r="A29" s="4758">
        <v>2</v>
      </c>
      <c r="B29" s="5065">
        <v>46322</v>
      </c>
      <c r="C29" s="5065">
        <v>46322</v>
      </c>
      <c r="D29" s="4759">
        <v>0.27083333333333331</v>
      </c>
      <c r="E29" s="4759">
        <v>0.5</v>
      </c>
      <c r="F29" s="4760">
        <f t="shared" si="4"/>
        <v>1</v>
      </c>
      <c r="G29" s="4771" t="s">
        <v>5968</v>
      </c>
      <c r="H29" s="4762">
        <v>4</v>
      </c>
      <c r="I29" s="4763" t="s">
        <v>5190</v>
      </c>
      <c r="J29" s="4902">
        <v>14</v>
      </c>
      <c r="K29" s="4765">
        <v>30</v>
      </c>
      <c r="L29" s="4765">
        <v>408</v>
      </c>
      <c r="M29" s="4765">
        <v>3.1</v>
      </c>
      <c r="N29" s="4762">
        <v>870400</v>
      </c>
      <c r="O29" s="4766">
        <f t="shared" si="3"/>
        <v>870400</v>
      </c>
      <c r="P29" s="4857" t="s">
        <v>5815</v>
      </c>
      <c r="Q29" s="4858">
        <v>2</v>
      </c>
      <c r="R29" s="4859" t="s">
        <v>2963</v>
      </c>
      <c r="S29" s="4858">
        <v>80000</v>
      </c>
      <c r="T29" s="4859" t="s">
        <v>2963</v>
      </c>
      <c r="U29" s="4860">
        <v>0</v>
      </c>
      <c r="AC29" s="4657"/>
    </row>
    <row r="30" spans="1:29" ht="33.75" customHeight="1">
      <c r="A30" s="5066">
        <v>3</v>
      </c>
      <c r="B30" s="5067">
        <v>46304</v>
      </c>
      <c r="C30" s="5067">
        <v>46304</v>
      </c>
      <c r="D30" s="5068">
        <v>0.66666666666666663</v>
      </c>
      <c r="E30" s="5068">
        <v>0.95833333333333337</v>
      </c>
      <c r="F30" s="5069">
        <f t="shared" si="4"/>
        <v>1</v>
      </c>
      <c r="G30" s="5070" t="s">
        <v>5973</v>
      </c>
      <c r="H30" s="5071">
        <v>4</v>
      </c>
      <c r="I30" s="5072" t="s">
        <v>5190</v>
      </c>
      <c r="J30" s="5073">
        <v>14</v>
      </c>
      <c r="K30" s="5074">
        <v>30</v>
      </c>
      <c r="L30" s="5074">
        <v>408</v>
      </c>
      <c r="M30" s="5074">
        <v>3.1</v>
      </c>
      <c r="N30" s="5071">
        <v>662400</v>
      </c>
      <c r="O30" s="4766">
        <f t="shared" si="3"/>
        <v>662400</v>
      </c>
      <c r="P30" s="4857" t="s">
        <v>3804</v>
      </c>
      <c r="Q30" s="4858" t="s">
        <v>2647</v>
      </c>
      <c r="R30" s="4859" t="s">
        <v>2963</v>
      </c>
      <c r="S30" s="4858">
        <v>80000</v>
      </c>
      <c r="T30" s="4859" t="s">
        <v>2963</v>
      </c>
      <c r="U30" s="4860">
        <v>0</v>
      </c>
      <c r="AC30" s="4657"/>
    </row>
    <row r="31" spans="1:29" ht="33.75" customHeight="1">
      <c r="A31" s="4758">
        <v>4</v>
      </c>
      <c r="B31" s="5065">
        <v>46305</v>
      </c>
      <c r="C31" s="5065">
        <v>46321</v>
      </c>
      <c r="D31" s="4759">
        <v>0.27083333333333298</v>
      </c>
      <c r="E31" s="4759">
        <v>0.95833333333333337</v>
      </c>
      <c r="F31" s="4760">
        <f t="shared" si="4"/>
        <v>17</v>
      </c>
      <c r="G31" s="4771" t="s">
        <v>5969</v>
      </c>
      <c r="H31" s="4762">
        <v>4</v>
      </c>
      <c r="I31" s="4763" t="s">
        <v>5190</v>
      </c>
      <c r="J31" s="4902">
        <v>11</v>
      </c>
      <c r="K31" s="4765">
        <v>14</v>
      </c>
      <c r="L31" s="4765">
        <v>150</v>
      </c>
      <c r="M31" s="4765">
        <v>3.2</v>
      </c>
      <c r="N31" s="4762">
        <v>1039360</v>
      </c>
      <c r="O31" s="4766">
        <f t="shared" si="3"/>
        <v>17669120</v>
      </c>
      <c r="P31" s="4857" t="s">
        <v>3804</v>
      </c>
      <c r="Q31" s="4858" t="s">
        <v>2647</v>
      </c>
      <c r="R31" s="4859" t="s">
        <v>2963</v>
      </c>
      <c r="S31" s="4858">
        <v>80000</v>
      </c>
      <c r="T31" s="4859" t="s">
        <v>2963</v>
      </c>
      <c r="U31" s="4860">
        <v>0</v>
      </c>
      <c r="AC31" s="4657"/>
    </row>
    <row r="32" spans="1:29" ht="33.75" customHeight="1">
      <c r="A32" s="4758">
        <v>5</v>
      </c>
      <c r="B32" s="5065">
        <v>46322</v>
      </c>
      <c r="C32" s="5065">
        <v>46322</v>
      </c>
      <c r="D32" s="4759">
        <v>0.27083333333333298</v>
      </c>
      <c r="E32" s="4759">
        <v>0.5</v>
      </c>
      <c r="F32" s="4760">
        <f t="shared" si="4"/>
        <v>1</v>
      </c>
      <c r="G32" s="4771" t="s">
        <v>5969</v>
      </c>
      <c r="H32" s="4762">
        <v>4</v>
      </c>
      <c r="I32" s="4763" t="s">
        <v>5190</v>
      </c>
      <c r="J32" s="4902">
        <v>11</v>
      </c>
      <c r="K32" s="4765">
        <v>14</v>
      </c>
      <c r="L32" s="4765">
        <v>150</v>
      </c>
      <c r="M32" s="4765">
        <v>3.2</v>
      </c>
      <c r="N32" s="4762">
        <v>376320</v>
      </c>
      <c r="O32" s="4766">
        <f t="shared" si="3"/>
        <v>376320</v>
      </c>
      <c r="P32" s="4857" t="s">
        <v>3804</v>
      </c>
      <c r="Q32" s="4858" t="s">
        <v>2647</v>
      </c>
      <c r="R32" s="4859" t="s">
        <v>2963</v>
      </c>
      <c r="S32" s="4858">
        <v>80000</v>
      </c>
      <c r="T32" s="4859" t="s">
        <v>2963</v>
      </c>
      <c r="U32" s="4860">
        <v>0</v>
      </c>
      <c r="AC32" s="4657"/>
    </row>
    <row r="33" spans="1:31" ht="33.75" customHeight="1">
      <c r="A33" s="4758">
        <v>6</v>
      </c>
      <c r="B33" s="5065">
        <v>46304</v>
      </c>
      <c r="C33" s="5065">
        <v>46321</v>
      </c>
      <c r="D33" s="4759">
        <v>0.27083333333333298</v>
      </c>
      <c r="E33" s="4759">
        <v>0.95833333333333337</v>
      </c>
      <c r="F33" s="4760">
        <f t="shared" si="4"/>
        <v>18</v>
      </c>
      <c r="G33" s="4771" t="s">
        <v>5970</v>
      </c>
      <c r="H33" s="4762">
        <v>4</v>
      </c>
      <c r="I33" s="4763" t="s">
        <v>5190</v>
      </c>
      <c r="J33" s="4902">
        <v>8</v>
      </c>
      <c r="K33" s="4765">
        <v>8</v>
      </c>
      <c r="L33" s="4765">
        <v>60</v>
      </c>
      <c r="M33" s="4765">
        <v>3</v>
      </c>
      <c r="N33" s="4762">
        <v>448000</v>
      </c>
      <c r="O33" s="4766">
        <f t="shared" si="3"/>
        <v>8064000</v>
      </c>
      <c r="P33" s="4857" t="s">
        <v>3804</v>
      </c>
      <c r="Q33" s="4858" t="s">
        <v>2647</v>
      </c>
      <c r="R33" s="4859" t="s">
        <v>2963</v>
      </c>
      <c r="S33" s="4858">
        <v>80000</v>
      </c>
      <c r="T33" s="4859" t="s">
        <v>2963</v>
      </c>
      <c r="U33" s="4860">
        <v>0</v>
      </c>
      <c r="AC33" s="4657"/>
    </row>
    <row r="34" spans="1:31" ht="33.75" customHeight="1">
      <c r="A34" s="4758">
        <v>7</v>
      </c>
      <c r="B34" s="5065">
        <v>46322</v>
      </c>
      <c r="C34" s="5065">
        <v>46322</v>
      </c>
      <c r="D34" s="4759">
        <v>0.27083333333333298</v>
      </c>
      <c r="E34" s="4759">
        <v>0.5</v>
      </c>
      <c r="F34" s="4760">
        <f t="shared" si="4"/>
        <v>1</v>
      </c>
      <c r="G34" s="4771" t="s">
        <v>5970</v>
      </c>
      <c r="H34" s="4762">
        <v>4</v>
      </c>
      <c r="I34" s="4763" t="s">
        <v>5190</v>
      </c>
      <c r="J34" s="4902">
        <v>8</v>
      </c>
      <c r="K34" s="4765">
        <v>8</v>
      </c>
      <c r="L34" s="4765">
        <v>60</v>
      </c>
      <c r="M34" s="4765">
        <v>3</v>
      </c>
      <c r="N34" s="4762">
        <v>156160</v>
      </c>
      <c r="O34" s="4766">
        <f t="shared" si="3"/>
        <v>156160</v>
      </c>
      <c r="P34" s="4857" t="s">
        <v>3804</v>
      </c>
      <c r="Q34" s="4858" t="s">
        <v>2647</v>
      </c>
      <c r="R34" s="4859" t="s">
        <v>2963</v>
      </c>
      <c r="S34" s="4858">
        <v>80000</v>
      </c>
      <c r="T34" s="4859" t="s">
        <v>2963</v>
      </c>
      <c r="U34" s="4860">
        <v>0</v>
      </c>
      <c r="AC34" s="4657"/>
    </row>
    <row r="35" spans="1:31" ht="33.75" customHeight="1">
      <c r="A35" s="4758">
        <v>8</v>
      </c>
      <c r="B35" s="5065">
        <v>46304</v>
      </c>
      <c r="C35" s="5065">
        <v>46321</v>
      </c>
      <c r="D35" s="4759">
        <v>0.27083333333333298</v>
      </c>
      <c r="E35" s="4759">
        <v>0.95833333333333337</v>
      </c>
      <c r="F35" s="4760">
        <f t="shared" si="4"/>
        <v>18</v>
      </c>
      <c r="G35" s="4771" t="s">
        <v>5971</v>
      </c>
      <c r="H35" s="4762">
        <v>4</v>
      </c>
      <c r="I35" s="4763" t="s">
        <v>5190</v>
      </c>
      <c r="J35" s="4902">
        <v>8</v>
      </c>
      <c r="K35" s="4765">
        <v>8</v>
      </c>
      <c r="L35" s="4765">
        <v>60</v>
      </c>
      <c r="M35" s="4765">
        <v>3</v>
      </c>
      <c r="N35" s="4762">
        <v>448000</v>
      </c>
      <c r="O35" s="4766">
        <f t="shared" si="3"/>
        <v>8064000</v>
      </c>
      <c r="P35" s="4857" t="s">
        <v>3804</v>
      </c>
      <c r="Q35" s="4858" t="s">
        <v>2647</v>
      </c>
      <c r="R35" s="4859" t="s">
        <v>2963</v>
      </c>
      <c r="S35" s="4858">
        <v>80000</v>
      </c>
      <c r="T35" s="4859" t="s">
        <v>2963</v>
      </c>
      <c r="U35" s="4860">
        <v>0</v>
      </c>
      <c r="AC35" s="4657"/>
    </row>
    <row r="36" spans="1:31" ht="33.75" customHeight="1">
      <c r="A36" s="4758">
        <v>9</v>
      </c>
      <c r="B36" s="5065">
        <v>46322</v>
      </c>
      <c r="C36" s="5065">
        <v>46322</v>
      </c>
      <c r="D36" s="4759">
        <v>0.27083333333333298</v>
      </c>
      <c r="E36" s="4759">
        <v>0.5</v>
      </c>
      <c r="F36" s="4760">
        <f t="shared" si="4"/>
        <v>1</v>
      </c>
      <c r="G36" s="4771" t="s">
        <v>5971</v>
      </c>
      <c r="H36" s="4762">
        <v>4</v>
      </c>
      <c r="I36" s="4763" t="s">
        <v>5190</v>
      </c>
      <c r="J36" s="4902">
        <v>8</v>
      </c>
      <c r="K36" s="4765">
        <v>8</v>
      </c>
      <c r="L36" s="4765">
        <v>60</v>
      </c>
      <c r="M36" s="4765">
        <v>3</v>
      </c>
      <c r="N36" s="4762">
        <v>156160</v>
      </c>
      <c r="O36" s="4766">
        <f t="shared" si="3"/>
        <v>156160</v>
      </c>
      <c r="P36" s="4857" t="s">
        <v>3804</v>
      </c>
      <c r="Q36" s="4858" t="s">
        <v>2647</v>
      </c>
      <c r="R36" s="4859" t="s">
        <v>2963</v>
      </c>
      <c r="S36" s="4858">
        <v>80000</v>
      </c>
      <c r="T36" s="4859" t="s">
        <v>2963</v>
      </c>
      <c r="U36" s="4860">
        <v>0</v>
      </c>
      <c r="AC36" s="4657"/>
    </row>
    <row r="37" spans="1:31" ht="33.75" customHeight="1">
      <c r="A37" s="4758">
        <v>10</v>
      </c>
      <c r="B37" s="5075">
        <v>46304</v>
      </c>
      <c r="C37" s="5075">
        <v>46321</v>
      </c>
      <c r="D37" s="4991">
        <v>0.27083333333333298</v>
      </c>
      <c r="E37" s="4991">
        <v>0.95833333333333337</v>
      </c>
      <c r="F37" s="5076">
        <f t="shared" si="4"/>
        <v>18</v>
      </c>
      <c r="G37" s="5077" t="s">
        <v>5096</v>
      </c>
      <c r="H37" s="4775">
        <v>4</v>
      </c>
      <c r="I37" s="5078" t="s">
        <v>5190</v>
      </c>
      <c r="J37" s="5079">
        <v>8</v>
      </c>
      <c r="K37" s="5080">
        <v>8</v>
      </c>
      <c r="L37" s="5080">
        <v>60</v>
      </c>
      <c r="M37" s="5080">
        <v>3</v>
      </c>
      <c r="N37" s="4775">
        <v>448000</v>
      </c>
      <c r="O37" s="4776">
        <f t="shared" si="3"/>
        <v>8064000</v>
      </c>
      <c r="P37" s="4857" t="s">
        <v>3804</v>
      </c>
      <c r="Q37" s="4919" t="s">
        <v>2647</v>
      </c>
      <c r="R37" s="4920" t="s">
        <v>2963</v>
      </c>
      <c r="S37" s="4919">
        <v>80000</v>
      </c>
      <c r="T37" s="4920" t="s">
        <v>2963</v>
      </c>
      <c r="U37" s="4921">
        <v>0</v>
      </c>
      <c r="AC37" s="4657"/>
    </row>
    <row r="38" spans="1:31" ht="33.75" customHeight="1">
      <c r="A38" s="4758">
        <v>11</v>
      </c>
      <c r="B38" s="5065">
        <v>46322</v>
      </c>
      <c r="C38" s="5065">
        <v>46322</v>
      </c>
      <c r="D38" s="4759">
        <v>0.27083333333333298</v>
      </c>
      <c r="E38" s="4759">
        <v>0.5</v>
      </c>
      <c r="F38" s="4760">
        <f t="shared" si="4"/>
        <v>1</v>
      </c>
      <c r="G38" s="4771" t="s">
        <v>5096</v>
      </c>
      <c r="H38" s="4762">
        <v>4</v>
      </c>
      <c r="I38" s="4763" t="s">
        <v>5190</v>
      </c>
      <c r="J38" s="4902">
        <v>8</v>
      </c>
      <c r="K38" s="4765">
        <v>8</v>
      </c>
      <c r="L38" s="4765">
        <v>60</v>
      </c>
      <c r="M38" s="4765">
        <v>3</v>
      </c>
      <c r="N38" s="4762">
        <v>156160</v>
      </c>
      <c r="O38" s="4766">
        <f t="shared" si="3"/>
        <v>156160</v>
      </c>
      <c r="P38" s="5052"/>
      <c r="Q38" s="5053"/>
      <c r="R38" s="5081"/>
      <c r="S38" s="5055"/>
      <c r="T38" s="5081"/>
      <c r="U38" s="5056"/>
      <c r="AC38" s="4657"/>
    </row>
    <row r="39" spans="1:31" ht="33.75" customHeight="1">
      <c r="A39" s="5082">
        <v>12</v>
      </c>
      <c r="B39" s="5065">
        <v>46304</v>
      </c>
      <c r="C39" s="5065">
        <v>46321</v>
      </c>
      <c r="D39" s="5083"/>
      <c r="E39" s="5083"/>
      <c r="F39" s="4760">
        <f>IF(OR(ISBLANK($B39), ISBLANK($C39)), 0, _xlfn.DAYS($C39, $B39) + 1)</f>
        <v>18</v>
      </c>
      <c r="G39" s="4762">
        <v>901</v>
      </c>
      <c r="H39" s="4762">
        <v>9</v>
      </c>
      <c r="I39" s="4763" t="s">
        <v>5784</v>
      </c>
      <c r="J39" s="4764"/>
      <c r="K39" s="4765"/>
      <c r="L39" s="4765"/>
      <c r="M39" s="4765"/>
      <c r="N39" s="4762">
        <v>26000</v>
      </c>
      <c r="O39" s="4766">
        <f t="shared" si="3"/>
        <v>468000</v>
      </c>
      <c r="P39" s="5052"/>
      <c r="Q39" s="5053"/>
      <c r="R39" s="5081"/>
      <c r="S39" s="5055"/>
      <c r="T39" s="5081"/>
      <c r="U39" s="5056"/>
      <c r="AC39" s="4657"/>
    </row>
    <row r="40" spans="1:31" ht="33.75" customHeight="1" thickBot="1">
      <c r="A40" s="5057">
        <v>13</v>
      </c>
      <c r="B40" s="5084">
        <v>46322</v>
      </c>
      <c r="C40" s="5084">
        <v>46322</v>
      </c>
      <c r="D40" s="5085"/>
      <c r="E40" s="4915"/>
      <c r="F40" s="5086">
        <f t="shared" ref="F40" si="5">IF(OR(ISBLANK($B40), ISBLANK($C40)), 0, _xlfn.DAYS($C40, $B40) + 1)</f>
        <v>1</v>
      </c>
      <c r="G40" s="4773">
        <v>901</v>
      </c>
      <c r="H40" s="4917">
        <v>9</v>
      </c>
      <c r="I40" s="4774" t="s">
        <v>5784</v>
      </c>
      <c r="J40" s="5087"/>
      <c r="K40" s="5009"/>
      <c r="L40" s="5009"/>
      <c r="M40" s="5009"/>
      <c r="N40" s="4917">
        <v>26000</v>
      </c>
      <c r="O40" s="5088">
        <f t="shared" si="3"/>
        <v>26000</v>
      </c>
      <c r="P40" s="5052"/>
      <c r="Q40" s="5053"/>
      <c r="R40" s="5081"/>
      <c r="S40" s="5055"/>
      <c r="T40" s="5081"/>
      <c r="U40" s="5056"/>
      <c r="AC40" s="4657"/>
    </row>
    <row r="41" spans="1:31" ht="33.75" customHeight="1" thickTop="1" thickBot="1">
      <c r="A41" s="4865" t="s">
        <v>127</v>
      </c>
      <c r="B41" s="4866"/>
      <c r="C41" s="4866"/>
      <c r="D41" s="4866"/>
      <c r="E41" s="4866"/>
      <c r="F41" s="4867">
        <f>SUM(F28:F37)</f>
        <v>94</v>
      </c>
      <c r="G41" s="4866"/>
      <c r="H41" s="4868"/>
      <c r="I41" s="4782">
        <f>COUNTA(G28,G30,G33,G35,G37,G39)</f>
        <v>6</v>
      </c>
      <c r="J41" s="4870"/>
      <c r="K41" s="4870"/>
      <c r="L41" s="4870"/>
      <c r="M41" s="4870"/>
      <c r="N41" s="4903"/>
      <c r="O41" s="4871">
        <f>SUM(O28:O40)</f>
        <v>83255600</v>
      </c>
      <c r="P41" s="4904"/>
      <c r="Q41" s="4904"/>
      <c r="R41" s="4905"/>
      <c r="S41" s="4906"/>
      <c r="T41" s="4905"/>
      <c r="U41" s="4907"/>
      <c r="AC41" s="4657"/>
    </row>
    <row r="42" spans="1:31" ht="33.75" customHeight="1" thickBot="1">
      <c r="A42" s="4876" t="s">
        <v>5792</v>
      </c>
      <c r="B42" s="4877"/>
      <c r="C42" s="4878"/>
      <c r="D42" s="4878"/>
      <c r="E42" s="4878"/>
      <c r="F42" s="4879"/>
      <c r="G42" s="4878"/>
      <c r="H42" s="4880"/>
      <c r="I42" s="4878"/>
      <c r="J42" s="4881"/>
      <c r="K42" s="4881"/>
      <c r="L42" s="4881"/>
      <c r="M42" s="4881"/>
      <c r="N42" s="4882"/>
      <c r="O42" s="4923">
        <f>O41*1.1</f>
        <v>91581160</v>
      </c>
      <c r="P42" s="4884"/>
      <c r="Q42" s="4885"/>
      <c r="R42" s="4886"/>
      <c r="S42" s="4887"/>
      <c r="T42" s="4886"/>
      <c r="U42" s="4888"/>
      <c r="AC42" s="4657"/>
    </row>
    <row r="43" spans="1:31" ht="32.15" customHeight="1">
      <c r="A43" s="4656"/>
      <c r="B43" s="4660"/>
      <c r="C43" s="4660"/>
      <c r="D43" s="4660"/>
      <c r="G43" s="4660"/>
      <c r="H43" s="4660"/>
      <c r="M43" s="4808" t="s">
        <v>5748</v>
      </c>
      <c r="N43" s="4809">
        <f>SUM(N28,N30,N33,N35,N37,N39)</f>
        <v>4172560</v>
      </c>
      <c r="O43" s="5063"/>
      <c r="P43" s="4657"/>
      <c r="Q43" s="4657"/>
      <c r="AC43" s="4657"/>
    </row>
    <row r="44" spans="1:31" ht="32.15" customHeight="1">
      <c r="B44" s="4657"/>
      <c r="C44" s="4657"/>
      <c r="D44" s="4657"/>
      <c r="E44" s="4810"/>
      <c r="F44" s="4811"/>
      <c r="G44" s="4657"/>
      <c r="H44" s="4657"/>
      <c r="M44" s="4808" t="s">
        <v>5750</v>
      </c>
      <c r="N44" s="4809">
        <f>N43*1.1</f>
        <v>4589816</v>
      </c>
      <c r="O44" s="4889" t="s">
        <v>5972</v>
      </c>
      <c r="P44" s="4657"/>
      <c r="Q44" s="4657"/>
      <c r="AC44" s="4657"/>
    </row>
    <row r="45" spans="1:31" ht="32.15" customHeight="1">
      <c r="A45" s="4812"/>
      <c r="B45" s="4813"/>
      <c r="C45" s="4813"/>
      <c r="D45" s="4813"/>
      <c r="E45" s="4814"/>
      <c r="F45" s="4814"/>
      <c r="G45" s="4813"/>
      <c r="H45" s="4813"/>
      <c r="I45" s="4812"/>
      <c r="J45" s="4812"/>
      <c r="K45" s="4812"/>
      <c r="L45" s="4812"/>
      <c r="M45" s="4812"/>
      <c r="N45" s="4812"/>
      <c r="O45" s="4715"/>
      <c r="P45" s="4715"/>
      <c r="Q45" s="4715"/>
      <c r="R45" s="4656"/>
      <c r="S45" s="4812"/>
      <c r="T45" s="4656"/>
      <c r="U45" s="4812"/>
      <c r="W45" s="6905"/>
      <c r="X45" s="6905"/>
      <c r="Y45" s="6905"/>
      <c r="Z45" s="6905"/>
      <c r="AA45" s="6905"/>
      <c r="AB45" s="6891"/>
      <c r="AC45" s="6891"/>
      <c r="AD45" s="6891"/>
      <c r="AE45" s="6891"/>
    </row>
    <row r="46" spans="1:31" ht="36" customHeight="1"/>
    <row r="47" spans="1:31" ht="36" customHeight="1"/>
    <row r="48" spans="1:31" ht="36" customHeight="1"/>
    <row r="49" spans="2:29" ht="36" customHeight="1"/>
    <row r="50" spans="2:29" ht="36" customHeight="1"/>
    <row r="51" spans="2:29" ht="36" customHeight="1"/>
    <row r="52" spans="2:29" ht="36" customHeight="1"/>
    <row r="53" spans="2:29" ht="36" customHeight="1"/>
    <row r="54" spans="2:29" ht="36" customHeight="1"/>
    <row r="55" spans="2:29" ht="36" customHeight="1"/>
    <row r="56" spans="2:29" ht="10.15" customHeight="1">
      <c r="B56" s="4657"/>
      <c r="C56" s="4657"/>
      <c r="D56" s="4657"/>
      <c r="G56" s="4657"/>
      <c r="H56" s="4657"/>
      <c r="O56" s="4656"/>
      <c r="P56" s="4657"/>
      <c r="Q56" s="4657"/>
      <c r="AC56" s="4657"/>
    </row>
  </sheetData>
  <mergeCells count="38">
    <mergeCell ref="A2:B2"/>
    <mergeCell ref="C2:G2"/>
    <mergeCell ref="A5:A6"/>
    <mergeCell ref="B5:B6"/>
    <mergeCell ref="C5:C6"/>
    <mergeCell ref="D5:D6"/>
    <mergeCell ref="E5:E6"/>
    <mergeCell ref="F5:F6"/>
    <mergeCell ref="G5:G6"/>
    <mergeCell ref="F25:F26"/>
    <mergeCell ref="H5:H6"/>
    <mergeCell ref="I5:I6"/>
    <mergeCell ref="J5:J6"/>
    <mergeCell ref="K5:K6"/>
    <mergeCell ref="G25:G26"/>
    <mergeCell ref="H25:H26"/>
    <mergeCell ref="I25:I26"/>
    <mergeCell ref="J25:J26"/>
    <mergeCell ref="K25:K26"/>
    <mergeCell ref="A25:A26"/>
    <mergeCell ref="B25:B26"/>
    <mergeCell ref="C25:C26"/>
    <mergeCell ref="D25:D26"/>
    <mergeCell ref="E25:E26"/>
    <mergeCell ref="L25:L26"/>
    <mergeCell ref="N5:N6"/>
    <mergeCell ref="O5:O6"/>
    <mergeCell ref="P5:Q5"/>
    <mergeCell ref="R5:U5"/>
    <mergeCell ref="L5:L6"/>
    <mergeCell ref="M5:M6"/>
    <mergeCell ref="AB45:AE45"/>
    <mergeCell ref="M25:M26"/>
    <mergeCell ref="N25:N26"/>
    <mergeCell ref="O25:O26"/>
    <mergeCell ref="P25:Q25"/>
    <mergeCell ref="R25:U25"/>
    <mergeCell ref="W45:AA45"/>
  </mergeCells>
  <phoneticPr fontId="2"/>
  <conditionalFormatting sqref="B8:E19 G8:N19">
    <cfRule type="containsBlanks" dxfId="719" priority="1">
      <formula>LEN(TRIM(B8))=0</formula>
    </cfRule>
  </conditionalFormatting>
  <conditionalFormatting sqref="B28:E40">
    <cfRule type="containsBlanks" dxfId="718" priority="2">
      <formula>LEN(TRIM(B28))=0</formula>
    </cfRule>
  </conditionalFormatting>
  <conditionalFormatting sqref="C2:D2">
    <cfRule type="containsBlanks" dxfId="717" priority="8">
      <formula>LEN(TRIM(C2))=0</formula>
    </cfRule>
  </conditionalFormatting>
  <conditionalFormatting sqref="G28:K38">
    <cfRule type="containsBlanks" dxfId="716" priority="4">
      <formula>LEN(TRIM(G28))=0</formula>
    </cfRule>
  </conditionalFormatting>
  <conditionalFormatting sqref="G39:N40">
    <cfRule type="containsBlanks" dxfId="715" priority="3">
      <formula>LEN(TRIM(G39))=0</formula>
    </cfRule>
  </conditionalFormatting>
  <conditionalFormatting sqref="M28:N38">
    <cfRule type="containsBlanks" dxfId="714" priority="5">
      <formula>LEN(TRIM(M28))=0</formula>
    </cfRule>
  </conditionalFormatting>
  <conditionalFormatting sqref="P8:U19">
    <cfRule type="containsBlanks" dxfId="713" priority="7">
      <formula>LEN(TRIM(P8))=0</formula>
    </cfRule>
  </conditionalFormatting>
  <conditionalFormatting sqref="P28:U40">
    <cfRule type="containsBlanks" dxfId="712" priority="6">
      <formula>LEN(TRIM(P28))=0</formula>
    </cfRule>
  </conditionalFormatting>
  <dataValidations count="1">
    <dataValidation type="list" allowBlank="1" showInputMessage="1" showErrorMessage="1" sqref="I27:I40 I7:I19" xr:uid="{53A3BC93-EEB4-44CD-8900-9D7A6C7EE470}">
      <formula1>会場形態</formula1>
    </dataValidation>
  </dataValidations>
  <printOptions horizontalCentered="1"/>
  <pageMargins left="0.59055118110236227" right="0.59055118110236227" top="0.74803149606299213" bottom="0.74803149606299213" header="0.31496062992125984" footer="0.31496062992125984"/>
  <pageSetup paperSize="8" scale="57" orientation="landscape" r:id="rId1"/>
  <headerFooter>
    <oddHeader>&amp;R&amp;G</oddHead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5483-AE26-4142-A373-05BCF17F80EA}">
  <sheetPr codeName="Sheet331">
    <tabColor rgb="FFFFFF66"/>
    <pageSetUpPr fitToPage="1"/>
  </sheetPr>
  <dimension ref="A1:AE72"/>
  <sheetViews>
    <sheetView zoomScale="40" zoomScaleNormal="40" zoomScaleSheetLayoutView="70" workbookViewId="0">
      <selection activeCell="K4" sqref="K4"/>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4" width="25.1796875" style="4659" customWidth="1"/>
    <col min="15" max="15" width="16.453125" style="4659" bestFit="1" customWidth="1"/>
    <col min="16" max="16" width="20.26953125" style="4656" customWidth="1"/>
    <col min="17" max="17" width="11" style="4657" customWidth="1"/>
    <col min="18" max="18" width="9.453125" style="4657" customWidth="1"/>
    <col min="19" max="19" width="11" style="4657" customWidth="1"/>
    <col min="20" max="20" width="12.453125" style="4657" customWidth="1"/>
    <col min="21" max="21" width="11" style="4657" customWidth="1"/>
    <col min="22" max="22" width="9.453125" style="4657" customWidth="1"/>
    <col min="23" max="24" width="11" style="4657" customWidth="1"/>
    <col min="25" max="25" width="24" style="4657" customWidth="1"/>
    <col min="26" max="26" width="9.81640625" style="4657"/>
    <col min="27" max="27" width="7.7265625" style="4657" customWidth="1"/>
    <col min="28" max="28" width="9.81640625" style="4657"/>
    <col min="29" max="29" width="7.7265625" style="4657" customWidth="1"/>
    <col min="30" max="30" width="40.1796875" style="4657" customWidth="1"/>
    <col min="31" max="31" width="22.1796875" style="4657" customWidth="1"/>
    <col min="32" max="16384" width="9.81640625" style="4657"/>
  </cols>
  <sheetData>
    <row r="1" spans="1:31" ht="21" customHeight="1" thickBot="1">
      <c r="R1" s="4656"/>
      <c r="T1" s="4660"/>
      <c r="V1" s="4656"/>
    </row>
    <row r="2" spans="1:31" ht="44.25" customHeight="1" thickBot="1">
      <c r="A2" s="6874" t="s">
        <v>5707</v>
      </c>
      <c r="B2" s="6875"/>
      <c r="C2" s="6876" t="s">
        <v>5974</v>
      </c>
      <c r="D2" s="6876"/>
      <c r="E2" s="6876"/>
      <c r="F2" s="6876"/>
      <c r="G2" s="6876"/>
      <c r="H2" s="4661" t="s">
        <v>5709</v>
      </c>
      <c r="I2" s="4662"/>
      <c r="J2" s="4663"/>
      <c r="L2" s="4663"/>
      <c r="M2" s="4663"/>
      <c r="N2" s="4663"/>
      <c r="R2" s="4656"/>
      <c r="T2" s="4660"/>
      <c r="V2" s="4656"/>
      <c r="AD2" s="4664" t="s">
        <v>5710</v>
      </c>
    </row>
    <row r="3" spans="1:31" ht="23.25" customHeight="1">
      <c r="L3" s="5089" t="s">
        <v>5975</v>
      </c>
      <c r="M3" s="5089" t="s">
        <v>5975</v>
      </c>
      <c r="N3" s="5089" t="s">
        <v>5975</v>
      </c>
      <c r="R3" s="4656"/>
      <c r="T3" s="4660"/>
      <c r="V3" s="4656"/>
    </row>
    <row r="4" spans="1:31" ht="33.75" customHeight="1" thickBot="1">
      <c r="A4" s="4665" t="s">
        <v>6937</v>
      </c>
      <c r="B4" s="4665"/>
      <c r="L4" s="6211" t="s">
        <v>5976</v>
      </c>
      <c r="M4" s="6211" t="s">
        <v>5976</v>
      </c>
      <c r="N4" s="6211" t="s">
        <v>5976</v>
      </c>
      <c r="R4" s="4656"/>
      <c r="V4" s="4656"/>
      <c r="Y4" s="4656"/>
      <c r="Z4" s="4656"/>
      <c r="AA4" s="4656"/>
      <c r="AB4" s="4656"/>
      <c r="AC4" s="4656"/>
      <c r="AE4" s="4656" t="s">
        <v>5712</v>
      </c>
    </row>
    <row r="5" spans="1:31"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5977</v>
      </c>
      <c r="M5" s="6855" t="s">
        <v>6938</v>
      </c>
      <c r="N5" s="6855" t="s">
        <v>5979</v>
      </c>
      <c r="O5" s="6851" t="s">
        <v>3766</v>
      </c>
      <c r="P5" s="6853"/>
      <c r="Q5" s="6868" t="s">
        <v>5728</v>
      </c>
      <c r="R5" s="6869"/>
      <c r="S5" s="6870"/>
      <c r="T5" s="6855" t="s">
        <v>5729</v>
      </c>
      <c r="U5" s="6869" t="s">
        <v>5730</v>
      </c>
      <c r="V5" s="6869"/>
      <c r="W5" s="6869"/>
      <c r="X5" s="6868" t="s">
        <v>5731</v>
      </c>
      <c r="Y5" s="6851" t="s">
        <v>5732</v>
      </c>
      <c r="Z5" s="6851" t="s">
        <v>5733</v>
      </c>
      <c r="AA5" s="6853"/>
      <c r="AB5" s="6853"/>
      <c r="AC5" s="6853"/>
      <c r="AD5" s="6860" t="s">
        <v>5980</v>
      </c>
      <c r="AE5" s="6862" t="s">
        <v>5734</v>
      </c>
    </row>
    <row r="6" spans="1:31" s="4666" customFormat="1" ht="20">
      <c r="A6" s="6878"/>
      <c r="B6" s="6880"/>
      <c r="C6" s="6858"/>
      <c r="D6" s="6856"/>
      <c r="E6" s="6856"/>
      <c r="F6" s="6881"/>
      <c r="G6" s="6856"/>
      <c r="H6" s="6856"/>
      <c r="I6" s="6858"/>
      <c r="J6" s="6859"/>
      <c r="K6" s="6859"/>
      <c r="L6" s="6856"/>
      <c r="M6" s="6856"/>
      <c r="N6" s="6856"/>
      <c r="O6" s="4667" t="s">
        <v>5735</v>
      </c>
      <c r="P6" s="4668" t="s">
        <v>5736</v>
      </c>
      <c r="Q6" s="6871"/>
      <c r="R6" s="6872"/>
      <c r="S6" s="6873"/>
      <c r="T6" s="6856"/>
      <c r="U6" s="6872"/>
      <c r="V6" s="6872"/>
      <c r="W6" s="6872"/>
      <c r="X6" s="6852"/>
      <c r="Y6" s="6852"/>
      <c r="Z6" s="6852"/>
      <c r="AA6" s="6854"/>
      <c r="AB6" s="6854"/>
      <c r="AC6" s="6854"/>
      <c r="AD6" s="6861"/>
      <c r="AE6" s="6862"/>
    </row>
    <row r="7" spans="1:31" ht="33.75" customHeight="1">
      <c r="A7" s="4669" t="s">
        <v>5737</v>
      </c>
      <c r="B7" s="4826">
        <v>46305</v>
      </c>
      <c r="C7" s="4827">
        <v>46307</v>
      </c>
      <c r="D7" s="4672">
        <f>IF(_xlfn.DAYS(C7,B7)=0,"1",_xlfn.DAYS(C7,B7))</f>
        <v>2</v>
      </c>
      <c r="E7" s="4827">
        <v>46319</v>
      </c>
      <c r="F7" s="4672">
        <f>IF(_xlfn.DAYS(E7,C7)=0,"1",_xlfn.DAYS(E7,C7))+1</f>
        <v>13</v>
      </c>
      <c r="G7" s="4827">
        <v>46321</v>
      </c>
      <c r="H7" s="4672">
        <f>IF(_xlfn.DAYS(G7,E7)=0,"1",_xlfn.DAYS(G7,E7))-1</f>
        <v>1</v>
      </c>
      <c r="I7" s="4674" t="s">
        <v>5738</v>
      </c>
      <c r="J7" s="4677">
        <v>100</v>
      </c>
      <c r="K7" s="4676">
        <v>90</v>
      </c>
      <c r="L7" s="4677">
        <v>9000</v>
      </c>
      <c r="M7" s="4677">
        <v>10000</v>
      </c>
      <c r="N7" s="4677">
        <v>8000</v>
      </c>
      <c r="O7" s="4678">
        <f>SUM(D7,F7,H7)*K7</f>
        <v>1440</v>
      </c>
      <c r="P7" s="4677">
        <f>(D7*L7+F7*M7+H7*N7)*K7</f>
        <v>14040000</v>
      </c>
      <c r="Q7" s="4682">
        <v>21</v>
      </c>
      <c r="R7" s="4680" t="s">
        <v>5739</v>
      </c>
      <c r="S7" s="4682">
        <v>21</v>
      </c>
      <c r="T7" s="4675">
        <v>1</v>
      </c>
      <c r="U7" s="4675">
        <v>154</v>
      </c>
      <c r="V7" s="4680" t="s">
        <v>4521</v>
      </c>
      <c r="W7" s="4682">
        <v>203</v>
      </c>
      <c r="X7" s="4675">
        <v>1</v>
      </c>
      <c r="Y7" s="4675" t="s">
        <v>5740</v>
      </c>
      <c r="Z7" s="4683" t="s">
        <v>5035</v>
      </c>
      <c r="AA7" s="4675" t="s">
        <v>2830</v>
      </c>
      <c r="AB7" s="4683" t="s">
        <v>5050</v>
      </c>
      <c r="AC7" s="4675" t="s">
        <v>5741</v>
      </c>
      <c r="AD7" s="4684"/>
      <c r="AE7" s="4685"/>
    </row>
    <row r="8" spans="1:31" ht="33.75" customHeight="1">
      <c r="A8" s="4828">
        <v>1</v>
      </c>
      <c r="B8" s="4829">
        <v>46278</v>
      </c>
      <c r="C8" s="4829">
        <v>46280</v>
      </c>
      <c r="D8" s="4672">
        <f t="shared" ref="D8:D26" si="0">IF(_xlfn.DAYS(C8,B8)=0,"1",_xlfn.DAYS(C8,B8))</f>
        <v>2</v>
      </c>
      <c r="E8" s="4829">
        <v>46288</v>
      </c>
      <c r="F8" s="4672">
        <f t="shared" ref="F8:F18" si="1">IF(_xlfn.DAYS(E8,C8)=0,"1",_xlfn.DAYS(E8,C8))+1</f>
        <v>9</v>
      </c>
      <c r="G8" s="4939">
        <v>46290</v>
      </c>
      <c r="H8" s="4672">
        <f t="shared" ref="H8:H26" si="2">IF(_xlfn.DAYS(G8,E8)=0,"1",_xlfn.DAYS(G8,E8))-1</f>
        <v>1</v>
      </c>
      <c r="I8" s="4831" t="s">
        <v>5127</v>
      </c>
      <c r="J8" s="4834">
        <v>67</v>
      </c>
      <c r="K8" s="4835">
        <v>58</v>
      </c>
      <c r="L8" s="4834">
        <v>37000</v>
      </c>
      <c r="M8" s="4834">
        <v>39400</v>
      </c>
      <c r="N8" s="4834">
        <v>37000</v>
      </c>
      <c r="O8" s="4678">
        <f>SUM(D8,F8,H8)*K8</f>
        <v>696</v>
      </c>
      <c r="P8" s="4677">
        <f>(D8*L8+F8*M8+H8*N8)*K8</f>
        <v>27004800</v>
      </c>
      <c r="Q8" s="4836">
        <v>22.1</v>
      </c>
      <c r="R8" s="4837" t="s">
        <v>5742</v>
      </c>
      <c r="S8" s="4836">
        <v>22.1</v>
      </c>
      <c r="T8" s="4834">
        <v>1</v>
      </c>
      <c r="U8" s="4834">
        <v>160</v>
      </c>
      <c r="V8" s="4837" t="s">
        <v>4521</v>
      </c>
      <c r="W8" s="4836">
        <v>200</v>
      </c>
      <c r="X8" s="4834">
        <v>1</v>
      </c>
      <c r="Y8" s="4834" t="s">
        <v>5953</v>
      </c>
      <c r="Z8" s="4839" t="s">
        <v>5035</v>
      </c>
      <c r="AA8" s="4834" t="s">
        <v>2814</v>
      </c>
      <c r="AB8" s="4839" t="s">
        <v>5050</v>
      </c>
      <c r="AC8" s="4834" t="s">
        <v>2814</v>
      </c>
      <c r="AD8" s="4832"/>
      <c r="AE8" s="4685">
        <f>T8*K8</f>
        <v>58</v>
      </c>
    </row>
    <row r="9" spans="1:31" ht="33.75" customHeight="1">
      <c r="A9" s="4828">
        <v>2</v>
      </c>
      <c r="B9" s="4829">
        <v>46278</v>
      </c>
      <c r="C9" s="4829">
        <v>46280</v>
      </c>
      <c r="D9" s="4672">
        <f t="shared" si="0"/>
        <v>2</v>
      </c>
      <c r="E9" s="4829">
        <v>46288</v>
      </c>
      <c r="F9" s="4672">
        <f t="shared" si="1"/>
        <v>9</v>
      </c>
      <c r="G9" s="4939">
        <v>46290</v>
      </c>
      <c r="H9" s="4672">
        <f t="shared" si="2"/>
        <v>1</v>
      </c>
      <c r="I9" s="4831" t="s">
        <v>5128</v>
      </c>
      <c r="J9" s="4834">
        <v>20</v>
      </c>
      <c r="K9" s="4835">
        <v>20</v>
      </c>
      <c r="L9" s="4834">
        <v>39000</v>
      </c>
      <c r="M9" s="4834">
        <v>41400</v>
      </c>
      <c r="N9" s="4834">
        <v>39000</v>
      </c>
      <c r="O9" s="4678">
        <f>SUM(D9,F9,H9)*K9</f>
        <v>240</v>
      </c>
      <c r="P9" s="4677">
        <f>(D9*L9+F9*M9+H9*N9)*K9</f>
        <v>9792000</v>
      </c>
      <c r="Q9" s="4836">
        <v>22.1</v>
      </c>
      <c r="R9" s="4837" t="s">
        <v>5742</v>
      </c>
      <c r="S9" s="4836">
        <v>22.1</v>
      </c>
      <c r="T9" s="4834">
        <v>1</v>
      </c>
      <c r="U9" s="4834">
        <v>160</v>
      </c>
      <c r="V9" s="4837" t="s">
        <v>4521</v>
      </c>
      <c r="W9" s="4836">
        <v>200</v>
      </c>
      <c r="X9" s="4834">
        <v>1</v>
      </c>
      <c r="Y9" s="4834" t="s">
        <v>5953</v>
      </c>
      <c r="Z9" s="4839" t="s">
        <v>5035</v>
      </c>
      <c r="AA9" s="4834" t="s">
        <v>2814</v>
      </c>
      <c r="AB9" s="4839" t="s">
        <v>5050</v>
      </c>
      <c r="AC9" s="4834" t="s">
        <v>2814</v>
      </c>
      <c r="AD9" s="4832"/>
      <c r="AE9" s="4685">
        <f>T9*K9</f>
        <v>20</v>
      </c>
    </row>
    <row r="10" spans="1:31" ht="33.75" customHeight="1">
      <c r="A10" s="4828">
        <v>3</v>
      </c>
      <c r="B10" s="4829">
        <v>46278</v>
      </c>
      <c r="C10" s="4829">
        <v>46280</v>
      </c>
      <c r="D10" s="4672">
        <f t="shared" si="0"/>
        <v>2</v>
      </c>
      <c r="E10" s="4829">
        <v>46288</v>
      </c>
      <c r="F10" s="4672">
        <f t="shared" si="1"/>
        <v>9</v>
      </c>
      <c r="G10" s="4939">
        <v>46290</v>
      </c>
      <c r="H10" s="4672">
        <f t="shared" si="2"/>
        <v>1</v>
      </c>
      <c r="I10" s="4831" t="s">
        <v>5129</v>
      </c>
      <c r="J10" s="4834">
        <v>12</v>
      </c>
      <c r="K10" s="4835">
        <v>12</v>
      </c>
      <c r="L10" s="4834">
        <v>41000</v>
      </c>
      <c r="M10" s="4834">
        <v>43400</v>
      </c>
      <c r="N10" s="4834">
        <v>41000</v>
      </c>
      <c r="O10" s="4678">
        <f>SUM(D10,F10,H10)*K10</f>
        <v>144</v>
      </c>
      <c r="P10" s="4677">
        <f>(D10*L10+F10*M10+H10*N10)*K10</f>
        <v>6163200</v>
      </c>
      <c r="Q10" s="4836">
        <v>22.1</v>
      </c>
      <c r="R10" s="4837" t="s">
        <v>5742</v>
      </c>
      <c r="S10" s="4836">
        <v>22.1</v>
      </c>
      <c r="T10" s="4834">
        <v>1</v>
      </c>
      <c r="U10" s="4834">
        <v>160</v>
      </c>
      <c r="V10" s="4837" t="s">
        <v>4521</v>
      </c>
      <c r="W10" s="4836">
        <v>200</v>
      </c>
      <c r="X10" s="4834">
        <v>1</v>
      </c>
      <c r="Y10" s="4834" t="s">
        <v>5953</v>
      </c>
      <c r="Z10" s="4839" t="s">
        <v>5035</v>
      </c>
      <c r="AA10" s="4834" t="s">
        <v>2814</v>
      </c>
      <c r="AB10" s="4839" t="s">
        <v>5050</v>
      </c>
      <c r="AC10" s="4834" t="s">
        <v>2814</v>
      </c>
      <c r="AD10" s="4832"/>
      <c r="AE10" s="4685">
        <f>T10*K10</f>
        <v>12</v>
      </c>
    </row>
    <row r="11" spans="1:31" ht="33.75" customHeight="1">
      <c r="A11" s="4828">
        <v>4</v>
      </c>
      <c r="B11" s="4829">
        <v>46278</v>
      </c>
      <c r="C11" s="4829">
        <v>46280</v>
      </c>
      <c r="D11" s="4672">
        <f t="shared" si="0"/>
        <v>2</v>
      </c>
      <c r="E11" s="4829">
        <v>46288</v>
      </c>
      <c r="F11" s="4672">
        <f t="shared" si="1"/>
        <v>9</v>
      </c>
      <c r="G11" s="4939">
        <v>46290</v>
      </c>
      <c r="H11" s="4672">
        <f t="shared" si="2"/>
        <v>1</v>
      </c>
      <c r="I11" s="4831" t="s">
        <v>6298</v>
      </c>
      <c r="J11" s="4834">
        <v>12</v>
      </c>
      <c r="K11" s="4835">
        <v>11</v>
      </c>
      <c r="L11" s="4834">
        <v>43000</v>
      </c>
      <c r="M11" s="4834">
        <v>45400</v>
      </c>
      <c r="N11" s="4834">
        <v>43000</v>
      </c>
      <c r="O11" s="4678">
        <f>SUM(D11,F11,H11)*K11</f>
        <v>132</v>
      </c>
      <c r="P11" s="4677">
        <f>(D11*L11+F11*M11+H11*N11)*K11</f>
        <v>5913600</v>
      </c>
      <c r="Q11" s="4836">
        <v>24.6</v>
      </c>
      <c r="R11" s="4837" t="s">
        <v>5742</v>
      </c>
      <c r="S11" s="4836">
        <v>24.6</v>
      </c>
      <c r="T11" s="4834">
        <v>2</v>
      </c>
      <c r="U11" s="4834">
        <v>120</v>
      </c>
      <c r="V11" s="4837" t="s">
        <v>4521</v>
      </c>
      <c r="W11" s="4836">
        <v>200</v>
      </c>
      <c r="X11" s="4834">
        <v>2</v>
      </c>
      <c r="Y11" s="4834" t="s">
        <v>5953</v>
      </c>
      <c r="Z11" s="4839" t="s">
        <v>5035</v>
      </c>
      <c r="AA11" s="4834" t="s">
        <v>2814</v>
      </c>
      <c r="AB11" s="4839" t="s">
        <v>5050</v>
      </c>
      <c r="AC11" s="4834" t="s">
        <v>2814</v>
      </c>
      <c r="AD11" s="4832" t="s">
        <v>6939</v>
      </c>
      <c r="AE11" s="4685">
        <f>T11*K11</f>
        <v>22</v>
      </c>
    </row>
    <row r="12" spans="1:31" ht="33.75" customHeight="1">
      <c r="A12" s="4828">
        <v>5</v>
      </c>
      <c r="B12" s="4829">
        <v>46278</v>
      </c>
      <c r="C12" s="4829">
        <v>46280</v>
      </c>
      <c r="D12" s="4672">
        <f t="shared" si="0"/>
        <v>2</v>
      </c>
      <c r="E12" s="4829">
        <v>46288</v>
      </c>
      <c r="F12" s="4672">
        <f t="shared" si="1"/>
        <v>9</v>
      </c>
      <c r="G12" s="4939">
        <v>46290</v>
      </c>
      <c r="H12" s="4672">
        <f t="shared" si="2"/>
        <v>1</v>
      </c>
      <c r="I12" s="4831" t="s">
        <v>5131</v>
      </c>
      <c r="J12" s="4834">
        <v>21</v>
      </c>
      <c r="K12" s="4835">
        <v>13</v>
      </c>
      <c r="L12" s="4834">
        <v>45000</v>
      </c>
      <c r="M12" s="4834">
        <v>47400</v>
      </c>
      <c r="N12" s="4834">
        <v>45000</v>
      </c>
      <c r="O12" s="4678">
        <f>SUM(D12,F12,H12)*K12</f>
        <v>156</v>
      </c>
      <c r="P12" s="4677">
        <f>(D12*L12+F12*M12+H12*N12)*K12</f>
        <v>7300800</v>
      </c>
      <c r="Q12" s="4836">
        <v>29.4</v>
      </c>
      <c r="R12" s="4837" t="s">
        <v>5742</v>
      </c>
      <c r="S12" s="4836">
        <v>29.4</v>
      </c>
      <c r="T12" s="4834">
        <v>2</v>
      </c>
      <c r="U12" s="4834">
        <v>120</v>
      </c>
      <c r="V12" s="4837" t="s">
        <v>4521</v>
      </c>
      <c r="W12" s="4836">
        <v>200</v>
      </c>
      <c r="X12" s="4834">
        <v>2</v>
      </c>
      <c r="Y12" s="4834" t="s">
        <v>5953</v>
      </c>
      <c r="Z12" s="4839" t="s">
        <v>5035</v>
      </c>
      <c r="AA12" s="4834" t="s">
        <v>2814</v>
      </c>
      <c r="AB12" s="4839" t="s">
        <v>5050</v>
      </c>
      <c r="AC12" s="4834" t="s">
        <v>2814</v>
      </c>
      <c r="AD12" s="4832" t="s">
        <v>6939</v>
      </c>
      <c r="AE12" s="4685">
        <f>T12*K12</f>
        <v>26</v>
      </c>
    </row>
    <row r="13" spans="1:31" ht="33.75" customHeight="1">
      <c r="A13" s="4828">
        <v>6</v>
      </c>
      <c r="B13" s="4829">
        <v>46278</v>
      </c>
      <c r="C13" s="4829">
        <v>46280</v>
      </c>
      <c r="D13" s="4672">
        <f t="shared" si="0"/>
        <v>2</v>
      </c>
      <c r="E13" s="4829">
        <v>46288</v>
      </c>
      <c r="F13" s="4672">
        <f t="shared" si="1"/>
        <v>9</v>
      </c>
      <c r="G13" s="4939">
        <v>46290</v>
      </c>
      <c r="H13" s="4672">
        <f t="shared" si="2"/>
        <v>1</v>
      </c>
      <c r="I13" s="4831" t="s">
        <v>5077</v>
      </c>
      <c r="J13" s="4834">
        <v>11</v>
      </c>
      <c r="K13" s="4835">
        <v>10</v>
      </c>
      <c r="L13" s="4834">
        <v>47000</v>
      </c>
      <c r="M13" s="4834">
        <v>49400</v>
      </c>
      <c r="N13" s="4834">
        <v>47000</v>
      </c>
      <c r="O13" s="4678">
        <f>SUM(D13,F13,H13)*K13</f>
        <v>120</v>
      </c>
      <c r="P13" s="4677">
        <f>(D13*L13+F13*M13+H13*N13)*K13</f>
        <v>5856000</v>
      </c>
      <c r="Q13" s="4836">
        <v>28.8</v>
      </c>
      <c r="R13" s="4837" t="s">
        <v>5742</v>
      </c>
      <c r="S13" s="4836">
        <v>28.8</v>
      </c>
      <c r="T13" s="4834">
        <v>2</v>
      </c>
      <c r="U13" s="4834">
        <v>120</v>
      </c>
      <c r="V13" s="4837" t="s">
        <v>4521</v>
      </c>
      <c r="W13" s="4836">
        <v>200</v>
      </c>
      <c r="X13" s="4834">
        <v>2</v>
      </c>
      <c r="Y13" s="4834" t="s">
        <v>5953</v>
      </c>
      <c r="Z13" s="4839" t="s">
        <v>5035</v>
      </c>
      <c r="AA13" s="4834" t="s">
        <v>2814</v>
      </c>
      <c r="AB13" s="4839" t="s">
        <v>5050</v>
      </c>
      <c r="AC13" s="4834" t="s">
        <v>2814</v>
      </c>
      <c r="AD13" s="4832" t="s">
        <v>6939</v>
      </c>
      <c r="AE13" s="4685">
        <f>T13*K13</f>
        <v>20</v>
      </c>
    </row>
    <row r="14" spans="1:31" ht="33.75" customHeight="1">
      <c r="A14" s="4828">
        <v>7</v>
      </c>
      <c r="B14" s="4829">
        <v>46278</v>
      </c>
      <c r="C14" s="4829">
        <v>46280</v>
      </c>
      <c r="D14" s="4672">
        <f t="shared" si="0"/>
        <v>2</v>
      </c>
      <c r="E14" s="4829">
        <v>46288</v>
      </c>
      <c r="F14" s="4672">
        <f t="shared" si="1"/>
        <v>9</v>
      </c>
      <c r="G14" s="4939">
        <v>46290</v>
      </c>
      <c r="H14" s="4672">
        <f t="shared" si="2"/>
        <v>1</v>
      </c>
      <c r="I14" s="4831" t="s">
        <v>5075</v>
      </c>
      <c r="J14" s="4834">
        <v>56</v>
      </c>
      <c r="K14" s="4835">
        <v>56</v>
      </c>
      <c r="L14" s="4834">
        <v>48000</v>
      </c>
      <c r="M14" s="4834">
        <v>50400</v>
      </c>
      <c r="N14" s="4834">
        <v>48000</v>
      </c>
      <c r="O14" s="4678">
        <f>SUM(D14,F14,H14)*K14</f>
        <v>672</v>
      </c>
      <c r="P14" s="4677">
        <f>(D14*L14+F14*M14+H14*N14)*K14</f>
        <v>33465600</v>
      </c>
      <c r="Q14" s="4836">
        <v>29.4</v>
      </c>
      <c r="R14" s="4837" t="s">
        <v>5742</v>
      </c>
      <c r="S14" s="4836">
        <v>29.4</v>
      </c>
      <c r="T14" s="4834">
        <v>2</v>
      </c>
      <c r="U14" s="4834">
        <v>120</v>
      </c>
      <c r="V14" s="4837" t="s">
        <v>4521</v>
      </c>
      <c r="W14" s="4836">
        <v>200</v>
      </c>
      <c r="X14" s="4834">
        <v>2</v>
      </c>
      <c r="Y14" s="4834" t="s">
        <v>5953</v>
      </c>
      <c r="Z14" s="4839" t="s">
        <v>5035</v>
      </c>
      <c r="AA14" s="4834" t="s">
        <v>2814</v>
      </c>
      <c r="AB14" s="4839" t="s">
        <v>5050</v>
      </c>
      <c r="AC14" s="4834" t="s">
        <v>2814</v>
      </c>
      <c r="AD14" s="4832" t="s">
        <v>6939</v>
      </c>
      <c r="AE14" s="4685">
        <f>T14*K14</f>
        <v>112</v>
      </c>
    </row>
    <row r="15" spans="1:31" ht="33.75" customHeight="1">
      <c r="A15" s="4828">
        <v>8</v>
      </c>
      <c r="B15" s="4829">
        <v>46278</v>
      </c>
      <c r="C15" s="4829">
        <v>46280</v>
      </c>
      <c r="D15" s="4672">
        <f t="shared" si="0"/>
        <v>2</v>
      </c>
      <c r="E15" s="4829">
        <v>46288</v>
      </c>
      <c r="F15" s="4672">
        <f t="shared" si="1"/>
        <v>9</v>
      </c>
      <c r="G15" s="4939">
        <v>46290</v>
      </c>
      <c r="H15" s="4672">
        <f t="shared" si="2"/>
        <v>1</v>
      </c>
      <c r="I15" s="4831" t="s">
        <v>5132</v>
      </c>
      <c r="J15" s="4834">
        <v>16</v>
      </c>
      <c r="K15" s="4835">
        <v>16</v>
      </c>
      <c r="L15" s="4834">
        <v>53000</v>
      </c>
      <c r="M15" s="4834">
        <v>55400</v>
      </c>
      <c r="N15" s="4834">
        <v>53000</v>
      </c>
      <c r="O15" s="4678">
        <f>SUM(D15,F15,H15)*K15</f>
        <v>192</v>
      </c>
      <c r="P15" s="4677">
        <f>(D15*L15+F15*M15+H15*N15)*K15</f>
        <v>10521600</v>
      </c>
      <c r="Q15" s="4836">
        <v>29.4</v>
      </c>
      <c r="R15" s="4837" t="s">
        <v>5742</v>
      </c>
      <c r="S15" s="4836">
        <v>29.4</v>
      </c>
      <c r="T15" s="4834">
        <v>2</v>
      </c>
      <c r="U15" s="4834">
        <v>120</v>
      </c>
      <c r="V15" s="4837" t="s">
        <v>4521</v>
      </c>
      <c r="W15" s="4836">
        <v>200</v>
      </c>
      <c r="X15" s="4834">
        <v>2</v>
      </c>
      <c r="Y15" s="4834" t="s">
        <v>5953</v>
      </c>
      <c r="Z15" s="4839" t="s">
        <v>5035</v>
      </c>
      <c r="AA15" s="4834" t="s">
        <v>2814</v>
      </c>
      <c r="AB15" s="4839" t="s">
        <v>5050</v>
      </c>
      <c r="AC15" s="4834" t="s">
        <v>2814</v>
      </c>
      <c r="AD15" s="4832" t="s">
        <v>6939</v>
      </c>
      <c r="AE15" s="4685">
        <f>T15*K15</f>
        <v>32</v>
      </c>
    </row>
    <row r="16" spans="1:31" ht="33.75" customHeight="1">
      <c r="A16" s="4828">
        <v>9</v>
      </c>
      <c r="B16" s="4829">
        <v>46278</v>
      </c>
      <c r="C16" s="4829">
        <v>46280</v>
      </c>
      <c r="D16" s="4672">
        <f t="shared" si="0"/>
        <v>2</v>
      </c>
      <c r="E16" s="4829">
        <v>46288</v>
      </c>
      <c r="F16" s="4672">
        <f t="shared" si="1"/>
        <v>9</v>
      </c>
      <c r="G16" s="4939">
        <v>46290</v>
      </c>
      <c r="H16" s="4672">
        <f t="shared" si="2"/>
        <v>1</v>
      </c>
      <c r="I16" s="4831" t="s">
        <v>5133</v>
      </c>
      <c r="J16" s="4834">
        <v>1</v>
      </c>
      <c r="K16" s="4835">
        <v>1</v>
      </c>
      <c r="L16" s="4834">
        <v>50000</v>
      </c>
      <c r="M16" s="4834">
        <v>52400</v>
      </c>
      <c r="N16" s="4834">
        <v>50000</v>
      </c>
      <c r="O16" s="4678">
        <f>SUM(D16,F16,H16)*K16</f>
        <v>12</v>
      </c>
      <c r="P16" s="4677">
        <f>(D16*L16+F16*M16+H16*N16)*K16</f>
        <v>621600</v>
      </c>
      <c r="Q16" s="4836">
        <v>32.9</v>
      </c>
      <c r="R16" s="4837" t="s">
        <v>5742</v>
      </c>
      <c r="S16" s="4836">
        <v>32.9</v>
      </c>
      <c r="T16" s="4834">
        <v>2</v>
      </c>
      <c r="U16" s="4834">
        <v>120</v>
      </c>
      <c r="V16" s="4837" t="s">
        <v>4521</v>
      </c>
      <c r="W16" s="4836">
        <v>200</v>
      </c>
      <c r="X16" s="4834">
        <v>2</v>
      </c>
      <c r="Y16" s="4834" t="s">
        <v>5953</v>
      </c>
      <c r="Z16" s="4839" t="s">
        <v>5035</v>
      </c>
      <c r="AA16" s="4834" t="s">
        <v>2814</v>
      </c>
      <c r="AB16" s="4839" t="s">
        <v>5050</v>
      </c>
      <c r="AC16" s="4834" t="s">
        <v>2814</v>
      </c>
      <c r="AD16" s="4832" t="s">
        <v>6939</v>
      </c>
      <c r="AE16" s="4685">
        <f>T16*K16</f>
        <v>2</v>
      </c>
    </row>
    <row r="17" spans="1:31" ht="33.75" customHeight="1">
      <c r="A17" s="4828">
        <v>10</v>
      </c>
      <c r="B17" s="4833"/>
      <c r="C17" s="4829"/>
      <c r="D17" s="4672"/>
      <c r="E17" s="4829"/>
      <c r="F17" s="4672"/>
      <c r="G17" s="4699"/>
      <c r="H17" s="4672"/>
      <c r="I17" s="4831"/>
      <c r="J17" s="4834"/>
      <c r="K17" s="4835"/>
      <c r="L17" s="4834"/>
      <c r="M17" s="4834"/>
      <c r="N17" s="4834"/>
      <c r="O17" s="4678"/>
      <c r="P17" s="4677"/>
      <c r="Q17" s="4836"/>
      <c r="R17" s="4837" t="s">
        <v>5742</v>
      </c>
      <c r="S17" s="4836"/>
      <c r="T17" s="4838"/>
      <c r="U17" s="4834"/>
      <c r="V17" s="4837" t="s">
        <v>4521</v>
      </c>
      <c r="W17" s="4836"/>
      <c r="X17" s="4834"/>
      <c r="Y17" s="4834"/>
      <c r="Z17" s="4839"/>
      <c r="AA17" s="4834"/>
      <c r="AB17" s="4839"/>
      <c r="AC17" s="4834"/>
      <c r="AD17" s="4832"/>
      <c r="AE17" s="4685">
        <f>T17*K17</f>
        <v>0</v>
      </c>
    </row>
    <row r="18" spans="1:31" ht="33.75" customHeight="1">
      <c r="A18" s="4828">
        <v>11</v>
      </c>
      <c r="B18" s="4829">
        <v>46290</v>
      </c>
      <c r="C18" s="4829">
        <v>46292</v>
      </c>
      <c r="D18" s="4672">
        <f t="shared" si="0"/>
        <v>2</v>
      </c>
      <c r="E18" s="4829">
        <v>46298</v>
      </c>
      <c r="F18" s="4672">
        <f t="shared" si="1"/>
        <v>7</v>
      </c>
      <c r="G18" s="4939">
        <v>46300</v>
      </c>
      <c r="H18" s="4672">
        <f t="shared" si="2"/>
        <v>1</v>
      </c>
      <c r="I18" s="4831" t="s">
        <v>5127</v>
      </c>
      <c r="J18" s="4834">
        <v>67</v>
      </c>
      <c r="K18" s="4835">
        <v>58</v>
      </c>
      <c r="L18" s="4834">
        <v>37000</v>
      </c>
      <c r="M18" s="4834">
        <v>39400</v>
      </c>
      <c r="N18" s="4834">
        <v>37000</v>
      </c>
      <c r="O18" s="4678">
        <f>SUM(D18,F18,H18)*K18</f>
        <v>580</v>
      </c>
      <c r="P18" s="4677">
        <f>(D18*L18+F18*M18+H18*N18)*K18</f>
        <v>22434400</v>
      </c>
      <c r="Q18" s="4836">
        <v>22.1</v>
      </c>
      <c r="R18" s="4837" t="s">
        <v>5742</v>
      </c>
      <c r="S18" s="4836">
        <v>22.1</v>
      </c>
      <c r="T18" s="4834">
        <v>1</v>
      </c>
      <c r="U18" s="4834">
        <v>160</v>
      </c>
      <c r="V18" s="4837" t="s">
        <v>4521</v>
      </c>
      <c r="W18" s="4836">
        <v>200</v>
      </c>
      <c r="X18" s="4834">
        <v>1</v>
      </c>
      <c r="Y18" s="4834" t="s">
        <v>5953</v>
      </c>
      <c r="Z18" s="4839" t="s">
        <v>5035</v>
      </c>
      <c r="AA18" s="4834" t="s">
        <v>2814</v>
      </c>
      <c r="AB18" s="4839" t="s">
        <v>5050</v>
      </c>
      <c r="AC18" s="4834" t="s">
        <v>2814</v>
      </c>
      <c r="AD18" s="4832"/>
      <c r="AE18" s="4685">
        <f>T18*K18</f>
        <v>58</v>
      </c>
    </row>
    <row r="19" spans="1:31" ht="33.75" customHeight="1">
      <c r="A19" s="4828">
        <v>12</v>
      </c>
      <c r="B19" s="4829">
        <v>46290</v>
      </c>
      <c r="C19" s="4829">
        <v>46292</v>
      </c>
      <c r="D19" s="4672">
        <f t="shared" si="0"/>
        <v>2</v>
      </c>
      <c r="E19" s="4829">
        <v>46298</v>
      </c>
      <c r="F19" s="4672">
        <f>IF(_xlfn.DAYS(E19,C19)=0,"1",_xlfn.DAYS(E19,C19))+1</f>
        <v>7</v>
      </c>
      <c r="G19" s="4939">
        <v>46300</v>
      </c>
      <c r="H19" s="4672">
        <f t="shared" si="2"/>
        <v>1</v>
      </c>
      <c r="I19" s="4831" t="s">
        <v>5128</v>
      </c>
      <c r="J19" s="4834">
        <v>20</v>
      </c>
      <c r="K19" s="4835">
        <v>20</v>
      </c>
      <c r="L19" s="4834">
        <v>39000</v>
      </c>
      <c r="M19" s="4834">
        <v>41400</v>
      </c>
      <c r="N19" s="4834">
        <v>39000</v>
      </c>
      <c r="O19" s="4678">
        <f>SUM(D19,F19,H19)*K19</f>
        <v>200</v>
      </c>
      <c r="P19" s="4677">
        <f>(D19*L19+F19*M19+H19*N19)*K19</f>
        <v>8136000</v>
      </c>
      <c r="Q19" s="4836">
        <v>22.1</v>
      </c>
      <c r="R19" s="4837" t="s">
        <v>5742</v>
      </c>
      <c r="S19" s="4836">
        <v>22.1</v>
      </c>
      <c r="T19" s="4834">
        <v>1</v>
      </c>
      <c r="U19" s="4834">
        <v>160</v>
      </c>
      <c r="V19" s="4837" t="s">
        <v>4521</v>
      </c>
      <c r="W19" s="4836">
        <v>200</v>
      </c>
      <c r="X19" s="4834">
        <v>1</v>
      </c>
      <c r="Y19" s="4834" t="s">
        <v>5953</v>
      </c>
      <c r="Z19" s="4839" t="s">
        <v>5035</v>
      </c>
      <c r="AA19" s="4834" t="s">
        <v>2814</v>
      </c>
      <c r="AB19" s="4839" t="s">
        <v>5050</v>
      </c>
      <c r="AC19" s="4834" t="s">
        <v>2814</v>
      </c>
      <c r="AD19" s="4832"/>
      <c r="AE19" s="4685">
        <f>T19*K19</f>
        <v>20</v>
      </c>
    </row>
    <row r="20" spans="1:31" ht="33.75" customHeight="1">
      <c r="A20" s="4828">
        <v>13</v>
      </c>
      <c r="B20" s="4829">
        <v>46290</v>
      </c>
      <c r="C20" s="4829">
        <v>46292</v>
      </c>
      <c r="D20" s="4672">
        <f t="shared" si="0"/>
        <v>2</v>
      </c>
      <c r="E20" s="4829">
        <v>46298</v>
      </c>
      <c r="F20" s="4672">
        <f t="shared" ref="F20:F22" si="3">IF(_xlfn.DAYS(E20,C20)=0,"1",_xlfn.DAYS(E20,C20))+1</f>
        <v>7</v>
      </c>
      <c r="G20" s="4939">
        <v>46300</v>
      </c>
      <c r="H20" s="4672">
        <f t="shared" si="2"/>
        <v>1</v>
      </c>
      <c r="I20" s="4831" t="s">
        <v>5129</v>
      </c>
      <c r="J20" s="4834">
        <v>12</v>
      </c>
      <c r="K20" s="4835">
        <v>12</v>
      </c>
      <c r="L20" s="4834">
        <v>41000</v>
      </c>
      <c r="M20" s="4834">
        <v>43400</v>
      </c>
      <c r="N20" s="4834">
        <v>41000</v>
      </c>
      <c r="O20" s="4678">
        <f>SUM(D20,F20,H20)*K20</f>
        <v>120</v>
      </c>
      <c r="P20" s="4677">
        <f>(D20*L20+F20*M20+H20*N20)*K20</f>
        <v>5121600</v>
      </c>
      <c r="Q20" s="4836">
        <v>22.1</v>
      </c>
      <c r="R20" s="4837" t="s">
        <v>5742</v>
      </c>
      <c r="S20" s="4836">
        <v>22.1</v>
      </c>
      <c r="T20" s="4834">
        <v>1</v>
      </c>
      <c r="U20" s="4834">
        <v>160</v>
      </c>
      <c r="V20" s="4837" t="s">
        <v>4521</v>
      </c>
      <c r="W20" s="4836">
        <v>200</v>
      </c>
      <c r="X20" s="4834">
        <v>1</v>
      </c>
      <c r="Y20" s="4834" t="s">
        <v>5953</v>
      </c>
      <c r="Z20" s="4839" t="s">
        <v>5035</v>
      </c>
      <c r="AA20" s="4834" t="s">
        <v>2814</v>
      </c>
      <c r="AB20" s="4839" t="s">
        <v>5050</v>
      </c>
      <c r="AC20" s="4834" t="s">
        <v>2814</v>
      </c>
      <c r="AD20" s="4832"/>
      <c r="AE20" s="4685">
        <f>T20*K20</f>
        <v>12</v>
      </c>
    </row>
    <row r="21" spans="1:31" ht="33.75" customHeight="1">
      <c r="A21" s="4828">
        <v>14</v>
      </c>
      <c r="B21" s="4829">
        <v>46290</v>
      </c>
      <c r="C21" s="4829">
        <v>46292</v>
      </c>
      <c r="D21" s="4672">
        <f t="shared" si="0"/>
        <v>2</v>
      </c>
      <c r="E21" s="4829">
        <v>46298</v>
      </c>
      <c r="F21" s="4672">
        <f t="shared" si="3"/>
        <v>7</v>
      </c>
      <c r="G21" s="4939">
        <v>46300</v>
      </c>
      <c r="H21" s="4672">
        <f t="shared" si="2"/>
        <v>1</v>
      </c>
      <c r="I21" s="4831" t="s">
        <v>6298</v>
      </c>
      <c r="J21" s="4834">
        <v>12</v>
      </c>
      <c r="K21" s="4835">
        <v>11</v>
      </c>
      <c r="L21" s="4834">
        <v>43000</v>
      </c>
      <c r="M21" s="4834">
        <v>45400</v>
      </c>
      <c r="N21" s="4834">
        <v>43000</v>
      </c>
      <c r="O21" s="4678">
        <f>SUM(D21,F21,H21)*K21</f>
        <v>110</v>
      </c>
      <c r="P21" s="4677">
        <f>(D21*L21+F21*M21+H21*N21)*K21</f>
        <v>4914800</v>
      </c>
      <c r="Q21" s="4836">
        <v>24.6</v>
      </c>
      <c r="R21" s="4837" t="s">
        <v>5742</v>
      </c>
      <c r="S21" s="4836">
        <v>24.6</v>
      </c>
      <c r="T21" s="4834">
        <v>2</v>
      </c>
      <c r="U21" s="4834">
        <v>120</v>
      </c>
      <c r="V21" s="4837" t="s">
        <v>4521</v>
      </c>
      <c r="W21" s="4836">
        <v>200</v>
      </c>
      <c r="X21" s="4834">
        <v>2</v>
      </c>
      <c r="Y21" s="4834" t="s">
        <v>5953</v>
      </c>
      <c r="Z21" s="4839" t="s">
        <v>5035</v>
      </c>
      <c r="AA21" s="4834" t="s">
        <v>2814</v>
      </c>
      <c r="AB21" s="4839" t="s">
        <v>5050</v>
      </c>
      <c r="AC21" s="4834" t="s">
        <v>2814</v>
      </c>
      <c r="AD21" s="4832" t="s">
        <v>6939</v>
      </c>
      <c r="AE21" s="4685">
        <f>T21*K21</f>
        <v>22</v>
      </c>
    </row>
    <row r="22" spans="1:31" ht="33.75" customHeight="1">
      <c r="A22" s="4828">
        <v>15</v>
      </c>
      <c r="B22" s="4829">
        <v>46290</v>
      </c>
      <c r="C22" s="4829">
        <v>46292</v>
      </c>
      <c r="D22" s="4672">
        <f t="shared" si="0"/>
        <v>2</v>
      </c>
      <c r="E22" s="4829">
        <v>46298</v>
      </c>
      <c r="F22" s="4672">
        <f t="shared" si="3"/>
        <v>7</v>
      </c>
      <c r="G22" s="4939">
        <v>46300</v>
      </c>
      <c r="H22" s="4672">
        <f t="shared" si="2"/>
        <v>1</v>
      </c>
      <c r="I22" s="4831" t="s">
        <v>5131</v>
      </c>
      <c r="J22" s="4834">
        <v>21</v>
      </c>
      <c r="K22" s="4835">
        <v>13</v>
      </c>
      <c r="L22" s="4834">
        <v>45000</v>
      </c>
      <c r="M22" s="4834">
        <v>47400</v>
      </c>
      <c r="N22" s="4834">
        <v>45000</v>
      </c>
      <c r="O22" s="4678">
        <f>SUM(D22,F22,H22)*K22</f>
        <v>130</v>
      </c>
      <c r="P22" s="4677">
        <f>(D22*L22+F22*M22+H22*N22)*K22</f>
        <v>6068400</v>
      </c>
      <c r="Q22" s="4836">
        <v>29.4</v>
      </c>
      <c r="R22" s="4837" t="s">
        <v>5742</v>
      </c>
      <c r="S22" s="4836">
        <v>29.4</v>
      </c>
      <c r="T22" s="4834">
        <v>2</v>
      </c>
      <c r="U22" s="4834">
        <v>120</v>
      </c>
      <c r="V22" s="4837" t="s">
        <v>4521</v>
      </c>
      <c r="W22" s="4836">
        <v>200</v>
      </c>
      <c r="X22" s="4834">
        <v>2</v>
      </c>
      <c r="Y22" s="4834" t="s">
        <v>5953</v>
      </c>
      <c r="Z22" s="4839" t="s">
        <v>5035</v>
      </c>
      <c r="AA22" s="4834" t="s">
        <v>2814</v>
      </c>
      <c r="AB22" s="4839" t="s">
        <v>5050</v>
      </c>
      <c r="AC22" s="4834" t="s">
        <v>2814</v>
      </c>
      <c r="AD22" s="4832" t="s">
        <v>6939</v>
      </c>
      <c r="AE22" s="4685">
        <f>T22*K22</f>
        <v>26</v>
      </c>
    </row>
    <row r="23" spans="1:31" ht="33.75" customHeight="1">
      <c r="A23" s="4828">
        <v>16</v>
      </c>
      <c r="B23" s="4829">
        <v>46290</v>
      </c>
      <c r="C23" s="4829">
        <v>46292</v>
      </c>
      <c r="D23" s="4672">
        <f t="shared" si="0"/>
        <v>2</v>
      </c>
      <c r="E23" s="4829">
        <v>46298</v>
      </c>
      <c r="F23" s="4672">
        <f>IF(_xlfn.DAYS(E23,C23)=0,"1",_xlfn.DAYS(E23,C23))+1</f>
        <v>7</v>
      </c>
      <c r="G23" s="4939">
        <v>46300</v>
      </c>
      <c r="H23" s="4672">
        <f t="shared" si="2"/>
        <v>1</v>
      </c>
      <c r="I23" s="4831" t="s">
        <v>5077</v>
      </c>
      <c r="J23" s="4834">
        <v>11</v>
      </c>
      <c r="K23" s="4835">
        <v>10</v>
      </c>
      <c r="L23" s="4834">
        <v>47000</v>
      </c>
      <c r="M23" s="4834">
        <v>49400</v>
      </c>
      <c r="N23" s="4834">
        <v>47000</v>
      </c>
      <c r="O23" s="4678">
        <f>SUM(D23,F23,H23)*K23</f>
        <v>100</v>
      </c>
      <c r="P23" s="4677">
        <f>(D23*L23+F23*M23+H23*N23)*K23</f>
        <v>4868000</v>
      </c>
      <c r="Q23" s="4836">
        <v>28.8</v>
      </c>
      <c r="R23" s="4837" t="s">
        <v>5742</v>
      </c>
      <c r="S23" s="4836">
        <v>28.8</v>
      </c>
      <c r="T23" s="4834">
        <v>2</v>
      </c>
      <c r="U23" s="4834">
        <v>120</v>
      </c>
      <c r="V23" s="4837" t="s">
        <v>4521</v>
      </c>
      <c r="W23" s="4836">
        <v>200</v>
      </c>
      <c r="X23" s="4834">
        <v>2</v>
      </c>
      <c r="Y23" s="4834" t="s">
        <v>5953</v>
      </c>
      <c r="Z23" s="4839" t="s">
        <v>5035</v>
      </c>
      <c r="AA23" s="4834" t="s">
        <v>2814</v>
      </c>
      <c r="AB23" s="4839" t="s">
        <v>5050</v>
      </c>
      <c r="AC23" s="4834" t="s">
        <v>2814</v>
      </c>
      <c r="AD23" s="4832" t="s">
        <v>6939</v>
      </c>
      <c r="AE23" s="4685">
        <f>T23*K23</f>
        <v>20</v>
      </c>
    </row>
    <row r="24" spans="1:31" ht="33.75" customHeight="1">
      <c r="A24" s="4828">
        <v>17</v>
      </c>
      <c r="B24" s="4829">
        <v>46290</v>
      </c>
      <c r="C24" s="4829">
        <v>46292</v>
      </c>
      <c r="D24" s="4672">
        <f t="shared" si="0"/>
        <v>2</v>
      </c>
      <c r="E24" s="4829">
        <v>46298</v>
      </c>
      <c r="F24" s="4672">
        <f t="shared" ref="F24:F26" si="4">IF(_xlfn.DAYS(E24,C24)=0,"1",_xlfn.DAYS(E24,C24))+1</f>
        <v>7</v>
      </c>
      <c r="G24" s="4939">
        <v>46300</v>
      </c>
      <c r="H24" s="4672">
        <f t="shared" si="2"/>
        <v>1</v>
      </c>
      <c r="I24" s="4831" t="s">
        <v>5075</v>
      </c>
      <c r="J24" s="4834">
        <v>56</v>
      </c>
      <c r="K24" s="4835">
        <v>56</v>
      </c>
      <c r="L24" s="4834">
        <v>48000</v>
      </c>
      <c r="M24" s="4834">
        <v>50400</v>
      </c>
      <c r="N24" s="4834">
        <v>48000</v>
      </c>
      <c r="O24" s="4678">
        <f>SUM(D24,F24,H24)*K24</f>
        <v>560</v>
      </c>
      <c r="P24" s="4677">
        <f>(D24*L24+F24*M24+H24*N24)*K24</f>
        <v>27820800</v>
      </c>
      <c r="Q24" s="4836">
        <v>29.4</v>
      </c>
      <c r="R24" s="4837" t="s">
        <v>5742</v>
      </c>
      <c r="S24" s="4836">
        <v>29.4</v>
      </c>
      <c r="T24" s="4834">
        <v>2</v>
      </c>
      <c r="U24" s="4834">
        <v>120</v>
      </c>
      <c r="V24" s="4837" t="s">
        <v>4521</v>
      </c>
      <c r="W24" s="4836">
        <v>200</v>
      </c>
      <c r="X24" s="4834">
        <v>2</v>
      </c>
      <c r="Y24" s="4834" t="s">
        <v>5953</v>
      </c>
      <c r="Z24" s="4839" t="s">
        <v>5035</v>
      </c>
      <c r="AA24" s="4834" t="s">
        <v>2814</v>
      </c>
      <c r="AB24" s="4839" t="s">
        <v>5050</v>
      </c>
      <c r="AC24" s="4834" t="s">
        <v>2814</v>
      </c>
      <c r="AD24" s="4832" t="s">
        <v>6939</v>
      </c>
      <c r="AE24" s="4685">
        <f>T24*K24</f>
        <v>112</v>
      </c>
    </row>
    <row r="25" spans="1:31" ht="33.75" customHeight="1">
      <c r="A25" s="4828">
        <v>18</v>
      </c>
      <c r="B25" s="4829">
        <v>46290</v>
      </c>
      <c r="C25" s="4829">
        <v>46292</v>
      </c>
      <c r="D25" s="4672">
        <f t="shared" si="0"/>
        <v>2</v>
      </c>
      <c r="E25" s="4829">
        <v>46298</v>
      </c>
      <c r="F25" s="4672">
        <f t="shared" si="4"/>
        <v>7</v>
      </c>
      <c r="G25" s="4939">
        <v>46300</v>
      </c>
      <c r="H25" s="4672">
        <f t="shared" si="2"/>
        <v>1</v>
      </c>
      <c r="I25" s="4831" t="s">
        <v>5132</v>
      </c>
      <c r="J25" s="4834">
        <v>16</v>
      </c>
      <c r="K25" s="4835">
        <v>16</v>
      </c>
      <c r="L25" s="4834">
        <v>53000</v>
      </c>
      <c r="M25" s="4834">
        <v>55400</v>
      </c>
      <c r="N25" s="4834">
        <v>53000</v>
      </c>
      <c r="O25" s="4678">
        <f>SUM(D25,F25,H25)*K25</f>
        <v>160</v>
      </c>
      <c r="P25" s="4677">
        <f>(D25*L25+F25*M25+H25*N25)*K25</f>
        <v>8748800</v>
      </c>
      <c r="Q25" s="4836">
        <v>29.4</v>
      </c>
      <c r="R25" s="4837" t="s">
        <v>5742</v>
      </c>
      <c r="S25" s="4836">
        <v>29.4</v>
      </c>
      <c r="T25" s="4834">
        <v>2</v>
      </c>
      <c r="U25" s="4834">
        <v>120</v>
      </c>
      <c r="V25" s="4837" t="s">
        <v>4521</v>
      </c>
      <c r="W25" s="4836">
        <v>200</v>
      </c>
      <c r="X25" s="4834">
        <v>2</v>
      </c>
      <c r="Y25" s="4834" t="s">
        <v>5953</v>
      </c>
      <c r="Z25" s="4839" t="s">
        <v>5035</v>
      </c>
      <c r="AA25" s="4834" t="s">
        <v>2814</v>
      </c>
      <c r="AB25" s="4839" t="s">
        <v>5050</v>
      </c>
      <c r="AC25" s="4834" t="s">
        <v>2814</v>
      </c>
      <c r="AD25" s="4832" t="s">
        <v>6939</v>
      </c>
      <c r="AE25" s="4685">
        <f>T25*K25</f>
        <v>32</v>
      </c>
    </row>
    <row r="26" spans="1:31" ht="33.75" customHeight="1">
      <c r="A26" s="4828">
        <v>19</v>
      </c>
      <c r="B26" s="4829">
        <v>46290</v>
      </c>
      <c r="C26" s="4829">
        <v>46292</v>
      </c>
      <c r="D26" s="4672">
        <f t="shared" si="0"/>
        <v>2</v>
      </c>
      <c r="E26" s="4829">
        <v>46298</v>
      </c>
      <c r="F26" s="4672">
        <f t="shared" si="4"/>
        <v>7</v>
      </c>
      <c r="G26" s="4939">
        <v>46300</v>
      </c>
      <c r="H26" s="4672">
        <f t="shared" si="2"/>
        <v>1</v>
      </c>
      <c r="I26" s="4831" t="s">
        <v>5133</v>
      </c>
      <c r="J26" s="4834">
        <v>1</v>
      </c>
      <c r="K26" s="4835">
        <v>1</v>
      </c>
      <c r="L26" s="4834">
        <v>50000</v>
      </c>
      <c r="M26" s="4834">
        <v>52400</v>
      </c>
      <c r="N26" s="4834">
        <v>50000</v>
      </c>
      <c r="O26" s="4678">
        <f>SUM(D26,F26,H26)*K26</f>
        <v>10</v>
      </c>
      <c r="P26" s="4677">
        <f>(D26*L26+F26*M26+H26*N26)*K26</f>
        <v>516800</v>
      </c>
      <c r="Q26" s="4836">
        <v>32.9</v>
      </c>
      <c r="R26" s="4837" t="s">
        <v>5742</v>
      </c>
      <c r="S26" s="4836">
        <v>32.9</v>
      </c>
      <c r="T26" s="4834">
        <v>2</v>
      </c>
      <c r="U26" s="4834">
        <v>120</v>
      </c>
      <c r="V26" s="4837" t="s">
        <v>4521</v>
      </c>
      <c r="W26" s="4836">
        <v>200</v>
      </c>
      <c r="X26" s="4834">
        <v>2</v>
      </c>
      <c r="Y26" s="4834" t="s">
        <v>5953</v>
      </c>
      <c r="Z26" s="4839" t="s">
        <v>5035</v>
      </c>
      <c r="AA26" s="4834" t="s">
        <v>2814</v>
      </c>
      <c r="AB26" s="4839" t="s">
        <v>5050</v>
      </c>
      <c r="AC26" s="4834" t="s">
        <v>2814</v>
      </c>
      <c r="AD26" s="4832" t="s">
        <v>6939</v>
      </c>
      <c r="AE26" s="4685">
        <f>T26*K26</f>
        <v>2</v>
      </c>
    </row>
    <row r="27" spans="1:31" ht="33.75" customHeight="1" thickBot="1">
      <c r="A27" s="4828">
        <v>20</v>
      </c>
      <c r="B27" s="4833"/>
      <c r="C27" s="4829"/>
      <c r="D27" s="4672"/>
      <c r="E27" s="4829"/>
      <c r="F27" s="4672"/>
      <c r="G27" s="4699"/>
      <c r="H27" s="4672"/>
      <c r="I27" s="4831"/>
      <c r="J27" s="4834"/>
      <c r="K27" s="4835"/>
      <c r="L27" s="4834"/>
      <c r="M27" s="4834"/>
      <c r="N27" s="4834"/>
      <c r="O27" s="4678">
        <f>SUM(D27,F27,H27)*K27</f>
        <v>0</v>
      </c>
      <c r="P27" s="4677">
        <f>(D27*L27+F27*M27+H27*N27)*K27</f>
        <v>0</v>
      </c>
      <c r="Q27" s="4836"/>
      <c r="R27" s="4837" t="s">
        <v>5739</v>
      </c>
      <c r="S27" s="4836"/>
      <c r="T27" s="4838"/>
      <c r="U27" s="4834"/>
      <c r="V27" s="4837" t="s">
        <v>4521</v>
      </c>
      <c r="W27" s="4836"/>
      <c r="X27" s="4834"/>
      <c r="Y27" s="4834"/>
      <c r="Z27" s="4839" t="s">
        <v>5035</v>
      </c>
      <c r="AA27" s="4834"/>
      <c r="AB27" s="4839" t="s">
        <v>5050</v>
      </c>
      <c r="AC27" s="4834"/>
      <c r="AD27" s="4832"/>
      <c r="AE27" s="4685">
        <f>T27*K27</f>
        <v>0</v>
      </c>
    </row>
    <row r="28" spans="1:31" ht="33.75" customHeight="1" thickTop="1" thickBot="1">
      <c r="A28" s="4840"/>
      <c r="B28" s="4841"/>
      <c r="C28" s="4841"/>
      <c r="D28" s="4841"/>
      <c r="E28" s="4841"/>
      <c r="F28" s="4842"/>
      <c r="G28" s="4843"/>
      <c r="H28" s="4841"/>
      <c r="I28" s="4844" t="s">
        <v>2432</v>
      </c>
      <c r="J28" s="4845">
        <f>SUM(J8:J27)</f>
        <v>432</v>
      </c>
      <c r="K28" s="5094">
        <f>SUM(K8:K27)</f>
        <v>394</v>
      </c>
      <c r="L28" s="4843"/>
      <c r="M28" s="4843"/>
      <c r="N28" s="4843"/>
      <c r="O28" s="4845">
        <f>SUM(O8:O27)</f>
        <v>4334</v>
      </c>
      <c r="P28" s="4845">
        <f>SUM(P8:P27)</f>
        <v>195268800</v>
      </c>
      <c r="Q28" s="6901"/>
      <c r="R28" s="6901"/>
      <c r="S28" s="6901"/>
      <c r="T28" s="4847"/>
      <c r="U28" s="6902"/>
      <c r="V28" s="6901"/>
      <c r="W28" s="6901"/>
      <c r="X28" s="4847"/>
      <c r="Y28" s="4847"/>
      <c r="Z28" s="6903"/>
      <c r="AA28" s="6904"/>
      <c r="AB28" s="6903"/>
      <c r="AC28" s="6904"/>
      <c r="AD28" s="4848"/>
      <c r="AE28" s="4685"/>
    </row>
    <row r="29" spans="1:31" ht="32.15" customHeight="1" thickBot="1">
      <c r="C29" s="4710"/>
      <c r="D29" s="4710"/>
      <c r="E29" s="4710"/>
      <c r="F29" s="4710"/>
      <c r="G29" s="4710"/>
      <c r="H29" s="4710"/>
      <c r="I29" s="4711"/>
      <c r="J29" s="4712"/>
      <c r="K29" s="4710"/>
      <c r="L29" s="4713" t="s">
        <v>5748</v>
      </c>
      <c r="M29" s="4714" t="e">
        <f>SUM(#REF!)</f>
        <v>#REF!</v>
      </c>
      <c r="N29" s="4715"/>
      <c r="O29" s="4656"/>
      <c r="P29" s="4657"/>
      <c r="Q29" s="4656"/>
      <c r="U29" s="4656"/>
      <c r="AD29" s="4849"/>
    </row>
    <row r="30" spans="1:31" ht="33.75" customHeight="1">
      <c r="A30" s="6845" t="s">
        <v>5749</v>
      </c>
      <c r="B30" s="6846"/>
      <c r="C30" s="5400">
        <f>O28</f>
        <v>4334</v>
      </c>
      <c r="D30" s="4717"/>
      <c r="F30" s="4718"/>
      <c r="G30" s="4850"/>
      <c r="H30" s="4719"/>
      <c r="I30" s="4720"/>
      <c r="L30" s="4721" t="s">
        <v>5750</v>
      </c>
      <c r="M30" s="4722" t="e">
        <f>M29</f>
        <v>#REF!</v>
      </c>
      <c r="N30" s="4656"/>
      <c r="O30" s="4656"/>
      <c r="P30" s="4657"/>
      <c r="AD30" s="4851"/>
    </row>
    <row r="31" spans="1:31" ht="33.75" customHeight="1" thickBot="1">
      <c r="A31" s="6847" t="s">
        <v>5883</v>
      </c>
      <c r="B31" s="6848"/>
      <c r="C31" s="4823"/>
      <c r="D31" s="4717"/>
      <c r="F31" s="4724"/>
      <c r="G31" s="4852"/>
      <c r="H31" s="4719"/>
      <c r="I31" s="4720"/>
      <c r="N31" s="4656"/>
      <c r="O31" s="4656"/>
      <c r="P31" s="4657"/>
      <c r="AD31" s="4851"/>
    </row>
    <row r="32" spans="1:31" ht="33.75" customHeight="1" thickBot="1">
      <c r="A32" s="6913" t="s">
        <v>5751</v>
      </c>
      <c r="B32" s="6914"/>
      <c r="C32" s="4823">
        <f>P28</f>
        <v>195268800</v>
      </c>
      <c r="D32" s="7078"/>
      <c r="F32" s="4724"/>
      <c r="G32" s="4852"/>
      <c r="H32" s="4719"/>
      <c r="I32" s="4720"/>
      <c r="N32" s="4656"/>
      <c r="O32" s="4656"/>
      <c r="P32" s="4657"/>
      <c r="AD32" s="4851"/>
    </row>
    <row r="33" spans="1:31" ht="44.25" customHeight="1">
      <c r="A33" s="4736"/>
      <c r="B33" s="4736"/>
      <c r="C33" s="4736"/>
      <c r="D33" s="4736"/>
      <c r="E33" s="4733"/>
      <c r="F33" s="4733"/>
      <c r="G33" s="4733"/>
      <c r="H33" s="4663"/>
      <c r="I33" s="4662"/>
      <c r="J33" s="4663"/>
      <c r="L33" s="4663"/>
      <c r="M33" s="4663"/>
      <c r="N33" s="4663"/>
      <c r="R33" s="4656"/>
      <c r="T33" s="4660"/>
      <c r="V33" s="4656"/>
      <c r="AD33" s="4664"/>
    </row>
    <row r="34" spans="1:31" ht="23.25" customHeight="1">
      <c r="L34" s="5089" t="s">
        <v>5975</v>
      </c>
      <c r="M34" s="5089" t="s">
        <v>5975</v>
      </c>
      <c r="N34" s="5089" t="s">
        <v>5975</v>
      </c>
      <c r="R34" s="4656"/>
      <c r="T34" s="4660"/>
      <c r="V34" s="4656"/>
    </row>
    <row r="35" spans="1:31" ht="23.25" customHeight="1">
      <c r="L35" s="5089"/>
      <c r="M35" s="5089"/>
      <c r="N35" s="5089"/>
      <c r="R35" s="4656"/>
      <c r="T35" s="4660"/>
      <c r="V35" s="4656"/>
    </row>
    <row r="36" spans="1:31" ht="33.75" customHeight="1" thickBot="1">
      <c r="A36" s="4665" t="s">
        <v>5807</v>
      </c>
      <c r="B36" s="4665"/>
      <c r="L36" s="5090" t="s">
        <v>5976</v>
      </c>
      <c r="M36" s="5090" t="s">
        <v>5976</v>
      </c>
      <c r="N36" s="5090" t="s">
        <v>5976</v>
      </c>
      <c r="R36" s="4656"/>
      <c r="V36" s="4656"/>
      <c r="Y36" s="4656"/>
      <c r="Z36" s="4656"/>
      <c r="AA36" s="4656"/>
      <c r="AB36" s="4656"/>
      <c r="AC36" s="4656"/>
      <c r="AE36" s="4656" t="s">
        <v>5712</v>
      </c>
    </row>
    <row r="37" spans="1:31" s="4666" customFormat="1" ht="33.75" customHeight="1">
      <c r="A37" s="6877" t="s">
        <v>5713</v>
      </c>
      <c r="B37" s="6879" t="s">
        <v>5714</v>
      </c>
      <c r="C37" s="6855" t="s">
        <v>5715</v>
      </c>
      <c r="D37" s="6855" t="s">
        <v>5716</v>
      </c>
      <c r="E37" s="6855" t="s">
        <v>5717</v>
      </c>
      <c r="F37" s="6868" t="s">
        <v>5718</v>
      </c>
      <c r="G37" s="6855" t="s">
        <v>5719</v>
      </c>
      <c r="H37" s="6855" t="s">
        <v>5720</v>
      </c>
      <c r="I37" s="6857" t="s">
        <v>5721</v>
      </c>
      <c r="J37" s="6851" t="s">
        <v>5722</v>
      </c>
      <c r="K37" s="6851" t="s">
        <v>5723</v>
      </c>
      <c r="L37" s="6855" t="s">
        <v>5977</v>
      </c>
      <c r="M37" s="6855" t="s">
        <v>5978</v>
      </c>
      <c r="N37" s="6855" t="s">
        <v>5979</v>
      </c>
      <c r="O37" s="6851" t="s">
        <v>3766</v>
      </c>
      <c r="P37" s="6853"/>
      <c r="Q37" s="6868" t="s">
        <v>5728</v>
      </c>
      <c r="R37" s="6869"/>
      <c r="S37" s="6870"/>
      <c r="T37" s="6855" t="s">
        <v>5729</v>
      </c>
      <c r="U37" s="6869" t="s">
        <v>5730</v>
      </c>
      <c r="V37" s="6869"/>
      <c r="W37" s="6869"/>
      <c r="X37" s="6868" t="s">
        <v>5731</v>
      </c>
      <c r="Y37" s="6851" t="s">
        <v>5732</v>
      </c>
      <c r="Z37" s="6851" t="s">
        <v>5733</v>
      </c>
      <c r="AA37" s="6853"/>
      <c r="AB37" s="6853"/>
      <c r="AC37" s="6853"/>
      <c r="AD37" s="6860" t="s">
        <v>5980</v>
      </c>
      <c r="AE37" s="6862" t="s">
        <v>5734</v>
      </c>
    </row>
    <row r="38" spans="1:31" s="4666" customFormat="1" ht="20">
      <c r="A38" s="6878"/>
      <c r="B38" s="6880"/>
      <c r="C38" s="6858"/>
      <c r="D38" s="6856"/>
      <c r="E38" s="6856"/>
      <c r="F38" s="6881"/>
      <c r="G38" s="6856"/>
      <c r="H38" s="6856"/>
      <c r="I38" s="6858"/>
      <c r="J38" s="6859"/>
      <c r="K38" s="6859"/>
      <c r="L38" s="6856"/>
      <c r="M38" s="6856"/>
      <c r="N38" s="6856"/>
      <c r="O38" s="4667" t="s">
        <v>5735</v>
      </c>
      <c r="P38" s="4668" t="s">
        <v>5736</v>
      </c>
      <c r="Q38" s="6871"/>
      <c r="R38" s="6872"/>
      <c r="S38" s="6873"/>
      <c r="T38" s="6856"/>
      <c r="U38" s="6872"/>
      <c r="V38" s="6872"/>
      <c r="W38" s="6872"/>
      <c r="X38" s="6852"/>
      <c r="Y38" s="6852"/>
      <c r="Z38" s="6852"/>
      <c r="AA38" s="6854"/>
      <c r="AB38" s="6854"/>
      <c r="AC38" s="6854"/>
      <c r="AD38" s="6861"/>
      <c r="AE38" s="6862"/>
    </row>
    <row r="39" spans="1:31" ht="33.75" customHeight="1">
      <c r="A39" s="4669" t="s">
        <v>5737</v>
      </c>
      <c r="B39" s="4826">
        <v>46305</v>
      </c>
      <c r="C39" s="4827">
        <v>46307</v>
      </c>
      <c r="D39" s="4672">
        <f>IF(_xlfn.DAYS(C39,B39)=0,"1",_xlfn.DAYS(C39,B39))</f>
        <v>2</v>
      </c>
      <c r="E39" s="4827">
        <v>46319</v>
      </c>
      <c r="F39" s="4672">
        <f>IF(_xlfn.DAYS(E39,C39)=0,"1",_xlfn.DAYS(E39,C39))+1</f>
        <v>13</v>
      </c>
      <c r="G39" s="4827">
        <v>46321</v>
      </c>
      <c r="H39" s="4672">
        <f>IF(_xlfn.DAYS(G39,E39)=0,"1",_xlfn.DAYS(G39,E39))-1</f>
        <v>1</v>
      </c>
      <c r="I39" s="4674" t="s">
        <v>5738</v>
      </c>
      <c r="J39" s="4677">
        <v>100</v>
      </c>
      <c r="K39" s="4676">
        <v>90</v>
      </c>
      <c r="L39" s="4677">
        <v>9000</v>
      </c>
      <c r="M39" s="4677">
        <v>10000</v>
      </c>
      <c r="N39" s="4677">
        <v>8000</v>
      </c>
      <c r="O39" s="4678">
        <f>SUM(D39,F39,H39)*K39</f>
        <v>1440</v>
      </c>
      <c r="P39" s="4677">
        <f>(D39*L39+F39*M39+H39*N39)*K39</f>
        <v>14040000</v>
      </c>
      <c r="Q39" s="4682">
        <v>21</v>
      </c>
      <c r="R39" s="4680" t="s">
        <v>5739</v>
      </c>
      <c r="S39" s="4682">
        <v>21</v>
      </c>
      <c r="T39" s="4815">
        <v>1</v>
      </c>
      <c r="U39" s="4675">
        <v>154</v>
      </c>
      <c r="V39" s="4680" t="s">
        <v>4521</v>
      </c>
      <c r="W39" s="4682">
        <v>203</v>
      </c>
      <c r="X39" s="4675">
        <v>1</v>
      </c>
      <c r="Y39" s="4675" t="s">
        <v>5740</v>
      </c>
      <c r="Z39" s="4683" t="s">
        <v>5035</v>
      </c>
      <c r="AA39" s="4675" t="s">
        <v>2830</v>
      </c>
      <c r="AB39" s="4683" t="s">
        <v>5050</v>
      </c>
      <c r="AC39" s="4675" t="s">
        <v>5741</v>
      </c>
      <c r="AD39" s="4684"/>
      <c r="AE39" s="4685"/>
    </row>
    <row r="40" spans="1:31" ht="33.75" customHeight="1">
      <c r="A40" s="4828">
        <v>1</v>
      </c>
      <c r="B40" s="4829">
        <v>46305</v>
      </c>
      <c r="C40" s="4829">
        <v>46307</v>
      </c>
      <c r="D40" s="4672">
        <f t="shared" ref="D40:D54" si="5">IF(_xlfn.DAYS(C40,B40)=0,"1",_xlfn.DAYS(C40,B40))</f>
        <v>2</v>
      </c>
      <c r="E40" s="4829">
        <v>46319</v>
      </c>
      <c r="F40" s="4830">
        <v>15</v>
      </c>
      <c r="G40" s="4699">
        <v>46321</v>
      </c>
      <c r="H40" s="4672">
        <f t="shared" ref="H40:H54" si="6">IF(_xlfn.DAYS(G40,E40)=0,"1",_xlfn.DAYS(G40,E40))-1</f>
        <v>1</v>
      </c>
      <c r="I40" s="5091" t="s">
        <v>5127</v>
      </c>
      <c r="J40" s="4834">
        <v>67</v>
      </c>
      <c r="K40" s="5092">
        <v>58</v>
      </c>
      <c r="L40" s="5093">
        <v>37000</v>
      </c>
      <c r="M40" s="5093">
        <v>39400</v>
      </c>
      <c r="N40" s="5093">
        <v>37000</v>
      </c>
      <c r="O40" s="4678">
        <f>SUM(D40,F40,H40)*K40</f>
        <v>1044</v>
      </c>
      <c r="P40" s="4677">
        <f>(D40*L40+F40*M40+H40*N40)*K40</f>
        <v>40716000</v>
      </c>
      <c r="Q40" s="4836">
        <v>22.1</v>
      </c>
      <c r="R40" s="4837" t="s">
        <v>5742</v>
      </c>
      <c r="S40" s="4836">
        <v>22.1</v>
      </c>
      <c r="T40" s="4838">
        <v>1</v>
      </c>
      <c r="U40" s="4834">
        <v>160</v>
      </c>
      <c r="V40" s="4837" t="s">
        <v>4521</v>
      </c>
      <c r="W40" s="4836">
        <v>200</v>
      </c>
      <c r="X40" s="4834">
        <v>1</v>
      </c>
      <c r="Y40" s="4834" t="s">
        <v>5953</v>
      </c>
      <c r="Z40" s="4839" t="s">
        <v>5035</v>
      </c>
      <c r="AA40" s="4834" t="s">
        <v>2814</v>
      </c>
      <c r="AB40" s="4839" t="s">
        <v>5050</v>
      </c>
      <c r="AC40" s="4834" t="s">
        <v>2814</v>
      </c>
      <c r="AD40" s="4832"/>
      <c r="AE40" s="4685">
        <f>T40*K40</f>
        <v>58</v>
      </c>
    </row>
    <row r="41" spans="1:31" ht="33.75" customHeight="1">
      <c r="A41" s="4828">
        <v>2</v>
      </c>
      <c r="B41" s="4829">
        <v>46305</v>
      </c>
      <c r="C41" s="4829">
        <v>46307</v>
      </c>
      <c r="D41" s="4672">
        <f t="shared" si="5"/>
        <v>2</v>
      </c>
      <c r="E41" s="4829">
        <v>46319</v>
      </c>
      <c r="F41" s="4830">
        <v>15</v>
      </c>
      <c r="G41" s="4699">
        <v>46321</v>
      </c>
      <c r="H41" s="4672">
        <f t="shared" si="6"/>
        <v>1</v>
      </c>
      <c r="I41" s="5091" t="s">
        <v>5128</v>
      </c>
      <c r="J41" s="4834">
        <v>20</v>
      </c>
      <c r="K41" s="5092">
        <v>20</v>
      </c>
      <c r="L41" s="5093">
        <v>39000</v>
      </c>
      <c r="M41" s="5093">
        <v>41400</v>
      </c>
      <c r="N41" s="5093">
        <v>39000</v>
      </c>
      <c r="O41" s="4678">
        <f>SUM(D41,F41,H41)*K41</f>
        <v>360</v>
      </c>
      <c r="P41" s="4677">
        <f>(D41*L41+F41*M41+H41*N41)*K41</f>
        <v>14760000</v>
      </c>
      <c r="Q41" s="4836">
        <v>22.1</v>
      </c>
      <c r="R41" s="4837" t="s">
        <v>5742</v>
      </c>
      <c r="S41" s="4836">
        <v>22.1</v>
      </c>
      <c r="T41" s="4838">
        <v>1</v>
      </c>
      <c r="U41" s="4834">
        <v>160</v>
      </c>
      <c r="V41" s="4837" t="s">
        <v>4521</v>
      </c>
      <c r="W41" s="4836">
        <v>200</v>
      </c>
      <c r="X41" s="4834">
        <v>1</v>
      </c>
      <c r="Y41" s="4834" t="s">
        <v>5953</v>
      </c>
      <c r="Z41" s="4839" t="s">
        <v>5035</v>
      </c>
      <c r="AA41" s="4834" t="s">
        <v>2814</v>
      </c>
      <c r="AB41" s="4839" t="s">
        <v>5050</v>
      </c>
      <c r="AC41" s="4834" t="s">
        <v>2814</v>
      </c>
      <c r="AD41" s="4832"/>
      <c r="AE41" s="4685">
        <f>T41*K41</f>
        <v>20</v>
      </c>
    </row>
    <row r="42" spans="1:31" ht="33.75" customHeight="1">
      <c r="A42" s="4828">
        <v>3</v>
      </c>
      <c r="B42" s="4829">
        <v>46305</v>
      </c>
      <c r="C42" s="4829">
        <v>46307</v>
      </c>
      <c r="D42" s="4672">
        <f t="shared" si="5"/>
        <v>2</v>
      </c>
      <c r="E42" s="4829">
        <v>46319</v>
      </c>
      <c r="F42" s="4830">
        <v>15</v>
      </c>
      <c r="G42" s="4699">
        <v>46321</v>
      </c>
      <c r="H42" s="4672">
        <f t="shared" si="6"/>
        <v>1</v>
      </c>
      <c r="I42" s="5091" t="s">
        <v>5129</v>
      </c>
      <c r="J42" s="4834">
        <v>12</v>
      </c>
      <c r="K42" s="5092">
        <v>12</v>
      </c>
      <c r="L42" s="5093">
        <v>41000</v>
      </c>
      <c r="M42" s="5093">
        <v>43400</v>
      </c>
      <c r="N42" s="5093">
        <v>41000</v>
      </c>
      <c r="O42" s="4678">
        <f>SUM(D42,F42,H42)*K42</f>
        <v>216</v>
      </c>
      <c r="P42" s="4677">
        <f>(D42*L42+F42*M42+H42*N42)*K42</f>
        <v>9288000</v>
      </c>
      <c r="Q42" s="4836">
        <v>22.1</v>
      </c>
      <c r="R42" s="4837" t="s">
        <v>5742</v>
      </c>
      <c r="S42" s="4836">
        <v>22.1</v>
      </c>
      <c r="T42" s="4838">
        <v>1</v>
      </c>
      <c r="U42" s="4834">
        <v>160</v>
      </c>
      <c r="V42" s="4837" t="s">
        <v>4521</v>
      </c>
      <c r="W42" s="4836">
        <v>200</v>
      </c>
      <c r="X42" s="4834">
        <v>1</v>
      </c>
      <c r="Y42" s="4834" t="s">
        <v>5953</v>
      </c>
      <c r="Z42" s="4839" t="s">
        <v>5035</v>
      </c>
      <c r="AA42" s="4834" t="s">
        <v>2814</v>
      </c>
      <c r="AB42" s="4839" t="s">
        <v>5050</v>
      </c>
      <c r="AC42" s="4834" t="s">
        <v>2814</v>
      </c>
      <c r="AD42" s="4832"/>
      <c r="AE42" s="4685">
        <f>T42*K42</f>
        <v>12</v>
      </c>
    </row>
    <row r="43" spans="1:31" ht="33.75" customHeight="1">
      <c r="A43" s="4828">
        <v>4</v>
      </c>
      <c r="B43" s="4829">
        <v>46305</v>
      </c>
      <c r="C43" s="4829">
        <v>46307</v>
      </c>
      <c r="D43" s="4672">
        <f t="shared" si="5"/>
        <v>2</v>
      </c>
      <c r="E43" s="4829">
        <v>46319</v>
      </c>
      <c r="F43" s="4830">
        <v>15</v>
      </c>
      <c r="G43" s="4699">
        <v>46321</v>
      </c>
      <c r="H43" s="4672">
        <f t="shared" si="6"/>
        <v>1</v>
      </c>
      <c r="I43" s="5091" t="s">
        <v>5130</v>
      </c>
      <c r="J43" s="4834">
        <v>12</v>
      </c>
      <c r="K43" s="5092">
        <v>11</v>
      </c>
      <c r="L43" s="5093">
        <v>43000</v>
      </c>
      <c r="M43" s="5093">
        <v>45400</v>
      </c>
      <c r="N43" s="5093">
        <v>43000</v>
      </c>
      <c r="O43" s="4678">
        <f>SUM(D43,F43,H43)*K43</f>
        <v>198</v>
      </c>
      <c r="P43" s="4677">
        <f>(D43*L43+F43*M43+H43*N43)*K43</f>
        <v>8910000</v>
      </c>
      <c r="Q43" s="4836">
        <v>24.6</v>
      </c>
      <c r="R43" s="4837" t="s">
        <v>5742</v>
      </c>
      <c r="S43" s="4836">
        <v>24.6</v>
      </c>
      <c r="T43" s="4838">
        <v>2</v>
      </c>
      <c r="U43" s="4834">
        <v>120</v>
      </c>
      <c r="V43" s="4837" t="s">
        <v>4521</v>
      </c>
      <c r="W43" s="4836">
        <v>200</v>
      </c>
      <c r="X43" s="4834">
        <v>2</v>
      </c>
      <c r="Y43" s="4834" t="s">
        <v>5953</v>
      </c>
      <c r="Z43" s="4839" t="s">
        <v>5035</v>
      </c>
      <c r="AA43" s="4834" t="s">
        <v>2814</v>
      </c>
      <c r="AB43" s="4839" t="s">
        <v>5050</v>
      </c>
      <c r="AC43" s="4834" t="s">
        <v>2814</v>
      </c>
      <c r="AD43" s="4832" t="s">
        <v>5981</v>
      </c>
      <c r="AE43" s="4685">
        <f>T43*K43</f>
        <v>22</v>
      </c>
    </row>
    <row r="44" spans="1:31" ht="33.75" customHeight="1">
      <c r="A44" s="4828">
        <v>5</v>
      </c>
      <c r="B44" s="4829">
        <v>46305</v>
      </c>
      <c r="C44" s="4829">
        <v>46307</v>
      </c>
      <c r="D44" s="4672">
        <f t="shared" si="5"/>
        <v>2</v>
      </c>
      <c r="E44" s="4829">
        <v>46319</v>
      </c>
      <c r="F44" s="4830">
        <v>15</v>
      </c>
      <c r="G44" s="4699">
        <v>46321</v>
      </c>
      <c r="H44" s="4672">
        <f t="shared" si="6"/>
        <v>1</v>
      </c>
      <c r="I44" s="5091" t="s">
        <v>5131</v>
      </c>
      <c r="J44" s="4834">
        <v>21</v>
      </c>
      <c r="K44" s="5092">
        <v>13</v>
      </c>
      <c r="L44" s="5093">
        <v>45000</v>
      </c>
      <c r="M44" s="5093">
        <v>47400</v>
      </c>
      <c r="N44" s="5093">
        <v>45000</v>
      </c>
      <c r="O44" s="4678">
        <f>SUM(D44,F44,H44)*K44</f>
        <v>234</v>
      </c>
      <c r="P44" s="4677">
        <f>(D44*L44+F44*M44+H44*N44)*K44</f>
        <v>10998000</v>
      </c>
      <c r="Q44" s="4836">
        <v>29.4</v>
      </c>
      <c r="R44" s="4837" t="s">
        <v>5742</v>
      </c>
      <c r="S44" s="4836">
        <v>29.4</v>
      </c>
      <c r="T44" s="4838">
        <v>2</v>
      </c>
      <c r="U44" s="4834">
        <v>120</v>
      </c>
      <c r="V44" s="4837" t="s">
        <v>4521</v>
      </c>
      <c r="W44" s="4836">
        <v>200</v>
      </c>
      <c r="X44" s="4834">
        <v>2</v>
      </c>
      <c r="Y44" s="4834" t="s">
        <v>5953</v>
      </c>
      <c r="Z44" s="4839" t="s">
        <v>5035</v>
      </c>
      <c r="AA44" s="4834" t="s">
        <v>2814</v>
      </c>
      <c r="AB44" s="4839" t="s">
        <v>5050</v>
      </c>
      <c r="AC44" s="4834" t="s">
        <v>2814</v>
      </c>
      <c r="AD44" s="4832" t="s">
        <v>5981</v>
      </c>
      <c r="AE44" s="4685">
        <f>T44*K44</f>
        <v>26</v>
      </c>
    </row>
    <row r="45" spans="1:31" ht="33.75" customHeight="1">
      <c r="A45" s="4828">
        <v>6</v>
      </c>
      <c r="B45" s="4829">
        <v>46305</v>
      </c>
      <c r="C45" s="4829">
        <v>46307</v>
      </c>
      <c r="D45" s="4672">
        <f t="shared" si="5"/>
        <v>2</v>
      </c>
      <c r="E45" s="4829">
        <v>46319</v>
      </c>
      <c r="F45" s="4830">
        <v>15</v>
      </c>
      <c r="G45" s="4699">
        <v>46321</v>
      </c>
      <c r="H45" s="4672">
        <f t="shared" si="6"/>
        <v>1</v>
      </c>
      <c r="I45" s="5091" t="s">
        <v>5077</v>
      </c>
      <c r="J45" s="4834">
        <v>11</v>
      </c>
      <c r="K45" s="5092">
        <v>10</v>
      </c>
      <c r="L45" s="5093">
        <v>47000</v>
      </c>
      <c r="M45" s="5093">
        <v>49400</v>
      </c>
      <c r="N45" s="5093">
        <v>47000</v>
      </c>
      <c r="O45" s="4678">
        <f>SUM(D45,F45,H45)*K45</f>
        <v>180</v>
      </c>
      <c r="P45" s="4677">
        <f>(D45*L45+F45*M45+H45*N45)*K45</f>
        <v>8820000</v>
      </c>
      <c r="Q45" s="4836">
        <v>28.8</v>
      </c>
      <c r="R45" s="4837" t="s">
        <v>5742</v>
      </c>
      <c r="S45" s="4836">
        <v>28.8</v>
      </c>
      <c r="T45" s="4838">
        <v>2</v>
      </c>
      <c r="U45" s="4834">
        <v>120</v>
      </c>
      <c r="V45" s="4837" t="s">
        <v>4521</v>
      </c>
      <c r="W45" s="4836">
        <v>200</v>
      </c>
      <c r="X45" s="4834">
        <v>2</v>
      </c>
      <c r="Y45" s="4834" t="s">
        <v>5953</v>
      </c>
      <c r="Z45" s="4839" t="s">
        <v>5035</v>
      </c>
      <c r="AA45" s="4834" t="s">
        <v>2814</v>
      </c>
      <c r="AB45" s="4839" t="s">
        <v>5050</v>
      </c>
      <c r="AC45" s="4834" t="s">
        <v>2814</v>
      </c>
      <c r="AD45" s="4832" t="s">
        <v>5981</v>
      </c>
      <c r="AE45" s="4685">
        <f>T45*K45</f>
        <v>20</v>
      </c>
    </row>
    <row r="46" spans="1:31" ht="33.75" customHeight="1">
      <c r="A46" s="4828">
        <v>7</v>
      </c>
      <c r="B46" s="4829">
        <v>46305</v>
      </c>
      <c r="C46" s="4829">
        <v>46307</v>
      </c>
      <c r="D46" s="4672">
        <f t="shared" si="5"/>
        <v>2</v>
      </c>
      <c r="E46" s="4829">
        <v>46319</v>
      </c>
      <c r="F46" s="4830">
        <v>15</v>
      </c>
      <c r="G46" s="4699">
        <v>46321</v>
      </c>
      <c r="H46" s="4672">
        <f t="shared" si="6"/>
        <v>1</v>
      </c>
      <c r="I46" s="5091" t="s">
        <v>5075</v>
      </c>
      <c r="J46" s="4834">
        <v>56</v>
      </c>
      <c r="K46" s="5092">
        <v>56</v>
      </c>
      <c r="L46" s="5093">
        <v>48000</v>
      </c>
      <c r="M46" s="5093">
        <v>50400</v>
      </c>
      <c r="N46" s="5093">
        <v>48000</v>
      </c>
      <c r="O46" s="4678">
        <f>SUM(D46,F46,H46)*K46</f>
        <v>1008</v>
      </c>
      <c r="P46" s="4677">
        <f>(D46*L46+F46*M46+H46*N46)*K46</f>
        <v>50400000</v>
      </c>
      <c r="Q46" s="4836">
        <v>29.4</v>
      </c>
      <c r="R46" s="4837" t="s">
        <v>5742</v>
      </c>
      <c r="S46" s="4836">
        <v>29.4</v>
      </c>
      <c r="T46" s="4838">
        <v>2</v>
      </c>
      <c r="U46" s="4834">
        <v>120</v>
      </c>
      <c r="V46" s="4837" t="s">
        <v>4521</v>
      </c>
      <c r="W46" s="4836">
        <v>200</v>
      </c>
      <c r="X46" s="4834">
        <v>2</v>
      </c>
      <c r="Y46" s="4834" t="s">
        <v>5953</v>
      </c>
      <c r="Z46" s="4839" t="s">
        <v>5035</v>
      </c>
      <c r="AA46" s="4834" t="s">
        <v>2814</v>
      </c>
      <c r="AB46" s="4839" t="s">
        <v>5050</v>
      </c>
      <c r="AC46" s="4834" t="s">
        <v>2814</v>
      </c>
      <c r="AD46" s="4832" t="s">
        <v>5981</v>
      </c>
      <c r="AE46" s="4685">
        <f>T46*K46</f>
        <v>112</v>
      </c>
    </row>
    <row r="47" spans="1:31" ht="33.75" customHeight="1">
      <c r="A47" s="4828">
        <v>8</v>
      </c>
      <c r="B47" s="4829">
        <v>46305</v>
      </c>
      <c r="C47" s="4829">
        <v>46307</v>
      </c>
      <c r="D47" s="4672">
        <f t="shared" si="5"/>
        <v>2</v>
      </c>
      <c r="E47" s="4829">
        <v>46319</v>
      </c>
      <c r="F47" s="4830">
        <v>15</v>
      </c>
      <c r="G47" s="4699">
        <v>46321</v>
      </c>
      <c r="H47" s="4672">
        <f t="shared" si="6"/>
        <v>1</v>
      </c>
      <c r="I47" s="5091" t="s">
        <v>5132</v>
      </c>
      <c r="J47" s="4834">
        <v>16</v>
      </c>
      <c r="K47" s="5092">
        <v>16</v>
      </c>
      <c r="L47" s="5093">
        <v>53000</v>
      </c>
      <c r="M47" s="5093">
        <v>55400</v>
      </c>
      <c r="N47" s="5093">
        <v>53000</v>
      </c>
      <c r="O47" s="4678">
        <f>SUM(D47,F47,H47)*K47</f>
        <v>288</v>
      </c>
      <c r="P47" s="4677">
        <f>(D47*L47+F47*M47+H47*N47)*K47</f>
        <v>15840000</v>
      </c>
      <c r="Q47" s="4836">
        <v>29.4</v>
      </c>
      <c r="R47" s="4837" t="s">
        <v>5742</v>
      </c>
      <c r="S47" s="4836">
        <v>29.4</v>
      </c>
      <c r="T47" s="4838">
        <v>2</v>
      </c>
      <c r="U47" s="4834">
        <v>120</v>
      </c>
      <c r="V47" s="4837" t="s">
        <v>4521</v>
      </c>
      <c r="W47" s="4836">
        <v>200</v>
      </c>
      <c r="X47" s="4834">
        <v>2</v>
      </c>
      <c r="Y47" s="4834" t="s">
        <v>5953</v>
      </c>
      <c r="Z47" s="4839" t="s">
        <v>5035</v>
      </c>
      <c r="AA47" s="4834" t="s">
        <v>2814</v>
      </c>
      <c r="AB47" s="4839" t="s">
        <v>5050</v>
      </c>
      <c r="AC47" s="4834" t="s">
        <v>2814</v>
      </c>
      <c r="AD47" s="4832" t="s">
        <v>5981</v>
      </c>
      <c r="AE47" s="4685">
        <f>T47*K47</f>
        <v>32</v>
      </c>
    </row>
    <row r="48" spans="1:31" ht="33.75" customHeight="1">
      <c r="A48" s="4828">
        <v>9</v>
      </c>
      <c r="B48" s="4829">
        <v>46305</v>
      </c>
      <c r="C48" s="4829">
        <v>46307</v>
      </c>
      <c r="D48" s="4672">
        <f t="shared" si="5"/>
        <v>2</v>
      </c>
      <c r="E48" s="4829">
        <v>46319</v>
      </c>
      <c r="F48" s="4830">
        <v>15</v>
      </c>
      <c r="G48" s="4699">
        <v>46321</v>
      </c>
      <c r="H48" s="4672">
        <f t="shared" si="6"/>
        <v>1</v>
      </c>
      <c r="I48" s="5091" t="s">
        <v>5133</v>
      </c>
      <c r="J48" s="4834">
        <v>1</v>
      </c>
      <c r="K48" s="5092">
        <v>1</v>
      </c>
      <c r="L48" s="5093">
        <v>50000</v>
      </c>
      <c r="M48" s="5093">
        <v>52400</v>
      </c>
      <c r="N48" s="5093">
        <v>50000</v>
      </c>
      <c r="O48" s="4678">
        <f>SUM(D48,F48,H48)*K48</f>
        <v>18</v>
      </c>
      <c r="P48" s="4677">
        <f>(D48*L48+F48*M48+H48*N48)*K48</f>
        <v>936000</v>
      </c>
      <c r="Q48" s="4836">
        <v>32.9</v>
      </c>
      <c r="R48" s="4837" t="s">
        <v>5742</v>
      </c>
      <c r="S48" s="4836">
        <v>32.9</v>
      </c>
      <c r="T48" s="4838">
        <v>2</v>
      </c>
      <c r="U48" s="4834">
        <v>120</v>
      </c>
      <c r="V48" s="4837" t="s">
        <v>4521</v>
      </c>
      <c r="W48" s="4836">
        <v>200</v>
      </c>
      <c r="X48" s="4834">
        <v>2</v>
      </c>
      <c r="Y48" s="4834" t="s">
        <v>5953</v>
      </c>
      <c r="Z48" s="4839" t="s">
        <v>5035</v>
      </c>
      <c r="AA48" s="4834" t="s">
        <v>2814</v>
      </c>
      <c r="AB48" s="4839" t="s">
        <v>5050</v>
      </c>
      <c r="AC48" s="4834" t="s">
        <v>2814</v>
      </c>
      <c r="AD48" s="4832" t="s">
        <v>5981</v>
      </c>
      <c r="AE48" s="4685">
        <f>T48*K48</f>
        <v>2</v>
      </c>
    </row>
    <row r="49" spans="1:31" ht="33.75" customHeight="1">
      <c r="A49" s="4828">
        <v>10</v>
      </c>
      <c r="B49" s="4833"/>
      <c r="C49" s="4829"/>
      <c r="D49" s="4672" t="str">
        <f t="shared" si="5"/>
        <v>1</v>
      </c>
      <c r="E49" s="4829"/>
      <c r="F49" s="4672">
        <f t="shared" ref="F49:F54" si="7">IF(_xlfn.DAYS(E49,C49)=0,"1",_xlfn.DAYS(E49,C49))+1</f>
        <v>2</v>
      </c>
      <c r="G49" s="4699"/>
      <c r="H49" s="4672">
        <f t="shared" si="6"/>
        <v>0</v>
      </c>
      <c r="I49" s="4831"/>
      <c r="J49" s="4834"/>
      <c r="K49" s="4835"/>
      <c r="L49" s="4834"/>
      <c r="M49" s="4834"/>
      <c r="N49" s="4834"/>
      <c r="O49" s="4678">
        <f>SUM(D49,F49,H49)*K49</f>
        <v>0</v>
      </c>
      <c r="P49" s="4677">
        <f>(D49*L49+F49*M49+H49*N49)*K49</f>
        <v>0</v>
      </c>
      <c r="Q49" s="4836"/>
      <c r="R49" s="4837" t="s">
        <v>5742</v>
      </c>
      <c r="S49" s="4836"/>
      <c r="T49" s="4838"/>
      <c r="U49" s="4834"/>
      <c r="V49" s="4837" t="s">
        <v>4521</v>
      </c>
      <c r="W49" s="4836"/>
      <c r="X49" s="4834"/>
      <c r="Y49" s="4834"/>
      <c r="Z49" s="4839" t="s">
        <v>5035</v>
      </c>
      <c r="AA49" s="4834"/>
      <c r="AB49" s="4839" t="s">
        <v>5050</v>
      </c>
      <c r="AC49" s="4834"/>
      <c r="AD49" s="4832"/>
      <c r="AE49" s="4685">
        <f>T49*K49</f>
        <v>0</v>
      </c>
    </row>
    <row r="50" spans="1:31" ht="33.75" customHeight="1">
      <c r="A50" s="4828">
        <v>11</v>
      </c>
      <c r="B50" s="4833"/>
      <c r="C50" s="4829"/>
      <c r="D50" s="4672" t="str">
        <f t="shared" si="5"/>
        <v>1</v>
      </c>
      <c r="E50" s="4829"/>
      <c r="F50" s="4672">
        <f t="shared" si="7"/>
        <v>2</v>
      </c>
      <c r="G50" s="4699"/>
      <c r="H50" s="4672">
        <f t="shared" si="6"/>
        <v>0</v>
      </c>
      <c r="I50" s="4831"/>
      <c r="J50" s="4834"/>
      <c r="K50" s="4835"/>
      <c r="L50" s="4834"/>
      <c r="M50" s="4834"/>
      <c r="N50" s="4834"/>
      <c r="O50" s="4678">
        <f>SUM(D50,F50,H50)*K50</f>
        <v>0</v>
      </c>
      <c r="P50" s="4677">
        <f>(D50*L50+F50*M50+H50*N50)*K50</f>
        <v>0</v>
      </c>
      <c r="Q50" s="4836"/>
      <c r="R50" s="4837" t="s">
        <v>5742</v>
      </c>
      <c r="S50" s="4836"/>
      <c r="T50" s="4838"/>
      <c r="U50" s="4834"/>
      <c r="V50" s="4837" t="s">
        <v>4521</v>
      </c>
      <c r="W50" s="4836"/>
      <c r="X50" s="4834"/>
      <c r="Y50" s="4834"/>
      <c r="Z50" s="4839" t="s">
        <v>5035</v>
      </c>
      <c r="AA50" s="4834"/>
      <c r="AB50" s="4839" t="s">
        <v>5050</v>
      </c>
      <c r="AC50" s="4834"/>
      <c r="AD50" s="4832"/>
      <c r="AE50" s="4685">
        <f>T50*K50</f>
        <v>0</v>
      </c>
    </row>
    <row r="51" spans="1:31" ht="33.75" customHeight="1">
      <c r="A51" s="4828">
        <v>12</v>
      </c>
      <c r="B51" s="4833"/>
      <c r="C51" s="4829"/>
      <c r="D51" s="4672" t="str">
        <f t="shared" si="5"/>
        <v>1</v>
      </c>
      <c r="E51" s="4829"/>
      <c r="F51" s="4672">
        <f t="shared" si="7"/>
        <v>2</v>
      </c>
      <c r="G51" s="4699"/>
      <c r="H51" s="4672">
        <f t="shared" si="6"/>
        <v>0</v>
      </c>
      <c r="I51" s="4831"/>
      <c r="J51" s="4834"/>
      <c r="K51" s="4835"/>
      <c r="L51" s="4834"/>
      <c r="M51" s="4834"/>
      <c r="N51" s="4834"/>
      <c r="O51" s="4678">
        <f>SUM(D51,F51,H51)*K51</f>
        <v>0</v>
      </c>
      <c r="P51" s="4677">
        <f>(D51*L51+F51*M51+H51*N51)*K51</f>
        <v>0</v>
      </c>
      <c r="Q51" s="4836"/>
      <c r="R51" s="4837" t="s">
        <v>5742</v>
      </c>
      <c r="S51" s="4836"/>
      <c r="T51" s="4838"/>
      <c r="U51" s="4834"/>
      <c r="V51" s="4837" t="s">
        <v>4521</v>
      </c>
      <c r="W51" s="4836"/>
      <c r="X51" s="4834"/>
      <c r="Y51" s="4834"/>
      <c r="Z51" s="4839" t="s">
        <v>5035</v>
      </c>
      <c r="AA51" s="4834"/>
      <c r="AB51" s="4839" t="s">
        <v>5050</v>
      </c>
      <c r="AC51" s="4834"/>
      <c r="AD51" s="4832"/>
      <c r="AE51" s="4685">
        <f>T51*K51</f>
        <v>0</v>
      </c>
    </row>
    <row r="52" spans="1:31" ht="33.75" customHeight="1">
      <c r="A52" s="4828">
        <v>13</v>
      </c>
      <c r="B52" s="4833"/>
      <c r="C52" s="4829"/>
      <c r="D52" s="4672" t="str">
        <f t="shared" si="5"/>
        <v>1</v>
      </c>
      <c r="E52" s="4829"/>
      <c r="F52" s="4672">
        <f t="shared" si="7"/>
        <v>2</v>
      </c>
      <c r="G52" s="4699"/>
      <c r="H52" s="4672">
        <f t="shared" si="6"/>
        <v>0</v>
      </c>
      <c r="I52" s="4831"/>
      <c r="J52" s="4834"/>
      <c r="K52" s="4835"/>
      <c r="L52" s="4834"/>
      <c r="M52" s="4834"/>
      <c r="N52" s="4834"/>
      <c r="O52" s="4678">
        <f>SUM(D52,F52,H52)*K52</f>
        <v>0</v>
      </c>
      <c r="P52" s="4677">
        <f>(D52*L52+F52*M52+H52*N52)*K52</f>
        <v>0</v>
      </c>
      <c r="Q52" s="4836"/>
      <c r="R52" s="4837" t="s">
        <v>5742</v>
      </c>
      <c r="S52" s="4836"/>
      <c r="T52" s="4838"/>
      <c r="U52" s="4834"/>
      <c r="V52" s="4837" t="s">
        <v>4521</v>
      </c>
      <c r="W52" s="4836"/>
      <c r="X52" s="4834"/>
      <c r="Y52" s="4834"/>
      <c r="Z52" s="4839" t="s">
        <v>5035</v>
      </c>
      <c r="AA52" s="4834"/>
      <c r="AB52" s="4839" t="s">
        <v>5050</v>
      </c>
      <c r="AC52" s="4834"/>
      <c r="AD52" s="4832"/>
      <c r="AE52" s="4685">
        <f>T52*K52</f>
        <v>0</v>
      </c>
    </row>
    <row r="53" spans="1:31" ht="33.75" customHeight="1">
      <c r="A53" s="4828">
        <v>14</v>
      </c>
      <c r="B53" s="4833"/>
      <c r="C53" s="4829"/>
      <c r="D53" s="4672" t="str">
        <f t="shared" si="5"/>
        <v>1</v>
      </c>
      <c r="E53" s="4829"/>
      <c r="F53" s="4672">
        <f t="shared" si="7"/>
        <v>2</v>
      </c>
      <c r="G53" s="4699"/>
      <c r="H53" s="4672">
        <f t="shared" si="6"/>
        <v>0</v>
      </c>
      <c r="I53" s="4831"/>
      <c r="J53" s="4834"/>
      <c r="K53" s="4835"/>
      <c r="L53" s="4834"/>
      <c r="M53" s="4834"/>
      <c r="N53" s="4834"/>
      <c r="O53" s="4678">
        <f>SUM(D53,F53,H53)*K53</f>
        <v>0</v>
      </c>
      <c r="P53" s="4677">
        <f>(D53*L53+F53*M53+H53*N53)*K53</f>
        <v>0</v>
      </c>
      <c r="Q53" s="4836"/>
      <c r="R53" s="4837" t="s">
        <v>5742</v>
      </c>
      <c r="S53" s="4836"/>
      <c r="T53" s="4838"/>
      <c r="U53" s="4834"/>
      <c r="V53" s="4837" t="s">
        <v>4521</v>
      </c>
      <c r="W53" s="4836"/>
      <c r="X53" s="4834"/>
      <c r="Y53" s="4834"/>
      <c r="Z53" s="4839" t="s">
        <v>5035</v>
      </c>
      <c r="AA53" s="4834"/>
      <c r="AB53" s="4839" t="s">
        <v>5050</v>
      </c>
      <c r="AC53" s="4834"/>
      <c r="AD53" s="4832"/>
      <c r="AE53" s="4685">
        <f>T53*K53</f>
        <v>0</v>
      </c>
    </row>
    <row r="54" spans="1:31" ht="33.75" customHeight="1" thickBot="1">
      <c r="A54" s="4828">
        <v>15</v>
      </c>
      <c r="B54" s="4833"/>
      <c r="C54" s="4829"/>
      <c r="D54" s="4672" t="str">
        <f t="shared" si="5"/>
        <v>1</v>
      </c>
      <c r="E54" s="4829"/>
      <c r="F54" s="4672">
        <f t="shared" si="7"/>
        <v>2</v>
      </c>
      <c r="G54" s="4699"/>
      <c r="H54" s="4672">
        <f t="shared" si="6"/>
        <v>0</v>
      </c>
      <c r="I54" s="4831"/>
      <c r="J54" s="4834"/>
      <c r="K54" s="4835"/>
      <c r="L54" s="4834"/>
      <c r="M54" s="4834"/>
      <c r="N54" s="4834"/>
      <c r="O54" s="4678">
        <f>SUM(D54,F54,H54)*K54</f>
        <v>0</v>
      </c>
      <c r="P54" s="4677">
        <f>(D54*L54+F54*M54+H54*N54)*K54</f>
        <v>0</v>
      </c>
      <c r="Q54" s="4836"/>
      <c r="R54" s="4837" t="s">
        <v>5739</v>
      </c>
      <c r="S54" s="4836"/>
      <c r="T54" s="4838"/>
      <c r="U54" s="4834"/>
      <c r="V54" s="4837" t="s">
        <v>4521</v>
      </c>
      <c r="W54" s="4836"/>
      <c r="X54" s="4834"/>
      <c r="Y54" s="4834"/>
      <c r="Z54" s="4839" t="s">
        <v>5035</v>
      </c>
      <c r="AA54" s="4834"/>
      <c r="AB54" s="4839" t="s">
        <v>5050</v>
      </c>
      <c r="AC54" s="4834"/>
      <c r="AD54" s="4832"/>
      <c r="AE54" s="4685">
        <f>T54*K54</f>
        <v>0</v>
      </c>
    </row>
    <row r="55" spans="1:31" ht="33.75" customHeight="1" thickTop="1" thickBot="1">
      <c r="A55" s="4840"/>
      <c r="B55" s="4841"/>
      <c r="C55" s="4841"/>
      <c r="D55" s="4841"/>
      <c r="E55" s="4841"/>
      <c r="F55" s="4842"/>
      <c r="G55" s="4843"/>
      <c r="H55" s="4841"/>
      <c r="I55" s="4844" t="s">
        <v>2432</v>
      </c>
      <c r="J55" s="4845">
        <f>SUM(J40:J54)</f>
        <v>216</v>
      </c>
      <c r="K55" s="5094">
        <f>SUM(K40:K54)</f>
        <v>197</v>
      </c>
      <c r="L55" s="4843"/>
      <c r="M55" s="4843"/>
      <c r="N55" s="4843"/>
      <c r="O55" s="4845">
        <f>SUM(O40:O54)</f>
        <v>3546</v>
      </c>
      <c r="P55" s="4845">
        <f>SUM(P40:P54)</f>
        <v>160668000</v>
      </c>
      <c r="Q55" s="6901"/>
      <c r="R55" s="6901"/>
      <c r="S55" s="6901"/>
      <c r="T55" s="4847"/>
      <c r="U55" s="6902"/>
      <c r="V55" s="6901"/>
      <c r="W55" s="6901"/>
      <c r="X55" s="4847"/>
      <c r="Y55" s="4847"/>
      <c r="Z55" s="6903"/>
      <c r="AA55" s="6904"/>
      <c r="AB55" s="6903"/>
      <c r="AC55" s="6904"/>
      <c r="AD55" s="4848"/>
      <c r="AE55" s="4685">
        <f>SUM(AE40:AE54)</f>
        <v>304</v>
      </c>
    </row>
    <row r="56" spans="1:31" ht="32.15" customHeight="1" thickBot="1">
      <c r="C56" s="4710"/>
      <c r="D56" s="4710"/>
      <c r="E56" s="4710"/>
      <c r="F56" s="4710"/>
      <c r="G56" s="4710"/>
      <c r="H56" s="4710"/>
      <c r="I56" s="4711"/>
      <c r="J56" s="4712"/>
      <c r="K56" s="4710"/>
      <c r="L56" s="4713" t="s">
        <v>5748</v>
      </c>
      <c r="M56" s="4714" t="e">
        <f>SUM(#REF!)</f>
        <v>#REF!</v>
      </c>
      <c r="N56" s="4715"/>
      <c r="O56" s="4715"/>
      <c r="R56" s="4656"/>
      <c r="V56" s="4656"/>
      <c r="AE56" s="4849"/>
    </row>
    <row r="57" spans="1:31" ht="33.75" customHeight="1">
      <c r="A57" s="6845" t="s">
        <v>5749</v>
      </c>
      <c r="B57" s="6846"/>
      <c r="C57" s="4716">
        <f>O55</f>
        <v>3546</v>
      </c>
      <c r="D57" s="4717"/>
      <c r="F57" s="4718"/>
      <c r="G57" s="4850"/>
      <c r="H57" s="4719"/>
      <c r="I57" s="4720"/>
      <c r="L57" s="4721" t="s">
        <v>5750</v>
      </c>
      <c r="M57" s="4722" t="e">
        <f>M56</f>
        <v>#REF!</v>
      </c>
      <c r="O57" s="4656"/>
      <c r="AE57" s="4851"/>
    </row>
    <row r="58" spans="1:31" ht="33.75" customHeight="1">
      <c r="A58" s="6847" t="s">
        <v>5883</v>
      </c>
      <c r="B58" s="6848"/>
      <c r="C58" s="4723"/>
      <c r="D58" s="4717"/>
      <c r="F58" s="4724"/>
      <c r="G58" s="4852"/>
      <c r="H58" s="4719"/>
      <c r="I58" s="4720"/>
      <c r="O58" s="4656"/>
      <c r="AE58" s="4851"/>
    </row>
    <row r="59" spans="1:31" ht="33.75" customHeight="1" thickBot="1">
      <c r="A59" s="6913" t="s">
        <v>5751</v>
      </c>
      <c r="B59" s="6914"/>
      <c r="C59" s="7121">
        <f>P55</f>
        <v>160668000</v>
      </c>
      <c r="D59" s="4940"/>
      <c r="E59" s="4941"/>
      <c r="F59" s="4942"/>
      <c r="G59" s="4943"/>
      <c r="H59" s="4940"/>
      <c r="I59" s="4944"/>
      <c r="J59" s="4943"/>
      <c r="K59" s="4861"/>
      <c r="L59" s="4861"/>
      <c r="M59" s="4861"/>
      <c r="N59" s="4861"/>
      <c r="O59" s="4943"/>
      <c r="P59" s="4943"/>
      <c r="Q59" s="4941"/>
      <c r="R59" s="4941"/>
      <c r="S59" s="4941"/>
      <c r="T59" s="4941"/>
      <c r="U59" s="4941"/>
      <c r="V59" s="4941"/>
      <c r="W59" s="4941"/>
      <c r="X59" s="4941"/>
      <c r="Y59" s="4941"/>
      <c r="Z59" s="4941"/>
      <c r="AA59" s="4941"/>
      <c r="AB59" s="4941"/>
      <c r="AC59" s="4941"/>
      <c r="AD59" s="4941"/>
      <c r="AE59" s="4941"/>
    </row>
    <row r="60" spans="1:31" ht="33.75" customHeight="1">
      <c r="A60" s="4729"/>
      <c r="B60" s="4729"/>
      <c r="C60" s="4729"/>
      <c r="D60" s="4729"/>
      <c r="E60" s="4729"/>
      <c r="F60" s="4729"/>
      <c r="G60" s="4726"/>
      <c r="H60" s="4729"/>
      <c r="I60" s="4720"/>
      <c r="O60" s="4656"/>
    </row>
    <row r="61" spans="1:31" ht="33.75" customHeight="1">
      <c r="A61" s="4728" t="s">
        <v>5752</v>
      </c>
      <c r="B61" s="4728"/>
      <c r="C61" s="4729"/>
      <c r="D61" s="4729"/>
      <c r="E61" s="4729"/>
      <c r="F61" s="4729"/>
      <c r="G61" s="4726"/>
      <c r="H61" s="4729"/>
      <c r="I61" s="4720"/>
      <c r="O61" s="4656"/>
    </row>
    <row r="62" spans="1:31" ht="36" customHeight="1">
      <c r="A62" s="4728" t="s">
        <v>5753</v>
      </c>
      <c r="B62" s="4728"/>
    </row>
    <row r="63" spans="1:31" ht="36" customHeight="1">
      <c r="A63" s="5095" t="s">
        <v>5982</v>
      </c>
      <c r="B63" s="5095"/>
    </row>
    <row r="64" spans="1:31" ht="36" customHeight="1">
      <c r="A64" s="4728"/>
      <c r="B64" s="4728"/>
    </row>
    <row r="65" ht="36" customHeight="1"/>
    <row r="66" ht="36" customHeight="1"/>
    <row r="67" ht="36" customHeight="1"/>
    <row r="68" ht="36" customHeight="1"/>
    <row r="69" ht="36" customHeight="1"/>
    <row r="70" ht="36" customHeight="1"/>
    <row r="71" ht="36" customHeight="1"/>
    <row r="72" ht="10.4" customHeight="1"/>
  </sheetData>
  <mergeCells count="62">
    <mergeCell ref="A32:B32"/>
    <mergeCell ref="A2:B2"/>
    <mergeCell ref="C2:G2"/>
    <mergeCell ref="A37:A38"/>
    <mergeCell ref="B37:B38"/>
    <mergeCell ref="C37:C38"/>
    <mergeCell ref="D37:D38"/>
    <mergeCell ref="E37:E38"/>
    <mergeCell ref="F37:F38"/>
    <mergeCell ref="G37:G38"/>
    <mergeCell ref="A5:A6"/>
    <mergeCell ref="B5:B6"/>
    <mergeCell ref="C5:C6"/>
    <mergeCell ref="D5:D6"/>
    <mergeCell ref="E5:E6"/>
    <mergeCell ref="F5:F6"/>
    <mergeCell ref="G5:G6"/>
    <mergeCell ref="AD37:AD38"/>
    <mergeCell ref="AE37:AE38"/>
    <mergeCell ref="Q55:S55"/>
    <mergeCell ref="U55:W55"/>
    <mergeCell ref="Z55:AA55"/>
    <mergeCell ref="AB55:AC55"/>
    <mergeCell ref="Q37:S38"/>
    <mergeCell ref="T37:T38"/>
    <mergeCell ref="U37:W38"/>
    <mergeCell ref="X37:X38"/>
    <mergeCell ref="A57:B57"/>
    <mergeCell ref="A58:B58"/>
    <mergeCell ref="A59:B59"/>
    <mergeCell ref="Y37:Y38"/>
    <mergeCell ref="Z37:AC38"/>
    <mergeCell ref="N37:N38"/>
    <mergeCell ref="O37:P37"/>
    <mergeCell ref="H37:H38"/>
    <mergeCell ref="I37:I38"/>
    <mergeCell ref="J37:J38"/>
    <mergeCell ref="K37:K38"/>
    <mergeCell ref="L37:L38"/>
    <mergeCell ref="M37:M38"/>
    <mergeCell ref="T5:T6"/>
    <mergeCell ref="H5:H6"/>
    <mergeCell ref="I5:I6"/>
    <mergeCell ref="J5:J6"/>
    <mergeCell ref="K5:K6"/>
    <mergeCell ref="L5:L6"/>
    <mergeCell ref="A30:B30"/>
    <mergeCell ref="A31:B31"/>
    <mergeCell ref="AE5:AE6"/>
    <mergeCell ref="Q28:S28"/>
    <mergeCell ref="U28:W28"/>
    <mergeCell ref="Z28:AA28"/>
    <mergeCell ref="AB28:AC28"/>
    <mergeCell ref="U5:W6"/>
    <mergeCell ref="X5:X6"/>
    <mergeCell ref="Y5:Y6"/>
    <mergeCell ref="Z5:AC6"/>
    <mergeCell ref="AD5:AD6"/>
    <mergeCell ref="M5:M6"/>
    <mergeCell ref="N5:N6"/>
    <mergeCell ref="O5:P5"/>
    <mergeCell ref="Q5:S6"/>
  </mergeCells>
  <phoneticPr fontId="2"/>
  <conditionalFormatting sqref="B40:C54 E40:E54 H7:N17 P7:Q17 S7:U17 W7:Y17 AA7:AA17 AC7:AD17 AC27:AD27 AA27 W27:Y27 S27:U27 P27:Q27 AD18:AD26 B27:N27 H39:N54">
    <cfRule type="containsBlanks" dxfId="711" priority="22">
      <formula>LEN(TRIM(B7))=0</formula>
    </cfRule>
  </conditionalFormatting>
  <conditionalFormatting sqref="C2:D2">
    <cfRule type="containsBlanks" dxfId="710" priority="17">
      <formula>LEN(TRIM(C2))=0</formula>
    </cfRule>
  </conditionalFormatting>
  <conditionalFormatting sqref="D39:D54">
    <cfRule type="containsBlanks" dxfId="709" priority="21">
      <formula>LEN(TRIM(D39))=0</formula>
    </cfRule>
  </conditionalFormatting>
  <conditionalFormatting sqref="F39:F54">
    <cfRule type="containsBlanks" dxfId="708" priority="20">
      <formula>LEN(TRIM(F39))=0</formula>
    </cfRule>
  </conditionalFormatting>
  <conditionalFormatting sqref="G40:G54">
    <cfRule type="containsBlanks" dxfId="707" priority="18">
      <formula>LEN(TRIM(G40))=0</formula>
    </cfRule>
  </conditionalFormatting>
  <conditionalFormatting sqref="P39:Q54">
    <cfRule type="containsBlanks" dxfId="706" priority="19">
      <formula>LEN(TRIM(P39))=0</formula>
    </cfRule>
  </conditionalFormatting>
  <conditionalFormatting sqref="S39:U54">
    <cfRule type="containsBlanks" dxfId="705" priority="25">
      <formula>LEN(TRIM(S39))=0</formula>
    </cfRule>
  </conditionalFormatting>
  <conditionalFormatting sqref="W39:Y54">
    <cfRule type="containsBlanks" dxfId="704" priority="24">
      <formula>LEN(TRIM(W39))=0</formula>
    </cfRule>
  </conditionalFormatting>
  <conditionalFormatting sqref="AA39:AA54">
    <cfRule type="containsBlanks" dxfId="703" priority="23">
      <formula>LEN(TRIM(AA39))=0</formula>
    </cfRule>
  </conditionalFormatting>
  <conditionalFormatting sqref="AC39:AD54">
    <cfRule type="containsBlanks" dxfId="702" priority="16">
      <formula>LEN(TRIM(AC39))=0</formula>
    </cfRule>
  </conditionalFormatting>
  <conditionalFormatting sqref="D7:D17 F7:F17 B8:C17 E8:E17 G8:G17">
    <cfRule type="containsBlanks" dxfId="701" priority="14">
      <formula>LEN(TRIM(B7))=0</formula>
    </cfRule>
  </conditionalFormatting>
  <conditionalFormatting sqref="B18:C26 E18:E26">
    <cfRule type="containsBlanks" dxfId="700" priority="12">
      <formula>LEN(TRIM(B18))=0</formula>
    </cfRule>
  </conditionalFormatting>
  <conditionalFormatting sqref="D18:D26">
    <cfRule type="containsBlanks" dxfId="699" priority="11">
      <formula>LEN(TRIM(D18))=0</formula>
    </cfRule>
  </conditionalFormatting>
  <conditionalFormatting sqref="F18:F26">
    <cfRule type="containsBlanks" dxfId="698" priority="10">
      <formula>LEN(TRIM(F18))=0</formula>
    </cfRule>
  </conditionalFormatting>
  <conditionalFormatting sqref="G18:G26">
    <cfRule type="containsBlanks" dxfId="697" priority="9">
      <formula>LEN(TRIM(G18))=0</formula>
    </cfRule>
  </conditionalFormatting>
  <conditionalFormatting sqref="H18:M26">
    <cfRule type="containsBlanks" dxfId="696" priority="8">
      <formula>LEN(TRIM(H18))=0</formula>
    </cfRule>
  </conditionalFormatting>
  <conditionalFormatting sqref="N18:N26">
    <cfRule type="containsBlanks" dxfId="695" priority="2">
      <formula>LEN(TRIM(N18))=0</formula>
    </cfRule>
  </conditionalFormatting>
  <conditionalFormatting sqref="Q18:Q26">
    <cfRule type="containsBlanks" dxfId="694" priority="4">
      <formula>LEN(TRIM(Q18))=0</formula>
    </cfRule>
  </conditionalFormatting>
  <conditionalFormatting sqref="S18:U26">
    <cfRule type="containsBlanks" dxfId="693" priority="7">
      <formula>LEN(TRIM(S18))=0</formula>
    </cfRule>
  </conditionalFormatting>
  <conditionalFormatting sqref="W18:Y26">
    <cfRule type="containsBlanks" dxfId="692" priority="6">
      <formula>LEN(TRIM(W18))=0</formula>
    </cfRule>
  </conditionalFormatting>
  <conditionalFormatting sqref="AA18:AA26">
    <cfRule type="containsBlanks" dxfId="691" priority="5">
      <formula>LEN(TRIM(AA18))=0</formula>
    </cfRule>
  </conditionalFormatting>
  <conditionalFormatting sqref="AC18:AC26">
    <cfRule type="containsBlanks" dxfId="690" priority="3">
      <formula>LEN(TRIM(AC18))=0</formula>
    </cfRule>
  </conditionalFormatting>
  <conditionalFormatting sqref="P18:P26">
    <cfRule type="containsBlanks" dxfId="689" priority="1">
      <formula>LEN(TRIM(P18))=0</formula>
    </cfRule>
  </conditionalFormatting>
  <printOptions horizontalCentered="1"/>
  <pageMargins left="0.39370078740157483" right="0.39370078740157483" top="0.55118110236220474" bottom="0.55118110236220474" header="0.31496062992125984" footer="0.31496062992125984"/>
  <pageSetup paperSize="9" scale="26" orientation="landscape" r:id="rId1"/>
  <headerFooter>
    <oddHeader>&amp;R&amp;G</oddHeader>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F6FC-A3E4-46E9-B9B4-629044EC6F3E}">
  <sheetPr codeName="Sheet410">
    <tabColor rgb="FFFFFF66"/>
    <pageSetUpPr fitToPage="1"/>
  </sheetPr>
  <dimension ref="A1:AF66"/>
  <sheetViews>
    <sheetView topLeftCell="A40" zoomScale="55" zoomScaleNormal="55" zoomScaleSheetLayoutView="70" workbookViewId="0">
      <selection activeCell="I13" sqref="I13"/>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4.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5983</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2.15" customHeight="1">
      <c r="A4" s="4726"/>
      <c r="B4" s="4726"/>
      <c r="C4" s="4726"/>
      <c r="D4" s="4726"/>
      <c r="E4" s="4726"/>
      <c r="F4" s="4726"/>
      <c r="G4" s="4726"/>
      <c r="H4" s="4726"/>
      <c r="I4" s="4727"/>
    </row>
    <row r="5" spans="1:32" ht="33.75" customHeight="1" thickBot="1">
      <c r="A5" s="4665" t="s">
        <v>5711</v>
      </c>
      <c r="B5" s="4665"/>
      <c r="L5" s="5096"/>
      <c r="S5" s="4656"/>
      <c r="W5" s="4656"/>
      <c r="Z5" s="4656"/>
      <c r="AA5" s="4656"/>
      <c r="AB5" s="4656"/>
      <c r="AC5" s="4656"/>
      <c r="AD5" s="4656"/>
      <c r="AF5" s="4656" t="s">
        <v>5712</v>
      </c>
    </row>
    <row r="6" spans="1:32" s="4666" customFormat="1" ht="33.75" customHeight="1">
      <c r="A6" s="6877" t="s">
        <v>5713</v>
      </c>
      <c r="B6" s="6879" t="s">
        <v>5714</v>
      </c>
      <c r="C6" s="6855" t="s">
        <v>5715</v>
      </c>
      <c r="D6" s="6855" t="s">
        <v>5716</v>
      </c>
      <c r="E6" s="6855" t="s">
        <v>5717</v>
      </c>
      <c r="F6" s="6868" t="s">
        <v>5718</v>
      </c>
      <c r="G6" s="6855" t="s">
        <v>5719</v>
      </c>
      <c r="H6" s="6855" t="s">
        <v>5720</v>
      </c>
      <c r="I6" s="6857" t="s">
        <v>5721</v>
      </c>
      <c r="J6" s="6851" t="s">
        <v>5722</v>
      </c>
      <c r="K6" s="6851" t="s">
        <v>5723</v>
      </c>
      <c r="L6" s="6855" t="s">
        <v>5796</v>
      </c>
      <c r="M6" s="6855" t="s">
        <v>5797</v>
      </c>
      <c r="N6" s="4967" t="s">
        <v>5726</v>
      </c>
      <c r="O6" s="6855" t="s">
        <v>5798</v>
      </c>
      <c r="P6" s="6851" t="s">
        <v>3766</v>
      </c>
      <c r="Q6" s="6853"/>
      <c r="R6" s="6868" t="s">
        <v>5728</v>
      </c>
      <c r="S6" s="6869"/>
      <c r="T6" s="6870"/>
      <c r="U6" s="6855" t="s">
        <v>5729</v>
      </c>
      <c r="V6" s="6869" t="s">
        <v>5730</v>
      </c>
      <c r="W6" s="6869"/>
      <c r="X6" s="6869"/>
      <c r="Y6" s="6868" t="s">
        <v>5731</v>
      </c>
      <c r="Z6" s="6851" t="s">
        <v>5732</v>
      </c>
      <c r="AA6" s="6851" t="s">
        <v>5733</v>
      </c>
      <c r="AB6" s="6853"/>
      <c r="AC6" s="6853"/>
      <c r="AD6" s="6853"/>
      <c r="AE6" s="6860" t="s">
        <v>2792</v>
      </c>
      <c r="AF6" s="6862" t="s">
        <v>5734</v>
      </c>
    </row>
    <row r="7" spans="1:32" s="4666" customFormat="1" ht="20">
      <c r="A7" s="6878"/>
      <c r="B7" s="6880"/>
      <c r="C7" s="6858"/>
      <c r="D7" s="6856"/>
      <c r="E7" s="6856"/>
      <c r="F7" s="6881"/>
      <c r="G7" s="6856"/>
      <c r="H7" s="6856"/>
      <c r="I7" s="6858"/>
      <c r="J7" s="6859"/>
      <c r="K7" s="6859"/>
      <c r="L7" s="6856"/>
      <c r="M7" s="6856"/>
      <c r="N7" s="4968"/>
      <c r="O7" s="6856"/>
      <c r="P7" s="4667" t="s">
        <v>5735</v>
      </c>
      <c r="Q7" s="4668" t="s">
        <v>5736</v>
      </c>
      <c r="R7" s="6871"/>
      <c r="S7" s="6872"/>
      <c r="T7" s="6873"/>
      <c r="U7" s="6856"/>
      <c r="V7" s="6872"/>
      <c r="W7" s="6872"/>
      <c r="X7" s="6872"/>
      <c r="Y7" s="6852"/>
      <c r="Z7" s="6852"/>
      <c r="AA7" s="6852"/>
      <c r="AB7" s="6854"/>
      <c r="AC7" s="6854"/>
      <c r="AD7" s="6854"/>
      <c r="AE7" s="6861"/>
      <c r="AF7" s="6862"/>
    </row>
    <row r="8" spans="1:32" ht="33.75" customHeight="1">
      <c r="A8" s="4669" t="s">
        <v>5737</v>
      </c>
      <c r="B8" s="4826">
        <v>46305</v>
      </c>
      <c r="C8" s="4827">
        <v>46307</v>
      </c>
      <c r="D8" s="4672">
        <f>IF(_xlfn.DAYS(C8,B8)=0,"1",_xlfn.DAYS(C8,B8))</f>
        <v>2</v>
      </c>
      <c r="E8" s="4827">
        <v>46319</v>
      </c>
      <c r="F8" s="4672">
        <f>IF(_xlfn.DAYS(E8,C8)=0,"1",_xlfn.DAYS(E8,C8))+1</f>
        <v>13</v>
      </c>
      <c r="G8" s="4827">
        <v>46321</v>
      </c>
      <c r="H8" s="4672">
        <f>IF(_xlfn.DAYS(G8,E8)=0,"1",_xlfn.DAYS(G8,E8))-1</f>
        <v>1</v>
      </c>
      <c r="I8" s="4674" t="s">
        <v>5738</v>
      </c>
      <c r="J8" s="4677">
        <v>100</v>
      </c>
      <c r="K8" s="4676">
        <v>90</v>
      </c>
      <c r="L8" s="4677">
        <v>9000</v>
      </c>
      <c r="M8" s="4677">
        <v>10000</v>
      </c>
      <c r="N8" s="4969"/>
      <c r="O8" s="4677">
        <v>8000</v>
      </c>
      <c r="P8" s="4678">
        <f>SUM(D8,F8,H8)*K8</f>
        <v>1440</v>
      </c>
      <c r="Q8" s="4677">
        <f>(D8*L8+F8*M8+H8*O8)*K8</f>
        <v>14040000</v>
      </c>
      <c r="R8" s="4682">
        <v>21</v>
      </c>
      <c r="S8" s="4680" t="s">
        <v>5739</v>
      </c>
      <c r="T8" s="4682">
        <v>21</v>
      </c>
      <c r="U8" s="4815">
        <v>1</v>
      </c>
      <c r="V8" s="4675">
        <v>154</v>
      </c>
      <c r="W8" s="4680" t="s">
        <v>4521</v>
      </c>
      <c r="X8" s="4682">
        <v>203</v>
      </c>
      <c r="Y8" s="4675">
        <v>1</v>
      </c>
      <c r="Z8" s="4675" t="s">
        <v>5740</v>
      </c>
      <c r="AA8" s="4683" t="s">
        <v>5035</v>
      </c>
      <c r="AB8" s="4675" t="s">
        <v>2830</v>
      </c>
      <c r="AC8" s="4683" t="s">
        <v>5050</v>
      </c>
      <c r="AD8" s="4675" t="s">
        <v>5741</v>
      </c>
      <c r="AE8" s="4684"/>
      <c r="AF8" s="4685"/>
    </row>
    <row r="9" spans="1:32" ht="33.75" customHeight="1">
      <c r="A9" s="4828">
        <v>1</v>
      </c>
      <c r="B9" s="4687">
        <v>45925</v>
      </c>
      <c r="C9" s="4687">
        <v>45927</v>
      </c>
      <c r="D9" s="4672">
        <f t="shared" ref="D9:D12" si="0">IF(_xlfn.DAYS(C9,B9)=0,"1",_xlfn.DAYS(C9,B9))</f>
        <v>2</v>
      </c>
      <c r="E9" s="4687">
        <v>45933</v>
      </c>
      <c r="F9" s="4698">
        <f t="shared" ref="F9:F12" si="1">IF(_xlfn.DAYS(E9,C9)=0,"1",_xlfn.DAYS(E9,C9))+1</f>
        <v>7</v>
      </c>
      <c r="G9" s="4699">
        <v>45935</v>
      </c>
      <c r="H9" s="4672">
        <f t="shared" ref="H9:H12" si="2">IF(_xlfn.DAYS(G9,E9)=0,"1",_xlfn.DAYS(G9,E9))-1</f>
        <v>1</v>
      </c>
      <c r="I9" s="4819" t="s">
        <v>5046</v>
      </c>
      <c r="J9" s="4820">
        <v>117</v>
      </c>
      <c r="K9" s="4821">
        <v>114</v>
      </c>
      <c r="L9" s="4692">
        <v>21637</v>
      </c>
      <c r="M9" s="4692">
        <v>23000</v>
      </c>
      <c r="N9" s="4971">
        <f t="shared" ref="N9:N17" si="3">M9*K9</f>
        <v>2622000</v>
      </c>
      <c r="O9" s="4692">
        <v>21637</v>
      </c>
      <c r="P9" s="4678">
        <f t="shared" ref="P9:P12" si="4">SUM(D9,F9,H9)*K9</f>
        <v>1140</v>
      </c>
      <c r="Q9" s="4677">
        <f t="shared" ref="Q9:Q12" si="5">(D9*L9+F9*M9+H9*O9)*K9</f>
        <v>25753854</v>
      </c>
      <c r="R9" s="4834">
        <v>17</v>
      </c>
      <c r="S9" s="4837" t="s">
        <v>5742</v>
      </c>
      <c r="T9" s="4836">
        <v>17</v>
      </c>
      <c r="U9" s="4700">
        <v>1</v>
      </c>
      <c r="V9" s="4834">
        <v>140</v>
      </c>
      <c r="W9" s="4837" t="s">
        <v>4521</v>
      </c>
      <c r="X9" s="4836">
        <v>195</v>
      </c>
      <c r="Y9" s="4834">
        <v>1</v>
      </c>
      <c r="Z9" s="4834" t="s">
        <v>5740</v>
      </c>
      <c r="AA9" s="4683" t="s">
        <v>5035</v>
      </c>
      <c r="AB9" s="4834" t="s">
        <v>2826</v>
      </c>
      <c r="AC9" s="4839" t="s">
        <v>5050</v>
      </c>
      <c r="AD9" s="4834" t="s">
        <v>2814</v>
      </c>
      <c r="AE9" s="4832"/>
      <c r="AF9" s="4685">
        <f t="shared" ref="AF9:AF23" si="6">U9*K9</f>
        <v>114</v>
      </c>
    </row>
    <row r="10" spans="1:32" ht="33.75" customHeight="1">
      <c r="A10" s="4828">
        <v>2</v>
      </c>
      <c r="B10" s="4687">
        <v>45925</v>
      </c>
      <c r="C10" s="4687">
        <v>45927</v>
      </c>
      <c r="D10" s="4672">
        <f t="shared" si="0"/>
        <v>2</v>
      </c>
      <c r="E10" s="4687">
        <v>45933</v>
      </c>
      <c r="F10" s="4698">
        <f t="shared" si="1"/>
        <v>7</v>
      </c>
      <c r="G10" s="4699">
        <v>45935</v>
      </c>
      <c r="H10" s="4672">
        <f t="shared" si="2"/>
        <v>1</v>
      </c>
      <c r="I10" s="4819" t="s">
        <v>6940</v>
      </c>
      <c r="J10" s="4820">
        <v>9</v>
      </c>
      <c r="K10" s="4821">
        <v>9</v>
      </c>
      <c r="L10" s="4692">
        <v>39274</v>
      </c>
      <c r="M10" s="4692">
        <v>42000</v>
      </c>
      <c r="N10" s="4971">
        <f t="shared" si="3"/>
        <v>378000</v>
      </c>
      <c r="O10" s="4692">
        <v>39274</v>
      </c>
      <c r="P10" s="4678">
        <f t="shared" si="4"/>
        <v>90</v>
      </c>
      <c r="Q10" s="4677">
        <f t="shared" si="5"/>
        <v>3706398</v>
      </c>
      <c r="R10" s="4834">
        <v>20</v>
      </c>
      <c r="S10" s="4837" t="s">
        <v>5742</v>
      </c>
      <c r="T10" s="4836">
        <v>20</v>
      </c>
      <c r="U10" s="4700">
        <v>2</v>
      </c>
      <c r="V10" s="4834">
        <v>110</v>
      </c>
      <c r="W10" s="4837" t="s">
        <v>4521</v>
      </c>
      <c r="X10" s="4836">
        <v>195</v>
      </c>
      <c r="Y10" s="4834">
        <v>2</v>
      </c>
      <c r="Z10" s="4834" t="s">
        <v>5740</v>
      </c>
      <c r="AA10" s="4683" t="s">
        <v>5035</v>
      </c>
      <c r="AB10" s="4834" t="s">
        <v>2826</v>
      </c>
      <c r="AC10" s="4839" t="s">
        <v>5050</v>
      </c>
      <c r="AD10" s="4834" t="s">
        <v>2814</v>
      </c>
      <c r="AE10" s="4832"/>
      <c r="AF10" s="4685">
        <f t="shared" si="6"/>
        <v>18</v>
      </c>
    </row>
    <row r="11" spans="1:32" ht="33.75" customHeight="1">
      <c r="A11" s="4828">
        <v>3</v>
      </c>
      <c r="B11" s="4687">
        <v>45925</v>
      </c>
      <c r="C11" s="4687">
        <v>45927</v>
      </c>
      <c r="D11" s="4672">
        <f t="shared" si="0"/>
        <v>2</v>
      </c>
      <c r="E11" s="4687">
        <v>45933</v>
      </c>
      <c r="F11" s="4698">
        <f t="shared" si="1"/>
        <v>7</v>
      </c>
      <c r="G11" s="4699">
        <v>45935</v>
      </c>
      <c r="H11" s="4672">
        <f t="shared" si="2"/>
        <v>1</v>
      </c>
      <c r="I11" s="4819" t="s">
        <v>5039</v>
      </c>
      <c r="J11" s="4820">
        <v>8</v>
      </c>
      <c r="K11" s="4821">
        <v>8</v>
      </c>
      <c r="L11" s="4692">
        <v>37274</v>
      </c>
      <c r="M11" s="4692">
        <v>40000</v>
      </c>
      <c r="N11" s="4971">
        <f t="shared" si="3"/>
        <v>320000</v>
      </c>
      <c r="O11" s="4692">
        <v>37274</v>
      </c>
      <c r="P11" s="4678">
        <f t="shared" si="4"/>
        <v>80</v>
      </c>
      <c r="Q11" s="4677">
        <f t="shared" si="5"/>
        <v>3134576</v>
      </c>
      <c r="R11" s="4834">
        <v>27</v>
      </c>
      <c r="S11" s="4837" t="s">
        <v>5742</v>
      </c>
      <c r="T11" s="4836">
        <v>27</v>
      </c>
      <c r="U11" s="4700">
        <v>2</v>
      </c>
      <c r="V11" s="4834">
        <v>130</v>
      </c>
      <c r="W11" s="4837" t="s">
        <v>4521</v>
      </c>
      <c r="X11" s="4836">
        <v>195</v>
      </c>
      <c r="Y11" s="4834">
        <v>2</v>
      </c>
      <c r="Z11" s="4834" t="s">
        <v>5984</v>
      </c>
      <c r="AA11" s="4683" t="s">
        <v>5035</v>
      </c>
      <c r="AB11" s="4834" t="s">
        <v>2826</v>
      </c>
      <c r="AC11" s="4839" t="s">
        <v>5050</v>
      </c>
      <c r="AD11" s="4834" t="s">
        <v>2814</v>
      </c>
      <c r="AE11" s="4832"/>
      <c r="AF11" s="4685">
        <f t="shared" si="6"/>
        <v>16</v>
      </c>
    </row>
    <row r="12" spans="1:32" ht="33.75" customHeight="1">
      <c r="A12" s="4828">
        <v>4</v>
      </c>
      <c r="B12" s="4687">
        <v>45925</v>
      </c>
      <c r="C12" s="4687">
        <v>45927</v>
      </c>
      <c r="D12" s="4672">
        <f t="shared" si="0"/>
        <v>2</v>
      </c>
      <c r="E12" s="4687">
        <v>45933</v>
      </c>
      <c r="F12" s="4698">
        <f t="shared" si="1"/>
        <v>7</v>
      </c>
      <c r="G12" s="4699">
        <v>45935</v>
      </c>
      <c r="H12" s="4672">
        <f t="shared" si="2"/>
        <v>1</v>
      </c>
      <c r="I12" s="4831" t="s">
        <v>5141</v>
      </c>
      <c r="J12" s="4692">
        <v>1</v>
      </c>
      <c r="K12" s="4693">
        <v>1</v>
      </c>
      <c r="L12" s="4692">
        <v>39274</v>
      </c>
      <c r="M12" s="4692">
        <v>42000</v>
      </c>
      <c r="N12" s="4971">
        <f t="shared" si="3"/>
        <v>42000</v>
      </c>
      <c r="O12" s="4692">
        <v>39274</v>
      </c>
      <c r="P12" s="4678">
        <f t="shared" si="4"/>
        <v>10</v>
      </c>
      <c r="Q12" s="4677">
        <f t="shared" si="5"/>
        <v>411822</v>
      </c>
      <c r="R12" s="4834">
        <v>28</v>
      </c>
      <c r="S12" s="4837" t="s">
        <v>5742</v>
      </c>
      <c r="T12" s="4836">
        <v>28</v>
      </c>
      <c r="U12" s="4700">
        <v>2</v>
      </c>
      <c r="V12" s="4834">
        <v>130</v>
      </c>
      <c r="W12" s="4837" t="s">
        <v>4521</v>
      </c>
      <c r="X12" s="4836">
        <v>195</v>
      </c>
      <c r="Y12" s="4834">
        <v>2</v>
      </c>
      <c r="Z12" s="4834" t="s">
        <v>5740</v>
      </c>
      <c r="AA12" s="4683" t="s">
        <v>5035</v>
      </c>
      <c r="AB12" s="4834" t="s">
        <v>2826</v>
      </c>
      <c r="AC12" s="4839" t="s">
        <v>5050</v>
      </c>
      <c r="AD12" s="4834" t="s">
        <v>2814</v>
      </c>
      <c r="AE12" s="4832"/>
      <c r="AF12" s="4685">
        <f t="shared" si="6"/>
        <v>2</v>
      </c>
    </row>
    <row r="13" spans="1:32" ht="33.75" customHeight="1">
      <c r="A13" s="4828">
        <v>5</v>
      </c>
      <c r="B13" s="4833"/>
      <c r="C13" s="4829"/>
      <c r="D13" s="4672" t="str">
        <f t="shared" ref="D13:D23" si="7">IF(_xlfn.DAYS(C13,B13)=0,"1",_xlfn.DAYS(C13,B13))</f>
        <v>1</v>
      </c>
      <c r="E13" s="4829"/>
      <c r="F13" s="4672">
        <f>IF(_xlfn.DAYS(E13,C13)=0,"1",_xlfn.DAYS(E13,C13))+1</f>
        <v>2</v>
      </c>
      <c r="G13" s="4699"/>
      <c r="H13" s="4672">
        <f t="shared" ref="H13:H23" si="8">IF(_xlfn.DAYS(G13,E13)=0,"1",_xlfn.DAYS(G13,E13))-1</f>
        <v>0</v>
      </c>
      <c r="I13" s="4831"/>
      <c r="J13" s="4834"/>
      <c r="K13" s="4835"/>
      <c r="L13" s="4834"/>
      <c r="M13" s="4834"/>
      <c r="N13" s="4971">
        <f t="shared" si="3"/>
        <v>0</v>
      </c>
      <c r="O13" s="4834"/>
      <c r="P13" s="4678">
        <f t="shared" ref="P13:P22" si="9">SUM(D13,F13,H13)*K13</f>
        <v>0</v>
      </c>
      <c r="Q13" s="4677">
        <f t="shared" ref="Q13:Q23" si="10">(D13*L13+F13*M13+H13*O13)*K13</f>
        <v>0</v>
      </c>
      <c r="R13" s="4836"/>
      <c r="S13" s="4837" t="s">
        <v>5742</v>
      </c>
      <c r="T13" s="4836"/>
      <c r="U13" s="4838"/>
      <c r="V13" s="4834"/>
      <c r="W13" s="4837" t="s">
        <v>4521</v>
      </c>
      <c r="X13" s="4836"/>
      <c r="Y13" s="4834"/>
      <c r="Z13" s="4834"/>
      <c r="AA13" s="4839" t="s">
        <v>5035</v>
      </c>
      <c r="AB13" s="4834"/>
      <c r="AC13" s="4839" t="s">
        <v>5050</v>
      </c>
      <c r="AD13" s="4834"/>
      <c r="AE13" s="4832"/>
      <c r="AF13" s="4685">
        <f t="shared" si="6"/>
        <v>0</v>
      </c>
    </row>
    <row r="14" spans="1:32" ht="33.75" customHeight="1">
      <c r="A14" s="4828">
        <v>6</v>
      </c>
      <c r="B14" s="4833"/>
      <c r="C14" s="4829"/>
      <c r="D14" s="4672" t="str">
        <f t="shared" si="7"/>
        <v>1</v>
      </c>
      <c r="E14" s="4829"/>
      <c r="F14" s="4672">
        <f>IF(_xlfn.DAYS(E14,C14)=0,"1",_xlfn.DAYS(E14,C14))+1</f>
        <v>2</v>
      </c>
      <c r="G14" s="4699"/>
      <c r="H14" s="4672">
        <f t="shared" si="8"/>
        <v>0</v>
      </c>
      <c r="I14" s="4831"/>
      <c r="J14" s="4834"/>
      <c r="K14" s="4835"/>
      <c r="L14" s="4834"/>
      <c r="M14" s="4834"/>
      <c r="N14" s="4971">
        <f t="shared" si="3"/>
        <v>0</v>
      </c>
      <c r="O14" s="4834"/>
      <c r="P14" s="4678">
        <f t="shared" si="9"/>
        <v>0</v>
      </c>
      <c r="Q14" s="4677">
        <f t="shared" si="10"/>
        <v>0</v>
      </c>
      <c r="R14" s="4836"/>
      <c r="S14" s="4837" t="s">
        <v>5742</v>
      </c>
      <c r="T14" s="4836"/>
      <c r="U14" s="4838"/>
      <c r="V14" s="4834"/>
      <c r="W14" s="4837" t="s">
        <v>4521</v>
      </c>
      <c r="X14" s="4836"/>
      <c r="Y14" s="4834"/>
      <c r="Z14" s="4834"/>
      <c r="AA14" s="4839" t="s">
        <v>5035</v>
      </c>
      <c r="AB14" s="4834"/>
      <c r="AC14" s="4839" t="s">
        <v>5050</v>
      </c>
      <c r="AD14" s="4834"/>
      <c r="AE14" s="4832"/>
      <c r="AF14" s="4685">
        <f t="shared" si="6"/>
        <v>0</v>
      </c>
    </row>
    <row r="15" spans="1:32" ht="33.75" customHeight="1">
      <c r="A15" s="4828">
        <v>7</v>
      </c>
      <c r="B15" s="4833"/>
      <c r="C15" s="4829"/>
      <c r="D15" s="4672" t="str">
        <f t="shared" si="7"/>
        <v>1</v>
      </c>
      <c r="E15" s="4829"/>
      <c r="F15" s="4672">
        <f t="shared" ref="F15:F23" si="11">IF(_xlfn.DAYS(E15,C15)=0,"1",_xlfn.DAYS(E15,C15))+1</f>
        <v>2</v>
      </c>
      <c r="G15" s="4699"/>
      <c r="H15" s="4672">
        <f t="shared" si="8"/>
        <v>0</v>
      </c>
      <c r="I15" s="4831"/>
      <c r="J15" s="4834"/>
      <c r="K15" s="4835"/>
      <c r="L15" s="4834"/>
      <c r="M15" s="4834"/>
      <c r="N15" s="4971">
        <f t="shared" si="3"/>
        <v>0</v>
      </c>
      <c r="O15" s="4834"/>
      <c r="P15" s="4678">
        <f t="shared" si="9"/>
        <v>0</v>
      </c>
      <c r="Q15" s="4677">
        <f t="shared" si="10"/>
        <v>0</v>
      </c>
      <c r="R15" s="4836"/>
      <c r="S15" s="4837" t="s">
        <v>5742</v>
      </c>
      <c r="T15" s="4836"/>
      <c r="U15" s="4838"/>
      <c r="V15" s="4834"/>
      <c r="W15" s="4837" t="s">
        <v>4521</v>
      </c>
      <c r="X15" s="4836"/>
      <c r="Y15" s="4834"/>
      <c r="Z15" s="4834"/>
      <c r="AA15" s="4839" t="s">
        <v>5035</v>
      </c>
      <c r="AB15" s="4834"/>
      <c r="AC15" s="4839" t="s">
        <v>5050</v>
      </c>
      <c r="AD15" s="4834"/>
      <c r="AE15" s="4832"/>
      <c r="AF15" s="4685">
        <f t="shared" si="6"/>
        <v>0</v>
      </c>
    </row>
    <row r="16" spans="1:32" ht="33.75" customHeight="1">
      <c r="A16" s="4828">
        <v>8</v>
      </c>
      <c r="B16" s="4833"/>
      <c r="C16" s="4829"/>
      <c r="D16" s="4672" t="str">
        <f t="shared" si="7"/>
        <v>1</v>
      </c>
      <c r="E16" s="4829"/>
      <c r="F16" s="4672">
        <f t="shared" si="11"/>
        <v>2</v>
      </c>
      <c r="G16" s="4699"/>
      <c r="H16" s="4672">
        <f t="shared" si="8"/>
        <v>0</v>
      </c>
      <c r="I16" s="4831"/>
      <c r="J16" s="4834"/>
      <c r="K16" s="4835"/>
      <c r="L16" s="4834"/>
      <c r="M16" s="4834"/>
      <c r="N16" s="4971">
        <f t="shared" si="3"/>
        <v>0</v>
      </c>
      <c r="O16" s="4834"/>
      <c r="P16" s="4678">
        <f t="shared" si="9"/>
        <v>0</v>
      </c>
      <c r="Q16" s="4677">
        <f t="shared" si="10"/>
        <v>0</v>
      </c>
      <c r="R16" s="4836"/>
      <c r="S16" s="4837" t="s">
        <v>5742</v>
      </c>
      <c r="T16" s="4836"/>
      <c r="U16" s="4838"/>
      <c r="V16" s="4834"/>
      <c r="W16" s="4837" t="s">
        <v>4521</v>
      </c>
      <c r="X16" s="4836"/>
      <c r="Y16" s="4834"/>
      <c r="Z16" s="4834"/>
      <c r="AA16" s="4839" t="s">
        <v>5035</v>
      </c>
      <c r="AB16" s="4834"/>
      <c r="AC16" s="4839" t="s">
        <v>5050</v>
      </c>
      <c r="AD16" s="4834"/>
      <c r="AE16" s="4832"/>
      <c r="AF16" s="4685">
        <f t="shared" si="6"/>
        <v>0</v>
      </c>
    </row>
    <row r="17" spans="1:32" ht="33.75" customHeight="1">
      <c r="A17" s="4828">
        <v>9</v>
      </c>
      <c r="B17" s="4833"/>
      <c r="C17" s="4829"/>
      <c r="D17" s="4672" t="str">
        <f t="shared" si="7"/>
        <v>1</v>
      </c>
      <c r="E17" s="4829"/>
      <c r="F17" s="4672">
        <f t="shared" si="11"/>
        <v>2</v>
      </c>
      <c r="G17" s="4699"/>
      <c r="H17" s="4672">
        <f t="shared" si="8"/>
        <v>0</v>
      </c>
      <c r="I17" s="4831"/>
      <c r="J17" s="4834"/>
      <c r="K17" s="4835"/>
      <c r="L17" s="4834"/>
      <c r="M17" s="4834"/>
      <c r="N17" s="4971">
        <f t="shared" si="3"/>
        <v>0</v>
      </c>
      <c r="O17" s="4834"/>
      <c r="P17" s="4678">
        <f t="shared" si="9"/>
        <v>0</v>
      </c>
      <c r="Q17" s="4677">
        <f t="shared" si="10"/>
        <v>0</v>
      </c>
      <c r="R17" s="4836"/>
      <c r="S17" s="4837" t="s">
        <v>5742</v>
      </c>
      <c r="T17" s="4836"/>
      <c r="U17" s="4838"/>
      <c r="V17" s="4834"/>
      <c r="W17" s="4837" t="s">
        <v>4521</v>
      </c>
      <c r="X17" s="4836"/>
      <c r="Y17" s="4834"/>
      <c r="Z17" s="4834"/>
      <c r="AA17" s="4839" t="s">
        <v>5035</v>
      </c>
      <c r="AB17" s="4834"/>
      <c r="AC17" s="4839" t="s">
        <v>5050</v>
      </c>
      <c r="AD17" s="4834"/>
      <c r="AE17" s="4832"/>
      <c r="AF17" s="4685">
        <f t="shared" si="6"/>
        <v>0</v>
      </c>
    </row>
    <row r="18" spans="1:32" ht="33.75" customHeight="1">
      <c r="A18" s="4828">
        <v>10</v>
      </c>
      <c r="B18" s="4833"/>
      <c r="C18" s="4829"/>
      <c r="D18" s="4672" t="str">
        <f t="shared" si="7"/>
        <v>1</v>
      </c>
      <c r="E18" s="4829"/>
      <c r="F18" s="4672">
        <f t="shared" si="11"/>
        <v>2</v>
      </c>
      <c r="G18" s="4699"/>
      <c r="H18" s="4672">
        <f t="shared" si="8"/>
        <v>0</v>
      </c>
      <c r="I18" s="4831"/>
      <c r="J18" s="4834"/>
      <c r="K18" s="4835"/>
      <c r="L18" s="4834"/>
      <c r="M18" s="4834"/>
      <c r="N18" s="4834"/>
      <c r="O18" s="4834"/>
      <c r="P18" s="4678">
        <f t="shared" si="9"/>
        <v>0</v>
      </c>
      <c r="Q18" s="4677">
        <f t="shared" si="10"/>
        <v>0</v>
      </c>
      <c r="R18" s="4836"/>
      <c r="S18" s="4837" t="s">
        <v>5742</v>
      </c>
      <c r="T18" s="4836"/>
      <c r="U18" s="4838"/>
      <c r="V18" s="4834"/>
      <c r="W18" s="4837" t="s">
        <v>4521</v>
      </c>
      <c r="X18" s="4836"/>
      <c r="Y18" s="4834"/>
      <c r="Z18" s="4834"/>
      <c r="AA18" s="4839" t="s">
        <v>5035</v>
      </c>
      <c r="AB18" s="4834"/>
      <c r="AC18" s="4839" t="s">
        <v>5050</v>
      </c>
      <c r="AD18" s="4834"/>
      <c r="AE18" s="4832"/>
      <c r="AF18" s="4685">
        <f t="shared" si="6"/>
        <v>0</v>
      </c>
    </row>
    <row r="19" spans="1:32" ht="33.75" customHeight="1">
      <c r="A19" s="4828">
        <v>11</v>
      </c>
      <c r="B19" s="4833"/>
      <c r="C19" s="4829"/>
      <c r="D19" s="4672" t="str">
        <f t="shared" si="7"/>
        <v>1</v>
      </c>
      <c r="E19" s="4829"/>
      <c r="F19" s="4672">
        <f t="shared" si="11"/>
        <v>2</v>
      </c>
      <c r="G19" s="4699"/>
      <c r="H19" s="4672">
        <f t="shared" si="8"/>
        <v>0</v>
      </c>
      <c r="I19" s="4831"/>
      <c r="J19" s="4834"/>
      <c r="K19" s="4835"/>
      <c r="L19" s="4834"/>
      <c r="M19" s="4834"/>
      <c r="N19" s="4834"/>
      <c r="O19" s="4834"/>
      <c r="P19" s="4678">
        <f t="shared" si="9"/>
        <v>0</v>
      </c>
      <c r="Q19" s="4677">
        <f t="shared" si="10"/>
        <v>0</v>
      </c>
      <c r="R19" s="4836"/>
      <c r="S19" s="4837" t="s">
        <v>5742</v>
      </c>
      <c r="T19" s="4836"/>
      <c r="U19" s="4838"/>
      <c r="V19" s="4834"/>
      <c r="W19" s="4837" t="s">
        <v>4521</v>
      </c>
      <c r="X19" s="4836"/>
      <c r="Y19" s="4834"/>
      <c r="Z19" s="4834"/>
      <c r="AA19" s="4839" t="s">
        <v>5035</v>
      </c>
      <c r="AB19" s="4834"/>
      <c r="AC19" s="4839" t="s">
        <v>5050</v>
      </c>
      <c r="AD19" s="4834"/>
      <c r="AE19" s="4832"/>
      <c r="AF19" s="4685">
        <f t="shared" si="6"/>
        <v>0</v>
      </c>
    </row>
    <row r="20" spans="1:32" ht="33.75" customHeight="1">
      <c r="A20" s="4828">
        <v>12</v>
      </c>
      <c r="B20" s="4833"/>
      <c r="C20" s="4829"/>
      <c r="D20" s="4672" t="str">
        <f t="shared" si="7"/>
        <v>1</v>
      </c>
      <c r="E20" s="4829"/>
      <c r="F20" s="4672">
        <f t="shared" si="11"/>
        <v>2</v>
      </c>
      <c r="G20" s="4699"/>
      <c r="H20" s="4672">
        <f t="shared" si="8"/>
        <v>0</v>
      </c>
      <c r="I20" s="4831"/>
      <c r="J20" s="4834"/>
      <c r="K20" s="4835"/>
      <c r="L20" s="4834"/>
      <c r="M20" s="4834"/>
      <c r="N20" s="4834"/>
      <c r="O20" s="4834"/>
      <c r="P20" s="4678">
        <f t="shared" si="9"/>
        <v>0</v>
      </c>
      <c r="Q20" s="4677">
        <f t="shared" si="10"/>
        <v>0</v>
      </c>
      <c r="R20" s="4836"/>
      <c r="S20" s="4837" t="s">
        <v>5742</v>
      </c>
      <c r="T20" s="4836"/>
      <c r="U20" s="4838"/>
      <c r="V20" s="4834"/>
      <c r="W20" s="4837" t="s">
        <v>4521</v>
      </c>
      <c r="X20" s="4836"/>
      <c r="Y20" s="4834"/>
      <c r="Z20" s="4834"/>
      <c r="AA20" s="4839" t="s">
        <v>5035</v>
      </c>
      <c r="AB20" s="4834"/>
      <c r="AC20" s="4839" t="s">
        <v>5050</v>
      </c>
      <c r="AD20" s="4834"/>
      <c r="AE20" s="4832"/>
      <c r="AF20" s="4685">
        <f t="shared" si="6"/>
        <v>0</v>
      </c>
    </row>
    <row r="21" spans="1:32" ht="33.75" customHeight="1">
      <c r="A21" s="4828">
        <v>13</v>
      </c>
      <c r="B21" s="4833"/>
      <c r="C21" s="4829"/>
      <c r="D21" s="4672" t="str">
        <f t="shared" si="7"/>
        <v>1</v>
      </c>
      <c r="E21" s="4829"/>
      <c r="F21" s="4672">
        <f t="shared" si="11"/>
        <v>2</v>
      </c>
      <c r="G21" s="4699"/>
      <c r="H21" s="4672">
        <f t="shared" si="8"/>
        <v>0</v>
      </c>
      <c r="I21" s="4831"/>
      <c r="J21" s="4834"/>
      <c r="K21" s="4835"/>
      <c r="L21" s="4834"/>
      <c r="M21" s="4834"/>
      <c r="N21" s="4834"/>
      <c r="O21" s="4834"/>
      <c r="P21" s="4678">
        <f t="shared" si="9"/>
        <v>0</v>
      </c>
      <c r="Q21" s="4677">
        <f t="shared" si="10"/>
        <v>0</v>
      </c>
      <c r="R21" s="4836"/>
      <c r="S21" s="4837" t="s">
        <v>5742</v>
      </c>
      <c r="T21" s="4836"/>
      <c r="U21" s="4838"/>
      <c r="V21" s="4834"/>
      <c r="W21" s="4837" t="s">
        <v>4521</v>
      </c>
      <c r="X21" s="4836"/>
      <c r="Y21" s="4834"/>
      <c r="Z21" s="4834"/>
      <c r="AA21" s="4839" t="s">
        <v>5035</v>
      </c>
      <c r="AB21" s="4834"/>
      <c r="AC21" s="4839" t="s">
        <v>5050</v>
      </c>
      <c r="AD21" s="4834"/>
      <c r="AE21" s="4832"/>
      <c r="AF21" s="4685">
        <f t="shared" si="6"/>
        <v>0</v>
      </c>
    </row>
    <row r="22" spans="1:32" ht="33.75" customHeight="1">
      <c r="A22" s="4828">
        <v>14</v>
      </c>
      <c r="B22" s="4833"/>
      <c r="C22" s="4829"/>
      <c r="D22" s="4672" t="str">
        <f t="shared" si="7"/>
        <v>1</v>
      </c>
      <c r="E22" s="4829"/>
      <c r="F22" s="4672">
        <f t="shared" si="11"/>
        <v>2</v>
      </c>
      <c r="G22" s="4699"/>
      <c r="H22" s="4672">
        <f t="shared" si="8"/>
        <v>0</v>
      </c>
      <c r="I22" s="4831"/>
      <c r="J22" s="4834"/>
      <c r="K22" s="4835"/>
      <c r="L22" s="4834"/>
      <c r="M22" s="4834"/>
      <c r="N22" s="4834"/>
      <c r="O22" s="4834"/>
      <c r="P22" s="4678">
        <f t="shared" si="9"/>
        <v>0</v>
      </c>
      <c r="Q22" s="4677">
        <f t="shared" si="10"/>
        <v>0</v>
      </c>
      <c r="R22" s="4836"/>
      <c r="S22" s="4837" t="s">
        <v>5742</v>
      </c>
      <c r="T22" s="4836"/>
      <c r="U22" s="4838"/>
      <c r="V22" s="4834"/>
      <c r="W22" s="4837" t="s">
        <v>4521</v>
      </c>
      <c r="X22" s="4836"/>
      <c r="Y22" s="4834"/>
      <c r="Z22" s="4834"/>
      <c r="AA22" s="4839" t="s">
        <v>5035</v>
      </c>
      <c r="AB22" s="4834"/>
      <c r="AC22" s="4839" t="s">
        <v>5050</v>
      </c>
      <c r="AD22" s="4834"/>
      <c r="AE22" s="4832"/>
      <c r="AF22" s="4685">
        <f t="shared" si="6"/>
        <v>0</v>
      </c>
    </row>
    <row r="23" spans="1:32" ht="33.75" customHeight="1" thickBot="1">
      <c r="A23" s="4828">
        <v>15</v>
      </c>
      <c r="B23" s="4833"/>
      <c r="C23" s="4829"/>
      <c r="D23" s="4672" t="str">
        <f t="shared" si="7"/>
        <v>1</v>
      </c>
      <c r="E23" s="4829"/>
      <c r="F23" s="4672">
        <f t="shared" si="11"/>
        <v>2</v>
      </c>
      <c r="G23" s="4699"/>
      <c r="H23" s="4672">
        <f t="shared" si="8"/>
        <v>0</v>
      </c>
      <c r="I23" s="4831"/>
      <c r="J23" s="4834"/>
      <c r="K23" s="4835"/>
      <c r="L23" s="4834"/>
      <c r="M23" s="4834"/>
      <c r="N23" s="4834"/>
      <c r="O23" s="4834"/>
      <c r="P23" s="4678">
        <f>SUM(D23,F23,H23)*K23</f>
        <v>0</v>
      </c>
      <c r="Q23" s="4677">
        <f t="shared" si="10"/>
        <v>0</v>
      </c>
      <c r="R23" s="4836"/>
      <c r="S23" s="4837" t="s">
        <v>5739</v>
      </c>
      <c r="T23" s="4836"/>
      <c r="U23" s="4838"/>
      <c r="V23" s="4834"/>
      <c r="W23" s="4837" t="s">
        <v>4521</v>
      </c>
      <c r="X23" s="4836"/>
      <c r="Y23" s="4834"/>
      <c r="Z23" s="4834"/>
      <c r="AA23" s="4839" t="s">
        <v>5035</v>
      </c>
      <c r="AB23" s="4834"/>
      <c r="AC23" s="4839" t="s">
        <v>5050</v>
      </c>
      <c r="AD23" s="4834"/>
      <c r="AE23" s="4832"/>
      <c r="AF23" s="4685">
        <f t="shared" si="6"/>
        <v>0</v>
      </c>
    </row>
    <row r="24" spans="1:32" ht="33.75" customHeight="1" thickTop="1" thickBot="1">
      <c r="A24" s="4840"/>
      <c r="B24" s="4841"/>
      <c r="C24" s="4841"/>
      <c r="D24" s="4841"/>
      <c r="E24" s="4841"/>
      <c r="F24" s="4842"/>
      <c r="G24" s="4843"/>
      <c r="H24" s="4841"/>
      <c r="I24" s="4844" t="s">
        <v>2432</v>
      </c>
      <c r="J24" s="4845">
        <f>SUM(J9:J23)</f>
        <v>135</v>
      </c>
      <c r="K24" s="4846">
        <f>SUM(K9:K23)</f>
        <v>132</v>
      </c>
      <c r="L24" s="4843"/>
      <c r="M24" s="4843"/>
      <c r="N24" s="4843"/>
      <c r="O24" s="4843"/>
      <c r="P24" s="4845">
        <f>SUM(P9:P23)</f>
        <v>1320</v>
      </c>
      <c r="Q24" s="4845">
        <f>SUM(Q9:Q23)</f>
        <v>33006650</v>
      </c>
      <c r="R24" s="6901"/>
      <c r="S24" s="6901"/>
      <c r="T24" s="6901"/>
      <c r="U24" s="4847"/>
      <c r="V24" s="6902"/>
      <c r="W24" s="6901"/>
      <c r="X24" s="6901"/>
      <c r="Y24" s="4847"/>
      <c r="Z24" s="4847"/>
      <c r="AA24" s="6903"/>
      <c r="AB24" s="6904"/>
      <c r="AC24" s="6903"/>
      <c r="AD24" s="6904"/>
      <c r="AE24" s="4848"/>
      <c r="AF24" s="4685">
        <f>SUM(AF9:AF23)</f>
        <v>150</v>
      </c>
    </row>
    <row r="25" spans="1:32" ht="32.15" customHeight="1" thickBot="1">
      <c r="C25" s="4710"/>
      <c r="D25" s="4710"/>
      <c r="E25" s="4710"/>
      <c r="F25" s="4710"/>
      <c r="G25" s="4710"/>
      <c r="H25" s="4710"/>
      <c r="I25" s="4711"/>
      <c r="J25" s="4712"/>
      <c r="K25" s="4710"/>
      <c r="L25" s="4713" t="s">
        <v>5748</v>
      </c>
      <c r="M25" s="4714">
        <f>SUM(N8:N23)</f>
        <v>3362000</v>
      </c>
      <c r="N25" s="4715"/>
      <c r="O25" s="4715"/>
      <c r="P25" s="4715"/>
      <c r="S25" s="4656"/>
      <c r="W25" s="4656"/>
      <c r="AF25" s="4849"/>
    </row>
    <row r="26" spans="1:32" ht="33.75" customHeight="1">
      <c r="A26" s="6845" t="s">
        <v>5749</v>
      </c>
      <c r="B26" s="6846"/>
      <c r="C26" s="4716">
        <f>P24</f>
        <v>1320</v>
      </c>
      <c r="D26" s="4717"/>
      <c r="F26" s="4718"/>
      <c r="G26" s="4850"/>
      <c r="H26" s="4719"/>
      <c r="I26" s="4720"/>
      <c r="L26" s="4721" t="s">
        <v>5750</v>
      </c>
      <c r="M26" s="4722">
        <f>M25*1.1</f>
        <v>3698200.0000000005</v>
      </c>
      <c r="P26" s="4656"/>
      <c r="AF26" s="4851"/>
    </row>
    <row r="27" spans="1:32" ht="33.75" customHeight="1">
      <c r="A27" s="6910" t="s">
        <v>5883</v>
      </c>
      <c r="B27" s="6911"/>
      <c r="C27" s="4723">
        <f>Q24</f>
        <v>33006650</v>
      </c>
      <c r="D27" s="4717"/>
      <c r="F27" s="4724"/>
      <c r="G27" s="4852"/>
      <c r="H27" s="4719"/>
      <c r="I27" s="4720"/>
      <c r="P27" s="4656"/>
      <c r="AF27" s="4851"/>
    </row>
    <row r="28" spans="1:32" ht="33.75" customHeight="1" thickBot="1">
      <c r="A28" s="6913" t="s">
        <v>5751</v>
      </c>
      <c r="B28" s="6914"/>
      <c r="C28" s="4987">
        <f>ROUNDDOWN(C27*1.1,0)</f>
        <v>36307315</v>
      </c>
      <c r="D28" s="4940"/>
      <c r="E28" s="4941"/>
      <c r="F28" s="4942"/>
      <c r="G28" s="4943"/>
      <c r="H28" s="4940"/>
      <c r="I28" s="4944"/>
      <c r="J28" s="4943"/>
      <c r="K28" s="4861"/>
      <c r="L28" s="4861"/>
      <c r="M28" s="4861"/>
      <c r="N28" s="4861"/>
      <c r="O28" s="4861"/>
      <c r="P28" s="4943"/>
      <c r="Q28" s="4943"/>
      <c r="R28" s="4941"/>
      <c r="S28" s="4941"/>
      <c r="T28" s="4941"/>
      <c r="U28" s="4941"/>
      <c r="V28" s="4941"/>
      <c r="W28" s="4941"/>
      <c r="X28" s="4941"/>
      <c r="Y28" s="4941"/>
      <c r="Z28" s="4941"/>
      <c r="AA28" s="4941"/>
      <c r="AB28" s="4941"/>
      <c r="AC28" s="4941"/>
      <c r="AD28" s="4941"/>
      <c r="AE28" s="4941"/>
      <c r="AF28" s="4941"/>
    </row>
    <row r="29" spans="1:32" ht="33.75" customHeight="1">
      <c r="A29" s="4940"/>
      <c r="B29" s="4940"/>
      <c r="C29" s="5402"/>
      <c r="D29" s="4940"/>
      <c r="E29" s="4941"/>
      <c r="F29" s="4942"/>
      <c r="G29" s="4943"/>
      <c r="H29" s="4940"/>
      <c r="I29" s="4944"/>
      <c r="J29" s="4943"/>
      <c r="K29" s="4861"/>
      <c r="L29" s="4861"/>
      <c r="M29" s="4861"/>
      <c r="N29" s="4861"/>
      <c r="O29" s="4861"/>
      <c r="P29" s="4943"/>
      <c r="Q29" s="4943"/>
      <c r="R29" s="4941"/>
      <c r="S29" s="4941"/>
      <c r="T29" s="4941"/>
      <c r="U29" s="4941"/>
      <c r="V29" s="4941"/>
      <c r="W29" s="4941"/>
      <c r="X29" s="4941"/>
      <c r="Y29" s="4941"/>
      <c r="Z29" s="4941"/>
      <c r="AA29" s="4941"/>
      <c r="AB29" s="4941"/>
      <c r="AC29" s="4941"/>
      <c r="AD29" s="4941"/>
      <c r="AE29" s="4941"/>
      <c r="AF29" s="4941"/>
    </row>
    <row r="30" spans="1:32" ht="33.75" customHeight="1" thickBot="1">
      <c r="A30" s="4665" t="s">
        <v>5807</v>
      </c>
      <c r="B30" s="4665"/>
      <c r="L30" s="5096"/>
      <c r="S30" s="4656"/>
      <c r="W30" s="4656"/>
      <c r="Z30" s="4656"/>
      <c r="AA30" s="4656"/>
      <c r="AB30" s="4656"/>
      <c r="AC30" s="4656"/>
      <c r="AD30" s="4656"/>
      <c r="AF30" s="4656" t="s">
        <v>5712</v>
      </c>
    </row>
    <row r="31" spans="1:32" s="4666" customFormat="1" ht="33.75" customHeight="1">
      <c r="A31" s="6877" t="s">
        <v>5713</v>
      </c>
      <c r="B31" s="6879" t="s">
        <v>5714</v>
      </c>
      <c r="C31" s="6855" t="s">
        <v>5715</v>
      </c>
      <c r="D31" s="6855" t="s">
        <v>5716</v>
      </c>
      <c r="E31" s="6855" t="s">
        <v>5717</v>
      </c>
      <c r="F31" s="6868" t="s">
        <v>5718</v>
      </c>
      <c r="G31" s="6855" t="s">
        <v>5719</v>
      </c>
      <c r="H31" s="6855" t="s">
        <v>5720</v>
      </c>
      <c r="I31" s="6857" t="s">
        <v>5721</v>
      </c>
      <c r="J31" s="6851" t="s">
        <v>5722</v>
      </c>
      <c r="K31" s="6851" t="s">
        <v>5723</v>
      </c>
      <c r="L31" s="6855" t="s">
        <v>5796</v>
      </c>
      <c r="M31" s="6855" t="s">
        <v>5797</v>
      </c>
      <c r="N31" s="4967" t="s">
        <v>5726</v>
      </c>
      <c r="O31" s="6855" t="s">
        <v>5798</v>
      </c>
      <c r="P31" s="6851" t="s">
        <v>3766</v>
      </c>
      <c r="Q31" s="6853"/>
      <c r="R31" s="6868" t="s">
        <v>5728</v>
      </c>
      <c r="S31" s="6869"/>
      <c r="T31" s="6870"/>
      <c r="U31" s="6855" t="s">
        <v>5729</v>
      </c>
      <c r="V31" s="6869" t="s">
        <v>5730</v>
      </c>
      <c r="W31" s="6869"/>
      <c r="X31" s="6869"/>
      <c r="Y31" s="6868" t="s">
        <v>5731</v>
      </c>
      <c r="Z31" s="6851" t="s">
        <v>5732</v>
      </c>
      <c r="AA31" s="6851" t="s">
        <v>5733</v>
      </c>
      <c r="AB31" s="6853"/>
      <c r="AC31" s="6853"/>
      <c r="AD31" s="6853"/>
      <c r="AE31" s="6860" t="s">
        <v>2792</v>
      </c>
      <c r="AF31" s="6862" t="s">
        <v>5734</v>
      </c>
    </row>
    <row r="32" spans="1:32" s="4666" customFormat="1" ht="20">
      <c r="A32" s="6878"/>
      <c r="B32" s="6880"/>
      <c r="C32" s="6858"/>
      <c r="D32" s="6856"/>
      <c r="E32" s="6856"/>
      <c r="F32" s="6881"/>
      <c r="G32" s="6856"/>
      <c r="H32" s="6856"/>
      <c r="I32" s="6858"/>
      <c r="J32" s="6859"/>
      <c r="K32" s="6859"/>
      <c r="L32" s="6856"/>
      <c r="M32" s="6856"/>
      <c r="N32" s="4968"/>
      <c r="O32" s="6856"/>
      <c r="P32" s="4667" t="s">
        <v>5735</v>
      </c>
      <c r="Q32" s="4668" t="s">
        <v>5736</v>
      </c>
      <c r="R32" s="6871"/>
      <c r="S32" s="6872"/>
      <c r="T32" s="6873"/>
      <c r="U32" s="6856"/>
      <c r="V32" s="6872"/>
      <c r="W32" s="6872"/>
      <c r="X32" s="6872"/>
      <c r="Y32" s="6852"/>
      <c r="Z32" s="6852"/>
      <c r="AA32" s="6852"/>
      <c r="AB32" s="6854"/>
      <c r="AC32" s="6854"/>
      <c r="AD32" s="6854"/>
      <c r="AE32" s="6861"/>
      <c r="AF32" s="6862"/>
    </row>
    <row r="33" spans="1:32" ht="33.75" customHeight="1">
      <c r="A33" s="4669" t="s">
        <v>5737</v>
      </c>
      <c r="B33" s="4826">
        <v>46305</v>
      </c>
      <c r="C33" s="4827">
        <v>46307</v>
      </c>
      <c r="D33" s="4672">
        <f>IF(_xlfn.DAYS(C33,B33)=0,"1",_xlfn.DAYS(C33,B33))</f>
        <v>2</v>
      </c>
      <c r="E33" s="4827">
        <v>46319</v>
      </c>
      <c r="F33" s="4672">
        <f>IF(_xlfn.DAYS(E33,C33)=0,"1",_xlfn.DAYS(E33,C33))+1</f>
        <v>13</v>
      </c>
      <c r="G33" s="4827">
        <v>46321</v>
      </c>
      <c r="H33" s="4672">
        <f>IF(_xlfn.DAYS(G33,E33)=0,"1",_xlfn.DAYS(G33,E33))-1</f>
        <v>1</v>
      </c>
      <c r="I33" s="4674" t="s">
        <v>5738</v>
      </c>
      <c r="J33" s="4677">
        <v>100</v>
      </c>
      <c r="K33" s="4676">
        <v>90</v>
      </c>
      <c r="L33" s="4677">
        <v>9000</v>
      </c>
      <c r="M33" s="4677">
        <v>10000</v>
      </c>
      <c r="N33" s="4969"/>
      <c r="O33" s="4677">
        <v>8000</v>
      </c>
      <c r="P33" s="4678">
        <f>SUM(D33,F33,H33)*K33</f>
        <v>1440</v>
      </c>
      <c r="Q33" s="4677">
        <f>(D33*L33+F33*M33+H33*O33)*K33</f>
        <v>14040000</v>
      </c>
      <c r="R33" s="4682">
        <v>21</v>
      </c>
      <c r="S33" s="4680" t="s">
        <v>5739</v>
      </c>
      <c r="T33" s="4682">
        <v>21</v>
      </c>
      <c r="U33" s="4815">
        <v>1</v>
      </c>
      <c r="V33" s="4675">
        <v>154</v>
      </c>
      <c r="W33" s="4680" t="s">
        <v>4521</v>
      </c>
      <c r="X33" s="4682">
        <v>203</v>
      </c>
      <c r="Y33" s="4675">
        <v>1</v>
      </c>
      <c r="Z33" s="4675" t="s">
        <v>5740</v>
      </c>
      <c r="AA33" s="4683" t="s">
        <v>5035</v>
      </c>
      <c r="AB33" s="4675" t="s">
        <v>2830</v>
      </c>
      <c r="AC33" s="4683" t="s">
        <v>5050</v>
      </c>
      <c r="AD33" s="4675" t="s">
        <v>5741</v>
      </c>
      <c r="AE33" s="4684"/>
      <c r="AF33" s="4685"/>
    </row>
    <row r="34" spans="1:32" ht="33.75" customHeight="1">
      <c r="A34" s="4828">
        <v>1</v>
      </c>
      <c r="B34" s="4926">
        <v>46304</v>
      </c>
      <c r="C34" s="4829">
        <v>46306</v>
      </c>
      <c r="D34" s="4672">
        <f t="shared" ref="D34:D37" si="12">IF(_xlfn.DAYS(C34,B34)=0,"1",_xlfn.DAYS(C34,B34))</f>
        <v>2</v>
      </c>
      <c r="E34" s="4829">
        <v>46320</v>
      </c>
      <c r="F34" s="4672">
        <f t="shared" ref="F34" si="13">IF(_xlfn.DAYS(E34,C34)=0,"1",_xlfn.DAYS(E34,C34))+1</f>
        <v>15</v>
      </c>
      <c r="G34" s="4699">
        <v>46322</v>
      </c>
      <c r="H34" s="4672">
        <f t="shared" ref="H34:H37" si="14">IF(_xlfn.DAYS(G34,E34)=0,"1",_xlfn.DAYS(G34,E34))-1</f>
        <v>1</v>
      </c>
      <c r="I34" s="4831" t="s">
        <v>4500</v>
      </c>
      <c r="J34" s="4834">
        <v>114</v>
      </c>
      <c r="K34" s="4835">
        <v>114</v>
      </c>
      <c r="L34" s="5097">
        <f>M34-1363</f>
        <v>21637</v>
      </c>
      <c r="M34" s="4834">
        <v>23000</v>
      </c>
      <c r="N34" s="4971">
        <f t="shared" ref="N34:N42" si="15">M34*K34</f>
        <v>2622000</v>
      </c>
      <c r="O34" s="5097">
        <f>M34-1363</f>
        <v>21637</v>
      </c>
      <c r="P34" s="4678">
        <f t="shared" ref="P34:P47" si="16">SUM(D34,F34,H34)*K34</f>
        <v>2052</v>
      </c>
      <c r="Q34" s="4677">
        <f t="shared" ref="Q34:Q48" si="17">(D34*L34+F34*M34+H34*O34)*K34</f>
        <v>46729854</v>
      </c>
      <c r="R34" s="4836">
        <v>17</v>
      </c>
      <c r="S34" s="4837" t="s">
        <v>5742</v>
      </c>
      <c r="T34" s="4836">
        <v>17</v>
      </c>
      <c r="U34" s="4838">
        <v>1</v>
      </c>
      <c r="V34" s="4834">
        <v>140</v>
      </c>
      <c r="W34" s="4837" t="s">
        <v>4521</v>
      </c>
      <c r="X34" s="4836">
        <v>195</v>
      </c>
      <c r="Y34" s="4834">
        <v>1</v>
      </c>
      <c r="Z34" s="4834" t="s">
        <v>5740</v>
      </c>
      <c r="AA34" s="4839" t="s">
        <v>5035</v>
      </c>
      <c r="AB34" s="4834" t="s">
        <v>2826</v>
      </c>
      <c r="AC34" s="4839" t="s">
        <v>5050</v>
      </c>
      <c r="AD34" s="4834" t="s">
        <v>2814</v>
      </c>
      <c r="AE34" s="4832"/>
      <c r="AF34" s="4685">
        <f t="shared" ref="AF34:AF48" si="18">U34*K34</f>
        <v>114</v>
      </c>
    </row>
    <row r="35" spans="1:32" ht="33.75" customHeight="1">
      <c r="A35" s="4828">
        <v>2</v>
      </c>
      <c r="B35" s="4926">
        <v>46304</v>
      </c>
      <c r="C35" s="4829">
        <v>46306</v>
      </c>
      <c r="D35" s="4672">
        <f t="shared" si="12"/>
        <v>2</v>
      </c>
      <c r="E35" s="4829">
        <v>46320</v>
      </c>
      <c r="F35" s="4672">
        <f>IF(_xlfn.DAYS(E35,C35)=0,"1",_xlfn.DAYS(E35,C35))+1</f>
        <v>15</v>
      </c>
      <c r="G35" s="4699">
        <v>46322</v>
      </c>
      <c r="H35" s="4672">
        <f t="shared" si="14"/>
        <v>1</v>
      </c>
      <c r="I35" s="4831" t="s">
        <v>5072</v>
      </c>
      <c r="J35" s="4834">
        <v>8</v>
      </c>
      <c r="K35" s="4835">
        <v>8</v>
      </c>
      <c r="L35" s="5098">
        <f>M35-1363*2</f>
        <v>37274</v>
      </c>
      <c r="M35" s="4834">
        <v>40000</v>
      </c>
      <c r="N35" s="4971">
        <f t="shared" si="15"/>
        <v>320000</v>
      </c>
      <c r="O35" s="5098">
        <f>M35-1363*2</f>
        <v>37274</v>
      </c>
      <c r="P35" s="4678">
        <f t="shared" si="16"/>
        <v>144</v>
      </c>
      <c r="Q35" s="4677">
        <f t="shared" si="17"/>
        <v>5694576</v>
      </c>
      <c r="R35" s="4836">
        <v>20</v>
      </c>
      <c r="S35" s="4837" t="s">
        <v>5742</v>
      </c>
      <c r="T35" s="4836">
        <v>20</v>
      </c>
      <c r="U35" s="4838">
        <v>2</v>
      </c>
      <c r="V35" s="4834">
        <v>110</v>
      </c>
      <c r="W35" s="4837" t="s">
        <v>4521</v>
      </c>
      <c r="X35" s="4836">
        <v>195</v>
      </c>
      <c r="Y35" s="4834">
        <v>2</v>
      </c>
      <c r="Z35" s="4834" t="s">
        <v>5740</v>
      </c>
      <c r="AA35" s="4839" t="s">
        <v>5035</v>
      </c>
      <c r="AB35" s="4834" t="s">
        <v>2826</v>
      </c>
      <c r="AC35" s="4839" t="s">
        <v>5050</v>
      </c>
      <c r="AD35" s="4834" t="s">
        <v>2814</v>
      </c>
      <c r="AE35" s="4832"/>
      <c r="AF35" s="4685">
        <f t="shared" si="18"/>
        <v>16</v>
      </c>
    </row>
    <row r="36" spans="1:32" ht="33.75" customHeight="1">
      <c r="A36" s="4828">
        <v>3</v>
      </c>
      <c r="B36" s="4926">
        <v>46304</v>
      </c>
      <c r="C36" s="4829">
        <v>46306</v>
      </c>
      <c r="D36" s="4672">
        <f t="shared" si="12"/>
        <v>2</v>
      </c>
      <c r="E36" s="4829">
        <v>46320</v>
      </c>
      <c r="F36" s="4672">
        <f t="shared" ref="F36:F37" si="19">IF(_xlfn.DAYS(E36,C36)=0,"1",_xlfn.DAYS(E36,C36))+1</f>
        <v>15</v>
      </c>
      <c r="G36" s="4699">
        <v>46322</v>
      </c>
      <c r="H36" s="4672">
        <f t="shared" si="14"/>
        <v>1</v>
      </c>
      <c r="I36" s="4831" t="s">
        <v>5107</v>
      </c>
      <c r="J36" s="4834">
        <v>9</v>
      </c>
      <c r="K36" s="4835">
        <v>9</v>
      </c>
      <c r="L36" s="5098">
        <f>M36-1363*2</f>
        <v>39274</v>
      </c>
      <c r="M36" s="4834">
        <v>42000</v>
      </c>
      <c r="N36" s="4971">
        <f t="shared" si="15"/>
        <v>378000</v>
      </c>
      <c r="O36" s="5098">
        <f>M36-1363*2</f>
        <v>39274</v>
      </c>
      <c r="P36" s="4678">
        <f t="shared" si="16"/>
        <v>162</v>
      </c>
      <c r="Q36" s="4677">
        <f t="shared" si="17"/>
        <v>6730398</v>
      </c>
      <c r="R36" s="4836">
        <v>27</v>
      </c>
      <c r="S36" s="4837" t="s">
        <v>5742</v>
      </c>
      <c r="T36" s="4836">
        <v>27</v>
      </c>
      <c r="U36" s="4838">
        <v>2</v>
      </c>
      <c r="V36" s="4834">
        <v>130</v>
      </c>
      <c r="W36" s="4837" t="s">
        <v>4521</v>
      </c>
      <c r="X36" s="4836">
        <v>195</v>
      </c>
      <c r="Y36" s="4834">
        <v>2</v>
      </c>
      <c r="Z36" s="4834" t="s">
        <v>5984</v>
      </c>
      <c r="AA36" s="4839" t="s">
        <v>5035</v>
      </c>
      <c r="AB36" s="4834" t="s">
        <v>2826</v>
      </c>
      <c r="AC36" s="4839" t="s">
        <v>5050</v>
      </c>
      <c r="AD36" s="4834" t="s">
        <v>2814</v>
      </c>
      <c r="AE36" s="4832"/>
      <c r="AF36" s="4685">
        <f t="shared" si="18"/>
        <v>18</v>
      </c>
    </row>
    <row r="37" spans="1:32" ht="33.75" customHeight="1">
      <c r="A37" s="4828">
        <v>4</v>
      </c>
      <c r="B37" s="4926">
        <v>46304</v>
      </c>
      <c r="C37" s="4829">
        <v>46306</v>
      </c>
      <c r="D37" s="4672">
        <f t="shared" si="12"/>
        <v>2</v>
      </c>
      <c r="E37" s="4829">
        <v>46320</v>
      </c>
      <c r="F37" s="4672">
        <f t="shared" si="19"/>
        <v>15</v>
      </c>
      <c r="G37" s="4699">
        <v>46322</v>
      </c>
      <c r="H37" s="4672">
        <f t="shared" si="14"/>
        <v>1</v>
      </c>
      <c r="I37" s="4831" t="s">
        <v>5141</v>
      </c>
      <c r="J37" s="4834">
        <v>1</v>
      </c>
      <c r="K37" s="4835">
        <v>1</v>
      </c>
      <c r="L37" s="5098">
        <f>M37-1363*2</f>
        <v>39274</v>
      </c>
      <c r="M37" s="4834">
        <v>42000</v>
      </c>
      <c r="N37" s="4971">
        <f t="shared" si="15"/>
        <v>42000</v>
      </c>
      <c r="O37" s="5098">
        <f>M37-1363*2</f>
        <v>39274</v>
      </c>
      <c r="P37" s="4678">
        <f t="shared" si="16"/>
        <v>18</v>
      </c>
      <c r="Q37" s="4677">
        <f t="shared" si="17"/>
        <v>747822</v>
      </c>
      <c r="R37" s="4836">
        <v>28</v>
      </c>
      <c r="S37" s="4837" t="s">
        <v>5742</v>
      </c>
      <c r="T37" s="4836">
        <v>28</v>
      </c>
      <c r="U37" s="4838">
        <v>2</v>
      </c>
      <c r="V37" s="4834">
        <v>130</v>
      </c>
      <c r="W37" s="4837" t="s">
        <v>4521</v>
      </c>
      <c r="X37" s="4836">
        <v>195</v>
      </c>
      <c r="Y37" s="4834">
        <v>2</v>
      </c>
      <c r="Z37" s="4834" t="s">
        <v>5740</v>
      </c>
      <c r="AA37" s="4839" t="s">
        <v>5035</v>
      </c>
      <c r="AB37" s="4834" t="s">
        <v>2826</v>
      </c>
      <c r="AC37" s="4839" t="s">
        <v>5050</v>
      </c>
      <c r="AD37" s="4834" t="s">
        <v>2814</v>
      </c>
      <c r="AE37" s="4832"/>
      <c r="AF37" s="4685">
        <f t="shared" si="18"/>
        <v>2</v>
      </c>
    </row>
    <row r="38" spans="1:32" ht="33.75" customHeight="1">
      <c r="A38" s="4828">
        <v>5</v>
      </c>
      <c r="B38" s="4833"/>
      <c r="C38" s="4829"/>
      <c r="D38" s="4672" t="str">
        <f t="shared" ref="D38:D48" si="20">IF(_xlfn.DAYS(C38,B38)=0,"1",_xlfn.DAYS(C38,B38))</f>
        <v>1</v>
      </c>
      <c r="E38" s="4829"/>
      <c r="F38" s="4672">
        <f>IF(_xlfn.DAYS(E38,C38)=0,"1",_xlfn.DAYS(E38,C38))+1</f>
        <v>2</v>
      </c>
      <c r="G38" s="4699"/>
      <c r="H38" s="4672">
        <f t="shared" ref="H38:H48" si="21">IF(_xlfn.DAYS(G38,E38)=0,"1",_xlfn.DAYS(G38,E38))-1</f>
        <v>0</v>
      </c>
      <c r="I38" s="4831"/>
      <c r="J38" s="4834"/>
      <c r="K38" s="4835"/>
      <c r="L38" s="4834"/>
      <c r="M38" s="4834"/>
      <c r="N38" s="4971">
        <f t="shared" si="15"/>
        <v>0</v>
      </c>
      <c r="O38" s="4834"/>
      <c r="P38" s="4678">
        <f t="shared" si="16"/>
        <v>0</v>
      </c>
      <c r="Q38" s="4677">
        <f t="shared" si="17"/>
        <v>0</v>
      </c>
      <c r="R38" s="4836"/>
      <c r="S38" s="4837" t="s">
        <v>5742</v>
      </c>
      <c r="T38" s="4836"/>
      <c r="U38" s="4838"/>
      <c r="V38" s="4834"/>
      <c r="W38" s="4837" t="s">
        <v>4521</v>
      </c>
      <c r="X38" s="4836"/>
      <c r="Y38" s="4834"/>
      <c r="Z38" s="4834"/>
      <c r="AA38" s="4839" t="s">
        <v>5035</v>
      </c>
      <c r="AB38" s="4834"/>
      <c r="AC38" s="4839" t="s">
        <v>5050</v>
      </c>
      <c r="AD38" s="4834"/>
      <c r="AE38" s="4832"/>
      <c r="AF38" s="4685">
        <f t="shared" si="18"/>
        <v>0</v>
      </c>
    </row>
    <row r="39" spans="1:32" ht="33.75" customHeight="1">
      <c r="A39" s="4828">
        <v>6</v>
      </c>
      <c r="B39" s="4833"/>
      <c r="C39" s="4829"/>
      <c r="D39" s="4672" t="str">
        <f t="shared" si="20"/>
        <v>1</v>
      </c>
      <c r="E39" s="4829"/>
      <c r="F39" s="4672">
        <f>IF(_xlfn.DAYS(E39,C39)=0,"1",_xlfn.DAYS(E39,C39))+1</f>
        <v>2</v>
      </c>
      <c r="G39" s="4699"/>
      <c r="H39" s="4672">
        <f t="shared" si="21"/>
        <v>0</v>
      </c>
      <c r="I39" s="4831"/>
      <c r="J39" s="4834"/>
      <c r="K39" s="4835"/>
      <c r="L39" s="4834"/>
      <c r="M39" s="4834"/>
      <c r="N39" s="4971">
        <f t="shared" si="15"/>
        <v>0</v>
      </c>
      <c r="O39" s="4834"/>
      <c r="P39" s="4678">
        <f t="shared" si="16"/>
        <v>0</v>
      </c>
      <c r="Q39" s="4677">
        <f t="shared" si="17"/>
        <v>0</v>
      </c>
      <c r="R39" s="4836"/>
      <c r="S39" s="4837" t="s">
        <v>5742</v>
      </c>
      <c r="T39" s="4836"/>
      <c r="U39" s="4838"/>
      <c r="V39" s="4834"/>
      <c r="W39" s="4837" t="s">
        <v>4521</v>
      </c>
      <c r="X39" s="4836"/>
      <c r="Y39" s="4834"/>
      <c r="Z39" s="4834"/>
      <c r="AA39" s="4839" t="s">
        <v>5035</v>
      </c>
      <c r="AB39" s="4834"/>
      <c r="AC39" s="4839" t="s">
        <v>5050</v>
      </c>
      <c r="AD39" s="4834"/>
      <c r="AE39" s="4832"/>
      <c r="AF39" s="4685">
        <f t="shared" si="18"/>
        <v>0</v>
      </c>
    </row>
    <row r="40" spans="1:32" ht="33.75" customHeight="1">
      <c r="A40" s="4828">
        <v>7</v>
      </c>
      <c r="B40" s="4833"/>
      <c r="C40" s="4829"/>
      <c r="D40" s="4672" t="str">
        <f t="shared" si="20"/>
        <v>1</v>
      </c>
      <c r="E40" s="4829"/>
      <c r="F40" s="4672">
        <f t="shared" ref="F40:F48" si="22">IF(_xlfn.DAYS(E40,C40)=0,"1",_xlfn.DAYS(E40,C40))+1</f>
        <v>2</v>
      </c>
      <c r="G40" s="4699"/>
      <c r="H40" s="4672">
        <f t="shared" si="21"/>
        <v>0</v>
      </c>
      <c r="I40" s="4831"/>
      <c r="J40" s="4834"/>
      <c r="K40" s="4835"/>
      <c r="L40" s="4834"/>
      <c r="M40" s="4834"/>
      <c r="N40" s="4971">
        <f t="shared" si="15"/>
        <v>0</v>
      </c>
      <c r="O40" s="4834"/>
      <c r="P40" s="4678">
        <f t="shared" si="16"/>
        <v>0</v>
      </c>
      <c r="Q40" s="4677">
        <f t="shared" si="17"/>
        <v>0</v>
      </c>
      <c r="R40" s="4836"/>
      <c r="S40" s="4837" t="s">
        <v>5742</v>
      </c>
      <c r="T40" s="4836"/>
      <c r="U40" s="4838"/>
      <c r="V40" s="4834"/>
      <c r="W40" s="4837" t="s">
        <v>4521</v>
      </c>
      <c r="X40" s="4836"/>
      <c r="Y40" s="4834"/>
      <c r="Z40" s="4834"/>
      <c r="AA40" s="4839" t="s">
        <v>5035</v>
      </c>
      <c r="AB40" s="4834"/>
      <c r="AC40" s="4839" t="s">
        <v>5050</v>
      </c>
      <c r="AD40" s="4834"/>
      <c r="AE40" s="4832"/>
      <c r="AF40" s="4685">
        <f t="shared" si="18"/>
        <v>0</v>
      </c>
    </row>
    <row r="41" spans="1:32" ht="33.75" customHeight="1">
      <c r="A41" s="4828">
        <v>8</v>
      </c>
      <c r="B41" s="4833"/>
      <c r="C41" s="4829"/>
      <c r="D41" s="4672" t="str">
        <f t="shared" si="20"/>
        <v>1</v>
      </c>
      <c r="E41" s="4829"/>
      <c r="F41" s="4672">
        <f t="shared" si="22"/>
        <v>2</v>
      </c>
      <c r="G41" s="4699"/>
      <c r="H41" s="4672">
        <f t="shared" si="21"/>
        <v>0</v>
      </c>
      <c r="I41" s="4831"/>
      <c r="J41" s="4834"/>
      <c r="K41" s="4835"/>
      <c r="L41" s="4834"/>
      <c r="M41" s="4834"/>
      <c r="N41" s="4971">
        <f t="shared" si="15"/>
        <v>0</v>
      </c>
      <c r="O41" s="4834"/>
      <c r="P41" s="4678">
        <f t="shared" si="16"/>
        <v>0</v>
      </c>
      <c r="Q41" s="4677">
        <f t="shared" si="17"/>
        <v>0</v>
      </c>
      <c r="R41" s="4836"/>
      <c r="S41" s="4837" t="s">
        <v>5742</v>
      </c>
      <c r="T41" s="4836"/>
      <c r="U41" s="4838"/>
      <c r="V41" s="4834"/>
      <c r="W41" s="4837" t="s">
        <v>4521</v>
      </c>
      <c r="X41" s="4836"/>
      <c r="Y41" s="4834"/>
      <c r="Z41" s="4834"/>
      <c r="AA41" s="4839" t="s">
        <v>5035</v>
      </c>
      <c r="AB41" s="4834"/>
      <c r="AC41" s="4839" t="s">
        <v>5050</v>
      </c>
      <c r="AD41" s="4834"/>
      <c r="AE41" s="4832"/>
      <c r="AF41" s="4685">
        <f t="shared" si="18"/>
        <v>0</v>
      </c>
    </row>
    <row r="42" spans="1:32" ht="33.75" customHeight="1">
      <c r="A42" s="4828">
        <v>9</v>
      </c>
      <c r="B42" s="4833"/>
      <c r="C42" s="4829"/>
      <c r="D42" s="4672" t="str">
        <f t="shared" si="20"/>
        <v>1</v>
      </c>
      <c r="E42" s="4829"/>
      <c r="F42" s="4672">
        <f t="shared" si="22"/>
        <v>2</v>
      </c>
      <c r="G42" s="4699"/>
      <c r="H42" s="4672">
        <f t="shared" si="21"/>
        <v>0</v>
      </c>
      <c r="I42" s="4831"/>
      <c r="J42" s="4834"/>
      <c r="K42" s="4835"/>
      <c r="L42" s="4834"/>
      <c r="M42" s="4834"/>
      <c r="N42" s="4971">
        <f t="shared" si="15"/>
        <v>0</v>
      </c>
      <c r="O42" s="4834"/>
      <c r="P42" s="4678">
        <f t="shared" si="16"/>
        <v>0</v>
      </c>
      <c r="Q42" s="4677">
        <f t="shared" si="17"/>
        <v>0</v>
      </c>
      <c r="R42" s="4836"/>
      <c r="S42" s="4837" t="s">
        <v>5742</v>
      </c>
      <c r="T42" s="4836"/>
      <c r="U42" s="4838"/>
      <c r="V42" s="4834"/>
      <c r="W42" s="4837" t="s">
        <v>4521</v>
      </c>
      <c r="X42" s="4836"/>
      <c r="Y42" s="4834"/>
      <c r="Z42" s="4834"/>
      <c r="AA42" s="4839" t="s">
        <v>5035</v>
      </c>
      <c r="AB42" s="4834"/>
      <c r="AC42" s="4839" t="s">
        <v>5050</v>
      </c>
      <c r="AD42" s="4834"/>
      <c r="AE42" s="4832"/>
      <c r="AF42" s="4685">
        <f t="shared" si="18"/>
        <v>0</v>
      </c>
    </row>
    <row r="43" spans="1:32" ht="33.75" customHeight="1">
      <c r="A43" s="4828">
        <v>10</v>
      </c>
      <c r="B43" s="4833"/>
      <c r="C43" s="4829"/>
      <c r="D43" s="4672" t="str">
        <f t="shared" si="20"/>
        <v>1</v>
      </c>
      <c r="E43" s="4829"/>
      <c r="F43" s="4672">
        <f t="shared" si="22"/>
        <v>2</v>
      </c>
      <c r="G43" s="4699"/>
      <c r="H43" s="4672">
        <f t="shared" si="21"/>
        <v>0</v>
      </c>
      <c r="I43" s="4831"/>
      <c r="J43" s="4834"/>
      <c r="K43" s="4835"/>
      <c r="L43" s="4834"/>
      <c r="M43" s="4834"/>
      <c r="N43" s="4834"/>
      <c r="O43" s="4834"/>
      <c r="P43" s="4678">
        <f t="shared" si="16"/>
        <v>0</v>
      </c>
      <c r="Q43" s="4677">
        <f t="shared" si="17"/>
        <v>0</v>
      </c>
      <c r="R43" s="4836"/>
      <c r="S43" s="4837" t="s">
        <v>5742</v>
      </c>
      <c r="T43" s="4836"/>
      <c r="U43" s="4838"/>
      <c r="V43" s="4834"/>
      <c r="W43" s="4837" t="s">
        <v>4521</v>
      </c>
      <c r="X43" s="4836"/>
      <c r="Y43" s="4834"/>
      <c r="Z43" s="4834"/>
      <c r="AA43" s="4839" t="s">
        <v>5035</v>
      </c>
      <c r="AB43" s="4834"/>
      <c r="AC43" s="4839" t="s">
        <v>5050</v>
      </c>
      <c r="AD43" s="4834"/>
      <c r="AE43" s="4832"/>
      <c r="AF43" s="4685">
        <f t="shared" si="18"/>
        <v>0</v>
      </c>
    </row>
    <row r="44" spans="1:32" ht="33.75" customHeight="1">
      <c r="A44" s="4828">
        <v>11</v>
      </c>
      <c r="B44" s="4833"/>
      <c r="C44" s="4829"/>
      <c r="D44" s="4672" t="str">
        <f t="shared" si="20"/>
        <v>1</v>
      </c>
      <c r="E44" s="4829"/>
      <c r="F44" s="4672">
        <f t="shared" si="22"/>
        <v>2</v>
      </c>
      <c r="G44" s="4699"/>
      <c r="H44" s="4672">
        <f t="shared" si="21"/>
        <v>0</v>
      </c>
      <c r="I44" s="4831"/>
      <c r="J44" s="4834"/>
      <c r="K44" s="4835"/>
      <c r="L44" s="4834"/>
      <c r="M44" s="4834"/>
      <c r="N44" s="4834"/>
      <c r="O44" s="4834"/>
      <c r="P44" s="4678">
        <f t="shared" si="16"/>
        <v>0</v>
      </c>
      <c r="Q44" s="4677">
        <f t="shared" si="17"/>
        <v>0</v>
      </c>
      <c r="R44" s="4836"/>
      <c r="S44" s="4837" t="s">
        <v>5742</v>
      </c>
      <c r="T44" s="4836"/>
      <c r="U44" s="4838"/>
      <c r="V44" s="4834"/>
      <c r="W44" s="4837" t="s">
        <v>4521</v>
      </c>
      <c r="X44" s="4836"/>
      <c r="Y44" s="4834"/>
      <c r="Z44" s="4834"/>
      <c r="AA44" s="4839" t="s">
        <v>5035</v>
      </c>
      <c r="AB44" s="4834"/>
      <c r="AC44" s="4839" t="s">
        <v>5050</v>
      </c>
      <c r="AD44" s="4834"/>
      <c r="AE44" s="4832"/>
      <c r="AF44" s="4685">
        <f t="shared" si="18"/>
        <v>0</v>
      </c>
    </row>
    <row r="45" spans="1:32" ht="33.75" customHeight="1">
      <c r="A45" s="4828">
        <v>12</v>
      </c>
      <c r="B45" s="4833"/>
      <c r="C45" s="4829"/>
      <c r="D45" s="4672" t="str">
        <f t="shared" si="20"/>
        <v>1</v>
      </c>
      <c r="E45" s="4829"/>
      <c r="F45" s="4672">
        <f t="shared" si="22"/>
        <v>2</v>
      </c>
      <c r="G45" s="4699"/>
      <c r="H45" s="4672">
        <f t="shared" si="21"/>
        <v>0</v>
      </c>
      <c r="I45" s="4831"/>
      <c r="J45" s="4834"/>
      <c r="K45" s="4835"/>
      <c r="L45" s="4834"/>
      <c r="M45" s="4834"/>
      <c r="N45" s="4834"/>
      <c r="O45" s="4834"/>
      <c r="P45" s="4678">
        <f t="shared" si="16"/>
        <v>0</v>
      </c>
      <c r="Q45" s="4677">
        <f t="shared" si="17"/>
        <v>0</v>
      </c>
      <c r="R45" s="4836"/>
      <c r="S45" s="4837" t="s">
        <v>5742</v>
      </c>
      <c r="T45" s="4836"/>
      <c r="U45" s="4838"/>
      <c r="V45" s="4834"/>
      <c r="W45" s="4837" t="s">
        <v>4521</v>
      </c>
      <c r="X45" s="4836"/>
      <c r="Y45" s="4834"/>
      <c r="Z45" s="4834"/>
      <c r="AA45" s="4839" t="s">
        <v>5035</v>
      </c>
      <c r="AB45" s="4834"/>
      <c r="AC45" s="4839" t="s">
        <v>5050</v>
      </c>
      <c r="AD45" s="4834"/>
      <c r="AE45" s="4832"/>
      <c r="AF45" s="4685">
        <f t="shared" si="18"/>
        <v>0</v>
      </c>
    </row>
    <row r="46" spans="1:32" ht="33.75" customHeight="1">
      <c r="A46" s="4828">
        <v>13</v>
      </c>
      <c r="B46" s="4833"/>
      <c r="C46" s="4829"/>
      <c r="D46" s="4672" t="str">
        <f t="shared" si="20"/>
        <v>1</v>
      </c>
      <c r="E46" s="4829"/>
      <c r="F46" s="4672">
        <f t="shared" si="22"/>
        <v>2</v>
      </c>
      <c r="G46" s="4699"/>
      <c r="H46" s="4672">
        <f t="shared" si="21"/>
        <v>0</v>
      </c>
      <c r="I46" s="4831"/>
      <c r="J46" s="4834"/>
      <c r="K46" s="4835"/>
      <c r="L46" s="4834"/>
      <c r="M46" s="4834"/>
      <c r="N46" s="4834"/>
      <c r="O46" s="4834"/>
      <c r="P46" s="4678">
        <f t="shared" si="16"/>
        <v>0</v>
      </c>
      <c r="Q46" s="4677">
        <f t="shared" si="17"/>
        <v>0</v>
      </c>
      <c r="R46" s="4836"/>
      <c r="S46" s="4837" t="s">
        <v>5742</v>
      </c>
      <c r="T46" s="4836"/>
      <c r="U46" s="4838"/>
      <c r="V46" s="4834"/>
      <c r="W46" s="4837" t="s">
        <v>4521</v>
      </c>
      <c r="X46" s="4836"/>
      <c r="Y46" s="4834"/>
      <c r="Z46" s="4834"/>
      <c r="AA46" s="4839" t="s">
        <v>5035</v>
      </c>
      <c r="AB46" s="4834"/>
      <c r="AC46" s="4839" t="s">
        <v>5050</v>
      </c>
      <c r="AD46" s="4834"/>
      <c r="AE46" s="4832"/>
      <c r="AF46" s="4685">
        <f t="shared" si="18"/>
        <v>0</v>
      </c>
    </row>
    <row r="47" spans="1:32" ht="33.75" customHeight="1">
      <c r="A47" s="4828">
        <v>14</v>
      </c>
      <c r="B47" s="4833"/>
      <c r="C47" s="4829"/>
      <c r="D47" s="4672" t="str">
        <f t="shared" si="20"/>
        <v>1</v>
      </c>
      <c r="E47" s="4829"/>
      <c r="F47" s="4672">
        <f t="shared" si="22"/>
        <v>2</v>
      </c>
      <c r="G47" s="4699"/>
      <c r="H47" s="4672">
        <f t="shared" si="21"/>
        <v>0</v>
      </c>
      <c r="I47" s="4831"/>
      <c r="J47" s="4834"/>
      <c r="K47" s="4835"/>
      <c r="L47" s="4834"/>
      <c r="M47" s="4834"/>
      <c r="N47" s="4834"/>
      <c r="O47" s="4834"/>
      <c r="P47" s="4678">
        <f t="shared" si="16"/>
        <v>0</v>
      </c>
      <c r="Q47" s="4677">
        <f t="shared" si="17"/>
        <v>0</v>
      </c>
      <c r="R47" s="4836"/>
      <c r="S47" s="4837" t="s">
        <v>5742</v>
      </c>
      <c r="T47" s="4836"/>
      <c r="U47" s="4838"/>
      <c r="V47" s="4834"/>
      <c r="W47" s="4837" t="s">
        <v>4521</v>
      </c>
      <c r="X47" s="4836"/>
      <c r="Y47" s="4834"/>
      <c r="Z47" s="4834"/>
      <c r="AA47" s="4839" t="s">
        <v>5035</v>
      </c>
      <c r="AB47" s="4834"/>
      <c r="AC47" s="4839" t="s">
        <v>5050</v>
      </c>
      <c r="AD47" s="4834"/>
      <c r="AE47" s="4832"/>
      <c r="AF47" s="4685">
        <f t="shared" si="18"/>
        <v>0</v>
      </c>
    </row>
    <row r="48" spans="1:32" ht="33.75" customHeight="1" thickBot="1">
      <c r="A48" s="4828">
        <v>15</v>
      </c>
      <c r="B48" s="4833"/>
      <c r="C48" s="4829"/>
      <c r="D48" s="4672" t="str">
        <f t="shared" si="20"/>
        <v>1</v>
      </c>
      <c r="E48" s="4829"/>
      <c r="F48" s="4672">
        <f t="shared" si="22"/>
        <v>2</v>
      </c>
      <c r="G48" s="4699"/>
      <c r="H48" s="4672">
        <f t="shared" si="21"/>
        <v>0</v>
      </c>
      <c r="I48" s="4831"/>
      <c r="J48" s="4834"/>
      <c r="K48" s="4835"/>
      <c r="L48" s="4834"/>
      <c r="M48" s="4834"/>
      <c r="N48" s="4834"/>
      <c r="O48" s="4834"/>
      <c r="P48" s="4678">
        <f>SUM(D48,F48,H48)*K48</f>
        <v>0</v>
      </c>
      <c r="Q48" s="4677">
        <f t="shared" si="17"/>
        <v>0</v>
      </c>
      <c r="R48" s="4836"/>
      <c r="S48" s="4837" t="s">
        <v>5739</v>
      </c>
      <c r="T48" s="4836"/>
      <c r="U48" s="4838"/>
      <c r="V48" s="4834"/>
      <c r="W48" s="4837" t="s">
        <v>4521</v>
      </c>
      <c r="X48" s="4836"/>
      <c r="Y48" s="4834"/>
      <c r="Z48" s="4834"/>
      <c r="AA48" s="4839" t="s">
        <v>5035</v>
      </c>
      <c r="AB48" s="4834"/>
      <c r="AC48" s="4839" t="s">
        <v>5050</v>
      </c>
      <c r="AD48" s="4834"/>
      <c r="AE48" s="4832"/>
      <c r="AF48" s="4685">
        <f t="shared" si="18"/>
        <v>0</v>
      </c>
    </row>
    <row r="49" spans="1:32" ht="33.75" customHeight="1" thickTop="1" thickBot="1">
      <c r="A49" s="4840"/>
      <c r="B49" s="4841"/>
      <c r="C49" s="4841"/>
      <c r="D49" s="4841"/>
      <c r="E49" s="4841"/>
      <c r="F49" s="4842"/>
      <c r="G49" s="4843"/>
      <c r="H49" s="4841"/>
      <c r="I49" s="4844" t="s">
        <v>2432</v>
      </c>
      <c r="J49" s="4845">
        <f>SUM(J34:J48)</f>
        <v>132</v>
      </c>
      <c r="K49" s="4846">
        <f>SUM(K34:K48)</f>
        <v>132</v>
      </c>
      <c r="L49" s="4843"/>
      <c r="M49" s="4843"/>
      <c r="N49" s="4843"/>
      <c r="O49" s="4843"/>
      <c r="P49" s="4845">
        <f>SUM(P34:P48)</f>
        <v>2376</v>
      </c>
      <c r="Q49" s="4845">
        <f>SUM(Q34:Q48)</f>
        <v>59902650</v>
      </c>
      <c r="R49" s="6901"/>
      <c r="S49" s="6901"/>
      <c r="T49" s="6901"/>
      <c r="U49" s="4847"/>
      <c r="V49" s="6902"/>
      <c r="W49" s="6901"/>
      <c r="X49" s="6901"/>
      <c r="Y49" s="4847"/>
      <c r="Z49" s="4847"/>
      <c r="AA49" s="6903"/>
      <c r="AB49" s="6904"/>
      <c r="AC49" s="6903"/>
      <c r="AD49" s="6904"/>
      <c r="AE49" s="4848"/>
      <c r="AF49" s="4685">
        <f>SUM(AF34:AF48)</f>
        <v>150</v>
      </c>
    </row>
    <row r="50" spans="1:32" ht="32.15" customHeight="1" thickBot="1">
      <c r="C50" s="4710"/>
      <c r="D50" s="4710"/>
      <c r="E50" s="4710"/>
      <c r="F50" s="4710"/>
      <c r="G50" s="4710"/>
      <c r="H50" s="4710"/>
      <c r="I50" s="4711"/>
      <c r="J50" s="4712"/>
      <c r="K50" s="4710"/>
      <c r="L50" s="4713" t="s">
        <v>5748</v>
      </c>
      <c r="M50" s="4714">
        <f>SUM(N33:N48)</f>
        <v>3362000</v>
      </c>
      <c r="N50" s="4715"/>
      <c r="O50" s="4715"/>
      <c r="P50" s="4715"/>
      <c r="S50" s="4656"/>
      <c r="W50" s="4656"/>
      <c r="AF50" s="4849"/>
    </row>
    <row r="51" spans="1:32" ht="33.75" customHeight="1">
      <c r="A51" s="6845" t="s">
        <v>5749</v>
      </c>
      <c r="B51" s="6846"/>
      <c r="C51" s="4716">
        <f>P49</f>
        <v>2376</v>
      </c>
      <c r="D51" s="4717"/>
      <c r="F51" s="4718"/>
      <c r="G51" s="4850"/>
      <c r="H51" s="4719"/>
      <c r="I51" s="4720"/>
      <c r="L51" s="4721" t="s">
        <v>5750</v>
      </c>
      <c r="M51" s="4722">
        <f>M50*1.1</f>
        <v>3698200.0000000005</v>
      </c>
      <c r="P51" s="4656"/>
      <c r="AF51" s="4851"/>
    </row>
    <row r="52" spans="1:32" ht="33.75" customHeight="1">
      <c r="A52" s="6910" t="s">
        <v>5883</v>
      </c>
      <c r="B52" s="6911"/>
      <c r="C52" s="4723">
        <f>Q49</f>
        <v>59902650</v>
      </c>
      <c r="D52" s="4717"/>
      <c r="F52" s="4724"/>
      <c r="G52" s="4852"/>
      <c r="H52" s="4719"/>
      <c r="I52" s="4720"/>
      <c r="P52" s="4656"/>
      <c r="AF52" s="4851"/>
    </row>
    <row r="53" spans="1:32" ht="33.75" customHeight="1" thickBot="1">
      <c r="A53" s="6913" t="s">
        <v>5751</v>
      </c>
      <c r="B53" s="6914"/>
      <c r="C53" s="4987">
        <f>ROUNDDOWN(C52*1.1,0)</f>
        <v>65892915</v>
      </c>
      <c r="D53" s="4940"/>
      <c r="E53" s="4941"/>
      <c r="F53" s="4942"/>
      <c r="G53" s="4943"/>
      <c r="H53" s="4940"/>
      <c r="I53" s="4944"/>
      <c r="J53" s="4943"/>
      <c r="K53" s="4861"/>
      <c r="L53" s="4861"/>
      <c r="M53" s="4861"/>
      <c r="N53" s="4861"/>
      <c r="O53" s="4861"/>
      <c r="P53" s="4943"/>
      <c r="Q53" s="4943"/>
      <c r="R53" s="4941"/>
      <c r="S53" s="4941"/>
      <c r="T53" s="4941"/>
      <c r="U53" s="4941"/>
      <c r="V53" s="4941"/>
      <c r="W53" s="4941"/>
      <c r="X53" s="4941"/>
      <c r="Y53" s="4941"/>
      <c r="Z53" s="4941"/>
      <c r="AA53" s="4941"/>
      <c r="AB53" s="4941"/>
      <c r="AC53" s="4941"/>
      <c r="AD53" s="4941"/>
      <c r="AE53" s="4941"/>
      <c r="AF53" s="4941"/>
    </row>
    <row r="54" spans="1:32" ht="33.75" customHeight="1">
      <c r="A54" s="4729"/>
      <c r="B54" s="4729"/>
      <c r="C54" s="4729"/>
      <c r="D54" s="4729"/>
      <c r="E54" s="4729"/>
      <c r="F54" s="4729"/>
      <c r="G54" s="4726"/>
      <c r="H54" s="4729"/>
      <c r="I54" s="4720"/>
      <c r="P54" s="4656"/>
    </row>
    <row r="55" spans="1:32" ht="33.75" customHeight="1">
      <c r="A55" s="4728" t="s">
        <v>5752</v>
      </c>
      <c r="B55" s="4728"/>
      <c r="C55" s="4729"/>
      <c r="D55" s="4729"/>
      <c r="E55" s="4729"/>
      <c r="F55" s="4729"/>
      <c r="G55" s="4726"/>
      <c r="H55" s="4729"/>
      <c r="I55" s="4720"/>
      <c r="P55" s="4656"/>
    </row>
    <row r="56" spans="1:32" ht="36" customHeight="1">
      <c r="A56" s="4728" t="s">
        <v>5753</v>
      </c>
      <c r="B56" s="4728"/>
    </row>
    <row r="57" spans="1:32" ht="36" customHeight="1">
      <c r="A57" s="4730" t="s">
        <v>5754</v>
      </c>
      <c r="B57" s="4730"/>
    </row>
    <row r="58" spans="1:32" ht="36" customHeight="1">
      <c r="A58" s="4728"/>
      <c r="B58" s="4728"/>
    </row>
    <row r="59" spans="1:32" ht="36" customHeight="1"/>
    <row r="60" spans="1:32" ht="36" customHeight="1"/>
    <row r="61" spans="1:32" ht="36" customHeight="1"/>
    <row r="62" spans="1:32" ht="36" customHeight="1"/>
    <row r="63" spans="1:32" ht="36" customHeight="1"/>
    <row r="64" spans="1:32" ht="36" customHeight="1"/>
    <row r="65" ht="36" customHeight="1"/>
    <row r="66" ht="10.4" customHeight="1"/>
  </sheetData>
  <mergeCells count="62">
    <mergeCell ref="A2:B2"/>
    <mergeCell ref="C2:G2"/>
    <mergeCell ref="A31:A32"/>
    <mergeCell ref="B31:B32"/>
    <mergeCell ref="C31:C32"/>
    <mergeCell ref="D31:D32"/>
    <mergeCell ref="E31:E32"/>
    <mergeCell ref="F31:F32"/>
    <mergeCell ref="G31:G32"/>
    <mergeCell ref="D6:D7"/>
    <mergeCell ref="A26:B26"/>
    <mergeCell ref="A27:B27"/>
    <mergeCell ref="A28:B28"/>
    <mergeCell ref="A6:A7"/>
    <mergeCell ref="B6:B7"/>
    <mergeCell ref="C6:C7"/>
    <mergeCell ref="AF31:AF32"/>
    <mergeCell ref="R49:T49"/>
    <mergeCell ref="V49:X49"/>
    <mergeCell ref="AA49:AB49"/>
    <mergeCell ref="AC49:AD49"/>
    <mergeCell ref="R31:T32"/>
    <mergeCell ref="U31:U32"/>
    <mergeCell ref="V31:X32"/>
    <mergeCell ref="Y31:Y32"/>
    <mergeCell ref="E6:E7"/>
    <mergeCell ref="F6:F7"/>
    <mergeCell ref="G6:G7"/>
    <mergeCell ref="AA31:AD32"/>
    <mergeCell ref="AE31:AE32"/>
    <mergeCell ref="H6:H7"/>
    <mergeCell ref="I6:I7"/>
    <mergeCell ref="U6:U7"/>
    <mergeCell ref="V6:X7"/>
    <mergeCell ref="Z6:Z7"/>
    <mergeCell ref="K6:K7"/>
    <mergeCell ref="L6:L7"/>
    <mergeCell ref="M6:M7"/>
    <mergeCell ref="P6:Q6"/>
    <mergeCell ref="O6:O7"/>
    <mergeCell ref="J6:J7"/>
    <mergeCell ref="A51:B51"/>
    <mergeCell ref="A52:B52"/>
    <mergeCell ref="A53:B53"/>
    <mergeCell ref="Z31:Z32"/>
    <mergeCell ref="O31:O32"/>
    <mergeCell ref="P31:Q31"/>
    <mergeCell ref="H31:H32"/>
    <mergeCell ref="I31:I32"/>
    <mergeCell ref="J31:J32"/>
    <mergeCell ref="K31:K32"/>
    <mergeCell ref="L31:L32"/>
    <mergeCell ref="M31:M32"/>
    <mergeCell ref="AA6:AD7"/>
    <mergeCell ref="AF6:AF7"/>
    <mergeCell ref="R24:T24"/>
    <mergeCell ref="V24:X24"/>
    <mergeCell ref="AA24:AB24"/>
    <mergeCell ref="AC24:AD24"/>
    <mergeCell ref="AE6:AE7"/>
    <mergeCell ref="Y6:Y7"/>
    <mergeCell ref="R6:T7"/>
  </mergeCells>
  <phoneticPr fontId="2"/>
  <conditionalFormatting sqref="B38:C48 E38:E48">
    <cfRule type="containsBlanks" dxfId="688" priority="27">
      <formula>LEN(TRIM(B38))=0</formula>
    </cfRule>
  </conditionalFormatting>
  <conditionalFormatting sqref="C2:D2">
    <cfRule type="containsBlanks" dxfId="687" priority="28">
      <formula>LEN(TRIM(C2))=0</formula>
    </cfRule>
  </conditionalFormatting>
  <conditionalFormatting sqref="D33 D38:D48">
    <cfRule type="containsBlanks" dxfId="686" priority="26">
      <formula>LEN(TRIM(D33))=0</formula>
    </cfRule>
  </conditionalFormatting>
  <conditionalFormatting sqref="F33 F38:F48">
    <cfRule type="containsBlanks" dxfId="685" priority="25">
      <formula>LEN(TRIM(F33))=0</formula>
    </cfRule>
  </conditionalFormatting>
  <conditionalFormatting sqref="G38:G48">
    <cfRule type="containsBlanks" dxfId="684" priority="24">
      <formula>LEN(TRIM(G38))=0</formula>
    </cfRule>
  </conditionalFormatting>
  <conditionalFormatting sqref="H33:O33 H38:O48 I34:O37">
    <cfRule type="containsBlanks" dxfId="683" priority="23">
      <formula>LEN(TRIM(H33))=0</formula>
    </cfRule>
  </conditionalFormatting>
  <conditionalFormatting sqref="Q33:R48">
    <cfRule type="containsBlanks" dxfId="682" priority="29">
      <formula>LEN(TRIM(Q33))=0</formula>
    </cfRule>
  </conditionalFormatting>
  <conditionalFormatting sqref="T33:V48">
    <cfRule type="containsBlanks" dxfId="681" priority="33">
      <formula>LEN(TRIM(T33))=0</formula>
    </cfRule>
  </conditionalFormatting>
  <conditionalFormatting sqref="X33:Z48">
    <cfRule type="containsBlanks" dxfId="680" priority="32">
      <formula>LEN(TRIM(X33))=0</formula>
    </cfRule>
  </conditionalFormatting>
  <conditionalFormatting sqref="AB33:AB48">
    <cfRule type="containsBlanks" dxfId="679" priority="31">
      <formula>LEN(TRIM(AB33))=0</formula>
    </cfRule>
  </conditionalFormatting>
  <conditionalFormatting sqref="AD33:AE48">
    <cfRule type="containsBlanks" dxfId="678" priority="30">
      <formula>LEN(TRIM(AD33))=0</formula>
    </cfRule>
  </conditionalFormatting>
  <conditionalFormatting sqref="B34:H37">
    <cfRule type="containsBlanks" dxfId="677" priority="21">
      <formula>LEN(TRIM(B34))=0</formula>
    </cfRule>
  </conditionalFormatting>
  <conditionalFormatting sqref="B13:C23 E13:E23">
    <cfRule type="containsBlanks" dxfId="676" priority="15">
      <formula>LEN(TRIM(B13))=0</formula>
    </cfRule>
  </conditionalFormatting>
  <conditionalFormatting sqref="D8 D13:D23">
    <cfRule type="containsBlanks" dxfId="675" priority="14">
      <formula>LEN(TRIM(D8))=0</formula>
    </cfRule>
  </conditionalFormatting>
  <conditionalFormatting sqref="F8 F13:F23">
    <cfRule type="containsBlanks" dxfId="674" priority="13">
      <formula>LEN(TRIM(F8))=0</formula>
    </cfRule>
  </conditionalFormatting>
  <conditionalFormatting sqref="G13:G23">
    <cfRule type="containsBlanks" dxfId="673" priority="12">
      <formula>LEN(TRIM(G13))=0</formula>
    </cfRule>
  </conditionalFormatting>
  <conditionalFormatting sqref="H8:O8 H13:O23 N9:N12">
    <cfRule type="containsBlanks" dxfId="672" priority="11">
      <formula>LEN(TRIM(H8))=0</formula>
    </cfRule>
  </conditionalFormatting>
  <conditionalFormatting sqref="Q8:R8 Q13:R23">
    <cfRule type="containsBlanks" dxfId="671" priority="16">
      <formula>LEN(TRIM(Q8))=0</formula>
    </cfRule>
  </conditionalFormatting>
  <conditionalFormatting sqref="T8:V8 T13:V23">
    <cfRule type="containsBlanks" dxfId="670" priority="20">
      <formula>LEN(TRIM(T8))=0</formula>
    </cfRule>
  </conditionalFormatting>
  <conditionalFormatting sqref="X8:Z8 X13:Z23">
    <cfRule type="containsBlanks" dxfId="669" priority="19">
      <formula>LEN(TRIM(X8))=0</formula>
    </cfRule>
  </conditionalFormatting>
  <conditionalFormatting sqref="AB8 AB13:AB23">
    <cfRule type="containsBlanks" dxfId="668" priority="18">
      <formula>LEN(TRIM(AB8))=0</formula>
    </cfRule>
  </conditionalFormatting>
  <conditionalFormatting sqref="AD8:AE8 AD13:AE23 AE9:AE12">
    <cfRule type="containsBlanks" dxfId="667" priority="17">
      <formula>LEN(TRIM(AD8))=0</formula>
    </cfRule>
  </conditionalFormatting>
  <conditionalFormatting sqref="B9:M11 B12:H12 J12:M12">
    <cfRule type="containsBlanks" dxfId="666" priority="9">
      <formula>LEN(TRIM(B9))=0</formula>
    </cfRule>
  </conditionalFormatting>
  <conditionalFormatting sqref="O9:O12">
    <cfRule type="containsBlanks" dxfId="665" priority="8">
      <formula>LEN(TRIM(O9))=0</formula>
    </cfRule>
  </conditionalFormatting>
  <conditionalFormatting sqref="R9:R12">
    <cfRule type="containsBlanks" dxfId="664" priority="7">
      <formula>LEN(TRIM(R9))=0</formula>
    </cfRule>
  </conditionalFormatting>
  <conditionalFormatting sqref="T9:V12">
    <cfRule type="containsBlanks" dxfId="663" priority="6">
      <formula>LEN(TRIM(T9))=0</formula>
    </cfRule>
  </conditionalFormatting>
  <conditionalFormatting sqref="X9:Z12">
    <cfRule type="containsBlanks" dxfId="662" priority="5">
      <formula>LEN(TRIM(X9))=0</formula>
    </cfRule>
  </conditionalFormatting>
  <conditionalFormatting sqref="AB9:AB12">
    <cfRule type="containsBlanks" dxfId="661" priority="4">
      <formula>LEN(TRIM(AB9))=0</formula>
    </cfRule>
  </conditionalFormatting>
  <conditionalFormatting sqref="AD9:AD12">
    <cfRule type="containsBlanks" dxfId="660" priority="3">
      <formula>LEN(TRIM(AD9))=0</formula>
    </cfRule>
  </conditionalFormatting>
  <conditionalFormatting sqref="Q9:Q12">
    <cfRule type="containsBlanks" dxfId="659" priority="2">
      <formula>LEN(TRIM(Q9))=0</formula>
    </cfRule>
  </conditionalFormatting>
  <conditionalFormatting sqref="I12">
    <cfRule type="containsBlanks" dxfId="658" priority="1">
      <formula>LEN(TRIM(I12))=0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2CDE-7A0D-4512-8018-B58AC6FC5A7F}">
  <sheetPr codeName="Sheet411">
    <tabColor rgb="FFFFFF66"/>
    <pageSetUpPr fitToPage="1"/>
  </sheetPr>
  <dimension ref="A1:AF35"/>
  <sheetViews>
    <sheetView topLeftCell="A7" zoomScale="70" zoomScaleNormal="70" zoomScaleSheetLayoutView="70" workbookViewId="0">
      <selection activeCell="A2" sqref="A2:AE27"/>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5985</v>
      </c>
      <c r="D2" s="6876"/>
      <c r="E2" s="6876"/>
      <c r="F2" s="6876"/>
      <c r="G2" s="6876"/>
      <c r="H2" s="4661" t="s">
        <v>5709</v>
      </c>
      <c r="I2" s="5894"/>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46283</v>
      </c>
      <c r="C8" s="4687">
        <v>46285</v>
      </c>
      <c r="D8" s="4672">
        <f t="shared" ref="D8:D17" si="0">IF(_xlfn.DAYS(C8,B8)=0,"1",_xlfn.DAYS(C8,B8))</f>
        <v>2</v>
      </c>
      <c r="E8" s="4687">
        <v>46298</v>
      </c>
      <c r="F8" s="4698">
        <f t="shared" ref="F8:F17" si="1">IF(_xlfn.DAYS(E8,C8)=0,"1",_xlfn.DAYS(E8,C8))+1</f>
        <v>14</v>
      </c>
      <c r="G8" s="4699">
        <v>46300</v>
      </c>
      <c r="H8" s="4672">
        <f t="shared" ref="H8:H17" si="2">IF(_xlfn.DAYS(G8,E8)=0,"1",_xlfn.DAYS(G8,E8))-1</f>
        <v>1</v>
      </c>
      <c r="I8" s="4691" t="s">
        <v>5072</v>
      </c>
      <c r="J8" s="4692">
        <v>50</v>
      </c>
      <c r="K8" s="4693">
        <v>49</v>
      </c>
      <c r="L8" s="5893">
        <v>13000</v>
      </c>
      <c r="M8" s="5893">
        <v>15800</v>
      </c>
      <c r="N8" s="4971">
        <f>M8*K8</f>
        <v>774200</v>
      </c>
      <c r="O8" s="5893">
        <v>13000</v>
      </c>
      <c r="P8" s="4678">
        <f>SUM(D8,F8,H8)*K8</f>
        <v>833</v>
      </c>
      <c r="Q8" s="4679">
        <f>(D8*L8+F8*M8+H8*O8)*K8</f>
        <v>12749800</v>
      </c>
      <c r="R8" s="4692">
        <v>26</v>
      </c>
      <c r="S8" s="4680" t="s">
        <v>5742</v>
      </c>
      <c r="T8" s="4694">
        <v>26</v>
      </c>
      <c r="U8" s="4692">
        <v>2</v>
      </c>
      <c r="V8" s="4692">
        <v>116</v>
      </c>
      <c r="W8" s="4680" t="s">
        <v>4521</v>
      </c>
      <c r="X8" s="4695">
        <v>195</v>
      </c>
      <c r="Y8" s="4692">
        <v>2</v>
      </c>
      <c r="Z8" s="4692" t="s">
        <v>5743</v>
      </c>
      <c r="AA8" s="4683" t="s">
        <v>5035</v>
      </c>
      <c r="AB8" s="4692" t="s">
        <v>2830</v>
      </c>
      <c r="AC8" s="4683" t="s">
        <v>5050</v>
      </c>
      <c r="AD8" s="4692" t="s">
        <v>2814</v>
      </c>
      <c r="AE8" s="5099" t="s">
        <v>5986</v>
      </c>
      <c r="AF8" s="4685">
        <f>U8*K8</f>
        <v>98</v>
      </c>
    </row>
    <row r="9" spans="1:32" ht="33" customHeight="1">
      <c r="A9" s="4686">
        <v>2</v>
      </c>
      <c r="B9" s="4687">
        <v>46283</v>
      </c>
      <c r="C9" s="4687">
        <v>46285</v>
      </c>
      <c r="D9" s="4672">
        <f t="shared" si="0"/>
        <v>2</v>
      </c>
      <c r="E9" s="4687">
        <v>46298</v>
      </c>
      <c r="F9" s="4698">
        <f t="shared" si="1"/>
        <v>14</v>
      </c>
      <c r="G9" s="4699">
        <v>46300</v>
      </c>
      <c r="H9" s="4672">
        <f t="shared" si="2"/>
        <v>1</v>
      </c>
      <c r="I9" s="4691" t="s">
        <v>5987</v>
      </c>
      <c r="J9" s="4692">
        <v>8</v>
      </c>
      <c r="K9" s="4693">
        <v>8</v>
      </c>
      <c r="L9" s="5893">
        <v>13000</v>
      </c>
      <c r="M9" s="5893">
        <v>15800</v>
      </c>
      <c r="N9" s="4971">
        <f t="shared" ref="N9:N14" si="3">M9*K9</f>
        <v>126400</v>
      </c>
      <c r="O9" s="5893">
        <v>13000</v>
      </c>
      <c r="P9" s="4678">
        <f t="shared" ref="P9:P17" si="4">SUM(D9,F9,H9)*K9</f>
        <v>136</v>
      </c>
      <c r="Q9" s="4679">
        <f t="shared" ref="Q9:Q17" si="5">(D9*L9+F9*M9+H9*O9)*K9</f>
        <v>2081600</v>
      </c>
      <c r="R9" s="4692">
        <v>35</v>
      </c>
      <c r="S9" s="4680" t="s">
        <v>5742</v>
      </c>
      <c r="T9" s="4694">
        <v>35</v>
      </c>
      <c r="U9" s="4692">
        <v>2</v>
      </c>
      <c r="V9" s="4692"/>
      <c r="W9" s="4680" t="s">
        <v>4521</v>
      </c>
      <c r="X9" s="4695"/>
      <c r="Y9" s="4692"/>
      <c r="Z9" s="4692" t="s">
        <v>5988</v>
      </c>
      <c r="AA9" s="4683" t="s">
        <v>5035</v>
      </c>
      <c r="AB9" s="4692" t="s">
        <v>2830</v>
      </c>
      <c r="AC9" s="4683" t="s">
        <v>5050</v>
      </c>
      <c r="AD9" s="4692" t="s">
        <v>2814</v>
      </c>
      <c r="AE9" s="5100"/>
      <c r="AF9" s="4685">
        <f t="shared" ref="AF9:AF17" si="6">U9*K9</f>
        <v>16</v>
      </c>
    </row>
    <row r="10" spans="1:32" ht="33.75" customHeight="1">
      <c r="A10" s="4686">
        <v>3</v>
      </c>
      <c r="B10" s="4687">
        <v>46283</v>
      </c>
      <c r="C10" s="4687">
        <v>46285</v>
      </c>
      <c r="D10" s="4672">
        <f t="shared" si="0"/>
        <v>2</v>
      </c>
      <c r="E10" s="4687">
        <v>46298</v>
      </c>
      <c r="F10" s="4698">
        <f t="shared" si="1"/>
        <v>14</v>
      </c>
      <c r="G10" s="4699">
        <v>46300</v>
      </c>
      <c r="H10" s="4672">
        <f t="shared" si="2"/>
        <v>1</v>
      </c>
      <c r="I10" s="4691" t="s">
        <v>5989</v>
      </c>
      <c r="J10" s="4692">
        <v>6</v>
      </c>
      <c r="K10" s="4693">
        <v>6</v>
      </c>
      <c r="L10" s="5893">
        <v>13000</v>
      </c>
      <c r="M10" s="5893">
        <v>15800</v>
      </c>
      <c r="N10" s="4971">
        <f t="shared" si="3"/>
        <v>94800</v>
      </c>
      <c r="O10" s="5893">
        <v>13000</v>
      </c>
      <c r="P10" s="4678">
        <f t="shared" si="4"/>
        <v>102</v>
      </c>
      <c r="Q10" s="4679">
        <f t="shared" si="5"/>
        <v>1561200</v>
      </c>
      <c r="R10" s="4692">
        <v>39</v>
      </c>
      <c r="S10" s="4680" t="s">
        <v>5742</v>
      </c>
      <c r="T10" s="4694">
        <v>39</v>
      </c>
      <c r="U10" s="4692">
        <v>2</v>
      </c>
      <c r="V10" s="4692"/>
      <c r="W10" s="4680" t="s">
        <v>4521</v>
      </c>
      <c r="X10" s="4695"/>
      <c r="Y10" s="4692"/>
      <c r="Z10" s="4692" t="s">
        <v>5988</v>
      </c>
      <c r="AA10" s="4683" t="s">
        <v>5035</v>
      </c>
      <c r="AB10" s="4692" t="s">
        <v>2830</v>
      </c>
      <c r="AC10" s="4683" t="s">
        <v>5050</v>
      </c>
      <c r="AD10" s="4692" t="s">
        <v>2814</v>
      </c>
      <c r="AE10" s="5101"/>
      <c r="AF10" s="4685">
        <f t="shared" si="6"/>
        <v>12</v>
      </c>
    </row>
    <row r="11" spans="1:32" ht="33.75" customHeight="1">
      <c r="A11" s="4686">
        <v>4</v>
      </c>
      <c r="B11" s="4687">
        <v>46283</v>
      </c>
      <c r="C11" s="4687">
        <v>46285</v>
      </c>
      <c r="D11" s="4672">
        <f t="shared" si="0"/>
        <v>2</v>
      </c>
      <c r="E11" s="4687">
        <v>46298</v>
      </c>
      <c r="F11" s="4698">
        <f t="shared" si="1"/>
        <v>14</v>
      </c>
      <c r="G11" s="4699">
        <v>46300</v>
      </c>
      <c r="H11" s="4672">
        <f t="shared" si="2"/>
        <v>1</v>
      </c>
      <c r="I11" s="4691" t="s">
        <v>5990</v>
      </c>
      <c r="J11" s="4692">
        <v>4</v>
      </c>
      <c r="K11" s="4693">
        <v>4</v>
      </c>
      <c r="L11" s="4692">
        <v>11400</v>
      </c>
      <c r="M11" s="4820">
        <v>12800</v>
      </c>
      <c r="N11" s="4971">
        <f t="shared" si="3"/>
        <v>51200</v>
      </c>
      <c r="O11" s="4692">
        <v>11400</v>
      </c>
      <c r="P11" s="4678">
        <f t="shared" si="4"/>
        <v>68</v>
      </c>
      <c r="Q11" s="4679">
        <f t="shared" si="5"/>
        <v>853600</v>
      </c>
      <c r="R11" s="4692">
        <v>26</v>
      </c>
      <c r="S11" s="4680" t="s">
        <v>5742</v>
      </c>
      <c r="T11" s="4694">
        <v>26</v>
      </c>
      <c r="U11" s="4692">
        <v>1</v>
      </c>
      <c r="V11" s="4692">
        <v>116</v>
      </c>
      <c r="W11" s="4680" t="s">
        <v>4521</v>
      </c>
      <c r="X11" s="4695">
        <v>195</v>
      </c>
      <c r="Y11" s="4692">
        <v>1</v>
      </c>
      <c r="Z11" s="4692" t="s">
        <v>5743</v>
      </c>
      <c r="AA11" s="4683" t="s">
        <v>5035</v>
      </c>
      <c r="AB11" s="4692" t="s">
        <v>2830</v>
      </c>
      <c r="AC11" s="4683" t="s">
        <v>5050</v>
      </c>
      <c r="AD11" s="4692" t="s">
        <v>2814</v>
      </c>
      <c r="AE11" s="5099" t="s">
        <v>5986</v>
      </c>
      <c r="AF11" s="4685">
        <f t="shared" si="6"/>
        <v>4</v>
      </c>
    </row>
    <row r="12" spans="1:32" ht="33.75" customHeight="1">
      <c r="A12" s="4686">
        <v>5</v>
      </c>
      <c r="B12" s="4687">
        <v>46283</v>
      </c>
      <c r="C12" s="4687">
        <v>46285</v>
      </c>
      <c r="D12" s="4672">
        <f t="shared" si="0"/>
        <v>2</v>
      </c>
      <c r="E12" s="4687">
        <v>46298</v>
      </c>
      <c r="F12" s="4698">
        <f t="shared" si="1"/>
        <v>14</v>
      </c>
      <c r="G12" s="4699">
        <v>46300</v>
      </c>
      <c r="H12" s="4672">
        <f t="shared" si="2"/>
        <v>1</v>
      </c>
      <c r="I12" s="4691" t="s">
        <v>5991</v>
      </c>
      <c r="J12" s="4692">
        <v>1</v>
      </c>
      <c r="K12" s="4693">
        <v>1</v>
      </c>
      <c r="L12" s="4692">
        <v>17800</v>
      </c>
      <c r="M12" s="4692">
        <v>20600</v>
      </c>
      <c r="N12" s="4971">
        <f t="shared" si="3"/>
        <v>20600</v>
      </c>
      <c r="O12" s="4692">
        <v>17800</v>
      </c>
      <c r="P12" s="4678">
        <f t="shared" si="4"/>
        <v>17</v>
      </c>
      <c r="Q12" s="4679">
        <f t="shared" si="5"/>
        <v>341800</v>
      </c>
      <c r="R12" s="4692">
        <v>54</v>
      </c>
      <c r="S12" s="4680" t="s">
        <v>5742</v>
      </c>
      <c r="T12" s="4694">
        <v>54</v>
      </c>
      <c r="U12" s="4692">
        <v>2</v>
      </c>
      <c r="V12" s="4692">
        <v>116</v>
      </c>
      <c r="W12" s="4680" t="s">
        <v>4521</v>
      </c>
      <c r="X12" s="4695">
        <v>195</v>
      </c>
      <c r="Y12" s="4692">
        <v>2</v>
      </c>
      <c r="Z12" s="4692" t="s">
        <v>5743</v>
      </c>
      <c r="AA12" s="4683" t="s">
        <v>5035</v>
      </c>
      <c r="AB12" s="4692" t="s">
        <v>2830</v>
      </c>
      <c r="AC12" s="4683" t="s">
        <v>5050</v>
      </c>
      <c r="AD12" s="4692" t="s">
        <v>2814</v>
      </c>
      <c r="AE12" s="5099" t="s">
        <v>5986</v>
      </c>
      <c r="AF12" s="4685">
        <f t="shared" si="6"/>
        <v>2</v>
      </c>
    </row>
    <row r="13" spans="1:32"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4"/>
        <v>0</v>
      </c>
      <c r="Q13" s="4679">
        <f t="shared" si="5"/>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t="str">
        <f t="shared" si="0"/>
        <v>1</v>
      </c>
      <c r="E14" s="4687"/>
      <c r="F14" s="4698">
        <f t="shared" si="1"/>
        <v>2</v>
      </c>
      <c r="G14" s="4699"/>
      <c r="H14" s="4672">
        <f t="shared" si="2"/>
        <v>0</v>
      </c>
      <c r="I14" s="4691"/>
      <c r="J14" s="4692"/>
      <c r="K14" s="4693"/>
      <c r="L14" s="4692"/>
      <c r="M14" s="4692"/>
      <c r="N14" s="4971">
        <f t="shared" si="3"/>
        <v>0</v>
      </c>
      <c r="O14" s="4692"/>
      <c r="P14" s="4678">
        <f t="shared" si="4"/>
        <v>0</v>
      </c>
      <c r="Q14" s="4679">
        <f t="shared" si="5"/>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4691"/>
      <c r="J15" s="4692"/>
      <c r="K15" s="4693"/>
      <c r="L15" s="4692"/>
      <c r="M15" s="4692"/>
      <c r="N15" s="4692"/>
      <c r="O15" s="4692"/>
      <c r="P15" s="4678">
        <f>SUM(D15,F15,H15)*K15</f>
        <v>0</v>
      </c>
      <c r="Q15" s="4679">
        <f t="shared" si="5"/>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4691"/>
      <c r="J16" s="4692"/>
      <c r="K16" s="4693"/>
      <c r="L16" s="4692"/>
      <c r="M16" s="4692"/>
      <c r="N16" s="4692"/>
      <c r="O16" s="4692"/>
      <c r="P16" s="4678">
        <f t="shared" si="4"/>
        <v>0</v>
      </c>
      <c r="Q16" s="4679">
        <f t="shared" si="5"/>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thickBo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4"/>
        <v>0</v>
      </c>
      <c r="Q17" s="4679">
        <f t="shared" si="5"/>
        <v>0</v>
      </c>
      <c r="R17" s="4692"/>
      <c r="S17" s="4680" t="s">
        <v>5739</v>
      </c>
      <c r="T17" s="4694"/>
      <c r="U17" s="4700"/>
      <c r="V17" s="4692"/>
      <c r="W17" s="4680" t="s">
        <v>4521</v>
      </c>
      <c r="X17" s="4695"/>
      <c r="Y17" s="4692"/>
      <c r="Z17" s="4692"/>
      <c r="AA17" s="4683" t="s">
        <v>5035</v>
      </c>
      <c r="AB17" s="4692"/>
      <c r="AC17" s="4683" t="s">
        <v>5050</v>
      </c>
      <c r="AD17" s="4692"/>
      <c r="AE17" s="4696"/>
      <c r="AF17" s="4685">
        <f t="shared" si="6"/>
        <v>0</v>
      </c>
    </row>
    <row r="18" spans="1:32" ht="33.75" customHeight="1" thickTop="1" thickBot="1">
      <c r="A18" s="4701"/>
      <c r="B18" s="4702"/>
      <c r="C18" s="4702"/>
      <c r="D18" s="4702"/>
      <c r="E18" s="4702"/>
      <c r="F18" s="4703"/>
      <c r="G18" s="4704"/>
      <c r="H18" s="4702"/>
      <c r="I18" s="4705" t="s">
        <v>2432</v>
      </c>
      <c r="J18" s="4706">
        <f>SUM(J8:J17)</f>
        <v>69</v>
      </c>
      <c r="K18" s="4707">
        <f>SUM(K8:K17)</f>
        <v>68</v>
      </c>
      <c r="L18" s="4703"/>
      <c r="M18" s="4703"/>
      <c r="N18" s="4703"/>
      <c r="O18" s="4703"/>
      <c r="P18" s="4706">
        <f>SUM(P8:P17)</f>
        <v>1156</v>
      </c>
      <c r="Q18" s="4706">
        <f>SUM(Q8:Q17)</f>
        <v>17588000</v>
      </c>
      <c r="R18" s="6863"/>
      <c r="S18" s="6864"/>
      <c r="T18" s="6865"/>
      <c r="U18" s="4708"/>
      <c r="V18" s="6863"/>
      <c r="W18" s="6864"/>
      <c r="X18" s="6864"/>
      <c r="Y18" s="4708"/>
      <c r="Z18" s="4708"/>
      <c r="AA18" s="6866"/>
      <c r="AB18" s="6867"/>
      <c r="AC18" s="6866"/>
      <c r="AD18" s="6867"/>
      <c r="AE18" s="4709"/>
      <c r="AF18" s="4685">
        <f>SUM(AF8:AF17)</f>
        <v>132</v>
      </c>
    </row>
    <row r="19" spans="1:32" ht="33.75" customHeight="1" thickBot="1">
      <c r="C19" s="4710"/>
      <c r="D19" s="4710"/>
      <c r="E19" s="4710"/>
      <c r="F19" s="4710"/>
      <c r="G19" s="4710"/>
      <c r="H19" s="4710"/>
      <c r="I19" s="4711"/>
      <c r="J19" s="4712"/>
      <c r="K19" s="4710"/>
      <c r="L19" s="4713" t="s">
        <v>5748</v>
      </c>
      <c r="M19" s="4714">
        <f>SUM(N8:N17)</f>
        <v>1067200</v>
      </c>
      <c r="N19" s="4715"/>
      <c r="O19" s="4715"/>
      <c r="P19" s="4715"/>
      <c r="S19" s="4656"/>
      <c r="W19" s="4656"/>
    </row>
    <row r="20" spans="1:32" ht="33.75" customHeight="1">
      <c r="A20" s="6845" t="s">
        <v>5749</v>
      </c>
      <c r="B20" s="6846"/>
      <c r="C20" s="4716">
        <f>P18</f>
        <v>1156</v>
      </c>
      <c r="D20" s="4717"/>
      <c r="F20" s="4718"/>
      <c r="H20" s="4719"/>
      <c r="I20" s="4720"/>
      <c r="K20" s="4659"/>
      <c r="L20" s="4721" t="s">
        <v>5750</v>
      </c>
      <c r="M20" s="4722">
        <f>M19*1.1</f>
        <v>1173920</v>
      </c>
      <c r="P20" s="4656"/>
    </row>
    <row r="21" spans="1:32" ht="33.75" customHeight="1">
      <c r="A21" s="6847" t="s">
        <v>5883</v>
      </c>
      <c r="B21" s="6848"/>
      <c r="C21" s="4723">
        <f>Q18</f>
        <v>17588000</v>
      </c>
      <c r="D21" s="4717"/>
      <c r="F21" s="4724"/>
      <c r="H21" s="4719"/>
      <c r="I21" s="4720"/>
      <c r="K21" s="4659"/>
      <c r="P21" s="4656"/>
    </row>
    <row r="22" spans="1:32" ht="33.75" customHeight="1" thickBot="1">
      <c r="A22" s="6913" t="s">
        <v>5751</v>
      </c>
      <c r="B22" s="6914"/>
      <c r="C22" s="4987">
        <f>ROUNDDOWN(C21*1.1,0)</f>
        <v>19346800</v>
      </c>
      <c r="D22" s="4719"/>
      <c r="F22" s="4724"/>
      <c r="H22" s="4719"/>
      <c r="I22" s="4720"/>
      <c r="K22" s="4659"/>
      <c r="P22" s="4656"/>
    </row>
    <row r="23" spans="1:32" ht="32.15" customHeight="1">
      <c r="A23" s="4726"/>
      <c r="B23" s="4726"/>
      <c r="C23" s="4726"/>
      <c r="D23" s="4726"/>
      <c r="E23" s="4726"/>
      <c r="F23" s="4726"/>
      <c r="G23" s="4726"/>
      <c r="H23" s="4726"/>
      <c r="I23" s="4727"/>
    </row>
    <row r="24" spans="1:32" ht="33.75" customHeight="1">
      <c r="A24" s="4728" t="s">
        <v>5752</v>
      </c>
      <c r="B24" s="4728"/>
      <c r="C24" s="4729"/>
      <c r="D24" s="4729"/>
      <c r="E24" s="4729"/>
      <c r="F24" s="4729"/>
      <c r="G24" s="4726"/>
      <c r="H24" s="4729"/>
      <c r="I24" s="4720"/>
      <c r="P24" s="4656"/>
    </row>
    <row r="25" spans="1:32" ht="36" customHeight="1">
      <c r="A25" s="4728" t="s">
        <v>5753</v>
      </c>
      <c r="B25" s="4728"/>
    </row>
    <row r="26" spans="1:32" ht="36" customHeight="1">
      <c r="A26" s="4730" t="s">
        <v>5754</v>
      </c>
      <c r="B26" s="4730"/>
    </row>
    <row r="27" spans="1:32" ht="36" customHeight="1">
      <c r="A27" s="4728"/>
      <c r="B27" s="4728"/>
    </row>
    <row r="28" spans="1:32" ht="36" customHeight="1"/>
    <row r="29" spans="1:32" ht="36" customHeight="1"/>
    <row r="30" spans="1:32" ht="36" customHeight="1"/>
    <row r="31" spans="1:32" ht="36" customHeight="1"/>
    <row r="32" spans="1:32" ht="36" customHeight="1"/>
    <row r="33" ht="36" customHeight="1"/>
    <row r="34" ht="36" customHeight="1"/>
    <row r="35" ht="10.4" customHeight="1"/>
  </sheetData>
  <mergeCells count="32">
    <mergeCell ref="A2:B2"/>
    <mergeCell ref="C2:G2"/>
    <mergeCell ref="A5:A6"/>
    <mergeCell ref="B5:B6"/>
    <mergeCell ref="C5:C6"/>
    <mergeCell ref="D5:D6"/>
    <mergeCell ref="E5:E6"/>
    <mergeCell ref="F5:F6"/>
    <mergeCell ref="G5:G6"/>
    <mergeCell ref="AE5:AE6"/>
    <mergeCell ref="AF5:AF6"/>
    <mergeCell ref="R18:T18"/>
    <mergeCell ref="V18:X18"/>
    <mergeCell ref="AA18:AB18"/>
    <mergeCell ref="AC18:AD18"/>
    <mergeCell ref="R5:T6"/>
    <mergeCell ref="U5:U6"/>
    <mergeCell ref="V5:X6"/>
    <mergeCell ref="Y5:Y6"/>
    <mergeCell ref="A20:B20"/>
    <mergeCell ref="A21:B21"/>
    <mergeCell ref="A22:B22"/>
    <mergeCell ref="Z5:Z6"/>
    <mergeCell ref="AA5:AD6"/>
    <mergeCell ref="O5:O6"/>
    <mergeCell ref="P5:Q5"/>
    <mergeCell ref="H5:H6"/>
    <mergeCell ref="I5:I6"/>
    <mergeCell ref="J5:J6"/>
    <mergeCell ref="K5:K6"/>
    <mergeCell ref="L5:L6"/>
    <mergeCell ref="M5:M6"/>
  </mergeCells>
  <phoneticPr fontId="2"/>
  <conditionalFormatting sqref="C2:D2">
    <cfRule type="containsBlanks" dxfId="657" priority="5">
      <formula>LEN(TRIM(C2))=0</formula>
    </cfRule>
  </conditionalFormatting>
  <conditionalFormatting sqref="D7:D17 Q7:R17 T7:V17 X7:Z17 AB7:AB17 AD7:AE17 B8:C17 E8:G17">
    <cfRule type="containsBlanks" dxfId="656" priority="7">
      <formula>LEN(TRIM(B7))=0</formula>
    </cfRule>
  </conditionalFormatting>
  <conditionalFormatting sqref="F7">
    <cfRule type="containsBlanks" dxfId="655" priority="6">
      <formula>LEN(TRIM(F7))=0</formula>
    </cfRule>
  </conditionalFormatting>
  <conditionalFormatting sqref="H7:O7 H13:O17 H8:K12 N8:N12">
    <cfRule type="containsBlanks" dxfId="654" priority="4">
      <formula>LEN(TRIM(H7))=0</formula>
    </cfRule>
  </conditionalFormatting>
  <conditionalFormatting sqref="M8:M12">
    <cfRule type="containsBlanks" dxfId="653" priority="3">
      <formula>LEN(TRIM(M8))=0</formula>
    </cfRule>
  </conditionalFormatting>
  <conditionalFormatting sqref="L8:L12">
    <cfRule type="containsBlanks" dxfId="652" priority="2">
      <formula>LEN(TRIM(L8))=0</formula>
    </cfRule>
  </conditionalFormatting>
  <conditionalFormatting sqref="O8:O12">
    <cfRule type="containsBlanks" dxfId="651" priority="1">
      <formula>LEN(TRIM(O8))=0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95B0-07A9-4658-8099-B13FF54381FA}">
  <sheetPr codeName="Sheet334">
    <tabColor rgb="FFFFFF66"/>
    <pageSetUpPr fitToPage="1"/>
  </sheetPr>
  <dimension ref="A1:AE61"/>
  <sheetViews>
    <sheetView topLeftCell="A39" zoomScale="55" zoomScaleNormal="55" workbookViewId="0">
      <selection activeCell="A2" sqref="A2:B2"/>
    </sheetView>
  </sheetViews>
  <sheetFormatPr defaultColWidth="9.81640625" defaultRowHeight="26.5"/>
  <cols>
    <col min="1" max="1" width="12" style="4941" customWidth="1"/>
    <col min="2" max="2" width="25.1796875" style="5102" customWidth="1"/>
    <col min="3" max="3" width="24.54296875" style="5102" bestFit="1" customWidth="1"/>
    <col min="4" max="4" width="17.26953125" style="5102" customWidth="1"/>
    <col min="5" max="5" width="17.26953125" style="4941" customWidth="1"/>
    <col min="6" max="6" width="6.81640625" style="4943" customWidth="1"/>
    <col min="7" max="7" width="21.453125" style="5102" customWidth="1"/>
    <col min="8" max="8" width="9.26953125" style="5102" customWidth="1"/>
    <col min="9" max="9" width="21.453125" style="4941" customWidth="1"/>
    <col min="10" max="13" width="9.26953125" style="4943" customWidth="1"/>
    <col min="14" max="14" width="21.81640625" style="4943" customWidth="1"/>
    <col min="15" max="15" width="21.81640625" style="4861" customWidth="1"/>
    <col min="16" max="16" width="9.81640625" style="5102"/>
    <col min="17" max="17" width="9.453125" style="5102" customWidth="1"/>
    <col min="18" max="18" width="9.453125" style="4941" customWidth="1"/>
    <col min="19" max="19" width="17.54296875" style="4941" customWidth="1"/>
    <col min="20" max="20" width="12.1796875" style="4941" customWidth="1"/>
    <col min="21" max="21" width="17.54296875" style="4941" customWidth="1"/>
    <col min="22" max="28" width="9.81640625" style="4941"/>
    <col min="29" max="29" width="9.81640625" style="5103"/>
    <col min="30" max="16384" width="9.81640625" style="4941"/>
  </cols>
  <sheetData>
    <row r="1" spans="1:31" ht="21" customHeight="1" thickBot="1">
      <c r="T1" s="4943"/>
    </row>
    <row r="2" spans="1:31" ht="55.4" customHeight="1" thickBot="1">
      <c r="A2" s="6917" t="s">
        <v>5707</v>
      </c>
      <c r="B2" s="6918"/>
      <c r="C2" s="6876" t="str">
        <f>'[14]別紙1-1）客室提供条件（和室利用の場合）'!C2</f>
        <v>全トヨタ労連研修センター　つどいの丘</v>
      </c>
      <c r="D2" s="6876"/>
      <c r="E2" s="6876"/>
      <c r="F2" s="6876"/>
      <c r="G2" s="6876"/>
      <c r="H2" s="4661" t="s">
        <v>5709</v>
      </c>
      <c r="I2" s="5104"/>
      <c r="J2" s="4733"/>
      <c r="K2" s="4733"/>
      <c r="T2" s="4943"/>
      <c r="U2" s="5105" t="s">
        <v>5755</v>
      </c>
      <c r="W2" s="5106"/>
      <c r="X2" s="5106"/>
      <c r="Y2" s="5106"/>
      <c r="Z2" s="5106"/>
      <c r="AA2" s="5106"/>
      <c r="AB2" s="5107"/>
      <c r="AC2" s="5107"/>
      <c r="AD2" s="5107"/>
      <c r="AE2" s="5107"/>
    </row>
    <row r="3" spans="1:31" ht="23.15" customHeight="1">
      <c r="A3" s="4663"/>
      <c r="B3" s="4733"/>
      <c r="C3" s="4733"/>
      <c r="D3" s="4733"/>
      <c r="E3" s="4733"/>
      <c r="F3" s="4733"/>
      <c r="G3" s="4733"/>
      <c r="H3" s="4733"/>
      <c r="I3" s="4733"/>
      <c r="J3" s="4733"/>
      <c r="K3" s="4733"/>
      <c r="T3" s="4943"/>
      <c r="W3" s="5106"/>
      <c r="X3" s="5106"/>
      <c r="Y3" s="5106"/>
      <c r="Z3" s="5106"/>
      <c r="AA3" s="5106"/>
      <c r="AB3" s="5107"/>
      <c r="AC3" s="5107"/>
      <c r="AD3" s="5107"/>
      <c r="AE3" s="5107"/>
    </row>
    <row r="4" spans="1:31" ht="23.15" customHeight="1" thickBot="1">
      <c r="A4" s="5108" t="s">
        <v>5756</v>
      </c>
      <c r="B4" s="4941"/>
      <c r="C4" s="4941"/>
      <c r="D4" s="4941"/>
      <c r="G4" s="4941"/>
      <c r="H4" s="4941"/>
      <c r="O4" s="4943"/>
      <c r="P4" s="4943"/>
      <c r="Q4" s="4941"/>
      <c r="AC4" s="4941"/>
    </row>
    <row r="5" spans="1:31" s="4738" customFormat="1" ht="33.75" customHeight="1">
      <c r="A5" s="6919"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5111" customFormat="1" ht="33.75" customHeight="1">
      <c r="A7" s="5109" t="s">
        <v>5779</v>
      </c>
      <c r="B7" s="4744">
        <v>46280</v>
      </c>
      <c r="C7" s="4744">
        <v>46300</v>
      </c>
      <c r="D7" s="4745">
        <v>0.3125</v>
      </c>
      <c r="E7" s="5110">
        <v>0.89583333333333337</v>
      </c>
      <c r="F7" s="4892">
        <f>IF(OR(ISBLANK($B7), ISBLANK($C7)), 0, _xlfn.DAYS($C7, $B7) + 1)</f>
        <v>21</v>
      </c>
      <c r="G7" s="4890" t="s">
        <v>5780</v>
      </c>
      <c r="H7" s="4891">
        <v>3</v>
      </c>
      <c r="I7" s="4892" t="s">
        <v>5781</v>
      </c>
      <c r="J7" s="4893">
        <v>30</v>
      </c>
      <c r="K7" s="4894">
        <v>100</v>
      </c>
      <c r="L7" s="4894">
        <f>J7*K7</f>
        <v>3000</v>
      </c>
      <c r="M7" s="4895">
        <v>5</v>
      </c>
      <c r="N7" s="4896">
        <v>150000</v>
      </c>
      <c r="O7" s="4754">
        <f t="shared" ref="O7:O45" si="0">F7*N7</f>
        <v>3150000</v>
      </c>
      <c r="P7" s="4897" t="s">
        <v>5782</v>
      </c>
      <c r="Q7" s="4898">
        <v>4</v>
      </c>
      <c r="R7" s="4898" t="s">
        <v>3804</v>
      </c>
      <c r="S7" s="4894" t="s">
        <v>246</v>
      </c>
      <c r="T7" s="4898" t="s">
        <v>2161</v>
      </c>
      <c r="U7" s="4899">
        <v>2000</v>
      </c>
    </row>
    <row r="8" spans="1:31" s="5111" customFormat="1" ht="33.75" customHeight="1">
      <c r="A8" s="4758">
        <v>1</v>
      </c>
      <c r="B8" s="4816">
        <v>46283</v>
      </c>
      <c r="C8" s="4816">
        <v>46299</v>
      </c>
      <c r="D8" s="4759">
        <v>0</v>
      </c>
      <c r="E8" s="4759">
        <v>1</v>
      </c>
      <c r="F8" s="4760">
        <f t="shared" ref="F8:F45" si="1">IF(OR(ISBLANK($B8), ISBLANK($C8)), 0, _xlfn.DAYS($C8, $B8) + 1)</f>
        <v>17</v>
      </c>
      <c r="G8" s="4761" t="s">
        <v>5814</v>
      </c>
      <c r="H8" s="4762" t="s">
        <v>5827</v>
      </c>
      <c r="I8" s="4763" t="s">
        <v>5784</v>
      </c>
      <c r="J8" s="4764">
        <v>21.6</v>
      </c>
      <c r="K8" s="4765">
        <v>14.4</v>
      </c>
      <c r="L8" s="4765">
        <v>308</v>
      </c>
      <c r="M8" s="4765">
        <v>5</v>
      </c>
      <c r="N8" s="4762">
        <v>43400</v>
      </c>
      <c r="O8" s="4766">
        <f t="shared" si="0"/>
        <v>737800</v>
      </c>
      <c r="P8" s="4857" t="s">
        <v>5992</v>
      </c>
      <c r="Q8" s="4858"/>
      <c r="R8" s="4859"/>
      <c r="S8" s="4858"/>
      <c r="T8" s="4859" t="s">
        <v>5815</v>
      </c>
      <c r="U8" s="4860">
        <v>0</v>
      </c>
    </row>
    <row r="9" spans="1:31" ht="33.75" customHeight="1">
      <c r="A9" s="4758">
        <v>2</v>
      </c>
      <c r="B9" s="4816">
        <v>46300</v>
      </c>
      <c r="C9" s="4816">
        <v>46300</v>
      </c>
      <c r="D9" s="4759">
        <v>0</v>
      </c>
      <c r="E9" s="4759">
        <v>0.5</v>
      </c>
      <c r="F9" s="4760">
        <f t="shared" si="1"/>
        <v>1</v>
      </c>
      <c r="G9" s="4761" t="s">
        <v>5814</v>
      </c>
      <c r="H9" s="4762" t="s">
        <v>5827</v>
      </c>
      <c r="I9" s="4763" t="s">
        <v>5784</v>
      </c>
      <c r="J9" s="4764">
        <v>21.6</v>
      </c>
      <c r="K9" s="4765">
        <v>14.4</v>
      </c>
      <c r="L9" s="4765">
        <v>308</v>
      </c>
      <c r="M9" s="4765">
        <v>2.9</v>
      </c>
      <c r="N9" s="4762">
        <v>21700</v>
      </c>
      <c r="O9" s="4766">
        <f t="shared" si="0"/>
        <v>21700</v>
      </c>
      <c r="P9" s="4857" t="s">
        <v>5992</v>
      </c>
      <c r="Q9" s="4858"/>
      <c r="R9" s="4859"/>
      <c r="S9" s="4858"/>
      <c r="T9" s="4859" t="s">
        <v>5815</v>
      </c>
      <c r="U9" s="4860">
        <v>0</v>
      </c>
      <c r="AC9" s="4941"/>
    </row>
    <row r="10" spans="1:31" s="5123" customFormat="1" ht="33.75" customHeight="1">
      <c r="A10" s="5112">
        <v>3</v>
      </c>
      <c r="B10" s="5065">
        <v>46283</v>
      </c>
      <c r="C10" s="5065">
        <v>46299</v>
      </c>
      <c r="D10" s="4948">
        <v>0</v>
      </c>
      <c r="E10" s="4948">
        <v>1</v>
      </c>
      <c r="F10" s="4912">
        <f t="shared" si="1"/>
        <v>17</v>
      </c>
      <c r="G10" s="5113" t="s">
        <v>5993</v>
      </c>
      <c r="H10" s="5114">
        <v>1</v>
      </c>
      <c r="I10" s="5115" t="s">
        <v>5784</v>
      </c>
      <c r="J10" s="5116">
        <v>14.4</v>
      </c>
      <c r="K10" s="5117">
        <v>10</v>
      </c>
      <c r="L10" s="5117">
        <v>140</v>
      </c>
      <c r="M10" s="5117">
        <v>2.9</v>
      </c>
      <c r="N10" s="5114">
        <v>23000</v>
      </c>
      <c r="O10" s="5118">
        <f t="shared" si="0"/>
        <v>391000</v>
      </c>
      <c r="P10" s="5119" t="s">
        <v>5992</v>
      </c>
      <c r="Q10" s="5120"/>
      <c r="R10" s="5121"/>
      <c r="S10" s="5120"/>
      <c r="T10" s="5121" t="s">
        <v>5815</v>
      </c>
      <c r="U10" s="5122">
        <v>0</v>
      </c>
    </row>
    <row r="11" spans="1:31" s="5123" customFormat="1" ht="33.75" customHeight="1">
      <c r="A11" s="5112">
        <v>4</v>
      </c>
      <c r="B11" s="5065">
        <v>46300</v>
      </c>
      <c r="C11" s="5065">
        <v>46300</v>
      </c>
      <c r="D11" s="4948">
        <v>0</v>
      </c>
      <c r="E11" s="4948">
        <v>0.5</v>
      </c>
      <c r="F11" s="4912">
        <f t="shared" si="1"/>
        <v>1</v>
      </c>
      <c r="G11" s="5113" t="s">
        <v>5993</v>
      </c>
      <c r="H11" s="5114">
        <v>1</v>
      </c>
      <c r="I11" s="5115" t="s">
        <v>5784</v>
      </c>
      <c r="J11" s="5116">
        <v>14.4</v>
      </c>
      <c r="K11" s="5117">
        <v>10</v>
      </c>
      <c r="L11" s="5117">
        <v>140</v>
      </c>
      <c r="M11" s="5117">
        <v>2.9</v>
      </c>
      <c r="N11" s="5114">
        <v>11500</v>
      </c>
      <c r="O11" s="5118">
        <f t="shared" si="0"/>
        <v>11500</v>
      </c>
      <c r="P11" s="5119" t="s">
        <v>5992</v>
      </c>
      <c r="Q11" s="5120"/>
      <c r="R11" s="5121"/>
      <c r="S11" s="5120"/>
      <c r="T11" s="5121" t="s">
        <v>5815</v>
      </c>
      <c r="U11" s="5122">
        <v>0</v>
      </c>
    </row>
    <row r="12" spans="1:31" ht="33.75" customHeight="1">
      <c r="A12" s="4758">
        <v>5</v>
      </c>
      <c r="B12" s="4816">
        <v>46283</v>
      </c>
      <c r="C12" s="4816">
        <v>46299</v>
      </c>
      <c r="D12" s="4759">
        <v>0</v>
      </c>
      <c r="E12" s="4759">
        <v>1</v>
      </c>
      <c r="F12" s="4760">
        <f t="shared" si="1"/>
        <v>17</v>
      </c>
      <c r="G12" s="4761" t="s">
        <v>5994</v>
      </c>
      <c r="H12" s="4762">
        <v>1</v>
      </c>
      <c r="I12" s="4763" t="s">
        <v>5784</v>
      </c>
      <c r="J12" s="4764">
        <v>14.4</v>
      </c>
      <c r="K12" s="4765">
        <v>10</v>
      </c>
      <c r="L12" s="4765">
        <v>140</v>
      </c>
      <c r="M12" s="4765">
        <v>2.9</v>
      </c>
      <c r="N12" s="4762">
        <v>18200</v>
      </c>
      <c r="O12" s="4766">
        <f t="shared" si="0"/>
        <v>309400</v>
      </c>
      <c r="P12" s="4857" t="s">
        <v>5992</v>
      </c>
      <c r="Q12" s="4858"/>
      <c r="R12" s="4859" t="s">
        <v>5815</v>
      </c>
      <c r="S12" s="4858">
        <v>0</v>
      </c>
      <c r="T12" s="4859" t="s">
        <v>5815</v>
      </c>
      <c r="U12" s="4860">
        <v>0</v>
      </c>
      <c r="AC12" s="4941"/>
    </row>
    <row r="13" spans="1:31" ht="33.75" customHeight="1">
      <c r="A13" s="4758">
        <v>6</v>
      </c>
      <c r="B13" s="4816">
        <v>46300</v>
      </c>
      <c r="C13" s="4816">
        <v>46300</v>
      </c>
      <c r="D13" s="4759">
        <v>0</v>
      </c>
      <c r="E13" s="4759">
        <v>0.5</v>
      </c>
      <c r="F13" s="4760">
        <f t="shared" si="1"/>
        <v>1</v>
      </c>
      <c r="G13" s="4761" t="s">
        <v>5994</v>
      </c>
      <c r="H13" s="4762">
        <v>1</v>
      </c>
      <c r="I13" s="4763" t="s">
        <v>5784</v>
      </c>
      <c r="J13" s="4764">
        <v>14.4</v>
      </c>
      <c r="K13" s="4765">
        <v>10</v>
      </c>
      <c r="L13" s="4765">
        <v>140</v>
      </c>
      <c r="M13" s="4765">
        <v>2.9</v>
      </c>
      <c r="N13" s="4762">
        <v>9100</v>
      </c>
      <c r="O13" s="4766">
        <f t="shared" si="0"/>
        <v>9100</v>
      </c>
      <c r="P13" s="4857" t="s">
        <v>5992</v>
      </c>
      <c r="Q13" s="4858"/>
      <c r="R13" s="4859" t="s">
        <v>5815</v>
      </c>
      <c r="S13" s="4858">
        <v>0</v>
      </c>
      <c r="T13" s="4859" t="s">
        <v>5815</v>
      </c>
      <c r="U13" s="4860">
        <v>0</v>
      </c>
      <c r="AC13" s="4941"/>
    </row>
    <row r="14" spans="1:31" s="5123" customFormat="1" ht="33.75" customHeight="1">
      <c r="A14" s="5112">
        <v>7</v>
      </c>
      <c r="B14" s="5065">
        <v>46283</v>
      </c>
      <c r="C14" s="5065">
        <v>46299</v>
      </c>
      <c r="D14" s="4948">
        <v>0</v>
      </c>
      <c r="E14" s="4948">
        <v>1</v>
      </c>
      <c r="F14" s="4912">
        <f t="shared" si="1"/>
        <v>17</v>
      </c>
      <c r="G14" s="5124" t="s">
        <v>5995</v>
      </c>
      <c r="H14" s="5114">
        <v>1</v>
      </c>
      <c r="I14" s="5115" t="s">
        <v>5784</v>
      </c>
      <c r="J14" s="5116">
        <v>14.4</v>
      </c>
      <c r="K14" s="5117">
        <v>10</v>
      </c>
      <c r="L14" s="5117">
        <v>140</v>
      </c>
      <c r="M14" s="5117">
        <v>2.9</v>
      </c>
      <c r="N14" s="5114">
        <v>18200</v>
      </c>
      <c r="O14" s="5118">
        <f t="shared" si="0"/>
        <v>309400</v>
      </c>
      <c r="P14" s="5119" t="s">
        <v>5992</v>
      </c>
      <c r="Q14" s="5120"/>
      <c r="R14" s="5121" t="s">
        <v>5815</v>
      </c>
      <c r="S14" s="5120">
        <v>0</v>
      </c>
      <c r="T14" s="5121" t="s">
        <v>5815</v>
      </c>
      <c r="U14" s="5122">
        <v>0</v>
      </c>
    </row>
    <row r="15" spans="1:31" s="5123" customFormat="1" ht="33.75" customHeight="1">
      <c r="A15" s="5112">
        <v>8</v>
      </c>
      <c r="B15" s="5065">
        <v>46300</v>
      </c>
      <c r="C15" s="5065">
        <v>46300</v>
      </c>
      <c r="D15" s="4948">
        <v>0</v>
      </c>
      <c r="E15" s="4948">
        <v>0.5</v>
      </c>
      <c r="F15" s="4912">
        <f t="shared" si="1"/>
        <v>1</v>
      </c>
      <c r="G15" s="5124" t="s">
        <v>5995</v>
      </c>
      <c r="H15" s="5114">
        <v>1</v>
      </c>
      <c r="I15" s="5115" t="s">
        <v>5784</v>
      </c>
      <c r="J15" s="5116">
        <v>14.4</v>
      </c>
      <c r="K15" s="5117">
        <v>10</v>
      </c>
      <c r="L15" s="5117">
        <v>140</v>
      </c>
      <c r="M15" s="5117">
        <v>2.9</v>
      </c>
      <c r="N15" s="5114">
        <v>9100</v>
      </c>
      <c r="O15" s="5118">
        <f t="shared" si="0"/>
        <v>9100</v>
      </c>
      <c r="P15" s="5119" t="s">
        <v>5992</v>
      </c>
      <c r="Q15" s="5120"/>
      <c r="R15" s="5121" t="s">
        <v>5815</v>
      </c>
      <c r="S15" s="5120">
        <v>0</v>
      </c>
      <c r="T15" s="5121" t="s">
        <v>5815</v>
      </c>
      <c r="U15" s="5122">
        <v>0</v>
      </c>
    </row>
    <row r="16" spans="1:31" ht="33.75" customHeight="1">
      <c r="A16" s="4758">
        <v>9</v>
      </c>
      <c r="B16" s="4816">
        <v>46283</v>
      </c>
      <c r="C16" s="4816">
        <v>46299</v>
      </c>
      <c r="D16" s="4759">
        <v>0</v>
      </c>
      <c r="E16" s="4759">
        <v>1</v>
      </c>
      <c r="F16" s="4760">
        <f t="shared" si="1"/>
        <v>17</v>
      </c>
      <c r="G16" s="4771" t="s">
        <v>5996</v>
      </c>
      <c r="H16" s="4762" t="s">
        <v>5827</v>
      </c>
      <c r="I16" s="4763" t="s">
        <v>5784</v>
      </c>
      <c r="J16" s="4764">
        <v>11</v>
      </c>
      <c r="K16" s="4765">
        <v>7</v>
      </c>
      <c r="L16" s="4765">
        <v>77</v>
      </c>
      <c r="M16" s="4765">
        <v>2.9</v>
      </c>
      <c r="N16" s="4762">
        <v>11200</v>
      </c>
      <c r="O16" s="4766">
        <f t="shared" si="0"/>
        <v>190400</v>
      </c>
      <c r="P16" s="4857" t="s">
        <v>5992</v>
      </c>
      <c r="Q16" s="4858"/>
      <c r="R16" s="4859"/>
      <c r="S16" s="4858"/>
      <c r="T16" s="4859" t="s">
        <v>5815</v>
      </c>
      <c r="U16" s="4860">
        <v>0</v>
      </c>
      <c r="AC16" s="4941"/>
    </row>
    <row r="17" spans="1:29" ht="33.75" customHeight="1">
      <c r="A17" s="4758">
        <v>10</v>
      </c>
      <c r="B17" s="4816">
        <v>46300</v>
      </c>
      <c r="C17" s="4816">
        <v>46300</v>
      </c>
      <c r="D17" s="4759">
        <v>0</v>
      </c>
      <c r="E17" s="4759">
        <v>0.5</v>
      </c>
      <c r="F17" s="4760">
        <f t="shared" si="1"/>
        <v>1</v>
      </c>
      <c r="G17" s="4771" t="s">
        <v>5996</v>
      </c>
      <c r="H17" s="4762" t="s">
        <v>5827</v>
      </c>
      <c r="I17" s="4763" t="s">
        <v>5784</v>
      </c>
      <c r="J17" s="4764">
        <v>11</v>
      </c>
      <c r="K17" s="4765">
        <v>7</v>
      </c>
      <c r="L17" s="4765">
        <v>77</v>
      </c>
      <c r="M17" s="4765">
        <v>2.9</v>
      </c>
      <c r="N17" s="4762">
        <v>5600</v>
      </c>
      <c r="O17" s="4766">
        <f t="shared" si="0"/>
        <v>5600</v>
      </c>
      <c r="P17" s="4857" t="s">
        <v>5992</v>
      </c>
      <c r="Q17" s="4858"/>
      <c r="R17" s="4859"/>
      <c r="S17" s="4858"/>
      <c r="T17" s="4859" t="s">
        <v>5815</v>
      </c>
      <c r="U17" s="4860">
        <v>0</v>
      </c>
      <c r="AC17" s="4941"/>
    </row>
    <row r="18" spans="1:29" ht="33.75" customHeight="1">
      <c r="A18" s="4758">
        <v>11</v>
      </c>
      <c r="B18" s="4816">
        <v>46283</v>
      </c>
      <c r="C18" s="4816">
        <v>46299</v>
      </c>
      <c r="D18" s="4759">
        <v>0</v>
      </c>
      <c r="E18" s="4759">
        <v>1</v>
      </c>
      <c r="F18" s="4760">
        <f t="shared" si="1"/>
        <v>17</v>
      </c>
      <c r="G18" s="4771" t="s">
        <v>5997</v>
      </c>
      <c r="H18" s="4762" t="s">
        <v>5827</v>
      </c>
      <c r="I18" s="4763" t="s">
        <v>5784</v>
      </c>
      <c r="J18" s="4764">
        <v>11</v>
      </c>
      <c r="K18" s="4765">
        <v>7</v>
      </c>
      <c r="L18" s="4765">
        <v>77</v>
      </c>
      <c r="M18" s="4765">
        <v>2.9</v>
      </c>
      <c r="N18" s="4762">
        <v>11200</v>
      </c>
      <c r="O18" s="4766">
        <f t="shared" si="0"/>
        <v>190400</v>
      </c>
      <c r="P18" s="4857" t="s">
        <v>5992</v>
      </c>
      <c r="Q18" s="4858"/>
      <c r="R18" s="4859"/>
      <c r="S18" s="4858"/>
      <c r="T18" s="4859" t="s">
        <v>5815</v>
      </c>
      <c r="U18" s="4860">
        <v>0</v>
      </c>
      <c r="AC18" s="4941"/>
    </row>
    <row r="19" spans="1:29" ht="33.75" customHeight="1">
      <c r="A19" s="4758">
        <v>12</v>
      </c>
      <c r="B19" s="4816">
        <v>46300</v>
      </c>
      <c r="C19" s="4816">
        <v>46300</v>
      </c>
      <c r="D19" s="4759">
        <v>0</v>
      </c>
      <c r="E19" s="4759">
        <v>0.5</v>
      </c>
      <c r="F19" s="4760">
        <f t="shared" si="1"/>
        <v>1</v>
      </c>
      <c r="G19" s="4771" t="s">
        <v>5997</v>
      </c>
      <c r="H19" s="4762" t="s">
        <v>5827</v>
      </c>
      <c r="I19" s="4763" t="s">
        <v>5784</v>
      </c>
      <c r="J19" s="4764">
        <v>11</v>
      </c>
      <c r="K19" s="4765">
        <v>7</v>
      </c>
      <c r="L19" s="4765">
        <v>77</v>
      </c>
      <c r="M19" s="4765">
        <v>2.9</v>
      </c>
      <c r="N19" s="4762">
        <v>5600</v>
      </c>
      <c r="O19" s="4766">
        <f t="shared" si="0"/>
        <v>5600</v>
      </c>
      <c r="P19" s="4857" t="s">
        <v>5992</v>
      </c>
      <c r="Q19" s="4858"/>
      <c r="R19" s="4859"/>
      <c r="S19" s="4858"/>
      <c r="T19" s="4859" t="s">
        <v>5815</v>
      </c>
      <c r="U19" s="4860">
        <v>0</v>
      </c>
      <c r="AC19" s="4941"/>
    </row>
    <row r="20" spans="1:29" ht="33.75" customHeight="1">
      <c r="A20" s="4758">
        <v>13</v>
      </c>
      <c r="B20" s="4816">
        <v>46283</v>
      </c>
      <c r="C20" s="4816">
        <v>46299</v>
      </c>
      <c r="D20" s="4759">
        <v>0</v>
      </c>
      <c r="E20" s="4759">
        <v>1</v>
      </c>
      <c r="F20" s="4760">
        <f t="shared" si="1"/>
        <v>17</v>
      </c>
      <c r="G20" s="4771" t="s">
        <v>5998</v>
      </c>
      <c r="H20" s="4762" t="s">
        <v>5827</v>
      </c>
      <c r="I20" s="4763" t="s">
        <v>5784</v>
      </c>
      <c r="J20" s="4764">
        <v>6</v>
      </c>
      <c r="K20" s="4765">
        <v>5</v>
      </c>
      <c r="L20" s="4765">
        <v>30</v>
      </c>
      <c r="M20" s="4765">
        <v>2.9</v>
      </c>
      <c r="N20" s="4762">
        <v>9800</v>
      </c>
      <c r="O20" s="4766">
        <f t="shared" si="0"/>
        <v>166600</v>
      </c>
      <c r="P20" s="4857" t="s">
        <v>5992</v>
      </c>
      <c r="Q20" s="4858"/>
      <c r="R20" s="4859"/>
      <c r="S20" s="4858"/>
      <c r="T20" s="4859" t="s">
        <v>5815</v>
      </c>
      <c r="U20" s="4860">
        <v>0</v>
      </c>
      <c r="AC20" s="4941"/>
    </row>
    <row r="21" spans="1:29" ht="33.75" customHeight="1">
      <c r="A21" s="4758">
        <v>14</v>
      </c>
      <c r="B21" s="4816">
        <v>46300</v>
      </c>
      <c r="C21" s="4816">
        <v>46300</v>
      </c>
      <c r="D21" s="4759">
        <v>0</v>
      </c>
      <c r="E21" s="4759">
        <v>0.5</v>
      </c>
      <c r="F21" s="4760">
        <f t="shared" si="1"/>
        <v>1</v>
      </c>
      <c r="G21" s="4771" t="s">
        <v>5998</v>
      </c>
      <c r="H21" s="4762" t="s">
        <v>5827</v>
      </c>
      <c r="I21" s="4763" t="s">
        <v>5784</v>
      </c>
      <c r="J21" s="4764">
        <v>6</v>
      </c>
      <c r="K21" s="4765">
        <v>5</v>
      </c>
      <c r="L21" s="4765">
        <v>30</v>
      </c>
      <c r="M21" s="4765">
        <v>2.9</v>
      </c>
      <c r="N21" s="4762">
        <v>4900</v>
      </c>
      <c r="O21" s="4766">
        <f t="shared" si="0"/>
        <v>4900</v>
      </c>
      <c r="P21" s="4857" t="s">
        <v>5992</v>
      </c>
      <c r="Q21" s="4858"/>
      <c r="R21" s="4859"/>
      <c r="S21" s="4858"/>
      <c r="T21" s="4859" t="s">
        <v>5815</v>
      </c>
      <c r="U21" s="4860">
        <v>0</v>
      </c>
      <c r="AC21" s="4941"/>
    </row>
    <row r="22" spans="1:29" ht="33.75" customHeight="1">
      <c r="A22" s="4758">
        <v>15</v>
      </c>
      <c r="B22" s="4816">
        <v>46283</v>
      </c>
      <c r="C22" s="4816">
        <v>46299</v>
      </c>
      <c r="D22" s="4759">
        <v>0</v>
      </c>
      <c r="E22" s="4759">
        <v>1</v>
      </c>
      <c r="F22" s="4760">
        <f t="shared" si="1"/>
        <v>17</v>
      </c>
      <c r="G22" s="4771" t="s">
        <v>5999</v>
      </c>
      <c r="H22" s="4762" t="s">
        <v>5827</v>
      </c>
      <c r="I22" s="4763" t="s">
        <v>5784</v>
      </c>
      <c r="J22" s="4764">
        <v>6</v>
      </c>
      <c r="K22" s="4765">
        <v>5</v>
      </c>
      <c r="L22" s="4765">
        <v>30</v>
      </c>
      <c r="M22" s="4765">
        <v>2.9</v>
      </c>
      <c r="N22" s="4762">
        <v>9800</v>
      </c>
      <c r="O22" s="4766">
        <f t="shared" si="0"/>
        <v>166600</v>
      </c>
      <c r="P22" s="4857" t="s">
        <v>5992</v>
      </c>
      <c r="Q22" s="4858"/>
      <c r="R22" s="4859"/>
      <c r="S22" s="4858"/>
      <c r="T22" s="4859" t="s">
        <v>5815</v>
      </c>
      <c r="U22" s="4860">
        <v>0</v>
      </c>
      <c r="AC22" s="4941"/>
    </row>
    <row r="23" spans="1:29" ht="33.75" customHeight="1">
      <c r="A23" s="4758">
        <v>16</v>
      </c>
      <c r="B23" s="4816">
        <v>46300</v>
      </c>
      <c r="C23" s="4816">
        <v>46300</v>
      </c>
      <c r="D23" s="4759">
        <v>0</v>
      </c>
      <c r="E23" s="4759">
        <v>0.5</v>
      </c>
      <c r="F23" s="4760">
        <f t="shared" si="1"/>
        <v>1</v>
      </c>
      <c r="G23" s="4771" t="s">
        <v>5999</v>
      </c>
      <c r="H23" s="4762" t="s">
        <v>5827</v>
      </c>
      <c r="I23" s="4763" t="s">
        <v>5784</v>
      </c>
      <c r="J23" s="4764">
        <v>6</v>
      </c>
      <c r="K23" s="4765">
        <v>5</v>
      </c>
      <c r="L23" s="4765">
        <v>30</v>
      </c>
      <c r="M23" s="4765">
        <v>2.9</v>
      </c>
      <c r="N23" s="4762">
        <v>4900</v>
      </c>
      <c r="O23" s="4766">
        <f t="shared" si="0"/>
        <v>4900</v>
      </c>
      <c r="P23" s="4857" t="s">
        <v>5992</v>
      </c>
      <c r="Q23" s="4858"/>
      <c r="R23" s="4859"/>
      <c r="S23" s="4858"/>
      <c r="T23" s="4859" t="s">
        <v>5815</v>
      </c>
      <c r="U23" s="4860">
        <v>0</v>
      </c>
      <c r="AC23" s="4941"/>
    </row>
    <row r="24" spans="1:29" ht="33.75" customHeight="1">
      <c r="A24" s="4758">
        <v>17</v>
      </c>
      <c r="B24" s="4816">
        <v>46283</v>
      </c>
      <c r="C24" s="4816">
        <v>46299</v>
      </c>
      <c r="D24" s="4759">
        <v>0</v>
      </c>
      <c r="E24" s="4759">
        <v>1</v>
      </c>
      <c r="F24" s="4760">
        <f t="shared" si="1"/>
        <v>17</v>
      </c>
      <c r="G24" s="4771" t="s">
        <v>6000</v>
      </c>
      <c r="H24" s="4762" t="s">
        <v>5827</v>
      </c>
      <c r="I24" s="4763" t="s">
        <v>5784</v>
      </c>
      <c r="J24" s="4764">
        <v>6</v>
      </c>
      <c r="K24" s="4765">
        <v>5</v>
      </c>
      <c r="L24" s="4765">
        <v>30</v>
      </c>
      <c r="M24" s="4765">
        <v>2.9</v>
      </c>
      <c r="N24" s="4762">
        <v>8400</v>
      </c>
      <c r="O24" s="4766">
        <f t="shared" si="0"/>
        <v>142800</v>
      </c>
      <c r="P24" s="4857" t="s">
        <v>5992</v>
      </c>
      <c r="Q24" s="4858"/>
      <c r="R24" s="4859"/>
      <c r="S24" s="4858"/>
      <c r="T24" s="4859" t="s">
        <v>5815</v>
      </c>
      <c r="U24" s="4860">
        <v>0</v>
      </c>
      <c r="AC24" s="4941"/>
    </row>
    <row r="25" spans="1:29" ht="33.75" customHeight="1">
      <c r="A25" s="4758">
        <v>18</v>
      </c>
      <c r="B25" s="4816">
        <v>46300</v>
      </c>
      <c r="C25" s="4816">
        <v>46300</v>
      </c>
      <c r="D25" s="4759">
        <v>0</v>
      </c>
      <c r="E25" s="4759">
        <v>0.5</v>
      </c>
      <c r="F25" s="4760">
        <f t="shared" si="1"/>
        <v>1</v>
      </c>
      <c r="G25" s="4771" t="s">
        <v>6000</v>
      </c>
      <c r="H25" s="4762" t="s">
        <v>5827</v>
      </c>
      <c r="I25" s="4763" t="s">
        <v>5784</v>
      </c>
      <c r="J25" s="4764">
        <v>6</v>
      </c>
      <c r="K25" s="4765">
        <v>5</v>
      </c>
      <c r="L25" s="4765">
        <v>30</v>
      </c>
      <c r="M25" s="4765">
        <v>2.9</v>
      </c>
      <c r="N25" s="4762">
        <v>4200</v>
      </c>
      <c r="O25" s="4766">
        <f t="shared" si="0"/>
        <v>4200</v>
      </c>
      <c r="P25" s="4857" t="s">
        <v>5992</v>
      </c>
      <c r="Q25" s="4858"/>
      <c r="R25" s="4859"/>
      <c r="S25" s="4858"/>
      <c r="T25" s="4859" t="s">
        <v>5815</v>
      </c>
      <c r="U25" s="4860">
        <v>0</v>
      </c>
      <c r="AC25" s="4941"/>
    </row>
    <row r="26" spans="1:29" ht="33.75" customHeight="1">
      <c r="A26" s="4758">
        <v>19</v>
      </c>
      <c r="B26" s="4816">
        <v>46283</v>
      </c>
      <c r="C26" s="4816">
        <v>46299</v>
      </c>
      <c r="D26" s="4759">
        <v>0</v>
      </c>
      <c r="E26" s="4759">
        <v>1</v>
      </c>
      <c r="F26" s="4760">
        <f t="shared" si="1"/>
        <v>17</v>
      </c>
      <c r="G26" s="4771" t="s">
        <v>6001</v>
      </c>
      <c r="H26" s="4762" t="s">
        <v>5827</v>
      </c>
      <c r="I26" s="4763" t="s">
        <v>5784</v>
      </c>
      <c r="J26" s="4764">
        <v>7</v>
      </c>
      <c r="K26" s="4765">
        <v>5</v>
      </c>
      <c r="L26" s="4765">
        <v>35</v>
      </c>
      <c r="M26" s="4765">
        <v>2.9</v>
      </c>
      <c r="N26" s="4762">
        <v>8400</v>
      </c>
      <c r="O26" s="4766">
        <f t="shared" si="0"/>
        <v>142800</v>
      </c>
      <c r="P26" s="4857" t="s">
        <v>5992</v>
      </c>
      <c r="Q26" s="4858"/>
      <c r="R26" s="4859"/>
      <c r="S26" s="4858"/>
      <c r="T26" s="4859" t="s">
        <v>5815</v>
      </c>
      <c r="U26" s="4860">
        <v>0</v>
      </c>
      <c r="AC26" s="4941"/>
    </row>
    <row r="27" spans="1:29" ht="33.75" customHeight="1">
      <c r="A27" s="4758">
        <v>20</v>
      </c>
      <c r="B27" s="4816">
        <v>46300</v>
      </c>
      <c r="C27" s="4816">
        <v>46300</v>
      </c>
      <c r="D27" s="4759">
        <v>0</v>
      </c>
      <c r="E27" s="4759">
        <v>0.5</v>
      </c>
      <c r="F27" s="4760">
        <f t="shared" si="1"/>
        <v>1</v>
      </c>
      <c r="G27" s="4771" t="s">
        <v>6001</v>
      </c>
      <c r="H27" s="4762" t="s">
        <v>5827</v>
      </c>
      <c r="I27" s="4763" t="s">
        <v>5784</v>
      </c>
      <c r="J27" s="4764">
        <v>7</v>
      </c>
      <c r="K27" s="4765">
        <v>5</v>
      </c>
      <c r="L27" s="4765">
        <v>35</v>
      </c>
      <c r="M27" s="4765">
        <v>2.9</v>
      </c>
      <c r="N27" s="4762">
        <v>4200</v>
      </c>
      <c r="O27" s="4766">
        <f t="shared" si="0"/>
        <v>4200</v>
      </c>
      <c r="P27" s="4857" t="s">
        <v>5992</v>
      </c>
      <c r="Q27" s="4858"/>
      <c r="R27" s="4859"/>
      <c r="S27" s="4858"/>
      <c r="T27" s="4859" t="s">
        <v>5815</v>
      </c>
      <c r="U27" s="4860">
        <v>0</v>
      </c>
      <c r="AC27" s="4941"/>
    </row>
    <row r="28" spans="1:29" ht="33.75" customHeight="1">
      <c r="A28" s="4758">
        <v>21</v>
      </c>
      <c r="B28" s="4816">
        <v>46283</v>
      </c>
      <c r="C28" s="4816">
        <v>46299</v>
      </c>
      <c r="D28" s="4759">
        <v>0</v>
      </c>
      <c r="E28" s="4759">
        <v>1</v>
      </c>
      <c r="F28" s="4760">
        <f t="shared" si="1"/>
        <v>17</v>
      </c>
      <c r="G28" s="4771" t="s">
        <v>6002</v>
      </c>
      <c r="H28" s="4762" t="s">
        <v>5827</v>
      </c>
      <c r="I28" s="4763" t="s">
        <v>5784</v>
      </c>
      <c r="J28" s="4764">
        <v>5</v>
      </c>
      <c r="K28" s="4765">
        <v>7</v>
      </c>
      <c r="L28" s="4765">
        <v>35</v>
      </c>
      <c r="M28" s="4765">
        <v>2.9</v>
      </c>
      <c r="N28" s="4762">
        <v>8400</v>
      </c>
      <c r="O28" s="4766">
        <f t="shared" si="0"/>
        <v>142800</v>
      </c>
      <c r="P28" s="4857" t="s">
        <v>5992</v>
      </c>
      <c r="Q28" s="4858"/>
      <c r="R28" s="4859"/>
      <c r="S28" s="4858"/>
      <c r="T28" s="4859" t="s">
        <v>5815</v>
      </c>
      <c r="U28" s="4860">
        <v>0</v>
      </c>
      <c r="AC28" s="4941"/>
    </row>
    <row r="29" spans="1:29" ht="33.75" customHeight="1">
      <c r="A29" s="4758">
        <v>22</v>
      </c>
      <c r="B29" s="4816">
        <v>46300</v>
      </c>
      <c r="C29" s="4816">
        <v>46300</v>
      </c>
      <c r="D29" s="4759">
        <v>0</v>
      </c>
      <c r="E29" s="4759">
        <v>0.5</v>
      </c>
      <c r="F29" s="4760">
        <f t="shared" si="1"/>
        <v>1</v>
      </c>
      <c r="G29" s="4771" t="s">
        <v>6002</v>
      </c>
      <c r="H29" s="4762" t="s">
        <v>5827</v>
      </c>
      <c r="I29" s="4763" t="s">
        <v>5784</v>
      </c>
      <c r="J29" s="4764">
        <v>5</v>
      </c>
      <c r="K29" s="4765">
        <v>7</v>
      </c>
      <c r="L29" s="4765">
        <v>35</v>
      </c>
      <c r="M29" s="4765">
        <v>2.9</v>
      </c>
      <c r="N29" s="4762">
        <v>4200</v>
      </c>
      <c r="O29" s="4766">
        <f t="shared" si="0"/>
        <v>4200</v>
      </c>
      <c r="P29" s="4857" t="s">
        <v>5992</v>
      </c>
      <c r="Q29" s="4858"/>
      <c r="R29" s="4859"/>
      <c r="S29" s="4858"/>
      <c r="T29" s="4859" t="s">
        <v>5815</v>
      </c>
      <c r="U29" s="4860">
        <v>0</v>
      </c>
      <c r="AC29" s="4941"/>
    </row>
    <row r="30" spans="1:29" ht="33.75" customHeight="1">
      <c r="A30" s="4758">
        <v>23</v>
      </c>
      <c r="B30" s="4816">
        <v>46283</v>
      </c>
      <c r="C30" s="4816">
        <v>46299</v>
      </c>
      <c r="D30" s="4759">
        <v>0</v>
      </c>
      <c r="E30" s="4759">
        <v>0.5</v>
      </c>
      <c r="F30" s="4760">
        <f t="shared" si="1"/>
        <v>17</v>
      </c>
      <c r="G30" s="4775" t="s">
        <v>6003</v>
      </c>
      <c r="H30" s="4762" t="s">
        <v>5827</v>
      </c>
      <c r="I30" s="4763" t="s">
        <v>5784</v>
      </c>
      <c r="J30" s="4764">
        <v>5</v>
      </c>
      <c r="K30" s="4765">
        <v>7</v>
      </c>
      <c r="L30" s="4765">
        <v>35</v>
      </c>
      <c r="M30" s="4765">
        <v>2.9</v>
      </c>
      <c r="N30" s="4762">
        <v>8400</v>
      </c>
      <c r="O30" s="4766">
        <f t="shared" si="0"/>
        <v>142800</v>
      </c>
      <c r="P30" s="4857" t="s">
        <v>5992</v>
      </c>
      <c r="Q30" s="4858"/>
      <c r="R30" s="4859"/>
      <c r="S30" s="4858"/>
      <c r="T30" s="4859" t="s">
        <v>5815</v>
      </c>
      <c r="U30" s="4860">
        <v>0</v>
      </c>
      <c r="AC30" s="4941"/>
    </row>
    <row r="31" spans="1:29" ht="33.75" customHeight="1">
      <c r="A31" s="4758">
        <v>24</v>
      </c>
      <c r="B31" s="4816">
        <v>46300</v>
      </c>
      <c r="C31" s="4816">
        <v>46300</v>
      </c>
      <c r="D31" s="4759">
        <v>0</v>
      </c>
      <c r="E31" s="4759">
        <v>1</v>
      </c>
      <c r="F31" s="4760">
        <f t="shared" si="1"/>
        <v>1</v>
      </c>
      <c r="G31" s="4775" t="s">
        <v>6003</v>
      </c>
      <c r="H31" s="4775" t="s">
        <v>5827</v>
      </c>
      <c r="I31" s="4763" t="s">
        <v>5784</v>
      </c>
      <c r="J31" s="4764">
        <v>5</v>
      </c>
      <c r="K31" s="4765">
        <v>7</v>
      </c>
      <c r="L31" s="4765">
        <v>35</v>
      </c>
      <c r="M31" s="4765">
        <v>2.9</v>
      </c>
      <c r="N31" s="4775">
        <v>4200</v>
      </c>
      <c r="O31" s="4766">
        <f t="shared" si="0"/>
        <v>4200</v>
      </c>
      <c r="P31" s="4857" t="s">
        <v>5992</v>
      </c>
      <c r="Q31" s="4919"/>
      <c r="R31" s="4920"/>
      <c r="S31" s="4919"/>
      <c r="T31" s="4859" t="s">
        <v>5815</v>
      </c>
      <c r="U31" s="4860">
        <v>0</v>
      </c>
      <c r="AC31" s="4941"/>
    </row>
    <row r="32" spans="1:29" s="5123" customFormat="1" ht="33.75" customHeight="1">
      <c r="A32" s="5112">
        <v>25</v>
      </c>
      <c r="B32" s="5065">
        <v>46283</v>
      </c>
      <c r="C32" s="5065">
        <v>46299</v>
      </c>
      <c r="D32" s="4948">
        <v>0</v>
      </c>
      <c r="E32" s="4948">
        <v>0.5</v>
      </c>
      <c r="F32" s="4912">
        <f t="shared" si="1"/>
        <v>17</v>
      </c>
      <c r="G32" s="5114" t="s">
        <v>6004</v>
      </c>
      <c r="H32" s="5125" t="s">
        <v>5827</v>
      </c>
      <c r="I32" s="5126" t="s">
        <v>5190</v>
      </c>
      <c r="J32" s="5116">
        <v>11</v>
      </c>
      <c r="K32" s="5117">
        <v>7</v>
      </c>
      <c r="L32" s="5117">
        <v>77</v>
      </c>
      <c r="M32" s="5117">
        <v>2.9</v>
      </c>
      <c r="N32" s="5125">
        <v>1150</v>
      </c>
      <c r="O32" s="5118">
        <f t="shared" si="0"/>
        <v>19550</v>
      </c>
      <c r="P32" s="5119" t="s">
        <v>5992</v>
      </c>
      <c r="Q32" s="5127"/>
      <c r="R32" s="5128"/>
      <c r="S32" s="5127"/>
      <c r="T32" s="5121"/>
      <c r="U32" s="5122"/>
    </row>
    <row r="33" spans="1:29" s="5123" customFormat="1" ht="33.75" customHeight="1">
      <c r="A33" s="5112">
        <v>26</v>
      </c>
      <c r="B33" s="5065">
        <v>46300</v>
      </c>
      <c r="C33" s="5065">
        <v>46300</v>
      </c>
      <c r="D33" s="4948">
        <v>0</v>
      </c>
      <c r="E33" s="4948">
        <v>1</v>
      </c>
      <c r="F33" s="4912">
        <f t="shared" si="1"/>
        <v>1</v>
      </c>
      <c r="G33" s="5114" t="s">
        <v>6004</v>
      </c>
      <c r="H33" s="5125" t="s">
        <v>5827</v>
      </c>
      <c r="I33" s="5126" t="s">
        <v>5190</v>
      </c>
      <c r="J33" s="5116">
        <v>11</v>
      </c>
      <c r="K33" s="5117">
        <v>7</v>
      </c>
      <c r="L33" s="5117">
        <v>77</v>
      </c>
      <c r="M33" s="5117">
        <v>2.9</v>
      </c>
      <c r="N33" s="5125">
        <v>1150</v>
      </c>
      <c r="O33" s="5118">
        <f t="shared" si="0"/>
        <v>1150</v>
      </c>
      <c r="P33" s="5119" t="s">
        <v>5992</v>
      </c>
      <c r="Q33" s="5127"/>
      <c r="R33" s="5128"/>
      <c r="S33" s="5127"/>
      <c r="T33" s="5121"/>
      <c r="U33" s="5122"/>
    </row>
    <row r="34" spans="1:29" s="5123" customFormat="1" ht="33.75" customHeight="1">
      <c r="A34" s="5112">
        <v>27</v>
      </c>
      <c r="B34" s="5065">
        <v>46283</v>
      </c>
      <c r="C34" s="5065">
        <v>46299</v>
      </c>
      <c r="D34" s="4948">
        <v>0</v>
      </c>
      <c r="E34" s="4948">
        <v>0.5</v>
      </c>
      <c r="F34" s="4912">
        <f t="shared" si="1"/>
        <v>17</v>
      </c>
      <c r="G34" s="5129" t="s">
        <v>6005</v>
      </c>
      <c r="H34" s="5125" t="s">
        <v>5827</v>
      </c>
      <c r="I34" s="5126" t="s">
        <v>5190</v>
      </c>
      <c r="J34" s="5116">
        <v>11</v>
      </c>
      <c r="K34" s="5117">
        <v>7</v>
      </c>
      <c r="L34" s="5117">
        <v>77</v>
      </c>
      <c r="M34" s="5117">
        <v>2.9</v>
      </c>
      <c r="N34" s="5125">
        <v>1150</v>
      </c>
      <c r="O34" s="5118">
        <f t="shared" si="0"/>
        <v>19550</v>
      </c>
      <c r="P34" s="5119" t="s">
        <v>5992</v>
      </c>
      <c r="Q34" s="5127"/>
      <c r="R34" s="5128"/>
      <c r="S34" s="5127"/>
      <c r="T34" s="5121"/>
      <c r="U34" s="5122"/>
    </row>
    <row r="35" spans="1:29" s="5123" customFormat="1" ht="33.75" customHeight="1">
      <c r="A35" s="5112">
        <v>28</v>
      </c>
      <c r="B35" s="5065">
        <v>46300</v>
      </c>
      <c r="C35" s="5065">
        <v>46300</v>
      </c>
      <c r="D35" s="4948">
        <v>0</v>
      </c>
      <c r="E35" s="4948">
        <v>1</v>
      </c>
      <c r="F35" s="4912">
        <f t="shared" si="1"/>
        <v>1</v>
      </c>
      <c r="G35" s="5129" t="s">
        <v>6005</v>
      </c>
      <c r="H35" s="5125" t="s">
        <v>5827</v>
      </c>
      <c r="I35" s="5126" t="s">
        <v>5190</v>
      </c>
      <c r="J35" s="5116">
        <v>11</v>
      </c>
      <c r="K35" s="5117">
        <v>7</v>
      </c>
      <c r="L35" s="5117">
        <v>77</v>
      </c>
      <c r="M35" s="5117">
        <v>2.9</v>
      </c>
      <c r="N35" s="5125">
        <v>1150</v>
      </c>
      <c r="O35" s="5118">
        <f t="shared" si="0"/>
        <v>1150</v>
      </c>
      <c r="P35" s="5119" t="s">
        <v>5992</v>
      </c>
      <c r="Q35" s="5127"/>
      <c r="R35" s="5128"/>
      <c r="S35" s="5127"/>
      <c r="T35" s="5121"/>
      <c r="U35" s="5122"/>
    </row>
    <row r="36" spans="1:29" s="5123" customFormat="1" ht="33.75" customHeight="1">
      <c r="A36" s="5112">
        <v>29</v>
      </c>
      <c r="B36" s="5065">
        <v>46283</v>
      </c>
      <c r="C36" s="5065">
        <v>46299</v>
      </c>
      <c r="D36" s="4948">
        <v>0</v>
      </c>
      <c r="E36" s="4948">
        <v>0.5</v>
      </c>
      <c r="F36" s="4912">
        <f t="shared" si="1"/>
        <v>17</v>
      </c>
      <c r="G36" s="5129" t="s">
        <v>6006</v>
      </c>
      <c r="H36" s="5125" t="s">
        <v>5827</v>
      </c>
      <c r="I36" s="5126" t="s">
        <v>5190</v>
      </c>
      <c r="J36" s="5116">
        <v>7</v>
      </c>
      <c r="K36" s="5117">
        <v>4</v>
      </c>
      <c r="L36" s="5117">
        <v>28</v>
      </c>
      <c r="M36" s="5117">
        <v>2</v>
      </c>
      <c r="N36" s="5125">
        <v>1150</v>
      </c>
      <c r="O36" s="5118">
        <f t="shared" si="0"/>
        <v>19550</v>
      </c>
      <c r="P36" s="5119" t="s">
        <v>5992</v>
      </c>
      <c r="Q36" s="5127"/>
      <c r="R36" s="5128"/>
      <c r="S36" s="5127"/>
      <c r="T36" s="5121"/>
      <c r="U36" s="5122"/>
    </row>
    <row r="37" spans="1:29" s="5123" customFormat="1" ht="33.75" customHeight="1">
      <c r="A37" s="5112">
        <v>30</v>
      </c>
      <c r="B37" s="5065">
        <v>46300</v>
      </c>
      <c r="C37" s="5065">
        <v>46300</v>
      </c>
      <c r="D37" s="4948">
        <v>0</v>
      </c>
      <c r="E37" s="4948">
        <v>1</v>
      </c>
      <c r="F37" s="4912">
        <f t="shared" si="1"/>
        <v>1</v>
      </c>
      <c r="G37" s="5129" t="s">
        <v>6006</v>
      </c>
      <c r="H37" s="5125" t="s">
        <v>5827</v>
      </c>
      <c r="I37" s="5126" t="s">
        <v>5190</v>
      </c>
      <c r="J37" s="5116">
        <v>7</v>
      </c>
      <c r="K37" s="5117">
        <v>4</v>
      </c>
      <c r="L37" s="5117">
        <v>28</v>
      </c>
      <c r="M37" s="5117">
        <v>2</v>
      </c>
      <c r="N37" s="5125">
        <v>1150</v>
      </c>
      <c r="O37" s="5118">
        <f t="shared" si="0"/>
        <v>1150</v>
      </c>
      <c r="P37" s="5119" t="s">
        <v>5992</v>
      </c>
      <c r="Q37" s="5127"/>
      <c r="R37" s="5128"/>
      <c r="S37" s="5127"/>
      <c r="T37" s="5121"/>
      <c r="U37" s="5122"/>
    </row>
    <row r="38" spans="1:29" s="5123" customFormat="1" ht="33.75" customHeight="1">
      <c r="A38" s="5112">
        <v>31</v>
      </c>
      <c r="B38" s="5065">
        <v>46283</v>
      </c>
      <c r="C38" s="5065">
        <v>46299</v>
      </c>
      <c r="D38" s="4948">
        <v>0</v>
      </c>
      <c r="E38" s="4948">
        <v>0.5</v>
      </c>
      <c r="F38" s="4912">
        <f t="shared" si="1"/>
        <v>17</v>
      </c>
      <c r="G38" s="5129" t="s">
        <v>6007</v>
      </c>
      <c r="H38" s="5125" t="s">
        <v>5827</v>
      </c>
      <c r="I38" s="5126" t="s">
        <v>5190</v>
      </c>
      <c r="J38" s="5116">
        <v>7</v>
      </c>
      <c r="K38" s="5117">
        <v>4</v>
      </c>
      <c r="L38" s="5117">
        <v>28</v>
      </c>
      <c r="M38" s="5117">
        <v>2</v>
      </c>
      <c r="N38" s="5125">
        <v>1150</v>
      </c>
      <c r="O38" s="5118">
        <f t="shared" si="0"/>
        <v>19550</v>
      </c>
      <c r="P38" s="5119" t="s">
        <v>5992</v>
      </c>
      <c r="Q38" s="5127"/>
      <c r="R38" s="5128"/>
      <c r="S38" s="5127"/>
      <c r="T38" s="5121"/>
      <c r="U38" s="5122"/>
    </row>
    <row r="39" spans="1:29" s="5123" customFormat="1" ht="33.75" customHeight="1">
      <c r="A39" s="5112">
        <v>32</v>
      </c>
      <c r="B39" s="5065">
        <v>46300</v>
      </c>
      <c r="C39" s="5065">
        <v>46300</v>
      </c>
      <c r="D39" s="4948">
        <v>0</v>
      </c>
      <c r="E39" s="4948">
        <v>1</v>
      </c>
      <c r="F39" s="4912">
        <f t="shared" si="1"/>
        <v>1</v>
      </c>
      <c r="G39" s="5129" t="s">
        <v>6007</v>
      </c>
      <c r="H39" s="5125" t="s">
        <v>5827</v>
      </c>
      <c r="I39" s="5126" t="s">
        <v>5190</v>
      </c>
      <c r="J39" s="5116">
        <v>7</v>
      </c>
      <c r="K39" s="5117">
        <v>4</v>
      </c>
      <c r="L39" s="5117">
        <v>28</v>
      </c>
      <c r="M39" s="5117">
        <v>2</v>
      </c>
      <c r="N39" s="5125">
        <v>1150</v>
      </c>
      <c r="O39" s="5118">
        <f t="shared" si="0"/>
        <v>1150</v>
      </c>
      <c r="P39" s="5119" t="s">
        <v>5992</v>
      </c>
      <c r="Q39" s="5127"/>
      <c r="R39" s="5128"/>
      <c r="S39" s="5127"/>
      <c r="T39" s="5121"/>
      <c r="U39" s="5122"/>
    </row>
    <row r="40" spans="1:29" s="5123" customFormat="1" ht="33.75" customHeight="1">
      <c r="A40" s="5112">
        <v>33</v>
      </c>
      <c r="B40" s="5065">
        <v>46283</v>
      </c>
      <c r="C40" s="5065">
        <v>46299</v>
      </c>
      <c r="D40" s="4948">
        <v>0</v>
      </c>
      <c r="E40" s="4948">
        <v>0.5</v>
      </c>
      <c r="F40" s="4912">
        <f t="shared" si="1"/>
        <v>17</v>
      </c>
      <c r="G40" s="5129" t="s">
        <v>6008</v>
      </c>
      <c r="H40" s="5125" t="s">
        <v>5827</v>
      </c>
      <c r="I40" s="5126" t="s">
        <v>5190</v>
      </c>
      <c r="J40" s="5116">
        <v>7</v>
      </c>
      <c r="K40" s="5117">
        <v>4</v>
      </c>
      <c r="L40" s="5117">
        <v>28</v>
      </c>
      <c r="M40" s="5117">
        <v>2.2000000000000002</v>
      </c>
      <c r="N40" s="5125">
        <v>1150</v>
      </c>
      <c r="O40" s="5118">
        <f t="shared" si="0"/>
        <v>19550</v>
      </c>
      <c r="P40" s="5119" t="s">
        <v>5992</v>
      </c>
      <c r="Q40" s="5127"/>
      <c r="R40" s="5128"/>
      <c r="S40" s="5127"/>
      <c r="T40" s="5121"/>
      <c r="U40" s="5122"/>
    </row>
    <row r="41" spans="1:29" s="5123" customFormat="1" ht="33.75" customHeight="1">
      <c r="A41" s="5112">
        <v>34</v>
      </c>
      <c r="B41" s="5065">
        <v>46300</v>
      </c>
      <c r="C41" s="5065">
        <v>46300</v>
      </c>
      <c r="D41" s="4948">
        <v>0</v>
      </c>
      <c r="E41" s="4948">
        <v>1</v>
      </c>
      <c r="F41" s="4912">
        <f t="shared" si="1"/>
        <v>1</v>
      </c>
      <c r="G41" s="5129" t="s">
        <v>6008</v>
      </c>
      <c r="H41" s="5125" t="s">
        <v>5827</v>
      </c>
      <c r="I41" s="5126" t="s">
        <v>5190</v>
      </c>
      <c r="J41" s="5116">
        <v>7</v>
      </c>
      <c r="K41" s="5117">
        <v>4</v>
      </c>
      <c r="L41" s="5117">
        <v>28</v>
      </c>
      <c r="M41" s="5117">
        <v>2</v>
      </c>
      <c r="N41" s="5125">
        <v>1150</v>
      </c>
      <c r="O41" s="5118">
        <f t="shared" si="0"/>
        <v>1150</v>
      </c>
      <c r="P41" s="5119" t="s">
        <v>5992</v>
      </c>
      <c r="Q41" s="5127"/>
      <c r="R41" s="5128"/>
      <c r="S41" s="5127"/>
      <c r="T41" s="5121"/>
      <c r="U41" s="5122"/>
    </row>
    <row r="42" spans="1:29" s="5123" customFormat="1" ht="33.75" customHeight="1">
      <c r="A42" s="5112">
        <v>35</v>
      </c>
      <c r="B42" s="5065">
        <v>46283</v>
      </c>
      <c r="C42" s="5065">
        <v>46299</v>
      </c>
      <c r="D42" s="4948">
        <v>0</v>
      </c>
      <c r="E42" s="4948">
        <v>0.5</v>
      </c>
      <c r="F42" s="4912">
        <f t="shared" si="1"/>
        <v>17</v>
      </c>
      <c r="G42" s="5129" t="s">
        <v>6009</v>
      </c>
      <c r="H42" s="5125" t="s">
        <v>5827</v>
      </c>
      <c r="I42" s="5126" t="s">
        <v>5190</v>
      </c>
      <c r="J42" s="5116">
        <v>7</v>
      </c>
      <c r="K42" s="5117">
        <v>5</v>
      </c>
      <c r="L42" s="5117">
        <v>35</v>
      </c>
      <c r="M42" s="5117">
        <v>3</v>
      </c>
      <c r="N42" s="5125">
        <v>1150</v>
      </c>
      <c r="O42" s="5118">
        <f t="shared" si="0"/>
        <v>19550</v>
      </c>
      <c r="P42" s="5119" t="s">
        <v>5992</v>
      </c>
      <c r="Q42" s="5127"/>
      <c r="R42" s="5128"/>
      <c r="S42" s="5127"/>
      <c r="T42" s="5121"/>
      <c r="U42" s="5122"/>
    </row>
    <row r="43" spans="1:29" s="5123" customFormat="1" ht="33.75" customHeight="1">
      <c r="A43" s="5112">
        <v>36</v>
      </c>
      <c r="B43" s="5065">
        <v>46300</v>
      </c>
      <c r="C43" s="5065">
        <v>46300</v>
      </c>
      <c r="D43" s="4948">
        <v>0</v>
      </c>
      <c r="E43" s="4948">
        <v>1</v>
      </c>
      <c r="F43" s="4912">
        <f t="shared" si="1"/>
        <v>1</v>
      </c>
      <c r="G43" s="5129" t="s">
        <v>6009</v>
      </c>
      <c r="H43" s="5125" t="s">
        <v>5827</v>
      </c>
      <c r="I43" s="5126" t="s">
        <v>5190</v>
      </c>
      <c r="J43" s="5116">
        <v>7</v>
      </c>
      <c r="K43" s="5117">
        <v>5</v>
      </c>
      <c r="L43" s="5117">
        <v>35</v>
      </c>
      <c r="M43" s="5117">
        <v>3</v>
      </c>
      <c r="N43" s="5125">
        <v>1150</v>
      </c>
      <c r="O43" s="5118">
        <f t="shared" si="0"/>
        <v>1150</v>
      </c>
      <c r="P43" s="5119" t="s">
        <v>5992</v>
      </c>
      <c r="Q43" s="5127"/>
      <c r="R43" s="5128"/>
      <c r="S43" s="5127"/>
      <c r="T43" s="5121"/>
      <c r="U43" s="5122"/>
    </row>
    <row r="44" spans="1:29" s="5123" customFormat="1" ht="33.75" customHeight="1">
      <c r="A44" s="5112">
        <v>37</v>
      </c>
      <c r="B44" s="5065">
        <v>46283</v>
      </c>
      <c r="C44" s="5065">
        <v>46299</v>
      </c>
      <c r="D44" s="4948">
        <v>0</v>
      </c>
      <c r="E44" s="4948">
        <v>0.5</v>
      </c>
      <c r="F44" s="4912">
        <f t="shared" si="1"/>
        <v>17</v>
      </c>
      <c r="G44" s="5129" t="s">
        <v>6010</v>
      </c>
      <c r="H44" s="5125" t="s">
        <v>5827</v>
      </c>
      <c r="I44" s="5126" t="s">
        <v>5190</v>
      </c>
      <c r="J44" s="5116">
        <v>7</v>
      </c>
      <c r="K44" s="5117">
        <v>5</v>
      </c>
      <c r="L44" s="5117">
        <v>35</v>
      </c>
      <c r="M44" s="5117">
        <v>3</v>
      </c>
      <c r="N44" s="5125">
        <v>1150</v>
      </c>
      <c r="O44" s="5118">
        <f t="shared" si="0"/>
        <v>19550</v>
      </c>
      <c r="P44" s="5119" t="s">
        <v>5992</v>
      </c>
      <c r="Q44" s="5127"/>
      <c r="R44" s="5128"/>
      <c r="S44" s="5127"/>
      <c r="T44" s="5121"/>
      <c r="U44" s="5122"/>
    </row>
    <row r="45" spans="1:29" s="5123" customFormat="1" ht="33.75" customHeight="1" thickBot="1">
      <c r="A45" s="5112">
        <v>38</v>
      </c>
      <c r="B45" s="5065">
        <v>46300</v>
      </c>
      <c r="C45" s="5065">
        <v>46300</v>
      </c>
      <c r="D45" s="4948">
        <v>0</v>
      </c>
      <c r="E45" s="4948">
        <v>1</v>
      </c>
      <c r="F45" s="4912">
        <f t="shared" si="1"/>
        <v>1</v>
      </c>
      <c r="G45" s="5129" t="s">
        <v>6010</v>
      </c>
      <c r="H45" s="5125" t="s">
        <v>5827</v>
      </c>
      <c r="I45" s="5126" t="s">
        <v>5190</v>
      </c>
      <c r="J45" s="5116">
        <v>7</v>
      </c>
      <c r="K45" s="5117">
        <v>5</v>
      </c>
      <c r="L45" s="5117">
        <v>35</v>
      </c>
      <c r="M45" s="5117">
        <v>3</v>
      </c>
      <c r="N45" s="5125">
        <v>1150</v>
      </c>
      <c r="O45" s="5118">
        <f t="shared" si="0"/>
        <v>1150</v>
      </c>
      <c r="P45" s="5119" t="s">
        <v>5992</v>
      </c>
      <c r="Q45" s="5127"/>
      <c r="R45" s="5128"/>
      <c r="S45" s="5127"/>
      <c r="T45" s="5121"/>
      <c r="U45" s="5130"/>
    </row>
    <row r="46" spans="1:29" ht="33.75" customHeight="1" thickTop="1" thickBot="1">
      <c r="A46" s="4778" t="s">
        <v>5845</v>
      </c>
      <c r="B46" s="4779"/>
      <c r="C46" s="4779"/>
      <c r="D46" s="4779"/>
      <c r="E46" s="4779"/>
      <c r="F46" s="4780">
        <f>SUM(F8:F45)</f>
        <v>342</v>
      </c>
      <c r="G46" s="4779"/>
      <c r="H46" s="4781"/>
      <c r="I46" s="4782">
        <f>COUNTA(I8,I10,I12,I14,I16,I18,I20,I22,I24,I26,I28,I30,I32,I34,I36,I38,I40,I42,I44)</f>
        <v>19</v>
      </c>
      <c r="J46" s="4783"/>
      <c r="K46" s="4784"/>
      <c r="L46" s="4784"/>
      <c r="M46" s="4784"/>
      <c r="N46" s="5131"/>
      <c r="O46" s="4922">
        <f>SUM(O8:O45)</f>
        <v>3266900</v>
      </c>
      <c r="P46" s="5132"/>
      <c r="Q46" s="5132"/>
      <c r="R46" s="5133"/>
      <c r="S46" s="5134"/>
      <c r="T46" s="5133"/>
      <c r="U46" s="5135"/>
      <c r="AC46" s="4941"/>
    </row>
    <row r="47" spans="1:29" ht="33.75" customHeight="1" thickBot="1">
      <c r="A47" s="4876" t="s">
        <v>5792</v>
      </c>
      <c r="B47" s="4877"/>
      <c r="C47" s="4878"/>
      <c r="D47" s="4878"/>
      <c r="E47" s="4878"/>
      <c r="F47" s="4879"/>
      <c r="G47" s="4878"/>
      <c r="H47" s="4880"/>
      <c r="I47" s="4878"/>
      <c r="J47" s="4881"/>
      <c r="K47" s="4881"/>
      <c r="L47" s="4881"/>
      <c r="M47" s="4881"/>
      <c r="N47" s="5136"/>
      <c r="O47" s="4923">
        <f>O46*1.1</f>
        <v>3593590.0000000005</v>
      </c>
      <c r="P47" s="5137"/>
      <c r="Q47" s="4963"/>
      <c r="R47" s="4964"/>
      <c r="S47" s="4965"/>
      <c r="T47" s="4964"/>
      <c r="U47" s="4966"/>
      <c r="AC47" s="4941"/>
    </row>
    <row r="48" spans="1:29" ht="33.75" customHeight="1">
      <c r="A48" s="4943"/>
      <c r="B48" s="5138"/>
      <c r="C48" s="5138"/>
      <c r="D48" s="5138"/>
      <c r="G48" s="5138"/>
      <c r="H48" s="5138"/>
      <c r="M48" s="4808" t="s">
        <v>5748</v>
      </c>
      <c r="N48" s="4809">
        <f>SUM(N8,N10,N12,N14,N16,N18,N20,N22,N24,N26,N28,N30,N32,N34,N36,N38,N40,N42,N44)</f>
        <v>186450</v>
      </c>
      <c r="O48" s="4943"/>
      <c r="P48" s="4941"/>
      <c r="Q48" s="4941"/>
      <c r="AC48" s="4941"/>
    </row>
    <row r="49" spans="1:31" ht="32.15" customHeight="1">
      <c r="B49" s="4941"/>
      <c r="C49" s="4941"/>
      <c r="D49" s="4941"/>
      <c r="E49" s="4810"/>
      <c r="F49" s="4811"/>
      <c r="G49" s="4941"/>
      <c r="H49" s="4941"/>
      <c r="M49" s="4808" t="s">
        <v>5750</v>
      </c>
      <c r="N49" s="4809">
        <f>N48*1.1</f>
        <v>205095.00000000003</v>
      </c>
      <c r="O49" s="4943"/>
      <c r="P49" s="4941"/>
      <c r="Q49" s="4941"/>
      <c r="AC49" s="4941"/>
    </row>
    <row r="50" spans="1:31" ht="32.15" customHeight="1">
      <c r="A50" s="5139"/>
      <c r="B50" s="5140"/>
      <c r="C50" s="5140"/>
      <c r="D50" s="5140"/>
      <c r="E50" s="5141"/>
      <c r="F50" s="5141"/>
      <c r="G50" s="5140"/>
      <c r="H50" s="5140"/>
      <c r="I50" s="5139"/>
      <c r="J50" s="5139"/>
      <c r="K50" s="5139"/>
      <c r="L50" s="5139"/>
      <c r="M50" s="5139"/>
      <c r="N50" s="5139"/>
      <c r="O50" s="5142"/>
      <c r="P50" s="5142"/>
      <c r="Q50" s="5142"/>
      <c r="R50" s="4943"/>
      <c r="S50" s="5139"/>
      <c r="T50" s="4943"/>
      <c r="U50" s="5139"/>
      <c r="W50" s="6916"/>
      <c r="X50" s="6916"/>
      <c r="Y50" s="6916"/>
      <c r="Z50" s="6916"/>
      <c r="AA50" s="6916"/>
      <c r="AB50" s="6915"/>
      <c r="AC50" s="6915"/>
      <c r="AD50" s="6915"/>
      <c r="AE50" s="6915"/>
    </row>
    <row r="51" spans="1:31" ht="36" customHeight="1"/>
    <row r="52" spans="1:31" ht="36" customHeight="1"/>
    <row r="53" spans="1:31" ht="36" customHeight="1"/>
    <row r="54" spans="1:31" ht="36" customHeight="1"/>
    <row r="55" spans="1:31" ht="36" customHeight="1"/>
    <row r="56" spans="1:31" ht="36" customHeight="1"/>
    <row r="57" spans="1:31" ht="36" customHeight="1"/>
    <row r="58" spans="1:31" ht="36" customHeight="1"/>
    <row r="59" spans="1:31" ht="36" customHeight="1"/>
    <row r="60" spans="1:31" ht="36" customHeight="1"/>
    <row r="61" spans="1:31" ht="10.4" customHeight="1">
      <c r="B61" s="4941"/>
      <c r="C61" s="4941"/>
      <c r="D61" s="4941"/>
      <c r="G61" s="4941"/>
      <c r="H61" s="4941"/>
      <c r="O61" s="4943"/>
      <c r="P61" s="4941"/>
      <c r="Q61" s="4941"/>
      <c r="AC61" s="4941"/>
    </row>
  </sheetData>
  <mergeCells count="21">
    <mergeCell ref="A2:B2"/>
    <mergeCell ref="C2:G2"/>
    <mergeCell ref="A5:A6"/>
    <mergeCell ref="B5:B6"/>
    <mergeCell ref="C5:C6"/>
    <mergeCell ref="D5:D6"/>
    <mergeCell ref="E5:E6"/>
    <mergeCell ref="F5:F6"/>
    <mergeCell ref="G5:G6"/>
    <mergeCell ref="AB50:AE50"/>
    <mergeCell ref="H5:H6"/>
    <mergeCell ref="I5:I6"/>
    <mergeCell ref="J5:J6"/>
    <mergeCell ref="K5:K6"/>
    <mergeCell ref="L5:L6"/>
    <mergeCell ref="M5:M6"/>
    <mergeCell ref="N5:N6"/>
    <mergeCell ref="O5:O6"/>
    <mergeCell ref="P5:Q5"/>
    <mergeCell ref="R5:U5"/>
    <mergeCell ref="W50:AA50"/>
  </mergeCells>
  <phoneticPr fontId="2"/>
  <conditionalFormatting sqref="B8:E45 G8:N45 P8:U45">
    <cfRule type="containsBlanks" dxfId="650" priority="1">
      <formula>LEN(TRIM(B8))=0</formula>
    </cfRule>
  </conditionalFormatting>
  <conditionalFormatting sqref="C2:D2">
    <cfRule type="containsBlanks" dxfId="649" priority="2">
      <formula>LEN(TRIM(C2))=0</formula>
    </cfRule>
  </conditionalFormatting>
  <dataValidations count="1">
    <dataValidation type="list" allowBlank="1" showInputMessage="1" showErrorMessage="1" sqref="I7:I45" xr:uid="{5B5F2CE0-EC8A-41F2-80FE-3B6531FCB818}">
      <formula1>会場形態</formula1>
    </dataValidation>
  </dataValidations>
  <printOptions horizontalCentered="1"/>
  <pageMargins left="0.39370078740157483" right="0.39370078740157483" top="0.55118110236220474" bottom="0.55118110236220474" header="0.31496062992125984" footer="0.31496062992125984"/>
  <pageSetup paperSize="9" scale="34" orientation="landscape" r:id="rId1"/>
  <headerFooter>
    <oddHeader>&amp;R&amp;G</oddHead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88FD8-EC74-4DC0-9D8A-795E41D92370}">
  <sheetPr codeName="Sheet335">
    <tabColor rgb="FFFFFF66"/>
    <pageSetUpPr fitToPage="1"/>
  </sheetPr>
  <dimension ref="A1:AF53"/>
  <sheetViews>
    <sheetView topLeftCell="A32" zoomScale="70" zoomScaleNormal="70"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453125" style="4825"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c r="S1" s="4656"/>
      <c r="U1" s="4660"/>
      <c r="W1" s="4656"/>
    </row>
    <row r="2" spans="1:32" ht="44.25" customHeight="1">
      <c r="A2" s="5143" t="s">
        <v>2306</v>
      </c>
      <c r="B2" s="5144"/>
      <c r="D2" s="5145"/>
      <c r="E2" s="5145"/>
      <c r="F2" s="5145"/>
      <c r="G2" s="5145"/>
      <c r="I2" s="4662"/>
      <c r="J2" s="4663"/>
      <c r="L2" s="4663"/>
      <c r="M2" s="4663"/>
      <c r="N2" s="5042"/>
      <c r="O2" s="4663"/>
      <c r="S2" s="4656"/>
      <c r="U2" s="4660"/>
      <c r="W2" s="4656"/>
      <c r="AE2" s="4664" t="s">
        <v>5710</v>
      </c>
    </row>
    <row r="3" spans="1:32" ht="14.5" customHeight="1">
      <c r="D3" s="4806" t="s">
        <v>6011</v>
      </c>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46276</v>
      </c>
      <c r="C8" s="4816">
        <v>46278</v>
      </c>
      <c r="D8" s="4817">
        <f t="shared" ref="D8:D16" si="0">IF(_xlfn.DAYS(C8,B8)=0,"1",_xlfn.DAYS(C8,B8))</f>
        <v>2</v>
      </c>
      <c r="E8" s="4816">
        <v>46298</v>
      </c>
      <c r="F8" s="4818">
        <f t="shared" ref="F8:F16" si="1">IF(_xlfn.DAYS(E8,C8)=0,"1",_xlfn.DAYS(E8,C8))+1</f>
        <v>21</v>
      </c>
      <c r="G8" s="5146">
        <v>46300</v>
      </c>
      <c r="H8" s="4672">
        <f t="shared" ref="H8:H16" si="2">IF(_xlfn.DAYS(G8,E8)=0,"1",_xlfn.DAYS(G8,E8))-1</f>
        <v>1</v>
      </c>
      <c r="I8" s="4691" t="s">
        <v>6012</v>
      </c>
      <c r="J8" s="4692">
        <v>19</v>
      </c>
      <c r="K8" s="4693">
        <v>17</v>
      </c>
      <c r="L8" s="4692">
        <v>19578</v>
      </c>
      <c r="M8" s="4692">
        <v>24000</v>
      </c>
      <c r="N8" s="4971">
        <f>M8*K8</f>
        <v>408000</v>
      </c>
      <c r="O8" s="4692">
        <v>19578</v>
      </c>
      <c r="P8" s="4678">
        <f>SUM(D8,F8,H8)*K8</f>
        <v>408</v>
      </c>
      <c r="Q8" s="4679">
        <f t="shared" ref="Q8:Q16" si="3">(D8*L8+F8*M8+H8*O8)*K8</f>
        <v>9566478</v>
      </c>
      <c r="R8" s="4692">
        <v>21</v>
      </c>
      <c r="S8" s="4680" t="s">
        <v>5742</v>
      </c>
      <c r="T8" s="4694">
        <v>21</v>
      </c>
      <c r="U8" s="4700">
        <v>1</v>
      </c>
      <c r="V8" s="4692">
        <v>140</v>
      </c>
      <c r="W8" s="4680" t="s">
        <v>2688</v>
      </c>
      <c r="X8" s="4695">
        <v>210</v>
      </c>
      <c r="Y8" s="4692">
        <v>1</v>
      </c>
      <c r="Z8" s="4692" t="s">
        <v>5743</v>
      </c>
      <c r="AA8" s="4683" t="s">
        <v>5035</v>
      </c>
      <c r="AB8" s="4692" t="s">
        <v>2814</v>
      </c>
      <c r="AC8" s="4683" t="s">
        <v>5050</v>
      </c>
      <c r="AD8" s="4692" t="s">
        <v>2814</v>
      </c>
      <c r="AE8" s="4696"/>
      <c r="AF8" s="4685">
        <f>U8*K8</f>
        <v>17</v>
      </c>
    </row>
    <row r="9" spans="1:32" ht="33.75" customHeight="1">
      <c r="A9" s="4686">
        <v>2</v>
      </c>
      <c r="B9" s="4687">
        <v>46276</v>
      </c>
      <c r="C9" s="4816">
        <v>46278</v>
      </c>
      <c r="D9" s="4817">
        <f t="shared" si="0"/>
        <v>2</v>
      </c>
      <c r="E9" s="4816">
        <v>46298</v>
      </c>
      <c r="F9" s="4818">
        <f t="shared" si="1"/>
        <v>21</v>
      </c>
      <c r="G9" s="5146">
        <v>46300</v>
      </c>
      <c r="H9" s="4672">
        <f t="shared" si="2"/>
        <v>1</v>
      </c>
      <c r="I9" s="4691" t="s">
        <v>6013</v>
      </c>
      <c r="J9" s="4692">
        <v>70</v>
      </c>
      <c r="K9" s="5147">
        <v>66</v>
      </c>
      <c r="L9" s="4692">
        <v>20578</v>
      </c>
      <c r="M9" s="4692">
        <v>25000</v>
      </c>
      <c r="N9" s="4971">
        <f t="shared" ref="N9:N16" si="4">M9*K9</f>
        <v>1650000</v>
      </c>
      <c r="O9" s="4692">
        <v>20578</v>
      </c>
      <c r="P9" s="4678">
        <f t="shared" ref="P9:P16" si="5">SUM(D9,F9,H9)*K9</f>
        <v>1584</v>
      </c>
      <c r="Q9" s="4679">
        <f t="shared" si="3"/>
        <v>38724444</v>
      </c>
      <c r="R9" s="4692">
        <v>23</v>
      </c>
      <c r="S9" s="4680" t="s">
        <v>5742</v>
      </c>
      <c r="T9" s="4694">
        <v>23</v>
      </c>
      <c r="U9" s="4700">
        <v>1</v>
      </c>
      <c r="V9" s="4692">
        <v>140</v>
      </c>
      <c r="W9" s="4680" t="s">
        <v>2688</v>
      </c>
      <c r="X9" s="4695">
        <v>210</v>
      </c>
      <c r="Y9" s="4692">
        <v>1</v>
      </c>
      <c r="Z9" s="4692" t="s">
        <v>5743</v>
      </c>
      <c r="AA9" s="4683" t="s">
        <v>5035</v>
      </c>
      <c r="AB9" s="4692" t="s">
        <v>2814</v>
      </c>
      <c r="AC9" s="4683" t="s">
        <v>5050</v>
      </c>
      <c r="AD9" s="4692" t="s">
        <v>2814</v>
      </c>
      <c r="AE9" s="4696"/>
      <c r="AF9" s="4685">
        <f t="shared" ref="AF9:AF16" si="6">U9*K9</f>
        <v>66</v>
      </c>
    </row>
    <row r="10" spans="1:32" ht="33.75" customHeight="1">
      <c r="A10" s="4686">
        <v>3</v>
      </c>
      <c r="B10" s="4687">
        <v>46276</v>
      </c>
      <c r="C10" s="4816">
        <v>46278</v>
      </c>
      <c r="D10" s="4817">
        <f t="shared" si="0"/>
        <v>2</v>
      </c>
      <c r="E10" s="4816">
        <v>46298</v>
      </c>
      <c r="F10" s="4818">
        <f t="shared" si="1"/>
        <v>21</v>
      </c>
      <c r="G10" s="5146">
        <v>46300</v>
      </c>
      <c r="H10" s="4672">
        <f t="shared" si="2"/>
        <v>1</v>
      </c>
      <c r="I10" s="4691" t="s">
        <v>5187</v>
      </c>
      <c r="J10" s="4692">
        <v>8</v>
      </c>
      <c r="K10" s="4693">
        <v>7</v>
      </c>
      <c r="L10" s="4692">
        <v>25578</v>
      </c>
      <c r="M10" s="4692">
        <v>30000</v>
      </c>
      <c r="N10" s="4971">
        <f t="shared" si="4"/>
        <v>210000</v>
      </c>
      <c r="O10" s="4692">
        <v>25578</v>
      </c>
      <c r="P10" s="4678">
        <f t="shared" si="5"/>
        <v>168</v>
      </c>
      <c r="Q10" s="4679">
        <f t="shared" si="3"/>
        <v>4947138</v>
      </c>
      <c r="R10" s="4692">
        <v>28</v>
      </c>
      <c r="S10" s="4680" t="s">
        <v>5742</v>
      </c>
      <c r="T10" s="4694">
        <v>28</v>
      </c>
      <c r="U10" s="4700">
        <v>1</v>
      </c>
      <c r="V10" s="4692">
        <v>140</v>
      </c>
      <c r="W10" s="4680" t="s">
        <v>2688</v>
      </c>
      <c r="X10" s="4695">
        <v>210</v>
      </c>
      <c r="Y10" s="4692">
        <v>1</v>
      </c>
      <c r="Z10" s="4692" t="s">
        <v>5743</v>
      </c>
      <c r="AA10" s="4683" t="s">
        <v>5035</v>
      </c>
      <c r="AB10" s="4692" t="s">
        <v>2814</v>
      </c>
      <c r="AC10" s="4683" t="s">
        <v>5050</v>
      </c>
      <c r="AD10" s="4692" t="s">
        <v>2814</v>
      </c>
      <c r="AE10" s="4696"/>
      <c r="AF10" s="4685">
        <f t="shared" si="6"/>
        <v>7</v>
      </c>
    </row>
    <row r="11" spans="1:32" ht="33.75" customHeight="1">
      <c r="A11" s="4686">
        <v>4</v>
      </c>
      <c r="B11" s="4687">
        <v>46276</v>
      </c>
      <c r="C11" s="4816">
        <v>46278</v>
      </c>
      <c r="D11" s="4817">
        <f t="shared" si="0"/>
        <v>2</v>
      </c>
      <c r="E11" s="4816">
        <v>46298</v>
      </c>
      <c r="F11" s="4818">
        <f t="shared" si="1"/>
        <v>21</v>
      </c>
      <c r="G11" s="5146">
        <v>46300</v>
      </c>
      <c r="H11" s="4672">
        <f t="shared" si="2"/>
        <v>1</v>
      </c>
      <c r="I11" s="4691" t="s">
        <v>5058</v>
      </c>
      <c r="J11" s="4692">
        <v>14</v>
      </c>
      <c r="K11" s="4693">
        <v>14</v>
      </c>
      <c r="L11" s="4692">
        <v>28578</v>
      </c>
      <c r="M11" s="4692">
        <v>33000</v>
      </c>
      <c r="N11" s="4971">
        <f t="shared" si="4"/>
        <v>462000</v>
      </c>
      <c r="O11" s="4692">
        <v>28578</v>
      </c>
      <c r="P11" s="4678">
        <f t="shared" si="5"/>
        <v>336</v>
      </c>
      <c r="Q11" s="4679">
        <f t="shared" si="3"/>
        <v>10902276</v>
      </c>
      <c r="R11" s="4692">
        <v>31</v>
      </c>
      <c r="S11" s="4680" t="s">
        <v>5742</v>
      </c>
      <c r="T11" s="4694">
        <v>31</v>
      </c>
      <c r="U11" s="4700">
        <v>1</v>
      </c>
      <c r="V11" s="4692">
        <v>180</v>
      </c>
      <c r="W11" s="4680" t="s">
        <v>2688</v>
      </c>
      <c r="X11" s="4695">
        <v>210</v>
      </c>
      <c r="Y11" s="4692">
        <v>1</v>
      </c>
      <c r="Z11" s="4692" t="s">
        <v>5953</v>
      </c>
      <c r="AA11" s="4683" t="s">
        <v>5035</v>
      </c>
      <c r="AB11" s="4692" t="s">
        <v>2814</v>
      </c>
      <c r="AC11" s="4683" t="s">
        <v>5050</v>
      </c>
      <c r="AD11" s="4692" t="s">
        <v>2814</v>
      </c>
      <c r="AE11" s="4696"/>
      <c r="AF11" s="4685">
        <f t="shared" si="6"/>
        <v>14</v>
      </c>
    </row>
    <row r="12" spans="1:32" ht="33.75" customHeight="1">
      <c r="A12" s="4686">
        <v>5</v>
      </c>
      <c r="B12" s="4687">
        <v>46276</v>
      </c>
      <c r="C12" s="4816">
        <v>46278</v>
      </c>
      <c r="D12" s="4817">
        <f t="shared" si="0"/>
        <v>2</v>
      </c>
      <c r="E12" s="4816">
        <v>46298</v>
      </c>
      <c r="F12" s="4818">
        <f t="shared" si="1"/>
        <v>21</v>
      </c>
      <c r="G12" s="5146">
        <v>46300</v>
      </c>
      <c r="H12" s="4672">
        <f t="shared" si="2"/>
        <v>1</v>
      </c>
      <c r="I12" s="4691" t="s">
        <v>5069</v>
      </c>
      <c r="J12" s="4692">
        <v>25</v>
      </c>
      <c r="K12" s="4693">
        <v>25</v>
      </c>
      <c r="L12" s="4692">
        <v>45156</v>
      </c>
      <c r="M12" s="4692">
        <v>54000</v>
      </c>
      <c r="N12" s="4971">
        <f t="shared" si="4"/>
        <v>1350000</v>
      </c>
      <c r="O12" s="4692">
        <v>45156</v>
      </c>
      <c r="P12" s="4678">
        <f t="shared" si="5"/>
        <v>600</v>
      </c>
      <c r="Q12" s="4679">
        <f t="shared" si="3"/>
        <v>31736700</v>
      </c>
      <c r="R12" s="4692">
        <v>30</v>
      </c>
      <c r="S12" s="4680" t="s">
        <v>5742</v>
      </c>
      <c r="T12" s="4694">
        <v>30</v>
      </c>
      <c r="U12" s="4700">
        <v>2</v>
      </c>
      <c r="V12" s="4692">
        <v>120</v>
      </c>
      <c r="W12" s="4680" t="s">
        <v>2688</v>
      </c>
      <c r="X12" s="4695">
        <v>210</v>
      </c>
      <c r="Y12" s="4692">
        <v>2</v>
      </c>
      <c r="Z12" s="4692" t="s">
        <v>5953</v>
      </c>
      <c r="AA12" s="4683" t="s">
        <v>5035</v>
      </c>
      <c r="AB12" s="4692" t="s">
        <v>2814</v>
      </c>
      <c r="AC12" s="4683" t="s">
        <v>5050</v>
      </c>
      <c r="AD12" s="4692" t="s">
        <v>2814</v>
      </c>
      <c r="AE12" s="4696"/>
      <c r="AF12" s="4685">
        <f t="shared" si="6"/>
        <v>50</v>
      </c>
    </row>
    <row r="13" spans="1:32" ht="33.75" customHeight="1">
      <c r="A13" s="4686">
        <v>6</v>
      </c>
      <c r="B13" s="4687">
        <v>46276</v>
      </c>
      <c r="C13" s="4816">
        <v>46278</v>
      </c>
      <c r="D13" s="4817">
        <f t="shared" si="0"/>
        <v>2</v>
      </c>
      <c r="E13" s="4816">
        <v>46298</v>
      </c>
      <c r="F13" s="4818">
        <f t="shared" si="1"/>
        <v>21</v>
      </c>
      <c r="G13" s="5146">
        <v>46300</v>
      </c>
      <c r="H13" s="4672">
        <f t="shared" si="2"/>
        <v>1</v>
      </c>
      <c r="I13" s="4691" t="s">
        <v>5042</v>
      </c>
      <c r="J13" s="4692">
        <v>4</v>
      </c>
      <c r="K13" s="4693">
        <v>4</v>
      </c>
      <c r="L13" s="4692">
        <v>45156</v>
      </c>
      <c r="M13" s="4692">
        <v>54000</v>
      </c>
      <c r="N13" s="4971">
        <f t="shared" si="4"/>
        <v>216000</v>
      </c>
      <c r="O13" s="4692">
        <v>45156</v>
      </c>
      <c r="P13" s="4678">
        <f t="shared" si="5"/>
        <v>96</v>
      </c>
      <c r="Q13" s="4679">
        <f t="shared" si="3"/>
        <v>5077872</v>
      </c>
      <c r="R13" s="4692">
        <v>31</v>
      </c>
      <c r="S13" s="4680" t="s">
        <v>5742</v>
      </c>
      <c r="T13" s="4694">
        <v>31</v>
      </c>
      <c r="U13" s="4700">
        <v>2</v>
      </c>
      <c r="V13" s="4692">
        <v>120</v>
      </c>
      <c r="W13" s="4680" t="s">
        <v>2688</v>
      </c>
      <c r="X13" s="4695">
        <v>210</v>
      </c>
      <c r="Y13" s="4692">
        <v>2</v>
      </c>
      <c r="Z13" s="4692" t="s">
        <v>5953</v>
      </c>
      <c r="AA13" s="4683" t="s">
        <v>5035</v>
      </c>
      <c r="AB13" s="4692" t="s">
        <v>2814</v>
      </c>
      <c r="AC13" s="4683" t="s">
        <v>5050</v>
      </c>
      <c r="AD13" s="4692" t="s">
        <v>2814</v>
      </c>
      <c r="AE13" s="4696"/>
      <c r="AF13" s="4685">
        <f t="shared" si="6"/>
        <v>8</v>
      </c>
    </row>
    <row r="14" spans="1:32" ht="33.75" customHeight="1">
      <c r="A14" s="4686">
        <v>7</v>
      </c>
      <c r="B14" s="4687">
        <v>46276</v>
      </c>
      <c r="C14" s="4816">
        <v>46278</v>
      </c>
      <c r="D14" s="4817">
        <f t="shared" si="0"/>
        <v>2</v>
      </c>
      <c r="E14" s="4816">
        <v>46298</v>
      </c>
      <c r="F14" s="4818">
        <f t="shared" si="1"/>
        <v>21</v>
      </c>
      <c r="G14" s="5146">
        <v>46300</v>
      </c>
      <c r="H14" s="4672">
        <f t="shared" si="2"/>
        <v>1</v>
      </c>
      <c r="I14" s="4691" t="s">
        <v>5092</v>
      </c>
      <c r="J14" s="4692">
        <v>8</v>
      </c>
      <c r="K14" s="4693">
        <v>8</v>
      </c>
      <c r="L14" s="4692">
        <v>53156</v>
      </c>
      <c r="M14" s="4692">
        <v>62000</v>
      </c>
      <c r="N14" s="4971">
        <f t="shared" si="4"/>
        <v>496000</v>
      </c>
      <c r="O14" s="4692">
        <v>53156</v>
      </c>
      <c r="P14" s="4678">
        <f t="shared" si="5"/>
        <v>192</v>
      </c>
      <c r="Q14" s="4679">
        <f t="shared" si="3"/>
        <v>11691744</v>
      </c>
      <c r="R14" s="4692">
        <v>35</v>
      </c>
      <c r="S14" s="4680" t="s">
        <v>5742</v>
      </c>
      <c r="T14" s="4694">
        <v>35</v>
      </c>
      <c r="U14" s="4700">
        <v>2</v>
      </c>
      <c r="V14" s="4692">
        <v>120</v>
      </c>
      <c r="W14" s="4680" t="s">
        <v>2688</v>
      </c>
      <c r="X14" s="4695">
        <v>210</v>
      </c>
      <c r="Y14" s="4692">
        <v>2</v>
      </c>
      <c r="Z14" s="4692" t="s">
        <v>5953</v>
      </c>
      <c r="AA14" s="4683" t="s">
        <v>5035</v>
      </c>
      <c r="AB14" s="4692" t="s">
        <v>2814</v>
      </c>
      <c r="AC14" s="4683" t="s">
        <v>5050</v>
      </c>
      <c r="AD14" s="4692" t="s">
        <v>2814</v>
      </c>
      <c r="AE14" s="4696"/>
      <c r="AF14" s="4685">
        <f t="shared" si="6"/>
        <v>16</v>
      </c>
    </row>
    <row r="15" spans="1:32" ht="33.75" customHeight="1">
      <c r="A15" s="4686">
        <v>8</v>
      </c>
      <c r="B15" s="4687">
        <v>46276</v>
      </c>
      <c r="C15" s="4816">
        <v>46278</v>
      </c>
      <c r="D15" s="4817">
        <f t="shared" si="0"/>
        <v>2</v>
      </c>
      <c r="E15" s="4816">
        <v>46298</v>
      </c>
      <c r="F15" s="4818">
        <f t="shared" si="1"/>
        <v>21</v>
      </c>
      <c r="G15" s="5146">
        <v>46300</v>
      </c>
      <c r="H15" s="4672">
        <f t="shared" si="2"/>
        <v>1</v>
      </c>
      <c r="I15" s="4691" t="s">
        <v>4514</v>
      </c>
      <c r="J15" s="4692">
        <v>2</v>
      </c>
      <c r="K15" s="4693">
        <v>2</v>
      </c>
      <c r="L15" s="4692">
        <v>131156</v>
      </c>
      <c r="M15" s="4692">
        <v>140000</v>
      </c>
      <c r="N15" s="4971">
        <f t="shared" si="4"/>
        <v>280000</v>
      </c>
      <c r="O15" s="4692">
        <v>131156</v>
      </c>
      <c r="P15" s="4678">
        <f t="shared" si="5"/>
        <v>48</v>
      </c>
      <c r="Q15" s="4679">
        <f t="shared" si="3"/>
        <v>6666936</v>
      </c>
      <c r="R15" s="4692">
        <v>66</v>
      </c>
      <c r="S15" s="4680" t="s">
        <v>5742</v>
      </c>
      <c r="T15" s="4694">
        <v>66</v>
      </c>
      <c r="U15" s="4700">
        <v>2</v>
      </c>
      <c r="V15" s="4692">
        <v>140</v>
      </c>
      <c r="W15" s="4680" t="s">
        <v>2688</v>
      </c>
      <c r="X15" s="4695">
        <v>210</v>
      </c>
      <c r="Y15" s="4692">
        <v>2</v>
      </c>
      <c r="Z15" s="4692" t="s">
        <v>5953</v>
      </c>
      <c r="AA15" s="4683" t="s">
        <v>5035</v>
      </c>
      <c r="AB15" s="4692" t="s">
        <v>2814</v>
      </c>
      <c r="AC15" s="4683" t="s">
        <v>5050</v>
      </c>
      <c r="AD15" s="4692" t="s">
        <v>2814</v>
      </c>
      <c r="AE15" s="4696"/>
      <c r="AF15" s="4685">
        <f t="shared" si="6"/>
        <v>4</v>
      </c>
    </row>
    <row r="16" spans="1:32" ht="33.75" customHeight="1" thickBot="1">
      <c r="A16" s="4686">
        <v>9</v>
      </c>
      <c r="B16" s="4687">
        <v>46276</v>
      </c>
      <c r="C16" s="4816">
        <v>46278</v>
      </c>
      <c r="D16" s="4817">
        <f t="shared" si="0"/>
        <v>2</v>
      </c>
      <c r="E16" s="4816">
        <v>46298</v>
      </c>
      <c r="F16" s="4818">
        <f t="shared" si="1"/>
        <v>21</v>
      </c>
      <c r="G16" s="5146">
        <v>46300</v>
      </c>
      <c r="H16" s="4672">
        <f t="shared" si="2"/>
        <v>1</v>
      </c>
      <c r="I16" s="4691" t="s">
        <v>6014</v>
      </c>
      <c r="J16" s="4692">
        <v>1</v>
      </c>
      <c r="K16" s="4693">
        <v>0</v>
      </c>
      <c r="L16" s="4692"/>
      <c r="M16" s="4692"/>
      <c r="N16" s="4971">
        <f t="shared" si="4"/>
        <v>0</v>
      </c>
      <c r="O16" s="4692"/>
      <c r="P16" s="4678">
        <f t="shared" si="5"/>
        <v>0</v>
      </c>
      <c r="Q16" s="4679">
        <f t="shared" si="3"/>
        <v>0</v>
      </c>
      <c r="R16" s="4692">
        <v>96</v>
      </c>
      <c r="S16" s="4680" t="s">
        <v>5742</v>
      </c>
      <c r="T16" s="4694">
        <v>96</v>
      </c>
      <c r="U16" s="4700"/>
      <c r="V16" s="4692">
        <v>160</v>
      </c>
      <c r="W16" s="4680" t="s">
        <v>2688</v>
      </c>
      <c r="X16" s="4695">
        <v>210</v>
      </c>
      <c r="Y16" s="4692"/>
      <c r="Z16" s="4692" t="s">
        <v>5953</v>
      </c>
      <c r="AA16" s="4683" t="s">
        <v>5035</v>
      </c>
      <c r="AB16" s="4692" t="s">
        <v>2814</v>
      </c>
      <c r="AC16" s="4683" t="s">
        <v>5050</v>
      </c>
      <c r="AD16" s="4692" t="s">
        <v>2814</v>
      </c>
      <c r="AE16" s="4696"/>
      <c r="AF16" s="4685">
        <f t="shared" si="6"/>
        <v>0</v>
      </c>
    </row>
    <row r="17" spans="1:32" ht="33.75" customHeight="1" thickTop="1" thickBot="1">
      <c r="A17" s="4701"/>
      <c r="B17" s="4702"/>
      <c r="C17" s="4702"/>
      <c r="D17" s="4702"/>
      <c r="E17" s="4702"/>
      <c r="F17" s="4703"/>
      <c r="G17" s="4704"/>
      <c r="H17" s="4702"/>
      <c r="I17" s="4705" t="s">
        <v>2432</v>
      </c>
      <c r="J17" s="4706">
        <f>SUM(J8:J16)</f>
        <v>151</v>
      </c>
      <c r="K17" s="4707">
        <f>SUM(K8:K16)</f>
        <v>143</v>
      </c>
      <c r="L17" s="4703"/>
      <c r="M17" s="4703"/>
      <c r="N17" s="5045"/>
      <c r="O17" s="4703"/>
      <c r="P17" s="4706">
        <f>SUM(P8:P16)</f>
        <v>3432</v>
      </c>
      <c r="Q17" s="4706">
        <f>SUM(Q8:Q16)</f>
        <v>119313588</v>
      </c>
      <c r="R17" s="6863"/>
      <c r="S17" s="6864"/>
      <c r="T17" s="6865"/>
      <c r="U17" s="4708"/>
      <c r="V17" s="6863"/>
      <c r="W17" s="6864"/>
      <c r="X17" s="6864"/>
      <c r="Y17" s="4708"/>
      <c r="Z17" s="4708"/>
      <c r="AA17" s="6866"/>
      <c r="AB17" s="6867"/>
      <c r="AC17" s="6866"/>
      <c r="AD17" s="6867"/>
      <c r="AE17" s="4709"/>
      <c r="AF17" s="4685">
        <f>SUM(AF8:AF16)</f>
        <v>182</v>
      </c>
    </row>
    <row r="18" spans="1:32" ht="33.75" customHeight="1" thickBot="1">
      <c r="C18" s="4710"/>
      <c r="D18" s="4710"/>
      <c r="E18" s="4710"/>
      <c r="F18" s="4710"/>
      <c r="G18" s="4710"/>
      <c r="H18" s="4710"/>
      <c r="I18" s="4711"/>
      <c r="J18" s="4712"/>
      <c r="K18" s="4710"/>
      <c r="L18" s="4713" t="s">
        <v>5748</v>
      </c>
      <c r="M18" s="4714">
        <f>SUM(N7:N16)</f>
        <v>5072000</v>
      </c>
      <c r="N18" s="5046"/>
      <c r="O18" s="4715"/>
      <c r="P18" s="4715"/>
      <c r="S18" s="4656"/>
      <c r="W18" s="4656"/>
    </row>
    <row r="19" spans="1:32" ht="33.75" customHeight="1">
      <c r="A19" s="6845" t="s">
        <v>5749</v>
      </c>
      <c r="B19" s="6846"/>
      <c r="C19" s="4716">
        <f>P17</f>
        <v>3432</v>
      </c>
      <c r="D19" s="4717"/>
      <c r="F19" s="4718"/>
      <c r="H19" s="4719"/>
      <c r="I19" s="4720"/>
      <c r="K19" s="4659"/>
      <c r="L19" s="4721" t="s">
        <v>5750</v>
      </c>
      <c r="M19" s="4722">
        <f>M18*1.1</f>
        <v>5579200</v>
      </c>
      <c r="P19" s="4656"/>
    </row>
    <row r="20" spans="1:32" ht="33.75" customHeight="1" thickBot="1">
      <c r="A20" s="6899" t="s">
        <v>5805</v>
      </c>
      <c r="B20" s="6900"/>
      <c r="C20" s="5148">
        <f>Q17</f>
        <v>119313588</v>
      </c>
      <c r="D20" s="4717"/>
      <c r="F20" s="4724"/>
      <c r="H20" s="4719"/>
      <c r="I20" s="4720"/>
      <c r="K20" s="4659"/>
      <c r="P20" s="4656"/>
    </row>
    <row r="21" spans="1:32" ht="33.75" customHeight="1" thickBot="1">
      <c r="A21" s="6920" t="s">
        <v>5806</v>
      </c>
      <c r="B21" s="6921"/>
      <c r="C21" s="4987">
        <f>ROUNDDOWN(C20*1.1,0)</f>
        <v>131244946</v>
      </c>
      <c r="D21" s="4719"/>
      <c r="F21" s="4724"/>
      <c r="H21" s="4719"/>
      <c r="I21" s="4720"/>
      <c r="K21" s="4659"/>
      <c r="P21" s="4656"/>
    </row>
    <row r="22" spans="1:32" ht="32.15" customHeight="1">
      <c r="A22" s="4726"/>
      <c r="B22" s="4726"/>
      <c r="C22" s="4726"/>
      <c r="D22" s="4726"/>
      <c r="E22" s="4726"/>
      <c r="F22" s="4726"/>
      <c r="G22" s="4726"/>
      <c r="H22" s="4726"/>
      <c r="I22" s="4727"/>
    </row>
    <row r="23" spans="1:32" ht="33.75" customHeight="1" thickBot="1">
      <c r="A23" s="4665" t="s">
        <v>5807</v>
      </c>
      <c r="B23" s="4665"/>
      <c r="S23" s="4656"/>
      <c r="W23" s="4656"/>
      <c r="Z23" s="4656"/>
      <c r="AA23" s="4656"/>
      <c r="AB23" s="4656"/>
      <c r="AC23" s="4656"/>
      <c r="AD23" s="4656"/>
      <c r="AF23" s="4656" t="s">
        <v>5712</v>
      </c>
    </row>
    <row r="24" spans="1:32" s="4666" customFormat="1" ht="33.75" customHeight="1">
      <c r="A24" s="6877" t="s">
        <v>5713</v>
      </c>
      <c r="B24" s="6879" t="s">
        <v>5714</v>
      </c>
      <c r="C24" s="6855" t="s">
        <v>5715</v>
      </c>
      <c r="D24" s="6855" t="s">
        <v>5716</v>
      </c>
      <c r="E24" s="6855" t="s">
        <v>5717</v>
      </c>
      <c r="F24" s="6868" t="s">
        <v>5718</v>
      </c>
      <c r="G24" s="6855" t="s">
        <v>5719</v>
      </c>
      <c r="H24" s="6855" t="s">
        <v>5720</v>
      </c>
      <c r="I24" s="6857" t="s">
        <v>5721</v>
      </c>
      <c r="J24" s="6851" t="s">
        <v>5722</v>
      </c>
      <c r="K24" s="6851" t="s">
        <v>5723</v>
      </c>
      <c r="L24" s="6855" t="s">
        <v>5796</v>
      </c>
      <c r="M24" s="6855" t="s">
        <v>5797</v>
      </c>
      <c r="N24" s="4967" t="s">
        <v>5726</v>
      </c>
      <c r="O24" s="6855" t="s">
        <v>5798</v>
      </c>
      <c r="P24" s="6851" t="s">
        <v>3766</v>
      </c>
      <c r="Q24" s="6853"/>
      <c r="R24" s="6868" t="s">
        <v>5728</v>
      </c>
      <c r="S24" s="6869"/>
      <c r="T24" s="6870"/>
      <c r="U24" s="6855" t="s">
        <v>5729</v>
      </c>
      <c r="V24" s="6869" t="s">
        <v>5730</v>
      </c>
      <c r="W24" s="6869"/>
      <c r="X24" s="6869"/>
      <c r="Y24" s="6868" t="s">
        <v>5731</v>
      </c>
      <c r="Z24" s="6851" t="s">
        <v>5732</v>
      </c>
      <c r="AA24" s="6851" t="s">
        <v>5733</v>
      </c>
      <c r="AB24" s="6853"/>
      <c r="AC24" s="6853"/>
      <c r="AD24" s="6853"/>
      <c r="AE24" s="6860" t="s">
        <v>2792</v>
      </c>
      <c r="AF24" s="6862" t="s">
        <v>5734</v>
      </c>
    </row>
    <row r="25" spans="1:32" s="4666" customFormat="1" ht="20">
      <c r="A25" s="6878"/>
      <c r="B25" s="6880"/>
      <c r="C25" s="6858"/>
      <c r="D25" s="6856"/>
      <c r="E25" s="6856"/>
      <c r="F25" s="6881"/>
      <c r="G25" s="6856"/>
      <c r="H25" s="6856"/>
      <c r="I25" s="6858"/>
      <c r="J25" s="6859"/>
      <c r="K25" s="6859"/>
      <c r="L25" s="6856"/>
      <c r="M25" s="6856"/>
      <c r="N25" s="4968"/>
      <c r="O25" s="6856"/>
      <c r="P25" s="4667" t="s">
        <v>5735</v>
      </c>
      <c r="Q25" s="4668" t="s">
        <v>5736</v>
      </c>
      <c r="R25" s="6871"/>
      <c r="S25" s="6872"/>
      <c r="T25" s="6873"/>
      <c r="U25" s="6856"/>
      <c r="V25" s="6872"/>
      <c r="W25" s="6872"/>
      <c r="X25" s="6872"/>
      <c r="Y25" s="6852"/>
      <c r="Z25" s="6852"/>
      <c r="AA25" s="6852"/>
      <c r="AB25" s="6854"/>
      <c r="AC25" s="6854"/>
      <c r="AD25" s="6854"/>
      <c r="AE25" s="6861"/>
      <c r="AF25" s="6862"/>
    </row>
    <row r="26" spans="1:32" ht="33.75" customHeight="1">
      <c r="A26" s="4669" t="s">
        <v>5737</v>
      </c>
      <c r="B26" s="4826">
        <v>46305</v>
      </c>
      <c r="C26" s="4827">
        <v>46307</v>
      </c>
      <c r="D26" s="4672">
        <f>IF(_xlfn.DAYS(C26,B26)=0,"1",_xlfn.DAYS(C26,B26))</f>
        <v>2</v>
      </c>
      <c r="E26" s="4827">
        <v>46319</v>
      </c>
      <c r="F26" s="4672">
        <f>IF(_xlfn.DAYS(E26,C26)=0,"1",_xlfn.DAYS(E26,C26))+1</f>
        <v>13</v>
      </c>
      <c r="G26" s="4827">
        <v>46321</v>
      </c>
      <c r="H26" s="4672">
        <f>IF(_xlfn.DAYS(G26,E26)=0,"1",_xlfn.DAYS(G26,E26))-1</f>
        <v>1</v>
      </c>
      <c r="I26" s="4674" t="s">
        <v>5738</v>
      </c>
      <c r="J26" s="4677">
        <v>100</v>
      </c>
      <c r="K26" s="4676">
        <v>90</v>
      </c>
      <c r="L26" s="4677">
        <v>9000</v>
      </c>
      <c r="M26" s="4677">
        <v>10000</v>
      </c>
      <c r="N26" s="4969"/>
      <c r="O26" s="4677">
        <v>8000</v>
      </c>
      <c r="P26" s="4678">
        <f>SUM(D26,F26,H26)*K26</f>
        <v>1440</v>
      </c>
      <c r="Q26" s="4677">
        <f>(D26*L26+F26*M26+H26*O26)*K26</f>
        <v>14040000</v>
      </c>
      <c r="R26" s="4682">
        <v>21</v>
      </c>
      <c r="S26" s="4680" t="s">
        <v>5739</v>
      </c>
      <c r="T26" s="4682">
        <v>21</v>
      </c>
      <c r="U26" s="4815">
        <v>1</v>
      </c>
      <c r="V26" s="4675">
        <v>154</v>
      </c>
      <c r="W26" s="4680" t="s">
        <v>4521</v>
      </c>
      <c r="X26" s="4682">
        <v>203</v>
      </c>
      <c r="Y26" s="4675">
        <v>1</v>
      </c>
      <c r="Z26" s="4675" t="s">
        <v>5740</v>
      </c>
      <c r="AA26" s="4683" t="s">
        <v>5035</v>
      </c>
      <c r="AB26" s="4675" t="s">
        <v>2830</v>
      </c>
      <c r="AC26" s="4683" t="s">
        <v>5050</v>
      </c>
      <c r="AD26" s="4675" t="s">
        <v>5741</v>
      </c>
      <c r="AE26" s="4684"/>
      <c r="AF26" s="4685"/>
    </row>
    <row r="27" spans="1:32" ht="33.75" customHeight="1">
      <c r="A27" s="4828">
        <v>1</v>
      </c>
      <c r="B27" s="4829">
        <v>46305</v>
      </c>
      <c r="C27" s="4829">
        <v>46307</v>
      </c>
      <c r="D27" s="4672">
        <f t="shared" ref="D27:D35" si="7">IF(_xlfn.DAYS(C27,B27)=0,"1",_xlfn.DAYS(C27,B27))</f>
        <v>2</v>
      </c>
      <c r="E27" s="4829">
        <v>46319</v>
      </c>
      <c r="F27" s="4830">
        <v>15</v>
      </c>
      <c r="G27" s="4699">
        <v>46321</v>
      </c>
      <c r="H27" s="4672">
        <f t="shared" ref="H27:H35" si="8">IF(_xlfn.DAYS(G27,E27)=0,"1",_xlfn.DAYS(G27,E27))-1</f>
        <v>1</v>
      </c>
      <c r="I27" s="4831" t="s">
        <v>6012</v>
      </c>
      <c r="J27" s="4834">
        <v>19</v>
      </c>
      <c r="K27" s="4835">
        <v>17</v>
      </c>
      <c r="L27" s="4834">
        <v>19578</v>
      </c>
      <c r="M27" s="4834">
        <v>24000</v>
      </c>
      <c r="N27" s="4971">
        <f>M27*K27</f>
        <v>408000</v>
      </c>
      <c r="O27" s="4692">
        <v>19578</v>
      </c>
      <c r="P27" s="4678">
        <f t="shared" ref="P27:P35" si="9">SUM(D27,F27,H27)*K27</f>
        <v>306</v>
      </c>
      <c r="Q27" s="4677">
        <f t="shared" ref="Q27:Q35" si="10">(D27*L27+F27*M27+H27*O27)*K27</f>
        <v>7118478</v>
      </c>
      <c r="R27" s="4836">
        <v>21</v>
      </c>
      <c r="S27" s="4837" t="s">
        <v>5742</v>
      </c>
      <c r="T27" s="4836">
        <v>21</v>
      </c>
      <c r="U27" s="4838">
        <v>1</v>
      </c>
      <c r="V27" s="4834">
        <v>140</v>
      </c>
      <c r="W27" s="4837" t="s">
        <v>2688</v>
      </c>
      <c r="X27" s="4836">
        <v>210</v>
      </c>
      <c r="Y27" s="4834">
        <v>1</v>
      </c>
      <c r="Z27" s="4834" t="s">
        <v>5743</v>
      </c>
      <c r="AA27" s="4839" t="s">
        <v>5035</v>
      </c>
      <c r="AB27" s="4834" t="s">
        <v>2814</v>
      </c>
      <c r="AC27" s="4839" t="s">
        <v>5050</v>
      </c>
      <c r="AD27" s="4834" t="s">
        <v>2814</v>
      </c>
      <c r="AE27" s="4832"/>
      <c r="AF27" s="4685">
        <f>U27*K27</f>
        <v>17</v>
      </c>
    </row>
    <row r="28" spans="1:32" ht="33.75" customHeight="1">
      <c r="A28" s="4828">
        <v>2</v>
      </c>
      <c r="B28" s="4829">
        <v>46305</v>
      </c>
      <c r="C28" s="4829">
        <v>46307</v>
      </c>
      <c r="D28" s="4672">
        <f t="shared" si="7"/>
        <v>2</v>
      </c>
      <c r="E28" s="4829">
        <v>46319</v>
      </c>
      <c r="F28" s="4830">
        <v>15</v>
      </c>
      <c r="G28" s="4699">
        <v>46321</v>
      </c>
      <c r="H28" s="4672">
        <f t="shared" si="8"/>
        <v>1</v>
      </c>
      <c r="I28" s="4831" t="s">
        <v>6013</v>
      </c>
      <c r="J28" s="4834">
        <v>70</v>
      </c>
      <c r="K28" s="5149">
        <v>66</v>
      </c>
      <c r="L28" s="4834">
        <v>20578</v>
      </c>
      <c r="M28" s="4834">
        <v>25000</v>
      </c>
      <c r="N28" s="4971">
        <f t="shared" ref="N28:N35" si="11">M28*K28</f>
        <v>1650000</v>
      </c>
      <c r="O28" s="4692">
        <v>20578</v>
      </c>
      <c r="P28" s="4678">
        <f t="shared" si="9"/>
        <v>1188</v>
      </c>
      <c r="Q28" s="4677">
        <f t="shared" si="10"/>
        <v>28824444</v>
      </c>
      <c r="R28" s="4836">
        <v>23</v>
      </c>
      <c r="S28" s="4837" t="s">
        <v>5742</v>
      </c>
      <c r="T28" s="4836">
        <v>23</v>
      </c>
      <c r="U28" s="4838">
        <v>1</v>
      </c>
      <c r="V28" s="4834">
        <v>140</v>
      </c>
      <c r="W28" s="4837" t="s">
        <v>2688</v>
      </c>
      <c r="X28" s="4836">
        <v>210</v>
      </c>
      <c r="Y28" s="4834">
        <v>1</v>
      </c>
      <c r="Z28" s="4834" t="s">
        <v>5743</v>
      </c>
      <c r="AA28" s="4839" t="s">
        <v>5035</v>
      </c>
      <c r="AB28" s="4834" t="s">
        <v>2814</v>
      </c>
      <c r="AC28" s="4839" t="s">
        <v>5050</v>
      </c>
      <c r="AD28" s="4834" t="s">
        <v>2814</v>
      </c>
      <c r="AE28" s="4832"/>
      <c r="AF28" s="4685">
        <f t="shared" ref="AF28:AF35" si="12">U28*K28</f>
        <v>66</v>
      </c>
    </row>
    <row r="29" spans="1:32" ht="33.75" customHeight="1">
      <c r="A29" s="4828">
        <v>3</v>
      </c>
      <c r="B29" s="4829">
        <v>46305</v>
      </c>
      <c r="C29" s="4829">
        <v>46307</v>
      </c>
      <c r="D29" s="4672">
        <f t="shared" si="7"/>
        <v>2</v>
      </c>
      <c r="E29" s="4829">
        <v>46319</v>
      </c>
      <c r="F29" s="4830">
        <v>15</v>
      </c>
      <c r="G29" s="4699">
        <v>46321</v>
      </c>
      <c r="H29" s="4672">
        <f t="shared" si="8"/>
        <v>1</v>
      </c>
      <c r="I29" s="4831" t="s">
        <v>5187</v>
      </c>
      <c r="J29" s="4834">
        <v>8</v>
      </c>
      <c r="K29" s="4835">
        <v>7</v>
      </c>
      <c r="L29" s="4834">
        <v>25578</v>
      </c>
      <c r="M29" s="4834">
        <v>30000</v>
      </c>
      <c r="N29" s="4971">
        <f t="shared" si="11"/>
        <v>210000</v>
      </c>
      <c r="O29" s="4692">
        <v>25578</v>
      </c>
      <c r="P29" s="4678">
        <f t="shared" si="9"/>
        <v>126</v>
      </c>
      <c r="Q29" s="4677">
        <f t="shared" si="10"/>
        <v>3687138</v>
      </c>
      <c r="R29" s="4836">
        <v>28</v>
      </c>
      <c r="S29" s="4837" t="s">
        <v>5742</v>
      </c>
      <c r="T29" s="4836">
        <v>28</v>
      </c>
      <c r="U29" s="4838">
        <v>1</v>
      </c>
      <c r="V29" s="4834">
        <v>140</v>
      </c>
      <c r="W29" s="4837" t="s">
        <v>2688</v>
      </c>
      <c r="X29" s="4836">
        <v>210</v>
      </c>
      <c r="Y29" s="4834">
        <v>1</v>
      </c>
      <c r="Z29" s="4834" t="s">
        <v>5743</v>
      </c>
      <c r="AA29" s="4839" t="s">
        <v>5035</v>
      </c>
      <c r="AB29" s="4834" t="s">
        <v>2814</v>
      </c>
      <c r="AC29" s="4839" t="s">
        <v>5050</v>
      </c>
      <c r="AD29" s="4834" t="s">
        <v>2814</v>
      </c>
      <c r="AE29" s="4832"/>
      <c r="AF29" s="4685">
        <f t="shared" si="12"/>
        <v>7</v>
      </c>
    </row>
    <row r="30" spans="1:32" ht="33.75" customHeight="1">
      <c r="A30" s="4828">
        <v>4</v>
      </c>
      <c r="B30" s="4829">
        <v>46305</v>
      </c>
      <c r="C30" s="4829">
        <v>46307</v>
      </c>
      <c r="D30" s="4672">
        <f t="shared" si="7"/>
        <v>2</v>
      </c>
      <c r="E30" s="4829">
        <v>46319</v>
      </c>
      <c r="F30" s="4830">
        <v>15</v>
      </c>
      <c r="G30" s="4699">
        <v>46321</v>
      </c>
      <c r="H30" s="4672">
        <f t="shared" si="8"/>
        <v>1</v>
      </c>
      <c r="I30" s="4831" t="s">
        <v>5058</v>
      </c>
      <c r="J30" s="4834">
        <v>14</v>
      </c>
      <c r="K30" s="4835">
        <v>14</v>
      </c>
      <c r="L30" s="4834">
        <v>28578</v>
      </c>
      <c r="M30" s="4834">
        <v>33000</v>
      </c>
      <c r="N30" s="4971">
        <f t="shared" si="11"/>
        <v>462000</v>
      </c>
      <c r="O30" s="4692">
        <v>28578</v>
      </c>
      <c r="P30" s="4678">
        <f t="shared" si="9"/>
        <v>252</v>
      </c>
      <c r="Q30" s="4677">
        <f t="shared" si="10"/>
        <v>8130276</v>
      </c>
      <c r="R30" s="4836">
        <v>31</v>
      </c>
      <c r="S30" s="4837" t="s">
        <v>5742</v>
      </c>
      <c r="T30" s="4836">
        <v>31</v>
      </c>
      <c r="U30" s="4838">
        <v>1</v>
      </c>
      <c r="V30" s="4834">
        <v>180</v>
      </c>
      <c r="W30" s="4837" t="s">
        <v>2688</v>
      </c>
      <c r="X30" s="4836">
        <v>210</v>
      </c>
      <c r="Y30" s="4834">
        <v>1</v>
      </c>
      <c r="Z30" s="4834" t="s">
        <v>5953</v>
      </c>
      <c r="AA30" s="4839" t="s">
        <v>5035</v>
      </c>
      <c r="AB30" s="4834" t="s">
        <v>2814</v>
      </c>
      <c r="AC30" s="4839" t="s">
        <v>5050</v>
      </c>
      <c r="AD30" s="4834" t="s">
        <v>2814</v>
      </c>
      <c r="AE30" s="4832"/>
      <c r="AF30" s="4685">
        <f t="shared" si="12"/>
        <v>14</v>
      </c>
    </row>
    <row r="31" spans="1:32" ht="33.75" customHeight="1">
      <c r="A31" s="4828">
        <v>5</v>
      </c>
      <c r="B31" s="4829">
        <v>46305</v>
      </c>
      <c r="C31" s="4829">
        <v>46307</v>
      </c>
      <c r="D31" s="4672">
        <f t="shared" si="7"/>
        <v>2</v>
      </c>
      <c r="E31" s="4829">
        <v>46319</v>
      </c>
      <c r="F31" s="4830">
        <v>15</v>
      </c>
      <c r="G31" s="4699">
        <v>46321</v>
      </c>
      <c r="H31" s="4672">
        <f t="shared" si="8"/>
        <v>1</v>
      </c>
      <c r="I31" s="4831" t="s">
        <v>5069</v>
      </c>
      <c r="J31" s="4834">
        <v>25</v>
      </c>
      <c r="K31" s="4835">
        <v>25</v>
      </c>
      <c r="L31" s="4834">
        <v>45156</v>
      </c>
      <c r="M31" s="4834">
        <v>54000</v>
      </c>
      <c r="N31" s="4971">
        <f t="shared" si="11"/>
        <v>1350000</v>
      </c>
      <c r="O31" s="4692">
        <v>45156</v>
      </c>
      <c r="P31" s="4678">
        <f t="shared" si="9"/>
        <v>450</v>
      </c>
      <c r="Q31" s="4677">
        <f t="shared" si="10"/>
        <v>23636700</v>
      </c>
      <c r="R31" s="4836">
        <v>30</v>
      </c>
      <c r="S31" s="4837" t="s">
        <v>5742</v>
      </c>
      <c r="T31" s="4836">
        <v>30</v>
      </c>
      <c r="U31" s="4838">
        <v>2</v>
      </c>
      <c r="V31" s="4834">
        <v>120</v>
      </c>
      <c r="W31" s="4837" t="s">
        <v>2688</v>
      </c>
      <c r="X31" s="4836">
        <v>210</v>
      </c>
      <c r="Y31" s="4834">
        <v>2</v>
      </c>
      <c r="Z31" s="4834" t="s">
        <v>5953</v>
      </c>
      <c r="AA31" s="4839" t="s">
        <v>5035</v>
      </c>
      <c r="AB31" s="4834" t="s">
        <v>2814</v>
      </c>
      <c r="AC31" s="4839" t="s">
        <v>5050</v>
      </c>
      <c r="AD31" s="4834" t="s">
        <v>2814</v>
      </c>
      <c r="AE31" s="4832"/>
      <c r="AF31" s="4685">
        <f t="shared" si="12"/>
        <v>50</v>
      </c>
    </row>
    <row r="32" spans="1:32" ht="33.75" customHeight="1">
      <c r="A32" s="4828">
        <v>6</v>
      </c>
      <c r="B32" s="4829">
        <v>46305</v>
      </c>
      <c r="C32" s="4829">
        <v>46307</v>
      </c>
      <c r="D32" s="4672">
        <f t="shared" si="7"/>
        <v>2</v>
      </c>
      <c r="E32" s="4829">
        <v>46319</v>
      </c>
      <c r="F32" s="4830">
        <v>15</v>
      </c>
      <c r="G32" s="4699">
        <v>46321</v>
      </c>
      <c r="H32" s="4672">
        <f t="shared" si="8"/>
        <v>1</v>
      </c>
      <c r="I32" s="4831" t="s">
        <v>5042</v>
      </c>
      <c r="J32" s="4834">
        <v>4</v>
      </c>
      <c r="K32" s="4835">
        <v>4</v>
      </c>
      <c r="L32" s="4834">
        <v>45156</v>
      </c>
      <c r="M32" s="4834">
        <v>54000</v>
      </c>
      <c r="N32" s="4971">
        <f t="shared" si="11"/>
        <v>216000</v>
      </c>
      <c r="O32" s="4692">
        <v>45156</v>
      </c>
      <c r="P32" s="4678">
        <f t="shared" si="9"/>
        <v>72</v>
      </c>
      <c r="Q32" s="4677">
        <f t="shared" si="10"/>
        <v>3781872</v>
      </c>
      <c r="R32" s="4836">
        <v>31</v>
      </c>
      <c r="S32" s="4837" t="s">
        <v>5742</v>
      </c>
      <c r="T32" s="4836">
        <v>31</v>
      </c>
      <c r="U32" s="4838">
        <v>2</v>
      </c>
      <c r="V32" s="4834">
        <v>120</v>
      </c>
      <c r="W32" s="4837" t="s">
        <v>2688</v>
      </c>
      <c r="X32" s="4836">
        <v>210</v>
      </c>
      <c r="Y32" s="4834">
        <v>2</v>
      </c>
      <c r="Z32" s="4834" t="s">
        <v>5953</v>
      </c>
      <c r="AA32" s="4839" t="s">
        <v>5035</v>
      </c>
      <c r="AB32" s="4834" t="s">
        <v>2814</v>
      </c>
      <c r="AC32" s="4839" t="s">
        <v>5050</v>
      </c>
      <c r="AD32" s="4834" t="s">
        <v>2814</v>
      </c>
      <c r="AE32" s="4832"/>
      <c r="AF32" s="4685">
        <f t="shared" si="12"/>
        <v>8</v>
      </c>
    </row>
    <row r="33" spans="1:32" ht="33.75" customHeight="1">
      <c r="A33" s="4828">
        <v>7</v>
      </c>
      <c r="B33" s="4829">
        <v>46305</v>
      </c>
      <c r="C33" s="4829">
        <v>46307</v>
      </c>
      <c r="D33" s="4672">
        <f t="shared" si="7"/>
        <v>2</v>
      </c>
      <c r="E33" s="4829">
        <v>46319</v>
      </c>
      <c r="F33" s="4830">
        <v>15</v>
      </c>
      <c r="G33" s="4699">
        <v>46321</v>
      </c>
      <c r="H33" s="4672">
        <f t="shared" si="8"/>
        <v>1</v>
      </c>
      <c r="I33" s="4831" t="s">
        <v>5092</v>
      </c>
      <c r="J33" s="4834">
        <v>8</v>
      </c>
      <c r="K33" s="4835">
        <v>8</v>
      </c>
      <c r="L33" s="4834">
        <v>53156</v>
      </c>
      <c r="M33" s="4834">
        <v>62000</v>
      </c>
      <c r="N33" s="4971">
        <f t="shared" si="11"/>
        <v>496000</v>
      </c>
      <c r="O33" s="4692">
        <v>53156</v>
      </c>
      <c r="P33" s="4678">
        <f t="shared" si="9"/>
        <v>144</v>
      </c>
      <c r="Q33" s="4677">
        <f t="shared" si="10"/>
        <v>8715744</v>
      </c>
      <c r="R33" s="4836">
        <v>35</v>
      </c>
      <c r="S33" s="4837" t="s">
        <v>5742</v>
      </c>
      <c r="T33" s="4836">
        <v>35</v>
      </c>
      <c r="U33" s="4838">
        <v>2</v>
      </c>
      <c r="V33" s="4834">
        <v>120</v>
      </c>
      <c r="W33" s="4837" t="s">
        <v>2688</v>
      </c>
      <c r="X33" s="4836">
        <v>210</v>
      </c>
      <c r="Y33" s="4834">
        <v>2</v>
      </c>
      <c r="Z33" s="4834" t="s">
        <v>5953</v>
      </c>
      <c r="AA33" s="4839" t="s">
        <v>5035</v>
      </c>
      <c r="AB33" s="4834" t="s">
        <v>2814</v>
      </c>
      <c r="AC33" s="4839" t="s">
        <v>5050</v>
      </c>
      <c r="AD33" s="4834" t="s">
        <v>2814</v>
      </c>
      <c r="AE33" s="4832"/>
      <c r="AF33" s="4685">
        <f t="shared" si="12"/>
        <v>16</v>
      </c>
    </row>
    <row r="34" spans="1:32" ht="33.75" customHeight="1">
      <c r="A34" s="4828">
        <v>8</v>
      </c>
      <c r="B34" s="4829">
        <v>46305</v>
      </c>
      <c r="C34" s="4829">
        <v>46307</v>
      </c>
      <c r="D34" s="4672">
        <f t="shared" si="7"/>
        <v>2</v>
      </c>
      <c r="E34" s="4829">
        <v>46319</v>
      </c>
      <c r="F34" s="4830">
        <v>15</v>
      </c>
      <c r="G34" s="4699">
        <v>46321</v>
      </c>
      <c r="H34" s="4672">
        <f t="shared" si="8"/>
        <v>1</v>
      </c>
      <c r="I34" s="4831" t="s">
        <v>4514</v>
      </c>
      <c r="J34" s="4834">
        <v>2</v>
      </c>
      <c r="K34" s="4835">
        <v>2</v>
      </c>
      <c r="L34" s="4834">
        <v>131156</v>
      </c>
      <c r="M34" s="4834">
        <v>140000</v>
      </c>
      <c r="N34" s="4971">
        <f t="shared" si="11"/>
        <v>280000</v>
      </c>
      <c r="O34" s="4692">
        <v>131156</v>
      </c>
      <c r="P34" s="4678">
        <f t="shared" si="9"/>
        <v>36</v>
      </c>
      <c r="Q34" s="4677">
        <f t="shared" si="10"/>
        <v>4986936</v>
      </c>
      <c r="R34" s="4836">
        <v>66</v>
      </c>
      <c r="S34" s="4837" t="s">
        <v>5742</v>
      </c>
      <c r="T34" s="4836">
        <v>66</v>
      </c>
      <c r="U34" s="4838">
        <v>2</v>
      </c>
      <c r="V34" s="4834">
        <v>140</v>
      </c>
      <c r="W34" s="4837" t="s">
        <v>2688</v>
      </c>
      <c r="X34" s="4836">
        <v>210</v>
      </c>
      <c r="Y34" s="4834">
        <v>2</v>
      </c>
      <c r="Z34" s="4834" t="s">
        <v>5953</v>
      </c>
      <c r="AA34" s="4839" t="s">
        <v>5035</v>
      </c>
      <c r="AB34" s="4834" t="s">
        <v>2814</v>
      </c>
      <c r="AC34" s="4839" t="s">
        <v>5050</v>
      </c>
      <c r="AD34" s="4834" t="s">
        <v>2814</v>
      </c>
      <c r="AE34" s="4832"/>
      <c r="AF34" s="4685">
        <f t="shared" si="12"/>
        <v>4</v>
      </c>
    </row>
    <row r="35" spans="1:32" ht="33.75" customHeight="1" thickBot="1">
      <c r="A35" s="4828">
        <v>9</v>
      </c>
      <c r="B35" s="4829">
        <v>46305</v>
      </c>
      <c r="C35" s="4829">
        <v>46307</v>
      </c>
      <c r="D35" s="4672">
        <f t="shared" si="7"/>
        <v>2</v>
      </c>
      <c r="E35" s="4829">
        <v>46319</v>
      </c>
      <c r="F35" s="4830">
        <v>15</v>
      </c>
      <c r="G35" s="4699">
        <v>46321</v>
      </c>
      <c r="H35" s="4672">
        <f t="shared" si="8"/>
        <v>1</v>
      </c>
      <c r="I35" s="4831" t="s">
        <v>6014</v>
      </c>
      <c r="J35" s="4834">
        <v>1</v>
      </c>
      <c r="K35" s="4835">
        <v>0</v>
      </c>
      <c r="L35" s="4834"/>
      <c r="M35" s="4834"/>
      <c r="N35" s="4971">
        <f t="shared" si="11"/>
        <v>0</v>
      </c>
      <c r="O35" s="4834"/>
      <c r="P35" s="4678">
        <f t="shared" si="9"/>
        <v>0</v>
      </c>
      <c r="Q35" s="4677">
        <f t="shared" si="10"/>
        <v>0</v>
      </c>
      <c r="R35" s="4836">
        <v>96</v>
      </c>
      <c r="S35" s="4837" t="s">
        <v>5742</v>
      </c>
      <c r="T35" s="4836">
        <v>96</v>
      </c>
      <c r="U35" s="4838"/>
      <c r="V35" s="4834">
        <v>160</v>
      </c>
      <c r="W35" s="4837" t="s">
        <v>2688</v>
      </c>
      <c r="X35" s="4836">
        <v>210</v>
      </c>
      <c r="Y35" s="4834"/>
      <c r="Z35" s="4834" t="s">
        <v>5953</v>
      </c>
      <c r="AA35" s="4839" t="s">
        <v>5035</v>
      </c>
      <c r="AB35" s="4834" t="s">
        <v>2814</v>
      </c>
      <c r="AC35" s="4839" t="s">
        <v>5050</v>
      </c>
      <c r="AD35" s="4834" t="s">
        <v>2814</v>
      </c>
      <c r="AE35" s="4832"/>
      <c r="AF35" s="4685">
        <f t="shared" si="12"/>
        <v>0</v>
      </c>
    </row>
    <row r="36" spans="1:32" ht="33.75" customHeight="1" thickTop="1" thickBot="1">
      <c r="A36" s="4840"/>
      <c r="B36" s="4841"/>
      <c r="C36" s="4841"/>
      <c r="D36" s="4841"/>
      <c r="E36" s="4841"/>
      <c r="F36" s="4842"/>
      <c r="G36" s="4843"/>
      <c r="H36" s="4841"/>
      <c r="I36" s="4844" t="s">
        <v>2432</v>
      </c>
      <c r="J36" s="4845">
        <f>SUM(J27:J35)</f>
        <v>151</v>
      </c>
      <c r="K36" s="4846">
        <f>SUM(K27:K35)</f>
        <v>143</v>
      </c>
      <c r="L36" s="4843"/>
      <c r="M36" s="4843"/>
      <c r="N36" s="5150"/>
      <c r="O36" s="4843"/>
      <c r="P36" s="4845">
        <f>SUM(P27:P35)</f>
        <v>2574</v>
      </c>
      <c r="Q36" s="4845">
        <f>SUM(Q27:Q35)</f>
        <v>88881588</v>
      </c>
      <c r="R36" s="6901"/>
      <c r="S36" s="6901"/>
      <c r="T36" s="6901"/>
      <c r="U36" s="4847"/>
      <c r="V36" s="6902"/>
      <c r="W36" s="6901"/>
      <c r="X36" s="6901"/>
      <c r="Y36" s="4847"/>
      <c r="Z36" s="4847"/>
      <c r="AA36" s="6903"/>
      <c r="AB36" s="6904"/>
      <c r="AC36" s="6903"/>
      <c r="AD36" s="6904"/>
      <c r="AE36" s="4848"/>
      <c r="AF36" s="4685">
        <f>SUM(AF27:AF35)</f>
        <v>182</v>
      </c>
    </row>
    <row r="37" spans="1:32" ht="32.15" customHeight="1" thickBot="1">
      <c r="C37" s="4710"/>
      <c r="D37" s="4710"/>
      <c r="E37" s="4710"/>
      <c r="F37" s="4710"/>
      <c r="G37" s="4710"/>
      <c r="H37" s="4710"/>
      <c r="I37" s="4711"/>
      <c r="J37" s="4712"/>
      <c r="K37" s="4710"/>
      <c r="L37" s="4713" t="s">
        <v>5748</v>
      </c>
      <c r="M37" s="4714">
        <f>SUM(N26:N35)</f>
        <v>5072000</v>
      </c>
      <c r="N37" s="5046"/>
      <c r="O37" s="4715"/>
      <c r="P37" s="4715"/>
      <c r="S37" s="4656"/>
      <c r="W37" s="4656"/>
      <c r="AF37" s="4849"/>
    </row>
    <row r="38" spans="1:32" ht="33.75" customHeight="1">
      <c r="A38" s="6845" t="s">
        <v>5749</v>
      </c>
      <c r="B38" s="6846"/>
      <c r="C38" s="4716">
        <f>P36</f>
        <v>2574</v>
      </c>
      <c r="D38" s="4717"/>
      <c r="F38" s="4718"/>
      <c r="G38" s="4850"/>
      <c r="H38" s="4719"/>
      <c r="I38" s="4720"/>
      <c r="L38" s="4721" t="s">
        <v>5750</v>
      </c>
      <c r="M38" s="4722">
        <f>M37*1.1</f>
        <v>5579200</v>
      </c>
      <c r="P38" s="4656"/>
      <c r="AF38" s="4851"/>
    </row>
    <row r="39" spans="1:32" ht="33.75" customHeight="1" thickBot="1">
      <c r="A39" s="6899" t="s">
        <v>5805</v>
      </c>
      <c r="B39" s="6900"/>
      <c r="C39" s="5148">
        <f>Q36</f>
        <v>88881588</v>
      </c>
      <c r="D39" s="4717"/>
      <c r="F39" s="4724"/>
      <c r="G39" s="4852"/>
      <c r="H39" s="4719"/>
      <c r="I39" s="4720"/>
      <c r="P39" s="4656"/>
      <c r="AF39" s="4851"/>
    </row>
    <row r="40" spans="1:32" ht="33.75" customHeight="1" thickBot="1">
      <c r="A40" s="6920" t="s">
        <v>5806</v>
      </c>
      <c r="B40" s="6921"/>
      <c r="C40" s="4987">
        <f>ROUNDDOWN(C39*1.1,0)</f>
        <v>97769746</v>
      </c>
      <c r="D40" s="4719"/>
      <c r="F40" s="4724"/>
      <c r="H40" s="4719"/>
      <c r="I40" s="4720"/>
      <c r="K40" s="4659"/>
      <c r="P40" s="4656"/>
    </row>
    <row r="41" spans="1:32" ht="33.75" customHeight="1">
      <c r="A41" s="4729"/>
      <c r="B41" s="4729"/>
      <c r="C41" s="4729"/>
      <c r="D41" s="4729"/>
      <c r="E41" s="4729"/>
      <c r="F41" s="4729"/>
      <c r="G41" s="4726"/>
      <c r="H41" s="4729"/>
      <c r="I41" s="4720"/>
      <c r="P41" s="4656"/>
    </row>
    <row r="42" spans="1:32" ht="33.75" customHeight="1">
      <c r="A42" s="4728" t="s">
        <v>5752</v>
      </c>
      <c r="B42" s="4728"/>
      <c r="C42" s="4729"/>
      <c r="D42" s="4729"/>
      <c r="E42" s="4729"/>
      <c r="F42" s="4729"/>
      <c r="G42" s="4726"/>
      <c r="H42" s="4729"/>
      <c r="I42" s="4720"/>
      <c r="P42" s="4656"/>
    </row>
    <row r="43" spans="1:32" ht="36" customHeight="1">
      <c r="A43" s="4728" t="s">
        <v>5809</v>
      </c>
      <c r="B43" s="4728"/>
    </row>
    <row r="44" spans="1:32" ht="36" customHeight="1">
      <c r="A44" s="4730" t="s">
        <v>5754</v>
      </c>
      <c r="B44" s="4730"/>
    </row>
    <row r="45" spans="1:32" ht="36" customHeight="1">
      <c r="A45" s="4728"/>
      <c r="B45" s="4728"/>
    </row>
    <row r="46" spans="1:32" ht="36" customHeight="1"/>
    <row r="47" spans="1:32" ht="36" customHeight="1"/>
    <row r="48" spans="1:32" ht="36" customHeight="1"/>
    <row r="49" ht="36" customHeight="1"/>
    <row r="50" ht="36" customHeight="1"/>
    <row r="51" ht="36" customHeight="1"/>
    <row r="52" ht="36" customHeight="1"/>
    <row r="53" ht="10.4" customHeight="1"/>
  </sheetData>
  <mergeCells count="60">
    <mergeCell ref="L5:L6"/>
    <mergeCell ref="A5:A6"/>
    <mergeCell ref="B5:B6"/>
    <mergeCell ref="C5:C6"/>
    <mergeCell ref="D5:D6"/>
    <mergeCell ref="E5:E6"/>
    <mergeCell ref="F5:F6"/>
    <mergeCell ref="G5:G6"/>
    <mergeCell ref="H5:H6"/>
    <mergeCell ref="I5:I6"/>
    <mergeCell ref="J5:J6"/>
    <mergeCell ref="K5:K6"/>
    <mergeCell ref="AA17:AB17"/>
    <mergeCell ref="AC17:AD17"/>
    <mergeCell ref="M5:M6"/>
    <mergeCell ref="O5:O6"/>
    <mergeCell ref="P5:Q5"/>
    <mergeCell ref="R5:T6"/>
    <mergeCell ref="U5:U6"/>
    <mergeCell ref="V5:X6"/>
    <mergeCell ref="Y5:Y6"/>
    <mergeCell ref="Z5:Z6"/>
    <mergeCell ref="AA5:AD6"/>
    <mergeCell ref="K24:K25"/>
    <mergeCell ref="L24:L25"/>
    <mergeCell ref="R17:T17"/>
    <mergeCell ref="V17:X17"/>
    <mergeCell ref="P24:Q24"/>
    <mergeCell ref="A38:B38"/>
    <mergeCell ref="A39:B39"/>
    <mergeCell ref="AE5:AE6"/>
    <mergeCell ref="AF5:AF6"/>
    <mergeCell ref="I24:I25"/>
    <mergeCell ref="A19:B19"/>
    <mergeCell ref="A20:B20"/>
    <mergeCell ref="A21:B21"/>
    <mergeCell ref="A24:A25"/>
    <mergeCell ref="B24:B25"/>
    <mergeCell ref="C24:C25"/>
    <mergeCell ref="D24:D25"/>
    <mergeCell ref="E24:E25"/>
    <mergeCell ref="F24:F25"/>
    <mergeCell ref="G24:G25"/>
    <mergeCell ref="H24:H25"/>
    <mergeCell ref="A40:B40"/>
    <mergeCell ref="AE24:AE25"/>
    <mergeCell ref="AF24:AF25"/>
    <mergeCell ref="R36:T36"/>
    <mergeCell ref="V36:X36"/>
    <mergeCell ref="AA36:AB36"/>
    <mergeCell ref="AC36:AD36"/>
    <mergeCell ref="R24:T25"/>
    <mergeCell ref="U24:U25"/>
    <mergeCell ref="V24:X25"/>
    <mergeCell ref="Y24:Y25"/>
    <mergeCell ref="Z24:Z25"/>
    <mergeCell ref="AA24:AD25"/>
    <mergeCell ref="J24:J25"/>
    <mergeCell ref="M24:M25"/>
    <mergeCell ref="O24:O25"/>
  </mergeCells>
  <phoneticPr fontId="2"/>
  <conditionalFormatting sqref="A2">
    <cfRule type="containsBlanks" dxfId="648" priority="12">
      <formula>LEN(TRIM(A2))=0</formula>
    </cfRule>
  </conditionalFormatting>
  <conditionalFormatting sqref="B8:C16">
    <cfRule type="containsBlanks" dxfId="647" priority="7">
      <formula>LEN(TRIM(B8))=0</formula>
    </cfRule>
  </conditionalFormatting>
  <conditionalFormatting sqref="B27:C35 E27:E35">
    <cfRule type="containsBlanks" dxfId="646" priority="4">
      <formula>LEN(TRIM(B27))=0</formula>
    </cfRule>
  </conditionalFormatting>
  <conditionalFormatting sqref="D7:D16">
    <cfRule type="containsBlanks" dxfId="645" priority="6">
      <formula>LEN(TRIM(D7))=0</formula>
    </cfRule>
  </conditionalFormatting>
  <conditionalFormatting sqref="D26:D35">
    <cfRule type="containsBlanks" dxfId="644" priority="3">
      <formula>LEN(TRIM(D26))=0</formula>
    </cfRule>
  </conditionalFormatting>
  <conditionalFormatting sqref="E8:O16">
    <cfRule type="containsBlanks" dxfId="643" priority="5">
      <formula>LEN(TRIM(E8))=0</formula>
    </cfRule>
  </conditionalFormatting>
  <conditionalFormatting sqref="F7">
    <cfRule type="containsBlanks" dxfId="642" priority="10">
      <formula>LEN(TRIM(F7))=0</formula>
    </cfRule>
  </conditionalFormatting>
  <conditionalFormatting sqref="F26:F35">
    <cfRule type="containsBlanks" dxfId="641" priority="2">
      <formula>LEN(TRIM(F26))=0</formula>
    </cfRule>
  </conditionalFormatting>
  <conditionalFormatting sqref="G27:O35">
    <cfRule type="containsBlanks" dxfId="640" priority="1">
      <formula>LEN(TRIM(G27))=0</formula>
    </cfRule>
  </conditionalFormatting>
  <conditionalFormatting sqref="H7:O7">
    <cfRule type="containsBlanks" dxfId="639" priority="9">
      <formula>LEN(TRIM(H7))=0</formula>
    </cfRule>
  </conditionalFormatting>
  <conditionalFormatting sqref="H26:O26">
    <cfRule type="containsBlanks" dxfId="638" priority="8">
      <formula>LEN(TRIM(H26))=0</formula>
    </cfRule>
  </conditionalFormatting>
  <conditionalFormatting sqref="Q7:R16">
    <cfRule type="containsBlanks" dxfId="637" priority="20">
      <formula>LEN(TRIM(Q7))=0</formula>
    </cfRule>
  </conditionalFormatting>
  <conditionalFormatting sqref="Q26:R35">
    <cfRule type="containsBlanks" dxfId="636" priority="11">
      <formula>LEN(TRIM(Q26))=0</formula>
    </cfRule>
  </conditionalFormatting>
  <conditionalFormatting sqref="T7:V16">
    <cfRule type="containsBlanks" dxfId="635" priority="18">
      <formula>LEN(TRIM(T7))=0</formula>
    </cfRule>
  </conditionalFormatting>
  <conditionalFormatting sqref="T26:V35">
    <cfRule type="containsBlanks" dxfId="634" priority="16">
      <formula>LEN(TRIM(T26))=0</formula>
    </cfRule>
  </conditionalFormatting>
  <conditionalFormatting sqref="X7:Z16">
    <cfRule type="containsBlanks" dxfId="633" priority="17">
      <formula>LEN(TRIM(X7))=0</formula>
    </cfRule>
  </conditionalFormatting>
  <conditionalFormatting sqref="X26:Z35">
    <cfRule type="containsBlanks" dxfId="632" priority="15">
      <formula>LEN(TRIM(X26))=0</formula>
    </cfRule>
  </conditionalFormatting>
  <conditionalFormatting sqref="AB7:AB16 AD7:AE16">
    <cfRule type="containsBlanks" dxfId="631" priority="19">
      <formula>LEN(TRIM(AB7))=0</formula>
    </cfRule>
  </conditionalFormatting>
  <conditionalFormatting sqref="AB26:AB35">
    <cfRule type="containsBlanks" dxfId="630" priority="14">
      <formula>LEN(TRIM(AB26))=0</formula>
    </cfRule>
  </conditionalFormatting>
  <conditionalFormatting sqref="AD26:AE35">
    <cfRule type="containsBlanks" dxfId="629" priority="13">
      <formula>LEN(TRIM(AD26))=0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F163-6BB1-4CAF-9922-7A9694BC65B2}">
  <sheetPr codeName="Sheet336">
    <tabColor rgb="FFFFFF66"/>
    <pageSetUpPr fitToPage="1"/>
  </sheetPr>
  <dimension ref="A1:AE51"/>
  <sheetViews>
    <sheetView topLeftCell="B32" zoomScale="70" zoomScaleNormal="70" workbookViewId="0">
      <selection activeCell="BJ123" sqref="BJ123"/>
    </sheetView>
  </sheetViews>
  <sheetFormatPr defaultColWidth="9.81640625" defaultRowHeight="26.5"/>
  <cols>
    <col min="1" max="1" width="7.453125" style="4941" customWidth="1"/>
    <col min="2" max="2" width="25.1796875" style="5102" customWidth="1"/>
    <col min="3" max="3" width="24.54296875" style="5102" bestFit="1" customWidth="1"/>
    <col min="4" max="4" width="17.26953125" style="5102" customWidth="1"/>
    <col min="5" max="5" width="17.26953125" style="4941" customWidth="1"/>
    <col min="6" max="6" width="6.81640625" style="4941" customWidth="1"/>
    <col min="7" max="7" width="21.453125" style="5102" customWidth="1"/>
    <col min="8" max="8" width="9.26953125" style="5102" customWidth="1"/>
    <col min="9" max="9" width="21.453125" style="4941" customWidth="1"/>
    <col min="10" max="13" width="9.26953125" style="4941" customWidth="1"/>
    <col min="14" max="14" width="21.81640625" style="4941" customWidth="1"/>
    <col min="15" max="15" width="21.81640625" style="4861" customWidth="1"/>
    <col min="16" max="16" width="9.81640625" style="5102"/>
    <col min="17" max="17" width="9.453125" style="5102" customWidth="1"/>
    <col min="18" max="18" width="9.453125" style="4941" customWidth="1"/>
    <col min="19" max="19" width="17.54296875" style="4941" customWidth="1"/>
    <col min="20" max="20" width="12.1796875" style="4941" customWidth="1"/>
    <col min="21" max="21" width="17.54296875" style="4941" customWidth="1"/>
    <col min="22" max="28" width="9.81640625" style="4941"/>
    <col min="29" max="29" width="9.81640625" style="5103"/>
    <col min="30" max="16384" width="9.81640625" style="4941"/>
  </cols>
  <sheetData>
    <row r="1" spans="1:31" ht="21" customHeight="1" thickBot="1">
      <c r="T1" s="4943"/>
    </row>
    <row r="2" spans="1:31" ht="55.4" customHeight="1" thickBot="1">
      <c r="A2" s="6917" t="s">
        <v>5707</v>
      </c>
      <c r="B2" s="6918"/>
      <c r="C2" s="6876" t="s">
        <v>2306</v>
      </c>
      <c r="D2" s="6876"/>
      <c r="E2" s="6876"/>
      <c r="F2" s="6876"/>
      <c r="G2" s="6876"/>
      <c r="H2" s="4661" t="s">
        <v>5709</v>
      </c>
      <c r="I2" s="5104"/>
      <c r="J2" s="5151"/>
      <c r="K2" s="5151"/>
      <c r="T2" s="4943"/>
      <c r="U2" s="5105" t="s">
        <v>5755</v>
      </c>
      <c r="W2" s="5106"/>
      <c r="X2" s="5106"/>
      <c r="Y2" s="5106"/>
      <c r="Z2" s="5106"/>
      <c r="AA2" s="5106"/>
      <c r="AB2" s="5107"/>
      <c r="AC2" s="5107"/>
      <c r="AD2" s="5107"/>
      <c r="AE2" s="5107"/>
    </row>
    <row r="3" spans="1:31" ht="23.15" customHeight="1">
      <c r="A3" s="4663"/>
      <c r="B3" s="4733"/>
      <c r="C3" s="4733"/>
      <c r="D3" s="4733"/>
      <c r="E3" s="4733"/>
      <c r="F3" s="4733"/>
      <c r="G3" s="4733"/>
      <c r="H3" s="4733"/>
      <c r="I3" s="4733"/>
      <c r="J3" s="4733"/>
      <c r="K3" s="4733"/>
      <c r="T3" s="4943"/>
      <c r="W3" s="5106"/>
      <c r="X3" s="5106"/>
      <c r="Y3" s="5106"/>
      <c r="Z3" s="5106"/>
      <c r="AA3" s="5106"/>
      <c r="AB3" s="5107"/>
      <c r="AC3" s="5107"/>
      <c r="AD3" s="5107"/>
      <c r="AE3" s="5107"/>
    </row>
    <row r="4" spans="1:31" ht="23.15" customHeight="1" thickBot="1">
      <c r="A4" s="5108" t="s">
        <v>5756</v>
      </c>
      <c r="B4" s="4941"/>
      <c r="C4" s="4941"/>
      <c r="D4" s="4941"/>
      <c r="G4" s="4941"/>
      <c r="H4" s="4941"/>
      <c r="O4" s="4943"/>
      <c r="P4" s="4943"/>
      <c r="Q4" s="4941"/>
      <c r="AC4" s="4941"/>
    </row>
    <row r="5" spans="1:31" s="4738" customFormat="1" ht="33.75" customHeight="1">
      <c r="A5" s="6919"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5111" customFormat="1" ht="33.75" customHeight="1">
      <c r="A7" s="5109" t="s">
        <v>5779</v>
      </c>
      <c r="B7" s="4744">
        <v>46280</v>
      </c>
      <c r="C7" s="4744">
        <v>46300</v>
      </c>
      <c r="D7" s="4745">
        <v>0.3125</v>
      </c>
      <c r="E7" s="5110">
        <v>0.89583333333333337</v>
      </c>
      <c r="F7" s="5152"/>
      <c r="G7" s="4890" t="s">
        <v>5780</v>
      </c>
      <c r="H7" s="4891">
        <v>3</v>
      </c>
      <c r="I7" s="4892" t="s">
        <v>5781</v>
      </c>
      <c r="J7" s="5153">
        <v>30</v>
      </c>
      <c r="K7" s="5154">
        <v>100</v>
      </c>
      <c r="L7" s="5154">
        <f t="shared" ref="L7" si="0">J7*K7</f>
        <v>3000</v>
      </c>
      <c r="M7" s="5155">
        <v>5</v>
      </c>
      <c r="N7" s="5156">
        <v>150000</v>
      </c>
      <c r="O7" s="5157">
        <f t="shared" ref="O7:O17" si="1">F7*N7</f>
        <v>0</v>
      </c>
      <c r="P7" s="4897" t="s">
        <v>5782</v>
      </c>
      <c r="Q7" s="4898">
        <v>4</v>
      </c>
      <c r="R7" s="4898" t="s">
        <v>3804</v>
      </c>
      <c r="S7" s="4894" t="s">
        <v>246</v>
      </c>
      <c r="T7" s="4898" t="s">
        <v>2161</v>
      </c>
      <c r="U7" s="4899">
        <v>2000</v>
      </c>
    </row>
    <row r="8" spans="1:31" s="5111" customFormat="1" ht="33.75" customHeight="1">
      <c r="A8" s="4758">
        <v>1</v>
      </c>
      <c r="B8" s="4816">
        <v>46273</v>
      </c>
      <c r="C8" s="4816">
        <v>46299</v>
      </c>
      <c r="D8" s="4759">
        <v>0</v>
      </c>
      <c r="E8" s="4759">
        <v>1</v>
      </c>
      <c r="F8" s="4760">
        <f t="shared" ref="F8:F17" si="2">IF(OR(ISBLANK($B8), ISBLANK($C8)), 0, _xlfn.DAYS($C8, $B8) + 1)</f>
        <v>27</v>
      </c>
      <c r="G8" s="4761" t="s">
        <v>6015</v>
      </c>
      <c r="H8" s="4762">
        <v>2</v>
      </c>
      <c r="I8" s="4763" t="s">
        <v>5190</v>
      </c>
      <c r="J8" s="4764">
        <v>22.5</v>
      </c>
      <c r="K8" s="4765">
        <v>12</v>
      </c>
      <c r="L8" s="4765">
        <v>270</v>
      </c>
      <c r="M8" s="4765">
        <v>5</v>
      </c>
      <c r="N8" s="4762">
        <v>2712000</v>
      </c>
      <c r="O8" s="5158">
        <f t="shared" si="1"/>
        <v>73224000</v>
      </c>
      <c r="P8" s="4864" t="s">
        <v>5992</v>
      </c>
      <c r="Q8" s="4858"/>
      <c r="R8" s="4864" t="s">
        <v>5992</v>
      </c>
      <c r="S8" s="4858"/>
      <c r="T8" s="4859" t="s">
        <v>5815</v>
      </c>
      <c r="U8" s="4860">
        <v>0</v>
      </c>
    </row>
    <row r="9" spans="1:31" ht="33.75" customHeight="1">
      <c r="A9" s="4758">
        <v>2</v>
      </c>
      <c r="B9" s="4816">
        <v>46300</v>
      </c>
      <c r="C9" s="4816">
        <v>46300</v>
      </c>
      <c r="D9" s="4759">
        <v>0</v>
      </c>
      <c r="E9" s="4759">
        <v>0.5</v>
      </c>
      <c r="F9" s="4760">
        <f t="shared" si="2"/>
        <v>1</v>
      </c>
      <c r="G9" s="4761" t="s">
        <v>6015</v>
      </c>
      <c r="H9" s="4762">
        <v>2</v>
      </c>
      <c r="I9" s="4763" t="s">
        <v>5190</v>
      </c>
      <c r="J9" s="4764">
        <v>22.5</v>
      </c>
      <c r="K9" s="4765">
        <v>12</v>
      </c>
      <c r="L9" s="4765">
        <v>270</v>
      </c>
      <c r="M9" s="4765">
        <v>5</v>
      </c>
      <c r="N9" s="4762">
        <v>1356000</v>
      </c>
      <c r="O9" s="5158">
        <f t="shared" si="1"/>
        <v>1356000</v>
      </c>
      <c r="P9" s="4864" t="s">
        <v>5992</v>
      </c>
      <c r="Q9" s="4858"/>
      <c r="R9" s="4864" t="s">
        <v>5992</v>
      </c>
      <c r="S9" s="4858"/>
      <c r="T9" s="4859" t="s">
        <v>5815</v>
      </c>
      <c r="U9" s="4860">
        <v>0</v>
      </c>
      <c r="AC9" s="4941"/>
    </row>
    <row r="10" spans="1:31" ht="33.75" customHeight="1">
      <c r="A10" s="4758">
        <v>3</v>
      </c>
      <c r="B10" s="4816">
        <v>46273</v>
      </c>
      <c r="C10" s="4816">
        <v>46299</v>
      </c>
      <c r="D10" s="4759">
        <v>0</v>
      </c>
      <c r="E10" s="4759">
        <v>1</v>
      </c>
      <c r="F10" s="4770">
        <f t="shared" si="2"/>
        <v>27</v>
      </c>
      <c r="G10" s="4761" t="s">
        <v>6016</v>
      </c>
      <c r="H10" s="4762">
        <v>2</v>
      </c>
      <c r="I10" s="4763" t="s">
        <v>5190</v>
      </c>
      <c r="J10" s="4764">
        <v>15</v>
      </c>
      <c r="K10" s="4765">
        <v>10</v>
      </c>
      <c r="L10" s="4765">
        <v>150</v>
      </c>
      <c r="M10" s="4765">
        <v>5</v>
      </c>
      <c r="N10" s="4762">
        <v>1356000</v>
      </c>
      <c r="O10" s="5158">
        <f t="shared" si="1"/>
        <v>36612000</v>
      </c>
      <c r="P10" s="4857" t="s">
        <v>5815</v>
      </c>
      <c r="Q10" s="4858">
        <v>2</v>
      </c>
      <c r="R10" s="4864" t="s">
        <v>5992</v>
      </c>
      <c r="S10" s="4858"/>
      <c r="T10" s="4859" t="s">
        <v>5815</v>
      </c>
      <c r="U10" s="4860">
        <v>0</v>
      </c>
      <c r="AC10" s="4941"/>
    </row>
    <row r="11" spans="1:31" ht="33.75" customHeight="1">
      <c r="A11" s="4758">
        <v>4</v>
      </c>
      <c r="B11" s="4816">
        <v>46300</v>
      </c>
      <c r="C11" s="4816">
        <v>46300</v>
      </c>
      <c r="D11" s="4759">
        <v>0</v>
      </c>
      <c r="E11" s="4759">
        <v>0.5</v>
      </c>
      <c r="F11" s="4760">
        <f t="shared" si="2"/>
        <v>1</v>
      </c>
      <c r="G11" s="4771" t="s">
        <v>6016</v>
      </c>
      <c r="H11" s="4762">
        <v>2</v>
      </c>
      <c r="I11" s="4763" t="s">
        <v>5190</v>
      </c>
      <c r="J11" s="4764">
        <v>15</v>
      </c>
      <c r="K11" s="4765">
        <v>10</v>
      </c>
      <c r="L11" s="4765">
        <v>150</v>
      </c>
      <c r="M11" s="4765">
        <v>5</v>
      </c>
      <c r="N11" s="4762">
        <v>678000</v>
      </c>
      <c r="O11" s="5158">
        <f t="shared" si="1"/>
        <v>678000</v>
      </c>
      <c r="P11" s="4857" t="s">
        <v>5815</v>
      </c>
      <c r="Q11" s="4858">
        <v>2</v>
      </c>
      <c r="R11" s="4864" t="s">
        <v>5992</v>
      </c>
      <c r="S11" s="4858"/>
      <c r="T11" s="4859" t="s">
        <v>5815</v>
      </c>
      <c r="U11" s="4860">
        <v>0</v>
      </c>
      <c r="AC11" s="4941"/>
    </row>
    <row r="12" spans="1:31" ht="33.75" customHeight="1">
      <c r="A12" s="4758">
        <v>5</v>
      </c>
      <c r="B12" s="4816">
        <v>46273</v>
      </c>
      <c r="C12" s="4816">
        <v>46299</v>
      </c>
      <c r="D12" s="4759">
        <v>0</v>
      </c>
      <c r="E12" s="4759">
        <v>1</v>
      </c>
      <c r="F12" s="4760">
        <f t="shared" si="2"/>
        <v>27</v>
      </c>
      <c r="G12" s="4771" t="s">
        <v>6017</v>
      </c>
      <c r="H12" s="4762">
        <v>2</v>
      </c>
      <c r="I12" s="4763" t="s">
        <v>5190</v>
      </c>
      <c r="J12" s="4764">
        <v>20</v>
      </c>
      <c r="K12" s="4765">
        <v>9</v>
      </c>
      <c r="L12" s="4765">
        <v>180</v>
      </c>
      <c r="M12" s="4765">
        <v>2.5</v>
      </c>
      <c r="N12" s="4762">
        <v>2034000</v>
      </c>
      <c r="O12" s="5158">
        <f t="shared" si="1"/>
        <v>54918000</v>
      </c>
      <c r="P12" s="4857" t="s">
        <v>5815</v>
      </c>
      <c r="Q12" s="4858">
        <v>2</v>
      </c>
      <c r="R12" s="4864" t="s">
        <v>5992</v>
      </c>
      <c r="S12" s="4858"/>
      <c r="T12" s="4859" t="s">
        <v>5815</v>
      </c>
      <c r="U12" s="4860">
        <v>0</v>
      </c>
      <c r="AC12" s="4941"/>
    </row>
    <row r="13" spans="1:31" ht="33.75" customHeight="1">
      <c r="A13" s="4758">
        <v>6</v>
      </c>
      <c r="B13" s="4816">
        <v>46300</v>
      </c>
      <c r="C13" s="4816">
        <v>46300</v>
      </c>
      <c r="D13" s="4913">
        <v>0</v>
      </c>
      <c r="E13" s="4759">
        <v>0.5</v>
      </c>
      <c r="F13" s="4760">
        <f t="shared" si="2"/>
        <v>1</v>
      </c>
      <c r="G13" s="4771" t="s">
        <v>6017</v>
      </c>
      <c r="H13" s="4762">
        <v>2</v>
      </c>
      <c r="I13" s="4763" t="s">
        <v>5190</v>
      </c>
      <c r="J13" s="4764">
        <v>20</v>
      </c>
      <c r="K13" s="4765">
        <v>9</v>
      </c>
      <c r="L13" s="4765">
        <v>180</v>
      </c>
      <c r="M13" s="4765">
        <v>2.5</v>
      </c>
      <c r="N13" s="4762">
        <v>1017000</v>
      </c>
      <c r="O13" s="5158">
        <f t="shared" si="1"/>
        <v>1017000</v>
      </c>
      <c r="P13" s="4857" t="s">
        <v>5815</v>
      </c>
      <c r="Q13" s="4858">
        <v>2</v>
      </c>
      <c r="R13" s="4864" t="s">
        <v>5992</v>
      </c>
      <c r="S13" s="4858"/>
      <c r="T13" s="4859" t="s">
        <v>5815</v>
      </c>
      <c r="U13" s="4860">
        <v>0</v>
      </c>
      <c r="AC13" s="4941"/>
    </row>
    <row r="14" spans="1:31" ht="33.75" customHeight="1">
      <c r="A14" s="4758">
        <v>7</v>
      </c>
      <c r="B14" s="4950"/>
      <c r="C14" s="4950"/>
      <c r="D14" s="4913"/>
      <c r="E14" s="4759"/>
      <c r="F14" s="5159">
        <f t="shared" si="2"/>
        <v>0</v>
      </c>
      <c r="G14" s="4950"/>
      <c r="H14" s="4952"/>
      <c r="I14" s="4763"/>
      <c r="J14" s="5160"/>
      <c r="K14" s="5161"/>
      <c r="L14" s="5161"/>
      <c r="M14" s="5161"/>
      <c r="N14" s="5162"/>
      <c r="O14" s="5158">
        <f t="shared" si="1"/>
        <v>0</v>
      </c>
      <c r="P14" s="4857"/>
      <c r="Q14" s="4858"/>
      <c r="R14" s="4859"/>
      <c r="S14" s="4858"/>
      <c r="T14" s="4859"/>
      <c r="U14" s="4860"/>
      <c r="AC14" s="4941"/>
    </row>
    <row r="15" spans="1:31" ht="33.75" customHeight="1">
      <c r="A15" s="4758">
        <v>8</v>
      </c>
      <c r="B15" s="4950"/>
      <c r="C15" s="4950"/>
      <c r="D15" s="4913"/>
      <c r="E15" s="4759"/>
      <c r="F15" s="5159">
        <f t="shared" si="2"/>
        <v>0</v>
      </c>
      <c r="G15" s="4950"/>
      <c r="H15" s="4952"/>
      <c r="I15" s="4763"/>
      <c r="J15" s="5160"/>
      <c r="K15" s="5161"/>
      <c r="L15" s="5161"/>
      <c r="M15" s="5161"/>
      <c r="N15" s="5162"/>
      <c r="O15" s="5158">
        <f t="shared" si="1"/>
        <v>0</v>
      </c>
      <c r="P15" s="4857"/>
      <c r="Q15" s="4858"/>
      <c r="R15" s="4859"/>
      <c r="S15" s="4858"/>
      <c r="T15" s="4859"/>
      <c r="U15" s="4860"/>
      <c r="AC15" s="4941"/>
    </row>
    <row r="16" spans="1:31" ht="33.75" customHeight="1">
      <c r="A16" s="4758">
        <v>9</v>
      </c>
      <c r="B16" s="4950"/>
      <c r="C16" s="4950"/>
      <c r="D16" s="4913"/>
      <c r="E16" s="4759"/>
      <c r="F16" s="5163">
        <f t="shared" si="2"/>
        <v>0</v>
      </c>
      <c r="G16" s="4950"/>
      <c r="H16" s="4952"/>
      <c r="I16" s="4763"/>
      <c r="J16" s="5160"/>
      <c r="K16" s="5161"/>
      <c r="L16" s="5161"/>
      <c r="M16" s="5161"/>
      <c r="N16" s="5162"/>
      <c r="O16" s="5158">
        <f t="shared" si="1"/>
        <v>0</v>
      </c>
      <c r="P16" s="4857"/>
      <c r="Q16" s="4858"/>
      <c r="R16" s="4859"/>
      <c r="S16" s="4858"/>
      <c r="T16" s="4859"/>
      <c r="U16" s="4860"/>
      <c r="AC16" s="4941"/>
    </row>
    <row r="17" spans="1:29" ht="33.75" customHeight="1" thickBot="1">
      <c r="A17" s="4772">
        <v>10</v>
      </c>
      <c r="B17" s="4953"/>
      <c r="C17" s="4953"/>
      <c r="D17" s="4914"/>
      <c r="E17" s="4915"/>
      <c r="F17" s="5163">
        <f t="shared" si="2"/>
        <v>0</v>
      </c>
      <c r="G17" s="4953"/>
      <c r="H17" s="4955"/>
      <c r="I17" s="4774"/>
      <c r="J17" s="5160"/>
      <c r="K17" s="5161"/>
      <c r="L17" s="5161"/>
      <c r="M17" s="5161"/>
      <c r="N17" s="5164"/>
      <c r="O17" s="5165">
        <f t="shared" si="1"/>
        <v>0</v>
      </c>
      <c r="P17" s="4918"/>
      <c r="Q17" s="4919"/>
      <c r="R17" s="4920"/>
      <c r="S17" s="4919"/>
      <c r="T17" s="4920"/>
      <c r="U17" s="4921"/>
      <c r="AC17" s="4941"/>
    </row>
    <row r="18" spans="1:29" ht="33.75" customHeight="1" thickTop="1" thickBot="1">
      <c r="A18" s="4865" t="s">
        <v>127</v>
      </c>
      <c r="B18" s="4866"/>
      <c r="C18" s="4866"/>
      <c r="D18" s="4866"/>
      <c r="E18" s="4866"/>
      <c r="F18" s="5166">
        <f>SUM(F8:F17)</f>
        <v>84</v>
      </c>
      <c r="G18" s="4866"/>
      <c r="H18" s="4868"/>
      <c r="I18" s="4782">
        <f>COUNTA(G8,G10,G12)</f>
        <v>3</v>
      </c>
      <c r="J18" s="5167"/>
      <c r="K18" s="5168"/>
      <c r="L18" s="5168"/>
      <c r="M18" s="5168"/>
      <c r="N18" s="5169"/>
      <c r="O18" s="5170">
        <f>SUM(O8:O17)</f>
        <v>167805000</v>
      </c>
      <c r="P18" s="4904"/>
      <c r="Q18" s="4904"/>
      <c r="R18" s="4905"/>
      <c r="S18" s="4906"/>
      <c r="T18" s="4905"/>
      <c r="U18" s="4907"/>
      <c r="AC18" s="4941"/>
    </row>
    <row r="19" spans="1:29" ht="33.75" customHeight="1">
      <c r="A19" s="5171"/>
      <c r="B19" s="5172"/>
      <c r="C19" s="5172"/>
      <c r="D19" s="5172"/>
      <c r="E19" s="5172"/>
      <c r="F19" s="5173"/>
      <c r="G19" s="5172"/>
      <c r="H19" s="5174"/>
      <c r="I19" s="5174"/>
      <c r="J19" s="5175"/>
      <c r="K19" s="5175"/>
      <c r="L19" s="5175"/>
      <c r="M19" s="5175"/>
      <c r="N19" s="5176"/>
      <c r="O19" s="5177">
        <f>O18*1.1</f>
        <v>184585500</v>
      </c>
      <c r="P19" s="5178"/>
      <c r="Q19" s="5178"/>
      <c r="R19" s="5179"/>
      <c r="S19" s="5180"/>
      <c r="T19" s="5179"/>
      <c r="U19" s="5180"/>
      <c r="AC19" s="4941"/>
    </row>
    <row r="20" spans="1:29" ht="33.75" customHeight="1">
      <c r="A20" s="4943"/>
      <c r="B20" s="5138"/>
      <c r="C20" s="5138"/>
      <c r="D20" s="5138"/>
      <c r="G20" s="5138"/>
      <c r="H20" s="5138"/>
      <c r="M20" s="4808" t="s">
        <v>5748</v>
      </c>
      <c r="N20" s="4809">
        <f>SUM(N8,N10,N12)</f>
        <v>6102000</v>
      </c>
      <c r="O20" s="5063"/>
      <c r="P20" s="4941"/>
      <c r="Q20" s="4941"/>
      <c r="AC20" s="4941"/>
    </row>
    <row r="21" spans="1:29" ht="33.75" customHeight="1">
      <c r="A21" s="5108"/>
      <c r="B21" s="4941"/>
      <c r="C21" s="4941"/>
      <c r="D21" s="4941"/>
      <c r="G21" s="4941"/>
      <c r="H21" s="4941"/>
      <c r="M21" s="4808" t="s">
        <v>5750</v>
      </c>
      <c r="N21" s="4809">
        <f>N20*1.1</f>
        <v>6712200.0000000009</v>
      </c>
      <c r="O21" s="4889" t="s">
        <v>5972</v>
      </c>
      <c r="P21" s="4943"/>
      <c r="Q21" s="4941"/>
      <c r="AC21" s="4941"/>
    </row>
    <row r="22" spans="1:29" ht="33.75" customHeight="1" thickBot="1">
      <c r="A22" s="5108" t="s">
        <v>5836</v>
      </c>
      <c r="B22" s="4941"/>
      <c r="C22" s="4941"/>
      <c r="D22" s="4941"/>
      <c r="G22" s="4941"/>
      <c r="H22" s="4941"/>
      <c r="M22" s="5064"/>
      <c r="N22" s="5063"/>
      <c r="O22" s="4889"/>
      <c r="P22" s="4943"/>
      <c r="Q22" s="4941"/>
      <c r="AC22" s="4941"/>
    </row>
    <row r="23" spans="1:29" s="4738" customFormat="1" ht="33.75" customHeight="1">
      <c r="A23" s="6919" t="s">
        <v>5713</v>
      </c>
      <c r="B23" s="6882" t="s">
        <v>5757</v>
      </c>
      <c r="C23" s="6882" t="s">
        <v>5758</v>
      </c>
      <c r="D23" s="6882" t="s">
        <v>5759</v>
      </c>
      <c r="E23" s="6882" t="s">
        <v>5760</v>
      </c>
      <c r="F23" s="6895" t="s">
        <v>5761</v>
      </c>
      <c r="G23" s="6882" t="s">
        <v>5762</v>
      </c>
      <c r="H23" s="6897" t="s">
        <v>5763</v>
      </c>
      <c r="I23" s="6882" t="s">
        <v>5764</v>
      </c>
      <c r="J23" s="6895" t="s">
        <v>5765</v>
      </c>
      <c r="K23" s="6888" t="s">
        <v>5766</v>
      </c>
      <c r="L23" s="6888" t="s">
        <v>5767</v>
      </c>
      <c r="M23" s="6888" t="s">
        <v>5768</v>
      </c>
      <c r="N23" s="6882" t="s">
        <v>5811</v>
      </c>
      <c r="O23" s="6884" t="s">
        <v>5812</v>
      </c>
      <c r="P23" s="6886" t="s">
        <v>5771</v>
      </c>
      <c r="Q23" s="6887"/>
      <c r="R23" s="6888" t="s">
        <v>5772</v>
      </c>
      <c r="S23" s="6889"/>
      <c r="T23" s="6889"/>
      <c r="U23" s="6890"/>
    </row>
    <row r="24" spans="1:29" s="4738" customFormat="1" ht="33.75" customHeight="1" thickBot="1">
      <c r="A24" s="6894"/>
      <c r="B24" s="6883"/>
      <c r="C24" s="6883"/>
      <c r="D24" s="6883"/>
      <c r="E24" s="6883"/>
      <c r="F24" s="6896"/>
      <c r="G24" s="6883"/>
      <c r="H24" s="6898"/>
      <c r="I24" s="6883"/>
      <c r="J24" s="6896"/>
      <c r="K24" s="6892"/>
      <c r="L24" s="6892"/>
      <c r="M24" s="6892"/>
      <c r="N24" s="6883"/>
      <c r="O24" s="6885"/>
      <c r="P24" s="4739" t="s">
        <v>5773</v>
      </c>
      <c r="Q24" s="4740" t="s">
        <v>5774</v>
      </c>
      <c r="R24" s="4740" t="s">
        <v>5775</v>
      </c>
      <c r="S24" s="4741" t="s">
        <v>5776</v>
      </c>
      <c r="T24" s="4740" t="s">
        <v>5777</v>
      </c>
      <c r="U24" s="4742" t="s">
        <v>5778</v>
      </c>
    </row>
    <row r="25" spans="1:29" s="5111" customFormat="1" ht="33.75" customHeight="1">
      <c r="A25" s="5109" t="s">
        <v>5779</v>
      </c>
      <c r="B25" s="4744">
        <v>46280</v>
      </c>
      <c r="C25" s="4744">
        <v>46300</v>
      </c>
      <c r="D25" s="4745">
        <v>0.3125</v>
      </c>
      <c r="E25" s="5110">
        <v>0.89583333333333337</v>
      </c>
      <c r="F25" s="5152">
        <f t="shared" ref="F25:F35" si="3">IF(OR(ISBLANK($B25), ISBLANK($C25)), 0, _xlfn.DAYS($C25, $B25) + 1)</f>
        <v>21</v>
      </c>
      <c r="G25" s="4890" t="s">
        <v>5780</v>
      </c>
      <c r="H25" s="4891">
        <v>3</v>
      </c>
      <c r="I25" s="4892" t="s">
        <v>5781</v>
      </c>
      <c r="J25" s="5153">
        <v>30</v>
      </c>
      <c r="K25" s="5154">
        <v>100</v>
      </c>
      <c r="L25" s="5154">
        <f>J25*K25</f>
        <v>3000</v>
      </c>
      <c r="M25" s="5155">
        <v>5</v>
      </c>
      <c r="N25" s="5156">
        <v>150000</v>
      </c>
      <c r="O25" s="5157">
        <f t="shared" ref="O25:O35" si="4">F25*N25</f>
        <v>3150000</v>
      </c>
      <c r="P25" s="4897" t="s">
        <v>5782</v>
      </c>
      <c r="Q25" s="4898">
        <v>4</v>
      </c>
      <c r="R25" s="4898" t="s">
        <v>3804</v>
      </c>
      <c r="S25" s="4894" t="s">
        <v>246</v>
      </c>
      <c r="T25" s="4898" t="s">
        <v>2161</v>
      </c>
      <c r="U25" s="4899">
        <v>2000</v>
      </c>
    </row>
    <row r="26" spans="1:29" s="5111" customFormat="1" ht="33.75" customHeight="1">
      <c r="A26" s="4758">
        <v>1</v>
      </c>
      <c r="B26" s="4900">
        <v>46305</v>
      </c>
      <c r="C26" s="4900">
        <v>46320</v>
      </c>
      <c r="D26" s="4759">
        <v>0</v>
      </c>
      <c r="E26" s="4759">
        <v>1</v>
      </c>
      <c r="F26" s="5181">
        <v>18</v>
      </c>
      <c r="G26" s="5182" t="s">
        <v>6015</v>
      </c>
      <c r="H26" s="4762">
        <v>2</v>
      </c>
      <c r="I26" s="4763" t="s">
        <v>5190</v>
      </c>
      <c r="J26" s="5160">
        <v>22.5</v>
      </c>
      <c r="K26" s="5161">
        <v>12</v>
      </c>
      <c r="L26" s="5183">
        <f t="shared" ref="L26:L31" si="5">J26*K26</f>
        <v>270</v>
      </c>
      <c r="M26" s="5161">
        <v>5</v>
      </c>
      <c r="N26" s="5162">
        <v>2712000</v>
      </c>
      <c r="O26" s="5158">
        <f t="shared" si="4"/>
        <v>48816000</v>
      </c>
      <c r="P26" s="4864" t="s">
        <v>5992</v>
      </c>
      <c r="Q26" s="4858"/>
      <c r="R26" s="4864" t="s">
        <v>5992</v>
      </c>
      <c r="S26" s="4858"/>
      <c r="T26" s="4859" t="s">
        <v>5815</v>
      </c>
      <c r="U26" s="4860">
        <v>0</v>
      </c>
    </row>
    <row r="27" spans="1:29" ht="33.75" customHeight="1">
      <c r="A27" s="4758">
        <v>2</v>
      </c>
      <c r="B27" s="4900">
        <v>46321</v>
      </c>
      <c r="C27" s="4900">
        <v>46321</v>
      </c>
      <c r="D27" s="4759">
        <v>0</v>
      </c>
      <c r="E27" s="4759">
        <v>0.5</v>
      </c>
      <c r="F27" s="5181">
        <f t="shared" si="3"/>
        <v>1</v>
      </c>
      <c r="G27" s="5182" t="s">
        <v>6015</v>
      </c>
      <c r="H27" s="4762">
        <v>2</v>
      </c>
      <c r="I27" s="4763" t="s">
        <v>5190</v>
      </c>
      <c r="J27" s="5160">
        <v>22.5</v>
      </c>
      <c r="K27" s="5161">
        <v>12</v>
      </c>
      <c r="L27" s="5183">
        <f t="shared" si="5"/>
        <v>270</v>
      </c>
      <c r="M27" s="5161">
        <v>5</v>
      </c>
      <c r="N27" s="5162">
        <v>1356000</v>
      </c>
      <c r="O27" s="5158">
        <f t="shared" si="4"/>
        <v>1356000</v>
      </c>
      <c r="P27" s="4864" t="s">
        <v>5992</v>
      </c>
      <c r="Q27" s="4858"/>
      <c r="R27" s="4864" t="s">
        <v>5992</v>
      </c>
      <c r="S27" s="4858"/>
      <c r="T27" s="4859" t="s">
        <v>5815</v>
      </c>
      <c r="U27" s="4860">
        <v>0</v>
      </c>
      <c r="AC27" s="4941"/>
    </row>
    <row r="28" spans="1:29" ht="33.75" customHeight="1">
      <c r="A28" s="4758">
        <v>3</v>
      </c>
      <c r="B28" s="4900">
        <v>46305</v>
      </c>
      <c r="C28" s="4900">
        <v>46320</v>
      </c>
      <c r="D28" s="4759">
        <v>0</v>
      </c>
      <c r="E28" s="4759">
        <v>1</v>
      </c>
      <c r="F28" s="5181">
        <v>18</v>
      </c>
      <c r="G28" s="5182" t="s">
        <v>6016</v>
      </c>
      <c r="H28" s="4762">
        <v>2</v>
      </c>
      <c r="I28" s="4763" t="s">
        <v>5190</v>
      </c>
      <c r="J28" s="5160">
        <v>15</v>
      </c>
      <c r="K28" s="5161">
        <v>10</v>
      </c>
      <c r="L28" s="5183">
        <f t="shared" si="5"/>
        <v>150</v>
      </c>
      <c r="M28" s="5161">
        <v>5</v>
      </c>
      <c r="N28" s="5162">
        <v>1356000</v>
      </c>
      <c r="O28" s="5158">
        <f t="shared" si="4"/>
        <v>24408000</v>
      </c>
      <c r="P28" s="4857" t="s">
        <v>5815</v>
      </c>
      <c r="Q28" s="4858">
        <v>2</v>
      </c>
      <c r="R28" s="4864" t="s">
        <v>5992</v>
      </c>
      <c r="S28" s="4858"/>
      <c r="T28" s="4859" t="s">
        <v>5815</v>
      </c>
      <c r="U28" s="4860">
        <v>0</v>
      </c>
      <c r="AC28" s="4941"/>
    </row>
    <row r="29" spans="1:29" ht="33.75" customHeight="1">
      <c r="A29" s="4758">
        <v>4</v>
      </c>
      <c r="B29" s="4900">
        <v>46321</v>
      </c>
      <c r="C29" s="4900">
        <v>46321</v>
      </c>
      <c r="D29" s="4759">
        <v>0</v>
      </c>
      <c r="E29" s="4759">
        <v>0.5</v>
      </c>
      <c r="F29" s="5181">
        <f t="shared" si="3"/>
        <v>1</v>
      </c>
      <c r="G29" s="5182" t="s">
        <v>6016</v>
      </c>
      <c r="H29" s="4762">
        <v>2</v>
      </c>
      <c r="I29" s="4763" t="s">
        <v>5190</v>
      </c>
      <c r="J29" s="5160">
        <v>15</v>
      </c>
      <c r="K29" s="5161">
        <v>10</v>
      </c>
      <c r="L29" s="5184">
        <f t="shared" si="5"/>
        <v>150</v>
      </c>
      <c r="M29" s="5161">
        <v>5</v>
      </c>
      <c r="N29" s="5162">
        <v>678000</v>
      </c>
      <c r="O29" s="5158">
        <f t="shared" si="4"/>
        <v>678000</v>
      </c>
      <c r="P29" s="4857" t="s">
        <v>5815</v>
      </c>
      <c r="Q29" s="4858">
        <v>2</v>
      </c>
      <c r="R29" s="4864" t="s">
        <v>5992</v>
      </c>
      <c r="S29" s="4858"/>
      <c r="T29" s="4859" t="s">
        <v>5815</v>
      </c>
      <c r="U29" s="4860">
        <v>0</v>
      </c>
      <c r="AC29" s="4941"/>
    </row>
    <row r="30" spans="1:29" ht="33.75" customHeight="1">
      <c r="A30" s="4758">
        <v>5</v>
      </c>
      <c r="B30" s="4900">
        <v>46305</v>
      </c>
      <c r="C30" s="4900">
        <v>46320</v>
      </c>
      <c r="D30" s="4759">
        <v>0</v>
      </c>
      <c r="E30" s="4759">
        <v>1</v>
      </c>
      <c r="F30" s="5181">
        <v>18</v>
      </c>
      <c r="G30" s="5182" t="s">
        <v>6017</v>
      </c>
      <c r="H30" s="4762">
        <v>2</v>
      </c>
      <c r="I30" s="4763" t="s">
        <v>5190</v>
      </c>
      <c r="J30" s="5160">
        <v>20</v>
      </c>
      <c r="K30" s="5161">
        <v>9</v>
      </c>
      <c r="L30" s="5183">
        <f t="shared" si="5"/>
        <v>180</v>
      </c>
      <c r="M30" s="5161">
        <v>2.5</v>
      </c>
      <c r="N30" s="5162">
        <v>2034000</v>
      </c>
      <c r="O30" s="5158">
        <f t="shared" si="4"/>
        <v>36612000</v>
      </c>
      <c r="P30" s="4857" t="s">
        <v>5815</v>
      </c>
      <c r="Q30" s="4858">
        <v>2</v>
      </c>
      <c r="R30" s="4864" t="s">
        <v>5992</v>
      </c>
      <c r="S30" s="4858"/>
      <c r="T30" s="4859" t="s">
        <v>5815</v>
      </c>
      <c r="U30" s="4860">
        <v>0</v>
      </c>
      <c r="AC30" s="4941"/>
    </row>
    <row r="31" spans="1:29" ht="33.75" customHeight="1">
      <c r="A31" s="4758">
        <v>6</v>
      </c>
      <c r="B31" s="4900">
        <v>46321</v>
      </c>
      <c r="C31" s="4900">
        <v>46321</v>
      </c>
      <c r="D31" s="4759">
        <v>0</v>
      </c>
      <c r="E31" s="4759">
        <v>0.5</v>
      </c>
      <c r="F31" s="5181">
        <f t="shared" si="3"/>
        <v>1</v>
      </c>
      <c r="G31" s="5182" t="s">
        <v>6017</v>
      </c>
      <c r="H31" s="4762">
        <v>2</v>
      </c>
      <c r="I31" s="4763" t="s">
        <v>5190</v>
      </c>
      <c r="J31" s="5160">
        <v>20</v>
      </c>
      <c r="K31" s="5161">
        <v>9</v>
      </c>
      <c r="L31" s="5183">
        <f t="shared" si="5"/>
        <v>180</v>
      </c>
      <c r="M31" s="5161">
        <v>2.5</v>
      </c>
      <c r="N31" s="5162">
        <v>1017000</v>
      </c>
      <c r="O31" s="5158">
        <f t="shared" si="4"/>
        <v>1017000</v>
      </c>
      <c r="P31" s="4857" t="s">
        <v>5815</v>
      </c>
      <c r="Q31" s="4858">
        <v>2</v>
      </c>
      <c r="R31" s="4864" t="s">
        <v>5992</v>
      </c>
      <c r="S31" s="4858"/>
      <c r="T31" s="4859" t="s">
        <v>5815</v>
      </c>
      <c r="U31" s="4860">
        <v>0</v>
      </c>
      <c r="AC31" s="4941"/>
    </row>
    <row r="32" spans="1:29" ht="33.75" customHeight="1">
      <c r="A32" s="4758">
        <v>7</v>
      </c>
      <c r="B32" s="4950"/>
      <c r="C32" s="4950"/>
      <c r="D32" s="4951"/>
      <c r="E32" s="4759"/>
      <c r="F32" s="5159">
        <f t="shared" si="3"/>
        <v>0</v>
      </c>
      <c r="G32" s="4950"/>
      <c r="H32" s="4952"/>
      <c r="I32" s="4763"/>
      <c r="J32" s="5185"/>
      <c r="K32" s="5161"/>
      <c r="L32" s="5161"/>
      <c r="M32" s="5161"/>
      <c r="N32" s="5162"/>
      <c r="O32" s="5158">
        <f t="shared" si="4"/>
        <v>0</v>
      </c>
      <c r="P32" s="4857"/>
      <c r="Q32" s="4858"/>
      <c r="R32" s="4859"/>
      <c r="S32" s="4858"/>
      <c r="T32" s="4859"/>
      <c r="U32" s="4860"/>
      <c r="AC32" s="4941"/>
    </row>
    <row r="33" spans="1:31" ht="33.75" customHeight="1">
      <c r="A33" s="4758">
        <v>8</v>
      </c>
      <c r="B33" s="4950"/>
      <c r="C33" s="4950"/>
      <c r="D33" s="4951"/>
      <c r="E33" s="4759"/>
      <c r="F33" s="5159">
        <f t="shared" si="3"/>
        <v>0</v>
      </c>
      <c r="G33" s="4950"/>
      <c r="H33" s="4952"/>
      <c r="I33" s="4763"/>
      <c r="J33" s="5185"/>
      <c r="K33" s="5161"/>
      <c r="L33" s="5161"/>
      <c r="M33" s="5161"/>
      <c r="N33" s="5162"/>
      <c r="O33" s="5158">
        <f t="shared" si="4"/>
        <v>0</v>
      </c>
      <c r="P33" s="4857"/>
      <c r="Q33" s="4858"/>
      <c r="R33" s="4859"/>
      <c r="S33" s="4858"/>
      <c r="T33" s="4859"/>
      <c r="U33" s="4860"/>
      <c r="AC33" s="4941"/>
    </row>
    <row r="34" spans="1:31" ht="33.75" customHeight="1">
      <c r="A34" s="4758">
        <v>9</v>
      </c>
      <c r="B34" s="4950"/>
      <c r="C34" s="4950"/>
      <c r="D34" s="4951"/>
      <c r="E34" s="4759"/>
      <c r="F34" s="5163">
        <f t="shared" si="3"/>
        <v>0</v>
      </c>
      <c r="G34" s="4950"/>
      <c r="H34" s="4952"/>
      <c r="I34" s="4763"/>
      <c r="J34" s="5185"/>
      <c r="K34" s="5161"/>
      <c r="L34" s="5161"/>
      <c r="M34" s="5161"/>
      <c r="N34" s="5162"/>
      <c r="O34" s="5158">
        <f t="shared" si="4"/>
        <v>0</v>
      </c>
      <c r="P34" s="4857"/>
      <c r="Q34" s="4858"/>
      <c r="R34" s="4859"/>
      <c r="S34" s="4858"/>
      <c r="T34" s="4859"/>
      <c r="U34" s="4860"/>
      <c r="AC34" s="4941"/>
    </row>
    <row r="35" spans="1:31" ht="33.75" customHeight="1" thickBot="1">
      <c r="A35" s="4772">
        <v>10</v>
      </c>
      <c r="B35" s="4953"/>
      <c r="C35" s="4953"/>
      <c r="D35" s="4954"/>
      <c r="E35" s="4915"/>
      <c r="F35" s="5163">
        <f t="shared" si="3"/>
        <v>0</v>
      </c>
      <c r="G35" s="4953"/>
      <c r="H35" s="4955"/>
      <c r="I35" s="4774"/>
      <c r="J35" s="5185"/>
      <c r="K35" s="5161"/>
      <c r="L35" s="5186"/>
      <c r="M35" s="5161"/>
      <c r="N35" s="5164"/>
      <c r="O35" s="5165">
        <f t="shared" si="4"/>
        <v>0</v>
      </c>
      <c r="P35" s="4918"/>
      <c r="Q35" s="4919"/>
      <c r="R35" s="4920"/>
      <c r="S35" s="4919"/>
      <c r="T35" s="4920"/>
      <c r="U35" s="4921"/>
      <c r="AC35" s="4941"/>
    </row>
    <row r="36" spans="1:31" ht="33.75" customHeight="1" thickTop="1" thickBot="1">
      <c r="A36" s="4865" t="s">
        <v>127</v>
      </c>
      <c r="B36" s="4866"/>
      <c r="C36" s="4866"/>
      <c r="D36" s="4866"/>
      <c r="E36" s="4866"/>
      <c r="F36" s="5166">
        <f>SUM(F26:F35)</f>
        <v>57</v>
      </c>
      <c r="G36" s="4866"/>
      <c r="H36" s="4868"/>
      <c r="I36" s="4782">
        <f>COUNTA(G26,G28,G30)</f>
        <v>3</v>
      </c>
      <c r="J36" s="5168"/>
      <c r="K36" s="5168"/>
      <c r="L36" s="5168"/>
      <c r="M36" s="5168"/>
      <c r="N36" s="5169"/>
      <c r="O36" s="5170">
        <f>SUM(O26:O35)</f>
        <v>112887000</v>
      </c>
      <c r="P36" s="4904"/>
      <c r="Q36" s="4904"/>
      <c r="R36" s="4905"/>
      <c r="S36" s="4906"/>
      <c r="T36" s="4905"/>
      <c r="U36" s="4907"/>
      <c r="AC36" s="4941"/>
    </row>
    <row r="37" spans="1:31" ht="33.75" customHeight="1">
      <c r="A37" s="5171"/>
      <c r="B37" s="5172"/>
      <c r="C37" s="5172"/>
      <c r="D37" s="5172"/>
      <c r="E37" s="5172"/>
      <c r="F37" s="5173"/>
      <c r="G37" s="5172"/>
      <c r="H37" s="5174"/>
      <c r="I37" s="5174"/>
      <c r="J37" s="5175"/>
      <c r="K37" s="5175"/>
      <c r="L37" s="5175"/>
      <c r="M37" s="5175"/>
      <c r="N37" s="5176"/>
      <c r="O37" s="5177">
        <f>O36*1.1</f>
        <v>124175700.00000001</v>
      </c>
      <c r="P37" s="5178"/>
      <c r="Q37" s="5178"/>
      <c r="R37" s="5179"/>
      <c r="S37" s="5180"/>
      <c r="T37" s="5179"/>
      <c r="U37" s="5180"/>
      <c r="AC37" s="4941"/>
    </row>
    <row r="38" spans="1:31" ht="32.15" customHeight="1">
      <c r="A38" s="4943"/>
      <c r="B38" s="5138"/>
      <c r="C38" s="5138"/>
      <c r="D38" s="5138"/>
      <c r="G38" s="5138"/>
      <c r="H38" s="5138"/>
      <c r="K38" s="5138"/>
      <c r="M38" s="4808" t="s">
        <v>5748</v>
      </c>
      <c r="N38" s="4809">
        <f>SUM(N26,N28,N30)</f>
        <v>6102000</v>
      </c>
      <c r="O38" s="5063"/>
      <c r="P38" s="4941"/>
      <c r="Q38" s="4941"/>
      <c r="AC38" s="4941"/>
    </row>
    <row r="39" spans="1:31" ht="32.15" customHeight="1">
      <c r="B39" s="4941"/>
      <c r="C39" s="4941"/>
      <c r="D39" s="4941"/>
      <c r="E39" s="4810"/>
      <c r="F39" s="4810"/>
      <c r="G39" s="4941"/>
      <c r="H39" s="4941"/>
      <c r="M39" s="4808" t="s">
        <v>5750</v>
      </c>
      <c r="N39" s="4809">
        <f>N38*1.1</f>
        <v>6712200.0000000009</v>
      </c>
      <c r="O39" s="4889" t="s">
        <v>5972</v>
      </c>
      <c r="P39" s="4941"/>
      <c r="Q39" s="4941"/>
      <c r="AC39" s="4941"/>
    </row>
    <row r="40" spans="1:31" ht="32.15" customHeight="1">
      <c r="A40" s="5139"/>
      <c r="B40" s="5140"/>
      <c r="C40" s="5140"/>
      <c r="D40" s="5140"/>
      <c r="E40" s="5141"/>
      <c r="F40" s="5141"/>
      <c r="G40" s="5140"/>
      <c r="H40" s="5140"/>
      <c r="I40" s="5139"/>
      <c r="J40" s="5139"/>
      <c r="K40" s="5139"/>
      <c r="L40" s="5139"/>
      <c r="M40" s="5139"/>
      <c r="N40" s="5139"/>
      <c r="O40" s="5142"/>
      <c r="P40" s="5142"/>
      <c r="Q40" s="5142"/>
      <c r="R40" s="4943"/>
      <c r="S40" s="5139"/>
      <c r="T40" s="4943"/>
      <c r="U40" s="5139"/>
      <c r="W40" s="6916"/>
      <c r="X40" s="6916"/>
      <c r="Y40" s="6916"/>
      <c r="Z40" s="6916"/>
      <c r="AA40" s="6916"/>
      <c r="AB40" s="6915"/>
      <c r="AC40" s="6915"/>
      <c r="AD40" s="6915"/>
      <c r="AE40" s="6915"/>
    </row>
    <row r="41" spans="1:31" ht="36" customHeight="1"/>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36" customHeight="1"/>
    <row r="51" spans="2:29" ht="10.4" customHeight="1">
      <c r="B51" s="4941"/>
      <c r="C51" s="4941"/>
      <c r="D51" s="4941"/>
      <c r="G51" s="4941"/>
      <c r="H51" s="4941"/>
      <c r="O51" s="4941"/>
      <c r="P51" s="4941"/>
      <c r="Q51" s="4941"/>
      <c r="AC51" s="4941"/>
    </row>
  </sheetData>
  <mergeCells count="38">
    <mergeCell ref="A2:B2"/>
    <mergeCell ref="C2:G2"/>
    <mergeCell ref="A5:A6"/>
    <mergeCell ref="B5:B6"/>
    <mergeCell ref="C5:C6"/>
    <mergeCell ref="D5:D6"/>
    <mergeCell ref="E5:E6"/>
    <mergeCell ref="F5:F6"/>
    <mergeCell ref="G5:G6"/>
    <mergeCell ref="F23:F24"/>
    <mergeCell ref="H5:H6"/>
    <mergeCell ref="I5:I6"/>
    <mergeCell ref="J5:J6"/>
    <mergeCell ref="K5:K6"/>
    <mergeCell ref="G23:G24"/>
    <mergeCell ref="H23:H24"/>
    <mergeCell ref="I23:I24"/>
    <mergeCell ref="J23:J24"/>
    <mergeCell ref="K23:K24"/>
    <mergeCell ref="A23:A24"/>
    <mergeCell ref="B23:B24"/>
    <mergeCell ref="C23:C24"/>
    <mergeCell ref="D23:D24"/>
    <mergeCell ref="E23:E24"/>
    <mergeCell ref="L23:L24"/>
    <mergeCell ref="N5:N6"/>
    <mergeCell ref="O5:O6"/>
    <mergeCell ref="P5:Q5"/>
    <mergeCell ref="R5:U5"/>
    <mergeCell ref="L5:L6"/>
    <mergeCell ref="M5:M6"/>
    <mergeCell ref="AB40:AE40"/>
    <mergeCell ref="M23:M24"/>
    <mergeCell ref="N23:N24"/>
    <mergeCell ref="O23:O24"/>
    <mergeCell ref="P23:Q23"/>
    <mergeCell ref="R23:U23"/>
    <mergeCell ref="W40:AA40"/>
  </mergeCells>
  <phoneticPr fontId="2"/>
  <conditionalFormatting sqref="B8:E17 G8:N17">
    <cfRule type="containsBlanks" dxfId="628" priority="1">
      <formula>LEN(TRIM(B8))=0</formula>
    </cfRule>
  </conditionalFormatting>
  <conditionalFormatting sqref="B26:E35 G26:K35">
    <cfRule type="containsBlanks" dxfId="627" priority="4">
      <formula>LEN(TRIM(B26))=0</formula>
    </cfRule>
  </conditionalFormatting>
  <conditionalFormatting sqref="C2:D2">
    <cfRule type="containsBlanks" dxfId="626" priority="5">
      <formula>LEN(TRIM(C2))=0</formula>
    </cfRule>
  </conditionalFormatting>
  <conditionalFormatting sqref="M26:N35">
    <cfRule type="containsBlanks" dxfId="625" priority="3">
      <formula>LEN(TRIM(M26))=0</formula>
    </cfRule>
  </conditionalFormatting>
  <conditionalFormatting sqref="P8:U17">
    <cfRule type="containsBlanks" dxfId="624" priority="6">
      <formula>LEN(TRIM(P8))=0</formula>
    </cfRule>
  </conditionalFormatting>
  <conditionalFormatting sqref="P26:U35">
    <cfRule type="containsBlanks" dxfId="623" priority="2">
      <formula>LEN(TRIM(P26))=0</formula>
    </cfRule>
  </conditionalFormatting>
  <dataValidations count="1">
    <dataValidation type="list" allowBlank="1" showInputMessage="1" showErrorMessage="1" sqref="I25:I35 I7:I17" xr:uid="{A69400C5-35AF-4B09-B3D0-3480C351DD2C}">
      <formula1>会場形態</formula1>
    </dataValidation>
  </dataValidations>
  <printOptions horizontalCentered="1"/>
  <pageMargins left="0.59055118110236227" right="0.59055118110236227" top="0.74803149606299213" bottom="0.74803149606299213" header="0.31496062992125984" footer="0.31496062992125984"/>
  <pageSetup paperSize="8" scale="65" orientation="landscape" r:id="rId1"/>
  <headerFooter>
    <oddHeader>&amp;R&amp;G</oddHead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7641-C3F9-4279-BCF1-2EAC0D3B2728}">
  <sheetPr codeName="Sheet337">
    <tabColor rgb="FFFFFF66"/>
    <pageSetUpPr fitToPage="1"/>
  </sheetPr>
  <dimension ref="A1:AF40"/>
  <sheetViews>
    <sheetView zoomScale="70" zoomScaleNormal="70" zoomScaleSheetLayoutView="70" workbookViewId="0">
      <selection activeCell="E18" sqref="E18"/>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2312</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46279</v>
      </c>
      <c r="C8" s="4687">
        <v>46281</v>
      </c>
      <c r="D8" s="4672">
        <f t="shared" ref="D8:D17" si="0">IF(_xlfn.DAYS(C8,B8)=0,"1",_xlfn.DAYS(C8,B8))</f>
        <v>2</v>
      </c>
      <c r="E8" s="4687">
        <v>46293</v>
      </c>
      <c r="F8" s="4698">
        <f t="shared" ref="F8:F17" si="1">IF(_xlfn.DAYS(E8,C8)=0,"1",_xlfn.DAYS(E8,C8))+1</f>
        <v>13</v>
      </c>
      <c r="G8" s="4699">
        <v>46295</v>
      </c>
      <c r="H8" s="4672">
        <f t="shared" ref="H8:H22" si="2">IF(_xlfn.DAYS(G8,E8)=0,"1",_xlfn.DAYS(G8,E8))-1</f>
        <v>1</v>
      </c>
      <c r="I8" s="4691" t="s">
        <v>5112</v>
      </c>
      <c r="J8" s="4692">
        <v>57</v>
      </c>
      <c r="K8" s="4693">
        <v>57</v>
      </c>
      <c r="L8" s="4692">
        <v>23000</v>
      </c>
      <c r="M8" s="4692">
        <v>25000</v>
      </c>
      <c r="N8" s="4971">
        <f t="shared" ref="N8:N17" si="3">M8*K8</f>
        <v>1425000</v>
      </c>
      <c r="O8" s="4692">
        <v>23000</v>
      </c>
      <c r="P8" s="4678">
        <f>SUM(D8,F8,H8)*K8</f>
        <v>912</v>
      </c>
      <c r="Q8" s="4679">
        <f t="shared" ref="Q8:Q22" si="4">(D8*L8+F8*M8+H8*O8)*K8</f>
        <v>22458000</v>
      </c>
      <c r="R8" s="4692">
        <v>18</v>
      </c>
      <c r="S8" s="4680" t="s">
        <v>5742</v>
      </c>
      <c r="T8" s="4694">
        <v>18</v>
      </c>
      <c r="U8" s="4700">
        <v>1</v>
      </c>
      <c r="V8" s="4692">
        <v>203</v>
      </c>
      <c r="W8" s="4680" t="s">
        <v>2688</v>
      </c>
      <c r="X8" s="4695">
        <v>140</v>
      </c>
      <c r="Y8" s="4692">
        <v>1</v>
      </c>
      <c r="Z8" s="4692" t="s">
        <v>5743</v>
      </c>
      <c r="AA8" s="4683" t="s">
        <v>5035</v>
      </c>
      <c r="AB8" s="4692" t="s">
        <v>2830</v>
      </c>
      <c r="AC8" s="4683" t="s">
        <v>5050</v>
      </c>
      <c r="AD8" s="4692" t="s">
        <v>2814</v>
      </c>
      <c r="AE8" s="6922" t="s">
        <v>6018</v>
      </c>
      <c r="AF8" s="4685">
        <f>U8*K8</f>
        <v>57</v>
      </c>
    </row>
    <row r="9" spans="1:32" ht="33.75" customHeight="1">
      <c r="A9" s="4686">
        <v>2</v>
      </c>
      <c r="B9" s="4687">
        <v>46279</v>
      </c>
      <c r="C9" s="4687">
        <v>46281</v>
      </c>
      <c r="D9" s="4672">
        <f t="shared" si="0"/>
        <v>2</v>
      </c>
      <c r="E9" s="4687">
        <v>46293</v>
      </c>
      <c r="F9" s="4698">
        <f t="shared" si="1"/>
        <v>13</v>
      </c>
      <c r="G9" s="4699">
        <v>46295</v>
      </c>
      <c r="H9" s="4672">
        <f t="shared" si="2"/>
        <v>1</v>
      </c>
      <c r="I9" s="4691" t="s">
        <v>6019</v>
      </c>
      <c r="J9" s="4692">
        <v>3</v>
      </c>
      <c r="K9" s="4693">
        <v>3</v>
      </c>
      <c r="L9" s="4692">
        <v>26000</v>
      </c>
      <c r="M9" s="4692">
        <v>28000</v>
      </c>
      <c r="N9" s="4971">
        <f t="shared" si="3"/>
        <v>84000</v>
      </c>
      <c r="O9" s="4692">
        <v>26000</v>
      </c>
      <c r="P9" s="4678">
        <f t="shared" ref="P9:P22" si="5">SUM(D9,F9,H9)*K9</f>
        <v>48</v>
      </c>
      <c r="Q9" s="4679">
        <f t="shared" si="4"/>
        <v>1326000</v>
      </c>
      <c r="R9" s="4692">
        <v>22</v>
      </c>
      <c r="S9" s="4680" t="s">
        <v>5742</v>
      </c>
      <c r="T9" s="4694">
        <v>22</v>
      </c>
      <c r="U9" s="4700">
        <v>1</v>
      </c>
      <c r="V9" s="4692">
        <v>203</v>
      </c>
      <c r="W9" s="4680" t="s">
        <v>2688</v>
      </c>
      <c r="X9" s="4695">
        <v>140</v>
      </c>
      <c r="Y9" s="4692">
        <v>1</v>
      </c>
      <c r="Z9" s="4692" t="s">
        <v>5743</v>
      </c>
      <c r="AA9" s="4683" t="s">
        <v>5035</v>
      </c>
      <c r="AB9" s="4692" t="s">
        <v>2830</v>
      </c>
      <c r="AC9" s="4683" t="s">
        <v>5050</v>
      </c>
      <c r="AD9" s="4692" t="s">
        <v>2814</v>
      </c>
      <c r="AE9" s="6923"/>
      <c r="AF9" s="4685">
        <f t="shared" ref="AF9:AF22" si="6">U9*K9</f>
        <v>3</v>
      </c>
    </row>
    <row r="10" spans="1:32" ht="33.75" customHeight="1">
      <c r="A10" s="4686">
        <v>3</v>
      </c>
      <c r="B10" s="4687">
        <v>46279</v>
      </c>
      <c r="C10" s="4687">
        <v>46281</v>
      </c>
      <c r="D10" s="4672">
        <f t="shared" si="0"/>
        <v>2</v>
      </c>
      <c r="E10" s="4687">
        <v>46293</v>
      </c>
      <c r="F10" s="4698">
        <f t="shared" si="1"/>
        <v>13</v>
      </c>
      <c r="G10" s="4699">
        <v>46295</v>
      </c>
      <c r="H10" s="4672">
        <f t="shared" si="2"/>
        <v>1</v>
      </c>
      <c r="I10" s="4691" t="s">
        <v>6020</v>
      </c>
      <c r="J10" s="4692">
        <v>4</v>
      </c>
      <c r="K10" s="4693">
        <v>4</v>
      </c>
      <c r="L10" s="4692">
        <v>23000</v>
      </c>
      <c r="M10" s="4692">
        <v>25000</v>
      </c>
      <c r="N10" s="4971">
        <f t="shared" si="3"/>
        <v>100000</v>
      </c>
      <c r="O10" s="4692">
        <v>23000</v>
      </c>
      <c r="P10" s="4678">
        <f t="shared" si="5"/>
        <v>64</v>
      </c>
      <c r="Q10" s="4679">
        <f t="shared" si="4"/>
        <v>1576000</v>
      </c>
      <c r="R10" s="4692">
        <v>22</v>
      </c>
      <c r="S10" s="4680" t="s">
        <v>5742</v>
      </c>
      <c r="T10" s="4694">
        <v>22</v>
      </c>
      <c r="U10" s="4700">
        <v>1</v>
      </c>
      <c r="V10" s="4692">
        <v>203</v>
      </c>
      <c r="W10" s="4680" t="s">
        <v>2688</v>
      </c>
      <c r="X10" s="4695">
        <v>140</v>
      </c>
      <c r="Y10" s="4692">
        <v>1</v>
      </c>
      <c r="Z10" s="4692" t="s">
        <v>5743</v>
      </c>
      <c r="AA10" s="4683" t="s">
        <v>5035</v>
      </c>
      <c r="AB10" s="4692" t="s">
        <v>2830</v>
      </c>
      <c r="AC10" s="4683" t="s">
        <v>5050</v>
      </c>
      <c r="AD10" s="4692" t="s">
        <v>2814</v>
      </c>
      <c r="AE10" s="6923"/>
      <c r="AF10" s="4685">
        <f t="shared" si="6"/>
        <v>4</v>
      </c>
    </row>
    <row r="11" spans="1:32" ht="33.75" customHeight="1">
      <c r="A11" s="4686">
        <v>4</v>
      </c>
      <c r="B11" s="4687">
        <v>46279</v>
      </c>
      <c r="C11" s="4687">
        <v>46281</v>
      </c>
      <c r="D11" s="4672">
        <f t="shared" si="0"/>
        <v>2</v>
      </c>
      <c r="E11" s="4687">
        <v>46293</v>
      </c>
      <c r="F11" s="4698">
        <f t="shared" si="1"/>
        <v>13</v>
      </c>
      <c r="G11" s="4699">
        <v>46295</v>
      </c>
      <c r="H11" s="4672">
        <f t="shared" si="2"/>
        <v>1</v>
      </c>
      <c r="I11" s="4691" t="s">
        <v>5089</v>
      </c>
      <c r="J11" s="4692">
        <v>6</v>
      </c>
      <c r="K11" s="4693">
        <v>6</v>
      </c>
      <c r="L11" s="4692">
        <v>53000</v>
      </c>
      <c r="M11" s="4692">
        <v>55000</v>
      </c>
      <c r="N11" s="4971">
        <f t="shared" si="3"/>
        <v>330000</v>
      </c>
      <c r="O11" s="4692">
        <v>53000</v>
      </c>
      <c r="P11" s="4678">
        <f t="shared" si="5"/>
        <v>96</v>
      </c>
      <c r="Q11" s="4679">
        <f t="shared" si="4"/>
        <v>5244000</v>
      </c>
      <c r="R11" s="4692">
        <v>27</v>
      </c>
      <c r="S11" s="4680" t="s">
        <v>5742</v>
      </c>
      <c r="T11" s="4694">
        <v>27</v>
      </c>
      <c r="U11" s="4700">
        <v>1</v>
      </c>
      <c r="V11" s="4692">
        <v>203</v>
      </c>
      <c r="W11" s="4680" t="s">
        <v>2688</v>
      </c>
      <c r="X11" s="4695">
        <v>180</v>
      </c>
      <c r="Y11" s="4692">
        <v>1</v>
      </c>
      <c r="Z11" s="4692" t="s">
        <v>5743</v>
      </c>
      <c r="AA11" s="4683" t="s">
        <v>5035</v>
      </c>
      <c r="AB11" s="4692" t="s">
        <v>2830</v>
      </c>
      <c r="AC11" s="4683" t="s">
        <v>5050</v>
      </c>
      <c r="AD11" s="4692" t="s">
        <v>2814</v>
      </c>
      <c r="AE11" s="6923"/>
      <c r="AF11" s="4685">
        <f t="shared" si="6"/>
        <v>6</v>
      </c>
    </row>
    <row r="12" spans="1:32" ht="33.75" customHeight="1">
      <c r="A12" s="4686">
        <v>5</v>
      </c>
      <c r="B12" s="4687">
        <v>46279</v>
      </c>
      <c r="C12" s="4687">
        <v>46281</v>
      </c>
      <c r="D12" s="4672">
        <f t="shared" si="0"/>
        <v>2</v>
      </c>
      <c r="E12" s="4687">
        <v>46293</v>
      </c>
      <c r="F12" s="4698">
        <f t="shared" si="1"/>
        <v>13</v>
      </c>
      <c r="G12" s="4699">
        <v>46295</v>
      </c>
      <c r="H12" s="4672">
        <f t="shared" si="2"/>
        <v>1</v>
      </c>
      <c r="I12" s="4691" t="s">
        <v>5090</v>
      </c>
      <c r="J12" s="4692">
        <v>18</v>
      </c>
      <c r="K12" s="4693">
        <v>18</v>
      </c>
      <c r="L12" s="4692">
        <v>51000</v>
      </c>
      <c r="M12" s="4692">
        <v>55000</v>
      </c>
      <c r="N12" s="4971">
        <f t="shared" si="3"/>
        <v>990000</v>
      </c>
      <c r="O12" s="4692">
        <v>51000</v>
      </c>
      <c r="P12" s="4678">
        <f t="shared" si="5"/>
        <v>288</v>
      </c>
      <c r="Q12" s="4679">
        <f t="shared" si="4"/>
        <v>15624000</v>
      </c>
      <c r="R12" s="4692">
        <v>27</v>
      </c>
      <c r="S12" s="4680" t="s">
        <v>5742</v>
      </c>
      <c r="T12" s="4694">
        <v>27</v>
      </c>
      <c r="U12" s="4700">
        <v>2</v>
      </c>
      <c r="V12" s="4692">
        <v>203</v>
      </c>
      <c r="W12" s="4680" t="s">
        <v>2688</v>
      </c>
      <c r="X12" s="4695">
        <v>120</v>
      </c>
      <c r="Y12" s="4692">
        <v>2</v>
      </c>
      <c r="Z12" s="4692" t="s">
        <v>5743</v>
      </c>
      <c r="AA12" s="4683" t="s">
        <v>5035</v>
      </c>
      <c r="AB12" s="4692" t="s">
        <v>2830</v>
      </c>
      <c r="AC12" s="4683" t="s">
        <v>5050</v>
      </c>
      <c r="AD12" s="4692" t="s">
        <v>2814</v>
      </c>
      <c r="AE12" s="6923"/>
      <c r="AF12" s="4685">
        <f t="shared" si="6"/>
        <v>36</v>
      </c>
    </row>
    <row r="13" spans="1:32" ht="33.75" customHeight="1">
      <c r="A13" s="4686">
        <v>6</v>
      </c>
      <c r="B13" s="4687">
        <v>46279</v>
      </c>
      <c r="C13" s="4687">
        <v>46281</v>
      </c>
      <c r="D13" s="4672">
        <f t="shared" si="0"/>
        <v>2</v>
      </c>
      <c r="E13" s="4687">
        <v>46293</v>
      </c>
      <c r="F13" s="4698">
        <f t="shared" si="1"/>
        <v>13</v>
      </c>
      <c r="G13" s="4699">
        <v>46295</v>
      </c>
      <c r="H13" s="4672">
        <f t="shared" si="2"/>
        <v>1</v>
      </c>
      <c r="I13" s="4691" t="s">
        <v>5091</v>
      </c>
      <c r="J13" s="4692">
        <v>4</v>
      </c>
      <c r="K13" s="4693">
        <v>4</v>
      </c>
      <c r="L13" s="4692">
        <v>56000</v>
      </c>
      <c r="M13" s="4692">
        <v>60000</v>
      </c>
      <c r="N13" s="4971">
        <f t="shared" si="3"/>
        <v>240000</v>
      </c>
      <c r="O13" s="4692">
        <v>56000</v>
      </c>
      <c r="P13" s="4678">
        <f t="shared" si="5"/>
        <v>64</v>
      </c>
      <c r="Q13" s="4679">
        <f t="shared" si="4"/>
        <v>3792000</v>
      </c>
      <c r="R13" s="4692">
        <v>34</v>
      </c>
      <c r="S13" s="4680" t="s">
        <v>5742</v>
      </c>
      <c r="T13" s="4694">
        <v>34</v>
      </c>
      <c r="U13" s="4700">
        <v>2</v>
      </c>
      <c r="V13" s="4692">
        <v>203</v>
      </c>
      <c r="W13" s="4680" t="s">
        <v>2688</v>
      </c>
      <c r="X13" s="4695">
        <v>120</v>
      </c>
      <c r="Y13" s="4692">
        <v>2</v>
      </c>
      <c r="Z13" s="4692" t="s">
        <v>5953</v>
      </c>
      <c r="AA13" s="4683" t="s">
        <v>5035</v>
      </c>
      <c r="AB13" s="4692" t="s">
        <v>2830</v>
      </c>
      <c r="AC13" s="4683" t="s">
        <v>5050</v>
      </c>
      <c r="AD13" s="4692" t="s">
        <v>2814</v>
      </c>
      <c r="AE13" s="6923"/>
      <c r="AF13" s="4685">
        <f t="shared" si="6"/>
        <v>8</v>
      </c>
    </row>
    <row r="14" spans="1:32" ht="33.75" customHeight="1">
      <c r="A14" s="4686">
        <v>7</v>
      </c>
      <c r="B14" s="4687">
        <v>46279</v>
      </c>
      <c r="C14" s="4687">
        <v>46281</v>
      </c>
      <c r="D14" s="4672">
        <f t="shared" si="0"/>
        <v>2</v>
      </c>
      <c r="E14" s="4687">
        <v>46293</v>
      </c>
      <c r="F14" s="4698">
        <f t="shared" si="1"/>
        <v>13</v>
      </c>
      <c r="G14" s="4699">
        <v>46295</v>
      </c>
      <c r="H14" s="4672">
        <f t="shared" si="2"/>
        <v>1</v>
      </c>
      <c r="I14" s="4691" t="s">
        <v>6021</v>
      </c>
      <c r="J14" s="4692">
        <v>4</v>
      </c>
      <c r="K14" s="4693">
        <v>4</v>
      </c>
      <c r="L14" s="4692">
        <v>51000</v>
      </c>
      <c r="M14" s="4692">
        <v>55000</v>
      </c>
      <c r="N14" s="4971">
        <f t="shared" si="3"/>
        <v>220000</v>
      </c>
      <c r="O14" s="4692">
        <v>51000</v>
      </c>
      <c r="P14" s="4678">
        <f t="shared" si="5"/>
        <v>64</v>
      </c>
      <c r="Q14" s="4679">
        <f t="shared" si="4"/>
        <v>3472000</v>
      </c>
      <c r="R14" s="4692">
        <v>31</v>
      </c>
      <c r="S14" s="4680" t="s">
        <v>5742</v>
      </c>
      <c r="T14" s="4694">
        <v>31</v>
      </c>
      <c r="U14" s="4700">
        <v>2</v>
      </c>
      <c r="V14" s="4692">
        <v>211</v>
      </c>
      <c r="W14" s="4680" t="s">
        <v>2688</v>
      </c>
      <c r="X14" s="4695">
        <v>120</v>
      </c>
      <c r="Y14" s="4692">
        <v>2</v>
      </c>
      <c r="Z14" s="4692" t="s">
        <v>5743</v>
      </c>
      <c r="AA14" s="4683" t="s">
        <v>5035</v>
      </c>
      <c r="AB14" s="4692" t="s">
        <v>2830</v>
      </c>
      <c r="AC14" s="4683" t="s">
        <v>5050</v>
      </c>
      <c r="AD14" s="4692" t="s">
        <v>2814</v>
      </c>
      <c r="AE14" s="6923"/>
      <c r="AF14" s="4685">
        <f t="shared" si="6"/>
        <v>8</v>
      </c>
    </row>
    <row r="15" spans="1:32" ht="33.75" customHeight="1">
      <c r="A15" s="4686">
        <v>8</v>
      </c>
      <c r="B15" s="4687">
        <v>46279</v>
      </c>
      <c r="C15" s="4687">
        <v>46281</v>
      </c>
      <c r="D15" s="4672">
        <f t="shared" si="0"/>
        <v>2</v>
      </c>
      <c r="E15" s="4687">
        <v>46293</v>
      </c>
      <c r="F15" s="4698">
        <f t="shared" si="1"/>
        <v>13</v>
      </c>
      <c r="G15" s="4699">
        <v>46295</v>
      </c>
      <c r="H15" s="4672">
        <f t="shared" si="2"/>
        <v>1</v>
      </c>
      <c r="I15" s="4691" t="s">
        <v>6022</v>
      </c>
      <c r="J15" s="4692">
        <v>1</v>
      </c>
      <c r="K15" s="4693">
        <v>0</v>
      </c>
      <c r="L15" s="4692">
        <v>64000</v>
      </c>
      <c r="M15" s="4692">
        <v>70000</v>
      </c>
      <c r="N15" s="4971">
        <f t="shared" si="3"/>
        <v>0</v>
      </c>
      <c r="O15" s="4692">
        <v>64000</v>
      </c>
      <c r="P15" s="4678">
        <f t="shared" si="5"/>
        <v>0</v>
      </c>
      <c r="Q15" s="4679">
        <f t="shared" si="4"/>
        <v>0</v>
      </c>
      <c r="R15" s="4692">
        <v>55</v>
      </c>
      <c r="S15" s="4680" t="s">
        <v>5742</v>
      </c>
      <c r="T15" s="4694">
        <v>55</v>
      </c>
      <c r="U15" s="4700">
        <v>3</v>
      </c>
      <c r="V15" s="4692">
        <v>212</v>
      </c>
      <c r="W15" s="4680" t="s">
        <v>2688</v>
      </c>
      <c r="X15" s="4695">
        <v>122</v>
      </c>
      <c r="Y15" s="4692">
        <v>3</v>
      </c>
      <c r="Z15" s="4692" t="s">
        <v>5953</v>
      </c>
      <c r="AA15" s="4683" t="s">
        <v>5035</v>
      </c>
      <c r="AB15" s="4692" t="s">
        <v>2830</v>
      </c>
      <c r="AC15" s="4683" t="s">
        <v>5050</v>
      </c>
      <c r="AD15" s="4692" t="s">
        <v>2814</v>
      </c>
      <c r="AE15" s="6923"/>
      <c r="AF15" s="4685">
        <f t="shared" si="6"/>
        <v>0</v>
      </c>
    </row>
    <row r="16" spans="1:32" ht="33.75" customHeight="1">
      <c r="A16" s="4686">
        <v>9</v>
      </c>
      <c r="B16" s="4687">
        <v>46279</v>
      </c>
      <c r="C16" s="4687">
        <v>46281</v>
      </c>
      <c r="D16" s="4672">
        <f t="shared" si="0"/>
        <v>2</v>
      </c>
      <c r="E16" s="4687">
        <v>46293</v>
      </c>
      <c r="F16" s="4698">
        <f t="shared" si="1"/>
        <v>13</v>
      </c>
      <c r="G16" s="4699">
        <v>46295</v>
      </c>
      <c r="H16" s="4672">
        <f t="shared" si="2"/>
        <v>1</v>
      </c>
      <c r="I16" s="4691" t="s">
        <v>5177</v>
      </c>
      <c r="J16" s="4692">
        <v>1</v>
      </c>
      <c r="K16" s="4693">
        <v>0</v>
      </c>
      <c r="L16" s="4692">
        <v>82000</v>
      </c>
      <c r="M16" s="4692">
        <v>90000</v>
      </c>
      <c r="N16" s="4971">
        <f t="shared" si="3"/>
        <v>0</v>
      </c>
      <c r="O16" s="4692">
        <v>82000</v>
      </c>
      <c r="P16" s="4678">
        <f t="shared" si="5"/>
        <v>0</v>
      </c>
      <c r="Q16" s="4679">
        <f t="shared" si="4"/>
        <v>0</v>
      </c>
      <c r="R16" s="4692">
        <v>57</v>
      </c>
      <c r="S16" s="4680" t="s">
        <v>5742</v>
      </c>
      <c r="T16" s="4694">
        <v>57</v>
      </c>
      <c r="U16" s="4700">
        <v>4</v>
      </c>
      <c r="V16" s="4692">
        <v>203</v>
      </c>
      <c r="W16" s="4680" t="s">
        <v>2688</v>
      </c>
      <c r="X16" s="4695">
        <v>120</v>
      </c>
      <c r="Y16" s="4692">
        <v>4</v>
      </c>
      <c r="Z16" s="4692" t="s">
        <v>5953</v>
      </c>
      <c r="AA16" s="4683" t="s">
        <v>5035</v>
      </c>
      <c r="AB16" s="4692" t="s">
        <v>2830</v>
      </c>
      <c r="AC16" s="4683" t="s">
        <v>5050</v>
      </c>
      <c r="AD16" s="4692" t="s">
        <v>2814</v>
      </c>
      <c r="AE16" s="6923"/>
      <c r="AF16" s="4685">
        <f t="shared" si="6"/>
        <v>0</v>
      </c>
    </row>
    <row r="17" spans="1:32" ht="33.75" customHeight="1">
      <c r="A17" s="4686">
        <v>10</v>
      </c>
      <c r="B17" s="4687">
        <v>46279</v>
      </c>
      <c r="C17" s="4687">
        <v>46281</v>
      </c>
      <c r="D17" s="4672">
        <f t="shared" si="0"/>
        <v>2</v>
      </c>
      <c r="E17" s="4687">
        <v>46293</v>
      </c>
      <c r="F17" s="4698">
        <f t="shared" si="1"/>
        <v>13</v>
      </c>
      <c r="G17" s="4699">
        <v>46295</v>
      </c>
      <c r="H17" s="4672">
        <f t="shared" si="2"/>
        <v>1</v>
      </c>
      <c r="I17" s="4691" t="s">
        <v>5114</v>
      </c>
      <c r="J17" s="4692">
        <v>1</v>
      </c>
      <c r="K17" s="4693">
        <v>1</v>
      </c>
      <c r="L17" s="4692">
        <v>102000</v>
      </c>
      <c r="M17" s="4692">
        <v>110000</v>
      </c>
      <c r="N17" s="4971">
        <f t="shared" si="3"/>
        <v>110000</v>
      </c>
      <c r="O17" s="4692">
        <v>102000</v>
      </c>
      <c r="P17" s="4678">
        <f t="shared" si="5"/>
        <v>16</v>
      </c>
      <c r="Q17" s="4679">
        <f t="shared" si="4"/>
        <v>1736000</v>
      </c>
      <c r="R17" s="4692">
        <v>57</v>
      </c>
      <c r="S17" s="4680" t="s">
        <v>5742</v>
      </c>
      <c r="T17" s="4694">
        <v>57</v>
      </c>
      <c r="U17" s="4700">
        <v>4</v>
      </c>
      <c r="V17" s="4692">
        <v>203</v>
      </c>
      <c r="W17" s="4680" t="s">
        <v>2688</v>
      </c>
      <c r="X17" s="4695">
        <v>120</v>
      </c>
      <c r="Y17" s="4692">
        <v>3</v>
      </c>
      <c r="Z17" s="4692" t="s">
        <v>5953</v>
      </c>
      <c r="AA17" s="4683" t="s">
        <v>5035</v>
      </c>
      <c r="AB17" s="4692" t="s">
        <v>2830</v>
      </c>
      <c r="AC17" s="4683" t="s">
        <v>5050</v>
      </c>
      <c r="AD17" s="4692" t="s">
        <v>2814</v>
      </c>
      <c r="AE17" s="6924"/>
      <c r="AF17" s="4685">
        <f t="shared" si="6"/>
        <v>4</v>
      </c>
    </row>
    <row r="18" spans="1:32" ht="33.75" customHeight="1">
      <c r="A18" s="4686">
        <v>11</v>
      </c>
      <c r="B18" s="4687"/>
      <c r="C18" s="4687"/>
      <c r="D18" s="4672" t="str">
        <f t="shared" ref="D18:D22" si="7">IF(_xlfn.DAYS(C18,B18)=0,"1",_xlfn.DAYS(C18,B18))</f>
        <v>1</v>
      </c>
      <c r="E18" s="4687"/>
      <c r="F18" s="4698">
        <f t="shared" ref="F18:F22" si="8">IF(_xlfn.DAYS(E18,C18)=0,"1",_xlfn.DAYS(E18,C18))+1</f>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7"/>
        <v>1</v>
      </c>
      <c r="E19" s="4687"/>
      <c r="F19" s="4698">
        <f t="shared" si="8"/>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7"/>
        <v>1</v>
      </c>
      <c r="E20" s="4687"/>
      <c r="F20" s="4698">
        <f t="shared" si="8"/>
        <v>2</v>
      </c>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7"/>
        <v>1</v>
      </c>
      <c r="E21" s="4687"/>
      <c r="F21" s="4698">
        <f t="shared" si="8"/>
        <v>2</v>
      </c>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7"/>
        <v>1</v>
      </c>
      <c r="E22" s="4687"/>
      <c r="F22" s="4698">
        <f t="shared" si="8"/>
        <v>2</v>
      </c>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99</v>
      </c>
      <c r="K23" s="4707">
        <f>SUM(K8:K22)</f>
        <v>97</v>
      </c>
      <c r="L23" s="4703"/>
      <c r="M23" s="4703"/>
      <c r="N23" s="4703"/>
      <c r="O23" s="4703"/>
      <c r="P23" s="4706">
        <f>SUM(P8:P22)</f>
        <v>1552</v>
      </c>
      <c r="Q23" s="4706">
        <f>SUM(Q8:Q22)</f>
        <v>55228000</v>
      </c>
      <c r="R23" s="6863"/>
      <c r="S23" s="6864"/>
      <c r="T23" s="6865"/>
      <c r="U23" s="4708"/>
      <c r="V23" s="6863"/>
      <c r="W23" s="6864"/>
      <c r="X23" s="6864"/>
      <c r="Y23" s="4708"/>
      <c r="Z23" s="4708"/>
      <c r="AA23" s="6866"/>
      <c r="AB23" s="6867"/>
      <c r="AC23" s="6866"/>
      <c r="AD23" s="6867"/>
      <c r="AE23" s="4709"/>
      <c r="AF23" s="4685">
        <f>SUM(AF8:AF22)</f>
        <v>126</v>
      </c>
    </row>
    <row r="24" spans="1:32" ht="33.75" customHeight="1" thickBot="1">
      <c r="C24" s="4710"/>
      <c r="D24" s="4710"/>
      <c r="E24" s="4710"/>
      <c r="F24" s="4710"/>
      <c r="G24" s="4710"/>
      <c r="H24" s="4710"/>
      <c r="I24" s="4711"/>
      <c r="J24" s="4712"/>
      <c r="K24" s="4710"/>
      <c r="L24" s="4713" t="s">
        <v>5748</v>
      </c>
      <c r="M24" s="4714">
        <f>SUM(N7:N22)</f>
        <v>3499000</v>
      </c>
      <c r="N24" s="4715"/>
      <c r="O24" s="4715"/>
      <c r="P24" s="4715"/>
      <c r="S24" s="4656"/>
      <c r="W24" s="4656"/>
    </row>
    <row r="25" spans="1:32" ht="33.75" customHeight="1">
      <c r="A25" s="6845" t="s">
        <v>5749</v>
      </c>
      <c r="B25" s="6846"/>
      <c r="C25" s="5187">
        <f>P23</f>
        <v>1552</v>
      </c>
      <c r="D25" s="4717"/>
      <c r="F25" s="4718"/>
      <c r="H25" s="4719"/>
      <c r="I25" s="4720"/>
      <c r="K25" s="4659"/>
      <c r="L25" s="4721" t="s">
        <v>5750</v>
      </c>
      <c r="M25" s="4722">
        <f>M24*1.1</f>
        <v>3848900.0000000005</v>
      </c>
      <c r="P25" s="4656"/>
    </row>
    <row r="26" spans="1:32" ht="33.75" customHeight="1">
      <c r="A26" s="6847" t="s">
        <v>5883</v>
      </c>
      <c r="B26" s="6848"/>
      <c r="C26" s="5188">
        <f>Q23</f>
        <v>55228000</v>
      </c>
      <c r="D26" s="4717"/>
      <c r="F26" s="4724"/>
      <c r="H26" s="4719"/>
      <c r="I26" s="4720"/>
      <c r="K26" s="4659"/>
      <c r="P26" s="4656"/>
    </row>
    <row r="27" spans="1:32" ht="33.75" customHeight="1" thickBot="1">
      <c r="A27" s="6913" t="s">
        <v>5751</v>
      </c>
      <c r="B27" s="6914"/>
      <c r="C27" s="5189">
        <f>ROUNDDOWN(C26*1.1,0)</f>
        <v>60750800</v>
      </c>
      <c r="D27" s="4719"/>
      <c r="F27" s="4724"/>
      <c r="H27" s="4719"/>
      <c r="I27" s="4720"/>
      <c r="K27" s="4659"/>
      <c r="P27" s="4656"/>
    </row>
    <row r="28" spans="1:32" ht="33.75" customHeight="1">
      <c r="A28" s="4729"/>
      <c r="B28" s="4729"/>
      <c r="C28" s="4729"/>
      <c r="D28" s="4729"/>
      <c r="E28" s="4729"/>
      <c r="F28" s="4729"/>
      <c r="G28" s="4726"/>
      <c r="H28" s="4729"/>
      <c r="I28" s="4720"/>
      <c r="P28" s="4656"/>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3">
    <mergeCell ref="A2:B2"/>
    <mergeCell ref="C2:G2"/>
    <mergeCell ref="A5:A6"/>
    <mergeCell ref="B5:B6"/>
    <mergeCell ref="C5:C6"/>
    <mergeCell ref="D5:D6"/>
    <mergeCell ref="E5:E6"/>
    <mergeCell ref="F5:F6"/>
    <mergeCell ref="G5:G6"/>
    <mergeCell ref="AE5:AE6"/>
    <mergeCell ref="AF5:AF6"/>
    <mergeCell ref="AE8:AE17"/>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18:C22 E18:G22">
    <cfRule type="containsBlanks" dxfId="622" priority="7">
      <formula>LEN(TRIM(B18))=0</formula>
    </cfRule>
  </conditionalFormatting>
  <conditionalFormatting sqref="C2:D2">
    <cfRule type="containsBlanks" dxfId="621" priority="8">
      <formula>LEN(TRIM(C2))=0</formula>
    </cfRule>
  </conditionalFormatting>
  <conditionalFormatting sqref="D7 D18:D22">
    <cfRule type="containsBlanks" dxfId="620" priority="6">
      <formula>LEN(TRIM(D7))=0</formula>
    </cfRule>
  </conditionalFormatting>
  <conditionalFormatting sqref="F7">
    <cfRule type="containsBlanks" dxfId="619" priority="9">
      <formula>LEN(TRIM(F7))=0</formula>
    </cfRule>
  </conditionalFormatting>
  <conditionalFormatting sqref="H7:O22">
    <cfRule type="containsBlanks" dxfId="618" priority="5">
      <formula>LEN(TRIM(H7))=0</formula>
    </cfRule>
  </conditionalFormatting>
  <conditionalFormatting sqref="Q7:R22">
    <cfRule type="containsBlanks" dxfId="617" priority="13">
      <formula>LEN(TRIM(Q7))=0</formula>
    </cfRule>
  </conditionalFormatting>
  <conditionalFormatting sqref="T7:V22">
    <cfRule type="containsBlanks" dxfId="616" priority="11">
      <formula>LEN(TRIM(T7))=0</formula>
    </cfRule>
  </conditionalFormatting>
  <conditionalFormatting sqref="X7:Z22">
    <cfRule type="containsBlanks" dxfId="615" priority="10">
      <formula>LEN(TRIM(X7))=0</formula>
    </cfRule>
  </conditionalFormatting>
  <conditionalFormatting sqref="AD7:AE8 AB7:AB22 AD9:AD17 AD18:AE22">
    <cfRule type="containsBlanks" dxfId="614" priority="12">
      <formula>LEN(TRIM(AB7))=0</formula>
    </cfRule>
  </conditionalFormatting>
  <conditionalFormatting sqref="B8:C17 E8:G17">
    <cfRule type="containsBlanks" dxfId="613" priority="2">
      <formula>LEN(TRIM(B8))=0</formula>
    </cfRule>
  </conditionalFormatting>
  <conditionalFormatting sqref="D8:D17">
    <cfRule type="containsBlanks" dxfId="612" priority="1">
      <formula>LEN(TRIM(D8))=0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CF63-EE13-4D44-ABE4-3BE0F03D9381}">
  <sheetPr codeName="Sheet338">
    <tabColor rgb="FFFFFF66"/>
    <pageSetUpPr fitToPage="1"/>
  </sheetPr>
  <dimension ref="A1:AE33"/>
  <sheetViews>
    <sheetView zoomScale="70" zoomScaleNormal="70" workbookViewId="0">
      <selection activeCell="I3" sqref="I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'[15]別紙1-1）客室提供条件'!C2</f>
        <v>名鉄トヨタホテル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46279</v>
      </c>
      <c r="C8" s="4816">
        <v>46294</v>
      </c>
      <c r="D8" s="4759">
        <v>0</v>
      </c>
      <c r="E8" s="4759">
        <v>1</v>
      </c>
      <c r="F8" s="4760">
        <f t="shared" ref="F8:F17" si="1">IF(OR(ISBLANK($B8), ISBLANK($C8)), 0, _xlfn.DAYS($C8, $B8) + 1)</f>
        <v>16</v>
      </c>
      <c r="G8" s="4761" t="s">
        <v>6023</v>
      </c>
      <c r="H8" s="4762">
        <v>7</v>
      </c>
      <c r="I8" s="4763" t="s">
        <v>5190</v>
      </c>
      <c r="J8" s="4764">
        <v>20</v>
      </c>
      <c r="K8" s="4765">
        <v>33</v>
      </c>
      <c r="L8" s="4765">
        <v>660</v>
      </c>
      <c r="M8" s="4765">
        <v>6</v>
      </c>
      <c r="N8" s="4762">
        <v>3933000</v>
      </c>
      <c r="O8" s="5118">
        <f t="shared" si="0"/>
        <v>62928000</v>
      </c>
      <c r="P8" s="4857" t="s">
        <v>2963</v>
      </c>
      <c r="Q8" s="4858">
        <v>3</v>
      </c>
      <c r="R8" s="4864" t="s">
        <v>6024</v>
      </c>
      <c r="S8" s="4858" t="s">
        <v>246</v>
      </c>
      <c r="T8" s="4859" t="s">
        <v>2963</v>
      </c>
      <c r="U8" s="6925" t="s">
        <v>6025</v>
      </c>
    </row>
    <row r="9" spans="1:31" ht="33.75" customHeight="1">
      <c r="A9" s="4758">
        <v>2</v>
      </c>
      <c r="B9" s="4816">
        <v>46295</v>
      </c>
      <c r="C9" s="4816">
        <v>46295</v>
      </c>
      <c r="D9" s="4759">
        <v>0</v>
      </c>
      <c r="E9" s="4759">
        <v>0.5</v>
      </c>
      <c r="F9" s="4760">
        <f t="shared" si="1"/>
        <v>1</v>
      </c>
      <c r="G9" s="4761" t="s">
        <v>6023</v>
      </c>
      <c r="H9" s="4762">
        <v>7</v>
      </c>
      <c r="I9" s="4763" t="s">
        <v>5190</v>
      </c>
      <c r="J9" s="4764">
        <v>20</v>
      </c>
      <c r="K9" s="4765">
        <v>33</v>
      </c>
      <c r="L9" s="4765">
        <v>660</v>
      </c>
      <c r="M9" s="4765">
        <v>6</v>
      </c>
      <c r="N9" s="4762">
        <v>1966500</v>
      </c>
      <c r="O9" s="4766">
        <f t="shared" si="0"/>
        <v>1966500</v>
      </c>
      <c r="P9" s="4857" t="s">
        <v>2963</v>
      </c>
      <c r="Q9" s="4858">
        <v>3</v>
      </c>
      <c r="R9" s="4864" t="s">
        <v>6024</v>
      </c>
      <c r="S9" s="4858" t="s">
        <v>246</v>
      </c>
      <c r="T9" s="4859" t="s">
        <v>2963</v>
      </c>
      <c r="U9" s="6926"/>
      <c r="AC9" s="4657"/>
    </row>
    <row r="10" spans="1:31" ht="33.75" customHeight="1">
      <c r="A10" s="4758">
        <v>3</v>
      </c>
      <c r="B10" s="4816">
        <v>46279</v>
      </c>
      <c r="C10" s="4816">
        <v>46294</v>
      </c>
      <c r="D10" s="4759">
        <v>0</v>
      </c>
      <c r="E10" s="4759">
        <v>1</v>
      </c>
      <c r="F10" s="4770">
        <f t="shared" si="1"/>
        <v>16</v>
      </c>
      <c r="G10" s="4761" t="s">
        <v>5051</v>
      </c>
      <c r="H10" s="4762">
        <v>7</v>
      </c>
      <c r="I10" s="4763" t="s">
        <v>5190</v>
      </c>
      <c r="J10" s="4764">
        <v>12</v>
      </c>
      <c r="K10" s="4765">
        <v>24</v>
      </c>
      <c r="L10" s="4765">
        <v>288</v>
      </c>
      <c r="M10" s="4765">
        <v>3</v>
      </c>
      <c r="N10" s="4762">
        <v>1552500</v>
      </c>
      <c r="O10" s="5118">
        <f t="shared" si="0"/>
        <v>24840000</v>
      </c>
      <c r="P10" s="4909" t="s">
        <v>2963</v>
      </c>
      <c r="Q10" s="4858">
        <v>2</v>
      </c>
      <c r="R10" s="4864" t="s">
        <v>6024</v>
      </c>
      <c r="S10" s="4858" t="s">
        <v>246</v>
      </c>
      <c r="T10" s="4859" t="s">
        <v>2963</v>
      </c>
      <c r="U10" s="6926"/>
      <c r="AC10" s="4657"/>
    </row>
    <row r="11" spans="1:31" ht="33.75" customHeight="1">
      <c r="A11" s="4758">
        <v>4</v>
      </c>
      <c r="B11" s="4816">
        <v>46295</v>
      </c>
      <c r="C11" s="4816">
        <v>46295</v>
      </c>
      <c r="D11" s="4759">
        <v>0</v>
      </c>
      <c r="E11" s="4759">
        <v>0.5</v>
      </c>
      <c r="F11" s="4760">
        <f t="shared" si="1"/>
        <v>1</v>
      </c>
      <c r="G11" s="4771" t="s">
        <v>5051</v>
      </c>
      <c r="H11" s="4762">
        <v>7</v>
      </c>
      <c r="I11" s="4763" t="s">
        <v>5190</v>
      </c>
      <c r="J11" s="4764">
        <v>12</v>
      </c>
      <c r="K11" s="4765">
        <v>24</v>
      </c>
      <c r="L11" s="4765">
        <v>288</v>
      </c>
      <c r="M11" s="4765">
        <v>3</v>
      </c>
      <c r="N11" s="4762">
        <v>776250</v>
      </c>
      <c r="O11" s="4766">
        <f t="shared" si="0"/>
        <v>776250</v>
      </c>
      <c r="P11" s="4857" t="s">
        <v>2963</v>
      </c>
      <c r="Q11" s="4858">
        <v>2</v>
      </c>
      <c r="R11" s="4859" t="s">
        <v>6024</v>
      </c>
      <c r="S11" s="4858" t="s">
        <v>246</v>
      </c>
      <c r="T11" s="4859" t="s">
        <v>2963</v>
      </c>
      <c r="U11" s="6926"/>
      <c r="AC11" s="4657"/>
    </row>
    <row r="12" spans="1:31" ht="33.75" customHeight="1">
      <c r="A12" s="4758">
        <v>5</v>
      </c>
      <c r="B12" s="4816">
        <v>46279</v>
      </c>
      <c r="C12" s="4816">
        <v>46294</v>
      </c>
      <c r="D12" s="4759">
        <v>0</v>
      </c>
      <c r="E12" s="4759">
        <v>1</v>
      </c>
      <c r="F12" s="4760">
        <f t="shared" si="1"/>
        <v>16</v>
      </c>
      <c r="G12" s="4771" t="s">
        <v>6026</v>
      </c>
      <c r="H12" s="4762">
        <v>7</v>
      </c>
      <c r="I12" s="4763" t="s">
        <v>5190</v>
      </c>
      <c r="J12" s="4764">
        <v>9</v>
      </c>
      <c r="K12" s="4765">
        <v>7</v>
      </c>
      <c r="L12" s="4765">
        <v>63</v>
      </c>
      <c r="M12" s="4765">
        <v>3</v>
      </c>
      <c r="N12" s="4762">
        <v>828000</v>
      </c>
      <c r="O12" s="5118">
        <f t="shared" si="0"/>
        <v>13248000</v>
      </c>
      <c r="P12" s="4857" t="s">
        <v>6024</v>
      </c>
      <c r="Q12" s="4858" t="s">
        <v>246</v>
      </c>
      <c r="R12" s="4859" t="s">
        <v>6024</v>
      </c>
      <c r="S12" s="4858" t="s">
        <v>246</v>
      </c>
      <c r="T12" s="4859" t="s">
        <v>2963</v>
      </c>
      <c r="U12" s="6926"/>
      <c r="AC12" s="4657"/>
    </row>
    <row r="13" spans="1:31" ht="33.75" customHeight="1">
      <c r="A13" s="4758">
        <v>6</v>
      </c>
      <c r="B13" s="4816">
        <v>46295</v>
      </c>
      <c r="C13" s="4816">
        <v>46295</v>
      </c>
      <c r="D13" s="4913">
        <v>0</v>
      </c>
      <c r="E13" s="4759">
        <v>0.5</v>
      </c>
      <c r="F13" s="4760">
        <f t="shared" si="1"/>
        <v>1</v>
      </c>
      <c r="G13" s="4771" t="s">
        <v>6026</v>
      </c>
      <c r="H13" s="4762">
        <v>7</v>
      </c>
      <c r="I13" s="4763" t="s">
        <v>5190</v>
      </c>
      <c r="J13" s="4764">
        <v>9</v>
      </c>
      <c r="K13" s="4765">
        <v>7</v>
      </c>
      <c r="L13" s="4765">
        <v>63</v>
      </c>
      <c r="M13" s="4765">
        <v>3</v>
      </c>
      <c r="N13" s="4762">
        <v>414000</v>
      </c>
      <c r="O13" s="4766">
        <f t="shared" si="0"/>
        <v>414000</v>
      </c>
      <c r="P13" s="4857" t="s">
        <v>6024</v>
      </c>
      <c r="Q13" s="4858" t="s">
        <v>246</v>
      </c>
      <c r="R13" s="4859" t="s">
        <v>6024</v>
      </c>
      <c r="S13" s="4858" t="s">
        <v>246</v>
      </c>
      <c r="T13" s="4859" t="s">
        <v>2963</v>
      </c>
      <c r="U13" s="6927"/>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51</v>
      </c>
      <c r="G18" s="4779"/>
      <c r="H18" s="4781"/>
      <c r="I18" s="4782">
        <f>COUNTA(G10,G8,G12)</f>
        <v>3</v>
      </c>
      <c r="J18" s="4783"/>
      <c r="K18" s="4784"/>
      <c r="L18" s="4784"/>
      <c r="M18" s="4784"/>
      <c r="N18" s="4785"/>
      <c r="O18" s="4922">
        <f>SUM(O8:O17)</f>
        <v>104172750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114590025.00000001</v>
      </c>
      <c r="P19" s="4884"/>
      <c r="Q19" s="4885"/>
      <c r="R19" s="4886"/>
      <c r="S19" s="4887"/>
      <c r="T19" s="4886"/>
      <c r="U19" s="4888"/>
      <c r="AC19" s="4657"/>
    </row>
    <row r="20" spans="1:31" ht="33.75" customHeight="1">
      <c r="A20" s="4656"/>
      <c r="B20" s="4660"/>
      <c r="C20" s="4660"/>
      <c r="D20" s="4660"/>
      <c r="G20" s="4660"/>
      <c r="H20" s="4660"/>
      <c r="M20" s="4808" t="s">
        <v>5748</v>
      </c>
      <c r="N20" s="5190">
        <f>SUM(N8,N10,N12)</f>
        <v>6313500</v>
      </c>
      <c r="O20" s="4656"/>
      <c r="P20" s="4657"/>
      <c r="Q20" s="4657"/>
      <c r="AC20" s="4657"/>
    </row>
    <row r="21" spans="1:31" ht="32.15" customHeight="1">
      <c r="B21" s="4657"/>
      <c r="C21" s="4657"/>
      <c r="D21" s="4657"/>
      <c r="E21" s="4810"/>
      <c r="F21" s="4811"/>
      <c r="G21" s="4657"/>
      <c r="H21" s="4657"/>
      <c r="M21" s="4808" t="s">
        <v>5750</v>
      </c>
      <c r="N21" s="5190">
        <f>N20*1.1</f>
        <v>6944850.0000000009</v>
      </c>
      <c r="O21" s="4656"/>
      <c r="P21" s="4657"/>
      <c r="Q21" s="4657"/>
      <c r="AC21" s="4657"/>
    </row>
    <row r="22" spans="1:31" ht="32.15" customHeight="1">
      <c r="A22" s="4812"/>
      <c r="B22" s="4813"/>
      <c r="C22" s="4813"/>
      <c r="D22" s="4813"/>
      <c r="E22" s="4814"/>
      <c r="F22" s="4814"/>
      <c r="G22" s="4813"/>
      <c r="H22" s="4813"/>
      <c r="I22" s="4812"/>
      <c r="J22" s="4812"/>
      <c r="K22" s="4812"/>
      <c r="L22" s="4812"/>
      <c r="M22" s="4812"/>
      <c r="N22" s="4812"/>
      <c r="O22" s="4715"/>
      <c r="P22" s="4715"/>
      <c r="Q22" s="4715"/>
      <c r="R22" s="4656"/>
      <c r="S22" s="4812"/>
      <c r="T22" s="4656"/>
      <c r="U22" s="4812"/>
      <c r="W22" s="6905"/>
      <c r="X22" s="6905"/>
      <c r="Y22" s="6905"/>
      <c r="Z22" s="6905"/>
      <c r="AA22" s="6905"/>
      <c r="AB22" s="6891"/>
      <c r="AC22" s="6891"/>
      <c r="AD22" s="6891"/>
      <c r="AE22" s="6891"/>
    </row>
    <row r="23" spans="1:31" ht="36" customHeight="1"/>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10.4" customHeight="1">
      <c r="B33" s="4657"/>
      <c r="C33" s="4657"/>
      <c r="D33" s="4657"/>
      <c r="G33" s="4657"/>
      <c r="H33" s="4657"/>
      <c r="O33" s="4656"/>
      <c r="P33" s="4657"/>
      <c r="Q33" s="4657"/>
      <c r="AC33" s="4657"/>
    </row>
  </sheetData>
  <mergeCells count="2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AB22:AE22"/>
    <mergeCell ref="N5:N6"/>
    <mergeCell ref="O5:O6"/>
    <mergeCell ref="P5:Q5"/>
    <mergeCell ref="R5:U5"/>
    <mergeCell ref="U8:U13"/>
    <mergeCell ref="W22:AA22"/>
  </mergeCells>
  <phoneticPr fontId="2"/>
  <conditionalFormatting sqref="B14:E17 G8:N17">
    <cfRule type="containsBlanks" dxfId="611" priority="3">
      <formula>LEN(TRIM(B8))=0</formula>
    </cfRule>
  </conditionalFormatting>
  <conditionalFormatting sqref="C2:D2">
    <cfRule type="containsBlanks" dxfId="610" priority="4">
      <formula>LEN(TRIM(C2))=0</formula>
    </cfRule>
  </conditionalFormatting>
  <conditionalFormatting sqref="P8:U8 P9:T13 P14:U17">
    <cfRule type="containsBlanks" dxfId="609" priority="5">
      <formula>LEN(TRIM(P8))=0</formula>
    </cfRule>
  </conditionalFormatting>
  <conditionalFormatting sqref="B8:E13">
    <cfRule type="containsBlanks" dxfId="608" priority="1">
      <formula>LEN(TRIM(B8))=0</formula>
    </cfRule>
  </conditionalFormatting>
  <dataValidations count="1">
    <dataValidation type="list" allowBlank="1" showInputMessage="1" showErrorMessage="1" sqref="I7:I17" xr:uid="{13518B46-2D80-498D-9842-DCA2AB047D49}">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45A6-1BA8-438F-B814-511B9A2D351C}">
  <sheetPr codeName="Sheet339">
    <tabColor rgb="FFFFFF66"/>
    <pageSetUpPr fitToPage="1"/>
  </sheetPr>
  <dimension ref="A1:AF39"/>
  <sheetViews>
    <sheetView topLeftCell="A13" zoomScale="55" zoomScaleNormal="55" zoomScaleSheetLayoutView="70" workbookViewId="0">
      <selection activeCell="BJ123" sqref="BJ123"/>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4.4531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6027</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6028</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86">
        <v>1</v>
      </c>
      <c r="B7" s="4687">
        <v>46279</v>
      </c>
      <c r="C7" s="4687">
        <v>46281</v>
      </c>
      <c r="D7" s="4672">
        <f t="shared" ref="D7:D21" si="0">IF(_xlfn.DAYS(C7,B7)=0,"1",_xlfn.DAYS(C7,B7))</f>
        <v>2</v>
      </c>
      <c r="E7" s="4687">
        <v>46297</v>
      </c>
      <c r="F7" s="4698">
        <f t="shared" ref="F7:F21" si="1">IF(_xlfn.DAYS(E7,C7)=0,"1",_xlfn.DAYS(E7,C7))+1</f>
        <v>17</v>
      </c>
      <c r="G7" s="4699">
        <v>46299</v>
      </c>
      <c r="H7" s="4672">
        <f t="shared" ref="H7:H21" si="2">IF(_xlfn.DAYS(G7,E7)=0,"1",_xlfn.DAYS(G7,E7))-1</f>
        <v>1</v>
      </c>
      <c r="I7" s="4691" t="s">
        <v>4500</v>
      </c>
      <c r="J7" s="4692">
        <v>163</v>
      </c>
      <c r="K7" s="4693">
        <v>163</v>
      </c>
      <c r="L7" s="4692">
        <v>13000</v>
      </c>
      <c r="M7" s="4692">
        <v>13000</v>
      </c>
      <c r="N7" s="4971">
        <f t="shared" ref="N7:N12" si="3">M7*K7</f>
        <v>2119000</v>
      </c>
      <c r="O7" s="4692">
        <v>13000</v>
      </c>
      <c r="P7" s="4678">
        <f>SUM(D7,F7,H7)*K7</f>
        <v>3260</v>
      </c>
      <c r="Q7" s="4679">
        <f t="shared" ref="Q7:Q21" si="4">(D7*L7+F7*M7+H7*O7)*K7</f>
        <v>42380000</v>
      </c>
      <c r="R7" s="4692">
        <v>11.82</v>
      </c>
      <c r="S7" s="4680" t="s">
        <v>5742</v>
      </c>
      <c r="T7" s="4694">
        <v>11.82</v>
      </c>
      <c r="U7" s="4700">
        <v>1</v>
      </c>
      <c r="V7" s="4692">
        <v>140</v>
      </c>
      <c r="W7" s="4680" t="s">
        <v>4521</v>
      </c>
      <c r="X7" s="4695">
        <v>203</v>
      </c>
      <c r="Y7" s="4692">
        <v>1</v>
      </c>
      <c r="Z7" s="4692" t="s">
        <v>5743</v>
      </c>
      <c r="AA7" s="4683" t="s">
        <v>5035</v>
      </c>
      <c r="AB7" s="4692" t="s">
        <v>5741</v>
      </c>
      <c r="AC7" s="4683" t="s">
        <v>5050</v>
      </c>
      <c r="AD7" s="4692" t="s">
        <v>5741</v>
      </c>
      <c r="AE7" s="4696"/>
      <c r="AF7" s="4685">
        <f>U7*K7</f>
        <v>163</v>
      </c>
    </row>
    <row r="8" spans="1:32" ht="33.75" customHeight="1">
      <c r="A8" s="4686">
        <v>2</v>
      </c>
      <c r="B8" s="4687">
        <v>46279</v>
      </c>
      <c r="C8" s="4687">
        <v>46281</v>
      </c>
      <c r="D8" s="4672">
        <f t="shared" si="0"/>
        <v>2</v>
      </c>
      <c r="E8" s="4687">
        <v>46297</v>
      </c>
      <c r="F8" s="4698">
        <f t="shared" si="1"/>
        <v>17</v>
      </c>
      <c r="G8" s="4699">
        <v>46299</v>
      </c>
      <c r="H8" s="4672">
        <f t="shared" si="2"/>
        <v>1</v>
      </c>
      <c r="I8" s="5191" t="s">
        <v>6029</v>
      </c>
      <c r="J8" s="4692">
        <v>4</v>
      </c>
      <c r="K8" s="4693">
        <v>4</v>
      </c>
      <c r="L8" s="4692">
        <v>13000</v>
      </c>
      <c r="M8" s="4692">
        <v>13000</v>
      </c>
      <c r="N8" s="4971">
        <f t="shared" si="3"/>
        <v>52000</v>
      </c>
      <c r="O8" s="4692">
        <v>13000</v>
      </c>
      <c r="P8" s="4678">
        <f t="shared" ref="P8:P21" si="5">SUM(D8,F8,H8)*K8</f>
        <v>80</v>
      </c>
      <c r="Q8" s="4679">
        <f t="shared" si="4"/>
        <v>1040000</v>
      </c>
      <c r="R8" s="4692">
        <v>11.82</v>
      </c>
      <c r="S8" s="4680" t="s">
        <v>5742</v>
      </c>
      <c r="T8" s="4694">
        <v>11.82</v>
      </c>
      <c r="U8" s="4700">
        <v>1</v>
      </c>
      <c r="V8" s="4692">
        <v>140</v>
      </c>
      <c r="W8" s="4680" t="s">
        <v>4521</v>
      </c>
      <c r="X8" s="4695">
        <v>203</v>
      </c>
      <c r="Y8" s="4692">
        <v>1</v>
      </c>
      <c r="Z8" s="4692" t="s">
        <v>5743</v>
      </c>
      <c r="AA8" s="4683" t="s">
        <v>5035</v>
      </c>
      <c r="AB8" s="4692" t="s">
        <v>5741</v>
      </c>
      <c r="AC8" s="4683" t="s">
        <v>5050</v>
      </c>
      <c r="AD8" s="4692" t="s">
        <v>5741</v>
      </c>
      <c r="AE8" s="4696"/>
      <c r="AF8" s="4685">
        <f t="shared" ref="AF8:AF21" si="6">U8*K8</f>
        <v>4</v>
      </c>
    </row>
    <row r="9" spans="1:32" ht="33.75" customHeight="1">
      <c r="A9" s="4686">
        <v>3</v>
      </c>
      <c r="B9" s="4687">
        <v>46279</v>
      </c>
      <c r="C9" s="4687">
        <v>46281</v>
      </c>
      <c r="D9" s="4672">
        <f t="shared" si="0"/>
        <v>2</v>
      </c>
      <c r="E9" s="4687">
        <v>46297</v>
      </c>
      <c r="F9" s="4698">
        <f t="shared" si="1"/>
        <v>17</v>
      </c>
      <c r="G9" s="4699">
        <v>46299</v>
      </c>
      <c r="H9" s="4672">
        <f t="shared" si="2"/>
        <v>1</v>
      </c>
      <c r="I9" s="4691" t="s">
        <v>5134</v>
      </c>
      <c r="J9" s="4692">
        <v>25</v>
      </c>
      <c r="K9" s="4693">
        <v>25</v>
      </c>
      <c r="L9" s="4692">
        <v>13000</v>
      </c>
      <c r="M9" s="4692">
        <v>13000</v>
      </c>
      <c r="N9" s="4971">
        <f t="shared" si="3"/>
        <v>325000</v>
      </c>
      <c r="O9" s="4692">
        <v>13000</v>
      </c>
      <c r="P9" s="4678">
        <f t="shared" si="5"/>
        <v>500</v>
      </c>
      <c r="Q9" s="4679">
        <f t="shared" si="4"/>
        <v>6500000</v>
      </c>
      <c r="R9" s="4692">
        <v>14.95</v>
      </c>
      <c r="S9" s="4680" t="s">
        <v>5742</v>
      </c>
      <c r="T9" s="4694">
        <v>14.95</v>
      </c>
      <c r="U9" s="4700">
        <v>1</v>
      </c>
      <c r="V9" s="4692">
        <v>90</v>
      </c>
      <c r="W9" s="4680" t="s">
        <v>4521</v>
      </c>
      <c r="X9" s="4695">
        <v>203</v>
      </c>
      <c r="Y9" s="4692">
        <v>2</v>
      </c>
      <c r="Z9" s="4692" t="s">
        <v>5743</v>
      </c>
      <c r="AA9" s="4683" t="s">
        <v>5035</v>
      </c>
      <c r="AB9" s="4692" t="s">
        <v>5741</v>
      </c>
      <c r="AC9" s="4683" t="s">
        <v>5050</v>
      </c>
      <c r="AD9" s="4692" t="s">
        <v>5741</v>
      </c>
      <c r="AE9" s="4696"/>
      <c r="AF9" s="4685">
        <f t="shared" si="6"/>
        <v>25</v>
      </c>
    </row>
    <row r="10" spans="1:32" ht="33.75" customHeight="1">
      <c r="A10" s="4686">
        <v>4</v>
      </c>
      <c r="B10" s="4687">
        <v>46279</v>
      </c>
      <c r="C10" s="4687">
        <v>46281</v>
      </c>
      <c r="D10" s="4672">
        <f t="shared" si="0"/>
        <v>2</v>
      </c>
      <c r="E10" s="4687">
        <v>46297</v>
      </c>
      <c r="F10" s="4698">
        <f t="shared" si="1"/>
        <v>17</v>
      </c>
      <c r="G10" s="4699">
        <v>46299</v>
      </c>
      <c r="H10" s="4672">
        <f t="shared" si="2"/>
        <v>1</v>
      </c>
      <c r="I10" s="4691" t="s">
        <v>5072</v>
      </c>
      <c r="J10" s="4692">
        <v>13</v>
      </c>
      <c r="K10" s="4693">
        <v>13</v>
      </c>
      <c r="L10" s="4692">
        <v>13000</v>
      </c>
      <c r="M10" s="4692">
        <v>13000</v>
      </c>
      <c r="N10" s="4971">
        <f t="shared" si="3"/>
        <v>169000</v>
      </c>
      <c r="O10" s="4692">
        <v>13000</v>
      </c>
      <c r="P10" s="4678">
        <f t="shared" si="5"/>
        <v>260</v>
      </c>
      <c r="Q10" s="4679">
        <f t="shared" si="4"/>
        <v>3380000</v>
      </c>
      <c r="R10" s="4692">
        <v>15.12</v>
      </c>
      <c r="S10" s="4680" t="s">
        <v>5742</v>
      </c>
      <c r="T10" s="4694">
        <v>15.12</v>
      </c>
      <c r="U10" s="4700">
        <v>1</v>
      </c>
      <c r="V10" s="4692">
        <v>110</v>
      </c>
      <c r="W10" s="4680" t="s">
        <v>4521</v>
      </c>
      <c r="X10" s="4695">
        <v>203</v>
      </c>
      <c r="Y10" s="4692">
        <v>2</v>
      </c>
      <c r="Z10" s="4692" t="s">
        <v>5743</v>
      </c>
      <c r="AA10" s="4683" t="s">
        <v>5035</v>
      </c>
      <c r="AB10" s="4692" t="s">
        <v>5741</v>
      </c>
      <c r="AC10" s="4683" t="s">
        <v>5050</v>
      </c>
      <c r="AD10" s="4692" t="s">
        <v>5741</v>
      </c>
      <c r="AE10" s="4696"/>
      <c r="AF10" s="4685">
        <f t="shared" si="6"/>
        <v>13</v>
      </c>
    </row>
    <row r="11" spans="1:32" ht="33.75" customHeight="1">
      <c r="A11" s="4686">
        <v>5</v>
      </c>
      <c r="B11" s="4687">
        <v>46279</v>
      </c>
      <c r="C11" s="4687">
        <v>46281</v>
      </c>
      <c r="D11" s="4672">
        <f t="shared" si="0"/>
        <v>2</v>
      </c>
      <c r="E11" s="4687">
        <v>46297</v>
      </c>
      <c r="F11" s="4698">
        <f t="shared" si="1"/>
        <v>17</v>
      </c>
      <c r="G11" s="4699">
        <v>46299</v>
      </c>
      <c r="H11" s="4672">
        <f t="shared" si="2"/>
        <v>1</v>
      </c>
      <c r="I11" s="4691" t="s">
        <v>6030</v>
      </c>
      <c r="J11" s="4692">
        <v>39</v>
      </c>
      <c r="K11" s="4693">
        <v>39</v>
      </c>
      <c r="L11" s="4692">
        <v>13000</v>
      </c>
      <c r="M11" s="4692">
        <v>13000</v>
      </c>
      <c r="N11" s="4971">
        <f t="shared" si="3"/>
        <v>507000</v>
      </c>
      <c r="O11" s="4692">
        <v>13000</v>
      </c>
      <c r="P11" s="4678">
        <f t="shared" si="5"/>
        <v>780</v>
      </c>
      <c r="Q11" s="4679">
        <f t="shared" si="4"/>
        <v>10140000</v>
      </c>
      <c r="R11" s="4692">
        <v>12.37</v>
      </c>
      <c r="S11" s="4680" t="s">
        <v>5742</v>
      </c>
      <c r="T11" s="4694">
        <v>12.37</v>
      </c>
      <c r="U11" s="4700">
        <v>1</v>
      </c>
      <c r="V11" s="4692">
        <v>140</v>
      </c>
      <c r="W11" s="4680" t="s">
        <v>4521</v>
      </c>
      <c r="X11" s="4695">
        <v>203</v>
      </c>
      <c r="Y11" s="4692">
        <v>1</v>
      </c>
      <c r="Z11" s="4692" t="s">
        <v>5743</v>
      </c>
      <c r="AA11" s="4683" t="s">
        <v>5035</v>
      </c>
      <c r="AB11" s="4692" t="s">
        <v>5741</v>
      </c>
      <c r="AC11" s="4683" t="s">
        <v>5050</v>
      </c>
      <c r="AD11" s="4692" t="s">
        <v>5741</v>
      </c>
      <c r="AE11" s="4696"/>
      <c r="AF11" s="4685">
        <f t="shared" si="6"/>
        <v>39</v>
      </c>
    </row>
    <row r="12" spans="1:32" ht="33.75" customHeight="1">
      <c r="A12" s="4686">
        <v>6</v>
      </c>
      <c r="B12" s="4687">
        <v>46279</v>
      </c>
      <c r="C12" s="4687">
        <v>46281</v>
      </c>
      <c r="D12" s="4672">
        <f t="shared" si="0"/>
        <v>2</v>
      </c>
      <c r="E12" s="4687">
        <v>46297</v>
      </c>
      <c r="F12" s="4698">
        <f t="shared" si="1"/>
        <v>17</v>
      </c>
      <c r="G12" s="4699">
        <v>46299</v>
      </c>
      <c r="H12" s="4672">
        <f t="shared" si="2"/>
        <v>1</v>
      </c>
      <c r="I12" s="4691" t="s">
        <v>6031</v>
      </c>
      <c r="J12" s="4692">
        <v>1</v>
      </c>
      <c r="K12" s="4693">
        <v>1</v>
      </c>
      <c r="L12" s="4692">
        <v>13000</v>
      </c>
      <c r="M12" s="4692">
        <v>13000</v>
      </c>
      <c r="N12" s="4971">
        <f t="shared" si="3"/>
        <v>13000</v>
      </c>
      <c r="O12" s="4692">
        <v>13000</v>
      </c>
      <c r="P12" s="4678">
        <f t="shared" si="5"/>
        <v>20</v>
      </c>
      <c r="Q12" s="4679">
        <f t="shared" si="4"/>
        <v>260000</v>
      </c>
      <c r="R12" s="4692">
        <v>24.75</v>
      </c>
      <c r="S12" s="4680" t="s">
        <v>5742</v>
      </c>
      <c r="T12" s="4694">
        <v>24.75</v>
      </c>
      <c r="U12" s="4700">
        <v>1</v>
      </c>
      <c r="V12" s="4692">
        <v>110</v>
      </c>
      <c r="W12" s="4680" t="s">
        <v>4521</v>
      </c>
      <c r="X12" s="4695">
        <v>203</v>
      </c>
      <c r="Y12" s="4692">
        <v>2</v>
      </c>
      <c r="Z12" s="4692" t="s">
        <v>5953</v>
      </c>
      <c r="AA12" s="4683" t="s">
        <v>5035</v>
      </c>
      <c r="AB12" s="4692" t="s">
        <v>5741</v>
      </c>
      <c r="AC12" s="4683" t="s">
        <v>5050</v>
      </c>
      <c r="AD12" s="4692" t="s">
        <v>5741</v>
      </c>
      <c r="AE12" s="4696" t="s">
        <v>6032</v>
      </c>
      <c r="AF12" s="4685">
        <f t="shared" si="6"/>
        <v>1</v>
      </c>
    </row>
    <row r="13" spans="1:32" ht="33.75" customHeight="1">
      <c r="A13" s="4686">
        <v>7</v>
      </c>
      <c r="B13" s="4687"/>
      <c r="C13" s="4687"/>
      <c r="D13" s="4672" t="str">
        <f t="shared" si="0"/>
        <v>1</v>
      </c>
      <c r="E13" s="4687"/>
      <c r="F13" s="4698">
        <f t="shared" si="1"/>
        <v>2</v>
      </c>
      <c r="G13" s="4699"/>
      <c r="H13" s="4672">
        <f t="shared" si="2"/>
        <v>0</v>
      </c>
      <c r="I13" s="4691"/>
      <c r="J13" s="4692"/>
      <c r="K13" s="4693"/>
      <c r="L13" s="4692"/>
      <c r="M13" s="4692"/>
      <c r="N13" s="4692"/>
      <c r="O13" s="4692"/>
      <c r="P13" s="4678">
        <f t="shared" si="5"/>
        <v>0</v>
      </c>
      <c r="Q13" s="4679">
        <f t="shared" si="4"/>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8</v>
      </c>
      <c r="B14" s="4687"/>
      <c r="C14" s="4687"/>
      <c r="D14" s="4672" t="str">
        <f t="shared" si="0"/>
        <v>1</v>
      </c>
      <c r="E14" s="4687"/>
      <c r="F14" s="4698">
        <f t="shared" si="1"/>
        <v>2</v>
      </c>
      <c r="G14" s="4699"/>
      <c r="H14" s="4672">
        <f t="shared" si="2"/>
        <v>0</v>
      </c>
      <c r="I14" s="4691"/>
      <c r="J14" s="4692"/>
      <c r="K14" s="4693"/>
      <c r="L14" s="4692"/>
      <c r="M14" s="4692"/>
      <c r="N14" s="4692"/>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9</v>
      </c>
      <c r="B15" s="4687"/>
      <c r="C15" s="4687"/>
      <c r="D15" s="4672" t="str">
        <f t="shared" si="0"/>
        <v>1</v>
      </c>
      <c r="E15" s="4687"/>
      <c r="F15" s="4698">
        <f t="shared" si="1"/>
        <v>2</v>
      </c>
      <c r="G15" s="4699"/>
      <c r="H15" s="4672">
        <f t="shared" si="2"/>
        <v>0</v>
      </c>
      <c r="I15" s="4691"/>
      <c r="J15" s="4692"/>
      <c r="K15" s="4693"/>
      <c r="L15" s="4692"/>
      <c r="M15" s="4692"/>
      <c r="N15" s="4692"/>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10</v>
      </c>
      <c r="B16" s="4687"/>
      <c r="C16" s="4687"/>
      <c r="D16" s="4672" t="str">
        <f t="shared" si="0"/>
        <v>1</v>
      </c>
      <c r="E16" s="4687"/>
      <c r="F16" s="4698">
        <f t="shared" si="1"/>
        <v>2</v>
      </c>
      <c r="G16" s="4699"/>
      <c r="H16" s="4672">
        <f t="shared" si="2"/>
        <v>0</v>
      </c>
      <c r="I16" s="4691"/>
      <c r="J16" s="4692"/>
      <c r="K16" s="4693"/>
      <c r="L16" s="4692"/>
      <c r="M16" s="4692"/>
      <c r="N16" s="4692"/>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11</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12</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13</v>
      </c>
      <c r="B19" s="4687"/>
      <c r="C19" s="4687"/>
      <c r="D19" s="4672" t="str">
        <f t="shared" si="0"/>
        <v>1</v>
      </c>
      <c r="E19" s="4687"/>
      <c r="F19" s="4698">
        <f t="shared" si="1"/>
        <v>2</v>
      </c>
      <c r="G19" s="4699"/>
      <c r="H19" s="4672">
        <f t="shared" si="2"/>
        <v>0</v>
      </c>
      <c r="I19" s="4691"/>
      <c r="J19" s="4692"/>
      <c r="K19" s="4693"/>
      <c r="L19" s="4692"/>
      <c r="M19" s="4692"/>
      <c r="N19" s="4692"/>
      <c r="O19" s="4692"/>
      <c r="P19" s="4678">
        <f>SUM(D19,F19,H19)*K19</f>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14</v>
      </c>
      <c r="B20" s="4687"/>
      <c r="C20" s="4687"/>
      <c r="D20" s="4672" t="str">
        <f t="shared" si="0"/>
        <v>1</v>
      </c>
      <c r="E20" s="4687"/>
      <c r="F20" s="4698">
        <f t="shared" si="1"/>
        <v>2</v>
      </c>
      <c r="G20" s="4699"/>
      <c r="H20" s="4672">
        <f t="shared" si="2"/>
        <v>0</v>
      </c>
      <c r="I20" s="4691"/>
      <c r="J20" s="4692"/>
      <c r="K20" s="4693"/>
      <c r="L20" s="4692"/>
      <c r="M20" s="4692"/>
      <c r="N20" s="4692"/>
      <c r="O20" s="4692"/>
      <c r="P20" s="4678">
        <f t="shared" si="5"/>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thickBot="1">
      <c r="A21" s="4686">
        <v>15</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4"/>
        <v>0</v>
      </c>
      <c r="R21" s="4692"/>
      <c r="S21" s="4680" t="s">
        <v>5739</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Top="1" thickBot="1">
      <c r="A22" s="4701"/>
      <c r="B22" s="4702"/>
      <c r="C22" s="4702"/>
      <c r="D22" s="4702"/>
      <c r="E22" s="4702"/>
      <c r="F22" s="4703"/>
      <c r="G22" s="4704"/>
      <c r="H22" s="4702"/>
      <c r="I22" s="4705" t="s">
        <v>2432</v>
      </c>
      <c r="J22" s="4706">
        <f>SUM(J7:J21)</f>
        <v>245</v>
      </c>
      <c r="K22" s="4707">
        <f>SUM(K7:K21)</f>
        <v>245</v>
      </c>
      <c r="L22" s="4703"/>
      <c r="M22" s="4703"/>
      <c r="N22" s="4703"/>
      <c r="O22" s="4703"/>
      <c r="P22" s="4706">
        <f>SUM(P7:P21)</f>
        <v>4900</v>
      </c>
      <c r="Q22" s="4706">
        <f>SUM(Q7:Q21)</f>
        <v>63700000</v>
      </c>
      <c r="R22" s="6863"/>
      <c r="S22" s="6864"/>
      <c r="T22" s="6865"/>
      <c r="U22" s="4708"/>
      <c r="V22" s="6863"/>
      <c r="W22" s="6864"/>
      <c r="X22" s="6864"/>
      <c r="Y22" s="4708"/>
      <c r="Z22" s="4708"/>
      <c r="AA22" s="6866"/>
      <c r="AB22" s="6867"/>
      <c r="AC22" s="6866"/>
      <c r="AD22" s="6867"/>
      <c r="AE22" s="4709"/>
      <c r="AF22" s="4685">
        <f>SUM(AF7:AF21)</f>
        <v>245</v>
      </c>
    </row>
    <row r="23" spans="1:32" ht="33.75" customHeight="1" thickBot="1">
      <c r="C23" s="4710"/>
      <c r="D23" s="4710"/>
      <c r="E23" s="4710"/>
      <c r="F23" s="4710"/>
      <c r="G23" s="4710"/>
      <c r="H23" s="4710"/>
      <c r="I23" s="4711"/>
      <c r="J23" s="4712"/>
      <c r="K23" s="4710"/>
      <c r="L23" s="4713" t="s">
        <v>6033</v>
      </c>
      <c r="M23" s="4714">
        <f>SUM(N7:N21)</f>
        <v>3185000</v>
      </c>
      <c r="N23" s="4715"/>
      <c r="O23" s="4715"/>
      <c r="P23" s="4715"/>
      <c r="S23" s="4656"/>
      <c r="W23" s="4656"/>
    </row>
    <row r="24" spans="1:32" ht="33.75" customHeight="1">
      <c r="A24" s="6845" t="s">
        <v>5749</v>
      </c>
      <c r="B24" s="6846"/>
      <c r="C24" s="4716">
        <f>P22</f>
        <v>4900</v>
      </c>
      <c r="D24" s="4717"/>
      <c r="F24" s="4718"/>
      <c r="H24" s="4719"/>
      <c r="I24" s="4720"/>
      <c r="K24" s="4659"/>
      <c r="L24" s="4721" t="s">
        <v>5750</v>
      </c>
      <c r="M24" s="4722">
        <f>M23</f>
        <v>3185000</v>
      </c>
      <c r="O24" s="5192">
        <f>M24/K22</f>
        <v>13000</v>
      </c>
      <c r="P24" s="5193" t="s">
        <v>6034</v>
      </c>
    </row>
    <row r="25" spans="1:32" ht="33.75" customHeight="1">
      <c r="A25" s="6847"/>
      <c r="B25" s="6848"/>
      <c r="C25" s="4723">
        <f>Q22</f>
        <v>63700000</v>
      </c>
      <c r="D25" s="4717"/>
      <c r="F25" s="4724"/>
      <c r="H25" s="4719"/>
      <c r="I25" s="4720"/>
      <c r="K25" s="4659"/>
      <c r="O25" s="5192"/>
      <c r="P25" s="5193"/>
    </row>
    <row r="26" spans="1:32" ht="33.75" customHeight="1" thickBot="1">
      <c r="A26" s="6913" t="s">
        <v>5751</v>
      </c>
      <c r="B26" s="6914"/>
      <c r="C26" s="4987">
        <f>ROUNDDOWN(C25,0)</f>
        <v>63700000</v>
      </c>
      <c r="D26" s="4719"/>
      <c r="F26" s="4724"/>
      <c r="H26" s="4719"/>
      <c r="I26" s="4720"/>
      <c r="K26" s="4659"/>
      <c r="L26" s="5192" t="s">
        <v>6035</v>
      </c>
      <c r="M26" s="5192">
        <v>100</v>
      </c>
      <c r="O26" s="5192"/>
      <c r="P26" s="5193"/>
    </row>
    <row r="27" spans="1:32" ht="33.75" customHeight="1">
      <c r="A27" s="4729"/>
      <c r="B27" s="4729"/>
      <c r="C27" s="4729"/>
      <c r="D27" s="4729"/>
      <c r="E27" s="4729"/>
      <c r="F27" s="4729"/>
      <c r="G27" s="4726"/>
      <c r="H27" s="4729"/>
      <c r="I27" s="4720"/>
      <c r="L27" s="5192" t="s">
        <v>6036</v>
      </c>
      <c r="M27" s="5192">
        <v>580000</v>
      </c>
      <c r="O27" s="5192"/>
      <c r="P27" s="5193"/>
    </row>
    <row r="28" spans="1:32" ht="33.75" customHeight="1">
      <c r="A28" s="4728" t="s">
        <v>5752</v>
      </c>
      <c r="B28" s="4728"/>
      <c r="C28" s="4729"/>
      <c r="D28" s="4729"/>
      <c r="E28" s="4729"/>
      <c r="F28" s="4729"/>
      <c r="G28" s="4726"/>
      <c r="H28" s="4729"/>
      <c r="I28" s="4720"/>
      <c r="L28" s="5192" t="s">
        <v>5750</v>
      </c>
      <c r="M28" s="5192">
        <f>M27*1.1</f>
        <v>638000</v>
      </c>
      <c r="O28" s="5192">
        <f>M28/M26</f>
        <v>6380</v>
      </c>
      <c r="P28" s="5193" t="s">
        <v>6034</v>
      </c>
    </row>
    <row r="29" spans="1:32" ht="36" customHeight="1">
      <c r="A29" s="4728" t="s">
        <v>6037</v>
      </c>
      <c r="B29" s="4728"/>
      <c r="O29" s="5194">
        <f>O24/O28</f>
        <v>2.0376175548589344</v>
      </c>
      <c r="P29" s="5195" t="s">
        <v>6038</v>
      </c>
    </row>
    <row r="30" spans="1:32" ht="36" customHeight="1">
      <c r="A30" s="4730" t="s">
        <v>5754</v>
      </c>
      <c r="B30" s="4730"/>
    </row>
    <row r="31" spans="1:32" ht="36" customHeight="1">
      <c r="A31" s="4728"/>
      <c r="B31" s="4728"/>
    </row>
    <row r="32" spans="1:32" ht="36" customHeight="1"/>
    <row r="33" ht="36" customHeight="1"/>
    <row r="34" ht="36" customHeight="1"/>
    <row r="35" ht="36" customHeight="1"/>
    <row r="36" ht="36" customHeight="1"/>
    <row r="37" ht="36" customHeight="1"/>
    <row r="38" ht="36" customHeight="1"/>
    <row r="39" ht="10.4" customHeight="1"/>
  </sheetData>
  <mergeCells count="32">
    <mergeCell ref="A2:B2"/>
    <mergeCell ref="C2:G2"/>
    <mergeCell ref="A5:A6"/>
    <mergeCell ref="B5:B6"/>
    <mergeCell ref="C5:C6"/>
    <mergeCell ref="D5:D6"/>
    <mergeCell ref="E5:E6"/>
    <mergeCell ref="F5:F6"/>
    <mergeCell ref="G5:G6"/>
    <mergeCell ref="AE5:AE6"/>
    <mergeCell ref="AF5:AF6"/>
    <mergeCell ref="R22:T22"/>
    <mergeCell ref="V22:X22"/>
    <mergeCell ref="AA22:AB22"/>
    <mergeCell ref="AC22:AD22"/>
    <mergeCell ref="R5:T6"/>
    <mergeCell ref="U5:U6"/>
    <mergeCell ref="V5:X6"/>
    <mergeCell ref="Y5:Y6"/>
    <mergeCell ref="A24:B24"/>
    <mergeCell ref="A25:B25"/>
    <mergeCell ref="A26:B26"/>
    <mergeCell ref="Z5:Z6"/>
    <mergeCell ref="AA5:AD6"/>
    <mergeCell ref="O5:O6"/>
    <mergeCell ref="P5:Q5"/>
    <mergeCell ref="H5:H6"/>
    <mergeCell ref="I5:I6"/>
    <mergeCell ref="J5:J6"/>
    <mergeCell ref="K5:K6"/>
    <mergeCell ref="L5:L6"/>
    <mergeCell ref="M5:M6"/>
  </mergeCells>
  <phoneticPr fontId="2"/>
  <conditionalFormatting sqref="B7:O21">
    <cfRule type="containsBlanks" dxfId="607" priority="1">
      <formula>LEN(TRIM(B7))=0</formula>
    </cfRule>
  </conditionalFormatting>
  <conditionalFormatting sqref="C2:D2">
    <cfRule type="containsBlanks" dxfId="606" priority="3">
      <formula>LEN(TRIM(C2))=0</formula>
    </cfRule>
  </conditionalFormatting>
  <conditionalFormatting sqref="Q7:R21 T7:V21 X7:Z21 AB7:AB21">
    <cfRule type="containsBlanks" dxfId="605" priority="4">
      <formula>LEN(TRIM(Q7))=0</formula>
    </cfRule>
  </conditionalFormatting>
  <conditionalFormatting sqref="AD7:AE21">
    <cfRule type="containsBlanks" dxfId="604" priority="2">
      <formula>LEN(TRIM(AD7))=0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E973-8630-413C-B9CA-7FEE57BB5D06}">
  <sheetPr codeName="Sheet340">
    <tabColor rgb="FFFFFF66"/>
    <pageSetUpPr fitToPage="1"/>
  </sheetPr>
  <dimension ref="A1:AF38"/>
  <sheetViews>
    <sheetView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4.72656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6039</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6040</v>
      </c>
      <c r="M5" s="6855" t="s">
        <v>6041</v>
      </c>
      <c r="N5" s="4967" t="s">
        <v>5726</v>
      </c>
      <c r="O5" s="6855" t="s">
        <v>6042</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86">
        <v>1</v>
      </c>
      <c r="B7" s="4687">
        <v>46279</v>
      </c>
      <c r="C7" s="4687">
        <v>46281</v>
      </c>
      <c r="D7" s="4672">
        <f t="shared" ref="D7:D20" si="0">IF(_xlfn.DAYS(C7,B7)=0,"1",_xlfn.DAYS(C7,B7))</f>
        <v>2</v>
      </c>
      <c r="E7" s="4687">
        <v>46297</v>
      </c>
      <c r="F7" s="4698">
        <f t="shared" ref="F7:F20" si="1">IF(_xlfn.DAYS(E7,C7)=0,"1",_xlfn.DAYS(E7,C7))+1</f>
        <v>17</v>
      </c>
      <c r="G7" s="4699">
        <v>46299</v>
      </c>
      <c r="H7" s="4672">
        <f t="shared" ref="H7:H20" si="2">IF(_xlfn.DAYS(G7,E7)=0,"1",_xlfn.DAYS(G7,E7))-1</f>
        <v>1</v>
      </c>
      <c r="I7" s="4691" t="s">
        <v>4500</v>
      </c>
      <c r="J7" s="4692">
        <v>100</v>
      </c>
      <c r="K7" s="4693">
        <v>43</v>
      </c>
      <c r="L7" s="4692">
        <v>12000</v>
      </c>
      <c r="M7" s="4692">
        <v>12000</v>
      </c>
      <c r="N7" s="4971">
        <f t="shared" ref="N7:N12" si="3">M7*K7</f>
        <v>516000</v>
      </c>
      <c r="O7" s="4692">
        <v>12000</v>
      </c>
      <c r="P7" s="4678">
        <f>SUM(D7,F7,H7)*K7</f>
        <v>860</v>
      </c>
      <c r="Q7" s="4679">
        <f t="shared" ref="Q7:Q20" si="4">(D7*L7+F7*M7+H7*O7)*K7</f>
        <v>10320000</v>
      </c>
      <c r="R7" s="4692">
        <v>12</v>
      </c>
      <c r="S7" s="4680" t="s">
        <v>5742</v>
      </c>
      <c r="T7" s="4694">
        <v>12</v>
      </c>
      <c r="U7" s="4700">
        <v>1</v>
      </c>
      <c r="V7" s="4692">
        <v>140</v>
      </c>
      <c r="W7" s="4680" t="s">
        <v>4521</v>
      </c>
      <c r="X7" s="4695">
        <v>203</v>
      </c>
      <c r="Y7" s="4692">
        <v>1</v>
      </c>
      <c r="Z7" s="4692" t="s">
        <v>5743</v>
      </c>
      <c r="AA7" s="4683" t="s">
        <v>5035</v>
      </c>
      <c r="AB7" s="4692" t="s">
        <v>5741</v>
      </c>
      <c r="AC7" s="4683" t="s">
        <v>5050</v>
      </c>
      <c r="AD7" s="4692" t="s">
        <v>5741</v>
      </c>
      <c r="AE7" s="4696"/>
      <c r="AF7" s="4685">
        <f>U7*K7</f>
        <v>43</v>
      </c>
    </row>
    <row r="8" spans="1:32" ht="33.75" customHeight="1">
      <c r="A8" s="4686">
        <v>2</v>
      </c>
      <c r="B8" s="4687">
        <v>46279</v>
      </c>
      <c r="C8" s="4687">
        <v>46281</v>
      </c>
      <c r="D8" s="4672">
        <f t="shared" si="0"/>
        <v>2</v>
      </c>
      <c r="E8" s="4687">
        <v>46297</v>
      </c>
      <c r="F8" s="4698">
        <f t="shared" si="1"/>
        <v>17</v>
      </c>
      <c r="G8" s="4699">
        <v>46299</v>
      </c>
      <c r="H8" s="4672">
        <f t="shared" si="2"/>
        <v>1</v>
      </c>
      <c r="I8" s="4691" t="s">
        <v>5058</v>
      </c>
      <c r="J8" s="4692">
        <v>9</v>
      </c>
      <c r="K8" s="4693">
        <v>4</v>
      </c>
      <c r="L8" s="4692">
        <v>15800</v>
      </c>
      <c r="M8" s="4692">
        <v>15800</v>
      </c>
      <c r="N8" s="4971">
        <f t="shared" si="3"/>
        <v>63200</v>
      </c>
      <c r="O8" s="4692">
        <v>15800</v>
      </c>
      <c r="P8" s="4678">
        <f t="shared" ref="P8:P20" si="5">SUM(D8,F8,H8)*K8</f>
        <v>80</v>
      </c>
      <c r="Q8" s="4679">
        <f t="shared" si="4"/>
        <v>1264000</v>
      </c>
      <c r="R8" s="4692">
        <v>15</v>
      </c>
      <c r="S8" s="4680" t="s">
        <v>5742</v>
      </c>
      <c r="T8" s="4694">
        <v>15</v>
      </c>
      <c r="U8" s="4700">
        <v>1</v>
      </c>
      <c r="V8" s="4692">
        <v>160</v>
      </c>
      <c r="W8" s="4680" t="s">
        <v>4521</v>
      </c>
      <c r="X8" s="4695">
        <v>203</v>
      </c>
      <c r="Y8" s="4692">
        <v>1</v>
      </c>
      <c r="Z8" s="4692" t="s">
        <v>5743</v>
      </c>
      <c r="AA8" s="4683" t="s">
        <v>5035</v>
      </c>
      <c r="AB8" s="4692" t="s">
        <v>5741</v>
      </c>
      <c r="AC8" s="4683" t="s">
        <v>5050</v>
      </c>
      <c r="AD8" s="4692" t="s">
        <v>5741</v>
      </c>
      <c r="AE8" s="4696"/>
      <c r="AF8" s="4685">
        <f t="shared" ref="AF8:AF20" si="6">U8*K8</f>
        <v>4</v>
      </c>
    </row>
    <row r="9" spans="1:32" ht="33.75" customHeight="1">
      <c r="A9" s="4686">
        <v>3</v>
      </c>
      <c r="B9" s="4687">
        <v>46279</v>
      </c>
      <c r="C9" s="4687">
        <v>46281</v>
      </c>
      <c r="D9" s="4672">
        <f t="shared" si="0"/>
        <v>2</v>
      </c>
      <c r="E9" s="4687">
        <v>46297</v>
      </c>
      <c r="F9" s="4698">
        <f t="shared" si="1"/>
        <v>17</v>
      </c>
      <c r="G9" s="4699">
        <v>46299</v>
      </c>
      <c r="H9" s="4672">
        <f t="shared" si="2"/>
        <v>1</v>
      </c>
      <c r="I9" s="4691" t="s">
        <v>5072</v>
      </c>
      <c r="J9" s="4692">
        <v>9</v>
      </c>
      <c r="K9" s="4693">
        <v>4</v>
      </c>
      <c r="L9" s="4692">
        <v>15800</v>
      </c>
      <c r="M9" s="4692">
        <v>15800</v>
      </c>
      <c r="N9" s="4971">
        <f t="shared" si="3"/>
        <v>63200</v>
      </c>
      <c r="O9" s="4692">
        <v>15800</v>
      </c>
      <c r="P9" s="4678">
        <f t="shared" si="5"/>
        <v>80</v>
      </c>
      <c r="Q9" s="4679">
        <f t="shared" si="4"/>
        <v>1264000</v>
      </c>
      <c r="R9" s="4692">
        <v>15</v>
      </c>
      <c r="S9" s="4680" t="s">
        <v>5742</v>
      </c>
      <c r="T9" s="4694">
        <v>15</v>
      </c>
      <c r="U9" s="4700">
        <v>1</v>
      </c>
      <c r="V9" s="4692">
        <v>110</v>
      </c>
      <c r="W9" s="4680" t="s">
        <v>4521</v>
      </c>
      <c r="X9" s="4695">
        <v>203</v>
      </c>
      <c r="Y9" s="4692">
        <v>2</v>
      </c>
      <c r="Z9" s="4692" t="s">
        <v>5743</v>
      </c>
      <c r="AA9" s="4683" t="s">
        <v>5035</v>
      </c>
      <c r="AB9" s="4692" t="s">
        <v>5741</v>
      </c>
      <c r="AC9" s="4683" t="s">
        <v>5050</v>
      </c>
      <c r="AD9" s="4692" t="s">
        <v>5741</v>
      </c>
      <c r="AE9" s="4696"/>
      <c r="AF9" s="4685">
        <f t="shared" si="6"/>
        <v>4</v>
      </c>
    </row>
    <row r="10" spans="1:32" ht="33.75" customHeight="1">
      <c r="A10" s="4686">
        <v>5</v>
      </c>
      <c r="B10" s="4687">
        <v>46279</v>
      </c>
      <c r="C10" s="4687">
        <v>46281</v>
      </c>
      <c r="D10" s="4672">
        <f t="shared" si="0"/>
        <v>2</v>
      </c>
      <c r="E10" s="4687">
        <v>46297</v>
      </c>
      <c r="F10" s="4698">
        <f t="shared" si="1"/>
        <v>17</v>
      </c>
      <c r="G10" s="4699">
        <v>46299</v>
      </c>
      <c r="H10" s="4672">
        <f t="shared" si="2"/>
        <v>1</v>
      </c>
      <c r="I10" s="4691" t="s">
        <v>6043</v>
      </c>
      <c r="J10" s="4692">
        <v>19</v>
      </c>
      <c r="K10" s="4693">
        <v>9</v>
      </c>
      <c r="L10" s="4692">
        <v>14300</v>
      </c>
      <c r="M10" s="4692">
        <v>14300</v>
      </c>
      <c r="N10" s="4971">
        <f t="shared" si="3"/>
        <v>128700</v>
      </c>
      <c r="O10" s="4692">
        <v>14300</v>
      </c>
      <c r="P10" s="4678">
        <f t="shared" si="5"/>
        <v>180</v>
      </c>
      <c r="Q10" s="4679">
        <f t="shared" si="4"/>
        <v>2574000</v>
      </c>
      <c r="R10" s="4692">
        <v>12</v>
      </c>
      <c r="S10" s="4680" t="s">
        <v>5742</v>
      </c>
      <c r="T10" s="4694">
        <v>12</v>
      </c>
      <c r="U10" s="4700">
        <v>1</v>
      </c>
      <c r="V10" s="4692">
        <v>140</v>
      </c>
      <c r="W10" s="4680" t="s">
        <v>4521</v>
      </c>
      <c r="X10" s="4695">
        <v>203</v>
      </c>
      <c r="Y10" s="4692">
        <v>1</v>
      </c>
      <c r="Z10" s="4692" t="s">
        <v>5743</v>
      </c>
      <c r="AA10" s="4683" t="s">
        <v>5035</v>
      </c>
      <c r="AB10" s="4692" t="s">
        <v>5741</v>
      </c>
      <c r="AC10" s="4683" t="s">
        <v>5050</v>
      </c>
      <c r="AD10" s="4692" t="s">
        <v>5741</v>
      </c>
      <c r="AE10" s="4696"/>
      <c r="AF10" s="4685">
        <f t="shared" si="6"/>
        <v>9</v>
      </c>
    </row>
    <row r="11" spans="1:32" ht="33.75" customHeight="1">
      <c r="A11" s="4686">
        <v>6</v>
      </c>
      <c r="B11" s="4687">
        <v>46279</v>
      </c>
      <c r="C11" s="4687">
        <v>46281</v>
      </c>
      <c r="D11" s="4672">
        <f t="shared" si="0"/>
        <v>2</v>
      </c>
      <c r="E11" s="4687">
        <v>46297</v>
      </c>
      <c r="F11" s="4698">
        <f t="shared" si="1"/>
        <v>17</v>
      </c>
      <c r="G11" s="4699">
        <v>46299</v>
      </c>
      <c r="H11" s="4672">
        <f t="shared" si="2"/>
        <v>1</v>
      </c>
      <c r="I11" s="5191" t="s">
        <v>6029</v>
      </c>
      <c r="J11" s="4692">
        <v>4</v>
      </c>
      <c r="K11" s="4693">
        <v>4</v>
      </c>
      <c r="L11" s="4692">
        <v>13200</v>
      </c>
      <c r="M11" s="4692">
        <v>13200</v>
      </c>
      <c r="N11" s="4971">
        <f t="shared" si="3"/>
        <v>52800</v>
      </c>
      <c r="O11" s="4692">
        <v>13200</v>
      </c>
      <c r="P11" s="4678">
        <f t="shared" si="5"/>
        <v>80</v>
      </c>
      <c r="Q11" s="4679">
        <f t="shared" si="4"/>
        <v>1056000</v>
      </c>
      <c r="R11" s="4692">
        <v>12</v>
      </c>
      <c r="S11" s="4680" t="s">
        <v>5742</v>
      </c>
      <c r="T11" s="4694">
        <v>12</v>
      </c>
      <c r="U11" s="4700">
        <v>1</v>
      </c>
      <c r="V11" s="4692">
        <v>140</v>
      </c>
      <c r="W11" s="4680" t="s">
        <v>4521</v>
      </c>
      <c r="X11" s="4695">
        <v>203</v>
      </c>
      <c r="Y11" s="4692">
        <v>1</v>
      </c>
      <c r="Z11" s="4692" t="s">
        <v>5743</v>
      </c>
      <c r="AA11" s="4683" t="s">
        <v>5035</v>
      </c>
      <c r="AB11" s="4692" t="s">
        <v>5741</v>
      </c>
      <c r="AC11" s="4683" t="s">
        <v>5050</v>
      </c>
      <c r="AD11" s="4692" t="s">
        <v>5741</v>
      </c>
      <c r="AE11" s="4696"/>
      <c r="AF11" s="4685">
        <f t="shared" si="6"/>
        <v>4</v>
      </c>
    </row>
    <row r="12" spans="1:32" ht="33.75" customHeight="1">
      <c r="A12" s="4686">
        <v>7</v>
      </c>
      <c r="B12" s="4687"/>
      <c r="C12" s="4687"/>
      <c r="D12" s="4672" t="str">
        <f t="shared" si="0"/>
        <v>1</v>
      </c>
      <c r="E12" s="4687"/>
      <c r="F12" s="4698">
        <f t="shared" si="1"/>
        <v>2</v>
      </c>
      <c r="G12" s="4699"/>
      <c r="H12" s="4672">
        <f t="shared" si="2"/>
        <v>0</v>
      </c>
      <c r="I12" s="4691"/>
      <c r="J12" s="4692"/>
      <c r="K12" s="4693"/>
      <c r="L12" s="4692"/>
      <c r="M12" s="4692"/>
      <c r="N12" s="4971">
        <f t="shared" si="3"/>
        <v>0</v>
      </c>
      <c r="O12" s="4692"/>
      <c r="P12" s="4678">
        <f t="shared" si="5"/>
        <v>0</v>
      </c>
      <c r="Q12" s="4679">
        <f t="shared" si="4"/>
        <v>0</v>
      </c>
      <c r="R12" s="4692"/>
      <c r="S12" s="4680" t="s">
        <v>5742</v>
      </c>
      <c r="T12" s="4694"/>
      <c r="U12" s="4700"/>
      <c r="V12" s="4692"/>
      <c r="W12" s="4680" t="s">
        <v>4521</v>
      </c>
      <c r="X12" s="4695"/>
      <c r="Y12" s="4692"/>
      <c r="Z12" s="4692"/>
      <c r="AA12" s="4683" t="s">
        <v>5035</v>
      </c>
      <c r="AB12" s="4692"/>
      <c r="AC12" s="4683" t="s">
        <v>5050</v>
      </c>
      <c r="AD12" s="4692"/>
      <c r="AE12" s="4696"/>
      <c r="AF12" s="4685">
        <f t="shared" si="6"/>
        <v>0</v>
      </c>
    </row>
    <row r="13" spans="1:32" ht="33.75" customHeight="1">
      <c r="A13" s="4686">
        <v>8</v>
      </c>
      <c r="B13" s="4687"/>
      <c r="C13" s="4687"/>
      <c r="D13" s="4672" t="str">
        <f t="shared" si="0"/>
        <v>1</v>
      </c>
      <c r="E13" s="4687"/>
      <c r="F13" s="4698">
        <f t="shared" si="1"/>
        <v>2</v>
      </c>
      <c r="G13" s="4699"/>
      <c r="H13" s="4672">
        <f t="shared" si="2"/>
        <v>0</v>
      </c>
      <c r="I13" s="4691"/>
      <c r="J13" s="4692"/>
      <c r="K13" s="4693"/>
      <c r="L13" s="4692"/>
      <c r="M13" s="4692"/>
      <c r="N13" s="4692"/>
      <c r="O13" s="4692"/>
      <c r="P13" s="4678">
        <f t="shared" si="5"/>
        <v>0</v>
      </c>
      <c r="Q13" s="4679">
        <f t="shared" si="4"/>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9</v>
      </c>
      <c r="B14" s="4687"/>
      <c r="C14" s="4687"/>
      <c r="D14" s="4672" t="str">
        <f t="shared" si="0"/>
        <v>1</v>
      </c>
      <c r="E14" s="4687"/>
      <c r="F14" s="4698">
        <f t="shared" si="1"/>
        <v>2</v>
      </c>
      <c r="G14" s="4699"/>
      <c r="H14" s="4672">
        <f t="shared" si="2"/>
        <v>0</v>
      </c>
      <c r="I14" s="4691"/>
      <c r="J14" s="4692"/>
      <c r="K14" s="4693"/>
      <c r="L14" s="4692"/>
      <c r="M14" s="4692"/>
      <c r="N14" s="4692"/>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10</v>
      </c>
      <c r="B15" s="4687"/>
      <c r="C15" s="4687"/>
      <c r="D15" s="4672" t="str">
        <f t="shared" si="0"/>
        <v>1</v>
      </c>
      <c r="E15" s="4687"/>
      <c r="F15" s="4698">
        <f t="shared" si="1"/>
        <v>2</v>
      </c>
      <c r="G15" s="4699"/>
      <c r="H15" s="4672">
        <f t="shared" si="2"/>
        <v>0</v>
      </c>
      <c r="I15" s="4691"/>
      <c r="J15" s="4692"/>
      <c r="K15" s="4693"/>
      <c r="L15" s="4692"/>
      <c r="M15" s="4692"/>
      <c r="N15" s="4692"/>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11</v>
      </c>
      <c r="B16" s="4687"/>
      <c r="C16" s="4687"/>
      <c r="D16" s="4672" t="str">
        <f t="shared" si="0"/>
        <v>1</v>
      </c>
      <c r="E16" s="4687"/>
      <c r="F16" s="4698">
        <f t="shared" si="1"/>
        <v>2</v>
      </c>
      <c r="G16" s="4699"/>
      <c r="H16" s="4672">
        <f t="shared" si="2"/>
        <v>0</v>
      </c>
      <c r="I16" s="4691"/>
      <c r="J16" s="4692"/>
      <c r="K16" s="4693"/>
      <c r="L16" s="4692"/>
      <c r="M16" s="4692"/>
      <c r="N16" s="4692"/>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12</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13</v>
      </c>
      <c r="B18" s="4687"/>
      <c r="C18" s="4687"/>
      <c r="D18" s="4672" t="str">
        <f t="shared" si="0"/>
        <v>1</v>
      </c>
      <c r="E18" s="4687"/>
      <c r="F18" s="4698">
        <f t="shared" si="1"/>
        <v>2</v>
      </c>
      <c r="G18" s="4699"/>
      <c r="H18" s="4672">
        <f t="shared" si="2"/>
        <v>0</v>
      </c>
      <c r="I18" s="4691"/>
      <c r="J18" s="4692"/>
      <c r="K18" s="4693"/>
      <c r="L18" s="4692"/>
      <c r="M18" s="4692"/>
      <c r="N18" s="4692"/>
      <c r="O18" s="4692"/>
      <c r="P18" s="4678">
        <f>SUM(D18,F18,H18)*K18</f>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14</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thickBot="1">
      <c r="A20" s="4686">
        <v>15</v>
      </c>
      <c r="B20" s="4687"/>
      <c r="C20" s="4687"/>
      <c r="D20" s="4672" t="str">
        <f t="shared" si="0"/>
        <v>1</v>
      </c>
      <c r="E20" s="4687"/>
      <c r="F20" s="4698">
        <f t="shared" si="1"/>
        <v>2</v>
      </c>
      <c r="G20" s="4699"/>
      <c r="H20" s="4672">
        <f t="shared" si="2"/>
        <v>0</v>
      </c>
      <c r="I20" s="4691"/>
      <c r="J20" s="4692"/>
      <c r="K20" s="4693"/>
      <c r="L20" s="4692"/>
      <c r="M20" s="4692"/>
      <c r="N20" s="4692"/>
      <c r="O20" s="4692"/>
      <c r="P20" s="4678">
        <f t="shared" si="5"/>
        <v>0</v>
      </c>
      <c r="Q20" s="4679">
        <f t="shared" si="4"/>
        <v>0</v>
      </c>
      <c r="R20" s="4692"/>
      <c r="S20" s="4680" t="s">
        <v>5739</v>
      </c>
      <c r="T20" s="4694"/>
      <c r="U20" s="4700"/>
      <c r="V20" s="4692"/>
      <c r="W20" s="4680" t="s">
        <v>4521</v>
      </c>
      <c r="X20" s="4695"/>
      <c r="Y20" s="4692"/>
      <c r="Z20" s="4692"/>
      <c r="AA20" s="4683" t="s">
        <v>5035</v>
      </c>
      <c r="AB20" s="4692"/>
      <c r="AC20" s="4683" t="s">
        <v>5050</v>
      </c>
      <c r="AD20" s="4692"/>
      <c r="AE20" s="4696"/>
      <c r="AF20" s="4685">
        <f t="shared" si="6"/>
        <v>0</v>
      </c>
    </row>
    <row r="21" spans="1:32" ht="33.75" customHeight="1" thickTop="1" thickBot="1">
      <c r="A21" s="4701"/>
      <c r="B21" s="4702"/>
      <c r="C21" s="4702"/>
      <c r="D21" s="4702"/>
      <c r="E21" s="4702"/>
      <c r="F21" s="4703"/>
      <c r="G21" s="4704"/>
      <c r="H21" s="4702"/>
      <c r="I21" s="4705" t="s">
        <v>2432</v>
      </c>
      <c r="J21" s="4706">
        <f>SUM(J7:J20)</f>
        <v>141</v>
      </c>
      <c r="K21" s="4707">
        <f>SUM(K7:K20)</f>
        <v>64</v>
      </c>
      <c r="L21" s="4703"/>
      <c r="M21" s="4703"/>
      <c r="N21" s="4703"/>
      <c r="O21" s="4703"/>
      <c r="P21" s="4706">
        <f>SUM(P7:P20)</f>
        <v>1280</v>
      </c>
      <c r="Q21" s="4706">
        <f>SUM(Q7:Q20)</f>
        <v>16478000</v>
      </c>
      <c r="R21" s="6863"/>
      <c r="S21" s="6864"/>
      <c r="T21" s="6865"/>
      <c r="U21" s="4708"/>
      <c r="V21" s="6863"/>
      <c r="W21" s="6864"/>
      <c r="X21" s="6864"/>
      <c r="Y21" s="4708"/>
      <c r="Z21" s="4708"/>
      <c r="AA21" s="6866"/>
      <c r="AB21" s="6867"/>
      <c r="AC21" s="6866"/>
      <c r="AD21" s="6867"/>
      <c r="AE21" s="4709"/>
      <c r="AF21" s="4685">
        <f>SUM(AF7:AF20)</f>
        <v>64</v>
      </c>
    </row>
    <row r="22" spans="1:32" ht="33.75" customHeight="1" thickBot="1">
      <c r="C22" s="4710"/>
      <c r="D22" s="4710"/>
      <c r="E22" s="4710"/>
      <c r="F22" s="4710"/>
      <c r="G22" s="4710"/>
      <c r="H22" s="4710"/>
      <c r="I22" s="4711"/>
      <c r="J22" s="4712"/>
      <c r="K22" s="4710"/>
      <c r="L22" s="4713" t="s">
        <v>6033</v>
      </c>
      <c r="M22" s="4714">
        <f>SUM(N6:N20)</f>
        <v>823900</v>
      </c>
      <c r="N22" s="4715"/>
      <c r="O22" s="4715"/>
      <c r="P22" s="4715"/>
      <c r="S22" s="4656"/>
      <c r="W22" s="4656"/>
    </row>
    <row r="23" spans="1:32" ht="33.75" customHeight="1">
      <c r="A23" s="6845" t="s">
        <v>5749</v>
      </c>
      <c r="B23" s="6846"/>
      <c r="C23" s="4716">
        <f>P21</f>
        <v>1280</v>
      </c>
      <c r="D23" s="4717"/>
      <c r="F23" s="4718"/>
      <c r="H23" s="4719"/>
      <c r="I23" s="4720"/>
      <c r="K23" s="4659"/>
      <c r="L23" s="4721" t="s">
        <v>5750</v>
      </c>
      <c r="M23" s="4722">
        <f>M22</f>
        <v>823900</v>
      </c>
      <c r="P23" s="4656"/>
    </row>
    <row r="24" spans="1:32" ht="33.75" customHeight="1">
      <c r="A24" s="6847" t="s">
        <v>5751</v>
      </c>
      <c r="B24" s="6848"/>
      <c r="C24" s="4723">
        <f>Q21</f>
        <v>16478000</v>
      </c>
      <c r="D24" s="4717"/>
      <c r="F24" s="4724"/>
      <c r="H24" s="4719"/>
      <c r="I24" s="4720"/>
      <c r="K24" s="4659"/>
      <c r="P24" s="4656"/>
    </row>
    <row r="25" spans="1:32" ht="33.75" customHeight="1" thickBot="1">
      <c r="A25" s="6849" t="s">
        <v>5751</v>
      </c>
      <c r="B25" s="6850"/>
      <c r="C25" s="4725"/>
      <c r="D25" s="4719"/>
      <c r="F25" s="4724"/>
      <c r="H25" s="4719"/>
      <c r="I25" s="4720"/>
      <c r="K25" s="4659"/>
      <c r="P25" s="4656"/>
    </row>
    <row r="26" spans="1:32" ht="33.75" customHeight="1">
      <c r="A26" s="4729"/>
      <c r="B26" s="4729"/>
      <c r="C26" s="4729"/>
      <c r="D26" s="4729"/>
      <c r="E26" s="4729"/>
      <c r="F26" s="4729"/>
      <c r="G26" s="4726"/>
      <c r="H26" s="4729"/>
      <c r="I26" s="4720"/>
      <c r="P26" s="4656"/>
    </row>
    <row r="27" spans="1:32" ht="33.75" customHeight="1">
      <c r="A27" s="4728" t="s">
        <v>5752</v>
      </c>
      <c r="B27" s="4728"/>
      <c r="C27" s="4729"/>
      <c r="D27" s="4729"/>
      <c r="E27" s="4729"/>
      <c r="F27" s="4729"/>
      <c r="G27" s="4726"/>
      <c r="H27" s="4729"/>
      <c r="I27" s="4720"/>
      <c r="P27" s="4656"/>
    </row>
    <row r="28" spans="1:32" ht="36" customHeight="1">
      <c r="A28" s="4728" t="s">
        <v>6037</v>
      </c>
      <c r="B28" s="4728"/>
    </row>
    <row r="29" spans="1:32" ht="36" customHeight="1">
      <c r="A29" s="4730" t="s">
        <v>5754</v>
      </c>
      <c r="B29" s="4730"/>
    </row>
    <row r="30" spans="1:32" ht="36" customHeight="1">
      <c r="A30" s="4728"/>
      <c r="B30" s="4728"/>
    </row>
    <row r="31" spans="1:32" ht="36" customHeight="1"/>
    <row r="32" spans="1:32" ht="36" customHeight="1"/>
    <row r="33" ht="36" customHeight="1"/>
    <row r="34" ht="36" customHeight="1"/>
    <row r="35" ht="36" customHeight="1"/>
    <row r="36" ht="36" customHeight="1"/>
    <row r="37" ht="36" customHeight="1"/>
    <row r="38" ht="10.4" customHeight="1"/>
  </sheetData>
  <mergeCells count="32">
    <mergeCell ref="A2:B2"/>
    <mergeCell ref="C2:G2"/>
    <mergeCell ref="A5:A6"/>
    <mergeCell ref="B5:B6"/>
    <mergeCell ref="C5:C6"/>
    <mergeCell ref="D5:D6"/>
    <mergeCell ref="E5:E6"/>
    <mergeCell ref="F5:F6"/>
    <mergeCell ref="G5:G6"/>
    <mergeCell ref="AE5:AE6"/>
    <mergeCell ref="AF5:AF6"/>
    <mergeCell ref="R21:T21"/>
    <mergeCell ref="V21:X21"/>
    <mergeCell ref="AA21:AB21"/>
    <mergeCell ref="AC21:AD21"/>
    <mergeCell ref="R5:T6"/>
    <mergeCell ref="U5:U6"/>
    <mergeCell ref="V5:X6"/>
    <mergeCell ref="Y5:Y6"/>
    <mergeCell ref="A23:B23"/>
    <mergeCell ref="A24:B24"/>
    <mergeCell ref="A25:B25"/>
    <mergeCell ref="Z5:Z6"/>
    <mergeCell ref="AA5:AD6"/>
    <mergeCell ref="O5:O6"/>
    <mergeCell ref="P5:Q5"/>
    <mergeCell ref="H5:H6"/>
    <mergeCell ref="I5:I6"/>
    <mergeCell ref="J5:J6"/>
    <mergeCell ref="K5:K6"/>
    <mergeCell ref="L5:L6"/>
    <mergeCell ref="M5:M6"/>
  </mergeCells>
  <phoneticPr fontId="2"/>
  <conditionalFormatting sqref="B7:O20">
    <cfRule type="containsBlanks" dxfId="603" priority="1">
      <formula>LEN(TRIM(B7))=0</formula>
    </cfRule>
  </conditionalFormatting>
  <conditionalFormatting sqref="C2:D2 Q7:R20 T7:V20 X7:Z20 AB7:AB20 AD7:AE20">
    <cfRule type="containsBlanks" dxfId="602" priority="2">
      <formula>LEN(TRIM(C2))=0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525A-707D-4B19-B162-365C47B291CC}">
  <sheetPr codeName="Sheet341">
    <tabColor rgb="FFFFFF66"/>
    <pageSetUpPr fitToPage="1"/>
  </sheetPr>
  <dimension ref="A1:AH65"/>
  <sheetViews>
    <sheetView view="pageBreakPreview" topLeftCell="A42" zoomScale="55" zoomScaleNormal="100" zoomScaleSheetLayoutView="55" workbookViewId="0">
      <selection activeCell="H13" sqref="H13"/>
    </sheetView>
  </sheetViews>
  <sheetFormatPr defaultColWidth="9.81640625" defaultRowHeight="18"/>
  <cols>
    <col min="1" max="1" width="7.453125" style="4656" customWidth="1"/>
    <col min="2" max="3" width="25.7265625" style="4657" customWidth="1"/>
    <col min="4" max="4" width="9.453125" style="4656" customWidth="1"/>
    <col min="5" max="5" width="30.1796875" style="4658" bestFit="1" customWidth="1"/>
    <col min="6" max="7" width="11" style="4656" customWidth="1"/>
    <col min="8" max="8" width="25.1796875" style="4659" customWidth="1"/>
    <col min="9" max="9" width="5.26953125" style="4659" customWidth="1"/>
    <col min="10" max="10" width="16.453125" style="4659" bestFit="1" customWidth="1"/>
    <col min="11" max="11" width="20.26953125" style="4656" customWidth="1"/>
    <col min="12" max="12" width="11" style="4657" customWidth="1"/>
    <col min="13" max="13" width="9.453125" style="4657" customWidth="1"/>
    <col min="14" max="14" width="11" style="4657" customWidth="1"/>
    <col min="15" max="15" width="12.453125" style="4657" customWidth="1"/>
    <col min="16" max="16" width="11" style="4657" customWidth="1"/>
    <col min="17" max="17" width="9.453125" style="4657" customWidth="1"/>
    <col min="18" max="19" width="11" style="4657" customWidth="1"/>
    <col min="20" max="20" width="24" style="4657" customWidth="1"/>
    <col min="21" max="21" width="9.81640625" style="4657"/>
    <col min="22" max="22" width="7.7265625" style="4657" customWidth="1"/>
    <col min="23" max="23" width="9.81640625" style="4657"/>
    <col min="24" max="24" width="7.7265625" style="4657" customWidth="1"/>
    <col min="25" max="25" width="40.1796875" style="4657" customWidth="1"/>
    <col min="26" max="26" width="22.1796875" style="4657" customWidth="1"/>
    <col min="27" max="16384" width="9.81640625" style="4657"/>
  </cols>
  <sheetData>
    <row r="1" spans="1:34" ht="21" customHeight="1" thickBot="1">
      <c r="M1" s="4656"/>
      <c r="O1" s="4660"/>
      <c r="Q1" s="4656"/>
    </row>
    <row r="2" spans="1:34" ht="44.25" customHeight="1" thickBot="1">
      <c r="A2" s="6874" t="s">
        <v>5707</v>
      </c>
      <c r="B2" s="6875"/>
      <c r="C2" s="6876" t="s">
        <v>6044</v>
      </c>
      <c r="D2" s="6876"/>
      <c r="E2" s="6876"/>
      <c r="F2" s="6876"/>
      <c r="G2" s="4661" t="s">
        <v>5709</v>
      </c>
      <c r="H2" s="4733"/>
      <c r="I2" s="4733"/>
      <c r="M2" s="4656"/>
      <c r="O2" s="4660"/>
      <c r="Q2" s="4656"/>
      <c r="Y2" s="4664" t="s">
        <v>5710</v>
      </c>
    </row>
    <row r="3" spans="1:34" ht="10.4" customHeight="1">
      <c r="M3" s="4656"/>
      <c r="O3" s="4660"/>
      <c r="Q3" s="4656"/>
    </row>
    <row r="4" spans="1:34" ht="33.75" customHeight="1" thickBot="1">
      <c r="A4" s="4737" t="s">
        <v>5711</v>
      </c>
      <c r="M4" s="4656"/>
      <c r="Q4" s="4656"/>
      <c r="T4" s="4656"/>
      <c r="U4" s="4656"/>
      <c r="V4" s="4656"/>
      <c r="W4" s="4656"/>
      <c r="X4" s="4656"/>
      <c r="Z4" s="4656" t="s">
        <v>5712</v>
      </c>
    </row>
    <row r="5" spans="1:34" s="5197" customFormat="1" ht="33.75" customHeight="1">
      <c r="A5" s="6944" t="s">
        <v>5713</v>
      </c>
      <c r="B5" s="6946" t="s">
        <v>6045</v>
      </c>
      <c r="C5" s="6946" t="s">
        <v>6046</v>
      </c>
      <c r="D5" s="6956" t="s">
        <v>2551</v>
      </c>
      <c r="E5" s="6958" t="s">
        <v>5721</v>
      </c>
      <c r="F5" s="6939" t="s">
        <v>5722</v>
      </c>
      <c r="G5" s="6939" t="s">
        <v>5723</v>
      </c>
      <c r="H5" s="6946" t="s">
        <v>6047</v>
      </c>
      <c r="I5" s="4967" t="s">
        <v>5726</v>
      </c>
      <c r="J5" s="6939" t="s">
        <v>3766</v>
      </c>
      <c r="K5" s="6954"/>
      <c r="L5" s="6956" t="s">
        <v>5728</v>
      </c>
      <c r="M5" s="6960"/>
      <c r="N5" s="6961"/>
      <c r="O5" s="6946" t="s">
        <v>6048</v>
      </c>
      <c r="P5" s="6960" t="s">
        <v>5730</v>
      </c>
      <c r="Q5" s="6960"/>
      <c r="R5" s="6960"/>
      <c r="S5" s="6956" t="s">
        <v>5731</v>
      </c>
      <c r="T5" s="6939" t="s">
        <v>5732</v>
      </c>
      <c r="U5" s="6939" t="s">
        <v>5733</v>
      </c>
      <c r="V5" s="6954"/>
      <c r="W5" s="6954"/>
      <c r="X5" s="6954"/>
      <c r="Y5" s="6941" t="s">
        <v>2792</v>
      </c>
      <c r="Z5" s="6943" t="s">
        <v>5734</v>
      </c>
      <c r="AA5" s="4853"/>
      <c r="AB5" s="4853"/>
      <c r="AC5" s="4853"/>
      <c r="AD5" s="4853"/>
      <c r="AE5" s="4735"/>
      <c r="AF5" s="4735"/>
      <c r="AG5" s="4735"/>
      <c r="AH5" s="4735"/>
    </row>
    <row r="6" spans="1:34" s="5197" customFormat="1" ht="23.5">
      <c r="A6" s="6945"/>
      <c r="B6" s="6947"/>
      <c r="C6" s="6948"/>
      <c r="D6" s="6957"/>
      <c r="E6" s="6947"/>
      <c r="F6" s="6959"/>
      <c r="G6" s="6959"/>
      <c r="H6" s="6948"/>
      <c r="I6" s="4968"/>
      <c r="J6" s="5199" t="s">
        <v>5735</v>
      </c>
      <c r="K6" s="5200" t="s">
        <v>5736</v>
      </c>
      <c r="L6" s="6962"/>
      <c r="M6" s="6963"/>
      <c r="N6" s="6964"/>
      <c r="O6" s="6948"/>
      <c r="P6" s="6963"/>
      <c r="Q6" s="6963"/>
      <c r="R6" s="6963"/>
      <c r="S6" s="6940"/>
      <c r="T6" s="6940"/>
      <c r="U6" s="6940"/>
      <c r="V6" s="6955"/>
      <c r="W6" s="6955"/>
      <c r="X6" s="6955"/>
      <c r="Y6" s="6942"/>
      <c r="Z6" s="6943"/>
      <c r="AA6" s="6905"/>
      <c r="AB6" s="6905"/>
      <c r="AC6" s="6905"/>
      <c r="AD6" s="6905"/>
      <c r="AE6" s="6891"/>
      <c r="AF6" s="6891"/>
      <c r="AG6" s="6891"/>
      <c r="AH6" s="6891"/>
    </row>
    <row r="7" spans="1:34" ht="33.75" customHeight="1">
      <c r="A7" s="5201" t="s">
        <v>5737</v>
      </c>
      <c r="B7" s="4744">
        <v>46280</v>
      </c>
      <c r="C7" s="4744">
        <v>46300</v>
      </c>
      <c r="D7" s="5202">
        <f>IF(_xlfn.DAYS(C7,B7)=0,"1",_xlfn.DAYS(C7,B7))</f>
        <v>20</v>
      </c>
      <c r="E7" s="5203" t="s">
        <v>5738</v>
      </c>
      <c r="F7" s="5204">
        <v>100</v>
      </c>
      <c r="G7" s="5205">
        <v>90</v>
      </c>
      <c r="H7" s="5206">
        <v>10000</v>
      </c>
      <c r="I7" s="4969"/>
      <c r="J7" s="5207">
        <f>G7*D7</f>
        <v>1800</v>
      </c>
      <c r="K7" s="5208">
        <f>G7*H7</f>
        <v>900000</v>
      </c>
      <c r="L7" s="5204">
        <v>21</v>
      </c>
      <c r="M7" s="5209" t="s">
        <v>5739</v>
      </c>
      <c r="N7" s="5210">
        <v>21</v>
      </c>
      <c r="O7" s="5211">
        <v>1</v>
      </c>
      <c r="P7" s="5204">
        <v>154</v>
      </c>
      <c r="Q7" s="5209" t="s">
        <v>4521</v>
      </c>
      <c r="R7" s="5206">
        <v>203</v>
      </c>
      <c r="S7" s="5204">
        <v>1</v>
      </c>
      <c r="T7" s="5204" t="s">
        <v>5740</v>
      </c>
      <c r="U7" s="5212" t="s">
        <v>5035</v>
      </c>
      <c r="V7" s="5204" t="s">
        <v>2830</v>
      </c>
      <c r="W7" s="5212" t="s">
        <v>5050</v>
      </c>
      <c r="X7" s="5204" t="s">
        <v>5741</v>
      </c>
      <c r="Y7" s="5213"/>
      <c r="Z7" s="5214"/>
      <c r="AA7" s="6905"/>
      <c r="AB7" s="6905"/>
      <c r="AC7" s="6905"/>
      <c r="AD7" s="6905"/>
      <c r="AE7" s="6891"/>
      <c r="AF7" s="6891"/>
      <c r="AG7" s="6891"/>
      <c r="AH7" s="6891"/>
    </row>
    <row r="8" spans="1:34" ht="33.75" customHeight="1">
      <c r="A8" s="4686">
        <v>1</v>
      </c>
      <c r="B8" s="4816">
        <v>46279</v>
      </c>
      <c r="C8" s="4816">
        <v>46299</v>
      </c>
      <c r="D8" s="4818">
        <f>IF(_xlfn.DAYS(C8,B8)=0,"1",_xlfn.DAYS(C8,B8))</f>
        <v>20</v>
      </c>
      <c r="E8" s="4819" t="s">
        <v>5112</v>
      </c>
      <c r="F8" s="4820">
        <v>35</v>
      </c>
      <c r="G8" s="4821">
        <v>35</v>
      </c>
      <c r="H8" s="4820">
        <v>16500</v>
      </c>
      <c r="I8" s="4971">
        <f>H8*G8</f>
        <v>577500</v>
      </c>
      <c r="J8" s="5215">
        <f>G8*D8</f>
        <v>700</v>
      </c>
      <c r="K8" s="5216">
        <f t="shared" ref="K8:K22" si="0">G8*H8*D8</f>
        <v>11550000</v>
      </c>
      <c r="L8" s="4820">
        <v>25.1</v>
      </c>
      <c r="M8" s="5209" t="s">
        <v>5742</v>
      </c>
      <c r="N8" s="5217">
        <v>25.1</v>
      </c>
      <c r="O8" s="5218">
        <v>1</v>
      </c>
      <c r="P8" s="4820">
        <v>140</v>
      </c>
      <c r="Q8" s="5209" t="s">
        <v>4521</v>
      </c>
      <c r="R8" s="5219">
        <v>200</v>
      </c>
      <c r="S8" s="4820">
        <v>1</v>
      </c>
      <c r="T8" s="4820" t="s">
        <v>5740</v>
      </c>
      <c r="U8" s="5212" t="s">
        <v>5035</v>
      </c>
      <c r="V8" s="4820" t="s">
        <v>2826</v>
      </c>
      <c r="W8" s="5212" t="s">
        <v>5050</v>
      </c>
      <c r="X8" s="4820" t="s">
        <v>2814</v>
      </c>
      <c r="Y8" s="5220"/>
      <c r="Z8" s="5214">
        <f>O8*G8</f>
        <v>35</v>
      </c>
      <c r="AA8" s="6905"/>
      <c r="AB8" s="6905"/>
      <c r="AC8" s="6905"/>
      <c r="AD8" s="6905"/>
      <c r="AE8" s="6891"/>
      <c r="AF8" s="6891"/>
      <c r="AG8" s="6891"/>
      <c r="AH8" s="6891"/>
    </row>
    <row r="9" spans="1:34" ht="33.75" customHeight="1">
      <c r="A9" s="4686">
        <v>2</v>
      </c>
      <c r="B9" s="4816">
        <v>46279</v>
      </c>
      <c r="C9" s="4816">
        <v>46299</v>
      </c>
      <c r="D9" s="4818">
        <f>IF(_xlfn.DAYS(C9,B9)=0,"1",_xlfn.DAYS(C9,B9))</f>
        <v>20</v>
      </c>
      <c r="E9" s="4819" t="s">
        <v>5090</v>
      </c>
      <c r="F9" s="4820">
        <v>23</v>
      </c>
      <c r="G9" s="4821">
        <v>23</v>
      </c>
      <c r="H9" s="4820">
        <v>20000</v>
      </c>
      <c r="I9" s="4971">
        <f t="shared" ref="I9:I22" si="1">H9*G9</f>
        <v>460000</v>
      </c>
      <c r="J9" s="5215">
        <f>G9*D9</f>
        <v>460</v>
      </c>
      <c r="K9" s="5216">
        <f t="shared" si="0"/>
        <v>9200000</v>
      </c>
      <c r="L9" s="4820">
        <v>33</v>
      </c>
      <c r="M9" s="5209" t="s">
        <v>5742</v>
      </c>
      <c r="N9" s="5217">
        <v>33</v>
      </c>
      <c r="O9" s="5218">
        <v>2</v>
      </c>
      <c r="P9" s="4820">
        <v>140</v>
      </c>
      <c r="Q9" s="5209" t="s">
        <v>4521</v>
      </c>
      <c r="R9" s="5219">
        <v>200</v>
      </c>
      <c r="S9" s="4820">
        <v>2</v>
      </c>
      <c r="T9" s="4820" t="s">
        <v>5740</v>
      </c>
      <c r="U9" s="5212" t="s">
        <v>5035</v>
      </c>
      <c r="V9" s="4820" t="s">
        <v>2826</v>
      </c>
      <c r="W9" s="5212" t="s">
        <v>5050</v>
      </c>
      <c r="X9" s="4820" t="s">
        <v>2814</v>
      </c>
      <c r="Y9" s="5220"/>
      <c r="Z9" s="5214">
        <f>O9*G9</f>
        <v>46</v>
      </c>
      <c r="AA9" s="6905"/>
      <c r="AB9" s="6905"/>
      <c r="AC9" s="6905"/>
      <c r="AD9" s="6905"/>
      <c r="AE9" s="6891"/>
      <c r="AF9" s="6891"/>
      <c r="AG9" s="6891"/>
      <c r="AH9" s="6891"/>
    </row>
    <row r="10" spans="1:34" ht="33.75" customHeight="1">
      <c r="A10" s="4686">
        <v>3</v>
      </c>
      <c r="B10" s="4816">
        <v>46279</v>
      </c>
      <c r="C10" s="4816">
        <v>46299</v>
      </c>
      <c r="D10" s="4818">
        <f>IF(_xlfn.DAYS(C10,B10)=0,"1",_xlfn.DAYS(C10,B10))</f>
        <v>20</v>
      </c>
      <c r="E10" s="4819" t="s">
        <v>6049</v>
      </c>
      <c r="F10" s="4820">
        <v>1</v>
      </c>
      <c r="G10" s="4821">
        <v>1</v>
      </c>
      <c r="H10" s="4820">
        <v>22000</v>
      </c>
      <c r="I10" s="4971">
        <f t="shared" si="1"/>
        <v>22000</v>
      </c>
      <c r="J10" s="5215">
        <f>G10*D10</f>
        <v>20</v>
      </c>
      <c r="K10" s="5216">
        <f t="shared" si="0"/>
        <v>440000</v>
      </c>
      <c r="L10" s="4820">
        <v>33</v>
      </c>
      <c r="M10" s="5209" t="s">
        <v>5742</v>
      </c>
      <c r="N10" s="5217">
        <v>33</v>
      </c>
      <c r="O10" s="5218">
        <v>2</v>
      </c>
      <c r="P10" s="4820">
        <v>120</v>
      </c>
      <c r="Q10" s="5209" t="s">
        <v>4521</v>
      </c>
      <c r="R10" s="5219">
        <v>200</v>
      </c>
      <c r="S10" s="4820">
        <v>2</v>
      </c>
      <c r="T10" s="4820" t="s">
        <v>5984</v>
      </c>
      <c r="U10" s="5212" t="s">
        <v>5035</v>
      </c>
      <c r="V10" s="4820" t="s">
        <v>2826</v>
      </c>
      <c r="W10" s="5212" t="s">
        <v>5050</v>
      </c>
      <c r="X10" s="4820" t="s">
        <v>2814</v>
      </c>
      <c r="Y10" s="5220"/>
      <c r="Z10" s="5214">
        <f>O10*G10</f>
        <v>2</v>
      </c>
      <c r="AA10" s="6905"/>
      <c r="AB10" s="6905"/>
      <c r="AC10" s="6905"/>
      <c r="AD10" s="6905"/>
      <c r="AE10" s="6891"/>
      <c r="AF10" s="6891"/>
      <c r="AG10" s="6891"/>
      <c r="AH10" s="6891"/>
    </row>
    <row r="11" spans="1:34" ht="33.75" customHeight="1">
      <c r="A11" s="4686">
        <v>4</v>
      </c>
      <c r="B11" s="4816">
        <v>46279</v>
      </c>
      <c r="C11" s="4816">
        <v>46299</v>
      </c>
      <c r="D11" s="4818">
        <f t="shared" ref="D11:D22" si="2">IF(_xlfn.DAYS(C11,B11)=0,"1",_xlfn.DAYS(C11,B11))</f>
        <v>20</v>
      </c>
      <c r="E11" s="4819" t="s">
        <v>5089</v>
      </c>
      <c r="F11" s="4820">
        <v>5</v>
      </c>
      <c r="G11" s="4821">
        <v>5</v>
      </c>
      <c r="H11" s="4820">
        <v>20000</v>
      </c>
      <c r="I11" s="4971">
        <f t="shared" si="1"/>
        <v>100000</v>
      </c>
      <c r="J11" s="5215">
        <f t="shared" ref="J11:J22" si="3">G11*D11</f>
        <v>100</v>
      </c>
      <c r="K11" s="5216">
        <f t="shared" si="0"/>
        <v>2000000</v>
      </c>
      <c r="L11" s="4820">
        <v>28</v>
      </c>
      <c r="M11" s="5209" t="s">
        <v>5742</v>
      </c>
      <c r="N11" s="5217">
        <v>28</v>
      </c>
      <c r="O11" s="5218">
        <v>1</v>
      </c>
      <c r="P11" s="4820">
        <v>160</v>
      </c>
      <c r="Q11" s="5209" t="s">
        <v>2688</v>
      </c>
      <c r="R11" s="5219">
        <v>200</v>
      </c>
      <c r="S11" s="4820">
        <v>1</v>
      </c>
      <c r="T11" s="4820" t="s">
        <v>5740</v>
      </c>
      <c r="U11" s="5212" t="s">
        <v>5035</v>
      </c>
      <c r="V11" s="4820" t="s">
        <v>2826</v>
      </c>
      <c r="W11" s="5212" t="s">
        <v>5050</v>
      </c>
      <c r="X11" s="4820" t="s">
        <v>2814</v>
      </c>
      <c r="Y11" s="5220"/>
      <c r="Z11" s="5214">
        <f t="shared" ref="Z11:Z22" si="4">O11*G11</f>
        <v>5</v>
      </c>
      <c r="AA11" s="6905"/>
      <c r="AB11" s="6905"/>
      <c r="AC11" s="6905"/>
      <c r="AD11" s="6905"/>
      <c r="AE11" s="6891"/>
      <c r="AF11" s="6891"/>
      <c r="AG11" s="6891"/>
      <c r="AH11" s="6891"/>
    </row>
    <row r="12" spans="1:34" ht="33.75" customHeight="1">
      <c r="A12" s="4686">
        <v>5</v>
      </c>
      <c r="B12" s="4816">
        <v>46279</v>
      </c>
      <c r="C12" s="4816">
        <v>46299</v>
      </c>
      <c r="D12" s="4818">
        <f t="shared" si="2"/>
        <v>20</v>
      </c>
      <c r="E12" s="4819" t="s">
        <v>6050</v>
      </c>
      <c r="F12" s="4820">
        <v>2</v>
      </c>
      <c r="G12" s="4821">
        <v>2</v>
      </c>
      <c r="H12" s="4820">
        <v>27000</v>
      </c>
      <c r="I12" s="4971">
        <f t="shared" si="1"/>
        <v>54000</v>
      </c>
      <c r="J12" s="5215">
        <f t="shared" si="3"/>
        <v>40</v>
      </c>
      <c r="K12" s="5216">
        <f t="shared" si="0"/>
        <v>1080000</v>
      </c>
      <c r="L12" s="4820">
        <v>22</v>
      </c>
      <c r="M12" s="5209" t="s">
        <v>5742</v>
      </c>
      <c r="N12" s="5217">
        <v>36</v>
      </c>
      <c r="O12" s="5218">
        <v>2</v>
      </c>
      <c r="P12" s="4820" t="s">
        <v>2815</v>
      </c>
      <c r="Q12" s="5209" t="s">
        <v>4521</v>
      </c>
      <c r="R12" s="5219" t="s">
        <v>2815</v>
      </c>
      <c r="S12" s="4820" t="s">
        <v>2815</v>
      </c>
      <c r="T12" s="4820" t="s">
        <v>5984</v>
      </c>
      <c r="U12" s="5212" t="s">
        <v>5035</v>
      </c>
      <c r="V12" s="4820" t="s">
        <v>2826</v>
      </c>
      <c r="W12" s="5212" t="s">
        <v>5050</v>
      </c>
      <c r="X12" s="4820" t="s">
        <v>2814</v>
      </c>
      <c r="Y12" s="5220"/>
      <c r="Z12" s="5214">
        <f t="shared" si="4"/>
        <v>4</v>
      </c>
      <c r="AA12" s="6905"/>
      <c r="AB12" s="6905"/>
      <c r="AC12" s="6905"/>
      <c r="AD12" s="6905"/>
      <c r="AE12" s="6891"/>
      <c r="AF12" s="6891"/>
      <c r="AG12" s="6891"/>
      <c r="AH12" s="6891"/>
    </row>
    <row r="13" spans="1:34" ht="33.75" customHeight="1">
      <c r="A13" s="4686">
        <v>6</v>
      </c>
      <c r="B13" s="4816">
        <v>46279</v>
      </c>
      <c r="C13" s="4816">
        <v>46299</v>
      </c>
      <c r="D13" s="4818">
        <f t="shared" si="2"/>
        <v>20</v>
      </c>
      <c r="E13" s="4819" t="s">
        <v>5092</v>
      </c>
      <c r="F13" s="4820">
        <v>1</v>
      </c>
      <c r="G13" s="4821">
        <v>1</v>
      </c>
      <c r="H13" s="4820">
        <v>31000</v>
      </c>
      <c r="I13" s="4971">
        <f t="shared" si="1"/>
        <v>31000</v>
      </c>
      <c r="J13" s="5215">
        <f t="shared" si="3"/>
        <v>20</v>
      </c>
      <c r="K13" s="5216">
        <f t="shared" si="0"/>
        <v>620000</v>
      </c>
      <c r="L13" s="4820">
        <v>48</v>
      </c>
      <c r="M13" s="5209" t="s">
        <v>5742</v>
      </c>
      <c r="N13" s="5217">
        <v>48</v>
      </c>
      <c r="O13" s="5218">
        <v>2</v>
      </c>
      <c r="P13" s="4820">
        <v>120</v>
      </c>
      <c r="Q13" s="5209" t="s">
        <v>4521</v>
      </c>
      <c r="R13" s="5219">
        <v>200</v>
      </c>
      <c r="S13" s="4820">
        <v>2</v>
      </c>
      <c r="T13" s="4820" t="s">
        <v>5740</v>
      </c>
      <c r="U13" s="5212" t="s">
        <v>5035</v>
      </c>
      <c r="V13" s="4820" t="s">
        <v>2826</v>
      </c>
      <c r="W13" s="5212" t="s">
        <v>5050</v>
      </c>
      <c r="X13" s="4820" t="s">
        <v>2814</v>
      </c>
      <c r="Y13" s="5220"/>
      <c r="Z13" s="5214">
        <f t="shared" si="4"/>
        <v>2</v>
      </c>
      <c r="AA13" s="6905"/>
      <c r="AB13" s="6905"/>
      <c r="AC13" s="6905"/>
      <c r="AD13" s="6905"/>
      <c r="AE13" s="6891"/>
      <c r="AF13" s="6891"/>
      <c r="AG13" s="6891"/>
      <c r="AH13" s="6891"/>
    </row>
    <row r="14" spans="1:34" ht="33.75" customHeight="1">
      <c r="A14" s="4686">
        <v>7</v>
      </c>
      <c r="B14" s="4816">
        <v>46279</v>
      </c>
      <c r="C14" s="4816">
        <v>46299</v>
      </c>
      <c r="D14" s="4818">
        <f t="shared" si="2"/>
        <v>20</v>
      </c>
      <c r="E14" s="4819" t="s">
        <v>5073</v>
      </c>
      <c r="F14" s="4820">
        <v>1</v>
      </c>
      <c r="G14" s="4821">
        <v>1</v>
      </c>
      <c r="H14" s="4820">
        <v>31000</v>
      </c>
      <c r="I14" s="4971">
        <f t="shared" si="1"/>
        <v>31000</v>
      </c>
      <c r="J14" s="5215">
        <f t="shared" si="3"/>
        <v>20</v>
      </c>
      <c r="K14" s="5216">
        <f t="shared" si="0"/>
        <v>620000</v>
      </c>
      <c r="L14" s="4820">
        <v>48</v>
      </c>
      <c r="M14" s="5209" t="s">
        <v>5742</v>
      </c>
      <c r="N14" s="5217">
        <v>48</v>
      </c>
      <c r="O14" s="5218">
        <v>1</v>
      </c>
      <c r="P14" s="4820">
        <v>180</v>
      </c>
      <c r="Q14" s="5209" t="s">
        <v>4521</v>
      </c>
      <c r="R14" s="5219">
        <v>200</v>
      </c>
      <c r="S14" s="4820">
        <v>1</v>
      </c>
      <c r="T14" s="4820" t="s">
        <v>5740</v>
      </c>
      <c r="U14" s="5212" t="s">
        <v>5035</v>
      </c>
      <c r="V14" s="4820" t="s">
        <v>2826</v>
      </c>
      <c r="W14" s="5212" t="s">
        <v>5050</v>
      </c>
      <c r="X14" s="4820" t="s">
        <v>2814</v>
      </c>
      <c r="Y14" s="5220"/>
      <c r="Z14" s="5214">
        <f t="shared" si="4"/>
        <v>1</v>
      </c>
      <c r="AA14" s="6905"/>
      <c r="AB14" s="6905"/>
      <c r="AC14" s="6905"/>
      <c r="AD14" s="6905"/>
      <c r="AE14" s="6891"/>
      <c r="AF14" s="6891"/>
      <c r="AG14" s="6891"/>
      <c r="AH14" s="6891"/>
    </row>
    <row r="15" spans="1:34" ht="33.75" customHeight="1">
      <c r="A15" s="4686">
        <v>8</v>
      </c>
      <c r="B15" s="4816">
        <v>46279</v>
      </c>
      <c r="C15" s="4816">
        <v>46299</v>
      </c>
      <c r="D15" s="4818">
        <f t="shared" si="2"/>
        <v>20</v>
      </c>
      <c r="E15" s="4819" t="s">
        <v>5121</v>
      </c>
      <c r="F15" s="4820">
        <v>1</v>
      </c>
      <c r="G15" s="4821">
        <v>1</v>
      </c>
      <c r="H15" s="4820">
        <v>47000</v>
      </c>
      <c r="I15" s="4971">
        <f t="shared" si="1"/>
        <v>47000</v>
      </c>
      <c r="J15" s="5215">
        <f t="shared" si="3"/>
        <v>20</v>
      </c>
      <c r="K15" s="5216">
        <f t="shared" si="0"/>
        <v>940000</v>
      </c>
      <c r="L15" s="4820">
        <v>77</v>
      </c>
      <c r="M15" s="5209" t="s">
        <v>5742</v>
      </c>
      <c r="N15" s="5217">
        <v>77</v>
      </c>
      <c r="O15" s="5218">
        <v>2</v>
      </c>
      <c r="P15" s="4820">
        <v>140</v>
      </c>
      <c r="Q15" s="5209" t="s">
        <v>4521</v>
      </c>
      <c r="R15" s="5219">
        <v>200</v>
      </c>
      <c r="S15" s="4820">
        <v>2</v>
      </c>
      <c r="T15" s="4820" t="s">
        <v>5984</v>
      </c>
      <c r="U15" s="5212" t="s">
        <v>5035</v>
      </c>
      <c r="V15" s="4820" t="s">
        <v>2826</v>
      </c>
      <c r="W15" s="5212" t="s">
        <v>5050</v>
      </c>
      <c r="X15" s="4820" t="s">
        <v>2814</v>
      </c>
      <c r="Y15" s="5220"/>
      <c r="Z15" s="5214">
        <f t="shared" si="4"/>
        <v>2</v>
      </c>
      <c r="AA15" s="6905"/>
      <c r="AB15" s="6905"/>
      <c r="AC15" s="6905"/>
      <c r="AD15" s="6905"/>
      <c r="AE15" s="6891"/>
      <c r="AF15" s="6891"/>
      <c r="AG15" s="6891"/>
      <c r="AH15" s="6891"/>
    </row>
    <row r="16" spans="1:34" ht="33.75" customHeight="1">
      <c r="A16" s="4686">
        <v>9</v>
      </c>
      <c r="B16" s="4816">
        <v>46279</v>
      </c>
      <c r="C16" s="4816">
        <v>46299</v>
      </c>
      <c r="D16" s="4818">
        <f t="shared" si="2"/>
        <v>20</v>
      </c>
      <c r="E16" s="4819" t="s">
        <v>6051</v>
      </c>
      <c r="F16" s="4820">
        <v>8</v>
      </c>
      <c r="G16" s="4821">
        <v>8</v>
      </c>
      <c r="H16" s="4820">
        <v>21000</v>
      </c>
      <c r="I16" s="4971">
        <f t="shared" si="1"/>
        <v>168000</v>
      </c>
      <c r="J16" s="5215">
        <f t="shared" si="3"/>
        <v>160</v>
      </c>
      <c r="K16" s="5216">
        <f t="shared" si="0"/>
        <v>3360000</v>
      </c>
      <c r="L16" s="4820">
        <v>30</v>
      </c>
      <c r="M16" s="5209" t="s">
        <v>5742</v>
      </c>
      <c r="N16" s="5217">
        <v>30</v>
      </c>
      <c r="O16" s="5218">
        <v>1</v>
      </c>
      <c r="P16" s="4820">
        <v>180</v>
      </c>
      <c r="Q16" s="5209" t="s">
        <v>4521</v>
      </c>
      <c r="R16" s="5219">
        <v>200</v>
      </c>
      <c r="S16" s="4820">
        <v>1</v>
      </c>
      <c r="T16" s="4820" t="s">
        <v>5984</v>
      </c>
      <c r="U16" s="5212" t="s">
        <v>5035</v>
      </c>
      <c r="V16" s="4820" t="s">
        <v>2826</v>
      </c>
      <c r="W16" s="5212" t="s">
        <v>5050</v>
      </c>
      <c r="X16" s="4820" t="s">
        <v>2814</v>
      </c>
      <c r="Y16" s="5220"/>
      <c r="Z16" s="5214">
        <f t="shared" si="4"/>
        <v>8</v>
      </c>
      <c r="AA16" s="6905"/>
      <c r="AB16" s="6905"/>
      <c r="AC16" s="6905"/>
      <c r="AD16" s="6905"/>
      <c r="AE16" s="6891"/>
      <c r="AF16" s="6891"/>
      <c r="AG16" s="6891"/>
      <c r="AH16" s="6891"/>
    </row>
    <row r="17" spans="1:34" ht="33.75" customHeight="1">
      <c r="A17" s="4686">
        <v>10</v>
      </c>
      <c r="B17" s="4816">
        <v>46279</v>
      </c>
      <c r="C17" s="4816">
        <v>46299</v>
      </c>
      <c r="D17" s="4818">
        <f t="shared" si="2"/>
        <v>20</v>
      </c>
      <c r="E17" s="4819" t="s">
        <v>6052</v>
      </c>
      <c r="F17" s="4820">
        <v>18</v>
      </c>
      <c r="G17" s="4821">
        <v>18</v>
      </c>
      <c r="H17" s="4820">
        <v>22000</v>
      </c>
      <c r="I17" s="4971">
        <f t="shared" si="1"/>
        <v>396000</v>
      </c>
      <c r="J17" s="5215">
        <f t="shared" si="3"/>
        <v>360</v>
      </c>
      <c r="K17" s="5216">
        <f t="shared" si="0"/>
        <v>7920000</v>
      </c>
      <c r="L17" s="4820">
        <v>33</v>
      </c>
      <c r="M17" s="5209" t="s">
        <v>5742</v>
      </c>
      <c r="N17" s="5217">
        <v>33</v>
      </c>
      <c r="O17" s="5218">
        <v>2</v>
      </c>
      <c r="P17" s="4820">
        <v>120</v>
      </c>
      <c r="Q17" s="5209" t="s">
        <v>4521</v>
      </c>
      <c r="R17" s="5219">
        <v>100</v>
      </c>
      <c r="S17" s="4820">
        <v>2</v>
      </c>
      <c r="T17" s="4820" t="s">
        <v>5984</v>
      </c>
      <c r="U17" s="5212" t="s">
        <v>5035</v>
      </c>
      <c r="V17" s="4820" t="s">
        <v>2826</v>
      </c>
      <c r="W17" s="5212" t="s">
        <v>5050</v>
      </c>
      <c r="X17" s="4820" t="s">
        <v>2814</v>
      </c>
      <c r="Y17" s="5220"/>
      <c r="Z17" s="5214">
        <f t="shared" si="4"/>
        <v>36</v>
      </c>
      <c r="AA17" s="6928"/>
      <c r="AB17" s="6928"/>
      <c r="AC17" s="6928"/>
      <c r="AD17" s="6928"/>
      <c r="AE17" s="6891"/>
      <c r="AF17" s="6891"/>
      <c r="AG17" s="6891"/>
      <c r="AH17" s="6891"/>
    </row>
    <row r="18" spans="1:34" ht="33.75" customHeight="1">
      <c r="A18" s="4686">
        <v>11</v>
      </c>
      <c r="B18" s="4816">
        <v>46279</v>
      </c>
      <c r="C18" s="4816">
        <v>46299</v>
      </c>
      <c r="D18" s="4818">
        <f t="shared" si="2"/>
        <v>20</v>
      </c>
      <c r="E18" s="4819" t="s">
        <v>6053</v>
      </c>
      <c r="F18" s="4820">
        <v>4</v>
      </c>
      <c r="G18" s="4821">
        <v>4</v>
      </c>
      <c r="H18" s="4820">
        <v>34000</v>
      </c>
      <c r="I18" s="4971">
        <f t="shared" si="1"/>
        <v>136000</v>
      </c>
      <c r="J18" s="5215">
        <f t="shared" si="3"/>
        <v>80</v>
      </c>
      <c r="K18" s="5216">
        <f t="shared" si="0"/>
        <v>2720000</v>
      </c>
      <c r="L18" s="4820">
        <v>37</v>
      </c>
      <c r="M18" s="5209" t="s">
        <v>5742</v>
      </c>
      <c r="N18" s="5217">
        <v>37</v>
      </c>
      <c r="O18" s="5218">
        <v>4</v>
      </c>
      <c r="P18" s="4820">
        <v>100</v>
      </c>
      <c r="Q18" s="5209" t="s">
        <v>4521</v>
      </c>
      <c r="R18" s="5219">
        <v>200</v>
      </c>
      <c r="S18" s="4820">
        <v>4</v>
      </c>
      <c r="T18" s="4820" t="s">
        <v>5984</v>
      </c>
      <c r="U18" s="5212" t="s">
        <v>5035</v>
      </c>
      <c r="V18" s="4820" t="s">
        <v>2826</v>
      </c>
      <c r="W18" s="5212" t="s">
        <v>5050</v>
      </c>
      <c r="X18" s="4820" t="s">
        <v>2814</v>
      </c>
      <c r="Y18" s="5220"/>
      <c r="Z18" s="5214">
        <f t="shared" si="4"/>
        <v>16</v>
      </c>
      <c r="AA18" s="6928"/>
      <c r="AB18" s="6928"/>
      <c r="AC18" s="6928"/>
      <c r="AD18" s="6928"/>
      <c r="AE18" s="6891"/>
      <c r="AF18" s="6891"/>
      <c r="AG18" s="6891"/>
      <c r="AH18" s="6891"/>
    </row>
    <row r="19" spans="1:34" ht="33.75" customHeight="1">
      <c r="A19" s="4686">
        <v>12</v>
      </c>
      <c r="B19" s="4816">
        <v>46279</v>
      </c>
      <c r="C19" s="4816">
        <v>46299</v>
      </c>
      <c r="D19" s="4818">
        <f t="shared" si="2"/>
        <v>20</v>
      </c>
      <c r="E19" s="4819" t="s">
        <v>6054</v>
      </c>
      <c r="F19" s="4820">
        <v>8</v>
      </c>
      <c r="G19" s="4821">
        <v>8</v>
      </c>
      <c r="H19" s="4820">
        <v>22000</v>
      </c>
      <c r="I19" s="4971">
        <f t="shared" si="1"/>
        <v>176000</v>
      </c>
      <c r="J19" s="5215">
        <f t="shared" si="3"/>
        <v>160</v>
      </c>
      <c r="K19" s="5216">
        <f t="shared" si="0"/>
        <v>3520000</v>
      </c>
      <c r="L19" s="4820">
        <v>33</v>
      </c>
      <c r="M19" s="5209" t="s">
        <v>5742</v>
      </c>
      <c r="N19" s="5217">
        <v>33</v>
      </c>
      <c r="O19" s="5218">
        <v>2</v>
      </c>
      <c r="P19" s="4820">
        <v>120</v>
      </c>
      <c r="Q19" s="5209" t="s">
        <v>2688</v>
      </c>
      <c r="R19" s="5219">
        <v>200</v>
      </c>
      <c r="S19" s="4820">
        <v>2</v>
      </c>
      <c r="T19" s="4820" t="s">
        <v>5984</v>
      </c>
      <c r="U19" s="5212" t="s">
        <v>5035</v>
      </c>
      <c r="V19" s="4820" t="s">
        <v>2826</v>
      </c>
      <c r="W19" s="5212" t="s">
        <v>5050</v>
      </c>
      <c r="X19" s="4820" t="s">
        <v>2814</v>
      </c>
      <c r="Y19" s="5220"/>
      <c r="Z19" s="5214">
        <f t="shared" si="4"/>
        <v>16</v>
      </c>
      <c r="AA19" s="6928"/>
      <c r="AB19" s="6928"/>
      <c r="AC19" s="6928"/>
      <c r="AD19" s="6928"/>
      <c r="AE19" s="6891"/>
      <c r="AF19" s="6891"/>
      <c r="AG19" s="6891"/>
      <c r="AH19" s="6891"/>
    </row>
    <row r="20" spans="1:34" ht="33.75" customHeight="1">
      <c r="A20" s="4686">
        <v>13</v>
      </c>
      <c r="B20" s="4816">
        <v>46279</v>
      </c>
      <c r="C20" s="4816">
        <v>46299</v>
      </c>
      <c r="D20" s="4818">
        <f t="shared" si="2"/>
        <v>20</v>
      </c>
      <c r="E20" s="4819" t="s">
        <v>6055</v>
      </c>
      <c r="F20" s="4820">
        <v>1</v>
      </c>
      <c r="G20" s="4821">
        <v>1</v>
      </c>
      <c r="H20" s="4820">
        <v>34000</v>
      </c>
      <c r="I20" s="4971">
        <f t="shared" si="1"/>
        <v>34000</v>
      </c>
      <c r="J20" s="5215">
        <f t="shared" si="3"/>
        <v>20</v>
      </c>
      <c r="K20" s="5216">
        <f t="shared" si="0"/>
        <v>680000</v>
      </c>
      <c r="L20" s="4820">
        <v>44</v>
      </c>
      <c r="M20" s="5209" t="s">
        <v>5742</v>
      </c>
      <c r="N20" s="5217">
        <v>44</v>
      </c>
      <c r="O20" s="5218">
        <v>4</v>
      </c>
      <c r="P20" s="4820">
        <v>100</v>
      </c>
      <c r="Q20" s="5209" t="s">
        <v>2688</v>
      </c>
      <c r="R20" s="5219">
        <v>200</v>
      </c>
      <c r="S20" s="4820">
        <v>4</v>
      </c>
      <c r="T20" s="4820" t="s">
        <v>5984</v>
      </c>
      <c r="U20" s="5212" t="s">
        <v>5035</v>
      </c>
      <c r="V20" s="4820" t="s">
        <v>2826</v>
      </c>
      <c r="W20" s="5212" t="s">
        <v>5050</v>
      </c>
      <c r="X20" s="4820" t="s">
        <v>2814</v>
      </c>
      <c r="Y20" s="5220"/>
      <c r="Z20" s="5214">
        <f t="shared" si="4"/>
        <v>4</v>
      </c>
      <c r="AA20" s="6928"/>
      <c r="AB20" s="6928"/>
      <c r="AC20" s="6928"/>
      <c r="AD20" s="6928"/>
      <c r="AE20" s="6891"/>
      <c r="AF20" s="6891"/>
      <c r="AG20" s="6891"/>
      <c r="AH20" s="6891"/>
    </row>
    <row r="21" spans="1:34" ht="33.75" customHeight="1">
      <c r="A21" s="4686">
        <v>14</v>
      </c>
      <c r="B21" s="4816">
        <v>46279</v>
      </c>
      <c r="C21" s="4816">
        <v>46299</v>
      </c>
      <c r="D21" s="4818">
        <f t="shared" si="2"/>
        <v>20</v>
      </c>
      <c r="E21" s="4819" t="s">
        <v>6056</v>
      </c>
      <c r="F21" s="4820">
        <v>1</v>
      </c>
      <c r="G21" s="4821">
        <v>1</v>
      </c>
      <c r="H21" s="4820">
        <v>42000</v>
      </c>
      <c r="I21" s="4971">
        <f t="shared" si="1"/>
        <v>42000</v>
      </c>
      <c r="J21" s="5215">
        <f t="shared" si="3"/>
        <v>20</v>
      </c>
      <c r="K21" s="5216">
        <f t="shared" si="0"/>
        <v>840000</v>
      </c>
      <c r="L21" s="4820">
        <v>63</v>
      </c>
      <c r="M21" s="5209" t="s">
        <v>5742</v>
      </c>
      <c r="N21" s="5217">
        <v>63</v>
      </c>
      <c r="O21" s="5218">
        <v>4</v>
      </c>
      <c r="P21" s="4820">
        <v>100</v>
      </c>
      <c r="Q21" s="5209" t="s">
        <v>2688</v>
      </c>
      <c r="R21" s="5219">
        <v>200</v>
      </c>
      <c r="S21" s="4820">
        <v>4</v>
      </c>
      <c r="T21" s="4820" t="s">
        <v>5984</v>
      </c>
      <c r="U21" s="5212" t="s">
        <v>5035</v>
      </c>
      <c r="V21" s="4820" t="s">
        <v>2826</v>
      </c>
      <c r="W21" s="5212" t="s">
        <v>5050</v>
      </c>
      <c r="X21" s="4820" t="s">
        <v>2814</v>
      </c>
      <c r="Y21" s="5220"/>
      <c r="Z21" s="5214">
        <f t="shared" si="4"/>
        <v>4</v>
      </c>
      <c r="AA21" s="6905"/>
      <c r="AB21" s="6905"/>
      <c r="AC21" s="6905"/>
      <c r="AD21" s="6905"/>
      <c r="AE21" s="6891"/>
      <c r="AF21" s="6891"/>
      <c r="AG21" s="6891"/>
      <c r="AH21" s="6891"/>
    </row>
    <row r="22" spans="1:34" ht="33.75" customHeight="1" thickBot="1">
      <c r="A22" s="4686">
        <v>15</v>
      </c>
      <c r="B22" s="4816">
        <v>46279</v>
      </c>
      <c r="C22" s="4816">
        <v>46299</v>
      </c>
      <c r="D22" s="4818">
        <f t="shared" si="2"/>
        <v>20</v>
      </c>
      <c r="E22" s="4819" t="s">
        <v>6057</v>
      </c>
      <c r="F22" s="4820">
        <v>2</v>
      </c>
      <c r="G22" s="4821">
        <v>2</v>
      </c>
      <c r="H22" s="4820">
        <v>21000</v>
      </c>
      <c r="I22" s="4971">
        <f t="shared" si="1"/>
        <v>42000</v>
      </c>
      <c r="J22" s="5215">
        <f t="shared" si="3"/>
        <v>40</v>
      </c>
      <c r="K22" s="5216">
        <f t="shared" si="0"/>
        <v>840000</v>
      </c>
      <c r="L22" s="4820">
        <v>24</v>
      </c>
      <c r="M22" s="5209" t="s">
        <v>5739</v>
      </c>
      <c r="N22" s="5217">
        <v>24</v>
      </c>
      <c r="O22" s="5218">
        <v>1</v>
      </c>
      <c r="P22" s="4820">
        <v>180</v>
      </c>
      <c r="Q22" s="5209" t="s">
        <v>2688</v>
      </c>
      <c r="R22" s="5219">
        <v>200</v>
      </c>
      <c r="S22" s="4820">
        <v>1</v>
      </c>
      <c r="T22" s="4820" t="s">
        <v>5984</v>
      </c>
      <c r="U22" s="5212" t="s">
        <v>5035</v>
      </c>
      <c r="V22" s="4820" t="s">
        <v>2826</v>
      </c>
      <c r="W22" s="5212" t="s">
        <v>5050</v>
      </c>
      <c r="X22" s="4820" t="s">
        <v>2814</v>
      </c>
      <c r="Y22" s="5220"/>
      <c r="Z22" s="5214">
        <f t="shared" si="4"/>
        <v>2</v>
      </c>
      <c r="AA22" s="6905"/>
      <c r="AB22" s="6905"/>
      <c r="AC22" s="6905"/>
      <c r="AD22" s="6905"/>
      <c r="AE22" s="6891"/>
      <c r="AF22" s="6891"/>
      <c r="AG22" s="6891"/>
      <c r="AH22" s="6891"/>
    </row>
    <row r="23" spans="1:34" ht="33.75" customHeight="1" thickTop="1" thickBot="1">
      <c r="A23" s="4701"/>
      <c r="B23" s="4702"/>
      <c r="C23" s="4702"/>
      <c r="D23" s="5221"/>
      <c r="E23" s="5222" t="s">
        <v>2432</v>
      </c>
      <c r="F23" s="5223">
        <f>SUM(F8:F22)</f>
        <v>111</v>
      </c>
      <c r="G23" s="5224">
        <f>SUM(G8:G22)</f>
        <v>111</v>
      </c>
      <c r="H23" s="5221"/>
      <c r="I23" s="5221"/>
      <c r="J23" s="5223">
        <f>SUM(J8:J22)</f>
        <v>2220</v>
      </c>
      <c r="K23" s="5223">
        <f>SUM(K8:K22)</f>
        <v>46330000</v>
      </c>
      <c r="L23" s="6949"/>
      <c r="M23" s="6950"/>
      <c r="N23" s="6951"/>
      <c r="O23" s="5225"/>
      <c r="P23" s="6949"/>
      <c r="Q23" s="6950"/>
      <c r="R23" s="6950"/>
      <c r="S23" s="5225"/>
      <c r="T23" s="5225"/>
      <c r="U23" s="6952"/>
      <c r="V23" s="6953"/>
      <c r="W23" s="6952"/>
      <c r="X23" s="6953"/>
      <c r="Y23" s="5226"/>
      <c r="Z23" s="4685">
        <f>SUM(Z8:Z22)</f>
        <v>183</v>
      </c>
      <c r="AA23" s="6905"/>
      <c r="AB23" s="6905"/>
      <c r="AC23" s="6905"/>
      <c r="AD23" s="6905"/>
      <c r="AE23" s="6891"/>
      <c r="AF23" s="6891"/>
      <c r="AG23" s="6891"/>
      <c r="AH23" s="6891"/>
    </row>
    <row r="24" spans="1:34" ht="33.75" customHeight="1" thickBot="1">
      <c r="B24" s="4812"/>
      <c r="C24" s="4812"/>
      <c r="D24" s="4812"/>
      <c r="E24" s="4813"/>
      <c r="F24" s="4814"/>
      <c r="G24" s="4713" t="s">
        <v>5748</v>
      </c>
      <c r="H24" s="4714">
        <f>SUM(I8:I22)</f>
        <v>2316500</v>
      </c>
      <c r="I24" s="4715"/>
      <c r="J24" s="4715"/>
      <c r="M24" s="4656"/>
      <c r="Q24" s="4656"/>
    </row>
    <row r="25" spans="1:34" ht="33.75" customHeight="1">
      <c r="A25" s="6929" t="s">
        <v>5749</v>
      </c>
      <c r="B25" s="6930"/>
      <c r="C25" s="5227">
        <f>J23</f>
        <v>2220</v>
      </c>
      <c r="D25" s="5228"/>
      <c r="E25" s="5229"/>
      <c r="G25" s="4721" t="s">
        <v>5750</v>
      </c>
      <c r="H25" s="4722">
        <f>H24*1.1</f>
        <v>2548150</v>
      </c>
      <c r="J25" s="4656"/>
    </row>
    <row r="26" spans="1:34" ht="33.75" customHeight="1">
      <c r="A26" s="6931" t="s">
        <v>5805</v>
      </c>
      <c r="B26" s="6932"/>
      <c r="C26" s="5230">
        <f>K23</f>
        <v>46330000</v>
      </c>
      <c r="D26" s="5228"/>
      <c r="E26" s="5229"/>
      <c r="G26" s="4824" t="s">
        <v>5965</v>
      </c>
      <c r="J26" s="4656"/>
    </row>
    <row r="27" spans="1:34" ht="33.75" customHeight="1" thickBot="1">
      <c r="A27" s="6933" t="s">
        <v>5806</v>
      </c>
      <c r="B27" s="6934"/>
      <c r="C27" s="5231">
        <f>C26*1.1</f>
        <v>50963000.000000007</v>
      </c>
      <c r="E27" s="5229"/>
      <c r="G27" s="4824"/>
      <c r="J27" s="4656"/>
    </row>
    <row r="28" spans="1:34" ht="32.15" customHeight="1">
      <c r="A28" s="4726"/>
      <c r="B28" s="4726"/>
      <c r="C28" s="4726"/>
      <c r="D28" s="4726"/>
      <c r="E28" s="5232"/>
    </row>
    <row r="29" spans="1:34" ht="33.75" customHeight="1" thickBot="1">
      <c r="A29" s="4737" t="s">
        <v>5807</v>
      </c>
      <c r="M29" s="4656"/>
      <c r="Q29" s="4656"/>
      <c r="T29" s="4656"/>
      <c r="U29" s="4656"/>
      <c r="V29" s="4656"/>
      <c r="W29" s="4656"/>
      <c r="X29" s="4656"/>
      <c r="Z29" s="4656" t="s">
        <v>5712</v>
      </c>
    </row>
    <row r="30" spans="1:34" s="5197" customFormat="1" ht="33.75" customHeight="1">
      <c r="A30" s="6944" t="s">
        <v>5713</v>
      </c>
      <c r="B30" s="6946" t="s">
        <v>6045</v>
      </c>
      <c r="C30" s="6946" t="s">
        <v>6046</v>
      </c>
      <c r="D30" s="6956" t="s">
        <v>2551</v>
      </c>
      <c r="E30" s="6958" t="s">
        <v>5721</v>
      </c>
      <c r="F30" s="6939" t="s">
        <v>5722</v>
      </c>
      <c r="G30" s="6939" t="s">
        <v>5723</v>
      </c>
      <c r="H30" s="6946" t="s">
        <v>6047</v>
      </c>
      <c r="I30" s="4967" t="s">
        <v>5726</v>
      </c>
      <c r="J30" s="6939" t="s">
        <v>3766</v>
      </c>
      <c r="K30" s="6954"/>
      <c r="L30" s="6956" t="s">
        <v>5728</v>
      </c>
      <c r="M30" s="6960"/>
      <c r="N30" s="6961"/>
      <c r="O30" s="6946" t="s">
        <v>6048</v>
      </c>
      <c r="P30" s="6960" t="s">
        <v>5730</v>
      </c>
      <c r="Q30" s="6960"/>
      <c r="R30" s="6960"/>
      <c r="S30" s="6956" t="s">
        <v>5731</v>
      </c>
      <c r="T30" s="6939" t="s">
        <v>5732</v>
      </c>
      <c r="U30" s="6939" t="s">
        <v>5733</v>
      </c>
      <c r="V30" s="6954"/>
      <c r="W30" s="6954"/>
      <c r="X30" s="6954"/>
      <c r="Y30" s="6941" t="s">
        <v>2792</v>
      </c>
      <c r="Z30" s="6943" t="s">
        <v>5734</v>
      </c>
      <c r="AA30" s="4853"/>
      <c r="AB30" s="4853"/>
      <c r="AC30" s="4853"/>
      <c r="AD30" s="4853"/>
      <c r="AE30" s="4735"/>
      <c r="AF30" s="4735"/>
      <c r="AG30" s="4735"/>
      <c r="AH30" s="4735"/>
    </row>
    <row r="31" spans="1:34" s="5197" customFormat="1" ht="23.5">
      <c r="A31" s="6945"/>
      <c r="B31" s="6947"/>
      <c r="C31" s="6948"/>
      <c r="D31" s="6957"/>
      <c r="E31" s="6947"/>
      <c r="F31" s="6959"/>
      <c r="G31" s="6959"/>
      <c r="H31" s="6948"/>
      <c r="I31" s="4968"/>
      <c r="J31" s="5199" t="s">
        <v>5735</v>
      </c>
      <c r="K31" s="5200" t="s">
        <v>5736</v>
      </c>
      <c r="L31" s="6962"/>
      <c r="M31" s="6963"/>
      <c r="N31" s="6964"/>
      <c r="O31" s="6948"/>
      <c r="P31" s="6963"/>
      <c r="Q31" s="6963"/>
      <c r="R31" s="6963"/>
      <c r="S31" s="6940"/>
      <c r="T31" s="6940"/>
      <c r="U31" s="6940"/>
      <c r="V31" s="6955"/>
      <c r="W31" s="6955"/>
      <c r="X31" s="6955"/>
      <c r="Y31" s="6942"/>
      <c r="Z31" s="6943"/>
      <c r="AA31" s="6905"/>
      <c r="AB31" s="6905"/>
      <c r="AC31" s="6905"/>
      <c r="AD31" s="6905"/>
      <c r="AE31" s="6891"/>
      <c r="AF31" s="6891"/>
      <c r="AG31" s="6891"/>
      <c r="AH31" s="6891"/>
    </row>
    <row r="32" spans="1:34" ht="33.75" customHeight="1">
      <c r="A32" s="5233" t="s">
        <v>5737</v>
      </c>
      <c r="B32" s="5234">
        <v>46280</v>
      </c>
      <c r="C32" s="5234">
        <v>46300</v>
      </c>
      <c r="D32" s="5202">
        <f>IF(_xlfn.DAYS(C32,B32)=0,"1",_xlfn.DAYS(C32,B32))</f>
        <v>20</v>
      </c>
      <c r="E32" s="5235" t="s">
        <v>5738</v>
      </c>
      <c r="F32" s="5236">
        <v>100</v>
      </c>
      <c r="G32" s="5237">
        <v>90</v>
      </c>
      <c r="H32" s="5238">
        <v>10000</v>
      </c>
      <c r="I32" s="4969"/>
      <c r="J32" s="5239">
        <f>G32*D32</f>
        <v>1800</v>
      </c>
      <c r="K32" s="5240">
        <f>G32*H32</f>
        <v>900000</v>
      </c>
      <c r="L32" s="5238">
        <v>21</v>
      </c>
      <c r="M32" s="5241" t="s">
        <v>5739</v>
      </c>
      <c r="N32" s="5238">
        <v>21</v>
      </c>
      <c r="O32" s="5242">
        <v>1</v>
      </c>
      <c r="P32" s="5236">
        <v>154</v>
      </c>
      <c r="Q32" s="5241" t="s">
        <v>4521</v>
      </c>
      <c r="R32" s="5238">
        <v>203</v>
      </c>
      <c r="S32" s="5236">
        <v>1</v>
      </c>
      <c r="T32" s="5236" t="s">
        <v>5740</v>
      </c>
      <c r="U32" s="5243" t="s">
        <v>5035</v>
      </c>
      <c r="V32" s="5236" t="s">
        <v>2830</v>
      </c>
      <c r="W32" s="5243" t="s">
        <v>5050</v>
      </c>
      <c r="X32" s="5236" t="s">
        <v>5741</v>
      </c>
      <c r="Y32" s="5244"/>
      <c r="Z32" s="5214"/>
      <c r="AA32" s="6905"/>
      <c r="AB32" s="6905"/>
      <c r="AC32" s="6905"/>
      <c r="AD32" s="6905"/>
      <c r="AE32" s="6891"/>
      <c r="AF32" s="6891"/>
      <c r="AG32" s="6891"/>
      <c r="AH32" s="6891"/>
    </row>
    <row r="33" spans="1:34" ht="33.75" customHeight="1">
      <c r="A33" s="4828">
        <v>1</v>
      </c>
      <c r="B33" s="4926">
        <v>46304</v>
      </c>
      <c r="C33" s="4926">
        <v>46322</v>
      </c>
      <c r="D33" s="5245">
        <f>IF(_xlfn.DAYS(C33,B33)=0,"1",_xlfn.DAYS(C33,B33))</f>
        <v>18</v>
      </c>
      <c r="E33" s="4972" t="s">
        <v>5112</v>
      </c>
      <c r="F33" s="5097">
        <v>35</v>
      </c>
      <c r="G33" s="5246">
        <v>35</v>
      </c>
      <c r="H33" s="4820">
        <v>16500</v>
      </c>
      <c r="I33" s="4971">
        <f>H33*G33</f>
        <v>577500</v>
      </c>
      <c r="J33" s="5247">
        <f>G33*D33</f>
        <v>630</v>
      </c>
      <c r="K33" s="5248">
        <f>G33*H33*D33</f>
        <v>10395000</v>
      </c>
      <c r="L33" s="5249">
        <v>25.1</v>
      </c>
      <c r="M33" s="5241" t="s">
        <v>5742</v>
      </c>
      <c r="N33" s="5249">
        <v>25.1</v>
      </c>
      <c r="O33" s="5250">
        <v>1</v>
      </c>
      <c r="P33" s="5097">
        <v>140</v>
      </c>
      <c r="Q33" s="5241" t="s">
        <v>2688</v>
      </c>
      <c r="R33" s="5249">
        <v>200</v>
      </c>
      <c r="S33" s="5097">
        <v>1</v>
      </c>
      <c r="T33" s="5097" t="s">
        <v>5743</v>
      </c>
      <c r="U33" s="5243" t="s">
        <v>5035</v>
      </c>
      <c r="V33" s="5097" t="s">
        <v>2826</v>
      </c>
      <c r="W33" s="5243" t="s">
        <v>5050</v>
      </c>
      <c r="X33" s="5097" t="s">
        <v>2814</v>
      </c>
      <c r="Y33" s="5251"/>
      <c r="Z33" s="5214">
        <f>O33*G33</f>
        <v>35</v>
      </c>
      <c r="AA33" s="6905"/>
      <c r="AB33" s="6905"/>
      <c r="AC33" s="6905"/>
      <c r="AD33" s="6905"/>
      <c r="AE33" s="6891"/>
      <c r="AF33" s="6891"/>
      <c r="AG33" s="6891"/>
      <c r="AH33" s="6891"/>
    </row>
    <row r="34" spans="1:34" ht="33.75" customHeight="1">
      <c r="A34" s="4828">
        <v>2</v>
      </c>
      <c r="B34" s="4926">
        <v>46304</v>
      </c>
      <c r="C34" s="4926">
        <v>46322</v>
      </c>
      <c r="D34" s="5245">
        <f>IF(_xlfn.DAYS(C34,B34)=0,"1",_xlfn.DAYS(C34,B34))</f>
        <v>18</v>
      </c>
      <c r="E34" s="4972" t="s">
        <v>5090</v>
      </c>
      <c r="F34" s="5097">
        <v>23</v>
      </c>
      <c r="G34" s="5246">
        <v>23</v>
      </c>
      <c r="H34" s="4820">
        <v>20000</v>
      </c>
      <c r="I34" s="4971">
        <f t="shared" ref="I34:I47" si="5">H34*G34</f>
        <v>460000</v>
      </c>
      <c r="J34" s="5247">
        <f>G34*D34</f>
        <v>414</v>
      </c>
      <c r="K34" s="5248">
        <f>G34*H34*D34</f>
        <v>8280000</v>
      </c>
      <c r="L34" s="5249">
        <v>33</v>
      </c>
      <c r="M34" s="5241" t="s">
        <v>5742</v>
      </c>
      <c r="N34" s="5249">
        <v>33</v>
      </c>
      <c r="O34" s="5250">
        <v>2</v>
      </c>
      <c r="P34" s="5097">
        <v>140</v>
      </c>
      <c r="Q34" s="5241" t="s">
        <v>2688</v>
      </c>
      <c r="R34" s="5249">
        <v>200</v>
      </c>
      <c r="S34" s="5097">
        <v>2</v>
      </c>
      <c r="T34" s="5097" t="s">
        <v>5743</v>
      </c>
      <c r="U34" s="5243" t="s">
        <v>5035</v>
      </c>
      <c r="V34" s="5097" t="s">
        <v>2826</v>
      </c>
      <c r="W34" s="5243" t="s">
        <v>5050</v>
      </c>
      <c r="X34" s="5097" t="s">
        <v>2814</v>
      </c>
      <c r="Y34" s="5251"/>
      <c r="Z34" s="5214">
        <f>O34*G34</f>
        <v>46</v>
      </c>
      <c r="AA34" s="6905"/>
      <c r="AB34" s="6905"/>
      <c r="AC34" s="6905"/>
      <c r="AD34" s="6905"/>
      <c r="AE34" s="6891"/>
      <c r="AF34" s="6891"/>
      <c r="AG34" s="6891"/>
      <c r="AH34" s="6891"/>
    </row>
    <row r="35" spans="1:34" ht="33.75" customHeight="1">
      <c r="A35" s="4828">
        <v>3</v>
      </c>
      <c r="B35" s="4926">
        <v>46304</v>
      </c>
      <c r="C35" s="4926">
        <v>46322</v>
      </c>
      <c r="D35" s="5245">
        <f>IF(_xlfn.DAYS(C35,B35)=0,"1",_xlfn.DAYS(C35,B35))</f>
        <v>18</v>
      </c>
      <c r="E35" s="4972" t="s">
        <v>6058</v>
      </c>
      <c r="F35" s="5097">
        <v>1</v>
      </c>
      <c r="G35" s="5246">
        <v>1</v>
      </c>
      <c r="H35" s="4820">
        <v>22000</v>
      </c>
      <c r="I35" s="4971">
        <f t="shared" si="5"/>
        <v>22000</v>
      </c>
      <c r="J35" s="5247">
        <f>G35*D35</f>
        <v>18</v>
      </c>
      <c r="K35" s="5248">
        <f>G35*H35*D35</f>
        <v>396000</v>
      </c>
      <c r="L35" s="5249">
        <v>33</v>
      </c>
      <c r="M35" s="5241" t="s">
        <v>5742</v>
      </c>
      <c r="N35" s="5249">
        <v>33</v>
      </c>
      <c r="O35" s="5250">
        <v>2</v>
      </c>
      <c r="P35" s="5097">
        <v>120</v>
      </c>
      <c r="Q35" s="5241" t="s">
        <v>2688</v>
      </c>
      <c r="R35" s="5249">
        <v>200</v>
      </c>
      <c r="S35" s="5097">
        <v>2</v>
      </c>
      <c r="T35" s="5097" t="s">
        <v>5984</v>
      </c>
      <c r="U35" s="5243" t="s">
        <v>5035</v>
      </c>
      <c r="V35" s="5097" t="s">
        <v>2826</v>
      </c>
      <c r="W35" s="5243" t="s">
        <v>5050</v>
      </c>
      <c r="X35" s="5097" t="s">
        <v>2814</v>
      </c>
      <c r="Y35" s="5251"/>
      <c r="Z35" s="5214">
        <f>O35*G35</f>
        <v>2</v>
      </c>
      <c r="AA35" s="6905"/>
      <c r="AB35" s="6905"/>
      <c r="AC35" s="6905"/>
      <c r="AD35" s="6905"/>
      <c r="AE35" s="6891"/>
      <c r="AF35" s="6891"/>
      <c r="AG35" s="6891"/>
      <c r="AH35" s="6891"/>
    </row>
    <row r="36" spans="1:34" ht="33.75" customHeight="1">
      <c r="A36" s="4828">
        <v>4</v>
      </c>
      <c r="B36" s="4926">
        <v>46304</v>
      </c>
      <c r="C36" s="4926">
        <v>46322</v>
      </c>
      <c r="D36" s="5245">
        <f t="shared" ref="D36:D47" si="6">IF(_xlfn.DAYS(C36,B36)=0,"1",_xlfn.DAYS(C36,B36))</f>
        <v>18</v>
      </c>
      <c r="E36" s="4972" t="s">
        <v>5089</v>
      </c>
      <c r="F36" s="5097">
        <v>5</v>
      </c>
      <c r="G36" s="5246">
        <v>5</v>
      </c>
      <c r="H36" s="4820">
        <v>20000</v>
      </c>
      <c r="I36" s="4971">
        <f t="shared" si="5"/>
        <v>100000</v>
      </c>
      <c r="J36" s="5247">
        <f t="shared" ref="J36:J47" si="7">G36*D36</f>
        <v>90</v>
      </c>
      <c r="K36" s="5248">
        <f t="shared" ref="K36:K47" si="8">G36*H36*D36</f>
        <v>1800000</v>
      </c>
      <c r="L36" s="5249">
        <v>28</v>
      </c>
      <c r="M36" s="5241" t="s">
        <v>5742</v>
      </c>
      <c r="N36" s="5249">
        <v>28</v>
      </c>
      <c r="O36" s="5250">
        <v>1</v>
      </c>
      <c r="P36" s="5097">
        <v>160</v>
      </c>
      <c r="Q36" s="5241" t="s">
        <v>2688</v>
      </c>
      <c r="R36" s="5249">
        <v>200</v>
      </c>
      <c r="S36" s="5097">
        <v>1</v>
      </c>
      <c r="T36" s="5097" t="s">
        <v>5743</v>
      </c>
      <c r="U36" s="5243" t="s">
        <v>5035</v>
      </c>
      <c r="V36" s="5097" t="s">
        <v>2826</v>
      </c>
      <c r="W36" s="5243" t="s">
        <v>5050</v>
      </c>
      <c r="X36" s="5097" t="s">
        <v>2814</v>
      </c>
      <c r="Y36" s="5251"/>
      <c r="Z36" s="5214">
        <f t="shared" ref="Z36:Z47" si="9">O36*G36</f>
        <v>5</v>
      </c>
      <c r="AA36" s="6905"/>
      <c r="AB36" s="6905"/>
      <c r="AC36" s="6905"/>
      <c r="AD36" s="6905"/>
      <c r="AE36" s="6891"/>
      <c r="AF36" s="6891"/>
      <c r="AG36" s="6891"/>
      <c r="AH36" s="6891"/>
    </row>
    <row r="37" spans="1:34" ht="33.75" customHeight="1">
      <c r="A37" s="4828">
        <v>5</v>
      </c>
      <c r="B37" s="4926">
        <v>46304</v>
      </c>
      <c r="C37" s="4926">
        <v>46322</v>
      </c>
      <c r="D37" s="5245">
        <f t="shared" si="6"/>
        <v>18</v>
      </c>
      <c r="E37" s="4972" t="s">
        <v>6059</v>
      </c>
      <c r="F37" s="5097">
        <v>2</v>
      </c>
      <c r="G37" s="5246">
        <v>2</v>
      </c>
      <c r="H37" s="4820">
        <v>27000</v>
      </c>
      <c r="I37" s="4971">
        <f t="shared" si="5"/>
        <v>54000</v>
      </c>
      <c r="J37" s="5247">
        <f t="shared" si="7"/>
        <v>36</v>
      </c>
      <c r="K37" s="5248">
        <f>G37*H37*D37</f>
        <v>972000</v>
      </c>
      <c r="L37" s="5249">
        <v>22</v>
      </c>
      <c r="M37" s="5241" t="s">
        <v>5742</v>
      </c>
      <c r="N37" s="5249">
        <v>36</v>
      </c>
      <c r="O37" s="5250">
        <v>2</v>
      </c>
      <c r="P37" s="5097" t="s">
        <v>2647</v>
      </c>
      <c r="Q37" s="5241" t="s">
        <v>2688</v>
      </c>
      <c r="R37" s="5249" t="s">
        <v>2647</v>
      </c>
      <c r="S37" s="5097" t="s">
        <v>2647</v>
      </c>
      <c r="T37" s="5097" t="s">
        <v>5953</v>
      </c>
      <c r="U37" s="5243" t="s">
        <v>5035</v>
      </c>
      <c r="V37" s="5097" t="s">
        <v>2826</v>
      </c>
      <c r="W37" s="5243" t="s">
        <v>5050</v>
      </c>
      <c r="X37" s="5097" t="s">
        <v>2814</v>
      </c>
      <c r="Y37" s="5251"/>
      <c r="Z37" s="5214">
        <f t="shared" si="9"/>
        <v>4</v>
      </c>
      <c r="AA37" s="6905"/>
      <c r="AB37" s="6905"/>
      <c r="AC37" s="6905"/>
      <c r="AD37" s="6905"/>
      <c r="AE37" s="6891"/>
      <c r="AF37" s="6891"/>
      <c r="AG37" s="6891"/>
      <c r="AH37" s="6891"/>
    </row>
    <row r="38" spans="1:34" ht="33.75" customHeight="1">
      <c r="A38" s="4828">
        <v>6</v>
      </c>
      <c r="B38" s="4926">
        <v>46304</v>
      </c>
      <c r="C38" s="4926">
        <v>46322</v>
      </c>
      <c r="D38" s="5245">
        <f t="shared" si="6"/>
        <v>18</v>
      </c>
      <c r="E38" s="4972" t="s">
        <v>5092</v>
      </c>
      <c r="F38" s="5097">
        <v>1</v>
      </c>
      <c r="G38" s="5246">
        <v>1</v>
      </c>
      <c r="H38" s="4820">
        <v>31000</v>
      </c>
      <c r="I38" s="4971">
        <f t="shared" si="5"/>
        <v>31000</v>
      </c>
      <c r="J38" s="5247">
        <f t="shared" si="7"/>
        <v>18</v>
      </c>
      <c r="K38" s="5248">
        <f t="shared" si="8"/>
        <v>558000</v>
      </c>
      <c r="L38" s="5249">
        <v>48</v>
      </c>
      <c r="M38" s="5241" t="s">
        <v>5742</v>
      </c>
      <c r="N38" s="5249">
        <v>48</v>
      </c>
      <c r="O38" s="5250">
        <v>2</v>
      </c>
      <c r="P38" s="5097">
        <v>120</v>
      </c>
      <c r="Q38" s="5241" t="s">
        <v>2688</v>
      </c>
      <c r="R38" s="5249">
        <v>200</v>
      </c>
      <c r="S38" s="5097">
        <v>2</v>
      </c>
      <c r="T38" s="5097" t="s">
        <v>5743</v>
      </c>
      <c r="U38" s="5243" t="s">
        <v>5035</v>
      </c>
      <c r="V38" s="5097" t="s">
        <v>2826</v>
      </c>
      <c r="W38" s="5243" t="s">
        <v>5050</v>
      </c>
      <c r="X38" s="5097" t="s">
        <v>2814</v>
      </c>
      <c r="Y38" s="5251"/>
      <c r="Z38" s="5214">
        <f t="shared" si="9"/>
        <v>2</v>
      </c>
      <c r="AA38" s="6905"/>
      <c r="AB38" s="6905"/>
      <c r="AC38" s="6905"/>
      <c r="AD38" s="6905"/>
      <c r="AE38" s="6891"/>
      <c r="AF38" s="6891"/>
      <c r="AG38" s="6891"/>
      <c r="AH38" s="6891"/>
    </row>
    <row r="39" spans="1:34" ht="33.75" customHeight="1">
      <c r="A39" s="4828">
        <v>7</v>
      </c>
      <c r="B39" s="4926">
        <v>46304</v>
      </c>
      <c r="C39" s="4926">
        <v>46322</v>
      </c>
      <c r="D39" s="5245">
        <f t="shared" si="6"/>
        <v>18</v>
      </c>
      <c r="E39" s="4972" t="s">
        <v>5073</v>
      </c>
      <c r="F39" s="5097">
        <v>1</v>
      </c>
      <c r="G39" s="5246">
        <v>1</v>
      </c>
      <c r="H39" s="4820">
        <v>31000</v>
      </c>
      <c r="I39" s="4971">
        <f t="shared" si="5"/>
        <v>31000</v>
      </c>
      <c r="J39" s="5247">
        <f t="shared" si="7"/>
        <v>18</v>
      </c>
      <c r="K39" s="5248">
        <f t="shared" si="8"/>
        <v>558000</v>
      </c>
      <c r="L39" s="5249">
        <v>48</v>
      </c>
      <c r="M39" s="5241" t="s">
        <v>5742</v>
      </c>
      <c r="N39" s="5249">
        <v>48</v>
      </c>
      <c r="O39" s="5250">
        <v>1</v>
      </c>
      <c r="P39" s="5097">
        <v>180</v>
      </c>
      <c r="Q39" s="5241" t="s">
        <v>2688</v>
      </c>
      <c r="R39" s="5249">
        <v>200</v>
      </c>
      <c r="S39" s="5097">
        <v>1</v>
      </c>
      <c r="T39" s="5097" t="s">
        <v>5743</v>
      </c>
      <c r="U39" s="5243" t="s">
        <v>5035</v>
      </c>
      <c r="V39" s="5097" t="s">
        <v>2826</v>
      </c>
      <c r="W39" s="5243" t="s">
        <v>5050</v>
      </c>
      <c r="X39" s="5097" t="s">
        <v>2814</v>
      </c>
      <c r="Y39" s="5251"/>
      <c r="Z39" s="5214">
        <f t="shared" si="9"/>
        <v>1</v>
      </c>
      <c r="AA39" s="6905"/>
      <c r="AB39" s="6905"/>
      <c r="AC39" s="6905"/>
      <c r="AD39" s="6905"/>
      <c r="AE39" s="6891"/>
      <c r="AF39" s="6891"/>
      <c r="AG39" s="6891"/>
      <c r="AH39" s="6891"/>
    </row>
    <row r="40" spans="1:34" ht="33.75" customHeight="1">
      <c r="A40" s="4828">
        <v>8</v>
      </c>
      <c r="B40" s="4926">
        <v>46304</v>
      </c>
      <c r="C40" s="4926">
        <v>46322</v>
      </c>
      <c r="D40" s="5245">
        <f t="shared" si="6"/>
        <v>18</v>
      </c>
      <c r="E40" s="4972" t="s">
        <v>5121</v>
      </c>
      <c r="F40" s="5097">
        <v>1</v>
      </c>
      <c r="G40" s="5246">
        <v>1</v>
      </c>
      <c r="H40" s="4820">
        <v>47000</v>
      </c>
      <c r="I40" s="4971">
        <f t="shared" si="5"/>
        <v>47000</v>
      </c>
      <c r="J40" s="5247">
        <f t="shared" si="7"/>
        <v>18</v>
      </c>
      <c r="K40" s="5248">
        <f t="shared" si="8"/>
        <v>846000</v>
      </c>
      <c r="L40" s="5249">
        <v>77</v>
      </c>
      <c r="M40" s="5241" t="s">
        <v>5742</v>
      </c>
      <c r="N40" s="5249">
        <v>77</v>
      </c>
      <c r="O40" s="5250">
        <v>2</v>
      </c>
      <c r="P40" s="5097">
        <v>140</v>
      </c>
      <c r="Q40" s="5241" t="s">
        <v>2688</v>
      </c>
      <c r="R40" s="5249">
        <v>200</v>
      </c>
      <c r="S40" s="5097">
        <v>2</v>
      </c>
      <c r="T40" s="5097" t="s">
        <v>5953</v>
      </c>
      <c r="U40" s="5243" t="s">
        <v>5035</v>
      </c>
      <c r="V40" s="5097" t="s">
        <v>2826</v>
      </c>
      <c r="W40" s="5243" t="s">
        <v>5050</v>
      </c>
      <c r="X40" s="5097" t="s">
        <v>2814</v>
      </c>
      <c r="Y40" s="5251"/>
      <c r="Z40" s="5214">
        <f t="shared" si="9"/>
        <v>2</v>
      </c>
      <c r="AA40" s="6905"/>
      <c r="AB40" s="6905"/>
      <c r="AC40" s="6905"/>
      <c r="AD40" s="6905"/>
      <c r="AE40" s="6891"/>
      <c r="AF40" s="6891"/>
      <c r="AG40" s="6891"/>
      <c r="AH40" s="6891"/>
    </row>
    <row r="41" spans="1:34" ht="33.75" customHeight="1">
      <c r="A41" s="4828">
        <v>9</v>
      </c>
      <c r="B41" s="4926">
        <v>46304</v>
      </c>
      <c r="C41" s="4926">
        <v>46322</v>
      </c>
      <c r="D41" s="5245">
        <f t="shared" si="6"/>
        <v>18</v>
      </c>
      <c r="E41" s="4972" t="s">
        <v>6051</v>
      </c>
      <c r="F41" s="5097">
        <v>8</v>
      </c>
      <c r="G41" s="5246">
        <v>8</v>
      </c>
      <c r="H41" s="4820">
        <v>21000</v>
      </c>
      <c r="I41" s="4971">
        <f t="shared" si="5"/>
        <v>168000</v>
      </c>
      <c r="J41" s="5247">
        <f t="shared" si="7"/>
        <v>144</v>
      </c>
      <c r="K41" s="5248">
        <f t="shared" si="8"/>
        <v>3024000</v>
      </c>
      <c r="L41" s="5249">
        <v>30</v>
      </c>
      <c r="M41" s="5241" t="s">
        <v>5742</v>
      </c>
      <c r="N41" s="5249">
        <v>30</v>
      </c>
      <c r="O41" s="5250">
        <v>1</v>
      </c>
      <c r="P41" s="5097">
        <v>180</v>
      </c>
      <c r="Q41" s="5241" t="s">
        <v>2688</v>
      </c>
      <c r="R41" s="5249">
        <v>200</v>
      </c>
      <c r="S41" s="5097">
        <v>1</v>
      </c>
      <c r="T41" s="5097" t="s">
        <v>5953</v>
      </c>
      <c r="U41" s="5243" t="s">
        <v>5035</v>
      </c>
      <c r="V41" s="5097" t="s">
        <v>2826</v>
      </c>
      <c r="W41" s="5243" t="s">
        <v>5050</v>
      </c>
      <c r="X41" s="5097" t="s">
        <v>2814</v>
      </c>
      <c r="Y41" s="5251"/>
      <c r="Z41" s="5214">
        <f t="shared" si="9"/>
        <v>8</v>
      </c>
      <c r="AA41" s="6905"/>
      <c r="AB41" s="6905"/>
      <c r="AC41" s="6905"/>
      <c r="AD41" s="6905"/>
      <c r="AE41" s="6891"/>
      <c r="AF41" s="6891"/>
      <c r="AG41" s="6891"/>
      <c r="AH41" s="6891"/>
    </row>
    <row r="42" spans="1:34" ht="33.75" customHeight="1">
      <c r="A42" s="4828">
        <v>10</v>
      </c>
      <c r="B42" s="4926">
        <v>46304</v>
      </c>
      <c r="C42" s="4926">
        <v>46322</v>
      </c>
      <c r="D42" s="5245">
        <f t="shared" si="6"/>
        <v>18</v>
      </c>
      <c r="E42" s="4972" t="s">
        <v>6052</v>
      </c>
      <c r="F42" s="5097">
        <v>18</v>
      </c>
      <c r="G42" s="5246">
        <v>18</v>
      </c>
      <c r="H42" s="4820">
        <v>22000</v>
      </c>
      <c r="I42" s="4971">
        <f t="shared" si="5"/>
        <v>396000</v>
      </c>
      <c r="J42" s="5247">
        <f t="shared" si="7"/>
        <v>324</v>
      </c>
      <c r="K42" s="5248">
        <f t="shared" si="8"/>
        <v>7128000</v>
      </c>
      <c r="L42" s="5249">
        <v>33</v>
      </c>
      <c r="M42" s="5241" t="s">
        <v>5742</v>
      </c>
      <c r="N42" s="5249">
        <v>33</v>
      </c>
      <c r="O42" s="5250">
        <v>2</v>
      </c>
      <c r="P42" s="5097">
        <v>120</v>
      </c>
      <c r="Q42" s="5241" t="s">
        <v>2688</v>
      </c>
      <c r="R42" s="5249">
        <v>100</v>
      </c>
      <c r="S42" s="5097">
        <v>2</v>
      </c>
      <c r="T42" s="5097" t="s">
        <v>5953</v>
      </c>
      <c r="U42" s="5243" t="s">
        <v>5035</v>
      </c>
      <c r="V42" s="5097" t="s">
        <v>2826</v>
      </c>
      <c r="W42" s="5243" t="s">
        <v>5050</v>
      </c>
      <c r="X42" s="5097" t="s">
        <v>2814</v>
      </c>
      <c r="Y42" s="5251"/>
      <c r="Z42" s="5214">
        <f t="shared" si="9"/>
        <v>36</v>
      </c>
      <c r="AA42" s="6928"/>
      <c r="AB42" s="6928"/>
      <c r="AC42" s="6928"/>
      <c r="AD42" s="6928"/>
      <c r="AE42" s="6891"/>
      <c r="AF42" s="6891"/>
      <c r="AG42" s="6891"/>
      <c r="AH42" s="6891"/>
    </row>
    <row r="43" spans="1:34" ht="33.75" customHeight="1">
      <c r="A43" s="4828">
        <v>11</v>
      </c>
      <c r="B43" s="4926">
        <v>46304</v>
      </c>
      <c r="C43" s="4926">
        <v>46322</v>
      </c>
      <c r="D43" s="5245">
        <f t="shared" si="6"/>
        <v>18</v>
      </c>
      <c r="E43" s="4972" t="s">
        <v>6053</v>
      </c>
      <c r="F43" s="5097">
        <v>4</v>
      </c>
      <c r="G43" s="5246">
        <v>4</v>
      </c>
      <c r="H43" s="4820">
        <v>34000</v>
      </c>
      <c r="I43" s="4971">
        <f t="shared" si="5"/>
        <v>136000</v>
      </c>
      <c r="J43" s="5247">
        <f t="shared" si="7"/>
        <v>72</v>
      </c>
      <c r="K43" s="5248">
        <f t="shared" si="8"/>
        <v>2448000</v>
      </c>
      <c r="L43" s="5249">
        <v>37</v>
      </c>
      <c r="M43" s="5241" t="s">
        <v>5742</v>
      </c>
      <c r="N43" s="5249">
        <v>37</v>
      </c>
      <c r="O43" s="5250">
        <v>4</v>
      </c>
      <c r="P43" s="5097">
        <v>100</v>
      </c>
      <c r="Q43" s="5241" t="s">
        <v>2688</v>
      </c>
      <c r="R43" s="5249">
        <v>200</v>
      </c>
      <c r="S43" s="5097">
        <v>4</v>
      </c>
      <c r="T43" s="5097" t="s">
        <v>5953</v>
      </c>
      <c r="U43" s="5243" t="s">
        <v>5035</v>
      </c>
      <c r="V43" s="5097" t="s">
        <v>2826</v>
      </c>
      <c r="W43" s="5243" t="s">
        <v>5050</v>
      </c>
      <c r="X43" s="5097" t="s">
        <v>2814</v>
      </c>
      <c r="Y43" s="5251"/>
      <c r="Z43" s="5214">
        <f t="shared" si="9"/>
        <v>16</v>
      </c>
      <c r="AA43" s="6928"/>
      <c r="AB43" s="6928"/>
      <c r="AC43" s="6928"/>
      <c r="AD43" s="6928"/>
      <c r="AE43" s="6891"/>
      <c r="AF43" s="6891"/>
      <c r="AG43" s="6891"/>
      <c r="AH43" s="6891"/>
    </row>
    <row r="44" spans="1:34" ht="33.75" customHeight="1">
      <c r="A44" s="4828">
        <v>12</v>
      </c>
      <c r="B44" s="4926">
        <v>46304</v>
      </c>
      <c r="C44" s="4926">
        <v>46322</v>
      </c>
      <c r="D44" s="5245">
        <f t="shared" si="6"/>
        <v>18</v>
      </c>
      <c r="E44" s="4972" t="s">
        <v>6060</v>
      </c>
      <c r="F44" s="5097">
        <v>8</v>
      </c>
      <c r="G44" s="5246">
        <v>8</v>
      </c>
      <c r="H44" s="4820">
        <v>22000</v>
      </c>
      <c r="I44" s="4971">
        <f t="shared" si="5"/>
        <v>176000</v>
      </c>
      <c r="J44" s="5247">
        <f t="shared" si="7"/>
        <v>144</v>
      </c>
      <c r="K44" s="5248">
        <f t="shared" si="8"/>
        <v>3168000</v>
      </c>
      <c r="L44" s="5249">
        <v>33</v>
      </c>
      <c r="M44" s="5241" t="s">
        <v>5742</v>
      </c>
      <c r="N44" s="5249">
        <v>33</v>
      </c>
      <c r="O44" s="5250">
        <v>2</v>
      </c>
      <c r="P44" s="5097">
        <v>120</v>
      </c>
      <c r="Q44" s="5241" t="s">
        <v>2688</v>
      </c>
      <c r="R44" s="5249">
        <v>200</v>
      </c>
      <c r="S44" s="5097">
        <v>2</v>
      </c>
      <c r="T44" s="5097" t="s">
        <v>5953</v>
      </c>
      <c r="U44" s="5243" t="s">
        <v>5035</v>
      </c>
      <c r="V44" s="5097" t="s">
        <v>2826</v>
      </c>
      <c r="W44" s="5243" t="s">
        <v>5050</v>
      </c>
      <c r="X44" s="5097" t="s">
        <v>2814</v>
      </c>
      <c r="Y44" s="5251"/>
      <c r="Z44" s="5214">
        <f t="shared" si="9"/>
        <v>16</v>
      </c>
      <c r="AA44" s="6928"/>
      <c r="AB44" s="6928"/>
      <c r="AC44" s="6928"/>
      <c r="AD44" s="6928"/>
      <c r="AE44" s="6891"/>
      <c r="AF44" s="6891"/>
      <c r="AG44" s="6891"/>
      <c r="AH44" s="6891"/>
    </row>
    <row r="45" spans="1:34" ht="33.75" customHeight="1">
      <c r="A45" s="4828">
        <v>13</v>
      </c>
      <c r="B45" s="4926">
        <v>46304</v>
      </c>
      <c r="C45" s="4926">
        <v>46322</v>
      </c>
      <c r="D45" s="5245">
        <f t="shared" si="6"/>
        <v>18</v>
      </c>
      <c r="E45" s="4972" t="s">
        <v>6055</v>
      </c>
      <c r="F45" s="5097">
        <v>1</v>
      </c>
      <c r="G45" s="5246">
        <v>1</v>
      </c>
      <c r="H45" s="4820">
        <v>34000</v>
      </c>
      <c r="I45" s="4971">
        <f t="shared" si="5"/>
        <v>34000</v>
      </c>
      <c r="J45" s="5247">
        <f t="shared" si="7"/>
        <v>18</v>
      </c>
      <c r="K45" s="5248">
        <f t="shared" si="8"/>
        <v>612000</v>
      </c>
      <c r="L45" s="5249">
        <v>44</v>
      </c>
      <c r="M45" s="5241" t="s">
        <v>5742</v>
      </c>
      <c r="N45" s="5249">
        <v>44</v>
      </c>
      <c r="O45" s="5250">
        <v>4</v>
      </c>
      <c r="P45" s="5097">
        <v>100</v>
      </c>
      <c r="Q45" s="5241" t="s">
        <v>2688</v>
      </c>
      <c r="R45" s="5249">
        <v>200</v>
      </c>
      <c r="S45" s="5097">
        <v>4</v>
      </c>
      <c r="T45" s="5097" t="s">
        <v>5953</v>
      </c>
      <c r="U45" s="5243" t="s">
        <v>5035</v>
      </c>
      <c r="V45" s="5097" t="s">
        <v>2826</v>
      </c>
      <c r="W45" s="5243" t="s">
        <v>5050</v>
      </c>
      <c r="X45" s="5097" t="s">
        <v>2814</v>
      </c>
      <c r="Y45" s="5251"/>
      <c r="Z45" s="5214">
        <f t="shared" si="9"/>
        <v>4</v>
      </c>
      <c r="AA45" s="6928"/>
      <c r="AB45" s="6928"/>
      <c r="AC45" s="6928"/>
      <c r="AD45" s="6928"/>
      <c r="AE45" s="6891"/>
      <c r="AF45" s="6891"/>
      <c r="AG45" s="6891"/>
      <c r="AH45" s="6891"/>
    </row>
    <row r="46" spans="1:34" ht="33.75" customHeight="1">
      <c r="A46" s="4828">
        <v>14</v>
      </c>
      <c r="B46" s="4926">
        <v>46304</v>
      </c>
      <c r="C46" s="4926">
        <v>46322</v>
      </c>
      <c r="D46" s="5245">
        <f t="shared" si="6"/>
        <v>18</v>
      </c>
      <c r="E46" s="4972" t="s">
        <v>6056</v>
      </c>
      <c r="F46" s="5097">
        <v>1</v>
      </c>
      <c r="G46" s="5246">
        <v>1</v>
      </c>
      <c r="H46" s="4820">
        <v>42000</v>
      </c>
      <c r="I46" s="4971">
        <f t="shared" si="5"/>
        <v>42000</v>
      </c>
      <c r="J46" s="5247">
        <f t="shared" si="7"/>
        <v>18</v>
      </c>
      <c r="K46" s="5248">
        <f t="shared" si="8"/>
        <v>756000</v>
      </c>
      <c r="L46" s="5249">
        <v>63</v>
      </c>
      <c r="M46" s="5241" t="s">
        <v>5742</v>
      </c>
      <c r="N46" s="5249">
        <v>63</v>
      </c>
      <c r="O46" s="5250">
        <v>4</v>
      </c>
      <c r="P46" s="5097">
        <v>100</v>
      </c>
      <c r="Q46" s="5241" t="s">
        <v>2688</v>
      </c>
      <c r="R46" s="5249">
        <v>200</v>
      </c>
      <c r="S46" s="5097">
        <v>4</v>
      </c>
      <c r="T46" s="5097" t="s">
        <v>5953</v>
      </c>
      <c r="U46" s="5243" t="s">
        <v>5035</v>
      </c>
      <c r="V46" s="5097" t="s">
        <v>2826</v>
      </c>
      <c r="W46" s="5243" t="s">
        <v>5050</v>
      </c>
      <c r="X46" s="5097" t="s">
        <v>2814</v>
      </c>
      <c r="Y46" s="5251"/>
      <c r="Z46" s="5214">
        <f t="shared" si="9"/>
        <v>4</v>
      </c>
      <c r="AA46" s="6905"/>
      <c r="AB46" s="6905"/>
      <c r="AC46" s="6905"/>
      <c r="AD46" s="6905"/>
      <c r="AE46" s="6891"/>
      <c r="AF46" s="6891"/>
      <c r="AG46" s="6891"/>
      <c r="AH46" s="6891"/>
    </row>
    <row r="47" spans="1:34" ht="33.75" customHeight="1" thickBot="1">
      <c r="A47" s="4828">
        <v>15</v>
      </c>
      <c r="B47" s="4926">
        <v>46304</v>
      </c>
      <c r="C47" s="4926">
        <v>46322</v>
      </c>
      <c r="D47" s="5245">
        <f t="shared" si="6"/>
        <v>18</v>
      </c>
      <c r="E47" s="4972" t="s">
        <v>6057</v>
      </c>
      <c r="F47" s="5097">
        <v>2</v>
      </c>
      <c r="G47" s="5246">
        <v>2</v>
      </c>
      <c r="H47" s="4820">
        <v>21000</v>
      </c>
      <c r="I47" s="4971">
        <f t="shared" si="5"/>
        <v>42000</v>
      </c>
      <c r="J47" s="5247">
        <f t="shared" si="7"/>
        <v>36</v>
      </c>
      <c r="K47" s="5248">
        <f t="shared" si="8"/>
        <v>756000</v>
      </c>
      <c r="L47" s="5249">
        <v>24</v>
      </c>
      <c r="M47" s="5241" t="s">
        <v>5742</v>
      </c>
      <c r="N47" s="5249">
        <v>24</v>
      </c>
      <c r="O47" s="5250">
        <v>1</v>
      </c>
      <c r="P47" s="5097">
        <v>180</v>
      </c>
      <c r="Q47" s="5241" t="s">
        <v>2688</v>
      </c>
      <c r="R47" s="5249">
        <v>200</v>
      </c>
      <c r="S47" s="5097">
        <v>1</v>
      </c>
      <c r="T47" s="5097" t="s">
        <v>5953</v>
      </c>
      <c r="U47" s="5243" t="s">
        <v>5035</v>
      </c>
      <c r="V47" s="5097" t="s">
        <v>2826</v>
      </c>
      <c r="W47" s="5243" t="s">
        <v>5050</v>
      </c>
      <c r="X47" s="5097" t="s">
        <v>2814</v>
      </c>
      <c r="Y47" s="5251"/>
      <c r="Z47" s="5214">
        <f t="shared" si="9"/>
        <v>2</v>
      </c>
      <c r="AA47" s="6905"/>
      <c r="AB47" s="6905"/>
      <c r="AC47" s="6905"/>
      <c r="AD47" s="6905"/>
      <c r="AE47" s="6891"/>
      <c r="AF47" s="6891"/>
      <c r="AG47" s="6891"/>
      <c r="AH47" s="6891"/>
    </row>
    <row r="48" spans="1:34" ht="33.75" customHeight="1" thickTop="1" thickBot="1">
      <c r="A48" s="4840"/>
      <c r="B48" s="4841"/>
      <c r="C48" s="4841"/>
      <c r="D48" s="4843"/>
      <c r="E48" s="5252" t="s">
        <v>2432</v>
      </c>
      <c r="F48" s="5253">
        <f>SUM(F33:F47)</f>
        <v>111</v>
      </c>
      <c r="G48" s="5254">
        <f>SUM(G33:G47)</f>
        <v>111</v>
      </c>
      <c r="H48" s="5255"/>
      <c r="I48" s="5255"/>
      <c r="J48" s="5253">
        <f>SUM(J33:J47)</f>
        <v>1998</v>
      </c>
      <c r="K48" s="5253">
        <f>SUM(K33:K47)</f>
        <v>41697000</v>
      </c>
      <c r="L48" s="6935"/>
      <c r="M48" s="6935"/>
      <c r="N48" s="6935"/>
      <c r="O48" s="5256"/>
      <c r="P48" s="6936"/>
      <c r="Q48" s="6935"/>
      <c r="R48" s="6935"/>
      <c r="S48" s="5256"/>
      <c r="T48" s="5256"/>
      <c r="U48" s="6937"/>
      <c r="V48" s="6938"/>
      <c r="W48" s="6937"/>
      <c r="X48" s="6938"/>
      <c r="Y48" s="5257"/>
      <c r="Z48" s="4685">
        <f>SUM(Z33:Z47)</f>
        <v>183</v>
      </c>
      <c r="AA48" s="6905"/>
      <c r="AB48" s="6905"/>
      <c r="AC48" s="6905"/>
      <c r="AD48" s="6905"/>
      <c r="AE48" s="6891"/>
      <c r="AF48" s="6891"/>
      <c r="AG48" s="6891"/>
      <c r="AH48" s="6891"/>
    </row>
    <row r="49" spans="1:26" ht="32.15" customHeight="1" thickBot="1">
      <c r="B49" s="4812"/>
      <c r="C49" s="4812"/>
      <c r="D49" s="4812"/>
      <c r="E49" s="4813"/>
      <c r="F49" s="4814"/>
      <c r="G49" s="4713" t="s">
        <v>5748</v>
      </c>
      <c r="H49" s="4714">
        <f>SUM(I33:I47)</f>
        <v>2316500</v>
      </c>
      <c r="I49" s="4715"/>
      <c r="J49" s="4715"/>
      <c r="M49" s="4656"/>
      <c r="Q49" s="4656"/>
      <c r="Z49" s="5258"/>
    </row>
    <row r="50" spans="1:26" ht="33.75" customHeight="1">
      <c r="A50" s="6929" t="s">
        <v>5749</v>
      </c>
      <c r="B50" s="6930"/>
      <c r="C50" s="5227">
        <f>J48</f>
        <v>1998</v>
      </c>
      <c r="D50" s="5259"/>
      <c r="E50" s="5229"/>
      <c r="G50" s="4721" t="s">
        <v>5750</v>
      </c>
      <c r="H50" s="4722">
        <f>H49*1.1</f>
        <v>2548150</v>
      </c>
      <c r="J50" s="4656"/>
      <c r="Z50" s="5260"/>
    </row>
    <row r="51" spans="1:26" ht="33.75" customHeight="1">
      <c r="A51" s="6931" t="s">
        <v>5805</v>
      </c>
      <c r="B51" s="6932"/>
      <c r="C51" s="5230">
        <f>K48</f>
        <v>41697000</v>
      </c>
      <c r="D51" s="5261"/>
      <c r="E51" s="5229"/>
      <c r="G51" s="4824" t="s">
        <v>5965</v>
      </c>
      <c r="J51" s="4656"/>
      <c r="Z51" s="5260"/>
    </row>
    <row r="52" spans="1:26" ht="33.75" customHeight="1" thickBot="1">
      <c r="A52" s="6933" t="s">
        <v>5806</v>
      </c>
      <c r="B52" s="6934"/>
      <c r="C52" s="5231">
        <f>C51*1.1</f>
        <v>45866700</v>
      </c>
      <c r="E52" s="5229"/>
      <c r="G52" s="4824"/>
      <c r="J52" s="4656"/>
    </row>
    <row r="53" spans="1:26" ht="33.75" customHeight="1">
      <c r="A53" s="4729"/>
      <c r="B53" s="4729"/>
      <c r="C53" s="4729"/>
      <c r="D53" s="4726"/>
      <c r="E53" s="5229"/>
      <c r="J53" s="4656"/>
    </row>
    <row r="54" spans="1:26" ht="33.75" customHeight="1">
      <c r="A54" s="5262" t="s">
        <v>5752</v>
      </c>
      <c r="B54" s="4729"/>
      <c r="C54" s="4729"/>
      <c r="D54" s="4726"/>
      <c r="E54" s="5229"/>
      <c r="J54" s="4656"/>
    </row>
    <row r="55" spans="1:26" ht="36" customHeight="1">
      <c r="A55" s="5262" t="s">
        <v>6061</v>
      </c>
    </row>
    <row r="56" spans="1:26" ht="36" customHeight="1">
      <c r="A56" s="4810" t="s">
        <v>5754</v>
      </c>
    </row>
    <row r="57" spans="1:26" ht="36" customHeight="1">
      <c r="A57" s="5262"/>
    </row>
    <row r="58" spans="1:26" ht="36" customHeight="1"/>
    <row r="59" spans="1:26" ht="36" customHeight="1"/>
    <row r="60" spans="1:26" ht="36" customHeight="1"/>
    <row r="61" spans="1:26" ht="36" customHeight="1"/>
    <row r="62" spans="1:26" ht="36" customHeight="1"/>
    <row r="63" spans="1:26" ht="36" customHeight="1"/>
    <row r="64" spans="1:26" ht="36" customHeight="1"/>
    <row r="65" ht="10.4" customHeight="1"/>
  </sheetData>
  <mergeCells count="82">
    <mergeCell ref="P5:R6"/>
    <mergeCell ref="A2:B2"/>
    <mergeCell ref="C2:F2"/>
    <mergeCell ref="A5:A6"/>
    <mergeCell ref="B5:B6"/>
    <mergeCell ref="C5:C6"/>
    <mergeCell ref="D5:D6"/>
    <mergeCell ref="E5:E6"/>
    <mergeCell ref="F5:F6"/>
    <mergeCell ref="G5:G6"/>
    <mergeCell ref="H5:H6"/>
    <mergeCell ref="J5:K5"/>
    <mergeCell ref="L5:N6"/>
    <mergeCell ref="O5:O6"/>
    <mergeCell ref="AA10:AD16"/>
    <mergeCell ref="AE10:AH16"/>
    <mergeCell ref="S5:S6"/>
    <mergeCell ref="T5:T6"/>
    <mergeCell ref="U5:X6"/>
    <mergeCell ref="Y5:Y6"/>
    <mergeCell ref="Z5:Z6"/>
    <mergeCell ref="AA6:AD6"/>
    <mergeCell ref="AE6:AH6"/>
    <mergeCell ref="AA7:AD7"/>
    <mergeCell ref="AE7:AH7"/>
    <mergeCell ref="AA8:AD9"/>
    <mergeCell ref="AE8:AH9"/>
    <mergeCell ref="AA23:AD23"/>
    <mergeCell ref="AE23:AH23"/>
    <mergeCell ref="AA17:AD18"/>
    <mergeCell ref="AE17:AH18"/>
    <mergeCell ref="AA19:AD20"/>
    <mergeCell ref="AE19:AH20"/>
    <mergeCell ref="AA21:AD22"/>
    <mergeCell ref="AE21:AH22"/>
    <mergeCell ref="C30:C31"/>
    <mergeCell ref="L23:N23"/>
    <mergeCell ref="P23:R23"/>
    <mergeCell ref="U23:V23"/>
    <mergeCell ref="W23:X23"/>
    <mergeCell ref="U30:X31"/>
    <mergeCell ref="D30:D31"/>
    <mergeCell ref="E30:E31"/>
    <mergeCell ref="F30:F31"/>
    <mergeCell ref="G30:G31"/>
    <mergeCell ref="H30:H31"/>
    <mergeCell ref="J30:K30"/>
    <mergeCell ref="L30:N31"/>
    <mergeCell ref="O30:O31"/>
    <mergeCell ref="P30:R31"/>
    <mergeCell ref="S30:S31"/>
    <mergeCell ref="A25:B25"/>
    <mergeCell ref="A26:B26"/>
    <mergeCell ref="A27:B27"/>
    <mergeCell ref="A30:A31"/>
    <mergeCell ref="B30:B31"/>
    <mergeCell ref="T30:T31"/>
    <mergeCell ref="Y30:Y31"/>
    <mergeCell ref="Z30:Z31"/>
    <mergeCell ref="AA31:AD31"/>
    <mergeCell ref="AE31:AH31"/>
    <mergeCell ref="AA32:AD32"/>
    <mergeCell ref="AE32:AH32"/>
    <mergeCell ref="AA33:AD34"/>
    <mergeCell ref="AE33:AH34"/>
    <mergeCell ref="AA35:AD41"/>
    <mergeCell ref="AE35:AH41"/>
    <mergeCell ref="AA42:AD43"/>
    <mergeCell ref="AE42:AH43"/>
    <mergeCell ref="A50:B50"/>
    <mergeCell ref="A51:B51"/>
    <mergeCell ref="A52:B52"/>
    <mergeCell ref="AA44:AD45"/>
    <mergeCell ref="AE44:AH45"/>
    <mergeCell ref="AA46:AD47"/>
    <mergeCell ref="AE46:AH47"/>
    <mergeCell ref="L48:N48"/>
    <mergeCell ref="P48:R48"/>
    <mergeCell ref="U48:V48"/>
    <mergeCell ref="W48:X48"/>
    <mergeCell ref="AA48:AD48"/>
    <mergeCell ref="AE48:AH48"/>
  </mergeCells>
  <phoneticPr fontId="2"/>
  <conditionalFormatting sqref="B33:H47">
    <cfRule type="containsBlanks" dxfId="601" priority="3">
      <formula>LEN(TRIM(B33))=0</formula>
    </cfRule>
  </conditionalFormatting>
  <conditionalFormatting sqref="C2:D2 D7 B8:D22">
    <cfRule type="containsBlanks" dxfId="600" priority="10">
      <formula>LEN(TRIM(B2))=0</formula>
    </cfRule>
  </conditionalFormatting>
  <conditionalFormatting sqref="D32:H32">
    <cfRule type="containsBlanks" dxfId="599" priority="4">
      <formula>LEN(TRIM(D32))=0</formula>
    </cfRule>
  </conditionalFormatting>
  <conditionalFormatting sqref="E7:I22">
    <cfRule type="containsBlanks" dxfId="598" priority="2">
      <formula>LEN(TRIM(E7))=0</formula>
    </cfRule>
  </conditionalFormatting>
  <conditionalFormatting sqref="I32:I47">
    <cfRule type="containsBlanks" dxfId="597" priority="1">
      <formula>LEN(TRIM(I32))=0</formula>
    </cfRule>
  </conditionalFormatting>
  <conditionalFormatting sqref="K7:L22">
    <cfRule type="containsBlanks" dxfId="596" priority="14">
      <formula>LEN(TRIM(K7))=0</formula>
    </cfRule>
  </conditionalFormatting>
  <conditionalFormatting sqref="K32:L47">
    <cfRule type="containsBlanks" dxfId="595" priority="9">
      <formula>LEN(TRIM(K32))=0</formula>
    </cfRule>
  </conditionalFormatting>
  <conditionalFormatting sqref="N7:P22">
    <cfRule type="containsBlanks" dxfId="594" priority="12">
      <formula>LEN(TRIM(N7))=0</formula>
    </cfRule>
  </conditionalFormatting>
  <conditionalFormatting sqref="N32:P47">
    <cfRule type="containsBlanks" dxfId="593" priority="8">
      <formula>LEN(TRIM(N32))=0</formula>
    </cfRule>
  </conditionalFormatting>
  <conditionalFormatting sqref="R7:T22">
    <cfRule type="containsBlanks" dxfId="592" priority="11">
      <formula>LEN(TRIM(R7))=0</formula>
    </cfRule>
  </conditionalFormatting>
  <conditionalFormatting sqref="R32:T47">
    <cfRule type="containsBlanks" dxfId="591" priority="7">
      <formula>LEN(TRIM(R32))=0</formula>
    </cfRule>
  </conditionalFormatting>
  <conditionalFormatting sqref="V7:V22 X7:Y22">
    <cfRule type="containsBlanks" dxfId="590" priority="13">
      <formula>LEN(TRIM(V7))=0</formula>
    </cfRule>
  </conditionalFormatting>
  <conditionalFormatting sqref="V32:V47">
    <cfRule type="containsBlanks" dxfId="589" priority="6">
      <formula>LEN(TRIM(V32))=0</formula>
    </cfRule>
  </conditionalFormatting>
  <conditionalFormatting sqref="X32:Y47">
    <cfRule type="containsBlanks" dxfId="588" priority="5">
      <formula>LEN(TRIM(X32))=0</formula>
    </cfRule>
  </conditionalFormatting>
  <conditionalFormatting sqref="AA10:AH16 AA35:AH41">
    <cfRule type="containsBlanks" dxfId="587" priority="15">
      <formula>LEN(TRIM(AA10))=0</formula>
    </cfRule>
  </conditionalFormatting>
  <printOptions horizontalCentered="1"/>
  <pageMargins left="0.39370078740157483" right="0.39370078740157483" top="0.35433070866141736" bottom="0.35433070866141736" header="0.31496062992125984" footer="0.31496062992125984"/>
  <pageSetup paperSize="8" scale="45" orientation="landscape" horizontalDpi="1200" verticalDpi="1200" r:id="rId1"/>
  <headerFooter>
    <oddHeader>&amp;R&amp;G</oddHeader>
  </headerFooter>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5970-3760-4071-8FB9-C54ACE2C2AE1}">
  <sheetPr codeName="Sheet342">
    <tabColor rgb="FFFFFF99"/>
    <pageSetUpPr fitToPage="1"/>
  </sheetPr>
  <dimension ref="A1:AE80"/>
  <sheetViews>
    <sheetView view="pageBreakPreview" topLeftCell="A62" zoomScale="60" zoomScaleNormal="55" workbookViewId="0">
      <selection activeCell="O68" sqref="O68"/>
    </sheetView>
  </sheetViews>
  <sheetFormatPr defaultColWidth="9.81640625" defaultRowHeight="26.5"/>
  <cols>
    <col min="1" max="1" width="7.453125" style="5263" customWidth="1"/>
    <col min="2" max="2" width="25.1796875" style="5264" customWidth="1"/>
    <col min="3" max="3" width="24.54296875" style="5264" bestFit="1" customWidth="1"/>
    <col min="4" max="4" width="17.26953125" style="5264" customWidth="1"/>
    <col min="5" max="5" width="17.26953125" style="5263" customWidth="1"/>
    <col min="6" max="6" width="6.81640625" style="5265" customWidth="1"/>
    <col min="7" max="7" width="21.453125" style="5264" customWidth="1"/>
    <col min="8" max="8" width="9.26953125" style="5264" customWidth="1"/>
    <col min="9" max="9" width="21.453125" style="5263" customWidth="1"/>
    <col min="10" max="13" width="10.453125" style="5265" customWidth="1"/>
    <col min="14" max="14" width="21.81640625" style="5265" customWidth="1"/>
    <col min="15" max="15" width="21.81640625" style="5266" customWidth="1"/>
    <col min="16" max="16" width="9.81640625" style="5264"/>
    <col min="17" max="17" width="9.453125" style="5264" customWidth="1"/>
    <col min="18" max="18" width="9.453125" style="5263" customWidth="1"/>
    <col min="19" max="19" width="17.54296875" style="5263" customWidth="1"/>
    <col min="20" max="20" width="12.1796875" style="5263" customWidth="1"/>
    <col min="21" max="21" width="17.54296875" style="5263" customWidth="1"/>
    <col min="22" max="22" width="9.81640625" style="5263"/>
    <col min="23" max="23" width="17" style="5263" bestFit="1" customWidth="1"/>
    <col min="24" max="28" width="9.81640625" style="5263"/>
    <col min="29" max="29" width="9.81640625" style="5267"/>
    <col min="30" max="256" width="9.81640625" style="5263"/>
    <col min="257" max="257" width="7.453125" style="5263" customWidth="1"/>
    <col min="258" max="258" width="25.1796875" style="5263" customWidth="1"/>
    <col min="259" max="259" width="24.54296875" style="5263" bestFit="1" customWidth="1"/>
    <col min="260" max="261" width="17.26953125" style="5263" customWidth="1"/>
    <col min="262" max="262" width="6.81640625" style="5263" customWidth="1"/>
    <col min="263" max="263" width="21.453125" style="5263" customWidth="1"/>
    <col min="264" max="264" width="9.26953125" style="5263" customWidth="1"/>
    <col min="265" max="265" width="21.453125" style="5263" customWidth="1"/>
    <col min="266" max="269" width="10.453125" style="5263" customWidth="1"/>
    <col min="270" max="271" width="21.81640625" style="5263" customWidth="1"/>
    <col min="272" max="272" width="9.81640625" style="5263"/>
    <col min="273" max="274" width="9.453125" style="5263" customWidth="1"/>
    <col min="275" max="275" width="17.54296875" style="5263" customWidth="1"/>
    <col min="276" max="276" width="12.1796875" style="5263" customWidth="1"/>
    <col min="277" max="277" width="17.54296875" style="5263" customWidth="1"/>
    <col min="278" max="278" width="9.81640625" style="5263"/>
    <col min="279" max="279" width="17" style="5263" bestFit="1" customWidth="1"/>
    <col min="280" max="512" width="9.81640625" style="5263"/>
    <col min="513" max="513" width="7.453125" style="5263" customWidth="1"/>
    <col min="514" max="514" width="25.1796875" style="5263" customWidth="1"/>
    <col min="515" max="515" width="24.54296875" style="5263" bestFit="1" customWidth="1"/>
    <col min="516" max="517" width="17.26953125" style="5263" customWidth="1"/>
    <col min="518" max="518" width="6.81640625" style="5263" customWidth="1"/>
    <col min="519" max="519" width="21.453125" style="5263" customWidth="1"/>
    <col min="520" max="520" width="9.26953125" style="5263" customWidth="1"/>
    <col min="521" max="521" width="21.453125" style="5263" customWidth="1"/>
    <col min="522" max="525" width="10.453125" style="5263" customWidth="1"/>
    <col min="526" max="527" width="21.81640625" style="5263" customWidth="1"/>
    <col min="528" max="528" width="9.81640625" style="5263"/>
    <col min="529" max="530" width="9.453125" style="5263" customWidth="1"/>
    <col min="531" max="531" width="17.54296875" style="5263" customWidth="1"/>
    <col min="532" max="532" width="12.1796875" style="5263" customWidth="1"/>
    <col min="533" max="533" width="17.54296875" style="5263" customWidth="1"/>
    <col min="534" max="534" width="9.81640625" style="5263"/>
    <col min="535" max="535" width="17" style="5263" bestFit="1" customWidth="1"/>
    <col min="536" max="768" width="9.81640625" style="5263"/>
    <col min="769" max="769" width="7.453125" style="5263" customWidth="1"/>
    <col min="770" max="770" width="25.1796875" style="5263" customWidth="1"/>
    <col min="771" max="771" width="24.54296875" style="5263" bestFit="1" customWidth="1"/>
    <col min="772" max="773" width="17.26953125" style="5263" customWidth="1"/>
    <col min="774" max="774" width="6.81640625" style="5263" customWidth="1"/>
    <col min="775" max="775" width="21.453125" style="5263" customWidth="1"/>
    <col min="776" max="776" width="9.26953125" style="5263" customWidth="1"/>
    <col min="777" max="777" width="21.453125" style="5263" customWidth="1"/>
    <col min="778" max="781" width="10.453125" style="5263" customWidth="1"/>
    <col min="782" max="783" width="21.81640625" style="5263" customWidth="1"/>
    <col min="784" max="784" width="9.81640625" style="5263"/>
    <col min="785" max="786" width="9.453125" style="5263" customWidth="1"/>
    <col min="787" max="787" width="17.54296875" style="5263" customWidth="1"/>
    <col min="788" max="788" width="12.1796875" style="5263" customWidth="1"/>
    <col min="789" max="789" width="17.54296875" style="5263" customWidth="1"/>
    <col min="790" max="790" width="9.81640625" style="5263"/>
    <col min="791" max="791" width="17" style="5263" bestFit="1" customWidth="1"/>
    <col min="792" max="1024" width="9.81640625" style="5263"/>
    <col min="1025" max="1025" width="7.453125" style="5263" customWidth="1"/>
    <col min="1026" max="1026" width="25.1796875" style="5263" customWidth="1"/>
    <col min="1027" max="1027" width="24.54296875" style="5263" bestFit="1" customWidth="1"/>
    <col min="1028" max="1029" width="17.26953125" style="5263" customWidth="1"/>
    <col min="1030" max="1030" width="6.81640625" style="5263" customWidth="1"/>
    <col min="1031" max="1031" width="21.453125" style="5263" customWidth="1"/>
    <col min="1032" max="1032" width="9.26953125" style="5263" customWidth="1"/>
    <col min="1033" max="1033" width="21.453125" style="5263" customWidth="1"/>
    <col min="1034" max="1037" width="10.453125" style="5263" customWidth="1"/>
    <col min="1038" max="1039" width="21.81640625" style="5263" customWidth="1"/>
    <col min="1040" max="1040" width="9.81640625" style="5263"/>
    <col min="1041" max="1042" width="9.453125" style="5263" customWidth="1"/>
    <col min="1043" max="1043" width="17.54296875" style="5263" customWidth="1"/>
    <col min="1044" max="1044" width="12.1796875" style="5263" customWidth="1"/>
    <col min="1045" max="1045" width="17.54296875" style="5263" customWidth="1"/>
    <col min="1046" max="1046" width="9.81640625" style="5263"/>
    <col min="1047" max="1047" width="17" style="5263" bestFit="1" customWidth="1"/>
    <col min="1048" max="1280" width="9.81640625" style="5263"/>
    <col min="1281" max="1281" width="7.453125" style="5263" customWidth="1"/>
    <col min="1282" max="1282" width="25.1796875" style="5263" customWidth="1"/>
    <col min="1283" max="1283" width="24.54296875" style="5263" bestFit="1" customWidth="1"/>
    <col min="1284" max="1285" width="17.26953125" style="5263" customWidth="1"/>
    <col min="1286" max="1286" width="6.81640625" style="5263" customWidth="1"/>
    <col min="1287" max="1287" width="21.453125" style="5263" customWidth="1"/>
    <col min="1288" max="1288" width="9.26953125" style="5263" customWidth="1"/>
    <col min="1289" max="1289" width="21.453125" style="5263" customWidth="1"/>
    <col min="1290" max="1293" width="10.453125" style="5263" customWidth="1"/>
    <col min="1294" max="1295" width="21.81640625" style="5263" customWidth="1"/>
    <col min="1296" max="1296" width="9.81640625" style="5263"/>
    <col min="1297" max="1298" width="9.453125" style="5263" customWidth="1"/>
    <col min="1299" max="1299" width="17.54296875" style="5263" customWidth="1"/>
    <col min="1300" max="1300" width="12.1796875" style="5263" customWidth="1"/>
    <col min="1301" max="1301" width="17.54296875" style="5263" customWidth="1"/>
    <col min="1302" max="1302" width="9.81640625" style="5263"/>
    <col min="1303" max="1303" width="17" style="5263" bestFit="1" customWidth="1"/>
    <col min="1304" max="1536" width="9.81640625" style="5263"/>
    <col min="1537" max="1537" width="7.453125" style="5263" customWidth="1"/>
    <col min="1538" max="1538" width="25.1796875" style="5263" customWidth="1"/>
    <col min="1539" max="1539" width="24.54296875" style="5263" bestFit="1" customWidth="1"/>
    <col min="1540" max="1541" width="17.26953125" style="5263" customWidth="1"/>
    <col min="1542" max="1542" width="6.81640625" style="5263" customWidth="1"/>
    <col min="1543" max="1543" width="21.453125" style="5263" customWidth="1"/>
    <col min="1544" max="1544" width="9.26953125" style="5263" customWidth="1"/>
    <col min="1545" max="1545" width="21.453125" style="5263" customWidth="1"/>
    <col min="1546" max="1549" width="10.453125" style="5263" customWidth="1"/>
    <col min="1550" max="1551" width="21.81640625" style="5263" customWidth="1"/>
    <col min="1552" max="1552" width="9.81640625" style="5263"/>
    <col min="1553" max="1554" width="9.453125" style="5263" customWidth="1"/>
    <col min="1555" max="1555" width="17.54296875" style="5263" customWidth="1"/>
    <col min="1556" max="1556" width="12.1796875" style="5263" customWidth="1"/>
    <col min="1557" max="1557" width="17.54296875" style="5263" customWidth="1"/>
    <col min="1558" max="1558" width="9.81640625" style="5263"/>
    <col min="1559" max="1559" width="17" style="5263" bestFit="1" customWidth="1"/>
    <col min="1560" max="1792" width="9.81640625" style="5263"/>
    <col min="1793" max="1793" width="7.453125" style="5263" customWidth="1"/>
    <col min="1794" max="1794" width="25.1796875" style="5263" customWidth="1"/>
    <col min="1795" max="1795" width="24.54296875" style="5263" bestFit="1" customWidth="1"/>
    <col min="1796" max="1797" width="17.26953125" style="5263" customWidth="1"/>
    <col min="1798" max="1798" width="6.81640625" style="5263" customWidth="1"/>
    <col min="1799" max="1799" width="21.453125" style="5263" customWidth="1"/>
    <col min="1800" max="1800" width="9.26953125" style="5263" customWidth="1"/>
    <col min="1801" max="1801" width="21.453125" style="5263" customWidth="1"/>
    <col min="1802" max="1805" width="10.453125" style="5263" customWidth="1"/>
    <col min="1806" max="1807" width="21.81640625" style="5263" customWidth="1"/>
    <col min="1808" max="1808" width="9.81640625" style="5263"/>
    <col min="1809" max="1810" width="9.453125" style="5263" customWidth="1"/>
    <col min="1811" max="1811" width="17.54296875" style="5263" customWidth="1"/>
    <col min="1812" max="1812" width="12.1796875" style="5263" customWidth="1"/>
    <col min="1813" max="1813" width="17.54296875" style="5263" customWidth="1"/>
    <col min="1814" max="1814" width="9.81640625" style="5263"/>
    <col min="1815" max="1815" width="17" style="5263" bestFit="1" customWidth="1"/>
    <col min="1816" max="2048" width="9.81640625" style="5263"/>
    <col min="2049" max="2049" width="7.453125" style="5263" customWidth="1"/>
    <col min="2050" max="2050" width="25.1796875" style="5263" customWidth="1"/>
    <col min="2051" max="2051" width="24.54296875" style="5263" bestFit="1" customWidth="1"/>
    <col min="2052" max="2053" width="17.26953125" style="5263" customWidth="1"/>
    <col min="2054" max="2054" width="6.81640625" style="5263" customWidth="1"/>
    <col min="2055" max="2055" width="21.453125" style="5263" customWidth="1"/>
    <col min="2056" max="2056" width="9.26953125" style="5263" customWidth="1"/>
    <col min="2057" max="2057" width="21.453125" style="5263" customWidth="1"/>
    <col min="2058" max="2061" width="10.453125" style="5263" customWidth="1"/>
    <col min="2062" max="2063" width="21.81640625" style="5263" customWidth="1"/>
    <col min="2064" max="2064" width="9.81640625" style="5263"/>
    <col min="2065" max="2066" width="9.453125" style="5263" customWidth="1"/>
    <col min="2067" max="2067" width="17.54296875" style="5263" customWidth="1"/>
    <col min="2068" max="2068" width="12.1796875" style="5263" customWidth="1"/>
    <col min="2069" max="2069" width="17.54296875" style="5263" customWidth="1"/>
    <col min="2070" max="2070" width="9.81640625" style="5263"/>
    <col min="2071" max="2071" width="17" style="5263" bestFit="1" customWidth="1"/>
    <col min="2072" max="2304" width="9.81640625" style="5263"/>
    <col min="2305" max="2305" width="7.453125" style="5263" customWidth="1"/>
    <col min="2306" max="2306" width="25.1796875" style="5263" customWidth="1"/>
    <col min="2307" max="2307" width="24.54296875" style="5263" bestFit="1" customWidth="1"/>
    <col min="2308" max="2309" width="17.26953125" style="5263" customWidth="1"/>
    <col min="2310" max="2310" width="6.81640625" style="5263" customWidth="1"/>
    <col min="2311" max="2311" width="21.453125" style="5263" customWidth="1"/>
    <col min="2312" max="2312" width="9.26953125" style="5263" customWidth="1"/>
    <col min="2313" max="2313" width="21.453125" style="5263" customWidth="1"/>
    <col min="2314" max="2317" width="10.453125" style="5263" customWidth="1"/>
    <col min="2318" max="2319" width="21.81640625" style="5263" customWidth="1"/>
    <col min="2320" max="2320" width="9.81640625" style="5263"/>
    <col min="2321" max="2322" width="9.453125" style="5263" customWidth="1"/>
    <col min="2323" max="2323" width="17.54296875" style="5263" customWidth="1"/>
    <col min="2324" max="2324" width="12.1796875" style="5263" customWidth="1"/>
    <col min="2325" max="2325" width="17.54296875" style="5263" customWidth="1"/>
    <col min="2326" max="2326" width="9.81640625" style="5263"/>
    <col min="2327" max="2327" width="17" style="5263" bestFit="1" customWidth="1"/>
    <col min="2328" max="2560" width="9.81640625" style="5263"/>
    <col min="2561" max="2561" width="7.453125" style="5263" customWidth="1"/>
    <col min="2562" max="2562" width="25.1796875" style="5263" customWidth="1"/>
    <col min="2563" max="2563" width="24.54296875" style="5263" bestFit="1" customWidth="1"/>
    <col min="2564" max="2565" width="17.26953125" style="5263" customWidth="1"/>
    <col min="2566" max="2566" width="6.81640625" style="5263" customWidth="1"/>
    <col min="2567" max="2567" width="21.453125" style="5263" customWidth="1"/>
    <col min="2568" max="2568" width="9.26953125" style="5263" customWidth="1"/>
    <col min="2569" max="2569" width="21.453125" style="5263" customWidth="1"/>
    <col min="2570" max="2573" width="10.453125" style="5263" customWidth="1"/>
    <col min="2574" max="2575" width="21.81640625" style="5263" customWidth="1"/>
    <col min="2576" max="2576" width="9.81640625" style="5263"/>
    <col min="2577" max="2578" width="9.453125" style="5263" customWidth="1"/>
    <col min="2579" max="2579" width="17.54296875" style="5263" customWidth="1"/>
    <col min="2580" max="2580" width="12.1796875" style="5263" customWidth="1"/>
    <col min="2581" max="2581" width="17.54296875" style="5263" customWidth="1"/>
    <col min="2582" max="2582" width="9.81640625" style="5263"/>
    <col min="2583" max="2583" width="17" style="5263" bestFit="1" customWidth="1"/>
    <col min="2584" max="2816" width="9.81640625" style="5263"/>
    <col min="2817" max="2817" width="7.453125" style="5263" customWidth="1"/>
    <col min="2818" max="2818" width="25.1796875" style="5263" customWidth="1"/>
    <col min="2819" max="2819" width="24.54296875" style="5263" bestFit="1" customWidth="1"/>
    <col min="2820" max="2821" width="17.26953125" style="5263" customWidth="1"/>
    <col min="2822" max="2822" width="6.81640625" style="5263" customWidth="1"/>
    <col min="2823" max="2823" width="21.453125" style="5263" customWidth="1"/>
    <col min="2824" max="2824" width="9.26953125" style="5263" customWidth="1"/>
    <col min="2825" max="2825" width="21.453125" style="5263" customWidth="1"/>
    <col min="2826" max="2829" width="10.453125" style="5263" customWidth="1"/>
    <col min="2830" max="2831" width="21.81640625" style="5263" customWidth="1"/>
    <col min="2832" max="2832" width="9.81640625" style="5263"/>
    <col min="2833" max="2834" width="9.453125" style="5263" customWidth="1"/>
    <col min="2835" max="2835" width="17.54296875" style="5263" customWidth="1"/>
    <col min="2836" max="2836" width="12.1796875" style="5263" customWidth="1"/>
    <col min="2837" max="2837" width="17.54296875" style="5263" customWidth="1"/>
    <col min="2838" max="2838" width="9.81640625" style="5263"/>
    <col min="2839" max="2839" width="17" style="5263" bestFit="1" customWidth="1"/>
    <col min="2840" max="3072" width="9.81640625" style="5263"/>
    <col min="3073" max="3073" width="7.453125" style="5263" customWidth="1"/>
    <col min="3074" max="3074" width="25.1796875" style="5263" customWidth="1"/>
    <col min="3075" max="3075" width="24.54296875" style="5263" bestFit="1" customWidth="1"/>
    <col min="3076" max="3077" width="17.26953125" style="5263" customWidth="1"/>
    <col min="3078" max="3078" width="6.81640625" style="5263" customWidth="1"/>
    <col min="3079" max="3079" width="21.453125" style="5263" customWidth="1"/>
    <col min="3080" max="3080" width="9.26953125" style="5263" customWidth="1"/>
    <col min="3081" max="3081" width="21.453125" style="5263" customWidth="1"/>
    <col min="3082" max="3085" width="10.453125" style="5263" customWidth="1"/>
    <col min="3086" max="3087" width="21.81640625" style="5263" customWidth="1"/>
    <col min="3088" max="3088" width="9.81640625" style="5263"/>
    <col min="3089" max="3090" width="9.453125" style="5263" customWidth="1"/>
    <col min="3091" max="3091" width="17.54296875" style="5263" customWidth="1"/>
    <col min="3092" max="3092" width="12.1796875" style="5263" customWidth="1"/>
    <col min="3093" max="3093" width="17.54296875" style="5263" customWidth="1"/>
    <col min="3094" max="3094" width="9.81640625" style="5263"/>
    <col min="3095" max="3095" width="17" style="5263" bestFit="1" customWidth="1"/>
    <col min="3096" max="3328" width="9.81640625" style="5263"/>
    <col min="3329" max="3329" width="7.453125" style="5263" customWidth="1"/>
    <col min="3330" max="3330" width="25.1796875" style="5263" customWidth="1"/>
    <col min="3331" max="3331" width="24.54296875" style="5263" bestFit="1" customWidth="1"/>
    <col min="3332" max="3333" width="17.26953125" style="5263" customWidth="1"/>
    <col min="3334" max="3334" width="6.81640625" style="5263" customWidth="1"/>
    <col min="3335" max="3335" width="21.453125" style="5263" customWidth="1"/>
    <col min="3336" max="3336" width="9.26953125" style="5263" customWidth="1"/>
    <col min="3337" max="3337" width="21.453125" style="5263" customWidth="1"/>
    <col min="3338" max="3341" width="10.453125" style="5263" customWidth="1"/>
    <col min="3342" max="3343" width="21.81640625" style="5263" customWidth="1"/>
    <col min="3344" max="3344" width="9.81640625" style="5263"/>
    <col min="3345" max="3346" width="9.453125" style="5263" customWidth="1"/>
    <col min="3347" max="3347" width="17.54296875" style="5263" customWidth="1"/>
    <col min="3348" max="3348" width="12.1796875" style="5263" customWidth="1"/>
    <col min="3349" max="3349" width="17.54296875" style="5263" customWidth="1"/>
    <col min="3350" max="3350" width="9.81640625" style="5263"/>
    <col min="3351" max="3351" width="17" style="5263" bestFit="1" customWidth="1"/>
    <col min="3352" max="3584" width="9.81640625" style="5263"/>
    <col min="3585" max="3585" width="7.453125" style="5263" customWidth="1"/>
    <col min="3586" max="3586" width="25.1796875" style="5263" customWidth="1"/>
    <col min="3587" max="3587" width="24.54296875" style="5263" bestFit="1" customWidth="1"/>
    <col min="3588" max="3589" width="17.26953125" style="5263" customWidth="1"/>
    <col min="3590" max="3590" width="6.81640625" style="5263" customWidth="1"/>
    <col min="3591" max="3591" width="21.453125" style="5263" customWidth="1"/>
    <col min="3592" max="3592" width="9.26953125" style="5263" customWidth="1"/>
    <col min="3593" max="3593" width="21.453125" style="5263" customWidth="1"/>
    <col min="3594" max="3597" width="10.453125" style="5263" customWidth="1"/>
    <col min="3598" max="3599" width="21.81640625" style="5263" customWidth="1"/>
    <col min="3600" max="3600" width="9.81640625" style="5263"/>
    <col min="3601" max="3602" width="9.453125" style="5263" customWidth="1"/>
    <col min="3603" max="3603" width="17.54296875" style="5263" customWidth="1"/>
    <col min="3604" max="3604" width="12.1796875" style="5263" customWidth="1"/>
    <col min="3605" max="3605" width="17.54296875" style="5263" customWidth="1"/>
    <col min="3606" max="3606" width="9.81640625" style="5263"/>
    <col min="3607" max="3607" width="17" style="5263" bestFit="1" customWidth="1"/>
    <col min="3608" max="3840" width="9.81640625" style="5263"/>
    <col min="3841" max="3841" width="7.453125" style="5263" customWidth="1"/>
    <col min="3842" max="3842" width="25.1796875" style="5263" customWidth="1"/>
    <col min="3843" max="3843" width="24.54296875" style="5263" bestFit="1" customWidth="1"/>
    <col min="3844" max="3845" width="17.26953125" style="5263" customWidth="1"/>
    <col min="3846" max="3846" width="6.81640625" style="5263" customWidth="1"/>
    <col min="3847" max="3847" width="21.453125" style="5263" customWidth="1"/>
    <col min="3848" max="3848" width="9.26953125" style="5263" customWidth="1"/>
    <col min="3849" max="3849" width="21.453125" style="5263" customWidth="1"/>
    <col min="3850" max="3853" width="10.453125" style="5263" customWidth="1"/>
    <col min="3854" max="3855" width="21.81640625" style="5263" customWidth="1"/>
    <col min="3856" max="3856" width="9.81640625" style="5263"/>
    <col min="3857" max="3858" width="9.453125" style="5263" customWidth="1"/>
    <col min="3859" max="3859" width="17.54296875" style="5263" customWidth="1"/>
    <col min="3860" max="3860" width="12.1796875" style="5263" customWidth="1"/>
    <col min="3861" max="3861" width="17.54296875" style="5263" customWidth="1"/>
    <col min="3862" max="3862" width="9.81640625" style="5263"/>
    <col min="3863" max="3863" width="17" style="5263" bestFit="1" customWidth="1"/>
    <col min="3864" max="4096" width="9.81640625" style="5263"/>
    <col min="4097" max="4097" width="7.453125" style="5263" customWidth="1"/>
    <col min="4098" max="4098" width="25.1796875" style="5263" customWidth="1"/>
    <col min="4099" max="4099" width="24.54296875" style="5263" bestFit="1" customWidth="1"/>
    <col min="4100" max="4101" width="17.26953125" style="5263" customWidth="1"/>
    <col min="4102" max="4102" width="6.81640625" style="5263" customWidth="1"/>
    <col min="4103" max="4103" width="21.453125" style="5263" customWidth="1"/>
    <col min="4104" max="4104" width="9.26953125" style="5263" customWidth="1"/>
    <col min="4105" max="4105" width="21.453125" style="5263" customWidth="1"/>
    <col min="4106" max="4109" width="10.453125" style="5263" customWidth="1"/>
    <col min="4110" max="4111" width="21.81640625" style="5263" customWidth="1"/>
    <col min="4112" max="4112" width="9.81640625" style="5263"/>
    <col min="4113" max="4114" width="9.453125" style="5263" customWidth="1"/>
    <col min="4115" max="4115" width="17.54296875" style="5263" customWidth="1"/>
    <col min="4116" max="4116" width="12.1796875" style="5263" customWidth="1"/>
    <col min="4117" max="4117" width="17.54296875" style="5263" customWidth="1"/>
    <col min="4118" max="4118" width="9.81640625" style="5263"/>
    <col min="4119" max="4119" width="17" style="5263" bestFit="1" customWidth="1"/>
    <col min="4120" max="4352" width="9.81640625" style="5263"/>
    <col min="4353" max="4353" width="7.453125" style="5263" customWidth="1"/>
    <col min="4354" max="4354" width="25.1796875" style="5263" customWidth="1"/>
    <col min="4355" max="4355" width="24.54296875" style="5263" bestFit="1" customWidth="1"/>
    <col min="4356" max="4357" width="17.26953125" style="5263" customWidth="1"/>
    <col min="4358" max="4358" width="6.81640625" style="5263" customWidth="1"/>
    <col min="4359" max="4359" width="21.453125" style="5263" customWidth="1"/>
    <col min="4360" max="4360" width="9.26953125" style="5263" customWidth="1"/>
    <col min="4361" max="4361" width="21.453125" style="5263" customWidth="1"/>
    <col min="4362" max="4365" width="10.453125" style="5263" customWidth="1"/>
    <col min="4366" max="4367" width="21.81640625" style="5263" customWidth="1"/>
    <col min="4368" max="4368" width="9.81640625" style="5263"/>
    <col min="4369" max="4370" width="9.453125" style="5263" customWidth="1"/>
    <col min="4371" max="4371" width="17.54296875" style="5263" customWidth="1"/>
    <col min="4372" max="4372" width="12.1796875" style="5263" customWidth="1"/>
    <col min="4373" max="4373" width="17.54296875" style="5263" customWidth="1"/>
    <col min="4374" max="4374" width="9.81640625" style="5263"/>
    <col min="4375" max="4375" width="17" style="5263" bestFit="1" customWidth="1"/>
    <col min="4376" max="4608" width="9.81640625" style="5263"/>
    <col min="4609" max="4609" width="7.453125" style="5263" customWidth="1"/>
    <col min="4610" max="4610" width="25.1796875" style="5263" customWidth="1"/>
    <col min="4611" max="4611" width="24.54296875" style="5263" bestFit="1" customWidth="1"/>
    <col min="4612" max="4613" width="17.26953125" style="5263" customWidth="1"/>
    <col min="4614" max="4614" width="6.81640625" style="5263" customWidth="1"/>
    <col min="4615" max="4615" width="21.453125" style="5263" customWidth="1"/>
    <col min="4616" max="4616" width="9.26953125" style="5263" customWidth="1"/>
    <col min="4617" max="4617" width="21.453125" style="5263" customWidth="1"/>
    <col min="4618" max="4621" width="10.453125" style="5263" customWidth="1"/>
    <col min="4622" max="4623" width="21.81640625" style="5263" customWidth="1"/>
    <col min="4624" max="4624" width="9.81640625" style="5263"/>
    <col min="4625" max="4626" width="9.453125" style="5263" customWidth="1"/>
    <col min="4627" max="4627" width="17.54296875" style="5263" customWidth="1"/>
    <col min="4628" max="4628" width="12.1796875" style="5263" customWidth="1"/>
    <col min="4629" max="4629" width="17.54296875" style="5263" customWidth="1"/>
    <col min="4630" max="4630" width="9.81640625" style="5263"/>
    <col min="4631" max="4631" width="17" style="5263" bestFit="1" customWidth="1"/>
    <col min="4632" max="4864" width="9.81640625" style="5263"/>
    <col min="4865" max="4865" width="7.453125" style="5263" customWidth="1"/>
    <col min="4866" max="4866" width="25.1796875" style="5263" customWidth="1"/>
    <col min="4867" max="4867" width="24.54296875" style="5263" bestFit="1" customWidth="1"/>
    <col min="4868" max="4869" width="17.26953125" style="5263" customWidth="1"/>
    <col min="4870" max="4870" width="6.81640625" style="5263" customWidth="1"/>
    <col min="4871" max="4871" width="21.453125" style="5263" customWidth="1"/>
    <col min="4872" max="4872" width="9.26953125" style="5263" customWidth="1"/>
    <col min="4873" max="4873" width="21.453125" style="5263" customWidth="1"/>
    <col min="4874" max="4877" width="10.453125" style="5263" customWidth="1"/>
    <col min="4878" max="4879" width="21.81640625" style="5263" customWidth="1"/>
    <col min="4880" max="4880" width="9.81640625" style="5263"/>
    <col min="4881" max="4882" width="9.453125" style="5263" customWidth="1"/>
    <col min="4883" max="4883" width="17.54296875" style="5263" customWidth="1"/>
    <col min="4884" max="4884" width="12.1796875" style="5263" customWidth="1"/>
    <col min="4885" max="4885" width="17.54296875" style="5263" customWidth="1"/>
    <col min="4886" max="4886" width="9.81640625" style="5263"/>
    <col min="4887" max="4887" width="17" style="5263" bestFit="1" customWidth="1"/>
    <col min="4888" max="5120" width="9.81640625" style="5263"/>
    <col min="5121" max="5121" width="7.453125" style="5263" customWidth="1"/>
    <col min="5122" max="5122" width="25.1796875" style="5263" customWidth="1"/>
    <col min="5123" max="5123" width="24.54296875" style="5263" bestFit="1" customWidth="1"/>
    <col min="5124" max="5125" width="17.26953125" style="5263" customWidth="1"/>
    <col min="5126" max="5126" width="6.81640625" style="5263" customWidth="1"/>
    <col min="5127" max="5127" width="21.453125" style="5263" customWidth="1"/>
    <col min="5128" max="5128" width="9.26953125" style="5263" customWidth="1"/>
    <col min="5129" max="5129" width="21.453125" style="5263" customWidth="1"/>
    <col min="5130" max="5133" width="10.453125" style="5263" customWidth="1"/>
    <col min="5134" max="5135" width="21.81640625" style="5263" customWidth="1"/>
    <col min="5136" max="5136" width="9.81640625" style="5263"/>
    <col min="5137" max="5138" width="9.453125" style="5263" customWidth="1"/>
    <col min="5139" max="5139" width="17.54296875" style="5263" customWidth="1"/>
    <col min="5140" max="5140" width="12.1796875" style="5263" customWidth="1"/>
    <col min="5141" max="5141" width="17.54296875" style="5263" customWidth="1"/>
    <col min="5142" max="5142" width="9.81640625" style="5263"/>
    <col min="5143" max="5143" width="17" style="5263" bestFit="1" customWidth="1"/>
    <col min="5144" max="5376" width="9.81640625" style="5263"/>
    <col min="5377" max="5377" width="7.453125" style="5263" customWidth="1"/>
    <col min="5378" max="5378" width="25.1796875" style="5263" customWidth="1"/>
    <col min="5379" max="5379" width="24.54296875" style="5263" bestFit="1" customWidth="1"/>
    <col min="5380" max="5381" width="17.26953125" style="5263" customWidth="1"/>
    <col min="5382" max="5382" width="6.81640625" style="5263" customWidth="1"/>
    <col min="5383" max="5383" width="21.453125" style="5263" customWidth="1"/>
    <col min="5384" max="5384" width="9.26953125" style="5263" customWidth="1"/>
    <col min="5385" max="5385" width="21.453125" style="5263" customWidth="1"/>
    <col min="5386" max="5389" width="10.453125" style="5263" customWidth="1"/>
    <col min="5390" max="5391" width="21.81640625" style="5263" customWidth="1"/>
    <col min="5392" max="5392" width="9.81640625" style="5263"/>
    <col min="5393" max="5394" width="9.453125" style="5263" customWidth="1"/>
    <col min="5395" max="5395" width="17.54296875" style="5263" customWidth="1"/>
    <col min="5396" max="5396" width="12.1796875" style="5263" customWidth="1"/>
    <col min="5397" max="5397" width="17.54296875" style="5263" customWidth="1"/>
    <col min="5398" max="5398" width="9.81640625" style="5263"/>
    <col min="5399" max="5399" width="17" style="5263" bestFit="1" customWidth="1"/>
    <col min="5400" max="5632" width="9.81640625" style="5263"/>
    <col min="5633" max="5633" width="7.453125" style="5263" customWidth="1"/>
    <col min="5634" max="5634" width="25.1796875" style="5263" customWidth="1"/>
    <col min="5635" max="5635" width="24.54296875" style="5263" bestFit="1" customWidth="1"/>
    <col min="5636" max="5637" width="17.26953125" style="5263" customWidth="1"/>
    <col min="5638" max="5638" width="6.81640625" style="5263" customWidth="1"/>
    <col min="5639" max="5639" width="21.453125" style="5263" customWidth="1"/>
    <col min="5640" max="5640" width="9.26953125" style="5263" customWidth="1"/>
    <col min="5641" max="5641" width="21.453125" style="5263" customWidth="1"/>
    <col min="5642" max="5645" width="10.453125" style="5263" customWidth="1"/>
    <col min="5646" max="5647" width="21.81640625" style="5263" customWidth="1"/>
    <col min="5648" max="5648" width="9.81640625" style="5263"/>
    <col min="5649" max="5650" width="9.453125" style="5263" customWidth="1"/>
    <col min="5651" max="5651" width="17.54296875" style="5263" customWidth="1"/>
    <col min="5652" max="5652" width="12.1796875" style="5263" customWidth="1"/>
    <col min="5653" max="5653" width="17.54296875" style="5263" customWidth="1"/>
    <col min="5654" max="5654" width="9.81640625" style="5263"/>
    <col min="5655" max="5655" width="17" style="5263" bestFit="1" customWidth="1"/>
    <col min="5656" max="5888" width="9.81640625" style="5263"/>
    <col min="5889" max="5889" width="7.453125" style="5263" customWidth="1"/>
    <col min="5890" max="5890" width="25.1796875" style="5263" customWidth="1"/>
    <col min="5891" max="5891" width="24.54296875" style="5263" bestFit="1" customWidth="1"/>
    <col min="5892" max="5893" width="17.26953125" style="5263" customWidth="1"/>
    <col min="5894" max="5894" width="6.81640625" style="5263" customWidth="1"/>
    <col min="5895" max="5895" width="21.453125" style="5263" customWidth="1"/>
    <col min="5896" max="5896" width="9.26953125" style="5263" customWidth="1"/>
    <col min="5897" max="5897" width="21.453125" style="5263" customWidth="1"/>
    <col min="5898" max="5901" width="10.453125" style="5263" customWidth="1"/>
    <col min="5902" max="5903" width="21.81640625" style="5263" customWidth="1"/>
    <col min="5904" max="5904" width="9.81640625" style="5263"/>
    <col min="5905" max="5906" width="9.453125" style="5263" customWidth="1"/>
    <col min="5907" max="5907" width="17.54296875" style="5263" customWidth="1"/>
    <col min="5908" max="5908" width="12.1796875" style="5263" customWidth="1"/>
    <col min="5909" max="5909" width="17.54296875" style="5263" customWidth="1"/>
    <col min="5910" max="5910" width="9.81640625" style="5263"/>
    <col min="5911" max="5911" width="17" style="5263" bestFit="1" customWidth="1"/>
    <col min="5912" max="6144" width="9.81640625" style="5263"/>
    <col min="6145" max="6145" width="7.453125" style="5263" customWidth="1"/>
    <col min="6146" max="6146" width="25.1796875" style="5263" customWidth="1"/>
    <col min="6147" max="6147" width="24.54296875" style="5263" bestFit="1" customWidth="1"/>
    <col min="6148" max="6149" width="17.26953125" style="5263" customWidth="1"/>
    <col min="6150" max="6150" width="6.81640625" style="5263" customWidth="1"/>
    <col min="6151" max="6151" width="21.453125" style="5263" customWidth="1"/>
    <col min="6152" max="6152" width="9.26953125" style="5263" customWidth="1"/>
    <col min="6153" max="6153" width="21.453125" style="5263" customWidth="1"/>
    <col min="6154" max="6157" width="10.453125" style="5263" customWidth="1"/>
    <col min="6158" max="6159" width="21.81640625" style="5263" customWidth="1"/>
    <col min="6160" max="6160" width="9.81640625" style="5263"/>
    <col min="6161" max="6162" width="9.453125" style="5263" customWidth="1"/>
    <col min="6163" max="6163" width="17.54296875" style="5263" customWidth="1"/>
    <col min="6164" max="6164" width="12.1796875" style="5263" customWidth="1"/>
    <col min="6165" max="6165" width="17.54296875" style="5263" customWidth="1"/>
    <col min="6166" max="6166" width="9.81640625" style="5263"/>
    <col min="6167" max="6167" width="17" style="5263" bestFit="1" customWidth="1"/>
    <col min="6168" max="6400" width="9.81640625" style="5263"/>
    <col min="6401" max="6401" width="7.453125" style="5263" customWidth="1"/>
    <col min="6402" max="6402" width="25.1796875" style="5263" customWidth="1"/>
    <col min="6403" max="6403" width="24.54296875" style="5263" bestFit="1" customWidth="1"/>
    <col min="6404" max="6405" width="17.26953125" style="5263" customWidth="1"/>
    <col min="6406" max="6406" width="6.81640625" style="5263" customWidth="1"/>
    <col min="6407" max="6407" width="21.453125" style="5263" customWidth="1"/>
    <col min="6408" max="6408" width="9.26953125" style="5263" customWidth="1"/>
    <col min="6409" max="6409" width="21.453125" style="5263" customWidth="1"/>
    <col min="6410" max="6413" width="10.453125" style="5263" customWidth="1"/>
    <col min="6414" max="6415" width="21.81640625" style="5263" customWidth="1"/>
    <col min="6416" max="6416" width="9.81640625" style="5263"/>
    <col min="6417" max="6418" width="9.453125" style="5263" customWidth="1"/>
    <col min="6419" max="6419" width="17.54296875" style="5263" customWidth="1"/>
    <col min="6420" max="6420" width="12.1796875" style="5263" customWidth="1"/>
    <col min="6421" max="6421" width="17.54296875" style="5263" customWidth="1"/>
    <col min="6422" max="6422" width="9.81640625" style="5263"/>
    <col min="6423" max="6423" width="17" style="5263" bestFit="1" customWidth="1"/>
    <col min="6424" max="6656" width="9.81640625" style="5263"/>
    <col min="6657" max="6657" width="7.453125" style="5263" customWidth="1"/>
    <col min="6658" max="6658" width="25.1796875" style="5263" customWidth="1"/>
    <col min="6659" max="6659" width="24.54296875" style="5263" bestFit="1" customWidth="1"/>
    <col min="6660" max="6661" width="17.26953125" style="5263" customWidth="1"/>
    <col min="6662" max="6662" width="6.81640625" style="5263" customWidth="1"/>
    <col min="6663" max="6663" width="21.453125" style="5263" customWidth="1"/>
    <col min="6664" max="6664" width="9.26953125" style="5263" customWidth="1"/>
    <col min="6665" max="6665" width="21.453125" style="5263" customWidth="1"/>
    <col min="6666" max="6669" width="10.453125" style="5263" customWidth="1"/>
    <col min="6670" max="6671" width="21.81640625" style="5263" customWidth="1"/>
    <col min="6672" max="6672" width="9.81640625" style="5263"/>
    <col min="6673" max="6674" width="9.453125" style="5263" customWidth="1"/>
    <col min="6675" max="6675" width="17.54296875" style="5263" customWidth="1"/>
    <col min="6676" max="6676" width="12.1796875" style="5263" customWidth="1"/>
    <col min="6677" max="6677" width="17.54296875" style="5263" customWidth="1"/>
    <col min="6678" max="6678" width="9.81640625" style="5263"/>
    <col min="6679" max="6679" width="17" style="5263" bestFit="1" customWidth="1"/>
    <col min="6680" max="6912" width="9.81640625" style="5263"/>
    <col min="6913" max="6913" width="7.453125" style="5263" customWidth="1"/>
    <col min="6914" max="6914" width="25.1796875" style="5263" customWidth="1"/>
    <col min="6915" max="6915" width="24.54296875" style="5263" bestFit="1" customWidth="1"/>
    <col min="6916" max="6917" width="17.26953125" style="5263" customWidth="1"/>
    <col min="6918" max="6918" width="6.81640625" style="5263" customWidth="1"/>
    <col min="6919" max="6919" width="21.453125" style="5263" customWidth="1"/>
    <col min="6920" max="6920" width="9.26953125" style="5263" customWidth="1"/>
    <col min="6921" max="6921" width="21.453125" style="5263" customWidth="1"/>
    <col min="6922" max="6925" width="10.453125" style="5263" customWidth="1"/>
    <col min="6926" max="6927" width="21.81640625" style="5263" customWidth="1"/>
    <col min="6928" max="6928" width="9.81640625" style="5263"/>
    <col min="6929" max="6930" width="9.453125" style="5263" customWidth="1"/>
    <col min="6931" max="6931" width="17.54296875" style="5263" customWidth="1"/>
    <col min="6932" max="6932" width="12.1796875" style="5263" customWidth="1"/>
    <col min="6933" max="6933" width="17.54296875" style="5263" customWidth="1"/>
    <col min="6934" max="6934" width="9.81640625" style="5263"/>
    <col min="6935" max="6935" width="17" style="5263" bestFit="1" customWidth="1"/>
    <col min="6936" max="7168" width="9.81640625" style="5263"/>
    <col min="7169" max="7169" width="7.453125" style="5263" customWidth="1"/>
    <col min="7170" max="7170" width="25.1796875" style="5263" customWidth="1"/>
    <col min="7171" max="7171" width="24.54296875" style="5263" bestFit="1" customWidth="1"/>
    <col min="7172" max="7173" width="17.26953125" style="5263" customWidth="1"/>
    <col min="7174" max="7174" width="6.81640625" style="5263" customWidth="1"/>
    <col min="7175" max="7175" width="21.453125" style="5263" customWidth="1"/>
    <col min="7176" max="7176" width="9.26953125" style="5263" customWidth="1"/>
    <col min="7177" max="7177" width="21.453125" style="5263" customWidth="1"/>
    <col min="7178" max="7181" width="10.453125" style="5263" customWidth="1"/>
    <col min="7182" max="7183" width="21.81640625" style="5263" customWidth="1"/>
    <col min="7184" max="7184" width="9.81640625" style="5263"/>
    <col min="7185" max="7186" width="9.453125" style="5263" customWidth="1"/>
    <col min="7187" max="7187" width="17.54296875" style="5263" customWidth="1"/>
    <col min="7188" max="7188" width="12.1796875" style="5263" customWidth="1"/>
    <col min="7189" max="7189" width="17.54296875" style="5263" customWidth="1"/>
    <col min="7190" max="7190" width="9.81640625" style="5263"/>
    <col min="7191" max="7191" width="17" style="5263" bestFit="1" customWidth="1"/>
    <col min="7192" max="7424" width="9.81640625" style="5263"/>
    <col min="7425" max="7425" width="7.453125" style="5263" customWidth="1"/>
    <col min="7426" max="7426" width="25.1796875" style="5263" customWidth="1"/>
    <col min="7427" max="7427" width="24.54296875" style="5263" bestFit="1" customWidth="1"/>
    <col min="7428" max="7429" width="17.26953125" style="5263" customWidth="1"/>
    <col min="7430" max="7430" width="6.81640625" style="5263" customWidth="1"/>
    <col min="7431" max="7431" width="21.453125" style="5263" customWidth="1"/>
    <col min="7432" max="7432" width="9.26953125" style="5263" customWidth="1"/>
    <col min="7433" max="7433" width="21.453125" style="5263" customWidth="1"/>
    <col min="7434" max="7437" width="10.453125" style="5263" customWidth="1"/>
    <col min="7438" max="7439" width="21.81640625" style="5263" customWidth="1"/>
    <col min="7440" max="7440" width="9.81640625" style="5263"/>
    <col min="7441" max="7442" width="9.453125" style="5263" customWidth="1"/>
    <col min="7443" max="7443" width="17.54296875" style="5263" customWidth="1"/>
    <col min="7444" max="7444" width="12.1796875" style="5263" customWidth="1"/>
    <col min="7445" max="7445" width="17.54296875" style="5263" customWidth="1"/>
    <col min="7446" max="7446" width="9.81640625" style="5263"/>
    <col min="7447" max="7447" width="17" style="5263" bestFit="1" customWidth="1"/>
    <col min="7448" max="7680" width="9.81640625" style="5263"/>
    <col min="7681" max="7681" width="7.453125" style="5263" customWidth="1"/>
    <col min="7682" max="7682" width="25.1796875" style="5263" customWidth="1"/>
    <col min="7683" max="7683" width="24.54296875" style="5263" bestFit="1" customWidth="1"/>
    <col min="7684" max="7685" width="17.26953125" style="5263" customWidth="1"/>
    <col min="7686" max="7686" width="6.81640625" style="5263" customWidth="1"/>
    <col min="7687" max="7687" width="21.453125" style="5263" customWidth="1"/>
    <col min="7688" max="7688" width="9.26953125" style="5263" customWidth="1"/>
    <col min="7689" max="7689" width="21.453125" style="5263" customWidth="1"/>
    <col min="7690" max="7693" width="10.453125" style="5263" customWidth="1"/>
    <col min="7694" max="7695" width="21.81640625" style="5263" customWidth="1"/>
    <col min="7696" max="7696" width="9.81640625" style="5263"/>
    <col min="7697" max="7698" width="9.453125" style="5263" customWidth="1"/>
    <col min="7699" max="7699" width="17.54296875" style="5263" customWidth="1"/>
    <col min="7700" max="7700" width="12.1796875" style="5263" customWidth="1"/>
    <col min="7701" max="7701" width="17.54296875" style="5263" customWidth="1"/>
    <col min="7702" max="7702" width="9.81640625" style="5263"/>
    <col min="7703" max="7703" width="17" style="5263" bestFit="1" customWidth="1"/>
    <col min="7704" max="7936" width="9.81640625" style="5263"/>
    <col min="7937" max="7937" width="7.453125" style="5263" customWidth="1"/>
    <col min="7938" max="7938" width="25.1796875" style="5263" customWidth="1"/>
    <col min="7939" max="7939" width="24.54296875" style="5263" bestFit="1" customWidth="1"/>
    <col min="7940" max="7941" width="17.26953125" style="5263" customWidth="1"/>
    <col min="7942" max="7942" width="6.81640625" style="5263" customWidth="1"/>
    <col min="7943" max="7943" width="21.453125" style="5263" customWidth="1"/>
    <col min="7944" max="7944" width="9.26953125" style="5263" customWidth="1"/>
    <col min="7945" max="7945" width="21.453125" style="5263" customWidth="1"/>
    <col min="7946" max="7949" width="10.453125" style="5263" customWidth="1"/>
    <col min="7950" max="7951" width="21.81640625" style="5263" customWidth="1"/>
    <col min="7952" max="7952" width="9.81640625" style="5263"/>
    <col min="7953" max="7954" width="9.453125" style="5263" customWidth="1"/>
    <col min="7955" max="7955" width="17.54296875" style="5263" customWidth="1"/>
    <col min="7956" max="7956" width="12.1796875" style="5263" customWidth="1"/>
    <col min="7957" max="7957" width="17.54296875" style="5263" customWidth="1"/>
    <col min="7958" max="7958" width="9.81640625" style="5263"/>
    <col min="7959" max="7959" width="17" style="5263" bestFit="1" customWidth="1"/>
    <col min="7960" max="8192" width="9.81640625" style="5263"/>
    <col min="8193" max="8193" width="7.453125" style="5263" customWidth="1"/>
    <col min="8194" max="8194" width="25.1796875" style="5263" customWidth="1"/>
    <col min="8195" max="8195" width="24.54296875" style="5263" bestFit="1" customWidth="1"/>
    <col min="8196" max="8197" width="17.26953125" style="5263" customWidth="1"/>
    <col min="8198" max="8198" width="6.81640625" style="5263" customWidth="1"/>
    <col min="8199" max="8199" width="21.453125" style="5263" customWidth="1"/>
    <col min="8200" max="8200" width="9.26953125" style="5263" customWidth="1"/>
    <col min="8201" max="8201" width="21.453125" style="5263" customWidth="1"/>
    <col min="8202" max="8205" width="10.453125" style="5263" customWidth="1"/>
    <col min="8206" max="8207" width="21.81640625" style="5263" customWidth="1"/>
    <col min="8208" max="8208" width="9.81640625" style="5263"/>
    <col min="8209" max="8210" width="9.453125" style="5263" customWidth="1"/>
    <col min="8211" max="8211" width="17.54296875" style="5263" customWidth="1"/>
    <col min="8212" max="8212" width="12.1796875" style="5263" customWidth="1"/>
    <col min="8213" max="8213" width="17.54296875" style="5263" customWidth="1"/>
    <col min="8214" max="8214" width="9.81640625" style="5263"/>
    <col min="8215" max="8215" width="17" style="5263" bestFit="1" customWidth="1"/>
    <col min="8216" max="8448" width="9.81640625" style="5263"/>
    <col min="8449" max="8449" width="7.453125" style="5263" customWidth="1"/>
    <col min="8450" max="8450" width="25.1796875" style="5263" customWidth="1"/>
    <col min="8451" max="8451" width="24.54296875" style="5263" bestFit="1" customWidth="1"/>
    <col min="8452" max="8453" width="17.26953125" style="5263" customWidth="1"/>
    <col min="8454" max="8454" width="6.81640625" style="5263" customWidth="1"/>
    <col min="8455" max="8455" width="21.453125" style="5263" customWidth="1"/>
    <col min="8456" max="8456" width="9.26953125" style="5263" customWidth="1"/>
    <col min="8457" max="8457" width="21.453125" style="5263" customWidth="1"/>
    <col min="8458" max="8461" width="10.453125" style="5263" customWidth="1"/>
    <col min="8462" max="8463" width="21.81640625" style="5263" customWidth="1"/>
    <col min="8464" max="8464" width="9.81640625" style="5263"/>
    <col min="8465" max="8466" width="9.453125" style="5263" customWidth="1"/>
    <col min="8467" max="8467" width="17.54296875" style="5263" customWidth="1"/>
    <col min="8468" max="8468" width="12.1796875" style="5263" customWidth="1"/>
    <col min="8469" max="8469" width="17.54296875" style="5263" customWidth="1"/>
    <col min="8470" max="8470" width="9.81640625" style="5263"/>
    <col min="8471" max="8471" width="17" style="5263" bestFit="1" customWidth="1"/>
    <col min="8472" max="8704" width="9.81640625" style="5263"/>
    <col min="8705" max="8705" width="7.453125" style="5263" customWidth="1"/>
    <col min="8706" max="8706" width="25.1796875" style="5263" customWidth="1"/>
    <col min="8707" max="8707" width="24.54296875" style="5263" bestFit="1" customWidth="1"/>
    <col min="8708" max="8709" width="17.26953125" style="5263" customWidth="1"/>
    <col min="8710" max="8710" width="6.81640625" style="5263" customWidth="1"/>
    <col min="8711" max="8711" width="21.453125" style="5263" customWidth="1"/>
    <col min="8712" max="8712" width="9.26953125" style="5263" customWidth="1"/>
    <col min="8713" max="8713" width="21.453125" style="5263" customWidth="1"/>
    <col min="8714" max="8717" width="10.453125" style="5263" customWidth="1"/>
    <col min="8718" max="8719" width="21.81640625" style="5263" customWidth="1"/>
    <col min="8720" max="8720" width="9.81640625" style="5263"/>
    <col min="8721" max="8722" width="9.453125" style="5263" customWidth="1"/>
    <col min="8723" max="8723" width="17.54296875" style="5263" customWidth="1"/>
    <col min="8724" max="8724" width="12.1796875" style="5263" customWidth="1"/>
    <col min="8725" max="8725" width="17.54296875" style="5263" customWidth="1"/>
    <col min="8726" max="8726" width="9.81640625" style="5263"/>
    <col min="8727" max="8727" width="17" style="5263" bestFit="1" customWidth="1"/>
    <col min="8728" max="8960" width="9.81640625" style="5263"/>
    <col min="8961" max="8961" width="7.453125" style="5263" customWidth="1"/>
    <col min="8962" max="8962" width="25.1796875" style="5263" customWidth="1"/>
    <col min="8963" max="8963" width="24.54296875" style="5263" bestFit="1" customWidth="1"/>
    <col min="8964" max="8965" width="17.26953125" style="5263" customWidth="1"/>
    <col min="8966" max="8966" width="6.81640625" style="5263" customWidth="1"/>
    <col min="8967" max="8967" width="21.453125" style="5263" customWidth="1"/>
    <col min="8968" max="8968" width="9.26953125" style="5263" customWidth="1"/>
    <col min="8969" max="8969" width="21.453125" style="5263" customWidth="1"/>
    <col min="8970" max="8973" width="10.453125" style="5263" customWidth="1"/>
    <col min="8974" max="8975" width="21.81640625" style="5263" customWidth="1"/>
    <col min="8976" max="8976" width="9.81640625" style="5263"/>
    <col min="8977" max="8978" width="9.453125" style="5263" customWidth="1"/>
    <col min="8979" max="8979" width="17.54296875" style="5263" customWidth="1"/>
    <col min="8980" max="8980" width="12.1796875" style="5263" customWidth="1"/>
    <col min="8981" max="8981" width="17.54296875" style="5263" customWidth="1"/>
    <col min="8982" max="8982" width="9.81640625" style="5263"/>
    <col min="8983" max="8983" width="17" style="5263" bestFit="1" customWidth="1"/>
    <col min="8984" max="9216" width="9.81640625" style="5263"/>
    <col min="9217" max="9217" width="7.453125" style="5263" customWidth="1"/>
    <col min="9218" max="9218" width="25.1796875" style="5263" customWidth="1"/>
    <col min="9219" max="9219" width="24.54296875" style="5263" bestFit="1" customWidth="1"/>
    <col min="9220" max="9221" width="17.26953125" style="5263" customWidth="1"/>
    <col min="9222" max="9222" width="6.81640625" style="5263" customWidth="1"/>
    <col min="9223" max="9223" width="21.453125" style="5263" customWidth="1"/>
    <col min="9224" max="9224" width="9.26953125" style="5263" customWidth="1"/>
    <col min="9225" max="9225" width="21.453125" style="5263" customWidth="1"/>
    <col min="9226" max="9229" width="10.453125" style="5263" customWidth="1"/>
    <col min="9230" max="9231" width="21.81640625" style="5263" customWidth="1"/>
    <col min="9232" max="9232" width="9.81640625" style="5263"/>
    <col min="9233" max="9234" width="9.453125" style="5263" customWidth="1"/>
    <col min="9235" max="9235" width="17.54296875" style="5263" customWidth="1"/>
    <col min="9236" max="9236" width="12.1796875" style="5263" customWidth="1"/>
    <col min="9237" max="9237" width="17.54296875" style="5263" customWidth="1"/>
    <col min="9238" max="9238" width="9.81640625" style="5263"/>
    <col min="9239" max="9239" width="17" style="5263" bestFit="1" customWidth="1"/>
    <col min="9240" max="9472" width="9.81640625" style="5263"/>
    <col min="9473" max="9473" width="7.453125" style="5263" customWidth="1"/>
    <col min="9474" max="9474" width="25.1796875" style="5263" customWidth="1"/>
    <col min="9475" max="9475" width="24.54296875" style="5263" bestFit="1" customWidth="1"/>
    <col min="9476" max="9477" width="17.26953125" style="5263" customWidth="1"/>
    <col min="9478" max="9478" width="6.81640625" style="5263" customWidth="1"/>
    <col min="9479" max="9479" width="21.453125" style="5263" customWidth="1"/>
    <col min="9480" max="9480" width="9.26953125" style="5263" customWidth="1"/>
    <col min="9481" max="9481" width="21.453125" style="5263" customWidth="1"/>
    <col min="9482" max="9485" width="10.453125" style="5263" customWidth="1"/>
    <col min="9486" max="9487" width="21.81640625" style="5263" customWidth="1"/>
    <col min="9488" max="9488" width="9.81640625" style="5263"/>
    <col min="9489" max="9490" width="9.453125" style="5263" customWidth="1"/>
    <col min="9491" max="9491" width="17.54296875" style="5263" customWidth="1"/>
    <col min="9492" max="9492" width="12.1796875" style="5263" customWidth="1"/>
    <col min="9493" max="9493" width="17.54296875" style="5263" customWidth="1"/>
    <col min="9494" max="9494" width="9.81640625" style="5263"/>
    <col min="9495" max="9495" width="17" style="5263" bestFit="1" customWidth="1"/>
    <col min="9496" max="9728" width="9.81640625" style="5263"/>
    <col min="9729" max="9729" width="7.453125" style="5263" customWidth="1"/>
    <col min="9730" max="9730" width="25.1796875" style="5263" customWidth="1"/>
    <col min="9731" max="9731" width="24.54296875" style="5263" bestFit="1" customWidth="1"/>
    <col min="9732" max="9733" width="17.26953125" style="5263" customWidth="1"/>
    <col min="9734" max="9734" width="6.81640625" style="5263" customWidth="1"/>
    <col min="9735" max="9735" width="21.453125" style="5263" customWidth="1"/>
    <col min="9736" max="9736" width="9.26953125" style="5263" customWidth="1"/>
    <col min="9737" max="9737" width="21.453125" style="5263" customWidth="1"/>
    <col min="9738" max="9741" width="10.453125" style="5263" customWidth="1"/>
    <col min="9742" max="9743" width="21.81640625" style="5263" customWidth="1"/>
    <col min="9744" max="9744" width="9.81640625" style="5263"/>
    <col min="9745" max="9746" width="9.453125" style="5263" customWidth="1"/>
    <col min="9747" max="9747" width="17.54296875" style="5263" customWidth="1"/>
    <col min="9748" max="9748" width="12.1796875" style="5263" customWidth="1"/>
    <col min="9749" max="9749" width="17.54296875" style="5263" customWidth="1"/>
    <col min="9750" max="9750" width="9.81640625" style="5263"/>
    <col min="9751" max="9751" width="17" style="5263" bestFit="1" customWidth="1"/>
    <col min="9752" max="9984" width="9.81640625" style="5263"/>
    <col min="9985" max="9985" width="7.453125" style="5263" customWidth="1"/>
    <col min="9986" max="9986" width="25.1796875" style="5263" customWidth="1"/>
    <col min="9987" max="9987" width="24.54296875" style="5263" bestFit="1" customWidth="1"/>
    <col min="9988" max="9989" width="17.26953125" style="5263" customWidth="1"/>
    <col min="9990" max="9990" width="6.81640625" style="5263" customWidth="1"/>
    <col min="9991" max="9991" width="21.453125" style="5263" customWidth="1"/>
    <col min="9992" max="9992" width="9.26953125" style="5263" customWidth="1"/>
    <col min="9993" max="9993" width="21.453125" style="5263" customWidth="1"/>
    <col min="9994" max="9997" width="10.453125" style="5263" customWidth="1"/>
    <col min="9998" max="9999" width="21.81640625" style="5263" customWidth="1"/>
    <col min="10000" max="10000" width="9.81640625" style="5263"/>
    <col min="10001" max="10002" width="9.453125" style="5263" customWidth="1"/>
    <col min="10003" max="10003" width="17.54296875" style="5263" customWidth="1"/>
    <col min="10004" max="10004" width="12.1796875" style="5263" customWidth="1"/>
    <col min="10005" max="10005" width="17.54296875" style="5263" customWidth="1"/>
    <col min="10006" max="10006" width="9.81640625" style="5263"/>
    <col min="10007" max="10007" width="17" style="5263" bestFit="1" customWidth="1"/>
    <col min="10008" max="10240" width="9.81640625" style="5263"/>
    <col min="10241" max="10241" width="7.453125" style="5263" customWidth="1"/>
    <col min="10242" max="10242" width="25.1796875" style="5263" customWidth="1"/>
    <col min="10243" max="10243" width="24.54296875" style="5263" bestFit="1" customWidth="1"/>
    <col min="10244" max="10245" width="17.26953125" style="5263" customWidth="1"/>
    <col min="10246" max="10246" width="6.81640625" style="5263" customWidth="1"/>
    <col min="10247" max="10247" width="21.453125" style="5263" customWidth="1"/>
    <col min="10248" max="10248" width="9.26953125" style="5263" customWidth="1"/>
    <col min="10249" max="10249" width="21.453125" style="5263" customWidth="1"/>
    <col min="10250" max="10253" width="10.453125" style="5263" customWidth="1"/>
    <col min="10254" max="10255" width="21.81640625" style="5263" customWidth="1"/>
    <col min="10256" max="10256" width="9.81640625" style="5263"/>
    <col min="10257" max="10258" width="9.453125" style="5263" customWidth="1"/>
    <col min="10259" max="10259" width="17.54296875" style="5263" customWidth="1"/>
    <col min="10260" max="10260" width="12.1796875" style="5263" customWidth="1"/>
    <col min="10261" max="10261" width="17.54296875" style="5263" customWidth="1"/>
    <col min="10262" max="10262" width="9.81640625" style="5263"/>
    <col min="10263" max="10263" width="17" style="5263" bestFit="1" customWidth="1"/>
    <col min="10264" max="10496" width="9.81640625" style="5263"/>
    <col min="10497" max="10497" width="7.453125" style="5263" customWidth="1"/>
    <col min="10498" max="10498" width="25.1796875" style="5263" customWidth="1"/>
    <col min="10499" max="10499" width="24.54296875" style="5263" bestFit="1" customWidth="1"/>
    <col min="10500" max="10501" width="17.26953125" style="5263" customWidth="1"/>
    <col min="10502" max="10502" width="6.81640625" style="5263" customWidth="1"/>
    <col min="10503" max="10503" width="21.453125" style="5263" customWidth="1"/>
    <col min="10504" max="10504" width="9.26953125" style="5263" customWidth="1"/>
    <col min="10505" max="10505" width="21.453125" style="5263" customWidth="1"/>
    <col min="10506" max="10509" width="10.453125" style="5263" customWidth="1"/>
    <col min="10510" max="10511" width="21.81640625" style="5263" customWidth="1"/>
    <col min="10512" max="10512" width="9.81640625" style="5263"/>
    <col min="10513" max="10514" width="9.453125" style="5263" customWidth="1"/>
    <col min="10515" max="10515" width="17.54296875" style="5263" customWidth="1"/>
    <col min="10516" max="10516" width="12.1796875" style="5263" customWidth="1"/>
    <col min="10517" max="10517" width="17.54296875" style="5263" customWidth="1"/>
    <col min="10518" max="10518" width="9.81640625" style="5263"/>
    <col min="10519" max="10519" width="17" style="5263" bestFit="1" customWidth="1"/>
    <col min="10520" max="10752" width="9.81640625" style="5263"/>
    <col min="10753" max="10753" width="7.453125" style="5263" customWidth="1"/>
    <col min="10754" max="10754" width="25.1796875" style="5263" customWidth="1"/>
    <col min="10755" max="10755" width="24.54296875" style="5263" bestFit="1" customWidth="1"/>
    <col min="10756" max="10757" width="17.26953125" style="5263" customWidth="1"/>
    <col min="10758" max="10758" width="6.81640625" style="5263" customWidth="1"/>
    <col min="10759" max="10759" width="21.453125" style="5263" customWidth="1"/>
    <col min="10760" max="10760" width="9.26953125" style="5263" customWidth="1"/>
    <col min="10761" max="10761" width="21.453125" style="5263" customWidth="1"/>
    <col min="10762" max="10765" width="10.453125" style="5263" customWidth="1"/>
    <col min="10766" max="10767" width="21.81640625" style="5263" customWidth="1"/>
    <col min="10768" max="10768" width="9.81640625" style="5263"/>
    <col min="10769" max="10770" width="9.453125" style="5263" customWidth="1"/>
    <col min="10771" max="10771" width="17.54296875" style="5263" customWidth="1"/>
    <col min="10772" max="10772" width="12.1796875" style="5263" customWidth="1"/>
    <col min="10773" max="10773" width="17.54296875" style="5263" customWidth="1"/>
    <col min="10774" max="10774" width="9.81640625" style="5263"/>
    <col min="10775" max="10775" width="17" style="5263" bestFit="1" customWidth="1"/>
    <col min="10776" max="11008" width="9.81640625" style="5263"/>
    <col min="11009" max="11009" width="7.453125" style="5263" customWidth="1"/>
    <col min="11010" max="11010" width="25.1796875" style="5263" customWidth="1"/>
    <col min="11011" max="11011" width="24.54296875" style="5263" bestFit="1" customWidth="1"/>
    <col min="11012" max="11013" width="17.26953125" style="5263" customWidth="1"/>
    <col min="11014" max="11014" width="6.81640625" style="5263" customWidth="1"/>
    <col min="11015" max="11015" width="21.453125" style="5263" customWidth="1"/>
    <col min="11016" max="11016" width="9.26953125" style="5263" customWidth="1"/>
    <col min="11017" max="11017" width="21.453125" style="5263" customWidth="1"/>
    <col min="11018" max="11021" width="10.453125" style="5263" customWidth="1"/>
    <col min="11022" max="11023" width="21.81640625" style="5263" customWidth="1"/>
    <col min="11024" max="11024" width="9.81640625" style="5263"/>
    <col min="11025" max="11026" width="9.453125" style="5263" customWidth="1"/>
    <col min="11027" max="11027" width="17.54296875" style="5263" customWidth="1"/>
    <col min="11028" max="11028" width="12.1796875" style="5263" customWidth="1"/>
    <col min="11029" max="11029" width="17.54296875" style="5263" customWidth="1"/>
    <col min="11030" max="11030" width="9.81640625" style="5263"/>
    <col min="11031" max="11031" width="17" style="5263" bestFit="1" customWidth="1"/>
    <col min="11032" max="11264" width="9.81640625" style="5263"/>
    <col min="11265" max="11265" width="7.453125" style="5263" customWidth="1"/>
    <col min="11266" max="11266" width="25.1796875" style="5263" customWidth="1"/>
    <col min="11267" max="11267" width="24.54296875" style="5263" bestFit="1" customWidth="1"/>
    <col min="11268" max="11269" width="17.26953125" style="5263" customWidth="1"/>
    <col min="11270" max="11270" width="6.81640625" style="5263" customWidth="1"/>
    <col min="11271" max="11271" width="21.453125" style="5263" customWidth="1"/>
    <col min="11272" max="11272" width="9.26953125" style="5263" customWidth="1"/>
    <col min="11273" max="11273" width="21.453125" style="5263" customWidth="1"/>
    <col min="11274" max="11277" width="10.453125" style="5263" customWidth="1"/>
    <col min="11278" max="11279" width="21.81640625" style="5263" customWidth="1"/>
    <col min="11280" max="11280" width="9.81640625" style="5263"/>
    <col min="11281" max="11282" width="9.453125" style="5263" customWidth="1"/>
    <col min="11283" max="11283" width="17.54296875" style="5263" customWidth="1"/>
    <col min="11284" max="11284" width="12.1796875" style="5263" customWidth="1"/>
    <col min="11285" max="11285" width="17.54296875" style="5263" customWidth="1"/>
    <col min="11286" max="11286" width="9.81640625" style="5263"/>
    <col min="11287" max="11287" width="17" style="5263" bestFit="1" customWidth="1"/>
    <col min="11288" max="11520" width="9.81640625" style="5263"/>
    <col min="11521" max="11521" width="7.453125" style="5263" customWidth="1"/>
    <col min="11522" max="11522" width="25.1796875" style="5263" customWidth="1"/>
    <col min="11523" max="11523" width="24.54296875" style="5263" bestFit="1" customWidth="1"/>
    <col min="11524" max="11525" width="17.26953125" style="5263" customWidth="1"/>
    <col min="11526" max="11526" width="6.81640625" style="5263" customWidth="1"/>
    <col min="11527" max="11527" width="21.453125" style="5263" customWidth="1"/>
    <col min="11528" max="11528" width="9.26953125" style="5263" customWidth="1"/>
    <col min="11529" max="11529" width="21.453125" style="5263" customWidth="1"/>
    <col min="11530" max="11533" width="10.453125" style="5263" customWidth="1"/>
    <col min="11534" max="11535" width="21.81640625" style="5263" customWidth="1"/>
    <col min="11536" max="11536" width="9.81640625" style="5263"/>
    <col min="11537" max="11538" width="9.453125" style="5263" customWidth="1"/>
    <col min="11539" max="11539" width="17.54296875" style="5263" customWidth="1"/>
    <col min="11540" max="11540" width="12.1796875" style="5263" customWidth="1"/>
    <col min="11541" max="11541" width="17.54296875" style="5263" customWidth="1"/>
    <col min="11542" max="11542" width="9.81640625" style="5263"/>
    <col min="11543" max="11543" width="17" style="5263" bestFit="1" customWidth="1"/>
    <col min="11544" max="11776" width="9.81640625" style="5263"/>
    <col min="11777" max="11777" width="7.453125" style="5263" customWidth="1"/>
    <col min="11778" max="11778" width="25.1796875" style="5263" customWidth="1"/>
    <col min="11779" max="11779" width="24.54296875" style="5263" bestFit="1" customWidth="1"/>
    <col min="11780" max="11781" width="17.26953125" style="5263" customWidth="1"/>
    <col min="11782" max="11782" width="6.81640625" style="5263" customWidth="1"/>
    <col min="11783" max="11783" width="21.453125" style="5263" customWidth="1"/>
    <col min="11784" max="11784" width="9.26953125" style="5263" customWidth="1"/>
    <col min="11785" max="11785" width="21.453125" style="5263" customWidth="1"/>
    <col min="11786" max="11789" width="10.453125" style="5263" customWidth="1"/>
    <col min="11790" max="11791" width="21.81640625" style="5263" customWidth="1"/>
    <col min="11792" max="11792" width="9.81640625" style="5263"/>
    <col min="11793" max="11794" width="9.453125" style="5263" customWidth="1"/>
    <col min="11795" max="11795" width="17.54296875" style="5263" customWidth="1"/>
    <col min="11796" max="11796" width="12.1796875" style="5263" customWidth="1"/>
    <col min="11797" max="11797" width="17.54296875" style="5263" customWidth="1"/>
    <col min="11798" max="11798" width="9.81640625" style="5263"/>
    <col min="11799" max="11799" width="17" style="5263" bestFit="1" customWidth="1"/>
    <col min="11800" max="12032" width="9.81640625" style="5263"/>
    <col min="12033" max="12033" width="7.453125" style="5263" customWidth="1"/>
    <col min="12034" max="12034" width="25.1796875" style="5263" customWidth="1"/>
    <col min="12035" max="12035" width="24.54296875" style="5263" bestFit="1" customWidth="1"/>
    <col min="12036" max="12037" width="17.26953125" style="5263" customWidth="1"/>
    <col min="12038" max="12038" width="6.81640625" style="5263" customWidth="1"/>
    <col min="12039" max="12039" width="21.453125" style="5263" customWidth="1"/>
    <col min="12040" max="12040" width="9.26953125" style="5263" customWidth="1"/>
    <col min="12041" max="12041" width="21.453125" style="5263" customWidth="1"/>
    <col min="12042" max="12045" width="10.453125" style="5263" customWidth="1"/>
    <col min="12046" max="12047" width="21.81640625" style="5263" customWidth="1"/>
    <col min="12048" max="12048" width="9.81640625" style="5263"/>
    <col min="12049" max="12050" width="9.453125" style="5263" customWidth="1"/>
    <col min="12051" max="12051" width="17.54296875" style="5263" customWidth="1"/>
    <col min="12052" max="12052" width="12.1796875" style="5263" customWidth="1"/>
    <col min="12053" max="12053" width="17.54296875" style="5263" customWidth="1"/>
    <col min="12054" max="12054" width="9.81640625" style="5263"/>
    <col min="12055" max="12055" width="17" style="5263" bestFit="1" customWidth="1"/>
    <col min="12056" max="12288" width="9.81640625" style="5263"/>
    <col min="12289" max="12289" width="7.453125" style="5263" customWidth="1"/>
    <col min="12290" max="12290" width="25.1796875" style="5263" customWidth="1"/>
    <col min="12291" max="12291" width="24.54296875" style="5263" bestFit="1" customWidth="1"/>
    <col min="12292" max="12293" width="17.26953125" style="5263" customWidth="1"/>
    <col min="12294" max="12294" width="6.81640625" style="5263" customWidth="1"/>
    <col min="12295" max="12295" width="21.453125" style="5263" customWidth="1"/>
    <col min="12296" max="12296" width="9.26953125" style="5263" customWidth="1"/>
    <col min="12297" max="12297" width="21.453125" style="5263" customWidth="1"/>
    <col min="12298" max="12301" width="10.453125" style="5263" customWidth="1"/>
    <col min="12302" max="12303" width="21.81640625" style="5263" customWidth="1"/>
    <col min="12304" max="12304" width="9.81640625" style="5263"/>
    <col min="12305" max="12306" width="9.453125" style="5263" customWidth="1"/>
    <col min="12307" max="12307" width="17.54296875" style="5263" customWidth="1"/>
    <col min="12308" max="12308" width="12.1796875" style="5263" customWidth="1"/>
    <col min="12309" max="12309" width="17.54296875" style="5263" customWidth="1"/>
    <col min="12310" max="12310" width="9.81640625" style="5263"/>
    <col min="12311" max="12311" width="17" style="5263" bestFit="1" customWidth="1"/>
    <col min="12312" max="12544" width="9.81640625" style="5263"/>
    <col min="12545" max="12545" width="7.453125" style="5263" customWidth="1"/>
    <col min="12546" max="12546" width="25.1796875" style="5263" customWidth="1"/>
    <col min="12547" max="12547" width="24.54296875" style="5263" bestFit="1" customWidth="1"/>
    <col min="12548" max="12549" width="17.26953125" style="5263" customWidth="1"/>
    <col min="12550" max="12550" width="6.81640625" style="5263" customWidth="1"/>
    <col min="12551" max="12551" width="21.453125" style="5263" customWidth="1"/>
    <col min="12552" max="12552" width="9.26953125" style="5263" customWidth="1"/>
    <col min="12553" max="12553" width="21.453125" style="5263" customWidth="1"/>
    <col min="12554" max="12557" width="10.453125" style="5263" customWidth="1"/>
    <col min="12558" max="12559" width="21.81640625" style="5263" customWidth="1"/>
    <col min="12560" max="12560" width="9.81640625" style="5263"/>
    <col min="12561" max="12562" width="9.453125" style="5263" customWidth="1"/>
    <col min="12563" max="12563" width="17.54296875" style="5263" customWidth="1"/>
    <col min="12564" max="12564" width="12.1796875" style="5263" customWidth="1"/>
    <col min="12565" max="12565" width="17.54296875" style="5263" customWidth="1"/>
    <col min="12566" max="12566" width="9.81640625" style="5263"/>
    <col min="12567" max="12567" width="17" style="5263" bestFit="1" customWidth="1"/>
    <col min="12568" max="12800" width="9.81640625" style="5263"/>
    <col min="12801" max="12801" width="7.453125" style="5263" customWidth="1"/>
    <col min="12802" max="12802" width="25.1796875" style="5263" customWidth="1"/>
    <col min="12803" max="12803" width="24.54296875" style="5263" bestFit="1" customWidth="1"/>
    <col min="12804" max="12805" width="17.26953125" style="5263" customWidth="1"/>
    <col min="12806" max="12806" width="6.81640625" style="5263" customWidth="1"/>
    <col min="12807" max="12807" width="21.453125" style="5263" customWidth="1"/>
    <col min="12808" max="12808" width="9.26953125" style="5263" customWidth="1"/>
    <col min="12809" max="12809" width="21.453125" style="5263" customWidth="1"/>
    <col min="12810" max="12813" width="10.453125" style="5263" customWidth="1"/>
    <col min="12814" max="12815" width="21.81640625" style="5263" customWidth="1"/>
    <col min="12816" max="12816" width="9.81640625" style="5263"/>
    <col min="12817" max="12818" width="9.453125" style="5263" customWidth="1"/>
    <col min="12819" max="12819" width="17.54296875" style="5263" customWidth="1"/>
    <col min="12820" max="12820" width="12.1796875" style="5263" customWidth="1"/>
    <col min="12821" max="12821" width="17.54296875" style="5263" customWidth="1"/>
    <col min="12822" max="12822" width="9.81640625" style="5263"/>
    <col min="12823" max="12823" width="17" style="5263" bestFit="1" customWidth="1"/>
    <col min="12824" max="13056" width="9.81640625" style="5263"/>
    <col min="13057" max="13057" width="7.453125" style="5263" customWidth="1"/>
    <col min="13058" max="13058" width="25.1796875" style="5263" customWidth="1"/>
    <col min="13059" max="13059" width="24.54296875" style="5263" bestFit="1" customWidth="1"/>
    <col min="13060" max="13061" width="17.26953125" style="5263" customWidth="1"/>
    <col min="13062" max="13062" width="6.81640625" style="5263" customWidth="1"/>
    <col min="13063" max="13063" width="21.453125" style="5263" customWidth="1"/>
    <col min="13064" max="13064" width="9.26953125" style="5263" customWidth="1"/>
    <col min="13065" max="13065" width="21.453125" style="5263" customWidth="1"/>
    <col min="13066" max="13069" width="10.453125" style="5263" customWidth="1"/>
    <col min="13070" max="13071" width="21.81640625" style="5263" customWidth="1"/>
    <col min="13072" max="13072" width="9.81640625" style="5263"/>
    <col min="13073" max="13074" width="9.453125" style="5263" customWidth="1"/>
    <col min="13075" max="13075" width="17.54296875" style="5263" customWidth="1"/>
    <col min="13076" max="13076" width="12.1796875" style="5263" customWidth="1"/>
    <col min="13077" max="13077" width="17.54296875" style="5263" customWidth="1"/>
    <col min="13078" max="13078" width="9.81640625" style="5263"/>
    <col min="13079" max="13079" width="17" style="5263" bestFit="1" customWidth="1"/>
    <col min="13080" max="13312" width="9.81640625" style="5263"/>
    <col min="13313" max="13313" width="7.453125" style="5263" customWidth="1"/>
    <col min="13314" max="13314" width="25.1796875" style="5263" customWidth="1"/>
    <col min="13315" max="13315" width="24.54296875" style="5263" bestFit="1" customWidth="1"/>
    <col min="13316" max="13317" width="17.26953125" style="5263" customWidth="1"/>
    <col min="13318" max="13318" width="6.81640625" style="5263" customWidth="1"/>
    <col min="13319" max="13319" width="21.453125" style="5263" customWidth="1"/>
    <col min="13320" max="13320" width="9.26953125" style="5263" customWidth="1"/>
    <col min="13321" max="13321" width="21.453125" style="5263" customWidth="1"/>
    <col min="13322" max="13325" width="10.453125" style="5263" customWidth="1"/>
    <col min="13326" max="13327" width="21.81640625" style="5263" customWidth="1"/>
    <col min="13328" max="13328" width="9.81640625" style="5263"/>
    <col min="13329" max="13330" width="9.453125" style="5263" customWidth="1"/>
    <col min="13331" max="13331" width="17.54296875" style="5263" customWidth="1"/>
    <col min="13332" max="13332" width="12.1796875" style="5263" customWidth="1"/>
    <col min="13333" max="13333" width="17.54296875" style="5263" customWidth="1"/>
    <col min="13334" max="13334" width="9.81640625" style="5263"/>
    <col min="13335" max="13335" width="17" style="5263" bestFit="1" customWidth="1"/>
    <col min="13336" max="13568" width="9.81640625" style="5263"/>
    <col min="13569" max="13569" width="7.453125" style="5263" customWidth="1"/>
    <col min="13570" max="13570" width="25.1796875" style="5263" customWidth="1"/>
    <col min="13571" max="13571" width="24.54296875" style="5263" bestFit="1" customWidth="1"/>
    <col min="13572" max="13573" width="17.26953125" style="5263" customWidth="1"/>
    <col min="13574" max="13574" width="6.81640625" style="5263" customWidth="1"/>
    <col min="13575" max="13575" width="21.453125" style="5263" customWidth="1"/>
    <col min="13576" max="13576" width="9.26953125" style="5263" customWidth="1"/>
    <col min="13577" max="13577" width="21.453125" style="5263" customWidth="1"/>
    <col min="13578" max="13581" width="10.453125" style="5263" customWidth="1"/>
    <col min="13582" max="13583" width="21.81640625" style="5263" customWidth="1"/>
    <col min="13584" max="13584" width="9.81640625" style="5263"/>
    <col min="13585" max="13586" width="9.453125" style="5263" customWidth="1"/>
    <col min="13587" max="13587" width="17.54296875" style="5263" customWidth="1"/>
    <col min="13588" max="13588" width="12.1796875" style="5263" customWidth="1"/>
    <col min="13589" max="13589" width="17.54296875" style="5263" customWidth="1"/>
    <col min="13590" max="13590" width="9.81640625" style="5263"/>
    <col min="13591" max="13591" width="17" style="5263" bestFit="1" customWidth="1"/>
    <col min="13592" max="13824" width="9.81640625" style="5263"/>
    <col min="13825" max="13825" width="7.453125" style="5263" customWidth="1"/>
    <col min="13826" max="13826" width="25.1796875" style="5263" customWidth="1"/>
    <col min="13827" max="13827" width="24.54296875" style="5263" bestFit="1" customWidth="1"/>
    <col min="13828" max="13829" width="17.26953125" style="5263" customWidth="1"/>
    <col min="13830" max="13830" width="6.81640625" style="5263" customWidth="1"/>
    <col min="13831" max="13831" width="21.453125" style="5263" customWidth="1"/>
    <col min="13832" max="13832" width="9.26953125" style="5263" customWidth="1"/>
    <col min="13833" max="13833" width="21.453125" style="5263" customWidth="1"/>
    <col min="13834" max="13837" width="10.453125" style="5263" customWidth="1"/>
    <col min="13838" max="13839" width="21.81640625" style="5263" customWidth="1"/>
    <col min="13840" max="13840" width="9.81640625" style="5263"/>
    <col min="13841" max="13842" width="9.453125" style="5263" customWidth="1"/>
    <col min="13843" max="13843" width="17.54296875" style="5263" customWidth="1"/>
    <col min="13844" max="13844" width="12.1796875" style="5263" customWidth="1"/>
    <col min="13845" max="13845" width="17.54296875" style="5263" customWidth="1"/>
    <col min="13846" max="13846" width="9.81640625" style="5263"/>
    <col min="13847" max="13847" width="17" style="5263" bestFit="1" customWidth="1"/>
    <col min="13848" max="14080" width="9.81640625" style="5263"/>
    <col min="14081" max="14081" width="7.453125" style="5263" customWidth="1"/>
    <col min="14082" max="14082" width="25.1796875" style="5263" customWidth="1"/>
    <col min="14083" max="14083" width="24.54296875" style="5263" bestFit="1" customWidth="1"/>
    <col min="14084" max="14085" width="17.26953125" style="5263" customWidth="1"/>
    <col min="14086" max="14086" width="6.81640625" style="5263" customWidth="1"/>
    <col min="14087" max="14087" width="21.453125" style="5263" customWidth="1"/>
    <col min="14088" max="14088" width="9.26953125" style="5263" customWidth="1"/>
    <col min="14089" max="14089" width="21.453125" style="5263" customWidth="1"/>
    <col min="14090" max="14093" width="10.453125" style="5263" customWidth="1"/>
    <col min="14094" max="14095" width="21.81640625" style="5263" customWidth="1"/>
    <col min="14096" max="14096" width="9.81640625" style="5263"/>
    <col min="14097" max="14098" width="9.453125" style="5263" customWidth="1"/>
    <col min="14099" max="14099" width="17.54296875" style="5263" customWidth="1"/>
    <col min="14100" max="14100" width="12.1796875" style="5263" customWidth="1"/>
    <col min="14101" max="14101" width="17.54296875" style="5263" customWidth="1"/>
    <col min="14102" max="14102" width="9.81640625" style="5263"/>
    <col min="14103" max="14103" width="17" style="5263" bestFit="1" customWidth="1"/>
    <col min="14104" max="14336" width="9.81640625" style="5263"/>
    <col min="14337" max="14337" width="7.453125" style="5263" customWidth="1"/>
    <col min="14338" max="14338" width="25.1796875" style="5263" customWidth="1"/>
    <col min="14339" max="14339" width="24.54296875" style="5263" bestFit="1" customWidth="1"/>
    <col min="14340" max="14341" width="17.26953125" style="5263" customWidth="1"/>
    <col min="14342" max="14342" width="6.81640625" style="5263" customWidth="1"/>
    <col min="14343" max="14343" width="21.453125" style="5263" customWidth="1"/>
    <col min="14344" max="14344" width="9.26953125" style="5263" customWidth="1"/>
    <col min="14345" max="14345" width="21.453125" style="5263" customWidth="1"/>
    <col min="14346" max="14349" width="10.453125" style="5263" customWidth="1"/>
    <col min="14350" max="14351" width="21.81640625" style="5263" customWidth="1"/>
    <col min="14352" max="14352" width="9.81640625" style="5263"/>
    <col min="14353" max="14354" width="9.453125" style="5263" customWidth="1"/>
    <col min="14355" max="14355" width="17.54296875" style="5263" customWidth="1"/>
    <col min="14356" max="14356" width="12.1796875" style="5263" customWidth="1"/>
    <col min="14357" max="14357" width="17.54296875" style="5263" customWidth="1"/>
    <col min="14358" max="14358" width="9.81640625" style="5263"/>
    <col min="14359" max="14359" width="17" style="5263" bestFit="1" customWidth="1"/>
    <col min="14360" max="14592" width="9.81640625" style="5263"/>
    <col min="14593" max="14593" width="7.453125" style="5263" customWidth="1"/>
    <col min="14594" max="14594" width="25.1796875" style="5263" customWidth="1"/>
    <col min="14595" max="14595" width="24.54296875" style="5263" bestFit="1" customWidth="1"/>
    <col min="14596" max="14597" width="17.26953125" style="5263" customWidth="1"/>
    <col min="14598" max="14598" width="6.81640625" style="5263" customWidth="1"/>
    <col min="14599" max="14599" width="21.453125" style="5263" customWidth="1"/>
    <col min="14600" max="14600" width="9.26953125" style="5263" customWidth="1"/>
    <col min="14601" max="14601" width="21.453125" style="5263" customWidth="1"/>
    <col min="14602" max="14605" width="10.453125" style="5263" customWidth="1"/>
    <col min="14606" max="14607" width="21.81640625" style="5263" customWidth="1"/>
    <col min="14608" max="14608" width="9.81640625" style="5263"/>
    <col min="14609" max="14610" width="9.453125" style="5263" customWidth="1"/>
    <col min="14611" max="14611" width="17.54296875" style="5263" customWidth="1"/>
    <col min="14612" max="14612" width="12.1796875" style="5263" customWidth="1"/>
    <col min="14613" max="14613" width="17.54296875" style="5263" customWidth="1"/>
    <col min="14614" max="14614" width="9.81640625" style="5263"/>
    <col min="14615" max="14615" width="17" style="5263" bestFit="1" customWidth="1"/>
    <col min="14616" max="14848" width="9.81640625" style="5263"/>
    <col min="14849" max="14849" width="7.453125" style="5263" customWidth="1"/>
    <col min="14850" max="14850" width="25.1796875" style="5263" customWidth="1"/>
    <col min="14851" max="14851" width="24.54296875" style="5263" bestFit="1" customWidth="1"/>
    <col min="14852" max="14853" width="17.26953125" style="5263" customWidth="1"/>
    <col min="14854" max="14854" width="6.81640625" style="5263" customWidth="1"/>
    <col min="14855" max="14855" width="21.453125" style="5263" customWidth="1"/>
    <col min="14856" max="14856" width="9.26953125" style="5263" customWidth="1"/>
    <col min="14857" max="14857" width="21.453125" style="5263" customWidth="1"/>
    <col min="14858" max="14861" width="10.453125" style="5263" customWidth="1"/>
    <col min="14862" max="14863" width="21.81640625" style="5263" customWidth="1"/>
    <col min="14864" max="14864" width="9.81640625" style="5263"/>
    <col min="14865" max="14866" width="9.453125" style="5263" customWidth="1"/>
    <col min="14867" max="14867" width="17.54296875" style="5263" customWidth="1"/>
    <col min="14868" max="14868" width="12.1796875" style="5263" customWidth="1"/>
    <col min="14869" max="14869" width="17.54296875" style="5263" customWidth="1"/>
    <col min="14870" max="14870" width="9.81640625" style="5263"/>
    <col min="14871" max="14871" width="17" style="5263" bestFit="1" customWidth="1"/>
    <col min="14872" max="15104" width="9.81640625" style="5263"/>
    <col min="15105" max="15105" width="7.453125" style="5263" customWidth="1"/>
    <col min="15106" max="15106" width="25.1796875" style="5263" customWidth="1"/>
    <col min="15107" max="15107" width="24.54296875" style="5263" bestFit="1" customWidth="1"/>
    <col min="15108" max="15109" width="17.26953125" style="5263" customWidth="1"/>
    <col min="15110" max="15110" width="6.81640625" style="5263" customWidth="1"/>
    <col min="15111" max="15111" width="21.453125" style="5263" customWidth="1"/>
    <col min="15112" max="15112" width="9.26953125" style="5263" customWidth="1"/>
    <col min="15113" max="15113" width="21.453125" style="5263" customWidth="1"/>
    <col min="15114" max="15117" width="10.453125" style="5263" customWidth="1"/>
    <col min="15118" max="15119" width="21.81640625" style="5263" customWidth="1"/>
    <col min="15120" max="15120" width="9.81640625" style="5263"/>
    <col min="15121" max="15122" width="9.453125" style="5263" customWidth="1"/>
    <col min="15123" max="15123" width="17.54296875" style="5263" customWidth="1"/>
    <col min="15124" max="15124" width="12.1796875" style="5263" customWidth="1"/>
    <col min="15125" max="15125" width="17.54296875" style="5263" customWidth="1"/>
    <col min="15126" max="15126" width="9.81640625" style="5263"/>
    <col min="15127" max="15127" width="17" style="5263" bestFit="1" customWidth="1"/>
    <col min="15128" max="15360" width="9.81640625" style="5263"/>
    <col min="15361" max="15361" width="7.453125" style="5263" customWidth="1"/>
    <col min="15362" max="15362" width="25.1796875" style="5263" customWidth="1"/>
    <col min="15363" max="15363" width="24.54296875" style="5263" bestFit="1" customWidth="1"/>
    <col min="15364" max="15365" width="17.26953125" style="5263" customWidth="1"/>
    <col min="15366" max="15366" width="6.81640625" style="5263" customWidth="1"/>
    <col min="15367" max="15367" width="21.453125" style="5263" customWidth="1"/>
    <col min="15368" max="15368" width="9.26953125" style="5263" customWidth="1"/>
    <col min="15369" max="15369" width="21.453125" style="5263" customWidth="1"/>
    <col min="15370" max="15373" width="10.453125" style="5263" customWidth="1"/>
    <col min="15374" max="15375" width="21.81640625" style="5263" customWidth="1"/>
    <col min="15376" max="15376" width="9.81640625" style="5263"/>
    <col min="15377" max="15378" width="9.453125" style="5263" customWidth="1"/>
    <col min="15379" max="15379" width="17.54296875" style="5263" customWidth="1"/>
    <col min="15380" max="15380" width="12.1796875" style="5263" customWidth="1"/>
    <col min="15381" max="15381" width="17.54296875" style="5263" customWidth="1"/>
    <col min="15382" max="15382" width="9.81640625" style="5263"/>
    <col min="15383" max="15383" width="17" style="5263" bestFit="1" customWidth="1"/>
    <col min="15384" max="15616" width="9.81640625" style="5263"/>
    <col min="15617" max="15617" width="7.453125" style="5263" customWidth="1"/>
    <col min="15618" max="15618" width="25.1796875" style="5263" customWidth="1"/>
    <col min="15619" max="15619" width="24.54296875" style="5263" bestFit="1" customWidth="1"/>
    <col min="15620" max="15621" width="17.26953125" style="5263" customWidth="1"/>
    <col min="15622" max="15622" width="6.81640625" style="5263" customWidth="1"/>
    <col min="15623" max="15623" width="21.453125" style="5263" customWidth="1"/>
    <col min="15624" max="15624" width="9.26953125" style="5263" customWidth="1"/>
    <col min="15625" max="15625" width="21.453125" style="5263" customWidth="1"/>
    <col min="15626" max="15629" width="10.453125" style="5263" customWidth="1"/>
    <col min="15630" max="15631" width="21.81640625" style="5263" customWidth="1"/>
    <col min="15632" max="15632" width="9.81640625" style="5263"/>
    <col min="15633" max="15634" width="9.453125" style="5263" customWidth="1"/>
    <col min="15635" max="15635" width="17.54296875" style="5263" customWidth="1"/>
    <col min="15636" max="15636" width="12.1796875" style="5263" customWidth="1"/>
    <col min="15637" max="15637" width="17.54296875" style="5263" customWidth="1"/>
    <col min="15638" max="15638" width="9.81640625" style="5263"/>
    <col min="15639" max="15639" width="17" style="5263" bestFit="1" customWidth="1"/>
    <col min="15640" max="15872" width="9.81640625" style="5263"/>
    <col min="15873" max="15873" width="7.453125" style="5263" customWidth="1"/>
    <col min="15874" max="15874" width="25.1796875" style="5263" customWidth="1"/>
    <col min="15875" max="15875" width="24.54296875" style="5263" bestFit="1" customWidth="1"/>
    <col min="15876" max="15877" width="17.26953125" style="5263" customWidth="1"/>
    <col min="15878" max="15878" width="6.81640625" style="5263" customWidth="1"/>
    <col min="15879" max="15879" width="21.453125" style="5263" customWidth="1"/>
    <col min="15880" max="15880" width="9.26953125" style="5263" customWidth="1"/>
    <col min="15881" max="15881" width="21.453125" style="5263" customWidth="1"/>
    <col min="15882" max="15885" width="10.453125" style="5263" customWidth="1"/>
    <col min="15886" max="15887" width="21.81640625" style="5263" customWidth="1"/>
    <col min="15888" max="15888" width="9.81640625" style="5263"/>
    <col min="15889" max="15890" width="9.453125" style="5263" customWidth="1"/>
    <col min="15891" max="15891" width="17.54296875" style="5263" customWidth="1"/>
    <col min="15892" max="15892" width="12.1796875" style="5263" customWidth="1"/>
    <col min="15893" max="15893" width="17.54296875" style="5263" customWidth="1"/>
    <col min="15894" max="15894" width="9.81640625" style="5263"/>
    <col min="15895" max="15895" width="17" style="5263" bestFit="1" customWidth="1"/>
    <col min="15896" max="16128" width="9.81640625" style="5263"/>
    <col min="16129" max="16129" width="7.453125" style="5263" customWidth="1"/>
    <col min="16130" max="16130" width="25.1796875" style="5263" customWidth="1"/>
    <col min="16131" max="16131" width="24.54296875" style="5263" bestFit="1" customWidth="1"/>
    <col min="16132" max="16133" width="17.26953125" style="5263" customWidth="1"/>
    <col min="16134" max="16134" width="6.81640625" style="5263" customWidth="1"/>
    <col min="16135" max="16135" width="21.453125" style="5263" customWidth="1"/>
    <col min="16136" max="16136" width="9.26953125" style="5263" customWidth="1"/>
    <col min="16137" max="16137" width="21.453125" style="5263" customWidth="1"/>
    <col min="16138" max="16141" width="10.453125" style="5263" customWidth="1"/>
    <col min="16142" max="16143" width="21.81640625" style="5263" customWidth="1"/>
    <col min="16144" max="16144" width="9.81640625" style="5263"/>
    <col min="16145" max="16146" width="9.453125" style="5263" customWidth="1"/>
    <col min="16147" max="16147" width="17.54296875" style="5263" customWidth="1"/>
    <col min="16148" max="16148" width="12.1796875" style="5263" customWidth="1"/>
    <col min="16149" max="16149" width="17.54296875" style="5263" customWidth="1"/>
    <col min="16150" max="16150" width="9.81640625" style="5263"/>
    <col min="16151" max="16151" width="17" style="5263" bestFit="1" customWidth="1"/>
    <col min="16152" max="16384" width="9.81640625" style="5263"/>
  </cols>
  <sheetData>
    <row r="1" spans="1:31" ht="21" customHeight="1" thickBot="1">
      <c r="T1" s="5265"/>
    </row>
    <row r="2" spans="1:31" ht="55.4" customHeight="1" thickBot="1">
      <c r="A2" s="6983" t="s">
        <v>6062</v>
      </c>
      <c r="B2" s="6984"/>
      <c r="C2" s="6985" t="s">
        <v>6063</v>
      </c>
      <c r="D2" s="6985"/>
      <c r="E2" s="6985"/>
      <c r="F2" s="6985"/>
      <c r="G2" s="6985"/>
      <c r="H2" s="5268" t="s">
        <v>6064</v>
      </c>
      <c r="I2" s="5269"/>
      <c r="J2" s="5270"/>
      <c r="K2" s="5270"/>
      <c r="T2" s="5265"/>
      <c r="U2" s="5271" t="s">
        <v>6065</v>
      </c>
      <c r="W2" s="5272"/>
      <c r="X2" s="5272"/>
      <c r="Y2" s="5272"/>
      <c r="Z2" s="5272"/>
      <c r="AA2" s="5272"/>
      <c r="AB2" s="5273"/>
      <c r="AC2" s="5273"/>
      <c r="AD2" s="5273"/>
      <c r="AE2" s="5273"/>
    </row>
    <row r="3" spans="1:31" ht="23.15" customHeight="1">
      <c r="A3" s="5274"/>
      <c r="B3" s="5270"/>
      <c r="C3" s="5270"/>
      <c r="D3" s="5270"/>
      <c r="E3" s="5270"/>
      <c r="F3" s="5270"/>
      <c r="G3" s="5270"/>
      <c r="H3" s="5270"/>
      <c r="I3" s="5270"/>
      <c r="J3" s="5270"/>
      <c r="K3" s="5270"/>
      <c r="T3" s="5265"/>
      <c r="W3" s="5272"/>
      <c r="X3" s="5272"/>
      <c r="Y3" s="5272"/>
      <c r="Z3" s="5272"/>
      <c r="AA3" s="5272"/>
      <c r="AB3" s="5273"/>
      <c r="AC3" s="5273"/>
      <c r="AD3" s="5273"/>
      <c r="AE3" s="5273"/>
    </row>
    <row r="4" spans="1:31" ht="23.15" customHeight="1" thickBot="1">
      <c r="A4" s="5275" t="s">
        <v>6066</v>
      </c>
      <c r="B4" s="5263"/>
      <c r="C4" s="5263"/>
      <c r="D4" s="5263"/>
      <c r="G4" s="5263"/>
      <c r="H4" s="5263"/>
      <c r="O4" s="5265"/>
      <c r="P4" s="5265"/>
      <c r="Q4" s="5263"/>
      <c r="AC4" s="5263"/>
    </row>
    <row r="5" spans="1:31" s="5276" customFormat="1" ht="33.75" customHeight="1">
      <c r="A5" s="6977" t="s">
        <v>6067</v>
      </c>
      <c r="B5" s="6968" t="s">
        <v>6068</v>
      </c>
      <c r="C5" s="6968" t="s">
        <v>6069</v>
      </c>
      <c r="D5" s="6968" t="s">
        <v>6070</v>
      </c>
      <c r="E5" s="6968" t="s">
        <v>6071</v>
      </c>
      <c r="F5" s="6979" t="s">
        <v>6072</v>
      </c>
      <c r="G5" s="6968" t="s">
        <v>6073</v>
      </c>
      <c r="H5" s="6981" t="s">
        <v>6074</v>
      </c>
      <c r="I5" s="6968" t="s">
        <v>6075</v>
      </c>
      <c r="J5" s="6979" t="s">
        <v>6076</v>
      </c>
      <c r="K5" s="6966" t="s">
        <v>6077</v>
      </c>
      <c r="L5" s="6966" t="s">
        <v>6078</v>
      </c>
      <c r="M5" s="6966" t="s">
        <v>6079</v>
      </c>
      <c r="N5" s="6968" t="s">
        <v>6956</v>
      </c>
      <c r="O5" s="6970" t="s">
        <v>6957</v>
      </c>
      <c r="P5" s="6972" t="s">
        <v>6080</v>
      </c>
      <c r="Q5" s="6973"/>
      <c r="R5" s="6966" t="s">
        <v>6081</v>
      </c>
      <c r="S5" s="6974"/>
      <c r="T5" s="6974"/>
      <c r="U5" s="6975"/>
    </row>
    <row r="6" spans="1:31" s="5276" customFormat="1" ht="33.75" customHeight="1" thickBot="1">
      <c r="A6" s="6978"/>
      <c r="B6" s="6969"/>
      <c r="C6" s="6969"/>
      <c r="D6" s="6969"/>
      <c r="E6" s="6969"/>
      <c r="F6" s="6980"/>
      <c r="G6" s="6969"/>
      <c r="H6" s="6982"/>
      <c r="I6" s="6969"/>
      <c r="J6" s="6980"/>
      <c r="K6" s="6967"/>
      <c r="L6" s="6967"/>
      <c r="M6" s="6967"/>
      <c r="N6" s="6969"/>
      <c r="O6" s="6971"/>
      <c r="P6" s="5277" t="s">
        <v>6082</v>
      </c>
      <c r="Q6" s="5278" t="s">
        <v>6083</v>
      </c>
      <c r="R6" s="5278" t="s">
        <v>6084</v>
      </c>
      <c r="S6" s="5279" t="s">
        <v>6085</v>
      </c>
      <c r="T6" s="5278" t="s">
        <v>6086</v>
      </c>
      <c r="U6" s="5280" t="s">
        <v>6087</v>
      </c>
    </row>
    <row r="7" spans="1:31" s="5296" customFormat="1" ht="33.75" customHeight="1">
      <c r="A7" s="5281" t="s">
        <v>6088</v>
      </c>
      <c r="B7" s="5282">
        <v>46280</v>
      </c>
      <c r="C7" s="5282">
        <v>46300</v>
      </c>
      <c r="D7" s="5283">
        <v>0.3125</v>
      </c>
      <c r="E7" s="5284">
        <v>0.89583333333333337</v>
      </c>
      <c r="F7" s="5285">
        <f>IF(OR(ISBLANK($B7), ISBLANK($C7)), 0, _xlfn.DAYS($C7, $B7) + 1)</f>
        <v>21</v>
      </c>
      <c r="G7" s="5286" t="s">
        <v>6089</v>
      </c>
      <c r="H7" s="5287">
        <v>3</v>
      </c>
      <c r="I7" s="5285" t="s">
        <v>6090</v>
      </c>
      <c r="J7" s="5288">
        <v>30</v>
      </c>
      <c r="K7" s="5289">
        <v>100</v>
      </c>
      <c r="L7" s="5289">
        <f>J7*K7</f>
        <v>3000</v>
      </c>
      <c r="M7" s="5290">
        <v>5</v>
      </c>
      <c r="N7" s="6240">
        <v>150000</v>
      </c>
      <c r="O7" s="6241">
        <f t="shared" ref="O7:O28" si="0">F7*N7</f>
        <v>3150000</v>
      </c>
      <c r="P7" s="5293" t="s">
        <v>6091</v>
      </c>
      <c r="Q7" s="5294">
        <v>4</v>
      </c>
      <c r="R7" s="5294" t="s">
        <v>6092</v>
      </c>
      <c r="S7" s="5289" t="s">
        <v>6093</v>
      </c>
      <c r="T7" s="5294" t="s">
        <v>6094</v>
      </c>
      <c r="U7" s="5295">
        <v>2000</v>
      </c>
    </row>
    <row r="8" spans="1:31" s="5296" customFormat="1" ht="33.75" customHeight="1">
      <c r="A8" s="5297">
        <v>1</v>
      </c>
      <c r="B8" s="5298">
        <v>46281</v>
      </c>
      <c r="C8" s="5298">
        <v>46281</v>
      </c>
      <c r="D8" s="5299">
        <v>0.70833333333333337</v>
      </c>
      <c r="E8" s="5299">
        <v>0.91666666666666663</v>
      </c>
      <c r="F8" s="5300">
        <f t="shared" ref="F8:F29" si="1">IF(OR(ISBLANK($B8), ISBLANK($C8)), 0, _xlfn.DAYS($C8, $B8) + 1)</f>
        <v>1</v>
      </c>
      <c r="G8" s="5301" t="s">
        <v>6095</v>
      </c>
      <c r="H8" s="5302">
        <v>1</v>
      </c>
      <c r="I8" s="5303" t="s">
        <v>6090</v>
      </c>
      <c r="J8" s="5304">
        <v>30.285714285714285</v>
      </c>
      <c r="K8" s="5305">
        <v>14</v>
      </c>
      <c r="L8" s="5305" t="s">
        <v>6096</v>
      </c>
      <c r="M8" s="5305">
        <v>6.5</v>
      </c>
      <c r="N8" s="5302">
        <v>360000</v>
      </c>
      <c r="O8" s="5306">
        <f t="shared" si="0"/>
        <v>360000</v>
      </c>
      <c r="P8" s="5307" t="s">
        <v>6092</v>
      </c>
      <c r="Q8" s="5308">
        <v>2</v>
      </c>
      <c r="R8" s="5309" t="s">
        <v>6092</v>
      </c>
      <c r="S8" s="5308">
        <v>0</v>
      </c>
      <c r="T8" s="5310" t="s">
        <v>6097</v>
      </c>
      <c r="U8" s="5311">
        <v>0</v>
      </c>
      <c r="W8" s="5312"/>
    </row>
    <row r="9" spans="1:31" ht="33.75" customHeight="1">
      <c r="A9" s="5297">
        <v>2</v>
      </c>
      <c r="B9" s="5298">
        <v>46282</v>
      </c>
      <c r="C9" s="5298">
        <v>46297</v>
      </c>
      <c r="D9" s="5299">
        <v>0.25</v>
      </c>
      <c r="E9" s="5299">
        <v>0.91666666666666663</v>
      </c>
      <c r="F9" s="5300">
        <f t="shared" si="1"/>
        <v>16</v>
      </c>
      <c r="G9" s="5301" t="s">
        <v>6098</v>
      </c>
      <c r="H9" s="5302">
        <v>1</v>
      </c>
      <c r="I9" s="5303" t="s">
        <v>6090</v>
      </c>
      <c r="J9" s="5304">
        <v>30.285714285714285</v>
      </c>
      <c r="K9" s="5305">
        <v>14</v>
      </c>
      <c r="L9" s="5305" t="s">
        <v>6096</v>
      </c>
      <c r="M9" s="5305">
        <v>6.5</v>
      </c>
      <c r="N9" s="5302">
        <v>1080000</v>
      </c>
      <c r="O9" s="5306">
        <f t="shared" si="0"/>
        <v>17280000</v>
      </c>
      <c r="P9" s="5307" t="s">
        <v>6092</v>
      </c>
      <c r="Q9" s="5308">
        <v>2</v>
      </c>
      <c r="R9" s="5309" t="s">
        <v>6092</v>
      </c>
      <c r="S9" s="5308">
        <v>0</v>
      </c>
      <c r="T9" s="5310" t="s">
        <v>6097</v>
      </c>
      <c r="U9" s="5311">
        <v>0</v>
      </c>
      <c r="W9" s="5312"/>
      <c r="AC9" s="5263"/>
    </row>
    <row r="10" spans="1:31" ht="33.75" customHeight="1">
      <c r="A10" s="5297">
        <v>3</v>
      </c>
      <c r="B10" s="5298">
        <v>46298</v>
      </c>
      <c r="C10" s="5298">
        <v>46298</v>
      </c>
      <c r="D10" s="5299">
        <v>0.25</v>
      </c>
      <c r="E10" s="5299">
        <v>0.58333333333333337</v>
      </c>
      <c r="F10" s="5313">
        <f t="shared" si="1"/>
        <v>1</v>
      </c>
      <c r="G10" s="5301" t="s">
        <v>6098</v>
      </c>
      <c r="H10" s="5302">
        <v>1</v>
      </c>
      <c r="I10" s="5303" t="s">
        <v>6090</v>
      </c>
      <c r="J10" s="5304">
        <v>30.285714285714285</v>
      </c>
      <c r="K10" s="5305">
        <v>14</v>
      </c>
      <c r="L10" s="5305" t="s">
        <v>6096</v>
      </c>
      <c r="M10" s="5305">
        <v>6.5</v>
      </c>
      <c r="N10" s="5302">
        <v>410000</v>
      </c>
      <c r="O10" s="5306">
        <f t="shared" si="0"/>
        <v>410000</v>
      </c>
      <c r="P10" s="5314" t="s">
        <v>6092</v>
      </c>
      <c r="Q10" s="5308">
        <v>2</v>
      </c>
      <c r="R10" s="5309" t="s">
        <v>6092</v>
      </c>
      <c r="S10" s="5308">
        <v>0</v>
      </c>
      <c r="T10" s="5310" t="s">
        <v>6097</v>
      </c>
      <c r="U10" s="5311">
        <v>0</v>
      </c>
      <c r="W10" s="5312"/>
      <c r="AC10" s="5263"/>
    </row>
    <row r="11" spans="1:31" ht="33.75" customHeight="1">
      <c r="A11" s="5297">
        <v>4</v>
      </c>
      <c r="B11" s="5298">
        <v>46281</v>
      </c>
      <c r="C11" s="5298">
        <v>46281</v>
      </c>
      <c r="D11" s="5299">
        <v>0.5</v>
      </c>
      <c r="E11" s="5299">
        <v>0.83333333333333337</v>
      </c>
      <c r="F11" s="5300">
        <f t="shared" si="1"/>
        <v>1</v>
      </c>
      <c r="G11" s="5301" t="s">
        <v>6098</v>
      </c>
      <c r="H11" s="5302">
        <v>1</v>
      </c>
      <c r="I11" s="5303" t="s">
        <v>6090</v>
      </c>
      <c r="J11" s="5304">
        <v>30.285714285714285</v>
      </c>
      <c r="K11" s="5305">
        <v>14</v>
      </c>
      <c r="L11" s="5305" t="s">
        <v>6096</v>
      </c>
      <c r="M11" s="5305">
        <v>6.5</v>
      </c>
      <c r="N11" s="5302">
        <v>540000</v>
      </c>
      <c r="O11" s="5306">
        <f t="shared" si="0"/>
        <v>540000</v>
      </c>
      <c r="P11" s="5307" t="s">
        <v>6092</v>
      </c>
      <c r="Q11" s="5308">
        <v>2</v>
      </c>
      <c r="R11" s="5309" t="s">
        <v>6092</v>
      </c>
      <c r="S11" s="5308">
        <v>0</v>
      </c>
      <c r="T11" s="5310" t="s">
        <v>6097</v>
      </c>
      <c r="U11" s="5311">
        <v>0</v>
      </c>
      <c r="W11" s="5312"/>
      <c r="AC11" s="5263"/>
    </row>
    <row r="12" spans="1:31" ht="33.75" customHeight="1">
      <c r="A12" s="5297">
        <v>5</v>
      </c>
      <c r="B12" s="5298">
        <v>46282</v>
      </c>
      <c r="C12" s="5298">
        <v>46297</v>
      </c>
      <c r="D12" s="5299">
        <v>0.5</v>
      </c>
      <c r="E12" s="5299">
        <v>0.83333333333333337</v>
      </c>
      <c r="F12" s="5300">
        <f t="shared" si="1"/>
        <v>16</v>
      </c>
      <c r="G12" s="5301" t="s">
        <v>6098</v>
      </c>
      <c r="H12" s="5302">
        <v>1</v>
      </c>
      <c r="I12" s="5303" t="s">
        <v>6090</v>
      </c>
      <c r="J12" s="5304">
        <v>30.285714285714285</v>
      </c>
      <c r="K12" s="5305">
        <v>14</v>
      </c>
      <c r="L12" s="5305" t="s">
        <v>6096</v>
      </c>
      <c r="M12" s="5305">
        <v>6.5</v>
      </c>
      <c r="N12" s="5302">
        <v>540000</v>
      </c>
      <c r="O12" s="5306">
        <f t="shared" si="0"/>
        <v>8640000</v>
      </c>
      <c r="P12" s="5307" t="s">
        <v>6092</v>
      </c>
      <c r="Q12" s="5308">
        <v>2</v>
      </c>
      <c r="R12" s="5309" t="s">
        <v>6092</v>
      </c>
      <c r="S12" s="5308">
        <v>0</v>
      </c>
      <c r="T12" s="5310" t="s">
        <v>6097</v>
      </c>
      <c r="U12" s="5311">
        <v>0</v>
      </c>
      <c r="W12" s="5312"/>
      <c r="AC12" s="5263"/>
    </row>
    <row r="13" spans="1:31" ht="33.75" customHeight="1">
      <c r="A13" s="5297">
        <v>6</v>
      </c>
      <c r="B13" s="5298">
        <v>46298</v>
      </c>
      <c r="C13" s="5298">
        <v>46298</v>
      </c>
      <c r="D13" s="5299">
        <v>0.5</v>
      </c>
      <c r="E13" s="5299">
        <v>0.83333333333333337</v>
      </c>
      <c r="F13" s="5300">
        <f t="shared" si="1"/>
        <v>1</v>
      </c>
      <c r="G13" s="5301" t="s">
        <v>6098</v>
      </c>
      <c r="H13" s="5302">
        <v>1</v>
      </c>
      <c r="I13" s="5303" t="s">
        <v>6090</v>
      </c>
      <c r="J13" s="5304">
        <v>30.285714285714285</v>
      </c>
      <c r="K13" s="5305">
        <v>14</v>
      </c>
      <c r="L13" s="5305" t="s">
        <v>6096</v>
      </c>
      <c r="M13" s="5305">
        <v>6.5</v>
      </c>
      <c r="N13" s="5302">
        <v>540000</v>
      </c>
      <c r="O13" s="5306">
        <f t="shared" si="0"/>
        <v>540000</v>
      </c>
      <c r="P13" s="5307" t="s">
        <v>6092</v>
      </c>
      <c r="Q13" s="5308">
        <v>2</v>
      </c>
      <c r="R13" s="5309" t="s">
        <v>6092</v>
      </c>
      <c r="S13" s="5308">
        <v>0</v>
      </c>
      <c r="T13" s="5310" t="s">
        <v>6097</v>
      </c>
      <c r="U13" s="5311">
        <v>0</v>
      </c>
      <c r="W13" s="5312"/>
      <c r="AC13" s="5263"/>
    </row>
    <row r="14" spans="1:31" ht="33.75" customHeight="1">
      <c r="A14" s="5297">
        <v>7</v>
      </c>
      <c r="B14" s="5298">
        <v>46279</v>
      </c>
      <c r="C14" s="5298">
        <v>46279</v>
      </c>
      <c r="D14" s="5299">
        <v>0.58333333333333337</v>
      </c>
      <c r="E14" s="5299">
        <v>0.91666666666666663</v>
      </c>
      <c r="F14" s="5300">
        <f t="shared" si="1"/>
        <v>1</v>
      </c>
      <c r="G14" s="5301" t="s">
        <v>6099</v>
      </c>
      <c r="H14" s="5302">
        <v>1</v>
      </c>
      <c r="I14" s="5303" t="s">
        <v>6090</v>
      </c>
      <c r="J14" s="5304">
        <v>60.785714285714285</v>
      </c>
      <c r="K14" s="5305">
        <v>14</v>
      </c>
      <c r="L14" s="5305">
        <v>851</v>
      </c>
      <c r="M14" s="5305">
        <v>6.5</v>
      </c>
      <c r="N14" s="5302">
        <v>1180000</v>
      </c>
      <c r="O14" s="5306">
        <f t="shared" si="0"/>
        <v>1180000</v>
      </c>
      <c r="P14" s="5307" t="s">
        <v>6092</v>
      </c>
      <c r="Q14" s="5308">
        <v>4</v>
      </c>
      <c r="R14" s="5309" t="s">
        <v>6092</v>
      </c>
      <c r="S14" s="5308">
        <v>0</v>
      </c>
      <c r="T14" s="5310" t="s">
        <v>6097</v>
      </c>
      <c r="U14" s="5311">
        <v>0</v>
      </c>
      <c r="W14" s="5312"/>
      <c r="AC14" s="5263"/>
    </row>
    <row r="15" spans="1:31" ht="33.75" customHeight="1">
      <c r="A15" s="5297">
        <v>8</v>
      </c>
      <c r="B15" s="5298">
        <v>46280</v>
      </c>
      <c r="C15" s="5298">
        <v>46280</v>
      </c>
      <c r="D15" s="5299">
        <v>0.25</v>
      </c>
      <c r="E15" s="5299">
        <v>0.91666666666666663</v>
      </c>
      <c r="F15" s="5300">
        <f t="shared" si="1"/>
        <v>1</v>
      </c>
      <c r="G15" s="5301" t="s">
        <v>6099</v>
      </c>
      <c r="H15" s="5302">
        <v>1</v>
      </c>
      <c r="I15" s="5303" t="s">
        <v>6090</v>
      </c>
      <c r="J15" s="5304">
        <v>60.785714285714285</v>
      </c>
      <c r="K15" s="5305">
        <v>14</v>
      </c>
      <c r="L15" s="5305">
        <v>851</v>
      </c>
      <c r="M15" s="5305">
        <v>6.5</v>
      </c>
      <c r="N15" s="5302">
        <v>4040000</v>
      </c>
      <c r="O15" s="5306">
        <f t="shared" si="0"/>
        <v>4040000</v>
      </c>
      <c r="P15" s="5307" t="s">
        <v>6092</v>
      </c>
      <c r="Q15" s="5308">
        <v>4</v>
      </c>
      <c r="R15" s="5309" t="s">
        <v>6092</v>
      </c>
      <c r="S15" s="5308">
        <v>0</v>
      </c>
      <c r="T15" s="5310" t="s">
        <v>6097</v>
      </c>
      <c r="U15" s="5311">
        <v>0</v>
      </c>
      <c r="W15" s="5312"/>
      <c r="AC15" s="5263"/>
    </row>
    <row r="16" spans="1:31" ht="33.75" customHeight="1">
      <c r="A16" s="5297">
        <v>9</v>
      </c>
      <c r="B16" s="5298">
        <v>46299</v>
      </c>
      <c r="C16" s="5298">
        <v>46299</v>
      </c>
      <c r="D16" s="5299">
        <v>0.25</v>
      </c>
      <c r="E16" s="5299">
        <v>0.58333333333333337</v>
      </c>
      <c r="F16" s="5300">
        <f t="shared" si="1"/>
        <v>1</v>
      </c>
      <c r="G16" s="5301" t="s">
        <v>6099</v>
      </c>
      <c r="H16" s="5302">
        <v>1</v>
      </c>
      <c r="I16" s="5303" t="s">
        <v>6090</v>
      </c>
      <c r="J16" s="5304">
        <v>60.785714285714285</v>
      </c>
      <c r="K16" s="5305">
        <v>14</v>
      </c>
      <c r="L16" s="5305">
        <v>851</v>
      </c>
      <c r="M16" s="5305">
        <v>6.5</v>
      </c>
      <c r="N16" s="5302">
        <v>1380000</v>
      </c>
      <c r="O16" s="5306">
        <f t="shared" si="0"/>
        <v>1380000</v>
      </c>
      <c r="P16" s="5307" t="s">
        <v>6092</v>
      </c>
      <c r="Q16" s="5308">
        <v>4</v>
      </c>
      <c r="R16" s="5309" t="s">
        <v>6092</v>
      </c>
      <c r="S16" s="5308">
        <v>0</v>
      </c>
      <c r="T16" s="5310" t="s">
        <v>6097</v>
      </c>
      <c r="U16" s="5311">
        <v>0</v>
      </c>
      <c r="W16" s="5312"/>
      <c r="AC16" s="5263"/>
    </row>
    <row r="17" spans="1:29" ht="33.75" customHeight="1">
      <c r="A17" s="5297">
        <v>10</v>
      </c>
      <c r="B17" s="5298">
        <v>46279</v>
      </c>
      <c r="C17" s="5298">
        <v>46279</v>
      </c>
      <c r="D17" s="5299">
        <v>0.58333333333333337</v>
      </c>
      <c r="E17" s="5299">
        <v>0.91666666666666663</v>
      </c>
      <c r="F17" s="5300">
        <f t="shared" si="1"/>
        <v>1</v>
      </c>
      <c r="G17" s="5315" t="s">
        <v>6100</v>
      </c>
      <c r="H17" s="5302">
        <v>1</v>
      </c>
      <c r="I17" s="5303" t="s">
        <v>6090</v>
      </c>
      <c r="J17" s="5304">
        <v>12</v>
      </c>
      <c r="K17" s="5305">
        <v>12</v>
      </c>
      <c r="L17" s="5305">
        <v>110</v>
      </c>
      <c r="M17" s="5305">
        <v>3.5</v>
      </c>
      <c r="N17" s="5302">
        <v>265000</v>
      </c>
      <c r="O17" s="5306">
        <f t="shared" si="0"/>
        <v>265000</v>
      </c>
      <c r="P17" s="5307" t="s">
        <v>6092</v>
      </c>
      <c r="Q17" s="5308">
        <v>1</v>
      </c>
      <c r="R17" s="5309" t="s">
        <v>6092</v>
      </c>
      <c r="S17" s="5308">
        <v>0</v>
      </c>
      <c r="T17" s="5310" t="s">
        <v>6097</v>
      </c>
      <c r="U17" s="5311">
        <v>0</v>
      </c>
      <c r="W17" s="5312"/>
      <c r="AC17" s="5263"/>
    </row>
    <row r="18" spans="1:29" ht="33.75" customHeight="1">
      <c r="A18" s="5297">
        <v>11</v>
      </c>
      <c r="B18" s="5298">
        <v>46280</v>
      </c>
      <c r="C18" s="5298">
        <v>46298</v>
      </c>
      <c r="D18" s="5299">
        <v>0.25</v>
      </c>
      <c r="E18" s="5299">
        <v>0.91666666666666663</v>
      </c>
      <c r="F18" s="5300">
        <f t="shared" si="1"/>
        <v>19</v>
      </c>
      <c r="G18" s="5315" t="s">
        <v>6100</v>
      </c>
      <c r="H18" s="5302">
        <v>1</v>
      </c>
      <c r="I18" s="5303" t="s">
        <v>6090</v>
      </c>
      <c r="J18" s="5304">
        <v>12</v>
      </c>
      <c r="K18" s="5305">
        <v>12</v>
      </c>
      <c r="L18" s="5305">
        <v>110</v>
      </c>
      <c r="M18" s="5305">
        <v>3.5</v>
      </c>
      <c r="N18" s="5302">
        <v>1180000</v>
      </c>
      <c r="O18" s="5306">
        <f t="shared" si="0"/>
        <v>22420000</v>
      </c>
      <c r="P18" s="5307" t="s">
        <v>6092</v>
      </c>
      <c r="Q18" s="5308">
        <v>1</v>
      </c>
      <c r="R18" s="5309" t="s">
        <v>6092</v>
      </c>
      <c r="S18" s="5308">
        <v>0</v>
      </c>
      <c r="T18" s="5310" t="s">
        <v>6097</v>
      </c>
      <c r="U18" s="5311">
        <v>0</v>
      </c>
      <c r="W18" s="5312"/>
      <c r="AC18" s="5263"/>
    </row>
    <row r="19" spans="1:29" ht="33.75" customHeight="1">
      <c r="A19" s="5297">
        <v>12</v>
      </c>
      <c r="B19" s="5298">
        <v>46299</v>
      </c>
      <c r="C19" s="5298">
        <v>46299</v>
      </c>
      <c r="D19" s="5299">
        <v>0.25</v>
      </c>
      <c r="E19" s="5299">
        <v>0.58333333333333337</v>
      </c>
      <c r="F19" s="5300">
        <f t="shared" si="1"/>
        <v>1</v>
      </c>
      <c r="G19" s="5315" t="s">
        <v>6100</v>
      </c>
      <c r="H19" s="5302">
        <v>1</v>
      </c>
      <c r="I19" s="5303" t="s">
        <v>6090</v>
      </c>
      <c r="J19" s="5304">
        <v>12</v>
      </c>
      <c r="K19" s="5305">
        <v>12</v>
      </c>
      <c r="L19" s="5305">
        <v>110</v>
      </c>
      <c r="M19" s="5305">
        <v>3.5</v>
      </c>
      <c r="N19" s="5302">
        <v>315000</v>
      </c>
      <c r="O19" s="5306">
        <f t="shared" si="0"/>
        <v>315000</v>
      </c>
      <c r="P19" s="5307" t="s">
        <v>6092</v>
      </c>
      <c r="Q19" s="5308">
        <v>1</v>
      </c>
      <c r="R19" s="5309" t="s">
        <v>6092</v>
      </c>
      <c r="S19" s="5308">
        <v>0</v>
      </c>
      <c r="T19" s="5310" t="s">
        <v>6097</v>
      </c>
      <c r="U19" s="5311">
        <v>0</v>
      </c>
      <c r="W19" s="5312"/>
      <c r="AC19" s="5263"/>
    </row>
    <row r="20" spans="1:29" ht="33.75" customHeight="1">
      <c r="A20" s="5297">
        <v>13</v>
      </c>
      <c r="B20" s="5298">
        <v>46279</v>
      </c>
      <c r="C20" s="5298">
        <v>46279</v>
      </c>
      <c r="D20" s="5299">
        <v>0.58333333333333337</v>
      </c>
      <c r="E20" s="5299">
        <v>0.91666666666666663</v>
      </c>
      <c r="F20" s="5300">
        <f t="shared" si="1"/>
        <v>1</v>
      </c>
      <c r="G20" s="5315" t="s">
        <v>6101</v>
      </c>
      <c r="H20" s="5302">
        <v>1</v>
      </c>
      <c r="I20" s="5303" t="s">
        <v>6090</v>
      </c>
      <c r="J20" s="5304">
        <v>31</v>
      </c>
      <c r="K20" s="5305">
        <v>3</v>
      </c>
      <c r="L20" s="5305">
        <v>93</v>
      </c>
      <c r="M20" s="5305">
        <v>4.5</v>
      </c>
      <c r="N20" s="5302">
        <v>265000</v>
      </c>
      <c r="O20" s="5306">
        <f t="shared" si="0"/>
        <v>265000</v>
      </c>
      <c r="P20" s="5307" t="s">
        <v>6092</v>
      </c>
      <c r="Q20" s="5308">
        <v>1</v>
      </c>
      <c r="R20" s="5309" t="s">
        <v>6092</v>
      </c>
      <c r="S20" s="5308">
        <v>0</v>
      </c>
      <c r="T20" s="5310" t="s">
        <v>6097</v>
      </c>
      <c r="U20" s="5311">
        <v>0</v>
      </c>
      <c r="W20" s="5312"/>
      <c r="AC20" s="5263"/>
    </row>
    <row r="21" spans="1:29" ht="33.75" customHeight="1">
      <c r="A21" s="5297">
        <v>14</v>
      </c>
      <c r="B21" s="5298">
        <v>46280</v>
      </c>
      <c r="C21" s="5298">
        <v>46298</v>
      </c>
      <c r="D21" s="5299">
        <v>0.25</v>
      </c>
      <c r="E21" s="5299">
        <v>0.91666666666666663</v>
      </c>
      <c r="F21" s="5300">
        <f t="shared" si="1"/>
        <v>19</v>
      </c>
      <c r="G21" s="5315" t="s">
        <v>6101</v>
      </c>
      <c r="H21" s="5302">
        <v>1</v>
      </c>
      <c r="I21" s="5303" t="s">
        <v>6090</v>
      </c>
      <c r="J21" s="5304">
        <v>31</v>
      </c>
      <c r="K21" s="5305">
        <v>3</v>
      </c>
      <c r="L21" s="5305">
        <v>93</v>
      </c>
      <c r="M21" s="5305">
        <v>4.5</v>
      </c>
      <c r="N21" s="5302">
        <v>1180000</v>
      </c>
      <c r="O21" s="5306">
        <f t="shared" si="0"/>
        <v>22420000</v>
      </c>
      <c r="P21" s="5307" t="s">
        <v>6092</v>
      </c>
      <c r="Q21" s="5308">
        <v>1</v>
      </c>
      <c r="R21" s="5309" t="s">
        <v>6092</v>
      </c>
      <c r="S21" s="5308">
        <v>0</v>
      </c>
      <c r="T21" s="5310" t="s">
        <v>6097</v>
      </c>
      <c r="U21" s="5311">
        <v>0</v>
      </c>
      <c r="W21" s="5312"/>
      <c r="AC21" s="5263"/>
    </row>
    <row r="22" spans="1:29" ht="33.75" customHeight="1">
      <c r="A22" s="5297">
        <v>15</v>
      </c>
      <c r="B22" s="5298">
        <v>46299</v>
      </c>
      <c r="C22" s="5298">
        <v>46299</v>
      </c>
      <c r="D22" s="5299">
        <v>0.25</v>
      </c>
      <c r="E22" s="5299">
        <v>0.58333333333333337</v>
      </c>
      <c r="F22" s="5300">
        <f t="shared" si="1"/>
        <v>1</v>
      </c>
      <c r="G22" s="5315" t="s">
        <v>6101</v>
      </c>
      <c r="H22" s="5302">
        <v>1</v>
      </c>
      <c r="I22" s="5303" t="s">
        <v>6090</v>
      </c>
      <c r="J22" s="5304">
        <v>31</v>
      </c>
      <c r="K22" s="5305">
        <v>3</v>
      </c>
      <c r="L22" s="5305">
        <v>93</v>
      </c>
      <c r="M22" s="5305">
        <v>4.5</v>
      </c>
      <c r="N22" s="5302">
        <v>315000</v>
      </c>
      <c r="O22" s="5306">
        <f t="shared" si="0"/>
        <v>315000</v>
      </c>
      <c r="P22" s="5307" t="s">
        <v>6092</v>
      </c>
      <c r="Q22" s="5308">
        <v>1</v>
      </c>
      <c r="R22" s="5309" t="s">
        <v>6092</v>
      </c>
      <c r="S22" s="5308">
        <v>0</v>
      </c>
      <c r="T22" s="5310" t="s">
        <v>6097</v>
      </c>
      <c r="U22" s="5311">
        <v>0</v>
      </c>
      <c r="W22" s="5312"/>
      <c r="AC22" s="5263"/>
    </row>
    <row r="23" spans="1:29" ht="33.75" customHeight="1">
      <c r="A23" s="5297">
        <v>16</v>
      </c>
      <c r="B23" s="5298">
        <v>46279</v>
      </c>
      <c r="C23" s="5298">
        <v>46279</v>
      </c>
      <c r="D23" s="5299">
        <v>0.58333333333333337</v>
      </c>
      <c r="E23" s="5299">
        <v>0.91666666666666663</v>
      </c>
      <c r="F23" s="5300">
        <f t="shared" si="1"/>
        <v>1</v>
      </c>
      <c r="G23" s="5315" t="s">
        <v>6102</v>
      </c>
      <c r="H23" s="5302">
        <v>1</v>
      </c>
      <c r="I23" s="5303" t="s">
        <v>6090</v>
      </c>
      <c r="J23" s="5304">
        <v>23</v>
      </c>
      <c r="K23" s="5305">
        <v>10</v>
      </c>
      <c r="L23" s="5305">
        <v>230</v>
      </c>
      <c r="M23" s="5305">
        <v>12</v>
      </c>
      <c r="N23" s="5302">
        <v>265000</v>
      </c>
      <c r="O23" s="5306">
        <f t="shared" si="0"/>
        <v>265000</v>
      </c>
      <c r="P23" s="5307" t="s">
        <v>6092</v>
      </c>
      <c r="Q23" s="5308">
        <v>1</v>
      </c>
      <c r="R23" s="5309" t="s">
        <v>6092</v>
      </c>
      <c r="S23" s="5308">
        <v>0</v>
      </c>
      <c r="T23" s="5310" t="s">
        <v>6097</v>
      </c>
      <c r="U23" s="5311">
        <v>0</v>
      </c>
      <c r="W23" s="5312"/>
      <c r="AC23" s="5263"/>
    </row>
    <row r="24" spans="1:29" ht="33.75" customHeight="1">
      <c r="A24" s="5297">
        <v>17</v>
      </c>
      <c r="B24" s="5298">
        <v>46280</v>
      </c>
      <c r="C24" s="5298">
        <v>46298</v>
      </c>
      <c r="D24" s="5299">
        <v>0.25</v>
      </c>
      <c r="E24" s="5299">
        <v>0.91666666666666663</v>
      </c>
      <c r="F24" s="5300">
        <f t="shared" si="1"/>
        <v>19</v>
      </c>
      <c r="G24" s="5315" t="s">
        <v>6102</v>
      </c>
      <c r="H24" s="5302">
        <v>1</v>
      </c>
      <c r="I24" s="5303" t="s">
        <v>6090</v>
      </c>
      <c r="J24" s="5304">
        <v>23</v>
      </c>
      <c r="K24" s="5305">
        <v>10</v>
      </c>
      <c r="L24" s="5305">
        <v>230</v>
      </c>
      <c r="M24" s="5305">
        <v>12</v>
      </c>
      <c r="N24" s="5302">
        <v>1180000</v>
      </c>
      <c r="O24" s="5306">
        <f t="shared" si="0"/>
        <v>22420000</v>
      </c>
      <c r="P24" s="5307" t="s">
        <v>6092</v>
      </c>
      <c r="Q24" s="5308">
        <v>1</v>
      </c>
      <c r="R24" s="5309" t="s">
        <v>6092</v>
      </c>
      <c r="S24" s="5308">
        <v>0</v>
      </c>
      <c r="T24" s="5310" t="s">
        <v>6097</v>
      </c>
      <c r="U24" s="5311">
        <v>0</v>
      </c>
      <c r="W24" s="5312"/>
      <c r="AC24" s="5263"/>
    </row>
    <row r="25" spans="1:29" ht="33.75" customHeight="1">
      <c r="A25" s="5297">
        <v>18</v>
      </c>
      <c r="B25" s="5298">
        <v>46299</v>
      </c>
      <c r="C25" s="5298">
        <v>46299</v>
      </c>
      <c r="D25" s="5299">
        <v>0.25</v>
      </c>
      <c r="E25" s="5299">
        <v>0.58333333333333337</v>
      </c>
      <c r="F25" s="5300">
        <f t="shared" si="1"/>
        <v>1</v>
      </c>
      <c r="G25" s="5315" t="s">
        <v>6102</v>
      </c>
      <c r="H25" s="5302">
        <v>1</v>
      </c>
      <c r="I25" s="5303" t="s">
        <v>6090</v>
      </c>
      <c r="J25" s="5304">
        <v>23</v>
      </c>
      <c r="K25" s="5305">
        <v>10</v>
      </c>
      <c r="L25" s="5305">
        <v>230</v>
      </c>
      <c r="M25" s="5305">
        <v>12</v>
      </c>
      <c r="N25" s="5302">
        <v>315000</v>
      </c>
      <c r="O25" s="5306">
        <f t="shared" si="0"/>
        <v>315000</v>
      </c>
      <c r="P25" s="5307" t="s">
        <v>6092</v>
      </c>
      <c r="Q25" s="5308">
        <v>1</v>
      </c>
      <c r="R25" s="5309" t="s">
        <v>6092</v>
      </c>
      <c r="S25" s="5308">
        <v>0</v>
      </c>
      <c r="T25" s="5310" t="s">
        <v>6097</v>
      </c>
      <c r="U25" s="5311">
        <v>0</v>
      </c>
      <c r="W25" s="5312"/>
      <c r="AC25" s="5263"/>
    </row>
    <row r="26" spans="1:29" ht="33.75" customHeight="1">
      <c r="A26" s="5297">
        <v>19</v>
      </c>
      <c r="B26" s="5298">
        <v>46279</v>
      </c>
      <c r="C26" s="5298">
        <v>46279</v>
      </c>
      <c r="D26" s="5299">
        <v>0.58333333333333337</v>
      </c>
      <c r="E26" s="5299">
        <v>0.91666666666666663</v>
      </c>
      <c r="F26" s="5300">
        <f t="shared" si="1"/>
        <v>1</v>
      </c>
      <c r="G26" s="5315" t="s">
        <v>6103</v>
      </c>
      <c r="H26" s="5302">
        <v>2</v>
      </c>
      <c r="I26" s="5303" t="s">
        <v>6090</v>
      </c>
      <c r="J26" s="5304">
        <v>8</v>
      </c>
      <c r="K26" s="5305">
        <v>6.1875</v>
      </c>
      <c r="L26" s="5305">
        <v>49.5</v>
      </c>
      <c r="M26" s="5305">
        <v>3.4</v>
      </c>
      <c r="N26" s="5302">
        <v>315000</v>
      </c>
      <c r="O26" s="5306">
        <f t="shared" si="0"/>
        <v>315000</v>
      </c>
      <c r="P26" s="5307" t="s">
        <v>6097</v>
      </c>
      <c r="Q26" s="5308">
        <v>3</v>
      </c>
      <c r="R26" s="5309" t="s">
        <v>6092</v>
      </c>
      <c r="S26" s="5308">
        <v>0</v>
      </c>
      <c r="T26" s="5310" t="s">
        <v>6097</v>
      </c>
      <c r="U26" s="5311">
        <v>0</v>
      </c>
      <c r="W26" s="5312"/>
      <c r="AC26" s="5263"/>
    </row>
    <row r="27" spans="1:29" ht="33.75" customHeight="1">
      <c r="A27" s="5297">
        <v>20</v>
      </c>
      <c r="B27" s="5298">
        <v>46280</v>
      </c>
      <c r="C27" s="5298">
        <v>46298</v>
      </c>
      <c r="D27" s="5299">
        <v>0.25</v>
      </c>
      <c r="E27" s="5299">
        <v>0.91666666666666663</v>
      </c>
      <c r="F27" s="5300">
        <f t="shared" si="1"/>
        <v>19</v>
      </c>
      <c r="G27" s="5315" t="s">
        <v>6103</v>
      </c>
      <c r="H27" s="5302">
        <v>2</v>
      </c>
      <c r="I27" s="5303" t="s">
        <v>6090</v>
      </c>
      <c r="J27" s="5304">
        <v>8</v>
      </c>
      <c r="K27" s="5305">
        <v>6.1875</v>
      </c>
      <c r="L27" s="5305">
        <v>49.5</v>
      </c>
      <c r="M27" s="5305">
        <v>3.4</v>
      </c>
      <c r="N27" s="5302">
        <v>1380000</v>
      </c>
      <c r="O27" s="5306">
        <f t="shared" si="0"/>
        <v>26220000</v>
      </c>
      <c r="P27" s="5307" t="s">
        <v>6097</v>
      </c>
      <c r="Q27" s="5308">
        <v>3</v>
      </c>
      <c r="R27" s="5309" t="s">
        <v>6092</v>
      </c>
      <c r="S27" s="5308">
        <v>0</v>
      </c>
      <c r="T27" s="5310" t="s">
        <v>6097</v>
      </c>
      <c r="U27" s="5311">
        <v>0</v>
      </c>
      <c r="W27" s="5312"/>
      <c r="AC27" s="5263"/>
    </row>
    <row r="28" spans="1:29" ht="33.75" customHeight="1">
      <c r="A28" s="5297">
        <v>21</v>
      </c>
      <c r="B28" s="5298">
        <v>46299</v>
      </c>
      <c r="C28" s="5298">
        <v>46299</v>
      </c>
      <c r="D28" s="5299">
        <v>0.25</v>
      </c>
      <c r="E28" s="5299">
        <v>0.58333333333333337</v>
      </c>
      <c r="F28" s="5300">
        <f t="shared" si="1"/>
        <v>1</v>
      </c>
      <c r="G28" s="5315" t="s">
        <v>6103</v>
      </c>
      <c r="H28" s="5302">
        <v>2</v>
      </c>
      <c r="I28" s="5303" t="s">
        <v>6090</v>
      </c>
      <c r="J28" s="5304">
        <v>8</v>
      </c>
      <c r="K28" s="5305">
        <v>6.1875</v>
      </c>
      <c r="L28" s="5305">
        <v>49.5</v>
      </c>
      <c r="M28" s="5305">
        <v>3.4</v>
      </c>
      <c r="N28" s="5302">
        <v>465000</v>
      </c>
      <c r="O28" s="5306">
        <f t="shared" si="0"/>
        <v>465000</v>
      </c>
      <c r="P28" s="5307" t="s">
        <v>6097</v>
      </c>
      <c r="Q28" s="5308">
        <v>3</v>
      </c>
      <c r="R28" s="5309" t="s">
        <v>6092</v>
      </c>
      <c r="S28" s="5308">
        <v>0</v>
      </c>
      <c r="T28" s="5310" t="s">
        <v>6097</v>
      </c>
      <c r="U28" s="5311">
        <v>0</v>
      </c>
      <c r="W28" s="5312"/>
      <c r="AC28" s="5263"/>
    </row>
    <row r="29" spans="1:29" ht="33.75" customHeight="1" thickBot="1">
      <c r="A29" s="5316">
        <v>22</v>
      </c>
      <c r="B29" s="5298"/>
      <c r="C29" s="5298"/>
      <c r="D29" s="5299"/>
      <c r="E29" s="5299"/>
      <c r="F29" s="5313">
        <f t="shared" si="1"/>
        <v>0</v>
      </c>
      <c r="G29" s="5315"/>
      <c r="H29" s="5302"/>
      <c r="I29" s="5303"/>
      <c r="J29" s="5304"/>
      <c r="K29" s="5305"/>
      <c r="L29" s="5305"/>
      <c r="M29" s="5305"/>
      <c r="N29" s="5302"/>
      <c r="O29" s="5317">
        <f t="shared" ref="O29" si="2">F29*N29</f>
        <v>0</v>
      </c>
      <c r="P29" s="5307"/>
      <c r="Q29" s="5308"/>
      <c r="R29" s="5310"/>
      <c r="S29" s="5308"/>
      <c r="T29" s="5310"/>
      <c r="U29" s="5311"/>
      <c r="AC29" s="5263"/>
    </row>
    <row r="30" spans="1:29" ht="33.75" customHeight="1" thickTop="1" thickBot="1">
      <c r="A30" s="5318" t="s">
        <v>6104</v>
      </c>
      <c r="B30" s="5319"/>
      <c r="C30" s="5319"/>
      <c r="D30" s="5319"/>
      <c r="E30" s="5319"/>
      <c r="F30" s="5320">
        <f>SUM(F8:F29)</f>
        <v>123</v>
      </c>
      <c r="G30" s="5319"/>
      <c r="H30" s="5321"/>
      <c r="I30" s="4782">
        <f>COUNTA(G9,G17,G20,G24,G26)</f>
        <v>5</v>
      </c>
      <c r="J30" s="5322"/>
      <c r="K30" s="5323"/>
      <c r="L30" s="5323"/>
      <c r="M30" s="5323"/>
      <c r="N30" s="5324"/>
      <c r="O30" s="5325"/>
      <c r="P30" s="5326"/>
      <c r="Q30" s="5326"/>
      <c r="R30" s="5327"/>
      <c r="S30" s="5328"/>
      <c r="T30" s="5327"/>
      <c r="U30" s="5329"/>
      <c r="AC30" s="5263"/>
    </row>
    <row r="31" spans="1:29" s="4657" customFormat="1" ht="33.75" customHeight="1" thickBot="1">
      <c r="A31" s="4876" t="s">
        <v>5792</v>
      </c>
      <c r="B31" s="4877"/>
      <c r="C31" s="4878"/>
      <c r="D31" s="4878"/>
      <c r="E31" s="4878"/>
      <c r="F31" s="4879"/>
      <c r="G31" s="4878"/>
      <c r="H31" s="4880"/>
      <c r="I31" s="4878"/>
      <c r="J31" s="4881"/>
      <c r="K31" s="4881"/>
      <c r="L31" s="4881"/>
      <c r="M31" s="4881"/>
      <c r="N31" s="4882"/>
      <c r="O31" s="4923">
        <f>SUM(O8:O29)</f>
        <v>130370000</v>
      </c>
      <c r="P31" s="4884"/>
      <c r="Q31" s="4885"/>
      <c r="R31" s="4886"/>
      <c r="S31" s="4887"/>
      <c r="T31" s="4886"/>
      <c r="U31" s="4888"/>
    </row>
    <row r="32" spans="1:29" ht="33.75" customHeight="1">
      <c r="A32" s="5265"/>
      <c r="B32" s="5330"/>
      <c r="C32" s="5330"/>
      <c r="D32" s="5330"/>
      <c r="G32" s="5330"/>
      <c r="H32" s="5330"/>
      <c r="M32" s="4808" t="s">
        <v>5748</v>
      </c>
      <c r="N32" s="5190">
        <f>SUM(N9,N12,N18,N21,N24,N27)</f>
        <v>6540000</v>
      </c>
      <c r="O32" s="5063"/>
      <c r="P32" s="5263"/>
      <c r="Q32" s="5263"/>
      <c r="AC32" s="5263"/>
    </row>
    <row r="33" spans="1:29" ht="33.75" customHeight="1">
      <c r="A33" s="5275"/>
      <c r="B33" s="5263"/>
      <c r="C33" s="5263"/>
      <c r="D33" s="5263"/>
      <c r="G33" s="5263"/>
      <c r="H33" s="5263"/>
      <c r="M33" s="4808" t="s">
        <v>5750</v>
      </c>
      <c r="N33" s="5190">
        <f>N32</f>
        <v>6540000</v>
      </c>
      <c r="O33" s="6242" t="s">
        <v>6958</v>
      </c>
      <c r="P33" s="5265"/>
      <c r="Q33" s="5263"/>
      <c r="AC33" s="5263"/>
    </row>
    <row r="34" spans="1:29" ht="33.75" customHeight="1" thickBot="1">
      <c r="A34" s="5275" t="s">
        <v>6105</v>
      </c>
      <c r="B34" s="5263"/>
      <c r="C34" s="5263"/>
      <c r="D34" s="5263"/>
      <c r="G34" s="5263"/>
      <c r="H34" s="5263"/>
      <c r="N34" s="5064"/>
      <c r="O34" s="5063"/>
      <c r="P34" s="5265"/>
      <c r="Q34" s="5263"/>
      <c r="AC34" s="5263"/>
    </row>
    <row r="35" spans="1:29" s="5276" customFormat="1" ht="33.75" customHeight="1">
      <c r="A35" s="6977" t="s">
        <v>6067</v>
      </c>
      <c r="B35" s="6968" t="s">
        <v>6068</v>
      </c>
      <c r="C35" s="6968" t="s">
        <v>6069</v>
      </c>
      <c r="D35" s="6968" t="s">
        <v>6070</v>
      </c>
      <c r="E35" s="6968" t="s">
        <v>6071</v>
      </c>
      <c r="F35" s="6979" t="s">
        <v>6072</v>
      </c>
      <c r="G35" s="6968" t="s">
        <v>6073</v>
      </c>
      <c r="H35" s="6981" t="s">
        <v>6074</v>
      </c>
      <c r="I35" s="6968" t="s">
        <v>6075</v>
      </c>
      <c r="J35" s="6979" t="s">
        <v>6076</v>
      </c>
      <c r="K35" s="6966" t="s">
        <v>6077</v>
      </c>
      <c r="L35" s="6966" t="s">
        <v>6078</v>
      </c>
      <c r="M35" s="6966" t="s">
        <v>6079</v>
      </c>
      <c r="N35" s="6968" t="s">
        <v>6956</v>
      </c>
      <c r="O35" s="6970" t="s">
        <v>6957</v>
      </c>
      <c r="P35" s="6972" t="s">
        <v>6080</v>
      </c>
      <c r="Q35" s="6973"/>
      <c r="R35" s="6966" t="s">
        <v>6081</v>
      </c>
      <c r="S35" s="6974"/>
      <c r="T35" s="6974"/>
      <c r="U35" s="6975"/>
    </row>
    <row r="36" spans="1:29" s="5276" customFormat="1" ht="33.75" customHeight="1" thickBot="1">
      <c r="A36" s="6978"/>
      <c r="B36" s="6969"/>
      <c r="C36" s="6969"/>
      <c r="D36" s="6969"/>
      <c r="E36" s="6969"/>
      <c r="F36" s="6980"/>
      <c r="G36" s="6969"/>
      <c r="H36" s="6982"/>
      <c r="I36" s="6969"/>
      <c r="J36" s="6980"/>
      <c r="K36" s="6967"/>
      <c r="L36" s="6967"/>
      <c r="M36" s="6967"/>
      <c r="N36" s="6969"/>
      <c r="O36" s="6971"/>
      <c r="P36" s="5277" t="s">
        <v>6082</v>
      </c>
      <c r="Q36" s="5278" t="s">
        <v>6083</v>
      </c>
      <c r="R36" s="5278" t="s">
        <v>6084</v>
      </c>
      <c r="S36" s="5279" t="s">
        <v>6085</v>
      </c>
      <c r="T36" s="5278" t="s">
        <v>6086</v>
      </c>
      <c r="U36" s="5280" t="s">
        <v>6087</v>
      </c>
    </row>
    <row r="37" spans="1:29" s="5296" customFormat="1" ht="33.75" customHeight="1">
      <c r="A37" s="5281" t="s">
        <v>6088</v>
      </c>
      <c r="B37" s="5282">
        <v>46280</v>
      </c>
      <c r="C37" s="5282">
        <v>46300</v>
      </c>
      <c r="D37" s="5283">
        <v>0.3125</v>
      </c>
      <c r="E37" s="5284">
        <v>0.89583333333333337</v>
      </c>
      <c r="F37" s="5285">
        <f>IF(OR(ISBLANK($B37), ISBLANK($C37)), 0, _xlfn.DAYS($C37, $B37) + 1)</f>
        <v>21</v>
      </c>
      <c r="G37" s="5286" t="s">
        <v>6089</v>
      </c>
      <c r="H37" s="5287">
        <v>3</v>
      </c>
      <c r="I37" s="5285" t="s">
        <v>6090</v>
      </c>
      <c r="J37" s="5288">
        <v>30</v>
      </c>
      <c r="K37" s="5289">
        <v>100</v>
      </c>
      <c r="L37" s="5289">
        <f>J37*K37</f>
        <v>3000</v>
      </c>
      <c r="M37" s="5290">
        <v>5</v>
      </c>
      <c r="N37" s="5291">
        <v>150000</v>
      </c>
      <c r="O37" s="5292">
        <f t="shared" ref="O37:O63" si="3">F37*N37</f>
        <v>3150000</v>
      </c>
      <c r="P37" s="5293" t="s">
        <v>6091</v>
      </c>
      <c r="Q37" s="5294">
        <v>4</v>
      </c>
      <c r="R37" s="5294" t="s">
        <v>6092</v>
      </c>
      <c r="S37" s="5289" t="s">
        <v>6093</v>
      </c>
      <c r="T37" s="5294" t="s">
        <v>6094</v>
      </c>
      <c r="U37" s="5295">
        <v>2000</v>
      </c>
    </row>
    <row r="38" spans="1:29" s="5296" customFormat="1" ht="33.75" customHeight="1">
      <c r="A38" s="5297">
        <v>1</v>
      </c>
      <c r="B38" s="5298">
        <v>46307</v>
      </c>
      <c r="C38" s="5298">
        <v>46307</v>
      </c>
      <c r="D38" s="5299">
        <v>0.70833333333333337</v>
      </c>
      <c r="E38" s="5299">
        <v>0.91666666666666663</v>
      </c>
      <c r="F38" s="5331">
        <f t="shared" ref="F38:F58" si="4">IF(OR(ISBLANK($B38), ISBLANK($C38)), 0, _xlfn.DAYS($C38, $B38) + 1)</f>
        <v>1</v>
      </c>
      <c r="G38" s="5301" t="s">
        <v>6095</v>
      </c>
      <c r="H38" s="5302">
        <v>1</v>
      </c>
      <c r="I38" s="5303" t="s">
        <v>6090</v>
      </c>
      <c r="J38" s="5304">
        <v>30.285714285714285</v>
      </c>
      <c r="K38" s="5305">
        <v>14</v>
      </c>
      <c r="L38" s="5305" t="s">
        <v>6096</v>
      </c>
      <c r="M38" s="5305">
        <v>6.5</v>
      </c>
      <c r="N38" s="5302">
        <v>360000</v>
      </c>
      <c r="O38" s="5306">
        <f t="shared" si="3"/>
        <v>360000</v>
      </c>
      <c r="P38" s="5307" t="s">
        <v>6092</v>
      </c>
      <c r="Q38" s="5308">
        <v>2</v>
      </c>
      <c r="R38" s="5309" t="s">
        <v>6092</v>
      </c>
      <c r="S38" s="5308">
        <v>0</v>
      </c>
      <c r="T38" s="5310" t="s">
        <v>6097</v>
      </c>
      <c r="U38" s="5311">
        <v>0</v>
      </c>
    </row>
    <row r="39" spans="1:29" ht="33.75" customHeight="1">
      <c r="A39" s="5297">
        <v>2</v>
      </c>
      <c r="B39" s="5298">
        <v>46308</v>
      </c>
      <c r="C39" s="5298">
        <v>46319</v>
      </c>
      <c r="D39" s="5299">
        <v>0.25</v>
      </c>
      <c r="E39" s="5299">
        <v>0.91666666666666663</v>
      </c>
      <c r="F39" s="5331">
        <v>14</v>
      </c>
      <c r="G39" s="5301" t="s">
        <v>6098</v>
      </c>
      <c r="H39" s="5302">
        <v>1</v>
      </c>
      <c r="I39" s="5303" t="s">
        <v>6090</v>
      </c>
      <c r="J39" s="5304">
        <v>30.285714285714285</v>
      </c>
      <c r="K39" s="5305">
        <v>14</v>
      </c>
      <c r="L39" s="5305" t="s">
        <v>6096</v>
      </c>
      <c r="M39" s="5305">
        <v>6.5</v>
      </c>
      <c r="N39" s="5302">
        <v>1080000</v>
      </c>
      <c r="O39" s="5306">
        <f t="shared" si="3"/>
        <v>15120000</v>
      </c>
      <c r="P39" s="5307" t="s">
        <v>6092</v>
      </c>
      <c r="Q39" s="5308">
        <v>2</v>
      </c>
      <c r="R39" s="5309" t="s">
        <v>6092</v>
      </c>
      <c r="S39" s="5308">
        <v>0</v>
      </c>
      <c r="T39" s="5310" t="s">
        <v>6097</v>
      </c>
      <c r="U39" s="5311">
        <v>0</v>
      </c>
      <c r="AC39" s="5263"/>
    </row>
    <row r="40" spans="1:29" ht="33.75" customHeight="1">
      <c r="A40" s="5297">
        <v>3</v>
      </c>
      <c r="B40" s="5298">
        <v>46320</v>
      </c>
      <c r="C40" s="5298">
        <v>46320</v>
      </c>
      <c r="D40" s="5299">
        <v>0.25</v>
      </c>
      <c r="E40" s="5299">
        <v>0.58333333333333337</v>
      </c>
      <c r="F40" s="5332">
        <f t="shared" si="4"/>
        <v>1</v>
      </c>
      <c r="G40" s="5301" t="s">
        <v>6098</v>
      </c>
      <c r="H40" s="5302">
        <v>1</v>
      </c>
      <c r="I40" s="5303" t="s">
        <v>6090</v>
      </c>
      <c r="J40" s="5304">
        <v>30.285714285714285</v>
      </c>
      <c r="K40" s="5305">
        <v>14</v>
      </c>
      <c r="L40" s="5305" t="s">
        <v>6096</v>
      </c>
      <c r="M40" s="5305">
        <v>6.5</v>
      </c>
      <c r="N40" s="5302">
        <v>410000</v>
      </c>
      <c r="O40" s="5306">
        <f t="shared" si="3"/>
        <v>410000</v>
      </c>
      <c r="P40" s="5314" t="s">
        <v>6092</v>
      </c>
      <c r="Q40" s="5308">
        <v>2</v>
      </c>
      <c r="R40" s="5309" t="s">
        <v>6092</v>
      </c>
      <c r="S40" s="5308">
        <v>0</v>
      </c>
      <c r="T40" s="5310" t="s">
        <v>6097</v>
      </c>
      <c r="U40" s="5311">
        <v>0</v>
      </c>
      <c r="AC40" s="5263"/>
    </row>
    <row r="41" spans="1:29" ht="33.75" customHeight="1">
      <c r="A41" s="5297">
        <v>4</v>
      </c>
      <c r="B41" s="5298">
        <v>46307</v>
      </c>
      <c r="C41" s="5298">
        <v>46307</v>
      </c>
      <c r="D41" s="5299">
        <v>0.5</v>
      </c>
      <c r="E41" s="5299">
        <v>0.83333333333333337</v>
      </c>
      <c r="F41" s="5331">
        <f t="shared" si="4"/>
        <v>1</v>
      </c>
      <c r="G41" s="5301" t="s">
        <v>6098</v>
      </c>
      <c r="H41" s="5302">
        <v>1</v>
      </c>
      <c r="I41" s="5303" t="s">
        <v>6090</v>
      </c>
      <c r="J41" s="5304">
        <v>30.285714285714285</v>
      </c>
      <c r="K41" s="5305">
        <v>14</v>
      </c>
      <c r="L41" s="5305" t="s">
        <v>6096</v>
      </c>
      <c r="M41" s="5305">
        <v>6.5</v>
      </c>
      <c r="N41" s="5302">
        <v>540000</v>
      </c>
      <c r="O41" s="5306">
        <f t="shared" si="3"/>
        <v>540000</v>
      </c>
      <c r="P41" s="5307" t="s">
        <v>6092</v>
      </c>
      <c r="Q41" s="5308">
        <v>2</v>
      </c>
      <c r="R41" s="5309" t="s">
        <v>6092</v>
      </c>
      <c r="S41" s="5308">
        <v>0</v>
      </c>
      <c r="T41" s="5310" t="s">
        <v>6097</v>
      </c>
      <c r="U41" s="5311">
        <v>0</v>
      </c>
      <c r="AC41" s="5263"/>
    </row>
    <row r="42" spans="1:29" ht="33.75" customHeight="1">
      <c r="A42" s="5297">
        <v>5</v>
      </c>
      <c r="B42" s="5298">
        <v>46308</v>
      </c>
      <c r="C42" s="5298">
        <v>46319</v>
      </c>
      <c r="D42" s="5299">
        <v>0.5</v>
      </c>
      <c r="E42" s="5299">
        <v>0.83333333333333337</v>
      </c>
      <c r="F42" s="5331">
        <v>14</v>
      </c>
      <c r="G42" s="5301" t="s">
        <v>6098</v>
      </c>
      <c r="H42" s="5302">
        <v>1</v>
      </c>
      <c r="I42" s="5303" t="s">
        <v>6090</v>
      </c>
      <c r="J42" s="5304">
        <v>30.285714285714285</v>
      </c>
      <c r="K42" s="5305">
        <v>14</v>
      </c>
      <c r="L42" s="5305" t="s">
        <v>6096</v>
      </c>
      <c r="M42" s="5305">
        <v>6.5</v>
      </c>
      <c r="N42" s="5302">
        <v>540000</v>
      </c>
      <c r="O42" s="5306">
        <f t="shared" si="3"/>
        <v>7560000</v>
      </c>
      <c r="P42" s="5307" t="s">
        <v>6092</v>
      </c>
      <c r="Q42" s="5308">
        <v>2</v>
      </c>
      <c r="R42" s="5309" t="s">
        <v>6092</v>
      </c>
      <c r="S42" s="5308">
        <v>0</v>
      </c>
      <c r="T42" s="5310" t="s">
        <v>6097</v>
      </c>
      <c r="U42" s="5311">
        <v>0</v>
      </c>
      <c r="AC42" s="5263"/>
    </row>
    <row r="43" spans="1:29" ht="33.75" customHeight="1">
      <c r="A43" s="5297">
        <v>6</v>
      </c>
      <c r="B43" s="5298">
        <v>46320</v>
      </c>
      <c r="C43" s="5298">
        <v>46320</v>
      </c>
      <c r="D43" s="5299">
        <v>0.5</v>
      </c>
      <c r="E43" s="5299">
        <v>0.83333333333333337</v>
      </c>
      <c r="F43" s="5331">
        <f t="shared" si="4"/>
        <v>1</v>
      </c>
      <c r="G43" s="5301" t="s">
        <v>6098</v>
      </c>
      <c r="H43" s="5302">
        <v>1</v>
      </c>
      <c r="I43" s="5303" t="s">
        <v>6090</v>
      </c>
      <c r="J43" s="5304">
        <v>30.285714285714285</v>
      </c>
      <c r="K43" s="5305">
        <v>14</v>
      </c>
      <c r="L43" s="5305" t="s">
        <v>6096</v>
      </c>
      <c r="M43" s="5305">
        <v>6.5</v>
      </c>
      <c r="N43" s="5302">
        <v>540000</v>
      </c>
      <c r="O43" s="5306">
        <f t="shared" si="3"/>
        <v>540000</v>
      </c>
      <c r="P43" s="5307" t="s">
        <v>6092</v>
      </c>
      <c r="Q43" s="5308">
        <v>2</v>
      </c>
      <c r="R43" s="5309" t="s">
        <v>6092</v>
      </c>
      <c r="S43" s="5308">
        <v>0</v>
      </c>
      <c r="T43" s="5310" t="s">
        <v>6097</v>
      </c>
      <c r="U43" s="5311">
        <v>0</v>
      </c>
      <c r="AC43" s="5263"/>
    </row>
    <row r="44" spans="1:29" ht="33.75" customHeight="1">
      <c r="A44" s="5297">
        <v>7</v>
      </c>
      <c r="B44" s="5298">
        <v>46305</v>
      </c>
      <c r="C44" s="5298">
        <v>46305</v>
      </c>
      <c r="D44" s="5299">
        <v>0.58333333333333337</v>
      </c>
      <c r="E44" s="5299">
        <v>0.91666666666666663</v>
      </c>
      <c r="F44" s="5331">
        <f t="shared" si="4"/>
        <v>1</v>
      </c>
      <c r="G44" s="5301" t="s">
        <v>6099</v>
      </c>
      <c r="H44" s="5302">
        <v>1</v>
      </c>
      <c r="I44" s="5303" t="s">
        <v>6090</v>
      </c>
      <c r="J44" s="5304">
        <v>60.785714285714285</v>
      </c>
      <c r="K44" s="5305">
        <v>14</v>
      </c>
      <c r="L44" s="5305">
        <v>851</v>
      </c>
      <c r="M44" s="5305">
        <v>6.5</v>
      </c>
      <c r="N44" s="5302">
        <v>1180000</v>
      </c>
      <c r="O44" s="5306">
        <f t="shared" si="3"/>
        <v>1180000</v>
      </c>
      <c r="P44" s="5307" t="s">
        <v>6092</v>
      </c>
      <c r="Q44" s="5308">
        <v>4</v>
      </c>
      <c r="R44" s="5309" t="s">
        <v>6092</v>
      </c>
      <c r="S44" s="5308">
        <v>0</v>
      </c>
      <c r="T44" s="5310" t="s">
        <v>6097</v>
      </c>
      <c r="U44" s="5311">
        <v>0</v>
      </c>
      <c r="AC44" s="5263"/>
    </row>
    <row r="45" spans="1:29" ht="33.75" customHeight="1">
      <c r="A45" s="5297">
        <v>8</v>
      </c>
      <c r="B45" s="5298">
        <v>46306</v>
      </c>
      <c r="C45" s="5298">
        <v>46306</v>
      </c>
      <c r="D45" s="5299">
        <v>0.25</v>
      </c>
      <c r="E45" s="5299">
        <v>0.91666666666666663</v>
      </c>
      <c r="F45" s="5331">
        <f t="shared" si="4"/>
        <v>1</v>
      </c>
      <c r="G45" s="5301" t="s">
        <v>6099</v>
      </c>
      <c r="H45" s="5302">
        <v>1</v>
      </c>
      <c r="I45" s="5303" t="s">
        <v>6090</v>
      </c>
      <c r="J45" s="5304">
        <v>60.785714285714285</v>
      </c>
      <c r="K45" s="5305">
        <v>14</v>
      </c>
      <c r="L45" s="5305">
        <v>851</v>
      </c>
      <c r="M45" s="5305">
        <v>6.5</v>
      </c>
      <c r="N45" s="5302">
        <v>4040000</v>
      </c>
      <c r="O45" s="5306">
        <f t="shared" si="3"/>
        <v>4040000</v>
      </c>
      <c r="P45" s="5307" t="s">
        <v>6092</v>
      </c>
      <c r="Q45" s="5308">
        <v>4</v>
      </c>
      <c r="R45" s="5309" t="s">
        <v>6092</v>
      </c>
      <c r="S45" s="5308">
        <v>0</v>
      </c>
      <c r="T45" s="5310" t="s">
        <v>6097</v>
      </c>
      <c r="U45" s="5311">
        <v>0</v>
      </c>
      <c r="AC45" s="5263"/>
    </row>
    <row r="46" spans="1:29" ht="33.75" customHeight="1">
      <c r="A46" s="5297">
        <v>9</v>
      </c>
      <c r="B46" s="5298">
        <v>46321</v>
      </c>
      <c r="C46" s="5298">
        <v>46321</v>
      </c>
      <c r="D46" s="5299">
        <v>0.25</v>
      </c>
      <c r="E46" s="5299">
        <v>0.58333333333333337</v>
      </c>
      <c r="F46" s="5331">
        <f t="shared" si="4"/>
        <v>1</v>
      </c>
      <c r="G46" s="5301" t="s">
        <v>6099</v>
      </c>
      <c r="H46" s="5302">
        <v>1</v>
      </c>
      <c r="I46" s="5303" t="s">
        <v>6090</v>
      </c>
      <c r="J46" s="5304">
        <v>60.785714285714285</v>
      </c>
      <c r="K46" s="5305">
        <v>14</v>
      </c>
      <c r="L46" s="5305">
        <v>851</v>
      </c>
      <c r="M46" s="5305">
        <v>6.5</v>
      </c>
      <c r="N46" s="5302">
        <v>1380000</v>
      </c>
      <c r="O46" s="5306">
        <f t="shared" si="3"/>
        <v>1380000</v>
      </c>
      <c r="P46" s="5307" t="s">
        <v>6092</v>
      </c>
      <c r="Q46" s="5308">
        <v>4</v>
      </c>
      <c r="R46" s="5309" t="s">
        <v>6092</v>
      </c>
      <c r="S46" s="5308">
        <v>0</v>
      </c>
      <c r="T46" s="5310" t="s">
        <v>6097</v>
      </c>
      <c r="U46" s="5311">
        <v>0</v>
      </c>
      <c r="AC46" s="5263"/>
    </row>
    <row r="47" spans="1:29" ht="33.75" customHeight="1">
      <c r="A47" s="5297">
        <v>10</v>
      </c>
      <c r="B47" s="5298">
        <v>46305</v>
      </c>
      <c r="C47" s="5298">
        <v>46305</v>
      </c>
      <c r="D47" s="5299">
        <v>0.58333333333333337</v>
      </c>
      <c r="E47" s="5299">
        <v>0.91666666666666663</v>
      </c>
      <c r="F47" s="5331">
        <f t="shared" si="4"/>
        <v>1</v>
      </c>
      <c r="G47" s="5315" t="s">
        <v>6100</v>
      </c>
      <c r="H47" s="5302">
        <v>1</v>
      </c>
      <c r="I47" s="5303" t="s">
        <v>6090</v>
      </c>
      <c r="J47" s="5304">
        <v>12</v>
      </c>
      <c r="K47" s="5305">
        <v>12</v>
      </c>
      <c r="L47" s="5305">
        <v>110</v>
      </c>
      <c r="M47" s="5305">
        <v>3.5</v>
      </c>
      <c r="N47" s="5302">
        <v>265000</v>
      </c>
      <c r="O47" s="5306">
        <f t="shared" si="3"/>
        <v>265000</v>
      </c>
      <c r="P47" s="5307" t="s">
        <v>6092</v>
      </c>
      <c r="Q47" s="5308">
        <v>1</v>
      </c>
      <c r="R47" s="5309" t="s">
        <v>6092</v>
      </c>
      <c r="S47" s="5308">
        <v>0</v>
      </c>
      <c r="T47" s="5310" t="s">
        <v>6097</v>
      </c>
      <c r="U47" s="5311">
        <v>0</v>
      </c>
      <c r="AC47" s="5263"/>
    </row>
    <row r="48" spans="1:29" ht="33.75" customHeight="1">
      <c r="A48" s="5297">
        <v>11</v>
      </c>
      <c r="B48" s="5298">
        <v>46306</v>
      </c>
      <c r="C48" s="5298">
        <v>46320</v>
      </c>
      <c r="D48" s="5299">
        <v>0.25</v>
      </c>
      <c r="E48" s="5299">
        <v>0.91666666666666663</v>
      </c>
      <c r="F48" s="5331">
        <v>17</v>
      </c>
      <c r="G48" s="5315" t="s">
        <v>6100</v>
      </c>
      <c r="H48" s="5302">
        <v>1</v>
      </c>
      <c r="I48" s="5303" t="s">
        <v>6090</v>
      </c>
      <c r="J48" s="5304">
        <v>12</v>
      </c>
      <c r="K48" s="5305">
        <v>12</v>
      </c>
      <c r="L48" s="5305">
        <v>110</v>
      </c>
      <c r="M48" s="5305">
        <v>3.5</v>
      </c>
      <c r="N48" s="5302">
        <v>1180000</v>
      </c>
      <c r="O48" s="5306">
        <f t="shared" si="3"/>
        <v>20060000</v>
      </c>
      <c r="P48" s="5307" t="s">
        <v>6092</v>
      </c>
      <c r="Q48" s="5308">
        <v>1</v>
      </c>
      <c r="R48" s="5309" t="s">
        <v>6092</v>
      </c>
      <c r="S48" s="5308">
        <v>0</v>
      </c>
      <c r="T48" s="5310" t="s">
        <v>6097</v>
      </c>
      <c r="U48" s="5311">
        <v>0</v>
      </c>
      <c r="AC48" s="5263"/>
    </row>
    <row r="49" spans="1:29" ht="33.75" customHeight="1">
      <c r="A49" s="5297">
        <v>12</v>
      </c>
      <c r="B49" s="5298">
        <v>46321</v>
      </c>
      <c r="C49" s="5298">
        <v>46321</v>
      </c>
      <c r="D49" s="5299">
        <v>0.25</v>
      </c>
      <c r="E49" s="5299">
        <v>0.58333333333333337</v>
      </c>
      <c r="F49" s="5331">
        <f t="shared" si="4"/>
        <v>1</v>
      </c>
      <c r="G49" s="5315" t="s">
        <v>6100</v>
      </c>
      <c r="H49" s="5302">
        <v>1</v>
      </c>
      <c r="I49" s="5303" t="s">
        <v>6090</v>
      </c>
      <c r="J49" s="5304">
        <v>12</v>
      </c>
      <c r="K49" s="5305">
        <v>12</v>
      </c>
      <c r="L49" s="5305">
        <v>110</v>
      </c>
      <c r="M49" s="5305">
        <v>3.5</v>
      </c>
      <c r="N49" s="5302">
        <v>315000</v>
      </c>
      <c r="O49" s="5306">
        <f t="shared" si="3"/>
        <v>315000</v>
      </c>
      <c r="P49" s="5307" t="s">
        <v>6092</v>
      </c>
      <c r="Q49" s="5308">
        <v>1</v>
      </c>
      <c r="R49" s="5309" t="s">
        <v>6092</v>
      </c>
      <c r="S49" s="5308">
        <v>0</v>
      </c>
      <c r="T49" s="5310" t="s">
        <v>6097</v>
      </c>
      <c r="U49" s="5311">
        <v>0</v>
      </c>
      <c r="AC49" s="5263"/>
    </row>
    <row r="50" spans="1:29" ht="33.75" customHeight="1">
      <c r="A50" s="5297">
        <v>13</v>
      </c>
      <c r="B50" s="5298">
        <v>46305</v>
      </c>
      <c r="C50" s="5298">
        <v>46305</v>
      </c>
      <c r="D50" s="5299">
        <v>0.58333333333333337</v>
      </c>
      <c r="E50" s="5299">
        <v>0.91666666666666663</v>
      </c>
      <c r="F50" s="5331">
        <f t="shared" si="4"/>
        <v>1</v>
      </c>
      <c r="G50" s="5315" t="s">
        <v>6101</v>
      </c>
      <c r="H50" s="5302">
        <v>1</v>
      </c>
      <c r="I50" s="5303" t="s">
        <v>6090</v>
      </c>
      <c r="J50" s="5304">
        <v>31</v>
      </c>
      <c r="K50" s="5305">
        <v>3</v>
      </c>
      <c r="L50" s="5305">
        <v>93</v>
      </c>
      <c r="M50" s="5305">
        <v>4.5</v>
      </c>
      <c r="N50" s="5302">
        <v>265000</v>
      </c>
      <c r="O50" s="5306">
        <f t="shared" si="3"/>
        <v>265000</v>
      </c>
      <c r="P50" s="5307" t="s">
        <v>6092</v>
      </c>
      <c r="Q50" s="5308">
        <v>1</v>
      </c>
      <c r="R50" s="5309" t="s">
        <v>6092</v>
      </c>
      <c r="S50" s="5308">
        <v>0</v>
      </c>
      <c r="T50" s="5310" t="s">
        <v>6097</v>
      </c>
      <c r="U50" s="5311">
        <v>0</v>
      </c>
      <c r="AC50" s="5263"/>
    </row>
    <row r="51" spans="1:29" ht="33.75" customHeight="1">
      <c r="A51" s="5297">
        <v>14</v>
      </c>
      <c r="B51" s="5298">
        <v>46306</v>
      </c>
      <c r="C51" s="5298">
        <v>46320</v>
      </c>
      <c r="D51" s="5299">
        <v>0.25</v>
      </c>
      <c r="E51" s="5299">
        <v>0.91666666666666663</v>
      </c>
      <c r="F51" s="5331">
        <v>17</v>
      </c>
      <c r="G51" s="5315" t="s">
        <v>6101</v>
      </c>
      <c r="H51" s="5302">
        <v>1</v>
      </c>
      <c r="I51" s="5303" t="s">
        <v>6090</v>
      </c>
      <c r="J51" s="5304">
        <v>31</v>
      </c>
      <c r="K51" s="5305">
        <v>3</v>
      </c>
      <c r="L51" s="5305">
        <v>93</v>
      </c>
      <c r="M51" s="5305">
        <v>4.5</v>
      </c>
      <c r="N51" s="5302">
        <v>1180000</v>
      </c>
      <c r="O51" s="5306">
        <f t="shared" si="3"/>
        <v>20060000</v>
      </c>
      <c r="P51" s="5307" t="s">
        <v>6092</v>
      </c>
      <c r="Q51" s="5308">
        <v>1</v>
      </c>
      <c r="R51" s="5309" t="s">
        <v>6092</v>
      </c>
      <c r="S51" s="5308">
        <v>0</v>
      </c>
      <c r="T51" s="5310" t="s">
        <v>6097</v>
      </c>
      <c r="U51" s="5311">
        <v>0</v>
      </c>
      <c r="AC51" s="5263"/>
    </row>
    <row r="52" spans="1:29" ht="33.75" customHeight="1">
      <c r="A52" s="5297">
        <v>15</v>
      </c>
      <c r="B52" s="5298">
        <v>46321</v>
      </c>
      <c r="C52" s="5298">
        <v>46321</v>
      </c>
      <c r="D52" s="5299">
        <v>0.25</v>
      </c>
      <c r="E52" s="5299">
        <v>0.58333333333333337</v>
      </c>
      <c r="F52" s="5331">
        <f t="shared" si="4"/>
        <v>1</v>
      </c>
      <c r="G52" s="5315" t="s">
        <v>6101</v>
      </c>
      <c r="H52" s="5302">
        <v>1</v>
      </c>
      <c r="I52" s="5303" t="s">
        <v>6090</v>
      </c>
      <c r="J52" s="5304">
        <v>31</v>
      </c>
      <c r="K52" s="5305">
        <v>3</v>
      </c>
      <c r="L52" s="5305">
        <v>93</v>
      </c>
      <c r="M52" s="5305">
        <v>4.5</v>
      </c>
      <c r="N52" s="5302">
        <v>315000</v>
      </c>
      <c r="O52" s="5306">
        <f t="shared" si="3"/>
        <v>315000</v>
      </c>
      <c r="P52" s="5307" t="s">
        <v>6092</v>
      </c>
      <c r="Q52" s="5308">
        <v>1</v>
      </c>
      <c r="R52" s="5309" t="s">
        <v>6092</v>
      </c>
      <c r="S52" s="5308">
        <v>0</v>
      </c>
      <c r="T52" s="5310" t="s">
        <v>6097</v>
      </c>
      <c r="U52" s="5311">
        <v>0</v>
      </c>
      <c r="AC52" s="5263"/>
    </row>
    <row r="53" spans="1:29" ht="33.75" customHeight="1">
      <c r="A53" s="5297">
        <v>16</v>
      </c>
      <c r="B53" s="5298">
        <v>46305</v>
      </c>
      <c r="C53" s="5298">
        <v>46305</v>
      </c>
      <c r="D53" s="5299">
        <v>0.58333333333333337</v>
      </c>
      <c r="E53" s="5299">
        <v>0.91666666666666663</v>
      </c>
      <c r="F53" s="5331">
        <f t="shared" si="4"/>
        <v>1</v>
      </c>
      <c r="G53" s="5315" t="s">
        <v>6102</v>
      </c>
      <c r="H53" s="5302">
        <v>1</v>
      </c>
      <c r="I53" s="5303" t="s">
        <v>6090</v>
      </c>
      <c r="J53" s="5304">
        <v>23</v>
      </c>
      <c r="K53" s="5305">
        <v>10</v>
      </c>
      <c r="L53" s="5305">
        <v>230</v>
      </c>
      <c r="M53" s="5305">
        <v>12</v>
      </c>
      <c r="N53" s="5302">
        <v>265000</v>
      </c>
      <c r="O53" s="5306">
        <f t="shared" si="3"/>
        <v>265000</v>
      </c>
      <c r="P53" s="5307" t="s">
        <v>6092</v>
      </c>
      <c r="Q53" s="5308">
        <v>1</v>
      </c>
      <c r="R53" s="5309" t="s">
        <v>6092</v>
      </c>
      <c r="S53" s="5308">
        <v>0</v>
      </c>
      <c r="T53" s="5310" t="s">
        <v>6097</v>
      </c>
      <c r="U53" s="5311">
        <v>0</v>
      </c>
      <c r="AC53" s="5263"/>
    </row>
    <row r="54" spans="1:29" ht="33.75" customHeight="1">
      <c r="A54" s="5297">
        <v>17</v>
      </c>
      <c r="B54" s="5298">
        <v>46306</v>
      </c>
      <c r="C54" s="5298">
        <v>46320</v>
      </c>
      <c r="D54" s="5299">
        <v>0.25</v>
      </c>
      <c r="E54" s="5299">
        <v>0.91666666666666663</v>
      </c>
      <c r="F54" s="5331">
        <v>17</v>
      </c>
      <c r="G54" s="5315" t="s">
        <v>6102</v>
      </c>
      <c r="H54" s="5302">
        <v>1</v>
      </c>
      <c r="I54" s="5303" t="s">
        <v>6090</v>
      </c>
      <c r="J54" s="5304">
        <v>23</v>
      </c>
      <c r="K54" s="5305">
        <v>10</v>
      </c>
      <c r="L54" s="5305">
        <v>230</v>
      </c>
      <c r="M54" s="5305">
        <v>12</v>
      </c>
      <c r="N54" s="5302">
        <v>1180000</v>
      </c>
      <c r="O54" s="5306">
        <f t="shared" si="3"/>
        <v>20060000</v>
      </c>
      <c r="P54" s="5307" t="s">
        <v>6092</v>
      </c>
      <c r="Q54" s="5308">
        <v>1</v>
      </c>
      <c r="R54" s="5309" t="s">
        <v>6092</v>
      </c>
      <c r="S54" s="5308">
        <v>0</v>
      </c>
      <c r="T54" s="5310" t="s">
        <v>6097</v>
      </c>
      <c r="U54" s="5311">
        <v>0</v>
      </c>
      <c r="AC54" s="5263"/>
    </row>
    <row r="55" spans="1:29" ht="33.75" customHeight="1">
      <c r="A55" s="5297">
        <v>18</v>
      </c>
      <c r="B55" s="5298">
        <v>46321</v>
      </c>
      <c r="C55" s="5298">
        <v>46321</v>
      </c>
      <c r="D55" s="5299">
        <v>0.25</v>
      </c>
      <c r="E55" s="5299">
        <v>0.58333333333333337</v>
      </c>
      <c r="F55" s="5331">
        <f t="shared" si="4"/>
        <v>1</v>
      </c>
      <c r="G55" s="5315" t="s">
        <v>6102</v>
      </c>
      <c r="H55" s="5302">
        <v>1</v>
      </c>
      <c r="I55" s="5303" t="s">
        <v>6090</v>
      </c>
      <c r="J55" s="5304">
        <v>23</v>
      </c>
      <c r="K55" s="5305">
        <v>10</v>
      </c>
      <c r="L55" s="5305">
        <v>230</v>
      </c>
      <c r="M55" s="5305">
        <v>12</v>
      </c>
      <c r="N55" s="5302">
        <v>315000</v>
      </c>
      <c r="O55" s="5306">
        <f t="shared" si="3"/>
        <v>315000</v>
      </c>
      <c r="P55" s="5307" t="s">
        <v>6092</v>
      </c>
      <c r="Q55" s="5308">
        <v>1</v>
      </c>
      <c r="R55" s="5309" t="s">
        <v>6092</v>
      </c>
      <c r="S55" s="5308">
        <v>0</v>
      </c>
      <c r="T55" s="5310" t="s">
        <v>6097</v>
      </c>
      <c r="U55" s="5311">
        <v>0</v>
      </c>
      <c r="AC55" s="5263"/>
    </row>
    <row r="56" spans="1:29" ht="33.75" customHeight="1">
      <c r="A56" s="5297">
        <v>19</v>
      </c>
      <c r="B56" s="5298">
        <v>46305</v>
      </c>
      <c r="C56" s="5298">
        <v>46305</v>
      </c>
      <c r="D56" s="5299">
        <v>0.58333333333333337</v>
      </c>
      <c r="E56" s="5299">
        <v>0.91666666666666663</v>
      </c>
      <c r="F56" s="5331">
        <f t="shared" si="4"/>
        <v>1</v>
      </c>
      <c r="G56" s="5315" t="s">
        <v>6103</v>
      </c>
      <c r="H56" s="5302">
        <v>2</v>
      </c>
      <c r="I56" s="5303" t="s">
        <v>6090</v>
      </c>
      <c r="J56" s="5304">
        <v>8</v>
      </c>
      <c r="K56" s="5305">
        <v>6.1875</v>
      </c>
      <c r="L56" s="5305">
        <v>49.5</v>
      </c>
      <c r="M56" s="5305">
        <v>3.4</v>
      </c>
      <c r="N56" s="5302">
        <v>315000</v>
      </c>
      <c r="O56" s="5306">
        <f t="shared" si="3"/>
        <v>315000</v>
      </c>
      <c r="P56" s="5307" t="s">
        <v>6097</v>
      </c>
      <c r="Q56" s="5308">
        <v>3</v>
      </c>
      <c r="R56" s="5309" t="s">
        <v>6092</v>
      </c>
      <c r="S56" s="5308">
        <v>0</v>
      </c>
      <c r="T56" s="5310" t="s">
        <v>6097</v>
      </c>
      <c r="U56" s="5311">
        <v>0</v>
      </c>
      <c r="AC56" s="5263"/>
    </row>
    <row r="57" spans="1:29" ht="33.75" customHeight="1">
      <c r="A57" s="5297">
        <v>20</v>
      </c>
      <c r="B57" s="5298">
        <v>46306</v>
      </c>
      <c r="C57" s="5298">
        <v>46320</v>
      </c>
      <c r="D57" s="5299">
        <v>0.25</v>
      </c>
      <c r="E57" s="5299">
        <v>0.91666666666666663</v>
      </c>
      <c r="F57" s="5331">
        <v>17</v>
      </c>
      <c r="G57" s="5315" t="s">
        <v>6103</v>
      </c>
      <c r="H57" s="5302">
        <v>2</v>
      </c>
      <c r="I57" s="5303" t="s">
        <v>6090</v>
      </c>
      <c r="J57" s="5304">
        <v>8</v>
      </c>
      <c r="K57" s="5305">
        <v>6.1875</v>
      </c>
      <c r="L57" s="5305">
        <v>49.5</v>
      </c>
      <c r="M57" s="5305">
        <v>3.4</v>
      </c>
      <c r="N57" s="5302">
        <v>1380000</v>
      </c>
      <c r="O57" s="5306">
        <f t="shared" si="3"/>
        <v>23460000</v>
      </c>
      <c r="P57" s="5307" t="s">
        <v>6097</v>
      </c>
      <c r="Q57" s="5308">
        <v>3</v>
      </c>
      <c r="R57" s="5309" t="s">
        <v>6092</v>
      </c>
      <c r="S57" s="5308">
        <v>0</v>
      </c>
      <c r="T57" s="5310" t="s">
        <v>6097</v>
      </c>
      <c r="U57" s="5311">
        <v>0</v>
      </c>
      <c r="AC57" s="5263"/>
    </row>
    <row r="58" spans="1:29" ht="33.75" customHeight="1">
      <c r="A58" s="5297">
        <v>21</v>
      </c>
      <c r="B58" s="5298">
        <v>46321</v>
      </c>
      <c r="C58" s="5298">
        <v>46321</v>
      </c>
      <c r="D58" s="5299">
        <v>0.25</v>
      </c>
      <c r="E58" s="5299">
        <v>0.58333333333333337</v>
      </c>
      <c r="F58" s="5331">
        <f t="shared" si="4"/>
        <v>1</v>
      </c>
      <c r="G58" s="5315" t="s">
        <v>6103</v>
      </c>
      <c r="H58" s="5302">
        <v>2</v>
      </c>
      <c r="I58" s="5303" t="s">
        <v>6090</v>
      </c>
      <c r="J58" s="5304">
        <v>8</v>
      </c>
      <c r="K58" s="5305">
        <v>6.1875</v>
      </c>
      <c r="L58" s="5305">
        <v>49.5</v>
      </c>
      <c r="M58" s="5305">
        <v>3.4</v>
      </c>
      <c r="N58" s="5302">
        <v>465000</v>
      </c>
      <c r="O58" s="5306">
        <f t="shared" si="3"/>
        <v>465000</v>
      </c>
      <c r="P58" s="5307" t="s">
        <v>6097</v>
      </c>
      <c r="Q58" s="5308">
        <v>3</v>
      </c>
      <c r="R58" s="5309" t="s">
        <v>6092</v>
      </c>
      <c r="S58" s="5308">
        <v>0</v>
      </c>
      <c r="T58" s="5310" t="s">
        <v>6097</v>
      </c>
      <c r="U58" s="5311">
        <v>0</v>
      </c>
      <c r="AC58" s="5263"/>
    </row>
    <row r="59" spans="1:29" ht="33.75" customHeight="1">
      <c r="A59" s="5333">
        <v>22</v>
      </c>
      <c r="B59" s="5298">
        <v>46300</v>
      </c>
      <c r="C59" s="5298">
        <v>46304</v>
      </c>
      <c r="D59" s="5299">
        <v>0.25</v>
      </c>
      <c r="E59" s="5299">
        <v>0.91666666666666663</v>
      </c>
      <c r="F59" s="5331">
        <v>7</v>
      </c>
      <c r="G59" s="5301" t="s">
        <v>6099</v>
      </c>
      <c r="H59" s="5302">
        <v>1</v>
      </c>
      <c r="I59" s="5303" t="s">
        <v>6090</v>
      </c>
      <c r="J59" s="5304">
        <v>60.785714285714285</v>
      </c>
      <c r="K59" s="5305">
        <v>14</v>
      </c>
      <c r="L59" s="5305">
        <v>851</v>
      </c>
      <c r="M59" s="5305">
        <v>6.5</v>
      </c>
      <c r="N59" s="5302">
        <v>540000</v>
      </c>
      <c r="O59" s="5306">
        <f t="shared" si="3"/>
        <v>3780000</v>
      </c>
      <c r="P59" s="5307"/>
      <c r="Q59" s="5308"/>
      <c r="R59" s="5309"/>
      <c r="S59" s="5308"/>
      <c r="T59" s="5310"/>
      <c r="U59" s="5311"/>
      <c r="AC59" s="5263"/>
    </row>
    <row r="60" spans="1:29" ht="33.75" customHeight="1">
      <c r="A60" s="5333">
        <v>23</v>
      </c>
      <c r="B60" s="5298">
        <v>46300</v>
      </c>
      <c r="C60" s="5298">
        <v>46304</v>
      </c>
      <c r="D60" s="5299">
        <v>0.25</v>
      </c>
      <c r="E60" s="5299">
        <v>0.91666666666666663</v>
      </c>
      <c r="F60" s="5331">
        <v>7</v>
      </c>
      <c r="G60" s="5315" t="s">
        <v>6100</v>
      </c>
      <c r="H60" s="5302">
        <v>1</v>
      </c>
      <c r="I60" s="5303" t="s">
        <v>6090</v>
      </c>
      <c r="J60" s="5304">
        <v>12</v>
      </c>
      <c r="K60" s="5305">
        <v>12</v>
      </c>
      <c r="L60" s="5305">
        <v>110</v>
      </c>
      <c r="M60" s="5305">
        <v>3.5</v>
      </c>
      <c r="N60" s="5302">
        <v>120000</v>
      </c>
      <c r="O60" s="5306">
        <f t="shared" si="3"/>
        <v>840000</v>
      </c>
      <c r="P60" s="5307"/>
      <c r="Q60" s="5308"/>
      <c r="R60" s="5309"/>
      <c r="S60" s="5308"/>
      <c r="T60" s="5310"/>
      <c r="U60" s="5311"/>
      <c r="AC60" s="5263"/>
    </row>
    <row r="61" spans="1:29" ht="33.75" customHeight="1">
      <c r="A61" s="5333">
        <v>24</v>
      </c>
      <c r="B61" s="5298">
        <v>46300</v>
      </c>
      <c r="C61" s="5298">
        <v>46304</v>
      </c>
      <c r="D61" s="5299">
        <v>0.25</v>
      </c>
      <c r="E61" s="5299">
        <v>0.91666666666666663</v>
      </c>
      <c r="F61" s="5331">
        <v>7</v>
      </c>
      <c r="G61" s="5315" t="s">
        <v>6101</v>
      </c>
      <c r="H61" s="5302">
        <v>1</v>
      </c>
      <c r="I61" s="5303" t="s">
        <v>6090</v>
      </c>
      <c r="J61" s="5304">
        <v>31</v>
      </c>
      <c r="K61" s="5305">
        <v>3</v>
      </c>
      <c r="L61" s="5305">
        <v>93</v>
      </c>
      <c r="M61" s="5305">
        <v>4.5</v>
      </c>
      <c r="N61" s="5302">
        <v>120000</v>
      </c>
      <c r="O61" s="5306">
        <f t="shared" si="3"/>
        <v>840000</v>
      </c>
      <c r="P61" s="5307"/>
      <c r="Q61" s="5308"/>
      <c r="R61" s="5309"/>
      <c r="S61" s="5308"/>
      <c r="T61" s="5310"/>
      <c r="U61" s="5311"/>
      <c r="AC61" s="5263"/>
    </row>
    <row r="62" spans="1:29" ht="33.75" customHeight="1">
      <c r="A62" s="5333">
        <v>25</v>
      </c>
      <c r="B62" s="5298">
        <v>46300</v>
      </c>
      <c r="C62" s="5298">
        <v>46304</v>
      </c>
      <c r="D62" s="5299">
        <v>0.25</v>
      </c>
      <c r="E62" s="5299">
        <v>0.91666666666666663</v>
      </c>
      <c r="F62" s="5331">
        <v>7</v>
      </c>
      <c r="G62" s="5315" t="s">
        <v>6102</v>
      </c>
      <c r="H62" s="5302">
        <v>1</v>
      </c>
      <c r="I62" s="5303" t="s">
        <v>6090</v>
      </c>
      <c r="J62" s="5304">
        <v>23</v>
      </c>
      <c r="K62" s="5305">
        <v>10</v>
      </c>
      <c r="L62" s="5305">
        <v>230</v>
      </c>
      <c r="M62" s="5305">
        <v>12</v>
      </c>
      <c r="N62" s="5302">
        <v>120000</v>
      </c>
      <c r="O62" s="5306">
        <f t="shared" si="3"/>
        <v>840000</v>
      </c>
      <c r="P62" s="5307"/>
      <c r="Q62" s="5308"/>
      <c r="R62" s="5309"/>
      <c r="S62" s="5308"/>
      <c r="T62" s="5310"/>
      <c r="U62" s="5311"/>
      <c r="AC62" s="5263"/>
    </row>
    <row r="63" spans="1:29" ht="33.75" customHeight="1">
      <c r="A63" s="5333">
        <v>26</v>
      </c>
      <c r="B63" s="5298">
        <v>46300</v>
      </c>
      <c r="C63" s="5298">
        <v>46304</v>
      </c>
      <c r="D63" s="5299">
        <v>0.25</v>
      </c>
      <c r="E63" s="5299">
        <v>0.91666666666666663</v>
      </c>
      <c r="F63" s="5331">
        <v>7</v>
      </c>
      <c r="G63" s="5315" t="s">
        <v>6103</v>
      </c>
      <c r="H63" s="5302">
        <v>2</v>
      </c>
      <c r="I63" s="5303" t="s">
        <v>6090</v>
      </c>
      <c r="J63" s="5304">
        <v>8</v>
      </c>
      <c r="K63" s="5305">
        <v>6.1875</v>
      </c>
      <c r="L63" s="5305">
        <v>49.5</v>
      </c>
      <c r="M63" s="5305">
        <v>3.4</v>
      </c>
      <c r="N63" s="5302">
        <v>120000</v>
      </c>
      <c r="O63" s="5306">
        <f t="shared" si="3"/>
        <v>840000</v>
      </c>
      <c r="P63" s="5307"/>
      <c r="Q63" s="5308"/>
      <c r="R63" s="5309"/>
      <c r="S63" s="5308"/>
      <c r="T63" s="5310"/>
      <c r="U63" s="5311"/>
      <c r="AC63" s="5263"/>
    </row>
    <row r="64" spans="1:29" ht="33.75" customHeight="1" thickBot="1">
      <c r="A64" s="5316">
        <v>27</v>
      </c>
      <c r="B64" s="5334"/>
      <c r="C64" s="5334"/>
      <c r="D64" s="5299"/>
      <c r="E64" s="5299"/>
      <c r="F64" s="5313"/>
      <c r="G64" s="5335"/>
      <c r="H64" s="5336"/>
      <c r="I64" s="5337"/>
      <c r="J64" s="5338"/>
      <c r="K64" s="5305"/>
      <c r="L64" s="5305"/>
      <c r="M64" s="5305"/>
      <c r="N64" s="5339"/>
      <c r="O64" s="5317"/>
      <c r="P64" s="5307"/>
      <c r="Q64" s="5308"/>
      <c r="R64" s="5310"/>
      <c r="S64" s="5308"/>
      <c r="T64" s="5310"/>
      <c r="U64" s="5311"/>
      <c r="AC64" s="5263"/>
    </row>
    <row r="65" spans="1:31" ht="33.75" customHeight="1" thickTop="1" thickBot="1">
      <c r="A65" s="5318" t="s">
        <v>6104</v>
      </c>
      <c r="B65" s="5319"/>
      <c r="C65" s="5319"/>
      <c r="D65" s="5319"/>
      <c r="E65" s="5319"/>
      <c r="F65" s="5320">
        <f>SUM(F38:F64)</f>
        <v>146</v>
      </c>
      <c r="G65" s="5319"/>
      <c r="H65" s="5321"/>
      <c r="I65" s="4782">
        <f>COUNTA(G39,G47,G50,G54,G56)</f>
        <v>5</v>
      </c>
      <c r="J65" s="5323"/>
      <c r="K65" s="5323"/>
      <c r="L65" s="5323"/>
      <c r="M65" s="5323"/>
      <c r="N65" s="5324"/>
      <c r="O65" s="5325"/>
      <c r="P65" s="5326"/>
      <c r="Q65" s="5326"/>
      <c r="R65" s="5327"/>
      <c r="S65" s="5328"/>
      <c r="T65" s="5327"/>
      <c r="U65" s="5329"/>
      <c r="AC65" s="5263"/>
    </row>
    <row r="66" spans="1:31" s="4657" customFormat="1" ht="33.75" customHeight="1" thickBot="1">
      <c r="A66" s="4876" t="s">
        <v>5792</v>
      </c>
      <c r="B66" s="4877"/>
      <c r="C66" s="4878"/>
      <c r="D66" s="4878"/>
      <c r="E66" s="4878"/>
      <c r="F66" s="4879"/>
      <c r="G66" s="4878"/>
      <c r="H66" s="4880"/>
      <c r="I66" s="4878"/>
      <c r="J66" s="4881"/>
      <c r="K66" s="4881"/>
      <c r="L66" s="4881"/>
      <c r="M66" s="4881"/>
      <c r="N66" s="4882"/>
      <c r="O66" s="4923">
        <f>SUM(O38:O64)</f>
        <v>124430000</v>
      </c>
      <c r="P66" s="4884"/>
      <c r="Q66" s="4885"/>
      <c r="R66" s="4886"/>
      <c r="S66" s="4887"/>
      <c r="T66" s="4886"/>
      <c r="U66" s="4888"/>
    </row>
    <row r="67" spans="1:31" ht="32.15" customHeight="1">
      <c r="A67" s="5265"/>
      <c r="B67" s="5330"/>
      <c r="C67" s="5330"/>
      <c r="D67" s="5330"/>
      <c r="G67" s="5330"/>
      <c r="H67" s="5330"/>
      <c r="M67" s="4808" t="s">
        <v>5748</v>
      </c>
      <c r="N67" s="5190">
        <f>SUM(N39,N42,N48,N51,N54,N57)</f>
        <v>6540000</v>
      </c>
      <c r="O67" s="5265"/>
      <c r="P67" s="5263"/>
      <c r="Q67" s="5263"/>
      <c r="AC67" s="5263"/>
    </row>
    <row r="68" spans="1:31" ht="32.15" customHeight="1">
      <c r="B68" s="5263"/>
      <c r="C68" s="5263"/>
      <c r="D68" s="5263"/>
      <c r="E68" s="5340"/>
      <c r="F68" s="5341"/>
      <c r="G68" s="5263"/>
      <c r="H68" s="5263"/>
      <c r="M68" s="4808" t="s">
        <v>5750</v>
      </c>
      <c r="N68" s="5190">
        <f>N67</f>
        <v>6540000</v>
      </c>
      <c r="O68" s="6242" t="s">
        <v>6958</v>
      </c>
      <c r="P68" s="5263"/>
      <c r="Q68" s="5263"/>
      <c r="AC68" s="5263"/>
    </row>
    <row r="69" spans="1:31" ht="32.15" customHeight="1">
      <c r="A69" s="5342"/>
      <c r="B69" s="5343"/>
      <c r="C69" s="5343"/>
      <c r="D69" s="5343"/>
      <c r="E69" s="5344"/>
      <c r="F69" s="5344"/>
      <c r="G69" s="5343"/>
      <c r="H69" s="5343"/>
      <c r="I69" s="5342"/>
      <c r="J69" s="5342"/>
      <c r="K69" s="5342"/>
      <c r="L69" s="5342"/>
      <c r="M69" s="5342"/>
      <c r="N69" s="5342"/>
      <c r="O69" s="5345"/>
      <c r="P69" s="5345"/>
      <c r="Q69" s="5345"/>
      <c r="R69" s="5265"/>
      <c r="S69" s="5342"/>
      <c r="T69" s="5265"/>
      <c r="U69" s="5342"/>
      <c r="W69" s="6976"/>
      <c r="X69" s="6976"/>
      <c r="Y69" s="6976"/>
      <c r="Z69" s="6976"/>
      <c r="AA69" s="6976"/>
      <c r="AB69" s="6965"/>
      <c r="AC69" s="6965"/>
      <c r="AD69" s="6965"/>
      <c r="AE69" s="6965"/>
    </row>
    <row r="70" spans="1:31" ht="36" customHeight="1"/>
    <row r="71" spans="1:31" ht="36" customHeight="1"/>
    <row r="72" spans="1:31" ht="36" customHeight="1"/>
    <row r="73" spans="1:31" ht="36" customHeight="1"/>
    <row r="74" spans="1:31" ht="36" customHeight="1"/>
    <row r="75" spans="1:31" ht="36" customHeight="1"/>
    <row r="76" spans="1:31" ht="36" customHeight="1"/>
    <row r="77" spans="1:31" ht="36" customHeight="1"/>
    <row r="78" spans="1:31" ht="36" customHeight="1"/>
    <row r="79" spans="1:31" ht="36" customHeight="1"/>
    <row r="80" spans="1:31" ht="10.4" customHeight="1">
      <c r="B80" s="5263"/>
      <c r="C80" s="5263"/>
      <c r="D80" s="5263"/>
      <c r="G80" s="5263"/>
      <c r="H80" s="5263"/>
      <c r="O80" s="5265"/>
      <c r="P80" s="5263"/>
      <c r="Q80" s="5263"/>
      <c r="AC80" s="5263"/>
    </row>
  </sheetData>
  <mergeCells count="38">
    <mergeCell ref="A2:B2"/>
    <mergeCell ref="C2:G2"/>
    <mergeCell ref="A5:A6"/>
    <mergeCell ref="B5:B6"/>
    <mergeCell ref="C5:C6"/>
    <mergeCell ref="D5:D6"/>
    <mergeCell ref="E5:E6"/>
    <mergeCell ref="F5:F6"/>
    <mergeCell ref="G5:G6"/>
    <mergeCell ref="F35:F36"/>
    <mergeCell ref="H5:H6"/>
    <mergeCell ref="I5:I6"/>
    <mergeCell ref="J5:J6"/>
    <mergeCell ref="K5:K6"/>
    <mergeCell ref="G35:G36"/>
    <mergeCell ref="H35:H36"/>
    <mergeCell ref="I35:I36"/>
    <mergeCell ref="J35:J36"/>
    <mergeCell ref="K35:K36"/>
    <mergeCell ref="A35:A36"/>
    <mergeCell ref="B35:B36"/>
    <mergeCell ref="C35:C36"/>
    <mergeCell ref="D35:D36"/>
    <mergeCell ref="E35:E36"/>
    <mergeCell ref="L35:L36"/>
    <mergeCell ref="N5:N6"/>
    <mergeCell ref="O5:O6"/>
    <mergeCell ref="P5:Q5"/>
    <mergeCell ref="R5:U5"/>
    <mergeCell ref="L5:L6"/>
    <mergeCell ref="M5:M6"/>
    <mergeCell ref="AB69:AE69"/>
    <mergeCell ref="M35:M36"/>
    <mergeCell ref="N35:N36"/>
    <mergeCell ref="O35:O36"/>
    <mergeCell ref="P35:Q35"/>
    <mergeCell ref="R35:U35"/>
    <mergeCell ref="W69:AA69"/>
  </mergeCells>
  <phoneticPr fontId="2"/>
  <conditionalFormatting sqref="B8:E29 G29:N29 G8:M28">
    <cfRule type="containsBlanks" dxfId="586" priority="7">
      <formula>LEN(TRIM(B8))=0</formula>
    </cfRule>
  </conditionalFormatting>
  <conditionalFormatting sqref="B38:E64 G64:N64 G38:M63">
    <cfRule type="containsBlanks" dxfId="585" priority="5">
      <formula>LEN(TRIM(B38))=0</formula>
    </cfRule>
  </conditionalFormatting>
  <conditionalFormatting sqref="C2:D2">
    <cfRule type="containsBlanks" dxfId="584" priority="8">
      <formula>LEN(TRIM(C2))=0</formula>
    </cfRule>
  </conditionalFormatting>
  <conditionalFormatting sqref="P8:U29">
    <cfRule type="containsBlanks" dxfId="583" priority="9">
      <formula>LEN(TRIM(P8))=0</formula>
    </cfRule>
  </conditionalFormatting>
  <conditionalFormatting sqref="P38:U64">
    <cfRule type="containsBlanks" dxfId="582" priority="6">
      <formula>LEN(TRIM(P38))=0</formula>
    </cfRule>
  </conditionalFormatting>
  <conditionalFormatting sqref="N8:N28">
    <cfRule type="containsBlanks" dxfId="581" priority="4">
      <formula>LEN(TRIM(N8))=0</formula>
    </cfRule>
  </conditionalFormatting>
  <conditionalFormatting sqref="N59:N63">
    <cfRule type="containsBlanks" dxfId="580" priority="2">
      <formula>LEN(TRIM(N59))=0</formula>
    </cfRule>
  </conditionalFormatting>
  <conditionalFormatting sqref="N38:N58">
    <cfRule type="containsBlanks" dxfId="579" priority="1">
      <formula>LEN(TRIM(N38))=0</formula>
    </cfRule>
  </conditionalFormatting>
  <pageMargins left="0.70866141732283472" right="0.70866141732283472" top="0.74803149606299213" bottom="0.74803149606299213" header="0.31496062992125984" footer="0.31496062992125984"/>
  <pageSetup paperSize="8" scale="32"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C7DE-A99B-4DFA-BF4E-A68C650BCD9B}">
  <sheetPr codeName="Sheet343">
    <tabColor rgb="FFFFFF66"/>
    <pageSetUpPr fitToPage="1"/>
  </sheetPr>
  <dimension ref="A1:AE52"/>
  <sheetViews>
    <sheetView zoomScale="55" zoomScaleNormal="55" workbookViewId="0">
      <selection activeCell="I8" sqref="I8"/>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6044</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I4" s="4657" t="s">
        <v>5839</v>
      </c>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46279</v>
      </c>
      <c r="C8" s="4911">
        <v>46299</v>
      </c>
      <c r="D8" s="4759"/>
      <c r="E8" s="4759"/>
      <c r="F8" s="4760">
        <v>1</v>
      </c>
      <c r="G8" s="4761" t="s">
        <v>6106</v>
      </c>
      <c r="H8" s="4762">
        <v>1</v>
      </c>
      <c r="I8" s="4763" t="s">
        <v>5841</v>
      </c>
      <c r="J8" s="4764"/>
      <c r="K8" s="4765"/>
      <c r="L8" s="4765"/>
      <c r="M8" s="4765"/>
      <c r="N8" s="4762">
        <v>2085099</v>
      </c>
      <c r="O8" s="4766">
        <f t="shared" ref="O8" si="1">F8*N8*H8</f>
        <v>2085099</v>
      </c>
      <c r="P8" s="4857"/>
      <c r="Q8" s="4858"/>
      <c r="R8" s="4864"/>
      <c r="S8" s="4858"/>
      <c r="T8" s="4859"/>
      <c r="U8" s="4860"/>
    </row>
    <row r="9" spans="1:31" ht="33.75" customHeight="1">
      <c r="A9" s="4758">
        <v>2</v>
      </c>
      <c r="B9" s="4910">
        <v>46279</v>
      </c>
      <c r="C9" s="4911">
        <v>46299</v>
      </c>
      <c r="D9" s="4759"/>
      <c r="E9" s="4759"/>
      <c r="F9" s="4760">
        <v>1</v>
      </c>
      <c r="G9" s="4771" t="s">
        <v>6107</v>
      </c>
      <c r="H9" s="4762">
        <v>1</v>
      </c>
      <c r="I9" s="4763" t="s">
        <v>5841</v>
      </c>
      <c r="J9" s="4764"/>
      <c r="K9" s="4765"/>
      <c r="L9" s="4765"/>
      <c r="M9" s="4765"/>
      <c r="N9" s="4762">
        <v>1456505</v>
      </c>
      <c r="O9" s="4766">
        <f>F9*N9*H9</f>
        <v>1456505</v>
      </c>
      <c r="P9" s="4857"/>
      <c r="Q9" s="4858"/>
      <c r="R9" s="4864"/>
      <c r="S9" s="4858"/>
      <c r="T9" s="4859"/>
      <c r="U9" s="4860"/>
      <c r="AC9" s="4657"/>
    </row>
    <row r="10" spans="1:31" ht="33.75" customHeight="1">
      <c r="A10" s="4758">
        <v>3</v>
      </c>
      <c r="B10" s="4910"/>
      <c r="C10" s="4911"/>
      <c r="D10" s="4759"/>
      <c r="E10" s="4759"/>
      <c r="F10" s="4912"/>
      <c r="G10" s="4975"/>
      <c r="H10" s="4762"/>
      <c r="I10" s="4763"/>
      <c r="J10" s="4764"/>
      <c r="K10" s="4765"/>
      <c r="L10" s="4765"/>
      <c r="M10" s="4765"/>
      <c r="N10" s="4762"/>
      <c r="O10" s="4766">
        <f t="shared" ref="O10:O16" si="2">F10*N10*H10</f>
        <v>0</v>
      </c>
      <c r="P10" s="4909"/>
      <c r="Q10" s="4858"/>
      <c r="R10" s="4864"/>
      <c r="S10" s="4858"/>
      <c r="T10" s="4859"/>
      <c r="U10" s="4860"/>
      <c r="AC10" s="4657"/>
    </row>
    <row r="11" spans="1:31" ht="33.75" customHeight="1">
      <c r="A11" s="4758">
        <v>4</v>
      </c>
      <c r="B11" s="4910"/>
      <c r="C11" s="4911"/>
      <c r="D11" s="4759"/>
      <c r="E11" s="4759"/>
      <c r="F11" s="4912"/>
      <c r="G11" s="4771"/>
      <c r="H11" s="4762"/>
      <c r="I11" s="4763"/>
      <c r="J11" s="4764"/>
      <c r="K11" s="4765"/>
      <c r="L11" s="4765"/>
      <c r="M11" s="4765"/>
      <c r="N11" s="4762"/>
      <c r="O11" s="4766">
        <f t="shared" si="2"/>
        <v>0</v>
      </c>
      <c r="P11" s="4857"/>
      <c r="Q11" s="4858"/>
      <c r="R11" s="4859"/>
      <c r="S11" s="4858"/>
      <c r="T11" s="4859"/>
      <c r="U11" s="4860"/>
      <c r="AC11" s="4657"/>
    </row>
    <row r="12" spans="1:31" ht="33.75" customHeight="1">
      <c r="A12" s="4758">
        <v>5</v>
      </c>
      <c r="B12" s="4910"/>
      <c r="C12" s="4911"/>
      <c r="D12" s="4759"/>
      <c r="E12" s="4759"/>
      <c r="F12" s="4912"/>
      <c r="G12" s="4771"/>
      <c r="H12" s="4762"/>
      <c r="I12" s="4763"/>
      <c r="J12" s="4764"/>
      <c r="K12" s="4765"/>
      <c r="L12" s="4765"/>
      <c r="M12" s="4765"/>
      <c r="N12" s="4762"/>
      <c r="O12" s="4766">
        <f t="shared" si="2"/>
        <v>0</v>
      </c>
      <c r="P12" s="4857"/>
      <c r="Q12" s="4858"/>
      <c r="R12" s="4859"/>
      <c r="S12" s="4858"/>
      <c r="T12" s="4859"/>
      <c r="U12" s="4860"/>
      <c r="AC12" s="4657"/>
    </row>
    <row r="13" spans="1:31" ht="33.75" customHeight="1">
      <c r="A13" s="4758">
        <v>6</v>
      </c>
      <c r="B13" s="4910"/>
      <c r="C13" s="4911"/>
      <c r="D13" s="4913"/>
      <c r="E13" s="4759"/>
      <c r="F13" s="4912"/>
      <c r="G13" s="4771"/>
      <c r="H13" s="4762"/>
      <c r="I13" s="4763"/>
      <c r="J13" s="4764"/>
      <c r="K13" s="4765"/>
      <c r="L13" s="4765"/>
      <c r="M13" s="4765"/>
      <c r="N13" s="4762"/>
      <c r="O13" s="4766">
        <f t="shared" si="2"/>
        <v>0</v>
      </c>
      <c r="P13" s="4857"/>
      <c r="Q13" s="4858"/>
      <c r="R13" s="4859"/>
      <c r="S13" s="4858"/>
      <c r="T13" s="4859"/>
      <c r="U13" s="4860"/>
      <c r="AC13" s="4657"/>
    </row>
    <row r="14" spans="1:31" ht="33.75" customHeight="1">
      <c r="A14" s="4758">
        <v>7</v>
      </c>
      <c r="B14" s="4910"/>
      <c r="C14" s="4911"/>
      <c r="D14" s="4913"/>
      <c r="E14" s="4759"/>
      <c r="F14" s="4912"/>
      <c r="G14" s="4771"/>
      <c r="H14" s="4762"/>
      <c r="I14" s="4763"/>
      <c r="J14" s="4764"/>
      <c r="K14" s="4765"/>
      <c r="L14" s="4765"/>
      <c r="M14" s="4765"/>
      <c r="N14" s="4762"/>
      <c r="O14" s="4766">
        <f t="shared" si="2"/>
        <v>0</v>
      </c>
      <c r="P14" s="4857"/>
      <c r="Q14" s="4858"/>
      <c r="R14" s="4859"/>
      <c r="S14" s="4858"/>
      <c r="T14" s="4859"/>
      <c r="U14" s="4860"/>
      <c r="AC14" s="4657"/>
    </row>
    <row r="15" spans="1:31" ht="33.75" customHeight="1">
      <c r="A15" s="4758">
        <v>8</v>
      </c>
      <c r="B15" s="4910"/>
      <c r="C15" s="4911"/>
      <c r="D15" s="4913"/>
      <c r="E15" s="4759"/>
      <c r="F15" s="4912"/>
      <c r="G15" s="4771"/>
      <c r="H15" s="4762"/>
      <c r="I15" s="4763"/>
      <c r="J15" s="4764"/>
      <c r="K15" s="4765"/>
      <c r="L15" s="4765"/>
      <c r="M15" s="4765"/>
      <c r="N15" s="4762"/>
      <c r="O15" s="4766">
        <f t="shared" si="2"/>
        <v>0</v>
      </c>
      <c r="P15" s="4857"/>
      <c r="Q15" s="4858"/>
      <c r="R15" s="4859"/>
      <c r="S15" s="4858"/>
      <c r="T15" s="4859"/>
      <c r="U15" s="4860"/>
      <c r="AC15" s="4657"/>
    </row>
    <row r="16" spans="1:31" ht="33.75" customHeight="1">
      <c r="A16" s="4758">
        <v>9</v>
      </c>
      <c r="B16" s="4910"/>
      <c r="C16" s="4911"/>
      <c r="D16" s="4913"/>
      <c r="E16" s="4759"/>
      <c r="F16" s="4912"/>
      <c r="G16" s="4771"/>
      <c r="H16" s="4762"/>
      <c r="I16" s="4763"/>
      <c r="J16" s="4764"/>
      <c r="K16" s="4765"/>
      <c r="L16" s="4765"/>
      <c r="M16" s="4765"/>
      <c r="N16" s="4762"/>
      <c r="O16" s="4766">
        <f t="shared" si="2"/>
        <v>0</v>
      </c>
      <c r="P16" s="4857"/>
      <c r="Q16" s="4858"/>
      <c r="R16" s="4859"/>
      <c r="S16" s="4858"/>
      <c r="T16" s="4859"/>
      <c r="U16" s="4860"/>
      <c r="AC16" s="4657"/>
    </row>
    <row r="17" spans="1:31" ht="33.75" customHeight="1" thickBot="1">
      <c r="A17" s="4772">
        <v>10</v>
      </c>
      <c r="B17" s="4910"/>
      <c r="C17" s="4911"/>
      <c r="D17" s="4914"/>
      <c r="E17" s="4915"/>
      <c r="F17" s="4916"/>
      <c r="G17" s="4773"/>
      <c r="H17" s="4917"/>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2</v>
      </c>
      <c r="G18" s="4779"/>
      <c r="H18" s="4781"/>
      <c r="I18" s="4782"/>
      <c r="J18" s="4783"/>
      <c r="K18" s="4784"/>
      <c r="L18" s="4784"/>
      <c r="M18" s="4784"/>
      <c r="N18" s="4785"/>
      <c r="O18" s="4922">
        <f>SUM(O8:O17)</f>
        <v>3541604</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3895764.4000000004</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v>0</v>
      </c>
      <c r="D21" s="4658" t="s">
        <v>5847</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SUM(O8,O9)*1.1</f>
        <v>3895764.4000000004</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23.15" customHeight="1" thickBot="1">
      <c r="A25" s="4737" t="s">
        <v>5849</v>
      </c>
      <c r="B25" s="4657"/>
      <c r="C25" s="4657"/>
      <c r="D25" s="4657"/>
      <c r="G25" s="4657"/>
      <c r="H25" s="4657"/>
      <c r="I25" s="4657" t="s">
        <v>5839</v>
      </c>
      <c r="O25" s="4656"/>
      <c r="P25" s="4656"/>
      <c r="Q25" s="4657"/>
      <c r="AC25" s="4657"/>
    </row>
    <row r="26" spans="1:31" s="4738" customFormat="1" ht="33.75" customHeight="1">
      <c r="A26" s="6893" t="s">
        <v>5713</v>
      </c>
      <c r="B26" s="6882" t="s">
        <v>5757</v>
      </c>
      <c r="C26" s="6882" t="s">
        <v>5758</v>
      </c>
      <c r="D26" s="6882" t="s">
        <v>5759</v>
      </c>
      <c r="E26" s="6882" t="s">
        <v>5760</v>
      </c>
      <c r="F26" s="6895" t="s">
        <v>5761</v>
      </c>
      <c r="G26" s="6882" t="s">
        <v>5762</v>
      </c>
      <c r="H26" s="6897" t="s">
        <v>5763</v>
      </c>
      <c r="I26" s="6882" t="s">
        <v>5764</v>
      </c>
      <c r="J26" s="6895" t="s">
        <v>5765</v>
      </c>
      <c r="K26" s="6888" t="s">
        <v>5766</v>
      </c>
      <c r="L26" s="6888" t="s">
        <v>5767</v>
      </c>
      <c r="M26" s="6888" t="s">
        <v>5768</v>
      </c>
      <c r="N26" s="6882" t="s">
        <v>5811</v>
      </c>
      <c r="O26" s="6884" t="s">
        <v>5812</v>
      </c>
      <c r="P26" s="6886" t="s">
        <v>5771</v>
      </c>
      <c r="Q26" s="6887"/>
      <c r="R26" s="6888" t="s">
        <v>5772</v>
      </c>
      <c r="S26" s="6889"/>
      <c r="T26" s="6889"/>
      <c r="U26" s="6890"/>
    </row>
    <row r="27" spans="1:31"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31" s="4666" customFormat="1" ht="33.75" customHeight="1">
      <c r="A28" s="4743" t="s">
        <v>5779</v>
      </c>
      <c r="B28" s="4744">
        <v>46280</v>
      </c>
      <c r="C28" s="4744">
        <v>46300</v>
      </c>
      <c r="D28" s="4745">
        <v>0.3125</v>
      </c>
      <c r="E28" s="4746">
        <v>0.89583333333333337</v>
      </c>
      <c r="F28" s="4747">
        <f>IF(OR(ISBLANK($B28), ISBLANK($C28)), 0, _xlfn.DAYS($C28, $B28) + 1)</f>
        <v>21</v>
      </c>
      <c r="G28" s="4748" t="s">
        <v>5780</v>
      </c>
      <c r="H28" s="4749">
        <v>3</v>
      </c>
      <c r="I28" s="4747" t="s">
        <v>5781</v>
      </c>
      <c r="J28" s="4750">
        <v>30</v>
      </c>
      <c r="K28" s="4751">
        <v>100</v>
      </c>
      <c r="L28" s="4751">
        <f>J28*K28</f>
        <v>3000</v>
      </c>
      <c r="M28" s="4752">
        <v>5</v>
      </c>
      <c r="N28" s="4753">
        <v>150000</v>
      </c>
      <c r="O28" s="4754">
        <f t="shared" ref="O28" si="3">F28*N28</f>
        <v>3150000</v>
      </c>
      <c r="P28" s="4755" t="s">
        <v>5782</v>
      </c>
      <c r="Q28" s="4756">
        <v>4</v>
      </c>
      <c r="R28" s="4756" t="s">
        <v>3804</v>
      </c>
      <c r="S28" s="4751" t="s">
        <v>246</v>
      </c>
      <c r="T28" s="4756" t="s">
        <v>2161</v>
      </c>
      <c r="U28" s="4757">
        <v>2000</v>
      </c>
    </row>
    <row r="29" spans="1:31" s="4666" customFormat="1" ht="33.75" customHeight="1">
      <c r="A29" s="4758">
        <v>1</v>
      </c>
      <c r="B29" s="4926">
        <v>46303</v>
      </c>
      <c r="C29" s="4926">
        <v>46322</v>
      </c>
      <c r="D29" s="4759"/>
      <c r="E29" s="4759"/>
      <c r="F29" s="4760">
        <v>1</v>
      </c>
      <c r="G29" s="4761" t="s">
        <v>6106</v>
      </c>
      <c r="H29" s="4762">
        <v>1</v>
      </c>
      <c r="I29" s="4763" t="s">
        <v>5841</v>
      </c>
      <c r="J29" s="4764"/>
      <c r="K29" s="4765"/>
      <c r="L29" s="4765"/>
      <c r="M29" s="4765"/>
      <c r="N29" s="4762">
        <v>2085099</v>
      </c>
      <c r="O29" s="4766">
        <f t="shared" ref="O29" si="4">F29*N29*H29</f>
        <v>2085099</v>
      </c>
      <c r="P29" s="4857"/>
      <c r="Q29" s="4858"/>
      <c r="R29" s="4864"/>
      <c r="S29" s="4858"/>
      <c r="T29" s="4859"/>
      <c r="U29" s="4860"/>
    </row>
    <row r="30" spans="1:31" ht="33.75" customHeight="1">
      <c r="A30" s="4758">
        <v>2</v>
      </c>
      <c r="B30" s="4910">
        <v>46279</v>
      </c>
      <c r="C30" s="4911">
        <v>46299</v>
      </c>
      <c r="D30" s="4759"/>
      <c r="E30" s="4759"/>
      <c r="F30" s="4760">
        <v>1</v>
      </c>
      <c r="G30" s="4771" t="s">
        <v>6107</v>
      </c>
      <c r="H30" s="4762">
        <v>1</v>
      </c>
      <c r="I30" s="4763" t="s">
        <v>5841</v>
      </c>
      <c r="J30" s="4764"/>
      <c r="K30" s="4765"/>
      <c r="L30" s="4765"/>
      <c r="M30" s="4765"/>
      <c r="N30" s="4762">
        <v>1456505</v>
      </c>
      <c r="O30" s="4766">
        <f>F30*N30*H30</f>
        <v>1456505</v>
      </c>
      <c r="P30" s="4857"/>
      <c r="Q30" s="4858"/>
      <c r="R30" s="4864"/>
      <c r="S30" s="4858"/>
      <c r="T30" s="4859"/>
      <c r="U30" s="4860"/>
      <c r="AC30" s="4657"/>
    </row>
    <row r="31" spans="1:31" ht="33.75" customHeight="1">
      <c r="A31" s="4758">
        <v>3</v>
      </c>
      <c r="B31" s="4910"/>
      <c r="C31" s="4911"/>
      <c r="D31" s="4759"/>
      <c r="E31" s="4759"/>
      <c r="F31" s="4912"/>
      <c r="G31" s="4975"/>
      <c r="H31" s="4762"/>
      <c r="I31" s="4763"/>
      <c r="J31" s="4764"/>
      <c r="K31" s="4765"/>
      <c r="L31" s="4765"/>
      <c r="M31" s="4765"/>
      <c r="N31" s="4762"/>
      <c r="O31" s="4766">
        <f t="shared" ref="O31:O37" si="5">F31*N31*H31</f>
        <v>0</v>
      </c>
      <c r="P31" s="4909"/>
      <c r="Q31" s="4858"/>
      <c r="R31" s="4864"/>
      <c r="S31" s="4858"/>
      <c r="T31" s="4859"/>
      <c r="U31" s="4860"/>
      <c r="AC31" s="4657"/>
    </row>
    <row r="32" spans="1:31" ht="33.75" customHeight="1">
      <c r="A32" s="4758">
        <v>4</v>
      </c>
      <c r="B32" s="4910"/>
      <c r="C32" s="4911"/>
      <c r="D32" s="4759"/>
      <c r="E32" s="4759"/>
      <c r="F32" s="4912"/>
      <c r="G32" s="4771"/>
      <c r="H32" s="4762"/>
      <c r="I32" s="4763"/>
      <c r="J32" s="4764"/>
      <c r="K32" s="4765"/>
      <c r="L32" s="4765"/>
      <c r="M32" s="4765"/>
      <c r="N32" s="4762"/>
      <c r="O32" s="4766">
        <f t="shared" si="5"/>
        <v>0</v>
      </c>
      <c r="P32" s="4857"/>
      <c r="Q32" s="4858"/>
      <c r="R32" s="4859"/>
      <c r="S32" s="4858"/>
      <c r="T32" s="4859"/>
      <c r="U32" s="4860"/>
      <c r="AC32" s="4657"/>
    </row>
    <row r="33" spans="1:31" ht="33.75" customHeight="1">
      <c r="A33" s="4758">
        <v>5</v>
      </c>
      <c r="B33" s="4910"/>
      <c r="C33" s="4911"/>
      <c r="D33" s="4759"/>
      <c r="E33" s="4759"/>
      <c r="F33" s="4912"/>
      <c r="G33" s="4771"/>
      <c r="H33" s="4762"/>
      <c r="I33" s="4763"/>
      <c r="J33" s="4764"/>
      <c r="K33" s="4765"/>
      <c r="L33" s="4765"/>
      <c r="M33" s="4765"/>
      <c r="N33" s="4762"/>
      <c r="O33" s="4766">
        <f t="shared" si="5"/>
        <v>0</v>
      </c>
      <c r="P33" s="4857"/>
      <c r="Q33" s="4858"/>
      <c r="R33" s="4859"/>
      <c r="S33" s="4858"/>
      <c r="T33" s="4859"/>
      <c r="U33" s="4860"/>
      <c r="AC33" s="4657"/>
    </row>
    <row r="34" spans="1:31" ht="33.75" customHeight="1">
      <c r="A34" s="4758">
        <v>6</v>
      </c>
      <c r="B34" s="4910"/>
      <c r="C34" s="4911"/>
      <c r="D34" s="4913"/>
      <c r="E34" s="4759"/>
      <c r="F34" s="4912"/>
      <c r="G34" s="4771"/>
      <c r="H34" s="4762"/>
      <c r="I34" s="4763"/>
      <c r="J34" s="4764"/>
      <c r="K34" s="4765"/>
      <c r="L34" s="4765"/>
      <c r="M34" s="4765"/>
      <c r="N34" s="4762"/>
      <c r="O34" s="4766">
        <f t="shared" si="5"/>
        <v>0</v>
      </c>
      <c r="P34" s="4857"/>
      <c r="Q34" s="4858"/>
      <c r="R34" s="4859"/>
      <c r="S34" s="4858"/>
      <c r="T34" s="4859"/>
      <c r="U34" s="4860"/>
      <c r="AC34" s="4657"/>
    </row>
    <row r="35" spans="1:31" ht="33.75" customHeight="1">
      <c r="A35" s="4758">
        <v>7</v>
      </c>
      <c r="B35" s="4910"/>
      <c r="C35" s="4911"/>
      <c r="D35" s="4913"/>
      <c r="E35" s="4759"/>
      <c r="F35" s="4912"/>
      <c r="G35" s="4771"/>
      <c r="H35" s="4762"/>
      <c r="I35" s="4763"/>
      <c r="J35" s="4764"/>
      <c r="K35" s="4765"/>
      <c r="L35" s="4765"/>
      <c r="M35" s="4765"/>
      <c r="N35" s="4762"/>
      <c r="O35" s="4766">
        <f t="shared" si="5"/>
        <v>0</v>
      </c>
      <c r="P35" s="4857"/>
      <c r="Q35" s="4858"/>
      <c r="R35" s="4859"/>
      <c r="S35" s="4858"/>
      <c r="T35" s="4859"/>
      <c r="U35" s="4860"/>
      <c r="AC35" s="4657"/>
    </row>
    <row r="36" spans="1:31" ht="33.75" customHeight="1">
      <c r="A36" s="4758">
        <v>8</v>
      </c>
      <c r="B36" s="4910"/>
      <c r="C36" s="4911"/>
      <c r="D36" s="4913"/>
      <c r="E36" s="4759"/>
      <c r="F36" s="4912"/>
      <c r="G36" s="4771"/>
      <c r="H36" s="4762"/>
      <c r="I36" s="4763"/>
      <c r="J36" s="4764"/>
      <c r="K36" s="4765"/>
      <c r="L36" s="4765"/>
      <c r="M36" s="4765"/>
      <c r="N36" s="4762"/>
      <c r="O36" s="4766">
        <f t="shared" si="5"/>
        <v>0</v>
      </c>
      <c r="P36" s="4857"/>
      <c r="Q36" s="4858"/>
      <c r="R36" s="4859"/>
      <c r="S36" s="4858"/>
      <c r="T36" s="4859"/>
      <c r="U36" s="4860"/>
      <c r="AC36" s="4657"/>
    </row>
    <row r="37" spans="1:31" ht="33.75" customHeight="1">
      <c r="A37" s="4758">
        <v>9</v>
      </c>
      <c r="B37" s="4910"/>
      <c r="C37" s="4911"/>
      <c r="D37" s="4913"/>
      <c r="E37" s="4759"/>
      <c r="F37" s="4912"/>
      <c r="G37" s="4771"/>
      <c r="H37" s="4762"/>
      <c r="I37" s="4763"/>
      <c r="J37" s="4764"/>
      <c r="K37" s="4765"/>
      <c r="L37" s="4765"/>
      <c r="M37" s="4765"/>
      <c r="N37" s="4762"/>
      <c r="O37" s="4766">
        <f t="shared" si="5"/>
        <v>0</v>
      </c>
      <c r="P37" s="4857"/>
      <c r="Q37" s="4858"/>
      <c r="R37" s="4859"/>
      <c r="S37" s="4858"/>
      <c r="T37" s="4859"/>
      <c r="U37" s="4860"/>
      <c r="AC37" s="4657"/>
    </row>
    <row r="38" spans="1:31" ht="33.75" customHeight="1" thickBot="1">
      <c r="A38" s="4772">
        <v>10</v>
      </c>
      <c r="B38" s="4910"/>
      <c r="C38" s="4911"/>
      <c r="D38" s="4914"/>
      <c r="E38" s="4915"/>
      <c r="F38" s="4916"/>
      <c r="G38" s="4773"/>
      <c r="H38" s="4917"/>
      <c r="I38" s="4774"/>
      <c r="J38" s="4764"/>
      <c r="K38" s="4765"/>
      <c r="L38" s="4765"/>
      <c r="M38" s="4765"/>
      <c r="N38" s="4775"/>
      <c r="O38" s="4776">
        <f t="shared" ref="O38" si="6">F38*N38</f>
        <v>0</v>
      </c>
      <c r="P38" s="4918"/>
      <c r="Q38" s="4919"/>
      <c r="R38" s="4920"/>
      <c r="S38" s="4919"/>
      <c r="T38" s="4920"/>
      <c r="U38" s="4921"/>
      <c r="AC38" s="4657"/>
    </row>
    <row r="39" spans="1:31" ht="33.75" customHeight="1" thickTop="1" thickBot="1">
      <c r="A39" s="4778" t="s">
        <v>5845</v>
      </c>
      <c r="B39" s="4779"/>
      <c r="C39" s="4779"/>
      <c r="D39" s="4779"/>
      <c r="E39" s="4779"/>
      <c r="F39" s="4780">
        <f>SUM(F29:F38)</f>
        <v>2</v>
      </c>
      <c r="G39" s="4779"/>
      <c r="H39" s="4781"/>
      <c r="I39" s="4782"/>
      <c r="J39" s="4783"/>
      <c r="K39" s="4784"/>
      <c r="L39" s="4784"/>
      <c r="M39" s="4784"/>
      <c r="N39" s="4785"/>
      <c r="O39" s="4922">
        <f>SUM(O29:O38)</f>
        <v>3541604</v>
      </c>
      <c r="P39" s="4787"/>
      <c r="Q39" s="4787"/>
      <c r="R39" s="4788"/>
      <c r="S39" s="4789"/>
      <c r="T39" s="4788"/>
      <c r="U39" s="4790"/>
      <c r="AC39" s="4657"/>
    </row>
    <row r="40" spans="1:31" ht="33.75" customHeight="1" thickBot="1">
      <c r="A40" s="4876" t="s">
        <v>5792</v>
      </c>
      <c r="B40" s="4877"/>
      <c r="C40" s="4878"/>
      <c r="D40" s="4878"/>
      <c r="E40" s="4878"/>
      <c r="F40" s="4879"/>
      <c r="G40" s="4878"/>
      <c r="H40" s="4880"/>
      <c r="I40" s="4878"/>
      <c r="J40" s="4881"/>
      <c r="K40" s="4881"/>
      <c r="L40" s="4881"/>
      <c r="M40" s="4881"/>
      <c r="N40" s="4882"/>
      <c r="O40" s="4923">
        <f>O39*1.1</f>
        <v>3895764.4000000004</v>
      </c>
      <c r="P40" s="4884"/>
      <c r="Q40" s="4885"/>
      <c r="R40" s="4886"/>
      <c r="S40" s="4887"/>
      <c r="T40" s="4886"/>
      <c r="U40" s="4888"/>
      <c r="AC40" s="4657"/>
    </row>
    <row r="41" spans="1:31" ht="33.75" customHeight="1" thickBot="1">
      <c r="A41" s="4656"/>
      <c r="B41" s="4660"/>
      <c r="C41" s="4660"/>
      <c r="D41" s="4660"/>
      <c r="G41" s="4660"/>
      <c r="H41" s="4660"/>
      <c r="O41" s="4656"/>
      <c r="P41" s="4657"/>
      <c r="Q41" s="4657"/>
      <c r="AC41" s="4657"/>
    </row>
    <row r="42" spans="1:31" ht="39.65" customHeight="1" thickBot="1">
      <c r="A42" s="6908" t="s">
        <v>5846</v>
      </c>
      <c r="B42" s="6909"/>
      <c r="C42" s="4924">
        <v>0</v>
      </c>
      <c r="D42" s="4658" t="s">
        <v>5847</v>
      </c>
      <c r="E42" s="4814"/>
      <c r="F42" s="4814"/>
      <c r="G42" s="4813"/>
      <c r="H42" s="4813"/>
      <c r="I42" s="4812"/>
      <c r="J42" s="4812"/>
      <c r="K42" s="4812"/>
      <c r="L42" s="4812"/>
      <c r="M42" s="4812"/>
      <c r="N42" s="4812"/>
      <c r="O42" s="4715"/>
      <c r="P42" s="4715"/>
      <c r="Q42" s="4715"/>
      <c r="R42" s="4656"/>
      <c r="S42" s="4812"/>
      <c r="T42" s="4656"/>
      <c r="U42" s="4812"/>
      <c r="W42" s="6905"/>
      <c r="X42" s="6905"/>
      <c r="Y42" s="6905"/>
      <c r="Z42" s="6905"/>
      <c r="AA42" s="6905"/>
      <c r="AB42" s="6891"/>
      <c r="AC42" s="6891"/>
      <c r="AD42" s="6891"/>
      <c r="AE42" s="6891"/>
    </row>
    <row r="43" spans="1:31" ht="36" customHeight="1" thickBot="1">
      <c r="A43" s="6906" t="s">
        <v>5848</v>
      </c>
      <c r="B43" s="6907"/>
      <c r="C43" s="4925">
        <f>SUM(O29,O30)*1.1</f>
        <v>3895764.4000000004</v>
      </c>
    </row>
    <row r="44" spans="1:31" ht="33.75" customHeight="1">
      <c r="A44" s="4656"/>
      <c r="B44" s="4660"/>
      <c r="C44" s="4660"/>
      <c r="D44" s="4660"/>
      <c r="G44" s="4660"/>
      <c r="H44" s="4660"/>
      <c r="O44" s="4656"/>
      <c r="P44" s="4657"/>
      <c r="Q44" s="4657"/>
      <c r="AC44" s="4657"/>
    </row>
    <row r="45" spans="1:31" ht="36" customHeight="1"/>
    <row r="46" spans="1:31" ht="36" customHeight="1"/>
    <row r="47" spans="1:31" ht="36" customHeight="1"/>
    <row r="48" spans="1:31" ht="36" customHeight="1"/>
    <row r="49" spans="2:29" ht="36" customHeight="1"/>
    <row r="50" spans="2:29" ht="36" customHeight="1"/>
    <row r="51" spans="2:29" ht="36" customHeight="1"/>
    <row r="52" spans="2:29" ht="10.4" customHeight="1">
      <c r="B52" s="4657"/>
      <c r="C52" s="4657"/>
      <c r="D52" s="4657"/>
      <c r="G52" s="4657"/>
      <c r="H52" s="4657"/>
      <c r="O52" s="4656"/>
      <c r="P52" s="4657"/>
      <c r="Q52" s="4657"/>
      <c r="AC52" s="4657"/>
    </row>
  </sheetData>
  <mergeCells count="44">
    <mergeCell ref="A2:B2"/>
    <mergeCell ref="C2:G2"/>
    <mergeCell ref="A5:A6"/>
    <mergeCell ref="B5:B6"/>
    <mergeCell ref="C5:C6"/>
    <mergeCell ref="D5:D6"/>
    <mergeCell ref="E5:E6"/>
    <mergeCell ref="F5:F6"/>
    <mergeCell ref="G5:G6"/>
    <mergeCell ref="N5:N6"/>
    <mergeCell ref="O5:O6"/>
    <mergeCell ref="P5:Q5"/>
    <mergeCell ref="R5:U5"/>
    <mergeCell ref="A21:B21"/>
    <mergeCell ref="H5:H6"/>
    <mergeCell ref="I5:I6"/>
    <mergeCell ref="J5:J6"/>
    <mergeCell ref="K5:K6"/>
    <mergeCell ref="L5:L6"/>
    <mergeCell ref="M5:M6"/>
    <mergeCell ref="AB21:AE21"/>
    <mergeCell ref="A22:B22"/>
    <mergeCell ref="A26:A27"/>
    <mergeCell ref="B26:B27"/>
    <mergeCell ref="C26:C27"/>
    <mergeCell ref="D26:D27"/>
    <mergeCell ref="E26:E27"/>
    <mergeCell ref="F26:F27"/>
    <mergeCell ref="G26:G27"/>
    <mergeCell ref="H26:H27"/>
    <mergeCell ref="W21:AA21"/>
    <mergeCell ref="W42:AA42"/>
    <mergeCell ref="AB42:AE42"/>
    <mergeCell ref="I26:I27"/>
    <mergeCell ref="J26:J27"/>
    <mergeCell ref="K26:K27"/>
    <mergeCell ref="L26:L27"/>
    <mergeCell ref="M26:M27"/>
    <mergeCell ref="N26:N27"/>
    <mergeCell ref="A43:B43"/>
    <mergeCell ref="O26:O27"/>
    <mergeCell ref="P26:Q26"/>
    <mergeCell ref="R26:U26"/>
    <mergeCell ref="A42:B42"/>
  </mergeCells>
  <phoneticPr fontId="2"/>
  <conditionalFormatting sqref="B29:C29">
    <cfRule type="containsBlanks" dxfId="578" priority="5">
      <formula>LEN(TRIM(B29))=0</formula>
    </cfRule>
  </conditionalFormatting>
  <conditionalFormatting sqref="C2:D2">
    <cfRule type="containsBlanks" dxfId="577" priority="9">
      <formula>LEN(TRIM(C2))=0</formula>
    </cfRule>
  </conditionalFormatting>
  <conditionalFormatting sqref="D8:E8 D10:E17">
    <cfRule type="containsBlanks" dxfId="576" priority="11">
      <formula>LEN(TRIM(D8))=0</formula>
    </cfRule>
  </conditionalFormatting>
  <conditionalFormatting sqref="D29:E29 D31:E38">
    <cfRule type="containsBlanks" dxfId="575" priority="7">
      <formula>LEN(TRIM(D29))=0</formula>
    </cfRule>
  </conditionalFormatting>
  <conditionalFormatting sqref="G8:N8 G10:N17">
    <cfRule type="containsBlanks" dxfId="574" priority="10">
      <formula>LEN(TRIM(G8))=0</formula>
    </cfRule>
  </conditionalFormatting>
  <conditionalFormatting sqref="G29:N29 G31:N38">
    <cfRule type="containsBlanks" dxfId="573" priority="6">
      <formula>LEN(TRIM(G29))=0</formula>
    </cfRule>
  </conditionalFormatting>
  <conditionalFormatting sqref="P8:U17">
    <cfRule type="containsBlanks" dxfId="572" priority="12">
      <formula>LEN(TRIM(P8))=0</formula>
    </cfRule>
  </conditionalFormatting>
  <conditionalFormatting sqref="P29:U38">
    <cfRule type="containsBlanks" dxfId="571" priority="8">
      <formula>LEN(TRIM(P29))=0</formula>
    </cfRule>
  </conditionalFormatting>
  <conditionalFormatting sqref="D9:E9">
    <cfRule type="containsBlanks" dxfId="570" priority="3">
      <formula>LEN(TRIM(D9))=0</formula>
    </cfRule>
  </conditionalFormatting>
  <conditionalFormatting sqref="G9:N9">
    <cfRule type="containsBlanks" dxfId="569" priority="4">
      <formula>LEN(TRIM(G9))=0</formula>
    </cfRule>
  </conditionalFormatting>
  <conditionalFormatting sqref="D30:E30">
    <cfRule type="containsBlanks" dxfId="568" priority="1">
      <formula>LEN(TRIM(D30))=0</formula>
    </cfRule>
  </conditionalFormatting>
  <conditionalFormatting sqref="G30:N30">
    <cfRule type="containsBlanks" dxfId="567" priority="2">
      <formula>LEN(TRIM(G30))=0</formula>
    </cfRule>
  </conditionalFormatting>
  <dataValidations count="1">
    <dataValidation type="list" allowBlank="1" showInputMessage="1" showErrorMessage="1" sqref="I7:I17 I28:I38" xr:uid="{5E197CC2-EA27-4C7D-AFA4-10C72138FE19}">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DA5B4-8E5F-47D3-94DE-0759BDB871D9}">
  <sheetPr codeName="Sheet344">
    <tabColor rgb="FFFFFF66"/>
    <pageSetUpPr fitToPage="1"/>
  </sheetPr>
  <dimension ref="A1:AF40"/>
  <sheetViews>
    <sheetView topLeftCell="A16"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6" style="4825" customWidth="1"/>
    <col min="15" max="15" width="25.1796875" style="4659" customWidth="1"/>
    <col min="16" max="16" width="19.1796875" style="4659" bestFit="1" customWidth="1"/>
    <col min="17" max="17" width="21.816406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6108</v>
      </c>
      <c r="D2" s="6876"/>
      <c r="E2" s="6876"/>
      <c r="F2" s="6876"/>
      <c r="G2" s="6876"/>
      <c r="H2" s="4661" t="s">
        <v>5709</v>
      </c>
      <c r="I2" s="4662"/>
      <c r="J2" s="4663"/>
      <c r="L2" s="4663"/>
      <c r="M2" s="4663"/>
      <c r="N2" s="5042"/>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6028</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46279</v>
      </c>
      <c r="C8" s="4687">
        <v>46281</v>
      </c>
      <c r="D8" s="4672">
        <f t="shared" ref="D8:D22" si="0">IF(_xlfn.DAYS(C8,B8)=0,"1",_xlfn.DAYS(C8,B8))</f>
        <v>2</v>
      </c>
      <c r="E8" s="4687">
        <v>46297</v>
      </c>
      <c r="F8" s="4698">
        <f t="shared" ref="F8:F22" si="1">IF(_xlfn.DAYS(E8,C8)=0,"1",_xlfn.DAYS(E8,C8))+1</f>
        <v>17</v>
      </c>
      <c r="G8" s="4687">
        <v>46299</v>
      </c>
      <c r="H8" s="4672">
        <f t="shared" ref="H8:H22" si="2">IF(_xlfn.DAYS(G8,E8)=0,"1",_xlfn.DAYS(G8,E8))-1</f>
        <v>1</v>
      </c>
      <c r="I8" s="4691" t="s">
        <v>6109</v>
      </c>
      <c r="J8" s="4692">
        <v>5</v>
      </c>
      <c r="K8" s="4693">
        <v>5</v>
      </c>
      <c r="L8" s="4692">
        <v>24600</v>
      </c>
      <c r="M8" s="4692">
        <v>24600</v>
      </c>
      <c r="N8" s="4971">
        <f>M8*K8</f>
        <v>123000</v>
      </c>
      <c r="O8" s="4692">
        <v>24600</v>
      </c>
      <c r="P8" s="4678">
        <f>SUM(D8,F8,H8)*K8</f>
        <v>100</v>
      </c>
      <c r="Q8" s="4679">
        <f t="shared" ref="Q8:Q14" si="3">(D8*L8+F8*M8+H8*O8)*K8</f>
        <v>2460000</v>
      </c>
      <c r="R8" s="4692">
        <v>11.6</v>
      </c>
      <c r="S8" s="4680" t="s">
        <v>5742</v>
      </c>
      <c r="T8" s="4694">
        <v>11.6</v>
      </c>
      <c r="U8" s="4700">
        <v>1</v>
      </c>
      <c r="V8" s="4692">
        <v>140</v>
      </c>
      <c r="W8" s="4680" t="s">
        <v>4521</v>
      </c>
      <c r="X8" s="4695">
        <v>205</v>
      </c>
      <c r="Y8" s="4692">
        <v>1</v>
      </c>
      <c r="Z8" s="4692" t="s">
        <v>5743</v>
      </c>
      <c r="AA8" s="4683" t="s">
        <v>5035</v>
      </c>
      <c r="AB8" s="4692" t="s">
        <v>5741</v>
      </c>
      <c r="AC8" s="4683" t="s">
        <v>5050</v>
      </c>
      <c r="AD8" s="4675" t="s">
        <v>5741</v>
      </c>
      <c r="AE8" s="4696"/>
      <c r="AF8" s="4685">
        <f t="shared" ref="AF8:AF15" si="4">U8*K8</f>
        <v>5</v>
      </c>
    </row>
    <row r="9" spans="1:32" ht="33.75" customHeight="1">
      <c r="A9" s="4686">
        <v>2</v>
      </c>
      <c r="B9" s="4687">
        <v>46279</v>
      </c>
      <c r="C9" s="4687">
        <v>46281</v>
      </c>
      <c r="D9" s="4672">
        <f t="shared" si="0"/>
        <v>2</v>
      </c>
      <c r="E9" s="4687">
        <v>46297</v>
      </c>
      <c r="F9" s="4698">
        <f t="shared" si="1"/>
        <v>17</v>
      </c>
      <c r="G9" s="4687">
        <v>46299</v>
      </c>
      <c r="H9" s="4672">
        <f t="shared" si="2"/>
        <v>1</v>
      </c>
      <c r="I9" s="4691" t="s">
        <v>5175</v>
      </c>
      <c r="J9" s="4692">
        <v>24</v>
      </c>
      <c r="K9" s="4693">
        <v>24</v>
      </c>
      <c r="L9" s="4692">
        <v>39900</v>
      </c>
      <c r="M9" s="4692">
        <v>39900</v>
      </c>
      <c r="N9" s="4971">
        <f t="shared" ref="N9:N15" si="5">M9*K9</f>
        <v>957600</v>
      </c>
      <c r="O9" s="4692">
        <v>39900</v>
      </c>
      <c r="P9" s="4678">
        <f t="shared" ref="P9:P15" si="6">SUM(D9,F9,H9)*K9</f>
        <v>480</v>
      </c>
      <c r="Q9" s="4679">
        <f t="shared" si="3"/>
        <v>19152000</v>
      </c>
      <c r="R9" s="4692">
        <v>12.6</v>
      </c>
      <c r="S9" s="4680" t="s">
        <v>5742</v>
      </c>
      <c r="T9" s="4694">
        <v>12.6</v>
      </c>
      <c r="U9" s="4700">
        <v>1</v>
      </c>
      <c r="V9" s="4692">
        <v>120</v>
      </c>
      <c r="W9" s="4680" t="s">
        <v>4521</v>
      </c>
      <c r="X9" s="4695">
        <v>195</v>
      </c>
      <c r="Y9" s="4692">
        <v>1</v>
      </c>
      <c r="Z9" s="4692" t="s">
        <v>5743</v>
      </c>
      <c r="AA9" s="4683" t="s">
        <v>5035</v>
      </c>
      <c r="AB9" s="4692" t="s">
        <v>5741</v>
      </c>
      <c r="AC9" s="4683" t="s">
        <v>5050</v>
      </c>
      <c r="AD9" s="4675" t="s">
        <v>5741</v>
      </c>
      <c r="AE9" s="4696"/>
      <c r="AF9" s="4685">
        <f t="shared" si="4"/>
        <v>24</v>
      </c>
    </row>
    <row r="10" spans="1:32" ht="33.75" customHeight="1">
      <c r="A10" s="4686">
        <v>3</v>
      </c>
      <c r="B10" s="4687">
        <v>46279</v>
      </c>
      <c r="C10" s="4687">
        <v>46281</v>
      </c>
      <c r="D10" s="4672">
        <f t="shared" si="0"/>
        <v>2</v>
      </c>
      <c r="E10" s="4687">
        <v>46297</v>
      </c>
      <c r="F10" s="4698">
        <f t="shared" si="1"/>
        <v>17</v>
      </c>
      <c r="G10" s="4687">
        <v>46299</v>
      </c>
      <c r="H10" s="4672">
        <f t="shared" si="2"/>
        <v>1</v>
      </c>
      <c r="I10" s="4691" t="s">
        <v>5089</v>
      </c>
      <c r="J10" s="4692">
        <v>49</v>
      </c>
      <c r="K10" s="4693">
        <v>43</v>
      </c>
      <c r="L10" s="4692">
        <v>42200</v>
      </c>
      <c r="M10" s="4692">
        <v>42200</v>
      </c>
      <c r="N10" s="4971">
        <f t="shared" si="5"/>
        <v>1814600</v>
      </c>
      <c r="O10" s="4692">
        <v>42200</v>
      </c>
      <c r="P10" s="4678">
        <f t="shared" si="6"/>
        <v>860</v>
      </c>
      <c r="Q10" s="4679">
        <f t="shared" si="3"/>
        <v>36292000</v>
      </c>
      <c r="R10" s="4692">
        <v>15</v>
      </c>
      <c r="S10" s="4680" t="s">
        <v>5742</v>
      </c>
      <c r="T10" s="4694">
        <v>15</v>
      </c>
      <c r="U10" s="4700">
        <v>1</v>
      </c>
      <c r="V10" s="4692">
        <v>140</v>
      </c>
      <c r="W10" s="4680" t="s">
        <v>4521</v>
      </c>
      <c r="X10" s="4695">
        <v>205</v>
      </c>
      <c r="Y10" s="4692">
        <v>1</v>
      </c>
      <c r="Z10" s="4692" t="s">
        <v>5743</v>
      </c>
      <c r="AA10" s="4683" t="s">
        <v>5035</v>
      </c>
      <c r="AB10" s="4692" t="s">
        <v>5741</v>
      </c>
      <c r="AC10" s="4683" t="s">
        <v>5050</v>
      </c>
      <c r="AD10" s="4675" t="s">
        <v>5741</v>
      </c>
      <c r="AE10" s="4696"/>
      <c r="AF10" s="4685">
        <f t="shared" si="4"/>
        <v>43</v>
      </c>
    </row>
    <row r="11" spans="1:32" ht="33.75" customHeight="1">
      <c r="A11" s="4686">
        <v>4</v>
      </c>
      <c r="B11" s="4687">
        <v>46279</v>
      </c>
      <c r="C11" s="4687">
        <v>46281</v>
      </c>
      <c r="D11" s="4672">
        <f t="shared" si="0"/>
        <v>2</v>
      </c>
      <c r="E11" s="4687">
        <v>46297</v>
      </c>
      <c r="F11" s="4698">
        <f t="shared" si="1"/>
        <v>17</v>
      </c>
      <c r="G11" s="4687">
        <v>46299</v>
      </c>
      <c r="H11" s="4672">
        <f t="shared" si="2"/>
        <v>1</v>
      </c>
      <c r="I11" s="4691" t="s">
        <v>6110</v>
      </c>
      <c r="J11" s="4692">
        <v>32</v>
      </c>
      <c r="K11" s="4693">
        <v>32</v>
      </c>
      <c r="L11" s="4692">
        <v>44500</v>
      </c>
      <c r="M11" s="4692">
        <v>44500</v>
      </c>
      <c r="N11" s="4971">
        <f t="shared" si="5"/>
        <v>1424000</v>
      </c>
      <c r="O11" s="4692">
        <v>44500</v>
      </c>
      <c r="P11" s="4678">
        <f t="shared" si="6"/>
        <v>640</v>
      </c>
      <c r="Q11" s="4679">
        <f t="shared" si="3"/>
        <v>28480000</v>
      </c>
      <c r="R11" s="4692">
        <v>15</v>
      </c>
      <c r="S11" s="4680" t="s">
        <v>5742</v>
      </c>
      <c r="T11" s="4694">
        <v>15</v>
      </c>
      <c r="U11" s="4700">
        <v>1</v>
      </c>
      <c r="V11" s="4692">
        <v>160</v>
      </c>
      <c r="W11" s="4680" t="s">
        <v>4521</v>
      </c>
      <c r="X11" s="4695">
        <v>205</v>
      </c>
      <c r="Y11" s="4692">
        <v>1</v>
      </c>
      <c r="Z11" s="4692" t="s">
        <v>5743</v>
      </c>
      <c r="AA11" s="4683" t="s">
        <v>5035</v>
      </c>
      <c r="AB11" s="4692" t="s">
        <v>5741</v>
      </c>
      <c r="AC11" s="4683" t="s">
        <v>5050</v>
      </c>
      <c r="AD11" s="4675" t="s">
        <v>5741</v>
      </c>
      <c r="AE11" s="4696"/>
      <c r="AF11" s="4685">
        <f t="shared" si="4"/>
        <v>32</v>
      </c>
    </row>
    <row r="12" spans="1:32" ht="33.75" customHeight="1">
      <c r="A12" s="4686">
        <v>5</v>
      </c>
      <c r="B12" s="4687">
        <v>46279</v>
      </c>
      <c r="C12" s="4687">
        <v>46281</v>
      </c>
      <c r="D12" s="4672">
        <f t="shared" si="0"/>
        <v>2</v>
      </c>
      <c r="E12" s="4687">
        <v>46297</v>
      </c>
      <c r="F12" s="4698">
        <f t="shared" si="1"/>
        <v>17</v>
      </c>
      <c r="G12" s="4687">
        <v>46299</v>
      </c>
      <c r="H12" s="4672">
        <f t="shared" si="2"/>
        <v>1</v>
      </c>
      <c r="I12" s="4691" t="s">
        <v>5090</v>
      </c>
      <c r="J12" s="4692">
        <v>12</v>
      </c>
      <c r="K12" s="4693">
        <v>12</v>
      </c>
      <c r="L12" s="4692">
        <v>44500</v>
      </c>
      <c r="M12" s="4692">
        <v>44500</v>
      </c>
      <c r="N12" s="4971">
        <f t="shared" si="5"/>
        <v>534000</v>
      </c>
      <c r="O12" s="4692">
        <v>44500</v>
      </c>
      <c r="P12" s="4678">
        <f t="shared" si="6"/>
        <v>240</v>
      </c>
      <c r="Q12" s="4679">
        <f>(D12*L12+F12*M12+H12*O12)*K12</f>
        <v>10680000</v>
      </c>
      <c r="R12" s="4692">
        <v>22.5</v>
      </c>
      <c r="S12" s="4680" t="s">
        <v>5742</v>
      </c>
      <c r="T12" s="4694">
        <v>22.5</v>
      </c>
      <c r="U12" s="4700">
        <v>2</v>
      </c>
      <c r="V12" s="4692">
        <v>120</v>
      </c>
      <c r="W12" s="4680" t="s">
        <v>4521</v>
      </c>
      <c r="X12" s="4695">
        <v>205</v>
      </c>
      <c r="Y12" s="4692">
        <v>2</v>
      </c>
      <c r="Z12" s="4692" t="s">
        <v>5743</v>
      </c>
      <c r="AA12" s="4683" t="s">
        <v>5035</v>
      </c>
      <c r="AB12" s="4692" t="s">
        <v>5741</v>
      </c>
      <c r="AC12" s="4683" t="s">
        <v>5050</v>
      </c>
      <c r="AD12" s="4675" t="s">
        <v>5741</v>
      </c>
      <c r="AE12" s="4696"/>
      <c r="AF12" s="4685">
        <f t="shared" si="4"/>
        <v>24</v>
      </c>
    </row>
    <row r="13" spans="1:32" ht="33.75" customHeight="1">
      <c r="A13" s="4686">
        <v>6</v>
      </c>
      <c r="B13" s="4687">
        <v>46279</v>
      </c>
      <c r="C13" s="4687">
        <v>46281</v>
      </c>
      <c r="D13" s="4672">
        <f t="shared" si="0"/>
        <v>2</v>
      </c>
      <c r="E13" s="4687">
        <v>46297</v>
      </c>
      <c r="F13" s="4698">
        <f t="shared" si="1"/>
        <v>17</v>
      </c>
      <c r="G13" s="4687">
        <v>46299</v>
      </c>
      <c r="H13" s="4672">
        <f t="shared" si="2"/>
        <v>1</v>
      </c>
      <c r="I13" s="4691" t="s">
        <v>6111</v>
      </c>
      <c r="J13" s="4692">
        <v>3</v>
      </c>
      <c r="K13" s="4693">
        <v>0</v>
      </c>
      <c r="L13" s="4692"/>
      <c r="M13" s="4692"/>
      <c r="N13" s="4971">
        <f t="shared" si="5"/>
        <v>0</v>
      </c>
      <c r="O13" s="4692"/>
      <c r="P13" s="4678">
        <f t="shared" si="6"/>
        <v>0</v>
      </c>
      <c r="Q13" s="4679">
        <f t="shared" si="3"/>
        <v>0</v>
      </c>
      <c r="R13" s="4692">
        <v>30</v>
      </c>
      <c r="S13" s="4680" t="s">
        <v>5742</v>
      </c>
      <c r="T13" s="4694">
        <v>30</v>
      </c>
      <c r="U13" s="4700">
        <v>4</v>
      </c>
      <c r="V13" s="4692">
        <v>120</v>
      </c>
      <c r="W13" s="4680" t="s">
        <v>4521</v>
      </c>
      <c r="X13" s="4695">
        <v>205</v>
      </c>
      <c r="Y13" s="4692">
        <v>2</v>
      </c>
      <c r="Z13" s="4692" t="s">
        <v>5953</v>
      </c>
      <c r="AA13" s="4683" t="s">
        <v>5035</v>
      </c>
      <c r="AB13" s="4692"/>
      <c r="AC13" s="4683" t="s">
        <v>5050</v>
      </c>
      <c r="AD13" s="4692"/>
      <c r="AE13" s="4696"/>
      <c r="AF13" s="4685">
        <f t="shared" si="4"/>
        <v>0</v>
      </c>
    </row>
    <row r="14" spans="1:32" ht="33.75" customHeight="1">
      <c r="A14" s="4686">
        <v>7</v>
      </c>
      <c r="B14" s="4687">
        <v>46279</v>
      </c>
      <c r="C14" s="4687">
        <v>46281</v>
      </c>
      <c r="D14" s="4672">
        <f t="shared" si="0"/>
        <v>2</v>
      </c>
      <c r="E14" s="4687">
        <v>46297</v>
      </c>
      <c r="F14" s="4698">
        <f t="shared" si="1"/>
        <v>17</v>
      </c>
      <c r="G14" s="4687">
        <v>46299</v>
      </c>
      <c r="H14" s="4672">
        <f t="shared" si="2"/>
        <v>1</v>
      </c>
      <c r="I14" s="4691" t="s">
        <v>6112</v>
      </c>
      <c r="J14" s="4692">
        <v>2</v>
      </c>
      <c r="K14" s="4693">
        <v>0</v>
      </c>
      <c r="L14" s="4692"/>
      <c r="M14" s="4692"/>
      <c r="N14" s="4971">
        <f t="shared" si="5"/>
        <v>0</v>
      </c>
      <c r="O14" s="4692"/>
      <c r="P14" s="4678">
        <f t="shared" si="6"/>
        <v>0</v>
      </c>
      <c r="Q14" s="4679">
        <f t="shared" si="3"/>
        <v>0</v>
      </c>
      <c r="R14" s="4692">
        <v>30</v>
      </c>
      <c r="S14" s="4680" t="s">
        <v>5742</v>
      </c>
      <c r="T14" s="4694">
        <v>30</v>
      </c>
      <c r="U14" s="4700">
        <v>4</v>
      </c>
      <c r="V14" s="4692">
        <v>160</v>
      </c>
      <c r="W14" s="4680" t="s">
        <v>4521</v>
      </c>
      <c r="X14" s="4695">
        <v>205</v>
      </c>
      <c r="Y14" s="4692">
        <v>1</v>
      </c>
      <c r="Z14" s="4692" t="s">
        <v>5953</v>
      </c>
      <c r="AA14" s="4683" t="s">
        <v>5035</v>
      </c>
      <c r="AB14" s="4692"/>
      <c r="AC14" s="4683" t="s">
        <v>5050</v>
      </c>
      <c r="AD14" s="4692"/>
      <c r="AE14" s="4696"/>
      <c r="AF14" s="4685">
        <f t="shared" si="4"/>
        <v>0</v>
      </c>
    </row>
    <row r="15" spans="1:32" ht="33.75" customHeight="1">
      <c r="A15" s="4686">
        <v>8</v>
      </c>
      <c r="B15" s="4687">
        <v>46279</v>
      </c>
      <c r="C15" s="4687">
        <v>46281</v>
      </c>
      <c r="D15" s="4672">
        <f t="shared" si="0"/>
        <v>2</v>
      </c>
      <c r="E15" s="4687">
        <v>46297</v>
      </c>
      <c r="F15" s="4698">
        <f t="shared" si="1"/>
        <v>17</v>
      </c>
      <c r="G15" s="4687">
        <v>46299</v>
      </c>
      <c r="H15" s="4672">
        <f t="shared" si="2"/>
        <v>1</v>
      </c>
      <c r="I15" s="4691" t="s">
        <v>5108</v>
      </c>
      <c r="J15" s="4692">
        <v>1</v>
      </c>
      <c r="K15" s="4693">
        <v>1</v>
      </c>
      <c r="L15" s="4692">
        <v>44500</v>
      </c>
      <c r="M15" s="4692">
        <v>44500</v>
      </c>
      <c r="N15" s="4971">
        <f t="shared" si="5"/>
        <v>44500</v>
      </c>
      <c r="O15" s="4692">
        <v>44500</v>
      </c>
      <c r="P15" s="4678">
        <f t="shared" si="6"/>
        <v>20</v>
      </c>
      <c r="Q15" s="4679">
        <f>(D15*L15+F15*M15+H15*O15)*K15</f>
        <v>890000</v>
      </c>
      <c r="R15" s="4692">
        <v>22.5</v>
      </c>
      <c r="S15" s="4680" t="s">
        <v>5742</v>
      </c>
      <c r="T15" s="4694">
        <v>22.5</v>
      </c>
      <c r="U15" s="4700">
        <v>2</v>
      </c>
      <c r="V15" s="4692">
        <v>120</v>
      </c>
      <c r="W15" s="4680" t="s">
        <v>4521</v>
      </c>
      <c r="X15" s="4695">
        <v>205</v>
      </c>
      <c r="Y15" s="4692">
        <v>2</v>
      </c>
      <c r="Z15" s="4692" t="s">
        <v>5743</v>
      </c>
      <c r="AA15" s="4683" t="s">
        <v>5035</v>
      </c>
      <c r="AB15" s="4692" t="s">
        <v>5741</v>
      </c>
      <c r="AC15" s="4683" t="s">
        <v>5050</v>
      </c>
      <c r="AD15" s="4675" t="s">
        <v>5741</v>
      </c>
      <c r="AE15" s="4696"/>
      <c r="AF15" s="4685">
        <f t="shared" si="4"/>
        <v>2</v>
      </c>
    </row>
    <row r="16" spans="1:32" ht="33.75" customHeight="1">
      <c r="A16" s="4686">
        <v>9</v>
      </c>
      <c r="B16" s="4687"/>
      <c r="C16" s="4687"/>
      <c r="D16" s="4672" t="str">
        <f t="shared" si="0"/>
        <v>1</v>
      </c>
      <c r="E16" s="4687"/>
      <c r="F16" s="4698">
        <f t="shared" si="1"/>
        <v>2</v>
      </c>
      <c r="G16" s="4699"/>
      <c r="H16" s="4672">
        <f t="shared" si="2"/>
        <v>0</v>
      </c>
      <c r="I16" s="4691"/>
      <c r="J16" s="4692" t="s">
        <v>6113</v>
      </c>
      <c r="K16" s="4693" t="s">
        <v>6114</v>
      </c>
      <c r="L16" s="4692" t="s">
        <v>127</v>
      </c>
      <c r="M16" s="4692"/>
      <c r="N16" s="4971"/>
      <c r="O16" s="4692"/>
      <c r="P16" s="4678"/>
      <c r="Q16" s="4679"/>
      <c r="R16" s="4692"/>
      <c r="S16" s="4680" t="s">
        <v>5742</v>
      </c>
      <c r="T16" s="4694"/>
      <c r="U16" s="4700"/>
      <c r="V16" s="4692"/>
      <c r="W16" s="4680" t="s">
        <v>4521</v>
      </c>
      <c r="X16" s="4695"/>
      <c r="Y16" s="4692"/>
      <c r="Z16" s="4692"/>
      <c r="AA16" s="4683" t="s">
        <v>5035</v>
      </c>
      <c r="AB16" s="4692"/>
      <c r="AC16" s="4683" t="s">
        <v>5050</v>
      </c>
      <c r="AD16" s="4692"/>
      <c r="AE16" s="4696"/>
      <c r="AF16" s="4685"/>
    </row>
    <row r="17" spans="1:32" ht="33.75" customHeight="1">
      <c r="A17" s="4686">
        <v>10</v>
      </c>
      <c r="B17" s="4687"/>
      <c r="C17" s="4687"/>
      <c r="D17" s="4672" t="str">
        <f t="shared" si="0"/>
        <v>1</v>
      </c>
      <c r="E17" s="4687"/>
      <c r="F17" s="4698">
        <f t="shared" si="1"/>
        <v>2</v>
      </c>
      <c r="G17" s="4699"/>
      <c r="H17" s="4672">
        <f t="shared" si="2"/>
        <v>0</v>
      </c>
      <c r="I17" s="4691" t="s">
        <v>6109</v>
      </c>
      <c r="J17" s="4692">
        <v>5</v>
      </c>
      <c r="K17" s="4693">
        <v>0</v>
      </c>
      <c r="L17" s="4692">
        <v>5</v>
      </c>
      <c r="M17" s="4692"/>
      <c r="N17" s="4971"/>
      <c r="O17" s="4692"/>
      <c r="P17" s="4678"/>
      <c r="Q17" s="4679"/>
      <c r="R17" s="4692"/>
      <c r="S17" s="4680" t="s">
        <v>5742</v>
      </c>
      <c r="T17" s="4694"/>
      <c r="U17" s="4700"/>
      <c r="V17" s="4692"/>
      <c r="W17" s="4680" t="s">
        <v>4521</v>
      </c>
      <c r="X17" s="4695"/>
      <c r="Y17" s="4692"/>
      <c r="Z17" s="4692"/>
      <c r="AA17" s="4683" t="s">
        <v>5035</v>
      </c>
      <c r="AB17" s="4692"/>
      <c r="AC17" s="4683" t="s">
        <v>5050</v>
      </c>
      <c r="AD17" s="4692"/>
      <c r="AE17" s="4696"/>
      <c r="AF17" s="4685"/>
    </row>
    <row r="18" spans="1:32" ht="33.75" customHeight="1">
      <c r="A18" s="4686">
        <v>11</v>
      </c>
      <c r="B18" s="4687"/>
      <c r="C18" s="4687"/>
      <c r="D18" s="4672" t="str">
        <f t="shared" si="0"/>
        <v>1</v>
      </c>
      <c r="E18" s="4687"/>
      <c r="F18" s="4698">
        <f t="shared" si="1"/>
        <v>2</v>
      </c>
      <c r="G18" s="4699"/>
      <c r="H18" s="4672">
        <f t="shared" si="2"/>
        <v>0</v>
      </c>
      <c r="I18" s="4691" t="s">
        <v>5175</v>
      </c>
      <c r="J18" s="4692">
        <v>22</v>
      </c>
      <c r="K18" s="4693">
        <v>2</v>
      </c>
      <c r="L18" s="4692">
        <v>24</v>
      </c>
      <c r="M18" s="4692"/>
      <c r="N18" s="4971"/>
      <c r="O18" s="4692"/>
      <c r="P18" s="4678"/>
      <c r="Q18" s="4679"/>
      <c r="R18" s="4692"/>
      <c r="S18" s="4680" t="s">
        <v>5742</v>
      </c>
      <c r="T18" s="4694"/>
      <c r="U18" s="4700"/>
      <c r="V18" s="4692"/>
      <c r="W18" s="4680" t="s">
        <v>4521</v>
      </c>
      <c r="X18" s="4695"/>
      <c r="Y18" s="4692"/>
      <c r="Z18" s="4692"/>
      <c r="AA18" s="4683" t="s">
        <v>5035</v>
      </c>
      <c r="AB18" s="4692"/>
      <c r="AC18" s="4683" t="s">
        <v>5050</v>
      </c>
      <c r="AD18" s="4692"/>
      <c r="AE18" s="4696"/>
      <c r="AF18" s="4685"/>
    </row>
    <row r="19" spans="1:32" ht="33.75" customHeight="1">
      <c r="A19" s="4686">
        <v>12</v>
      </c>
      <c r="B19" s="4687"/>
      <c r="C19" s="4687"/>
      <c r="D19" s="4672" t="str">
        <f t="shared" si="0"/>
        <v>1</v>
      </c>
      <c r="E19" s="4687"/>
      <c r="F19" s="4698">
        <f t="shared" si="1"/>
        <v>2</v>
      </c>
      <c r="G19" s="4699"/>
      <c r="H19" s="4672">
        <f t="shared" si="2"/>
        <v>0</v>
      </c>
      <c r="I19" s="4691" t="s">
        <v>5089</v>
      </c>
      <c r="J19" s="4692">
        <v>32</v>
      </c>
      <c r="K19" s="4693">
        <v>11</v>
      </c>
      <c r="L19" s="4692">
        <v>43</v>
      </c>
      <c r="M19" s="4692"/>
      <c r="N19" s="4971"/>
      <c r="O19" s="4692"/>
      <c r="P19" s="4678"/>
      <c r="Q19" s="4679"/>
      <c r="R19" s="4692"/>
      <c r="S19" s="4680" t="s">
        <v>5742</v>
      </c>
      <c r="T19" s="4694"/>
      <c r="U19" s="4700"/>
      <c r="V19" s="4692"/>
      <c r="W19" s="4680" t="s">
        <v>4521</v>
      </c>
      <c r="X19" s="4695"/>
      <c r="Y19" s="4692"/>
      <c r="Z19" s="4692"/>
      <c r="AA19" s="4683" t="s">
        <v>5035</v>
      </c>
      <c r="AB19" s="4692"/>
      <c r="AC19" s="4683" t="s">
        <v>5050</v>
      </c>
      <c r="AD19" s="4692"/>
      <c r="AE19" s="4696"/>
      <c r="AF19" s="4685"/>
    </row>
    <row r="20" spans="1:32" ht="33.75" customHeight="1">
      <c r="A20" s="4686">
        <v>13</v>
      </c>
      <c r="B20" s="4687"/>
      <c r="C20" s="4687"/>
      <c r="D20" s="4672" t="str">
        <f t="shared" si="0"/>
        <v>1</v>
      </c>
      <c r="E20" s="4687"/>
      <c r="F20" s="4698">
        <f t="shared" si="1"/>
        <v>2</v>
      </c>
      <c r="G20" s="4699"/>
      <c r="H20" s="4672">
        <f t="shared" si="2"/>
        <v>0</v>
      </c>
      <c r="I20" s="4691" t="s">
        <v>6110</v>
      </c>
      <c r="J20" s="4692">
        <v>27</v>
      </c>
      <c r="K20" s="4693">
        <v>5</v>
      </c>
      <c r="L20" s="4692">
        <v>32</v>
      </c>
      <c r="M20" s="4692"/>
      <c r="N20" s="4971"/>
      <c r="O20" s="4692"/>
      <c r="P20" s="4678"/>
      <c r="Q20" s="4679"/>
      <c r="R20" s="4692"/>
      <c r="S20" s="4680" t="s">
        <v>5742</v>
      </c>
      <c r="T20" s="4694"/>
      <c r="U20" s="4700"/>
      <c r="V20" s="4692"/>
      <c r="W20" s="4680" t="s">
        <v>4521</v>
      </c>
      <c r="X20" s="4695"/>
      <c r="Y20" s="4692"/>
      <c r="Z20" s="4692"/>
      <c r="AA20" s="4683" t="s">
        <v>5035</v>
      </c>
      <c r="AB20" s="4692"/>
      <c r="AC20" s="4683" t="s">
        <v>5050</v>
      </c>
      <c r="AD20" s="4692"/>
      <c r="AE20" s="4696"/>
      <c r="AF20" s="4685"/>
    </row>
    <row r="21" spans="1:32" ht="33.75" customHeight="1">
      <c r="A21" s="4686">
        <v>14</v>
      </c>
      <c r="B21" s="4687"/>
      <c r="C21" s="4687"/>
      <c r="D21" s="4672" t="str">
        <f t="shared" si="0"/>
        <v>1</v>
      </c>
      <c r="E21" s="4687"/>
      <c r="F21" s="4698">
        <f t="shared" si="1"/>
        <v>2</v>
      </c>
      <c r="G21" s="4699"/>
      <c r="H21" s="4672">
        <f t="shared" si="2"/>
        <v>0</v>
      </c>
      <c r="I21" s="4691" t="s">
        <v>5090</v>
      </c>
      <c r="J21" s="4692">
        <v>10</v>
      </c>
      <c r="K21" s="4693">
        <v>2</v>
      </c>
      <c r="L21" s="4692">
        <v>12</v>
      </c>
      <c r="M21" s="4692"/>
      <c r="N21" s="4971"/>
      <c r="O21" s="4692"/>
      <c r="P21" s="4678"/>
      <c r="Q21" s="4679"/>
      <c r="R21" s="4692"/>
      <c r="S21" s="4680" t="s">
        <v>5742</v>
      </c>
      <c r="T21" s="4694"/>
      <c r="U21" s="4700"/>
      <c r="V21" s="4692"/>
      <c r="W21" s="4680" t="s">
        <v>4521</v>
      </c>
      <c r="X21" s="4695"/>
      <c r="Y21" s="4692"/>
      <c r="Z21" s="4692"/>
      <c r="AA21" s="4683" t="s">
        <v>5035</v>
      </c>
      <c r="AB21" s="4692"/>
      <c r="AC21" s="4683" t="s">
        <v>5050</v>
      </c>
      <c r="AD21" s="4692"/>
      <c r="AE21" s="4696"/>
      <c r="AF21" s="4685"/>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971"/>
      <c r="O22" s="4692"/>
      <c r="P22" s="4678"/>
      <c r="Q22" s="4679"/>
      <c r="R22" s="4692"/>
      <c r="S22" s="4680" t="s">
        <v>5739</v>
      </c>
      <c r="T22" s="4694"/>
      <c r="U22" s="4700"/>
      <c r="V22" s="4692"/>
      <c r="W22" s="4680" t="s">
        <v>4521</v>
      </c>
      <c r="X22" s="4695"/>
      <c r="Y22" s="4692"/>
      <c r="Z22" s="4692"/>
      <c r="AA22" s="4683" t="s">
        <v>5035</v>
      </c>
      <c r="AB22" s="4692"/>
      <c r="AC22" s="4683" t="s">
        <v>5050</v>
      </c>
      <c r="AD22" s="4692"/>
      <c r="AE22" s="4696"/>
      <c r="AF22" s="4685"/>
    </row>
    <row r="23" spans="1:32" ht="33.75" customHeight="1" thickTop="1" thickBot="1">
      <c r="A23" s="4701"/>
      <c r="B23" s="4702"/>
      <c r="C23" s="4702"/>
      <c r="D23" s="4702"/>
      <c r="E23" s="4702"/>
      <c r="F23" s="4703"/>
      <c r="G23" s="4704"/>
      <c r="H23" s="4702"/>
      <c r="I23" s="4705" t="s">
        <v>2432</v>
      </c>
      <c r="J23" s="4706">
        <f>SUM(J8:J15)</f>
        <v>128</v>
      </c>
      <c r="K23" s="4707">
        <f>SUM(K8:K15)</f>
        <v>117</v>
      </c>
      <c r="L23" s="4703"/>
      <c r="M23" s="4703"/>
      <c r="N23" s="5045"/>
      <c r="O23" s="4703"/>
      <c r="P23" s="4706">
        <f>SUM(P8:P22)</f>
        <v>2340</v>
      </c>
      <c r="Q23" s="4706">
        <f>SUM(Q8:Q22)</f>
        <v>97954000</v>
      </c>
      <c r="R23" s="6863"/>
      <c r="S23" s="6864"/>
      <c r="T23" s="6865"/>
      <c r="U23" s="4708"/>
      <c r="V23" s="6863"/>
      <c r="W23" s="6864"/>
      <c r="X23" s="6864"/>
      <c r="Y23" s="4708"/>
      <c r="Z23" s="4708"/>
      <c r="AA23" s="6866"/>
      <c r="AB23" s="6867"/>
      <c r="AC23" s="6866"/>
      <c r="AD23" s="6867"/>
      <c r="AE23" s="4709"/>
      <c r="AF23" s="4685">
        <f>SUM(AF8:AF22)</f>
        <v>130</v>
      </c>
    </row>
    <row r="24" spans="1:32" ht="33.75" customHeight="1" thickBot="1">
      <c r="C24" s="4710"/>
      <c r="D24" s="4710"/>
      <c r="E24" s="4710"/>
      <c r="F24" s="4710"/>
      <c r="G24" s="4710"/>
      <c r="H24" s="4710"/>
      <c r="I24" s="4711"/>
      <c r="J24" s="4712"/>
      <c r="K24" s="4710"/>
      <c r="L24" s="4713" t="s">
        <v>5748</v>
      </c>
      <c r="M24" s="4714">
        <f>SUM(N7:N22)</f>
        <v>4897700</v>
      </c>
      <c r="N24" s="5046"/>
      <c r="O24" s="4715"/>
      <c r="P24" s="4715"/>
      <c r="S24" s="4656"/>
      <c r="W24" s="4656"/>
    </row>
    <row r="25" spans="1:32" ht="33.75" customHeight="1">
      <c r="A25" s="6845" t="s">
        <v>5749</v>
      </c>
      <c r="B25" s="6846"/>
      <c r="C25" s="4716">
        <f>P23</f>
        <v>2340</v>
      </c>
      <c r="D25" s="4717"/>
      <c r="F25" s="4718"/>
      <c r="H25" s="4719"/>
      <c r="I25" s="4720"/>
      <c r="K25" s="4659"/>
      <c r="L25" s="4721" t="s">
        <v>5750</v>
      </c>
      <c r="M25" s="4722">
        <f>M24*1.1</f>
        <v>5387470</v>
      </c>
      <c r="P25" s="4656"/>
    </row>
    <row r="26" spans="1:32" ht="33.75" customHeight="1">
      <c r="A26" s="6847" t="s">
        <v>5883</v>
      </c>
      <c r="B26" s="6848"/>
      <c r="C26" s="4723">
        <f>Q23</f>
        <v>97954000</v>
      </c>
      <c r="D26" s="4717"/>
      <c r="F26" s="4724"/>
      <c r="H26" s="4719"/>
      <c r="I26" s="4720"/>
      <c r="K26" s="4659"/>
      <c r="L26" s="4824" t="s">
        <v>5965</v>
      </c>
      <c r="P26" s="4656"/>
    </row>
    <row r="27" spans="1:32" ht="33.75" customHeight="1" thickBot="1">
      <c r="A27" s="6913" t="s">
        <v>5751</v>
      </c>
      <c r="B27" s="6914"/>
      <c r="C27" s="4987">
        <f>ROUNDDOWN(C26*1.1,0)</f>
        <v>107749400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8:C22 E8:G22">
    <cfRule type="containsBlanks" dxfId="566" priority="5">
      <formula>LEN(TRIM(B8))=0</formula>
    </cfRule>
  </conditionalFormatting>
  <conditionalFormatting sqref="C2:D2">
    <cfRule type="containsBlanks" dxfId="565" priority="2">
      <formula>LEN(TRIM(C2))=0</formula>
    </cfRule>
  </conditionalFormatting>
  <conditionalFormatting sqref="D7:D22">
    <cfRule type="containsBlanks" dxfId="564" priority="4">
      <formula>LEN(TRIM(D7))=0</formula>
    </cfRule>
  </conditionalFormatting>
  <conditionalFormatting sqref="F7">
    <cfRule type="containsBlanks" dxfId="563" priority="3">
      <formula>LEN(TRIM(F7))=0</formula>
    </cfRule>
  </conditionalFormatting>
  <conditionalFormatting sqref="H7:O22">
    <cfRule type="containsBlanks" dxfId="562" priority="1">
      <formula>LEN(TRIM(H7))=0</formula>
    </cfRule>
  </conditionalFormatting>
  <conditionalFormatting sqref="Q7:R22">
    <cfRule type="containsBlanks" dxfId="561" priority="9">
      <formula>LEN(TRIM(Q7))=0</formula>
    </cfRule>
  </conditionalFormatting>
  <conditionalFormatting sqref="T7:V22">
    <cfRule type="containsBlanks" dxfId="560" priority="7">
      <formula>LEN(TRIM(T7))=0</formula>
    </cfRule>
  </conditionalFormatting>
  <conditionalFormatting sqref="X7:Z22">
    <cfRule type="containsBlanks" dxfId="559" priority="6">
      <formula>LEN(TRIM(X7))=0</formula>
    </cfRule>
  </conditionalFormatting>
  <conditionalFormatting sqref="AB7:AB22 AD7:AE22">
    <cfRule type="containsBlanks" dxfId="558" priority="8">
      <formula>LEN(TRIM(AB7))=0</formula>
    </cfRule>
  </conditionalFormatting>
  <printOptions horizontalCentered="1"/>
  <pageMargins left="0.39370078740157483" right="0.39370078740157483" top="0.55118110236220474" bottom="0.55118110236220474" header="0.31496062992125984" footer="0.31496062992125984"/>
  <pageSetup paperSize="9" scale="28" orientation="landscape" r:id="rId1"/>
  <headerFooter>
    <oddHeader>&amp;R&amp;G</oddHeader>
  </headerFooter>
  <drawing r:id="rId2"/>
  <legacyDrawing r:id="rId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3BC5-E4EC-4F8B-A441-3B32577AE65A}">
  <sheetPr codeName="Sheet345">
    <tabColor rgb="FFFFFF66"/>
    <pageSetUpPr fitToPage="1"/>
  </sheetPr>
  <dimension ref="A1:AF65"/>
  <sheetViews>
    <sheetView topLeftCell="A39" zoomScale="55" zoomScaleNormal="55" zoomScaleSheetLayoutView="70" workbookViewId="0">
      <selection activeCell="E38" sqref="E38"/>
    </sheetView>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0.26953125" style="4658" bestFit="1" customWidth="1"/>
    <col min="10" max="11" width="11.1796875" style="4656" customWidth="1"/>
    <col min="12" max="13" width="25.453125" style="4659" customWidth="1"/>
    <col min="14" max="14" width="5" style="4659" customWidth="1"/>
    <col min="15" max="15" width="25.453125" style="4659" customWidth="1"/>
    <col min="16" max="16" width="16.453125" style="4659" bestFit="1" customWidth="1"/>
    <col min="17" max="17" width="20.453125" style="4656" customWidth="1"/>
    <col min="18" max="18" width="11.1796875" style="4657" customWidth="1"/>
    <col min="19" max="19" width="9.54296875" style="4657" customWidth="1"/>
    <col min="20" max="20" width="11.1796875" style="4657" customWidth="1"/>
    <col min="21" max="21" width="12.453125" style="4657" customWidth="1"/>
    <col min="22" max="22" width="11.1796875" style="4657" customWidth="1"/>
    <col min="23" max="23" width="9.54296875" style="4657" customWidth="1"/>
    <col min="24" max="25" width="11.1796875" style="4657" customWidth="1"/>
    <col min="26" max="26" width="24" style="4657" customWidth="1"/>
    <col min="27" max="27" width="9.81640625" style="4657"/>
    <col min="28" max="28" width="7.81640625" style="4657" customWidth="1"/>
    <col min="29" max="29" width="9.81640625" style="4657"/>
    <col min="30" max="30" width="7.81640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2345</v>
      </c>
      <c r="D2" s="6876"/>
      <c r="E2" s="6876"/>
      <c r="F2" s="6876"/>
      <c r="G2" s="6876"/>
      <c r="H2" s="4661" t="s">
        <v>5709</v>
      </c>
      <c r="I2" s="4662"/>
      <c r="J2" s="4663"/>
      <c r="L2" s="4663"/>
      <c r="M2" s="4663"/>
      <c r="N2" s="4663"/>
      <c r="O2" s="4663"/>
      <c r="S2" s="4656"/>
      <c r="U2" s="4660"/>
      <c r="W2" s="4656"/>
      <c r="AE2" s="4664" t="s">
        <v>5710</v>
      </c>
    </row>
    <row r="3" spans="1:32" ht="10.15"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46286</v>
      </c>
      <c r="C8" s="4687">
        <v>46288</v>
      </c>
      <c r="D8" s="4672">
        <f t="shared" ref="D8:D22" si="0">IF(_xlfn.DAYS(C8,B8)=0,"1",_xlfn.DAYS(C8,B8))</f>
        <v>2</v>
      </c>
      <c r="E8" s="4816">
        <v>46298</v>
      </c>
      <c r="F8" s="4818">
        <f>IF(_xlfn.DAYS(E8,C8)=0,"1",_xlfn.DAYS(E8,C8))+1</f>
        <v>11</v>
      </c>
      <c r="G8" s="5146">
        <v>46300</v>
      </c>
      <c r="H8" s="4672">
        <f t="shared" ref="H8:H22" si="1">IF(_xlfn.DAYS(G8,E8)=0,"1",_xlfn.DAYS(G8,E8))-1</f>
        <v>1</v>
      </c>
      <c r="I8" s="5346" t="s">
        <v>6115</v>
      </c>
      <c r="J8" s="4692">
        <v>82</v>
      </c>
      <c r="K8" s="4693">
        <v>82</v>
      </c>
      <c r="L8" s="4692">
        <f>M8-1900</f>
        <v>56100</v>
      </c>
      <c r="M8" s="4692">
        <f>63500-5500</f>
        <v>58000</v>
      </c>
      <c r="N8" s="4971">
        <f>M8*K8</f>
        <v>4756000</v>
      </c>
      <c r="O8" s="4692">
        <f>M8-1900</f>
        <v>56100</v>
      </c>
      <c r="P8" s="4678">
        <f>SUM(D8,F8,H8)*K8</f>
        <v>1148</v>
      </c>
      <c r="Q8" s="4679">
        <f t="shared" ref="Q8:Q22" si="2">(D8*L8+F8*M8+H8*O8)*K8</f>
        <v>66116600</v>
      </c>
      <c r="R8" s="4692">
        <v>25.75</v>
      </c>
      <c r="S8" s="4680" t="s">
        <v>5742</v>
      </c>
      <c r="T8" s="4694">
        <v>25.75</v>
      </c>
      <c r="U8" s="4700">
        <v>2</v>
      </c>
      <c r="V8" s="4692">
        <v>125</v>
      </c>
      <c r="W8" s="4680" t="s">
        <v>2688</v>
      </c>
      <c r="X8" s="4695">
        <v>210</v>
      </c>
      <c r="Y8" s="4692">
        <v>2</v>
      </c>
      <c r="Z8" s="4692" t="s">
        <v>5953</v>
      </c>
      <c r="AA8" s="4683" t="s">
        <v>5035</v>
      </c>
      <c r="AB8" s="4692"/>
      <c r="AC8" s="4683" t="s">
        <v>5050</v>
      </c>
      <c r="AD8" s="4692" t="s">
        <v>2814</v>
      </c>
      <c r="AE8" s="4696"/>
      <c r="AF8" s="4685">
        <f>U8*K8</f>
        <v>164</v>
      </c>
    </row>
    <row r="9" spans="1:32" ht="33.75" customHeight="1">
      <c r="A9" s="4686">
        <v>2</v>
      </c>
      <c r="B9" s="4687">
        <v>46286</v>
      </c>
      <c r="C9" s="4687">
        <v>46288</v>
      </c>
      <c r="D9" s="4672">
        <f t="shared" si="0"/>
        <v>2</v>
      </c>
      <c r="E9" s="4816">
        <v>46298</v>
      </c>
      <c r="F9" s="4818">
        <f t="shared" ref="F9:F22" si="3">IF(_xlfn.DAYS(E9,C9)=0,"1",_xlfn.DAYS(E9,C9))+1</f>
        <v>11</v>
      </c>
      <c r="G9" s="5146">
        <v>46300</v>
      </c>
      <c r="H9" s="4672">
        <f t="shared" si="1"/>
        <v>1</v>
      </c>
      <c r="I9" s="5346" t="s">
        <v>6116</v>
      </c>
      <c r="J9" s="4692">
        <v>8</v>
      </c>
      <c r="K9" s="4693">
        <v>8</v>
      </c>
      <c r="L9" s="4692">
        <f>M9-1900</f>
        <v>73100</v>
      </c>
      <c r="M9" s="4692">
        <v>75000</v>
      </c>
      <c r="N9" s="4971">
        <f>M9*K9</f>
        <v>600000</v>
      </c>
      <c r="O9" s="4692">
        <f>M9-1900</f>
        <v>73100</v>
      </c>
      <c r="P9" s="4678">
        <f t="shared" ref="P9:P22" si="4">SUM(D9,F9,H9)*K9</f>
        <v>112</v>
      </c>
      <c r="Q9" s="4679">
        <f t="shared" si="2"/>
        <v>8354400</v>
      </c>
      <c r="R9" s="4692">
        <v>28.64</v>
      </c>
      <c r="S9" s="4680" t="s">
        <v>5742</v>
      </c>
      <c r="T9" s="4694">
        <v>28.64</v>
      </c>
      <c r="U9" s="4700">
        <v>2</v>
      </c>
      <c r="V9" s="4692">
        <v>125</v>
      </c>
      <c r="W9" s="4680" t="s">
        <v>2688</v>
      </c>
      <c r="X9" s="4695">
        <v>210</v>
      </c>
      <c r="Y9" s="4692">
        <v>2</v>
      </c>
      <c r="Z9" s="4692" t="s">
        <v>5953</v>
      </c>
      <c r="AA9" s="4683" t="s">
        <v>5035</v>
      </c>
      <c r="AB9" s="4692"/>
      <c r="AC9" s="4683" t="s">
        <v>5050</v>
      </c>
      <c r="AD9" s="4692" t="s">
        <v>2814</v>
      </c>
      <c r="AE9" s="4696"/>
      <c r="AF9" s="4685">
        <f t="shared" ref="AF9:AF22" si="5">U9*K9</f>
        <v>16</v>
      </c>
    </row>
    <row r="10" spans="1:32" ht="33.75" customHeight="1">
      <c r="A10" s="4686">
        <v>3</v>
      </c>
      <c r="B10" s="4687">
        <v>46286</v>
      </c>
      <c r="C10" s="4687">
        <v>46288</v>
      </c>
      <c r="D10" s="4672">
        <f t="shared" si="0"/>
        <v>2</v>
      </c>
      <c r="E10" s="4816">
        <v>46298</v>
      </c>
      <c r="F10" s="4818">
        <f t="shared" si="3"/>
        <v>11</v>
      </c>
      <c r="G10" s="5146">
        <v>46300</v>
      </c>
      <c r="H10" s="4672">
        <f t="shared" si="1"/>
        <v>1</v>
      </c>
      <c r="I10" s="4691" t="s">
        <v>5188</v>
      </c>
      <c r="J10" s="4692">
        <v>8</v>
      </c>
      <c r="K10" s="4693">
        <v>8</v>
      </c>
      <c r="L10" s="4692">
        <f>M10-1900</f>
        <v>69600</v>
      </c>
      <c r="M10" s="4692">
        <v>71500</v>
      </c>
      <c r="N10" s="4971">
        <f>M10*K10</f>
        <v>572000</v>
      </c>
      <c r="O10" s="4692">
        <f>M10-1900</f>
        <v>69600</v>
      </c>
      <c r="P10" s="4678">
        <f t="shared" si="4"/>
        <v>112</v>
      </c>
      <c r="Q10" s="4679">
        <f t="shared" si="2"/>
        <v>7962400</v>
      </c>
      <c r="R10" s="4692">
        <v>28.6</v>
      </c>
      <c r="S10" s="4680" t="s">
        <v>5742</v>
      </c>
      <c r="T10" s="4694">
        <v>28.6</v>
      </c>
      <c r="U10" s="4700">
        <v>3</v>
      </c>
      <c r="V10" s="4692">
        <v>125</v>
      </c>
      <c r="W10" s="4680" t="s">
        <v>2688</v>
      </c>
      <c r="X10" s="4695">
        <v>210</v>
      </c>
      <c r="Y10" s="4692">
        <v>3</v>
      </c>
      <c r="Z10" s="4692" t="s">
        <v>5953</v>
      </c>
      <c r="AA10" s="4683" t="s">
        <v>5035</v>
      </c>
      <c r="AB10" s="4692"/>
      <c r="AC10" s="4683" t="s">
        <v>5050</v>
      </c>
      <c r="AD10" s="4692" t="s">
        <v>2814</v>
      </c>
      <c r="AE10" s="4696"/>
      <c r="AF10" s="4685">
        <f t="shared" si="5"/>
        <v>24</v>
      </c>
    </row>
    <row r="11" spans="1:32" ht="33.75" customHeight="1">
      <c r="A11" s="4686">
        <v>4</v>
      </c>
      <c r="B11" s="4687">
        <v>46286</v>
      </c>
      <c r="C11" s="4687">
        <v>46288</v>
      </c>
      <c r="D11" s="4672">
        <f t="shared" si="0"/>
        <v>2</v>
      </c>
      <c r="E11" s="4816">
        <v>46298</v>
      </c>
      <c r="F11" s="4818">
        <f t="shared" si="3"/>
        <v>11</v>
      </c>
      <c r="G11" s="5146">
        <v>46300</v>
      </c>
      <c r="H11" s="4672">
        <f t="shared" si="1"/>
        <v>1</v>
      </c>
      <c r="I11" s="4691" t="s">
        <v>5092</v>
      </c>
      <c r="J11" s="4692">
        <v>1</v>
      </c>
      <c r="K11" s="4693">
        <v>1</v>
      </c>
      <c r="L11" s="4692">
        <f>M11-1900</f>
        <v>86100</v>
      </c>
      <c r="M11" s="4692">
        <v>88000</v>
      </c>
      <c r="N11" s="4971">
        <f t="shared" ref="N11:N16" si="6">M11*K11</f>
        <v>88000</v>
      </c>
      <c r="O11" s="4692">
        <f>M11-1900</f>
        <v>86100</v>
      </c>
      <c r="P11" s="4678">
        <f t="shared" si="4"/>
        <v>14</v>
      </c>
      <c r="Q11" s="4679">
        <f t="shared" si="2"/>
        <v>1226300</v>
      </c>
      <c r="R11" s="4692">
        <v>40.630000000000003</v>
      </c>
      <c r="S11" s="4680" t="s">
        <v>5742</v>
      </c>
      <c r="T11" s="4694">
        <v>40.630000000000003</v>
      </c>
      <c r="U11" s="4700">
        <v>2</v>
      </c>
      <c r="V11" s="4692">
        <v>125</v>
      </c>
      <c r="W11" s="4680" t="s">
        <v>2688</v>
      </c>
      <c r="X11" s="4695">
        <v>210</v>
      </c>
      <c r="Y11" s="4692">
        <v>2</v>
      </c>
      <c r="Z11" s="4692" t="s">
        <v>5953</v>
      </c>
      <c r="AA11" s="4683" t="s">
        <v>5035</v>
      </c>
      <c r="AB11" s="4692"/>
      <c r="AC11" s="4683" t="s">
        <v>5050</v>
      </c>
      <c r="AD11" s="4692" t="s">
        <v>2814</v>
      </c>
      <c r="AE11" s="4696"/>
      <c r="AF11" s="4685">
        <f t="shared" si="5"/>
        <v>2</v>
      </c>
    </row>
    <row r="12" spans="1:32" ht="33.75" customHeight="1">
      <c r="A12" s="4686">
        <v>5</v>
      </c>
      <c r="B12" s="4687">
        <v>46286</v>
      </c>
      <c r="C12" s="4687">
        <v>46288</v>
      </c>
      <c r="D12" s="4672">
        <f t="shared" si="0"/>
        <v>2</v>
      </c>
      <c r="E12" s="4816">
        <v>46298</v>
      </c>
      <c r="F12" s="4818">
        <f t="shared" si="3"/>
        <v>11</v>
      </c>
      <c r="G12" s="5146">
        <v>46300</v>
      </c>
      <c r="H12" s="4672">
        <f t="shared" si="1"/>
        <v>1</v>
      </c>
      <c r="I12" s="4691" t="s">
        <v>5092</v>
      </c>
      <c r="J12" s="4692">
        <v>1</v>
      </c>
      <c r="K12" s="4693">
        <v>1</v>
      </c>
      <c r="L12" s="4692">
        <f>M12-1900</f>
        <v>86100</v>
      </c>
      <c r="M12" s="4692">
        <v>88000</v>
      </c>
      <c r="N12" s="4971">
        <f t="shared" si="6"/>
        <v>88000</v>
      </c>
      <c r="O12" s="4692">
        <f>M12-1900</f>
        <v>86100</v>
      </c>
      <c r="P12" s="4678">
        <f t="shared" si="4"/>
        <v>14</v>
      </c>
      <c r="Q12" s="4679">
        <f t="shared" si="2"/>
        <v>1226300</v>
      </c>
      <c r="R12" s="4692">
        <v>40.630000000000003</v>
      </c>
      <c r="S12" s="4680" t="s">
        <v>5742</v>
      </c>
      <c r="T12" s="4694">
        <v>40.630000000000003</v>
      </c>
      <c r="U12" s="4700">
        <v>2</v>
      </c>
      <c r="V12" s="4692">
        <v>125</v>
      </c>
      <c r="W12" s="4680" t="s">
        <v>2688</v>
      </c>
      <c r="X12" s="4695">
        <v>210</v>
      </c>
      <c r="Y12" s="4692">
        <v>2</v>
      </c>
      <c r="Z12" s="4692" t="s">
        <v>5743</v>
      </c>
      <c r="AA12" s="4683" t="s">
        <v>5035</v>
      </c>
      <c r="AB12" s="4692"/>
      <c r="AC12" s="4683" t="s">
        <v>5050</v>
      </c>
      <c r="AD12" s="4692" t="s">
        <v>2814</v>
      </c>
      <c r="AE12" s="4696"/>
      <c r="AF12" s="4685">
        <f t="shared" si="5"/>
        <v>2</v>
      </c>
    </row>
    <row r="13" spans="1:32" ht="33.75" customHeight="1">
      <c r="A13" s="4686">
        <v>6</v>
      </c>
      <c r="B13" s="4687"/>
      <c r="C13" s="4687"/>
      <c r="D13" s="4672" t="str">
        <f t="shared" si="0"/>
        <v>1</v>
      </c>
      <c r="E13" s="4687"/>
      <c r="F13" s="4698">
        <f t="shared" si="3"/>
        <v>2</v>
      </c>
      <c r="G13" s="4699"/>
      <c r="H13" s="4672">
        <f t="shared" si="1"/>
        <v>0</v>
      </c>
      <c r="I13" s="4691"/>
      <c r="J13" s="4692"/>
      <c r="K13" s="4693"/>
      <c r="L13" s="4692"/>
      <c r="M13" s="4692"/>
      <c r="N13" s="4971">
        <f t="shared" si="6"/>
        <v>0</v>
      </c>
      <c r="O13" s="4692"/>
      <c r="P13" s="4678">
        <f t="shared" si="4"/>
        <v>0</v>
      </c>
      <c r="Q13" s="4679">
        <f t="shared" si="2"/>
        <v>0</v>
      </c>
      <c r="R13" s="4692"/>
      <c r="S13" s="4680" t="s">
        <v>5742</v>
      </c>
      <c r="T13" s="4694"/>
      <c r="U13" s="4700"/>
      <c r="V13" s="4692"/>
      <c r="W13" s="4680" t="s">
        <v>4521</v>
      </c>
      <c r="X13" s="4695"/>
      <c r="Y13" s="4692"/>
      <c r="Z13" s="4692"/>
      <c r="AA13" s="4683" t="s">
        <v>5035</v>
      </c>
      <c r="AB13" s="4692"/>
      <c r="AC13" s="4683" t="s">
        <v>5050</v>
      </c>
      <c r="AD13" s="4692"/>
      <c r="AE13" s="4696"/>
      <c r="AF13" s="4685">
        <f t="shared" si="5"/>
        <v>0</v>
      </c>
    </row>
    <row r="14" spans="1:32" ht="33.75" customHeight="1">
      <c r="A14" s="4686">
        <v>7</v>
      </c>
      <c r="B14" s="4687"/>
      <c r="C14" s="4687"/>
      <c r="D14" s="4672" t="str">
        <f t="shared" si="0"/>
        <v>1</v>
      </c>
      <c r="E14" s="4687"/>
      <c r="F14" s="4698">
        <f t="shared" si="3"/>
        <v>2</v>
      </c>
      <c r="G14" s="4699"/>
      <c r="H14" s="4672">
        <f t="shared" si="1"/>
        <v>0</v>
      </c>
      <c r="I14" s="4691"/>
      <c r="J14" s="4692"/>
      <c r="K14" s="4693"/>
      <c r="L14" s="4692"/>
      <c r="M14" s="4692"/>
      <c r="N14" s="4971">
        <f t="shared" si="6"/>
        <v>0</v>
      </c>
      <c r="O14" s="4692"/>
      <c r="P14" s="4678">
        <f t="shared" si="4"/>
        <v>0</v>
      </c>
      <c r="Q14" s="4679">
        <f t="shared" si="2"/>
        <v>0</v>
      </c>
      <c r="R14" s="4692"/>
      <c r="S14" s="4680" t="s">
        <v>5742</v>
      </c>
      <c r="T14" s="4694"/>
      <c r="U14" s="4700"/>
      <c r="V14" s="4692"/>
      <c r="W14" s="4680" t="s">
        <v>4521</v>
      </c>
      <c r="X14" s="4695"/>
      <c r="Y14" s="4692"/>
      <c r="Z14" s="4692"/>
      <c r="AA14" s="4683" t="s">
        <v>5035</v>
      </c>
      <c r="AB14" s="4692"/>
      <c r="AC14" s="4683" t="s">
        <v>5050</v>
      </c>
      <c r="AD14" s="4692"/>
      <c r="AE14" s="4696"/>
      <c r="AF14" s="4685">
        <f t="shared" si="5"/>
        <v>0</v>
      </c>
    </row>
    <row r="15" spans="1:32" ht="33.75" customHeight="1">
      <c r="A15" s="4686">
        <v>8</v>
      </c>
      <c r="B15" s="4687"/>
      <c r="C15" s="4687"/>
      <c r="D15" s="4672" t="str">
        <f t="shared" si="0"/>
        <v>1</v>
      </c>
      <c r="E15" s="4687"/>
      <c r="F15" s="4698">
        <f t="shared" si="3"/>
        <v>2</v>
      </c>
      <c r="G15" s="4699"/>
      <c r="H15" s="4672">
        <f t="shared" si="1"/>
        <v>0</v>
      </c>
      <c r="I15" s="4691"/>
      <c r="J15" s="4692"/>
      <c r="K15" s="4693"/>
      <c r="L15" s="4692"/>
      <c r="M15" s="4692"/>
      <c r="N15" s="4971">
        <f t="shared" si="6"/>
        <v>0</v>
      </c>
      <c r="O15" s="4692"/>
      <c r="P15" s="4678">
        <f t="shared" si="4"/>
        <v>0</v>
      </c>
      <c r="Q15" s="4679">
        <f t="shared" si="2"/>
        <v>0</v>
      </c>
      <c r="R15" s="4692"/>
      <c r="S15" s="4680" t="s">
        <v>5742</v>
      </c>
      <c r="T15" s="4694"/>
      <c r="U15" s="4700"/>
      <c r="V15" s="4692"/>
      <c r="W15" s="4680" t="s">
        <v>4521</v>
      </c>
      <c r="X15" s="4695"/>
      <c r="Y15" s="4692"/>
      <c r="Z15" s="4692"/>
      <c r="AA15" s="4683" t="s">
        <v>5035</v>
      </c>
      <c r="AB15" s="4692"/>
      <c r="AC15" s="4683" t="s">
        <v>5050</v>
      </c>
      <c r="AD15" s="4692"/>
      <c r="AE15" s="4696"/>
      <c r="AF15" s="4685">
        <f t="shared" si="5"/>
        <v>0</v>
      </c>
    </row>
    <row r="16" spans="1:32" ht="33.75" customHeight="1">
      <c r="A16" s="4686">
        <v>9</v>
      </c>
      <c r="B16" s="4687"/>
      <c r="C16" s="4687"/>
      <c r="D16" s="4672" t="str">
        <f t="shared" si="0"/>
        <v>1</v>
      </c>
      <c r="E16" s="4687"/>
      <c r="F16" s="4698">
        <f t="shared" si="3"/>
        <v>2</v>
      </c>
      <c r="G16" s="4699"/>
      <c r="H16" s="4672">
        <f t="shared" si="1"/>
        <v>0</v>
      </c>
      <c r="I16" s="4691"/>
      <c r="J16" s="4692"/>
      <c r="K16" s="4693"/>
      <c r="L16" s="4692"/>
      <c r="M16" s="4692"/>
      <c r="N16" s="4971">
        <f t="shared" si="6"/>
        <v>0</v>
      </c>
      <c r="O16" s="4692"/>
      <c r="P16" s="4678">
        <f t="shared" si="4"/>
        <v>0</v>
      </c>
      <c r="Q16" s="4679">
        <f t="shared" si="2"/>
        <v>0</v>
      </c>
      <c r="R16" s="4692"/>
      <c r="S16" s="4680" t="s">
        <v>5742</v>
      </c>
      <c r="T16" s="4694"/>
      <c r="U16" s="4700"/>
      <c r="V16" s="4692"/>
      <c r="W16" s="4680" t="s">
        <v>4521</v>
      </c>
      <c r="X16" s="4695"/>
      <c r="Y16" s="4692"/>
      <c r="Z16" s="4692"/>
      <c r="AA16" s="4683" t="s">
        <v>5035</v>
      </c>
      <c r="AB16" s="4692"/>
      <c r="AC16" s="4683" t="s">
        <v>5050</v>
      </c>
      <c r="AD16" s="4692"/>
      <c r="AE16" s="4696"/>
      <c r="AF16" s="4685">
        <f t="shared" si="5"/>
        <v>0</v>
      </c>
    </row>
    <row r="17" spans="1:32" ht="33.75" customHeight="1">
      <c r="A17" s="4686">
        <v>10</v>
      </c>
      <c r="B17" s="4687"/>
      <c r="C17" s="4687"/>
      <c r="D17" s="4672" t="str">
        <f t="shared" si="0"/>
        <v>1</v>
      </c>
      <c r="E17" s="4687"/>
      <c r="F17" s="4698">
        <f t="shared" si="3"/>
        <v>2</v>
      </c>
      <c r="G17" s="4699"/>
      <c r="H17" s="4672">
        <f t="shared" si="1"/>
        <v>0</v>
      </c>
      <c r="I17" s="4691"/>
      <c r="J17" s="4692"/>
      <c r="K17" s="4693"/>
      <c r="L17" s="4692"/>
      <c r="M17" s="4692"/>
      <c r="N17" s="4971">
        <f>M17*K17</f>
        <v>0</v>
      </c>
      <c r="O17" s="4692"/>
      <c r="P17" s="4678">
        <f t="shared" si="4"/>
        <v>0</v>
      </c>
      <c r="Q17" s="4679">
        <f t="shared" si="2"/>
        <v>0</v>
      </c>
      <c r="R17" s="4692"/>
      <c r="S17" s="4680" t="s">
        <v>5742</v>
      </c>
      <c r="T17" s="4694"/>
      <c r="U17" s="4700"/>
      <c r="V17" s="4692"/>
      <c r="W17" s="4680" t="s">
        <v>4521</v>
      </c>
      <c r="X17" s="4695"/>
      <c r="Y17" s="4692"/>
      <c r="Z17" s="4692"/>
      <c r="AA17" s="4683" t="s">
        <v>5035</v>
      </c>
      <c r="AB17" s="4692"/>
      <c r="AC17" s="4683" t="s">
        <v>5050</v>
      </c>
      <c r="AD17" s="4692"/>
      <c r="AE17" s="4696"/>
      <c r="AF17" s="4685">
        <f t="shared" si="5"/>
        <v>0</v>
      </c>
    </row>
    <row r="18" spans="1:32" ht="33.75" customHeight="1">
      <c r="A18" s="4686">
        <v>11</v>
      </c>
      <c r="B18" s="4687"/>
      <c r="C18" s="4687"/>
      <c r="D18" s="4672" t="str">
        <f t="shared" si="0"/>
        <v>1</v>
      </c>
      <c r="E18" s="4687"/>
      <c r="F18" s="4698">
        <f t="shared" si="3"/>
        <v>2</v>
      </c>
      <c r="G18" s="4699"/>
      <c r="H18" s="4672">
        <f t="shared" si="1"/>
        <v>0</v>
      </c>
      <c r="I18" s="4691"/>
      <c r="J18" s="4692"/>
      <c r="K18" s="4693"/>
      <c r="L18" s="4692"/>
      <c r="M18" s="4692"/>
      <c r="N18" s="4692"/>
      <c r="O18" s="4692"/>
      <c r="P18" s="4678">
        <f t="shared" si="4"/>
        <v>0</v>
      </c>
      <c r="Q18" s="4679">
        <f t="shared" si="2"/>
        <v>0</v>
      </c>
      <c r="R18" s="4692"/>
      <c r="S18" s="4680" t="s">
        <v>5742</v>
      </c>
      <c r="T18" s="4694"/>
      <c r="U18" s="4700"/>
      <c r="V18" s="4692"/>
      <c r="W18" s="4680" t="s">
        <v>4521</v>
      </c>
      <c r="X18" s="4695"/>
      <c r="Y18" s="4692"/>
      <c r="Z18" s="4692"/>
      <c r="AA18" s="4683" t="s">
        <v>5035</v>
      </c>
      <c r="AB18" s="4692"/>
      <c r="AC18" s="4683" t="s">
        <v>5050</v>
      </c>
      <c r="AD18" s="4692"/>
      <c r="AE18" s="4696"/>
      <c r="AF18" s="4685">
        <f t="shared" si="5"/>
        <v>0</v>
      </c>
    </row>
    <row r="19" spans="1:32" ht="33.75" customHeight="1">
      <c r="A19" s="4686">
        <v>12</v>
      </c>
      <c r="B19" s="4687"/>
      <c r="C19" s="4687"/>
      <c r="D19" s="4672" t="str">
        <f t="shared" si="0"/>
        <v>1</v>
      </c>
      <c r="E19" s="4687"/>
      <c r="F19" s="4698">
        <f t="shared" si="3"/>
        <v>2</v>
      </c>
      <c r="G19" s="4699"/>
      <c r="H19" s="4672">
        <f t="shared" si="1"/>
        <v>0</v>
      </c>
      <c r="I19" s="4691"/>
      <c r="J19" s="4692"/>
      <c r="K19" s="4693"/>
      <c r="L19" s="4692"/>
      <c r="M19" s="4692"/>
      <c r="N19" s="4692"/>
      <c r="O19" s="4692"/>
      <c r="P19" s="4678">
        <f t="shared" si="4"/>
        <v>0</v>
      </c>
      <c r="Q19" s="4679">
        <f t="shared" si="2"/>
        <v>0</v>
      </c>
      <c r="R19" s="4692"/>
      <c r="S19" s="4680" t="s">
        <v>5742</v>
      </c>
      <c r="T19" s="4694"/>
      <c r="U19" s="4700"/>
      <c r="V19" s="4692"/>
      <c r="W19" s="4680" t="s">
        <v>4521</v>
      </c>
      <c r="X19" s="4695"/>
      <c r="Y19" s="4692"/>
      <c r="Z19" s="4692"/>
      <c r="AA19" s="4683" t="s">
        <v>5035</v>
      </c>
      <c r="AB19" s="4692"/>
      <c r="AC19" s="4683" t="s">
        <v>5050</v>
      </c>
      <c r="AD19" s="4692"/>
      <c r="AE19" s="4696"/>
      <c r="AF19" s="4685">
        <f t="shared" si="5"/>
        <v>0</v>
      </c>
    </row>
    <row r="20" spans="1:32" ht="33.75" customHeight="1">
      <c r="A20" s="4686">
        <v>13</v>
      </c>
      <c r="B20" s="4687"/>
      <c r="C20" s="4687"/>
      <c r="D20" s="4672" t="str">
        <f t="shared" si="0"/>
        <v>1</v>
      </c>
      <c r="E20" s="4687"/>
      <c r="F20" s="4698">
        <f t="shared" si="3"/>
        <v>2</v>
      </c>
      <c r="G20" s="4699"/>
      <c r="H20" s="4672">
        <f t="shared" si="1"/>
        <v>0</v>
      </c>
      <c r="I20" s="4691"/>
      <c r="J20" s="4692"/>
      <c r="K20" s="4693"/>
      <c r="L20" s="4692"/>
      <c r="M20" s="4692"/>
      <c r="N20" s="4692"/>
      <c r="O20" s="4692"/>
      <c r="P20" s="4678">
        <f>SUM(D20,F20,H20)*K20</f>
        <v>0</v>
      </c>
      <c r="Q20" s="4679">
        <f t="shared" si="2"/>
        <v>0</v>
      </c>
      <c r="R20" s="4692"/>
      <c r="S20" s="4680" t="s">
        <v>5742</v>
      </c>
      <c r="T20" s="4694"/>
      <c r="U20" s="4700"/>
      <c r="V20" s="4692"/>
      <c r="W20" s="4680" t="s">
        <v>4521</v>
      </c>
      <c r="X20" s="4695"/>
      <c r="Y20" s="4692"/>
      <c r="Z20" s="4692"/>
      <c r="AA20" s="4683" t="s">
        <v>5035</v>
      </c>
      <c r="AB20" s="4692"/>
      <c r="AC20" s="4683" t="s">
        <v>5050</v>
      </c>
      <c r="AD20" s="4692"/>
      <c r="AE20" s="4696"/>
      <c r="AF20" s="4685">
        <f t="shared" si="5"/>
        <v>0</v>
      </c>
    </row>
    <row r="21" spans="1:32" ht="33.75" customHeight="1">
      <c r="A21" s="4686">
        <v>14</v>
      </c>
      <c r="B21" s="4687"/>
      <c r="C21" s="4687"/>
      <c r="D21" s="4672" t="str">
        <f t="shared" si="0"/>
        <v>1</v>
      </c>
      <c r="E21" s="4687"/>
      <c r="F21" s="4698">
        <f t="shared" si="3"/>
        <v>2</v>
      </c>
      <c r="G21" s="4699"/>
      <c r="H21" s="4672">
        <f t="shared" si="1"/>
        <v>0</v>
      </c>
      <c r="I21" s="4691"/>
      <c r="J21" s="4692"/>
      <c r="K21" s="4693"/>
      <c r="L21" s="4692"/>
      <c r="M21" s="4692"/>
      <c r="N21" s="4692"/>
      <c r="O21" s="4692"/>
      <c r="P21" s="4678">
        <f t="shared" si="4"/>
        <v>0</v>
      </c>
      <c r="Q21" s="4679">
        <f t="shared" si="2"/>
        <v>0</v>
      </c>
      <c r="R21" s="4692"/>
      <c r="S21" s="4680" t="s">
        <v>5742</v>
      </c>
      <c r="T21" s="4694"/>
      <c r="U21" s="4700"/>
      <c r="V21" s="4692"/>
      <c r="W21" s="4680" t="s">
        <v>4521</v>
      </c>
      <c r="X21" s="4695"/>
      <c r="Y21" s="4692"/>
      <c r="Z21" s="4692"/>
      <c r="AA21" s="4683" t="s">
        <v>5035</v>
      </c>
      <c r="AB21" s="4692"/>
      <c r="AC21" s="4683" t="s">
        <v>5050</v>
      </c>
      <c r="AD21" s="4692"/>
      <c r="AE21" s="4696"/>
      <c r="AF21" s="4685">
        <f t="shared" si="5"/>
        <v>0</v>
      </c>
    </row>
    <row r="22" spans="1:32" ht="33.75" customHeight="1" thickBot="1">
      <c r="A22" s="4686">
        <v>15</v>
      </c>
      <c r="B22" s="4687"/>
      <c r="C22" s="4687"/>
      <c r="D22" s="4672" t="str">
        <f t="shared" si="0"/>
        <v>1</v>
      </c>
      <c r="E22" s="4687"/>
      <c r="F22" s="4698">
        <f t="shared" si="3"/>
        <v>2</v>
      </c>
      <c r="G22" s="4699"/>
      <c r="H22" s="4672">
        <f t="shared" si="1"/>
        <v>0</v>
      </c>
      <c r="I22" s="4691"/>
      <c r="J22" s="4692"/>
      <c r="K22" s="4693"/>
      <c r="L22" s="4692"/>
      <c r="M22" s="4692"/>
      <c r="N22" s="4692"/>
      <c r="O22" s="4692"/>
      <c r="P22" s="4678">
        <f t="shared" si="4"/>
        <v>0</v>
      </c>
      <c r="Q22" s="4679">
        <f t="shared" si="2"/>
        <v>0</v>
      </c>
      <c r="R22" s="4692"/>
      <c r="S22" s="4680" t="s">
        <v>5739</v>
      </c>
      <c r="T22" s="4694"/>
      <c r="U22" s="4700"/>
      <c r="V22" s="4692"/>
      <c r="W22" s="4680" t="s">
        <v>4521</v>
      </c>
      <c r="X22" s="4695"/>
      <c r="Y22" s="4692"/>
      <c r="Z22" s="4692"/>
      <c r="AA22" s="4683" t="s">
        <v>5035</v>
      </c>
      <c r="AB22" s="4692"/>
      <c r="AC22" s="4683" t="s">
        <v>5050</v>
      </c>
      <c r="AD22" s="4692"/>
      <c r="AE22" s="4696"/>
      <c r="AF22" s="4685">
        <f t="shared" si="5"/>
        <v>0</v>
      </c>
    </row>
    <row r="23" spans="1:32" ht="33.75" customHeight="1" thickTop="1" thickBot="1">
      <c r="A23" s="4701"/>
      <c r="B23" s="4702"/>
      <c r="C23" s="4702"/>
      <c r="D23" s="4702"/>
      <c r="E23" s="4702"/>
      <c r="F23" s="4703"/>
      <c r="G23" s="4704"/>
      <c r="H23" s="4702"/>
      <c r="I23" s="4705" t="s">
        <v>2432</v>
      </c>
      <c r="J23" s="4706">
        <f>SUM(J8:J22)</f>
        <v>100</v>
      </c>
      <c r="K23" s="4707">
        <f>SUM(K8:K22)</f>
        <v>100</v>
      </c>
      <c r="L23" s="4703"/>
      <c r="M23" s="4703"/>
      <c r="N23" s="4703"/>
      <c r="O23" s="4703"/>
      <c r="P23" s="4706">
        <f>SUM(P8:P22)</f>
        <v>1400</v>
      </c>
      <c r="Q23" s="4706">
        <f>SUM(Q8:Q22)</f>
        <v>84886000</v>
      </c>
      <c r="R23" s="6863"/>
      <c r="S23" s="6864"/>
      <c r="T23" s="6865"/>
      <c r="U23" s="4708"/>
      <c r="V23" s="6863"/>
      <c r="W23" s="6864"/>
      <c r="X23" s="6864"/>
      <c r="Y23" s="4708"/>
      <c r="Z23" s="4708"/>
      <c r="AA23" s="6866"/>
      <c r="AB23" s="6867"/>
      <c r="AC23" s="6866"/>
      <c r="AD23" s="6867"/>
      <c r="AE23" s="4709"/>
      <c r="AF23" s="4685">
        <f>SUM(AF8:AF22)</f>
        <v>208</v>
      </c>
    </row>
    <row r="24" spans="1:32" ht="33.75" customHeight="1" thickBot="1">
      <c r="C24" s="4710"/>
      <c r="D24" s="4710"/>
      <c r="E24" s="4710"/>
      <c r="F24" s="4710"/>
      <c r="G24" s="4710"/>
      <c r="H24" s="4710"/>
      <c r="I24" s="4711"/>
      <c r="J24" s="4712"/>
      <c r="K24" s="4710"/>
      <c r="L24" s="4713" t="s">
        <v>5748</v>
      </c>
      <c r="M24" s="4714">
        <f>SUM(N7:N22)</f>
        <v>6104000</v>
      </c>
      <c r="N24" s="4715"/>
      <c r="O24" s="4715"/>
      <c r="P24" s="4715"/>
      <c r="S24" s="4656"/>
      <c r="W24" s="4656"/>
    </row>
    <row r="25" spans="1:32" ht="33.75" customHeight="1">
      <c r="A25" s="6986" t="s">
        <v>5749</v>
      </c>
      <c r="B25" s="6987"/>
      <c r="C25" s="5347">
        <f>P23</f>
        <v>1400</v>
      </c>
      <c r="D25" s="4719"/>
      <c r="F25" s="4718"/>
      <c r="H25" s="4719"/>
      <c r="I25" s="4720"/>
      <c r="K25" s="4659"/>
      <c r="L25" s="4721" t="s">
        <v>5750</v>
      </c>
      <c r="M25" s="4722">
        <f>M24*1.1</f>
        <v>6714400.0000000009</v>
      </c>
      <c r="P25" s="4656"/>
    </row>
    <row r="26" spans="1:32" ht="33.75" customHeight="1">
      <c r="A26" s="6988" t="s">
        <v>6117</v>
      </c>
      <c r="B26" s="6848"/>
      <c r="C26" s="5348">
        <f>Q23</f>
        <v>84886000</v>
      </c>
      <c r="D26" s="4719"/>
      <c r="F26" s="4724"/>
      <c r="H26" s="4719"/>
      <c r="I26" s="4720"/>
      <c r="K26" s="4659"/>
      <c r="P26" s="4656"/>
    </row>
    <row r="27" spans="1:32" ht="32.15" customHeight="1" thickBot="1">
      <c r="A27" s="6989" t="s">
        <v>6118</v>
      </c>
      <c r="B27" s="6990"/>
      <c r="C27" s="5349">
        <f>C26*1.1</f>
        <v>93374600.000000015</v>
      </c>
      <c r="D27" s="4726"/>
      <c r="E27" s="4726"/>
      <c r="F27" s="4726"/>
      <c r="G27" s="4726"/>
      <c r="H27" s="4726"/>
      <c r="I27" s="4727"/>
    </row>
    <row r="28" spans="1:32" ht="32.15" customHeight="1">
      <c r="A28" s="4726"/>
      <c r="B28" s="4726"/>
      <c r="C28" s="4726"/>
      <c r="D28" s="4726"/>
      <c r="E28" s="4726"/>
      <c r="F28" s="4726"/>
      <c r="G28" s="4726"/>
      <c r="H28" s="4726"/>
      <c r="I28" s="4727"/>
    </row>
    <row r="29" spans="1:32" ht="33.75" customHeight="1" thickBot="1">
      <c r="A29" s="4665" t="s">
        <v>5807</v>
      </c>
      <c r="B29" s="4665"/>
      <c r="S29" s="4656"/>
      <c r="W29" s="4656"/>
      <c r="Z29" s="4656"/>
      <c r="AA29" s="4656"/>
      <c r="AB29" s="4656"/>
      <c r="AC29" s="4656"/>
      <c r="AD29" s="4656"/>
      <c r="AF29" s="4656" t="s">
        <v>5712</v>
      </c>
    </row>
    <row r="30" spans="1:32" s="4666" customFormat="1" ht="33.75" customHeight="1">
      <c r="A30" s="6877" t="s">
        <v>5713</v>
      </c>
      <c r="B30" s="6879" t="s">
        <v>5714</v>
      </c>
      <c r="C30" s="6855" t="s">
        <v>5715</v>
      </c>
      <c r="D30" s="6855" t="s">
        <v>5716</v>
      </c>
      <c r="E30" s="6855" t="s">
        <v>5717</v>
      </c>
      <c r="F30" s="6868" t="s">
        <v>5718</v>
      </c>
      <c r="G30" s="6855" t="s">
        <v>5719</v>
      </c>
      <c r="H30" s="6855" t="s">
        <v>5720</v>
      </c>
      <c r="I30" s="6857" t="s">
        <v>5721</v>
      </c>
      <c r="J30" s="6851" t="s">
        <v>5722</v>
      </c>
      <c r="K30" s="6851" t="s">
        <v>5723</v>
      </c>
      <c r="L30" s="6855" t="s">
        <v>5796</v>
      </c>
      <c r="M30" s="6855" t="s">
        <v>5797</v>
      </c>
      <c r="N30" s="4967" t="s">
        <v>5726</v>
      </c>
      <c r="O30" s="6855" t="s">
        <v>5798</v>
      </c>
      <c r="P30" s="6851" t="s">
        <v>3766</v>
      </c>
      <c r="Q30" s="6853"/>
      <c r="R30" s="6868" t="s">
        <v>5728</v>
      </c>
      <c r="S30" s="6869"/>
      <c r="T30" s="6870"/>
      <c r="U30" s="6855" t="s">
        <v>5729</v>
      </c>
      <c r="V30" s="6869" t="s">
        <v>5730</v>
      </c>
      <c r="W30" s="6869"/>
      <c r="X30" s="6869"/>
      <c r="Y30" s="6868" t="s">
        <v>5731</v>
      </c>
      <c r="Z30" s="6851" t="s">
        <v>5732</v>
      </c>
      <c r="AA30" s="6851" t="s">
        <v>5733</v>
      </c>
      <c r="AB30" s="6853"/>
      <c r="AC30" s="6853"/>
      <c r="AD30" s="6853"/>
      <c r="AE30" s="6860" t="s">
        <v>2792</v>
      </c>
      <c r="AF30" s="6862" t="s">
        <v>5734</v>
      </c>
    </row>
    <row r="31" spans="1:32" s="4666" customFormat="1" ht="20">
      <c r="A31" s="6878"/>
      <c r="B31" s="6880"/>
      <c r="C31" s="6858"/>
      <c r="D31" s="6856"/>
      <c r="E31" s="6856"/>
      <c r="F31" s="6881"/>
      <c r="G31" s="6856"/>
      <c r="H31" s="6856"/>
      <c r="I31" s="6858"/>
      <c r="J31" s="6859"/>
      <c r="K31" s="6859"/>
      <c r="L31" s="6856"/>
      <c r="M31" s="6856"/>
      <c r="N31" s="4968"/>
      <c r="O31" s="6856"/>
      <c r="P31" s="4667" t="s">
        <v>5735</v>
      </c>
      <c r="Q31" s="4668" t="s">
        <v>5736</v>
      </c>
      <c r="R31" s="6871"/>
      <c r="S31" s="6872"/>
      <c r="T31" s="6873"/>
      <c r="U31" s="6856"/>
      <c r="V31" s="6872"/>
      <c r="W31" s="6872"/>
      <c r="X31" s="6872"/>
      <c r="Y31" s="6852"/>
      <c r="Z31" s="6852"/>
      <c r="AA31" s="6852"/>
      <c r="AB31" s="6854"/>
      <c r="AC31" s="6854"/>
      <c r="AD31" s="6854"/>
      <c r="AE31" s="6861"/>
      <c r="AF31" s="6862"/>
    </row>
    <row r="32" spans="1:32" ht="33.75" customHeight="1">
      <c r="A32" s="4669" t="s">
        <v>5737</v>
      </c>
      <c r="B32" s="4826">
        <v>46305</v>
      </c>
      <c r="C32" s="4827">
        <v>46307</v>
      </c>
      <c r="D32" s="4672">
        <f>IF(_xlfn.DAYS(C32,B32)=0,"1",_xlfn.DAYS(C32,B32))</f>
        <v>2</v>
      </c>
      <c r="E32" s="4827">
        <v>46319</v>
      </c>
      <c r="F32" s="4672">
        <f>IF(_xlfn.DAYS(E32,C32)=0,"1",_xlfn.DAYS(E32,C32))+1</f>
        <v>13</v>
      </c>
      <c r="G32" s="4827">
        <v>46321</v>
      </c>
      <c r="H32" s="4672">
        <f>IF(_xlfn.DAYS(G32,E32)=0,"1",_xlfn.DAYS(G32,E32))-1</f>
        <v>1</v>
      </c>
      <c r="I32" s="4674" t="s">
        <v>5738</v>
      </c>
      <c r="J32" s="4677">
        <v>100</v>
      </c>
      <c r="K32" s="4676">
        <v>90</v>
      </c>
      <c r="L32" s="4677">
        <v>9000</v>
      </c>
      <c r="M32" s="4677">
        <v>10000</v>
      </c>
      <c r="N32" s="4969"/>
      <c r="O32" s="4677">
        <v>8000</v>
      </c>
      <c r="P32" s="4678">
        <f>SUM(D32,F32,H32)*K32</f>
        <v>1440</v>
      </c>
      <c r="Q32" s="4677">
        <f>(D32*L32+F32*M32+H32*O32)*K32</f>
        <v>14040000</v>
      </c>
      <c r="R32" s="4682">
        <v>21</v>
      </c>
      <c r="S32" s="4680" t="s">
        <v>5739</v>
      </c>
      <c r="T32" s="4682">
        <v>21</v>
      </c>
      <c r="U32" s="4815">
        <v>1</v>
      </c>
      <c r="V32" s="4675">
        <v>154</v>
      </c>
      <c r="W32" s="4680" t="s">
        <v>4521</v>
      </c>
      <c r="X32" s="4682">
        <v>203</v>
      </c>
      <c r="Y32" s="4675">
        <v>1</v>
      </c>
      <c r="Z32" s="4675" t="s">
        <v>5740</v>
      </c>
      <c r="AA32" s="4683" t="s">
        <v>5035</v>
      </c>
      <c r="AB32" s="4675" t="s">
        <v>2830</v>
      </c>
      <c r="AC32" s="4683" t="s">
        <v>5050</v>
      </c>
      <c r="AD32" s="4675" t="s">
        <v>5741</v>
      </c>
      <c r="AE32" s="4684"/>
      <c r="AF32" s="4685">
        <f>U32*K32</f>
        <v>90</v>
      </c>
    </row>
    <row r="33" spans="1:32" ht="33.75" customHeight="1">
      <c r="A33" s="4828">
        <v>1</v>
      </c>
      <c r="B33" s="4900">
        <v>46304</v>
      </c>
      <c r="C33" s="4900">
        <v>46306</v>
      </c>
      <c r="D33" s="4817">
        <f t="shared" ref="D33:D37" si="7">IF(_xlfn.DAYS(C33,B33)=0,"1",_xlfn.DAYS(C33,B33))</f>
        <v>2</v>
      </c>
      <c r="E33" s="4900">
        <v>46320</v>
      </c>
      <c r="F33" s="4817">
        <f t="shared" ref="F33:F37" si="8">IF(_xlfn.DAYS(E33,C33)=0,"1",_xlfn.DAYS(E33,C33))+1</f>
        <v>15</v>
      </c>
      <c r="G33" s="5146">
        <v>46322</v>
      </c>
      <c r="H33" s="4672">
        <f t="shared" ref="H33:H47" si="9">IF(_xlfn.DAYS(G33,E33)=0,"1",_xlfn.DAYS(G33,E33))-1</f>
        <v>1</v>
      </c>
      <c r="I33" s="5346" t="s">
        <v>6115</v>
      </c>
      <c r="J33" s="4692">
        <v>82</v>
      </c>
      <c r="K33" s="4693">
        <v>82</v>
      </c>
      <c r="L33" s="4834">
        <f>M33-1900</f>
        <v>33100</v>
      </c>
      <c r="M33" s="4834">
        <f>63500-28500</f>
        <v>35000</v>
      </c>
      <c r="N33" s="4971">
        <f>M33*K33</f>
        <v>2870000</v>
      </c>
      <c r="O33" s="4834">
        <f>M33-1900</f>
        <v>33100</v>
      </c>
      <c r="P33" s="4678">
        <f t="shared" ref="P33:P46" si="10">SUM(D33,F33,H33)*K33</f>
        <v>1476</v>
      </c>
      <c r="Q33" s="4677">
        <f t="shared" ref="Q33:Q47" si="11">(D33*L33+F33*M33+H33*O33)*K33</f>
        <v>51192600</v>
      </c>
      <c r="R33" s="4836">
        <v>25.75</v>
      </c>
      <c r="S33" s="4837" t="s">
        <v>5742</v>
      </c>
      <c r="T33" s="4836">
        <v>25.75</v>
      </c>
      <c r="U33" s="4700">
        <v>2</v>
      </c>
      <c r="V33" s="4834">
        <v>125</v>
      </c>
      <c r="W33" s="4837" t="s">
        <v>2688</v>
      </c>
      <c r="X33" s="4836">
        <v>210</v>
      </c>
      <c r="Y33" s="4834">
        <v>2</v>
      </c>
      <c r="Z33" s="4834" t="s">
        <v>5953</v>
      </c>
      <c r="AA33" s="4839" t="s">
        <v>5035</v>
      </c>
      <c r="AB33" s="4834"/>
      <c r="AC33" s="4839" t="s">
        <v>5050</v>
      </c>
      <c r="AD33" s="4834" t="s">
        <v>2814</v>
      </c>
      <c r="AE33" s="4832"/>
      <c r="AF33" s="4685">
        <f>U33*K33</f>
        <v>164</v>
      </c>
    </row>
    <row r="34" spans="1:32" ht="33.75" customHeight="1">
      <c r="A34" s="4828">
        <v>2</v>
      </c>
      <c r="B34" s="4900">
        <v>46304</v>
      </c>
      <c r="C34" s="4900">
        <v>46306</v>
      </c>
      <c r="D34" s="4817">
        <f t="shared" si="7"/>
        <v>2</v>
      </c>
      <c r="E34" s="4900">
        <v>46320</v>
      </c>
      <c r="F34" s="4817">
        <f t="shared" si="8"/>
        <v>15</v>
      </c>
      <c r="G34" s="5146">
        <v>46322</v>
      </c>
      <c r="H34" s="4672">
        <f t="shared" si="9"/>
        <v>1</v>
      </c>
      <c r="I34" s="5346" t="s">
        <v>6116</v>
      </c>
      <c r="J34" s="4692">
        <v>8</v>
      </c>
      <c r="K34" s="4693">
        <v>8</v>
      </c>
      <c r="L34" s="4834">
        <f>M34-1900</f>
        <v>73100</v>
      </c>
      <c r="M34" s="4834">
        <v>75000</v>
      </c>
      <c r="N34" s="4971">
        <f>M34*K34</f>
        <v>600000</v>
      </c>
      <c r="O34" s="4834">
        <f>M34-1900</f>
        <v>73100</v>
      </c>
      <c r="P34" s="4678">
        <f t="shared" si="10"/>
        <v>144</v>
      </c>
      <c r="Q34" s="4677">
        <f t="shared" si="11"/>
        <v>10754400</v>
      </c>
      <c r="R34" s="4836">
        <v>28.64</v>
      </c>
      <c r="S34" s="4837" t="s">
        <v>5742</v>
      </c>
      <c r="T34" s="4836">
        <v>28.64</v>
      </c>
      <c r="U34" s="4700">
        <v>2</v>
      </c>
      <c r="V34" s="4834">
        <v>125</v>
      </c>
      <c r="W34" s="4837" t="s">
        <v>2688</v>
      </c>
      <c r="X34" s="4836">
        <v>210</v>
      </c>
      <c r="Y34" s="4834">
        <v>2</v>
      </c>
      <c r="Z34" s="4834" t="s">
        <v>5953</v>
      </c>
      <c r="AA34" s="4839" t="s">
        <v>5035</v>
      </c>
      <c r="AB34" s="4834"/>
      <c r="AC34" s="4839" t="s">
        <v>5050</v>
      </c>
      <c r="AD34" s="4834" t="s">
        <v>2814</v>
      </c>
      <c r="AE34" s="4832"/>
      <c r="AF34" s="4685">
        <f t="shared" ref="AF34:AF47" si="12">U34*K34</f>
        <v>16</v>
      </c>
    </row>
    <row r="35" spans="1:32" ht="33.75" customHeight="1">
      <c r="A35" s="4828">
        <v>3</v>
      </c>
      <c r="B35" s="4900">
        <v>46304</v>
      </c>
      <c r="C35" s="4900">
        <v>46306</v>
      </c>
      <c r="D35" s="4817">
        <f t="shared" si="7"/>
        <v>2</v>
      </c>
      <c r="E35" s="4900">
        <v>46320</v>
      </c>
      <c r="F35" s="4817">
        <f t="shared" si="8"/>
        <v>15</v>
      </c>
      <c r="G35" s="5146">
        <v>46322</v>
      </c>
      <c r="H35" s="4672">
        <f t="shared" si="9"/>
        <v>1</v>
      </c>
      <c r="I35" s="4691" t="s">
        <v>5188</v>
      </c>
      <c r="J35" s="4692">
        <v>8</v>
      </c>
      <c r="K35" s="4693">
        <v>8</v>
      </c>
      <c r="L35" s="4834">
        <f>M35-1900</f>
        <v>69600</v>
      </c>
      <c r="M35" s="4834">
        <v>71500</v>
      </c>
      <c r="N35" s="4971">
        <f>M35*K35</f>
        <v>572000</v>
      </c>
      <c r="O35" s="4834">
        <f>M35-1900</f>
        <v>69600</v>
      </c>
      <c r="P35" s="4678">
        <f t="shared" si="10"/>
        <v>144</v>
      </c>
      <c r="Q35" s="4677">
        <f t="shared" si="11"/>
        <v>10250400</v>
      </c>
      <c r="R35" s="4836">
        <v>28.6</v>
      </c>
      <c r="S35" s="4837" t="s">
        <v>5742</v>
      </c>
      <c r="T35" s="4836">
        <v>28.6</v>
      </c>
      <c r="U35" s="4700">
        <v>3</v>
      </c>
      <c r="V35" s="4834">
        <v>125</v>
      </c>
      <c r="W35" s="4837" t="s">
        <v>2688</v>
      </c>
      <c r="X35" s="4836">
        <v>210</v>
      </c>
      <c r="Y35" s="4834">
        <v>3</v>
      </c>
      <c r="Z35" s="4834" t="s">
        <v>5953</v>
      </c>
      <c r="AA35" s="4839" t="s">
        <v>5035</v>
      </c>
      <c r="AB35" s="4834"/>
      <c r="AC35" s="4839" t="s">
        <v>5050</v>
      </c>
      <c r="AD35" s="4834" t="s">
        <v>2814</v>
      </c>
      <c r="AE35" s="4832"/>
      <c r="AF35" s="4685">
        <f t="shared" si="12"/>
        <v>24</v>
      </c>
    </row>
    <row r="36" spans="1:32" ht="33.75" customHeight="1">
      <c r="A36" s="4828">
        <v>4</v>
      </c>
      <c r="B36" s="4900">
        <v>46304</v>
      </c>
      <c r="C36" s="4900">
        <v>46306</v>
      </c>
      <c r="D36" s="4817">
        <f t="shared" si="7"/>
        <v>2</v>
      </c>
      <c r="E36" s="4900">
        <v>46320</v>
      </c>
      <c r="F36" s="4817">
        <f t="shared" si="8"/>
        <v>15</v>
      </c>
      <c r="G36" s="5146">
        <v>46322</v>
      </c>
      <c r="H36" s="4672">
        <f t="shared" si="9"/>
        <v>1</v>
      </c>
      <c r="I36" s="4691" t="s">
        <v>5092</v>
      </c>
      <c r="J36" s="4692">
        <v>1</v>
      </c>
      <c r="K36" s="4693">
        <v>1</v>
      </c>
      <c r="L36" s="4834">
        <f>M36-1900</f>
        <v>86100</v>
      </c>
      <c r="M36" s="4834">
        <v>88000</v>
      </c>
      <c r="N36" s="4971">
        <f t="shared" ref="N36:N41" si="13">M36*K36</f>
        <v>88000</v>
      </c>
      <c r="O36" s="4834">
        <f>M36-1900</f>
        <v>86100</v>
      </c>
      <c r="P36" s="4678">
        <f t="shared" si="10"/>
        <v>18</v>
      </c>
      <c r="Q36" s="4677">
        <f t="shared" si="11"/>
        <v>1578300</v>
      </c>
      <c r="R36" s="4836">
        <v>40.630000000000003</v>
      </c>
      <c r="S36" s="4837" t="s">
        <v>5742</v>
      </c>
      <c r="T36" s="4836">
        <v>40.630000000000003</v>
      </c>
      <c r="U36" s="4700">
        <v>2</v>
      </c>
      <c r="V36" s="4834">
        <v>125</v>
      </c>
      <c r="W36" s="4837" t="s">
        <v>2688</v>
      </c>
      <c r="X36" s="4836">
        <v>210</v>
      </c>
      <c r="Y36" s="4834">
        <v>2</v>
      </c>
      <c r="Z36" s="4834" t="s">
        <v>5953</v>
      </c>
      <c r="AA36" s="4839" t="s">
        <v>5035</v>
      </c>
      <c r="AB36" s="4834"/>
      <c r="AC36" s="4839" t="s">
        <v>5050</v>
      </c>
      <c r="AD36" s="4834" t="s">
        <v>2814</v>
      </c>
      <c r="AE36" s="4832"/>
      <c r="AF36" s="4685">
        <f t="shared" si="12"/>
        <v>2</v>
      </c>
    </row>
    <row r="37" spans="1:32" ht="33.75" customHeight="1">
      <c r="A37" s="4828">
        <v>5</v>
      </c>
      <c r="B37" s="4900">
        <v>46304</v>
      </c>
      <c r="C37" s="4900">
        <v>46306</v>
      </c>
      <c r="D37" s="4817">
        <f t="shared" si="7"/>
        <v>2</v>
      </c>
      <c r="E37" s="4900">
        <v>46320</v>
      </c>
      <c r="F37" s="4817">
        <f t="shared" si="8"/>
        <v>15</v>
      </c>
      <c r="G37" s="5146">
        <v>46322</v>
      </c>
      <c r="H37" s="4672">
        <f t="shared" si="9"/>
        <v>1</v>
      </c>
      <c r="I37" s="4691" t="s">
        <v>5092</v>
      </c>
      <c r="J37" s="4692">
        <v>1</v>
      </c>
      <c r="K37" s="4693">
        <v>1</v>
      </c>
      <c r="L37" s="4834">
        <f>M37-1900</f>
        <v>86100</v>
      </c>
      <c r="M37" s="4834">
        <v>88000</v>
      </c>
      <c r="N37" s="4971">
        <f t="shared" si="13"/>
        <v>88000</v>
      </c>
      <c r="O37" s="4834">
        <f>M37-1900</f>
        <v>86100</v>
      </c>
      <c r="P37" s="4678">
        <f t="shared" si="10"/>
        <v>18</v>
      </c>
      <c r="Q37" s="4677">
        <f t="shared" si="11"/>
        <v>1578300</v>
      </c>
      <c r="R37" s="4836">
        <v>40.630000000000003</v>
      </c>
      <c r="S37" s="4837" t="s">
        <v>5742</v>
      </c>
      <c r="T37" s="4836">
        <v>40.630000000000003</v>
      </c>
      <c r="U37" s="4700">
        <v>2</v>
      </c>
      <c r="V37" s="4834">
        <v>125</v>
      </c>
      <c r="W37" s="4837" t="s">
        <v>2688</v>
      </c>
      <c r="X37" s="4836">
        <v>210</v>
      </c>
      <c r="Y37" s="4834">
        <v>2</v>
      </c>
      <c r="Z37" s="4834" t="s">
        <v>5743</v>
      </c>
      <c r="AA37" s="4839" t="s">
        <v>5035</v>
      </c>
      <c r="AB37" s="4834"/>
      <c r="AC37" s="4839" t="s">
        <v>5050</v>
      </c>
      <c r="AD37" s="4834" t="s">
        <v>2814</v>
      </c>
      <c r="AE37" s="4832"/>
      <c r="AF37" s="4685">
        <f t="shared" si="12"/>
        <v>2</v>
      </c>
    </row>
    <row r="38" spans="1:32" ht="33.75" customHeight="1">
      <c r="A38" s="4828">
        <v>6</v>
      </c>
      <c r="B38" s="4833"/>
      <c r="C38" s="4829"/>
      <c r="D38" s="4672" t="str">
        <f t="shared" ref="D38:D47" si="14">IF(_xlfn.DAYS(C38,B38)=0,"1",_xlfn.DAYS(C38,B38))</f>
        <v>1</v>
      </c>
      <c r="E38" s="4829"/>
      <c r="F38" s="4672">
        <f>IF(_xlfn.DAYS(E38,C38)=0,"1",_xlfn.DAYS(E38,C38))+1</f>
        <v>2</v>
      </c>
      <c r="G38" s="4699"/>
      <c r="H38" s="4672">
        <f t="shared" si="9"/>
        <v>0</v>
      </c>
      <c r="I38" s="4831"/>
      <c r="J38" s="4834"/>
      <c r="K38" s="4835"/>
      <c r="L38" s="4834"/>
      <c r="M38" s="4834"/>
      <c r="N38" s="4971">
        <f t="shared" si="13"/>
        <v>0</v>
      </c>
      <c r="O38" s="4834"/>
      <c r="P38" s="4678">
        <f t="shared" si="10"/>
        <v>0</v>
      </c>
      <c r="Q38" s="4677">
        <f t="shared" si="11"/>
        <v>0</v>
      </c>
      <c r="R38" s="4836"/>
      <c r="S38" s="4837" t="s">
        <v>5742</v>
      </c>
      <c r="T38" s="4836"/>
      <c r="U38" s="4838"/>
      <c r="V38" s="4834"/>
      <c r="W38" s="4837" t="s">
        <v>4521</v>
      </c>
      <c r="X38" s="4836"/>
      <c r="Y38" s="4834"/>
      <c r="Z38" s="4834"/>
      <c r="AA38" s="4839" t="s">
        <v>5035</v>
      </c>
      <c r="AB38" s="4834"/>
      <c r="AC38" s="4839" t="s">
        <v>5050</v>
      </c>
      <c r="AD38" s="4834"/>
      <c r="AE38" s="4832"/>
      <c r="AF38" s="4685">
        <f t="shared" si="12"/>
        <v>0</v>
      </c>
    </row>
    <row r="39" spans="1:32" ht="33.75" customHeight="1">
      <c r="A39" s="4828">
        <v>7</v>
      </c>
      <c r="B39" s="4833"/>
      <c r="C39" s="4829"/>
      <c r="D39" s="4672" t="str">
        <f t="shared" si="14"/>
        <v>1</v>
      </c>
      <c r="E39" s="4829"/>
      <c r="F39" s="4672">
        <f t="shared" ref="F39:F47" si="15">IF(_xlfn.DAYS(E39,C39)=0,"1",_xlfn.DAYS(E39,C39))+1</f>
        <v>2</v>
      </c>
      <c r="G39" s="4699"/>
      <c r="H39" s="4672">
        <f t="shared" si="9"/>
        <v>0</v>
      </c>
      <c r="I39" s="4831"/>
      <c r="J39" s="4834"/>
      <c r="K39" s="4835"/>
      <c r="L39" s="4834"/>
      <c r="M39" s="4834"/>
      <c r="N39" s="4971">
        <f t="shared" si="13"/>
        <v>0</v>
      </c>
      <c r="O39" s="4834"/>
      <c r="P39" s="4678">
        <f t="shared" si="10"/>
        <v>0</v>
      </c>
      <c r="Q39" s="4677">
        <f t="shared" si="11"/>
        <v>0</v>
      </c>
      <c r="R39" s="4836"/>
      <c r="S39" s="4837" t="s">
        <v>5742</v>
      </c>
      <c r="T39" s="4836"/>
      <c r="U39" s="4838"/>
      <c r="V39" s="4834"/>
      <c r="W39" s="4837" t="s">
        <v>4521</v>
      </c>
      <c r="X39" s="4836"/>
      <c r="Y39" s="4834"/>
      <c r="Z39" s="4834"/>
      <c r="AA39" s="4839" t="s">
        <v>5035</v>
      </c>
      <c r="AB39" s="4834"/>
      <c r="AC39" s="4839" t="s">
        <v>5050</v>
      </c>
      <c r="AD39" s="4834"/>
      <c r="AE39" s="4832"/>
      <c r="AF39" s="4685">
        <f t="shared" si="12"/>
        <v>0</v>
      </c>
    </row>
    <row r="40" spans="1:32" ht="33.75" customHeight="1">
      <c r="A40" s="4828">
        <v>8</v>
      </c>
      <c r="B40" s="4833"/>
      <c r="C40" s="4829"/>
      <c r="D40" s="4672" t="str">
        <f t="shared" si="14"/>
        <v>1</v>
      </c>
      <c r="E40" s="4829"/>
      <c r="F40" s="4672">
        <f t="shared" si="15"/>
        <v>2</v>
      </c>
      <c r="G40" s="4699"/>
      <c r="H40" s="4672">
        <f t="shared" si="9"/>
        <v>0</v>
      </c>
      <c r="I40" s="4831"/>
      <c r="J40" s="4834"/>
      <c r="K40" s="4835"/>
      <c r="L40" s="4834"/>
      <c r="M40" s="4834"/>
      <c r="N40" s="4971">
        <f t="shared" si="13"/>
        <v>0</v>
      </c>
      <c r="O40" s="4834"/>
      <c r="P40" s="4678">
        <f t="shared" si="10"/>
        <v>0</v>
      </c>
      <c r="Q40" s="4677">
        <f t="shared" si="11"/>
        <v>0</v>
      </c>
      <c r="R40" s="4836"/>
      <c r="S40" s="4837" t="s">
        <v>5742</v>
      </c>
      <c r="T40" s="4836"/>
      <c r="U40" s="4838"/>
      <c r="V40" s="4834"/>
      <c r="W40" s="4837" t="s">
        <v>4521</v>
      </c>
      <c r="X40" s="4836"/>
      <c r="Y40" s="4834"/>
      <c r="Z40" s="4834"/>
      <c r="AA40" s="4839" t="s">
        <v>5035</v>
      </c>
      <c r="AB40" s="4834"/>
      <c r="AC40" s="4839" t="s">
        <v>5050</v>
      </c>
      <c r="AD40" s="4834"/>
      <c r="AE40" s="4832"/>
      <c r="AF40" s="4685">
        <f t="shared" si="12"/>
        <v>0</v>
      </c>
    </row>
    <row r="41" spans="1:32" ht="33.75" customHeight="1">
      <c r="A41" s="4828">
        <v>9</v>
      </c>
      <c r="B41" s="4833"/>
      <c r="C41" s="4829"/>
      <c r="D41" s="4672" t="str">
        <f t="shared" si="14"/>
        <v>1</v>
      </c>
      <c r="E41" s="4829"/>
      <c r="F41" s="4672">
        <f t="shared" si="15"/>
        <v>2</v>
      </c>
      <c r="G41" s="4699"/>
      <c r="H41" s="4672">
        <f t="shared" si="9"/>
        <v>0</v>
      </c>
      <c r="I41" s="4831"/>
      <c r="J41" s="4834"/>
      <c r="K41" s="4835"/>
      <c r="L41" s="4834"/>
      <c r="M41" s="4834"/>
      <c r="N41" s="4971">
        <f t="shared" si="13"/>
        <v>0</v>
      </c>
      <c r="O41" s="4834"/>
      <c r="P41" s="4678">
        <f t="shared" si="10"/>
        <v>0</v>
      </c>
      <c r="Q41" s="4677">
        <f t="shared" si="11"/>
        <v>0</v>
      </c>
      <c r="R41" s="4836"/>
      <c r="S41" s="4837" t="s">
        <v>5742</v>
      </c>
      <c r="T41" s="4836"/>
      <c r="U41" s="4838"/>
      <c r="V41" s="4834"/>
      <c r="W41" s="4837" t="s">
        <v>4521</v>
      </c>
      <c r="X41" s="4836"/>
      <c r="Y41" s="4834"/>
      <c r="Z41" s="4834"/>
      <c r="AA41" s="4839" t="s">
        <v>5035</v>
      </c>
      <c r="AB41" s="4834"/>
      <c r="AC41" s="4839" t="s">
        <v>5050</v>
      </c>
      <c r="AD41" s="4834"/>
      <c r="AE41" s="4832"/>
      <c r="AF41" s="4685">
        <f t="shared" si="12"/>
        <v>0</v>
      </c>
    </row>
    <row r="42" spans="1:32" ht="33.75" customHeight="1">
      <c r="A42" s="4828">
        <v>10</v>
      </c>
      <c r="B42" s="4833"/>
      <c r="C42" s="4829"/>
      <c r="D42" s="4672" t="str">
        <f t="shared" si="14"/>
        <v>1</v>
      </c>
      <c r="E42" s="4829"/>
      <c r="F42" s="4672">
        <f t="shared" si="15"/>
        <v>2</v>
      </c>
      <c r="G42" s="4699"/>
      <c r="H42" s="4672">
        <f t="shared" si="9"/>
        <v>0</v>
      </c>
      <c r="I42" s="4831"/>
      <c r="J42" s="4834"/>
      <c r="K42" s="4835"/>
      <c r="L42" s="4834"/>
      <c r="M42" s="4834"/>
      <c r="N42" s="4971">
        <f>M42*K42</f>
        <v>0</v>
      </c>
      <c r="O42" s="4834"/>
      <c r="P42" s="4678">
        <f t="shared" si="10"/>
        <v>0</v>
      </c>
      <c r="Q42" s="4677">
        <f t="shared" si="11"/>
        <v>0</v>
      </c>
      <c r="R42" s="4836"/>
      <c r="S42" s="4837" t="s">
        <v>5742</v>
      </c>
      <c r="T42" s="4836"/>
      <c r="U42" s="4838"/>
      <c r="V42" s="4834"/>
      <c r="W42" s="4837" t="s">
        <v>4521</v>
      </c>
      <c r="X42" s="4836"/>
      <c r="Y42" s="4834"/>
      <c r="Z42" s="4834"/>
      <c r="AA42" s="4839" t="s">
        <v>5035</v>
      </c>
      <c r="AB42" s="4834"/>
      <c r="AC42" s="4839" t="s">
        <v>5050</v>
      </c>
      <c r="AD42" s="4834"/>
      <c r="AE42" s="4832"/>
      <c r="AF42" s="4685">
        <f t="shared" si="12"/>
        <v>0</v>
      </c>
    </row>
    <row r="43" spans="1:32" ht="33.75" customHeight="1">
      <c r="A43" s="4828">
        <v>11</v>
      </c>
      <c r="B43" s="4833"/>
      <c r="C43" s="4829"/>
      <c r="D43" s="4672" t="str">
        <f t="shared" si="14"/>
        <v>1</v>
      </c>
      <c r="E43" s="4829"/>
      <c r="F43" s="4672">
        <f t="shared" si="15"/>
        <v>2</v>
      </c>
      <c r="G43" s="4699"/>
      <c r="H43" s="4672">
        <f t="shared" si="9"/>
        <v>0</v>
      </c>
      <c r="I43" s="4831"/>
      <c r="J43" s="4834"/>
      <c r="K43" s="4835"/>
      <c r="L43" s="4834"/>
      <c r="M43" s="4834"/>
      <c r="N43" s="4834"/>
      <c r="O43" s="4834"/>
      <c r="P43" s="4678">
        <f t="shared" si="10"/>
        <v>0</v>
      </c>
      <c r="Q43" s="4677">
        <f t="shared" si="11"/>
        <v>0</v>
      </c>
      <c r="R43" s="4836"/>
      <c r="S43" s="4837" t="s">
        <v>5742</v>
      </c>
      <c r="T43" s="4836"/>
      <c r="U43" s="4838"/>
      <c r="V43" s="4834"/>
      <c r="W43" s="4837" t="s">
        <v>4521</v>
      </c>
      <c r="X43" s="4836"/>
      <c r="Y43" s="4834"/>
      <c r="Z43" s="4834"/>
      <c r="AA43" s="4839" t="s">
        <v>5035</v>
      </c>
      <c r="AB43" s="4834"/>
      <c r="AC43" s="4839" t="s">
        <v>5050</v>
      </c>
      <c r="AD43" s="4834"/>
      <c r="AE43" s="4832"/>
      <c r="AF43" s="4685">
        <f t="shared" si="12"/>
        <v>0</v>
      </c>
    </row>
    <row r="44" spans="1:32" ht="33.75" customHeight="1">
      <c r="A44" s="4828">
        <v>12</v>
      </c>
      <c r="B44" s="4833"/>
      <c r="C44" s="4829"/>
      <c r="D44" s="4672" t="str">
        <f t="shared" si="14"/>
        <v>1</v>
      </c>
      <c r="E44" s="4829"/>
      <c r="F44" s="4672">
        <f t="shared" si="15"/>
        <v>2</v>
      </c>
      <c r="G44" s="4699"/>
      <c r="H44" s="4672">
        <f t="shared" si="9"/>
        <v>0</v>
      </c>
      <c r="I44" s="4831"/>
      <c r="J44" s="4834"/>
      <c r="K44" s="4835"/>
      <c r="L44" s="4834"/>
      <c r="M44" s="4834"/>
      <c r="N44" s="4834"/>
      <c r="O44" s="4834"/>
      <c r="P44" s="4678">
        <f t="shared" si="10"/>
        <v>0</v>
      </c>
      <c r="Q44" s="4677">
        <f t="shared" si="11"/>
        <v>0</v>
      </c>
      <c r="R44" s="4836"/>
      <c r="S44" s="4837" t="s">
        <v>5742</v>
      </c>
      <c r="T44" s="4836"/>
      <c r="U44" s="4838"/>
      <c r="V44" s="4834"/>
      <c r="W44" s="4837" t="s">
        <v>4521</v>
      </c>
      <c r="X44" s="4836"/>
      <c r="Y44" s="4834"/>
      <c r="Z44" s="4834"/>
      <c r="AA44" s="4839" t="s">
        <v>5035</v>
      </c>
      <c r="AB44" s="4834"/>
      <c r="AC44" s="4839" t="s">
        <v>5050</v>
      </c>
      <c r="AD44" s="4834"/>
      <c r="AE44" s="4832"/>
      <c r="AF44" s="4685">
        <f t="shared" si="12"/>
        <v>0</v>
      </c>
    </row>
    <row r="45" spans="1:32" ht="33.75" customHeight="1">
      <c r="A45" s="4828">
        <v>13</v>
      </c>
      <c r="B45" s="4833"/>
      <c r="C45" s="4829"/>
      <c r="D45" s="4672" t="str">
        <f t="shared" si="14"/>
        <v>1</v>
      </c>
      <c r="E45" s="4829"/>
      <c r="F45" s="4672">
        <f t="shared" si="15"/>
        <v>2</v>
      </c>
      <c r="G45" s="4699"/>
      <c r="H45" s="4672">
        <f t="shared" si="9"/>
        <v>0</v>
      </c>
      <c r="I45" s="4831"/>
      <c r="J45" s="4834"/>
      <c r="K45" s="4835"/>
      <c r="L45" s="4834"/>
      <c r="M45" s="4834"/>
      <c r="N45" s="4834"/>
      <c r="O45" s="4834"/>
      <c r="P45" s="4678">
        <f t="shared" si="10"/>
        <v>0</v>
      </c>
      <c r="Q45" s="4677">
        <f t="shared" si="11"/>
        <v>0</v>
      </c>
      <c r="R45" s="4836"/>
      <c r="S45" s="4837" t="s">
        <v>5742</v>
      </c>
      <c r="T45" s="4836"/>
      <c r="U45" s="4838"/>
      <c r="V45" s="4834"/>
      <c r="W45" s="4837" t="s">
        <v>4521</v>
      </c>
      <c r="X45" s="4836"/>
      <c r="Y45" s="4834"/>
      <c r="Z45" s="4834"/>
      <c r="AA45" s="4839" t="s">
        <v>5035</v>
      </c>
      <c r="AB45" s="4834"/>
      <c r="AC45" s="4839" t="s">
        <v>5050</v>
      </c>
      <c r="AD45" s="4834"/>
      <c r="AE45" s="4832"/>
      <c r="AF45" s="4685">
        <f t="shared" si="12"/>
        <v>0</v>
      </c>
    </row>
    <row r="46" spans="1:32" ht="33.75" customHeight="1">
      <c r="A46" s="4828">
        <v>14</v>
      </c>
      <c r="B46" s="4833"/>
      <c r="C46" s="4829"/>
      <c r="D46" s="4672" t="str">
        <f t="shared" si="14"/>
        <v>1</v>
      </c>
      <c r="E46" s="4829"/>
      <c r="F46" s="4672">
        <f t="shared" si="15"/>
        <v>2</v>
      </c>
      <c r="G46" s="4699"/>
      <c r="H46" s="4672">
        <f t="shared" si="9"/>
        <v>0</v>
      </c>
      <c r="I46" s="4831"/>
      <c r="J46" s="4834"/>
      <c r="K46" s="4835"/>
      <c r="L46" s="4834"/>
      <c r="M46" s="4834"/>
      <c r="N46" s="4834"/>
      <c r="O46" s="4834"/>
      <c r="P46" s="4678">
        <f t="shared" si="10"/>
        <v>0</v>
      </c>
      <c r="Q46" s="4677">
        <f t="shared" si="11"/>
        <v>0</v>
      </c>
      <c r="R46" s="4836"/>
      <c r="S46" s="4837" t="s">
        <v>5742</v>
      </c>
      <c r="T46" s="4836"/>
      <c r="U46" s="4838"/>
      <c r="V46" s="4834"/>
      <c r="W46" s="4837" t="s">
        <v>4521</v>
      </c>
      <c r="X46" s="4836"/>
      <c r="Y46" s="4834"/>
      <c r="Z46" s="4834"/>
      <c r="AA46" s="4839" t="s">
        <v>5035</v>
      </c>
      <c r="AB46" s="4834"/>
      <c r="AC46" s="4839" t="s">
        <v>5050</v>
      </c>
      <c r="AD46" s="4834"/>
      <c r="AE46" s="4832"/>
      <c r="AF46" s="4685">
        <f t="shared" si="12"/>
        <v>0</v>
      </c>
    </row>
    <row r="47" spans="1:32" ht="33.75" customHeight="1" thickBot="1">
      <c r="A47" s="4828">
        <v>15</v>
      </c>
      <c r="B47" s="4833"/>
      <c r="C47" s="4829"/>
      <c r="D47" s="4672" t="str">
        <f t="shared" si="14"/>
        <v>1</v>
      </c>
      <c r="E47" s="4829"/>
      <c r="F47" s="4672">
        <f t="shared" si="15"/>
        <v>2</v>
      </c>
      <c r="G47" s="4699"/>
      <c r="H47" s="4672">
        <f t="shared" si="9"/>
        <v>0</v>
      </c>
      <c r="I47" s="4831"/>
      <c r="J47" s="4834"/>
      <c r="K47" s="4835"/>
      <c r="L47" s="4834"/>
      <c r="M47" s="4834"/>
      <c r="N47" s="4834"/>
      <c r="O47" s="4834"/>
      <c r="P47" s="4678">
        <f>SUM(D47,F47,H47)*K47</f>
        <v>0</v>
      </c>
      <c r="Q47" s="4677">
        <f t="shared" si="11"/>
        <v>0</v>
      </c>
      <c r="R47" s="4836"/>
      <c r="S47" s="4837" t="s">
        <v>5739</v>
      </c>
      <c r="T47" s="4836"/>
      <c r="U47" s="4838"/>
      <c r="V47" s="4834"/>
      <c r="W47" s="4837" t="s">
        <v>4521</v>
      </c>
      <c r="X47" s="4836"/>
      <c r="Y47" s="4834"/>
      <c r="Z47" s="4834"/>
      <c r="AA47" s="4839" t="s">
        <v>5035</v>
      </c>
      <c r="AB47" s="4834"/>
      <c r="AC47" s="4839" t="s">
        <v>5050</v>
      </c>
      <c r="AD47" s="4834"/>
      <c r="AE47" s="4832"/>
      <c r="AF47" s="4685">
        <f t="shared" si="12"/>
        <v>0</v>
      </c>
    </row>
    <row r="48" spans="1:32" ht="33.75" customHeight="1" thickTop="1" thickBot="1">
      <c r="A48" s="4840"/>
      <c r="B48" s="4841"/>
      <c r="C48" s="4841"/>
      <c r="D48" s="4841"/>
      <c r="E48" s="4841"/>
      <c r="F48" s="4842"/>
      <c r="G48" s="4843"/>
      <c r="H48" s="4841"/>
      <c r="I48" s="4844" t="s">
        <v>2432</v>
      </c>
      <c r="J48" s="4845">
        <f>SUM(J33:J47)</f>
        <v>100</v>
      </c>
      <c r="K48" s="4846">
        <f>SUM(K33:K47)</f>
        <v>100</v>
      </c>
      <c r="L48" s="4843"/>
      <c r="M48" s="4843"/>
      <c r="N48" s="4843"/>
      <c r="O48" s="4843"/>
      <c r="P48" s="4845">
        <f>SUM(P33:P47)</f>
        <v>1800</v>
      </c>
      <c r="Q48" s="4845">
        <f>SUM(Q33:Q47)</f>
        <v>75354000</v>
      </c>
      <c r="R48" s="6901"/>
      <c r="S48" s="6901"/>
      <c r="T48" s="6901"/>
      <c r="U48" s="4847"/>
      <c r="V48" s="6902"/>
      <c r="W48" s="6901"/>
      <c r="X48" s="6901"/>
      <c r="Y48" s="4847"/>
      <c r="Z48" s="4847"/>
      <c r="AA48" s="6903"/>
      <c r="AB48" s="6904"/>
      <c r="AC48" s="6903"/>
      <c r="AD48" s="6904"/>
      <c r="AE48" s="4848"/>
      <c r="AF48" s="4685">
        <f>SUM(AF33:AF47)</f>
        <v>208</v>
      </c>
    </row>
    <row r="49" spans="1:32" ht="32.15" customHeight="1" thickBot="1">
      <c r="C49" s="4710"/>
      <c r="D49" s="4710"/>
      <c r="E49" s="4710"/>
      <c r="F49" s="4710"/>
      <c r="G49" s="4710"/>
      <c r="H49" s="4710"/>
      <c r="I49" s="4711"/>
      <c r="J49" s="4712"/>
      <c r="K49" s="4710"/>
      <c r="L49" s="4713" t="s">
        <v>5748</v>
      </c>
      <c r="M49" s="4714">
        <f>SUM(N32:N47)</f>
        <v>4218000</v>
      </c>
      <c r="N49" s="4715"/>
      <c r="O49" s="4715"/>
      <c r="P49" s="4715"/>
      <c r="S49" s="4656"/>
      <c r="W49" s="4656"/>
      <c r="AF49" s="4849"/>
    </row>
    <row r="50" spans="1:32" ht="33.75" customHeight="1">
      <c r="A50" s="6986" t="s">
        <v>5749</v>
      </c>
      <c r="B50" s="6987"/>
      <c r="C50" s="5347">
        <f>P48</f>
        <v>1800</v>
      </c>
      <c r="D50" s="4719"/>
      <c r="F50" s="4718"/>
      <c r="G50" s="4850"/>
      <c r="H50" s="4719"/>
      <c r="I50" s="4720"/>
      <c r="L50" s="4721" t="s">
        <v>5750</v>
      </c>
      <c r="M50" s="4722">
        <f>M49*1.1</f>
        <v>4639800</v>
      </c>
      <c r="P50" s="4656"/>
      <c r="AF50" s="4851"/>
    </row>
    <row r="51" spans="1:32" ht="33.75" customHeight="1">
      <c r="A51" s="6988" t="s">
        <v>6117</v>
      </c>
      <c r="B51" s="6848"/>
      <c r="C51" s="5348">
        <f>Q48</f>
        <v>75354000</v>
      </c>
      <c r="D51" s="4719"/>
      <c r="F51" s="4724"/>
      <c r="G51" s="4852"/>
      <c r="H51" s="4719"/>
      <c r="I51" s="4720"/>
      <c r="P51" s="4656"/>
      <c r="AF51" s="4851"/>
    </row>
    <row r="52" spans="1:32" ht="33.75" customHeight="1" thickBot="1">
      <c r="A52" s="6989" t="s">
        <v>6118</v>
      </c>
      <c r="B52" s="6990"/>
      <c r="C52" s="5349">
        <f>C51*1.1</f>
        <v>82889400</v>
      </c>
      <c r="D52" s="4729"/>
      <c r="E52" s="4729"/>
      <c r="F52" s="4729"/>
      <c r="G52" s="4726"/>
      <c r="H52" s="4729"/>
      <c r="I52" s="4720"/>
      <c r="P52" s="4656"/>
    </row>
    <row r="53" spans="1:32" ht="33.75" customHeight="1">
      <c r="A53" s="4729"/>
      <c r="B53" s="4729"/>
      <c r="C53" s="4729"/>
      <c r="D53" s="4729"/>
      <c r="E53" s="4729"/>
      <c r="F53" s="4729"/>
      <c r="G53" s="4726"/>
      <c r="H53" s="4729"/>
      <c r="I53" s="4720"/>
      <c r="P53" s="4656"/>
    </row>
    <row r="54" spans="1:32" ht="33.75" customHeight="1">
      <c r="A54" s="4728" t="s">
        <v>5752</v>
      </c>
      <c r="B54" s="4728"/>
      <c r="C54" s="4729"/>
      <c r="D54" s="4729"/>
      <c r="E54" s="4729"/>
      <c r="F54" s="4729"/>
      <c r="G54" s="4726"/>
      <c r="H54" s="4729"/>
      <c r="I54" s="4720"/>
      <c r="P54" s="4656"/>
    </row>
    <row r="55" spans="1:32" ht="36" customHeight="1">
      <c r="A55" s="4728" t="s">
        <v>5809</v>
      </c>
      <c r="B55" s="4728"/>
    </row>
    <row r="56" spans="1:32" ht="36" customHeight="1">
      <c r="A56" s="4730" t="s">
        <v>5754</v>
      </c>
      <c r="B56" s="4730"/>
    </row>
    <row r="57" spans="1:32" ht="36" customHeight="1">
      <c r="A57" s="4728"/>
      <c r="B57" s="4728"/>
    </row>
    <row r="58" spans="1:32" ht="36" customHeight="1"/>
    <row r="59" spans="1:32" ht="36" customHeight="1"/>
    <row r="60" spans="1:32" ht="36" customHeight="1"/>
    <row r="61" spans="1:32" ht="36" customHeight="1"/>
    <row r="62" spans="1:32" ht="36" customHeight="1"/>
    <row r="63" spans="1:32" ht="36" customHeight="1"/>
    <row r="64" spans="1:32" ht="36" customHeight="1"/>
    <row r="65" ht="10.15" customHeight="1"/>
  </sheetData>
  <mergeCells count="6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O5:O6"/>
    <mergeCell ref="P5:Q5"/>
    <mergeCell ref="R5:T6"/>
    <mergeCell ref="U5:U6"/>
    <mergeCell ref="V5:X6"/>
    <mergeCell ref="Z5:Z6"/>
    <mergeCell ref="AA5:AD6"/>
    <mergeCell ref="AE5:AE6"/>
    <mergeCell ref="AF5:AF6"/>
    <mergeCell ref="R23:T23"/>
    <mergeCell ref="V23:X23"/>
    <mergeCell ref="AA23:AB23"/>
    <mergeCell ref="AC23:AD23"/>
    <mergeCell ref="Y5:Y6"/>
    <mergeCell ref="I30:I31"/>
    <mergeCell ref="A25:B25"/>
    <mergeCell ref="A26:B26"/>
    <mergeCell ref="A27:B27"/>
    <mergeCell ref="A30:A31"/>
    <mergeCell ref="B30:B31"/>
    <mergeCell ref="C30:C31"/>
    <mergeCell ref="D30:D31"/>
    <mergeCell ref="E30:E31"/>
    <mergeCell ref="F30:F31"/>
    <mergeCell ref="G30:G31"/>
    <mergeCell ref="H30:H31"/>
    <mergeCell ref="K30:K31"/>
    <mergeCell ref="L30:L31"/>
    <mergeCell ref="M30:M31"/>
    <mergeCell ref="O30:O31"/>
    <mergeCell ref="P30:Q30"/>
    <mergeCell ref="A50:B50"/>
    <mergeCell ref="A51:B51"/>
    <mergeCell ref="A52:B52"/>
    <mergeCell ref="AE30:AE31"/>
    <mergeCell ref="AF30:AF31"/>
    <mergeCell ref="R48:T48"/>
    <mergeCell ref="V48:X48"/>
    <mergeCell ref="AA48:AB48"/>
    <mergeCell ref="AC48:AD48"/>
    <mergeCell ref="R30:T31"/>
    <mergeCell ref="U30:U31"/>
    <mergeCell ref="V30:X31"/>
    <mergeCell ref="Y30:Y31"/>
    <mergeCell ref="Z30:Z31"/>
    <mergeCell ref="AA30:AD31"/>
    <mergeCell ref="J30:J31"/>
  </mergeCells>
  <phoneticPr fontId="2"/>
  <conditionalFormatting sqref="B8:C22 E8:G22">
    <cfRule type="containsBlanks" dxfId="557" priority="7">
      <formula>LEN(TRIM(B8))=0</formula>
    </cfRule>
  </conditionalFormatting>
  <conditionalFormatting sqref="B38:C47 E38:E47">
    <cfRule type="containsBlanks" dxfId="556" priority="16">
      <formula>LEN(TRIM(B38))=0</formula>
    </cfRule>
  </conditionalFormatting>
  <conditionalFormatting sqref="C2:D2">
    <cfRule type="containsBlanks" dxfId="555" priority="10">
      <formula>LEN(TRIM(C2))=0</formula>
    </cfRule>
  </conditionalFormatting>
  <conditionalFormatting sqref="D7:D22">
    <cfRule type="containsBlanks" dxfId="554" priority="6">
      <formula>LEN(TRIM(D7))=0</formula>
    </cfRule>
  </conditionalFormatting>
  <conditionalFormatting sqref="D32 D38:D47">
    <cfRule type="containsBlanks" dxfId="553" priority="15">
      <formula>LEN(TRIM(D32))=0</formula>
    </cfRule>
  </conditionalFormatting>
  <conditionalFormatting sqref="F7">
    <cfRule type="containsBlanks" dxfId="552" priority="12">
      <formula>LEN(TRIM(F7))=0</formula>
    </cfRule>
  </conditionalFormatting>
  <conditionalFormatting sqref="F32 F38:F47">
    <cfRule type="containsBlanks" dxfId="551" priority="14">
      <formula>LEN(TRIM(F32))=0</formula>
    </cfRule>
  </conditionalFormatting>
  <conditionalFormatting sqref="G38:G47">
    <cfRule type="containsBlanks" dxfId="550" priority="11">
      <formula>LEN(TRIM(G38))=0</formula>
    </cfRule>
  </conditionalFormatting>
  <conditionalFormatting sqref="H7:O22">
    <cfRule type="containsBlanks" dxfId="549" priority="5">
      <formula>LEN(TRIM(H7))=0</formula>
    </cfRule>
  </conditionalFormatting>
  <conditionalFormatting sqref="H32:O47">
    <cfRule type="containsBlanks" dxfId="548" priority="9">
      <formula>LEN(TRIM(H32))=0</formula>
    </cfRule>
  </conditionalFormatting>
  <conditionalFormatting sqref="Q7:R22">
    <cfRule type="containsBlanks" dxfId="547" priority="23">
      <formula>LEN(TRIM(Q7))=0</formula>
    </cfRule>
  </conditionalFormatting>
  <conditionalFormatting sqref="Q32:R47">
    <cfRule type="containsBlanks" dxfId="546" priority="13">
      <formula>LEN(TRIM(Q32))=0</formula>
    </cfRule>
  </conditionalFormatting>
  <conditionalFormatting sqref="T7:V22">
    <cfRule type="containsBlanks" dxfId="545" priority="21">
      <formula>LEN(TRIM(T7))=0</formula>
    </cfRule>
  </conditionalFormatting>
  <conditionalFormatting sqref="T32:V47">
    <cfRule type="containsBlanks" dxfId="544" priority="8">
      <formula>LEN(TRIM(T32))=0</formula>
    </cfRule>
  </conditionalFormatting>
  <conditionalFormatting sqref="X7:Z22">
    <cfRule type="containsBlanks" dxfId="543" priority="20">
      <formula>LEN(TRIM(X7))=0</formula>
    </cfRule>
  </conditionalFormatting>
  <conditionalFormatting sqref="X32:Z47">
    <cfRule type="containsBlanks" dxfId="542" priority="19">
      <formula>LEN(TRIM(X32))=0</formula>
    </cfRule>
  </conditionalFormatting>
  <conditionalFormatting sqref="AB7:AB22 AD7:AE22">
    <cfRule type="containsBlanks" dxfId="541" priority="22">
      <formula>LEN(TRIM(AB7))=0</formula>
    </cfRule>
  </conditionalFormatting>
  <conditionalFormatting sqref="AB32:AB47">
    <cfRule type="containsBlanks" dxfId="540" priority="18">
      <formula>LEN(TRIM(AB32))=0</formula>
    </cfRule>
  </conditionalFormatting>
  <conditionalFormatting sqref="AD32:AE47">
    <cfRule type="containsBlanks" dxfId="539" priority="17">
      <formula>LEN(TRIM(AD32))=0</formula>
    </cfRule>
  </conditionalFormatting>
  <conditionalFormatting sqref="B33:C37 E33:E37">
    <cfRule type="containsBlanks" dxfId="538" priority="4">
      <formula>LEN(TRIM(B33))=0</formula>
    </cfRule>
  </conditionalFormatting>
  <conditionalFormatting sqref="D33:D37">
    <cfRule type="containsBlanks" dxfId="537" priority="3">
      <formula>LEN(TRIM(D33))=0</formula>
    </cfRule>
  </conditionalFormatting>
  <conditionalFormatting sqref="F33:F37">
    <cfRule type="containsBlanks" dxfId="536" priority="2">
      <formula>LEN(TRIM(F33))=0</formula>
    </cfRule>
  </conditionalFormatting>
  <conditionalFormatting sqref="G33:G37">
    <cfRule type="containsBlanks" dxfId="535" priority="1">
      <formula>LEN(TRIM(G33))=0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FFC3-92F3-4ED4-A7CF-7B4D60D39A59}">
  <sheetPr codeName="Sheet346">
    <tabColor rgb="FFFFFF66"/>
    <pageSetUpPr fitToPage="1"/>
  </sheetPr>
  <dimension ref="A1:AE52"/>
  <sheetViews>
    <sheetView topLeftCell="A34" zoomScale="55" zoomScaleNormal="55" workbookViewId="0">
      <selection activeCell="O28" sqref="O28"/>
    </sheetView>
  </sheetViews>
  <sheetFormatPr defaultColWidth="9.81640625" defaultRowHeight="26.5"/>
  <cols>
    <col min="1" max="1" width="7.45312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1.8164062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tr">
        <f>'[20]別紙1-1）客室提供条件'!C2</f>
        <v>変なホテル　ラグーナテンボス</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9" si="0">F7*N7</f>
        <v>3150000</v>
      </c>
      <c r="P7" s="4755" t="s">
        <v>5782</v>
      </c>
      <c r="Q7" s="4756">
        <v>4</v>
      </c>
      <c r="R7" s="4756" t="s">
        <v>3804</v>
      </c>
      <c r="S7" s="4751" t="s">
        <v>246</v>
      </c>
      <c r="T7" s="4756" t="s">
        <v>2161</v>
      </c>
      <c r="U7" s="4757">
        <v>2000</v>
      </c>
    </row>
    <row r="8" spans="1:31" s="4666" customFormat="1" ht="33.75" customHeight="1">
      <c r="A8" s="4758">
        <v>1</v>
      </c>
      <c r="B8" s="4816">
        <v>46286</v>
      </c>
      <c r="C8" s="4816">
        <v>46299</v>
      </c>
      <c r="D8" s="4759">
        <v>0</v>
      </c>
      <c r="E8" s="4759">
        <v>1</v>
      </c>
      <c r="F8" s="4760">
        <f t="shared" ref="F8:F19" si="1">IF(OR(ISBLANK($B8), ISBLANK($C8)), 0, _xlfn.DAYS($C8, $B8) + 1)</f>
        <v>14</v>
      </c>
      <c r="G8" s="5182" t="s">
        <v>6119</v>
      </c>
      <c r="H8" s="4762">
        <v>1</v>
      </c>
      <c r="I8" s="4763" t="s">
        <v>5784</v>
      </c>
      <c r="J8" s="4762">
        <v>8.9</v>
      </c>
      <c r="K8" s="4762">
        <v>20.7</v>
      </c>
      <c r="L8" s="4762">
        <v>113.1</v>
      </c>
      <c r="M8" s="4762">
        <v>2.2999999999999998</v>
      </c>
      <c r="N8" s="4762">
        <v>400000</v>
      </c>
      <c r="O8" s="4766">
        <f t="shared" si="0"/>
        <v>5600000</v>
      </c>
      <c r="P8" s="4857" t="s">
        <v>3804</v>
      </c>
      <c r="Q8" s="4858" t="s">
        <v>6120</v>
      </c>
      <c r="R8" s="4976" t="s">
        <v>3804</v>
      </c>
      <c r="S8" s="4858" t="s">
        <v>6120</v>
      </c>
      <c r="T8" s="4859" t="s">
        <v>3804</v>
      </c>
      <c r="U8" s="4860" t="s">
        <v>6120</v>
      </c>
    </row>
    <row r="9" spans="1:31" ht="33.75" customHeight="1">
      <c r="A9" s="4758">
        <v>2</v>
      </c>
      <c r="B9" s="4816">
        <v>46300</v>
      </c>
      <c r="C9" s="4816">
        <v>46300</v>
      </c>
      <c r="D9" s="4759">
        <v>0</v>
      </c>
      <c r="E9" s="4759">
        <v>0.5</v>
      </c>
      <c r="F9" s="4760">
        <f t="shared" si="1"/>
        <v>1</v>
      </c>
      <c r="G9" s="5182" t="s">
        <v>6119</v>
      </c>
      <c r="H9" s="4762">
        <v>1</v>
      </c>
      <c r="I9" s="4763" t="s">
        <v>5784</v>
      </c>
      <c r="J9" s="4762">
        <v>8.9</v>
      </c>
      <c r="K9" s="4762">
        <v>20.7</v>
      </c>
      <c r="L9" s="4762">
        <v>113.1</v>
      </c>
      <c r="M9" s="4762">
        <v>2.2999999999999998</v>
      </c>
      <c r="N9" s="4762">
        <v>0</v>
      </c>
      <c r="O9" s="4766">
        <f t="shared" si="0"/>
        <v>0</v>
      </c>
      <c r="P9" s="4857" t="s">
        <v>3804</v>
      </c>
      <c r="Q9" s="4858" t="s">
        <v>6120</v>
      </c>
      <c r="R9" s="4976" t="s">
        <v>5815</v>
      </c>
      <c r="S9" s="4858">
        <v>0</v>
      </c>
      <c r="T9" s="4859" t="s">
        <v>3804</v>
      </c>
      <c r="U9" s="4860" t="s">
        <v>6120</v>
      </c>
      <c r="AC9" s="4657"/>
    </row>
    <row r="10" spans="1:31" ht="33.75" customHeight="1">
      <c r="A10" s="4758">
        <v>3</v>
      </c>
      <c r="B10" s="4816">
        <v>46286</v>
      </c>
      <c r="C10" s="4816">
        <v>46299</v>
      </c>
      <c r="D10" s="4759">
        <v>0</v>
      </c>
      <c r="E10" s="4759">
        <v>1</v>
      </c>
      <c r="F10" s="4770">
        <f t="shared" si="1"/>
        <v>14</v>
      </c>
      <c r="G10" s="5182" t="s">
        <v>6121</v>
      </c>
      <c r="H10" s="4762">
        <v>1</v>
      </c>
      <c r="I10" s="4763" t="s">
        <v>5784</v>
      </c>
      <c r="J10" s="4762">
        <v>8.5</v>
      </c>
      <c r="K10" s="4762">
        <v>9.5</v>
      </c>
      <c r="L10" s="4762">
        <v>75.2</v>
      </c>
      <c r="M10" s="4762">
        <v>2.2999999999999998</v>
      </c>
      <c r="N10" s="4762">
        <v>200000</v>
      </c>
      <c r="O10" s="4766">
        <f t="shared" si="0"/>
        <v>2800000</v>
      </c>
      <c r="P10" s="4857" t="s">
        <v>3804</v>
      </c>
      <c r="Q10" s="4858" t="s">
        <v>6120</v>
      </c>
      <c r="R10" s="4976" t="s">
        <v>5815</v>
      </c>
      <c r="S10" s="4858">
        <v>0</v>
      </c>
      <c r="T10" s="4859" t="s">
        <v>3804</v>
      </c>
      <c r="U10" s="4860" t="s">
        <v>6120</v>
      </c>
      <c r="AC10" s="4657"/>
    </row>
    <row r="11" spans="1:31" ht="33.75" customHeight="1">
      <c r="A11" s="4758">
        <v>4</v>
      </c>
      <c r="B11" s="4816">
        <v>46300</v>
      </c>
      <c r="C11" s="4816">
        <v>46300</v>
      </c>
      <c r="D11" s="4759">
        <v>0</v>
      </c>
      <c r="E11" s="4759">
        <v>0.5</v>
      </c>
      <c r="F11" s="4760">
        <f t="shared" si="1"/>
        <v>1</v>
      </c>
      <c r="G11" s="5182" t="s">
        <v>6121</v>
      </c>
      <c r="H11" s="4762">
        <v>1</v>
      </c>
      <c r="I11" s="4763" t="s">
        <v>5784</v>
      </c>
      <c r="J11" s="4762">
        <v>8.5</v>
      </c>
      <c r="K11" s="4762">
        <v>9.5</v>
      </c>
      <c r="L11" s="4762">
        <v>75.2</v>
      </c>
      <c r="M11" s="4762">
        <v>2.2999999999999998</v>
      </c>
      <c r="N11" s="4762">
        <v>0</v>
      </c>
      <c r="O11" s="4766">
        <f t="shared" si="0"/>
        <v>0</v>
      </c>
      <c r="P11" s="4857" t="s">
        <v>3804</v>
      </c>
      <c r="Q11" s="4858" t="s">
        <v>6120</v>
      </c>
      <c r="R11" s="4976" t="s">
        <v>5815</v>
      </c>
      <c r="S11" s="4858">
        <v>0</v>
      </c>
      <c r="T11" s="4859" t="s">
        <v>3804</v>
      </c>
      <c r="U11" s="4860" t="s">
        <v>6120</v>
      </c>
      <c r="AC11" s="4657"/>
    </row>
    <row r="12" spans="1:31" ht="33.75" customHeight="1">
      <c r="A12" s="4758">
        <v>5</v>
      </c>
      <c r="B12" s="4816">
        <v>46286</v>
      </c>
      <c r="C12" s="4816">
        <v>46299</v>
      </c>
      <c r="D12" s="4759">
        <v>0</v>
      </c>
      <c r="E12" s="4759">
        <v>1</v>
      </c>
      <c r="F12" s="4760">
        <f t="shared" si="1"/>
        <v>14</v>
      </c>
      <c r="G12" s="5182" t="s">
        <v>6122</v>
      </c>
      <c r="H12" s="4762">
        <v>2</v>
      </c>
      <c r="I12" s="4763" t="s">
        <v>5784</v>
      </c>
      <c r="J12" s="4762">
        <v>4.2</v>
      </c>
      <c r="K12" s="4762">
        <v>8.8000000000000007</v>
      </c>
      <c r="L12" s="4762">
        <v>37.200000000000003</v>
      </c>
      <c r="M12" s="4762">
        <v>2.4</v>
      </c>
      <c r="N12" s="4762">
        <v>100000</v>
      </c>
      <c r="O12" s="4766">
        <f t="shared" si="0"/>
        <v>1400000</v>
      </c>
      <c r="P12" s="4857" t="s">
        <v>3804</v>
      </c>
      <c r="Q12" s="4858" t="s">
        <v>6120</v>
      </c>
      <c r="R12" s="4976" t="s">
        <v>5815</v>
      </c>
      <c r="S12" s="4858">
        <v>0</v>
      </c>
      <c r="T12" s="4859" t="s">
        <v>3804</v>
      </c>
      <c r="U12" s="4860" t="s">
        <v>6120</v>
      </c>
      <c r="AC12" s="4657"/>
    </row>
    <row r="13" spans="1:31" ht="33.75" customHeight="1">
      <c r="A13" s="4758">
        <v>6</v>
      </c>
      <c r="B13" s="4816">
        <v>46300</v>
      </c>
      <c r="C13" s="4816">
        <v>46300</v>
      </c>
      <c r="D13" s="4759">
        <v>0</v>
      </c>
      <c r="E13" s="4759">
        <v>0.5</v>
      </c>
      <c r="F13" s="4760">
        <f t="shared" si="1"/>
        <v>1</v>
      </c>
      <c r="G13" s="5182" t="s">
        <v>6122</v>
      </c>
      <c r="H13" s="4762">
        <v>2</v>
      </c>
      <c r="I13" s="4763" t="s">
        <v>5784</v>
      </c>
      <c r="J13" s="4762">
        <v>4.2</v>
      </c>
      <c r="K13" s="4762">
        <v>8.8000000000000007</v>
      </c>
      <c r="L13" s="4762">
        <v>37.200000000000003</v>
      </c>
      <c r="M13" s="4762">
        <v>2.4</v>
      </c>
      <c r="N13" s="4762">
        <v>0</v>
      </c>
      <c r="O13" s="4766">
        <f t="shared" si="0"/>
        <v>0</v>
      </c>
      <c r="P13" s="4857" t="s">
        <v>3804</v>
      </c>
      <c r="Q13" s="4858" t="s">
        <v>6120</v>
      </c>
      <c r="R13" s="4976" t="s">
        <v>5815</v>
      </c>
      <c r="S13" s="4858">
        <v>0</v>
      </c>
      <c r="T13" s="4859" t="s">
        <v>3804</v>
      </c>
      <c r="U13" s="4860" t="s">
        <v>6120</v>
      </c>
      <c r="AC13" s="4657"/>
    </row>
    <row r="14" spans="1:31" ht="33.75" customHeight="1">
      <c r="A14" s="4758">
        <v>7</v>
      </c>
      <c r="B14" s="4816">
        <v>46286</v>
      </c>
      <c r="C14" s="4816">
        <v>46299</v>
      </c>
      <c r="D14" s="4759">
        <v>0</v>
      </c>
      <c r="E14" s="4759">
        <v>1</v>
      </c>
      <c r="F14" s="4760">
        <f t="shared" si="1"/>
        <v>14</v>
      </c>
      <c r="G14" s="5350" t="s">
        <v>6123</v>
      </c>
      <c r="H14" s="4762">
        <v>2</v>
      </c>
      <c r="I14" s="4763" t="s">
        <v>5784</v>
      </c>
      <c r="J14" s="4762">
        <v>3.4</v>
      </c>
      <c r="K14" s="4762">
        <v>3.6</v>
      </c>
      <c r="L14" s="4762">
        <v>12.3</v>
      </c>
      <c r="M14" s="4762">
        <v>2.4</v>
      </c>
      <c r="N14" s="4762">
        <v>40000</v>
      </c>
      <c r="O14" s="4766">
        <f t="shared" si="0"/>
        <v>560000</v>
      </c>
      <c r="P14" s="4857" t="s">
        <v>3804</v>
      </c>
      <c r="Q14" s="4858" t="s">
        <v>6120</v>
      </c>
      <c r="R14" s="4976" t="s">
        <v>5815</v>
      </c>
      <c r="S14" s="4858">
        <v>0</v>
      </c>
      <c r="T14" s="4859" t="s">
        <v>3804</v>
      </c>
      <c r="U14" s="4860" t="s">
        <v>6120</v>
      </c>
      <c r="AC14" s="4657"/>
    </row>
    <row r="15" spans="1:31" ht="33.75" customHeight="1">
      <c r="A15" s="4758">
        <v>8</v>
      </c>
      <c r="B15" s="4816">
        <v>46300</v>
      </c>
      <c r="C15" s="4816">
        <v>46300</v>
      </c>
      <c r="D15" s="4759">
        <v>0</v>
      </c>
      <c r="E15" s="4759">
        <v>0.5</v>
      </c>
      <c r="F15" s="4760">
        <f t="shared" si="1"/>
        <v>1</v>
      </c>
      <c r="G15" s="5350" t="s">
        <v>6123</v>
      </c>
      <c r="H15" s="4762">
        <v>2</v>
      </c>
      <c r="I15" s="4763" t="s">
        <v>5784</v>
      </c>
      <c r="J15" s="4762">
        <v>3.4</v>
      </c>
      <c r="K15" s="4762">
        <v>3.6</v>
      </c>
      <c r="L15" s="4762">
        <v>12.3</v>
      </c>
      <c r="M15" s="4762">
        <v>2.4</v>
      </c>
      <c r="N15" s="4762">
        <v>0</v>
      </c>
      <c r="O15" s="4766">
        <f t="shared" si="0"/>
        <v>0</v>
      </c>
      <c r="P15" s="4857" t="s">
        <v>3804</v>
      </c>
      <c r="Q15" s="4858" t="s">
        <v>6120</v>
      </c>
      <c r="R15" s="4976" t="s">
        <v>5815</v>
      </c>
      <c r="S15" s="4858">
        <v>0</v>
      </c>
      <c r="T15" s="4859" t="s">
        <v>3804</v>
      </c>
      <c r="U15" s="4860" t="s">
        <v>6120</v>
      </c>
      <c r="AC15" s="4657"/>
    </row>
    <row r="16" spans="1:31" ht="33.75" customHeight="1">
      <c r="A16" s="4758">
        <v>9</v>
      </c>
      <c r="B16" s="4816">
        <v>46286</v>
      </c>
      <c r="C16" s="4816">
        <v>46299</v>
      </c>
      <c r="D16" s="4759">
        <v>0</v>
      </c>
      <c r="E16" s="4759">
        <v>1</v>
      </c>
      <c r="F16" s="4760">
        <f t="shared" si="1"/>
        <v>14</v>
      </c>
      <c r="G16" s="5350" t="s">
        <v>6124</v>
      </c>
      <c r="H16" s="4762">
        <v>2</v>
      </c>
      <c r="I16" s="4763" t="s">
        <v>5784</v>
      </c>
      <c r="J16" s="4762">
        <v>3.4</v>
      </c>
      <c r="K16" s="4762">
        <v>3.6</v>
      </c>
      <c r="L16" s="4762">
        <v>12.3</v>
      </c>
      <c r="M16" s="4762">
        <v>2.4</v>
      </c>
      <c r="N16" s="4762">
        <v>40000</v>
      </c>
      <c r="O16" s="4766">
        <f t="shared" si="0"/>
        <v>560000</v>
      </c>
      <c r="P16" s="4857" t="s">
        <v>3804</v>
      </c>
      <c r="Q16" s="4858" t="s">
        <v>6120</v>
      </c>
      <c r="R16" s="4976" t="s">
        <v>5815</v>
      </c>
      <c r="S16" s="4858">
        <v>0</v>
      </c>
      <c r="T16" s="4859" t="s">
        <v>3804</v>
      </c>
      <c r="U16" s="4860" t="s">
        <v>6120</v>
      </c>
      <c r="AC16" s="4657"/>
    </row>
    <row r="17" spans="1:29" ht="33.75" customHeight="1">
      <c r="A17" s="4758">
        <v>10</v>
      </c>
      <c r="B17" s="4816">
        <v>46300</v>
      </c>
      <c r="C17" s="4816">
        <v>46300</v>
      </c>
      <c r="D17" s="4759">
        <v>0</v>
      </c>
      <c r="E17" s="4759">
        <v>0.5</v>
      </c>
      <c r="F17" s="4760">
        <f t="shared" si="1"/>
        <v>1</v>
      </c>
      <c r="G17" s="5350" t="s">
        <v>6124</v>
      </c>
      <c r="H17" s="4762">
        <v>2</v>
      </c>
      <c r="I17" s="4763" t="s">
        <v>5784</v>
      </c>
      <c r="J17" s="4762">
        <v>3.4</v>
      </c>
      <c r="K17" s="4762">
        <v>3.6</v>
      </c>
      <c r="L17" s="4762">
        <v>12.3</v>
      </c>
      <c r="M17" s="4762">
        <v>2.4</v>
      </c>
      <c r="N17" s="4762">
        <v>0</v>
      </c>
      <c r="O17" s="4766">
        <f t="shared" si="0"/>
        <v>0</v>
      </c>
      <c r="P17" s="4857" t="s">
        <v>3804</v>
      </c>
      <c r="Q17" s="4858" t="s">
        <v>6120</v>
      </c>
      <c r="R17" s="4976" t="s">
        <v>5815</v>
      </c>
      <c r="S17" s="4858">
        <v>0</v>
      </c>
      <c r="T17" s="4859" t="s">
        <v>3804</v>
      </c>
      <c r="U17" s="4860" t="s">
        <v>6120</v>
      </c>
      <c r="AC17" s="4657"/>
    </row>
    <row r="18" spans="1:29" ht="33.75" customHeight="1">
      <c r="A18" s="4758">
        <v>11</v>
      </c>
      <c r="B18" s="4816">
        <v>46286</v>
      </c>
      <c r="C18" s="4816">
        <v>46299</v>
      </c>
      <c r="D18" s="4759">
        <v>0</v>
      </c>
      <c r="E18" s="4759">
        <v>1</v>
      </c>
      <c r="F18" s="4770">
        <f t="shared" si="1"/>
        <v>14</v>
      </c>
      <c r="G18" s="4950" t="s">
        <v>6125</v>
      </c>
      <c r="H18" s="4762">
        <v>2</v>
      </c>
      <c r="I18" s="4763" t="s">
        <v>5784</v>
      </c>
      <c r="J18" s="4764">
        <v>2.8</v>
      </c>
      <c r="K18" s="4765">
        <v>3.2</v>
      </c>
      <c r="L18" s="4765">
        <v>9</v>
      </c>
      <c r="M18" s="4765">
        <v>2.4</v>
      </c>
      <c r="N18" s="4762">
        <v>40000</v>
      </c>
      <c r="O18" s="4766">
        <f t="shared" si="0"/>
        <v>560000</v>
      </c>
      <c r="P18" s="4857" t="s">
        <v>3804</v>
      </c>
      <c r="Q18" s="4858" t="s">
        <v>6120</v>
      </c>
      <c r="R18" s="4976" t="s">
        <v>5815</v>
      </c>
      <c r="S18" s="4858">
        <v>0</v>
      </c>
      <c r="T18" s="4859" t="s">
        <v>3804</v>
      </c>
      <c r="U18" s="4860" t="s">
        <v>6120</v>
      </c>
      <c r="AC18" s="4657"/>
    </row>
    <row r="19" spans="1:29" ht="33.75" customHeight="1" thickBot="1">
      <c r="A19" s="4758">
        <v>12</v>
      </c>
      <c r="B19" s="4816">
        <v>46300</v>
      </c>
      <c r="C19" s="4816">
        <v>46300</v>
      </c>
      <c r="D19" s="4759">
        <v>0</v>
      </c>
      <c r="E19" s="4759">
        <v>0.5</v>
      </c>
      <c r="F19" s="4770">
        <f t="shared" si="1"/>
        <v>1</v>
      </c>
      <c r="G19" s="4950" t="s">
        <v>6125</v>
      </c>
      <c r="H19" s="4762">
        <v>2</v>
      </c>
      <c r="I19" s="4763" t="s">
        <v>5784</v>
      </c>
      <c r="J19" s="4764">
        <v>2.8</v>
      </c>
      <c r="K19" s="4765">
        <v>3.2</v>
      </c>
      <c r="L19" s="4765">
        <v>9</v>
      </c>
      <c r="M19" s="4765">
        <v>2.4</v>
      </c>
      <c r="N19" s="5351">
        <v>0</v>
      </c>
      <c r="O19" s="4766">
        <f t="shared" si="0"/>
        <v>0</v>
      </c>
      <c r="P19" s="4857" t="s">
        <v>3804</v>
      </c>
      <c r="Q19" s="4858" t="s">
        <v>6120</v>
      </c>
      <c r="R19" s="4976" t="s">
        <v>5815</v>
      </c>
      <c r="S19" s="4858">
        <v>0</v>
      </c>
      <c r="T19" s="4859" t="s">
        <v>3804</v>
      </c>
      <c r="U19" s="4860" t="s">
        <v>6120</v>
      </c>
      <c r="AC19" s="4657"/>
    </row>
    <row r="20" spans="1:29" ht="33.75" customHeight="1" thickTop="1" thickBot="1">
      <c r="A20" s="4865" t="s">
        <v>127</v>
      </c>
      <c r="B20" s="4866"/>
      <c r="C20" s="4866"/>
      <c r="D20" s="4866"/>
      <c r="E20" s="4866"/>
      <c r="F20" s="4867">
        <f>SUM(F8:F18)</f>
        <v>89</v>
      </c>
      <c r="G20" s="4866"/>
      <c r="H20" s="4868"/>
      <c r="I20" s="4782">
        <f>COUNTA(G8,G10,G12,G14,G16,G18)</f>
        <v>6</v>
      </c>
      <c r="J20" s="4869"/>
      <c r="K20" s="4870"/>
      <c r="L20" s="4870"/>
      <c r="M20" s="4870"/>
      <c r="N20" s="5062"/>
      <c r="O20" s="4871">
        <f>SUM(O8:O18)</f>
        <v>11480000</v>
      </c>
      <c r="P20" s="4872"/>
      <c r="Q20" s="4872"/>
      <c r="R20" s="4873"/>
      <c r="S20" s="4874"/>
      <c r="T20" s="4873"/>
      <c r="U20" s="4875"/>
      <c r="AC20" s="4657"/>
    </row>
    <row r="21" spans="1:29" ht="33.75" customHeight="1">
      <c r="A21" s="4656"/>
      <c r="B21" s="4660"/>
      <c r="C21" s="4660"/>
      <c r="D21" s="4660"/>
      <c r="G21" s="4660"/>
      <c r="H21" s="4660"/>
      <c r="N21" s="4656" t="s">
        <v>6126</v>
      </c>
      <c r="O21" s="5352">
        <f>O20*1.1</f>
        <v>12628000.000000002</v>
      </c>
      <c r="P21" s="4657"/>
      <c r="Q21" s="4657"/>
      <c r="AC21" s="4657"/>
    </row>
    <row r="22" spans="1:29" ht="33.75" customHeight="1">
      <c r="A22" s="4656"/>
      <c r="B22" s="4660"/>
      <c r="C22" s="4660"/>
      <c r="D22" s="4660"/>
      <c r="G22" s="4660"/>
      <c r="H22" s="4660"/>
      <c r="M22" s="4808" t="s">
        <v>5748</v>
      </c>
      <c r="N22" s="4809">
        <f>SUM(N8,N10,N12,N14,N16,N18)</f>
        <v>820000</v>
      </c>
      <c r="O22" s="5352"/>
      <c r="P22" s="4657"/>
      <c r="Q22" s="4657"/>
      <c r="AC22" s="4657"/>
    </row>
    <row r="23" spans="1:29" ht="33.75" customHeight="1">
      <c r="A23" s="4656"/>
      <c r="B23" s="4660"/>
      <c r="C23" s="4660"/>
      <c r="D23" s="4660"/>
      <c r="G23" s="4660"/>
      <c r="H23" s="4660"/>
      <c r="M23" s="4808" t="s">
        <v>5750</v>
      </c>
      <c r="N23" s="4809">
        <f>N22*1.1</f>
        <v>902000.00000000012</v>
      </c>
      <c r="O23" s="5352"/>
      <c r="P23" s="4657"/>
      <c r="Q23" s="4657"/>
      <c r="AC23" s="4657"/>
    </row>
    <row r="24" spans="1:29" ht="33.75" customHeight="1" thickBot="1">
      <c r="A24" s="4737" t="s">
        <v>5836</v>
      </c>
      <c r="B24" s="4657"/>
      <c r="C24" s="4657"/>
      <c r="D24" s="4657"/>
      <c r="G24" s="4657"/>
      <c r="H24" s="4657"/>
      <c r="O24" s="4656"/>
      <c r="P24" s="4656"/>
      <c r="Q24" s="4657"/>
      <c r="AC24" s="4657"/>
    </row>
    <row r="25" spans="1:29" s="4738" customFormat="1" ht="33.75" customHeight="1">
      <c r="A25" s="6893" t="s">
        <v>5713</v>
      </c>
      <c r="B25" s="6882" t="s">
        <v>5757</v>
      </c>
      <c r="C25" s="6882" t="s">
        <v>5758</v>
      </c>
      <c r="D25" s="6882" t="s">
        <v>5759</v>
      </c>
      <c r="E25" s="6882" t="s">
        <v>5760</v>
      </c>
      <c r="F25" s="6895" t="s">
        <v>5761</v>
      </c>
      <c r="G25" s="6882" t="s">
        <v>5762</v>
      </c>
      <c r="H25" s="6897" t="s">
        <v>5763</v>
      </c>
      <c r="I25" s="6882" t="s">
        <v>5764</v>
      </c>
      <c r="J25" s="6895" t="s">
        <v>5765</v>
      </c>
      <c r="K25" s="6888" t="s">
        <v>5766</v>
      </c>
      <c r="L25" s="6888" t="s">
        <v>5767</v>
      </c>
      <c r="M25" s="6888" t="s">
        <v>5768</v>
      </c>
      <c r="N25" s="6882" t="s">
        <v>5811</v>
      </c>
      <c r="O25" s="6884" t="s">
        <v>5812</v>
      </c>
      <c r="P25" s="6886" t="s">
        <v>5771</v>
      </c>
      <c r="Q25" s="6887"/>
      <c r="R25" s="6888" t="s">
        <v>5772</v>
      </c>
      <c r="S25" s="6889"/>
      <c r="T25" s="6889"/>
      <c r="U25" s="6890"/>
    </row>
    <row r="26" spans="1:29" s="4738" customFormat="1" ht="33.75" customHeight="1" thickBot="1">
      <c r="A26" s="6894"/>
      <c r="B26" s="6883"/>
      <c r="C26" s="6883"/>
      <c r="D26" s="6883"/>
      <c r="E26" s="6883"/>
      <c r="F26" s="6896"/>
      <c r="G26" s="6883"/>
      <c r="H26" s="6898"/>
      <c r="I26" s="6883"/>
      <c r="J26" s="6896"/>
      <c r="K26" s="6892"/>
      <c r="L26" s="6892"/>
      <c r="M26" s="6892"/>
      <c r="N26" s="6883"/>
      <c r="O26" s="6885"/>
      <c r="P26" s="4739" t="s">
        <v>5773</v>
      </c>
      <c r="Q26" s="4740" t="s">
        <v>5774</v>
      </c>
      <c r="R26" s="4740" t="s">
        <v>5775</v>
      </c>
      <c r="S26" s="4741" t="s">
        <v>5776</v>
      </c>
      <c r="T26" s="4740" t="s">
        <v>5777</v>
      </c>
      <c r="U26" s="4742" t="s">
        <v>5778</v>
      </c>
    </row>
    <row r="27" spans="1:29" s="4666" customFormat="1" ht="33.75" customHeight="1">
      <c r="A27" s="4743" t="s">
        <v>5779</v>
      </c>
      <c r="B27" s="4744">
        <v>46280</v>
      </c>
      <c r="C27" s="4744">
        <v>46300</v>
      </c>
      <c r="D27" s="4745">
        <v>0.3125</v>
      </c>
      <c r="E27" s="4746">
        <v>0.89583333333333337</v>
      </c>
      <c r="F27" s="4747">
        <f>IF(OR(ISBLANK($B27), ISBLANK($C27)), 0, _xlfn.DAYS($C27, $B27) + 1)</f>
        <v>21</v>
      </c>
      <c r="G27" s="4890" t="s">
        <v>5780</v>
      </c>
      <c r="H27" s="4891">
        <v>3</v>
      </c>
      <c r="I27" s="4892" t="s">
        <v>5781</v>
      </c>
      <c r="J27" s="4893">
        <v>30</v>
      </c>
      <c r="K27" s="4894">
        <v>100</v>
      </c>
      <c r="L27" s="4894">
        <f>J27*K27</f>
        <v>3000</v>
      </c>
      <c r="M27" s="4895">
        <v>5</v>
      </c>
      <c r="N27" s="4896">
        <v>150000</v>
      </c>
      <c r="O27" s="4754">
        <f t="shared" ref="O27:O37" si="2">F27*N27</f>
        <v>3150000</v>
      </c>
      <c r="P27" s="4897" t="s">
        <v>5782</v>
      </c>
      <c r="Q27" s="4898">
        <v>4</v>
      </c>
      <c r="R27" s="4898" t="s">
        <v>3804</v>
      </c>
      <c r="S27" s="4894" t="s">
        <v>246</v>
      </c>
      <c r="T27" s="4898" t="s">
        <v>2161</v>
      </c>
      <c r="U27" s="4899">
        <v>2000</v>
      </c>
    </row>
    <row r="28" spans="1:29" s="4666" customFormat="1" ht="33.75" customHeight="1">
      <c r="A28" s="4758">
        <v>1</v>
      </c>
      <c r="B28" s="5353">
        <v>46304</v>
      </c>
      <c r="C28" s="5353">
        <v>46321</v>
      </c>
      <c r="D28" s="5896">
        <v>0</v>
      </c>
      <c r="E28" s="5354">
        <v>1</v>
      </c>
      <c r="F28" s="5608">
        <f>IF(OR(ISBLANK($B28), ISBLANK($C28)), 0, _xlfn.DAYS($C28, $B28) + 1)</f>
        <v>18</v>
      </c>
      <c r="G28" s="5355" t="s">
        <v>6121</v>
      </c>
      <c r="H28" s="4762">
        <v>1</v>
      </c>
      <c r="I28" s="4763" t="s">
        <v>5784</v>
      </c>
      <c r="J28" s="4902">
        <v>8.5</v>
      </c>
      <c r="K28" s="4765">
        <v>9.5</v>
      </c>
      <c r="L28" s="4765">
        <v>75.2</v>
      </c>
      <c r="M28" s="4765">
        <v>2.2999999999999998</v>
      </c>
      <c r="N28" s="4762">
        <v>200000</v>
      </c>
      <c r="O28" s="4766">
        <f t="shared" ref="O28:O31" si="3">F28*N28</f>
        <v>3600000</v>
      </c>
      <c r="P28" s="4857"/>
      <c r="Q28" s="4858"/>
      <c r="R28" s="4859"/>
      <c r="S28" s="4858"/>
      <c r="T28" s="4859"/>
      <c r="U28" s="4860"/>
    </row>
    <row r="29" spans="1:29" ht="33.75" customHeight="1">
      <c r="A29" s="4758">
        <v>2</v>
      </c>
      <c r="B29" s="5353">
        <v>46322</v>
      </c>
      <c r="C29" s="5353">
        <v>46322</v>
      </c>
      <c r="D29" s="5896">
        <v>0</v>
      </c>
      <c r="E29" s="5354">
        <v>0.5</v>
      </c>
      <c r="F29" s="5608">
        <v>1</v>
      </c>
      <c r="G29" s="5355" t="s">
        <v>6121</v>
      </c>
      <c r="H29" s="4762">
        <v>1</v>
      </c>
      <c r="I29" s="4763" t="s">
        <v>5784</v>
      </c>
      <c r="J29" s="4902">
        <v>8.5</v>
      </c>
      <c r="K29" s="4765">
        <v>9.5</v>
      </c>
      <c r="L29" s="4765">
        <v>75.2</v>
      </c>
      <c r="M29" s="4765">
        <v>2.2999999999999998</v>
      </c>
      <c r="N29" s="4762">
        <v>0</v>
      </c>
      <c r="O29" s="4766">
        <v>0</v>
      </c>
      <c r="P29" s="4857"/>
      <c r="Q29" s="4858"/>
      <c r="R29" s="4859"/>
      <c r="S29" s="4858"/>
      <c r="T29" s="4859"/>
      <c r="U29" s="4860"/>
      <c r="AC29" s="4657"/>
    </row>
    <row r="30" spans="1:29" ht="33.75" customHeight="1">
      <c r="A30" s="4758">
        <v>3</v>
      </c>
      <c r="B30" s="5897">
        <v>46304</v>
      </c>
      <c r="C30" s="5897">
        <v>46321</v>
      </c>
      <c r="D30" s="5898">
        <v>0</v>
      </c>
      <c r="E30" s="5898">
        <v>1</v>
      </c>
      <c r="F30" s="5899">
        <f>IF(OR(ISBLANK($B30), ISBLANK($C30)), 0, _xlfn.DAYS($C30, $B30) + 1)</f>
        <v>18</v>
      </c>
      <c r="G30" s="5906" t="s">
        <v>6119</v>
      </c>
      <c r="H30" s="5900">
        <v>1</v>
      </c>
      <c r="I30" s="5901" t="s">
        <v>5784</v>
      </c>
      <c r="J30" s="5902">
        <v>8.9</v>
      </c>
      <c r="K30" s="5903">
        <v>20.7</v>
      </c>
      <c r="L30" s="5903">
        <v>113.1</v>
      </c>
      <c r="M30" s="5904">
        <v>2.2999999999999998</v>
      </c>
      <c r="N30" s="5900">
        <v>400000</v>
      </c>
      <c r="O30" s="5905">
        <f t="shared" si="3"/>
        <v>7200000</v>
      </c>
      <c r="P30" s="4857"/>
      <c r="Q30" s="4858"/>
      <c r="R30" s="4859"/>
      <c r="S30" s="4858"/>
      <c r="T30" s="4859"/>
      <c r="U30" s="4860"/>
      <c r="AC30" s="4657"/>
    </row>
    <row r="31" spans="1:29" ht="33.75" customHeight="1">
      <c r="A31" s="4758">
        <v>4</v>
      </c>
      <c r="B31" s="5897">
        <v>46322</v>
      </c>
      <c r="C31" s="5897">
        <v>46322</v>
      </c>
      <c r="D31" s="5898">
        <v>0</v>
      </c>
      <c r="E31" s="5898">
        <v>0.5</v>
      </c>
      <c r="F31" s="5899">
        <f t="shared" ref="F31" si="4">IF(OR(ISBLANK($B31), ISBLANK($C31)), 0, _xlfn.DAYS($C31, $B31) + 1)</f>
        <v>1</v>
      </c>
      <c r="G31" s="5906" t="s">
        <v>6119</v>
      </c>
      <c r="H31" s="5900">
        <v>1</v>
      </c>
      <c r="I31" s="5901" t="s">
        <v>5784</v>
      </c>
      <c r="J31" s="5902">
        <v>8.9</v>
      </c>
      <c r="K31" s="5903">
        <v>20.7</v>
      </c>
      <c r="L31" s="5903">
        <v>113.1</v>
      </c>
      <c r="M31" s="5904">
        <v>2.2999999999999998</v>
      </c>
      <c r="N31" s="5900">
        <v>0</v>
      </c>
      <c r="O31" s="5905">
        <f t="shared" si="3"/>
        <v>0</v>
      </c>
      <c r="P31" s="4857"/>
      <c r="Q31" s="4858"/>
      <c r="R31" s="4859"/>
      <c r="S31" s="4858"/>
      <c r="T31" s="4859"/>
      <c r="U31" s="4860"/>
      <c r="AC31" s="4657"/>
    </row>
    <row r="32" spans="1:29" ht="33.75" customHeight="1">
      <c r="A32" s="4758">
        <v>5</v>
      </c>
      <c r="B32" s="4900"/>
      <c r="C32" s="4900"/>
      <c r="D32" s="4913"/>
      <c r="E32" s="4759"/>
      <c r="F32" s="4760"/>
      <c r="G32" s="4771"/>
      <c r="H32" s="4762"/>
      <c r="I32" s="4763"/>
      <c r="J32" s="4902"/>
      <c r="K32" s="4765"/>
      <c r="L32" s="4765"/>
      <c r="M32" s="4765"/>
      <c r="N32" s="4762"/>
      <c r="O32" s="4766">
        <f t="shared" si="2"/>
        <v>0</v>
      </c>
      <c r="P32" s="4857"/>
      <c r="Q32" s="4858"/>
      <c r="R32" s="4859"/>
      <c r="S32" s="4858"/>
      <c r="T32" s="4859"/>
      <c r="U32" s="4860"/>
      <c r="AC32" s="4657"/>
    </row>
    <row r="33" spans="1:31" ht="33.75" customHeight="1">
      <c r="A33" s="4758">
        <v>6</v>
      </c>
      <c r="B33" s="4950"/>
      <c r="C33" s="4950"/>
      <c r="D33" s="4951"/>
      <c r="E33" s="4759"/>
      <c r="F33" s="4760">
        <f t="shared" ref="F33:F37" si="5">IF(OR(ISBLANK($B33), ISBLANK($C33)), 0, _xlfn.DAYS($C33, $B33) + 1)</f>
        <v>0</v>
      </c>
      <c r="G33" s="4950"/>
      <c r="H33" s="4952"/>
      <c r="I33" s="4763"/>
      <c r="J33" s="4902"/>
      <c r="K33" s="4765"/>
      <c r="L33" s="4765"/>
      <c r="M33" s="4765"/>
      <c r="N33" s="4762"/>
      <c r="O33" s="4766">
        <f t="shared" si="2"/>
        <v>0</v>
      </c>
      <c r="P33" s="4857"/>
      <c r="Q33" s="4858"/>
      <c r="R33" s="4859"/>
      <c r="S33" s="4858"/>
      <c r="T33" s="4859"/>
      <c r="U33" s="4860"/>
      <c r="AC33" s="4657"/>
    </row>
    <row r="34" spans="1:31" ht="33.75" customHeight="1">
      <c r="A34" s="4758">
        <v>7</v>
      </c>
      <c r="B34" s="4950"/>
      <c r="C34" s="4950"/>
      <c r="D34" s="4951"/>
      <c r="E34" s="4759"/>
      <c r="F34" s="4760">
        <f t="shared" si="5"/>
        <v>0</v>
      </c>
      <c r="G34" s="4950"/>
      <c r="H34" s="4952"/>
      <c r="I34" s="4763"/>
      <c r="J34" s="4902"/>
      <c r="K34" s="4765"/>
      <c r="L34" s="4765"/>
      <c r="M34" s="4765"/>
      <c r="N34" s="4762"/>
      <c r="O34" s="4766">
        <f t="shared" si="2"/>
        <v>0</v>
      </c>
      <c r="P34" s="4857"/>
      <c r="Q34" s="4858"/>
      <c r="R34" s="4859"/>
      <c r="S34" s="4858"/>
      <c r="T34" s="4859"/>
      <c r="U34" s="4860"/>
      <c r="AC34" s="4657"/>
    </row>
    <row r="35" spans="1:31" ht="33.75" customHeight="1">
      <c r="A35" s="4758">
        <v>8</v>
      </c>
      <c r="B35" s="4950"/>
      <c r="C35" s="4950"/>
      <c r="D35" s="4951"/>
      <c r="E35" s="4759"/>
      <c r="F35" s="4760">
        <f t="shared" si="5"/>
        <v>0</v>
      </c>
      <c r="G35" s="4950"/>
      <c r="H35" s="4952"/>
      <c r="I35" s="4763"/>
      <c r="J35" s="4902"/>
      <c r="K35" s="4765"/>
      <c r="L35" s="4765"/>
      <c r="M35" s="4765"/>
      <c r="N35" s="4762"/>
      <c r="O35" s="4766">
        <f t="shared" si="2"/>
        <v>0</v>
      </c>
      <c r="P35" s="4857"/>
      <c r="Q35" s="4858"/>
      <c r="R35" s="4859"/>
      <c r="S35" s="4858"/>
      <c r="T35" s="4859"/>
      <c r="U35" s="4860"/>
      <c r="AC35" s="4657"/>
    </row>
    <row r="36" spans="1:31" ht="33.75" customHeight="1">
      <c r="A36" s="4758">
        <v>9</v>
      </c>
      <c r="B36" s="4950"/>
      <c r="C36" s="4950"/>
      <c r="D36" s="4951"/>
      <c r="E36" s="4759"/>
      <c r="F36" s="4760">
        <f t="shared" si="5"/>
        <v>0</v>
      </c>
      <c r="G36" s="4950"/>
      <c r="H36" s="4952"/>
      <c r="I36" s="4763"/>
      <c r="J36" s="4902"/>
      <c r="K36" s="4765"/>
      <c r="L36" s="4765"/>
      <c r="M36" s="4765"/>
      <c r="N36" s="4762"/>
      <c r="O36" s="4766">
        <f t="shared" si="2"/>
        <v>0</v>
      </c>
      <c r="P36" s="4857"/>
      <c r="Q36" s="4858"/>
      <c r="R36" s="4859"/>
      <c r="S36" s="4858"/>
      <c r="T36" s="4859"/>
      <c r="U36" s="4860"/>
      <c r="AC36" s="4657"/>
    </row>
    <row r="37" spans="1:31" ht="33.75" customHeight="1" thickBot="1">
      <c r="A37" s="4772">
        <v>10</v>
      </c>
      <c r="B37" s="4953"/>
      <c r="C37" s="4953"/>
      <c r="D37" s="4954"/>
      <c r="E37" s="4915"/>
      <c r="F37" s="4770">
        <f t="shared" si="5"/>
        <v>0</v>
      </c>
      <c r="G37" s="4953"/>
      <c r="H37" s="4955"/>
      <c r="I37" s="4774"/>
      <c r="J37" s="4902"/>
      <c r="K37" s="4765"/>
      <c r="L37" s="4765"/>
      <c r="M37" s="4765"/>
      <c r="N37" s="4775"/>
      <c r="O37" s="4776">
        <f t="shared" si="2"/>
        <v>0</v>
      </c>
      <c r="P37" s="4918"/>
      <c r="Q37" s="4919"/>
      <c r="R37" s="4920"/>
      <c r="S37" s="4919"/>
      <c r="T37" s="4920"/>
      <c r="U37" s="4921"/>
      <c r="AC37" s="4657"/>
    </row>
    <row r="38" spans="1:31" ht="33.75" customHeight="1" thickTop="1" thickBot="1">
      <c r="A38" s="4865" t="s">
        <v>127</v>
      </c>
      <c r="B38" s="4866"/>
      <c r="C38" s="4866"/>
      <c r="D38" s="4866"/>
      <c r="E38" s="4866"/>
      <c r="F38" s="4867">
        <f>SUM(F28:F37)</f>
        <v>38</v>
      </c>
      <c r="G38" s="4866"/>
      <c r="H38" s="4868"/>
      <c r="I38" s="4782">
        <f>COUNTA(G28,G30)</f>
        <v>2</v>
      </c>
      <c r="J38" s="4870"/>
      <c r="K38" s="4870"/>
      <c r="L38" s="4870"/>
      <c r="M38" s="4870"/>
      <c r="N38" s="4903"/>
      <c r="O38" s="4871">
        <f>SUM(O28:O37)</f>
        <v>10800000</v>
      </c>
      <c r="P38" s="4904"/>
      <c r="Q38" s="4904"/>
      <c r="R38" s="4905"/>
      <c r="S38" s="4906"/>
      <c r="T38" s="4905"/>
      <c r="U38" s="4907"/>
      <c r="AC38" s="4657"/>
    </row>
    <row r="39" spans="1:31" ht="32.15" customHeight="1">
      <c r="A39" s="4656"/>
      <c r="B39" s="4660"/>
      <c r="C39" s="4660"/>
      <c r="D39" s="4660"/>
      <c r="G39" s="4660"/>
      <c r="H39" s="4660"/>
      <c r="N39" s="4656" t="s">
        <v>6126</v>
      </c>
      <c r="O39" s="5352">
        <f>O38*1.1</f>
        <v>11880000.000000002</v>
      </c>
      <c r="P39" s="4657"/>
      <c r="Q39" s="4657"/>
      <c r="AC39" s="4657"/>
    </row>
    <row r="40" spans="1:31" ht="32.15" customHeight="1">
      <c r="B40" s="4657"/>
      <c r="C40" s="4657"/>
      <c r="D40" s="4657"/>
      <c r="E40" s="4810"/>
      <c r="F40" s="4811"/>
      <c r="G40" s="4657"/>
      <c r="H40" s="4657"/>
      <c r="M40" s="4808" t="s">
        <v>5748</v>
      </c>
      <c r="N40" s="4809">
        <f>SUM(N28,N30)</f>
        <v>600000</v>
      </c>
      <c r="O40" s="5352"/>
      <c r="P40" s="4657"/>
      <c r="Q40" s="4657"/>
      <c r="AC40" s="4657"/>
    </row>
    <row r="41" spans="1:31" ht="32.15" customHeight="1">
      <c r="A41" s="4812"/>
      <c r="B41" s="4813"/>
      <c r="C41" s="4813"/>
      <c r="D41" s="4813"/>
      <c r="E41" s="4814"/>
      <c r="F41" s="4814"/>
      <c r="G41" s="4813"/>
      <c r="H41" s="4813"/>
      <c r="I41" s="4812"/>
      <c r="J41" s="4812"/>
      <c r="K41" s="4812"/>
      <c r="L41" s="4812"/>
      <c r="M41" s="4808" t="s">
        <v>5750</v>
      </c>
      <c r="N41" s="4809">
        <f>N40*1.1</f>
        <v>660000</v>
      </c>
      <c r="O41" s="5352"/>
      <c r="P41" s="4715"/>
      <c r="Q41" s="4715"/>
      <c r="R41" s="4656"/>
      <c r="S41" s="4812"/>
      <c r="T41" s="4656"/>
      <c r="U41" s="4812"/>
      <c r="W41" s="6905"/>
      <c r="X41" s="6905"/>
      <c r="Y41" s="6905"/>
      <c r="Z41" s="6905"/>
      <c r="AA41" s="6905"/>
      <c r="AB41" s="6891"/>
      <c r="AC41" s="6891"/>
      <c r="AD41" s="6891"/>
      <c r="AE41" s="6891"/>
    </row>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36" customHeight="1"/>
    <row r="51" spans="2:29" ht="36" customHeight="1"/>
    <row r="52" spans="2:29" ht="10.15" customHeight="1">
      <c r="B52" s="4657"/>
      <c r="C52" s="4657"/>
      <c r="D52" s="4657"/>
      <c r="G52" s="4657"/>
      <c r="H52" s="4657"/>
      <c r="O52" s="4656"/>
      <c r="P52" s="4657"/>
      <c r="Q52" s="4657"/>
      <c r="AC52" s="4657"/>
    </row>
  </sheetData>
  <mergeCells count="38">
    <mergeCell ref="A2:B2"/>
    <mergeCell ref="C2:G2"/>
    <mergeCell ref="A5:A6"/>
    <mergeCell ref="B5:B6"/>
    <mergeCell ref="C5:C6"/>
    <mergeCell ref="D5:D6"/>
    <mergeCell ref="E5:E6"/>
    <mergeCell ref="F5:F6"/>
    <mergeCell ref="G5:G6"/>
    <mergeCell ref="F25:F26"/>
    <mergeCell ref="H5:H6"/>
    <mergeCell ref="I5:I6"/>
    <mergeCell ref="J5:J6"/>
    <mergeCell ref="K5:K6"/>
    <mergeCell ref="G25:G26"/>
    <mergeCell ref="H25:H26"/>
    <mergeCell ref="I25:I26"/>
    <mergeCell ref="J25:J26"/>
    <mergeCell ref="K25:K26"/>
    <mergeCell ref="A25:A26"/>
    <mergeCell ref="B25:B26"/>
    <mergeCell ref="C25:C26"/>
    <mergeCell ref="D25:D26"/>
    <mergeCell ref="E25:E26"/>
    <mergeCell ref="L25:L26"/>
    <mergeCell ref="N5:N6"/>
    <mergeCell ref="O5:O6"/>
    <mergeCell ref="P5:Q5"/>
    <mergeCell ref="R5:U5"/>
    <mergeCell ref="L5:L6"/>
    <mergeCell ref="M5:M6"/>
    <mergeCell ref="AB41:AE41"/>
    <mergeCell ref="M25:M26"/>
    <mergeCell ref="N25:N26"/>
    <mergeCell ref="O25:O26"/>
    <mergeCell ref="P25:Q25"/>
    <mergeCell ref="R25:U25"/>
    <mergeCell ref="W41:AA41"/>
  </mergeCells>
  <phoneticPr fontId="2"/>
  <conditionalFormatting sqref="B8:E19 G8:N19">
    <cfRule type="containsBlanks" dxfId="534" priority="3">
      <formula>LEN(TRIM(B8))=0</formula>
    </cfRule>
  </conditionalFormatting>
  <conditionalFormatting sqref="B32:E37 G32:K37 M32:N37">
    <cfRule type="containsBlanks" dxfId="533" priority="5">
      <formula>LEN(TRIM(B32))=0</formula>
    </cfRule>
  </conditionalFormatting>
  <conditionalFormatting sqref="C2:D2">
    <cfRule type="containsBlanks" dxfId="532" priority="6">
      <formula>LEN(TRIM(C2))=0</formula>
    </cfRule>
  </conditionalFormatting>
  <conditionalFormatting sqref="L32:L37">
    <cfRule type="containsBlanks" dxfId="531" priority="4">
      <formula>LEN(TRIM(L32))=0</formula>
    </cfRule>
  </conditionalFormatting>
  <conditionalFormatting sqref="P8:U19">
    <cfRule type="containsBlanks" dxfId="530" priority="8">
      <formula>LEN(TRIM(P8))=0</formula>
    </cfRule>
  </conditionalFormatting>
  <conditionalFormatting sqref="P28:U37">
    <cfRule type="containsBlanks" dxfId="529" priority="7">
      <formula>LEN(TRIM(P28))=0</formula>
    </cfRule>
  </conditionalFormatting>
  <conditionalFormatting sqref="G28:K29 M28:N29 B28:E31">
    <cfRule type="containsBlanks" dxfId="528" priority="2">
      <formula>LEN(TRIM(B28))=0</formula>
    </cfRule>
  </conditionalFormatting>
  <conditionalFormatting sqref="G30:N31">
    <cfRule type="containsBlanks" dxfId="527" priority="1">
      <formula>LEN(TRIM(G30))=0</formula>
    </cfRule>
  </conditionalFormatting>
  <dataValidations count="1">
    <dataValidation type="list" allowBlank="1" showInputMessage="1" showErrorMessage="1" sqref="I27 I7" xr:uid="{16E84AB9-6A00-47FD-BE77-107745BFB6CA}">
      <formula1>会場形態</formula1>
    </dataValidation>
  </dataValidations>
  <printOptions horizontalCentered="1"/>
  <pageMargins left="0.59055118110236227" right="0.59055118110236227" top="0.74803149606299213" bottom="0.74803149606299213" header="0.31496062992125984" footer="0.31496062992125984"/>
  <pageSetup paperSize="9" scale="41" orientation="landscape" r:id="rId1"/>
  <headerFooter>
    <oddHeader>&amp;R&amp;G</oddHead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82B1-9818-4878-9686-3EB3E86B2D1A}">
  <sheetPr codeName="Sheet347">
    <tabColor rgb="FFFFFF66"/>
    <pageSetUpPr fitToPage="1"/>
  </sheetPr>
  <dimension ref="A1:AG45"/>
  <sheetViews>
    <sheetView topLeftCell="A21" zoomScale="55" zoomScaleNormal="55" zoomScaleSheetLayoutView="70" workbookViewId="0"/>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0.26953125" style="4658" bestFit="1" customWidth="1"/>
    <col min="10" max="11" width="11.1796875" style="4656" customWidth="1"/>
    <col min="12" max="13" width="25.453125" style="4659" customWidth="1"/>
    <col min="14" max="14" width="6" style="4659" customWidth="1"/>
    <col min="15" max="15" width="25.453125" style="4659" customWidth="1"/>
    <col min="16" max="16" width="16.453125" style="4659" bestFit="1" customWidth="1"/>
    <col min="17" max="17" width="20.453125" style="4656" customWidth="1"/>
    <col min="18" max="18" width="11.1796875" style="4657" customWidth="1"/>
    <col min="19" max="19" width="9.54296875" style="4657" customWidth="1"/>
    <col min="20" max="20" width="11.1796875" style="4657" customWidth="1"/>
    <col min="21" max="21" width="12.453125" style="4657" customWidth="1"/>
    <col min="22" max="22" width="11.1796875" style="4657" customWidth="1"/>
    <col min="23" max="23" width="9.54296875" style="4657" customWidth="1"/>
    <col min="24" max="25" width="11.1796875" style="4657" customWidth="1"/>
    <col min="26" max="26" width="24" style="4657" customWidth="1"/>
    <col min="27" max="27" width="9.81640625" style="4657"/>
    <col min="28" max="28" width="7.81640625" style="4657" customWidth="1"/>
    <col min="29" max="29" width="9.81640625" style="4657"/>
    <col min="30" max="30" width="7.81640625" style="4657" customWidth="1"/>
    <col min="31" max="31" width="40.1796875" style="4657" customWidth="1"/>
    <col min="32" max="32" width="22.1796875" style="4657" customWidth="1"/>
    <col min="33" max="33" width="10.7265625" style="4657" customWidth="1"/>
    <col min="34" max="16384" width="9.81640625" style="4657"/>
  </cols>
  <sheetData>
    <row r="1" spans="1:33" ht="21" customHeight="1">
      <c r="S1" s="4656"/>
      <c r="U1" s="4660"/>
      <c r="W1" s="4656"/>
    </row>
    <row r="2" spans="1:33" ht="44.25" customHeight="1">
      <c r="A2" s="5143" t="s">
        <v>6127</v>
      </c>
      <c r="B2" s="5144"/>
      <c r="D2" s="5145"/>
      <c r="E2" s="5145"/>
      <c r="F2" s="5145"/>
      <c r="G2" s="5145"/>
      <c r="I2" s="4662"/>
      <c r="J2" s="4663"/>
      <c r="L2" s="4663"/>
      <c r="M2" s="4663"/>
      <c r="N2" s="4663"/>
      <c r="O2" s="4663"/>
      <c r="S2" s="4656"/>
      <c r="U2" s="4660"/>
      <c r="W2" s="4656"/>
      <c r="AE2" s="4664" t="s">
        <v>5710</v>
      </c>
    </row>
    <row r="3" spans="1:33" ht="10.15" customHeight="1">
      <c r="S3" s="4656"/>
      <c r="U3" s="4660"/>
      <c r="W3" s="4656"/>
    </row>
    <row r="4" spans="1:33" ht="33.75" customHeight="1" thickBot="1">
      <c r="A4" s="4665" t="s">
        <v>5711</v>
      </c>
      <c r="B4" s="4665"/>
      <c r="S4" s="4656"/>
      <c r="W4" s="4656"/>
      <c r="Z4" s="4656"/>
      <c r="AA4" s="4656"/>
      <c r="AB4" s="4656"/>
      <c r="AC4" s="4656"/>
      <c r="AD4" s="4656"/>
      <c r="AF4" s="4656" t="s">
        <v>5712</v>
      </c>
    </row>
    <row r="5" spans="1:33"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3"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3"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c r="AG7" s="4666"/>
    </row>
    <row r="8" spans="1:33" ht="33.75" customHeight="1">
      <c r="A8" s="4686">
        <v>1</v>
      </c>
      <c r="B8" s="4816">
        <v>46281</v>
      </c>
      <c r="C8" s="4816">
        <v>46283</v>
      </c>
      <c r="D8" s="4817">
        <f t="shared" ref="D8:D27" si="0">IF(_xlfn.DAYS(C8,B8)=0,"1",_xlfn.DAYS(C8,B8))</f>
        <v>2</v>
      </c>
      <c r="E8" s="4816">
        <v>46292</v>
      </c>
      <c r="F8" s="4818">
        <f t="shared" ref="F8:F27" si="1">IF(_xlfn.DAYS(E8,C8)=0,"1",_xlfn.DAYS(E8,C8))+1</f>
        <v>10</v>
      </c>
      <c r="G8" s="5146">
        <v>46294</v>
      </c>
      <c r="H8" s="4817">
        <f t="shared" ref="H8:H27" si="2">IF(_xlfn.DAYS(G8,E8)=0,"1",_xlfn.DAYS(G8,E8))-1</f>
        <v>1</v>
      </c>
      <c r="I8" s="4819" t="s">
        <v>5144</v>
      </c>
      <c r="J8" s="4820" t="s">
        <v>6128</v>
      </c>
      <c r="K8" s="4821">
        <v>12</v>
      </c>
      <c r="L8" s="4820">
        <v>34000</v>
      </c>
      <c r="M8" s="4820">
        <v>38000</v>
      </c>
      <c r="N8" s="4971">
        <f>M8*K8</f>
        <v>456000</v>
      </c>
      <c r="O8" s="4692">
        <v>34000</v>
      </c>
      <c r="P8" s="4678">
        <f>SUM(D8,F8,H8)*K8</f>
        <v>156</v>
      </c>
      <c r="Q8" s="4679">
        <f t="shared" ref="Q8:Q27" si="3">(D8*L8+F8*M8+H8*O8)*K8</f>
        <v>5784000</v>
      </c>
      <c r="R8" s="4692">
        <v>16</v>
      </c>
      <c r="S8" s="4680" t="s">
        <v>5742</v>
      </c>
      <c r="T8" s="4694">
        <v>16</v>
      </c>
      <c r="U8" s="4700">
        <v>2</v>
      </c>
      <c r="V8" s="4692"/>
      <c r="W8" s="4680" t="s">
        <v>4521</v>
      </c>
      <c r="X8" s="4695"/>
      <c r="Y8" s="4692"/>
      <c r="Z8" s="4692" t="s">
        <v>5953</v>
      </c>
      <c r="AA8" s="4683" t="s">
        <v>5035</v>
      </c>
      <c r="AB8" s="4692" t="s">
        <v>2830</v>
      </c>
      <c r="AC8" s="4683" t="s">
        <v>5050</v>
      </c>
      <c r="AD8" s="4692" t="s">
        <v>2814</v>
      </c>
      <c r="AE8" s="4696"/>
      <c r="AF8" s="4685">
        <f>U8*K8</f>
        <v>24</v>
      </c>
      <c r="AG8" s="4666"/>
    </row>
    <row r="9" spans="1:33" s="5369" customFormat="1" ht="33.75" customHeight="1">
      <c r="A9" s="5356">
        <v>2</v>
      </c>
      <c r="B9" s="4816">
        <v>46281</v>
      </c>
      <c r="C9" s="4816">
        <v>46283</v>
      </c>
      <c r="D9" s="4817">
        <f t="shared" si="0"/>
        <v>2</v>
      </c>
      <c r="E9" s="4816">
        <v>46292</v>
      </c>
      <c r="F9" s="4818">
        <f t="shared" si="1"/>
        <v>10</v>
      </c>
      <c r="G9" s="5146">
        <v>46294</v>
      </c>
      <c r="H9" s="5357">
        <v>1</v>
      </c>
      <c r="I9" s="5358" t="s">
        <v>6129</v>
      </c>
      <c r="J9" s="5359" t="s">
        <v>6130</v>
      </c>
      <c r="K9" s="5360">
        <v>3</v>
      </c>
      <c r="L9" s="5361">
        <v>60000</v>
      </c>
      <c r="M9" s="4820">
        <v>68000</v>
      </c>
      <c r="N9" s="4971">
        <f>M9*K9</f>
        <v>204000</v>
      </c>
      <c r="O9" s="5362">
        <v>60000</v>
      </c>
      <c r="P9" s="4678">
        <f t="shared" ref="P9:P27" si="4">SUM(D9,F9,H9)*K9</f>
        <v>39</v>
      </c>
      <c r="Q9" s="4679">
        <f t="shared" si="3"/>
        <v>2580000</v>
      </c>
      <c r="R9" s="5362">
        <v>32</v>
      </c>
      <c r="S9" s="5363"/>
      <c r="T9" s="5364">
        <v>32</v>
      </c>
      <c r="U9" s="5365">
        <v>4</v>
      </c>
      <c r="V9" s="5362"/>
      <c r="W9" s="5363"/>
      <c r="X9" s="5366"/>
      <c r="Y9" s="5362"/>
      <c r="Z9" s="4692" t="s">
        <v>5953</v>
      </c>
      <c r="AA9" s="4683" t="s">
        <v>5035</v>
      </c>
      <c r="AB9" s="4692" t="s">
        <v>2830</v>
      </c>
      <c r="AC9" s="4683" t="s">
        <v>5050</v>
      </c>
      <c r="AD9" s="4692" t="s">
        <v>2814</v>
      </c>
      <c r="AE9" s="5367"/>
      <c r="AF9" s="5368">
        <v>12</v>
      </c>
      <c r="AG9" s="4666"/>
    </row>
    <row r="10" spans="1:33" s="5369" customFormat="1" ht="33.75" customHeight="1">
      <c r="A10" s="5356">
        <v>3</v>
      </c>
      <c r="B10" s="4816">
        <v>46281</v>
      </c>
      <c r="C10" s="4816">
        <v>46283</v>
      </c>
      <c r="D10" s="4817">
        <f t="shared" si="0"/>
        <v>2</v>
      </c>
      <c r="E10" s="4816">
        <v>46292</v>
      </c>
      <c r="F10" s="4818">
        <f t="shared" si="1"/>
        <v>10</v>
      </c>
      <c r="G10" s="5146">
        <v>46294</v>
      </c>
      <c r="H10" s="5357">
        <v>1</v>
      </c>
      <c r="I10" s="5358" t="s">
        <v>6131</v>
      </c>
      <c r="J10" s="5361" t="s">
        <v>6132</v>
      </c>
      <c r="K10" s="5360">
        <v>6</v>
      </c>
      <c r="L10" s="5361">
        <v>63000</v>
      </c>
      <c r="M10" s="4820">
        <v>69000</v>
      </c>
      <c r="N10" s="4971">
        <f>M10*K10</f>
        <v>414000</v>
      </c>
      <c r="O10" s="5362">
        <v>63000</v>
      </c>
      <c r="P10" s="4678">
        <f t="shared" si="4"/>
        <v>78</v>
      </c>
      <c r="Q10" s="4679">
        <f t="shared" si="3"/>
        <v>5274000</v>
      </c>
      <c r="R10" s="5362"/>
      <c r="S10" s="5363"/>
      <c r="T10" s="5364"/>
      <c r="U10" s="5365">
        <v>3</v>
      </c>
      <c r="V10" s="5362"/>
      <c r="W10" s="5363"/>
      <c r="X10" s="5366"/>
      <c r="Y10" s="5362"/>
      <c r="Z10" s="4692" t="s">
        <v>5953</v>
      </c>
      <c r="AA10" s="4683" t="s">
        <v>5035</v>
      </c>
      <c r="AB10" s="4692" t="s">
        <v>2830</v>
      </c>
      <c r="AC10" s="4683" t="s">
        <v>5050</v>
      </c>
      <c r="AD10" s="4692" t="s">
        <v>2814</v>
      </c>
      <c r="AE10" s="5367"/>
      <c r="AF10" s="5368">
        <v>18</v>
      </c>
      <c r="AG10" s="4666"/>
    </row>
    <row r="11" spans="1:33" ht="33.75" customHeight="1">
      <c r="A11" s="4686">
        <v>4</v>
      </c>
      <c r="B11" s="4816">
        <v>46281</v>
      </c>
      <c r="C11" s="4816">
        <v>46283</v>
      </c>
      <c r="D11" s="4817">
        <f t="shared" si="0"/>
        <v>2</v>
      </c>
      <c r="E11" s="4816">
        <v>46292</v>
      </c>
      <c r="F11" s="4818">
        <f t="shared" si="1"/>
        <v>10</v>
      </c>
      <c r="G11" s="5146">
        <v>46294</v>
      </c>
      <c r="H11" s="4817">
        <f t="shared" si="2"/>
        <v>1</v>
      </c>
      <c r="I11" s="4819" t="s">
        <v>6133</v>
      </c>
      <c r="J11" s="4820"/>
      <c r="K11" s="4821">
        <v>6</v>
      </c>
      <c r="L11" s="4820">
        <v>9000</v>
      </c>
      <c r="M11" s="4820">
        <v>11000</v>
      </c>
      <c r="N11" s="4971">
        <f t="shared" ref="N11:N16" si="5">M11*K11</f>
        <v>66000</v>
      </c>
      <c r="O11" s="4692">
        <v>9000</v>
      </c>
      <c r="P11" s="4678">
        <f t="shared" si="4"/>
        <v>78</v>
      </c>
      <c r="Q11" s="4679">
        <f t="shared" si="3"/>
        <v>822000</v>
      </c>
      <c r="R11" s="4692">
        <v>10</v>
      </c>
      <c r="S11" s="4680" t="s">
        <v>5742</v>
      </c>
      <c r="T11" s="4694">
        <v>10</v>
      </c>
      <c r="U11" s="4700">
        <v>1</v>
      </c>
      <c r="V11" s="4692">
        <v>120</v>
      </c>
      <c r="W11" s="4680" t="s">
        <v>4521</v>
      </c>
      <c r="X11" s="4695">
        <v>200</v>
      </c>
      <c r="Y11" s="4692">
        <v>2</v>
      </c>
      <c r="Z11" s="4692" t="s">
        <v>5743</v>
      </c>
      <c r="AA11" s="4683" t="s">
        <v>5035</v>
      </c>
      <c r="AB11" s="4692" t="s">
        <v>2830</v>
      </c>
      <c r="AC11" s="4683" t="s">
        <v>5050</v>
      </c>
      <c r="AD11" s="4692" t="s">
        <v>2814</v>
      </c>
      <c r="AE11" s="4696"/>
      <c r="AF11" s="4685">
        <f t="shared" ref="AF11:AF27" si="6">U11*K11</f>
        <v>6</v>
      </c>
      <c r="AG11" s="4666"/>
    </row>
    <row r="12" spans="1:33" ht="33.75" customHeight="1">
      <c r="A12" s="4686">
        <v>5</v>
      </c>
      <c r="B12" s="4816">
        <v>46281</v>
      </c>
      <c r="C12" s="4816">
        <v>46283</v>
      </c>
      <c r="D12" s="4817">
        <f t="shared" si="0"/>
        <v>2</v>
      </c>
      <c r="E12" s="4816">
        <v>46292</v>
      </c>
      <c r="F12" s="4818">
        <f t="shared" si="1"/>
        <v>10</v>
      </c>
      <c r="G12" s="5146">
        <v>46294</v>
      </c>
      <c r="H12" s="4817">
        <f t="shared" si="2"/>
        <v>1</v>
      </c>
      <c r="I12" s="4819" t="s">
        <v>6134</v>
      </c>
      <c r="J12" s="4820" t="s">
        <v>6128</v>
      </c>
      <c r="K12" s="4821">
        <v>44</v>
      </c>
      <c r="L12" s="4820">
        <v>44000</v>
      </c>
      <c r="M12" s="4820">
        <v>48000</v>
      </c>
      <c r="N12" s="4971">
        <f t="shared" si="5"/>
        <v>2112000</v>
      </c>
      <c r="O12" s="4692">
        <v>44000</v>
      </c>
      <c r="P12" s="4678">
        <f t="shared" si="4"/>
        <v>572</v>
      </c>
      <c r="Q12" s="4679">
        <f t="shared" si="3"/>
        <v>26928000</v>
      </c>
      <c r="R12" s="4692">
        <v>16</v>
      </c>
      <c r="S12" s="4680" t="s">
        <v>5742</v>
      </c>
      <c r="T12" s="4694">
        <v>16</v>
      </c>
      <c r="U12" s="4700">
        <v>2</v>
      </c>
      <c r="V12" s="4692"/>
      <c r="W12" s="4680" t="s">
        <v>4521</v>
      </c>
      <c r="X12" s="4695"/>
      <c r="Y12" s="4692"/>
      <c r="Z12" s="4692" t="s">
        <v>5953</v>
      </c>
      <c r="AA12" s="4683" t="s">
        <v>5035</v>
      </c>
      <c r="AB12" s="4692" t="s">
        <v>2830</v>
      </c>
      <c r="AC12" s="4683" t="s">
        <v>5050</v>
      </c>
      <c r="AD12" s="4692" t="s">
        <v>2814</v>
      </c>
      <c r="AE12" s="4696"/>
      <c r="AF12" s="4685">
        <f t="shared" si="6"/>
        <v>88</v>
      </c>
      <c r="AG12" s="4666"/>
    </row>
    <row r="13" spans="1:33" ht="33.75" customHeight="1">
      <c r="A13" s="4686">
        <v>6</v>
      </c>
      <c r="B13" s="4816">
        <v>46281</v>
      </c>
      <c r="C13" s="4816">
        <v>46283</v>
      </c>
      <c r="D13" s="4817">
        <f t="shared" si="0"/>
        <v>2</v>
      </c>
      <c r="E13" s="4816">
        <v>46292</v>
      </c>
      <c r="F13" s="4818">
        <f t="shared" si="1"/>
        <v>10</v>
      </c>
      <c r="G13" s="5146">
        <v>46294</v>
      </c>
      <c r="H13" s="4817">
        <f t="shared" si="2"/>
        <v>1</v>
      </c>
      <c r="I13" s="4819" t="s">
        <v>6135</v>
      </c>
      <c r="J13" s="4820" t="s">
        <v>6136</v>
      </c>
      <c r="K13" s="4821">
        <v>12</v>
      </c>
      <c r="L13" s="4820">
        <v>67500</v>
      </c>
      <c r="M13" s="4820">
        <v>73500</v>
      </c>
      <c r="N13" s="4971">
        <f t="shared" si="5"/>
        <v>882000</v>
      </c>
      <c r="O13" s="4692">
        <v>67500</v>
      </c>
      <c r="P13" s="4678">
        <f t="shared" si="4"/>
        <v>156</v>
      </c>
      <c r="Q13" s="4679">
        <f t="shared" si="3"/>
        <v>11250000</v>
      </c>
      <c r="R13" s="4692">
        <v>20</v>
      </c>
      <c r="S13" s="4680" t="s">
        <v>5742</v>
      </c>
      <c r="T13" s="4694">
        <v>20</v>
      </c>
      <c r="U13" s="4700">
        <v>3</v>
      </c>
      <c r="V13" s="4692"/>
      <c r="W13" s="4680" t="s">
        <v>4521</v>
      </c>
      <c r="X13" s="4695"/>
      <c r="Y13" s="4692"/>
      <c r="Z13" s="4692" t="s">
        <v>5953</v>
      </c>
      <c r="AA13" s="4683" t="s">
        <v>5035</v>
      </c>
      <c r="AB13" s="4692" t="s">
        <v>2830</v>
      </c>
      <c r="AC13" s="4683" t="s">
        <v>5050</v>
      </c>
      <c r="AD13" s="4692" t="s">
        <v>2814</v>
      </c>
      <c r="AE13" s="4696"/>
      <c r="AF13" s="4685">
        <f t="shared" si="6"/>
        <v>36</v>
      </c>
      <c r="AG13" s="4666"/>
    </row>
    <row r="14" spans="1:33" ht="33.75" customHeight="1">
      <c r="A14" s="4686">
        <v>7</v>
      </c>
      <c r="B14" s="4816">
        <v>46281</v>
      </c>
      <c r="C14" s="4816">
        <v>46283</v>
      </c>
      <c r="D14" s="4817">
        <f t="shared" si="0"/>
        <v>2</v>
      </c>
      <c r="E14" s="4816">
        <v>46292</v>
      </c>
      <c r="F14" s="4818">
        <f t="shared" si="1"/>
        <v>10</v>
      </c>
      <c r="G14" s="5146">
        <v>46294</v>
      </c>
      <c r="H14" s="4817">
        <v>1</v>
      </c>
      <c r="I14" s="4819" t="s">
        <v>6135</v>
      </c>
      <c r="J14" s="5370" t="s">
        <v>6137</v>
      </c>
      <c r="K14" s="4821">
        <v>1</v>
      </c>
      <c r="L14" s="4820">
        <v>86000</v>
      </c>
      <c r="M14" s="4820">
        <v>94000</v>
      </c>
      <c r="N14" s="4971">
        <f t="shared" si="5"/>
        <v>94000</v>
      </c>
      <c r="O14" s="4692">
        <v>86000</v>
      </c>
      <c r="P14" s="4678">
        <f t="shared" si="4"/>
        <v>13</v>
      </c>
      <c r="Q14" s="4679">
        <f t="shared" si="3"/>
        <v>1198000</v>
      </c>
      <c r="R14" s="4692"/>
      <c r="S14" s="4680"/>
      <c r="T14" s="4694"/>
      <c r="U14" s="4700">
        <v>4</v>
      </c>
      <c r="V14" s="4692"/>
      <c r="W14" s="4680"/>
      <c r="X14" s="4695"/>
      <c r="Y14" s="4692"/>
      <c r="Z14" s="4692"/>
      <c r="AA14" s="4683" t="s">
        <v>5035</v>
      </c>
      <c r="AB14" s="4692" t="s">
        <v>2830</v>
      </c>
      <c r="AC14" s="4683" t="s">
        <v>5050</v>
      </c>
      <c r="AD14" s="4692" t="s">
        <v>2814</v>
      </c>
      <c r="AE14" s="4696"/>
      <c r="AF14" s="4685">
        <v>4</v>
      </c>
      <c r="AG14" s="4666"/>
    </row>
    <row r="15" spans="1:33" ht="33.75" customHeight="1">
      <c r="A15" s="4686">
        <v>8</v>
      </c>
      <c r="B15" s="4816">
        <v>46281</v>
      </c>
      <c r="C15" s="4816">
        <v>46283</v>
      </c>
      <c r="D15" s="4817">
        <f t="shared" si="0"/>
        <v>2</v>
      </c>
      <c r="E15" s="4816">
        <v>46292</v>
      </c>
      <c r="F15" s="4818">
        <f t="shared" si="1"/>
        <v>10</v>
      </c>
      <c r="G15" s="5146">
        <v>46294</v>
      </c>
      <c r="H15" s="4817">
        <v>1</v>
      </c>
      <c r="I15" s="4819" t="s">
        <v>6135</v>
      </c>
      <c r="J15" s="5370" t="s">
        <v>6138</v>
      </c>
      <c r="K15" s="4821">
        <v>1</v>
      </c>
      <c r="L15" s="4820">
        <v>86000</v>
      </c>
      <c r="M15" s="4820">
        <v>94000</v>
      </c>
      <c r="N15" s="4971">
        <f t="shared" si="5"/>
        <v>94000</v>
      </c>
      <c r="O15" s="4692">
        <v>86000</v>
      </c>
      <c r="P15" s="4678">
        <f t="shared" si="4"/>
        <v>13</v>
      </c>
      <c r="Q15" s="4679">
        <f t="shared" si="3"/>
        <v>1198000</v>
      </c>
      <c r="R15" s="4692"/>
      <c r="S15" s="4680"/>
      <c r="T15" s="4694"/>
      <c r="U15" s="4700">
        <v>4</v>
      </c>
      <c r="V15" s="4692"/>
      <c r="W15" s="4680"/>
      <c r="X15" s="4695"/>
      <c r="Y15" s="4692"/>
      <c r="Z15" s="4692"/>
      <c r="AA15" s="4683" t="s">
        <v>5035</v>
      </c>
      <c r="AB15" s="4692" t="s">
        <v>2830</v>
      </c>
      <c r="AC15" s="4683" t="s">
        <v>5050</v>
      </c>
      <c r="AD15" s="4692" t="s">
        <v>2814</v>
      </c>
      <c r="AE15" s="4696"/>
      <c r="AF15" s="4685">
        <v>4</v>
      </c>
      <c r="AG15" s="4666"/>
    </row>
    <row r="16" spans="1:33" ht="33.75" customHeight="1">
      <c r="A16" s="4686">
        <v>9</v>
      </c>
      <c r="B16" s="4816">
        <v>46281</v>
      </c>
      <c r="C16" s="4816">
        <v>46283</v>
      </c>
      <c r="D16" s="4817">
        <f t="shared" si="0"/>
        <v>2</v>
      </c>
      <c r="E16" s="4816">
        <v>46292</v>
      </c>
      <c r="F16" s="4818">
        <f t="shared" si="1"/>
        <v>10</v>
      </c>
      <c r="G16" s="5146">
        <v>46294</v>
      </c>
      <c r="H16" s="4817">
        <f t="shared" si="2"/>
        <v>1</v>
      </c>
      <c r="I16" s="4819" t="s">
        <v>5143</v>
      </c>
      <c r="J16" s="4820"/>
      <c r="K16" s="4821">
        <v>4</v>
      </c>
      <c r="L16" s="4820">
        <v>49000</v>
      </c>
      <c r="M16" s="4820">
        <v>53000</v>
      </c>
      <c r="N16" s="4971">
        <f t="shared" si="5"/>
        <v>212000</v>
      </c>
      <c r="O16" s="4692">
        <v>49000</v>
      </c>
      <c r="P16" s="4678">
        <f t="shared" si="4"/>
        <v>52</v>
      </c>
      <c r="Q16" s="4679">
        <f t="shared" si="3"/>
        <v>2708000</v>
      </c>
      <c r="R16" s="4692">
        <v>36.4</v>
      </c>
      <c r="S16" s="4680" t="s">
        <v>5742</v>
      </c>
      <c r="T16" s="4694">
        <v>36.4</v>
      </c>
      <c r="U16" s="4700">
        <v>2</v>
      </c>
      <c r="V16" s="4692">
        <v>120</v>
      </c>
      <c r="W16" s="4680" t="s">
        <v>4521</v>
      </c>
      <c r="X16" s="4695">
        <v>200</v>
      </c>
      <c r="Y16" s="4692">
        <v>2</v>
      </c>
      <c r="Z16" s="4692" t="s">
        <v>5953</v>
      </c>
      <c r="AA16" s="4683" t="s">
        <v>5035</v>
      </c>
      <c r="AB16" s="4692" t="s">
        <v>2830</v>
      </c>
      <c r="AC16" s="4683" t="s">
        <v>5050</v>
      </c>
      <c r="AD16" s="4692" t="s">
        <v>2814</v>
      </c>
      <c r="AE16" s="4696"/>
      <c r="AF16" s="4685">
        <f t="shared" si="6"/>
        <v>8</v>
      </c>
      <c r="AG16" s="4666"/>
    </row>
    <row r="17" spans="1:33" ht="33.75" customHeight="1">
      <c r="A17" s="4686">
        <v>10</v>
      </c>
      <c r="B17" s="4816">
        <v>46281</v>
      </c>
      <c r="C17" s="4816">
        <v>46283</v>
      </c>
      <c r="D17" s="4817">
        <f t="shared" si="0"/>
        <v>2</v>
      </c>
      <c r="E17" s="4816">
        <v>46292</v>
      </c>
      <c r="F17" s="4818">
        <f t="shared" si="1"/>
        <v>10</v>
      </c>
      <c r="G17" s="5146">
        <v>46294</v>
      </c>
      <c r="H17" s="4817">
        <f t="shared" si="2"/>
        <v>1</v>
      </c>
      <c r="I17" s="4819" t="s">
        <v>5075</v>
      </c>
      <c r="J17" s="4820"/>
      <c r="K17" s="4821">
        <v>1</v>
      </c>
      <c r="L17" s="4820">
        <v>53000</v>
      </c>
      <c r="M17" s="4820">
        <v>57000</v>
      </c>
      <c r="N17" s="4971">
        <f>M17*K17</f>
        <v>57000</v>
      </c>
      <c r="O17" s="4692">
        <v>53000</v>
      </c>
      <c r="P17" s="4678">
        <f t="shared" si="4"/>
        <v>13</v>
      </c>
      <c r="Q17" s="4679">
        <f t="shared" si="3"/>
        <v>729000</v>
      </c>
      <c r="R17" s="4692">
        <v>43</v>
      </c>
      <c r="S17" s="4680" t="s">
        <v>5742</v>
      </c>
      <c r="T17" s="4694">
        <v>43</v>
      </c>
      <c r="U17" s="4700">
        <v>2</v>
      </c>
      <c r="V17" s="4692">
        <v>120</v>
      </c>
      <c r="W17" s="4680" t="s">
        <v>4521</v>
      </c>
      <c r="X17" s="4695">
        <v>200</v>
      </c>
      <c r="Y17" s="4692">
        <v>2</v>
      </c>
      <c r="Z17" s="4692" t="s">
        <v>5953</v>
      </c>
      <c r="AA17" s="4683" t="s">
        <v>5035</v>
      </c>
      <c r="AB17" s="4692" t="s">
        <v>2830</v>
      </c>
      <c r="AC17" s="4683" t="s">
        <v>5050</v>
      </c>
      <c r="AD17" s="4692" t="s">
        <v>2814</v>
      </c>
      <c r="AE17" s="4696"/>
      <c r="AF17" s="4685">
        <f t="shared" si="6"/>
        <v>2</v>
      </c>
      <c r="AG17" s="4666"/>
    </row>
    <row r="18" spans="1:33" ht="33.75" customHeight="1">
      <c r="A18" s="4686">
        <v>11</v>
      </c>
      <c r="B18" s="4816">
        <v>46281</v>
      </c>
      <c r="C18" s="4816">
        <v>46283</v>
      </c>
      <c r="D18" s="4817">
        <f t="shared" si="0"/>
        <v>2</v>
      </c>
      <c r="E18" s="4816">
        <v>46292</v>
      </c>
      <c r="F18" s="4818">
        <f t="shared" si="1"/>
        <v>10</v>
      </c>
      <c r="G18" s="5146">
        <v>46294</v>
      </c>
      <c r="H18" s="4817">
        <f t="shared" si="2"/>
        <v>1</v>
      </c>
      <c r="I18" s="4819" t="s">
        <v>5120</v>
      </c>
      <c r="J18" s="4820"/>
      <c r="K18" s="4821">
        <v>1</v>
      </c>
      <c r="L18" s="4820">
        <v>72000</v>
      </c>
      <c r="M18" s="4820">
        <v>78000</v>
      </c>
      <c r="N18" s="4971">
        <f t="shared" ref="N18:N27" si="7">M18*K18</f>
        <v>78000</v>
      </c>
      <c r="O18" s="4697">
        <v>72000</v>
      </c>
      <c r="P18" s="4678">
        <f t="shared" si="4"/>
        <v>13</v>
      </c>
      <c r="Q18" s="4679">
        <f t="shared" si="3"/>
        <v>996000</v>
      </c>
      <c r="R18" s="4692">
        <v>65</v>
      </c>
      <c r="S18" s="4680" t="s">
        <v>5742</v>
      </c>
      <c r="T18" s="4694">
        <v>65</v>
      </c>
      <c r="U18" s="4700">
        <v>3</v>
      </c>
      <c r="V18" s="4692">
        <v>120</v>
      </c>
      <c r="W18" s="4680" t="s">
        <v>4521</v>
      </c>
      <c r="X18" s="4695">
        <v>200</v>
      </c>
      <c r="Y18" s="4692">
        <v>2</v>
      </c>
      <c r="Z18" s="4692" t="s">
        <v>5953</v>
      </c>
      <c r="AA18" s="4683" t="s">
        <v>5035</v>
      </c>
      <c r="AB18" s="4692" t="s">
        <v>2830</v>
      </c>
      <c r="AC18" s="4683" t="s">
        <v>5050</v>
      </c>
      <c r="AD18" s="4692" t="s">
        <v>2814</v>
      </c>
      <c r="AE18" s="4696"/>
      <c r="AF18" s="4685">
        <f t="shared" si="6"/>
        <v>3</v>
      </c>
      <c r="AG18" s="4666"/>
    </row>
    <row r="19" spans="1:33" ht="33.75" customHeight="1">
      <c r="A19" s="4686">
        <v>12</v>
      </c>
      <c r="B19" s="4816">
        <v>46281</v>
      </c>
      <c r="C19" s="4816">
        <v>46283</v>
      </c>
      <c r="D19" s="4817">
        <f t="shared" si="0"/>
        <v>2</v>
      </c>
      <c r="E19" s="4816">
        <v>46292</v>
      </c>
      <c r="F19" s="4818">
        <f t="shared" si="1"/>
        <v>10</v>
      </c>
      <c r="G19" s="5146">
        <v>46294</v>
      </c>
      <c r="H19" s="4817">
        <f t="shared" si="2"/>
        <v>1</v>
      </c>
      <c r="I19" s="4819" t="s">
        <v>5107</v>
      </c>
      <c r="J19" s="4820"/>
      <c r="K19" s="4821">
        <v>1</v>
      </c>
      <c r="L19" s="4820">
        <v>45000</v>
      </c>
      <c r="M19" s="4820">
        <v>49000</v>
      </c>
      <c r="N19" s="4971">
        <f t="shared" si="7"/>
        <v>49000</v>
      </c>
      <c r="O19" s="4697">
        <v>45000</v>
      </c>
      <c r="P19" s="4678">
        <f t="shared" si="4"/>
        <v>13</v>
      </c>
      <c r="Q19" s="4679">
        <f t="shared" si="3"/>
        <v>625000</v>
      </c>
      <c r="R19" s="4692">
        <v>46</v>
      </c>
      <c r="S19" s="4680" t="s">
        <v>5742</v>
      </c>
      <c r="T19" s="4694">
        <v>46</v>
      </c>
      <c r="U19" s="4700">
        <v>2</v>
      </c>
      <c r="V19" s="4692">
        <v>120</v>
      </c>
      <c r="W19" s="4680" t="s">
        <v>4521</v>
      </c>
      <c r="X19" s="4695">
        <v>200</v>
      </c>
      <c r="Y19" s="4692">
        <v>2</v>
      </c>
      <c r="Z19" s="4692" t="s">
        <v>5953</v>
      </c>
      <c r="AA19" s="4683" t="s">
        <v>5035</v>
      </c>
      <c r="AB19" s="4692" t="s">
        <v>2830</v>
      </c>
      <c r="AC19" s="4683" t="s">
        <v>5050</v>
      </c>
      <c r="AD19" s="4692" t="s">
        <v>2814</v>
      </c>
      <c r="AE19" s="4696"/>
      <c r="AF19" s="4685">
        <f t="shared" si="6"/>
        <v>2</v>
      </c>
      <c r="AG19" s="4666"/>
    </row>
    <row r="20" spans="1:33" ht="33.75" customHeight="1">
      <c r="A20" s="4686">
        <v>13</v>
      </c>
      <c r="B20" s="4816">
        <v>46281</v>
      </c>
      <c r="C20" s="4816">
        <v>46283</v>
      </c>
      <c r="D20" s="4817">
        <f t="shared" si="0"/>
        <v>2</v>
      </c>
      <c r="E20" s="4816">
        <v>46292</v>
      </c>
      <c r="F20" s="4818">
        <f t="shared" si="1"/>
        <v>10</v>
      </c>
      <c r="G20" s="5146">
        <v>46294</v>
      </c>
      <c r="H20" s="4817">
        <f t="shared" si="2"/>
        <v>1</v>
      </c>
      <c r="I20" s="4819" t="s">
        <v>6139</v>
      </c>
      <c r="J20" s="4820"/>
      <c r="K20" s="4821">
        <v>1</v>
      </c>
      <c r="L20" s="4820">
        <v>49000</v>
      </c>
      <c r="M20" s="4820">
        <v>53000</v>
      </c>
      <c r="N20" s="4971">
        <f t="shared" si="7"/>
        <v>53000</v>
      </c>
      <c r="O20" s="4697">
        <v>49000</v>
      </c>
      <c r="P20" s="4678">
        <f t="shared" si="4"/>
        <v>13</v>
      </c>
      <c r="Q20" s="4679">
        <f t="shared" si="3"/>
        <v>677000</v>
      </c>
      <c r="R20" s="4692">
        <v>16</v>
      </c>
      <c r="S20" s="4680" t="s">
        <v>5742</v>
      </c>
      <c r="T20" s="4694">
        <v>16</v>
      </c>
      <c r="U20" s="4700">
        <v>2</v>
      </c>
      <c r="V20" s="4692"/>
      <c r="W20" s="4680" t="s">
        <v>4521</v>
      </c>
      <c r="X20" s="4695"/>
      <c r="Y20" s="4692"/>
      <c r="Z20" s="4692" t="s">
        <v>5953</v>
      </c>
      <c r="AA20" s="4683" t="s">
        <v>5035</v>
      </c>
      <c r="AB20" s="4692" t="s">
        <v>2830</v>
      </c>
      <c r="AC20" s="4683" t="s">
        <v>5050</v>
      </c>
      <c r="AD20" s="4692" t="s">
        <v>2814</v>
      </c>
      <c r="AE20" s="4696"/>
      <c r="AF20" s="4685">
        <f t="shared" si="6"/>
        <v>2</v>
      </c>
      <c r="AG20" s="4666"/>
    </row>
    <row r="21" spans="1:33" ht="33.75" customHeight="1">
      <c r="A21" s="4686">
        <v>14</v>
      </c>
      <c r="B21" s="4816">
        <v>46281</v>
      </c>
      <c r="C21" s="4816">
        <v>46283</v>
      </c>
      <c r="D21" s="4817">
        <f t="shared" si="0"/>
        <v>2</v>
      </c>
      <c r="E21" s="4816">
        <v>46292</v>
      </c>
      <c r="F21" s="4818">
        <f t="shared" si="1"/>
        <v>10</v>
      </c>
      <c r="G21" s="5146">
        <v>46294</v>
      </c>
      <c r="H21" s="4817">
        <f t="shared" si="2"/>
        <v>1</v>
      </c>
      <c r="I21" s="4819" t="s">
        <v>6140</v>
      </c>
      <c r="J21" s="4820"/>
      <c r="K21" s="4821">
        <v>1</v>
      </c>
      <c r="L21" s="4820">
        <v>49000</v>
      </c>
      <c r="M21" s="4820">
        <v>53000</v>
      </c>
      <c r="N21" s="4971">
        <f t="shared" si="7"/>
        <v>53000</v>
      </c>
      <c r="O21" s="4697">
        <v>49000</v>
      </c>
      <c r="P21" s="4678">
        <f t="shared" si="4"/>
        <v>13</v>
      </c>
      <c r="Q21" s="4679">
        <f t="shared" si="3"/>
        <v>677000</v>
      </c>
      <c r="R21" s="4692">
        <v>16</v>
      </c>
      <c r="S21" s="4680" t="s">
        <v>5742</v>
      </c>
      <c r="T21" s="4694">
        <v>16</v>
      </c>
      <c r="U21" s="4700">
        <v>2</v>
      </c>
      <c r="V21" s="4692"/>
      <c r="W21" s="4680" t="s">
        <v>4521</v>
      </c>
      <c r="X21" s="4695"/>
      <c r="Y21" s="4692"/>
      <c r="Z21" s="4692" t="s">
        <v>5953</v>
      </c>
      <c r="AA21" s="4683" t="s">
        <v>5035</v>
      </c>
      <c r="AB21" s="4692" t="s">
        <v>2830</v>
      </c>
      <c r="AC21" s="4683" t="s">
        <v>5050</v>
      </c>
      <c r="AD21" s="4692" t="s">
        <v>2814</v>
      </c>
      <c r="AE21" s="4696"/>
      <c r="AF21" s="4685">
        <f t="shared" si="6"/>
        <v>2</v>
      </c>
      <c r="AG21" s="4666"/>
    </row>
    <row r="22" spans="1:33" ht="33.75" customHeight="1">
      <c r="A22" s="4686">
        <v>15</v>
      </c>
      <c r="B22" s="4816">
        <v>46281</v>
      </c>
      <c r="C22" s="4816">
        <v>46283</v>
      </c>
      <c r="D22" s="4817">
        <f t="shared" si="0"/>
        <v>2</v>
      </c>
      <c r="E22" s="4816">
        <v>46292</v>
      </c>
      <c r="F22" s="4818">
        <f t="shared" si="1"/>
        <v>10</v>
      </c>
      <c r="G22" s="5146">
        <v>46294</v>
      </c>
      <c r="H22" s="4817">
        <f t="shared" si="2"/>
        <v>1</v>
      </c>
      <c r="I22" s="4819" t="s">
        <v>6141</v>
      </c>
      <c r="J22" s="4820"/>
      <c r="K22" s="4821">
        <v>1</v>
      </c>
      <c r="L22" s="4820">
        <v>118000</v>
      </c>
      <c r="M22" s="4820">
        <v>126000</v>
      </c>
      <c r="N22" s="4971">
        <f t="shared" si="7"/>
        <v>126000</v>
      </c>
      <c r="O22" s="4697">
        <v>118000</v>
      </c>
      <c r="P22" s="4678">
        <f t="shared" si="4"/>
        <v>13</v>
      </c>
      <c r="Q22" s="4679">
        <f t="shared" si="3"/>
        <v>1614000</v>
      </c>
      <c r="R22" s="4692">
        <v>36</v>
      </c>
      <c r="S22" s="4680" t="s">
        <v>5742</v>
      </c>
      <c r="T22" s="4694">
        <v>36</v>
      </c>
      <c r="U22" s="4700">
        <v>4</v>
      </c>
      <c r="V22" s="4692"/>
      <c r="W22" s="4680" t="s">
        <v>4521</v>
      </c>
      <c r="X22" s="4695"/>
      <c r="Y22" s="4692"/>
      <c r="Z22" s="4692" t="s">
        <v>5953</v>
      </c>
      <c r="AA22" s="4683" t="s">
        <v>5035</v>
      </c>
      <c r="AB22" s="4692" t="s">
        <v>2830</v>
      </c>
      <c r="AC22" s="4683" t="s">
        <v>5050</v>
      </c>
      <c r="AD22" s="4692" t="s">
        <v>2814</v>
      </c>
      <c r="AE22" s="4696"/>
      <c r="AF22" s="4685">
        <f t="shared" si="6"/>
        <v>4</v>
      </c>
      <c r="AG22" s="4666"/>
    </row>
    <row r="23" spans="1:33" ht="33.75" customHeight="1">
      <c r="A23" s="4686">
        <v>16</v>
      </c>
      <c r="B23" s="4816">
        <v>46281</v>
      </c>
      <c r="C23" s="4816">
        <v>46283</v>
      </c>
      <c r="D23" s="4817">
        <f t="shared" si="0"/>
        <v>2</v>
      </c>
      <c r="E23" s="4816">
        <v>46292</v>
      </c>
      <c r="F23" s="4818">
        <f t="shared" si="1"/>
        <v>10</v>
      </c>
      <c r="G23" s="5146">
        <v>46294</v>
      </c>
      <c r="H23" s="4817">
        <f t="shared" si="2"/>
        <v>1</v>
      </c>
      <c r="I23" s="4819" t="s">
        <v>6142</v>
      </c>
      <c r="J23" s="4820"/>
      <c r="K23" s="4821">
        <v>1</v>
      </c>
      <c r="L23" s="4820">
        <v>118000</v>
      </c>
      <c r="M23" s="4820">
        <v>126000</v>
      </c>
      <c r="N23" s="4971">
        <f t="shared" si="7"/>
        <v>126000</v>
      </c>
      <c r="O23" s="4697">
        <v>118000</v>
      </c>
      <c r="P23" s="4678">
        <f t="shared" si="4"/>
        <v>13</v>
      </c>
      <c r="Q23" s="4679">
        <f t="shared" si="3"/>
        <v>1614000</v>
      </c>
      <c r="R23" s="4692">
        <v>36</v>
      </c>
      <c r="S23" s="4680" t="s">
        <v>5742</v>
      </c>
      <c r="T23" s="4694">
        <v>36</v>
      </c>
      <c r="U23" s="4700">
        <v>4</v>
      </c>
      <c r="V23" s="4692"/>
      <c r="W23" s="4680" t="s">
        <v>4521</v>
      </c>
      <c r="X23" s="4695"/>
      <c r="Y23" s="4692"/>
      <c r="Z23" s="4692" t="s">
        <v>5984</v>
      </c>
      <c r="AA23" s="4683" t="s">
        <v>5035</v>
      </c>
      <c r="AB23" s="4692" t="s">
        <v>2830</v>
      </c>
      <c r="AC23" s="4683" t="s">
        <v>5050</v>
      </c>
      <c r="AD23" s="4692" t="s">
        <v>2814</v>
      </c>
      <c r="AE23" s="4696"/>
      <c r="AF23" s="4685">
        <f t="shared" si="6"/>
        <v>4</v>
      </c>
      <c r="AG23" s="4666"/>
    </row>
    <row r="24" spans="1:33" ht="33.75" customHeight="1">
      <c r="A24" s="4686">
        <v>17</v>
      </c>
      <c r="B24" s="4816">
        <v>46281</v>
      </c>
      <c r="C24" s="4816">
        <v>46283</v>
      </c>
      <c r="D24" s="4817">
        <f t="shared" si="0"/>
        <v>2</v>
      </c>
      <c r="E24" s="4816">
        <v>46292</v>
      </c>
      <c r="F24" s="4818">
        <f t="shared" si="1"/>
        <v>10</v>
      </c>
      <c r="G24" s="5146">
        <v>46294</v>
      </c>
      <c r="H24" s="4817">
        <f t="shared" si="2"/>
        <v>1</v>
      </c>
      <c r="I24" s="4819" t="s">
        <v>6143</v>
      </c>
      <c r="J24" s="4820"/>
      <c r="K24" s="4821">
        <v>4</v>
      </c>
      <c r="L24" s="4820">
        <v>40000</v>
      </c>
      <c r="M24" s="4820">
        <v>44000</v>
      </c>
      <c r="N24" s="4971">
        <f t="shared" si="7"/>
        <v>176000</v>
      </c>
      <c r="O24" s="4697">
        <v>40000</v>
      </c>
      <c r="P24" s="4678">
        <f>SUM(D24,F24,H24)*K24</f>
        <v>52</v>
      </c>
      <c r="Q24" s="4679">
        <f t="shared" si="3"/>
        <v>2240000</v>
      </c>
      <c r="R24" s="4692">
        <v>34.200000000000003</v>
      </c>
      <c r="S24" s="4680" t="s">
        <v>5742</v>
      </c>
      <c r="T24" s="4694">
        <v>34.200000000000003</v>
      </c>
      <c r="U24" s="4700">
        <v>2</v>
      </c>
      <c r="V24" s="4692">
        <v>120</v>
      </c>
      <c r="W24" s="4680" t="s">
        <v>4521</v>
      </c>
      <c r="X24" s="4695">
        <v>200</v>
      </c>
      <c r="Y24" s="4692">
        <v>2</v>
      </c>
      <c r="Z24" s="4692" t="s">
        <v>5953</v>
      </c>
      <c r="AA24" s="4683" t="s">
        <v>5035</v>
      </c>
      <c r="AB24" s="4692" t="s">
        <v>2830</v>
      </c>
      <c r="AC24" s="4683" t="s">
        <v>5050</v>
      </c>
      <c r="AD24" s="4692" t="s">
        <v>2814</v>
      </c>
      <c r="AE24" s="4696"/>
      <c r="AF24" s="4685">
        <f t="shared" si="6"/>
        <v>8</v>
      </c>
      <c r="AG24" s="4666"/>
    </row>
    <row r="25" spans="1:33" ht="33.75" customHeight="1">
      <c r="A25" s="4686">
        <v>18</v>
      </c>
      <c r="B25" s="4816">
        <v>46281</v>
      </c>
      <c r="C25" s="4816">
        <v>46283</v>
      </c>
      <c r="D25" s="4817">
        <f t="shared" si="0"/>
        <v>2</v>
      </c>
      <c r="E25" s="4816">
        <v>46292</v>
      </c>
      <c r="F25" s="4818">
        <f t="shared" si="1"/>
        <v>10</v>
      </c>
      <c r="G25" s="5146">
        <v>46294</v>
      </c>
      <c r="H25" s="4817">
        <f t="shared" si="2"/>
        <v>1</v>
      </c>
      <c r="I25" s="4819" t="s">
        <v>6144</v>
      </c>
      <c r="J25" s="4820"/>
      <c r="K25" s="4821">
        <v>2</v>
      </c>
      <c r="L25" s="4820">
        <v>45000</v>
      </c>
      <c r="M25" s="4820">
        <v>49000</v>
      </c>
      <c r="N25" s="4971">
        <f t="shared" si="7"/>
        <v>98000</v>
      </c>
      <c r="O25" s="4697">
        <v>45000</v>
      </c>
      <c r="P25" s="4678">
        <f t="shared" si="4"/>
        <v>26</v>
      </c>
      <c r="Q25" s="4679">
        <f t="shared" si="3"/>
        <v>1250000</v>
      </c>
      <c r="R25" s="4692">
        <v>37.9</v>
      </c>
      <c r="S25" s="4680" t="s">
        <v>5742</v>
      </c>
      <c r="T25" s="4694">
        <v>37.9</v>
      </c>
      <c r="U25" s="4700">
        <v>2</v>
      </c>
      <c r="V25" s="4692">
        <v>120</v>
      </c>
      <c r="W25" s="4680" t="s">
        <v>4521</v>
      </c>
      <c r="X25" s="4695">
        <v>200</v>
      </c>
      <c r="Y25" s="4692">
        <v>2</v>
      </c>
      <c r="Z25" s="4692" t="s">
        <v>5984</v>
      </c>
      <c r="AA25" s="4683" t="s">
        <v>5035</v>
      </c>
      <c r="AB25" s="4692" t="s">
        <v>2830</v>
      </c>
      <c r="AC25" s="4683" t="s">
        <v>5050</v>
      </c>
      <c r="AD25" s="4692" t="s">
        <v>2814</v>
      </c>
      <c r="AE25" s="4696"/>
      <c r="AF25" s="4685">
        <f t="shared" si="6"/>
        <v>4</v>
      </c>
      <c r="AG25" s="4666"/>
    </row>
    <row r="26" spans="1:33" ht="33.75" customHeight="1">
      <c r="A26" s="4686">
        <v>19</v>
      </c>
      <c r="B26" s="4816">
        <v>46281</v>
      </c>
      <c r="C26" s="4816">
        <v>46283</v>
      </c>
      <c r="D26" s="4817">
        <f t="shared" si="0"/>
        <v>2</v>
      </c>
      <c r="E26" s="4816">
        <v>46292</v>
      </c>
      <c r="F26" s="4818">
        <f t="shared" si="1"/>
        <v>10</v>
      </c>
      <c r="G26" s="5146">
        <v>46294</v>
      </c>
      <c r="H26" s="4817">
        <f t="shared" si="2"/>
        <v>1</v>
      </c>
      <c r="I26" s="4819" t="s">
        <v>6145</v>
      </c>
      <c r="J26" s="4820"/>
      <c r="K26" s="4821">
        <v>1</v>
      </c>
      <c r="L26" s="4820">
        <v>84000</v>
      </c>
      <c r="M26" s="4820">
        <v>90000</v>
      </c>
      <c r="N26" s="4971">
        <f t="shared" si="7"/>
        <v>90000</v>
      </c>
      <c r="O26" s="4697">
        <v>84000</v>
      </c>
      <c r="P26" s="4678">
        <f t="shared" si="4"/>
        <v>13</v>
      </c>
      <c r="Q26" s="4679">
        <f t="shared" si="3"/>
        <v>1152000</v>
      </c>
      <c r="R26" s="4692">
        <v>64.5</v>
      </c>
      <c r="S26" s="4680" t="s">
        <v>5739</v>
      </c>
      <c r="T26" s="4694">
        <v>64.5</v>
      </c>
      <c r="U26" s="4700">
        <v>3</v>
      </c>
      <c r="V26" s="4692">
        <v>120</v>
      </c>
      <c r="W26" s="4680" t="s">
        <v>4521</v>
      </c>
      <c r="X26" s="4695">
        <v>200</v>
      </c>
      <c r="Y26" s="4692">
        <v>2</v>
      </c>
      <c r="Z26" s="4692" t="s">
        <v>5984</v>
      </c>
      <c r="AA26" s="4683" t="s">
        <v>5035</v>
      </c>
      <c r="AB26" s="4692" t="s">
        <v>2830</v>
      </c>
      <c r="AC26" s="4683" t="s">
        <v>5050</v>
      </c>
      <c r="AD26" s="4692" t="s">
        <v>2814</v>
      </c>
      <c r="AE26" s="4696"/>
      <c r="AF26" s="4685">
        <f t="shared" si="6"/>
        <v>3</v>
      </c>
      <c r="AG26" s="4666"/>
    </row>
    <row r="27" spans="1:33" ht="33.75" customHeight="1" thickBot="1">
      <c r="A27" s="4686">
        <v>20</v>
      </c>
      <c r="B27" s="4816">
        <v>46281</v>
      </c>
      <c r="C27" s="4816">
        <v>46283</v>
      </c>
      <c r="D27" s="4817">
        <f t="shared" si="0"/>
        <v>2</v>
      </c>
      <c r="E27" s="4816">
        <v>46292</v>
      </c>
      <c r="F27" s="4818">
        <f t="shared" si="1"/>
        <v>10</v>
      </c>
      <c r="G27" s="5146">
        <v>46294</v>
      </c>
      <c r="H27" s="4817">
        <f t="shared" si="2"/>
        <v>1</v>
      </c>
      <c r="I27" s="4819" t="s">
        <v>6146</v>
      </c>
      <c r="J27" s="4820"/>
      <c r="K27" s="4821">
        <v>1</v>
      </c>
      <c r="L27" s="4820">
        <v>84000</v>
      </c>
      <c r="M27" s="4820">
        <v>90000</v>
      </c>
      <c r="N27" s="4971">
        <f t="shared" si="7"/>
        <v>90000</v>
      </c>
      <c r="O27" s="4697">
        <v>84000</v>
      </c>
      <c r="P27" s="4678">
        <f t="shared" si="4"/>
        <v>13</v>
      </c>
      <c r="Q27" s="4679">
        <f t="shared" si="3"/>
        <v>1152000</v>
      </c>
      <c r="R27" s="4692">
        <v>64.5</v>
      </c>
      <c r="S27" s="4680" t="s">
        <v>5739</v>
      </c>
      <c r="T27" s="4694">
        <v>64.5</v>
      </c>
      <c r="U27" s="4700">
        <v>3</v>
      </c>
      <c r="V27" s="4692">
        <v>120</v>
      </c>
      <c r="W27" s="4680" t="s">
        <v>4521</v>
      </c>
      <c r="X27" s="4695">
        <v>200</v>
      </c>
      <c r="Y27" s="4692">
        <v>2</v>
      </c>
      <c r="Z27" s="4692" t="s">
        <v>5984</v>
      </c>
      <c r="AA27" s="4683" t="s">
        <v>5035</v>
      </c>
      <c r="AB27" s="4692" t="s">
        <v>2830</v>
      </c>
      <c r="AC27" s="4683" t="s">
        <v>5050</v>
      </c>
      <c r="AD27" s="4692" t="s">
        <v>2814</v>
      </c>
      <c r="AE27" s="4696"/>
      <c r="AF27" s="4685">
        <f t="shared" si="6"/>
        <v>3</v>
      </c>
      <c r="AG27" s="4666"/>
    </row>
    <row r="28" spans="1:33" ht="33.75" customHeight="1" thickTop="1" thickBot="1">
      <c r="A28" s="4701"/>
      <c r="B28" s="4702"/>
      <c r="C28" s="4702"/>
      <c r="D28" s="4702"/>
      <c r="E28" s="4702"/>
      <c r="F28" s="4703"/>
      <c r="G28" s="4704"/>
      <c r="H28" s="4702"/>
      <c r="I28" s="4705" t="s">
        <v>2432</v>
      </c>
      <c r="J28" s="4706">
        <f>SUM(J8:J27)</f>
        <v>0</v>
      </c>
      <c r="K28" s="4707">
        <f>SUM(K8:K27)</f>
        <v>104</v>
      </c>
      <c r="L28" s="4703"/>
      <c r="M28" s="4703"/>
      <c r="N28" s="4703"/>
      <c r="O28" s="4703"/>
      <c r="P28" s="4706">
        <f>SUM(P8:P27)</f>
        <v>1352</v>
      </c>
      <c r="Q28" s="4706">
        <f>SUM(Q8:Q27)</f>
        <v>70468000</v>
      </c>
      <c r="R28" s="6863"/>
      <c r="S28" s="6864"/>
      <c r="T28" s="6865"/>
      <c r="U28" s="4708"/>
      <c r="V28" s="6863"/>
      <c r="W28" s="6864"/>
      <c r="X28" s="6864"/>
      <c r="Y28" s="4708"/>
      <c r="Z28" s="4708"/>
      <c r="AA28" s="6866"/>
      <c r="AB28" s="6867"/>
      <c r="AC28" s="6866"/>
      <c r="AD28" s="6867"/>
      <c r="AE28" s="4709"/>
      <c r="AF28" s="4685">
        <f>SUM(AF8:AF27)</f>
        <v>237</v>
      </c>
      <c r="AG28" s="4666"/>
    </row>
    <row r="29" spans="1:33" ht="33.75" customHeight="1" thickBot="1">
      <c r="C29" s="4710"/>
      <c r="D29" s="4710"/>
      <c r="E29" s="4710"/>
      <c r="F29" s="4710"/>
      <c r="G29" s="4710"/>
      <c r="H29" s="4710"/>
      <c r="I29" s="4711"/>
      <c r="J29" s="4712"/>
      <c r="K29" s="4710"/>
      <c r="L29" s="4713" t="s">
        <v>5748</v>
      </c>
      <c r="M29" s="4714">
        <f>SUM(N8:N27)</f>
        <v>5530000</v>
      </c>
      <c r="N29" s="4715"/>
      <c r="O29" s="4715"/>
      <c r="P29" s="4715"/>
      <c r="S29" s="4656"/>
      <c r="W29" s="4656"/>
    </row>
    <row r="30" spans="1:33" ht="33.75" customHeight="1">
      <c r="A30" s="6845" t="s">
        <v>5749</v>
      </c>
      <c r="B30" s="6846"/>
      <c r="C30" s="4716">
        <f>P28</f>
        <v>1352</v>
      </c>
      <c r="D30" s="4717"/>
      <c r="F30" s="4718"/>
      <c r="H30" s="4719"/>
      <c r="I30" s="4720"/>
      <c r="K30" s="4659"/>
      <c r="L30" s="4721" t="s">
        <v>5750</v>
      </c>
      <c r="M30" s="4722">
        <f>M29*1.1</f>
        <v>6083000.0000000009</v>
      </c>
      <c r="P30" s="4656"/>
    </row>
    <row r="31" spans="1:33" ht="33.75" customHeight="1">
      <c r="A31" s="6991" t="s">
        <v>5805</v>
      </c>
      <c r="B31" s="6992"/>
      <c r="C31" s="5371">
        <f>Q28</f>
        <v>70468000</v>
      </c>
      <c r="D31" s="4717"/>
      <c r="F31" s="4724"/>
      <c r="H31" s="4719"/>
      <c r="I31" s="4720"/>
      <c r="K31" s="4659"/>
      <c r="P31" s="4656"/>
    </row>
    <row r="32" spans="1:33" ht="32.15" customHeight="1" thickBot="1">
      <c r="A32" s="6993" t="s">
        <v>5751</v>
      </c>
      <c r="B32" s="6994"/>
      <c r="C32" s="5372">
        <f>ROUNDDOWN(C31*1.1,0)</f>
        <v>77514800</v>
      </c>
      <c r="D32" s="4726"/>
      <c r="E32" s="4726"/>
      <c r="F32" s="4726"/>
      <c r="G32" s="4726"/>
      <c r="H32" s="4726"/>
      <c r="I32" s="4727"/>
    </row>
    <row r="33" spans="1:16" ht="33.75" customHeight="1">
      <c r="A33" s="4729"/>
      <c r="B33" s="4729"/>
      <c r="C33" s="4729"/>
      <c r="D33" s="4729"/>
      <c r="E33" s="4729"/>
      <c r="F33" s="4729"/>
      <c r="G33" s="4726"/>
      <c r="H33" s="4729"/>
      <c r="I33" s="4720"/>
      <c r="P33" s="4656"/>
    </row>
    <row r="34" spans="1:16" ht="33.75" customHeight="1">
      <c r="A34" s="4728" t="s">
        <v>5752</v>
      </c>
      <c r="B34" s="4728"/>
      <c r="C34" s="4729"/>
      <c r="D34" s="4729"/>
      <c r="E34" s="4729"/>
      <c r="F34" s="4729"/>
      <c r="G34" s="4726"/>
      <c r="H34" s="4729"/>
      <c r="I34" s="4720"/>
      <c r="P34" s="4656"/>
    </row>
    <row r="35" spans="1:16" ht="36" customHeight="1">
      <c r="A35" s="4728" t="s">
        <v>5809</v>
      </c>
      <c r="B35" s="4728"/>
    </row>
    <row r="36" spans="1:16" ht="36" customHeight="1">
      <c r="A36" s="4730" t="s">
        <v>5754</v>
      </c>
      <c r="B36" s="4730"/>
    </row>
    <row r="37" spans="1:16" ht="36" customHeight="1">
      <c r="A37" s="4728"/>
      <c r="B37" s="4728"/>
    </row>
    <row r="38" spans="1:16" ht="36" customHeight="1"/>
    <row r="39" spans="1:16" ht="36" customHeight="1"/>
    <row r="40" spans="1:16" ht="36" customHeight="1"/>
    <row r="41" spans="1:16" ht="36" customHeight="1"/>
    <row r="42" spans="1:16" ht="36" customHeight="1"/>
    <row r="43" spans="1:16" ht="36" customHeight="1"/>
    <row r="44" spans="1:16" ht="36" customHeight="1"/>
    <row r="45" spans="1:16" ht="10.15" customHeight="1"/>
  </sheetData>
  <mergeCells count="30">
    <mergeCell ref="C5:C6"/>
    <mergeCell ref="D5:D6"/>
    <mergeCell ref="E5:E6"/>
    <mergeCell ref="F5:F6"/>
    <mergeCell ref="AA5:AD6"/>
    <mergeCell ref="AE5:AE6"/>
    <mergeCell ref="AF5:AF6"/>
    <mergeCell ref="R28:T28"/>
    <mergeCell ref="V28:X28"/>
    <mergeCell ref="AA28:AB28"/>
    <mergeCell ref="AC28:AD28"/>
    <mergeCell ref="R5:T6"/>
    <mergeCell ref="U5:U6"/>
    <mergeCell ref="V5:X6"/>
    <mergeCell ref="A30:B30"/>
    <mergeCell ref="A31:B31"/>
    <mergeCell ref="A32:B32"/>
    <mergeCell ref="Y5:Y6"/>
    <mergeCell ref="Z5:Z6"/>
    <mergeCell ref="M5:M6"/>
    <mergeCell ref="O5:O6"/>
    <mergeCell ref="P5:Q5"/>
    <mergeCell ref="G5:G6"/>
    <mergeCell ref="H5:H6"/>
    <mergeCell ref="I5:I6"/>
    <mergeCell ref="J5:J6"/>
    <mergeCell ref="K5:K6"/>
    <mergeCell ref="L5:L6"/>
    <mergeCell ref="A5:A6"/>
    <mergeCell ref="B5:B6"/>
  </mergeCells>
  <phoneticPr fontId="2"/>
  <conditionalFormatting sqref="A2">
    <cfRule type="containsBlanks" dxfId="526" priority="6">
      <formula>LEN(TRIM(A2))=0</formula>
    </cfRule>
  </conditionalFormatting>
  <conditionalFormatting sqref="B8:C27">
    <cfRule type="containsBlanks" dxfId="525" priority="3">
      <formula>LEN(TRIM(B8))=0</formula>
    </cfRule>
  </conditionalFormatting>
  <conditionalFormatting sqref="D7:D27">
    <cfRule type="containsBlanks" dxfId="524" priority="2">
      <formula>LEN(TRIM(D7))=0</formula>
    </cfRule>
  </conditionalFormatting>
  <conditionalFormatting sqref="E8:O27">
    <cfRule type="containsBlanks" dxfId="523" priority="1">
      <formula>LEN(TRIM(E8))=0</formula>
    </cfRule>
  </conditionalFormatting>
  <conditionalFormatting sqref="F7">
    <cfRule type="containsBlanks" dxfId="522" priority="5">
      <formula>LEN(TRIM(F7))=0</formula>
    </cfRule>
  </conditionalFormatting>
  <conditionalFormatting sqref="H7:O7">
    <cfRule type="containsBlanks" dxfId="521" priority="4">
      <formula>LEN(TRIM(H7))=0</formula>
    </cfRule>
  </conditionalFormatting>
  <conditionalFormatting sqref="Q7:R27">
    <cfRule type="containsBlanks" dxfId="520" priority="10">
      <formula>LEN(TRIM(Q7))=0</formula>
    </cfRule>
  </conditionalFormatting>
  <conditionalFormatting sqref="T7:V27">
    <cfRule type="containsBlanks" dxfId="519" priority="8">
      <formula>LEN(TRIM(T7))=0</formula>
    </cfRule>
  </conditionalFormatting>
  <conditionalFormatting sqref="X7:Z27">
    <cfRule type="containsBlanks" dxfId="518" priority="7">
      <formula>LEN(TRIM(X7))=0</formula>
    </cfRule>
  </conditionalFormatting>
  <conditionalFormatting sqref="AB7:AB27 AD7:AE27">
    <cfRule type="containsBlanks" dxfId="517" priority="9">
      <formula>LEN(TRIM(AB7))=0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645F-96C7-47B0-AC05-FAE656A3839F}">
  <sheetPr codeName="Sheet348">
    <tabColor rgb="FFFFFF66"/>
    <pageSetUpPr fitToPage="1"/>
  </sheetPr>
  <dimension ref="A1:AE33"/>
  <sheetViews>
    <sheetView topLeftCell="A10" zoomScale="55" zoomScaleNormal="55" workbookViewId="0">
      <selection activeCell="BJ123" sqref="BJ123"/>
    </sheetView>
  </sheetViews>
  <sheetFormatPr defaultColWidth="9.81640625" defaultRowHeight="26.5"/>
  <cols>
    <col min="1" max="1" width="7.45312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1.8164062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
        <v>2332</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46281</v>
      </c>
      <c r="C8" s="4816">
        <v>46293</v>
      </c>
      <c r="D8" s="4759">
        <v>0</v>
      </c>
      <c r="E8" s="4759">
        <v>1</v>
      </c>
      <c r="F8" s="4760">
        <f t="shared" ref="F8:F17" si="1">IF(OR(ISBLANK($B8), ISBLANK($C8)), 0, _xlfn.DAYS($C8, $B8) + 1)</f>
        <v>13</v>
      </c>
      <c r="G8" s="4975" t="s">
        <v>6147</v>
      </c>
      <c r="H8" s="4762">
        <v>2</v>
      </c>
      <c r="I8" s="4763" t="s">
        <v>5784</v>
      </c>
      <c r="J8" s="4764">
        <v>12.63</v>
      </c>
      <c r="K8" s="4765">
        <v>5</v>
      </c>
      <c r="L8" s="4765">
        <v>70</v>
      </c>
      <c r="M8" s="4765">
        <v>2.5</v>
      </c>
      <c r="N8" s="4762">
        <v>100000</v>
      </c>
      <c r="O8" s="4766">
        <f t="shared" si="0"/>
        <v>1300000</v>
      </c>
      <c r="P8" s="4857" t="s">
        <v>3804</v>
      </c>
      <c r="Q8" s="4858"/>
      <c r="R8" s="4864" t="s">
        <v>2688</v>
      </c>
      <c r="S8" s="4858"/>
      <c r="T8" s="4859" t="s">
        <v>2133</v>
      </c>
      <c r="U8" s="4860"/>
    </row>
    <row r="9" spans="1:31" ht="33.75" customHeight="1">
      <c r="A9" s="4758">
        <v>2</v>
      </c>
      <c r="B9" s="4816">
        <v>46294</v>
      </c>
      <c r="C9" s="4816">
        <v>46294</v>
      </c>
      <c r="D9" s="4759">
        <v>0</v>
      </c>
      <c r="E9" s="4759">
        <v>0.5</v>
      </c>
      <c r="F9" s="4760">
        <f t="shared" si="1"/>
        <v>1</v>
      </c>
      <c r="G9" s="4975" t="s">
        <v>6148</v>
      </c>
      <c r="H9" s="4762">
        <v>2</v>
      </c>
      <c r="I9" s="4763" t="s">
        <v>5784</v>
      </c>
      <c r="J9" s="4764">
        <v>12.63</v>
      </c>
      <c r="K9" s="4765">
        <v>5</v>
      </c>
      <c r="L9" s="4765">
        <v>70</v>
      </c>
      <c r="M9" s="4765">
        <v>2.5</v>
      </c>
      <c r="N9" s="4762">
        <v>50000</v>
      </c>
      <c r="O9" s="4766">
        <f t="shared" si="0"/>
        <v>50000</v>
      </c>
      <c r="P9" s="4857" t="s">
        <v>3804</v>
      </c>
      <c r="Q9" s="4858"/>
      <c r="R9" s="4864" t="s">
        <v>2688</v>
      </c>
      <c r="S9" s="4858"/>
      <c r="T9" s="4859" t="s">
        <v>2133</v>
      </c>
      <c r="U9" s="4860"/>
      <c r="AC9" s="4657"/>
    </row>
    <row r="10" spans="1:31" ht="33.75" customHeight="1">
      <c r="A10" s="4758">
        <v>3</v>
      </c>
      <c r="B10" s="4816">
        <v>46281</v>
      </c>
      <c r="C10" s="4816">
        <v>46293</v>
      </c>
      <c r="D10" s="4759">
        <v>0</v>
      </c>
      <c r="E10" s="4759">
        <v>1</v>
      </c>
      <c r="F10" s="4770">
        <f t="shared" si="1"/>
        <v>13</v>
      </c>
      <c r="G10" s="4975" t="s">
        <v>6149</v>
      </c>
      <c r="H10" s="4762">
        <v>2</v>
      </c>
      <c r="I10" s="4763" t="s">
        <v>5784</v>
      </c>
      <c r="J10" s="4764">
        <v>47</v>
      </c>
      <c r="K10" s="4765">
        <v>14</v>
      </c>
      <c r="L10" s="4765">
        <v>658</v>
      </c>
      <c r="M10" s="4765">
        <v>3.6</v>
      </c>
      <c r="N10" s="4762">
        <v>400000</v>
      </c>
      <c r="O10" s="4766">
        <f t="shared" si="0"/>
        <v>5200000</v>
      </c>
      <c r="P10" s="4909" t="s">
        <v>5782</v>
      </c>
      <c r="Q10" s="4858">
        <v>4</v>
      </c>
      <c r="R10" s="4864" t="s">
        <v>2688</v>
      </c>
      <c r="S10" s="4858"/>
      <c r="T10" s="4859" t="s">
        <v>2133</v>
      </c>
      <c r="U10" s="4860"/>
      <c r="AC10" s="4657"/>
    </row>
    <row r="11" spans="1:31" ht="33.75" customHeight="1">
      <c r="A11" s="4758">
        <v>4</v>
      </c>
      <c r="B11" s="4816">
        <v>46294</v>
      </c>
      <c r="C11" s="4816">
        <v>46294</v>
      </c>
      <c r="D11" s="4759">
        <v>0</v>
      </c>
      <c r="E11" s="4759">
        <v>0.5</v>
      </c>
      <c r="F11" s="4760">
        <f t="shared" si="1"/>
        <v>1</v>
      </c>
      <c r="G11" s="4975" t="s">
        <v>6150</v>
      </c>
      <c r="H11" s="4762">
        <v>2</v>
      </c>
      <c r="I11" s="4763" t="s">
        <v>5784</v>
      </c>
      <c r="J11" s="4764">
        <v>47</v>
      </c>
      <c r="K11" s="4765">
        <v>14</v>
      </c>
      <c r="L11" s="4765">
        <v>658</v>
      </c>
      <c r="M11" s="4765">
        <v>3.6</v>
      </c>
      <c r="N11" s="4762">
        <v>200000</v>
      </c>
      <c r="O11" s="4766">
        <f t="shared" si="0"/>
        <v>200000</v>
      </c>
      <c r="P11" s="4857" t="s">
        <v>6151</v>
      </c>
      <c r="Q11" s="4858">
        <v>4</v>
      </c>
      <c r="R11" s="4859" t="s">
        <v>2688</v>
      </c>
      <c r="S11" s="4858"/>
      <c r="T11" s="4859" t="s">
        <v>2133</v>
      </c>
      <c r="U11" s="4860"/>
      <c r="AC11" s="4657"/>
    </row>
    <row r="12" spans="1:31" ht="33.75" customHeight="1">
      <c r="A12" s="4758">
        <v>5</v>
      </c>
      <c r="B12" s="4816">
        <v>46281</v>
      </c>
      <c r="C12" s="4816">
        <v>46293</v>
      </c>
      <c r="D12" s="4759">
        <v>0</v>
      </c>
      <c r="E12" s="4759">
        <v>1</v>
      </c>
      <c r="F12" s="4760">
        <f t="shared" si="1"/>
        <v>13</v>
      </c>
      <c r="G12" s="4975" t="s">
        <v>6152</v>
      </c>
      <c r="H12" s="4762">
        <v>3</v>
      </c>
      <c r="I12" s="4763" t="s">
        <v>5190</v>
      </c>
      <c r="J12" s="4764">
        <v>29.1</v>
      </c>
      <c r="K12" s="4765">
        <v>13.2</v>
      </c>
      <c r="L12" s="4765">
        <v>377</v>
      </c>
      <c r="M12" s="4765">
        <v>2.5</v>
      </c>
      <c r="N12" s="4762">
        <v>250000</v>
      </c>
      <c r="O12" s="4766">
        <f t="shared" si="0"/>
        <v>3250000</v>
      </c>
      <c r="P12" s="4857" t="s">
        <v>6151</v>
      </c>
      <c r="Q12" s="4858">
        <v>5</v>
      </c>
      <c r="R12" s="4859" t="s">
        <v>2688</v>
      </c>
      <c r="S12" s="4858"/>
      <c r="T12" s="4859" t="s">
        <v>2133</v>
      </c>
      <c r="U12" s="4860"/>
      <c r="AC12" s="4657"/>
    </row>
    <row r="13" spans="1:31" ht="33.75" customHeight="1">
      <c r="A13" s="4758">
        <v>6</v>
      </c>
      <c r="B13" s="4816">
        <v>46294</v>
      </c>
      <c r="C13" s="4816">
        <v>46294</v>
      </c>
      <c r="D13" s="4759">
        <v>0</v>
      </c>
      <c r="E13" s="4759">
        <v>0.5</v>
      </c>
      <c r="F13" s="4760">
        <f t="shared" si="1"/>
        <v>1</v>
      </c>
      <c r="G13" s="5373" t="s">
        <v>6153</v>
      </c>
      <c r="H13" s="4762">
        <v>3</v>
      </c>
      <c r="I13" s="4763" t="s">
        <v>5190</v>
      </c>
      <c r="J13" s="4764">
        <v>29.1</v>
      </c>
      <c r="K13" s="4765">
        <v>13.2</v>
      </c>
      <c r="L13" s="4765">
        <v>377</v>
      </c>
      <c r="M13" s="4765">
        <v>2.5</v>
      </c>
      <c r="N13" s="4762">
        <v>125000</v>
      </c>
      <c r="O13" s="4766">
        <f t="shared" si="0"/>
        <v>125000</v>
      </c>
      <c r="P13" s="4857" t="s">
        <v>6151</v>
      </c>
      <c r="Q13" s="4858">
        <v>5</v>
      </c>
      <c r="R13" s="4859" t="s">
        <v>2688</v>
      </c>
      <c r="S13" s="4858"/>
      <c r="T13" s="4859" t="s">
        <v>2133</v>
      </c>
      <c r="U13" s="4860"/>
      <c r="AC13" s="4657"/>
    </row>
    <row r="14" spans="1:31" ht="33.75" customHeight="1">
      <c r="A14" s="4758">
        <v>7</v>
      </c>
      <c r="B14" s="4816">
        <v>46281</v>
      </c>
      <c r="C14" s="4816">
        <v>46293</v>
      </c>
      <c r="D14" s="4759">
        <v>0</v>
      </c>
      <c r="E14" s="4759">
        <v>1</v>
      </c>
      <c r="F14" s="4760">
        <f t="shared" si="1"/>
        <v>13</v>
      </c>
      <c r="G14" s="5373" t="s">
        <v>6154</v>
      </c>
      <c r="H14" s="4762">
        <v>3</v>
      </c>
      <c r="I14" s="4763" t="s">
        <v>5190</v>
      </c>
      <c r="J14" s="4764">
        <v>47</v>
      </c>
      <c r="K14" s="4765">
        <v>14.4</v>
      </c>
      <c r="L14" s="4765">
        <v>658</v>
      </c>
      <c r="M14" s="4765">
        <v>2.7</v>
      </c>
      <c r="N14" s="4762">
        <v>150000</v>
      </c>
      <c r="O14" s="4766">
        <f t="shared" si="0"/>
        <v>1950000</v>
      </c>
      <c r="P14" s="4857" t="s">
        <v>3804</v>
      </c>
      <c r="Q14" s="4858"/>
      <c r="R14" s="4859" t="s">
        <v>2688</v>
      </c>
      <c r="S14" s="4858"/>
      <c r="T14" s="4859" t="s">
        <v>2133</v>
      </c>
      <c r="U14" s="4860"/>
      <c r="AC14" s="4657"/>
    </row>
    <row r="15" spans="1:31" ht="33.75" customHeight="1">
      <c r="A15" s="4758">
        <v>8</v>
      </c>
      <c r="B15" s="4816">
        <v>46294</v>
      </c>
      <c r="C15" s="4816">
        <v>46294</v>
      </c>
      <c r="D15" s="4759">
        <v>0</v>
      </c>
      <c r="E15" s="4759">
        <v>0.5</v>
      </c>
      <c r="F15" s="4760">
        <f t="shared" si="1"/>
        <v>1</v>
      </c>
      <c r="G15" s="4950" t="s">
        <v>6155</v>
      </c>
      <c r="H15" s="4762">
        <v>3</v>
      </c>
      <c r="I15" s="4763" t="s">
        <v>5190</v>
      </c>
      <c r="J15" s="4764">
        <v>47</v>
      </c>
      <c r="K15" s="4765">
        <v>14.4</v>
      </c>
      <c r="L15" s="4765">
        <v>658</v>
      </c>
      <c r="M15" s="4765">
        <v>2.7</v>
      </c>
      <c r="N15" s="4762">
        <v>75000</v>
      </c>
      <c r="O15" s="4766">
        <f t="shared" si="0"/>
        <v>75000</v>
      </c>
      <c r="P15" s="4857" t="s">
        <v>3804</v>
      </c>
      <c r="Q15" s="4858"/>
      <c r="R15" s="4859" t="s">
        <v>2688</v>
      </c>
      <c r="S15" s="4858"/>
      <c r="T15" s="4859" t="s">
        <v>2133</v>
      </c>
      <c r="U15" s="4860"/>
      <c r="AC15" s="4657"/>
    </row>
    <row r="16" spans="1:31" ht="33.75" customHeight="1">
      <c r="A16" s="4758">
        <v>9</v>
      </c>
      <c r="B16" s="4816">
        <v>46281</v>
      </c>
      <c r="C16" s="4816">
        <v>46293</v>
      </c>
      <c r="D16" s="4759">
        <v>0</v>
      </c>
      <c r="E16" s="4759">
        <v>1</v>
      </c>
      <c r="F16" s="4760">
        <f t="shared" si="1"/>
        <v>13</v>
      </c>
      <c r="G16" s="4950" t="s">
        <v>6156</v>
      </c>
      <c r="H16" s="4762">
        <v>3</v>
      </c>
      <c r="I16" s="4763" t="s">
        <v>5190</v>
      </c>
      <c r="J16" s="4764">
        <v>47</v>
      </c>
      <c r="K16" s="4765">
        <v>14.4</v>
      </c>
      <c r="L16" s="4765">
        <v>658</v>
      </c>
      <c r="M16" s="4765">
        <v>2.7</v>
      </c>
      <c r="N16" s="4762">
        <v>150000</v>
      </c>
      <c r="O16" s="4766">
        <f t="shared" si="0"/>
        <v>1950000</v>
      </c>
      <c r="P16" s="4857" t="s">
        <v>3804</v>
      </c>
      <c r="Q16" s="4858"/>
      <c r="R16" s="4859" t="s">
        <v>2688</v>
      </c>
      <c r="S16" s="4858"/>
      <c r="T16" s="4859" t="s">
        <v>2133</v>
      </c>
      <c r="U16" s="4860"/>
      <c r="AC16" s="4657"/>
    </row>
    <row r="17" spans="1:31" ht="33.75" customHeight="1" thickBot="1">
      <c r="A17" s="4772">
        <v>10</v>
      </c>
      <c r="B17" s="4816">
        <v>46294</v>
      </c>
      <c r="C17" s="4816">
        <v>46294</v>
      </c>
      <c r="D17" s="4759">
        <v>0</v>
      </c>
      <c r="E17" s="4759">
        <v>0.5</v>
      </c>
      <c r="F17" s="4770">
        <f t="shared" si="1"/>
        <v>1</v>
      </c>
      <c r="G17" s="4953" t="s">
        <v>6156</v>
      </c>
      <c r="H17" s="4917">
        <v>3</v>
      </c>
      <c r="I17" s="4774" t="s">
        <v>5190</v>
      </c>
      <c r="J17" s="4764">
        <v>47</v>
      </c>
      <c r="K17" s="4765">
        <v>14.4</v>
      </c>
      <c r="L17" s="4765">
        <v>658</v>
      </c>
      <c r="M17" s="4765">
        <v>2.7</v>
      </c>
      <c r="N17" s="4775">
        <v>75000</v>
      </c>
      <c r="O17" s="4776">
        <f t="shared" si="0"/>
        <v>75000</v>
      </c>
      <c r="P17" s="4918" t="s">
        <v>3804</v>
      </c>
      <c r="Q17" s="4919"/>
      <c r="R17" s="4920" t="s">
        <v>2688</v>
      </c>
      <c r="S17" s="4919"/>
      <c r="T17" s="4920" t="s">
        <v>2133</v>
      </c>
      <c r="U17" s="4921"/>
      <c r="AC17" s="4657"/>
    </row>
    <row r="18" spans="1:31" ht="33.75" customHeight="1" thickTop="1" thickBot="1">
      <c r="A18" s="4865" t="s">
        <v>127</v>
      </c>
      <c r="B18" s="4866"/>
      <c r="C18" s="4866"/>
      <c r="D18" s="4866"/>
      <c r="E18" s="4866"/>
      <c r="F18" s="4867">
        <f>SUM(F8:F17)</f>
        <v>70</v>
      </c>
      <c r="G18" s="4866"/>
      <c r="H18" s="4868"/>
      <c r="I18" s="4782">
        <f>COUNTA(G8,G10,G12,G14,G16)</f>
        <v>5</v>
      </c>
      <c r="J18" s="4869"/>
      <c r="K18" s="4870"/>
      <c r="L18" s="4870"/>
      <c r="M18" s="4870"/>
      <c r="N18" s="5062"/>
      <c r="O18" s="4871">
        <f>SUM(O8:O17)</f>
        <v>14175000</v>
      </c>
      <c r="P18" s="4872"/>
      <c r="Q18" s="4872"/>
      <c r="R18" s="4873"/>
      <c r="S18" s="4874"/>
      <c r="T18" s="4873"/>
      <c r="U18" s="4875"/>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15592500.000000002</v>
      </c>
      <c r="P19" s="4884"/>
      <c r="Q19" s="4885"/>
      <c r="R19" s="4886"/>
      <c r="S19" s="4887"/>
      <c r="T19" s="4886"/>
      <c r="U19" s="4888"/>
      <c r="AC19" s="4657"/>
    </row>
    <row r="20" spans="1:31" ht="32.15" customHeight="1">
      <c r="A20" s="4656"/>
      <c r="B20" s="4660"/>
      <c r="C20" s="4660"/>
      <c r="D20" s="4660"/>
      <c r="G20" s="4660"/>
      <c r="H20" s="4660"/>
      <c r="M20" s="4808" t="s">
        <v>5748</v>
      </c>
      <c r="N20" s="4809">
        <f>SUM(N8,N10,N12,N14,N16)</f>
        <v>1050000</v>
      </c>
      <c r="O20" s="4656"/>
      <c r="P20" s="4657"/>
      <c r="Q20" s="4657"/>
      <c r="AC20" s="4657"/>
    </row>
    <row r="21" spans="1:31" ht="32.15" customHeight="1">
      <c r="B21" s="4657"/>
      <c r="C21" s="4657"/>
      <c r="D21" s="4657"/>
      <c r="E21" s="4810"/>
      <c r="F21" s="4811"/>
      <c r="G21" s="4657"/>
      <c r="H21" s="4657"/>
      <c r="M21" s="4808" t="s">
        <v>5750</v>
      </c>
      <c r="N21" s="4809">
        <f>N20*1.1</f>
        <v>1155000</v>
      </c>
      <c r="O21" s="4656"/>
      <c r="P21" s="4657"/>
      <c r="Q21" s="4657"/>
      <c r="AC21" s="4657"/>
    </row>
    <row r="22" spans="1:31" ht="32.15" customHeight="1">
      <c r="A22" s="4812"/>
      <c r="B22" s="4813"/>
      <c r="C22" s="4813"/>
      <c r="D22" s="4813"/>
      <c r="E22" s="4814"/>
      <c r="F22" s="4814"/>
      <c r="G22" s="4813"/>
      <c r="H22" s="4813"/>
      <c r="I22" s="4812"/>
      <c r="J22" s="4812"/>
      <c r="K22" s="4812"/>
      <c r="L22" s="4812"/>
      <c r="M22" s="4812"/>
      <c r="N22" s="4812"/>
      <c r="O22" s="4715"/>
      <c r="P22" s="4715"/>
      <c r="Q22" s="4715"/>
      <c r="R22" s="4656"/>
      <c r="S22" s="4812"/>
      <c r="T22" s="4656"/>
      <c r="U22" s="4812"/>
      <c r="W22" s="6905"/>
      <c r="X22" s="6905"/>
      <c r="Y22" s="6905"/>
      <c r="Z22" s="6905"/>
      <c r="AA22" s="6905"/>
      <c r="AB22" s="6891"/>
      <c r="AC22" s="6891"/>
      <c r="AD22" s="6891"/>
      <c r="AE22" s="6891"/>
    </row>
    <row r="23" spans="1:31" ht="36" customHeight="1"/>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10.15" customHeight="1">
      <c r="B33" s="4657"/>
      <c r="C33" s="4657"/>
      <c r="D33" s="4657"/>
      <c r="G33" s="4657"/>
      <c r="H33" s="4657"/>
      <c r="O33" s="4656"/>
      <c r="P33" s="4657"/>
      <c r="Q33" s="4657"/>
      <c r="AC33" s="4657"/>
    </row>
  </sheetData>
  <mergeCells count="21">
    <mergeCell ref="A2:B2"/>
    <mergeCell ref="C2:G2"/>
    <mergeCell ref="A5:A6"/>
    <mergeCell ref="B5:B6"/>
    <mergeCell ref="C5:C6"/>
    <mergeCell ref="D5:D6"/>
    <mergeCell ref="E5:E6"/>
    <mergeCell ref="F5:F6"/>
    <mergeCell ref="G5:G6"/>
    <mergeCell ref="AB22:AE22"/>
    <mergeCell ref="H5:H6"/>
    <mergeCell ref="I5:I6"/>
    <mergeCell ref="J5:J6"/>
    <mergeCell ref="K5:K6"/>
    <mergeCell ref="L5:L6"/>
    <mergeCell ref="M5:M6"/>
    <mergeCell ref="N5:N6"/>
    <mergeCell ref="O5:O6"/>
    <mergeCell ref="P5:Q5"/>
    <mergeCell ref="R5:U5"/>
    <mergeCell ref="W22:AA22"/>
  </mergeCells>
  <phoneticPr fontId="2"/>
  <conditionalFormatting sqref="B8:E17 G8:N17">
    <cfRule type="containsBlanks" dxfId="516" priority="1">
      <formula>LEN(TRIM(B8))=0</formula>
    </cfRule>
  </conditionalFormatting>
  <conditionalFormatting sqref="C2:D2">
    <cfRule type="containsBlanks" dxfId="515" priority="2">
      <formula>LEN(TRIM(C2))=0</formula>
    </cfRule>
  </conditionalFormatting>
  <conditionalFormatting sqref="P8:U17">
    <cfRule type="containsBlanks" dxfId="514" priority="3">
      <formula>LEN(TRIM(P8))=0</formula>
    </cfRule>
  </conditionalFormatting>
  <dataValidations count="1">
    <dataValidation type="list" allowBlank="1" showInputMessage="1" showErrorMessage="1" sqref="I7:I17" xr:uid="{1A9D3BC2-2E7F-49B5-A078-1B7C252B1E7A}">
      <formula1>会場形態</formula1>
    </dataValidation>
  </dataValidations>
  <printOptions horizontalCentered="1"/>
  <pageMargins left="0.59055118110236227" right="0.59055118110236227" top="0.74803149606299213" bottom="0.74803149606299213" header="0.31496062992125984" footer="0.31496062992125984"/>
  <pageSetup paperSize="9" scale="44" orientation="landscape" r:id="rId1"/>
  <headerFooter>
    <oddHeader>&amp;R&amp;G</oddHead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4B250-F8FA-43C3-B806-C5208D0B91BD}">
  <sheetPr codeName="Sheet349">
    <tabColor rgb="FFFFFF66"/>
    <pageSetUpPr fitToPage="1"/>
  </sheetPr>
  <dimension ref="A1:AG40"/>
  <sheetViews>
    <sheetView topLeftCell="A13"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7.4531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3" ht="21" customHeight="1" thickBot="1">
      <c r="S1" s="4656"/>
      <c r="U1" s="4660"/>
      <c r="W1" s="4656"/>
    </row>
    <row r="2" spans="1:33" ht="44.25" customHeight="1" thickBot="1">
      <c r="A2" s="6874" t="s">
        <v>5707</v>
      </c>
      <c r="B2" s="6875"/>
      <c r="C2" s="6876" t="s">
        <v>6157</v>
      </c>
      <c r="D2" s="6876"/>
      <c r="E2" s="6876"/>
      <c r="F2" s="6876"/>
      <c r="G2" s="6876"/>
      <c r="H2" s="4661"/>
      <c r="I2" s="4662"/>
      <c r="J2" s="4663"/>
      <c r="L2" s="4663"/>
      <c r="M2" s="4663"/>
      <c r="N2" s="4663"/>
      <c r="O2" s="4663"/>
      <c r="S2" s="4656"/>
      <c r="U2" s="4660"/>
      <c r="W2" s="4656"/>
      <c r="AE2" s="4664" t="s">
        <v>5710</v>
      </c>
    </row>
    <row r="3" spans="1:33" ht="10.4" customHeight="1">
      <c r="S3" s="4656"/>
      <c r="U3" s="4660"/>
      <c r="W3" s="4656"/>
    </row>
    <row r="4" spans="1:33" ht="33.75" customHeight="1" thickBot="1">
      <c r="A4" s="4665" t="s">
        <v>5711</v>
      </c>
      <c r="B4" s="4665"/>
      <c r="S4" s="4656"/>
      <c r="W4" s="4656"/>
      <c r="Z4" s="4656"/>
      <c r="AA4" s="4656"/>
      <c r="AB4" s="4656"/>
      <c r="AC4" s="4656"/>
      <c r="AD4" s="4656"/>
      <c r="AF4" s="4656" t="s">
        <v>5712</v>
      </c>
    </row>
    <row r="5" spans="1:33"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c r="AG5" s="4666" t="s">
        <v>6158</v>
      </c>
    </row>
    <row r="6" spans="1:33"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3" ht="33.75" customHeight="1">
      <c r="A7" s="5374" t="s">
        <v>5737</v>
      </c>
      <c r="B7" s="5375">
        <v>46266</v>
      </c>
      <c r="C7" s="5376">
        <v>46268</v>
      </c>
      <c r="D7" s="5377">
        <f>IF(_xlfn.DAYS(C7,B7)=0,"1",_xlfn.DAYS(C7,B7))</f>
        <v>2</v>
      </c>
      <c r="E7" s="5376">
        <v>46280</v>
      </c>
      <c r="F7" s="5377">
        <f>IF(_xlfn.DAYS(E7,C7)=0,"1",_xlfn.DAYS(E7,C7))+1</f>
        <v>13</v>
      </c>
      <c r="G7" s="5378">
        <v>46282</v>
      </c>
      <c r="H7" s="5377">
        <f>IF(_xlfn.DAYS(G7,E7)=0,"1",_xlfn.DAYS(G7,E7))-1</f>
        <v>1</v>
      </c>
      <c r="I7" s="5379" t="s">
        <v>5738</v>
      </c>
      <c r="J7" s="5380">
        <v>100</v>
      </c>
      <c r="K7" s="5381">
        <v>90</v>
      </c>
      <c r="L7" s="5382">
        <v>9000</v>
      </c>
      <c r="M7" s="5382">
        <v>10000</v>
      </c>
      <c r="N7" s="4969"/>
      <c r="O7" s="5382">
        <v>8000</v>
      </c>
      <c r="P7" s="5383">
        <f>SUM(D7,F7,H7)*K7</f>
        <v>1440</v>
      </c>
      <c r="Q7" s="5384">
        <f>(D7*L7+F7*M7+H7*O7)*K7</f>
        <v>14040000</v>
      </c>
      <c r="R7" s="5380">
        <v>21</v>
      </c>
      <c r="S7" s="5385" t="s">
        <v>5739</v>
      </c>
      <c r="T7" s="5386">
        <v>21</v>
      </c>
      <c r="U7" s="5387">
        <v>1</v>
      </c>
      <c r="V7" s="5380">
        <v>154</v>
      </c>
      <c r="W7" s="5385" t="s">
        <v>4521</v>
      </c>
      <c r="X7" s="5388">
        <v>203</v>
      </c>
      <c r="Y7" s="5380">
        <v>1</v>
      </c>
      <c r="Z7" s="5380" t="s">
        <v>5740</v>
      </c>
      <c r="AA7" s="5389" t="s">
        <v>5035</v>
      </c>
      <c r="AB7" s="5380" t="s">
        <v>2830</v>
      </c>
      <c r="AC7" s="5389" t="s">
        <v>5050</v>
      </c>
      <c r="AD7" s="5380" t="s">
        <v>5741</v>
      </c>
      <c r="AE7" s="5390"/>
      <c r="AF7" s="4685"/>
    </row>
    <row r="8" spans="1:33" ht="33.75" customHeight="1">
      <c r="A8" s="4686">
        <v>1</v>
      </c>
      <c r="B8" s="4687">
        <v>46279</v>
      </c>
      <c r="C8" s="4687">
        <v>46281</v>
      </c>
      <c r="D8" s="4672">
        <f t="shared" ref="D8:D22" si="0">IF(_xlfn.DAYS(C8,B8)=0,"1",_xlfn.DAYS(C8,B8))</f>
        <v>2</v>
      </c>
      <c r="E8" s="4816">
        <v>46297</v>
      </c>
      <c r="F8" s="4818">
        <f t="shared" ref="F8:F22" si="1">IF(_xlfn.DAYS(E8,C8)=0,"1",_xlfn.DAYS(E8,C8))+1</f>
        <v>17</v>
      </c>
      <c r="G8" s="5146">
        <v>46299</v>
      </c>
      <c r="H8" s="4672">
        <f t="shared" ref="H8:H22" si="2">IF(_xlfn.DAYS(G8,E8)=0,"1",_xlfn.DAYS(G8,E8))-1</f>
        <v>1</v>
      </c>
      <c r="I8" s="4691" t="s">
        <v>6159</v>
      </c>
      <c r="J8" s="4820">
        <v>28</v>
      </c>
      <c r="K8" s="4820">
        <v>28</v>
      </c>
      <c r="L8" s="4820">
        <v>34000</v>
      </c>
      <c r="M8" s="4820">
        <v>57000</v>
      </c>
      <c r="N8" s="4971">
        <f>M8*K8</f>
        <v>1596000</v>
      </c>
      <c r="O8" s="4692">
        <v>34000</v>
      </c>
      <c r="P8" s="4678">
        <f>SUM(D8,F8,H8)*K8</f>
        <v>560</v>
      </c>
      <c r="Q8" s="4679">
        <f t="shared" ref="Q8:Q22" si="3">(D8*L8+F8*M8+H8*O8)*K8</f>
        <v>29988000</v>
      </c>
      <c r="R8" s="6995" t="s">
        <v>6128</v>
      </c>
      <c r="S8" s="6996"/>
      <c r="T8" s="6997"/>
      <c r="U8" s="4700">
        <v>2</v>
      </c>
      <c r="V8" s="4692"/>
      <c r="W8" s="4680" t="s">
        <v>4521</v>
      </c>
      <c r="X8" s="4695"/>
      <c r="Y8" s="4692">
        <v>0</v>
      </c>
      <c r="Z8" s="4692" t="s">
        <v>5984</v>
      </c>
      <c r="AA8" s="4683" t="s">
        <v>5035</v>
      </c>
      <c r="AB8" s="4692" t="s">
        <v>2826</v>
      </c>
      <c r="AC8" s="4683" t="s">
        <v>5050</v>
      </c>
      <c r="AD8" s="4692" t="s">
        <v>2814</v>
      </c>
      <c r="AE8" s="4696"/>
      <c r="AF8" s="4685">
        <f>U8*K8</f>
        <v>56</v>
      </c>
      <c r="AG8" s="4657">
        <f>P8*U8*150</f>
        <v>168000</v>
      </c>
    </row>
    <row r="9" spans="1:33" ht="33.75" customHeight="1">
      <c r="A9" s="4686">
        <v>2</v>
      </c>
      <c r="B9" s="4687">
        <v>46279</v>
      </c>
      <c r="C9" s="4687">
        <v>46281</v>
      </c>
      <c r="D9" s="4672">
        <f t="shared" si="0"/>
        <v>2</v>
      </c>
      <c r="E9" s="4816">
        <v>46297</v>
      </c>
      <c r="F9" s="4818">
        <f t="shared" si="1"/>
        <v>17</v>
      </c>
      <c r="G9" s="5146">
        <v>46299</v>
      </c>
      <c r="H9" s="4672">
        <f t="shared" si="2"/>
        <v>1</v>
      </c>
      <c r="I9" s="4691" t="s">
        <v>6160</v>
      </c>
      <c r="J9" s="4692">
        <v>6</v>
      </c>
      <c r="K9" s="4692">
        <v>6</v>
      </c>
      <c r="L9" s="4820">
        <v>34000</v>
      </c>
      <c r="M9" s="4820">
        <v>57000</v>
      </c>
      <c r="N9" s="4971">
        <f>M9*K9</f>
        <v>342000</v>
      </c>
      <c r="O9" s="4692">
        <v>34000</v>
      </c>
      <c r="P9" s="4678">
        <f t="shared" ref="P9:P22" si="4">SUM(D9,F9,H9)*K9</f>
        <v>120</v>
      </c>
      <c r="Q9" s="4679">
        <f t="shared" si="3"/>
        <v>6426000</v>
      </c>
      <c r="R9" s="6995" t="s">
        <v>6128</v>
      </c>
      <c r="S9" s="6996"/>
      <c r="T9" s="6997"/>
      <c r="U9" s="4700">
        <v>2</v>
      </c>
      <c r="V9" s="4692"/>
      <c r="W9" s="4680" t="s">
        <v>4521</v>
      </c>
      <c r="X9" s="4695"/>
      <c r="Y9" s="4692">
        <v>0</v>
      </c>
      <c r="Z9" s="4692" t="s">
        <v>5984</v>
      </c>
      <c r="AA9" s="4683" t="s">
        <v>5035</v>
      </c>
      <c r="AB9" s="4692" t="s">
        <v>2826</v>
      </c>
      <c r="AC9" s="4683" t="s">
        <v>5050</v>
      </c>
      <c r="AD9" s="4692" t="s">
        <v>2814</v>
      </c>
      <c r="AE9" s="4696"/>
      <c r="AF9" s="4685">
        <f t="shared" ref="AF9:AF22" si="5">U9*K9</f>
        <v>12</v>
      </c>
      <c r="AG9" s="4657">
        <f t="shared" ref="AG9:AG22" si="6">P9*U9*150</f>
        <v>36000</v>
      </c>
    </row>
    <row r="10" spans="1:33" ht="33.75" customHeight="1">
      <c r="A10" s="4686">
        <v>3</v>
      </c>
      <c r="B10" s="4687">
        <v>46279</v>
      </c>
      <c r="C10" s="4687">
        <v>46281</v>
      </c>
      <c r="D10" s="4672">
        <f t="shared" si="0"/>
        <v>2</v>
      </c>
      <c r="E10" s="4816">
        <v>46297</v>
      </c>
      <c r="F10" s="4818">
        <f t="shared" si="1"/>
        <v>17</v>
      </c>
      <c r="G10" s="5146">
        <v>46299</v>
      </c>
      <c r="H10" s="4672">
        <f t="shared" si="2"/>
        <v>1</v>
      </c>
      <c r="I10" s="4691" t="s">
        <v>6160</v>
      </c>
      <c r="J10" s="4692">
        <v>1</v>
      </c>
      <c r="K10" s="4692">
        <v>1</v>
      </c>
      <c r="L10" s="4820">
        <v>51000</v>
      </c>
      <c r="M10" s="4820">
        <v>57000</v>
      </c>
      <c r="N10" s="4971">
        <f>M10*K10</f>
        <v>57000</v>
      </c>
      <c r="O10" s="4692">
        <v>51000</v>
      </c>
      <c r="P10" s="4678">
        <f t="shared" si="4"/>
        <v>20</v>
      </c>
      <c r="Q10" s="4679">
        <f t="shared" si="3"/>
        <v>1122000</v>
      </c>
      <c r="R10" s="6995" t="s">
        <v>6161</v>
      </c>
      <c r="S10" s="6996"/>
      <c r="T10" s="6997"/>
      <c r="U10" s="4700">
        <v>3</v>
      </c>
      <c r="V10" s="4692"/>
      <c r="W10" s="4680" t="s">
        <v>4521</v>
      </c>
      <c r="X10" s="4695"/>
      <c r="Y10" s="4692">
        <v>2</v>
      </c>
      <c r="Z10" s="4692" t="s">
        <v>5984</v>
      </c>
      <c r="AA10" s="4683" t="s">
        <v>5035</v>
      </c>
      <c r="AB10" s="4692" t="s">
        <v>2826</v>
      </c>
      <c r="AC10" s="4683" t="s">
        <v>5050</v>
      </c>
      <c r="AD10" s="4692" t="s">
        <v>2814</v>
      </c>
      <c r="AE10" s="4696"/>
      <c r="AF10" s="4685">
        <f t="shared" si="5"/>
        <v>3</v>
      </c>
      <c r="AG10" s="4657">
        <f t="shared" si="6"/>
        <v>9000</v>
      </c>
    </row>
    <row r="11" spans="1:33" ht="33.75" customHeight="1">
      <c r="A11" s="4686">
        <v>4</v>
      </c>
      <c r="B11" s="4687">
        <v>46279</v>
      </c>
      <c r="C11" s="4687">
        <v>46281</v>
      </c>
      <c r="D11" s="4672">
        <f t="shared" si="0"/>
        <v>2</v>
      </c>
      <c r="E11" s="4816">
        <v>46297</v>
      </c>
      <c r="F11" s="4818">
        <f t="shared" si="1"/>
        <v>17</v>
      </c>
      <c r="G11" s="5146">
        <v>46299</v>
      </c>
      <c r="H11" s="4672">
        <f t="shared" si="2"/>
        <v>1</v>
      </c>
      <c r="I11" s="4691" t="s">
        <v>6160</v>
      </c>
      <c r="J11" s="4692">
        <v>3</v>
      </c>
      <c r="K11" s="4692">
        <v>3</v>
      </c>
      <c r="L11" s="4820">
        <v>78000</v>
      </c>
      <c r="M11" s="4820">
        <v>76000</v>
      </c>
      <c r="N11" s="4971">
        <f t="shared" ref="N11:N16" si="7">M11*K11</f>
        <v>228000</v>
      </c>
      <c r="O11" s="4692">
        <v>78000</v>
      </c>
      <c r="P11" s="4678">
        <f t="shared" si="4"/>
        <v>60</v>
      </c>
      <c r="Q11" s="4679">
        <f t="shared" si="3"/>
        <v>4578000</v>
      </c>
      <c r="R11" s="6995" t="s">
        <v>6162</v>
      </c>
      <c r="S11" s="6996"/>
      <c r="T11" s="6997"/>
      <c r="U11" s="4700">
        <v>2</v>
      </c>
      <c r="V11" s="4692"/>
      <c r="W11" s="4680" t="s">
        <v>4521</v>
      </c>
      <c r="X11" s="4695"/>
      <c r="Y11" s="4692">
        <v>2</v>
      </c>
      <c r="Z11" s="4692" t="s">
        <v>5984</v>
      </c>
      <c r="AA11" s="4683" t="s">
        <v>5035</v>
      </c>
      <c r="AB11" s="4692" t="s">
        <v>2826</v>
      </c>
      <c r="AC11" s="4683" t="s">
        <v>5050</v>
      </c>
      <c r="AD11" s="4692" t="s">
        <v>2814</v>
      </c>
      <c r="AE11" s="4696"/>
      <c r="AF11" s="4685">
        <f t="shared" si="5"/>
        <v>6</v>
      </c>
      <c r="AG11" s="4657">
        <f t="shared" si="6"/>
        <v>18000</v>
      </c>
    </row>
    <row r="12" spans="1:33" ht="33.75" customHeight="1">
      <c r="A12" s="4686">
        <v>5</v>
      </c>
      <c r="B12" s="4687">
        <v>46279</v>
      </c>
      <c r="C12" s="4687">
        <v>46281</v>
      </c>
      <c r="D12" s="4672">
        <f t="shared" si="0"/>
        <v>2</v>
      </c>
      <c r="E12" s="4816">
        <v>46297</v>
      </c>
      <c r="F12" s="4818">
        <f t="shared" si="1"/>
        <v>17</v>
      </c>
      <c r="G12" s="5146">
        <v>46299</v>
      </c>
      <c r="H12" s="4672">
        <f t="shared" si="2"/>
        <v>1</v>
      </c>
      <c r="I12" s="4691" t="s">
        <v>6163</v>
      </c>
      <c r="J12" s="4692">
        <v>3</v>
      </c>
      <c r="K12" s="4692">
        <v>3</v>
      </c>
      <c r="L12" s="4820">
        <v>68000</v>
      </c>
      <c r="M12" s="4820">
        <v>95000</v>
      </c>
      <c r="N12" s="4971">
        <f t="shared" si="7"/>
        <v>285000</v>
      </c>
      <c r="O12" s="4692">
        <v>68000</v>
      </c>
      <c r="P12" s="4678">
        <f t="shared" si="4"/>
        <v>60</v>
      </c>
      <c r="Q12" s="4679">
        <f t="shared" si="3"/>
        <v>5457000</v>
      </c>
      <c r="R12" s="6995" t="s">
        <v>6164</v>
      </c>
      <c r="S12" s="6996"/>
      <c r="T12" s="6997"/>
      <c r="U12" s="4700">
        <v>4</v>
      </c>
      <c r="V12" s="4692"/>
      <c r="W12" s="4680" t="s">
        <v>4521</v>
      </c>
      <c r="X12" s="4695"/>
      <c r="Y12" s="4692">
        <v>2</v>
      </c>
      <c r="Z12" s="4692" t="s">
        <v>5984</v>
      </c>
      <c r="AA12" s="4683" t="s">
        <v>5035</v>
      </c>
      <c r="AB12" s="4692" t="s">
        <v>2826</v>
      </c>
      <c r="AC12" s="4683" t="s">
        <v>5050</v>
      </c>
      <c r="AD12" s="4692" t="s">
        <v>2814</v>
      </c>
      <c r="AE12" s="4696"/>
      <c r="AF12" s="4685">
        <f t="shared" si="5"/>
        <v>12</v>
      </c>
      <c r="AG12" s="4657">
        <f t="shared" si="6"/>
        <v>36000</v>
      </c>
    </row>
    <row r="13" spans="1:33" ht="33.75" customHeight="1">
      <c r="A13" s="4686">
        <v>6</v>
      </c>
      <c r="B13" s="4687">
        <v>46279</v>
      </c>
      <c r="C13" s="4687">
        <v>46281</v>
      </c>
      <c r="D13" s="4672">
        <f t="shared" si="0"/>
        <v>2</v>
      </c>
      <c r="E13" s="4816">
        <v>46297</v>
      </c>
      <c r="F13" s="4818">
        <f t="shared" si="1"/>
        <v>17</v>
      </c>
      <c r="G13" s="5146">
        <v>46299</v>
      </c>
      <c r="H13" s="4672">
        <f t="shared" si="2"/>
        <v>1</v>
      </c>
      <c r="I13" s="4691" t="s">
        <v>6163</v>
      </c>
      <c r="J13" s="4692">
        <v>6</v>
      </c>
      <c r="K13" s="4693">
        <v>6</v>
      </c>
      <c r="L13" s="4820">
        <v>51000</v>
      </c>
      <c r="M13" s="4820">
        <v>76000</v>
      </c>
      <c r="N13" s="4971">
        <f t="shared" si="7"/>
        <v>456000</v>
      </c>
      <c r="O13" s="4692">
        <v>51000</v>
      </c>
      <c r="P13" s="4678">
        <f t="shared" si="4"/>
        <v>120</v>
      </c>
      <c r="Q13" s="4679">
        <f t="shared" si="3"/>
        <v>8670000</v>
      </c>
      <c r="R13" s="6995" t="s">
        <v>6165</v>
      </c>
      <c r="S13" s="6996"/>
      <c r="T13" s="6997"/>
      <c r="U13" s="4700">
        <v>3</v>
      </c>
      <c r="V13" s="4692"/>
      <c r="W13" s="4680" t="s">
        <v>4521</v>
      </c>
      <c r="X13" s="4695"/>
      <c r="Y13" s="4692">
        <v>0</v>
      </c>
      <c r="Z13" s="4692" t="s">
        <v>5984</v>
      </c>
      <c r="AA13" s="4683" t="s">
        <v>5035</v>
      </c>
      <c r="AB13" s="4692" t="s">
        <v>2826</v>
      </c>
      <c r="AC13" s="4683" t="s">
        <v>5050</v>
      </c>
      <c r="AD13" s="4692" t="s">
        <v>2814</v>
      </c>
      <c r="AE13" s="4696"/>
      <c r="AF13" s="4685">
        <f t="shared" si="5"/>
        <v>18</v>
      </c>
      <c r="AG13" s="4657">
        <f t="shared" si="6"/>
        <v>54000</v>
      </c>
    </row>
    <row r="14" spans="1:33" ht="33.75" customHeight="1">
      <c r="A14" s="4686">
        <v>7</v>
      </c>
      <c r="B14" s="4687">
        <v>46279</v>
      </c>
      <c r="C14" s="4687">
        <v>46281</v>
      </c>
      <c r="D14" s="4672">
        <f t="shared" si="0"/>
        <v>2</v>
      </c>
      <c r="E14" s="4816">
        <v>46297</v>
      </c>
      <c r="F14" s="4818">
        <f t="shared" si="1"/>
        <v>17</v>
      </c>
      <c r="G14" s="5146">
        <v>46299</v>
      </c>
      <c r="H14" s="4672">
        <f t="shared" si="2"/>
        <v>1</v>
      </c>
      <c r="I14" s="4691" t="s">
        <v>6163</v>
      </c>
      <c r="J14" s="4692">
        <v>6</v>
      </c>
      <c r="K14" s="4693">
        <v>6</v>
      </c>
      <c r="L14" s="4820">
        <v>68000</v>
      </c>
      <c r="M14" s="4820">
        <v>95000</v>
      </c>
      <c r="N14" s="4971">
        <f t="shared" si="7"/>
        <v>570000</v>
      </c>
      <c r="O14" s="4692">
        <v>68000</v>
      </c>
      <c r="P14" s="4678">
        <f t="shared" si="4"/>
        <v>120</v>
      </c>
      <c r="Q14" s="4679">
        <f t="shared" si="3"/>
        <v>10914000</v>
      </c>
      <c r="R14" s="6995" t="s">
        <v>6166</v>
      </c>
      <c r="S14" s="6996"/>
      <c r="T14" s="6997"/>
      <c r="U14" s="4700">
        <v>4</v>
      </c>
      <c r="V14" s="4692"/>
      <c r="W14" s="4680" t="s">
        <v>4521</v>
      </c>
      <c r="X14" s="4695"/>
      <c r="Y14" s="4692">
        <v>0</v>
      </c>
      <c r="Z14" s="4692" t="s">
        <v>5984</v>
      </c>
      <c r="AA14" s="4683" t="s">
        <v>5035</v>
      </c>
      <c r="AB14" s="4692" t="s">
        <v>2826</v>
      </c>
      <c r="AC14" s="4683" t="s">
        <v>5050</v>
      </c>
      <c r="AD14" s="4692" t="s">
        <v>2814</v>
      </c>
      <c r="AE14" s="4696"/>
      <c r="AF14" s="4685">
        <f t="shared" si="5"/>
        <v>24</v>
      </c>
      <c r="AG14" s="4657">
        <f t="shared" si="6"/>
        <v>72000</v>
      </c>
    </row>
    <row r="15" spans="1:33" ht="33.75" customHeight="1">
      <c r="A15" s="4686">
        <v>8</v>
      </c>
      <c r="B15" s="4687">
        <v>46279</v>
      </c>
      <c r="C15" s="4687">
        <v>46281</v>
      </c>
      <c r="D15" s="4672">
        <f t="shared" si="0"/>
        <v>2</v>
      </c>
      <c r="E15" s="4816">
        <v>46297</v>
      </c>
      <c r="F15" s="4818">
        <f t="shared" si="1"/>
        <v>17</v>
      </c>
      <c r="G15" s="5146">
        <v>46299</v>
      </c>
      <c r="H15" s="4672">
        <f t="shared" si="2"/>
        <v>1</v>
      </c>
      <c r="I15" s="4691" t="s">
        <v>6167</v>
      </c>
      <c r="J15" s="4692">
        <v>12</v>
      </c>
      <c r="K15" s="4693">
        <v>12</v>
      </c>
      <c r="L15" s="4820">
        <v>68000</v>
      </c>
      <c r="M15" s="4820">
        <v>95000</v>
      </c>
      <c r="N15" s="4971">
        <f t="shared" si="7"/>
        <v>1140000</v>
      </c>
      <c r="O15" s="4692">
        <v>68000</v>
      </c>
      <c r="P15" s="4678">
        <f t="shared" si="4"/>
        <v>240</v>
      </c>
      <c r="Q15" s="4679">
        <f t="shared" si="3"/>
        <v>21828000</v>
      </c>
      <c r="R15" s="6995" t="s">
        <v>6168</v>
      </c>
      <c r="S15" s="6996"/>
      <c r="T15" s="6997"/>
      <c r="U15" s="4700">
        <v>4</v>
      </c>
      <c r="V15" s="4692"/>
      <c r="W15" s="4680" t="s">
        <v>4521</v>
      </c>
      <c r="X15" s="4695"/>
      <c r="Y15" s="4692">
        <v>2</v>
      </c>
      <c r="Z15" s="4692" t="s">
        <v>5984</v>
      </c>
      <c r="AA15" s="4683" t="s">
        <v>5035</v>
      </c>
      <c r="AB15" s="4692" t="s">
        <v>2826</v>
      </c>
      <c r="AC15" s="4683" t="s">
        <v>5050</v>
      </c>
      <c r="AD15" s="4692" t="s">
        <v>2814</v>
      </c>
      <c r="AE15" s="4696"/>
      <c r="AF15" s="4685">
        <f t="shared" si="5"/>
        <v>48</v>
      </c>
      <c r="AG15" s="4657">
        <f t="shared" si="6"/>
        <v>144000</v>
      </c>
    </row>
    <row r="16" spans="1:33" ht="33.75" customHeight="1">
      <c r="A16" s="4686">
        <v>9</v>
      </c>
      <c r="B16" s="4687">
        <v>46279</v>
      </c>
      <c r="C16" s="4687">
        <v>46281</v>
      </c>
      <c r="D16" s="4672">
        <f t="shared" si="0"/>
        <v>2</v>
      </c>
      <c r="E16" s="4816">
        <v>46297</v>
      </c>
      <c r="F16" s="4818">
        <f t="shared" si="1"/>
        <v>17</v>
      </c>
      <c r="G16" s="5146">
        <v>46299</v>
      </c>
      <c r="H16" s="4672">
        <f t="shared" si="2"/>
        <v>1</v>
      </c>
      <c r="I16" s="4691" t="s">
        <v>6167</v>
      </c>
      <c r="J16" s="4692">
        <v>3</v>
      </c>
      <c r="K16" s="4693">
        <v>3</v>
      </c>
      <c r="L16" s="4820">
        <v>68000</v>
      </c>
      <c r="M16" s="4820">
        <v>95000</v>
      </c>
      <c r="N16" s="4971">
        <f t="shared" si="7"/>
        <v>285000</v>
      </c>
      <c r="O16" s="4692">
        <v>68000</v>
      </c>
      <c r="P16" s="4678">
        <f t="shared" si="4"/>
        <v>60</v>
      </c>
      <c r="Q16" s="4679">
        <f t="shared" si="3"/>
        <v>5457000</v>
      </c>
      <c r="R16" s="6995" t="s">
        <v>6169</v>
      </c>
      <c r="S16" s="6996"/>
      <c r="T16" s="6997"/>
      <c r="U16" s="4700">
        <v>4</v>
      </c>
      <c r="V16" s="4692"/>
      <c r="W16" s="4680" t="s">
        <v>4521</v>
      </c>
      <c r="X16" s="4695"/>
      <c r="Y16" s="4692">
        <v>0</v>
      </c>
      <c r="Z16" s="4692" t="s">
        <v>5984</v>
      </c>
      <c r="AA16" s="4683" t="s">
        <v>5035</v>
      </c>
      <c r="AB16" s="4692" t="s">
        <v>2826</v>
      </c>
      <c r="AC16" s="4683" t="s">
        <v>5050</v>
      </c>
      <c r="AD16" s="4692" t="s">
        <v>2814</v>
      </c>
      <c r="AE16" s="4696"/>
      <c r="AF16" s="4685">
        <f t="shared" si="5"/>
        <v>12</v>
      </c>
      <c r="AG16" s="4657">
        <f t="shared" si="6"/>
        <v>36000</v>
      </c>
    </row>
    <row r="17" spans="1:33" ht="33.75" customHeight="1">
      <c r="A17" s="4686">
        <v>10</v>
      </c>
      <c r="B17" s="4687">
        <v>46279</v>
      </c>
      <c r="C17" s="4687">
        <v>46281</v>
      </c>
      <c r="D17" s="4672">
        <f t="shared" si="0"/>
        <v>2</v>
      </c>
      <c r="E17" s="4816">
        <v>46297</v>
      </c>
      <c r="F17" s="4818">
        <f t="shared" si="1"/>
        <v>17</v>
      </c>
      <c r="G17" s="5146">
        <v>46299</v>
      </c>
      <c r="H17" s="4672">
        <f t="shared" si="2"/>
        <v>1</v>
      </c>
      <c r="I17" s="4691" t="s">
        <v>6170</v>
      </c>
      <c r="J17" s="4692">
        <v>6</v>
      </c>
      <c r="K17" s="4693">
        <v>6</v>
      </c>
      <c r="L17" s="4820">
        <v>68000</v>
      </c>
      <c r="M17" s="4820">
        <v>95000</v>
      </c>
      <c r="N17" s="4971">
        <f>M17*K17</f>
        <v>570000</v>
      </c>
      <c r="O17" s="4692">
        <v>68000</v>
      </c>
      <c r="P17" s="4678">
        <f t="shared" si="4"/>
        <v>120</v>
      </c>
      <c r="Q17" s="4679">
        <f t="shared" si="3"/>
        <v>10914000</v>
      </c>
      <c r="R17" s="6995" t="s">
        <v>6166</v>
      </c>
      <c r="S17" s="6996"/>
      <c r="T17" s="6997"/>
      <c r="U17" s="4700">
        <v>4</v>
      </c>
      <c r="V17" s="4692"/>
      <c r="W17" s="4680" t="s">
        <v>4521</v>
      </c>
      <c r="X17" s="4695"/>
      <c r="Y17" s="4692">
        <v>0</v>
      </c>
      <c r="Z17" s="4692" t="s">
        <v>5984</v>
      </c>
      <c r="AA17" s="4683" t="s">
        <v>5035</v>
      </c>
      <c r="AB17" s="4692" t="s">
        <v>2826</v>
      </c>
      <c r="AC17" s="4683" t="s">
        <v>5050</v>
      </c>
      <c r="AD17" s="4692" t="s">
        <v>2814</v>
      </c>
      <c r="AE17" s="4696"/>
      <c r="AF17" s="4685">
        <f t="shared" si="5"/>
        <v>24</v>
      </c>
      <c r="AG17" s="4657">
        <f t="shared" si="6"/>
        <v>72000</v>
      </c>
    </row>
    <row r="18" spans="1:33" ht="33.75" customHeight="1">
      <c r="A18" s="4686">
        <v>11</v>
      </c>
      <c r="B18" s="4687"/>
      <c r="C18" s="4687"/>
      <c r="D18" s="4672" t="str">
        <f t="shared" si="0"/>
        <v>1</v>
      </c>
      <c r="E18" s="5065"/>
      <c r="F18" s="4698">
        <f t="shared" si="1"/>
        <v>2</v>
      </c>
      <c r="G18" s="5011"/>
      <c r="H18" s="4672">
        <f t="shared" si="2"/>
        <v>0</v>
      </c>
      <c r="I18" s="4691"/>
      <c r="J18" s="4692"/>
      <c r="K18" s="4693"/>
      <c r="L18" s="4692"/>
      <c r="M18" s="4692"/>
      <c r="N18" s="4692"/>
      <c r="O18" s="4692"/>
      <c r="P18" s="4678">
        <f t="shared" si="4"/>
        <v>0</v>
      </c>
      <c r="Q18" s="4679">
        <f t="shared" si="3"/>
        <v>0</v>
      </c>
      <c r="R18" s="4692"/>
      <c r="S18" s="4680" t="s">
        <v>5742</v>
      </c>
      <c r="T18" s="4694"/>
      <c r="U18" s="4700"/>
      <c r="V18" s="4692"/>
      <c r="W18" s="4680" t="s">
        <v>4521</v>
      </c>
      <c r="X18" s="4695"/>
      <c r="Y18" s="4692"/>
      <c r="Z18" s="4692"/>
      <c r="AA18" s="4683" t="s">
        <v>5035</v>
      </c>
      <c r="AB18" s="4692"/>
      <c r="AC18" s="4683" t="s">
        <v>5050</v>
      </c>
      <c r="AD18" s="4692"/>
      <c r="AE18" s="4696"/>
      <c r="AF18" s="4685">
        <f t="shared" si="5"/>
        <v>0</v>
      </c>
      <c r="AG18" s="4657">
        <f t="shared" si="6"/>
        <v>0</v>
      </c>
    </row>
    <row r="19" spans="1:33" ht="33.75" customHeight="1">
      <c r="A19" s="4686">
        <v>12</v>
      </c>
      <c r="B19" s="4687"/>
      <c r="C19" s="4687"/>
      <c r="D19" s="4672" t="str">
        <f t="shared" si="0"/>
        <v>1</v>
      </c>
      <c r="E19" s="5065"/>
      <c r="F19" s="4698">
        <f t="shared" si="1"/>
        <v>2</v>
      </c>
      <c r="G19" s="5011"/>
      <c r="H19" s="4672">
        <f t="shared" si="2"/>
        <v>0</v>
      </c>
      <c r="I19" s="4691"/>
      <c r="J19" s="4692"/>
      <c r="K19" s="4693"/>
      <c r="L19" s="4692"/>
      <c r="M19" s="4692"/>
      <c r="N19" s="4692"/>
      <c r="O19" s="4692"/>
      <c r="P19" s="4678">
        <f t="shared" si="4"/>
        <v>0</v>
      </c>
      <c r="Q19" s="4679">
        <f t="shared" si="3"/>
        <v>0</v>
      </c>
      <c r="R19" s="4692"/>
      <c r="S19" s="4680" t="s">
        <v>5742</v>
      </c>
      <c r="T19" s="4694"/>
      <c r="U19" s="4700"/>
      <c r="V19" s="4692"/>
      <c r="W19" s="4680" t="s">
        <v>4521</v>
      </c>
      <c r="X19" s="4695"/>
      <c r="Y19" s="4692"/>
      <c r="Z19" s="4692"/>
      <c r="AA19" s="4683" t="s">
        <v>5035</v>
      </c>
      <c r="AB19" s="4692"/>
      <c r="AC19" s="4683" t="s">
        <v>5050</v>
      </c>
      <c r="AD19" s="4692"/>
      <c r="AE19" s="4696"/>
      <c r="AF19" s="4685">
        <f t="shared" si="5"/>
        <v>0</v>
      </c>
      <c r="AG19" s="4657">
        <f t="shared" si="6"/>
        <v>0</v>
      </c>
    </row>
    <row r="20" spans="1:33" ht="33.75" customHeight="1">
      <c r="A20" s="4686">
        <v>13</v>
      </c>
      <c r="B20" s="4687"/>
      <c r="C20" s="4687"/>
      <c r="D20" s="4672" t="str">
        <f t="shared" si="0"/>
        <v>1</v>
      </c>
      <c r="E20" s="5065"/>
      <c r="F20" s="4698">
        <f t="shared" si="1"/>
        <v>2</v>
      </c>
      <c r="G20" s="5011"/>
      <c r="H20" s="4672">
        <f t="shared" si="2"/>
        <v>0</v>
      </c>
      <c r="I20" s="4691"/>
      <c r="J20" s="4692"/>
      <c r="K20" s="4693"/>
      <c r="L20" s="4692"/>
      <c r="M20" s="4692"/>
      <c r="N20" s="4692"/>
      <c r="O20" s="4692"/>
      <c r="P20" s="4678">
        <f>SUM(D20,F20,H20)*K20</f>
        <v>0</v>
      </c>
      <c r="Q20" s="4679">
        <f t="shared" si="3"/>
        <v>0</v>
      </c>
      <c r="R20" s="4692"/>
      <c r="S20" s="4680" t="s">
        <v>5742</v>
      </c>
      <c r="T20" s="4694"/>
      <c r="U20" s="4700"/>
      <c r="V20" s="4692"/>
      <c r="W20" s="4680" t="s">
        <v>4521</v>
      </c>
      <c r="X20" s="4695"/>
      <c r="Y20" s="4692"/>
      <c r="Z20" s="4692"/>
      <c r="AA20" s="4683" t="s">
        <v>5035</v>
      </c>
      <c r="AB20" s="4692"/>
      <c r="AC20" s="4683" t="s">
        <v>5050</v>
      </c>
      <c r="AD20" s="4692"/>
      <c r="AE20" s="4696"/>
      <c r="AF20" s="4685">
        <f t="shared" si="5"/>
        <v>0</v>
      </c>
      <c r="AG20" s="4657">
        <f t="shared" si="6"/>
        <v>0</v>
      </c>
    </row>
    <row r="21" spans="1:33" ht="33.75" customHeight="1">
      <c r="A21" s="4686">
        <v>14</v>
      </c>
      <c r="B21" s="4687"/>
      <c r="C21" s="4687"/>
      <c r="D21" s="4672" t="str">
        <f t="shared" si="0"/>
        <v>1</v>
      </c>
      <c r="E21" s="5065"/>
      <c r="F21" s="4698">
        <f t="shared" si="1"/>
        <v>2</v>
      </c>
      <c r="G21" s="5011"/>
      <c r="H21" s="4672">
        <f t="shared" si="2"/>
        <v>0</v>
      </c>
      <c r="I21" s="4691"/>
      <c r="J21" s="4692"/>
      <c r="K21" s="4693"/>
      <c r="L21" s="4692"/>
      <c r="M21" s="4692"/>
      <c r="N21" s="4692"/>
      <c r="O21" s="4692"/>
      <c r="P21" s="4678">
        <f t="shared" si="4"/>
        <v>0</v>
      </c>
      <c r="Q21" s="4679">
        <f t="shared" si="3"/>
        <v>0</v>
      </c>
      <c r="R21" s="4692"/>
      <c r="S21" s="4680" t="s">
        <v>5742</v>
      </c>
      <c r="T21" s="4694"/>
      <c r="U21" s="4700"/>
      <c r="V21" s="4692"/>
      <c r="W21" s="4680" t="s">
        <v>4521</v>
      </c>
      <c r="X21" s="4695"/>
      <c r="Y21" s="4692"/>
      <c r="Z21" s="4692"/>
      <c r="AA21" s="4683" t="s">
        <v>5035</v>
      </c>
      <c r="AB21" s="4692"/>
      <c r="AC21" s="4683" t="s">
        <v>5050</v>
      </c>
      <c r="AD21" s="4692"/>
      <c r="AE21" s="4696"/>
      <c r="AF21" s="4685">
        <f t="shared" si="5"/>
        <v>0</v>
      </c>
      <c r="AG21" s="4657">
        <f t="shared" si="6"/>
        <v>0</v>
      </c>
    </row>
    <row r="22" spans="1:33" ht="33.75" customHeight="1" thickBot="1">
      <c r="A22" s="4686">
        <v>15</v>
      </c>
      <c r="B22" s="4687"/>
      <c r="C22" s="4687"/>
      <c r="D22" s="4672" t="str">
        <f t="shared" si="0"/>
        <v>1</v>
      </c>
      <c r="E22" s="5065"/>
      <c r="F22" s="4698">
        <f t="shared" si="1"/>
        <v>2</v>
      </c>
      <c r="G22" s="5011"/>
      <c r="H22" s="4672">
        <f t="shared" si="2"/>
        <v>0</v>
      </c>
      <c r="I22" s="4691"/>
      <c r="J22" s="4692"/>
      <c r="K22" s="4693"/>
      <c r="L22" s="4692"/>
      <c r="M22" s="4692"/>
      <c r="N22" s="4692"/>
      <c r="O22" s="4692"/>
      <c r="P22" s="4678">
        <f t="shared" si="4"/>
        <v>0</v>
      </c>
      <c r="Q22" s="4679">
        <f t="shared" si="3"/>
        <v>0</v>
      </c>
      <c r="R22" s="4692"/>
      <c r="S22" s="4680" t="s">
        <v>5739</v>
      </c>
      <c r="T22" s="4694"/>
      <c r="U22" s="4700"/>
      <c r="V22" s="4692"/>
      <c r="W22" s="4680" t="s">
        <v>4521</v>
      </c>
      <c r="X22" s="4695"/>
      <c r="Y22" s="4692"/>
      <c r="Z22" s="4692"/>
      <c r="AA22" s="4683" t="s">
        <v>5035</v>
      </c>
      <c r="AB22" s="4692"/>
      <c r="AC22" s="4683" t="s">
        <v>5050</v>
      </c>
      <c r="AD22" s="4692"/>
      <c r="AE22" s="4696"/>
      <c r="AF22" s="4685">
        <f t="shared" si="5"/>
        <v>0</v>
      </c>
      <c r="AG22" s="4657">
        <f t="shared" si="6"/>
        <v>0</v>
      </c>
    </row>
    <row r="23" spans="1:33" ht="33.75" customHeight="1" thickTop="1" thickBot="1">
      <c r="A23" s="4701"/>
      <c r="B23" s="4702"/>
      <c r="C23" s="4702"/>
      <c r="D23" s="4702"/>
      <c r="E23" s="4702"/>
      <c r="F23" s="4703"/>
      <c r="G23" s="4704"/>
      <c r="H23" s="4702"/>
      <c r="I23" s="4705" t="s">
        <v>2432</v>
      </c>
      <c r="J23" s="4707">
        <f>SUM(J8:J22)</f>
        <v>74</v>
      </c>
      <c r="K23" s="4707">
        <f>SUM(K8:K22)</f>
        <v>74</v>
      </c>
      <c r="L23" s="4703"/>
      <c r="M23" s="4703"/>
      <c r="N23" s="4703"/>
      <c r="O23" s="4703"/>
      <c r="P23" s="4706">
        <f>SUM(P8:P22)</f>
        <v>1480</v>
      </c>
      <c r="Q23" s="4706">
        <f>SUM(Q8:Q22)</f>
        <v>105354000</v>
      </c>
      <c r="R23" s="6863"/>
      <c r="S23" s="6864"/>
      <c r="T23" s="6865"/>
      <c r="U23" s="4708"/>
      <c r="V23" s="6863"/>
      <c r="W23" s="6864"/>
      <c r="X23" s="6864"/>
      <c r="Y23" s="4708"/>
      <c r="Z23" s="4708"/>
      <c r="AA23" s="6866"/>
      <c r="AB23" s="6867"/>
      <c r="AC23" s="6866"/>
      <c r="AD23" s="6867"/>
      <c r="AE23" s="4709"/>
      <c r="AF23" s="4685">
        <f>SUM(AF7:AF22)</f>
        <v>215</v>
      </c>
      <c r="AG23" s="4657">
        <f>SUM(AG8:AG22)</f>
        <v>645000</v>
      </c>
    </row>
    <row r="24" spans="1:33" ht="33.75" customHeight="1" thickBot="1">
      <c r="C24" s="4710"/>
      <c r="D24" s="4710"/>
      <c r="E24" s="4710"/>
      <c r="F24" s="4710"/>
      <c r="G24" s="4710"/>
      <c r="H24" s="4710"/>
      <c r="I24" s="4711"/>
      <c r="J24" s="4712"/>
      <c r="K24" s="4710"/>
      <c r="L24" s="4713" t="s">
        <v>5748</v>
      </c>
      <c r="M24" s="4714">
        <f>SUM(N7:N22)</f>
        <v>5529000</v>
      </c>
      <c r="N24" s="4715"/>
      <c r="O24" s="4715"/>
      <c r="P24" s="4715"/>
      <c r="S24" s="4656"/>
      <c r="W24" s="4656"/>
    </row>
    <row r="25" spans="1:33" ht="33.75" customHeight="1">
      <c r="A25" s="6845" t="s">
        <v>5749</v>
      </c>
      <c r="B25" s="6846"/>
      <c r="C25" s="4716">
        <f>P23</f>
        <v>1480</v>
      </c>
      <c r="D25" s="4717"/>
      <c r="F25" s="4718"/>
      <c r="H25" s="4719"/>
      <c r="I25" s="4720"/>
      <c r="K25" s="4659"/>
      <c r="L25" s="4721" t="s">
        <v>5750</v>
      </c>
      <c r="M25" s="4722">
        <f>M24*1.1</f>
        <v>6081900.0000000009</v>
      </c>
      <c r="P25" s="4656"/>
    </row>
    <row r="26" spans="1:33" ht="33.75" customHeight="1">
      <c r="A26" s="6847" t="s">
        <v>5883</v>
      </c>
      <c r="B26" s="6848"/>
      <c r="C26" s="4723">
        <f>Q23</f>
        <v>105354000</v>
      </c>
      <c r="D26" s="4717"/>
      <c r="F26" s="4724"/>
      <c r="H26" s="4719"/>
      <c r="I26" s="4720"/>
      <c r="K26" s="4659"/>
      <c r="P26" s="4656"/>
    </row>
    <row r="27" spans="1:33" ht="33.75" customHeight="1" thickBot="1">
      <c r="A27" s="6913" t="s">
        <v>5751</v>
      </c>
      <c r="B27" s="6914"/>
      <c r="C27" s="4987">
        <f>ROUNDDOWN(C26*1.1,0)</f>
        <v>115889400</v>
      </c>
      <c r="D27" s="4719"/>
      <c r="F27" s="4724"/>
      <c r="H27" s="4719"/>
      <c r="I27" s="4720"/>
      <c r="K27" s="4659"/>
      <c r="P27" s="4656"/>
    </row>
    <row r="28" spans="1:33" ht="33.75" customHeight="1">
      <c r="A28" s="4729"/>
      <c r="B28" s="4729"/>
      <c r="C28" s="4729"/>
      <c r="D28" s="4729"/>
      <c r="E28" s="4729"/>
      <c r="F28" s="4729"/>
      <c r="G28" s="4726"/>
      <c r="H28" s="4729"/>
      <c r="I28" s="4720"/>
      <c r="P28" s="4656"/>
    </row>
    <row r="29" spans="1:33" ht="33.75" customHeight="1">
      <c r="A29" s="4728" t="s">
        <v>5752</v>
      </c>
      <c r="B29" s="4728"/>
      <c r="C29" s="4729"/>
      <c r="D29" s="4729"/>
      <c r="E29" s="4729"/>
      <c r="F29" s="4729"/>
      <c r="G29" s="4726"/>
      <c r="H29" s="4729"/>
      <c r="I29" s="4720"/>
      <c r="P29" s="4656"/>
    </row>
    <row r="30" spans="1:33" ht="36" customHeight="1">
      <c r="A30" s="4728" t="s">
        <v>5753</v>
      </c>
      <c r="B30" s="4728"/>
    </row>
    <row r="31" spans="1:33" ht="36" customHeight="1">
      <c r="A31" s="4730" t="s">
        <v>5754</v>
      </c>
      <c r="B31" s="4730"/>
    </row>
    <row r="32" spans="1:33"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4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R9:T9"/>
    <mergeCell ref="O5:O6"/>
    <mergeCell ref="P5:Q5"/>
    <mergeCell ref="R5:T6"/>
    <mergeCell ref="U5:U6"/>
    <mergeCell ref="Z5:Z6"/>
    <mergeCell ref="AA5:AD6"/>
    <mergeCell ref="AE5:AE6"/>
    <mergeCell ref="AF5:AF6"/>
    <mergeCell ref="R8:T8"/>
    <mergeCell ref="V5:X6"/>
    <mergeCell ref="Y5:Y6"/>
    <mergeCell ref="V23:X23"/>
    <mergeCell ref="AA23:AB23"/>
    <mergeCell ref="AC23:AD23"/>
    <mergeCell ref="R10:T10"/>
    <mergeCell ref="R11:T11"/>
    <mergeCell ref="R12:T12"/>
    <mergeCell ref="R13:T13"/>
    <mergeCell ref="R14:T14"/>
    <mergeCell ref="R15:T15"/>
    <mergeCell ref="A25:B25"/>
    <mergeCell ref="A26:B26"/>
    <mergeCell ref="A27:B27"/>
    <mergeCell ref="R16:T16"/>
    <mergeCell ref="R17:T17"/>
    <mergeCell ref="R23:T23"/>
  </mergeCells>
  <phoneticPr fontId="2"/>
  <conditionalFormatting sqref="B8:C22 E8:G22">
    <cfRule type="containsBlanks" dxfId="513" priority="3">
      <formula>LEN(TRIM(B8))=0</formula>
    </cfRule>
  </conditionalFormatting>
  <conditionalFormatting sqref="C2:D2">
    <cfRule type="containsBlanks" dxfId="512" priority="4">
      <formula>LEN(TRIM(C2))=0</formula>
    </cfRule>
  </conditionalFormatting>
  <conditionalFormatting sqref="D7:D22">
    <cfRule type="containsBlanks" dxfId="511" priority="2">
      <formula>LEN(TRIM(D7))=0</formula>
    </cfRule>
  </conditionalFormatting>
  <conditionalFormatting sqref="F7">
    <cfRule type="containsBlanks" dxfId="510" priority="5">
      <formula>LEN(TRIM(F7))=0</formula>
    </cfRule>
  </conditionalFormatting>
  <conditionalFormatting sqref="H7:O22">
    <cfRule type="containsBlanks" dxfId="509" priority="1">
      <formula>LEN(TRIM(H7))=0</formula>
    </cfRule>
  </conditionalFormatting>
  <conditionalFormatting sqref="Q7:R7 Q8:Q17 Q18:R22">
    <cfRule type="containsBlanks" dxfId="508" priority="9">
      <formula>LEN(TRIM(Q7))=0</formula>
    </cfRule>
  </conditionalFormatting>
  <conditionalFormatting sqref="T7:V7 U8:V17 T18:V22">
    <cfRule type="containsBlanks" dxfId="507" priority="7">
      <formula>LEN(TRIM(T7))=0</formula>
    </cfRule>
  </conditionalFormatting>
  <conditionalFormatting sqref="X7:Z22">
    <cfRule type="containsBlanks" dxfId="506" priority="6">
      <formula>LEN(TRIM(X7))=0</formula>
    </cfRule>
  </conditionalFormatting>
  <conditionalFormatting sqref="AB7:AB22 AD7:AE22">
    <cfRule type="containsBlanks" dxfId="505" priority="8">
      <formula>LEN(TRIM(AB7))=0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drawing r:id="rId2"/>
  <legacyDrawing r:id="rId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97816-FAA0-4613-88FF-3D787BD7FFFC}">
  <sheetPr codeName="Sheet350">
    <tabColor rgb="FFFFFF66"/>
    <pageSetUpPr fitToPage="1"/>
  </sheetPr>
  <dimension ref="A1:AE40"/>
  <sheetViews>
    <sheetView topLeftCell="A20"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'[4]別紙1-1）客室提供条件'!C2</f>
        <v>平野屋</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25" si="0">F7*N7</f>
        <v>3150000</v>
      </c>
      <c r="P7" s="4755" t="s">
        <v>5782</v>
      </c>
      <c r="Q7" s="4756">
        <v>4</v>
      </c>
      <c r="R7" s="4756" t="s">
        <v>3804</v>
      </c>
      <c r="S7" s="4751" t="s">
        <v>246</v>
      </c>
      <c r="T7" s="4756" t="s">
        <v>2161</v>
      </c>
      <c r="U7" s="4757">
        <v>2000</v>
      </c>
    </row>
    <row r="8" spans="1:31" s="4666" customFormat="1" ht="33.75" customHeight="1">
      <c r="A8" s="4758">
        <v>1</v>
      </c>
      <c r="B8" s="4816">
        <v>46279</v>
      </c>
      <c r="C8" s="4816">
        <v>46298</v>
      </c>
      <c r="D8" s="4759">
        <v>0</v>
      </c>
      <c r="E8" s="4759">
        <v>1</v>
      </c>
      <c r="F8" s="4760">
        <f t="shared" ref="F8:F25" si="1">IF(OR(ISBLANK($B8), ISBLANK($C8)), 0, _xlfn.DAYS($C8, $B8) + 1)</f>
        <v>20</v>
      </c>
      <c r="G8" s="5391" t="s">
        <v>6171</v>
      </c>
      <c r="H8" s="4762">
        <v>2</v>
      </c>
      <c r="I8" s="4763" t="s">
        <v>5190</v>
      </c>
      <c r="J8" s="4764"/>
      <c r="K8" s="4765"/>
      <c r="L8" s="4765"/>
      <c r="M8" s="4765"/>
      <c r="N8" s="4762">
        <v>180000</v>
      </c>
      <c r="O8" s="4766">
        <f t="shared" si="0"/>
        <v>3600000</v>
      </c>
      <c r="P8" s="4857" t="s">
        <v>6172</v>
      </c>
      <c r="Q8" s="4858"/>
      <c r="R8" s="4976" t="s">
        <v>2826</v>
      </c>
      <c r="S8" s="4858"/>
      <c r="T8" s="5392" t="s">
        <v>2161</v>
      </c>
      <c r="U8" s="4860"/>
    </row>
    <row r="9" spans="1:31" s="4666" customFormat="1" ht="33.75" customHeight="1">
      <c r="A9" s="4758">
        <v>2</v>
      </c>
      <c r="B9" s="4816">
        <v>46299</v>
      </c>
      <c r="C9" s="4816">
        <v>46299</v>
      </c>
      <c r="D9" s="4759">
        <v>0</v>
      </c>
      <c r="E9" s="4759">
        <v>0.5</v>
      </c>
      <c r="F9" s="4760">
        <f t="shared" si="1"/>
        <v>1</v>
      </c>
      <c r="G9" s="5391" t="s">
        <v>6171</v>
      </c>
      <c r="H9" s="4762">
        <v>2</v>
      </c>
      <c r="I9" s="4763" t="s">
        <v>5190</v>
      </c>
      <c r="J9" s="4764"/>
      <c r="K9" s="4765"/>
      <c r="L9" s="4765"/>
      <c r="M9" s="4765"/>
      <c r="N9" s="4762">
        <v>90000</v>
      </c>
      <c r="O9" s="4766">
        <f t="shared" si="0"/>
        <v>90000</v>
      </c>
      <c r="P9" s="4857" t="s">
        <v>6172</v>
      </c>
      <c r="Q9" s="4858"/>
      <c r="R9" s="4976" t="s">
        <v>2826</v>
      </c>
      <c r="S9" s="4858"/>
      <c r="T9" s="5392" t="s">
        <v>2161</v>
      </c>
      <c r="U9" s="4860"/>
    </row>
    <row r="10" spans="1:31" ht="33.75" customHeight="1">
      <c r="A10" s="4758">
        <v>3</v>
      </c>
      <c r="B10" s="4816">
        <v>46279</v>
      </c>
      <c r="C10" s="4816">
        <v>46298</v>
      </c>
      <c r="D10" s="4759">
        <v>0</v>
      </c>
      <c r="E10" s="4759">
        <v>1</v>
      </c>
      <c r="F10" s="4760">
        <f t="shared" si="1"/>
        <v>20</v>
      </c>
      <c r="G10" s="5391" t="s">
        <v>6173</v>
      </c>
      <c r="H10" s="4762">
        <v>3</v>
      </c>
      <c r="I10" s="4763" t="s">
        <v>5190</v>
      </c>
      <c r="J10" s="5001">
        <v>28</v>
      </c>
      <c r="K10" s="5002">
        <v>12</v>
      </c>
      <c r="L10" s="5002">
        <v>324</v>
      </c>
      <c r="M10" s="5002">
        <v>3.3</v>
      </c>
      <c r="N10" s="4762">
        <v>250000</v>
      </c>
      <c r="O10" s="4766">
        <f t="shared" si="0"/>
        <v>5000000</v>
      </c>
      <c r="P10" s="5393" t="s">
        <v>5782</v>
      </c>
      <c r="Q10" s="4858">
        <v>3</v>
      </c>
      <c r="R10" s="4976" t="s">
        <v>2826</v>
      </c>
      <c r="S10" s="4858"/>
      <c r="T10" s="5392" t="s">
        <v>2161</v>
      </c>
      <c r="U10" s="4860"/>
      <c r="W10" s="4666"/>
      <c r="AC10" s="4657"/>
    </row>
    <row r="11" spans="1:31" ht="33.75" customHeight="1">
      <c r="A11" s="4758">
        <v>4</v>
      </c>
      <c r="B11" s="4816">
        <v>46299</v>
      </c>
      <c r="C11" s="4816">
        <v>46299</v>
      </c>
      <c r="D11" s="4759">
        <v>0</v>
      </c>
      <c r="E11" s="4759">
        <v>0.5</v>
      </c>
      <c r="F11" s="4760">
        <f t="shared" si="1"/>
        <v>1</v>
      </c>
      <c r="G11" s="5391" t="s">
        <v>6173</v>
      </c>
      <c r="H11" s="4762">
        <v>3</v>
      </c>
      <c r="I11" s="4763" t="s">
        <v>5190</v>
      </c>
      <c r="J11" s="5001">
        <v>28</v>
      </c>
      <c r="K11" s="5002">
        <v>12</v>
      </c>
      <c r="L11" s="5002">
        <v>324</v>
      </c>
      <c r="M11" s="5002">
        <v>3.3</v>
      </c>
      <c r="N11" s="4762">
        <v>125000</v>
      </c>
      <c r="O11" s="4766">
        <f t="shared" si="0"/>
        <v>125000</v>
      </c>
      <c r="P11" s="5394" t="s">
        <v>5782</v>
      </c>
      <c r="Q11" s="4858">
        <v>3</v>
      </c>
      <c r="R11" s="4976" t="s">
        <v>2826</v>
      </c>
      <c r="S11" s="4858"/>
      <c r="T11" s="5392" t="s">
        <v>2161</v>
      </c>
      <c r="U11" s="4860"/>
      <c r="W11" s="4666"/>
      <c r="AC11" s="4657"/>
    </row>
    <row r="12" spans="1:31" ht="33.75" customHeight="1">
      <c r="A12" s="4758">
        <v>5</v>
      </c>
      <c r="B12" s="4816">
        <v>46279</v>
      </c>
      <c r="C12" s="4816">
        <v>46298</v>
      </c>
      <c r="D12" s="4759">
        <v>0</v>
      </c>
      <c r="E12" s="4759">
        <v>1</v>
      </c>
      <c r="F12" s="4770">
        <f t="shared" si="1"/>
        <v>20</v>
      </c>
      <c r="G12" s="5391" t="s">
        <v>6174</v>
      </c>
      <c r="H12" s="4762">
        <v>1</v>
      </c>
      <c r="I12" s="4763" t="s">
        <v>5190</v>
      </c>
      <c r="J12" s="5001">
        <v>22.3</v>
      </c>
      <c r="K12" s="5002">
        <v>9.3000000000000007</v>
      </c>
      <c r="L12" s="5002">
        <f>J12*K12</f>
        <v>207.39000000000001</v>
      </c>
      <c r="M12" s="5002">
        <v>2.4</v>
      </c>
      <c r="N12" s="4762">
        <v>180000</v>
      </c>
      <c r="O12" s="4766">
        <f t="shared" si="0"/>
        <v>3600000</v>
      </c>
      <c r="P12" s="5394" t="s">
        <v>5782</v>
      </c>
      <c r="Q12" s="4858">
        <v>2</v>
      </c>
      <c r="R12" s="4976" t="s">
        <v>2826</v>
      </c>
      <c r="S12" s="4858"/>
      <c r="T12" s="5392" t="s">
        <v>2161</v>
      </c>
      <c r="U12" s="4860"/>
      <c r="W12" s="4666"/>
      <c r="AC12" s="4657"/>
    </row>
    <row r="13" spans="1:31" ht="33.75" customHeight="1">
      <c r="A13" s="4758">
        <v>6</v>
      </c>
      <c r="B13" s="4816">
        <v>46299</v>
      </c>
      <c r="C13" s="4816">
        <v>46299</v>
      </c>
      <c r="D13" s="4759">
        <v>0</v>
      </c>
      <c r="E13" s="4759">
        <v>0.5</v>
      </c>
      <c r="F13" s="4770">
        <f t="shared" si="1"/>
        <v>1</v>
      </c>
      <c r="G13" s="5391" t="s">
        <v>6174</v>
      </c>
      <c r="H13" s="4762">
        <v>1</v>
      </c>
      <c r="I13" s="4763" t="s">
        <v>5190</v>
      </c>
      <c r="J13" s="5001">
        <v>22.3</v>
      </c>
      <c r="K13" s="5002">
        <v>9.3000000000000007</v>
      </c>
      <c r="L13" s="5002">
        <f t="shared" ref="L13:L25" si="2">J13*K13</f>
        <v>207.39000000000001</v>
      </c>
      <c r="M13" s="5002">
        <v>2.4</v>
      </c>
      <c r="N13" s="4762">
        <v>90000</v>
      </c>
      <c r="O13" s="4766">
        <f t="shared" si="0"/>
        <v>90000</v>
      </c>
      <c r="P13" s="5394" t="s">
        <v>5782</v>
      </c>
      <c r="Q13" s="4858">
        <v>2</v>
      </c>
      <c r="R13" s="4976" t="s">
        <v>2826</v>
      </c>
      <c r="S13" s="4858"/>
      <c r="T13" s="5392" t="s">
        <v>2161</v>
      </c>
      <c r="U13" s="4860"/>
      <c r="W13" s="4666"/>
      <c r="AC13" s="4657"/>
    </row>
    <row r="14" spans="1:31" ht="33.75" customHeight="1">
      <c r="A14" s="4758">
        <v>7</v>
      </c>
      <c r="B14" s="4816">
        <v>46279</v>
      </c>
      <c r="C14" s="4816">
        <v>46298</v>
      </c>
      <c r="D14" s="4759">
        <v>0</v>
      </c>
      <c r="E14" s="4759">
        <v>1</v>
      </c>
      <c r="F14" s="4760">
        <f t="shared" si="1"/>
        <v>20</v>
      </c>
      <c r="G14" s="4950" t="s">
        <v>6175</v>
      </c>
      <c r="H14" s="4762">
        <v>4</v>
      </c>
      <c r="I14" s="4763" t="s">
        <v>5190</v>
      </c>
      <c r="J14" s="5001">
        <v>9.9</v>
      </c>
      <c r="K14" s="5002">
        <v>8.9</v>
      </c>
      <c r="L14" s="5002">
        <f t="shared" si="2"/>
        <v>88.110000000000014</v>
      </c>
      <c r="M14" s="5002">
        <v>2.6</v>
      </c>
      <c r="N14" s="4762">
        <v>120000</v>
      </c>
      <c r="O14" s="4766">
        <f t="shared" si="0"/>
        <v>2400000</v>
      </c>
      <c r="P14" s="4857" t="s">
        <v>6172</v>
      </c>
      <c r="Q14" s="4858"/>
      <c r="R14" s="4976" t="s">
        <v>2826</v>
      </c>
      <c r="S14" s="4858"/>
      <c r="T14" s="5392" t="s">
        <v>2161</v>
      </c>
      <c r="U14" s="4860"/>
      <c r="W14" s="4666"/>
      <c r="AC14" s="4657"/>
    </row>
    <row r="15" spans="1:31" ht="33.75" customHeight="1">
      <c r="A15" s="4758">
        <v>8</v>
      </c>
      <c r="B15" s="4816">
        <v>46299</v>
      </c>
      <c r="C15" s="4816">
        <v>46299</v>
      </c>
      <c r="D15" s="4759">
        <v>0</v>
      </c>
      <c r="E15" s="4759">
        <v>0.5</v>
      </c>
      <c r="F15" s="4760">
        <f t="shared" si="1"/>
        <v>1</v>
      </c>
      <c r="G15" s="4950" t="s">
        <v>6175</v>
      </c>
      <c r="H15" s="4762">
        <v>4</v>
      </c>
      <c r="I15" s="4763" t="s">
        <v>5190</v>
      </c>
      <c r="J15" s="5001">
        <v>9</v>
      </c>
      <c r="K15" s="5002">
        <v>8.9</v>
      </c>
      <c r="L15" s="5002">
        <f t="shared" si="2"/>
        <v>80.100000000000009</v>
      </c>
      <c r="M15" s="5002">
        <v>2.6</v>
      </c>
      <c r="N15" s="4762">
        <v>60000</v>
      </c>
      <c r="O15" s="4766">
        <f t="shared" si="0"/>
        <v>60000</v>
      </c>
      <c r="P15" s="4857" t="s">
        <v>6172</v>
      </c>
      <c r="Q15" s="4858"/>
      <c r="R15" s="4976" t="s">
        <v>2826</v>
      </c>
      <c r="S15" s="4858"/>
      <c r="T15" s="5392" t="s">
        <v>2161</v>
      </c>
      <c r="U15" s="4860"/>
      <c r="W15" s="4666"/>
      <c r="AC15" s="4657"/>
    </row>
    <row r="16" spans="1:31" ht="33.75" customHeight="1">
      <c r="A16" s="4758">
        <v>9</v>
      </c>
      <c r="B16" s="4816">
        <v>46279</v>
      </c>
      <c r="C16" s="4816">
        <v>46298</v>
      </c>
      <c r="D16" s="4759">
        <v>0</v>
      </c>
      <c r="E16" s="4759">
        <v>1</v>
      </c>
      <c r="F16" s="4760">
        <f t="shared" si="1"/>
        <v>20</v>
      </c>
      <c r="G16" s="4950" t="s">
        <v>6176</v>
      </c>
      <c r="H16" s="4762">
        <v>3</v>
      </c>
      <c r="I16" s="4763" t="s">
        <v>5190</v>
      </c>
      <c r="J16" s="5001">
        <v>5.3</v>
      </c>
      <c r="K16" s="5002">
        <v>5.0999999999999996</v>
      </c>
      <c r="L16" s="5002">
        <f t="shared" si="2"/>
        <v>27.029999999999998</v>
      </c>
      <c r="M16" s="5002">
        <v>2.2999999999999998</v>
      </c>
      <c r="N16" s="4762">
        <v>70000</v>
      </c>
      <c r="O16" s="4766">
        <f t="shared" si="0"/>
        <v>1400000</v>
      </c>
      <c r="P16" s="4857" t="s">
        <v>6172</v>
      </c>
      <c r="Q16" s="4858"/>
      <c r="R16" s="4976" t="s">
        <v>2826</v>
      </c>
      <c r="S16" s="4858"/>
      <c r="T16" s="5392" t="s">
        <v>2161</v>
      </c>
      <c r="U16" s="4860"/>
      <c r="W16" s="4666"/>
      <c r="AC16" s="4657"/>
    </row>
    <row r="17" spans="1:31" ht="33.75" customHeight="1">
      <c r="A17" s="4758">
        <v>10</v>
      </c>
      <c r="B17" s="4816">
        <v>46299</v>
      </c>
      <c r="C17" s="4816">
        <v>46299</v>
      </c>
      <c r="D17" s="4759">
        <v>0</v>
      </c>
      <c r="E17" s="4759">
        <v>0.5</v>
      </c>
      <c r="F17" s="4760">
        <f t="shared" si="1"/>
        <v>1</v>
      </c>
      <c r="G17" s="4950" t="s">
        <v>6176</v>
      </c>
      <c r="H17" s="4762">
        <v>3</v>
      </c>
      <c r="I17" s="4763" t="s">
        <v>5190</v>
      </c>
      <c r="J17" s="5001">
        <v>5.3</v>
      </c>
      <c r="K17" s="5002">
        <v>5.0999999999999996</v>
      </c>
      <c r="L17" s="5002">
        <f t="shared" si="2"/>
        <v>27.029999999999998</v>
      </c>
      <c r="M17" s="5002">
        <v>2.2999999999999998</v>
      </c>
      <c r="N17" s="4762">
        <v>35000</v>
      </c>
      <c r="O17" s="4766">
        <f t="shared" si="0"/>
        <v>35000</v>
      </c>
      <c r="P17" s="4857" t="s">
        <v>6172</v>
      </c>
      <c r="Q17" s="4858"/>
      <c r="R17" s="4976" t="s">
        <v>2826</v>
      </c>
      <c r="S17" s="4858"/>
      <c r="T17" s="5392" t="s">
        <v>2161</v>
      </c>
      <c r="U17" s="4860"/>
      <c r="W17" s="4666"/>
      <c r="AC17" s="4657"/>
    </row>
    <row r="18" spans="1:31" ht="33.75" customHeight="1">
      <c r="A18" s="4758">
        <v>11</v>
      </c>
      <c r="B18" s="4816">
        <v>46279</v>
      </c>
      <c r="C18" s="4816">
        <v>46298</v>
      </c>
      <c r="D18" s="4759">
        <v>0</v>
      </c>
      <c r="E18" s="4759">
        <v>1</v>
      </c>
      <c r="F18" s="4760">
        <f t="shared" si="1"/>
        <v>20</v>
      </c>
      <c r="G18" s="4950" t="s">
        <v>6177</v>
      </c>
      <c r="H18" s="4762">
        <v>3</v>
      </c>
      <c r="I18" s="4763" t="s">
        <v>5190</v>
      </c>
      <c r="J18" s="5001">
        <v>5.3</v>
      </c>
      <c r="K18" s="5002">
        <v>5.0999999999999996</v>
      </c>
      <c r="L18" s="5002">
        <f t="shared" si="2"/>
        <v>27.029999999999998</v>
      </c>
      <c r="M18" s="5002">
        <v>2.2999999999999998</v>
      </c>
      <c r="N18" s="4762">
        <v>70000</v>
      </c>
      <c r="O18" s="4766">
        <f t="shared" si="0"/>
        <v>1400000</v>
      </c>
      <c r="P18" s="4857" t="s">
        <v>6172</v>
      </c>
      <c r="Q18" s="4858"/>
      <c r="R18" s="4976" t="s">
        <v>2826</v>
      </c>
      <c r="S18" s="4858"/>
      <c r="T18" s="5392" t="s">
        <v>2161</v>
      </c>
      <c r="U18" s="4860"/>
      <c r="W18" s="4666"/>
      <c r="AC18" s="4657"/>
    </row>
    <row r="19" spans="1:31" ht="33.75" customHeight="1">
      <c r="A19" s="4758">
        <v>12</v>
      </c>
      <c r="B19" s="4816">
        <v>46299</v>
      </c>
      <c r="C19" s="4816">
        <v>46299</v>
      </c>
      <c r="D19" s="4759">
        <v>0</v>
      </c>
      <c r="E19" s="4759">
        <v>0.5</v>
      </c>
      <c r="F19" s="4760">
        <f t="shared" si="1"/>
        <v>1</v>
      </c>
      <c r="G19" s="4950" t="s">
        <v>6177</v>
      </c>
      <c r="H19" s="4762">
        <v>3</v>
      </c>
      <c r="I19" s="4763" t="s">
        <v>5190</v>
      </c>
      <c r="J19" s="5001">
        <v>5.3</v>
      </c>
      <c r="K19" s="5002">
        <v>5.0999999999999996</v>
      </c>
      <c r="L19" s="5002">
        <f t="shared" si="2"/>
        <v>27.029999999999998</v>
      </c>
      <c r="M19" s="5002">
        <v>2.2999999999999998</v>
      </c>
      <c r="N19" s="4762">
        <v>35000</v>
      </c>
      <c r="O19" s="4766">
        <f t="shared" si="0"/>
        <v>35000</v>
      </c>
      <c r="P19" s="4857" t="s">
        <v>6172</v>
      </c>
      <c r="Q19" s="4858"/>
      <c r="R19" s="4976" t="s">
        <v>2826</v>
      </c>
      <c r="S19" s="4858"/>
      <c r="T19" s="5392" t="s">
        <v>2161</v>
      </c>
      <c r="U19" s="4860"/>
      <c r="W19" s="4666"/>
      <c r="AC19" s="4657"/>
    </row>
    <row r="20" spans="1:31" ht="33.75" customHeight="1">
      <c r="A20" s="4758">
        <v>13</v>
      </c>
      <c r="B20" s="4816">
        <v>46279</v>
      </c>
      <c r="C20" s="4816">
        <v>46298</v>
      </c>
      <c r="D20" s="4759">
        <v>0</v>
      </c>
      <c r="E20" s="4759">
        <v>1</v>
      </c>
      <c r="F20" s="4760">
        <f t="shared" si="1"/>
        <v>20</v>
      </c>
      <c r="G20" s="4950" t="s">
        <v>6178</v>
      </c>
      <c r="H20" s="4762">
        <v>3</v>
      </c>
      <c r="I20" s="4763" t="s">
        <v>5190</v>
      </c>
      <c r="J20" s="5001">
        <v>3.3</v>
      </c>
      <c r="K20" s="5002">
        <v>5.0999999999999996</v>
      </c>
      <c r="L20" s="5002">
        <f t="shared" si="2"/>
        <v>16.829999999999998</v>
      </c>
      <c r="M20" s="5002">
        <v>2.2999999999999998</v>
      </c>
      <c r="N20" s="4762">
        <v>50000</v>
      </c>
      <c r="O20" s="4766">
        <f t="shared" si="0"/>
        <v>1000000</v>
      </c>
      <c r="P20" s="4857" t="s">
        <v>6172</v>
      </c>
      <c r="Q20" s="4858"/>
      <c r="R20" s="4976" t="s">
        <v>2826</v>
      </c>
      <c r="S20" s="4858"/>
      <c r="T20" s="5392" t="s">
        <v>2161</v>
      </c>
      <c r="U20" s="4860"/>
      <c r="W20" s="4666"/>
      <c r="AC20" s="4657"/>
    </row>
    <row r="21" spans="1:31" ht="33.75" customHeight="1">
      <c r="A21" s="4758">
        <v>14</v>
      </c>
      <c r="B21" s="4816">
        <v>46299</v>
      </c>
      <c r="C21" s="4816">
        <v>46299</v>
      </c>
      <c r="D21" s="4759">
        <v>0</v>
      </c>
      <c r="E21" s="4759">
        <v>0.5</v>
      </c>
      <c r="F21" s="4760">
        <f t="shared" si="1"/>
        <v>1</v>
      </c>
      <c r="G21" s="4950" t="s">
        <v>6178</v>
      </c>
      <c r="H21" s="4762">
        <v>3</v>
      </c>
      <c r="I21" s="4763" t="s">
        <v>5190</v>
      </c>
      <c r="J21" s="5001">
        <v>3.3</v>
      </c>
      <c r="K21" s="5002">
        <v>5.0999999999999996</v>
      </c>
      <c r="L21" s="5002">
        <f t="shared" si="2"/>
        <v>16.829999999999998</v>
      </c>
      <c r="M21" s="5002">
        <v>2.2999999999999998</v>
      </c>
      <c r="N21" s="4762">
        <v>25000</v>
      </c>
      <c r="O21" s="4766">
        <f t="shared" si="0"/>
        <v>25000</v>
      </c>
      <c r="P21" s="4857" t="s">
        <v>6172</v>
      </c>
      <c r="Q21" s="4858"/>
      <c r="R21" s="4976" t="s">
        <v>2826</v>
      </c>
      <c r="S21" s="4858"/>
      <c r="T21" s="5395" t="s">
        <v>2161</v>
      </c>
      <c r="U21" s="4860"/>
      <c r="W21" s="4666"/>
      <c r="AC21" s="4657"/>
    </row>
    <row r="22" spans="1:31" ht="33.75" customHeight="1">
      <c r="A22" s="4758">
        <v>15</v>
      </c>
      <c r="B22" s="4816">
        <v>46279</v>
      </c>
      <c r="C22" s="4816">
        <v>46298</v>
      </c>
      <c r="D22" s="4759">
        <v>0</v>
      </c>
      <c r="E22" s="4759">
        <v>1</v>
      </c>
      <c r="F22" s="4760">
        <f t="shared" si="1"/>
        <v>20</v>
      </c>
      <c r="G22" s="4950" t="s">
        <v>6179</v>
      </c>
      <c r="H22" s="4762">
        <v>2</v>
      </c>
      <c r="I22" s="4763" t="s">
        <v>5190</v>
      </c>
      <c r="J22" s="5001">
        <v>6.6</v>
      </c>
      <c r="K22" s="5002">
        <v>3.9</v>
      </c>
      <c r="L22" s="5002">
        <f t="shared" si="2"/>
        <v>25.74</v>
      </c>
      <c r="M22" s="5002">
        <v>2.2999999999999998</v>
      </c>
      <c r="N22" s="4762">
        <v>40000</v>
      </c>
      <c r="O22" s="4766">
        <f t="shared" si="0"/>
        <v>800000</v>
      </c>
      <c r="P22" s="4857" t="s">
        <v>6172</v>
      </c>
      <c r="Q22" s="4858"/>
      <c r="R22" s="4976" t="s">
        <v>2826</v>
      </c>
      <c r="S22" s="4858"/>
      <c r="T22" s="5395" t="s">
        <v>2161</v>
      </c>
      <c r="U22" s="4860"/>
      <c r="W22" s="4666"/>
      <c r="AC22" s="4657"/>
    </row>
    <row r="23" spans="1:31" ht="33.75" customHeight="1">
      <c r="A23" s="4758">
        <v>16</v>
      </c>
      <c r="B23" s="4816">
        <v>46299</v>
      </c>
      <c r="C23" s="4816">
        <v>46299</v>
      </c>
      <c r="D23" s="4759">
        <v>0</v>
      </c>
      <c r="E23" s="4759">
        <v>0.5</v>
      </c>
      <c r="F23" s="4760">
        <f t="shared" si="1"/>
        <v>1</v>
      </c>
      <c r="G23" s="4950" t="s">
        <v>6179</v>
      </c>
      <c r="H23" s="4762">
        <v>2</v>
      </c>
      <c r="I23" s="4763" t="s">
        <v>5190</v>
      </c>
      <c r="J23" s="5001">
        <v>6.6</v>
      </c>
      <c r="K23" s="5002">
        <v>3.9</v>
      </c>
      <c r="L23" s="5002">
        <f t="shared" si="2"/>
        <v>25.74</v>
      </c>
      <c r="M23" s="5002">
        <v>2.2999999999999998</v>
      </c>
      <c r="N23" s="4762">
        <v>20000</v>
      </c>
      <c r="O23" s="4766">
        <f t="shared" si="0"/>
        <v>20000</v>
      </c>
      <c r="P23" s="4857" t="s">
        <v>6172</v>
      </c>
      <c r="Q23" s="4858"/>
      <c r="R23" s="4976" t="s">
        <v>2826</v>
      </c>
      <c r="S23" s="4858"/>
      <c r="T23" s="5395" t="s">
        <v>2161</v>
      </c>
      <c r="U23" s="4860"/>
      <c r="W23" s="4666"/>
      <c r="AC23" s="4657"/>
    </row>
    <row r="24" spans="1:31" ht="33.75" customHeight="1">
      <c r="A24" s="4758">
        <v>17</v>
      </c>
      <c r="B24" s="4816">
        <v>46279</v>
      </c>
      <c r="C24" s="4816">
        <v>46298</v>
      </c>
      <c r="D24" s="4759">
        <v>0</v>
      </c>
      <c r="E24" s="4759">
        <v>1</v>
      </c>
      <c r="F24" s="4760">
        <f t="shared" si="1"/>
        <v>20</v>
      </c>
      <c r="G24" s="4950" t="s">
        <v>6180</v>
      </c>
      <c r="H24" s="4762">
        <v>2</v>
      </c>
      <c r="I24" s="4763" t="s">
        <v>5190</v>
      </c>
      <c r="J24" s="5001">
        <v>7.3</v>
      </c>
      <c r="K24" s="5002">
        <v>4.5</v>
      </c>
      <c r="L24" s="5002">
        <f t="shared" si="2"/>
        <v>32.85</v>
      </c>
      <c r="M24" s="5002">
        <v>2.2999999999999998</v>
      </c>
      <c r="N24" s="4762">
        <v>40000</v>
      </c>
      <c r="O24" s="4766">
        <f t="shared" si="0"/>
        <v>800000</v>
      </c>
      <c r="P24" s="4857" t="s">
        <v>6172</v>
      </c>
      <c r="Q24" s="4858"/>
      <c r="R24" s="4976" t="s">
        <v>2826</v>
      </c>
      <c r="S24" s="4858"/>
      <c r="T24" s="5396" t="s">
        <v>2161</v>
      </c>
      <c r="U24" s="4860"/>
      <c r="W24" s="4666"/>
      <c r="AC24" s="4657"/>
    </row>
    <row r="25" spans="1:31" ht="33.75" customHeight="1" thickBot="1">
      <c r="A25" s="4772">
        <v>18</v>
      </c>
      <c r="B25" s="4816">
        <v>46299</v>
      </c>
      <c r="C25" s="4816">
        <v>46299</v>
      </c>
      <c r="D25" s="4759">
        <v>0</v>
      </c>
      <c r="E25" s="4759">
        <v>0.5</v>
      </c>
      <c r="F25" s="4770">
        <f t="shared" si="1"/>
        <v>1</v>
      </c>
      <c r="G25" s="4950" t="s">
        <v>6180</v>
      </c>
      <c r="H25" s="4917">
        <v>2</v>
      </c>
      <c r="I25" s="4774" t="s">
        <v>5190</v>
      </c>
      <c r="J25" s="5001">
        <v>7.3</v>
      </c>
      <c r="K25" s="5002">
        <v>4.5</v>
      </c>
      <c r="L25" s="5002">
        <f t="shared" si="2"/>
        <v>32.85</v>
      </c>
      <c r="M25" s="5002">
        <v>2.2999999999999998</v>
      </c>
      <c r="N25" s="4917">
        <v>20000</v>
      </c>
      <c r="O25" s="5088">
        <f t="shared" si="0"/>
        <v>20000</v>
      </c>
      <c r="P25" s="4918" t="s">
        <v>6172</v>
      </c>
      <c r="Q25" s="4919"/>
      <c r="R25" s="4920" t="s">
        <v>2826</v>
      </c>
      <c r="S25" s="4919"/>
      <c r="T25" s="5397" t="s">
        <v>2161</v>
      </c>
      <c r="U25" s="4921"/>
      <c r="W25" s="4666"/>
      <c r="AC25" s="4657"/>
    </row>
    <row r="26" spans="1:31" ht="33.75" customHeight="1" thickTop="1" thickBot="1">
      <c r="A26" s="4778" t="s">
        <v>5845</v>
      </c>
      <c r="B26" s="4779"/>
      <c r="C26" s="4779"/>
      <c r="D26" s="4779"/>
      <c r="E26" s="4779"/>
      <c r="F26" s="4780">
        <f>SUM(F8:F25)</f>
        <v>189</v>
      </c>
      <c r="G26" s="4779"/>
      <c r="H26" s="4781"/>
      <c r="I26" s="4782">
        <f>COUNTA(G8,G10,G12,G14,G16,G18,G20,G22,G24)</f>
        <v>9</v>
      </c>
      <c r="J26" s="4783"/>
      <c r="K26" s="4784"/>
      <c r="L26" s="4784"/>
      <c r="M26" s="4784"/>
      <c r="N26" s="5398"/>
      <c r="O26" s="4922">
        <f>SUM(O8:O25)</f>
        <v>20500000</v>
      </c>
      <c r="P26" s="4787"/>
      <c r="Q26" s="4787"/>
      <c r="R26" s="4788"/>
      <c r="S26" s="4789"/>
      <c r="T26" s="5399"/>
      <c r="U26" s="4790"/>
      <c r="AC26" s="4657"/>
    </row>
    <row r="27" spans="1:31" ht="33.75" customHeight="1" thickBot="1">
      <c r="A27" s="4876" t="s">
        <v>5792</v>
      </c>
      <c r="B27" s="4877"/>
      <c r="C27" s="4878"/>
      <c r="D27" s="4878"/>
      <c r="E27" s="4878"/>
      <c r="F27" s="4879"/>
      <c r="G27" s="4878"/>
      <c r="H27" s="4880"/>
      <c r="I27" s="4878"/>
      <c r="J27" s="4881"/>
      <c r="K27" s="4881"/>
      <c r="L27" s="4881"/>
      <c r="M27" s="4881"/>
      <c r="N27" s="4882"/>
      <c r="O27" s="4923">
        <f>O26*1.1</f>
        <v>22550000</v>
      </c>
      <c r="P27" s="4884"/>
      <c r="Q27" s="4885"/>
      <c r="R27" s="4886"/>
      <c r="S27" s="4887"/>
      <c r="T27" s="4886"/>
      <c r="U27" s="4888"/>
      <c r="AC27" s="4657"/>
    </row>
    <row r="28" spans="1:31" ht="33.75" customHeight="1">
      <c r="A28" s="4656"/>
      <c r="B28" s="4660"/>
      <c r="C28" s="4660"/>
      <c r="D28" s="4660"/>
      <c r="G28" s="4660"/>
      <c r="H28" s="4660"/>
      <c r="M28" s="4808" t="s">
        <v>5748</v>
      </c>
      <c r="N28" s="4809">
        <f>SUM(N8,N10,N12,N14,N16,N18,N20,N22,N24)</f>
        <v>1000000</v>
      </c>
      <c r="O28" s="4656"/>
      <c r="P28" s="4657"/>
      <c r="Q28" s="4657"/>
      <c r="AC28" s="4657"/>
    </row>
    <row r="29" spans="1:31" ht="32.15" customHeight="1">
      <c r="A29" s="4812"/>
      <c r="B29" s="4813"/>
      <c r="C29" s="4813"/>
      <c r="D29" s="4813"/>
      <c r="E29" s="4814"/>
      <c r="F29" s="4814"/>
      <c r="G29" s="4813"/>
      <c r="H29" s="4813"/>
      <c r="I29" s="4812"/>
      <c r="J29" s="4812"/>
      <c r="K29" s="4812"/>
      <c r="L29" s="4812"/>
      <c r="M29" s="4808" t="s">
        <v>5750</v>
      </c>
      <c r="N29" s="4809">
        <f>N28*1.1</f>
        <v>1100000</v>
      </c>
      <c r="O29" s="4715"/>
      <c r="P29" s="4715"/>
      <c r="Q29" s="4715"/>
      <c r="R29" s="4656"/>
      <c r="S29" s="4812"/>
      <c r="T29" s="4656"/>
      <c r="U29" s="4812"/>
      <c r="W29" s="6905"/>
      <c r="X29" s="6905"/>
      <c r="Y29" s="6905"/>
      <c r="Z29" s="6905"/>
      <c r="AA29" s="6905"/>
      <c r="AB29" s="6891"/>
      <c r="AC29" s="6891"/>
      <c r="AD29" s="6891"/>
      <c r="AE29" s="6891"/>
    </row>
    <row r="30" spans="1:31" ht="36" customHeight="1"/>
    <row r="31" spans="1:31" ht="36" customHeight="1"/>
    <row r="32" spans="1:31" ht="36" customHeight="1"/>
    <row r="33" spans="2:29" ht="36" customHeight="1"/>
    <row r="34" spans="2:29" ht="36" customHeight="1"/>
    <row r="35" spans="2:29" ht="36" customHeight="1"/>
    <row r="36" spans="2:29" ht="36" customHeight="1"/>
    <row r="37" spans="2:29" ht="36" customHeight="1"/>
    <row r="38" spans="2:29" ht="36" customHeight="1"/>
    <row r="39" spans="2:29" ht="36" customHeight="1"/>
    <row r="40" spans="2:29" ht="10.4" customHeight="1">
      <c r="B40" s="4657"/>
      <c r="C40" s="4657"/>
      <c r="D40" s="4657"/>
      <c r="G40" s="4657"/>
      <c r="H40" s="4657"/>
      <c r="O40" s="4656"/>
      <c r="P40" s="4657"/>
      <c r="Q40" s="4657"/>
      <c r="AC40" s="4657"/>
    </row>
  </sheetData>
  <mergeCells count="21">
    <mergeCell ref="A2:B2"/>
    <mergeCell ref="C2:G2"/>
    <mergeCell ref="A5:A6"/>
    <mergeCell ref="B5:B6"/>
    <mergeCell ref="C5:C6"/>
    <mergeCell ref="D5:D6"/>
    <mergeCell ref="E5:E6"/>
    <mergeCell ref="F5:F6"/>
    <mergeCell ref="G5:G6"/>
    <mergeCell ref="AB29:AE29"/>
    <mergeCell ref="H5:H6"/>
    <mergeCell ref="I5:I6"/>
    <mergeCell ref="J5:J6"/>
    <mergeCell ref="K5:K6"/>
    <mergeCell ref="L5:L6"/>
    <mergeCell ref="M5:M6"/>
    <mergeCell ref="N5:N6"/>
    <mergeCell ref="O5:O6"/>
    <mergeCell ref="P5:Q5"/>
    <mergeCell ref="R5:U5"/>
    <mergeCell ref="W29:AA29"/>
  </mergeCells>
  <phoneticPr fontId="2"/>
  <conditionalFormatting sqref="B8:E25 G8:N25">
    <cfRule type="containsBlanks" dxfId="504" priority="1">
      <formula>LEN(TRIM(B8))=0</formula>
    </cfRule>
  </conditionalFormatting>
  <conditionalFormatting sqref="C2:D2">
    <cfRule type="containsBlanks" dxfId="503" priority="2">
      <formula>LEN(TRIM(C2))=0</formula>
    </cfRule>
  </conditionalFormatting>
  <conditionalFormatting sqref="P8:S9 U8:U25 Q10:S13 P14:S25">
    <cfRule type="containsBlanks" dxfId="502" priority="3">
      <formula>LEN(TRIM(P8))=0</formula>
    </cfRule>
  </conditionalFormatting>
  <dataValidations count="1">
    <dataValidation type="list" allowBlank="1" showInputMessage="1" showErrorMessage="1" sqref="I7:I25" xr:uid="{EE98EAE0-5693-4840-8441-8776780A88A8}">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7D5B-B6C9-4F54-BE71-02285C8F6F14}">
  <sheetPr codeName="Sheet351">
    <tabColor rgb="FFFFFF66"/>
    <pageSetUpPr fitToPage="1"/>
  </sheetPr>
  <dimension ref="A1:AF41"/>
  <sheetViews>
    <sheetView topLeftCell="A19"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17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6181</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2.15" customHeight="1">
      <c r="A4" s="4726"/>
      <c r="B4" s="4726"/>
      <c r="C4" s="4726"/>
      <c r="D4" s="4726"/>
      <c r="E4" s="4726"/>
      <c r="F4" s="4726"/>
      <c r="G4" s="4726"/>
      <c r="H4" s="4726"/>
      <c r="I4" s="4727"/>
    </row>
    <row r="5" spans="1:32" ht="33.75" customHeight="1" thickBot="1">
      <c r="A5" s="4665" t="s">
        <v>5807</v>
      </c>
      <c r="B5" s="4665"/>
      <c r="S5" s="4656"/>
      <c r="W5" s="4656"/>
      <c r="Z5" s="4656"/>
      <c r="AA5" s="4656"/>
      <c r="AB5" s="4656"/>
      <c r="AC5" s="4656"/>
      <c r="AD5" s="4656"/>
      <c r="AF5" s="4656" t="s">
        <v>5712</v>
      </c>
    </row>
    <row r="6" spans="1:32" s="4666" customFormat="1" ht="33.75" customHeight="1">
      <c r="A6" s="6877" t="s">
        <v>5713</v>
      </c>
      <c r="B6" s="6879" t="s">
        <v>5714</v>
      </c>
      <c r="C6" s="6855" t="s">
        <v>5715</v>
      </c>
      <c r="D6" s="6855" t="s">
        <v>5716</v>
      </c>
      <c r="E6" s="6855" t="s">
        <v>5717</v>
      </c>
      <c r="F6" s="6868" t="s">
        <v>5718</v>
      </c>
      <c r="G6" s="6855" t="s">
        <v>5719</v>
      </c>
      <c r="H6" s="6855" t="s">
        <v>5720</v>
      </c>
      <c r="I6" s="6857" t="s">
        <v>5721</v>
      </c>
      <c r="J6" s="6851" t="s">
        <v>5722</v>
      </c>
      <c r="K6" s="6851" t="s">
        <v>5723</v>
      </c>
      <c r="L6" s="6855" t="s">
        <v>5796</v>
      </c>
      <c r="M6" s="6855" t="s">
        <v>5797</v>
      </c>
      <c r="N6" s="4967" t="s">
        <v>5726</v>
      </c>
      <c r="O6" s="6855" t="s">
        <v>5798</v>
      </c>
      <c r="P6" s="6851" t="s">
        <v>3766</v>
      </c>
      <c r="Q6" s="6853"/>
      <c r="R6" s="6868" t="s">
        <v>5728</v>
      </c>
      <c r="S6" s="6869"/>
      <c r="T6" s="6870"/>
      <c r="U6" s="6855" t="s">
        <v>5729</v>
      </c>
      <c r="V6" s="6869" t="s">
        <v>5730</v>
      </c>
      <c r="W6" s="6869"/>
      <c r="X6" s="6869"/>
      <c r="Y6" s="6868" t="s">
        <v>5731</v>
      </c>
      <c r="Z6" s="6851" t="s">
        <v>5732</v>
      </c>
      <c r="AA6" s="6851" t="s">
        <v>5733</v>
      </c>
      <c r="AB6" s="6853"/>
      <c r="AC6" s="6853"/>
      <c r="AD6" s="6853"/>
      <c r="AE6" s="6860" t="s">
        <v>2792</v>
      </c>
      <c r="AF6" s="6862" t="s">
        <v>5734</v>
      </c>
    </row>
    <row r="7" spans="1:32" s="4666" customFormat="1" ht="20">
      <c r="A7" s="6878"/>
      <c r="B7" s="6880"/>
      <c r="C7" s="6858"/>
      <c r="D7" s="6856"/>
      <c r="E7" s="6856"/>
      <c r="F7" s="6881"/>
      <c r="G7" s="6856"/>
      <c r="H7" s="6856"/>
      <c r="I7" s="6858"/>
      <c r="J7" s="6859"/>
      <c r="K7" s="6859"/>
      <c r="L7" s="6856"/>
      <c r="M7" s="6856"/>
      <c r="N7" s="4968"/>
      <c r="O7" s="6856"/>
      <c r="P7" s="4667" t="s">
        <v>5735</v>
      </c>
      <c r="Q7" s="4668" t="s">
        <v>5736</v>
      </c>
      <c r="R7" s="6871"/>
      <c r="S7" s="6872"/>
      <c r="T7" s="6873"/>
      <c r="U7" s="6856"/>
      <c r="V7" s="6872"/>
      <c r="W7" s="6872"/>
      <c r="X7" s="6872"/>
      <c r="Y7" s="6852"/>
      <c r="Z7" s="6852"/>
      <c r="AA7" s="6852"/>
      <c r="AB7" s="6854"/>
      <c r="AC7" s="6854"/>
      <c r="AD7" s="6854"/>
      <c r="AE7" s="6861"/>
      <c r="AF7" s="6862"/>
    </row>
    <row r="8" spans="1:32" ht="33.75" customHeight="1">
      <c r="A8" s="4669" t="s">
        <v>5737</v>
      </c>
      <c r="B8" s="4826">
        <v>46305</v>
      </c>
      <c r="C8" s="4827">
        <v>46307</v>
      </c>
      <c r="D8" s="4672">
        <f>IF(_xlfn.DAYS(C8,B8)=0,"1",_xlfn.DAYS(C8,B8))</f>
        <v>2</v>
      </c>
      <c r="E8" s="4827">
        <v>46319</v>
      </c>
      <c r="F8" s="4672">
        <f>IF(_xlfn.DAYS(E8,C8)=0,"1",_xlfn.DAYS(E8,C8))+1</f>
        <v>13</v>
      </c>
      <c r="G8" s="4827">
        <v>46321</v>
      </c>
      <c r="H8" s="4672">
        <f>IF(_xlfn.DAYS(G8,E8)=0,"1",_xlfn.DAYS(G8,E8))-1</f>
        <v>1</v>
      </c>
      <c r="I8" s="4674" t="s">
        <v>5738</v>
      </c>
      <c r="J8" s="4677">
        <v>100</v>
      </c>
      <c r="K8" s="4676">
        <v>90</v>
      </c>
      <c r="L8" s="4677">
        <v>9000</v>
      </c>
      <c r="M8" s="4677">
        <v>10000</v>
      </c>
      <c r="N8" s="4969"/>
      <c r="O8" s="4677">
        <v>8000</v>
      </c>
      <c r="P8" s="4678">
        <f>SUM(D8,F8,H8)*K8</f>
        <v>1440</v>
      </c>
      <c r="Q8" s="4677">
        <f>(D8*L8+F8*M8+H8*O8)*K8</f>
        <v>14040000</v>
      </c>
      <c r="R8" s="4682">
        <v>21</v>
      </c>
      <c r="S8" s="4680" t="s">
        <v>5739</v>
      </c>
      <c r="T8" s="4682">
        <v>21</v>
      </c>
      <c r="U8" s="4815">
        <v>1</v>
      </c>
      <c r="V8" s="4675">
        <v>154</v>
      </c>
      <c r="W8" s="4680" t="s">
        <v>4521</v>
      </c>
      <c r="X8" s="4682">
        <v>203</v>
      </c>
      <c r="Y8" s="4675">
        <v>1</v>
      </c>
      <c r="Z8" s="4675" t="s">
        <v>5740</v>
      </c>
      <c r="AA8" s="4683" t="s">
        <v>5035</v>
      </c>
      <c r="AB8" s="4675" t="s">
        <v>2830</v>
      </c>
      <c r="AC8" s="4683" t="s">
        <v>5050</v>
      </c>
      <c r="AD8" s="4675" t="s">
        <v>5741</v>
      </c>
      <c r="AE8" s="4684"/>
      <c r="AF8" s="4685"/>
    </row>
    <row r="9" spans="1:32" ht="33.75" customHeight="1">
      <c r="A9" s="4828">
        <v>1</v>
      </c>
      <c r="B9" s="4829">
        <v>46305</v>
      </c>
      <c r="C9" s="4829">
        <v>46307</v>
      </c>
      <c r="D9" s="4672">
        <f t="shared" ref="D9:D23" si="0">IF(_xlfn.DAYS(C9,B9)=0,"1",_xlfn.DAYS(C9,B9))</f>
        <v>2</v>
      </c>
      <c r="E9" s="4829">
        <v>46319</v>
      </c>
      <c r="F9" s="4830">
        <v>15</v>
      </c>
      <c r="G9" s="4939">
        <v>46321</v>
      </c>
      <c r="H9" s="4672">
        <f t="shared" ref="H9:H23" si="1">IF(_xlfn.DAYS(G9,E9)=0,"1",_xlfn.DAYS(G9,E9))-1</f>
        <v>1</v>
      </c>
      <c r="I9" s="4831" t="s">
        <v>6182</v>
      </c>
      <c r="J9" s="4834">
        <v>3</v>
      </c>
      <c r="K9" s="4834">
        <v>3</v>
      </c>
      <c r="L9" s="4834">
        <v>11000</v>
      </c>
      <c r="M9" s="4834">
        <v>12800</v>
      </c>
      <c r="N9" s="4971">
        <f>M9*K9</f>
        <v>38400</v>
      </c>
      <c r="O9" s="4834">
        <v>11000</v>
      </c>
      <c r="P9" s="4678">
        <f t="shared" ref="P9:P22" si="2">SUM(D9,F9,H9)*K9</f>
        <v>54</v>
      </c>
      <c r="Q9" s="4677">
        <f t="shared" ref="Q9:Q23" si="3">(D9*L9+F9*M9+H9*O9)*K9</f>
        <v>675000</v>
      </c>
      <c r="R9" s="4836">
        <v>13</v>
      </c>
      <c r="S9" s="4837" t="s">
        <v>5742</v>
      </c>
      <c r="T9" s="4836">
        <v>13</v>
      </c>
      <c r="U9" s="4838">
        <v>1</v>
      </c>
      <c r="V9" s="4834">
        <v>120</v>
      </c>
      <c r="W9" s="4837" t="s">
        <v>2688</v>
      </c>
      <c r="X9" s="4836">
        <v>195</v>
      </c>
      <c r="Y9" s="4834">
        <v>1</v>
      </c>
      <c r="Z9" s="4834" t="s">
        <v>5740</v>
      </c>
      <c r="AA9" s="4839" t="s">
        <v>5035</v>
      </c>
      <c r="AB9" s="4834" t="s">
        <v>2826</v>
      </c>
      <c r="AC9" s="4839" t="s">
        <v>5050</v>
      </c>
      <c r="AD9" s="4834" t="s">
        <v>2814</v>
      </c>
      <c r="AE9" s="4832"/>
      <c r="AF9" s="4685">
        <f t="shared" ref="AF9:AF23" si="4">U9*K9</f>
        <v>3</v>
      </c>
    </row>
    <row r="10" spans="1:32" ht="33.75" customHeight="1">
      <c r="A10" s="4828">
        <v>2</v>
      </c>
      <c r="B10" s="4829">
        <v>46305</v>
      </c>
      <c r="C10" s="4829">
        <v>46307</v>
      </c>
      <c r="D10" s="4672">
        <f t="shared" si="0"/>
        <v>2</v>
      </c>
      <c r="E10" s="4829">
        <v>46319</v>
      </c>
      <c r="F10" s="4830">
        <v>15</v>
      </c>
      <c r="G10" s="4939">
        <v>46321</v>
      </c>
      <c r="H10" s="4672">
        <f t="shared" si="1"/>
        <v>1</v>
      </c>
      <c r="I10" s="4831" t="s">
        <v>6183</v>
      </c>
      <c r="J10" s="4834">
        <v>1</v>
      </c>
      <c r="K10" s="4834">
        <v>1</v>
      </c>
      <c r="L10" s="4834">
        <v>11000</v>
      </c>
      <c r="M10" s="4834">
        <v>12800</v>
      </c>
      <c r="N10" s="4971">
        <f>M10*K10</f>
        <v>12800</v>
      </c>
      <c r="O10" s="4834">
        <v>11000</v>
      </c>
      <c r="P10" s="4678">
        <f t="shared" si="2"/>
        <v>18</v>
      </c>
      <c r="Q10" s="4677">
        <f t="shared" si="3"/>
        <v>225000</v>
      </c>
      <c r="R10" s="4836">
        <v>13</v>
      </c>
      <c r="S10" s="4837" t="s">
        <v>5742</v>
      </c>
      <c r="T10" s="4836">
        <v>13</v>
      </c>
      <c r="U10" s="4838">
        <v>1</v>
      </c>
      <c r="V10" s="4834">
        <v>120</v>
      </c>
      <c r="W10" s="4837" t="s">
        <v>2688</v>
      </c>
      <c r="X10" s="4836">
        <v>195</v>
      </c>
      <c r="Y10" s="4834">
        <v>1</v>
      </c>
      <c r="Z10" s="4834" t="s">
        <v>5740</v>
      </c>
      <c r="AA10" s="4839" t="s">
        <v>5035</v>
      </c>
      <c r="AB10" s="4834" t="s">
        <v>2826</v>
      </c>
      <c r="AC10" s="4839" t="s">
        <v>5050</v>
      </c>
      <c r="AD10" s="4834" t="s">
        <v>2814</v>
      </c>
      <c r="AE10" s="4832"/>
      <c r="AF10" s="4685">
        <f t="shared" si="4"/>
        <v>1</v>
      </c>
    </row>
    <row r="11" spans="1:32" ht="33.75" customHeight="1">
      <c r="A11" s="4828">
        <v>3</v>
      </c>
      <c r="B11" s="4829">
        <v>46305</v>
      </c>
      <c r="C11" s="4829">
        <v>46307</v>
      </c>
      <c r="D11" s="4672">
        <f t="shared" si="0"/>
        <v>2</v>
      </c>
      <c r="E11" s="4829">
        <v>46319</v>
      </c>
      <c r="F11" s="4830">
        <v>15</v>
      </c>
      <c r="G11" s="4939">
        <v>46321</v>
      </c>
      <c r="H11" s="4672">
        <f t="shared" si="1"/>
        <v>1</v>
      </c>
      <c r="I11" s="4831" t="s">
        <v>6184</v>
      </c>
      <c r="J11" s="4834">
        <v>12</v>
      </c>
      <c r="K11" s="4834">
        <v>12</v>
      </c>
      <c r="L11" s="4834">
        <v>11000</v>
      </c>
      <c r="M11" s="4834">
        <v>12800</v>
      </c>
      <c r="N11" s="4971">
        <f>M11*K11</f>
        <v>153600</v>
      </c>
      <c r="O11" s="4834">
        <v>11000</v>
      </c>
      <c r="P11" s="4678">
        <f t="shared" si="2"/>
        <v>216</v>
      </c>
      <c r="Q11" s="4677">
        <f t="shared" si="3"/>
        <v>2700000</v>
      </c>
      <c r="R11" s="4836">
        <v>16</v>
      </c>
      <c r="S11" s="4837" t="s">
        <v>5742</v>
      </c>
      <c r="T11" s="4836">
        <v>16</v>
      </c>
      <c r="U11" s="4838">
        <v>1</v>
      </c>
      <c r="V11" s="4834">
        <v>120</v>
      </c>
      <c r="W11" s="4837" t="s">
        <v>2688</v>
      </c>
      <c r="X11" s="4836">
        <v>195</v>
      </c>
      <c r="Y11" s="4834">
        <v>1</v>
      </c>
      <c r="Z11" s="4834" t="s">
        <v>5740</v>
      </c>
      <c r="AA11" s="4839" t="s">
        <v>5035</v>
      </c>
      <c r="AB11" s="4834" t="s">
        <v>2826</v>
      </c>
      <c r="AC11" s="4839" t="s">
        <v>5050</v>
      </c>
      <c r="AD11" s="4834" t="s">
        <v>2814</v>
      </c>
      <c r="AE11" s="4832"/>
      <c r="AF11" s="4685">
        <f t="shared" si="4"/>
        <v>12</v>
      </c>
    </row>
    <row r="12" spans="1:32" ht="33.75" customHeight="1">
      <c r="A12" s="4828">
        <v>4</v>
      </c>
      <c r="B12" s="4829">
        <v>46305</v>
      </c>
      <c r="C12" s="4829">
        <v>46307</v>
      </c>
      <c r="D12" s="4672">
        <f t="shared" si="0"/>
        <v>2</v>
      </c>
      <c r="E12" s="4829">
        <v>46319</v>
      </c>
      <c r="F12" s="4830">
        <v>15</v>
      </c>
      <c r="G12" s="4939">
        <v>46321</v>
      </c>
      <c r="H12" s="4672">
        <f t="shared" si="1"/>
        <v>1</v>
      </c>
      <c r="I12" s="4831" t="s">
        <v>6185</v>
      </c>
      <c r="J12" s="4834">
        <v>11</v>
      </c>
      <c r="K12" s="4834">
        <v>11</v>
      </c>
      <c r="L12" s="4834">
        <v>11000</v>
      </c>
      <c r="M12" s="4834">
        <v>12800</v>
      </c>
      <c r="N12" s="4971">
        <f t="shared" ref="N12:N22" si="5">M12*K12</f>
        <v>140800</v>
      </c>
      <c r="O12" s="4834">
        <v>11000</v>
      </c>
      <c r="P12" s="4678">
        <f t="shared" si="2"/>
        <v>198</v>
      </c>
      <c r="Q12" s="4677">
        <f t="shared" si="3"/>
        <v>2475000</v>
      </c>
      <c r="R12" s="4836">
        <v>16</v>
      </c>
      <c r="S12" s="4837" t="s">
        <v>5742</v>
      </c>
      <c r="T12" s="4836">
        <v>16</v>
      </c>
      <c r="U12" s="4838">
        <v>1</v>
      </c>
      <c r="V12" s="4834">
        <v>140</v>
      </c>
      <c r="W12" s="4837" t="s">
        <v>2688</v>
      </c>
      <c r="X12" s="4836">
        <v>195</v>
      </c>
      <c r="Y12" s="4834">
        <v>1</v>
      </c>
      <c r="Z12" s="4834" t="s">
        <v>5740</v>
      </c>
      <c r="AA12" s="4839" t="s">
        <v>5035</v>
      </c>
      <c r="AB12" s="4834" t="s">
        <v>2826</v>
      </c>
      <c r="AC12" s="4839" t="s">
        <v>5050</v>
      </c>
      <c r="AD12" s="4834" t="s">
        <v>2814</v>
      </c>
      <c r="AE12" s="4832"/>
      <c r="AF12" s="4685">
        <f t="shared" si="4"/>
        <v>11</v>
      </c>
    </row>
    <row r="13" spans="1:32" ht="33.75" customHeight="1">
      <c r="A13" s="4828">
        <v>5</v>
      </c>
      <c r="B13" s="4829">
        <v>46305</v>
      </c>
      <c r="C13" s="4829">
        <v>46307</v>
      </c>
      <c r="D13" s="4672">
        <f t="shared" si="0"/>
        <v>2</v>
      </c>
      <c r="E13" s="4829">
        <v>46319</v>
      </c>
      <c r="F13" s="4830">
        <v>15</v>
      </c>
      <c r="G13" s="4939">
        <v>46321</v>
      </c>
      <c r="H13" s="4672">
        <f t="shared" si="1"/>
        <v>1</v>
      </c>
      <c r="I13" s="4831" t="s">
        <v>6186</v>
      </c>
      <c r="J13" s="4834">
        <v>2</v>
      </c>
      <c r="K13" s="4834">
        <v>2</v>
      </c>
      <c r="L13" s="4834">
        <v>11000</v>
      </c>
      <c r="M13" s="4834">
        <v>12800</v>
      </c>
      <c r="N13" s="4971">
        <f t="shared" si="5"/>
        <v>25600</v>
      </c>
      <c r="O13" s="4834">
        <v>11000</v>
      </c>
      <c r="P13" s="4678">
        <f t="shared" si="2"/>
        <v>36</v>
      </c>
      <c r="Q13" s="4677">
        <f t="shared" si="3"/>
        <v>450000</v>
      </c>
      <c r="R13" s="4836">
        <v>16</v>
      </c>
      <c r="S13" s="4837" t="s">
        <v>5742</v>
      </c>
      <c r="T13" s="4836">
        <v>16</v>
      </c>
      <c r="U13" s="4838">
        <v>1</v>
      </c>
      <c r="V13" s="4834">
        <v>140</v>
      </c>
      <c r="W13" s="4837" t="s">
        <v>2688</v>
      </c>
      <c r="X13" s="4836">
        <v>195</v>
      </c>
      <c r="Y13" s="4834">
        <v>1</v>
      </c>
      <c r="Z13" s="4834" t="s">
        <v>5740</v>
      </c>
      <c r="AA13" s="4839" t="s">
        <v>5035</v>
      </c>
      <c r="AB13" s="4834" t="s">
        <v>2826</v>
      </c>
      <c r="AC13" s="4839" t="s">
        <v>5050</v>
      </c>
      <c r="AD13" s="4834" t="s">
        <v>2814</v>
      </c>
      <c r="AE13" s="4832"/>
      <c r="AF13" s="4685">
        <f t="shared" si="4"/>
        <v>2</v>
      </c>
    </row>
    <row r="14" spans="1:32" ht="33.75" customHeight="1">
      <c r="A14" s="4828">
        <v>6</v>
      </c>
      <c r="B14" s="4829">
        <v>46305</v>
      </c>
      <c r="C14" s="4829">
        <v>46307</v>
      </c>
      <c r="D14" s="4672">
        <f t="shared" si="0"/>
        <v>2</v>
      </c>
      <c r="E14" s="4829">
        <v>46319</v>
      </c>
      <c r="F14" s="4830">
        <v>15</v>
      </c>
      <c r="G14" s="4939">
        <v>46321</v>
      </c>
      <c r="H14" s="4672">
        <f t="shared" si="1"/>
        <v>1</v>
      </c>
      <c r="I14" s="4831" t="s">
        <v>6187</v>
      </c>
      <c r="J14" s="4834">
        <v>15</v>
      </c>
      <c r="K14" s="4834">
        <v>15</v>
      </c>
      <c r="L14" s="4834">
        <v>22000</v>
      </c>
      <c r="M14" s="4834">
        <v>25600</v>
      </c>
      <c r="N14" s="4971">
        <f t="shared" si="5"/>
        <v>384000</v>
      </c>
      <c r="O14" s="4834">
        <v>22000</v>
      </c>
      <c r="P14" s="4678">
        <f t="shared" si="2"/>
        <v>270</v>
      </c>
      <c r="Q14" s="4677">
        <f t="shared" si="3"/>
        <v>6750000</v>
      </c>
      <c r="R14" s="4836">
        <v>16</v>
      </c>
      <c r="S14" s="4837" t="s">
        <v>5742</v>
      </c>
      <c r="T14" s="4836">
        <v>16</v>
      </c>
      <c r="U14" s="4838">
        <v>2</v>
      </c>
      <c r="V14" s="4834">
        <v>110</v>
      </c>
      <c r="W14" s="4837" t="s">
        <v>2688</v>
      </c>
      <c r="X14" s="4836">
        <v>195</v>
      </c>
      <c r="Y14" s="4834">
        <v>2</v>
      </c>
      <c r="Z14" s="4834" t="s">
        <v>5740</v>
      </c>
      <c r="AA14" s="4839" t="s">
        <v>5035</v>
      </c>
      <c r="AB14" s="4834" t="s">
        <v>2814</v>
      </c>
      <c r="AC14" s="4839" t="s">
        <v>5050</v>
      </c>
      <c r="AD14" s="4834" t="s">
        <v>2814</v>
      </c>
      <c r="AE14" s="4832"/>
      <c r="AF14" s="4685">
        <f t="shared" si="4"/>
        <v>30</v>
      </c>
    </row>
    <row r="15" spans="1:32" ht="33.75" customHeight="1">
      <c r="A15" s="4828">
        <v>7</v>
      </c>
      <c r="B15" s="4829">
        <v>46305</v>
      </c>
      <c r="C15" s="4829">
        <v>46307</v>
      </c>
      <c r="D15" s="4672">
        <f t="shared" si="0"/>
        <v>2</v>
      </c>
      <c r="E15" s="4829">
        <v>46319</v>
      </c>
      <c r="F15" s="4830">
        <v>15</v>
      </c>
      <c r="G15" s="4939">
        <v>46321</v>
      </c>
      <c r="H15" s="4672">
        <f t="shared" si="1"/>
        <v>1</v>
      </c>
      <c r="I15" s="4831" t="s">
        <v>6188</v>
      </c>
      <c r="J15" s="4834">
        <v>1</v>
      </c>
      <c r="K15" s="4834">
        <v>1</v>
      </c>
      <c r="L15" s="4834">
        <v>22000</v>
      </c>
      <c r="M15" s="4834">
        <v>25600</v>
      </c>
      <c r="N15" s="4971">
        <f t="shared" si="5"/>
        <v>25600</v>
      </c>
      <c r="O15" s="4834">
        <v>22000</v>
      </c>
      <c r="P15" s="4678">
        <f t="shared" si="2"/>
        <v>18</v>
      </c>
      <c r="Q15" s="4677">
        <f t="shared" si="3"/>
        <v>450000</v>
      </c>
      <c r="R15" s="4836">
        <v>16</v>
      </c>
      <c r="S15" s="4837" t="s">
        <v>5742</v>
      </c>
      <c r="T15" s="4836">
        <v>16</v>
      </c>
      <c r="U15" s="4838">
        <v>2</v>
      </c>
      <c r="V15" s="4834">
        <v>110</v>
      </c>
      <c r="W15" s="4837" t="s">
        <v>2688</v>
      </c>
      <c r="X15" s="4836">
        <v>195</v>
      </c>
      <c r="Y15" s="4834">
        <v>2</v>
      </c>
      <c r="Z15" s="4834" t="s">
        <v>5740</v>
      </c>
      <c r="AA15" s="4839" t="s">
        <v>5035</v>
      </c>
      <c r="AB15" s="4834" t="s">
        <v>2814</v>
      </c>
      <c r="AC15" s="4839" t="s">
        <v>5050</v>
      </c>
      <c r="AD15" s="4834" t="s">
        <v>2814</v>
      </c>
      <c r="AE15" s="4832"/>
      <c r="AF15" s="4685">
        <f t="shared" si="4"/>
        <v>2</v>
      </c>
    </row>
    <row r="16" spans="1:32" ht="33.75" customHeight="1">
      <c r="A16" s="4828">
        <v>8</v>
      </c>
      <c r="B16" s="4829">
        <v>46305</v>
      </c>
      <c r="C16" s="4829">
        <v>46307</v>
      </c>
      <c r="D16" s="4672">
        <f t="shared" si="0"/>
        <v>2</v>
      </c>
      <c r="E16" s="4829">
        <v>46319</v>
      </c>
      <c r="F16" s="4830">
        <v>15</v>
      </c>
      <c r="G16" s="4939">
        <v>46321</v>
      </c>
      <c r="H16" s="4672">
        <f t="shared" si="1"/>
        <v>1</v>
      </c>
      <c r="I16" s="4831" t="s">
        <v>6189</v>
      </c>
      <c r="J16" s="4834">
        <v>10</v>
      </c>
      <c r="K16" s="4834">
        <v>10</v>
      </c>
      <c r="L16" s="4834">
        <v>22000</v>
      </c>
      <c r="M16" s="4834">
        <v>25600</v>
      </c>
      <c r="N16" s="4971">
        <f t="shared" si="5"/>
        <v>256000</v>
      </c>
      <c r="O16" s="4834">
        <v>22000</v>
      </c>
      <c r="P16" s="4678">
        <f t="shared" si="2"/>
        <v>180</v>
      </c>
      <c r="Q16" s="4677">
        <f t="shared" si="3"/>
        <v>4500000</v>
      </c>
      <c r="R16" s="4836">
        <v>24</v>
      </c>
      <c r="S16" s="4837" t="s">
        <v>5742</v>
      </c>
      <c r="T16" s="4836">
        <v>24</v>
      </c>
      <c r="U16" s="4838">
        <v>2</v>
      </c>
      <c r="V16" s="4834">
        <v>120</v>
      </c>
      <c r="W16" s="4837" t="s">
        <v>2688</v>
      </c>
      <c r="X16" s="4836">
        <v>195</v>
      </c>
      <c r="Y16" s="4834">
        <v>2</v>
      </c>
      <c r="Z16" s="4834" t="s">
        <v>5740</v>
      </c>
      <c r="AA16" s="4839" t="s">
        <v>5035</v>
      </c>
      <c r="AB16" s="4834" t="s">
        <v>2814</v>
      </c>
      <c r="AC16" s="4839" t="s">
        <v>5050</v>
      </c>
      <c r="AD16" s="4834" t="s">
        <v>2814</v>
      </c>
      <c r="AE16" s="4832"/>
      <c r="AF16" s="4685">
        <f t="shared" si="4"/>
        <v>20</v>
      </c>
    </row>
    <row r="17" spans="1:32" ht="33.75" customHeight="1">
      <c r="A17" s="4828">
        <v>9</v>
      </c>
      <c r="B17" s="4829">
        <v>46305</v>
      </c>
      <c r="C17" s="4829">
        <v>46307</v>
      </c>
      <c r="D17" s="4672">
        <f t="shared" si="0"/>
        <v>2</v>
      </c>
      <c r="E17" s="4829">
        <v>46319</v>
      </c>
      <c r="F17" s="4830">
        <v>15</v>
      </c>
      <c r="G17" s="4939">
        <v>46321</v>
      </c>
      <c r="H17" s="4672">
        <f t="shared" si="1"/>
        <v>1</v>
      </c>
      <c r="I17" s="4831" t="s">
        <v>6190</v>
      </c>
      <c r="J17" s="4834">
        <v>23</v>
      </c>
      <c r="K17" s="4834">
        <v>23</v>
      </c>
      <c r="L17" s="4834">
        <v>22000</v>
      </c>
      <c r="M17" s="4834">
        <v>25600</v>
      </c>
      <c r="N17" s="4971">
        <f t="shared" si="5"/>
        <v>588800</v>
      </c>
      <c r="O17" s="4834">
        <v>22000</v>
      </c>
      <c r="P17" s="4678">
        <f t="shared" si="2"/>
        <v>414</v>
      </c>
      <c r="Q17" s="4677">
        <f t="shared" si="3"/>
        <v>10350000</v>
      </c>
      <c r="R17" s="4836">
        <v>24</v>
      </c>
      <c r="S17" s="4837" t="s">
        <v>5742</v>
      </c>
      <c r="T17" s="4836">
        <v>24</v>
      </c>
      <c r="U17" s="4838">
        <v>2</v>
      </c>
      <c r="V17" s="4834">
        <v>124</v>
      </c>
      <c r="W17" s="4837" t="s">
        <v>2688</v>
      </c>
      <c r="X17" s="4836">
        <v>195</v>
      </c>
      <c r="Y17" s="4834">
        <v>2</v>
      </c>
      <c r="Z17" s="4834" t="s">
        <v>5740</v>
      </c>
      <c r="AA17" s="4839" t="s">
        <v>5035</v>
      </c>
      <c r="AB17" s="4834" t="s">
        <v>2814</v>
      </c>
      <c r="AC17" s="4839" t="s">
        <v>5050</v>
      </c>
      <c r="AD17" s="4834" t="s">
        <v>2814</v>
      </c>
      <c r="AE17" s="4832"/>
      <c r="AF17" s="4685">
        <f t="shared" si="4"/>
        <v>46</v>
      </c>
    </row>
    <row r="18" spans="1:32" ht="33.75" customHeight="1">
      <c r="A18" s="4828">
        <v>10</v>
      </c>
      <c r="B18" s="4829">
        <v>46305</v>
      </c>
      <c r="C18" s="4829">
        <v>46307</v>
      </c>
      <c r="D18" s="4672">
        <f t="shared" si="0"/>
        <v>2</v>
      </c>
      <c r="E18" s="4829">
        <v>46319</v>
      </c>
      <c r="F18" s="4830">
        <v>15</v>
      </c>
      <c r="G18" s="4939">
        <v>46321</v>
      </c>
      <c r="H18" s="4672">
        <f t="shared" si="1"/>
        <v>1</v>
      </c>
      <c r="I18" s="4831" t="s">
        <v>6191</v>
      </c>
      <c r="J18" s="4834">
        <v>2</v>
      </c>
      <c r="K18" s="4834">
        <v>2</v>
      </c>
      <c r="L18" s="4834">
        <v>22000</v>
      </c>
      <c r="M18" s="4834">
        <v>25600</v>
      </c>
      <c r="N18" s="4971">
        <f t="shared" si="5"/>
        <v>51200</v>
      </c>
      <c r="O18" s="4834">
        <v>22000</v>
      </c>
      <c r="P18" s="4678">
        <f t="shared" si="2"/>
        <v>36</v>
      </c>
      <c r="Q18" s="4677">
        <f t="shared" si="3"/>
        <v>900000</v>
      </c>
      <c r="R18" s="4836">
        <v>24</v>
      </c>
      <c r="S18" s="4837" t="s">
        <v>5742</v>
      </c>
      <c r="T18" s="4836">
        <v>24</v>
      </c>
      <c r="U18" s="4838">
        <v>2</v>
      </c>
      <c r="V18" s="4834">
        <v>124</v>
      </c>
      <c r="W18" s="4837" t="s">
        <v>4521</v>
      </c>
      <c r="X18" s="4836">
        <v>195</v>
      </c>
      <c r="Y18" s="4834">
        <v>2</v>
      </c>
      <c r="Z18" s="4834" t="s">
        <v>5740</v>
      </c>
      <c r="AA18" s="4839" t="s">
        <v>5035</v>
      </c>
      <c r="AB18" s="4834" t="s">
        <v>2814</v>
      </c>
      <c r="AC18" s="4839" t="s">
        <v>5050</v>
      </c>
      <c r="AD18" s="4834" t="s">
        <v>2814</v>
      </c>
      <c r="AE18" s="4832"/>
      <c r="AF18" s="4685">
        <f t="shared" si="4"/>
        <v>4</v>
      </c>
    </row>
    <row r="19" spans="1:32" ht="33.75" customHeight="1">
      <c r="A19" s="4828">
        <v>11</v>
      </c>
      <c r="B19" s="4829">
        <v>46305</v>
      </c>
      <c r="C19" s="4829">
        <v>46307</v>
      </c>
      <c r="D19" s="4672">
        <f t="shared" si="0"/>
        <v>2</v>
      </c>
      <c r="E19" s="4829">
        <v>46319</v>
      </c>
      <c r="F19" s="4830">
        <v>15</v>
      </c>
      <c r="G19" s="4939">
        <v>46321</v>
      </c>
      <c r="H19" s="4672">
        <f t="shared" si="1"/>
        <v>1</v>
      </c>
      <c r="I19" s="4831" t="s">
        <v>6192</v>
      </c>
      <c r="J19" s="4834">
        <v>23</v>
      </c>
      <c r="K19" s="4834">
        <v>23</v>
      </c>
      <c r="L19" s="4834">
        <v>22000</v>
      </c>
      <c r="M19" s="4834">
        <v>25600</v>
      </c>
      <c r="N19" s="4971">
        <f t="shared" si="5"/>
        <v>588800</v>
      </c>
      <c r="O19" s="4834">
        <v>22000</v>
      </c>
      <c r="P19" s="4678">
        <f t="shared" si="2"/>
        <v>414</v>
      </c>
      <c r="Q19" s="4677">
        <f t="shared" si="3"/>
        <v>10350000</v>
      </c>
      <c r="R19" s="4836">
        <v>27</v>
      </c>
      <c r="S19" s="4837" t="s">
        <v>5742</v>
      </c>
      <c r="T19" s="4836">
        <v>27</v>
      </c>
      <c r="U19" s="4838">
        <v>2</v>
      </c>
      <c r="V19" s="4834">
        <v>124</v>
      </c>
      <c r="W19" s="4837" t="s">
        <v>4521</v>
      </c>
      <c r="X19" s="4836">
        <v>195</v>
      </c>
      <c r="Y19" s="4834">
        <v>2</v>
      </c>
      <c r="Z19" s="4834" t="s">
        <v>5740</v>
      </c>
      <c r="AA19" s="4839" t="s">
        <v>5035</v>
      </c>
      <c r="AB19" s="4834" t="s">
        <v>2814</v>
      </c>
      <c r="AC19" s="4839" t="s">
        <v>5050</v>
      </c>
      <c r="AD19" s="4834" t="s">
        <v>2814</v>
      </c>
      <c r="AE19" s="4832"/>
      <c r="AF19" s="4685">
        <f t="shared" si="4"/>
        <v>46</v>
      </c>
    </row>
    <row r="20" spans="1:32" ht="33.75" customHeight="1">
      <c r="A20" s="4828">
        <v>12</v>
      </c>
      <c r="B20" s="4829">
        <v>46305</v>
      </c>
      <c r="C20" s="4829">
        <v>46307</v>
      </c>
      <c r="D20" s="4672">
        <f t="shared" si="0"/>
        <v>2</v>
      </c>
      <c r="E20" s="4829">
        <v>46319</v>
      </c>
      <c r="F20" s="4830">
        <v>15</v>
      </c>
      <c r="G20" s="4939">
        <v>46321</v>
      </c>
      <c r="H20" s="4672">
        <f t="shared" si="1"/>
        <v>1</v>
      </c>
      <c r="I20" s="4831" t="s">
        <v>6193</v>
      </c>
      <c r="J20" s="4834">
        <v>6</v>
      </c>
      <c r="K20" s="4834">
        <v>6</v>
      </c>
      <c r="L20" s="4834">
        <v>33000</v>
      </c>
      <c r="M20" s="4834">
        <v>38400</v>
      </c>
      <c r="N20" s="4971">
        <f t="shared" si="5"/>
        <v>230400</v>
      </c>
      <c r="O20" s="4834">
        <v>33000</v>
      </c>
      <c r="P20" s="4678">
        <f t="shared" si="2"/>
        <v>108</v>
      </c>
      <c r="Q20" s="4677">
        <f t="shared" si="3"/>
        <v>4050000</v>
      </c>
      <c r="R20" s="4836">
        <v>27</v>
      </c>
      <c r="S20" s="4837" t="s">
        <v>5742</v>
      </c>
      <c r="T20" s="4836">
        <v>27</v>
      </c>
      <c r="U20" s="4838">
        <v>3</v>
      </c>
      <c r="V20" s="4834">
        <v>120</v>
      </c>
      <c r="W20" s="4837" t="s">
        <v>4521</v>
      </c>
      <c r="X20" s="4836">
        <v>195</v>
      </c>
      <c r="Y20" s="4834">
        <v>3</v>
      </c>
      <c r="Z20" s="4834" t="s">
        <v>5740</v>
      </c>
      <c r="AA20" s="4839" t="s">
        <v>5035</v>
      </c>
      <c r="AB20" s="4834" t="s">
        <v>2814</v>
      </c>
      <c r="AC20" s="4839" t="s">
        <v>5050</v>
      </c>
      <c r="AD20" s="4834" t="s">
        <v>2814</v>
      </c>
      <c r="AE20" s="4832"/>
      <c r="AF20" s="4685">
        <f t="shared" si="4"/>
        <v>18</v>
      </c>
    </row>
    <row r="21" spans="1:32" ht="33.75" customHeight="1">
      <c r="A21" s="4828">
        <v>13</v>
      </c>
      <c r="B21" s="4829">
        <v>46305</v>
      </c>
      <c r="C21" s="4829">
        <v>46307</v>
      </c>
      <c r="D21" s="4672">
        <f t="shared" si="0"/>
        <v>2</v>
      </c>
      <c r="E21" s="4829">
        <v>46319</v>
      </c>
      <c r="F21" s="4830">
        <v>15</v>
      </c>
      <c r="G21" s="4939">
        <v>46321</v>
      </c>
      <c r="H21" s="4672">
        <f t="shared" si="1"/>
        <v>1</v>
      </c>
      <c r="I21" s="4831" t="s">
        <v>6194</v>
      </c>
      <c r="J21" s="4834">
        <v>3</v>
      </c>
      <c r="K21" s="4834">
        <v>3</v>
      </c>
      <c r="L21" s="4834">
        <v>44000</v>
      </c>
      <c r="M21" s="4834">
        <v>51200</v>
      </c>
      <c r="N21" s="4971">
        <f t="shared" si="5"/>
        <v>153600</v>
      </c>
      <c r="O21" s="4834">
        <v>44000</v>
      </c>
      <c r="P21" s="4678">
        <f t="shared" si="2"/>
        <v>54</v>
      </c>
      <c r="Q21" s="4677">
        <f t="shared" si="3"/>
        <v>2700000</v>
      </c>
      <c r="R21" s="4836">
        <v>34</v>
      </c>
      <c r="S21" s="4837" t="s">
        <v>5742</v>
      </c>
      <c r="T21" s="4836">
        <v>34</v>
      </c>
      <c r="U21" s="4838">
        <v>4</v>
      </c>
      <c r="V21" s="4834">
        <v>120</v>
      </c>
      <c r="W21" s="4837" t="s">
        <v>4521</v>
      </c>
      <c r="X21" s="4836">
        <v>195</v>
      </c>
      <c r="Y21" s="4834">
        <v>4</v>
      </c>
      <c r="Z21" s="4834" t="s">
        <v>5740</v>
      </c>
      <c r="AA21" s="4839" t="s">
        <v>5035</v>
      </c>
      <c r="AB21" s="4834" t="s">
        <v>2814</v>
      </c>
      <c r="AC21" s="4839" t="s">
        <v>5050</v>
      </c>
      <c r="AD21" s="4834" t="s">
        <v>2814</v>
      </c>
      <c r="AE21" s="4832"/>
      <c r="AF21" s="4685">
        <f t="shared" si="4"/>
        <v>12</v>
      </c>
    </row>
    <row r="22" spans="1:32" ht="33.75" customHeight="1">
      <c r="A22" s="4828">
        <v>14</v>
      </c>
      <c r="B22" s="4829">
        <v>46305</v>
      </c>
      <c r="C22" s="4829">
        <v>46307</v>
      </c>
      <c r="D22" s="4672">
        <f t="shared" si="0"/>
        <v>2</v>
      </c>
      <c r="E22" s="4829">
        <v>46319</v>
      </c>
      <c r="F22" s="4830">
        <v>15</v>
      </c>
      <c r="G22" s="4939">
        <v>46321</v>
      </c>
      <c r="H22" s="4672">
        <f t="shared" si="1"/>
        <v>1</v>
      </c>
      <c r="I22" s="4831" t="s">
        <v>6195</v>
      </c>
      <c r="J22" s="4834">
        <v>2</v>
      </c>
      <c r="K22" s="4834">
        <v>2</v>
      </c>
      <c r="L22" s="4834">
        <v>33000</v>
      </c>
      <c r="M22" s="4834">
        <v>38400</v>
      </c>
      <c r="N22" s="4971">
        <f t="shared" si="5"/>
        <v>76800</v>
      </c>
      <c r="O22" s="4834">
        <v>33000</v>
      </c>
      <c r="P22" s="4678">
        <f t="shared" si="2"/>
        <v>36</v>
      </c>
      <c r="Q22" s="4677">
        <f t="shared" si="3"/>
        <v>1350000</v>
      </c>
      <c r="R22" s="4836" t="s">
        <v>6196</v>
      </c>
      <c r="S22" s="4837" t="s">
        <v>5742</v>
      </c>
      <c r="T22" s="4836" t="s">
        <v>6196</v>
      </c>
      <c r="U22" s="4838">
        <v>3</v>
      </c>
      <c r="V22" s="4834" t="s">
        <v>246</v>
      </c>
      <c r="W22" s="4837" t="s">
        <v>4521</v>
      </c>
      <c r="X22" s="4836" t="s">
        <v>246</v>
      </c>
      <c r="Y22" s="4834" t="s">
        <v>246</v>
      </c>
      <c r="Z22" s="4834" t="s">
        <v>5740</v>
      </c>
      <c r="AA22" s="4839" t="s">
        <v>5035</v>
      </c>
      <c r="AB22" s="4834" t="s">
        <v>2826</v>
      </c>
      <c r="AC22" s="4839" t="s">
        <v>5050</v>
      </c>
      <c r="AD22" s="4834" t="s">
        <v>2814</v>
      </c>
      <c r="AE22" s="4832"/>
      <c r="AF22" s="4685">
        <f t="shared" si="4"/>
        <v>6</v>
      </c>
    </row>
    <row r="23" spans="1:32" ht="33.75" customHeight="1" thickBot="1">
      <c r="A23" s="4828">
        <v>15</v>
      </c>
      <c r="B23" s="4833"/>
      <c r="C23" s="4829"/>
      <c r="D23" s="4672" t="str">
        <f t="shared" si="0"/>
        <v>1</v>
      </c>
      <c r="E23" s="4829"/>
      <c r="F23" s="4672">
        <f t="shared" ref="F23" si="6">IF(_xlfn.DAYS(E23,C23)=0,"1",_xlfn.DAYS(E23,C23))+1</f>
        <v>2</v>
      </c>
      <c r="G23" s="4699"/>
      <c r="H23" s="4672">
        <f t="shared" si="1"/>
        <v>0</v>
      </c>
      <c r="I23" s="4831"/>
      <c r="J23" s="4834"/>
      <c r="K23" s="4835"/>
      <c r="L23" s="4834"/>
      <c r="M23" s="4834"/>
      <c r="N23" s="4834"/>
      <c r="O23" s="4834"/>
      <c r="P23" s="4678">
        <f>SUM(D23,F23,H23)*K23</f>
        <v>0</v>
      </c>
      <c r="Q23" s="4677">
        <f t="shared" si="3"/>
        <v>0</v>
      </c>
      <c r="R23" s="4836"/>
      <c r="S23" s="4837" t="s">
        <v>5739</v>
      </c>
      <c r="T23" s="4836"/>
      <c r="U23" s="4838"/>
      <c r="V23" s="4834"/>
      <c r="W23" s="4837" t="s">
        <v>4521</v>
      </c>
      <c r="X23" s="4836"/>
      <c r="Y23" s="4834"/>
      <c r="Z23" s="4834"/>
      <c r="AA23" s="4839" t="s">
        <v>5035</v>
      </c>
      <c r="AB23" s="4834"/>
      <c r="AC23" s="4839" t="s">
        <v>5050</v>
      </c>
      <c r="AD23" s="4834"/>
      <c r="AE23" s="4832"/>
      <c r="AF23" s="4685">
        <f t="shared" si="4"/>
        <v>0</v>
      </c>
    </row>
    <row r="24" spans="1:32" ht="33.75" customHeight="1" thickTop="1" thickBot="1">
      <c r="A24" s="4840"/>
      <c r="B24" s="4841"/>
      <c r="C24" s="4841"/>
      <c r="D24" s="4841"/>
      <c r="E24" s="4841"/>
      <c r="F24" s="4842"/>
      <c r="G24" s="4843"/>
      <c r="H24" s="4841"/>
      <c r="I24" s="4844" t="s">
        <v>2432</v>
      </c>
      <c r="J24" s="4845">
        <f>SUM(J9:J23)</f>
        <v>114</v>
      </c>
      <c r="K24" s="4846">
        <f>SUM(K9:K23)</f>
        <v>114</v>
      </c>
      <c r="L24" s="4843"/>
      <c r="M24" s="4843"/>
      <c r="N24" s="4843"/>
      <c r="O24" s="4843"/>
      <c r="P24" s="4845">
        <f>SUM(P9:P23)</f>
        <v>2052</v>
      </c>
      <c r="Q24" s="4845">
        <f>SUM(Q9:Q23)</f>
        <v>47925000</v>
      </c>
      <c r="R24" s="6901"/>
      <c r="S24" s="6901"/>
      <c r="T24" s="6901"/>
      <c r="U24" s="4847"/>
      <c r="V24" s="6902"/>
      <c r="W24" s="6901"/>
      <c r="X24" s="6901"/>
      <c r="Y24" s="4847"/>
      <c r="Z24" s="4847"/>
      <c r="AA24" s="6903"/>
      <c r="AB24" s="6904"/>
      <c r="AC24" s="6903"/>
      <c r="AD24" s="6904"/>
      <c r="AE24" s="4848"/>
      <c r="AF24" s="4685">
        <f>SUM(AF9:AF23)</f>
        <v>213</v>
      </c>
    </row>
    <row r="25" spans="1:32" ht="32.15" customHeight="1" thickBot="1">
      <c r="C25" s="4710"/>
      <c r="D25" s="4710"/>
      <c r="E25" s="4710"/>
      <c r="F25" s="4710"/>
      <c r="G25" s="4710"/>
      <c r="H25" s="4710"/>
      <c r="I25" s="4711"/>
      <c r="J25" s="4712"/>
      <c r="K25" s="4710"/>
      <c r="L25" s="4713" t="s">
        <v>5748</v>
      </c>
      <c r="M25" s="4714">
        <f>SUM(N8:N23)</f>
        <v>2726400</v>
      </c>
      <c r="N25" s="4715"/>
      <c r="O25" s="4715"/>
      <c r="P25" s="4715"/>
      <c r="S25" s="4656"/>
      <c r="W25" s="4656"/>
      <c r="AF25" s="4849"/>
    </row>
    <row r="26" spans="1:32" ht="33.75" customHeight="1">
      <c r="A26" s="6845" t="s">
        <v>5749</v>
      </c>
      <c r="B26" s="6846"/>
      <c r="C26" s="5400">
        <f>P24</f>
        <v>2052</v>
      </c>
      <c r="D26" s="4717"/>
      <c r="F26" s="4718"/>
      <c r="G26" s="4850"/>
      <c r="H26" s="4719"/>
      <c r="I26" s="4720"/>
      <c r="L26" s="4721" t="s">
        <v>5750</v>
      </c>
      <c r="M26" s="4722">
        <f>M25*1.1</f>
        <v>2999040.0000000005</v>
      </c>
      <c r="P26" s="4656"/>
      <c r="AF26" s="4851"/>
    </row>
    <row r="27" spans="1:32" ht="33.75" customHeight="1">
      <c r="A27" s="6910" t="s">
        <v>5883</v>
      </c>
      <c r="B27" s="6911"/>
      <c r="C27" s="5401">
        <f>Q24</f>
        <v>47925000</v>
      </c>
      <c r="D27" s="4717"/>
      <c r="F27" s="4724"/>
      <c r="G27" s="4852"/>
      <c r="H27" s="4719"/>
      <c r="I27" s="4720"/>
      <c r="P27" s="4656"/>
      <c r="AF27" s="4851"/>
    </row>
    <row r="28" spans="1:32" ht="33.75" customHeight="1" thickBot="1">
      <c r="A28" s="6913" t="s">
        <v>5751</v>
      </c>
      <c r="B28" s="6914"/>
      <c r="C28" s="4987">
        <f>ROUNDDOWN(C27*1.1,0)</f>
        <v>52717500</v>
      </c>
      <c r="D28" s="4940"/>
      <c r="E28" s="4941"/>
      <c r="F28" s="4942"/>
      <c r="G28" s="4943"/>
      <c r="H28" s="4940"/>
      <c r="I28" s="4944"/>
      <c r="J28" s="4943"/>
      <c r="K28" s="4861"/>
      <c r="L28" s="4861"/>
      <c r="M28" s="4861"/>
      <c r="N28" s="4861"/>
      <c r="P28" s="4943"/>
      <c r="Q28" s="4943"/>
      <c r="R28" s="4941"/>
      <c r="S28" s="4941"/>
      <c r="T28" s="4941"/>
      <c r="V28" s="4941"/>
      <c r="W28" s="4941"/>
      <c r="X28" s="4941"/>
      <c r="Y28" s="4941"/>
      <c r="Z28" s="4941"/>
      <c r="AA28" s="4941"/>
      <c r="AB28" s="4941"/>
      <c r="AC28" s="4941"/>
      <c r="AD28" s="4941"/>
      <c r="AE28" s="4941"/>
      <c r="AF28" s="4941"/>
    </row>
    <row r="29" spans="1:32" ht="33.75" customHeight="1">
      <c r="A29" s="4940"/>
      <c r="B29" s="4940"/>
      <c r="C29" s="5402"/>
      <c r="D29" s="4940"/>
      <c r="E29" s="4941"/>
      <c r="F29" s="4942"/>
      <c r="G29" s="4943"/>
      <c r="H29" s="4940"/>
      <c r="I29" s="4944"/>
      <c r="J29" s="4943"/>
      <c r="K29" s="4861"/>
      <c r="L29" s="4861"/>
      <c r="M29" s="4861"/>
      <c r="N29" s="4861"/>
      <c r="P29" s="4943"/>
      <c r="Q29" s="4943"/>
      <c r="R29" s="4941"/>
      <c r="S29" s="4941"/>
      <c r="T29" s="4941"/>
      <c r="V29" s="4941"/>
      <c r="W29" s="4941"/>
      <c r="X29" s="4941"/>
      <c r="Y29" s="4941"/>
      <c r="Z29" s="4941"/>
      <c r="AA29" s="4941"/>
      <c r="AB29" s="4941"/>
      <c r="AC29" s="4941"/>
      <c r="AD29" s="4941"/>
      <c r="AE29" s="4941"/>
      <c r="AF29" s="4941"/>
    </row>
    <row r="30" spans="1:32" ht="33.75" customHeight="1">
      <c r="A30" s="4728" t="s">
        <v>5752</v>
      </c>
      <c r="B30" s="4728"/>
      <c r="C30" s="4729"/>
      <c r="D30" s="4729"/>
      <c r="E30" s="4729"/>
      <c r="F30" s="4729"/>
      <c r="G30" s="4726"/>
      <c r="H30" s="4729"/>
      <c r="I30" s="4720"/>
      <c r="P30" s="4656"/>
    </row>
    <row r="31" spans="1:32" ht="36" customHeight="1">
      <c r="A31" s="4728" t="s">
        <v>5753</v>
      </c>
      <c r="B31" s="4728"/>
    </row>
    <row r="32" spans="1:32" ht="36" customHeight="1">
      <c r="A32" s="4730" t="s">
        <v>5754</v>
      </c>
      <c r="B32" s="4730"/>
    </row>
    <row r="33" spans="1:2" ht="36" customHeight="1">
      <c r="A33" s="4728"/>
      <c r="B33" s="4728"/>
    </row>
    <row r="34" spans="1:2" ht="36" customHeight="1"/>
    <row r="35" spans="1:2" ht="36" customHeight="1"/>
    <row r="36" spans="1:2" ht="36" customHeight="1"/>
    <row r="37" spans="1:2" ht="36" customHeight="1"/>
    <row r="38" spans="1:2" ht="36" customHeight="1"/>
    <row r="39" spans="1:2" ht="36" customHeight="1"/>
    <row r="40" spans="1:2" ht="36" customHeight="1"/>
    <row r="41" spans="1:2" ht="10.4" customHeight="1"/>
  </sheetData>
  <mergeCells count="32">
    <mergeCell ref="A2:B2"/>
    <mergeCell ref="C2:G2"/>
    <mergeCell ref="A6:A7"/>
    <mergeCell ref="B6:B7"/>
    <mergeCell ref="C6:C7"/>
    <mergeCell ref="D6:D7"/>
    <mergeCell ref="E6:E7"/>
    <mergeCell ref="F6:F7"/>
    <mergeCell ref="G6:G7"/>
    <mergeCell ref="AE6:AE7"/>
    <mergeCell ref="AF6:AF7"/>
    <mergeCell ref="R24:T24"/>
    <mergeCell ref="V24:X24"/>
    <mergeCell ref="AA24:AB24"/>
    <mergeCell ref="AC24:AD24"/>
    <mergeCell ref="R6:T7"/>
    <mergeCell ref="U6:U7"/>
    <mergeCell ref="V6:X7"/>
    <mergeCell ref="Y6:Y7"/>
    <mergeCell ref="A26:B26"/>
    <mergeCell ref="A27:B27"/>
    <mergeCell ref="A28:B28"/>
    <mergeCell ref="Z6:Z7"/>
    <mergeCell ref="AA6:AD7"/>
    <mergeCell ref="O6:O7"/>
    <mergeCell ref="P6:Q6"/>
    <mergeCell ref="H6:H7"/>
    <mergeCell ref="I6:I7"/>
    <mergeCell ref="J6:J7"/>
    <mergeCell ref="K6:K7"/>
    <mergeCell ref="L6:L7"/>
    <mergeCell ref="M6:M7"/>
  </mergeCells>
  <phoneticPr fontId="2"/>
  <conditionalFormatting sqref="B9:C23 E9:E23">
    <cfRule type="containsBlanks" dxfId="501" priority="8">
      <formula>LEN(TRIM(B9))=0</formula>
    </cfRule>
  </conditionalFormatting>
  <conditionalFormatting sqref="C2:D2">
    <cfRule type="containsBlanks" dxfId="500" priority="3">
      <formula>LEN(TRIM(C2))=0</formula>
    </cfRule>
  </conditionalFormatting>
  <conditionalFormatting sqref="D8:D23">
    <cfRule type="containsBlanks" dxfId="499" priority="7">
      <formula>LEN(TRIM(D8))=0</formula>
    </cfRule>
  </conditionalFormatting>
  <conditionalFormatting sqref="F8:F23">
    <cfRule type="containsBlanks" dxfId="498" priority="6">
      <formula>LEN(TRIM(F8))=0</formula>
    </cfRule>
  </conditionalFormatting>
  <conditionalFormatting sqref="G9:G23">
    <cfRule type="containsBlanks" dxfId="497" priority="4">
      <formula>LEN(TRIM(G9))=0</formula>
    </cfRule>
  </conditionalFormatting>
  <conditionalFormatting sqref="H8:O23">
    <cfRule type="containsBlanks" dxfId="496" priority="1">
      <formula>LEN(TRIM(H8))=0</formula>
    </cfRule>
  </conditionalFormatting>
  <conditionalFormatting sqref="Q8:R23">
    <cfRule type="containsBlanks" dxfId="495" priority="5">
      <formula>LEN(TRIM(Q8))=0</formula>
    </cfRule>
  </conditionalFormatting>
  <conditionalFormatting sqref="T8:V23">
    <cfRule type="containsBlanks" dxfId="494" priority="11">
      <formula>LEN(TRIM(T8))=0</formula>
    </cfRule>
  </conditionalFormatting>
  <conditionalFormatting sqref="X8:Z23">
    <cfRule type="containsBlanks" dxfId="493" priority="10">
      <formula>LEN(TRIM(X8))=0</formula>
    </cfRule>
  </conditionalFormatting>
  <conditionalFormatting sqref="AB8:AB23">
    <cfRule type="containsBlanks" dxfId="492" priority="2">
      <formula>LEN(TRIM(AB8))=0</formula>
    </cfRule>
  </conditionalFormatting>
  <conditionalFormatting sqref="AD8:AE23">
    <cfRule type="containsBlanks" dxfId="491" priority="9">
      <formula>LEN(TRIM(AD8))=0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drawing r:id="rId2"/>
  <legacyDrawing r:id="rId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56E8-6906-49A7-9DB7-58D2CCC418E0}">
  <sheetPr codeName="Sheet352">
    <tabColor rgb="FFFFFF66"/>
    <pageSetUpPr fitToPage="1"/>
  </sheetPr>
  <dimension ref="A1:AE33"/>
  <sheetViews>
    <sheetView topLeftCell="A8"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'[21]別紙1-1）客室提供条件'!C2</f>
        <v>蒲郡ホテル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33.75" customHeight="1" thickBot="1">
      <c r="A4" s="4737" t="s">
        <v>5836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890" t="s">
        <v>5780</v>
      </c>
      <c r="H7" s="4891">
        <v>3</v>
      </c>
      <c r="I7" s="4892" t="s">
        <v>5781</v>
      </c>
      <c r="J7" s="4893">
        <v>30</v>
      </c>
      <c r="K7" s="4894">
        <v>100</v>
      </c>
      <c r="L7" s="4894">
        <f>J7*K7</f>
        <v>3000</v>
      </c>
      <c r="M7" s="4895">
        <v>5</v>
      </c>
      <c r="N7" s="4896">
        <v>150000</v>
      </c>
      <c r="O7" s="4754">
        <f t="shared" ref="O7:O17" si="0">F7*N7</f>
        <v>3150000</v>
      </c>
      <c r="P7" s="4897" t="s">
        <v>5782</v>
      </c>
      <c r="Q7" s="4898">
        <v>4</v>
      </c>
      <c r="R7" s="4898" t="s">
        <v>3804</v>
      </c>
      <c r="S7" s="4894" t="s">
        <v>246</v>
      </c>
      <c r="T7" s="4898" t="s">
        <v>2161</v>
      </c>
      <c r="U7" s="4899">
        <v>2000</v>
      </c>
    </row>
    <row r="8" spans="1:31" s="4666" customFormat="1" ht="33.75" customHeight="1">
      <c r="A8" s="4758">
        <v>1</v>
      </c>
      <c r="B8" s="4900">
        <v>46305</v>
      </c>
      <c r="C8" s="4900">
        <v>46320</v>
      </c>
      <c r="D8" s="4913">
        <v>0</v>
      </c>
      <c r="E8" s="4759">
        <v>1</v>
      </c>
      <c r="F8" s="4949">
        <v>18</v>
      </c>
      <c r="G8" s="4771" t="s">
        <v>6197</v>
      </c>
      <c r="H8" s="4762">
        <v>7</v>
      </c>
      <c r="I8" s="4763" t="s">
        <v>5190</v>
      </c>
      <c r="J8" s="4902">
        <v>15</v>
      </c>
      <c r="K8" s="4765">
        <v>12.2</v>
      </c>
      <c r="L8" s="4765">
        <v>183.75</v>
      </c>
      <c r="M8" s="4765">
        <v>3.5</v>
      </c>
      <c r="N8" s="4762">
        <v>300000</v>
      </c>
      <c r="O8" s="4766">
        <f t="shared" si="0"/>
        <v>5400000</v>
      </c>
      <c r="P8" s="4857" t="s">
        <v>2133</v>
      </c>
      <c r="Q8" s="4858">
        <v>2</v>
      </c>
      <c r="R8" s="4859" t="s">
        <v>2133</v>
      </c>
      <c r="S8" s="4858">
        <v>0</v>
      </c>
      <c r="T8" s="4859" t="s">
        <v>2688</v>
      </c>
      <c r="U8" s="4860" t="s">
        <v>5952</v>
      </c>
    </row>
    <row r="9" spans="1:31" ht="33.75" customHeight="1">
      <c r="A9" s="4758">
        <v>2</v>
      </c>
      <c r="B9" s="4900">
        <v>46321</v>
      </c>
      <c r="C9" s="4900">
        <v>46321</v>
      </c>
      <c r="D9" s="4913">
        <v>0</v>
      </c>
      <c r="E9" s="4759">
        <v>0.5</v>
      </c>
      <c r="F9" s="4949">
        <f t="shared" ref="F9:F17" si="1">IF(OR(ISBLANK($B9), ISBLANK($C9)), 0, _xlfn.DAYS($C9, $B9) + 1)</f>
        <v>1</v>
      </c>
      <c r="G9" s="4771" t="s">
        <v>6197</v>
      </c>
      <c r="H9" s="4762">
        <v>7</v>
      </c>
      <c r="I9" s="4763" t="s">
        <v>5190</v>
      </c>
      <c r="J9" s="4902">
        <v>15</v>
      </c>
      <c r="K9" s="4765">
        <v>12.2</v>
      </c>
      <c r="L9" s="4765">
        <v>183.75</v>
      </c>
      <c r="M9" s="4765">
        <v>3.5</v>
      </c>
      <c r="N9" s="4762">
        <v>150000</v>
      </c>
      <c r="O9" s="4766">
        <f t="shared" si="0"/>
        <v>150000</v>
      </c>
      <c r="P9" s="4857" t="s">
        <v>2133</v>
      </c>
      <c r="Q9" s="4858">
        <v>2</v>
      </c>
      <c r="R9" s="4859" t="s">
        <v>2133</v>
      </c>
      <c r="S9" s="4858">
        <v>0</v>
      </c>
      <c r="T9" s="4859" t="s">
        <v>2688</v>
      </c>
      <c r="U9" s="4860" t="s">
        <v>5952</v>
      </c>
      <c r="AC9" s="4657"/>
    </row>
    <row r="10" spans="1:31" ht="33.75" customHeight="1">
      <c r="A10" s="4758">
        <v>3</v>
      </c>
      <c r="B10" s="4900"/>
      <c r="C10" s="4900"/>
      <c r="D10" s="4913"/>
      <c r="E10" s="4759"/>
      <c r="F10" s="4760">
        <f t="shared" si="1"/>
        <v>0</v>
      </c>
      <c r="G10" s="4771"/>
      <c r="H10" s="4762"/>
      <c r="I10" s="4763"/>
      <c r="J10" s="4902"/>
      <c r="K10" s="4765"/>
      <c r="L10" s="4765"/>
      <c r="M10" s="4765"/>
      <c r="N10" s="4762"/>
      <c r="O10" s="4766">
        <f t="shared" si="0"/>
        <v>0</v>
      </c>
      <c r="P10" s="4857"/>
      <c r="Q10" s="4858"/>
      <c r="R10" s="4859"/>
      <c r="S10" s="4858"/>
      <c r="T10" s="4859"/>
      <c r="U10" s="4860"/>
      <c r="AC10" s="4657"/>
    </row>
    <row r="11" spans="1:31" ht="33.75" customHeight="1">
      <c r="A11" s="4758">
        <v>4</v>
      </c>
      <c r="B11" s="4900"/>
      <c r="C11" s="4900"/>
      <c r="D11" s="4913"/>
      <c r="E11" s="4759"/>
      <c r="F11" s="4760">
        <f t="shared" si="1"/>
        <v>0</v>
      </c>
      <c r="G11" s="4771"/>
      <c r="H11" s="4762"/>
      <c r="I11" s="4763"/>
      <c r="J11" s="4902"/>
      <c r="K11" s="4765"/>
      <c r="L11" s="4765"/>
      <c r="M11" s="4765"/>
      <c r="N11" s="4762"/>
      <c r="O11" s="4766">
        <f t="shared" si="0"/>
        <v>0</v>
      </c>
      <c r="P11" s="4857"/>
      <c r="Q11" s="4858"/>
      <c r="R11" s="4859"/>
      <c r="S11" s="4858"/>
      <c r="T11" s="4859"/>
      <c r="U11" s="4860"/>
      <c r="AC11" s="4657"/>
    </row>
    <row r="12" spans="1:31" ht="33.75" customHeight="1">
      <c r="A12" s="4758">
        <v>5</v>
      </c>
      <c r="B12" s="4900"/>
      <c r="C12" s="4900"/>
      <c r="D12" s="4913"/>
      <c r="E12" s="4759"/>
      <c r="F12" s="4760">
        <f t="shared" si="1"/>
        <v>0</v>
      </c>
      <c r="G12" s="4771"/>
      <c r="H12" s="4762"/>
      <c r="I12" s="4763"/>
      <c r="J12" s="4902"/>
      <c r="K12" s="4765"/>
      <c r="L12" s="4765"/>
      <c r="M12" s="4765"/>
      <c r="N12" s="4762"/>
      <c r="O12" s="4766">
        <f t="shared" si="0"/>
        <v>0</v>
      </c>
      <c r="P12" s="4857"/>
      <c r="Q12" s="4858"/>
      <c r="R12" s="4859"/>
      <c r="S12" s="4858"/>
      <c r="T12" s="4859"/>
      <c r="U12" s="4860"/>
      <c r="AC12" s="4657"/>
    </row>
    <row r="13" spans="1:31" ht="33.75" customHeight="1">
      <c r="A13" s="4758">
        <v>6</v>
      </c>
      <c r="B13" s="4950"/>
      <c r="C13" s="4950"/>
      <c r="D13" s="4951"/>
      <c r="E13" s="4759"/>
      <c r="F13" s="4760">
        <f t="shared" si="1"/>
        <v>0</v>
      </c>
      <c r="G13" s="4950"/>
      <c r="H13" s="4952"/>
      <c r="I13" s="4763"/>
      <c r="J13" s="4902"/>
      <c r="K13" s="4765"/>
      <c r="L13" s="4765"/>
      <c r="M13" s="4765"/>
      <c r="N13" s="4762"/>
      <c r="O13" s="4766">
        <f t="shared" si="0"/>
        <v>0</v>
      </c>
      <c r="P13" s="4857"/>
      <c r="Q13" s="4858"/>
      <c r="R13" s="4859"/>
      <c r="S13" s="4858"/>
      <c r="T13" s="4859"/>
      <c r="U13" s="4860"/>
      <c r="AC13" s="4657"/>
    </row>
    <row r="14" spans="1:31" ht="33.75" customHeight="1">
      <c r="A14" s="4758">
        <v>7</v>
      </c>
      <c r="B14" s="4950"/>
      <c r="C14" s="4950"/>
      <c r="D14" s="4951"/>
      <c r="E14" s="4759"/>
      <c r="F14" s="4760">
        <f t="shared" si="1"/>
        <v>0</v>
      </c>
      <c r="G14" s="4950"/>
      <c r="H14" s="4952"/>
      <c r="I14" s="4763"/>
      <c r="J14" s="4902"/>
      <c r="K14" s="4765"/>
      <c r="L14" s="4765"/>
      <c r="M14" s="4765"/>
      <c r="N14" s="4762"/>
      <c r="O14" s="4766">
        <f t="shared" si="0"/>
        <v>0</v>
      </c>
      <c r="P14" s="4857"/>
      <c r="Q14" s="4858"/>
      <c r="R14" s="4859"/>
      <c r="S14" s="4858"/>
      <c r="T14" s="4859"/>
      <c r="U14" s="4860"/>
      <c r="AC14" s="4657"/>
    </row>
    <row r="15" spans="1:31" ht="33.75" customHeight="1">
      <c r="A15" s="4758">
        <v>8</v>
      </c>
      <c r="B15" s="4950"/>
      <c r="C15" s="4950"/>
      <c r="D15" s="4951"/>
      <c r="E15" s="4759"/>
      <c r="F15" s="4760">
        <f t="shared" si="1"/>
        <v>0</v>
      </c>
      <c r="G15" s="4950"/>
      <c r="H15" s="4952"/>
      <c r="I15" s="4763"/>
      <c r="J15" s="4902"/>
      <c r="K15" s="4765"/>
      <c r="L15" s="4765"/>
      <c r="M15" s="4765"/>
      <c r="N15" s="4762"/>
      <c r="O15" s="4766">
        <f t="shared" si="0"/>
        <v>0</v>
      </c>
      <c r="P15" s="4857"/>
      <c r="Q15" s="4858"/>
      <c r="R15" s="4859"/>
      <c r="S15" s="4858"/>
      <c r="T15" s="4859"/>
      <c r="U15" s="4860"/>
      <c r="AC15" s="4657"/>
    </row>
    <row r="16" spans="1:31" ht="33.75" customHeight="1">
      <c r="A16" s="4758">
        <v>9</v>
      </c>
      <c r="B16" s="4950"/>
      <c r="C16" s="4950"/>
      <c r="D16" s="4951"/>
      <c r="E16" s="4759"/>
      <c r="F16" s="4760">
        <f t="shared" si="1"/>
        <v>0</v>
      </c>
      <c r="G16" s="4950"/>
      <c r="H16" s="4952"/>
      <c r="I16" s="4763"/>
      <c r="J16" s="4902"/>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54"/>
      <c r="E17" s="4915"/>
      <c r="F17" s="4770">
        <f t="shared" si="1"/>
        <v>0</v>
      </c>
      <c r="G17" s="4953"/>
      <c r="H17" s="4955"/>
      <c r="I17" s="4774"/>
      <c r="J17" s="4902"/>
      <c r="K17" s="4765"/>
      <c r="L17" s="5009"/>
      <c r="M17" s="4765"/>
      <c r="N17" s="4775"/>
      <c r="O17" s="4776">
        <f t="shared" si="0"/>
        <v>0</v>
      </c>
      <c r="P17" s="4918"/>
      <c r="Q17" s="4919"/>
      <c r="R17" s="4920"/>
      <c r="S17" s="4919"/>
      <c r="T17" s="4920"/>
      <c r="U17" s="4921"/>
      <c r="AC17" s="4657"/>
    </row>
    <row r="18" spans="1:31" ht="33.75" customHeight="1" thickTop="1" thickBot="1">
      <c r="A18" s="4865" t="s">
        <v>5939</v>
      </c>
      <c r="B18" s="4866"/>
      <c r="C18" s="4866"/>
      <c r="D18" s="4866"/>
      <c r="E18" s="4866"/>
      <c r="F18" s="4867">
        <f>SUM(F8:F17)</f>
        <v>19</v>
      </c>
      <c r="G18" s="4866"/>
      <c r="H18" s="4868"/>
      <c r="I18" s="4782">
        <f>COUNTA(G8)</f>
        <v>1</v>
      </c>
      <c r="J18" s="4870"/>
      <c r="K18" s="4870"/>
      <c r="L18" s="4870"/>
      <c r="M18" s="4870"/>
      <c r="N18" s="4903"/>
      <c r="O18" s="4871">
        <f>SUM(O8:O17)</f>
        <v>5550000</v>
      </c>
      <c r="P18" s="4904"/>
      <c r="Q18" s="4904"/>
      <c r="R18" s="4905"/>
      <c r="S18" s="4906"/>
      <c r="T18" s="4905"/>
      <c r="U18" s="4907"/>
      <c r="AC18" s="4657"/>
    </row>
    <row r="19" spans="1:31" ht="33.75" customHeight="1" thickBot="1">
      <c r="A19" s="4876" t="s">
        <v>5792</v>
      </c>
      <c r="B19" s="4957"/>
      <c r="C19" s="4958"/>
      <c r="D19" s="4958"/>
      <c r="E19" s="4958"/>
      <c r="F19" s="4959"/>
      <c r="G19" s="4958"/>
      <c r="H19" s="4960"/>
      <c r="I19" s="4958"/>
      <c r="J19" s="4961"/>
      <c r="K19" s="4961"/>
      <c r="L19" s="4961"/>
      <c r="M19" s="4961"/>
      <c r="N19" s="4962"/>
      <c r="O19" s="5010">
        <f>O18*1.1</f>
        <v>6105000.0000000009</v>
      </c>
      <c r="P19" s="4963"/>
      <c r="Q19" s="4963"/>
      <c r="R19" s="4964"/>
      <c r="S19" s="4965"/>
      <c r="T19" s="4964"/>
      <c r="U19" s="4966"/>
      <c r="V19" s="4941"/>
      <c r="W19" s="4941"/>
      <c r="X19" s="4941"/>
      <c r="Y19" s="4941"/>
      <c r="Z19" s="4941"/>
      <c r="AA19" s="4941"/>
      <c r="AB19" s="4941"/>
      <c r="AC19" s="4941"/>
      <c r="AD19" s="4941"/>
      <c r="AE19" s="4941"/>
    </row>
    <row r="20" spans="1:31" ht="32.15" customHeight="1">
      <c r="A20" s="4656"/>
      <c r="B20" s="4660"/>
      <c r="C20" s="4660"/>
      <c r="D20" s="4660"/>
      <c r="G20" s="4660"/>
      <c r="H20" s="4660"/>
      <c r="M20" s="4808" t="s">
        <v>5748</v>
      </c>
      <c r="N20" s="4809">
        <f>SUM(N8)</f>
        <v>300000</v>
      </c>
      <c r="O20" s="4656"/>
      <c r="P20" s="4657"/>
      <c r="Q20" s="4657"/>
      <c r="AC20" s="4657"/>
    </row>
    <row r="21" spans="1:31" ht="32.15" customHeight="1">
      <c r="A21" s="4325" t="s">
        <v>6198</v>
      </c>
      <c r="B21" s="4657"/>
      <c r="C21" s="4657"/>
      <c r="D21" s="4657"/>
      <c r="E21" s="4810"/>
      <c r="F21" s="4811"/>
      <c r="G21" s="4657"/>
      <c r="H21" s="4657"/>
      <c r="M21" s="4808" t="s">
        <v>5750</v>
      </c>
      <c r="N21" s="4809">
        <f>N20*1.1</f>
        <v>330000</v>
      </c>
      <c r="O21" s="4656"/>
      <c r="P21" s="4657"/>
      <c r="Q21" s="4657"/>
      <c r="AC21" s="4657"/>
    </row>
    <row r="22" spans="1:31" ht="32.15" customHeight="1">
      <c r="A22" s="4812"/>
      <c r="B22" s="4813"/>
      <c r="C22" s="4813"/>
      <c r="D22" s="4813"/>
      <c r="E22" s="4814"/>
      <c r="F22" s="4814"/>
      <c r="G22" s="4813"/>
      <c r="H22" s="4813"/>
      <c r="I22" s="4812"/>
      <c r="J22" s="4812"/>
      <c r="K22" s="4812"/>
      <c r="L22" s="4812"/>
      <c r="M22" s="4812"/>
      <c r="N22" s="4812"/>
      <c r="O22" s="4715"/>
      <c r="P22" s="4715"/>
      <c r="Q22" s="4715"/>
      <c r="R22" s="4656"/>
      <c r="S22" s="4812"/>
      <c r="T22" s="4656"/>
      <c r="U22" s="4812"/>
      <c r="W22" s="6905"/>
      <c r="X22" s="6905"/>
      <c r="Y22" s="6905"/>
      <c r="Z22" s="6905"/>
      <c r="AA22" s="6905"/>
      <c r="AB22" s="6891"/>
      <c r="AC22" s="6891"/>
      <c r="AD22" s="6891"/>
      <c r="AE22" s="6891"/>
    </row>
    <row r="23" spans="1:31" ht="36" customHeight="1"/>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10.4" customHeight="1">
      <c r="B33" s="4657"/>
      <c r="C33" s="4657"/>
      <c r="D33" s="4657"/>
      <c r="G33" s="4657"/>
      <c r="H33" s="4657"/>
      <c r="O33" s="4656"/>
      <c r="P33" s="4657"/>
      <c r="Q33" s="4657"/>
      <c r="AC33" s="4657"/>
    </row>
  </sheetData>
  <mergeCells count="21">
    <mergeCell ref="A2:B2"/>
    <mergeCell ref="C2:G2"/>
    <mergeCell ref="A5:A6"/>
    <mergeCell ref="B5:B6"/>
    <mergeCell ref="C5:C6"/>
    <mergeCell ref="D5:D6"/>
    <mergeCell ref="E5:E6"/>
    <mergeCell ref="F5:F6"/>
    <mergeCell ref="G5:G6"/>
    <mergeCell ref="AB22:AE22"/>
    <mergeCell ref="H5:H6"/>
    <mergeCell ref="I5:I6"/>
    <mergeCell ref="J5:J6"/>
    <mergeCell ref="K5:K6"/>
    <mergeCell ref="L5:L6"/>
    <mergeCell ref="M5:M6"/>
    <mergeCell ref="N5:N6"/>
    <mergeCell ref="O5:O6"/>
    <mergeCell ref="P5:Q5"/>
    <mergeCell ref="R5:U5"/>
    <mergeCell ref="W22:AA22"/>
  </mergeCells>
  <phoneticPr fontId="2"/>
  <conditionalFormatting sqref="B8:E17 G8:K17">
    <cfRule type="containsBlanks" dxfId="490" priority="1">
      <formula>LEN(TRIM(B8))=0</formula>
    </cfRule>
  </conditionalFormatting>
  <conditionalFormatting sqref="C2:D2">
    <cfRule type="containsBlanks" dxfId="489" priority="2">
      <formula>LEN(TRIM(C2))=0</formula>
    </cfRule>
  </conditionalFormatting>
  <conditionalFormatting sqref="M8:N17">
    <cfRule type="containsBlanks" dxfId="488" priority="4">
      <formula>LEN(TRIM(M8))=0</formula>
    </cfRule>
  </conditionalFormatting>
  <conditionalFormatting sqref="P8:U17">
    <cfRule type="containsBlanks" dxfId="487" priority="3">
      <formula>LEN(TRIM(P8))=0</formula>
    </cfRule>
  </conditionalFormatting>
  <dataValidations count="1">
    <dataValidation type="list" allowBlank="1" showInputMessage="1" showErrorMessage="1" sqref="I7:I17" xr:uid="{C938A563-E74F-4952-BE36-B6BDBD060F00}">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905FC-CBDC-4D9D-B16B-93AA9250C52C}">
  <sheetPr codeName="Sheet353">
    <tabColor rgb="FFFFFF66"/>
    <pageSetUpPr fitToPage="1"/>
  </sheetPr>
  <dimension ref="A1:AG41"/>
  <sheetViews>
    <sheetView topLeftCell="A18"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7.4531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33" width="11.54296875" style="4658" bestFit="1" customWidth="1"/>
    <col min="34" max="16384" width="9.81640625" style="4657"/>
  </cols>
  <sheetData>
    <row r="1" spans="1:33" ht="21" customHeight="1">
      <c r="S1" s="4656"/>
      <c r="U1" s="4660"/>
      <c r="W1" s="4656"/>
    </row>
    <row r="2" spans="1:33" ht="44.25" customHeight="1">
      <c r="A2" s="5143" t="s">
        <v>6199</v>
      </c>
      <c r="B2" s="5144"/>
      <c r="D2" s="5145"/>
      <c r="E2" s="5145"/>
      <c r="F2" s="5145"/>
      <c r="G2" s="5145"/>
      <c r="I2" s="4662"/>
      <c r="J2" s="4663"/>
      <c r="L2" s="4663"/>
      <c r="M2" s="4663"/>
      <c r="N2" s="4663"/>
      <c r="O2" s="4663"/>
      <c r="S2" s="4656"/>
      <c r="U2" s="4660"/>
      <c r="W2" s="4656"/>
      <c r="AE2" s="4664" t="s">
        <v>5710</v>
      </c>
    </row>
    <row r="3" spans="1:33" ht="10.4" customHeight="1">
      <c r="S3" s="4656"/>
      <c r="U3" s="4660"/>
      <c r="W3" s="4656"/>
    </row>
    <row r="4" spans="1:33" ht="33.75" customHeight="1" thickBot="1">
      <c r="A4" s="4665" t="s">
        <v>5711</v>
      </c>
      <c r="B4" s="4665"/>
      <c r="S4" s="4656"/>
      <c r="W4" s="4656"/>
      <c r="Z4" s="4656"/>
      <c r="AA4" s="4656"/>
      <c r="AB4" s="4656"/>
      <c r="AC4" s="4656"/>
      <c r="AD4" s="4656"/>
      <c r="AF4" s="4656" t="s">
        <v>5712</v>
      </c>
    </row>
    <row r="5" spans="1:33"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c r="AG5" s="5403"/>
    </row>
    <row r="6" spans="1:33"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c r="AG6" s="5403"/>
    </row>
    <row r="7" spans="1:33"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3" ht="33.75" customHeight="1">
      <c r="A8" s="4686">
        <v>1</v>
      </c>
      <c r="B8" s="5404">
        <v>46279</v>
      </c>
      <c r="C8" s="5405" t="s">
        <v>6200</v>
      </c>
      <c r="D8" s="5406">
        <v>2</v>
      </c>
      <c r="E8" s="5405" t="s">
        <v>6201</v>
      </c>
      <c r="F8" s="5407">
        <v>12</v>
      </c>
      <c r="G8" s="5408">
        <v>46294</v>
      </c>
      <c r="H8" s="5406">
        <v>1</v>
      </c>
      <c r="I8" s="5409" t="s">
        <v>6202</v>
      </c>
      <c r="J8" s="5410">
        <v>4</v>
      </c>
      <c r="K8" s="5411">
        <v>4</v>
      </c>
      <c r="L8" s="5412">
        <v>48000</v>
      </c>
      <c r="M8" s="5412">
        <v>54000</v>
      </c>
      <c r="N8" s="4971">
        <f>M8*K8</f>
        <v>216000</v>
      </c>
      <c r="O8" s="4692">
        <v>48000</v>
      </c>
      <c r="P8" s="4678">
        <f>SUM(D8,F8,H8)*K8</f>
        <v>60</v>
      </c>
      <c r="Q8" s="4679">
        <f t="shared" ref="Q8:Q22" si="0">(D8*L8+F8*M8+H8*O8)*K8</f>
        <v>3168000</v>
      </c>
      <c r="R8" s="4692"/>
      <c r="S8" s="4680" t="s">
        <v>5742</v>
      </c>
      <c r="T8" s="4694"/>
      <c r="U8" s="4700">
        <v>2</v>
      </c>
      <c r="V8" s="4692"/>
      <c r="W8" s="4680" t="s">
        <v>4521</v>
      </c>
      <c r="X8" s="4695"/>
      <c r="Y8" s="4692"/>
      <c r="Z8" s="4692"/>
      <c r="AA8" s="4683" t="s">
        <v>5035</v>
      </c>
      <c r="AB8" s="4692"/>
      <c r="AC8" s="4683" t="s">
        <v>5050</v>
      </c>
      <c r="AD8" s="4692"/>
      <c r="AE8" s="4696"/>
      <c r="AF8" s="4685">
        <f>U8*K8</f>
        <v>8</v>
      </c>
    </row>
    <row r="9" spans="1:33" ht="33.75" customHeight="1">
      <c r="A9" s="4686">
        <v>2</v>
      </c>
      <c r="B9" s="5405" t="s">
        <v>6203</v>
      </c>
      <c r="C9" s="5405" t="s">
        <v>6200</v>
      </c>
      <c r="D9" s="5406">
        <v>2</v>
      </c>
      <c r="E9" s="5405" t="s">
        <v>6201</v>
      </c>
      <c r="F9" s="5407">
        <v>12</v>
      </c>
      <c r="G9" s="5413" t="s">
        <v>6204</v>
      </c>
      <c r="H9" s="5406">
        <v>1</v>
      </c>
      <c r="I9" s="5409" t="s">
        <v>6205</v>
      </c>
      <c r="J9" s="5410">
        <v>1</v>
      </c>
      <c r="K9" s="5411">
        <v>1</v>
      </c>
      <c r="L9" s="5412">
        <v>88000</v>
      </c>
      <c r="M9" s="5412">
        <v>100000</v>
      </c>
      <c r="N9" s="4971">
        <f>M9*K9</f>
        <v>100000</v>
      </c>
      <c r="O9" s="4692">
        <v>88000</v>
      </c>
      <c r="P9" s="4678">
        <f t="shared" ref="P9:P22" si="1">SUM(D9,F9,H9)*K9</f>
        <v>15</v>
      </c>
      <c r="Q9" s="4679">
        <f t="shared" si="0"/>
        <v>1464000</v>
      </c>
      <c r="R9" s="4692"/>
      <c r="S9" s="4680" t="s">
        <v>5742</v>
      </c>
      <c r="T9" s="4694"/>
      <c r="U9" s="4700">
        <v>4</v>
      </c>
      <c r="V9" s="4692"/>
      <c r="W9" s="4680" t="s">
        <v>4521</v>
      </c>
      <c r="X9" s="4695"/>
      <c r="Y9" s="4692"/>
      <c r="Z9" s="4692"/>
      <c r="AA9" s="4683" t="s">
        <v>5035</v>
      </c>
      <c r="AB9" s="4692"/>
      <c r="AC9" s="4683" t="s">
        <v>5050</v>
      </c>
      <c r="AD9" s="4692"/>
      <c r="AE9" s="4696"/>
      <c r="AF9" s="4685">
        <f t="shared" ref="AF9:AF22" si="2">U9*K9</f>
        <v>4</v>
      </c>
    </row>
    <row r="10" spans="1:33" ht="33.75" customHeight="1">
      <c r="A10" s="4686">
        <v>3</v>
      </c>
      <c r="B10" s="5405" t="s">
        <v>6203</v>
      </c>
      <c r="C10" s="5405" t="s">
        <v>6200</v>
      </c>
      <c r="D10" s="5406">
        <v>2</v>
      </c>
      <c r="E10" s="5405" t="s">
        <v>6201</v>
      </c>
      <c r="F10" s="5407">
        <v>12</v>
      </c>
      <c r="G10" s="5413" t="s">
        <v>6204</v>
      </c>
      <c r="H10" s="5406">
        <v>1</v>
      </c>
      <c r="I10" s="5409" t="s">
        <v>6206</v>
      </c>
      <c r="J10" s="5410">
        <v>11</v>
      </c>
      <c r="K10" s="5411">
        <v>11</v>
      </c>
      <c r="L10" s="5412">
        <v>80000</v>
      </c>
      <c r="M10" s="5412">
        <v>92000</v>
      </c>
      <c r="N10" s="4971">
        <f>M10*K10</f>
        <v>1012000</v>
      </c>
      <c r="O10" s="4692">
        <v>80000</v>
      </c>
      <c r="P10" s="4678">
        <f t="shared" si="1"/>
        <v>165</v>
      </c>
      <c r="Q10" s="4679">
        <f t="shared" si="0"/>
        <v>14784000</v>
      </c>
      <c r="R10" s="4692"/>
      <c r="S10" s="4680" t="s">
        <v>5742</v>
      </c>
      <c r="T10" s="4694"/>
      <c r="U10" s="4700">
        <v>4</v>
      </c>
      <c r="V10" s="4692"/>
      <c r="W10" s="4680" t="s">
        <v>4521</v>
      </c>
      <c r="X10" s="4695"/>
      <c r="Y10" s="4692"/>
      <c r="Z10" s="4692"/>
      <c r="AA10" s="4683" t="s">
        <v>5035</v>
      </c>
      <c r="AB10" s="4692"/>
      <c r="AC10" s="4683" t="s">
        <v>5050</v>
      </c>
      <c r="AD10" s="4692"/>
      <c r="AE10" s="4696"/>
      <c r="AF10" s="4685">
        <f t="shared" si="2"/>
        <v>44</v>
      </c>
    </row>
    <row r="11" spans="1:33" ht="33.75" customHeight="1">
      <c r="A11" s="4686">
        <v>4</v>
      </c>
      <c r="B11" s="5405" t="s">
        <v>6203</v>
      </c>
      <c r="C11" s="5405" t="s">
        <v>6200</v>
      </c>
      <c r="D11" s="5406">
        <v>2</v>
      </c>
      <c r="E11" s="5405" t="s">
        <v>6201</v>
      </c>
      <c r="F11" s="5407">
        <v>12</v>
      </c>
      <c r="G11" s="5413" t="s">
        <v>6204</v>
      </c>
      <c r="H11" s="5406">
        <v>1</v>
      </c>
      <c r="I11" s="5409" t="s">
        <v>6207</v>
      </c>
      <c r="J11" s="5410">
        <v>2</v>
      </c>
      <c r="K11" s="5411">
        <v>2</v>
      </c>
      <c r="L11" s="5412">
        <v>60000</v>
      </c>
      <c r="M11" s="5412">
        <v>69000</v>
      </c>
      <c r="N11" s="4971">
        <f t="shared" ref="N11:N20" si="3">M11*K11</f>
        <v>138000</v>
      </c>
      <c r="O11" s="4692">
        <v>60000</v>
      </c>
      <c r="P11" s="4678">
        <f t="shared" si="1"/>
        <v>30</v>
      </c>
      <c r="Q11" s="4679">
        <f t="shared" si="0"/>
        <v>2016000</v>
      </c>
      <c r="R11" s="4692"/>
      <c r="S11" s="4680" t="s">
        <v>5742</v>
      </c>
      <c r="T11" s="4694"/>
      <c r="U11" s="4700">
        <v>3</v>
      </c>
      <c r="V11" s="4692"/>
      <c r="W11" s="4680" t="s">
        <v>4521</v>
      </c>
      <c r="X11" s="4695"/>
      <c r="Y11" s="4692"/>
      <c r="Z11" s="4692"/>
      <c r="AA11" s="4683" t="s">
        <v>5035</v>
      </c>
      <c r="AB11" s="4692"/>
      <c r="AC11" s="4683" t="s">
        <v>5050</v>
      </c>
      <c r="AD11" s="4692"/>
      <c r="AE11" s="4696"/>
      <c r="AF11" s="4685">
        <f t="shared" si="2"/>
        <v>6</v>
      </c>
    </row>
    <row r="12" spans="1:33" ht="33.75" customHeight="1">
      <c r="A12" s="4686">
        <v>5</v>
      </c>
      <c r="B12" s="5405" t="s">
        <v>6203</v>
      </c>
      <c r="C12" s="5405" t="s">
        <v>6200</v>
      </c>
      <c r="D12" s="5406">
        <v>2</v>
      </c>
      <c r="E12" s="5405" t="s">
        <v>6201</v>
      </c>
      <c r="F12" s="5407">
        <v>12</v>
      </c>
      <c r="G12" s="5413" t="s">
        <v>6204</v>
      </c>
      <c r="H12" s="5406">
        <v>1</v>
      </c>
      <c r="I12" s="5409" t="s">
        <v>6208</v>
      </c>
      <c r="J12" s="5410">
        <v>16</v>
      </c>
      <c r="K12" s="5411">
        <v>16</v>
      </c>
      <c r="L12" s="5412">
        <v>34000</v>
      </c>
      <c r="M12" s="5412">
        <v>40000</v>
      </c>
      <c r="N12" s="4971">
        <f t="shared" si="3"/>
        <v>640000</v>
      </c>
      <c r="O12" s="4692">
        <v>34000</v>
      </c>
      <c r="P12" s="4678">
        <f t="shared" si="1"/>
        <v>240</v>
      </c>
      <c r="Q12" s="4679">
        <f t="shared" si="0"/>
        <v>9312000</v>
      </c>
      <c r="R12" s="4692"/>
      <c r="S12" s="4680" t="s">
        <v>5742</v>
      </c>
      <c r="T12" s="4694"/>
      <c r="U12" s="4700">
        <v>3</v>
      </c>
      <c r="V12" s="4692"/>
      <c r="W12" s="4680" t="s">
        <v>4521</v>
      </c>
      <c r="X12" s="4695"/>
      <c r="Y12" s="4692"/>
      <c r="Z12" s="4692"/>
      <c r="AA12" s="4683" t="s">
        <v>5035</v>
      </c>
      <c r="AB12" s="4692"/>
      <c r="AC12" s="4683" t="s">
        <v>5050</v>
      </c>
      <c r="AD12" s="4692"/>
      <c r="AE12" s="4696"/>
      <c r="AF12" s="4685">
        <f t="shared" si="2"/>
        <v>48</v>
      </c>
    </row>
    <row r="13" spans="1:33" ht="33.75" customHeight="1">
      <c r="A13" s="4686">
        <v>6</v>
      </c>
      <c r="B13" s="5405" t="s">
        <v>6203</v>
      </c>
      <c r="C13" s="5405" t="s">
        <v>6200</v>
      </c>
      <c r="D13" s="5406">
        <v>2</v>
      </c>
      <c r="E13" s="5405" t="s">
        <v>6201</v>
      </c>
      <c r="F13" s="5407">
        <v>12</v>
      </c>
      <c r="G13" s="5413" t="s">
        <v>6204</v>
      </c>
      <c r="H13" s="5406">
        <v>1</v>
      </c>
      <c r="I13" s="5409" t="s">
        <v>6209</v>
      </c>
      <c r="J13" s="5410">
        <v>8</v>
      </c>
      <c r="K13" s="5411">
        <v>8</v>
      </c>
      <c r="L13" s="5412">
        <v>34000</v>
      </c>
      <c r="M13" s="5412">
        <v>40000</v>
      </c>
      <c r="N13" s="4971">
        <f t="shared" si="3"/>
        <v>320000</v>
      </c>
      <c r="O13" s="4692">
        <v>34000</v>
      </c>
      <c r="P13" s="4678">
        <f t="shared" si="1"/>
        <v>120</v>
      </c>
      <c r="Q13" s="4679">
        <f t="shared" si="0"/>
        <v>4656000</v>
      </c>
      <c r="R13" s="4692"/>
      <c r="S13" s="4680" t="s">
        <v>5742</v>
      </c>
      <c r="T13" s="4694"/>
      <c r="U13" s="4700">
        <v>2</v>
      </c>
      <c r="V13" s="4692"/>
      <c r="W13" s="4680" t="s">
        <v>4521</v>
      </c>
      <c r="X13" s="4695"/>
      <c r="Y13" s="4692"/>
      <c r="Z13" s="4692"/>
      <c r="AA13" s="4683" t="s">
        <v>5035</v>
      </c>
      <c r="AB13" s="4692"/>
      <c r="AC13" s="4683" t="s">
        <v>5050</v>
      </c>
      <c r="AD13" s="4692"/>
      <c r="AE13" s="4696"/>
      <c r="AF13" s="4685">
        <f t="shared" si="2"/>
        <v>16</v>
      </c>
    </row>
    <row r="14" spans="1:33" ht="33.75" customHeight="1">
      <c r="A14" s="4686">
        <v>7</v>
      </c>
      <c r="B14" s="5405" t="s">
        <v>6203</v>
      </c>
      <c r="C14" s="5405" t="s">
        <v>6200</v>
      </c>
      <c r="D14" s="5406">
        <v>2</v>
      </c>
      <c r="E14" s="5405" t="s">
        <v>6201</v>
      </c>
      <c r="F14" s="5407">
        <v>12</v>
      </c>
      <c r="G14" s="5413" t="s">
        <v>6204</v>
      </c>
      <c r="H14" s="5406">
        <v>1</v>
      </c>
      <c r="I14" s="5409" t="s">
        <v>6210</v>
      </c>
      <c r="J14" s="5410">
        <v>3</v>
      </c>
      <c r="K14" s="5411">
        <v>3</v>
      </c>
      <c r="L14" s="5412">
        <v>17000</v>
      </c>
      <c r="M14" s="5412">
        <v>20000</v>
      </c>
      <c r="N14" s="4971">
        <f t="shared" si="3"/>
        <v>60000</v>
      </c>
      <c r="O14" s="4692">
        <v>17000</v>
      </c>
      <c r="P14" s="4678">
        <f t="shared" si="1"/>
        <v>45</v>
      </c>
      <c r="Q14" s="4679">
        <f t="shared" si="0"/>
        <v>873000</v>
      </c>
      <c r="R14" s="4692"/>
      <c r="S14" s="4680" t="s">
        <v>5742</v>
      </c>
      <c r="T14" s="4694"/>
      <c r="U14" s="4700">
        <v>1</v>
      </c>
      <c r="V14" s="4692"/>
      <c r="W14" s="4680" t="s">
        <v>4521</v>
      </c>
      <c r="X14" s="4695"/>
      <c r="Y14" s="4692"/>
      <c r="Z14" s="4692"/>
      <c r="AA14" s="4683" t="s">
        <v>5035</v>
      </c>
      <c r="AB14" s="4692"/>
      <c r="AC14" s="4683" t="s">
        <v>5050</v>
      </c>
      <c r="AD14" s="4692"/>
      <c r="AE14" s="4696"/>
      <c r="AF14" s="4685">
        <f t="shared" si="2"/>
        <v>3</v>
      </c>
    </row>
    <row r="15" spans="1:33" ht="33.75" customHeight="1">
      <c r="A15" s="4686">
        <v>8</v>
      </c>
      <c r="B15" s="5405" t="s">
        <v>6203</v>
      </c>
      <c r="C15" s="5405" t="s">
        <v>6200</v>
      </c>
      <c r="D15" s="5406">
        <v>2</v>
      </c>
      <c r="E15" s="5405" t="s">
        <v>6201</v>
      </c>
      <c r="F15" s="5407">
        <v>12</v>
      </c>
      <c r="G15" s="5413" t="s">
        <v>6204</v>
      </c>
      <c r="H15" s="5406">
        <v>1</v>
      </c>
      <c r="I15" s="5409" t="s">
        <v>6211</v>
      </c>
      <c r="J15" s="5410">
        <v>4</v>
      </c>
      <c r="K15" s="5411">
        <v>4</v>
      </c>
      <c r="L15" s="5412">
        <v>58000</v>
      </c>
      <c r="M15" s="5412">
        <v>64000</v>
      </c>
      <c r="N15" s="4971">
        <f t="shared" si="3"/>
        <v>256000</v>
      </c>
      <c r="O15" s="4692">
        <v>58000</v>
      </c>
      <c r="P15" s="4678">
        <f t="shared" si="1"/>
        <v>60</v>
      </c>
      <c r="Q15" s="4679">
        <f>(D15*L15+F15*M14+H15*O15)*K15</f>
        <v>1656000</v>
      </c>
      <c r="R15" s="4692"/>
      <c r="S15" s="4680" t="s">
        <v>5742</v>
      </c>
      <c r="T15" s="4694"/>
      <c r="U15" s="4700">
        <v>2</v>
      </c>
      <c r="V15" s="4692"/>
      <c r="W15" s="4680" t="s">
        <v>4521</v>
      </c>
      <c r="X15" s="4695"/>
      <c r="Y15" s="4692"/>
      <c r="Z15" s="4692"/>
      <c r="AA15" s="4683" t="s">
        <v>5035</v>
      </c>
      <c r="AB15" s="4692"/>
      <c r="AC15" s="4683" t="s">
        <v>5050</v>
      </c>
      <c r="AD15" s="4692"/>
      <c r="AE15" s="4696"/>
      <c r="AF15" s="4685">
        <f t="shared" si="2"/>
        <v>8</v>
      </c>
    </row>
    <row r="16" spans="1:33" ht="33.75" customHeight="1">
      <c r="A16" s="4686">
        <v>9</v>
      </c>
      <c r="B16" s="5405" t="s">
        <v>6203</v>
      </c>
      <c r="C16" s="5405" t="s">
        <v>6200</v>
      </c>
      <c r="D16" s="5406">
        <v>2</v>
      </c>
      <c r="E16" s="5405" t="s">
        <v>6201</v>
      </c>
      <c r="F16" s="5407">
        <v>12</v>
      </c>
      <c r="G16" s="5413" t="s">
        <v>6204</v>
      </c>
      <c r="H16" s="5406">
        <v>1</v>
      </c>
      <c r="I16" s="5409" t="s">
        <v>6212</v>
      </c>
      <c r="J16" s="5410">
        <v>24</v>
      </c>
      <c r="K16" s="5411">
        <v>24</v>
      </c>
      <c r="L16" s="5412">
        <v>51000</v>
      </c>
      <c r="M16" s="5412">
        <v>60000</v>
      </c>
      <c r="N16" s="4971">
        <f t="shared" si="3"/>
        <v>1440000</v>
      </c>
      <c r="O16" s="4692">
        <v>51000</v>
      </c>
      <c r="P16" s="4678">
        <f t="shared" si="1"/>
        <v>360</v>
      </c>
      <c r="Q16" s="4679">
        <f>(D16*L16+F16*M15+H16*O16)*K16</f>
        <v>22104000</v>
      </c>
      <c r="R16" s="4692"/>
      <c r="S16" s="4680" t="s">
        <v>5742</v>
      </c>
      <c r="T16" s="4694"/>
      <c r="U16" s="4700">
        <v>3</v>
      </c>
      <c r="V16" s="4692"/>
      <c r="W16" s="4680" t="s">
        <v>4521</v>
      </c>
      <c r="X16" s="4695"/>
      <c r="Y16" s="4692"/>
      <c r="Z16" s="4692"/>
      <c r="AA16" s="4683" t="s">
        <v>5035</v>
      </c>
      <c r="AB16" s="4692"/>
      <c r="AC16" s="4683" t="s">
        <v>5050</v>
      </c>
      <c r="AD16" s="4692"/>
      <c r="AE16" s="4696"/>
      <c r="AF16" s="4685">
        <f t="shared" si="2"/>
        <v>72</v>
      </c>
    </row>
    <row r="17" spans="1:32" ht="33.75" customHeight="1">
      <c r="A17" s="4686">
        <v>10</v>
      </c>
      <c r="B17" s="5414"/>
      <c r="C17" s="5414"/>
      <c r="D17" s="5406">
        <v>1</v>
      </c>
      <c r="E17" s="5414"/>
      <c r="F17" s="5407">
        <v>2</v>
      </c>
      <c r="G17" s="5415"/>
      <c r="H17" s="5406">
        <v>0</v>
      </c>
      <c r="I17" s="5416"/>
      <c r="J17" s="5417"/>
      <c r="K17" s="5418"/>
      <c r="L17" s="5417"/>
      <c r="M17" s="5417"/>
      <c r="N17" s="4971">
        <f t="shared" si="3"/>
        <v>0</v>
      </c>
      <c r="O17" s="4692"/>
      <c r="P17" s="4678">
        <f t="shared" si="1"/>
        <v>0</v>
      </c>
      <c r="Q17" s="4679">
        <f>(D17*L17+F17*M16+H17*O17)*K17</f>
        <v>0</v>
      </c>
      <c r="R17" s="4692"/>
      <c r="S17" s="4680" t="s">
        <v>5742</v>
      </c>
      <c r="T17" s="4694"/>
      <c r="U17" s="4700"/>
      <c r="V17" s="4692"/>
      <c r="W17" s="4680" t="s">
        <v>4521</v>
      </c>
      <c r="X17" s="4695"/>
      <c r="Y17" s="4692"/>
      <c r="Z17" s="4692"/>
      <c r="AA17" s="4683" t="s">
        <v>5035</v>
      </c>
      <c r="AB17" s="4692"/>
      <c r="AC17" s="4683" t="s">
        <v>5050</v>
      </c>
      <c r="AD17" s="4692"/>
      <c r="AE17" s="4696"/>
      <c r="AF17" s="4685">
        <f t="shared" si="2"/>
        <v>0</v>
      </c>
    </row>
    <row r="18" spans="1:32" ht="33.75" customHeight="1">
      <c r="A18" s="4686">
        <v>11</v>
      </c>
      <c r="B18" s="5414"/>
      <c r="C18" s="5414"/>
      <c r="D18" s="5406">
        <v>1</v>
      </c>
      <c r="E18" s="5414"/>
      <c r="F18" s="5407">
        <v>2</v>
      </c>
      <c r="G18" s="5415"/>
      <c r="H18" s="5406">
        <v>0</v>
      </c>
      <c r="I18" s="5416"/>
      <c r="J18" s="5417"/>
      <c r="K18" s="5418"/>
      <c r="L18" s="5417"/>
      <c r="M18" s="5417"/>
      <c r="N18" s="4971">
        <f t="shared" si="3"/>
        <v>0</v>
      </c>
      <c r="O18" s="4692"/>
      <c r="P18" s="4678">
        <f t="shared" si="1"/>
        <v>0</v>
      </c>
      <c r="Q18" s="4679">
        <f t="shared" si="0"/>
        <v>0</v>
      </c>
      <c r="R18" s="4692"/>
      <c r="S18" s="4680" t="s">
        <v>5742</v>
      </c>
      <c r="T18" s="4694"/>
      <c r="U18" s="4700"/>
      <c r="V18" s="4692"/>
      <c r="W18" s="4680" t="s">
        <v>4521</v>
      </c>
      <c r="X18" s="4695"/>
      <c r="Y18" s="4692"/>
      <c r="Z18" s="4692"/>
      <c r="AA18" s="4683" t="s">
        <v>5035</v>
      </c>
      <c r="AB18" s="4692"/>
      <c r="AC18" s="4683" t="s">
        <v>5050</v>
      </c>
      <c r="AD18" s="4692"/>
      <c r="AE18" s="4696"/>
      <c r="AF18" s="4685">
        <f t="shared" si="2"/>
        <v>0</v>
      </c>
    </row>
    <row r="19" spans="1:32" ht="33.75" customHeight="1">
      <c r="A19" s="4686">
        <v>12</v>
      </c>
      <c r="B19" s="5414"/>
      <c r="C19" s="5414"/>
      <c r="D19" s="5406">
        <v>1</v>
      </c>
      <c r="E19" s="5414"/>
      <c r="F19" s="5407">
        <v>2</v>
      </c>
      <c r="G19" s="5415"/>
      <c r="H19" s="5406">
        <v>0</v>
      </c>
      <c r="I19" s="5416"/>
      <c r="J19" s="5417"/>
      <c r="K19" s="5418"/>
      <c r="L19" s="5417"/>
      <c r="M19" s="5417"/>
      <c r="N19" s="4971">
        <f t="shared" si="3"/>
        <v>0</v>
      </c>
      <c r="O19" s="4692"/>
      <c r="P19" s="4678">
        <f t="shared" si="1"/>
        <v>0</v>
      </c>
      <c r="Q19" s="4679">
        <f t="shared" si="0"/>
        <v>0</v>
      </c>
      <c r="R19" s="4692"/>
      <c r="S19" s="4680" t="s">
        <v>5742</v>
      </c>
      <c r="T19" s="4694"/>
      <c r="U19" s="4700"/>
      <c r="V19" s="4692"/>
      <c r="W19" s="4680" t="s">
        <v>4521</v>
      </c>
      <c r="X19" s="4695"/>
      <c r="Y19" s="4692"/>
      <c r="Z19" s="4692"/>
      <c r="AA19" s="4683" t="s">
        <v>5035</v>
      </c>
      <c r="AB19" s="4692"/>
      <c r="AC19" s="4683" t="s">
        <v>5050</v>
      </c>
      <c r="AD19" s="4692"/>
      <c r="AE19" s="4696"/>
      <c r="AF19" s="4685">
        <f t="shared" si="2"/>
        <v>0</v>
      </c>
    </row>
    <row r="20" spans="1:32" ht="33.75" customHeight="1">
      <c r="A20" s="4686">
        <v>13</v>
      </c>
      <c r="B20" s="5414"/>
      <c r="C20" s="5414"/>
      <c r="D20" s="5406">
        <v>1</v>
      </c>
      <c r="E20" s="5414"/>
      <c r="F20" s="5407">
        <v>2</v>
      </c>
      <c r="G20" s="5415"/>
      <c r="H20" s="5406">
        <v>0</v>
      </c>
      <c r="I20" s="5416"/>
      <c r="J20" s="5417"/>
      <c r="K20" s="5418"/>
      <c r="L20" s="5417"/>
      <c r="M20" s="5417"/>
      <c r="N20" s="4971">
        <f t="shared" si="3"/>
        <v>0</v>
      </c>
      <c r="O20" s="4692"/>
      <c r="P20" s="4678">
        <f>SUM(D20,F20,H20)*K20</f>
        <v>0</v>
      </c>
      <c r="Q20" s="4679">
        <f t="shared" si="0"/>
        <v>0</v>
      </c>
      <c r="R20" s="4692"/>
      <c r="S20" s="4680" t="s">
        <v>5742</v>
      </c>
      <c r="T20" s="4694"/>
      <c r="U20" s="4700"/>
      <c r="V20" s="4692"/>
      <c r="W20" s="4680" t="s">
        <v>4521</v>
      </c>
      <c r="X20" s="4695"/>
      <c r="Y20" s="4692"/>
      <c r="Z20" s="4692"/>
      <c r="AA20" s="4683" t="s">
        <v>5035</v>
      </c>
      <c r="AB20" s="4692"/>
      <c r="AC20" s="4683" t="s">
        <v>5050</v>
      </c>
      <c r="AD20" s="4692"/>
      <c r="AE20" s="4696"/>
      <c r="AF20" s="4685">
        <f t="shared" si="2"/>
        <v>0</v>
      </c>
    </row>
    <row r="21" spans="1:32" ht="33.75" customHeight="1">
      <c r="A21" s="4686">
        <v>14</v>
      </c>
      <c r="B21" s="5414"/>
      <c r="C21" s="5414"/>
      <c r="D21" s="5406">
        <v>1</v>
      </c>
      <c r="E21" s="5414"/>
      <c r="F21" s="5407">
        <v>2</v>
      </c>
      <c r="G21" s="5415"/>
      <c r="H21" s="5406">
        <v>0</v>
      </c>
      <c r="I21" s="5416"/>
      <c r="J21" s="5417"/>
      <c r="K21" s="5418"/>
      <c r="L21" s="5417"/>
      <c r="M21" s="5417"/>
      <c r="N21" s="4692"/>
      <c r="O21" s="4692"/>
      <c r="P21" s="4678">
        <f t="shared" si="1"/>
        <v>0</v>
      </c>
      <c r="Q21" s="4679">
        <f t="shared" si="0"/>
        <v>0</v>
      </c>
      <c r="R21" s="4692"/>
      <c r="S21" s="4680" t="s">
        <v>5742</v>
      </c>
      <c r="T21" s="4694"/>
      <c r="U21" s="4700"/>
      <c r="V21" s="4692"/>
      <c r="W21" s="4680" t="s">
        <v>4521</v>
      </c>
      <c r="X21" s="4695"/>
      <c r="Y21" s="4692"/>
      <c r="Z21" s="4692"/>
      <c r="AA21" s="4683" t="s">
        <v>5035</v>
      </c>
      <c r="AB21" s="4692"/>
      <c r="AC21" s="4683" t="s">
        <v>5050</v>
      </c>
      <c r="AD21" s="4692"/>
      <c r="AE21" s="4696"/>
      <c r="AF21" s="4685">
        <f t="shared" si="2"/>
        <v>0</v>
      </c>
    </row>
    <row r="22" spans="1:32" ht="33.75" customHeight="1" thickBot="1">
      <c r="A22" s="4686">
        <v>15</v>
      </c>
      <c r="B22" s="5414"/>
      <c r="C22" s="5414"/>
      <c r="D22" s="5406">
        <v>1</v>
      </c>
      <c r="E22" s="5414"/>
      <c r="F22" s="5407">
        <v>2</v>
      </c>
      <c r="G22" s="5415"/>
      <c r="H22" s="5406">
        <v>0</v>
      </c>
      <c r="I22" s="5416"/>
      <c r="J22" s="5417"/>
      <c r="K22" s="5418"/>
      <c r="L22" s="5417"/>
      <c r="M22" s="5417"/>
      <c r="N22" s="4692"/>
      <c r="O22" s="4692"/>
      <c r="P22" s="4678">
        <f t="shared" si="1"/>
        <v>0</v>
      </c>
      <c r="Q22" s="4679">
        <f t="shared" si="0"/>
        <v>0</v>
      </c>
      <c r="R22" s="4692"/>
      <c r="S22" s="4680" t="s">
        <v>5739</v>
      </c>
      <c r="T22" s="4694"/>
      <c r="U22" s="4700"/>
      <c r="V22" s="4692"/>
      <c r="W22" s="4680" t="s">
        <v>4521</v>
      </c>
      <c r="X22" s="4695"/>
      <c r="Y22" s="4692"/>
      <c r="Z22" s="4692"/>
      <c r="AA22" s="4683" t="s">
        <v>5035</v>
      </c>
      <c r="AB22" s="4692"/>
      <c r="AC22" s="4683" t="s">
        <v>5050</v>
      </c>
      <c r="AD22" s="4692"/>
      <c r="AE22" s="4696"/>
      <c r="AF22" s="4685">
        <f t="shared" si="2"/>
        <v>0</v>
      </c>
    </row>
    <row r="23" spans="1:32" ht="33.75" customHeight="1" thickTop="1" thickBot="1">
      <c r="A23" s="4701"/>
      <c r="B23" s="4702"/>
      <c r="C23" s="4702"/>
      <c r="D23" s="4702"/>
      <c r="E23" s="4702"/>
      <c r="F23" s="4703"/>
      <c r="G23" s="4704"/>
      <c r="H23" s="4702"/>
      <c r="I23" s="4705" t="s">
        <v>2432</v>
      </c>
      <c r="J23" s="4706">
        <f>SUM(J8:J22)</f>
        <v>73</v>
      </c>
      <c r="K23" s="4707">
        <f>SUM(K8:K22)</f>
        <v>73</v>
      </c>
      <c r="L23" s="4703"/>
      <c r="M23" s="4703"/>
      <c r="N23" s="4703"/>
      <c r="O23" s="4703"/>
      <c r="P23" s="4706">
        <f>SUM(P8:P22)</f>
        <v>1095</v>
      </c>
      <c r="Q23" s="4706">
        <f>SUM(Q8:Q22)</f>
        <v>60033000</v>
      </c>
      <c r="R23" s="6863"/>
      <c r="S23" s="6864"/>
      <c r="T23" s="6865"/>
      <c r="U23" s="4708"/>
      <c r="V23" s="6863"/>
      <c r="W23" s="6864"/>
      <c r="X23" s="6864"/>
      <c r="Y23" s="4708"/>
      <c r="Z23" s="4708"/>
      <c r="AA23" s="6866"/>
      <c r="AB23" s="6867"/>
      <c r="AC23" s="6866"/>
      <c r="AD23" s="6867"/>
      <c r="AE23" s="4709"/>
      <c r="AF23" s="4685">
        <f>SUM(AF8:AF22)</f>
        <v>209</v>
      </c>
    </row>
    <row r="24" spans="1:32" ht="33.75" customHeight="1" thickBot="1">
      <c r="C24" s="4710"/>
      <c r="D24" s="4710"/>
      <c r="E24" s="4710"/>
      <c r="F24" s="4710"/>
      <c r="G24" s="4710"/>
      <c r="H24" s="4710"/>
      <c r="I24" s="4711"/>
      <c r="J24" s="4712"/>
      <c r="K24" s="4710"/>
      <c r="L24" s="4713" t="s">
        <v>5748</v>
      </c>
      <c r="M24" s="4714">
        <f>SUM(N7:N22)</f>
        <v>4182000</v>
      </c>
      <c r="N24" s="4715"/>
      <c r="O24" s="4715"/>
      <c r="P24" s="4715"/>
      <c r="S24" s="4656"/>
      <c r="W24" s="4656"/>
    </row>
    <row r="25" spans="1:32" ht="33.75" customHeight="1">
      <c r="A25" s="6845" t="s">
        <v>5749</v>
      </c>
      <c r="B25" s="6846"/>
      <c r="C25" s="4716">
        <f>P23</f>
        <v>1095</v>
      </c>
      <c r="D25" s="4717"/>
      <c r="F25" s="4718"/>
      <c r="H25" s="4719"/>
      <c r="I25" s="4720"/>
      <c r="K25" s="4659"/>
      <c r="L25" s="4721" t="s">
        <v>5750</v>
      </c>
      <c r="M25" s="4722">
        <f>M24*1.1</f>
        <v>4600200</v>
      </c>
      <c r="P25" s="4656"/>
    </row>
    <row r="26" spans="1:32" ht="33.75" customHeight="1">
      <c r="A26" s="6847" t="s">
        <v>5883</v>
      </c>
      <c r="B26" s="6848"/>
      <c r="C26" s="4723">
        <f>Q23</f>
        <v>60033000</v>
      </c>
      <c r="D26" s="4717"/>
      <c r="F26" s="4724"/>
      <c r="H26" s="4719"/>
      <c r="I26" s="4720"/>
      <c r="K26" s="4659"/>
      <c r="P26" s="4656"/>
    </row>
    <row r="27" spans="1:32" ht="33.75" customHeight="1" thickBot="1">
      <c r="A27" s="6913" t="s">
        <v>5751</v>
      </c>
      <c r="B27" s="6914"/>
      <c r="C27" s="4987">
        <f>ROUNDDOWN(C26*1.1,0)</f>
        <v>66036300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9"/>
      <c r="B29" s="4729"/>
      <c r="C29" s="4729"/>
      <c r="D29" s="4729"/>
      <c r="E29" s="4729"/>
      <c r="F29" s="4729"/>
      <c r="G29" s="4726"/>
      <c r="H29" s="4729"/>
      <c r="I29" s="4720"/>
      <c r="P29" s="4656"/>
    </row>
    <row r="30" spans="1:32" ht="33.75" customHeight="1">
      <c r="A30" s="4728" t="s">
        <v>5752</v>
      </c>
      <c r="B30" s="4728"/>
      <c r="C30" s="4729"/>
      <c r="D30" s="4729"/>
      <c r="E30" s="4729"/>
      <c r="F30" s="4729"/>
      <c r="G30" s="4726"/>
      <c r="H30" s="4729"/>
      <c r="I30" s="4720"/>
      <c r="P30" s="4656"/>
    </row>
    <row r="31" spans="1:32" ht="36" customHeight="1">
      <c r="A31" s="4728" t="s">
        <v>5753</v>
      </c>
      <c r="B31" s="4728"/>
    </row>
    <row r="32" spans="1:32" ht="36" customHeight="1">
      <c r="A32" s="4730" t="s">
        <v>5754</v>
      </c>
      <c r="B32" s="4730"/>
    </row>
    <row r="33" spans="1:2" ht="36" customHeight="1">
      <c r="A33" s="4728"/>
      <c r="B33" s="4728"/>
    </row>
    <row r="34" spans="1:2" ht="36" customHeight="1"/>
    <row r="35" spans="1:2" ht="36" customHeight="1"/>
    <row r="36" spans="1:2" ht="36" customHeight="1"/>
    <row r="37" spans="1:2" ht="36" customHeight="1"/>
    <row r="38" spans="1:2" ht="36" customHeight="1"/>
    <row r="39" spans="1:2" ht="36" customHeight="1"/>
    <row r="40" spans="1:2" ht="36" customHeight="1"/>
    <row r="41" spans="1:2" ht="10.4" customHeight="1"/>
  </sheetData>
  <mergeCells count="30">
    <mergeCell ref="C5:C6"/>
    <mergeCell ref="D5:D6"/>
    <mergeCell ref="E5:E6"/>
    <mergeCell ref="F5:F6"/>
    <mergeCell ref="AA5:AD6"/>
    <mergeCell ref="AE5:AE6"/>
    <mergeCell ref="AF5:AF6"/>
    <mergeCell ref="R23:T23"/>
    <mergeCell ref="V23:X23"/>
    <mergeCell ref="AA23:AB23"/>
    <mergeCell ref="AC23:AD23"/>
    <mergeCell ref="R5:T6"/>
    <mergeCell ref="U5:U6"/>
    <mergeCell ref="V5:X6"/>
    <mergeCell ref="A25:B25"/>
    <mergeCell ref="A26:B26"/>
    <mergeCell ref="A27:B27"/>
    <mergeCell ref="Y5:Y6"/>
    <mergeCell ref="Z5:Z6"/>
    <mergeCell ref="M5:M6"/>
    <mergeCell ref="O5:O6"/>
    <mergeCell ref="P5:Q5"/>
    <mergeCell ref="G5:G6"/>
    <mergeCell ref="H5:H6"/>
    <mergeCell ref="I5:I6"/>
    <mergeCell ref="J5:J6"/>
    <mergeCell ref="K5:K6"/>
    <mergeCell ref="L5:L6"/>
    <mergeCell ref="A5:A6"/>
    <mergeCell ref="B5:B6"/>
  </mergeCells>
  <phoneticPr fontId="2"/>
  <conditionalFormatting sqref="A2">
    <cfRule type="containsBlanks" dxfId="486" priority="4">
      <formula>LEN(TRIM(A2))=0</formula>
    </cfRule>
  </conditionalFormatting>
  <conditionalFormatting sqref="D7">
    <cfRule type="containsBlanks" dxfId="485" priority="3">
      <formula>LEN(TRIM(D7))=0</formula>
    </cfRule>
  </conditionalFormatting>
  <conditionalFormatting sqref="F7">
    <cfRule type="containsBlanks" dxfId="484" priority="2">
      <formula>LEN(TRIM(F7))=0</formula>
    </cfRule>
  </conditionalFormatting>
  <conditionalFormatting sqref="H7:O7 N8:O22">
    <cfRule type="containsBlanks" dxfId="483" priority="1">
      <formula>LEN(TRIM(H7))=0</formula>
    </cfRule>
  </conditionalFormatting>
  <conditionalFormatting sqref="Q7:R22">
    <cfRule type="containsBlanks" dxfId="482" priority="8">
      <formula>LEN(TRIM(Q7))=0</formula>
    </cfRule>
  </conditionalFormatting>
  <conditionalFormatting sqref="T7:V22">
    <cfRule type="containsBlanks" dxfId="481" priority="6">
      <formula>LEN(TRIM(T7))=0</formula>
    </cfRule>
  </conditionalFormatting>
  <conditionalFormatting sqref="X7:Z22">
    <cfRule type="containsBlanks" dxfId="480" priority="5">
      <formula>LEN(TRIM(X7))=0</formula>
    </cfRule>
  </conditionalFormatting>
  <conditionalFormatting sqref="AB7:AB22 AD7:AE22">
    <cfRule type="containsBlanks" dxfId="479" priority="7">
      <formula>LEN(TRIM(AB7))=0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0A46-3ED9-4DF8-B8FA-00F7D4182B93}">
  <sheetPr codeName="Sheet354">
    <tabColor rgb="FFFFFF66"/>
    <pageSetUpPr fitToPage="1"/>
  </sheetPr>
  <dimension ref="A1:AE34"/>
  <sheetViews>
    <sheetView topLeftCell="A8"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'[22]別紙1-1）客室提供条件'!A2</f>
        <v>ホテル竹島</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5419" t="s">
        <v>6203</v>
      </c>
      <c r="C8" s="5419" t="s">
        <v>6213</v>
      </c>
      <c r="D8" s="5420">
        <v>0</v>
      </c>
      <c r="E8" s="5421">
        <v>1</v>
      </c>
      <c r="F8" s="5422">
        <v>15</v>
      </c>
      <c r="G8" s="5423" t="s">
        <v>6214</v>
      </c>
      <c r="H8" s="5419">
        <v>2</v>
      </c>
      <c r="I8" s="5419" t="s">
        <v>5957</v>
      </c>
      <c r="J8" s="5424"/>
      <c r="K8" s="5425"/>
      <c r="L8" s="5425"/>
      <c r="M8" s="5425"/>
      <c r="N8" s="5426">
        <v>400000</v>
      </c>
      <c r="O8" s="4766">
        <f t="shared" si="0"/>
        <v>6000000</v>
      </c>
      <c r="P8" s="4857"/>
      <c r="Q8" s="4858"/>
      <c r="R8" s="4864"/>
      <c r="S8" s="4858"/>
      <c r="T8" s="4859"/>
      <c r="U8" s="4860"/>
    </row>
    <row r="9" spans="1:31" ht="33.75" customHeight="1">
      <c r="A9" s="4758">
        <v>2</v>
      </c>
      <c r="B9" s="5419" t="s">
        <v>6204</v>
      </c>
      <c r="C9" s="5419" t="s">
        <v>6204</v>
      </c>
      <c r="D9" s="5420">
        <v>0</v>
      </c>
      <c r="E9" s="5420">
        <v>0.5</v>
      </c>
      <c r="F9" s="5422">
        <v>1</v>
      </c>
      <c r="G9" s="5423" t="s">
        <v>6214</v>
      </c>
      <c r="H9" s="5419">
        <v>2</v>
      </c>
      <c r="I9" s="5419" t="s">
        <v>5957</v>
      </c>
      <c r="J9" s="5424"/>
      <c r="K9" s="5425"/>
      <c r="L9" s="5425"/>
      <c r="M9" s="5425"/>
      <c r="N9" s="5426">
        <v>200000</v>
      </c>
      <c r="O9" s="4766">
        <f t="shared" si="0"/>
        <v>200000</v>
      </c>
      <c r="P9" s="4857"/>
      <c r="Q9" s="4858"/>
      <c r="R9" s="4864"/>
      <c r="S9" s="4858"/>
      <c r="T9" s="4859"/>
      <c r="U9" s="4860"/>
      <c r="AC9" s="4657"/>
    </row>
    <row r="10" spans="1:31" ht="33.75" customHeight="1">
      <c r="A10" s="4758">
        <v>3</v>
      </c>
      <c r="B10" s="5419" t="s">
        <v>6203</v>
      </c>
      <c r="C10" s="5419" t="s">
        <v>6213</v>
      </c>
      <c r="D10" s="5420">
        <v>0</v>
      </c>
      <c r="E10" s="5421">
        <v>1</v>
      </c>
      <c r="F10" s="5427">
        <v>15</v>
      </c>
      <c r="G10" s="5423" t="s">
        <v>6215</v>
      </c>
      <c r="H10" s="5419">
        <v>1</v>
      </c>
      <c r="I10" s="5419" t="s">
        <v>5957</v>
      </c>
      <c r="J10" s="5424"/>
      <c r="K10" s="5425"/>
      <c r="L10" s="5425"/>
      <c r="M10" s="5425"/>
      <c r="N10" s="5426">
        <v>220000</v>
      </c>
      <c r="O10" s="4766">
        <f t="shared" si="0"/>
        <v>3300000</v>
      </c>
      <c r="P10" s="4909"/>
      <c r="Q10" s="4858"/>
      <c r="R10" s="4864"/>
      <c r="S10" s="4858"/>
      <c r="T10" s="4859"/>
      <c r="U10" s="4860"/>
      <c r="AC10" s="4657"/>
    </row>
    <row r="11" spans="1:31" ht="33.75" customHeight="1">
      <c r="A11" s="4758">
        <v>4</v>
      </c>
      <c r="B11" s="5419" t="s">
        <v>6204</v>
      </c>
      <c r="C11" s="5419" t="s">
        <v>6204</v>
      </c>
      <c r="D11" s="5420">
        <v>0</v>
      </c>
      <c r="E11" s="5420">
        <v>0.5</v>
      </c>
      <c r="F11" s="5422">
        <v>1</v>
      </c>
      <c r="G11" s="5423" t="s">
        <v>6215</v>
      </c>
      <c r="H11" s="5419">
        <v>1</v>
      </c>
      <c r="I11" s="5419" t="s">
        <v>5957</v>
      </c>
      <c r="J11" s="5424"/>
      <c r="K11" s="5425"/>
      <c r="L11" s="5425"/>
      <c r="M11" s="5425"/>
      <c r="N11" s="5426">
        <v>110000</v>
      </c>
      <c r="O11" s="4766">
        <f t="shared" si="0"/>
        <v>110000</v>
      </c>
      <c r="P11" s="4857"/>
      <c r="Q11" s="4858"/>
      <c r="R11" s="4859"/>
      <c r="S11" s="4858"/>
      <c r="T11" s="4859"/>
      <c r="U11" s="4860"/>
      <c r="AC11" s="4657"/>
    </row>
    <row r="12" spans="1:31" ht="33.75" customHeight="1">
      <c r="A12" s="4758">
        <v>5</v>
      </c>
      <c r="B12" s="5419" t="s">
        <v>6203</v>
      </c>
      <c r="C12" s="5419" t="s">
        <v>6213</v>
      </c>
      <c r="D12" s="5420">
        <v>0</v>
      </c>
      <c r="E12" s="5421">
        <v>1</v>
      </c>
      <c r="F12" s="5422">
        <v>15</v>
      </c>
      <c r="G12" s="5423" t="s">
        <v>6216</v>
      </c>
      <c r="H12" s="5419">
        <v>1</v>
      </c>
      <c r="I12" s="5419" t="s">
        <v>5957</v>
      </c>
      <c r="J12" s="5424"/>
      <c r="K12" s="5425"/>
      <c r="L12" s="5425"/>
      <c r="M12" s="5425"/>
      <c r="N12" s="5426">
        <v>220000</v>
      </c>
      <c r="O12" s="4766">
        <f t="shared" si="0"/>
        <v>3300000</v>
      </c>
      <c r="P12" s="4857"/>
      <c r="Q12" s="4858"/>
      <c r="R12" s="4859"/>
      <c r="S12" s="4858"/>
      <c r="T12" s="4859"/>
      <c r="U12" s="4860"/>
      <c r="AC12" s="4657"/>
    </row>
    <row r="13" spans="1:31" ht="33.75" customHeight="1">
      <c r="A13" s="4758">
        <v>6</v>
      </c>
      <c r="B13" s="5419" t="s">
        <v>6204</v>
      </c>
      <c r="C13" s="5419" t="s">
        <v>6204</v>
      </c>
      <c r="D13" s="5420">
        <v>0</v>
      </c>
      <c r="E13" s="5420">
        <v>0.5</v>
      </c>
      <c r="F13" s="5422">
        <v>1</v>
      </c>
      <c r="G13" s="5423" t="s">
        <v>6216</v>
      </c>
      <c r="H13" s="5419">
        <v>1</v>
      </c>
      <c r="I13" s="5419" t="s">
        <v>5957</v>
      </c>
      <c r="J13" s="5424"/>
      <c r="K13" s="5425"/>
      <c r="L13" s="5425"/>
      <c r="M13" s="5425"/>
      <c r="N13" s="5426">
        <v>110000</v>
      </c>
      <c r="O13" s="4766">
        <f t="shared" si="0"/>
        <v>110000</v>
      </c>
      <c r="P13" s="4857"/>
      <c r="Q13" s="4858"/>
      <c r="R13" s="4859"/>
      <c r="S13" s="4858"/>
      <c r="T13" s="4859"/>
      <c r="U13" s="4860"/>
      <c r="AC13" s="4657"/>
    </row>
    <row r="14" spans="1:31" ht="33.75" customHeight="1">
      <c r="A14" s="4758">
        <v>7</v>
      </c>
      <c r="B14" s="4950"/>
      <c r="C14" s="4950"/>
      <c r="D14" s="4913"/>
      <c r="E14" s="4759"/>
      <c r="F14" s="4760">
        <f>IF(OR(ISBLANK($B14), ISBLANK($C14)), 0, _xlfn.DAYS($C14, $B14) + 1)</f>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IF(OR(ISBLANK($B15), ISBLANK($C15)), 0, _xlfn.DAYS($C15, $B15) + 1)</f>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IF(OR(ISBLANK($B16), ISBLANK($C16)), 0, _xlfn.DAYS($C16, $B16) + 1)</f>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IF(OR(ISBLANK($B17), ISBLANK($C17)), 0, _xlfn.DAYS($C17, $B17) + 1)</f>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48</v>
      </c>
      <c r="G18" s="4779"/>
      <c r="H18" s="4781"/>
      <c r="I18" s="4782">
        <f>COUNTA(G8,G10,G12)</f>
        <v>3</v>
      </c>
      <c r="J18" s="4783"/>
      <c r="K18" s="4784"/>
      <c r="L18" s="4784"/>
      <c r="M18" s="4784"/>
      <c r="N18" s="4785"/>
      <c r="O18" s="4922">
        <f>SUM(O8:O17)</f>
        <v>13020000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14322000.000000002</v>
      </c>
      <c r="P19" s="4884"/>
      <c r="Q19" s="4885"/>
      <c r="R19" s="4886"/>
      <c r="S19" s="4887"/>
      <c r="T19" s="4886"/>
      <c r="U19" s="4888"/>
      <c r="AC19" s="4657"/>
    </row>
    <row r="20" spans="1:31" ht="33.75" customHeight="1">
      <c r="A20" s="4656"/>
      <c r="B20" s="4660"/>
      <c r="C20" s="4660"/>
      <c r="D20" s="4660"/>
      <c r="G20" s="4660"/>
      <c r="H20" s="4660"/>
      <c r="M20" s="4808" t="s">
        <v>5748</v>
      </c>
      <c r="N20" s="4809">
        <f>SUM(N8,N10,N12)</f>
        <v>840000</v>
      </c>
      <c r="O20" s="5063"/>
      <c r="P20" s="4657"/>
      <c r="Q20" s="4657"/>
      <c r="AC20" s="4657"/>
    </row>
    <row r="21" spans="1:31" ht="32.15" customHeight="1">
      <c r="A21" s="4656"/>
      <c r="B21" s="4660"/>
      <c r="C21" s="4660"/>
      <c r="D21" s="4660"/>
      <c r="G21" s="4660"/>
      <c r="H21" s="4660"/>
      <c r="M21" s="4808" t="s">
        <v>5750</v>
      </c>
      <c r="N21" s="4809">
        <f>N20*1.1</f>
        <v>924000.00000000012</v>
      </c>
      <c r="O21" s="4889"/>
      <c r="P21" s="4657"/>
      <c r="Q21" s="4657"/>
      <c r="AC21" s="4657"/>
    </row>
    <row r="22" spans="1:31" ht="32.15" customHeight="1">
      <c r="B22" s="4657"/>
      <c r="C22" s="4657"/>
      <c r="D22" s="4657"/>
      <c r="E22" s="4810"/>
      <c r="F22" s="4811"/>
      <c r="G22" s="4657"/>
      <c r="H22" s="4657"/>
      <c r="O22" s="4656"/>
      <c r="P22" s="4657"/>
      <c r="Q22" s="4657"/>
      <c r="AC22" s="4657"/>
    </row>
    <row r="23" spans="1:31" ht="32.15" customHeight="1">
      <c r="A23" s="4812"/>
      <c r="B23" s="4813"/>
      <c r="C23" s="4813"/>
      <c r="D23" s="4813"/>
      <c r="E23" s="4814"/>
      <c r="F23" s="4814"/>
      <c r="G23" s="4813"/>
      <c r="H23" s="4813"/>
      <c r="I23" s="4812"/>
      <c r="J23" s="4812"/>
      <c r="K23" s="4812"/>
      <c r="L23" s="4812"/>
      <c r="M23" s="4812"/>
      <c r="N23" s="4812"/>
      <c r="O23" s="4715"/>
      <c r="P23" s="4715"/>
      <c r="Q23" s="4715"/>
      <c r="R23" s="4656"/>
      <c r="S23" s="4812"/>
      <c r="T23" s="4656"/>
      <c r="U23" s="4812"/>
      <c r="W23" s="6905"/>
      <c r="X23" s="6905"/>
      <c r="Y23" s="6905"/>
      <c r="Z23" s="6905"/>
      <c r="AA23" s="6905"/>
      <c r="AB23" s="6891"/>
      <c r="AC23" s="6891"/>
      <c r="AD23" s="6891"/>
      <c r="AE23" s="6891"/>
    </row>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10.4" customHeight="1">
      <c r="B34" s="4657"/>
      <c r="C34" s="4657"/>
      <c r="D34" s="4657"/>
      <c r="G34" s="4657"/>
      <c r="H34" s="4657"/>
      <c r="O34" s="4656"/>
      <c r="P34" s="4657"/>
      <c r="Q34" s="4657"/>
      <c r="AC34" s="4657"/>
    </row>
  </sheetData>
  <mergeCells count="21">
    <mergeCell ref="A2:B2"/>
    <mergeCell ref="C2:G2"/>
    <mergeCell ref="A5:A6"/>
    <mergeCell ref="B5:B6"/>
    <mergeCell ref="C5:C6"/>
    <mergeCell ref="D5:D6"/>
    <mergeCell ref="E5:E6"/>
    <mergeCell ref="F5:F6"/>
    <mergeCell ref="G5:G6"/>
    <mergeCell ref="AB23:AE23"/>
    <mergeCell ref="H5:H6"/>
    <mergeCell ref="I5:I6"/>
    <mergeCell ref="J5:J6"/>
    <mergeCell ref="K5:K6"/>
    <mergeCell ref="L5:L6"/>
    <mergeCell ref="M5:M6"/>
    <mergeCell ref="N5:N6"/>
    <mergeCell ref="O5:O6"/>
    <mergeCell ref="P5:Q5"/>
    <mergeCell ref="R5:U5"/>
    <mergeCell ref="W23:AA23"/>
  </mergeCells>
  <phoneticPr fontId="2"/>
  <conditionalFormatting sqref="B14:E17 G14:N17">
    <cfRule type="containsBlanks" dxfId="478" priority="1">
      <formula>LEN(TRIM(B14))=0</formula>
    </cfRule>
  </conditionalFormatting>
  <conditionalFormatting sqref="C2:D2">
    <cfRule type="containsBlanks" dxfId="477" priority="2">
      <formula>LEN(TRIM(C2))=0</formula>
    </cfRule>
  </conditionalFormatting>
  <conditionalFormatting sqref="P8:U17">
    <cfRule type="containsBlanks" dxfId="476" priority="3">
      <formula>LEN(TRIM(P8))=0</formula>
    </cfRule>
  </conditionalFormatting>
  <dataValidations count="1">
    <dataValidation type="list" allowBlank="1" showInputMessage="1" showErrorMessage="1" sqref="I7 I14:I17" xr:uid="{F0CB1BDF-E8FF-4038-8A51-C40E4E94244E}">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2E85-B697-476F-AE25-255967BF9A3C}">
  <sheetPr codeName="Sheet355">
    <tabColor rgb="FFFFFF66"/>
    <pageSetUpPr fitToPage="1"/>
  </sheetPr>
  <dimension ref="A1:AF91"/>
  <sheetViews>
    <sheetView view="pageBreakPreview" topLeftCell="A66" zoomScale="55" zoomScaleNormal="60" zoomScaleSheetLayoutView="55" workbookViewId="0">
      <selection activeCell="F28" sqref="F28"/>
    </sheetView>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1.1796875" style="4658" customWidth="1"/>
    <col min="10" max="11" width="11.1796875" style="4656" customWidth="1"/>
    <col min="12" max="13" width="25.453125" style="4659" customWidth="1"/>
    <col min="14" max="14" width="6.54296875" style="4659" customWidth="1"/>
    <col min="15" max="15" width="25.453125" style="4659" customWidth="1"/>
    <col min="16" max="16" width="16.453125" style="4659" bestFit="1" customWidth="1"/>
    <col min="17" max="17" width="20.453125" style="4656" customWidth="1"/>
    <col min="18" max="18" width="11.1796875" style="4657" customWidth="1"/>
    <col min="19" max="19" width="9.54296875" style="4657" customWidth="1"/>
    <col min="20" max="20" width="11.1796875" style="4657" customWidth="1"/>
    <col min="21" max="21" width="12.453125" style="4657" customWidth="1"/>
    <col min="22" max="22" width="11.1796875" style="4657" customWidth="1"/>
    <col min="23" max="23" width="9.54296875" style="4657" customWidth="1"/>
    <col min="24" max="25" width="11.1796875" style="4657" customWidth="1"/>
    <col min="26" max="26" width="24" style="4657" customWidth="1"/>
    <col min="27" max="27" width="9.81640625" style="4657"/>
    <col min="28" max="28" width="7.81640625" style="4657" customWidth="1"/>
    <col min="29" max="29" width="9.81640625" style="4657"/>
    <col min="30" max="30" width="7.81640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917" t="s">
        <v>5707</v>
      </c>
      <c r="B2" s="6918"/>
      <c r="C2" s="6876" t="s">
        <v>6217</v>
      </c>
      <c r="D2" s="6876"/>
      <c r="E2" s="6876"/>
      <c r="F2" s="6876"/>
      <c r="G2" s="6876"/>
      <c r="H2" s="4661" t="s">
        <v>5709</v>
      </c>
      <c r="I2" s="5151"/>
      <c r="J2" s="4663"/>
      <c r="L2" s="4733"/>
      <c r="M2" s="4733"/>
      <c r="N2" s="4733"/>
      <c r="O2" s="4733"/>
      <c r="S2" s="4656"/>
      <c r="U2" s="4660"/>
      <c r="W2" s="4656"/>
      <c r="AE2" s="4664" t="s">
        <v>5710</v>
      </c>
    </row>
    <row r="3" spans="1:32" ht="10.15" customHeight="1">
      <c r="S3" s="4656"/>
      <c r="U3" s="4660"/>
      <c r="W3" s="4656"/>
    </row>
    <row r="4" spans="1:32" ht="33.75" customHeight="1" thickBot="1">
      <c r="A4" s="4737" t="s">
        <v>6218</v>
      </c>
      <c r="B4" s="4737"/>
      <c r="S4" s="4656"/>
      <c r="W4" s="4656"/>
      <c r="Z4" s="4656"/>
      <c r="AA4" s="4656"/>
      <c r="AB4" s="4656"/>
      <c r="AC4" s="4656"/>
      <c r="AD4" s="4656"/>
      <c r="AF4" s="4656" t="s">
        <v>5712</v>
      </c>
    </row>
    <row r="5" spans="1:32" s="5197" customFormat="1" ht="33.75" customHeight="1">
      <c r="A5" s="6944" t="s">
        <v>5713</v>
      </c>
      <c r="B5" s="7000" t="s">
        <v>5714</v>
      </c>
      <c r="C5" s="6946" t="s">
        <v>5715</v>
      </c>
      <c r="D5" s="6946" t="s">
        <v>5716</v>
      </c>
      <c r="E5" s="6946" t="s">
        <v>5717</v>
      </c>
      <c r="F5" s="6956" t="s">
        <v>5718</v>
      </c>
      <c r="G5" s="6946" t="s">
        <v>5719</v>
      </c>
      <c r="H5" s="6946" t="s">
        <v>5720</v>
      </c>
      <c r="I5" s="6958" t="s">
        <v>5721</v>
      </c>
      <c r="J5" s="6939" t="s">
        <v>5722</v>
      </c>
      <c r="K5" s="6939" t="s">
        <v>5723</v>
      </c>
      <c r="L5" s="6946" t="s">
        <v>6219</v>
      </c>
      <c r="M5" s="6946" t="s">
        <v>6220</v>
      </c>
      <c r="N5" s="4967" t="s">
        <v>5726</v>
      </c>
      <c r="O5" s="6946" t="s">
        <v>6221</v>
      </c>
      <c r="P5" s="6939" t="s">
        <v>3766</v>
      </c>
      <c r="Q5" s="6954"/>
      <c r="R5" s="6956" t="s">
        <v>5728</v>
      </c>
      <c r="S5" s="6960"/>
      <c r="T5" s="6961"/>
      <c r="U5" s="6946" t="s">
        <v>6048</v>
      </c>
      <c r="V5" s="6960" t="s">
        <v>5730</v>
      </c>
      <c r="W5" s="6960"/>
      <c r="X5" s="6960"/>
      <c r="Y5" s="6956" t="s">
        <v>5731</v>
      </c>
      <c r="Z5" s="6939" t="s">
        <v>5732</v>
      </c>
      <c r="AA5" s="6939" t="s">
        <v>5733</v>
      </c>
      <c r="AB5" s="6954"/>
      <c r="AC5" s="6954"/>
      <c r="AD5" s="6954"/>
      <c r="AE5" s="6941" t="s">
        <v>2792</v>
      </c>
      <c r="AF5" s="6943" t="s">
        <v>5734</v>
      </c>
    </row>
    <row r="6" spans="1:32" s="5197" customFormat="1" ht="20">
      <c r="A6" s="6945"/>
      <c r="B6" s="7001"/>
      <c r="C6" s="6947"/>
      <c r="D6" s="6948"/>
      <c r="E6" s="6948"/>
      <c r="F6" s="6957"/>
      <c r="G6" s="6948"/>
      <c r="H6" s="6948"/>
      <c r="I6" s="6947"/>
      <c r="J6" s="6959"/>
      <c r="K6" s="6959"/>
      <c r="L6" s="6948"/>
      <c r="M6" s="6948"/>
      <c r="N6" s="4968"/>
      <c r="O6" s="6948"/>
      <c r="P6" s="5199" t="s">
        <v>5735</v>
      </c>
      <c r="Q6" s="5200" t="s">
        <v>5736</v>
      </c>
      <c r="R6" s="6962"/>
      <c r="S6" s="6963"/>
      <c r="T6" s="6964"/>
      <c r="U6" s="6948"/>
      <c r="V6" s="6963"/>
      <c r="W6" s="6963"/>
      <c r="X6" s="6963"/>
      <c r="Y6" s="6940"/>
      <c r="Z6" s="6940"/>
      <c r="AA6" s="6940"/>
      <c r="AB6" s="6955"/>
      <c r="AC6" s="6955"/>
      <c r="AD6" s="6955"/>
      <c r="AE6" s="6942"/>
      <c r="AF6" s="6943"/>
    </row>
    <row r="7" spans="1:32" ht="33.75" customHeight="1">
      <c r="A7" s="5201" t="s">
        <v>5737</v>
      </c>
      <c r="B7" s="5428">
        <v>46266</v>
      </c>
      <c r="C7" s="4744">
        <v>46268</v>
      </c>
      <c r="D7" s="5429">
        <f>IF(_xlfn.DAYS(C7,B7)=0,"1",_xlfn.DAYS(C7,B7))</f>
        <v>2</v>
      </c>
      <c r="E7" s="4744">
        <v>46280</v>
      </c>
      <c r="F7" s="5429">
        <f>IF(_xlfn.DAYS(E7,C7)=0,"1",_xlfn.DAYS(E7,C7))+1</f>
        <v>13</v>
      </c>
      <c r="G7" s="5430">
        <v>46282</v>
      </c>
      <c r="H7" s="5429">
        <f>IF(_xlfn.DAYS(G7,E7)=0,"1",_xlfn.DAYS(G7,E7))-1</f>
        <v>1</v>
      </c>
      <c r="I7" s="5203" t="s">
        <v>5738</v>
      </c>
      <c r="J7" s="5204">
        <v>100</v>
      </c>
      <c r="K7" s="5205">
        <v>90</v>
      </c>
      <c r="L7" s="5431">
        <v>9000</v>
      </c>
      <c r="M7" s="5431">
        <v>10000</v>
      </c>
      <c r="N7" s="4969"/>
      <c r="O7" s="5431">
        <v>8000</v>
      </c>
      <c r="P7" s="5207">
        <f>SUM(D7,F7,H7)*K7</f>
        <v>1440</v>
      </c>
      <c r="Q7" s="5208">
        <f>(D7*L7+F7*M7+H7*O7)*K7</f>
        <v>14040000</v>
      </c>
      <c r="R7" s="5204">
        <v>21</v>
      </c>
      <c r="S7" s="5209" t="s">
        <v>5739</v>
      </c>
      <c r="T7" s="5210">
        <v>21</v>
      </c>
      <c r="U7" s="5211">
        <v>1</v>
      </c>
      <c r="V7" s="5204">
        <v>154</v>
      </c>
      <c r="W7" s="5209" t="s">
        <v>4521</v>
      </c>
      <c r="X7" s="5206">
        <v>203</v>
      </c>
      <c r="Y7" s="5204">
        <v>1</v>
      </c>
      <c r="Z7" s="5204" t="s">
        <v>5740</v>
      </c>
      <c r="AA7" s="5212" t="s">
        <v>5035</v>
      </c>
      <c r="AB7" s="5204" t="s">
        <v>2830</v>
      </c>
      <c r="AC7" s="5212" t="s">
        <v>5050</v>
      </c>
      <c r="AD7" s="5204" t="s">
        <v>5741</v>
      </c>
      <c r="AE7" s="5213"/>
      <c r="AF7" s="5214"/>
    </row>
    <row r="8" spans="1:32" ht="33.75" customHeight="1">
      <c r="A8" s="4686">
        <v>1</v>
      </c>
      <c r="B8" s="4816">
        <v>46279</v>
      </c>
      <c r="C8" s="4816">
        <v>46281</v>
      </c>
      <c r="D8" s="5429">
        <f t="shared" ref="D8:D22" si="0">IF(_xlfn.DAYS(C8,B8)=0,"1",_xlfn.DAYS(C8,B8))</f>
        <v>2</v>
      </c>
      <c r="E8" s="4816">
        <v>46288</v>
      </c>
      <c r="F8" s="5202">
        <f t="shared" ref="F8:F22" si="1">IF(_xlfn.DAYS(E8,C8)=0,"1",_xlfn.DAYS(E8,C8))+1</f>
        <v>8</v>
      </c>
      <c r="G8" s="4816">
        <v>46289</v>
      </c>
      <c r="H8" s="5429">
        <f>IF(_xlfn.DAYS(G8,E8)=0,"1",_xlfn.DAYS(G8,E8))-1</f>
        <v>0</v>
      </c>
      <c r="I8" s="4819" t="s">
        <v>5069</v>
      </c>
      <c r="J8" s="5218">
        <v>35</v>
      </c>
      <c r="K8" s="5432">
        <v>11</v>
      </c>
      <c r="L8" s="5433">
        <v>26000</v>
      </c>
      <c r="M8" s="5433">
        <v>30600</v>
      </c>
      <c r="N8" s="4971">
        <f>M8*K8</f>
        <v>336600</v>
      </c>
      <c r="O8" s="5433">
        <v>26000</v>
      </c>
      <c r="P8" s="5207">
        <f>SUM(D8,F8,H8)*K8</f>
        <v>110</v>
      </c>
      <c r="Q8" s="5208">
        <f>(D8*L8+F8*M8+H8*O8)*K8</f>
        <v>3264800</v>
      </c>
      <c r="R8" s="4820">
        <v>22.6</v>
      </c>
      <c r="S8" s="5209" t="s">
        <v>5742</v>
      </c>
      <c r="T8" s="5217">
        <v>22.6</v>
      </c>
      <c r="U8" s="5434">
        <v>2</v>
      </c>
      <c r="V8" s="4820">
        <v>110</v>
      </c>
      <c r="W8" s="5209" t="s">
        <v>2688</v>
      </c>
      <c r="X8" s="5219">
        <v>200</v>
      </c>
      <c r="Y8" s="4820">
        <v>2</v>
      </c>
      <c r="Z8" s="4820" t="s">
        <v>5743</v>
      </c>
      <c r="AA8" s="5212" t="s">
        <v>5035</v>
      </c>
      <c r="AB8" s="4820" t="s">
        <v>5741</v>
      </c>
      <c r="AC8" s="5212" t="s">
        <v>5050</v>
      </c>
      <c r="AD8" s="4820" t="s">
        <v>5741</v>
      </c>
      <c r="AE8" s="5220"/>
      <c r="AF8" s="5214">
        <f>U8*K8</f>
        <v>22</v>
      </c>
    </row>
    <row r="9" spans="1:32" ht="33.75" customHeight="1">
      <c r="A9" s="4686">
        <v>2</v>
      </c>
      <c r="B9" s="4816">
        <v>46279</v>
      </c>
      <c r="C9" s="4816">
        <v>46281</v>
      </c>
      <c r="D9" s="5429">
        <f t="shared" si="0"/>
        <v>2</v>
      </c>
      <c r="E9" s="4816">
        <v>46288</v>
      </c>
      <c r="F9" s="5202">
        <f t="shared" si="1"/>
        <v>8</v>
      </c>
      <c r="G9" s="4816">
        <v>46289</v>
      </c>
      <c r="H9" s="5429">
        <f t="shared" ref="H9:H22" si="2">IF(_xlfn.DAYS(G9,E9)=0,"1",_xlfn.DAYS(G9,E9))-1</f>
        <v>0</v>
      </c>
      <c r="I9" s="4819" t="s">
        <v>5106</v>
      </c>
      <c r="J9" s="5218">
        <v>55</v>
      </c>
      <c r="K9" s="5432">
        <v>20</v>
      </c>
      <c r="L9" s="5433">
        <v>16800</v>
      </c>
      <c r="M9" s="5433">
        <v>19100</v>
      </c>
      <c r="N9" s="4971">
        <f t="shared" ref="N9:N18" si="3">M9*K9</f>
        <v>382000</v>
      </c>
      <c r="O9" s="5433">
        <v>16800</v>
      </c>
      <c r="P9" s="5207">
        <f t="shared" ref="P9:P22" si="4">SUM(D9,F9,H9)*K9</f>
        <v>200</v>
      </c>
      <c r="Q9" s="5208">
        <f t="shared" ref="Q9:Q22" si="5">(D9*L9+F9*M9+H9*O9)*K9</f>
        <v>3728000</v>
      </c>
      <c r="R9" s="4820">
        <v>22.6</v>
      </c>
      <c r="S9" s="5209" t="s">
        <v>5742</v>
      </c>
      <c r="T9" s="5217">
        <v>22.6</v>
      </c>
      <c r="U9" s="5434">
        <v>1</v>
      </c>
      <c r="V9" s="4820">
        <v>140</v>
      </c>
      <c r="W9" s="5209" t="s">
        <v>2688</v>
      </c>
      <c r="X9" s="5219">
        <v>200</v>
      </c>
      <c r="Y9" s="4820">
        <v>1</v>
      </c>
      <c r="Z9" s="4820" t="s">
        <v>5743</v>
      </c>
      <c r="AA9" s="5212" t="s">
        <v>5035</v>
      </c>
      <c r="AB9" s="4820" t="s">
        <v>5741</v>
      </c>
      <c r="AC9" s="5212" t="s">
        <v>5050</v>
      </c>
      <c r="AD9" s="4820" t="s">
        <v>5741</v>
      </c>
      <c r="AE9" s="5220" t="s">
        <v>6222</v>
      </c>
      <c r="AF9" s="5214">
        <f t="shared" ref="AF9:AF22" si="6">U9*K9</f>
        <v>20</v>
      </c>
    </row>
    <row r="10" spans="1:32" ht="33.75" customHeight="1">
      <c r="A10" s="4686">
        <v>3</v>
      </c>
      <c r="B10" s="4816">
        <v>46279</v>
      </c>
      <c r="C10" s="4816">
        <v>46281</v>
      </c>
      <c r="D10" s="5429">
        <f t="shared" si="0"/>
        <v>2</v>
      </c>
      <c r="E10" s="4816">
        <v>46288</v>
      </c>
      <c r="F10" s="5202">
        <f t="shared" si="1"/>
        <v>8</v>
      </c>
      <c r="G10" s="4816">
        <v>46289</v>
      </c>
      <c r="H10" s="5429">
        <f t="shared" si="2"/>
        <v>0</v>
      </c>
      <c r="I10" s="4819" t="s">
        <v>5075</v>
      </c>
      <c r="J10" s="5218">
        <v>120</v>
      </c>
      <c r="K10" s="5432">
        <v>50</v>
      </c>
      <c r="L10" s="5433">
        <v>30600</v>
      </c>
      <c r="M10" s="5433">
        <v>35200</v>
      </c>
      <c r="N10" s="4971">
        <f t="shared" si="3"/>
        <v>1760000</v>
      </c>
      <c r="O10" s="5433">
        <v>30600</v>
      </c>
      <c r="P10" s="5207">
        <f t="shared" si="4"/>
        <v>500</v>
      </c>
      <c r="Q10" s="5208">
        <f t="shared" si="5"/>
        <v>17140000</v>
      </c>
      <c r="R10" s="4820">
        <v>31.5</v>
      </c>
      <c r="S10" s="5209" t="s">
        <v>5742</v>
      </c>
      <c r="T10" s="5217">
        <v>31.5</v>
      </c>
      <c r="U10" s="5434">
        <v>2</v>
      </c>
      <c r="V10" s="4820">
        <v>140</v>
      </c>
      <c r="W10" s="5209" t="s">
        <v>2688</v>
      </c>
      <c r="X10" s="5219">
        <v>200</v>
      </c>
      <c r="Y10" s="4820">
        <v>2</v>
      </c>
      <c r="Z10" s="4820" t="s">
        <v>5743</v>
      </c>
      <c r="AA10" s="5212" t="s">
        <v>5035</v>
      </c>
      <c r="AB10" s="4820" t="s">
        <v>5741</v>
      </c>
      <c r="AC10" s="5212" t="s">
        <v>5050</v>
      </c>
      <c r="AD10" s="4820" t="s">
        <v>5741</v>
      </c>
      <c r="AE10" s="5220" t="s">
        <v>6222</v>
      </c>
      <c r="AF10" s="5214">
        <f t="shared" si="6"/>
        <v>100</v>
      </c>
    </row>
    <row r="11" spans="1:32" ht="33.75" customHeight="1">
      <c r="A11" s="4686">
        <v>4</v>
      </c>
      <c r="B11" s="4816">
        <v>46279</v>
      </c>
      <c r="C11" s="4816">
        <v>46281</v>
      </c>
      <c r="D11" s="5429">
        <f t="shared" si="0"/>
        <v>2</v>
      </c>
      <c r="E11" s="4816">
        <v>46288</v>
      </c>
      <c r="F11" s="5202">
        <f t="shared" si="1"/>
        <v>8</v>
      </c>
      <c r="G11" s="4816">
        <v>46289</v>
      </c>
      <c r="H11" s="5429">
        <f t="shared" si="2"/>
        <v>0</v>
      </c>
      <c r="I11" s="4819" t="s">
        <v>5074</v>
      </c>
      <c r="J11" s="5218">
        <v>30</v>
      </c>
      <c r="K11" s="5432">
        <v>20</v>
      </c>
      <c r="L11" s="5433">
        <v>17700</v>
      </c>
      <c r="M11" s="5433">
        <v>20000</v>
      </c>
      <c r="N11" s="4971">
        <f t="shared" si="3"/>
        <v>400000</v>
      </c>
      <c r="O11" s="5433">
        <v>17700</v>
      </c>
      <c r="P11" s="5207">
        <f t="shared" si="4"/>
        <v>200</v>
      </c>
      <c r="Q11" s="5208">
        <f t="shared" si="5"/>
        <v>3908000</v>
      </c>
      <c r="R11" s="4820">
        <v>22.6</v>
      </c>
      <c r="S11" s="5209" t="s">
        <v>5742</v>
      </c>
      <c r="T11" s="5217">
        <v>22.6</v>
      </c>
      <c r="U11" s="5434">
        <v>1</v>
      </c>
      <c r="V11" s="4820">
        <v>140</v>
      </c>
      <c r="W11" s="5209" t="s">
        <v>2688</v>
      </c>
      <c r="X11" s="5219">
        <v>200</v>
      </c>
      <c r="Y11" s="4820">
        <v>1</v>
      </c>
      <c r="Z11" s="4820" t="s">
        <v>5743</v>
      </c>
      <c r="AA11" s="5212" t="s">
        <v>5035</v>
      </c>
      <c r="AB11" s="4820" t="s">
        <v>5741</v>
      </c>
      <c r="AC11" s="5212" t="s">
        <v>5050</v>
      </c>
      <c r="AD11" s="4820" t="s">
        <v>5741</v>
      </c>
      <c r="AE11" s="5220"/>
      <c r="AF11" s="5214">
        <f t="shared" si="6"/>
        <v>20</v>
      </c>
    </row>
    <row r="12" spans="1:32" ht="33.75" customHeight="1">
      <c r="A12" s="4686">
        <v>5</v>
      </c>
      <c r="B12" s="4816">
        <v>46279</v>
      </c>
      <c r="C12" s="4816">
        <v>46281</v>
      </c>
      <c r="D12" s="5429">
        <f t="shared" si="0"/>
        <v>2</v>
      </c>
      <c r="E12" s="4816">
        <v>46288</v>
      </c>
      <c r="F12" s="5202">
        <f t="shared" si="1"/>
        <v>8</v>
      </c>
      <c r="G12" s="4816">
        <v>46289</v>
      </c>
      <c r="H12" s="5429">
        <f t="shared" si="2"/>
        <v>0</v>
      </c>
      <c r="I12" s="4819" t="s">
        <v>5092</v>
      </c>
      <c r="J12" s="5218">
        <v>60</v>
      </c>
      <c r="K12" s="5432">
        <v>40</v>
      </c>
      <c r="L12" s="5433">
        <v>34400</v>
      </c>
      <c r="M12" s="5433">
        <v>39000</v>
      </c>
      <c r="N12" s="4971">
        <f t="shared" si="3"/>
        <v>1560000</v>
      </c>
      <c r="O12" s="5433">
        <v>34400</v>
      </c>
      <c r="P12" s="5207">
        <f t="shared" si="4"/>
        <v>400</v>
      </c>
      <c r="Q12" s="5208">
        <f t="shared" si="5"/>
        <v>15232000</v>
      </c>
      <c r="R12" s="4820">
        <v>31.5</v>
      </c>
      <c r="S12" s="5209" t="s">
        <v>5742</v>
      </c>
      <c r="T12" s="5217">
        <v>31.5</v>
      </c>
      <c r="U12" s="5434">
        <v>2</v>
      </c>
      <c r="V12" s="4820">
        <v>140</v>
      </c>
      <c r="W12" s="5209" t="s">
        <v>2688</v>
      </c>
      <c r="X12" s="5219">
        <v>200</v>
      </c>
      <c r="Y12" s="4820">
        <v>2</v>
      </c>
      <c r="Z12" s="4820" t="s">
        <v>5743</v>
      </c>
      <c r="AA12" s="5212" t="s">
        <v>5035</v>
      </c>
      <c r="AB12" s="4820" t="s">
        <v>5741</v>
      </c>
      <c r="AC12" s="5212" t="s">
        <v>5050</v>
      </c>
      <c r="AD12" s="4820" t="s">
        <v>5741</v>
      </c>
      <c r="AE12" s="5220"/>
      <c r="AF12" s="5214">
        <f t="shared" si="6"/>
        <v>80</v>
      </c>
    </row>
    <row r="13" spans="1:32" ht="33.75" customHeight="1">
      <c r="A13" s="4686">
        <v>6</v>
      </c>
      <c r="B13" s="4816">
        <v>46279</v>
      </c>
      <c r="C13" s="4816">
        <v>46281</v>
      </c>
      <c r="D13" s="5429">
        <f t="shared" si="0"/>
        <v>2</v>
      </c>
      <c r="E13" s="4816">
        <v>46288</v>
      </c>
      <c r="F13" s="5202">
        <f t="shared" si="1"/>
        <v>8</v>
      </c>
      <c r="G13" s="4816">
        <v>46289</v>
      </c>
      <c r="H13" s="5429">
        <f t="shared" si="2"/>
        <v>0</v>
      </c>
      <c r="I13" s="4819" t="s">
        <v>5073</v>
      </c>
      <c r="J13" s="5218">
        <v>11</v>
      </c>
      <c r="K13" s="5432">
        <v>8</v>
      </c>
      <c r="L13" s="5433">
        <v>18600</v>
      </c>
      <c r="M13" s="5433">
        <v>20900</v>
      </c>
      <c r="N13" s="4971">
        <f t="shared" si="3"/>
        <v>167200</v>
      </c>
      <c r="O13" s="5433">
        <v>18600</v>
      </c>
      <c r="P13" s="5207">
        <f t="shared" si="4"/>
        <v>80</v>
      </c>
      <c r="Q13" s="5208">
        <f t="shared" si="5"/>
        <v>1635200</v>
      </c>
      <c r="R13" s="4820">
        <v>22.6</v>
      </c>
      <c r="S13" s="5209" t="s">
        <v>5742</v>
      </c>
      <c r="T13" s="5217">
        <v>22.6</v>
      </c>
      <c r="U13" s="5434">
        <v>1</v>
      </c>
      <c r="V13" s="4820">
        <v>160</v>
      </c>
      <c r="W13" s="5209" t="s">
        <v>2688</v>
      </c>
      <c r="X13" s="5219">
        <v>200</v>
      </c>
      <c r="Y13" s="4820">
        <v>1</v>
      </c>
      <c r="Z13" s="4820" t="s">
        <v>5743</v>
      </c>
      <c r="AA13" s="5212" t="s">
        <v>5035</v>
      </c>
      <c r="AB13" s="4820" t="s">
        <v>5741</v>
      </c>
      <c r="AC13" s="5212" t="s">
        <v>5050</v>
      </c>
      <c r="AD13" s="4820" t="s">
        <v>5741</v>
      </c>
      <c r="AE13" s="5220" t="s">
        <v>6222</v>
      </c>
      <c r="AF13" s="5214">
        <f t="shared" si="6"/>
        <v>8</v>
      </c>
    </row>
    <row r="14" spans="1:32" ht="33.75" customHeight="1">
      <c r="A14" s="4686">
        <v>7</v>
      </c>
      <c r="B14" s="4816">
        <v>46279</v>
      </c>
      <c r="C14" s="4816">
        <v>46281</v>
      </c>
      <c r="D14" s="5429">
        <f t="shared" si="0"/>
        <v>2</v>
      </c>
      <c r="E14" s="4816">
        <v>46288</v>
      </c>
      <c r="F14" s="5202">
        <f t="shared" si="1"/>
        <v>8</v>
      </c>
      <c r="G14" s="4816">
        <v>46289</v>
      </c>
      <c r="H14" s="5429">
        <f t="shared" si="2"/>
        <v>0</v>
      </c>
      <c r="I14" s="4819" t="s">
        <v>5145</v>
      </c>
      <c r="J14" s="5218">
        <v>14</v>
      </c>
      <c r="K14" s="5432"/>
      <c r="L14" s="5433"/>
      <c r="M14" s="5433"/>
      <c r="N14" s="4971">
        <f t="shared" si="3"/>
        <v>0</v>
      </c>
      <c r="O14" s="5433"/>
      <c r="P14" s="5207">
        <f t="shared" si="4"/>
        <v>0</v>
      </c>
      <c r="Q14" s="5208">
        <f t="shared" si="5"/>
        <v>0</v>
      </c>
      <c r="R14" s="4820">
        <v>60.4</v>
      </c>
      <c r="S14" s="5209" t="s">
        <v>5742</v>
      </c>
      <c r="T14" s="5217">
        <v>60.4</v>
      </c>
      <c r="U14" s="5434">
        <v>2</v>
      </c>
      <c r="V14" s="4820">
        <v>140</v>
      </c>
      <c r="W14" s="5209" t="s">
        <v>2688</v>
      </c>
      <c r="X14" s="5219">
        <v>200</v>
      </c>
      <c r="Y14" s="4820">
        <v>2</v>
      </c>
      <c r="Z14" s="4820" t="s">
        <v>5743</v>
      </c>
      <c r="AA14" s="5212" t="s">
        <v>5035</v>
      </c>
      <c r="AB14" s="4820" t="s">
        <v>5741</v>
      </c>
      <c r="AC14" s="5212" t="s">
        <v>5050</v>
      </c>
      <c r="AD14" s="4820" t="s">
        <v>5741</v>
      </c>
      <c r="AE14" s="5220"/>
      <c r="AF14" s="5214">
        <f t="shared" si="6"/>
        <v>0</v>
      </c>
    </row>
    <row r="15" spans="1:32" ht="33.75" customHeight="1">
      <c r="A15" s="4686">
        <v>8</v>
      </c>
      <c r="B15" s="4816">
        <v>46279</v>
      </c>
      <c r="C15" s="4816">
        <v>46281</v>
      </c>
      <c r="D15" s="5429">
        <f t="shared" si="0"/>
        <v>2</v>
      </c>
      <c r="E15" s="4816">
        <v>46288</v>
      </c>
      <c r="F15" s="5202">
        <f t="shared" si="1"/>
        <v>8</v>
      </c>
      <c r="G15" s="4816">
        <v>46289</v>
      </c>
      <c r="H15" s="5429">
        <f>IF(_xlfn.DAYS(G15,E15)=0,"1",_xlfn.DAYS(G15,E15))-1</f>
        <v>0</v>
      </c>
      <c r="I15" s="4819" t="s">
        <v>5146</v>
      </c>
      <c r="J15" s="5218">
        <v>9</v>
      </c>
      <c r="K15" s="5432"/>
      <c r="L15" s="5433"/>
      <c r="M15" s="5433"/>
      <c r="N15" s="4971">
        <f t="shared" si="3"/>
        <v>0</v>
      </c>
      <c r="O15" s="5433"/>
      <c r="P15" s="5207">
        <f t="shared" si="4"/>
        <v>0</v>
      </c>
      <c r="Q15" s="5208">
        <f t="shared" si="5"/>
        <v>0</v>
      </c>
      <c r="R15" s="4820">
        <v>45.1</v>
      </c>
      <c r="S15" s="5209" t="s">
        <v>5742</v>
      </c>
      <c r="T15" s="5217">
        <v>45.1</v>
      </c>
      <c r="U15" s="5434">
        <v>2</v>
      </c>
      <c r="V15" s="4820">
        <v>200</v>
      </c>
      <c r="W15" s="5209" t="s">
        <v>2688</v>
      </c>
      <c r="X15" s="5219">
        <v>200</v>
      </c>
      <c r="Y15" s="4820">
        <v>1</v>
      </c>
      <c r="Z15" s="4820" t="s">
        <v>5743</v>
      </c>
      <c r="AA15" s="5212" t="s">
        <v>5035</v>
      </c>
      <c r="AB15" s="4820" t="s">
        <v>5741</v>
      </c>
      <c r="AC15" s="5212" t="s">
        <v>5050</v>
      </c>
      <c r="AD15" s="4820" t="s">
        <v>5741</v>
      </c>
      <c r="AE15" s="5220"/>
      <c r="AF15" s="5214">
        <f t="shared" si="6"/>
        <v>0</v>
      </c>
    </row>
    <row r="16" spans="1:32" ht="33.75" customHeight="1">
      <c r="A16" s="4686">
        <v>9</v>
      </c>
      <c r="B16" s="4816">
        <v>46279</v>
      </c>
      <c r="C16" s="4816">
        <v>46281</v>
      </c>
      <c r="D16" s="5429">
        <f t="shared" si="0"/>
        <v>2</v>
      </c>
      <c r="E16" s="4816">
        <v>46288</v>
      </c>
      <c r="F16" s="5202">
        <f t="shared" si="1"/>
        <v>8</v>
      </c>
      <c r="G16" s="4816">
        <v>46289</v>
      </c>
      <c r="H16" s="5429">
        <f t="shared" si="2"/>
        <v>0</v>
      </c>
      <c r="I16" s="4819" t="s">
        <v>5045</v>
      </c>
      <c r="J16" s="5218">
        <v>3</v>
      </c>
      <c r="K16" s="5432"/>
      <c r="L16" s="5433"/>
      <c r="M16" s="5433"/>
      <c r="N16" s="4971">
        <f t="shared" si="3"/>
        <v>0</v>
      </c>
      <c r="O16" s="5433"/>
      <c r="P16" s="5207">
        <f t="shared" si="4"/>
        <v>0</v>
      </c>
      <c r="Q16" s="5208">
        <f t="shared" si="5"/>
        <v>0</v>
      </c>
      <c r="R16" s="4820">
        <v>46.8</v>
      </c>
      <c r="S16" s="5209" t="s">
        <v>5742</v>
      </c>
      <c r="T16" s="5217">
        <v>46.8</v>
      </c>
      <c r="U16" s="5434">
        <v>4</v>
      </c>
      <c r="V16" s="4820" t="s">
        <v>2602</v>
      </c>
      <c r="W16" s="5209" t="s">
        <v>2688</v>
      </c>
      <c r="X16" s="5219" t="s">
        <v>2602</v>
      </c>
      <c r="Y16" s="4820" t="s">
        <v>5833</v>
      </c>
      <c r="Z16" s="4820" t="s">
        <v>5743</v>
      </c>
      <c r="AA16" s="5212" t="s">
        <v>5035</v>
      </c>
      <c r="AB16" s="4820" t="s">
        <v>5741</v>
      </c>
      <c r="AC16" s="5212" t="s">
        <v>5050</v>
      </c>
      <c r="AD16" s="4820" t="s">
        <v>5741</v>
      </c>
      <c r="AE16" s="5220"/>
      <c r="AF16" s="5214">
        <f t="shared" si="6"/>
        <v>0</v>
      </c>
    </row>
    <row r="17" spans="1:32" ht="33.75" customHeight="1">
      <c r="A17" s="4686">
        <v>10</v>
      </c>
      <c r="B17" s="4816">
        <v>46279</v>
      </c>
      <c r="C17" s="4816">
        <v>46281</v>
      </c>
      <c r="D17" s="5429">
        <f t="shared" si="0"/>
        <v>2</v>
      </c>
      <c r="E17" s="4816">
        <v>46288</v>
      </c>
      <c r="F17" s="5202">
        <f t="shared" si="1"/>
        <v>8</v>
      </c>
      <c r="G17" s="4816">
        <v>46289</v>
      </c>
      <c r="H17" s="5429">
        <f t="shared" si="2"/>
        <v>0</v>
      </c>
      <c r="I17" s="4819" t="s">
        <v>5071</v>
      </c>
      <c r="J17" s="5218">
        <v>5</v>
      </c>
      <c r="K17" s="5432">
        <v>5</v>
      </c>
      <c r="L17" s="5433">
        <v>30600</v>
      </c>
      <c r="M17" s="5433">
        <v>35200</v>
      </c>
      <c r="N17" s="4971">
        <f t="shared" si="3"/>
        <v>176000</v>
      </c>
      <c r="O17" s="5433">
        <v>30600</v>
      </c>
      <c r="P17" s="5207">
        <f t="shared" si="4"/>
        <v>50</v>
      </c>
      <c r="Q17" s="5208">
        <f t="shared" si="5"/>
        <v>1714000</v>
      </c>
      <c r="R17" s="4820">
        <v>31.5</v>
      </c>
      <c r="S17" s="5209" t="s">
        <v>5742</v>
      </c>
      <c r="T17" s="5217">
        <v>31.5</v>
      </c>
      <c r="U17" s="5434">
        <v>2</v>
      </c>
      <c r="V17" s="4820">
        <v>140</v>
      </c>
      <c r="W17" s="5209" t="s">
        <v>2688</v>
      </c>
      <c r="X17" s="5219">
        <v>200</v>
      </c>
      <c r="Y17" s="4820">
        <v>2</v>
      </c>
      <c r="Z17" s="4820" t="s">
        <v>5743</v>
      </c>
      <c r="AA17" s="5212" t="s">
        <v>5035</v>
      </c>
      <c r="AB17" s="4820" t="s">
        <v>5741</v>
      </c>
      <c r="AC17" s="5212" t="s">
        <v>5050</v>
      </c>
      <c r="AD17" s="4820" t="s">
        <v>5741</v>
      </c>
      <c r="AE17" s="5220"/>
      <c r="AF17" s="5214">
        <f t="shared" si="6"/>
        <v>10</v>
      </c>
    </row>
    <row r="18" spans="1:32" ht="33.75" customHeight="1">
      <c r="A18" s="4686">
        <v>11</v>
      </c>
      <c r="B18" s="4816">
        <v>46279</v>
      </c>
      <c r="C18" s="4816">
        <v>46281</v>
      </c>
      <c r="D18" s="5429">
        <f t="shared" si="0"/>
        <v>2</v>
      </c>
      <c r="E18" s="4816">
        <v>46288</v>
      </c>
      <c r="F18" s="5202">
        <f t="shared" si="1"/>
        <v>8</v>
      </c>
      <c r="G18" s="4816">
        <v>46289</v>
      </c>
      <c r="H18" s="5429">
        <f t="shared" si="2"/>
        <v>0</v>
      </c>
      <c r="I18" s="4819" t="s">
        <v>6223</v>
      </c>
      <c r="J18" s="5218">
        <v>35</v>
      </c>
      <c r="K18" s="5432">
        <v>5</v>
      </c>
      <c r="L18" s="5433">
        <v>30600</v>
      </c>
      <c r="M18" s="5433">
        <v>35200</v>
      </c>
      <c r="N18" s="4971">
        <f t="shared" si="3"/>
        <v>176000</v>
      </c>
      <c r="O18" s="5433">
        <v>30600</v>
      </c>
      <c r="P18" s="5207">
        <f t="shared" si="4"/>
        <v>50</v>
      </c>
      <c r="Q18" s="5208">
        <f t="shared" si="5"/>
        <v>1714000</v>
      </c>
      <c r="R18" s="4820">
        <v>32</v>
      </c>
      <c r="S18" s="5209" t="s">
        <v>5742</v>
      </c>
      <c r="T18" s="5217">
        <v>32</v>
      </c>
      <c r="U18" s="5434">
        <v>2</v>
      </c>
      <c r="V18" s="4820">
        <v>115</v>
      </c>
      <c r="W18" s="5209" t="s">
        <v>2688</v>
      </c>
      <c r="X18" s="5219">
        <v>200</v>
      </c>
      <c r="Y18" s="4820">
        <v>2</v>
      </c>
      <c r="Z18" s="4820" t="s">
        <v>5743</v>
      </c>
      <c r="AA18" s="5212" t="s">
        <v>5035</v>
      </c>
      <c r="AB18" s="4820" t="s">
        <v>5741</v>
      </c>
      <c r="AC18" s="5212" t="s">
        <v>5050</v>
      </c>
      <c r="AD18" s="4820" t="s">
        <v>5741</v>
      </c>
      <c r="AE18" s="5220"/>
      <c r="AF18" s="5214">
        <f t="shared" si="6"/>
        <v>10</v>
      </c>
    </row>
    <row r="19" spans="1:32" ht="33.75" customHeight="1">
      <c r="A19" s="4686">
        <v>12</v>
      </c>
      <c r="B19" s="4816"/>
      <c r="C19" s="4816"/>
      <c r="D19" s="5429" t="str">
        <f t="shared" si="0"/>
        <v>1</v>
      </c>
      <c r="E19" s="4816"/>
      <c r="F19" s="5202">
        <f t="shared" si="1"/>
        <v>2</v>
      </c>
      <c r="G19" s="4816"/>
      <c r="H19" s="5429">
        <f>IF(_xlfn.DAYS(G19,E19)=0,"1",_xlfn.DAYS(G19,E19))-1</f>
        <v>0</v>
      </c>
      <c r="I19" s="4819"/>
      <c r="J19" s="5218"/>
      <c r="K19" s="5432"/>
      <c r="L19" s="4820"/>
      <c r="M19" s="5435"/>
      <c r="N19" s="5435"/>
      <c r="O19" s="4820"/>
      <c r="P19" s="5207">
        <f t="shared" si="4"/>
        <v>0</v>
      </c>
      <c r="Q19" s="5208">
        <f t="shared" si="5"/>
        <v>0</v>
      </c>
      <c r="R19" s="4820"/>
      <c r="S19" s="5209" t="s">
        <v>5742</v>
      </c>
      <c r="T19" s="5217"/>
      <c r="U19" s="5434"/>
      <c r="V19" s="4820"/>
      <c r="W19" s="5209" t="s">
        <v>2688</v>
      </c>
      <c r="X19" s="5219"/>
      <c r="Y19" s="4820"/>
      <c r="Z19" s="4820"/>
      <c r="AA19" s="5212" t="s">
        <v>5035</v>
      </c>
      <c r="AB19" s="4820"/>
      <c r="AC19" s="5212" t="s">
        <v>5050</v>
      </c>
      <c r="AD19" s="4820"/>
      <c r="AE19" s="5220"/>
      <c r="AF19" s="5214">
        <f t="shared" si="6"/>
        <v>0</v>
      </c>
    </row>
    <row r="20" spans="1:32" ht="33.75" customHeight="1">
      <c r="A20" s="4686">
        <v>13</v>
      </c>
      <c r="B20" s="4816"/>
      <c r="C20" s="4816"/>
      <c r="D20" s="5429" t="str">
        <f t="shared" si="0"/>
        <v>1</v>
      </c>
      <c r="E20" s="4816"/>
      <c r="F20" s="5202">
        <f t="shared" si="1"/>
        <v>2</v>
      </c>
      <c r="G20" s="4816"/>
      <c r="H20" s="5429">
        <f t="shared" si="2"/>
        <v>0</v>
      </c>
      <c r="I20" s="4819"/>
      <c r="J20" s="5218"/>
      <c r="K20" s="5432"/>
      <c r="L20" s="4820"/>
      <c r="M20" s="5435"/>
      <c r="N20" s="5435"/>
      <c r="O20" s="4820"/>
      <c r="P20" s="5207">
        <f t="shared" si="4"/>
        <v>0</v>
      </c>
      <c r="Q20" s="5208">
        <f t="shared" si="5"/>
        <v>0</v>
      </c>
      <c r="R20" s="4820"/>
      <c r="S20" s="5209" t="s">
        <v>5742</v>
      </c>
      <c r="T20" s="5217"/>
      <c r="U20" s="5434"/>
      <c r="V20" s="4820"/>
      <c r="W20" s="5209" t="s">
        <v>2688</v>
      </c>
      <c r="X20" s="5219"/>
      <c r="Y20" s="4820"/>
      <c r="Z20" s="4820"/>
      <c r="AA20" s="5212" t="s">
        <v>5035</v>
      </c>
      <c r="AB20" s="4820"/>
      <c r="AC20" s="5212" t="s">
        <v>5050</v>
      </c>
      <c r="AD20" s="4820"/>
      <c r="AE20" s="5220"/>
      <c r="AF20" s="5214">
        <f t="shared" si="6"/>
        <v>0</v>
      </c>
    </row>
    <row r="21" spans="1:32" ht="33.75" customHeight="1">
      <c r="A21" s="4686">
        <v>14</v>
      </c>
      <c r="B21" s="4816"/>
      <c r="C21" s="4816"/>
      <c r="D21" s="5429" t="str">
        <f t="shared" si="0"/>
        <v>1</v>
      </c>
      <c r="E21" s="4816"/>
      <c r="F21" s="5202">
        <f t="shared" si="1"/>
        <v>2</v>
      </c>
      <c r="G21" s="4816"/>
      <c r="H21" s="5429">
        <f t="shared" si="2"/>
        <v>0</v>
      </c>
      <c r="I21" s="4819"/>
      <c r="J21" s="5218"/>
      <c r="K21" s="5432"/>
      <c r="L21" s="4820"/>
      <c r="M21" s="5435"/>
      <c r="N21" s="5435"/>
      <c r="O21" s="4820"/>
      <c r="P21" s="5207">
        <f t="shared" si="4"/>
        <v>0</v>
      </c>
      <c r="Q21" s="5208">
        <f t="shared" si="5"/>
        <v>0</v>
      </c>
      <c r="R21" s="4820"/>
      <c r="S21" s="5209" t="s">
        <v>5742</v>
      </c>
      <c r="T21" s="5217"/>
      <c r="U21" s="5434"/>
      <c r="V21" s="4820"/>
      <c r="W21" s="5209" t="s">
        <v>2688</v>
      </c>
      <c r="X21" s="5219"/>
      <c r="Y21" s="4820"/>
      <c r="Z21" s="4820"/>
      <c r="AA21" s="5212" t="s">
        <v>5035</v>
      </c>
      <c r="AB21" s="4820"/>
      <c r="AC21" s="5212" t="s">
        <v>5050</v>
      </c>
      <c r="AD21" s="4820"/>
      <c r="AE21" s="5220"/>
      <c r="AF21" s="5214">
        <f t="shared" si="6"/>
        <v>0</v>
      </c>
    </row>
    <row r="22" spans="1:32" ht="33.75" customHeight="1" thickBot="1">
      <c r="A22" s="4686">
        <v>15</v>
      </c>
      <c r="B22" s="4816"/>
      <c r="C22" s="4816"/>
      <c r="D22" s="5429" t="str">
        <f t="shared" si="0"/>
        <v>1</v>
      </c>
      <c r="E22" s="4816"/>
      <c r="F22" s="5202">
        <f t="shared" si="1"/>
        <v>2</v>
      </c>
      <c r="G22" s="4816"/>
      <c r="H22" s="5429">
        <f t="shared" si="2"/>
        <v>0</v>
      </c>
      <c r="I22" s="4819"/>
      <c r="J22" s="5218"/>
      <c r="K22" s="5432"/>
      <c r="L22" s="4820"/>
      <c r="M22" s="5435"/>
      <c r="N22" s="5435"/>
      <c r="O22" s="4820"/>
      <c r="P22" s="5207">
        <f t="shared" si="4"/>
        <v>0</v>
      </c>
      <c r="Q22" s="5208">
        <f t="shared" si="5"/>
        <v>0</v>
      </c>
      <c r="R22" s="4820"/>
      <c r="S22" s="5209" t="s">
        <v>5742</v>
      </c>
      <c r="T22" s="5217"/>
      <c r="U22" s="5434"/>
      <c r="V22" s="4820"/>
      <c r="W22" s="5209" t="s">
        <v>2688</v>
      </c>
      <c r="X22" s="5219"/>
      <c r="Y22" s="4820"/>
      <c r="Z22" s="4820"/>
      <c r="AA22" s="5212" t="s">
        <v>5035</v>
      </c>
      <c r="AB22" s="4820"/>
      <c r="AC22" s="5212" t="s">
        <v>5050</v>
      </c>
      <c r="AD22" s="4820"/>
      <c r="AE22" s="5220"/>
      <c r="AF22" s="5214">
        <f t="shared" si="6"/>
        <v>0</v>
      </c>
    </row>
    <row r="23" spans="1:32" ht="33.75" customHeight="1" thickTop="1" thickBot="1">
      <c r="A23" s="4701"/>
      <c r="B23" s="4702"/>
      <c r="C23" s="4702"/>
      <c r="D23" s="4702"/>
      <c r="E23" s="4702"/>
      <c r="F23" s="5221"/>
      <c r="G23" s="4704"/>
      <c r="H23" s="4702"/>
      <c r="I23" s="5222" t="s">
        <v>2432</v>
      </c>
      <c r="J23" s="5223">
        <f>SUM(J8:J22)</f>
        <v>377</v>
      </c>
      <c r="K23" s="5224">
        <f>SUM(K8:K22)</f>
        <v>159</v>
      </c>
      <c r="L23" s="5221"/>
      <c r="M23" s="5221"/>
      <c r="N23" s="5221"/>
      <c r="O23" s="5221"/>
      <c r="P23" s="5223">
        <f>SUM(P8:P22)</f>
        <v>1590</v>
      </c>
      <c r="Q23" s="5223">
        <f>SUM(Q8:Q22)</f>
        <v>48336000</v>
      </c>
      <c r="R23" s="6949"/>
      <c r="S23" s="6950"/>
      <c r="T23" s="6951"/>
      <c r="U23" s="5225"/>
      <c r="V23" s="6949"/>
      <c r="W23" s="6950"/>
      <c r="X23" s="6950"/>
      <c r="Y23" s="5225"/>
      <c r="Z23" s="5225"/>
      <c r="AA23" s="6952"/>
      <c r="AB23" s="6953"/>
      <c r="AC23" s="6952"/>
      <c r="AD23" s="6953"/>
      <c r="AE23" s="5226"/>
      <c r="AF23" s="5214">
        <f>SUM(AF8:AF22)</f>
        <v>270</v>
      </c>
    </row>
    <row r="24" spans="1:32" ht="33.75" customHeight="1" thickBot="1">
      <c r="C24" s="4812"/>
      <c r="D24" s="4812"/>
      <c r="E24" s="4812"/>
      <c r="F24" s="4812"/>
      <c r="G24" s="4812"/>
      <c r="H24" s="4812"/>
      <c r="I24" s="4813"/>
      <c r="J24" s="4814"/>
      <c r="K24" s="4812"/>
      <c r="L24" s="4713" t="s">
        <v>5748</v>
      </c>
      <c r="M24" s="4714">
        <f>SUM(N7:N22)</f>
        <v>4957800</v>
      </c>
      <c r="N24" s="4715"/>
      <c r="O24" s="4715"/>
      <c r="P24" s="4715"/>
      <c r="S24" s="4656"/>
      <c r="W24" s="4656"/>
    </row>
    <row r="25" spans="1:32" ht="33.75" customHeight="1">
      <c r="A25" s="6929" t="s">
        <v>5749</v>
      </c>
      <c r="B25" s="6998"/>
      <c r="C25" s="5227">
        <f>P23</f>
        <v>1590</v>
      </c>
      <c r="D25" s="5436"/>
      <c r="F25" s="5437"/>
      <c r="H25" s="5438"/>
      <c r="I25" s="5229"/>
      <c r="K25" s="4659"/>
      <c r="L25" s="4721" t="s">
        <v>5750</v>
      </c>
      <c r="M25" s="4722">
        <f>M24*1.1</f>
        <v>5453580</v>
      </c>
      <c r="P25" s="4656"/>
    </row>
    <row r="26" spans="1:32" ht="33.75" customHeight="1">
      <c r="A26" s="6991" t="s">
        <v>5883</v>
      </c>
      <c r="B26" s="6992"/>
      <c r="C26" s="5439">
        <f>Q23</f>
        <v>48336000</v>
      </c>
      <c r="D26" s="5436"/>
      <c r="F26" s="5440"/>
      <c r="H26" s="5438"/>
      <c r="I26" s="5229"/>
      <c r="K26" s="4659"/>
      <c r="P26" s="4656"/>
    </row>
    <row r="27" spans="1:32" ht="33.75" customHeight="1" thickBot="1">
      <c r="A27" s="6993" t="s">
        <v>5751</v>
      </c>
      <c r="B27" s="6994"/>
      <c r="C27" s="5441">
        <f>ROUNDDOWN(C26*1.1,0)</f>
        <v>53169600</v>
      </c>
      <c r="D27" s="5438"/>
      <c r="F27" s="5440"/>
      <c r="H27" s="5438"/>
      <c r="I27" s="5229"/>
      <c r="K27" s="4659"/>
      <c r="P27" s="4656"/>
    </row>
    <row r="28" spans="1:32" ht="33.75" customHeight="1">
      <c r="A28" s="4940"/>
      <c r="B28" s="4940"/>
      <c r="C28" s="5402"/>
      <c r="D28" s="5438"/>
      <c r="F28" s="5440"/>
      <c r="H28" s="5438"/>
      <c r="I28" s="5229"/>
      <c r="K28" s="4659"/>
      <c r="P28" s="4656"/>
    </row>
    <row r="29" spans="1:32" ht="32.15" customHeight="1">
      <c r="A29" s="4726"/>
      <c r="B29" s="4726"/>
      <c r="C29" s="4726"/>
      <c r="D29" s="4726"/>
      <c r="E29" s="4726"/>
      <c r="F29" s="4726"/>
      <c r="G29" s="4726"/>
      <c r="H29" s="4726"/>
      <c r="I29" s="5232"/>
    </row>
    <row r="30" spans="1:32" ht="33.75" customHeight="1" thickBot="1">
      <c r="A30" s="4737" t="s">
        <v>6224</v>
      </c>
      <c r="B30" s="4737"/>
      <c r="S30" s="4656"/>
      <c r="W30" s="4656"/>
      <c r="Z30" s="4656"/>
      <c r="AA30" s="4656"/>
      <c r="AB30" s="4656"/>
      <c r="AC30" s="4656"/>
      <c r="AD30" s="4656"/>
      <c r="AF30" s="4656" t="s">
        <v>5712</v>
      </c>
    </row>
    <row r="31" spans="1:32" s="5197" customFormat="1" ht="33.75" customHeight="1">
      <c r="A31" s="6944" t="s">
        <v>5713</v>
      </c>
      <c r="B31" s="7000" t="s">
        <v>5714</v>
      </c>
      <c r="C31" s="6946" t="s">
        <v>5715</v>
      </c>
      <c r="D31" s="6946" t="s">
        <v>5716</v>
      </c>
      <c r="E31" s="6946" t="s">
        <v>5717</v>
      </c>
      <c r="F31" s="6956" t="s">
        <v>5718</v>
      </c>
      <c r="G31" s="6946" t="s">
        <v>5719</v>
      </c>
      <c r="H31" s="6946" t="s">
        <v>5720</v>
      </c>
      <c r="I31" s="6958" t="s">
        <v>5721</v>
      </c>
      <c r="J31" s="6939" t="s">
        <v>5722</v>
      </c>
      <c r="K31" s="6939" t="s">
        <v>5723</v>
      </c>
      <c r="L31" s="6946" t="s">
        <v>6219</v>
      </c>
      <c r="M31" s="6946" t="s">
        <v>6220</v>
      </c>
      <c r="N31" s="4967" t="s">
        <v>5726</v>
      </c>
      <c r="O31" s="6946" t="s">
        <v>6221</v>
      </c>
      <c r="P31" s="6939" t="s">
        <v>3766</v>
      </c>
      <c r="Q31" s="6954"/>
      <c r="R31" s="6956" t="s">
        <v>5728</v>
      </c>
      <c r="S31" s="6960"/>
      <c r="T31" s="6961"/>
      <c r="U31" s="6946" t="s">
        <v>6048</v>
      </c>
      <c r="V31" s="6960" t="s">
        <v>5730</v>
      </c>
      <c r="W31" s="6960"/>
      <c r="X31" s="6960"/>
      <c r="Y31" s="6956" t="s">
        <v>5731</v>
      </c>
      <c r="Z31" s="6939" t="s">
        <v>5732</v>
      </c>
      <c r="AA31" s="6939" t="s">
        <v>5733</v>
      </c>
      <c r="AB31" s="6954"/>
      <c r="AC31" s="6954"/>
      <c r="AD31" s="6954"/>
      <c r="AE31" s="6941" t="s">
        <v>2792</v>
      </c>
      <c r="AF31" s="6943" t="s">
        <v>5734</v>
      </c>
    </row>
    <row r="32" spans="1:32" s="5197" customFormat="1" ht="20">
      <c r="A32" s="6945"/>
      <c r="B32" s="7001"/>
      <c r="C32" s="6947"/>
      <c r="D32" s="6948"/>
      <c r="E32" s="6948"/>
      <c r="F32" s="6957"/>
      <c r="G32" s="6948"/>
      <c r="H32" s="6948"/>
      <c r="I32" s="6947"/>
      <c r="J32" s="6959"/>
      <c r="K32" s="6959"/>
      <c r="L32" s="6948"/>
      <c r="M32" s="6948"/>
      <c r="N32" s="4968"/>
      <c r="O32" s="6948"/>
      <c r="P32" s="5199" t="s">
        <v>5735</v>
      </c>
      <c r="Q32" s="5200" t="s">
        <v>5736</v>
      </c>
      <c r="R32" s="6962"/>
      <c r="S32" s="6963"/>
      <c r="T32" s="6964"/>
      <c r="U32" s="6948"/>
      <c r="V32" s="6963"/>
      <c r="W32" s="6963"/>
      <c r="X32" s="6963"/>
      <c r="Y32" s="6940"/>
      <c r="Z32" s="6940"/>
      <c r="AA32" s="6940"/>
      <c r="AB32" s="6955"/>
      <c r="AC32" s="6955"/>
      <c r="AD32" s="6955"/>
      <c r="AE32" s="6942"/>
      <c r="AF32" s="6943"/>
    </row>
    <row r="33" spans="1:32" ht="33.75" customHeight="1">
      <c r="A33" s="5201" t="s">
        <v>5737</v>
      </c>
      <c r="B33" s="5428">
        <v>46266</v>
      </c>
      <c r="C33" s="4744">
        <v>46268</v>
      </c>
      <c r="D33" s="5429">
        <f>IF(_xlfn.DAYS(C33,B33)=0,"1",_xlfn.DAYS(C33,B33))</f>
        <v>2</v>
      </c>
      <c r="E33" s="4744">
        <v>46280</v>
      </c>
      <c r="F33" s="5429">
        <f>IF(_xlfn.DAYS(E33,C33)=0,"1",_xlfn.DAYS(E33,C33))+1</f>
        <v>13</v>
      </c>
      <c r="G33" s="5430">
        <v>46282</v>
      </c>
      <c r="H33" s="5429">
        <f>IF(_xlfn.DAYS(G33,E33)=0,"1",_xlfn.DAYS(G33,E33))-1</f>
        <v>1</v>
      </c>
      <c r="I33" s="5203" t="s">
        <v>5738</v>
      </c>
      <c r="J33" s="5204">
        <v>100</v>
      </c>
      <c r="K33" s="5205">
        <v>90</v>
      </c>
      <c r="L33" s="5431">
        <v>9000</v>
      </c>
      <c r="M33" s="5431">
        <v>10000</v>
      </c>
      <c r="N33" s="4969"/>
      <c r="O33" s="5431">
        <v>8000</v>
      </c>
      <c r="P33" s="5207">
        <f>SUM(D33,F33,H33)*K33</f>
        <v>1440</v>
      </c>
      <c r="Q33" s="5208">
        <f>(D33*L33+F33*M33+H33*O33)*K33</f>
        <v>14040000</v>
      </c>
      <c r="R33" s="5204">
        <v>21</v>
      </c>
      <c r="S33" s="5209" t="s">
        <v>5739</v>
      </c>
      <c r="T33" s="5210">
        <v>21</v>
      </c>
      <c r="U33" s="5211">
        <v>1</v>
      </c>
      <c r="V33" s="5204">
        <v>154</v>
      </c>
      <c r="W33" s="5209" t="s">
        <v>4521</v>
      </c>
      <c r="X33" s="5206">
        <v>203</v>
      </c>
      <c r="Y33" s="5204">
        <v>1</v>
      </c>
      <c r="Z33" s="5204" t="s">
        <v>5740</v>
      </c>
      <c r="AA33" s="5212" t="s">
        <v>5035</v>
      </c>
      <c r="AB33" s="5204" t="s">
        <v>2830</v>
      </c>
      <c r="AC33" s="5212" t="s">
        <v>5050</v>
      </c>
      <c r="AD33" s="5204" t="s">
        <v>5741</v>
      </c>
      <c r="AE33" s="5213"/>
      <c r="AF33" s="5214"/>
    </row>
    <row r="34" spans="1:32" ht="33.75" customHeight="1">
      <c r="A34" s="4686">
        <v>1</v>
      </c>
      <c r="B34" s="4816">
        <v>46289</v>
      </c>
      <c r="C34" s="4816">
        <v>46293</v>
      </c>
      <c r="D34" s="5429">
        <f t="shared" ref="D34:D48" si="7">IF(_xlfn.DAYS(C34,B34)=0,"1",_xlfn.DAYS(C34,B34))</f>
        <v>4</v>
      </c>
      <c r="E34" s="4816">
        <v>46298</v>
      </c>
      <c r="F34" s="5202">
        <f t="shared" ref="F34:F48" si="8">IF(_xlfn.DAYS(E34,C34)=0,"1",_xlfn.DAYS(E34,C34))+1</f>
        <v>6</v>
      </c>
      <c r="G34" s="4816">
        <v>46300</v>
      </c>
      <c r="H34" s="5429">
        <f t="shared" ref="H34:H48" si="9">IF(_xlfn.DAYS(G34,E34)=0,"1",_xlfn.DAYS(G34,E34))-1</f>
        <v>1</v>
      </c>
      <c r="I34" s="4819" t="s">
        <v>5069</v>
      </c>
      <c r="J34" s="5218">
        <v>35</v>
      </c>
      <c r="K34" s="5432">
        <v>17</v>
      </c>
      <c r="L34" s="5433">
        <v>26000</v>
      </c>
      <c r="M34" s="5433">
        <v>30600</v>
      </c>
      <c r="N34" s="4971">
        <f>M34*K34</f>
        <v>520200</v>
      </c>
      <c r="O34" s="5433">
        <v>26000</v>
      </c>
      <c r="P34" s="5207">
        <f>SUM(D34,F34,H34)*K34</f>
        <v>187</v>
      </c>
      <c r="Q34" s="5208">
        <f t="shared" ref="Q34:Q46" si="10">(D34*L34+F34*M34+H34*O34)*K34</f>
        <v>5331200</v>
      </c>
      <c r="R34" s="4820">
        <v>22.6</v>
      </c>
      <c r="S34" s="5209" t="s">
        <v>5742</v>
      </c>
      <c r="T34" s="5217">
        <v>22.6</v>
      </c>
      <c r="U34" s="5434">
        <v>2</v>
      </c>
      <c r="V34" s="4820">
        <v>110</v>
      </c>
      <c r="W34" s="5209" t="s">
        <v>2688</v>
      </c>
      <c r="X34" s="5219">
        <v>200</v>
      </c>
      <c r="Y34" s="4820">
        <v>2</v>
      </c>
      <c r="Z34" s="4820" t="s">
        <v>5743</v>
      </c>
      <c r="AA34" s="5212" t="s">
        <v>5035</v>
      </c>
      <c r="AB34" s="4820" t="s">
        <v>5741</v>
      </c>
      <c r="AC34" s="5212" t="s">
        <v>5050</v>
      </c>
      <c r="AD34" s="4820" t="s">
        <v>5741</v>
      </c>
      <c r="AE34" s="5220"/>
      <c r="AF34" s="5214">
        <f t="shared" ref="AF34:AF47" si="11">U34*K34</f>
        <v>34</v>
      </c>
    </row>
    <row r="35" spans="1:32" ht="33.75" customHeight="1">
      <c r="A35" s="4686">
        <v>2</v>
      </c>
      <c r="B35" s="4816">
        <v>46289</v>
      </c>
      <c r="C35" s="4816">
        <v>46293</v>
      </c>
      <c r="D35" s="5429">
        <f t="shared" si="7"/>
        <v>4</v>
      </c>
      <c r="E35" s="4816">
        <v>46298</v>
      </c>
      <c r="F35" s="5202">
        <f t="shared" si="8"/>
        <v>6</v>
      </c>
      <c r="G35" s="4816">
        <v>46300</v>
      </c>
      <c r="H35" s="5429">
        <f t="shared" si="9"/>
        <v>1</v>
      </c>
      <c r="I35" s="4819" t="s">
        <v>5106</v>
      </c>
      <c r="J35" s="5218">
        <v>55</v>
      </c>
      <c r="K35" s="5432">
        <v>20</v>
      </c>
      <c r="L35" s="5433">
        <v>16800</v>
      </c>
      <c r="M35" s="5433">
        <v>19100</v>
      </c>
      <c r="N35" s="4971">
        <f t="shared" ref="N35:N44" si="12">M35*K35</f>
        <v>382000</v>
      </c>
      <c r="O35" s="5433">
        <v>16800</v>
      </c>
      <c r="P35" s="5207">
        <f>SUM(D35,F35,H35)*K35</f>
        <v>220</v>
      </c>
      <c r="Q35" s="5208">
        <f t="shared" si="10"/>
        <v>3972000</v>
      </c>
      <c r="R35" s="4820">
        <v>22.6</v>
      </c>
      <c r="S35" s="5209" t="s">
        <v>5742</v>
      </c>
      <c r="T35" s="5217">
        <v>22.6</v>
      </c>
      <c r="U35" s="5434">
        <v>1</v>
      </c>
      <c r="V35" s="4820">
        <v>140</v>
      </c>
      <c r="W35" s="5209" t="s">
        <v>2688</v>
      </c>
      <c r="X35" s="5219">
        <v>200</v>
      </c>
      <c r="Y35" s="4820">
        <v>1</v>
      </c>
      <c r="Z35" s="4820" t="s">
        <v>5743</v>
      </c>
      <c r="AA35" s="5212" t="s">
        <v>5035</v>
      </c>
      <c r="AB35" s="4820" t="s">
        <v>5741</v>
      </c>
      <c r="AC35" s="5212" t="s">
        <v>5050</v>
      </c>
      <c r="AD35" s="4820" t="s">
        <v>5741</v>
      </c>
      <c r="AE35" s="5220" t="s">
        <v>6222</v>
      </c>
      <c r="AF35" s="5214">
        <f t="shared" si="11"/>
        <v>20</v>
      </c>
    </row>
    <row r="36" spans="1:32" ht="33.75" customHeight="1">
      <c r="A36" s="4686">
        <v>3</v>
      </c>
      <c r="B36" s="4816">
        <v>46289</v>
      </c>
      <c r="C36" s="4816">
        <v>46293</v>
      </c>
      <c r="D36" s="5429">
        <f t="shared" si="7"/>
        <v>4</v>
      </c>
      <c r="E36" s="4816">
        <v>46298</v>
      </c>
      <c r="F36" s="5202">
        <f t="shared" si="8"/>
        <v>6</v>
      </c>
      <c r="G36" s="4816">
        <v>46300</v>
      </c>
      <c r="H36" s="5429">
        <f t="shared" si="9"/>
        <v>1</v>
      </c>
      <c r="I36" s="4819" t="s">
        <v>5075</v>
      </c>
      <c r="J36" s="5218">
        <v>120</v>
      </c>
      <c r="K36" s="5432">
        <v>60</v>
      </c>
      <c r="L36" s="5433">
        <v>30600</v>
      </c>
      <c r="M36" s="5433">
        <v>35200</v>
      </c>
      <c r="N36" s="4971">
        <f t="shared" si="12"/>
        <v>2112000</v>
      </c>
      <c r="O36" s="5433">
        <v>30600</v>
      </c>
      <c r="P36" s="5207">
        <f>SUM(D36,F36,H36)*K36</f>
        <v>660</v>
      </c>
      <c r="Q36" s="5208">
        <f t="shared" si="10"/>
        <v>21852000</v>
      </c>
      <c r="R36" s="4820">
        <v>31.5</v>
      </c>
      <c r="S36" s="5209" t="s">
        <v>5742</v>
      </c>
      <c r="T36" s="5217">
        <v>31.5</v>
      </c>
      <c r="U36" s="5434">
        <v>2</v>
      </c>
      <c r="V36" s="4820">
        <v>140</v>
      </c>
      <c r="W36" s="5209" t="s">
        <v>2688</v>
      </c>
      <c r="X36" s="5219">
        <v>200</v>
      </c>
      <c r="Y36" s="4820">
        <v>2</v>
      </c>
      <c r="Z36" s="4820" t="s">
        <v>5743</v>
      </c>
      <c r="AA36" s="5212" t="s">
        <v>5035</v>
      </c>
      <c r="AB36" s="4820" t="s">
        <v>5741</v>
      </c>
      <c r="AC36" s="5212" t="s">
        <v>5050</v>
      </c>
      <c r="AD36" s="4820" t="s">
        <v>5741</v>
      </c>
      <c r="AE36" s="5220" t="s">
        <v>6222</v>
      </c>
      <c r="AF36" s="5214">
        <f t="shared" si="11"/>
        <v>120</v>
      </c>
    </row>
    <row r="37" spans="1:32" ht="33.75" customHeight="1">
      <c r="A37" s="4686">
        <v>4</v>
      </c>
      <c r="B37" s="4816">
        <v>46289</v>
      </c>
      <c r="C37" s="4816">
        <v>46293</v>
      </c>
      <c r="D37" s="5429">
        <f t="shared" si="7"/>
        <v>4</v>
      </c>
      <c r="E37" s="4816">
        <v>46298</v>
      </c>
      <c r="F37" s="5202">
        <f t="shared" si="8"/>
        <v>6</v>
      </c>
      <c r="G37" s="4816">
        <v>46300</v>
      </c>
      <c r="H37" s="5429">
        <f t="shared" si="9"/>
        <v>1</v>
      </c>
      <c r="I37" s="4819" t="s">
        <v>5074</v>
      </c>
      <c r="J37" s="5218">
        <v>30</v>
      </c>
      <c r="K37" s="5432">
        <v>20</v>
      </c>
      <c r="L37" s="5433">
        <v>17700</v>
      </c>
      <c r="M37" s="5433">
        <v>20000</v>
      </c>
      <c r="N37" s="4971">
        <f t="shared" si="12"/>
        <v>400000</v>
      </c>
      <c r="O37" s="5433">
        <v>17700</v>
      </c>
      <c r="P37" s="5207">
        <f t="shared" ref="P37:P48" si="13">SUM(D37,F37,H37)*K37</f>
        <v>220</v>
      </c>
      <c r="Q37" s="5208">
        <f t="shared" si="10"/>
        <v>4170000</v>
      </c>
      <c r="R37" s="4820">
        <v>22.6</v>
      </c>
      <c r="S37" s="5209" t="s">
        <v>5742</v>
      </c>
      <c r="T37" s="5217">
        <v>22.6</v>
      </c>
      <c r="U37" s="5434">
        <v>1</v>
      </c>
      <c r="V37" s="4820">
        <v>140</v>
      </c>
      <c r="W37" s="5209" t="s">
        <v>2688</v>
      </c>
      <c r="X37" s="5219">
        <v>200</v>
      </c>
      <c r="Y37" s="4820">
        <v>1</v>
      </c>
      <c r="Z37" s="4820" t="s">
        <v>5743</v>
      </c>
      <c r="AA37" s="5212" t="s">
        <v>5035</v>
      </c>
      <c r="AB37" s="4820" t="s">
        <v>5741</v>
      </c>
      <c r="AC37" s="5212" t="s">
        <v>5050</v>
      </c>
      <c r="AD37" s="4820" t="s">
        <v>5741</v>
      </c>
      <c r="AE37" s="5220"/>
      <c r="AF37" s="5214">
        <f t="shared" si="11"/>
        <v>20</v>
      </c>
    </row>
    <row r="38" spans="1:32" ht="33.75" customHeight="1">
      <c r="A38" s="4686">
        <v>5</v>
      </c>
      <c r="B38" s="4816">
        <v>46289</v>
      </c>
      <c r="C38" s="4816">
        <v>46293</v>
      </c>
      <c r="D38" s="5429">
        <f t="shared" si="7"/>
        <v>4</v>
      </c>
      <c r="E38" s="4816">
        <v>46298</v>
      </c>
      <c r="F38" s="5202">
        <f t="shared" si="8"/>
        <v>6</v>
      </c>
      <c r="G38" s="4816">
        <v>46300</v>
      </c>
      <c r="H38" s="5429">
        <f t="shared" si="9"/>
        <v>1</v>
      </c>
      <c r="I38" s="4819" t="s">
        <v>5092</v>
      </c>
      <c r="J38" s="5218">
        <v>60</v>
      </c>
      <c r="K38" s="5432">
        <v>40</v>
      </c>
      <c r="L38" s="5433">
        <v>34400</v>
      </c>
      <c r="M38" s="5433">
        <v>39000</v>
      </c>
      <c r="N38" s="4971">
        <f t="shared" si="12"/>
        <v>1560000</v>
      </c>
      <c r="O38" s="5433">
        <v>34400</v>
      </c>
      <c r="P38" s="5207">
        <f t="shared" si="13"/>
        <v>440</v>
      </c>
      <c r="Q38" s="5208">
        <f t="shared" si="10"/>
        <v>16240000</v>
      </c>
      <c r="R38" s="4820">
        <v>31.5</v>
      </c>
      <c r="S38" s="5209" t="s">
        <v>5742</v>
      </c>
      <c r="T38" s="5217">
        <v>31.5</v>
      </c>
      <c r="U38" s="5434">
        <v>2</v>
      </c>
      <c r="V38" s="4820">
        <v>140</v>
      </c>
      <c r="W38" s="5209" t="s">
        <v>2688</v>
      </c>
      <c r="X38" s="5219">
        <v>200</v>
      </c>
      <c r="Y38" s="4820">
        <v>2</v>
      </c>
      <c r="Z38" s="4820" t="s">
        <v>5743</v>
      </c>
      <c r="AA38" s="5212" t="s">
        <v>5035</v>
      </c>
      <c r="AB38" s="4820" t="s">
        <v>5741</v>
      </c>
      <c r="AC38" s="5212" t="s">
        <v>5050</v>
      </c>
      <c r="AD38" s="4820" t="s">
        <v>5741</v>
      </c>
      <c r="AE38" s="5220"/>
      <c r="AF38" s="5214">
        <f t="shared" si="11"/>
        <v>80</v>
      </c>
    </row>
    <row r="39" spans="1:32" ht="33.75" customHeight="1">
      <c r="A39" s="4686">
        <v>6</v>
      </c>
      <c r="B39" s="4816">
        <v>46289</v>
      </c>
      <c r="C39" s="4816">
        <v>46293</v>
      </c>
      <c r="D39" s="5429">
        <f t="shared" si="7"/>
        <v>4</v>
      </c>
      <c r="E39" s="4816">
        <v>46298</v>
      </c>
      <c r="F39" s="5202">
        <f t="shared" si="8"/>
        <v>6</v>
      </c>
      <c r="G39" s="4816">
        <v>46300</v>
      </c>
      <c r="H39" s="5429">
        <f t="shared" si="9"/>
        <v>1</v>
      </c>
      <c r="I39" s="4819" t="s">
        <v>5073</v>
      </c>
      <c r="J39" s="5218">
        <v>11</v>
      </c>
      <c r="K39" s="5432">
        <v>8</v>
      </c>
      <c r="L39" s="5433">
        <v>18600</v>
      </c>
      <c r="M39" s="5433">
        <v>20900</v>
      </c>
      <c r="N39" s="4971">
        <f t="shared" si="12"/>
        <v>167200</v>
      </c>
      <c r="O39" s="5433">
        <v>18600</v>
      </c>
      <c r="P39" s="5207">
        <f t="shared" si="13"/>
        <v>88</v>
      </c>
      <c r="Q39" s="5208">
        <f t="shared" si="10"/>
        <v>1747200</v>
      </c>
      <c r="R39" s="4820">
        <v>22.6</v>
      </c>
      <c r="S39" s="5209" t="s">
        <v>5742</v>
      </c>
      <c r="T39" s="5217">
        <v>22.6</v>
      </c>
      <c r="U39" s="5434">
        <v>1</v>
      </c>
      <c r="V39" s="4820">
        <v>160</v>
      </c>
      <c r="W39" s="5209" t="s">
        <v>2688</v>
      </c>
      <c r="X39" s="5219">
        <v>200</v>
      </c>
      <c r="Y39" s="4820">
        <v>1</v>
      </c>
      <c r="Z39" s="4820" t="s">
        <v>5743</v>
      </c>
      <c r="AA39" s="5212" t="s">
        <v>5035</v>
      </c>
      <c r="AB39" s="4820" t="s">
        <v>5741</v>
      </c>
      <c r="AC39" s="5212" t="s">
        <v>5050</v>
      </c>
      <c r="AD39" s="4820" t="s">
        <v>5741</v>
      </c>
      <c r="AE39" s="5220" t="s">
        <v>6222</v>
      </c>
      <c r="AF39" s="5214">
        <f t="shared" si="11"/>
        <v>8</v>
      </c>
    </row>
    <row r="40" spans="1:32" ht="33.75" customHeight="1">
      <c r="A40" s="4686">
        <v>7</v>
      </c>
      <c r="B40" s="4816">
        <v>46289</v>
      </c>
      <c r="C40" s="4816">
        <v>46293</v>
      </c>
      <c r="D40" s="5429">
        <f t="shared" si="7"/>
        <v>4</v>
      </c>
      <c r="E40" s="4816">
        <v>46298</v>
      </c>
      <c r="F40" s="5202">
        <f t="shared" si="8"/>
        <v>6</v>
      </c>
      <c r="G40" s="4816">
        <v>46300</v>
      </c>
      <c r="H40" s="5429">
        <f t="shared" si="9"/>
        <v>1</v>
      </c>
      <c r="I40" s="4819" t="s">
        <v>5145</v>
      </c>
      <c r="J40" s="5218">
        <v>14</v>
      </c>
      <c r="K40" s="5432"/>
      <c r="L40" s="5433"/>
      <c r="M40" s="5433"/>
      <c r="N40" s="4971">
        <f t="shared" si="12"/>
        <v>0</v>
      </c>
      <c r="O40" s="5433"/>
      <c r="P40" s="5207">
        <f t="shared" si="13"/>
        <v>0</v>
      </c>
      <c r="Q40" s="5208">
        <f t="shared" si="10"/>
        <v>0</v>
      </c>
      <c r="R40" s="4820">
        <v>60.4</v>
      </c>
      <c r="S40" s="5209" t="s">
        <v>5742</v>
      </c>
      <c r="T40" s="5217">
        <v>60.4</v>
      </c>
      <c r="U40" s="5434">
        <v>2</v>
      </c>
      <c r="V40" s="4820">
        <v>140</v>
      </c>
      <c r="W40" s="5209" t="s">
        <v>2688</v>
      </c>
      <c r="X40" s="5219">
        <v>200</v>
      </c>
      <c r="Y40" s="4820">
        <v>2</v>
      </c>
      <c r="Z40" s="4820" t="s">
        <v>5743</v>
      </c>
      <c r="AA40" s="5212" t="s">
        <v>5035</v>
      </c>
      <c r="AB40" s="4820" t="s">
        <v>5741</v>
      </c>
      <c r="AC40" s="5212" t="s">
        <v>5050</v>
      </c>
      <c r="AD40" s="4820" t="s">
        <v>5741</v>
      </c>
      <c r="AE40" s="5220"/>
      <c r="AF40" s="5214">
        <f t="shared" si="11"/>
        <v>0</v>
      </c>
    </row>
    <row r="41" spans="1:32" ht="33.75" customHeight="1">
      <c r="A41" s="4686">
        <v>8</v>
      </c>
      <c r="B41" s="4816">
        <v>46289</v>
      </c>
      <c r="C41" s="4816">
        <v>46293</v>
      </c>
      <c r="D41" s="5429">
        <f t="shared" si="7"/>
        <v>4</v>
      </c>
      <c r="E41" s="4816">
        <v>46298</v>
      </c>
      <c r="F41" s="5202">
        <f t="shared" si="8"/>
        <v>6</v>
      </c>
      <c r="G41" s="4816">
        <v>46300</v>
      </c>
      <c r="H41" s="5429">
        <f t="shared" si="9"/>
        <v>1</v>
      </c>
      <c r="I41" s="4819" t="s">
        <v>5146</v>
      </c>
      <c r="J41" s="5218">
        <v>9</v>
      </c>
      <c r="K41" s="5432"/>
      <c r="L41" s="5433"/>
      <c r="M41" s="5433"/>
      <c r="N41" s="4971">
        <f t="shared" si="12"/>
        <v>0</v>
      </c>
      <c r="O41" s="5433"/>
      <c r="P41" s="5207">
        <f t="shared" si="13"/>
        <v>0</v>
      </c>
      <c r="Q41" s="5208">
        <f t="shared" si="10"/>
        <v>0</v>
      </c>
      <c r="R41" s="4820">
        <v>45.1</v>
      </c>
      <c r="S41" s="5209" t="s">
        <v>5742</v>
      </c>
      <c r="T41" s="5217">
        <v>45.1</v>
      </c>
      <c r="U41" s="5434">
        <v>2</v>
      </c>
      <c r="V41" s="4820">
        <v>200</v>
      </c>
      <c r="W41" s="5209" t="s">
        <v>2688</v>
      </c>
      <c r="X41" s="5219">
        <v>200</v>
      </c>
      <c r="Y41" s="4820">
        <v>1</v>
      </c>
      <c r="Z41" s="4820" t="s">
        <v>5743</v>
      </c>
      <c r="AA41" s="5212" t="s">
        <v>5035</v>
      </c>
      <c r="AB41" s="4820" t="s">
        <v>5741</v>
      </c>
      <c r="AC41" s="5212" t="s">
        <v>5050</v>
      </c>
      <c r="AD41" s="4820" t="s">
        <v>5741</v>
      </c>
      <c r="AE41" s="5220"/>
      <c r="AF41" s="5214">
        <f t="shared" si="11"/>
        <v>0</v>
      </c>
    </row>
    <row r="42" spans="1:32" ht="33.75" customHeight="1">
      <c r="A42" s="4686">
        <v>9</v>
      </c>
      <c r="B42" s="4816">
        <v>46289</v>
      </c>
      <c r="C42" s="4816">
        <v>46293</v>
      </c>
      <c r="D42" s="5429">
        <f t="shared" si="7"/>
        <v>4</v>
      </c>
      <c r="E42" s="4816">
        <v>46298</v>
      </c>
      <c r="F42" s="5202">
        <f t="shared" si="8"/>
        <v>6</v>
      </c>
      <c r="G42" s="4816">
        <v>46300</v>
      </c>
      <c r="H42" s="5429">
        <f t="shared" si="9"/>
        <v>1</v>
      </c>
      <c r="I42" s="4819" t="s">
        <v>5045</v>
      </c>
      <c r="J42" s="5218">
        <v>3</v>
      </c>
      <c r="K42" s="5432"/>
      <c r="L42" s="5433"/>
      <c r="M42" s="5433"/>
      <c r="N42" s="4971">
        <f t="shared" si="12"/>
        <v>0</v>
      </c>
      <c r="O42" s="5433"/>
      <c r="P42" s="5207">
        <f t="shared" si="13"/>
        <v>0</v>
      </c>
      <c r="Q42" s="5208">
        <f t="shared" si="10"/>
        <v>0</v>
      </c>
      <c r="R42" s="4820">
        <v>46.8</v>
      </c>
      <c r="S42" s="5209" t="s">
        <v>5742</v>
      </c>
      <c r="T42" s="5217">
        <v>46.8</v>
      </c>
      <c r="U42" s="5434">
        <v>4</v>
      </c>
      <c r="V42" s="4820" t="s">
        <v>2602</v>
      </c>
      <c r="W42" s="5209" t="s">
        <v>2688</v>
      </c>
      <c r="X42" s="5219" t="s">
        <v>2602</v>
      </c>
      <c r="Y42" s="4820" t="s">
        <v>5833</v>
      </c>
      <c r="Z42" s="4820" t="s">
        <v>5743</v>
      </c>
      <c r="AA42" s="5212" t="s">
        <v>5035</v>
      </c>
      <c r="AB42" s="4820" t="s">
        <v>5741</v>
      </c>
      <c r="AC42" s="5212" t="s">
        <v>5050</v>
      </c>
      <c r="AD42" s="4820" t="s">
        <v>5741</v>
      </c>
      <c r="AE42" s="5220"/>
      <c r="AF42" s="5214">
        <f t="shared" si="11"/>
        <v>0</v>
      </c>
    </row>
    <row r="43" spans="1:32" ht="33.75" customHeight="1">
      <c r="A43" s="4686">
        <v>10</v>
      </c>
      <c r="B43" s="4816">
        <v>46289</v>
      </c>
      <c r="C43" s="4816">
        <v>46293</v>
      </c>
      <c r="D43" s="5429">
        <f t="shared" si="7"/>
        <v>4</v>
      </c>
      <c r="E43" s="4816">
        <v>46298</v>
      </c>
      <c r="F43" s="5202">
        <f t="shared" si="8"/>
        <v>6</v>
      </c>
      <c r="G43" s="4816">
        <v>46300</v>
      </c>
      <c r="H43" s="5429">
        <f t="shared" si="9"/>
        <v>1</v>
      </c>
      <c r="I43" s="4819" t="s">
        <v>5071</v>
      </c>
      <c r="J43" s="5218">
        <v>5</v>
      </c>
      <c r="K43" s="5432">
        <v>5</v>
      </c>
      <c r="L43" s="5433">
        <v>30600</v>
      </c>
      <c r="M43" s="5433">
        <v>35200</v>
      </c>
      <c r="N43" s="4971">
        <f t="shared" si="12"/>
        <v>176000</v>
      </c>
      <c r="O43" s="5433">
        <v>30600</v>
      </c>
      <c r="P43" s="5207">
        <f t="shared" si="13"/>
        <v>55</v>
      </c>
      <c r="Q43" s="5208">
        <f t="shared" si="10"/>
        <v>1821000</v>
      </c>
      <c r="R43" s="4820">
        <v>31.5</v>
      </c>
      <c r="S43" s="5209" t="s">
        <v>5742</v>
      </c>
      <c r="T43" s="5217">
        <v>31.5</v>
      </c>
      <c r="U43" s="5434">
        <v>2</v>
      </c>
      <c r="V43" s="4820">
        <v>140</v>
      </c>
      <c r="W43" s="5209" t="s">
        <v>2688</v>
      </c>
      <c r="X43" s="5219">
        <v>200</v>
      </c>
      <c r="Y43" s="4820">
        <v>2</v>
      </c>
      <c r="Z43" s="4820" t="s">
        <v>5743</v>
      </c>
      <c r="AA43" s="5212" t="s">
        <v>5035</v>
      </c>
      <c r="AB43" s="4820" t="s">
        <v>5741</v>
      </c>
      <c r="AC43" s="5212" t="s">
        <v>5050</v>
      </c>
      <c r="AD43" s="4820" t="s">
        <v>5741</v>
      </c>
      <c r="AE43" s="5220"/>
      <c r="AF43" s="5214">
        <f t="shared" si="11"/>
        <v>10</v>
      </c>
    </row>
    <row r="44" spans="1:32" ht="33.75" customHeight="1">
      <c r="A44" s="4686">
        <v>11</v>
      </c>
      <c r="B44" s="4816">
        <v>46289</v>
      </c>
      <c r="C44" s="4816">
        <v>46293</v>
      </c>
      <c r="D44" s="5429">
        <f t="shared" si="7"/>
        <v>4</v>
      </c>
      <c r="E44" s="4816">
        <v>46298</v>
      </c>
      <c r="F44" s="5202">
        <f t="shared" si="8"/>
        <v>6</v>
      </c>
      <c r="G44" s="4816">
        <v>46300</v>
      </c>
      <c r="H44" s="5429">
        <f t="shared" si="9"/>
        <v>1</v>
      </c>
      <c r="I44" s="4819" t="s">
        <v>6223</v>
      </c>
      <c r="J44" s="5218">
        <v>35</v>
      </c>
      <c r="K44" s="5432">
        <v>5</v>
      </c>
      <c r="L44" s="5433">
        <v>30600</v>
      </c>
      <c r="M44" s="5433">
        <v>35200</v>
      </c>
      <c r="N44" s="4971">
        <f t="shared" si="12"/>
        <v>176000</v>
      </c>
      <c r="O44" s="5433">
        <v>30600</v>
      </c>
      <c r="P44" s="5207">
        <f>SUM(D44,F44,H44)*K44</f>
        <v>55</v>
      </c>
      <c r="Q44" s="5208">
        <f t="shared" si="10"/>
        <v>1821000</v>
      </c>
      <c r="R44" s="4820">
        <v>32</v>
      </c>
      <c r="S44" s="5209" t="s">
        <v>5742</v>
      </c>
      <c r="T44" s="5217">
        <v>32</v>
      </c>
      <c r="U44" s="5434">
        <v>2</v>
      </c>
      <c r="V44" s="4820">
        <v>115</v>
      </c>
      <c r="W44" s="5209" t="s">
        <v>2688</v>
      </c>
      <c r="X44" s="5219">
        <v>200</v>
      </c>
      <c r="Y44" s="4820">
        <v>2</v>
      </c>
      <c r="Z44" s="4820" t="s">
        <v>5743</v>
      </c>
      <c r="AA44" s="5212" t="s">
        <v>5035</v>
      </c>
      <c r="AB44" s="4820" t="s">
        <v>5741</v>
      </c>
      <c r="AC44" s="5212" t="s">
        <v>5050</v>
      </c>
      <c r="AD44" s="4820" t="s">
        <v>5741</v>
      </c>
      <c r="AE44" s="5220"/>
      <c r="AF44" s="5214">
        <f t="shared" si="11"/>
        <v>10</v>
      </c>
    </row>
    <row r="45" spans="1:32" ht="33.75" customHeight="1">
      <c r="A45" s="4686">
        <v>12</v>
      </c>
      <c r="B45" s="4816"/>
      <c r="C45" s="4816"/>
      <c r="D45" s="5429" t="str">
        <f t="shared" si="7"/>
        <v>1</v>
      </c>
      <c r="E45" s="4816"/>
      <c r="F45" s="5202">
        <f t="shared" si="8"/>
        <v>2</v>
      </c>
      <c r="G45" s="4816"/>
      <c r="H45" s="5429">
        <f t="shared" si="9"/>
        <v>0</v>
      </c>
      <c r="I45" s="4819"/>
      <c r="J45" s="5218"/>
      <c r="K45" s="5432"/>
      <c r="L45" s="4820"/>
      <c r="M45" s="5435"/>
      <c r="N45" s="5435"/>
      <c r="O45" s="4820"/>
      <c r="P45" s="5207">
        <f t="shared" si="13"/>
        <v>0</v>
      </c>
      <c r="Q45" s="5208">
        <f>(D45*L45+F45*M45+H45*O45)*K45</f>
        <v>0</v>
      </c>
      <c r="R45" s="4820"/>
      <c r="S45" s="5209" t="s">
        <v>5742</v>
      </c>
      <c r="T45" s="5217"/>
      <c r="U45" s="5434"/>
      <c r="V45" s="4820"/>
      <c r="W45" s="5209" t="s">
        <v>2688</v>
      </c>
      <c r="X45" s="5219"/>
      <c r="Y45" s="4820"/>
      <c r="Z45" s="4820"/>
      <c r="AA45" s="5212" t="s">
        <v>5035</v>
      </c>
      <c r="AB45" s="4820"/>
      <c r="AC45" s="5212" t="s">
        <v>5050</v>
      </c>
      <c r="AD45" s="4820"/>
      <c r="AE45" s="5220"/>
      <c r="AF45" s="5214">
        <f t="shared" si="11"/>
        <v>0</v>
      </c>
    </row>
    <row r="46" spans="1:32" ht="33.75" customHeight="1">
      <c r="A46" s="4686">
        <v>13</v>
      </c>
      <c r="B46" s="4816"/>
      <c r="C46" s="4816"/>
      <c r="D46" s="5429" t="str">
        <f t="shared" si="7"/>
        <v>1</v>
      </c>
      <c r="E46" s="4816"/>
      <c r="F46" s="5202">
        <f t="shared" si="8"/>
        <v>2</v>
      </c>
      <c r="G46" s="4816"/>
      <c r="H46" s="5429">
        <f t="shared" si="9"/>
        <v>0</v>
      </c>
      <c r="I46" s="4819"/>
      <c r="J46" s="5218"/>
      <c r="K46" s="5432"/>
      <c r="L46" s="4820"/>
      <c r="M46" s="5435"/>
      <c r="N46" s="5435"/>
      <c r="O46" s="4820"/>
      <c r="P46" s="5207">
        <f t="shared" si="13"/>
        <v>0</v>
      </c>
      <c r="Q46" s="5208">
        <f t="shared" si="10"/>
        <v>0</v>
      </c>
      <c r="R46" s="4820"/>
      <c r="S46" s="5209" t="s">
        <v>5742</v>
      </c>
      <c r="T46" s="5217"/>
      <c r="U46" s="5434"/>
      <c r="V46" s="4820"/>
      <c r="W46" s="5209" t="s">
        <v>2688</v>
      </c>
      <c r="X46" s="5219"/>
      <c r="Y46" s="4820"/>
      <c r="Z46" s="4820"/>
      <c r="AA46" s="5212" t="s">
        <v>5035</v>
      </c>
      <c r="AB46" s="4820"/>
      <c r="AC46" s="5212" t="s">
        <v>5050</v>
      </c>
      <c r="AD46" s="4820"/>
      <c r="AE46" s="5220"/>
      <c r="AF46" s="5214">
        <f t="shared" si="11"/>
        <v>0</v>
      </c>
    </row>
    <row r="47" spans="1:32" ht="33.75" customHeight="1">
      <c r="A47" s="4686">
        <v>14</v>
      </c>
      <c r="B47" s="4816"/>
      <c r="C47" s="4816"/>
      <c r="D47" s="5429" t="str">
        <f t="shared" si="7"/>
        <v>1</v>
      </c>
      <c r="E47" s="4816"/>
      <c r="F47" s="5202">
        <f t="shared" si="8"/>
        <v>2</v>
      </c>
      <c r="G47" s="4816"/>
      <c r="H47" s="5429">
        <f t="shared" si="9"/>
        <v>0</v>
      </c>
      <c r="I47" s="4819"/>
      <c r="J47" s="5218"/>
      <c r="K47" s="5432"/>
      <c r="L47" s="4820"/>
      <c r="M47" s="5435"/>
      <c r="N47" s="5435"/>
      <c r="O47" s="4820"/>
      <c r="P47" s="5207">
        <f>SUM(D47,F47,H47)*K47</f>
        <v>0</v>
      </c>
      <c r="Q47" s="5208">
        <f>(D47*L47+F47*M47+H47*O47)*K47</f>
        <v>0</v>
      </c>
      <c r="R47" s="4820"/>
      <c r="S47" s="5209" t="s">
        <v>5742</v>
      </c>
      <c r="T47" s="5217"/>
      <c r="U47" s="5434"/>
      <c r="V47" s="4820"/>
      <c r="W47" s="5209" t="s">
        <v>2688</v>
      </c>
      <c r="X47" s="5219"/>
      <c r="Y47" s="4820"/>
      <c r="Z47" s="4820"/>
      <c r="AA47" s="5212" t="s">
        <v>5035</v>
      </c>
      <c r="AB47" s="4820"/>
      <c r="AC47" s="5212" t="s">
        <v>5050</v>
      </c>
      <c r="AD47" s="4820"/>
      <c r="AE47" s="5220"/>
      <c r="AF47" s="5214">
        <f t="shared" si="11"/>
        <v>0</v>
      </c>
    </row>
    <row r="48" spans="1:32" ht="33.75" customHeight="1" thickBot="1">
      <c r="A48" s="4686">
        <v>15</v>
      </c>
      <c r="B48" s="4816"/>
      <c r="C48" s="4816"/>
      <c r="D48" s="5429" t="str">
        <f t="shared" si="7"/>
        <v>1</v>
      </c>
      <c r="E48" s="4816"/>
      <c r="F48" s="5202">
        <f t="shared" si="8"/>
        <v>2</v>
      </c>
      <c r="G48" s="4816"/>
      <c r="H48" s="5429">
        <f t="shared" si="9"/>
        <v>0</v>
      </c>
      <c r="I48" s="4819"/>
      <c r="J48" s="5218"/>
      <c r="K48" s="5432"/>
      <c r="L48" s="4820"/>
      <c r="M48" s="5435"/>
      <c r="N48" s="5435"/>
      <c r="O48" s="4820"/>
      <c r="P48" s="5207">
        <f t="shared" si="13"/>
        <v>0</v>
      </c>
      <c r="Q48" s="5208">
        <f>(D48*L48+F48*M48+H48*O48)*K48</f>
        <v>0</v>
      </c>
      <c r="R48" s="4820"/>
      <c r="S48" s="5209" t="s">
        <v>5742</v>
      </c>
      <c r="T48" s="5217"/>
      <c r="U48" s="5434"/>
      <c r="V48" s="4820"/>
      <c r="W48" s="5209" t="s">
        <v>2688</v>
      </c>
      <c r="X48" s="5219"/>
      <c r="Y48" s="4820"/>
      <c r="Z48" s="4820"/>
      <c r="AA48" s="5212" t="s">
        <v>5035</v>
      </c>
      <c r="AB48" s="4820"/>
      <c r="AC48" s="5212" t="s">
        <v>5050</v>
      </c>
      <c r="AD48" s="4820"/>
      <c r="AE48" s="5220"/>
      <c r="AF48" s="5214">
        <f>U48*K48</f>
        <v>0</v>
      </c>
    </row>
    <row r="49" spans="1:32" ht="33.75" customHeight="1" thickTop="1" thickBot="1">
      <c r="A49" s="4701"/>
      <c r="B49" s="4702"/>
      <c r="C49" s="4702"/>
      <c r="D49" s="4702"/>
      <c r="E49" s="4702"/>
      <c r="F49" s="5221"/>
      <c r="G49" s="4704"/>
      <c r="H49" s="4702"/>
      <c r="I49" s="5222" t="s">
        <v>2432</v>
      </c>
      <c r="J49" s="5223">
        <f>SUM(J34:J48)</f>
        <v>377</v>
      </c>
      <c r="K49" s="5224">
        <f>SUM(K34:K48)</f>
        <v>175</v>
      </c>
      <c r="L49" s="5221"/>
      <c r="M49" s="5221"/>
      <c r="N49" s="5221"/>
      <c r="O49" s="5221"/>
      <c r="P49" s="5223">
        <f>SUM(P34:P48)</f>
        <v>1925</v>
      </c>
      <c r="Q49" s="5223">
        <f>SUM(Q34:Q48)</f>
        <v>56954400</v>
      </c>
      <c r="R49" s="6949"/>
      <c r="S49" s="6950"/>
      <c r="T49" s="6951"/>
      <c r="U49" s="5225"/>
      <c r="V49" s="6949"/>
      <c r="W49" s="6950"/>
      <c r="X49" s="6950"/>
      <c r="Y49" s="5225"/>
      <c r="Z49" s="5225"/>
      <c r="AA49" s="6952"/>
      <c r="AB49" s="6953"/>
      <c r="AC49" s="6952"/>
      <c r="AD49" s="6953"/>
      <c r="AE49" s="5226"/>
      <c r="AF49" s="5214">
        <f>SUM(AF34:AF48)</f>
        <v>302</v>
      </c>
    </row>
    <row r="50" spans="1:32" ht="33.75" customHeight="1" thickBot="1">
      <c r="C50" s="4812"/>
      <c r="D50" s="4812"/>
      <c r="E50" s="4812"/>
      <c r="F50" s="4812"/>
      <c r="G50" s="4812"/>
      <c r="H50" s="4812"/>
      <c r="I50" s="4813"/>
      <c r="J50" s="4814"/>
      <c r="K50" s="4812"/>
      <c r="L50" s="4713" t="s">
        <v>5748</v>
      </c>
      <c r="M50" s="4714">
        <f>SUM(N33:N48)</f>
        <v>5493400</v>
      </c>
      <c r="N50" s="4715"/>
      <c r="O50" s="4715"/>
      <c r="P50" s="4715"/>
      <c r="S50" s="4656"/>
      <c r="W50" s="4656"/>
    </row>
    <row r="51" spans="1:32" ht="33.75" customHeight="1">
      <c r="A51" s="6929" t="s">
        <v>5749</v>
      </c>
      <c r="B51" s="6998"/>
      <c r="C51" s="5227">
        <f>P49</f>
        <v>1925</v>
      </c>
      <c r="D51" s="5436"/>
      <c r="F51" s="5437"/>
      <c r="H51" s="5438"/>
      <c r="I51" s="5229"/>
      <c r="K51" s="4659"/>
      <c r="L51" s="4721" t="s">
        <v>5750</v>
      </c>
      <c r="M51" s="4722">
        <f>M50*1.1</f>
        <v>6042740.0000000009</v>
      </c>
      <c r="P51" s="4656"/>
    </row>
    <row r="52" spans="1:32" ht="33.75" customHeight="1">
      <c r="A52" s="6991" t="s">
        <v>5883</v>
      </c>
      <c r="B52" s="6992"/>
      <c r="C52" s="5442">
        <f>Q49</f>
        <v>56954400</v>
      </c>
      <c r="D52" s="5436"/>
      <c r="F52" s="5440"/>
      <c r="H52" s="5438"/>
      <c r="I52" s="5229"/>
      <c r="K52" s="4659"/>
      <c r="P52" s="4656"/>
    </row>
    <row r="53" spans="1:32" ht="33.75" customHeight="1" thickBot="1">
      <c r="A53" s="6993" t="s">
        <v>5751</v>
      </c>
      <c r="B53" s="6994"/>
      <c r="C53" s="5441">
        <f>ROUNDDOWN(C52*1.1,0)</f>
        <v>62649840</v>
      </c>
      <c r="D53" s="5438"/>
      <c r="F53" s="5440"/>
      <c r="H53" s="5438"/>
      <c r="I53" s="5229"/>
      <c r="K53" s="4659"/>
      <c r="P53" s="4656"/>
    </row>
    <row r="54" spans="1:32" ht="33.75" customHeight="1">
      <c r="A54" s="5438"/>
      <c r="B54" s="5438"/>
      <c r="C54" s="5440"/>
      <c r="D54" s="5438"/>
      <c r="F54" s="5440"/>
      <c r="H54" s="5438"/>
      <c r="I54" s="5229"/>
      <c r="K54" s="4659"/>
      <c r="P54" s="4656"/>
    </row>
    <row r="55" spans="1:32" ht="33.75" customHeight="1" thickBot="1">
      <c r="A55" s="4737" t="s">
        <v>5807</v>
      </c>
      <c r="B55" s="4737"/>
      <c r="S55" s="4656"/>
      <c r="W55" s="4656"/>
      <c r="Z55" s="4656"/>
      <c r="AA55" s="4656"/>
      <c r="AB55" s="4656"/>
      <c r="AC55" s="4656"/>
      <c r="AD55" s="4656"/>
      <c r="AF55" s="4656" t="s">
        <v>5712</v>
      </c>
    </row>
    <row r="56" spans="1:32" s="5197" customFormat="1" ht="33.75" customHeight="1">
      <c r="A56" s="6944" t="s">
        <v>5713</v>
      </c>
      <c r="B56" s="7000" t="s">
        <v>5714</v>
      </c>
      <c r="C56" s="6946" t="s">
        <v>5715</v>
      </c>
      <c r="D56" s="6946" t="s">
        <v>5716</v>
      </c>
      <c r="E56" s="6946" t="s">
        <v>5717</v>
      </c>
      <c r="F56" s="6956" t="s">
        <v>5718</v>
      </c>
      <c r="G56" s="6946" t="s">
        <v>5719</v>
      </c>
      <c r="H56" s="6946" t="s">
        <v>5720</v>
      </c>
      <c r="I56" s="6958" t="s">
        <v>5721</v>
      </c>
      <c r="J56" s="6939" t="s">
        <v>5722</v>
      </c>
      <c r="K56" s="6939" t="s">
        <v>5723</v>
      </c>
      <c r="L56" s="6946" t="s">
        <v>6219</v>
      </c>
      <c r="M56" s="6946" t="s">
        <v>6220</v>
      </c>
      <c r="N56" s="4967" t="s">
        <v>5726</v>
      </c>
      <c r="O56" s="6946" t="s">
        <v>6221</v>
      </c>
      <c r="P56" s="6939" t="s">
        <v>3766</v>
      </c>
      <c r="Q56" s="6954"/>
      <c r="R56" s="6956" t="s">
        <v>5728</v>
      </c>
      <c r="S56" s="6960"/>
      <c r="T56" s="6961"/>
      <c r="U56" s="6946" t="s">
        <v>6048</v>
      </c>
      <c r="V56" s="6960" t="s">
        <v>5730</v>
      </c>
      <c r="W56" s="6960"/>
      <c r="X56" s="6960"/>
      <c r="Y56" s="6956" t="s">
        <v>5731</v>
      </c>
      <c r="Z56" s="6939" t="s">
        <v>5732</v>
      </c>
      <c r="AA56" s="6939" t="s">
        <v>5733</v>
      </c>
      <c r="AB56" s="6954"/>
      <c r="AC56" s="6954"/>
      <c r="AD56" s="6954"/>
      <c r="AE56" s="6941" t="s">
        <v>2792</v>
      </c>
      <c r="AF56" s="6943" t="s">
        <v>5734</v>
      </c>
    </row>
    <row r="57" spans="1:32" s="5197" customFormat="1" ht="20">
      <c r="A57" s="6945"/>
      <c r="B57" s="7001"/>
      <c r="C57" s="6947"/>
      <c r="D57" s="6948"/>
      <c r="E57" s="6948"/>
      <c r="F57" s="6957"/>
      <c r="G57" s="6948"/>
      <c r="H57" s="6948"/>
      <c r="I57" s="6947"/>
      <c r="J57" s="6959"/>
      <c r="K57" s="6959"/>
      <c r="L57" s="6948"/>
      <c r="M57" s="6948"/>
      <c r="N57" s="4968"/>
      <c r="O57" s="6948"/>
      <c r="P57" s="5199" t="s">
        <v>5735</v>
      </c>
      <c r="Q57" s="5200" t="s">
        <v>5736</v>
      </c>
      <c r="R57" s="6962"/>
      <c r="S57" s="6963"/>
      <c r="T57" s="6964"/>
      <c r="U57" s="6948"/>
      <c r="V57" s="6963"/>
      <c r="W57" s="6963"/>
      <c r="X57" s="6963"/>
      <c r="Y57" s="6940"/>
      <c r="Z57" s="6940"/>
      <c r="AA57" s="6940"/>
      <c r="AB57" s="6955"/>
      <c r="AC57" s="6955"/>
      <c r="AD57" s="6955"/>
      <c r="AE57" s="6942"/>
      <c r="AF57" s="6943"/>
    </row>
    <row r="58" spans="1:32" ht="33.75" customHeight="1">
      <c r="A58" s="5201" t="s">
        <v>5737</v>
      </c>
      <c r="B58" s="5443">
        <v>46305</v>
      </c>
      <c r="C58" s="5444">
        <v>46307</v>
      </c>
      <c r="D58" s="5429">
        <f>IF(_xlfn.DAYS(C58,B58)=0,"1",_xlfn.DAYS(C58,B58))</f>
        <v>2</v>
      </c>
      <c r="E58" s="5444">
        <v>46319</v>
      </c>
      <c r="F58" s="5429">
        <f>IF(_xlfn.DAYS(E58,C58)=0,"1",_xlfn.DAYS(E58,C58))+1</f>
        <v>13</v>
      </c>
      <c r="G58" s="5444">
        <v>46321</v>
      </c>
      <c r="H58" s="5429">
        <f>IF(_xlfn.DAYS(G58,E58)=0,"1",_xlfn.DAYS(G58,E58))-1</f>
        <v>1</v>
      </c>
      <c r="I58" s="5203" t="s">
        <v>5738</v>
      </c>
      <c r="J58" s="5431">
        <v>100</v>
      </c>
      <c r="K58" s="5205">
        <v>90</v>
      </c>
      <c r="L58" s="5431">
        <v>9000</v>
      </c>
      <c r="M58" s="5431">
        <v>10000</v>
      </c>
      <c r="N58" s="4969"/>
      <c r="O58" s="5431">
        <v>8000</v>
      </c>
      <c r="P58" s="5207">
        <f>SUM(D58,F58,H58)*K58</f>
        <v>1440</v>
      </c>
      <c r="Q58" s="5431">
        <f>(D58*L58+F58*M58+H58*O58)*K58</f>
        <v>14040000</v>
      </c>
      <c r="R58" s="5206">
        <v>21</v>
      </c>
      <c r="S58" s="5209" t="s">
        <v>5739</v>
      </c>
      <c r="T58" s="5206">
        <v>21</v>
      </c>
      <c r="U58" s="5211">
        <v>1</v>
      </c>
      <c r="V58" s="5204">
        <v>154</v>
      </c>
      <c r="W58" s="5209" t="s">
        <v>4521</v>
      </c>
      <c r="X58" s="5206">
        <v>203</v>
      </c>
      <c r="Y58" s="5204">
        <v>1</v>
      </c>
      <c r="Z58" s="5204" t="s">
        <v>5740</v>
      </c>
      <c r="AA58" s="5212" t="s">
        <v>5035</v>
      </c>
      <c r="AB58" s="5204" t="s">
        <v>2830</v>
      </c>
      <c r="AC58" s="5212" t="s">
        <v>5050</v>
      </c>
      <c r="AD58" s="5204" t="s">
        <v>5741</v>
      </c>
      <c r="AE58" s="5213"/>
      <c r="AF58" s="5214"/>
    </row>
    <row r="59" spans="1:32" ht="33.75" customHeight="1">
      <c r="A59" s="4828">
        <v>1</v>
      </c>
      <c r="B59" s="4816">
        <v>46304</v>
      </c>
      <c r="C59" s="4816">
        <v>46306</v>
      </c>
      <c r="D59" s="5429">
        <f t="shared" ref="D59:D69" si="14">IF(_xlfn.DAYS(C59,B59)=0,"1",_xlfn.DAYS(C59,B59))</f>
        <v>2</v>
      </c>
      <c r="E59" s="4816">
        <v>46320</v>
      </c>
      <c r="F59" s="4830">
        <f t="shared" ref="F59:F69" si="15">IF(_xlfn.DAYS(E59,C59)=0,"1",_xlfn.DAYS(E59,C59))+1</f>
        <v>15</v>
      </c>
      <c r="G59" s="4816">
        <v>46322</v>
      </c>
      <c r="H59" s="5429">
        <f t="shared" ref="H59:H73" si="16">IF(_xlfn.DAYS(G59,E59)=0,"1",_xlfn.DAYS(G59,E59))-1</f>
        <v>1</v>
      </c>
      <c r="I59" s="4819" t="s">
        <v>5069</v>
      </c>
      <c r="J59" s="5218">
        <v>35</v>
      </c>
      <c r="K59" s="5432">
        <v>5</v>
      </c>
      <c r="L59" s="5433">
        <v>26000</v>
      </c>
      <c r="M59" s="5433">
        <v>30600</v>
      </c>
      <c r="N59" s="4971">
        <f>M59*K59</f>
        <v>153000</v>
      </c>
      <c r="O59" s="5433">
        <v>26000</v>
      </c>
      <c r="P59" s="5207">
        <f t="shared" ref="P59:P72" si="17">SUM(D59,F59,H59)*K59</f>
        <v>90</v>
      </c>
      <c r="Q59" s="5431">
        <f>(D59*L59+F59*M59+H59*O59)*K59</f>
        <v>2685000</v>
      </c>
      <c r="R59" s="5249">
        <v>22.6</v>
      </c>
      <c r="S59" s="5241" t="s">
        <v>5742</v>
      </c>
      <c r="T59" s="5249">
        <v>22.6</v>
      </c>
      <c r="U59" s="5250">
        <v>2</v>
      </c>
      <c r="V59" s="5097">
        <v>110</v>
      </c>
      <c r="W59" s="5241" t="s">
        <v>2688</v>
      </c>
      <c r="X59" s="5249">
        <v>200</v>
      </c>
      <c r="Y59" s="5097">
        <v>2</v>
      </c>
      <c r="Z59" s="5097" t="s">
        <v>5743</v>
      </c>
      <c r="AA59" s="5243" t="s">
        <v>5035</v>
      </c>
      <c r="AB59" s="4820" t="s">
        <v>5741</v>
      </c>
      <c r="AC59" s="5243" t="s">
        <v>5050</v>
      </c>
      <c r="AD59" s="4820" t="s">
        <v>5741</v>
      </c>
      <c r="AE59" s="5220"/>
      <c r="AF59" s="5214">
        <f t="shared" ref="AF59:AF73" si="18">U59*K59</f>
        <v>10</v>
      </c>
    </row>
    <row r="60" spans="1:32" ht="33.75" customHeight="1">
      <c r="A60" s="4828">
        <v>2</v>
      </c>
      <c r="B60" s="4816">
        <v>46304</v>
      </c>
      <c r="C60" s="4816">
        <v>46306</v>
      </c>
      <c r="D60" s="5429">
        <f t="shared" si="14"/>
        <v>2</v>
      </c>
      <c r="E60" s="4816">
        <v>46320</v>
      </c>
      <c r="F60" s="4830">
        <f>IF(_xlfn.DAYS(E60,C60)=0,"1",_xlfn.DAYS(E60,C60))+1</f>
        <v>15</v>
      </c>
      <c r="G60" s="4816">
        <v>46322</v>
      </c>
      <c r="H60" s="5429">
        <f t="shared" si="16"/>
        <v>1</v>
      </c>
      <c r="I60" s="4819" t="s">
        <v>5106</v>
      </c>
      <c r="J60" s="5218">
        <v>55</v>
      </c>
      <c r="K60" s="5432">
        <v>0</v>
      </c>
      <c r="L60" s="5433">
        <v>16800</v>
      </c>
      <c r="M60" s="5433">
        <v>19100</v>
      </c>
      <c r="N60" s="4971">
        <f t="shared" ref="N60:N69" si="19">M60*K60</f>
        <v>0</v>
      </c>
      <c r="O60" s="5433">
        <v>16800</v>
      </c>
      <c r="P60" s="5207">
        <f t="shared" si="17"/>
        <v>0</v>
      </c>
      <c r="Q60" s="5431">
        <f t="shared" ref="Q60:Q73" si="20">(D60*L60+F60*M60+H60*O60)*K60</f>
        <v>0</v>
      </c>
      <c r="R60" s="5249">
        <v>22.6</v>
      </c>
      <c r="S60" s="5241" t="s">
        <v>5742</v>
      </c>
      <c r="T60" s="5249">
        <v>22.6</v>
      </c>
      <c r="U60" s="5250">
        <v>1</v>
      </c>
      <c r="V60" s="5097">
        <v>140</v>
      </c>
      <c r="W60" s="5241" t="s">
        <v>2688</v>
      </c>
      <c r="X60" s="5249">
        <v>200</v>
      </c>
      <c r="Y60" s="5097">
        <v>1</v>
      </c>
      <c r="Z60" s="5097" t="s">
        <v>5743</v>
      </c>
      <c r="AA60" s="5243" t="s">
        <v>5035</v>
      </c>
      <c r="AB60" s="4820" t="s">
        <v>5741</v>
      </c>
      <c r="AC60" s="5243" t="s">
        <v>5050</v>
      </c>
      <c r="AD60" s="4820" t="s">
        <v>5741</v>
      </c>
      <c r="AE60" s="5220"/>
      <c r="AF60" s="5214">
        <f t="shared" si="18"/>
        <v>0</v>
      </c>
    </row>
    <row r="61" spans="1:32" ht="33.75" customHeight="1">
      <c r="A61" s="4828">
        <v>3</v>
      </c>
      <c r="B61" s="4816">
        <v>46304</v>
      </c>
      <c r="C61" s="4816">
        <v>46306</v>
      </c>
      <c r="D61" s="5429">
        <f t="shared" si="14"/>
        <v>2</v>
      </c>
      <c r="E61" s="4816">
        <v>46320</v>
      </c>
      <c r="F61" s="4830">
        <f t="shared" ref="F61:F63" si="21">IF(_xlfn.DAYS(E61,C61)=0,"1",_xlfn.DAYS(E61,C61))+1</f>
        <v>15</v>
      </c>
      <c r="G61" s="4816">
        <v>46322</v>
      </c>
      <c r="H61" s="5429">
        <f t="shared" si="16"/>
        <v>1</v>
      </c>
      <c r="I61" s="4819" t="s">
        <v>5075</v>
      </c>
      <c r="J61" s="5218">
        <v>120</v>
      </c>
      <c r="K61" s="5432">
        <v>0</v>
      </c>
      <c r="L61" s="5433">
        <v>30600</v>
      </c>
      <c r="M61" s="5433">
        <v>35200</v>
      </c>
      <c r="N61" s="4971">
        <f t="shared" si="19"/>
        <v>0</v>
      </c>
      <c r="O61" s="5433">
        <v>30600</v>
      </c>
      <c r="P61" s="5207">
        <f t="shared" si="17"/>
        <v>0</v>
      </c>
      <c r="Q61" s="5431">
        <f t="shared" si="20"/>
        <v>0</v>
      </c>
      <c r="R61" s="5249">
        <v>31.5</v>
      </c>
      <c r="S61" s="5241" t="s">
        <v>5742</v>
      </c>
      <c r="T61" s="5249">
        <v>31.5</v>
      </c>
      <c r="U61" s="5250">
        <v>2</v>
      </c>
      <c r="V61" s="5097">
        <v>140</v>
      </c>
      <c r="W61" s="5241" t="s">
        <v>2688</v>
      </c>
      <c r="X61" s="5249">
        <v>200</v>
      </c>
      <c r="Y61" s="5097">
        <v>2</v>
      </c>
      <c r="Z61" s="5097" t="s">
        <v>5743</v>
      </c>
      <c r="AA61" s="5243" t="s">
        <v>5035</v>
      </c>
      <c r="AB61" s="4820" t="s">
        <v>5741</v>
      </c>
      <c r="AC61" s="5243" t="s">
        <v>5050</v>
      </c>
      <c r="AD61" s="4820" t="s">
        <v>5741</v>
      </c>
      <c r="AE61" s="5220"/>
      <c r="AF61" s="5214">
        <f t="shared" si="18"/>
        <v>0</v>
      </c>
    </row>
    <row r="62" spans="1:32" ht="33.75" customHeight="1">
      <c r="A62" s="4828">
        <v>4</v>
      </c>
      <c r="B62" s="4816">
        <v>46304</v>
      </c>
      <c r="C62" s="4816">
        <v>46306</v>
      </c>
      <c r="D62" s="5429">
        <f t="shared" si="14"/>
        <v>2</v>
      </c>
      <c r="E62" s="4816">
        <v>46320</v>
      </c>
      <c r="F62" s="4830">
        <f t="shared" si="21"/>
        <v>15</v>
      </c>
      <c r="G62" s="4816">
        <v>46322</v>
      </c>
      <c r="H62" s="5429">
        <f t="shared" si="16"/>
        <v>1</v>
      </c>
      <c r="I62" s="4819" t="s">
        <v>5074</v>
      </c>
      <c r="J62" s="5218">
        <v>30</v>
      </c>
      <c r="K62" s="5432">
        <v>20</v>
      </c>
      <c r="L62" s="5433">
        <v>17700</v>
      </c>
      <c r="M62" s="5433">
        <v>20000</v>
      </c>
      <c r="N62" s="4971">
        <f t="shared" si="19"/>
        <v>400000</v>
      </c>
      <c r="O62" s="5433">
        <v>17700</v>
      </c>
      <c r="P62" s="5207">
        <f t="shared" si="17"/>
        <v>360</v>
      </c>
      <c r="Q62" s="5431">
        <f t="shared" si="20"/>
        <v>7062000</v>
      </c>
      <c r="R62" s="5249">
        <v>22.6</v>
      </c>
      <c r="S62" s="5241" t="s">
        <v>5742</v>
      </c>
      <c r="T62" s="5249">
        <v>22.6</v>
      </c>
      <c r="U62" s="5250">
        <v>1</v>
      </c>
      <c r="V62" s="5097">
        <v>140</v>
      </c>
      <c r="W62" s="5241" t="s">
        <v>2688</v>
      </c>
      <c r="X62" s="5249">
        <v>200</v>
      </c>
      <c r="Y62" s="5097">
        <v>1</v>
      </c>
      <c r="Z62" s="5097" t="s">
        <v>5743</v>
      </c>
      <c r="AA62" s="5243" t="s">
        <v>5035</v>
      </c>
      <c r="AB62" s="4820" t="s">
        <v>5741</v>
      </c>
      <c r="AC62" s="5243" t="s">
        <v>5050</v>
      </c>
      <c r="AD62" s="4820" t="s">
        <v>5741</v>
      </c>
      <c r="AE62" s="5220"/>
      <c r="AF62" s="5214">
        <f t="shared" si="18"/>
        <v>20</v>
      </c>
    </row>
    <row r="63" spans="1:32" ht="33.75" customHeight="1">
      <c r="A63" s="4828">
        <v>5</v>
      </c>
      <c r="B63" s="4816">
        <v>46304</v>
      </c>
      <c r="C63" s="4816">
        <v>46306</v>
      </c>
      <c r="D63" s="5429">
        <f t="shared" si="14"/>
        <v>2</v>
      </c>
      <c r="E63" s="4816">
        <v>46320</v>
      </c>
      <c r="F63" s="4830">
        <f t="shared" si="21"/>
        <v>15</v>
      </c>
      <c r="G63" s="4816">
        <v>46322</v>
      </c>
      <c r="H63" s="5429">
        <f t="shared" si="16"/>
        <v>1</v>
      </c>
      <c r="I63" s="4819" t="s">
        <v>5092</v>
      </c>
      <c r="J63" s="5218">
        <v>60</v>
      </c>
      <c r="K63" s="5432">
        <v>40</v>
      </c>
      <c r="L63" s="5433">
        <v>34400</v>
      </c>
      <c r="M63" s="5433">
        <v>39000</v>
      </c>
      <c r="N63" s="4971">
        <f t="shared" si="19"/>
        <v>1560000</v>
      </c>
      <c r="O63" s="5433">
        <v>34400</v>
      </c>
      <c r="P63" s="5207">
        <f t="shared" si="17"/>
        <v>720</v>
      </c>
      <c r="Q63" s="5431">
        <f t="shared" si="20"/>
        <v>27528000</v>
      </c>
      <c r="R63" s="5249">
        <v>31.5</v>
      </c>
      <c r="S63" s="5241" t="s">
        <v>5742</v>
      </c>
      <c r="T63" s="5249">
        <v>31.5</v>
      </c>
      <c r="U63" s="5250">
        <v>2</v>
      </c>
      <c r="V63" s="5097">
        <v>140</v>
      </c>
      <c r="W63" s="5241" t="s">
        <v>2688</v>
      </c>
      <c r="X63" s="5249">
        <v>200</v>
      </c>
      <c r="Y63" s="5097">
        <v>2</v>
      </c>
      <c r="Z63" s="5097" t="s">
        <v>5743</v>
      </c>
      <c r="AA63" s="5243" t="s">
        <v>5035</v>
      </c>
      <c r="AB63" s="4820" t="s">
        <v>5741</v>
      </c>
      <c r="AC63" s="5243" t="s">
        <v>5050</v>
      </c>
      <c r="AD63" s="4820" t="s">
        <v>5741</v>
      </c>
      <c r="AE63" s="5220"/>
      <c r="AF63" s="5214">
        <f t="shared" si="18"/>
        <v>80</v>
      </c>
    </row>
    <row r="64" spans="1:32" ht="33.75" customHeight="1">
      <c r="A64" s="4828">
        <v>6</v>
      </c>
      <c r="B64" s="4816">
        <v>46304</v>
      </c>
      <c r="C64" s="4816">
        <v>46306</v>
      </c>
      <c r="D64" s="5429">
        <f t="shared" si="14"/>
        <v>2</v>
      </c>
      <c r="E64" s="4816">
        <v>46320</v>
      </c>
      <c r="F64" s="4830">
        <f>IF(_xlfn.DAYS(E64,C64)=0,"1",_xlfn.DAYS(E64,C64))+1</f>
        <v>15</v>
      </c>
      <c r="G64" s="4816">
        <v>46322</v>
      </c>
      <c r="H64" s="5429">
        <f t="shared" si="16"/>
        <v>1</v>
      </c>
      <c r="I64" s="4819" t="s">
        <v>5073</v>
      </c>
      <c r="J64" s="5218">
        <v>11</v>
      </c>
      <c r="K64" s="5432">
        <v>4</v>
      </c>
      <c r="L64" s="5433">
        <v>18600</v>
      </c>
      <c r="M64" s="5433">
        <v>20900</v>
      </c>
      <c r="N64" s="4971">
        <f t="shared" si="19"/>
        <v>83600</v>
      </c>
      <c r="O64" s="5433">
        <v>18600</v>
      </c>
      <c r="P64" s="5207">
        <f t="shared" si="17"/>
        <v>72</v>
      </c>
      <c r="Q64" s="5431">
        <f t="shared" si="20"/>
        <v>1477200</v>
      </c>
      <c r="R64" s="5249">
        <v>22.6</v>
      </c>
      <c r="S64" s="5241" t="s">
        <v>5742</v>
      </c>
      <c r="T64" s="5249">
        <v>22.6</v>
      </c>
      <c r="U64" s="5250">
        <v>1</v>
      </c>
      <c r="V64" s="5097">
        <v>160</v>
      </c>
      <c r="W64" s="5241" t="s">
        <v>2688</v>
      </c>
      <c r="X64" s="5249">
        <v>200</v>
      </c>
      <c r="Y64" s="5097">
        <v>1</v>
      </c>
      <c r="Z64" s="5097" t="s">
        <v>5743</v>
      </c>
      <c r="AA64" s="5243" t="s">
        <v>5035</v>
      </c>
      <c r="AB64" s="4820" t="s">
        <v>5741</v>
      </c>
      <c r="AC64" s="5243" t="s">
        <v>5050</v>
      </c>
      <c r="AD64" s="4820" t="s">
        <v>5741</v>
      </c>
      <c r="AE64" s="5220"/>
      <c r="AF64" s="5214">
        <f t="shared" si="18"/>
        <v>4</v>
      </c>
    </row>
    <row r="65" spans="1:32" ht="33.75" customHeight="1">
      <c r="A65" s="4828">
        <v>7</v>
      </c>
      <c r="B65" s="4816">
        <v>46304</v>
      </c>
      <c r="C65" s="4816">
        <v>46306</v>
      </c>
      <c r="D65" s="5429">
        <f t="shared" si="14"/>
        <v>2</v>
      </c>
      <c r="E65" s="4816">
        <v>46320</v>
      </c>
      <c r="F65" s="4830">
        <f t="shared" si="15"/>
        <v>15</v>
      </c>
      <c r="G65" s="4816">
        <v>46322</v>
      </c>
      <c r="H65" s="5429">
        <f t="shared" si="16"/>
        <v>1</v>
      </c>
      <c r="I65" s="4819" t="s">
        <v>5145</v>
      </c>
      <c r="J65" s="5218">
        <v>14</v>
      </c>
      <c r="K65" s="5432"/>
      <c r="L65" s="5433"/>
      <c r="M65" s="5433"/>
      <c r="N65" s="4971">
        <f t="shared" si="19"/>
        <v>0</v>
      </c>
      <c r="O65" s="5433"/>
      <c r="P65" s="5207">
        <f t="shared" si="17"/>
        <v>0</v>
      </c>
      <c r="Q65" s="5431">
        <f t="shared" si="20"/>
        <v>0</v>
      </c>
      <c r="R65" s="5249">
        <v>60.4</v>
      </c>
      <c r="S65" s="5241" t="s">
        <v>5742</v>
      </c>
      <c r="T65" s="5249">
        <v>60.4</v>
      </c>
      <c r="U65" s="5250">
        <v>2</v>
      </c>
      <c r="V65" s="5097">
        <v>140</v>
      </c>
      <c r="W65" s="5241" t="s">
        <v>2688</v>
      </c>
      <c r="X65" s="5249">
        <v>200</v>
      </c>
      <c r="Y65" s="5097">
        <v>2</v>
      </c>
      <c r="Z65" s="5097" t="s">
        <v>5743</v>
      </c>
      <c r="AA65" s="5243" t="s">
        <v>5035</v>
      </c>
      <c r="AB65" s="4820" t="s">
        <v>5741</v>
      </c>
      <c r="AC65" s="5243" t="s">
        <v>5050</v>
      </c>
      <c r="AD65" s="4820" t="s">
        <v>5741</v>
      </c>
      <c r="AE65" s="5251"/>
      <c r="AF65" s="5214">
        <f t="shared" si="18"/>
        <v>0</v>
      </c>
    </row>
    <row r="66" spans="1:32" ht="33.75" customHeight="1">
      <c r="A66" s="4828">
        <v>8</v>
      </c>
      <c r="B66" s="4816">
        <v>46304</v>
      </c>
      <c r="C66" s="4816">
        <v>46306</v>
      </c>
      <c r="D66" s="5429">
        <f t="shared" si="14"/>
        <v>2</v>
      </c>
      <c r="E66" s="4816">
        <v>46320</v>
      </c>
      <c r="F66" s="4830">
        <f t="shared" si="15"/>
        <v>15</v>
      </c>
      <c r="G66" s="4816">
        <v>46322</v>
      </c>
      <c r="H66" s="5429">
        <f t="shared" si="16"/>
        <v>1</v>
      </c>
      <c r="I66" s="4819" t="s">
        <v>5146</v>
      </c>
      <c r="J66" s="5218">
        <v>9</v>
      </c>
      <c r="K66" s="5432"/>
      <c r="L66" s="5433"/>
      <c r="M66" s="5433"/>
      <c r="N66" s="4971">
        <f t="shared" si="19"/>
        <v>0</v>
      </c>
      <c r="O66" s="5433"/>
      <c r="P66" s="5207">
        <f t="shared" si="17"/>
        <v>0</v>
      </c>
      <c r="Q66" s="5431">
        <f t="shared" si="20"/>
        <v>0</v>
      </c>
      <c r="R66" s="5249">
        <v>45.1</v>
      </c>
      <c r="S66" s="5241" t="s">
        <v>5742</v>
      </c>
      <c r="T66" s="5249">
        <v>45.1</v>
      </c>
      <c r="U66" s="5250">
        <v>2</v>
      </c>
      <c r="V66" s="5097">
        <v>200</v>
      </c>
      <c r="W66" s="5241" t="s">
        <v>2688</v>
      </c>
      <c r="X66" s="5249">
        <v>200</v>
      </c>
      <c r="Y66" s="5097">
        <v>1</v>
      </c>
      <c r="Z66" s="5097" t="s">
        <v>5743</v>
      </c>
      <c r="AA66" s="5243" t="s">
        <v>5035</v>
      </c>
      <c r="AB66" s="4820" t="s">
        <v>5741</v>
      </c>
      <c r="AC66" s="5243" t="s">
        <v>5050</v>
      </c>
      <c r="AD66" s="4820" t="s">
        <v>5741</v>
      </c>
      <c r="AE66" s="5251"/>
      <c r="AF66" s="5214">
        <f t="shared" si="18"/>
        <v>0</v>
      </c>
    </row>
    <row r="67" spans="1:32" ht="33.75" customHeight="1">
      <c r="A67" s="4828">
        <v>9</v>
      </c>
      <c r="B67" s="4816">
        <v>46304</v>
      </c>
      <c r="C67" s="4816">
        <v>46306</v>
      </c>
      <c r="D67" s="5429">
        <f t="shared" si="14"/>
        <v>2</v>
      </c>
      <c r="E67" s="4816">
        <v>46320</v>
      </c>
      <c r="F67" s="4830">
        <f t="shared" si="15"/>
        <v>15</v>
      </c>
      <c r="G67" s="4816">
        <v>46322</v>
      </c>
      <c r="H67" s="5429">
        <f t="shared" si="16"/>
        <v>1</v>
      </c>
      <c r="I67" s="4819" t="s">
        <v>5045</v>
      </c>
      <c r="J67" s="5218">
        <v>3</v>
      </c>
      <c r="K67" s="5432"/>
      <c r="L67" s="5433"/>
      <c r="M67" s="5433"/>
      <c r="N67" s="4971">
        <f t="shared" si="19"/>
        <v>0</v>
      </c>
      <c r="O67" s="5433"/>
      <c r="P67" s="5207">
        <f t="shared" si="17"/>
        <v>0</v>
      </c>
      <c r="Q67" s="5431">
        <f t="shared" si="20"/>
        <v>0</v>
      </c>
      <c r="R67" s="5249">
        <v>46.8</v>
      </c>
      <c r="S67" s="5241" t="s">
        <v>5742</v>
      </c>
      <c r="T67" s="5249">
        <v>46.8</v>
      </c>
      <c r="U67" s="5250">
        <v>4</v>
      </c>
      <c r="V67" s="5097" t="s">
        <v>2602</v>
      </c>
      <c r="W67" s="5241" t="s">
        <v>2688</v>
      </c>
      <c r="X67" s="5249" t="s">
        <v>2602</v>
      </c>
      <c r="Y67" s="5097" t="s">
        <v>5833</v>
      </c>
      <c r="Z67" s="5097" t="s">
        <v>5743</v>
      </c>
      <c r="AA67" s="5243" t="s">
        <v>5035</v>
      </c>
      <c r="AB67" s="4820" t="s">
        <v>5741</v>
      </c>
      <c r="AC67" s="5243" t="s">
        <v>5050</v>
      </c>
      <c r="AD67" s="4820" t="s">
        <v>5741</v>
      </c>
      <c r="AE67" s="5251"/>
      <c r="AF67" s="5214">
        <f t="shared" si="18"/>
        <v>0</v>
      </c>
    </row>
    <row r="68" spans="1:32" ht="33.75" customHeight="1">
      <c r="A68" s="4828">
        <v>10</v>
      </c>
      <c r="B68" s="4816">
        <v>46304</v>
      </c>
      <c r="C68" s="4816">
        <v>46306</v>
      </c>
      <c r="D68" s="5429">
        <f t="shared" si="14"/>
        <v>2</v>
      </c>
      <c r="E68" s="4816">
        <v>46320</v>
      </c>
      <c r="F68" s="4830">
        <f t="shared" si="15"/>
        <v>15</v>
      </c>
      <c r="G68" s="4816">
        <v>46322</v>
      </c>
      <c r="H68" s="5429">
        <f t="shared" si="16"/>
        <v>1</v>
      </c>
      <c r="I68" s="4819" t="s">
        <v>5071</v>
      </c>
      <c r="J68" s="5218">
        <v>5</v>
      </c>
      <c r="K68" s="5432">
        <v>5</v>
      </c>
      <c r="L68" s="5433">
        <v>30600</v>
      </c>
      <c r="M68" s="5433">
        <v>35200</v>
      </c>
      <c r="N68" s="4971">
        <f t="shared" si="19"/>
        <v>176000</v>
      </c>
      <c r="O68" s="5433">
        <v>30600</v>
      </c>
      <c r="P68" s="5207">
        <f t="shared" si="17"/>
        <v>90</v>
      </c>
      <c r="Q68" s="5431">
        <f t="shared" si="20"/>
        <v>3099000</v>
      </c>
      <c r="R68" s="5249">
        <v>31.5</v>
      </c>
      <c r="S68" s="5241" t="s">
        <v>5742</v>
      </c>
      <c r="T68" s="5249">
        <v>31.5</v>
      </c>
      <c r="U68" s="5250">
        <v>2</v>
      </c>
      <c r="V68" s="5097">
        <v>140</v>
      </c>
      <c r="W68" s="5241" t="s">
        <v>2688</v>
      </c>
      <c r="X68" s="5249">
        <v>200</v>
      </c>
      <c r="Y68" s="5097">
        <v>2</v>
      </c>
      <c r="Z68" s="5097" t="s">
        <v>5743</v>
      </c>
      <c r="AA68" s="5243" t="s">
        <v>5035</v>
      </c>
      <c r="AB68" s="4820" t="s">
        <v>5741</v>
      </c>
      <c r="AC68" s="5243" t="s">
        <v>5050</v>
      </c>
      <c r="AD68" s="4820" t="s">
        <v>5741</v>
      </c>
      <c r="AE68" s="5251"/>
      <c r="AF68" s="5214">
        <f t="shared" si="18"/>
        <v>10</v>
      </c>
    </row>
    <row r="69" spans="1:32" ht="33.75" customHeight="1">
      <c r="A69" s="4828">
        <v>11</v>
      </c>
      <c r="B69" s="4816">
        <v>46304</v>
      </c>
      <c r="C69" s="4816">
        <v>46306</v>
      </c>
      <c r="D69" s="5429">
        <f t="shared" si="14"/>
        <v>2</v>
      </c>
      <c r="E69" s="4816">
        <v>46320</v>
      </c>
      <c r="F69" s="4830">
        <f t="shared" si="15"/>
        <v>15</v>
      </c>
      <c r="G69" s="4816">
        <v>46322</v>
      </c>
      <c r="H69" s="5429">
        <f t="shared" si="16"/>
        <v>1</v>
      </c>
      <c r="I69" s="4819" t="s">
        <v>6223</v>
      </c>
      <c r="J69" s="5218">
        <v>35</v>
      </c>
      <c r="K69" s="5432">
        <v>5</v>
      </c>
      <c r="L69" s="5433">
        <v>30600</v>
      </c>
      <c r="M69" s="5433">
        <v>35200</v>
      </c>
      <c r="N69" s="4971">
        <f t="shared" si="19"/>
        <v>176000</v>
      </c>
      <c r="O69" s="5433">
        <v>30600</v>
      </c>
      <c r="P69" s="5207">
        <f t="shared" si="17"/>
        <v>90</v>
      </c>
      <c r="Q69" s="5431">
        <f t="shared" si="20"/>
        <v>3099000</v>
      </c>
      <c r="R69" s="5249">
        <v>32</v>
      </c>
      <c r="S69" s="5241" t="s">
        <v>5742</v>
      </c>
      <c r="T69" s="5249">
        <v>32</v>
      </c>
      <c r="U69" s="5250">
        <v>2</v>
      </c>
      <c r="V69" s="5097">
        <v>115</v>
      </c>
      <c r="W69" s="5241" t="s">
        <v>4521</v>
      </c>
      <c r="X69" s="5249">
        <v>200</v>
      </c>
      <c r="Y69" s="5097">
        <v>2</v>
      </c>
      <c r="Z69" s="5097" t="s">
        <v>5743</v>
      </c>
      <c r="AA69" s="5243" t="s">
        <v>5035</v>
      </c>
      <c r="AB69" s="4820" t="s">
        <v>5741</v>
      </c>
      <c r="AC69" s="5243" t="s">
        <v>5050</v>
      </c>
      <c r="AD69" s="4820" t="s">
        <v>5741</v>
      </c>
      <c r="AE69" s="5251"/>
      <c r="AF69" s="5214">
        <f t="shared" si="18"/>
        <v>10</v>
      </c>
    </row>
    <row r="70" spans="1:32" ht="33.75" customHeight="1">
      <c r="A70" s="4828">
        <v>12</v>
      </c>
      <c r="B70" s="4816"/>
      <c r="C70" s="4816"/>
      <c r="D70" s="5429" t="str">
        <f t="shared" ref="D70:D73" si="22">IF(_xlfn.DAYS(C70,B70)=0,"1",_xlfn.DAYS(C70,B70))</f>
        <v>1</v>
      </c>
      <c r="E70" s="4816"/>
      <c r="F70" s="5429">
        <f t="shared" ref="F70:F73" si="23">IF(_xlfn.DAYS(E70,C70)=0,"1",_xlfn.DAYS(E70,C70))+1</f>
        <v>2</v>
      </c>
      <c r="G70" s="4816"/>
      <c r="H70" s="5429">
        <f t="shared" si="16"/>
        <v>0</v>
      </c>
      <c r="I70" s="4819"/>
      <c r="J70" s="4820"/>
      <c r="K70" s="4821"/>
      <c r="L70" s="4820"/>
      <c r="M70" s="4820"/>
      <c r="N70" s="4820"/>
      <c r="O70" s="4820"/>
      <c r="P70" s="5207">
        <f t="shared" si="17"/>
        <v>0</v>
      </c>
      <c r="Q70" s="5431">
        <f t="shared" si="20"/>
        <v>0</v>
      </c>
      <c r="R70" s="5249"/>
      <c r="S70" s="5241" t="s">
        <v>5742</v>
      </c>
      <c r="T70" s="5249"/>
      <c r="U70" s="5250"/>
      <c r="V70" s="5097"/>
      <c r="W70" s="5241" t="s">
        <v>4521</v>
      </c>
      <c r="X70" s="5249"/>
      <c r="Y70" s="5097"/>
      <c r="Z70" s="5097"/>
      <c r="AA70" s="5243" t="s">
        <v>5035</v>
      </c>
      <c r="AB70" s="5097"/>
      <c r="AC70" s="5243" t="s">
        <v>5050</v>
      </c>
      <c r="AD70" s="5097"/>
      <c r="AE70" s="5251"/>
      <c r="AF70" s="5214">
        <f t="shared" si="18"/>
        <v>0</v>
      </c>
    </row>
    <row r="71" spans="1:32" ht="33.75" customHeight="1">
      <c r="A71" s="4828">
        <v>13</v>
      </c>
      <c r="B71" s="4816"/>
      <c r="C71" s="4816"/>
      <c r="D71" s="5429" t="str">
        <f t="shared" si="22"/>
        <v>1</v>
      </c>
      <c r="E71" s="4816"/>
      <c r="F71" s="5429">
        <f t="shared" si="23"/>
        <v>2</v>
      </c>
      <c r="G71" s="4816"/>
      <c r="H71" s="5429">
        <f t="shared" si="16"/>
        <v>0</v>
      </c>
      <c r="I71" s="4819"/>
      <c r="J71" s="4820"/>
      <c r="K71" s="4821"/>
      <c r="L71" s="4820"/>
      <c r="M71" s="4820"/>
      <c r="N71" s="4820"/>
      <c r="O71" s="4820"/>
      <c r="P71" s="5207">
        <f t="shared" si="17"/>
        <v>0</v>
      </c>
      <c r="Q71" s="5431">
        <f t="shared" si="20"/>
        <v>0</v>
      </c>
      <c r="R71" s="5249"/>
      <c r="S71" s="5241" t="s">
        <v>5742</v>
      </c>
      <c r="T71" s="5249"/>
      <c r="U71" s="5250"/>
      <c r="V71" s="5097"/>
      <c r="W71" s="5241" t="s">
        <v>4521</v>
      </c>
      <c r="X71" s="5249"/>
      <c r="Y71" s="5097"/>
      <c r="Z71" s="5097"/>
      <c r="AA71" s="5243" t="s">
        <v>5035</v>
      </c>
      <c r="AB71" s="5097"/>
      <c r="AC71" s="5243" t="s">
        <v>5050</v>
      </c>
      <c r="AD71" s="5097"/>
      <c r="AE71" s="5251"/>
      <c r="AF71" s="5214">
        <f t="shared" si="18"/>
        <v>0</v>
      </c>
    </row>
    <row r="72" spans="1:32" ht="33.75" customHeight="1">
      <c r="A72" s="4828">
        <v>14</v>
      </c>
      <c r="B72" s="4816"/>
      <c r="C72" s="4816"/>
      <c r="D72" s="5429" t="str">
        <f t="shared" si="22"/>
        <v>1</v>
      </c>
      <c r="E72" s="4816"/>
      <c r="F72" s="5429">
        <f t="shared" si="23"/>
        <v>2</v>
      </c>
      <c r="G72" s="4816"/>
      <c r="H72" s="5429">
        <f t="shared" si="16"/>
        <v>0</v>
      </c>
      <c r="I72" s="4819"/>
      <c r="J72" s="4820"/>
      <c r="K72" s="4821"/>
      <c r="L72" s="4820"/>
      <c r="M72" s="4820"/>
      <c r="N72" s="4820"/>
      <c r="O72" s="4820"/>
      <c r="P72" s="5207">
        <f t="shared" si="17"/>
        <v>0</v>
      </c>
      <c r="Q72" s="5431">
        <f t="shared" si="20"/>
        <v>0</v>
      </c>
      <c r="R72" s="5249"/>
      <c r="S72" s="5241" t="s">
        <v>5742</v>
      </c>
      <c r="T72" s="5249"/>
      <c r="U72" s="5250"/>
      <c r="V72" s="5097"/>
      <c r="W72" s="5241" t="s">
        <v>4521</v>
      </c>
      <c r="X72" s="5249"/>
      <c r="Y72" s="5097"/>
      <c r="Z72" s="5097"/>
      <c r="AA72" s="5243" t="s">
        <v>5035</v>
      </c>
      <c r="AB72" s="5097"/>
      <c r="AC72" s="5243" t="s">
        <v>5050</v>
      </c>
      <c r="AD72" s="5097"/>
      <c r="AE72" s="5251"/>
      <c r="AF72" s="5214">
        <f t="shared" si="18"/>
        <v>0</v>
      </c>
    </row>
    <row r="73" spans="1:32" ht="33.75" customHeight="1" thickBot="1">
      <c r="A73" s="4828">
        <v>15</v>
      </c>
      <c r="B73" s="4816"/>
      <c r="C73" s="4816"/>
      <c r="D73" s="5429" t="str">
        <f t="shared" si="22"/>
        <v>1</v>
      </c>
      <c r="E73" s="4816"/>
      <c r="F73" s="5429">
        <f t="shared" si="23"/>
        <v>2</v>
      </c>
      <c r="G73" s="4816"/>
      <c r="H73" s="5429">
        <f t="shared" si="16"/>
        <v>0</v>
      </c>
      <c r="I73" s="4819"/>
      <c r="J73" s="4820"/>
      <c r="K73" s="4821"/>
      <c r="L73" s="4820"/>
      <c r="M73" s="4820"/>
      <c r="N73" s="4820"/>
      <c r="O73" s="4820"/>
      <c r="P73" s="5207">
        <f>SUM(D73,F73,H73)*K73</f>
        <v>0</v>
      </c>
      <c r="Q73" s="5431">
        <f t="shared" si="20"/>
        <v>0</v>
      </c>
      <c r="R73" s="5249"/>
      <c r="S73" s="5241" t="s">
        <v>5739</v>
      </c>
      <c r="T73" s="5249"/>
      <c r="U73" s="5250"/>
      <c r="V73" s="5097"/>
      <c r="W73" s="5241" t="s">
        <v>4521</v>
      </c>
      <c r="X73" s="5249"/>
      <c r="Y73" s="5097"/>
      <c r="Z73" s="5097"/>
      <c r="AA73" s="5243" t="s">
        <v>5035</v>
      </c>
      <c r="AB73" s="5097"/>
      <c r="AC73" s="5243" t="s">
        <v>5050</v>
      </c>
      <c r="AD73" s="5097"/>
      <c r="AE73" s="5251"/>
      <c r="AF73" s="5214">
        <f t="shared" si="18"/>
        <v>0</v>
      </c>
    </row>
    <row r="74" spans="1:32" ht="33.75" customHeight="1" thickTop="1" thickBot="1">
      <c r="A74" s="4840"/>
      <c r="B74" s="4841"/>
      <c r="C74" s="4841"/>
      <c r="D74" s="4841"/>
      <c r="E74" s="4841"/>
      <c r="F74" s="4842"/>
      <c r="G74" s="4843"/>
      <c r="H74" s="4841"/>
      <c r="I74" s="5252" t="s">
        <v>2432</v>
      </c>
      <c r="J74" s="5253">
        <f>SUM(J59:J73)</f>
        <v>377</v>
      </c>
      <c r="K74" s="5254">
        <f>SUM(K59:K73)</f>
        <v>79</v>
      </c>
      <c r="L74" s="5255"/>
      <c r="M74" s="5255"/>
      <c r="N74" s="5255"/>
      <c r="O74" s="5255"/>
      <c r="P74" s="5253">
        <f>SUM(P59:P73)</f>
        <v>1422</v>
      </c>
      <c r="Q74" s="5253">
        <f>SUM(Q59:Q73)</f>
        <v>44950200</v>
      </c>
      <c r="R74" s="6935"/>
      <c r="S74" s="6935"/>
      <c r="T74" s="6935"/>
      <c r="U74" s="5256"/>
      <c r="V74" s="6936"/>
      <c r="W74" s="6935"/>
      <c r="X74" s="6935"/>
      <c r="Y74" s="5256"/>
      <c r="Z74" s="5256"/>
      <c r="AA74" s="6937"/>
      <c r="AB74" s="6938"/>
      <c r="AC74" s="6937"/>
      <c r="AD74" s="6938"/>
      <c r="AE74" s="5257"/>
      <c r="AF74" s="5214">
        <f>SUM(AF59:AF73)</f>
        <v>134</v>
      </c>
    </row>
    <row r="75" spans="1:32" ht="32.15" customHeight="1" thickBot="1">
      <c r="C75" s="4812"/>
      <c r="D75" s="4812"/>
      <c r="E75" s="4812"/>
      <c r="F75" s="4812"/>
      <c r="G75" s="4812"/>
      <c r="H75" s="4812"/>
      <c r="I75" s="4813"/>
      <c r="J75" s="4814"/>
      <c r="K75" s="4812"/>
      <c r="L75" s="4713" t="s">
        <v>5748</v>
      </c>
      <c r="M75" s="4714">
        <f>SUM(N58:N73)</f>
        <v>2548600</v>
      </c>
      <c r="N75" s="4715"/>
      <c r="O75" s="4715"/>
      <c r="P75" s="4715"/>
      <c r="S75" s="4656"/>
      <c r="W75" s="4656"/>
      <c r="AF75" s="5258"/>
    </row>
    <row r="76" spans="1:32" ht="33.75" customHeight="1">
      <c r="A76" s="6929" t="s">
        <v>5749</v>
      </c>
      <c r="B76" s="6998"/>
      <c r="C76" s="5227">
        <f>P74</f>
        <v>1422</v>
      </c>
      <c r="D76" s="5436"/>
      <c r="F76" s="5437"/>
      <c r="G76" s="4850"/>
      <c r="H76" s="5438"/>
      <c r="I76" s="5229"/>
      <c r="L76" s="4721" t="s">
        <v>5750</v>
      </c>
      <c r="M76" s="4722">
        <f>M75*1.1</f>
        <v>2803460</v>
      </c>
      <c r="P76" s="4656"/>
      <c r="AF76" s="5260"/>
    </row>
    <row r="77" spans="1:32" ht="33.75" customHeight="1">
      <c r="A77" s="6991" t="s">
        <v>5883</v>
      </c>
      <c r="B77" s="6992"/>
      <c r="C77" s="5442">
        <f>Q74</f>
        <v>44950200</v>
      </c>
      <c r="D77" s="5436"/>
      <c r="F77" s="5440"/>
      <c r="G77" s="4852"/>
      <c r="H77" s="5438"/>
      <c r="I77" s="5229"/>
      <c r="P77" s="4656"/>
      <c r="AF77" s="5260"/>
    </row>
    <row r="78" spans="1:32" ht="33.75" customHeight="1" thickBot="1">
      <c r="A78" s="6993" t="s">
        <v>5751</v>
      </c>
      <c r="B78" s="6994"/>
      <c r="C78" s="5441">
        <f>ROUNDDOWN(C77*1.1,0)</f>
        <v>49445220</v>
      </c>
      <c r="D78" s="5438"/>
      <c r="F78" s="5440"/>
      <c r="G78" s="4852"/>
      <c r="H78" s="5438"/>
      <c r="I78" s="5229"/>
      <c r="P78" s="4656"/>
      <c r="AF78" s="5260"/>
    </row>
    <row r="79" spans="1:32" ht="33.75" customHeight="1">
      <c r="A79" s="4729"/>
      <c r="B79" s="4729"/>
      <c r="C79" s="4729"/>
      <c r="D79" s="4729"/>
      <c r="E79" s="4729"/>
      <c r="F79" s="4729"/>
      <c r="G79" s="4726"/>
      <c r="H79" s="4729"/>
      <c r="I79" s="5229"/>
      <c r="P79" s="4656"/>
    </row>
    <row r="80" spans="1:32" ht="33.75" customHeight="1">
      <c r="A80" s="5262" t="s">
        <v>5752</v>
      </c>
      <c r="B80" s="5262"/>
      <c r="C80" s="4729"/>
      <c r="D80" s="4729"/>
      <c r="E80" s="4729"/>
      <c r="F80" s="4729"/>
      <c r="G80" s="4726"/>
      <c r="H80" s="4729"/>
      <c r="I80" s="5229"/>
      <c r="P80" s="4656"/>
    </row>
    <row r="81" spans="1:12" ht="36" customHeight="1">
      <c r="A81" s="6999" t="s">
        <v>6225</v>
      </c>
      <c r="B81" s="6999"/>
      <c r="C81" s="6999"/>
      <c r="D81" s="6999"/>
      <c r="E81" s="6999"/>
      <c r="F81" s="6999"/>
      <c r="G81" s="6999"/>
      <c r="H81" s="6999"/>
      <c r="I81" s="6999"/>
      <c r="J81" s="6999"/>
      <c r="K81" s="6999"/>
      <c r="L81" s="6999"/>
    </row>
    <row r="82" spans="1:12" ht="36" customHeight="1">
      <c r="A82" s="4810" t="s">
        <v>5754</v>
      </c>
      <c r="B82" s="4810"/>
    </row>
    <row r="83" spans="1:12" ht="36" customHeight="1">
      <c r="A83" s="5262"/>
      <c r="B83" s="5262"/>
    </row>
    <row r="84" spans="1:12" ht="36" customHeight="1"/>
    <row r="85" spans="1:12" ht="36" customHeight="1"/>
    <row r="86" spans="1:12" ht="36" customHeight="1"/>
    <row r="87" spans="1:12" ht="36" customHeight="1"/>
    <row r="88" spans="1:12" ht="36" customHeight="1"/>
    <row r="89" spans="1:12" ht="36" customHeight="1"/>
    <row r="90" spans="1:12" ht="36" customHeight="1"/>
    <row r="91" spans="1:12" ht="10.15" customHeight="1"/>
  </sheetData>
  <mergeCells count="93">
    <mergeCell ref="A2:B2"/>
    <mergeCell ref="C2:G2"/>
    <mergeCell ref="A5:A6"/>
    <mergeCell ref="B5:B6"/>
    <mergeCell ref="C5:C6"/>
    <mergeCell ref="D5:D6"/>
    <mergeCell ref="E5:E6"/>
    <mergeCell ref="F5:F6"/>
    <mergeCell ref="G5:G6"/>
    <mergeCell ref="I5:I6"/>
    <mergeCell ref="J5:J6"/>
    <mergeCell ref="K5:K6"/>
    <mergeCell ref="L5:L6"/>
    <mergeCell ref="M5:M6"/>
    <mergeCell ref="C31:C32"/>
    <mergeCell ref="Z5:Z6"/>
    <mergeCell ref="AA5:AD6"/>
    <mergeCell ref="AE5:AE6"/>
    <mergeCell ref="AF5:AF6"/>
    <mergeCell ref="R23:T23"/>
    <mergeCell ref="V23:X23"/>
    <mergeCell ref="AA23:AB23"/>
    <mergeCell ref="AC23:AD23"/>
    <mergeCell ref="O5:O6"/>
    <mergeCell ref="P5:Q5"/>
    <mergeCell ref="R5:T6"/>
    <mergeCell ref="U5:U6"/>
    <mergeCell ref="V5:X6"/>
    <mergeCell ref="Y5:Y6"/>
    <mergeCell ref="H5:H6"/>
    <mergeCell ref="A25:B25"/>
    <mergeCell ref="A26:B26"/>
    <mergeCell ref="A27:B27"/>
    <mergeCell ref="A31:A32"/>
    <mergeCell ref="B31:B32"/>
    <mergeCell ref="P31:Q31"/>
    <mergeCell ref="D31:D32"/>
    <mergeCell ref="E31:E32"/>
    <mergeCell ref="F31:F32"/>
    <mergeCell ref="G31:G32"/>
    <mergeCell ref="H31:H32"/>
    <mergeCell ref="I31:I32"/>
    <mergeCell ref="J31:J32"/>
    <mergeCell ref="K31:K32"/>
    <mergeCell ref="L31:L32"/>
    <mergeCell ref="M31:M32"/>
    <mergeCell ref="O31:O32"/>
    <mergeCell ref="AE31:AE32"/>
    <mergeCell ref="AF31:AF32"/>
    <mergeCell ref="R49:T49"/>
    <mergeCell ref="V49:X49"/>
    <mergeCell ref="AA49:AB49"/>
    <mergeCell ref="AC49:AD49"/>
    <mergeCell ref="R31:T32"/>
    <mergeCell ref="U31:U32"/>
    <mergeCell ref="V31:X32"/>
    <mergeCell ref="Y31:Y32"/>
    <mergeCell ref="Z31:Z32"/>
    <mergeCell ref="AA31:AD32"/>
    <mergeCell ref="I56:I57"/>
    <mergeCell ref="A51:B51"/>
    <mergeCell ref="A52:B52"/>
    <mergeCell ref="A53:B53"/>
    <mergeCell ref="A56:A57"/>
    <mergeCell ref="B56:B57"/>
    <mergeCell ref="C56:C57"/>
    <mergeCell ref="AF56:AF57"/>
    <mergeCell ref="R74:T74"/>
    <mergeCell ref="V74:X74"/>
    <mergeCell ref="AA74:AB74"/>
    <mergeCell ref="AC74:AD74"/>
    <mergeCell ref="R56:T57"/>
    <mergeCell ref="U56:U57"/>
    <mergeCell ref="V56:X57"/>
    <mergeCell ref="Y56:Y57"/>
    <mergeCell ref="Z56:Z57"/>
    <mergeCell ref="AA56:AD57"/>
    <mergeCell ref="A76:B76"/>
    <mergeCell ref="A77:B77"/>
    <mergeCell ref="A78:B78"/>
    <mergeCell ref="A81:L81"/>
    <mergeCell ref="AE56:AE57"/>
    <mergeCell ref="J56:J57"/>
    <mergeCell ref="K56:K57"/>
    <mergeCell ref="L56:L57"/>
    <mergeCell ref="M56:M57"/>
    <mergeCell ref="O56:O57"/>
    <mergeCell ref="P56:Q56"/>
    <mergeCell ref="D56:D57"/>
    <mergeCell ref="E56:E57"/>
    <mergeCell ref="F56:F57"/>
    <mergeCell ref="G56:G57"/>
    <mergeCell ref="H56:H57"/>
  </mergeCells>
  <phoneticPr fontId="2"/>
  <conditionalFormatting sqref="B8:C22 D33 B59:C73 E59:E73">
    <cfRule type="containsBlanks" dxfId="475" priority="23">
      <formula>LEN(TRIM(B8))=0</formula>
    </cfRule>
  </conditionalFormatting>
  <conditionalFormatting sqref="B34:M44 B45:O48">
    <cfRule type="containsBlanks" dxfId="474" priority="5">
      <formula>LEN(TRIM(B34))=0</formula>
    </cfRule>
  </conditionalFormatting>
  <conditionalFormatting sqref="C2:D2">
    <cfRule type="containsBlanks" dxfId="473" priority="4">
      <formula>LEN(TRIM(C2))=0</formula>
    </cfRule>
  </conditionalFormatting>
  <conditionalFormatting sqref="D7:D22">
    <cfRule type="containsBlanks" dxfId="472" priority="22">
      <formula>LEN(TRIM(D7))=0</formula>
    </cfRule>
  </conditionalFormatting>
  <conditionalFormatting sqref="D58:D73">
    <cfRule type="containsBlanks" dxfId="471" priority="21">
      <formula>LEN(TRIM(D58))=0</formula>
    </cfRule>
  </conditionalFormatting>
  <conditionalFormatting sqref="E8:M18 E19:O22">
    <cfRule type="containsBlanks" dxfId="470" priority="16">
      <formula>LEN(TRIM(E8))=0</formula>
    </cfRule>
  </conditionalFormatting>
  <conditionalFormatting sqref="F7">
    <cfRule type="containsBlanks" dxfId="469" priority="18">
      <formula>LEN(TRIM(F7))=0</formula>
    </cfRule>
  </conditionalFormatting>
  <conditionalFormatting sqref="F33">
    <cfRule type="containsBlanks" dxfId="468" priority="14">
      <formula>LEN(TRIM(F33))=0</formula>
    </cfRule>
  </conditionalFormatting>
  <conditionalFormatting sqref="F58:F73">
    <cfRule type="containsBlanks" dxfId="467" priority="20">
      <formula>LEN(TRIM(F58))=0</formula>
    </cfRule>
  </conditionalFormatting>
  <conditionalFormatting sqref="G59:G73">
    <cfRule type="containsBlanks" dxfId="466" priority="15">
      <formula>LEN(TRIM(G59))=0</formula>
    </cfRule>
  </conditionalFormatting>
  <conditionalFormatting sqref="H7:M7">
    <cfRule type="containsBlanks" dxfId="465" priority="17">
      <formula>LEN(TRIM(H7))=0</formula>
    </cfRule>
  </conditionalFormatting>
  <conditionalFormatting sqref="H33:M33">
    <cfRule type="containsBlanks" dxfId="464" priority="13">
      <formula>LEN(TRIM(H33))=0</formula>
    </cfRule>
  </conditionalFormatting>
  <conditionalFormatting sqref="H58:O73">
    <cfRule type="containsBlanks" dxfId="463" priority="1">
      <formula>LEN(TRIM(H58))=0</formula>
    </cfRule>
  </conditionalFormatting>
  <conditionalFormatting sqref="N7:O18">
    <cfRule type="containsBlanks" dxfId="462" priority="3">
      <formula>LEN(TRIM(N7))=0</formula>
    </cfRule>
  </conditionalFormatting>
  <conditionalFormatting sqref="N33:O44">
    <cfRule type="containsBlanks" dxfId="461" priority="2">
      <formula>LEN(TRIM(N33))=0</formula>
    </cfRule>
  </conditionalFormatting>
  <conditionalFormatting sqref="Q7:R22">
    <cfRule type="containsBlanks" dxfId="460" priority="29">
      <formula>LEN(TRIM(Q7))=0</formula>
    </cfRule>
  </conditionalFormatting>
  <conditionalFormatting sqref="Q33:R48">
    <cfRule type="containsBlanks" dxfId="459" priority="12">
      <formula>LEN(TRIM(Q33))=0</formula>
    </cfRule>
  </conditionalFormatting>
  <conditionalFormatting sqref="Q58:R73">
    <cfRule type="containsBlanks" dxfId="458" priority="19">
      <formula>LEN(TRIM(Q58))=0</formula>
    </cfRule>
  </conditionalFormatting>
  <conditionalFormatting sqref="T7:V22">
    <cfRule type="containsBlanks" dxfId="457" priority="27">
      <formula>LEN(TRIM(T7))=0</formula>
    </cfRule>
  </conditionalFormatting>
  <conditionalFormatting sqref="T33:V48">
    <cfRule type="containsBlanks" dxfId="456" priority="11">
      <formula>LEN(TRIM(T33))=0</formula>
    </cfRule>
  </conditionalFormatting>
  <conditionalFormatting sqref="T58:V73">
    <cfRule type="containsBlanks" dxfId="455" priority="25">
      <formula>LEN(TRIM(T58))=0</formula>
    </cfRule>
  </conditionalFormatting>
  <conditionalFormatting sqref="X7:Z22">
    <cfRule type="containsBlanks" dxfId="454" priority="26">
      <formula>LEN(TRIM(X7))=0</formula>
    </cfRule>
  </conditionalFormatting>
  <conditionalFormatting sqref="X33:Z48">
    <cfRule type="containsBlanks" dxfId="453" priority="10">
      <formula>LEN(TRIM(X33))=0</formula>
    </cfRule>
  </conditionalFormatting>
  <conditionalFormatting sqref="X58:Z73">
    <cfRule type="containsBlanks" dxfId="452" priority="24">
      <formula>LEN(TRIM(X58))=0</formula>
    </cfRule>
  </conditionalFormatting>
  <conditionalFormatting sqref="AB7:AB22 AD7:AE22">
    <cfRule type="containsBlanks" dxfId="451" priority="28">
      <formula>LEN(TRIM(AB7))=0</formula>
    </cfRule>
  </conditionalFormatting>
  <conditionalFormatting sqref="AB33:AB48">
    <cfRule type="containsBlanks" dxfId="450" priority="9">
      <formula>LEN(TRIM(AB33))=0</formula>
    </cfRule>
  </conditionalFormatting>
  <conditionalFormatting sqref="AB58:AB73">
    <cfRule type="containsBlanks" dxfId="449" priority="7">
      <formula>LEN(TRIM(AB58))=0</formula>
    </cfRule>
  </conditionalFormatting>
  <conditionalFormatting sqref="AD33:AE48">
    <cfRule type="containsBlanks" dxfId="448" priority="8">
      <formula>LEN(TRIM(AD33))=0</formula>
    </cfRule>
  </conditionalFormatting>
  <conditionalFormatting sqref="AD58:AE73">
    <cfRule type="containsBlanks" dxfId="447" priority="6">
      <formula>LEN(TRIM(AD58))=0</formula>
    </cfRule>
  </conditionalFormatting>
  <printOptions horizontalCentered="1"/>
  <pageMargins left="0.39370078740157483" right="0.39370078740157483" top="0.55118110236220474" bottom="0.55118110236220474" header="0.31496062992125984" footer="0.31496062992125984"/>
  <pageSetup paperSize="8" scale="29" orientation="landscape" r:id="rId1"/>
  <headerFooter>
    <oddHeader>&amp;R&amp;G</oddHeader>
  </headerFooter>
  <rowBreaks count="1" manualBreakCount="1">
    <brk id="54" max="29" man="1"/>
  </rowBreaks>
  <legacy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9D276-67B8-4224-8D06-9A15AF12B17B}">
  <sheetPr codeName="Sheet356">
    <tabColor rgb="FFFFFF66"/>
    <pageSetUpPr fitToPage="1"/>
  </sheetPr>
  <dimension ref="A1:AE103"/>
  <sheetViews>
    <sheetView view="pageBreakPreview" topLeftCell="E84" zoomScale="70" zoomScaleNormal="100" zoomScaleSheetLayoutView="70" workbookViewId="0">
      <selection activeCell="N53" sqref="N53"/>
    </sheetView>
  </sheetViews>
  <sheetFormatPr defaultColWidth="9.81640625" defaultRowHeight="26.5"/>
  <cols>
    <col min="1" max="1" width="11.26953125" style="4941" customWidth="1"/>
    <col min="2" max="2" width="25.1796875" style="5102" customWidth="1"/>
    <col min="3" max="3" width="24.54296875" style="5102" bestFit="1" customWidth="1"/>
    <col min="4" max="4" width="17.26953125" style="5102" customWidth="1"/>
    <col min="5" max="5" width="17.26953125" style="4941" customWidth="1"/>
    <col min="6" max="6" width="6.81640625" style="4941" customWidth="1"/>
    <col min="7" max="7" width="36.81640625" style="5102" bestFit="1" customWidth="1"/>
    <col min="8" max="8" width="9.26953125" style="5102" customWidth="1"/>
    <col min="9" max="9" width="21.54296875" style="4941" customWidth="1"/>
    <col min="10" max="13" width="9.26953125" style="4941" customWidth="1"/>
    <col min="14" max="14" width="21.81640625" style="4941" customWidth="1"/>
    <col min="15" max="15" width="21.81640625" style="4861" customWidth="1"/>
    <col min="16" max="16" width="9.81640625" style="5102"/>
    <col min="17" max="17" width="9.54296875" style="5102" customWidth="1"/>
    <col min="18" max="18" width="9.54296875" style="4941" customWidth="1"/>
    <col min="19" max="19" width="17.7265625" style="4941" customWidth="1"/>
    <col min="20" max="20" width="12.26953125" style="4941" customWidth="1"/>
    <col min="21" max="21" width="17.7265625" style="4941" customWidth="1"/>
    <col min="22" max="28" width="9.81640625" style="4941"/>
    <col min="29" max="29" width="9.81640625" style="5103"/>
    <col min="30" max="16384" width="9.81640625" style="4941"/>
  </cols>
  <sheetData>
    <row r="1" spans="1:31" ht="21" customHeight="1" thickBot="1">
      <c r="T1" s="4943"/>
    </row>
    <row r="2" spans="1:31" ht="55.15" customHeight="1" thickBot="1">
      <c r="A2" s="6917" t="s">
        <v>5707</v>
      </c>
      <c r="B2" s="6918"/>
      <c r="C2" s="6876" t="s">
        <v>6217</v>
      </c>
      <c r="D2" s="6876"/>
      <c r="E2" s="6876"/>
      <c r="F2" s="6876"/>
      <c r="G2" s="6876"/>
      <c r="H2" s="4661" t="s">
        <v>5709</v>
      </c>
      <c r="I2" s="5104"/>
      <c r="J2" s="5151"/>
      <c r="K2" s="5151"/>
      <c r="T2" s="4943"/>
      <c r="U2" s="5105" t="s">
        <v>5755</v>
      </c>
      <c r="W2" s="5106"/>
      <c r="X2" s="5106"/>
      <c r="Y2" s="5106"/>
      <c r="Z2" s="5106"/>
      <c r="AA2" s="5106"/>
      <c r="AB2" s="5107"/>
      <c r="AC2" s="5107"/>
      <c r="AD2" s="5107"/>
      <c r="AE2" s="5107"/>
    </row>
    <row r="3" spans="1:31" ht="23.15" customHeight="1">
      <c r="A3" s="4663"/>
      <c r="B3" s="4733"/>
      <c r="C3" s="4733"/>
      <c r="D3" s="4733"/>
      <c r="E3" s="4733"/>
      <c r="F3" s="4733"/>
      <c r="G3" s="4733"/>
      <c r="H3" s="4733"/>
      <c r="I3" s="4733"/>
      <c r="J3" s="4733"/>
      <c r="K3" s="4733"/>
      <c r="T3" s="4943"/>
      <c r="W3" s="5106"/>
      <c r="X3" s="5106"/>
      <c r="Y3" s="5106"/>
      <c r="Z3" s="5106"/>
      <c r="AA3" s="5106"/>
      <c r="AB3" s="5107"/>
      <c r="AC3" s="5107"/>
      <c r="AD3" s="5107"/>
      <c r="AE3" s="5107"/>
    </row>
    <row r="4" spans="1:31" ht="23.15" customHeight="1" thickBot="1">
      <c r="A4" s="5108" t="s">
        <v>5756</v>
      </c>
      <c r="B4" s="4941"/>
      <c r="C4" s="4941"/>
      <c r="D4" s="4941"/>
      <c r="G4" s="4941"/>
      <c r="H4" s="4941"/>
      <c r="O4" s="4943"/>
      <c r="P4" s="4943"/>
      <c r="Q4" s="4941"/>
      <c r="AC4" s="4941"/>
    </row>
    <row r="5" spans="1:31" s="4738" customFormat="1" ht="33.75" customHeight="1">
      <c r="A5" s="6919"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5111" customFormat="1" ht="33.75" customHeight="1">
      <c r="A7" s="5109" t="s">
        <v>5779</v>
      </c>
      <c r="B7" s="4744">
        <v>46280</v>
      </c>
      <c r="C7" s="4744">
        <v>46300</v>
      </c>
      <c r="D7" s="4745">
        <v>0.3125</v>
      </c>
      <c r="E7" s="5110">
        <v>0.89583333333333337</v>
      </c>
      <c r="F7" s="5445">
        <f>IF(OR(ISBLANK($B7), ISBLANK($C7)), 0, _xlfn.DAYS($C7, $B7) + 1)</f>
        <v>21</v>
      </c>
      <c r="G7" s="4890" t="s">
        <v>5780</v>
      </c>
      <c r="H7" s="4891">
        <v>3</v>
      </c>
      <c r="I7" s="4892" t="s">
        <v>5781</v>
      </c>
      <c r="J7" s="5153">
        <v>30</v>
      </c>
      <c r="K7" s="5154">
        <v>100</v>
      </c>
      <c r="L7" s="5154">
        <f>J7*K7</f>
        <v>3000</v>
      </c>
      <c r="M7" s="5155">
        <v>5</v>
      </c>
      <c r="N7" s="5156">
        <v>150000</v>
      </c>
      <c r="O7" s="5446">
        <f t="shared" ref="O7:O43" si="0">F7*N7</f>
        <v>3150000</v>
      </c>
      <c r="P7" s="4897" t="s">
        <v>5782</v>
      </c>
      <c r="Q7" s="4898">
        <v>4</v>
      </c>
      <c r="R7" s="4898" t="s">
        <v>3804</v>
      </c>
      <c r="S7" s="4894" t="s">
        <v>246</v>
      </c>
      <c r="T7" s="4898" t="s">
        <v>2161</v>
      </c>
      <c r="U7" s="4899">
        <v>2000</v>
      </c>
    </row>
    <row r="8" spans="1:31" s="5111" customFormat="1" ht="33.75" customHeight="1">
      <c r="A8" s="4758">
        <v>1</v>
      </c>
      <c r="B8" s="4816">
        <v>46279</v>
      </c>
      <c r="C8" s="4816">
        <v>46299</v>
      </c>
      <c r="D8" s="4759">
        <v>0</v>
      </c>
      <c r="E8" s="4759">
        <v>1</v>
      </c>
      <c r="F8" s="5447">
        <f t="shared" ref="F8:F43" si="1">IF(OR(ISBLANK($B8), ISBLANK($C8)), 0, _xlfn.DAYS($C8, $B8) + 1)</f>
        <v>21</v>
      </c>
      <c r="G8" s="4761" t="s">
        <v>6226</v>
      </c>
      <c r="H8" s="4762">
        <v>1</v>
      </c>
      <c r="I8" s="4763" t="s">
        <v>5190</v>
      </c>
      <c r="J8" s="5160">
        <v>25</v>
      </c>
      <c r="K8" s="5161">
        <v>34</v>
      </c>
      <c r="L8" s="5161">
        <v>882</v>
      </c>
      <c r="M8" s="5161">
        <v>7</v>
      </c>
      <c r="N8" s="5162">
        <v>360000</v>
      </c>
      <c r="O8" s="5448">
        <f>F8*N8</f>
        <v>7560000</v>
      </c>
      <c r="P8" s="4857" t="s">
        <v>2133</v>
      </c>
      <c r="Q8" s="4858">
        <v>2</v>
      </c>
      <c r="R8" s="4859" t="s">
        <v>6151</v>
      </c>
      <c r="S8" s="4858">
        <v>0</v>
      </c>
      <c r="T8" s="4859" t="s">
        <v>6151</v>
      </c>
      <c r="U8" s="4860">
        <v>0</v>
      </c>
    </row>
    <row r="9" spans="1:31" s="5111" customFormat="1" ht="33.75" customHeight="1">
      <c r="A9" s="4758">
        <v>1</v>
      </c>
      <c r="B9" s="4816">
        <v>46300</v>
      </c>
      <c r="C9" s="4816">
        <v>46300</v>
      </c>
      <c r="D9" s="4759">
        <v>0</v>
      </c>
      <c r="E9" s="4759">
        <v>0.5</v>
      </c>
      <c r="F9" s="5447">
        <f t="shared" si="1"/>
        <v>1</v>
      </c>
      <c r="G9" s="4761" t="s">
        <v>6226</v>
      </c>
      <c r="H9" s="4762">
        <v>1</v>
      </c>
      <c r="I9" s="4763" t="s">
        <v>5190</v>
      </c>
      <c r="J9" s="5160">
        <v>25</v>
      </c>
      <c r="K9" s="5161">
        <v>34</v>
      </c>
      <c r="L9" s="5161">
        <v>882</v>
      </c>
      <c r="M9" s="5161">
        <v>7</v>
      </c>
      <c r="N9" s="5162">
        <v>120000</v>
      </c>
      <c r="O9" s="5448">
        <f>F9*N9</f>
        <v>120000</v>
      </c>
      <c r="P9" s="4857" t="s">
        <v>2133</v>
      </c>
      <c r="Q9" s="4858">
        <v>2</v>
      </c>
      <c r="R9" s="4859" t="s">
        <v>6151</v>
      </c>
      <c r="S9" s="4858">
        <v>0</v>
      </c>
      <c r="T9" s="4859" t="s">
        <v>6151</v>
      </c>
      <c r="U9" s="4860">
        <v>0</v>
      </c>
    </row>
    <row r="10" spans="1:31" s="5111" customFormat="1" ht="33.75" customHeight="1">
      <c r="A10" s="4758">
        <v>2</v>
      </c>
      <c r="B10" s="4816">
        <v>46279</v>
      </c>
      <c r="C10" s="4816">
        <v>46299</v>
      </c>
      <c r="D10" s="4759">
        <v>0</v>
      </c>
      <c r="E10" s="4759">
        <v>1</v>
      </c>
      <c r="F10" s="5447">
        <f t="shared" si="1"/>
        <v>21</v>
      </c>
      <c r="G10" s="4761" t="s">
        <v>6227</v>
      </c>
      <c r="H10" s="4762">
        <v>1</v>
      </c>
      <c r="I10" s="4763" t="s">
        <v>5190</v>
      </c>
      <c r="J10" s="5160"/>
      <c r="K10" s="5161"/>
      <c r="L10" s="5161">
        <v>34</v>
      </c>
      <c r="M10" s="5161"/>
      <c r="N10" s="5162">
        <v>36000</v>
      </c>
      <c r="O10" s="5448">
        <f>F10*N10</f>
        <v>756000</v>
      </c>
      <c r="P10" s="4857" t="s">
        <v>2688</v>
      </c>
      <c r="Q10" s="4858" t="s">
        <v>246</v>
      </c>
      <c r="R10" s="4859" t="s">
        <v>6151</v>
      </c>
      <c r="S10" s="4858">
        <v>0</v>
      </c>
      <c r="T10" s="4859" t="s">
        <v>6151</v>
      </c>
      <c r="U10" s="4860">
        <v>0</v>
      </c>
    </row>
    <row r="11" spans="1:31" s="5111" customFormat="1" ht="33.75" customHeight="1">
      <c r="A11" s="4758">
        <v>2</v>
      </c>
      <c r="B11" s="4816">
        <v>46300</v>
      </c>
      <c r="C11" s="4816">
        <v>46300</v>
      </c>
      <c r="D11" s="4759">
        <v>0</v>
      </c>
      <c r="E11" s="4759">
        <v>0.5</v>
      </c>
      <c r="F11" s="5447">
        <f t="shared" si="1"/>
        <v>1</v>
      </c>
      <c r="G11" s="4761" t="s">
        <v>6227</v>
      </c>
      <c r="H11" s="4762">
        <v>1</v>
      </c>
      <c r="I11" s="4763" t="s">
        <v>5190</v>
      </c>
      <c r="J11" s="5160"/>
      <c r="K11" s="5161"/>
      <c r="L11" s="5161">
        <v>34</v>
      </c>
      <c r="M11" s="5161"/>
      <c r="N11" s="5162">
        <v>12000</v>
      </c>
      <c r="O11" s="5448">
        <f>F11*N11</f>
        <v>12000</v>
      </c>
      <c r="P11" s="4857" t="s">
        <v>2688</v>
      </c>
      <c r="Q11" s="4858" t="s">
        <v>246</v>
      </c>
      <c r="R11" s="4859" t="s">
        <v>6151</v>
      </c>
      <c r="S11" s="4858">
        <v>0</v>
      </c>
      <c r="T11" s="4859" t="s">
        <v>6151</v>
      </c>
      <c r="U11" s="4860">
        <v>0</v>
      </c>
    </row>
    <row r="12" spans="1:31" s="5111" customFormat="1" ht="33.75" customHeight="1">
      <c r="A12" s="5449">
        <v>3</v>
      </c>
      <c r="B12" s="5450">
        <v>46279</v>
      </c>
      <c r="C12" s="5450">
        <v>46299</v>
      </c>
      <c r="D12" s="5451">
        <v>0</v>
      </c>
      <c r="E12" s="5451">
        <v>1</v>
      </c>
      <c r="F12" s="5452">
        <f t="shared" si="1"/>
        <v>21</v>
      </c>
      <c r="G12" s="5453" t="s">
        <v>5096</v>
      </c>
      <c r="H12" s="5454">
        <v>2</v>
      </c>
      <c r="I12" s="5455" t="s">
        <v>5190</v>
      </c>
      <c r="J12" s="5456">
        <v>8.9</v>
      </c>
      <c r="K12" s="5457">
        <v>13.9</v>
      </c>
      <c r="L12" s="5457">
        <v>127</v>
      </c>
      <c r="M12" s="5457">
        <v>2.8</v>
      </c>
      <c r="N12" s="5458"/>
      <c r="O12" s="5459">
        <f t="shared" si="0"/>
        <v>0</v>
      </c>
      <c r="P12" s="5460" t="s">
        <v>2688</v>
      </c>
      <c r="Q12" s="5461" t="s">
        <v>2602</v>
      </c>
      <c r="R12" s="5462" t="s">
        <v>6151</v>
      </c>
      <c r="S12" s="5461">
        <v>0</v>
      </c>
      <c r="T12" s="5462" t="s">
        <v>6151</v>
      </c>
      <c r="U12" s="5463">
        <v>0</v>
      </c>
    </row>
    <row r="13" spans="1:31" s="5111" customFormat="1" ht="33.75" customHeight="1">
      <c r="A13" s="5449">
        <v>3</v>
      </c>
      <c r="B13" s="5450">
        <v>46300</v>
      </c>
      <c r="C13" s="5450">
        <v>46300</v>
      </c>
      <c r="D13" s="5451">
        <v>0</v>
      </c>
      <c r="E13" s="5451">
        <v>0.5</v>
      </c>
      <c r="F13" s="5452">
        <f t="shared" si="1"/>
        <v>1</v>
      </c>
      <c r="G13" s="5453" t="s">
        <v>5096</v>
      </c>
      <c r="H13" s="5454">
        <v>2</v>
      </c>
      <c r="I13" s="5455" t="s">
        <v>5190</v>
      </c>
      <c r="J13" s="5456">
        <v>8.9</v>
      </c>
      <c r="K13" s="5457">
        <v>13.9</v>
      </c>
      <c r="L13" s="5457">
        <v>127</v>
      </c>
      <c r="M13" s="5457">
        <v>2.8</v>
      </c>
      <c r="N13" s="5458"/>
      <c r="O13" s="5459">
        <f t="shared" si="0"/>
        <v>0</v>
      </c>
      <c r="P13" s="5460" t="s">
        <v>2688</v>
      </c>
      <c r="Q13" s="5461" t="s">
        <v>2602</v>
      </c>
      <c r="R13" s="5462" t="s">
        <v>6151</v>
      </c>
      <c r="S13" s="5461">
        <v>0</v>
      </c>
      <c r="T13" s="5462" t="s">
        <v>6151</v>
      </c>
      <c r="U13" s="5463">
        <v>0</v>
      </c>
    </row>
    <row r="14" spans="1:31" s="5111" customFormat="1" ht="33.75" customHeight="1">
      <c r="A14" s="5449">
        <v>4</v>
      </c>
      <c r="B14" s="5450">
        <v>46279</v>
      </c>
      <c r="C14" s="5450">
        <v>46299</v>
      </c>
      <c r="D14" s="5451">
        <v>0</v>
      </c>
      <c r="E14" s="5451">
        <v>1</v>
      </c>
      <c r="F14" s="5452">
        <f t="shared" si="1"/>
        <v>21</v>
      </c>
      <c r="G14" s="5453" t="s">
        <v>6228</v>
      </c>
      <c r="H14" s="5454">
        <v>2</v>
      </c>
      <c r="I14" s="5455" t="s">
        <v>5190</v>
      </c>
      <c r="J14" s="5456">
        <v>14.5</v>
      </c>
      <c r="K14" s="5457">
        <v>16.600000000000001</v>
      </c>
      <c r="L14" s="5457">
        <v>250</v>
      </c>
      <c r="M14" s="5457">
        <v>4</v>
      </c>
      <c r="N14" s="5458"/>
      <c r="O14" s="5459">
        <f t="shared" si="0"/>
        <v>0</v>
      </c>
      <c r="P14" s="5460" t="s">
        <v>2688</v>
      </c>
      <c r="Q14" s="5461" t="s">
        <v>2602</v>
      </c>
      <c r="R14" s="5462" t="s">
        <v>6151</v>
      </c>
      <c r="S14" s="5461">
        <v>0</v>
      </c>
      <c r="T14" s="5462" t="s">
        <v>6151</v>
      </c>
      <c r="U14" s="5463">
        <v>0</v>
      </c>
    </row>
    <row r="15" spans="1:31" s="5111" customFormat="1" ht="33.75" customHeight="1">
      <c r="A15" s="5449">
        <v>4</v>
      </c>
      <c r="B15" s="5450">
        <v>46300</v>
      </c>
      <c r="C15" s="5450">
        <v>46300</v>
      </c>
      <c r="D15" s="5451">
        <v>0</v>
      </c>
      <c r="E15" s="5451">
        <v>0.5</v>
      </c>
      <c r="F15" s="5452">
        <f t="shared" si="1"/>
        <v>1</v>
      </c>
      <c r="G15" s="5453" t="s">
        <v>6228</v>
      </c>
      <c r="H15" s="5454">
        <v>2</v>
      </c>
      <c r="I15" s="5455" t="s">
        <v>5190</v>
      </c>
      <c r="J15" s="5456">
        <v>14.5</v>
      </c>
      <c r="K15" s="5457">
        <v>16.600000000000001</v>
      </c>
      <c r="L15" s="5457">
        <v>250</v>
      </c>
      <c r="M15" s="5457">
        <v>4</v>
      </c>
      <c r="N15" s="5458"/>
      <c r="O15" s="5459">
        <f t="shared" si="0"/>
        <v>0</v>
      </c>
      <c r="P15" s="5460" t="s">
        <v>2688</v>
      </c>
      <c r="Q15" s="5461" t="s">
        <v>2602</v>
      </c>
      <c r="R15" s="5462" t="s">
        <v>6151</v>
      </c>
      <c r="S15" s="5461">
        <v>0</v>
      </c>
      <c r="T15" s="5462" t="s">
        <v>6151</v>
      </c>
      <c r="U15" s="5463">
        <v>0</v>
      </c>
    </row>
    <row r="16" spans="1:31" s="5111" customFormat="1" ht="33.75" customHeight="1">
      <c r="A16" s="4758">
        <v>5</v>
      </c>
      <c r="B16" s="4816">
        <v>46279</v>
      </c>
      <c r="C16" s="4816">
        <v>46299</v>
      </c>
      <c r="D16" s="4759">
        <v>0</v>
      </c>
      <c r="E16" s="4759">
        <v>1</v>
      </c>
      <c r="F16" s="5447">
        <f t="shared" si="1"/>
        <v>21</v>
      </c>
      <c r="G16" s="4761" t="s">
        <v>477</v>
      </c>
      <c r="H16" s="4762">
        <v>1</v>
      </c>
      <c r="I16" s="4763" t="s">
        <v>5190</v>
      </c>
      <c r="J16" s="5160">
        <v>13.9</v>
      </c>
      <c r="K16" s="5161">
        <v>9.6999999999999993</v>
      </c>
      <c r="L16" s="5161">
        <v>135</v>
      </c>
      <c r="M16" s="5161">
        <v>3.5</v>
      </c>
      <c r="N16" s="5162">
        <v>162000</v>
      </c>
      <c r="O16" s="5448">
        <f t="shared" si="0"/>
        <v>3402000</v>
      </c>
      <c r="P16" s="4857" t="s">
        <v>2688</v>
      </c>
      <c r="Q16" s="4858" t="s">
        <v>2602</v>
      </c>
      <c r="R16" s="4859" t="s">
        <v>6151</v>
      </c>
      <c r="S16" s="4858">
        <v>0</v>
      </c>
      <c r="T16" s="4859" t="s">
        <v>6151</v>
      </c>
      <c r="U16" s="4860">
        <v>0</v>
      </c>
    </row>
    <row r="17" spans="1:29" s="5111" customFormat="1" ht="33.75" customHeight="1">
      <c r="A17" s="4758">
        <v>5</v>
      </c>
      <c r="B17" s="4816">
        <v>46300</v>
      </c>
      <c r="C17" s="4816">
        <v>46300</v>
      </c>
      <c r="D17" s="4759">
        <v>0</v>
      </c>
      <c r="E17" s="4759">
        <v>0.5</v>
      </c>
      <c r="F17" s="5447">
        <f t="shared" si="1"/>
        <v>1</v>
      </c>
      <c r="G17" s="4761" t="s">
        <v>477</v>
      </c>
      <c r="H17" s="4762">
        <v>1</v>
      </c>
      <c r="I17" s="4763" t="s">
        <v>5190</v>
      </c>
      <c r="J17" s="5160">
        <v>13.9</v>
      </c>
      <c r="K17" s="5161">
        <v>9.6999999999999993</v>
      </c>
      <c r="L17" s="5161">
        <v>135</v>
      </c>
      <c r="M17" s="5161">
        <v>3.5</v>
      </c>
      <c r="N17" s="5162">
        <v>54000</v>
      </c>
      <c r="O17" s="5448">
        <f t="shared" si="0"/>
        <v>54000</v>
      </c>
      <c r="P17" s="4857" t="s">
        <v>2688</v>
      </c>
      <c r="Q17" s="4858" t="s">
        <v>2602</v>
      </c>
      <c r="R17" s="4859" t="s">
        <v>6151</v>
      </c>
      <c r="S17" s="4858">
        <v>0</v>
      </c>
      <c r="T17" s="4859" t="s">
        <v>6151</v>
      </c>
      <c r="U17" s="4860">
        <v>0</v>
      </c>
    </row>
    <row r="18" spans="1:29" s="5111" customFormat="1" ht="33.75" customHeight="1">
      <c r="A18" s="5449">
        <v>6</v>
      </c>
      <c r="B18" s="5450">
        <v>46279</v>
      </c>
      <c r="C18" s="5450">
        <v>46299</v>
      </c>
      <c r="D18" s="5451">
        <v>0</v>
      </c>
      <c r="E18" s="5451">
        <v>1</v>
      </c>
      <c r="F18" s="5452">
        <f t="shared" si="1"/>
        <v>21</v>
      </c>
      <c r="G18" s="5453" t="s">
        <v>6229</v>
      </c>
      <c r="H18" s="5454">
        <v>3</v>
      </c>
      <c r="I18" s="5455" t="s">
        <v>5784</v>
      </c>
      <c r="J18" s="5456">
        <v>5.8</v>
      </c>
      <c r="K18" s="5457">
        <v>6.8</v>
      </c>
      <c r="L18" s="5457">
        <v>40</v>
      </c>
      <c r="M18" s="5457">
        <v>2.5</v>
      </c>
      <c r="N18" s="5458"/>
      <c r="O18" s="5459">
        <f t="shared" si="0"/>
        <v>0</v>
      </c>
      <c r="P18" s="5460" t="s">
        <v>2688</v>
      </c>
      <c r="Q18" s="5461" t="s">
        <v>2602</v>
      </c>
      <c r="R18" s="5460" t="s">
        <v>2688</v>
      </c>
      <c r="S18" s="5461" t="s">
        <v>2602</v>
      </c>
      <c r="T18" s="5460" t="s">
        <v>2688</v>
      </c>
      <c r="U18" s="5463" t="s">
        <v>2602</v>
      </c>
    </row>
    <row r="19" spans="1:29" s="5111" customFormat="1" ht="33.75" customHeight="1">
      <c r="A19" s="5449">
        <v>6</v>
      </c>
      <c r="B19" s="5450">
        <v>46300</v>
      </c>
      <c r="C19" s="5450">
        <v>46300</v>
      </c>
      <c r="D19" s="5451">
        <v>0</v>
      </c>
      <c r="E19" s="5451">
        <v>0.5</v>
      </c>
      <c r="F19" s="5452">
        <f t="shared" si="1"/>
        <v>1</v>
      </c>
      <c r="G19" s="5453" t="s">
        <v>6229</v>
      </c>
      <c r="H19" s="5454">
        <v>3</v>
      </c>
      <c r="I19" s="5455" t="s">
        <v>5784</v>
      </c>
      <c r="J19" s="5456">
        <v>5.8</v>
      </c>
      <c r="K19" s="5457">
        <v>6.8</v>
      </c>
      <c r="L19" s="5457">
        <v>40</v>
      </c>
      <c r="M19" s="5457">
        <v>2.5</v>
      </c>
      <c r="N19" s="5458"/>
      <c r="O19" s="5459">
        <f t="shared" si="0"/>
        <v>0</v>
      </c>
      <c r="P19" s="5460" t="s">
        <v>2688</v>
      </c>
      <c r="Q19" s="5461" t="s">
        <v>2602</v>
      </c>
      <c r="R19" s="5460" t="s">
        <v>2688</v>
      </c>
      <c r="S19" s="5461" t="s">
        <v>2602</v>
      </c>
      <c r="T19" s="5460" t="s">
        <v>2688</v>
      </c>
      <c r="U19" s="5463" t="s">
        <v>2602</v>
      </c>
    </row>
    <row r="20" spans="1:29" s="5111" customFormat="1" ht="33.75" customHeight="1">
      <c r="A20" s="5449">
        <v>7</v>
      </c>
      <c r="B20" s="5450">
        <v>46279</v>
      </c>
      <c r="C20" s="5450">
        <v>46299</v>
      </c>
      <c r="D20" s="5451">
        <v>0</v>
      </c>
      <c r="E20" s="5451">
        <v>1</v>
      </c>
      <c r="F20" s="5452">
        <f t="shared" si="1"/>
        <v>21</v>
      </c>
      <c r="G20" s="5453" t="s">
        <v>6230</v>
      </c>
      <c r="H20" s="5454">
        <v>3</v>
      </c>
      <c r="I20" s="5455" t="s">
        <v>5784</v>
      </c>
      <c r="J20" s="5456">
        <v>5.8</v>
      </c>
      <c r="K20" s="5457">
        <v>6.8</v>
      </c>
      <c r="L20" s="5457">
        <v>40</v>
      </c>
      <c r="M20" s="5457">
        <v>2.5</v>
      </c>
      <c r="N20" s="5458"/>
      <c r="O20" s="5459">
        <f t="shared" si="0"/>
        <v>0</v>
      </c>
      <c r="P20" s="5460" t="s">
        <v>2688</v>
      </c>
      <c r="Q20" s="5461" t="s">
        <v>2602</v>
      </c>
      <c r="R20" s="5460" t="s">
        <v>2688</v>
      </c>
      <c r="S20" s="5461" t="s">
        <v>2602</v>
      </c>
      <c r="T20" s="5460" t="s">
        <v>2688</v>
      </c>
      <c r="U20" s="5463" t="s">
        <v>2602</v>
      </c>
    </row>
    <row r="21" spans="1:29" s="5111" customFormat="1" ht="33.75" customHeight="1">
      <c r="A21" s="5449">
        <v>7</v>
      </c>
      <c r="B21" s="5450">
        <v>46300</v>
      </c>
      <c r="C21" s="5450">
        <v>46300</v>
      </c>
      <c r="D21" s="5451">
        <v>0</v>
      </c>
      <c r="E21" s="5451">
        <v>0.5</v>
      </c>
      <c r="F21" s="5452">
        <f t="shared" si="1"/>
        <v>1</v>
      </c>
      <c r="G21" s="5453" t="s">
        <v>6230</v>
      </c>
      <c r="H21" s="5454">
        <v>3</v>
      </c>
      <c r="I21" s="5455" t="s">
        <v>5784</v>
      </c>
      <c r="J21" s="5456">
        <v>5.8</v>
      </c>
      <c r="K21" s="5457">
        <v>6.8</v>
      </c>
      <c r="L21" s="5457">
        <v>40</v>
      </c>
      <c r="M21" s="5457">
        <v>2.5</v>
      </c>
      <c r="N21" s="5458"/>
      <c r="O21" s="5459">
        <f t="shared" si="0"/>
        <v>0</v>
      </c>
      <c r="P21" s="5460" t="s">
        <v>2688</v>
      </c>
      <c r="Q21" s="5461" t="s">
        <v>2602</v>
      </c>
      <c r="R21" s="5460" t="s">
        <v>2688</v>
      </c>
      <c r="S21" s="5461" t="s">
        <v>2602</v>
      </c>
      <c r="T21" s="5460" t="s">
        <v>2688</v>
      </c>
      <c r="U21" s="5463" t="s">
        <v>2602</v>
      </c>
    </row>
    <row r="22" spans="1:29" s="5111" customFormat="1" ht="33.75" customHeight="1">
      <c r="A22" s="5449">
        <v>8</v>
      </c>
      <c r="B22" s="5450">
        <v>46279</v>
      </c>
      <c r="C22" s="5450">
        <v>46299</v>
      </c>
      <c r="D22" s="5451">
        <v>0</v>
      </c>
      <c r="E22" s="5451">
        <v>1</v>
      </c>
      <c r="F22" s="5452">
        <f t="shared" si="1"/>
        <v>21</v>
      </c>
      <c r="G22" s="5453" t="s">
        <v>6231</v>
      </c>
      <c r="H22" s="5454">
        <v>3</v>
      </c>
      <c r="I22" s="5455" t="s">
        <v>5784</v>
      </c>
      <c r="J22" s="5456">
        <v>5.8</v>
      </c>
      <c r="K22" s="5457">
        <v>6.8</v>
      </c>
      <c r="L22" s="5457">
        <v>40</v>
      </c>
      <c r="M22" s="5457">
        <v>2.5</v>
      </c>
      <c r="N22" s="5458"/>
      <c r="O22" s="5459">
        <f t="shared" si="0"/>
        <v>0</v>
      </c>
      <c r="P22" s="5460" t="s">
        <v>2688</v>
      </c>
      <c r="Q22" s="5461" t="s">
        <v>2602</v>
      </c>
      <c r="R22" s="5460" t="s">
        <v>2688</v>
      </c>
      <c r="S22" s="5461" t="s">
        <v>2602</v>
      </c>
      <c r="T22" s="5460" t="s">
        <v>2688</v>
      </c>
      <c r="U22" s="5463" t="s">
        <v>2602</v>
      </c>
    </row>
    <row r="23" spans="1:29" s="5111" customFormat="1" ht="33.75" customHeight="1">
      <c r="A23" s="5449">
        <v>8</v>
      </c>
      <c r="B23" s="5450">
        <v>46300</v>
      </c>
      <c r="C23" s="5450">
        <v>46300</v>
      </c>
      <c r="D23" s="5451">
        <v>0</v>
      </c>
      <c r="E23" s="5451">
        <v>0.5</v>
      </c>
      <c r="F23" s="5452">
        <f t="shared" si="1"/>
        <v>1</v>
      </c>
      <c r="G23" s="5453" t="s">
        <v>6231</v>
      </c>
      <c r="H23" s="5454">
        <v>3</v>
      </c>
      <c r="I23" s="5455" t="s">
        <v>5784</v>
      </c>
      <c r="J23" s="5456">
        <v>5.8</v>
      </c>
      <c r="K23" s="5457">
        <v>6.8</v>
      </c>
      <c r="L23" s="5457">
        <v>40</v>
      </c>
      <c r="M23" s="5457">
        <v>2.5</v>
      </c>
      <c r="N23" s="5458"/>
      <c r="O23" s="5459">
        <f t="shared" si="0"/>
        <v>0</v>
      </c>
      <c r="P23" s="5460" t="s">
        <v>2688</v>
      </c>
      <c r="Q23" s="5461" t="s">
        <v>2602</v>
      </c>
      <c r="R23" s="5460" t="s">
        <v>2688</v>
      </c>
      <c r="S23" s="5461" t="s">
        <v>2602</v>
      </c>
      <c r="T23" s="5460" t="s">
        <v>2688</v>
      </c>
      <c r="U23" s="5463" t="s">
        <v>2602</v>
      </c>
    </row>
    <row r="24" spans="1:29" ht="33.75" customHeight="1">
      <c r="A24" s="5449">
        <v>9</v>
      </c>
      <c r="B24" s="5450">
        <v>46279</v>
      </c>
      <c r="C24" s="5450">
        <v>46299</v>
      </c>
      <c r="D24" s="5451">
        <v>0</v>
      </c>
      <c r="E24" s="5451">
        <v>1</v>
      </c>
      <c r="F24" s="5452">
        <f t="shared" si="1"/>
        <v>21</v>
      </c>
      <c r="G24" s="5453" t="s">
        <v>6232</v>
      </c>
      <c r="H24" s="5454">
        <v>3</v>
      </c>
      <c r="I24" s="5455" t="s">
        <v>5784</v>
      </c>
      <c r="J24" s="5456">
        <v>7.1</v>
      </c>
      <c r="K24" s="5457">
        <v>6.8</v>
      </c>
      <c r="L24" s="5457">
        <v>50</v>
      </c>
      <c r="M24" s="5457">
        <v>2.5</v>
      </c>
      <c r="N24" s="5458"/>
      <c r="O24" s="5459">
        <f>F24*N24</f>
        <v>0</v>
      </c>
      <c r="P24" s="5460" t="s">
        <v>2688</v>
      </c>
      <c r="Q24" s="5461" t="s">
        <v>2602</v>
      </c>
      <c r="R24" s="5460" t="s">
        <v>2688</v>
      </c>
      <c r="S24" s="5461" t="s">
        <v>2602</v>
      </c>
      <c r="T24" s="5460" t="s">
        <v>2688</v>
      </c>
      <c r="U24" s="5463" t="s">
        <v>2602</v>
      </c>
      <c r="AC24" s="4941"/>
    </row>
    <row r="25" spans="1:29" ht="33.75" customHeight="1">
      <c r="A25" s="5449">
        <v>9</v>
      </c>
      <c r="B25" s="5450">
        <v>46300</v>
      </c>
      <c r="C25" s="5450">
        <v>46300</v>
      </c>
      <c r="D25" s="5451">
        <v>0</v>
      </c>
      <c r="E25" s="5451">
        <v>0.5</v>
      </c>
      <c r="F25" s="5452">
        <f t="shared" si="1"/>
        <v>1</v>
      </c>
      <c r="G25" s="5453" t="s">
        <v>6232</v>
      </c>
      <c r="H25" s="5454">
        <v>3</v>
      </c>
      <c r="I25" s="5455" t="s">
        <v>5784</v>
      </c>
      <c r="J25" s="5456">
        <v>7.1</v>
      </c>
      <c r="K25" s="5457">
        <v>6.8</v>
      </c>
      <c r="L25" s="5457">
        <v>50</v>
      </c>
      <c r="M25" s="5457">
        <v>2.5</v>
      </c>
      <c r="N25" s="5458"/>
      <c r="O25" s="5459">
        <f>F25*N25</f>
        <v>0</v>
      </c>
      <c r="P25" s="5460" t="s">
        <v>2688</v>
      </c>
      <c r="Q25" s="5461" t="s">
        <v>2602</v>
      </c>
      <c r="R25" s="5460" t="s">
        <v>2688</v>
      </c>
      <c r="S25" s="5461" t="s">
        <v>2602</v>
      </c>
      <c r="T25" s="5460" t="s">
        <v>2688</v>
      </c>
      <c r="U25" s="5463" t="s">
        <v>2602</v>
      </c>
      <c r="AC25" s="4941"/>
    </row>
    <row r="26" spans="1:29" ht="33.75" customHeight="1">
      <c r="A26" s="5449">
        <v>10</v>
      </c>
      <c r="B26" s="5450">
        <v>46279</v>
      </c>
      <c r="C26" s="5450">
        <v>46299</v>
      </c>
      <c r="D26" s="5451">
        <v>0</v>
      </c>
      <c r="E26" s="5451">
        <v>1</v>
      </c>
      <c r="F26" s="5452">
        <f t="shared" si="1"/>
        <v>21</v>
      </c>
      <c r="G26" s="5453" t="s">
        <v>6233</v>
      </c>
      <c r="H26" s="5454">
        <v>3</v>
      </c>
      <c r="I26" s="5455" t="s">
        <v>5784</v>
      </c>
      <c r="J26" s="5456">
        <v>7.1</v>
      </c>
      <c r="K26" s="5457">
        <v>6.8</v>
      </c>
      <c r="L26" s="5457">
        <v>50</v>
      </c>
      <c r="M26" s="5457">
        <v>2.5</v>
      </c>
      <c r="N26" s="5458"/>
      <c r="O26" s="5459">
        <f t="shared" si="0"/>
        <v>0</v>
      </c>
      <c r="P26" s="5460" t="s">
        <v>2688</v>
      </c>
      <c r="Q26" s="5461" t="s">
        <v>2602</v>
      </c>
      <c r="R26" s="5462" t="s">
        <v>6151</v>
      </c>
      <c r="S26" s="5461">
        <v>0</v>
      </c>
      <c r="T26" s="5460" t="s">
        <v>2688</v>
      </c>
      <c r="U26" s="5463" t="s">
        <v>2602</v>
      </c>
      <c r="AC26" s="4941"/>
    </row>
    <row r="27" spans="1:29" ht="33.75" customHeight="1">
      <c r="A27" s="5449">
        <v>10</v>
      </c>
      <c r="B27" s="5450">
        <v>46300</v>
      </c>
      <c r="C27" s="5450">
        <v>46300</v>
      </c>
      <c r="D27" s="5451">
        <v>0</v>
      </c>
      <c r="E27" s="5451">
        <v>0.5</v>
      </c>
      <c r="F27" s="5452">
        <f t="shared" si="1"/>
        <v>1</v>
      </c>
      <c r="G27" s="5453" t="s">
        <v>6233</v>
      </c>
      <c r="H27" s="5454">
        <v>3</v>
      </c>
      <c r="I27" s="5455" t="s">
        <v>5784</v>
      </c>
      <c r="J27" s="5456">
        <v>7.1</v>
      </c>
      <c r="K27" s="5457">
        <v>6.8</v>
      </c>
      <c r="L27" s="5457">
        <v>50</v>
      </c>
      <c r="M27" s="5457">
        <v>2.5</v>
      </c>
      <c r="N27" s="5458"/>
      <c r="O27" s="5459">
        <f t="shared" si="0"/>
        <v>0</v>
      </c>
      <c r="P27" s="5460" t="s">
        <v>2688</v>
      </c>
      <c r="Q27" s="5461" t="s">
        <v>2602</v>
      </c>
      <c r="R27" s="5462" t="s">
        <v>6151</v>
      </c>
      <c r="S27" s="5461">
        <v>0</v>
      </c>
      <c r="T27" s="5460" t="s">
        <v>2688</v>
      </c>
      <c r="U27" s="5463" t="s">
        <v>2602</v>
      </c>
      <c r="AC27" s="4941"/>
    </row>
    <row r="28" spans="1:29" ht="33.75" customHeight="1">
      <c r="A28" s="5449">
        <v>11</v>
      </c>
      <c r="B28" s="5450">
        <v>46279</v>
      </c>
      <c r="C28" s="5450">
        <v>46299</v>
      </c>
      <c r="D28" s="5451">
        <v>0</v>
      </c>
      <c r="E28" s="5451">
        <v>1</v>
      </c>
      <c r="F28" s="5452">
        <f t="shared" si="1"/>
        <v>21</v>
      </c>
      <c r="G28" s="5464" t="s">
        <v>6234</v>
      </c>
      <c r="H28" s="5454">
        <v>3</v>
      </c>
      <c r="I28" s="5455" t="s">
        <v>5784</v>
      </c>
      <c r="J28" s="5456">
        <v>7.1</v>
      </c>
      <c r="K28" s="5457">
        <v>6.8</v>
      </c>
      <c r="L28" s="5457">
        <v>50</v>
      </c>
      <c r="M28" s="5457">
        <v>2.5</v>
      </c>
      <c r="N28" s="5458"/>
      <c r="O28" s="5459">
        <f t="shared" si="0"/>
        <v>0</v>
      </c>
      <c r="P28" s="5460" t="s">
        <v>2688</v>
      </c>
      <c r="Q28" s="5461" t="s">
        <v>2602</v>
      </c>
      <c r="R28" s="5462" t="s">
        <v>6151</v>
      </c>
      <c r="S28" s="5461">
        <v>0</v>
      </c>
      <c r="T28" s="5460" t="s">
        <v>2688</v>
      </c>
      <c r="U28" s="5463" t="s">
        <v>2602</v>
      </c>
      <c r="AC28" s="4941"/>
    </row>
    <row r="29" spans="1:29" ht="33.75" customHeight="1">
      <c r="A29" s="5449">
        <v>11</v>
      </c>
      <c r="B29" s="5450">
        <v>46300</v>
      </c>
      <c r="C29" s="5450">
        <v>46300</v>
      </c>
      <c r="D29" s="5451">
        <v>0</v>
      </c>
      <c r="E29" s="5451">
        <v>0.5</v>
      </c>
      <c r="F29" s="5452">
        <f t="shared" si="1"/>
        <v>1</v>
      </c>
      <c r="G29" s="5464" t="s">
        <v>6234</v>
      </c>
      <c r="H29" s="5454">
        <v>3</v>
      </c>
      <c r="I29" s="5455" t="s">
        <v>5784</v>
      </c>
      <c r="J29" s="5456">
        <v>7.1</v>
      </c>
      <c r="K29" s="5457">
        <v>6.8</v>
      </c>
      <c r="L29" s="5457">
        <v>50</v>
      </c>
      <c r="M29" s="5457">
        <v>2.5</v>
      </c>
      <c r="N29" s="5458"/>
      <c r="O29" s="5459">
        <f t="shared" si="0"/>
        <v>0</v>
      </c>
      <c r="P29" s="5460" t="s">
        <v>2688</v>
      </c>
      <c r="Q29" s="5461" t="s">
        <v>2602</v>
      </c>
      <c r="R29" s="5462" t="s">
        <v>6151</v>
      </c>
      <c r="S29" s="5461">
        <v>0</v>
      </c>
      <c r="T29" s="5460" t="s">
        <v>2688</v>
      </c>
      <c r="U29" s="5463" t="s">
        <v>2602</v>
      </c>
      <c r="AC29" s="4941"/>
    </row>
    <row r="30" spans="1:29" ht="33.75" customHeight="1">
      <c r="A30" s="4758">
        <v>12</v>
      </c>
      <c r="B30" s="4816">
        <v>46279</v>
      </c>
      <c r="C30" s="4816">
        <v>46299</v>
      </c>
      <c r="D30" s="4759">
        <v>0</v>
      </c>
      <c r="E30" s="4759">
        <v>1</v>
      </c>
      <c r="F30" s="5447">
        <f t="shared" si="1"/>
        <v>21</v>
      </c>
      <c r="G30" s="4771" t="s">
        <v>6235</v>
      </c>
      <c r="H30" s="4762">
        <v>2</v>
      </c>
      <c r="I30" s="4763" t="s">
        <v>5784</v>
      </c>
      <c r="J30" s="5160">
        <v>9.6</v>
      </c>
      <c r="K30" s="5161">
        <v>8.3000000000000007</v>
      </c>
      <c r="L30" s="5161">
        <v>77</v>
      </c>
      <c r="M30" s="5161">
        <v>2.8</v>
      </c>
      <c r="N30" s="5162">
        <v>96000</v>
      </c>
      <c r="O30" s="5448">
        <f t="shared" si="0"/>
        <v>2016000</v>
      </c>
      <c r="P30" s="4857" t="s">
        <v>2688</v>
      </c>
      <c r="Q30" s="4858" t="s">
        <v>2602</v>
      </c>
      <c r="R30" s="4859" t="s">
        <v>6151</v>
      </c>
      <c r="S30" s="4858">
        <v>0</v>
      </c>
      <c r="T30" s="4859" t="s">
        <v>6151</v>
      </c>
      <c r="U30" s="4860">
        <v>0</v>
      </c>
      <c r="AC30" s="4941"/>
    </row>
    <row r="31" spans="1:29" ht="33.75" customHeight="1">
      <c r="A31" s="4758">
        <v>12</v>
      </c>
      <c r="B31" s="4816">
        <v>46300</v>
      </c>
      <c r="C31" s="4816">
        <v>46300</v>
      </c>
      <c r="D31" s="4759">
        <v>0</v>
      </c>
      <c r="E31" s="4759">
        <v>0.5</v>
      </c>
      <c r="F31" s="5447">
        <f t="shared" si="1"/>
        <v>1</v>
      </c>
      <c r="G31" s="4771" t="s">
        <v>6235</v>
      </c>
      <c r="H31" s="4762">
        <v>2</v>
      </c>
      <c r="I31" s="4763" t="s">
        <v>5784</v>
      </c>
      <c r="J31" s="5160">
        <v>9.6</v>
      </c>
      <c r="K31" s="5161">
        <v>8.3000000000000007</v>
      </c>
      <c r="L31" s="5161">
        <v>77</v>
      </c>
      <c r="M31" s="5161">
        <v>2.8</v>
      </c>
      <c r="N31" s="5162">
        <v>32000</v>
      </c>
      <c r="O31" s="5448">
        <f t="shared" si="0"/>
        <v>32000</v>
      </c>
      <c r="P31" s="4857" t="s">
        <v>2688</v>
      </c>
      <c r="Q31" s="4858" t="s">
        <v>2602</v>
      </c>
      <c r="R31" s="4859" t="s">
        <v>6151</v>
      </c>
      <c r="S31" s="4858">
        <v>0</v>
      </c>
      <c r="T31" s="4859" t="s">
        <v>6151</v>
      </c>
      <c r="U31" s="4860">
        <v>0</v>
      </c>
      <c r="AC31" s="4941"/>
    </row>
    <row r="32" spans="1:29" ht="33.75" customHeight="1">
      <c r="A32" s="4758">
        <v>13</v>
      </c>
      <c r="B32" s="4816">
        <v>46279</v>
      </c>
      <c r="C32" s="4816">
        <v>46299</v>
      </c>
      <c r="D32" s="4759">
        <v>0</v>
      </c>
      <c r="E32" s="4759">
        <v>1</v>
      </c>
      <c r="F32" s="5447">
        <f t="shared" si="1"/>
        <v>21</v>
      </c>
      <c r="G32" s="4771" t="s">
        <v>6236</v>
      </c>
      <c r="H32" s="4762">
        <v>2</v>
      </c>
      <c r="I32" s="4763" t="s">
        <v>5784</v>
      </c>
      <c r="J32" s="5160">
        <v>7</v>
      </c>
      <c r="K32" s="5161">
        <v>10.6</v>
      </c>
      <c r="L32" s="5161">
        <v>69</v>
      </c>
      <c r="M32" s="5161">
        <v>2.8</v>
      </c>
      <c r="N32" s="5162">
        <v>84000</v>
      </c>
      <c r="O32" s="5448">
        <f t="shared" si="0"/>
        <v>1764000</v>
      </c>
      <c r="P32" s="4857" t="s">
        <v>2688</v>
      </c>
      <c r="Q32" s="4858" t="s">
        <v>2602</v>
      </c>
      <c r="R32" s="4859" t="s">
        <v>6151</v>
      </c>
      <c r="S32" s="4858">
        <v>0</v>
      </c>
      <c r="T32" s="4859" t="s">
        <v>6151</v>
      </c>
      <c r="U32" s="4860">
        <v>0</v>
      </c>
      <c r="AC32" s="4941"/>
    </row>
    <row r="33" spans="1:29" ht="33.75" customHeight="1">
      <c r="A33" s="4758">
        <v>13</v>
      </c>
      <c r="B33" s="4816">
        <v>46300</v>
      </c>
      <c r="C33" s="4816">
        <v>46300</v>
      </c>
      <c r="D33" s="4759">
        <v>0</v>
      </c>
      <c r="E33" s="4759">
        <v>0.5</v>
      </c>
      <c r="F33" s="5447">
        <f t="shared" si="1"/>
        <v>1</v>
      </c>
      <c r="G33" s="4771" t="s">
        <v>6236</v>
      </c>
      <c r="H33" s="4762">
        <v>2</v>
      </c>
      <c r="I33" s="4763" t="s">
        <v>5784</v>
      </c>
      <c r="J33" s="5160">
        <v>7</v>
      </c>
      <c r="K33" s="5161">
        <v>10.6</v>
      </c>
      <c r="L33" s="5161">
        <v>69</v>
      </c>
      <c r="M33" s="5161">
        <v>2.8</v>
      </c>
      <c r="N33" s="5162">
        <v>28000</v>
      </c>
      <c r="O33" s="5448">
        <f t="shared" si="0"/>
        <v>28000</v>
      </c>
      <c r="P33" s="4857" t="s">
        <v>2688</v>
      </c>
      <c r="Q33" s="4858" t="s">
        <v>2602</v>
      </c>
      <c r="R33" s="4859" t="s">
        <v>6151</v>
      </c>
      <c r="S33" s="4858">
        <v>0</v>
      </c>
      <c r="T33" s="4859" t="s">
        <v>6151</v>
      </c>
      <c r="U33" s="4860">
        <v>0</v>
      </c>
      <c r="AC33" s="4941"/>
    </row>
    <row r="34" spans="1:29" ht="33.65" customHeight="1">
      <c r="A34" s="4758">
        <v>14</v>
      </c>
      <c r="B34" s="4816">
        <v>46279</v>
      </c>
      <c r="C34" s="4816">
        <v>46299</v>
      </c>
      <c r="D34" s="4759">
        <v>0</v>
      </c>
      <c r="E34" s="4759">
        <v>1</v>
      </c>
      <c r="F34" s="5447">
        <f t="shared" si="1"/>
        <v>21</v>
      </c>
      <c r="G34" s="4771" t="s">
        <v>6237</v>
      </c>
      <c r="H34" s="4762">
        <v>2</v>
      </c>
      <c r="I34" s="4763" t="s">
        <v>5784</v>
      </c>
      <c r="J34" s="5160">
        <v>8</v>
      </c>
      <c r="K34" s="5161">
        <v>7</v>
      </c>
      <c r="L34" s="5161">
        <v>59</v>
      </c>
      <c r="M34" s="5161">
        <v>3</v>
      </c>
      <c r="N34" s="5162">
        <v>72000</v>
      </c>
      <c r="O34" s="5448">
        <f t="shared" si="0"/>
        <v>1512000</v>
      </c>
      <c r="P34" s="4857" t="s">
        <v>2688</v>
      </c>
      <c r="Q34" s="4858" t="s">
        <v>2602</v>
      </c>
      <c r="R34" s="4859" t="s">
        <v>6151</v>
      </c>
      <c r="S34" s="4858">
        <v>0</v>
      </c>
      <c r="T34" s="4859" t="s">
        <v>6151</v>
      </c>
      <c r="U34" s="4860">
        <v>0</v>
      </c>
      <c r="AC34" s="4941"/>
    </row>
    <row r="35" spans="1:29" ht="33.65" customHeight="1">
      <c r="A35" s="4758">
        <v>14</v>
      </c>
      <c r="B35" s="4816">
        <v>46300</v>
      </c>
      <c r="C35" s="4816">
        <v>46300</v>
      </c>
      <c r="D35" s="4759">
        <v>0</v>
      </c>
      <c r="E35" s="4759">
        <v>0.5</v>
      </c>
      <c r="F35" s="5447">
        <f t="shared" si="1"/>
        <v>1</v>
      </c>
      <c r="G35" s="4771" t="s">
        <v>6237</v>
      </c>
      <c r="H35" s="4762">
        <v>2</v>
      </c>
      <c r="I35" s="4763" t="s">
        <v>5784</v>
      </c>
      <c r="J35" s="5160">
        <v>8</v>
      </c>
      <c r="K35" s="5161">
        <v>7</v>
      </c>
      <c r="L35" s="5161">
        <v>59</v>
      </c>
      <c r="M35" s="5161">
        <v>3</v>
      </c>
      <c r="N35" s="5162">
        <v>24000</v>
      </c>
      <c r="O35" s="5448">
        <f t="shared" si="0"/>
        <v>24000</v>
      </c>
      <c r="P35" s="4857" t="s">
        <v>2688</v>
      </c>
      <c r="Q35" s="4858" t="s">
        <v>2602</v>
      </c>
      <c r="R35" s="4859" t="s">
        <v>6151</v>
      </c>
      <c r="S35" s="4858">
        <v>0</v>
      </c>
      <c r="T35" s="4859" t="s">
        <v>6151</v>
      </c>
      <c r="U35" s="4860">
        <v>0</v>
      </c>
      <c r="AC35" s="4941"/>
    </row>
    <row r="36" spans="1:29" ht="33.75" customHeight="1">
      <c r="A36" s="4758">
        <v>15</v>
      </c>
      <c r="B36" s="4816">
        <v>46279</v>
      </c>
      <c r="C36" s="4816">
        <v>46299</v>
      </c>
      <c r="D36" s="4759">
        <v>0</v>
      </c>
      <c r="E36" s="4759">
        <v>1</v>
      </c>
      <c r="F36" s="5447">
        <f t="shared" si="1"/>
        <v>21</v>
      </c>
      <c r="G36" s="4771" t="s">
        <v>6238</v>
      </c>
      <c r="H36" s="4762">
        <v>2</v>
      </c>
      <c r="I36" s="4763" t="s">
        <v>5784</v>
      </c>
      <c r="J36" s="5160">
        <v>8</v>
      </c>
      <c r="K36" s="5161">
        <v>7</v>
      </c>
      <c r="L36" s="5161">
        <v>59</v>
      </c>
      <c r="M36" s="5161">
        <v>3</v>
      </c>
      <c r="N36" s="5162">
        <v>72000</v>
      </c>
      <c r="O36" s="5448">
        <f t="shared" si="0"/>
        <v>1512000</v>
      </c>
      <c r="P36" s="4857" t="s">
        <v>2688</v>
      </c>
      <c r="Q36" s="4858" t="s">
        <v>2602</v>
      </c>
      <c r="R36" s="4859" t="s">
        <v>6151</v>
      </c>
      <c r="S36" s="4858">
        <v>0</v>
      </c>
      <c r="T36" s="4859" t="s">
        <v>6151</v>
      </c>
      <c r="U36" s="4860">
        <v>0</v>
      </c>
      <c r="AC36" s="4941"/>
    </row>
    <row r="37" spans="1:29" ht="33.75" customHeight="1">
      <c r="A37" s="4758">
        <v>15</v>
      </c>
      <c r="B37" s="4816">
        <v>46300</v>
      </c>
      <c r="C37" s="4816">
        <v>46300</v>
      </c>
      <c r="D37" s="4759">
        <v>0</v>
      </c>
      <c r="E37" s="4759">
        <v>0.5</v>
      </c>
      <c r="F37" s="5447">
        <f t="shared" si="1"/>
        <v>1</v>
      </c>
      <c r="G37" s="4771" t="s">
        <v>6238</v>
      </c>
      <c r="H37" s="4762">
        <v>2</v>
      </c>
      <c r="I37" s="4763" t="s">
        <v>5784</v>
      </c>
      <c r="J37" s="5160">
        <v>8</v>
      </c>
      <c r="K37" s="5161">
        <v>7</v>
      </c>
      <c r="L37" s="5161">
        <v>59</v>
      </c>
      <c r="M37" s="5161">
        <v>3</v>
      </c>
      <c r="N37" s="5162">
        <v>24000</v>
      </c>
      <c r="O37" s="5448">
        <f t="shared" si="0"/>
        <v>24000</v>
      </c>
      <c r="P37" s="4857" t="s">
        <v>2688</v>
      </c>
      <c r="Q37" s="4858" t="s">
        <v>2602</v>
      </c>
      <c r="R37" s="4859" t="s">
        <v>6151</v>
      </c>
      <c r="S37" s="4858">
        <v>0</v>
      </c>
      <c r="T37" s="4859" t="s">
        <v>6151</v>
      </c>
      <c r="U37" s="4860">
        <v>0</v>
      </c>
      <c r="AC37" s="4941"/>
    </row>
    <row r="38" spans="1:29" ht="33.75" customHeight="1">
      <c r="A38" s="4758">
        <v>16</v>
      </c>
      <c r="B38" s="4816">
        <v>46279</v>
      </c>
      <c r="C38" s="4816">
        <v>46299</v>
      </c>
      <c r="D38" s="4759">
        <v>0</v>
      </c>
      <c r="E38" s="4759">
        <v>1</v>
      </c>
      <c r="F38" s="5447">
        <f t="shared" si="1"/>
        <v>21</v>
      </c>
      <c r="G38" s="4771" t="s">
        <v>6239</v>
      </c>
      <c r="H38" s="4762">
        <v>2</v>
      </c>
      <c r="I38" s="4763" t="s">
        <v>5784</v>
      </c>
      <c r="J38" s="5160">
        <v>7</v>
      </c>
      <c r="K38" s="5161">
        <v>7</v>
      </c>
      <c r="L38" s="5161">
        <v>48</v>
      </c>
      <c r="M38" s="5161">
        <v>3</v>
      </c>
      <c r="N38" s="5162">
        <v>60000</v>
      </c>
      <c r="O38" s="5448">
        <f t="shared" si="0"/>
        <v>1260000</v>
      </c>
      <c r="P38" s="4857" t="s">
        <v>2688</v>
      </c>
      <c r="Q38" s="4858" t="s">
        <v>2602</v>
      </c>
      <c r="R38" s="4859" t="s">
        <v>6151</v>
      </c>
      <c r="S38" s="4858">
        <v>0</v>
      </c>
      <c r="T38" s="4859" t="s">
        <v>6151</v>
      </c>
      <c r="U38" s="4860">
        <v>0</v>
      </c>
      <c r="AC38" s="4941"/>
    </row>
    <row r="39" spans="1:29" ht="33.75" customHeight="1">
      <c r="A39" s="4758">
        <v>16</v>
      </c>
      <c r="B39" s="4816">
        <v>46300</v>
      </c>
      <c r="C39" s="4816">
        <v>46300</v>
      </c>
      <c r="D39" s="4759">
        <v>0</v>
      </c>
      <c r="E39" s="4759">
        <v>0.5</v>
      </c>
      <c r="F39" s="5447">
        <f t="shared" si="1"/>
        <v>1</v>
      </c>
      <c r="G39" s="4771" t="s">
        <v>6239</v>
      </c>
      <c r="H39" s="4762">
        <v>2</v>
      </c>
      <c r="I39" s="4763" t="s">
        <v>5784</v>
      </c>
      <c r="J39" s="5160">
        <v>7</v>
      </c>
      <c r="K39" s="5161">
        <v>7</v>
      </c>
      <c r="L39" s="5161">
        <v>48</v>
      </c>
      <c r="M39" s="5161">
        <v>3</v>
      </c>
      <c r="N39" s="5162">
        <v>20000</v>
      </c>
      <c r="O39" s="5448">
        <f t="shared" si="0"/>
        <v>20000</v>
      </c>
      <c r="P39" s="4857" t="s">
        <v>2688</v>
      </c>
      <c r="Q39" s="4858" t="s">
        <v>2602</v>
      </c>
      <c r="R39" s="4859" t="s">
        <v>6151</v>
      </c>
      <c r="S39" s="4858">
        <v>0</v>
      </c>
      <c r="T39" s="4859" t="s">
        <v>6151</v>
      </c>
      <c r="U39" s="4860">
        <v>0</v>
      </c>
      <c r="AC39" s="4941"/>
    </row>
    <row r="40" spans="1:29" ht="33.75" customHeight="1">
      <c r="A40" s="4758">
        <v>17</v>
      </c>
      <c r="B40" s="4816">
        <v>46279</v>
      </c>
      <c r="C40" s="4816">
        <v>46299</v>
      </c>
      <c r="D40" s="4759">
        <v>0</v>
      </c>
      <c r="E40" s="4759">
        <v>1</v>
      </c>
      <c r="F40" s="5447">
        <f t="shared" si="1"/>
        <v>21</v>
      </c>
      <c r="G40" s="4762" t="s">
        <v>6240</v>
      </c>
      <c r="H40" s="4762">
        <v>2</v>
      </c>
      <c r="I40" s="4763" t="s">
        <v>5784</v>
      </c>
      <c r="J40" s="5160">
        <v>7</v>
      </c>
      <c r="K40" s="5161">
        <v>7</v>
      </c>
      <c r="L40" s="5161">
        <v>48</v>
      </c>
      <c r="M40" s="5161">
        <v>3</v>
      </c>
      <c r="N40" s="5164">
        <v>60000</v>
      </c>
      <c r="O40" s="5448">
        <f t="shared" si="0"/>
        <v>1260000</v>
      </c>
      <c r="P40" s="4857" t="s">
        <v>2688</v>
      </c>
      <c r="Q40" s="4919" t="s">
        <v>2602</v>
      </c>
      <c r="R40" s="4920" t="s">
        <v>6151</v>
      </c>
      <c r="S40" s="4919">
        <v>0</v>
      </c>
      <c r="T40" s="4920" t="s">
        <v>6151</v>
      </c>
      <c r="U40" s="4921">
        <v>0</v>
      </c>
      <c r="AC40" s="4941"/>
    </row>
    <row r="41" spans="1:29" ht="33.75" customHeight="1">
      <c r="A41" s="4758">
        <v>17</v>
      </c>
      <c r="B41" s="4816">
        <v>46300</v>
      </c>
      <c r="C41" s="4816">
        <v>46300</v>
      </c>
      <c r="D41" s="4759">
        <v>0</v>
      </c>
      <c r="E41" s="4759">
        <v>0.5</v>
      </c>
      <c r="F41" s="5447">
        <f t="shared" si="1"/>
        <v>1</v>
      </c>
      <c r="G41" s="4762" t="s">
        <v>6240</v>
      </c>
      <c r="H41" s="4762">
        <v>2</v>
      </c>
      <c r="I41" s="4763" t="s">
        <v>5784</v>
      </c>
      <c r="J41" s="5160">
        <v>7</v>
      </c>
      <c r="K41" s="5161">
        <v>7</v>
      </c>
      <c r="L41" s="5161">
        <v>48</v>
      </c>
      <c r="M41" s="5161">
        <v>3</v>
      </c>
      <c r="N41" s="5164">
        <v>20000</v>
      </c>
      <c r="O41" s="5448">
        <f t="shared" si="0"/>
        <v>20000</v>
      </c>
      <c r="P41" s="4857" t="s">
        <v>2688</v>
      </c>
      <c r="Q41" s="4919" t="s">
        <v>2602</v>
      </c>
      <c r="R41" s="4920" t="s">
        <v>6151</v>
      </c>
      <c r="S41" s="4919">
        <v>0</v>
      </c>
      <c r="T41" s="4920" t="s">
        <v>6151</v>
      </c>
      <c r="U41" s="4921">
        <v>0</v>
      </c>
      <c r="AC41" s="4941"/>
    </row>
    <row r="42" spans="1:29" ht="33.75" customHeight="1">
      <c r="A42" s="4758">
        <v>18</v>
      </c>
      <c r="B42" s="4816">
        <v>46279</v>
      </c>
      <c r="C42" s="4816">
        <v>46299</v>
      </c>
      <c r="D42" s="4759">
        <v>0</v>
      </c>
      <c r="E42" s="4759">
        <v>1</v>
      </c>
      <c r="F42" s="5447">
        <f t="shared" si="1"/>
        <v>21</v>
      </c>
      <c r="G42" s="5058" t="s">
        <v>6241</v>
      </c>
      <c r="H42" s="5351">
        <v>2</v>
      </c>
      <c r="I42" s="5078" t="s">
        <v>5784</v>
      </c>
      <c r="J42" s="5160">
        <v>7</v>
      </c>
      <c r="K42" s="5161">
        <v>7</v>
      </c>
      <c r="L42" s="5161">
        <v>48</v>
      </c>
      <c r="M42" s="5161">
        <v>3</v>
      </c>
      <c r="N42" s="5164">
        <v>60000</v>
      </c>
      <c r="O42" s="5465">
        <f t="shared" si="0"/>
        <v>1260000</v>
      </c>
      <c r="P42" s="4918" t="s">
        <v>3804</v>
      </c>
      <c r="Q42" s="4919" t="s">
        <v>2602</v>
      </c>
      <c r="R42" s="4920" t="s">
        <v>6151</v>
      </c>
      <c r="S42" s="4919">
        <v>0</v>
      </c>
      <c r="T42" s="4920" t="s">
        <v>6151</v>
      </c>
      <c r="U42" s="4921">
        <v>0</v>
      </c>
      <c r="AC42" s="4941"/>
    </row>
    <row r="43" spans="1:29" ht="33.75" customHeight="1" thickBot="1">
      <c r="A43" s="4758">
        <v>18</v>
      </c>
      <c r="B43" s="4816">
        <v>46300</v>
      </c>
      <c r="C43" s="4816">
        <v>46300</v>
      </c>
      <c r="D43" s="4759">
        <v>0</v>
      </c>
      <c r="E43" s="4759">
        <v>0.5</v>
      </c>
      <c r="F43" s="5447">
        <f t="shared" si="1"/>
        <v>1</v>
      </c>
      <c r="G43" s="4917" t="s">
        <v>6241</v>
      </c>
      <c r="H43" s="4917">
        <v>2</v>
      </c>
      <c r="I43" s="4774" t="s">
        <v>5784</v>
      </c>
      <c r="J43" s="5160">
        <v>7</v>
      </c>
      <c r="K43" s="5161">
        <v>7</v>
      </c>
      <c r="L43" s="5161">
        <v>48</v>
      </c>
      <c r="M43" s="5161">
        <v>3</v>
      </c>
      <c r="N43" s="5164">
        <v>20000</v>
      </c>
      <c r="O43" s="5466">
        <f t="shared" si="0"/>
        <v>20000</v>
      </c>
      <c r="P43" s="4918" t="s">
        <v>3804</v>
      </c>
      <c r="Q43" s="4919" t="s">
        <v>2602</v>
      </c>
      <c r="R43" s="4920" t="s">
        <v>6151</v>
      </c>
      <c r="S43" s="4919">
        <v>0</v>
      </c>
      <c r="T43" s="4920" t="s">
        <v>6151</v>
      </c>
      <c r="U43" s="4921">
        <v>0</v>
      </c>
      <c r="AC43" s="4941"/>
    </row>
    <row r="44" spans="1:29" ht="33.75" customHeight="1" thickTop="1" thickBot="1">
      <c r="A44" s="5467" t="s">
        <v>5845</v>
      </c>
      <c r="B44" s="4866"/>
      <c r="C44" s="4866"/>
      <c r="D44" s="4866"/>
      <c r="E44" s="4866"/>
      <c r="F44" s="5166">
        <f>SUM(F8:F11,F16:F17,F30:F43)</f>
        <v>220</v>
      </c>
      <c r="G44" s="4866"/>
      <c r="H44" s="4868"/>
      <c r="I44" s="4782">
        <f>COUNTA(G8,G10,G16,G30,G32,G34,G36,G38,G40,G42)</f>
        <v>10</v>
      </c>
      <c r="J44" s="5167"/>
      <c r="K44" s="5168"/>
      <c r="L44" s="5168"/>
      <c r="M44" s="5168"/>
      <c r="N44" s="5169"/>
      <c r="O44" s="5468">
        <f>SUM(O8:O43)</f>
        <v>22656000</v>
      </c>
      <c r="P44" s="4904"/>
      <c r="Q44" s="4904"/>
      <c r="R44" s="4905"/>
      <c r="S44" s="4906"/>
      <c r="T44" s="4905"/>
      <c r="U44" s="4907"/>
      <c r="AC44" s="4941"/>
    </row>
    <row r="45" spans="1:29" s="4657" customFormat="1" ht="33.75" customHeight="1" thickBot="1">
      <c r="A45" s="5469" t="s">
        <v>5792</v>
      </c>
      <c r="B45" s="4877"/>
      <c r="C45" s="4878"/>
      <c r="D45" s="4878"/>
      <c r="E45" s="4878"/>
      <c r="F45" s="4879"/>
      <c r="G45" s="4878"/>
      <c r="H45" s="4880"/>
      <c r="I45" s="4878"/>
      <c r="J45" s="4881"/>
      <c r="K45" s="4881"/>
      <c r="L45" s="4881"/>
      <c r="M45" s="4881"/>
      <c r="N45" s="4882"/>
      <c r="O45" s="5470">
        <f>O44*1.1</f>
        <v>24921600.000000004</v>
      </c>
      <c r="P45" s="4884"/>
      <c r="Q45" s="4885"/>
      <c r="R45" s="4886"/>
      <c r="S45" s="4887"/>
      <c r="T45" s="4886"/>
      <c r="U45" s="4888"/>
    </row>
    <row r="46" spans="1:29" ht="33.75" customHeight="1">
      <c r="A46" s="4943"/>
      <c r="B46" s="5138"/>
      <c r="C46" s="5138"/>
      <c r="D46" s="5138"/>
      <c r="G46" s="5138"/>
      <c r="H46" s="5138"/>
      <c r="M46" s="4808" t="s">
        <v>5748</v>
      </c>
      <c r="N46" s="4809">
        <f>SUM(N8,N10,N16,N30,N32,N34,N36,N38,N40,N42)</f>
        <v>1062000</v>
      </c>
      <c r="O46" s="4941"/>
      <c r="P46" s="4941"/>
      <c r="Q46" s="4941"/>
      <c r="AC46" s="4941"/>
    </row>
    <row r="47" spans="1:29" ht="33.75" customHeight="1">
      <c r="A47" s="4943"/>
      <c r="B47" s="5138"/>
      <c r="C47" s="5138"/>
      <c r="D47" s="5138"/>
      <c r="G47" s="5138"/>
      <c r="H47" s="5138"/>
      <c r="M47" s="5471" t="s">
        <v>6242</v>
      </c>
      <c r="N47" s="5471">
        <f>N46*1.1</f>
        <v>1168200</v>
      </c>
      <c r="O47" s="4941"/>
      <c r="P47" s="4941"/>
      <c r="Q47" s="4941"/>
      <c r="AC47" s="4941"/>
    </row>
    <row r="48" spans="1:29" ht="33.75" customHeight="1">
      <c r="A48" s="4943"/>
      <c r="B48" s="5138"/>
      <c r="C48" s="5138"/>
      <c r="D48" s="5138"/>
      <c r="G48" s="5138"/>
      <c r="H48" s="5138"/>
      <c r="O48" s="4941"/>
      <c r="P48" s="4941"/>
      <c r="Q48" s="4941"/>
      <c r="AC48" s="4941"/>
    </row>
    <row r="49" spans="1:29" ht="33.75" customHeight="1" thickBot="1">
      <c r="A49" s="5108" t="s">
        <v>5836</v>
      </c>
      <c r="B49" s="4941"/>
      <c r="C49" s="4941"/>
      <c r="D49" s="4941"/>
      <c r="G49" s="4941"/>
      <c r="H49" s="4941"/>
      <c r="O49" s="4943"/>
      <c r="P49" s="4943"/>
      <c r="Q49" s="4941"/>
      <c r="AC49" s="4941"/>
    </row>
    <row r="50" spans="1:29" s="4738" customFormat="1" ht="33.75" customHeight="1">
      <c r="A50" s="6919" t="s">
        <v>5713</v>
      </c>
      <c r="B50" s="6882" t="s">
        <v>5757</v>
      </c>
      <c r="C50" s="6882" t="s">
        <v>5758</v>
      </c>
      <c r="D50" s="6882" t="s">
        <v>5759</v>
      </c>
      <c r="E50" s="6882" t="s">
        <v>5760</v>
      </c>
      <c r="F50" s="6895" t="s">
        <v>5761</v>
      </c>
      <c r="G50" s="6882" t="s">
        <v>5762</v>
      </c>
      <c r="H50" s="6897" t="s">
        <v>5763</v>
      </c>
      <c r="I50" s="6882" t="s">
        <v>5764</v>
      </c>
      <c r="J50" s="6895" t="s">
        <v>5765</v>
      </c>
      <c r="K50" s="6888" t="s">
        <v>5766</v>
      </c>
      <c r="L50" s="6888" t="s">
        <v>5767</v>
      </c>
      <c r="M50" s="6888" t="s">
        <v>5768</v>
      </c>
      <c r="N50" s="6882" t="s">
        <v>5811</v>
      </c>
      <c r="O50" s="6884" t="s">
        <v>5812</v>
      </c>
      <c r="P50" s="6886" t="s">
        <v>5771</v>
      </c>
      <c r="Q50" s="6887"/>
      <c r="R50" s="6888" t="s">
        <v>5772</v>
      </c>
      <c r="S50" s="6889"/>
      <c r="T50" s="6889"/>
      <c r="U50" s="6890"/>
    </row>
    <row r="51" spans="1:29" s="4738" customFormat="1" ht="33.75" customHeight="1" thickBot="1">
      <c r="A51" s="6894"/>
      <c r="B51" s="6883"/>
      <c r="C51" s="6883"/>
      <c r="D51" s="6883"/>
      <c r="E51" s="6883"/>
      <c r="F51" s="6896"/>
      <c r="G51" s="6883"/>
      <c r="H51" s="6898"/>
      <c r="I51" s="6883"/>
      <c r="J51" s="6896"/>
      <c r="K51" s="6892"/>
      <c r="L51" s="6892"/>
      <c r="M51" s="6892"/>
      <c r="N51" s="6883"/>
      <c r="O51" s="6885"/>
      <c r="P51" s="4739" t="s">
        <v>5773</v>
      </c>
      <c r="Q51" s="4740" t="s">
        <v>5774</v>
      </c>
      <c r="R51" s="4740" t="s">
        <v>5775</v>
      </c>
      <c r="S51" s="4741" t="s">
        <v>5776</v>
      </c>
      <c r="T51" s="4740" t="s">
        <v>5777</v>
      </c>
      <c r="U51" s="4742" t="s">
        <v>5778</v>
      </c>
    </row>
    <row r="52" spans="1:29" s="5111" customFormat="1" ht="33.75" customHeight="1">
      <c r="A52" s="5109" t="s">
        <v>5779</v>
      </c>
      <c r="B52" s="4744">
        <v>46280</v>
      </c>
      <c r="C52" s="4744">
        <v>46300</v>
      </c>
      <c r="D52" s="4745">
        <v>0.3125</v>
      </c>
      <c r="E52" s="5110">
        <v>0.89583333333333337</v>
      </c>
      <c r="F52" s="5445">
        <f>IF(OR(ISBLANK($B52), ISBLANK($C52)), 0, _xlfn.DAYS($C52, $B52) + 1)</f>
        <v>21</v>
      </c>
      <c r="G52" s="4890" t="s">
        <v>5780</v>
      </c>
      <c r="H52" s="4891">
        <v>3</v>
      </c>
      <c r="I52" s="4892" t="s">
        <v>5781</v>
      </c>
      <c r="J52" s="5153">
        <v>30</v>
      </c>
      <c r="K52" s="5154">
        <v>100</v>
      </c>
      <c r="L52" s="5154">
        <f>J52*K52</f>
        <v>3000</v>
      </c>
      <c r="M52" s="5155">
        <v>5</v>
      </c>
      <c r="N52" s="5156">
        <v>150000</v>
      </c>
      <c r="O52" s="5446">
        <f t="shared" ref="O52:O88" si="2">F52*N52</f>
        <v>3150000</v>
      </c>
      <c r="P52" s="4897" t="s">
        <v>5782</v>
      </c>
      <c r="Q52" s="4898">
        <v>4</v>
      </c>
      <c r="R52" s="4898" t="s">
        <v>3804</v>
      </c>
      <c r="S52" s="4894" t="s">
        <v>246</v>
      </c>
      <c r="T52" s="4898" t="s">
        <v>2161</v>
      </c>
      <c r="U52" s="4899">
        <v>2000</v>
      </c>
    </row>
    <row r="53" spans="1:29" s="5111" customFormat="1" ht="33.75" customHeight="1">
      <c r="A53" s="4758">
        <v>1</v>
      </c>
      <c r="B53" s="4816">
        <v>46305</v>
      </c>
      <c r="C53" s="4816">
        <v>46320</v>
      </c>
      <c r="D53" s="4759">
        <v>0</v>
      </c>
      <c r="E53" s="4759">
        <v>1</v>
      </c>
      <c r="F53" s="5181">
        <v>18</v>
      </c>
      <c r="G53" s="4761" t="s">
        <v>6226</v>
      </c>
      <c r="H53" s="4762">
        <v>1</v>
      </c>
      <c r="I53" s="4763" t="s">
        <v>5190</v>
      </c>
      <c r="J53" s="5160">
        <v>25</v>
      </c>
      <c r="K53" s="5161">
        <v>34</v>
      </c>
      <c r="L53" s="5161">
        <v>882</v>
      </c>
      <c r="M53" s="5161">
        <v>7</v>
      </c>
      <c r="N53" s="5162">
        <v>360000</v>
      </c>
      <c r="O53" s="5448">
        <f t="shared" si="2"/>
        <v>6480000</v>
      </c>
      <c r="P53" s="4857" t="s">
        <v>2133</v>
      </c>
      <c r="Q53" s="4858">
        <v>2</v>
      </c>
      <c r="R53" s="4859" t="s">
        <v>6151</v>
      </c>
      <c r="S53" s="4858">
        <v>0</v>
      </c>
      <c r="T53" s="4859" t="s">
        <v>6151</v>
      </c>
      <c r="U53" s="4860">
        <v>0</v>
      </c>
    </row>
    <row r="54" spans="1:29" s="5111" customFormat="1" ht="33.75" customHeight="1">
      <c r="A54" s="4758">
        <v>1</v>
      </c>
      <c r="B54" s="4816">
        <v>46321</v>
      </c>
      <c r="C54" s="4816">
        <v>46321</v>
      </c>
      <c r="D54" s="4759">
        <v>0</v>
      </c>
      <c r="E54" s="4759">
        <v>0.5</v>
      </c>
      <c r="F54" s="5181">
        <f t="shared" ref="F54:F88" si="3">IF(OR(ISBLANK($B54), ISBLANK($C54)), 0, _xlfn.DAYS($C54, $B54) + 1)</f>
        <v>1</v>
      </c>
      <c r="G54" s="4761" t="s">
        <v>6226</v>
      </c>
      <c r="H54" s="4762">
        <v>1</v>
      </c>
      <c r="I54" s="4763" t="s">
        <v>5190</v>
      </c>
      <c r="J54" s="5160">
        <v>25</v>
      </c>
      <c r="K54" s="5161">
        <v>34</v>
      </c>
      <c r="L54" s="5161">
        <v>882</v>
      </c>
      <c r="M54" s="5161">
        <v>7</v>
      </c>
      <c r="N54" s="5162">
        <v>120000</v>
      </c>
      <c r="O54" s="5448">
        <f t="shared" si="2"/>
        <v>120000</v>
      </c>
      <c r="P54" s="4857" t="s">
        <v>2133</v>
      </c>
      <c r="Q54" s="4858">
        <v>2</v>
      </c>
      <c r="R54" s="4859" t="s">
        <v>6151</v>
      </c>
      <c r="S54" s="4858">
        <v>0</v>
      </c>
      <c r="T54" s="4859" t="s">
        <v>6151</v>
      </c>
      <c r="U54" s="4860">
        <v>0</v>
      </c>
    </row>
    <row r="55" spans="1:29" s="5111" customFormat="1" ht="33.65" customHeight="1">
      <c r="A55" s="4758">
        <v>2</v>
      </c>
      <c r="B55" s="4816">
        <v>46305</v>
      </c>
      <c r="C55" s="4816">
        <v>46320</v>
      </c>
      <c r="D55" s="4759">
        <v>0</v>
      </c>
      <c r="E55" s="4759">
        <v>1</v>
      </c>
      <c r="F55" s="5181">
        <v>18</v>
      </c>
      <c r="G55" s="4761" t="s">
        <v>6227</v>
      </c>
      <c r="H55" s="4762">
        <v>1</v>
      </c>
      <c r="I55" s="4763" t="s">
        <v>5190</v>
      </c>
      <c r="J55" s="5160"/>
      <c r="K55" s="5161"/>
      <c r="L55" s="5161">
        <v>34</v>
      </c>
      <c r="M55" s="5161"/>
      <c r="N55" s="5162">
        <v>36000</v>
      </c>
      <c r="O55" s="5448">
        <f>F55*N55</f>
        <v>648000</v>
      </c>
      <c r="P55" s="4857" t="s">
        <v>2688</v>
      </c>
      <c r="Q55" s="4858" t="s">
        <v>246</v>
      </c>
      <c r="R55" s="4859" t="s">
        <v>6151</v>
      </c>
      <c r="S55" s="4858">
        <v>0</v>
      </c>
      <c r="T55" s="4859" t="s">
        <v>6151</v>
      </c>
      <c r="U55" s="4860">
        <v>0</v>
      </c>
    </row>
    <row r="56" spans="1:29" s="5111" customFormat="1" ht="33.65" customHeight="1">
      <c r="A56" s="4758">
        <v>2</v>
      </c>
      <c r="B56" s="4816">
        <v>46321</v>
      </c>
      <c r="C56" s="4816">
        <v>46321</v>
      </c>
      <c r="D56" s="4759">
        <v>0</v>
      </c>
      <c r="E56" s="4759">
        <v>0.5</v>
      </c>
      <c r="F56" s="5181">
        <f t="shared" si="3"/>
        <v>1</v>
      </c>
      <c r="G56" s="4761" t="s">
        <v>6227</v>
      </c>
      <c r="H56" s="4762">
        <v>1</v>
      </c>
      <c r="I56" s="4763" t="s">
        <v>5190</v>
      </c>
      <c r="J56" s="5160"/>
      <c r="K56" s="5161"/>
      <c r="L56" s="5161">
        <v>34</v>
      </c>
      <c r="M56" s="5161"/>
      <c r="N56" s="5162">
        <v>12000</v>
      </c>
      <c r="O56" s="5448">
        <f>F56*N56</f>
        <v>12000</v>
      </c>
      <c r="P56" s="4857" t="s">
        <v>2688</v>
      </c>
      <c r="Q56" s="4858" t="s">
        <v>246</v>
      </c>
      <c r="R56" s="4859" t="s">
        <v>6151</v>
      </c>
      <c r="S56" s="4858">
        <v>0</v>
      </c>
      <c r="T56" s="4859" t="s">
        <v>6151</v>
      </c>
      <c r="U56" s="4860">
        <v>0</v>
      </c>
    </row>
    <row r="57" spans="1:29" s="5111" customFormat="1" ht="33.75" customHeight="1">
      <c r="A57" s="5449">
        <v>3</v>
      </c>
      <c r="B57" s="5450">
        <v>46305</v>
      </c>
      <c r="C57" s="5450">
        <v>46320</v>
      </c>
      <c r="D57" s="5451">
        <v>0</v>
      </c>
      <c r="E57" s="5451">
        <v>1</v>
      </c>
      <c r="F57" s="5452">
        <f t="shared" si="3"/>
        <v>16</v>
      </c>
      <c r="G57" s="5453" t="s">
        <v>5096</v>
      </c>
      <c r="H57" s="5454">
        <v>2</v>
      </c>
      <c r="I57" s="5455" t="s">
        <v>5190</v>
      </c>
      <c r="J57" s="5456">
        <v>8.9</v>
      </c>
      <c r="K57" s="5457">
        <v>13.9</v>
      </c>
      <c r="L57" s="5457">
        <v>127</v>
      </c>
      <c r="M57" s="5457">
        <v>2.8</v>
      </c>
      <c r="N57" s="5458"/>
      <c r="O57" s="5459">
        <f t="shared" si="2"/>
        <v>0</v>
      </c>
      <c r="P57" s="5460" t="s">
        <v>2688</v>
      </c>
      <c r="Q57" s="5461" t="s">
        <v>2602</v>
      </c>
      <c r="R57" s="5462" t="s">
        <v>6151</v>
      </c>
      <c r="S57" s="5461">
        <v>0</v>
      </c>
      <c r="T57" s="5462" t="s">
        <v>6151</v>
      </c>
      <c r="U57" s="5463">
        <v>0</v>
      </c>
    </row>
    <row r="58" spans="1:29" s="5111" customFormat="1" ht="33.75" customHeight="1">
      <c r="A58" s="5449">
        <v>3</v>
      </c>
      <c r="B58" s="5450">
        <v>46321</v>
      </c>
      <c r="C58" s="5450">
        <v>46321</v>
      </c>
      <c r="D58" s="5451">
        <v>0</v>
      </c>
      <c r="E58" s="5451">
        <v>0.5</v>
      </c>
      <c r="F58" s="5452">
        <f t="shared" si="3"/>
        <v>1</v>
      </c>
      <c r="G58" s="5453" t="s">
        <v>5096</v>
      </c>
      <c r="H58" s="5454">
        <v>2</v>
      </c>
      <c r="I58" s="5455" t="s">
        <v>5190</v>
      </c>
      <c r="J58" s="5456">
        <v>8.9</v>
      </c>
      <c r="K58" s="5457">
        <v>13.9</v>
      </c>
      <c r="L58" s="5457">
        <v>127</v>
      </c>
      <c r="M58" s="5457">
        <v>2.8</v>
      </c>
      <c r="N58" s="5458"/>
      <c r="O58" s="5459">
        <f t="shared" si="2"/>
        <v>0</v>
      </c>
      <c r="P58" s="5460" t="s">
        <v>2688</v>
      </c>
      <c r="Q58" s="5461" t="s">
        <v>2602</v>
      </c>
      <c r="R58" s="5462" t="s">
        <v>6151</v>
      </c>
      <c r="S58" s="5461">
        <v>0</v>
      </c>
      <c r="T58" s="5462" t="s">
        <v>6151</v>
      </c>
      <c r="U58" s="5463">
        <v>0</v>
      </c>
    </row>
    <row r="59" spans="1:29" s="5111" customFormat="1" ht="33.75" customHeight="1">
      <c r="A59" s="5449">
        <v>4</v>
      </c>
      <c r="B59" s="5450">
        <v>46305</v>
      </c>
      <c r="C59" s="5450">
        <v>46320</v>
      </c>
      <c r="D59" s="5451">
        <v>0</v>
      </c>
      <c r="E59" s="5451">
        <v>1</v>
      </c>
      <c r="F59" s="5452">
        <f t="shared" si="3"/>
        <v>16</v>
      </c>
      <c r="G59" s="5453" t="s">
        <v>6228</v>
      </c>
      <c r="H59" s="5454">
        <v>2</v>
      </c>
      <c r="I59" s="5455" t="s">
        <v>5190</v>
      </c>
      <c r="J59" s="5456">
        <v>14.5</v>
      </c>
      <c r="K59" s="5457">
        <v>16.600000000000001</v>
      </c>
      <c r="L59" s="5457">
        <v>250</v>
      </c>
      <c r="M59" s="5457">
        <v>4</v>
      </c>
      <c r="N59" s="5458"/>
      <c r="O59" s="5459">
        <f t="shared" si="2"/>
        <v>0</v>
      </c>
      <c r="P59" s="5460" t="s">
        <v>2688</v>
      </c>
      <c r="Q59" s="5461" t="s">
        <v>2602</v>
      </c>
      <c r="R59" s="5462" t="s">
        <v>6151</v>
      </c>
      <c r="S59" s="5461">
        <v>0</v>
      </c>
      <c r="T59" s="5462" t="s">
        <v>6151</v>
      </c>
      <c r="U59" s="5463">
        <v>0</v>
      </c>
    </row>
    <row r="60" spans="1:29" s="5111" customFormat="1" ht="33.75" customHeight="1">
      <c r="A60" s="5449">
        <v>4</v>
      </c>
      <c r="B60" s="5450">
        <v>46321</v>
      </c>
      <c r="C60" s="5450">
        <v>46321</v>
      </c>
      <c r="D60" s="5451">
        <v>0</v>
      </c>
      <c r="E60" s="5451">
        <v>0.5</v>
      </c>
      <c r="F60" s="5452">
        <f t="shared" si="3"/>
        <v>1</v>
      </c>
      <c r="G60" s="5453" t="s">
        <v>6228</v>
      </c>
      <c r="H60" s="5454">
        <v>2</v>
      </c>
      <c r="I60" s="5455" t="s">
        <v>5190</v>
      </c>
      <c r="J60" s="5456">
        <v>14.5</v>
      </c>
      <c r="K60" s="5457">
        <v>16.600000000000001</v>
      </c>
      <c r="L60" s="5457">
        <v>250</v>
      </c>
      <c r="M60" s="5457">
        <v>4</v>
      </c>
      <c r="N60" s="5458"/>
      <c r="O60" s="5459">
        <f t="shared" si="2"/>
        <v>0</v>
      </c>
      <c r="P60" s="5460" t="s">
        <v>2688</v>
      </c>
      <c r="Q60" s="5461" t="s">
        <v>2602</v>
      </c>
      <c r="R60" s="5462" t="s">
        <v>6151</v>
      </c>
      <c r="S60" s="5461">
        <v>0</v>
      </c>
      <c r="T60" s="5462" t="s">
        <v>6151</v>
      </c>
      <c r="U60" s="5463">
        <v>0</v>
      </c>
    </row>
    <row r="61" spans="1:29" s="5111" customFormat="1" ht="33.75" customHeight="1">
      <c r="A61" s="4758">
        <v>5</v>
      </c>
      <c r="B61" s="4816">
        <v>46305</v>
      </c>
      <c r="C61" s="4816">
        <v>46320</v>
      </c>
      <c r="D61" s="4759">
        <v>0</v>
      </c>
      <c r="E61" s="4759">
        <v>1</v>
      </c>
      <c r="F61" s="5181">
        <v>18</v>
      </c>
      <c r="G61" s="4761" t="s">
        <v>477</v>
      </c>
      <c r="H61" s="4762">
        <v>1</v>
      </c>
      <c r="I61" s="4763" t="s">
        <v>5190</v>
      </c>
      <c r="J61" s="5160">
        <v>13.9</v>
      </c>
      <c r="K61" s="5161">
        <v>9.6999999999999993</v>
      </c>
      <c r="L61" s="5161">
        <v>135</v>
      </c>
      <c r="M61" s="5161">
        <v>3.5</v>
      </c>
      <c r="N61" s="5162">
        <v>162000</v>
      </c>
      <c r="O61" s="5448">
        <f t="shared" si="2"/>
        <v>2916000</v>
      </c>
      <c r="P61" s="4857" t="s">
        <v>2688</v>
      </c>
      <c r="Q61" s="4858" t="s">
        <v>2602</v>
      </c>
      <c r="R61" s="4859" t="s">
        <v>6151</v>
      </c>
      <c r="S61" s="4858">
        <v>0</v>
      </c>
      <c r="T61" s="4859" t="s">
        <v>6151</v>
      </c>
      <c r="U61" s="4860">
        <v>0</v>
      </c>
    </row>
    <row r="62" spans="1:29" s="5111" customFormat="1" ht="33.75" customHeight="1">
      <c r="A62" s="4758">
        <v>5</v>
      </c>
      <c r="B62" s="4816">
        <v>46321</v>
      </c>
      <c r="C62" s="4816">
        <v>46321</v>
      </c>
      <c r="D62" s="4759">
        <v>0</v>
      </c>
      <c r="E62" s="4759">
        <v>0.5</v>
      </c>
      <c r="F62" s="5181">
        <f t="shared" si="3"/>
        <v>1</v>
      </c>
      <c r="G62" s="4761" t="s">
        <v>477</v>
      </c>
      <c r="H62" s="4762">
        <v>1</v>
      </c>
      <c r="I62" s="4763" t="s">
        <v>5190</v>
      </c>
      <c r="J62" s="5160">
        <v>13.9</v>
      </c>
      <c r="K62" s="5161">
        <v>9.6999999999999993</v>
      </c>
      <c r="L62" s="5161">
        <v>135</v>
      </c>
      <c r="M62" s="5161">
        <v>3.5</v>
      </c>
      <c r="N62" s="5162">
        <v>54000</v>
      </c>
      <c r="O62" s="5448">
        <f t="shared" si="2"/>
        <v>54000</v>
      </c>
      <c r="P62" s="4857" t="s">
        <v>2688</v>
      </c>
      <c r="Q62" s="4858" t="s">
        <v>2602</v>
      </c>
      <c r="R62" s="4859" t="s">
        <v>6151</v>
      </c>
      <c r="S62" s="4858">
        <v>0</v>
      </c>
      <c r="T62" s="4859" t="s">
        <v>6151</v>
      </c>
      <c r="U62" s="4860">
        <v>0</v>
      </c>
    </row>
    <row r="63" spans="1:29" s="5111" customFormat="1" ht="33.75" customHeight="1">
      <c r="A63" s="5449">
        <v>6</v>
      </c>
      <c r="B63" s="5450">
        <v>46305</v>
      </c>
      <c r="C63" s="5450">
        <v>46320</v>
      </c>
      <c r="D63" s="5451">
        <v>0</v>
      </c>
      <c r="E63" s="5451">
        <v>1</v>
      </c>
      <c r="F63" s="5452">
        <f t="shared" si="3"/>
        <v>16</v>
      </c>
      <c r="G63" s="5453" t="s">
        <v>6229</v>
      </c>
      <c r="H63" s="5454">
        <v>3</v>
      </c>
      <c r="I63" s="5455" t="s">
        <v>5784</v>
      </c>
      <c r="J63" s="5456">
        <v>5.8</v>
      </c>
      <c r="K63" s="5457">
        <v>6.8</v>
      </c>
      <c r="L63" s="5457">
        <v>40</v>
      </c>
      <c r="M63" s="5457">
        <v>2.5</v>
      </c>
      <c r="N63" s="5458"/>
      <c r="O63" s="5459">
        <f t="shared" si="2"/>
        <v>0</v>
      </c>
      <c r="P63" s="5460" t="s">
        <v>2688</v>
      </c>
      <c r="Q63" s="5461" t="s">
        <v>2602</v>
      </c>
      <c r="R63" s="5460" t="s">
        <v>2688</v>
      </c>
      <c r="S63" s="5461" t="s">
        <v>2602</v>
      </c>
      <c r="T63" s="5460" t="s">
        <v>2688</v>
      </c>
      <c r="U63" s="5463" t="s">
        <v>2602</v>
      </c>
    </row>
    <row r="64" spans="1:29" s="5111" customFormat="1" ht="33.75" customHeight="1">
      <c r="A64" s="5449">
        <v>6</v>
      </c>
      <c r="B64" s="5450">
        <v>46321</v>
      </c>
      <c r="C64" s="5450">
        <v>46321</v>
      </c>
      <c r="D64" s="5451">
        <v>0</v>
      </c>
      <c r="E64" s="5451">
        <v>0.5</v>
      </c>
      <c r="F64" s="5452">
        <f t="shared" si="3"/>
        <v>1</v>
      </c>
      <c r="G64" s="5453" t="s">
        <v>6229</v>
      </c>
      <c r="H64" s="5454">
        <v>3</v>
      </c>
      <c r="I64" s="5455" t="s">
        <v>5784</v>
      </c>
      <c r="J64" s="5456">
        <v>5.8</v>
      </c>
      <c r="K64" s="5457">
        <v>6.8</v>
      </c>
      <c r="L64" s="5457">
        <v>40</v>
      </c>
      <c r="M64" s="5457">
        <v>2.5</v>
      </c>
      <c r="N64" s="5458"/>
      <c r="O64" s="5459">
        <f t="shared" si="2"/>
        <v>0</v>
      </c>
      <c r="P64" s="5460" t="s">
        <v>2688</v>
      </c>
      <c r="Q64" s="5461" t="s">
        <v>2602</v>
      </c>
      <c r="R64" s="5460" t="s">
        <v>2688</v>
      </c>
      <c r="S64" s="5461" t="s">
        <v>2602</v>
      </c>
      <c r="T64" s="5460" t="s">
        <v>2688</v>
      </c>
      <c r="U64" s="5463" t="s">
        <v>2602</v>
      </c>
    </row>
    <row r="65" spans="1:29" s="5111" customFormat="1" ht="33.75" customHeight="1">
      <c r="A65" s="5449">
        <v>7</v>
      </c>
      <c r="B65" s="5450">
        <v>46305</v>
      </c>
      <c r="C65" s="5450">
        <v>46320</v>
      </c>
      <c r="D65" s="5451">
        <v>0</v>
      </c>
      <c r="E65" s="5451">
        <v>1</v>
      </c>
      <c r="F65" s="5452">
        <f t="shared" si="3"/>
        <v>16</v>
      </c>
      <c r="G65" s="5453" t="s">
        <v>6230</v>
      </c>
      <c r="H65" s="5454">
        <v>3</v>
      </c>
      <c r="I65" s="5455" t="s">
        <v>5784</v>
      </c>
      <c r="J65" s="5456">
        <v>5.8</v>
      </c>
      <c r="K65" s="5457">
        <v>6.8</v>
      </c>
      <c r="L65" s="5457">
        <v>40</v>
      </c>
      <c r="M65" s="5457">
        <v>2.5</v>
      </c>
      <c r="N65" s="5458"/>
      <c r="O65" s="5459">
        <f t="shared" si="2"/>
        <v>0</v>
      </c>
      <c r="P65" s="5460" t="s">
        <v>2688</v>
      </c>
      <c r="Q65" s="5461" t="s">
        <v>2602</v>
      </c>
      <c r="R65" s="5460" t="s">
        <v>2688</v>
      </c>
      <c r="S65" s="5461" t="s">
        <v>2602</v>
      </c>
      <c r="T65" s="5460" t="s">
        <v>2688</v>
      </c>
      <c r="U65" s="5463" t="s">
        <v>2602</v>
      </c>
    </row>
    <row r="66" spans="1:29" s="5111" customFormat="1" ht="33.75" customHeight="1">
      <c r="A66" s="5449">
        <v>7</v>
      </c>
      <c r="B66" s="5450">
        <v>46321</v>
      </c>
      <c r="C66" s="5450">
        <v>46321</v>
      </c>
      <c r="D66" s="5451">
        <v>0</v>
      </c>
      <c r="E66" s="5451">
        <v>0.5</v>
      </c>
      <c r="F66" s="5452">
        <f t="shared" si="3"/>
        <v>1</v>
      </c>
      <c r="G66" s="5453" t="s">
        <v>6230</v>
      </c>
      <c r="H66" s="5454">
        <v>3</v>
      </c>
      <c r="I66" s="5455" t="s">
        <v>5784</v>
      </c>
      <c r="J66" s="5456">
        <v>5.8</v>
      </c>
      <c r="K66" s="5457">
        <v>6.8</v>
      </c>
      <c r="L66" s="5457">
        <v>40</v>
      </c>
      <c r="M66" s="5457">
        <v>2.5</v>
      </c>
      <c r="N66" s="5458"/>
      <c r="O66" s="5459">
        <f t="shared" si="2"/>
        <v>0</v>
      </c>
      <c r="P66" s="5460" t="s">
        <v>2688</v>
      </c>
      <c r="Q66" s="5461" t="s">
        <v>2602</v>
      </c>
      <c r="R66" s="5460" t="s">
        <v>2688</v>
      </c>
      <c r="S66" s="5461" t="s">
        <v>2602</v>
      </c>
      <c r="T66" s="5460" t="s">
        <v>2688</v>
      </c>
      <c r="U66" s="5463" t="s">
        <v>2602</v>
      </c>
    </row>
    <row r="67" spans="1:29" s="5111" customFormat="1" ht="33.75" customHeight="1">
      <c r="A67" s="5449">
        <v>8</v>
      </c>
      <c r="B67" s="5450">
        <v>46305</v>
      </c>
      <c r="C67" s="5450">
        <v>46320</v>
      </c>
      <c r="D67" s="5451">
        <v>0</v>
      </c>
      <c r="E67" s="5451">
        <v>1</v>
      </c>
      <c r="F67" s="5452">
        <f t="shared" si="3"/>
        <v>16</v>
      </c>
      <c r="G67" s="5453" t="s">
        <v>6231</v>
      </c>
      <c r="H67" s="5454">
        <v>3</v>
      </c>
      <c r="I67" s="5455" t="s">
        <v>5784</v>
      </c>
      <c r="J67" s="5456">
        <v>5.8</v>
      </c>
      <c r="K67" s="5457">
        <v>6.8</v>
      </c>
      <c r="L67" s="5457">
        <v>40</v>
      </c>
      <c r="M67" s="5457">
        <v>2.5</v>
      </c>
      <c r="N67" s="5458"/>
      <c r="O67" s="5459">
        <f t="shared" si="2"/>
        <v>0</v>
      </c>
      <c r="P67" s="5460" t="s">
        <v>2688</v>
      </c>
      <c r="Q67" s="5461" t="s">
        <v>2602</v>
      </c>
      <c r="R67" s="5460" t="s">
        <v>2688</v>
      </c>
      <c r="S67" s="5461" t="s">
        <v>2602</v>
      </c>
      <c r="T67" s="5460" t="s">
        <v>2688</v>
      </c>
      <c r="U67" s="5463" t="s">
        <v>2602</v>
      </c>
    </row>
    <row r="68" spans="1:29" s="5111" customFormat="1" ht="33.75" customHeight="1">
      <c r="A68" s="5449">
        <v>8</v>
      </c>
      <c r="B68" s="5450">
        <v>46321</v>
      </c>
      <c r="C68" s="5450">
        <v>46321</v>
      </c>
      <c r="D68" s="5451">
        <v>0</v>
      </c>
      <c r="E68" s="5451">
        <v>0.5</v>
      </c>
      <c r="F68" s="5452">
        <f t="shared" si="3"/>
        <v>1</v>
      </c>
      <c r="G68" s="5453" t="s">
        <v>6231</v>
      </c>
      <c r="H68" s="5454">
        <v>3</v>
      </c>
      <c r="I68" s="5455" t="s">
        <v>5784</v>
      </c>
      <c r="J68" s="5456">
        <v>5.8</v>
      </c>
      <c r="K68" s="5457">
        <v>6.8</v>
      </c>
      <c r="L68" s="5457">
        <v>40</v>
      </c>
      <c r="M68" s="5457">
        <v>2.5</v>
      </c>
      <c r="N68" s="5458"/>
      <c r="O68" s="5459">
        <f t="shared" si="2"/>
        <v>0</v>
      </c>
      <c r="P68" s="5460" t="s">
        <v>2688</v>
      </c>
      <c r="Q68" s="5461" t="s">
        <v>2602</v>
      </c>
      <c r="R68" s="5460" t="s">
        <v>2688</v>
      </c>
      <c r="S68" s="5461" t="s">
        <v>2602</v>
      </c>
      <c r="T68" s="5460" t="s">
        <v>2688</v>
      </c>
      <c r="U68" s="5463" t="s">
        <v>2602</v>
      </c>
    </row>
    <row r="69" spans="1:29" s="5111" customFormat="1" ht="33.75" customHeight="1">
      <c r="A69" s="5449">
        <v>9</v>
      </c>
      <c r="B69" s="5450">
        <v>46305</v>
      </c>
      <c r="C69" s="5450">
        <v>46320</v>
      </c>
      <c r="D69" s="5451">
        <v>0</v>
      </c>
      <c r="E69" s="5451">
        <v>1</v>
      </c>
      <c r="F69" s="5452">
        <f t="shared" si="3"/>
        <v>16</v>
      </c>
      <c r="G69" s="5453" t="s">
        <v>6232</v>
      </c>
      <c r="H69" s="5454">
        <v>3</v>
      </c>
      <c r="I69" s="5455" t="s">
        <v>5784</v>
      </c>
      <c r="J69" s="5456">
        <v>7.1</v>
      </c>
      <c r="K69" s="5457">
        <v>6.8</v>
      </c>
      <c r="L69" s="5457">
        <v>50</v>
      </c>
      <c r="M69" s="5457">
        <v>2.5</v>
      </c>
      <c r="N69" s="5458"/>
      <c r="O69" s="5459">
        <f t="shared" si="2"/>
        <v>0</v>
      </c>
      <c r="P69" s="5460" t="s">
        <v>2688</v>
      </c>
      <c r="Q69" s="5461" t="s">
        <v>2602</v>
      </c>
      <c r="R69" s="5460" t="s">
        <v>2688</v>
      </c>
      <c r="S69" s="5461" t="s">
        <v>2602</v>
      </c>
      <c r="T69" s="5460" t="s">
        <v>2688</v>
      </c>
      <c r="U69" s="5463" t="s">
        <v>2602</v>
      </c>
    </row>
    <row r="70" spans="1:29" s="5111" customFormat="1" ht="33.75" customHeight="1">
      <c r="A70" s="5449">
        <v>9</v>
      </c>
      <c r="B70" s="5450">
        <v>46321</v>
      </c>
      <c r="C70" s="5450">
        <v>46321</v>
      </c>
      <c r="D70" s="5451">
        <v>0</v>
      </c>
      <c r="E70" s="5451">
        <v>0.5</v>
      </c>
      <c r="F70" s="5452">
        <f t="shared" si="3"/>
        <v>1</v>
      </c>
      <c r="G70" s="5453" t="s">
        <v>6232</v>
      </c>
      <c r="H70" s="5454">
        <v>3</v>
      </c>
      <c r="I70" s="5455" t="s">
        <v>5784</v>
      </c>
      <c r="J70" s="5456">
        <v>7.1</v>
      </c>
      <c r="K70" s="5457">
        <v>6.8</v>
      </c>
      <c r="L70" s="5457">
        <v>50</v>
      </c>
      <c r="M70" s="5457">
        <v>2.5</v>
      </c>
      <c r="N70" s="5458"/>
      <c r="O70" s="5459">
        <f t="shared" si="2"/>
        <v>0</v>
      </c>
      <c r="P70" s="5460" t="s">
        <v>2688</v>
      </c>
      <c r="Q70" s="5461" t="s">
        <v>2602</v>
      </c>
      <c r="R70" s="5460" t="s">
        <v>2688</v>
      </c>
      <c r="S70" s="5461" t="s">
        <v>2602</v>
      </c>
      <c r="T70" s="5460" t="s">
        <v>2688</v>
      </c>
      <c r="U70" s="5463" t="s">
        <v>2602</v>
      </c>
    </row>
    <row r="71" spans="1:29" ht="33.75" customHeight="1">
      <c r="A71" s="5449">
        <v>10</v>
      </c>
      <c r="B71" s="5450">
        <v>46305</v>
      </c>
      <c r="C71" s="5450">
        <v>46320</v>
      </c>
      <c r="D71" s="5451">
        <v>0</v>
      </c>
      <c r="E71" s="5451">
        <v>1</v>
      </c>
      <c r="F71" s="5452">
        <f t="shared" si="3"/>
        <v>16</v>
      </c>
      <c r="G71" s="5453" t="s">
        <v>6233</v>
      </c>
      <c r="H71" s="5454">
        <v>3</v>
      </c>
      <c r="I71" s="5455" t="s">
        <v>5784</v>
      </c>
      <c r="J71" s="5456">
        <v>7.1</v>
      </c>
      <c r="K71" s="5457">
        <v>6.8</v>
      </c>
      <c r="L71" s="5457">
        <v>50</v>
      </c>
      <c r="M71" s="5457">
        <v>2.5</v>
      </c>
      <c r="N71" s="5458"/>
      <c r="O71" s="5459">
        <f t="shared" si="2"/>
        <v>0</v>
      </c>
      <c r="P71" s="5460" t="s">
        <v>2688</v>
      </c>
      <c r="Q71" s="5461" t="s">
        <v>2602</v>
      </c>
      <c r="R71" s="5462" t="s">
        <v>6151</v>
      </c>
      <c r="S71" s="5461">
        <v>0</v>
      </c>
      <c r="T71" s="5460" t="s">
        <v>2688</v>
      </c>
      <c r="U71" s="5463" t="s">
        <v>2602</v>
      </c>
      <c r="AC71" s="4941"/>
    </row>
    <row r="72" spans="1:29" ht="33.75" customHeight="1">
      <c r="A72" s="5449">
        <v>10</v>
      </c>
      <c r="B72" s="5450">
        <v>46321</v>
      </c>
      <c r="C72" s="5450">
        <v>46321</v>
      </c>
      <c r="D72" s="5451">
        <v>0</v>
      </c>
      <c r="E72" s="5451">
        <v>0.5</v>
      </c>
      <c r="F72" s="5452">
        <f t="shared" si="3"/>
        <v>1</v>
      </c>
      <c r="G72" s="5453" t="s">
        <v>6233</v>
      </c>
      <c r="H72" s="5454">
        <v>3</v>
      </c>
      <c r="I72" s="5455" t="s">
        <v>5784</v>
      </c>
      <c r="J72" s="5456">
        <v>7.1</v>
      </c>
      <c r="K72" s="5457">
        <v>6.8</v>
      </c>
      <c r="L72" s="5457">
        <v>50</v>
      </c>
      <c r="M72" s="5457">
        <v>2.5</v>
      </c>
      <c r="N72" s="5458"/>
      <c r="O72" s="5459">
        <f t="shared" si="2"/>
        <v>0</v>
      </c>
      <c r="P72" s="5460" t="s">
        <v>2688</v>
      </c>
      <c r="Q72" s="5461" t="s">
        <v>2602</v>
      </c>
      <c r="R72" s="5462" t="s">
        <v>6151</v>
      </c>
      <c r="S72" s="5461">
        <v>0</v>
      </c>
      <c r="T72" s="5460" t="s">
        <v>2688</v>
      </c>
      <c r="U72" s="5463" t="s">
        <v>2602</v>
      </c>
      <c r="AC72" s="4941"/>
    </row>
    <row r="73" spans="1:29" ht="33.65" customHeight="1">
      <c r="A73" s="5449">
        <v>11</v>
      </c>
      <c r="B73" s="5450">
        <v>46305</v>
      </c>
      <c r="C73" s="5450">
        <v>46320</v>
      </c>
      <c r="D73" s="5451">
        <v>0</v>
      </c>
      <c r="E73" s="5451">
        <v>1</v>
      </c>
      <c r="F73" s="5452">
        <f t="shared" si="3"/>
        <v>16</v>
      </c>
      <c r="G73" s="5464" t="s">
        <v>6234</v>
      </c>
      <c r="H73" s="5454">
        <v>3</v>
      </c>
      <c r="I73" s="5455" t="s">
        <v>5784</v>
      </c>
      <c r="J73" s="5456">
        <v>7.1</v>
      </c>
      <c r="K73" s="5457">
        <v>6.8</v>
      </c>
      <c r="L73" s="5457">
        <v>50</v>
      </c>
      <c r="M73" s="5457">
        <v>2.5</v>
      </c>
      <c r="N73" s="5458"/>
      <c r="O73" s="5459">
        <f t="shared" si="2"/>
        <v>0</v>
      </c>
      <c r="P73" s="5460" t="s">
        <v>2688</v>
      </c>
      <c r="Q73" s="5461" t="s">
        <v>2602</v>
      </c>
      <c r="R73" s="5462" t="s">
        <v>6151</v>
      </c>
      <c r="S73" s="5461">
        <v>0</v>
      </c>
      <c r="T73" s="5460" t="s">
        <v>2688</v>
      </c>
      <c r="U73" s="5463" t="s">
        <v>2602</v>
      </c>
      <c r="AC73" s="4941"/>
    </row>
    <row r="74" spans="1:29" ht="33.65" customHeight="1">
      <c r="A74" s="5449">
        <v>11</v>
      </c>
      <c r="B74" s="5450">
        <v>46321</v>
      </c>
      <c r="C74" s="5450">
        <v>46321</v>
      </c>
      <c r="D74" s="5451">
        <v>0</v>
      </c>
      <c r="E74" s="5451">
        <v>0.5</v>
      </c>
      <c r="F74" s="5452">
        <f t="shared" si="3"/>
        <v>1</v>
      </c>
      <c r="G74" s="5464" t="s">
        <v>6234</v>
      </c>
      <c r="H74" s="5454">
        <v>3</v>
      </c>
      <c r="I74" s="5455" t="s">
        <v>5784</v>
      </c>
      <c r="J74" s="5456">
        <v>7.1</v>
      </c>
      <c r="K74" s="5457">
        <v>6.8</v>
      </c>
      <c r="L74" s="5457">
        <v>50</v>
      </c>
      <c r="M74" s="5457">
        <v>2.5</v>
      </c>
      <c r="N74" s="5458"/>
      <c r="O74" s="5459">
        <f t="shared" si="2"/>
        <v>0</v>
      </c>
      <c r="P74" s="5460" t="s">
        <v>2688</v>
      </c>
      <c r="Q74" s="5461" t="s">
        <v>2602</v>
      </c>
      <c r="R74" s="5462" t="s">
        <v>6151</v>
      </c>
      <c r="S74" s="5461">
        <v>0</v>
      </c>
      <c r="T74" s="5460" t="s">
        <v>2688</v>
      </c>
      <c r="U74" s="5463" t="s">
        <v>2602</v>
      </c>
      <c r="AC74" s="4941"/>
    </row>
    <row r="75" spans="1:29" ht="33.75" customHeight="1">
      <c r="A75" s="5449">
        <v>12</v>
      </c>
      <c r="B75" s="5450">
        <v>46305</v>
      </c>
      <c r="C75" s="5450">
        <v>46320</v>
      </c>
      <c r="D75" s="5451">
        <v>0</v>
      </c>
      <c r="E75" s="5451">
        <v>1</v>
      </c>
      <c r="F75" s="5452">
        <f t="shared" si="3"/>
        <v>16</v>
      </c>
      <c r="G75" s="5464" t="s">
        <v>6235</v>
      </c>
      <c r="H75" s="5454">
        <v>2</v>
      </c>
      <c r="I75" s="5455" t="s">
        <v>5784</v>
      </c>
      <c r="J75" s="5456">
        <v>9.6</v>
      </c>
      <c r="K75" s="5457">
        <v>8.3000000000000007</v>
      </c>
      <c r="L75" s="5457">
        <v>77</v>
      </c>
      <c r="M75" s="5457">
        <v>2.8</v>
      </c>
      <c r="N75" s="5458"/>
      <c r="O75" s="5459">
        <f t="shared" si="2"/>
        <v>0</v>
      </c>
      <c r="P75" s="5460" t="s">
        <v>2688</v>
      </c>
      <c r="Q75" s="5461" t="s">
        <v>2602</v>
      </c>
      <c r="R75" s="5462" t="s">
        <v>6151</v>
      </c>
      <c r="S75" s="5461">
        <v>0</v>
      </c>
      <c r="T75" s="5462" t="s">
        <v>6151</v>
      </c>
      <c r="U75" s="5463">
        <v>0</v>
      </c>
      <c r="AC75" s="4941"/>
    </row>
    <row r="76" spans="1:29" ht="33.75" customHeight="1">
      <c r="A76" s="5449">
        <v>12</v>
      </c>
      <c r="B76" s="5450">
        <v>46321</v>
      </c>
      <c r="C76" s="5450">
        <v>46321</v>
      </c>
      <c r="D76" s="5451">
        <v>0</v>
      </c>
      <c r="E76" s="5451">
        <v>0.5</v>
      </c>
      <c r="F76" s="5452">
        <f t="shared" si="3"/>
        <v>1</v>
      </c>
      <c r="G76" s="5464" t="s">
        <v>6235</v>
      </c>
      <c r="H76" s="5454">
        <v>2</v>
      </c>
      <c r="I76" s="5455" t="s">
        <v>5784</v>
      </c>
      <c r="J76" s="5456">
        <v>9.6</v>
      </c>
      <c r="K76" s="5457">
        <v>8.3000000000000007</v>
      </c>
      <c r="L76" s="5457">
        <v>77</v>
      </c>
      <c r="M76" s="5457">
        <v>2.8</v>
      </c>
      <c r="N76" s="5458"/>
      <c r="O76" s="5459">
        <f t="shared" si="2"/>
        <v>0</v>
      </c>
      <c r="P76" s="5460" t="s">
        <v>2688</v>
      </c>
      <c r="Q76" s="5461" t="s">
        <v>2602</v>
      </c>
      <c r="R76" s="5462" t="s">
        <v>6151</v>
      </c>
      <c r="S76" s="5461">
        <v>0</v>
      </c>
      <c r="T76" s="5462" t="s">
        <v>6151</v>
      </c>
      <c r="U76" s="5463">
        <v>0</v>
      </c>
      <c r="AC76" s="4941"/>
    </row>
    <row r="77" spans="1:29" ht="33.75" customHeight="1">
      <c r="A77" s="4758">
        <v>13</v>
      </c>
      <c r="B77" s="4816">
        <v>46305</v>
      </c>
      <c r="C77" s="4816">
        <v>46320</v>
      </c>
      <c r="D77" s="4759">
        <v>0</v>
      </c>
      <c r="E77" s="4759">
        <v>1</v>
      </c>
      <c r="F77" s="5181">
        <v>18</v>
      </c>
      <c r="G77" s="4771" t="s">
        <v>6236</v>
      </c>
      <c r="H77" s="4762">
        <v>2</v>
      </c>
      <c r="I77" s="4763" t="s">
        <v>5784</v>
      </c>
      <c r="J77" s="5160">
        <v>7</v>
      </c>
      <c r="K77" s="5161">
        <v>10.6</v>
      </c>
      <c r="L77" s="5161">
        <v>69</v>
      </c>
      <c r="M77" s="5161">
        <v>2.8</v>
      </c>
      <c r="N77" s="5162">
        <v>84000</v>
      </c>
      <c r="O77" s="5448">
        <f>F77*N77</f>
        <v>1512000</v>
      </c>
      <c r="P77" s="4857" t="s">
        <v>2688</v>
      </c>
      <c r="Q77" s="4858" t="s">
        <v>2602</v>
      </c>
      <c r="R77" s="4859" t="s">
        <v>6151</v>
      </c>
      <c r="S77" s="4858">
        <v>0</v>
      </c>
      <c r="T77" s="4859" t="s">
        <v>6151</v>
      </c>
      <c r="U77" s="4860">
        <v>0</v>
      </c>
      <c r="AC77" s="4941"/>
    </row>
    <row r="78" spans="1:29" ht="33.75" customHeight="1">
      <c r="A78" s="4758">
        <v>13</v>
      </c>
      <c r="B78" s="4816">
        <v>46321</v>
      </c>
      <c r="C78" s="4816">
        <v>46321</v>
      </c>
      <c r="D78" s="4759">
        <v>0</v>
      </c>
      <c r="E78" s="4759">
        <v>0.5</v>
      </c>
      <c r="F78" s="5181">
        <f t="shared" si="3"/>
        <v>1</v>
      </c>
      <c r="G78" s="4771" t="s">
        <v>6236</v>
      </c>
      <c r="H78" s="4762">
        <v>2</v>
      </c>
      <c r="I78" s="4763" t="s">
        <v>5784</v>
      </c>
      <c r="J78" s="5160">
        <v>7</v>
      </c>
      <c r="K78" s="5161">
        <v>10.6</v>
      </c>
      <c r="L78" s="5161">
        <v>69</v>
      </c>
      <c r="M78" s="5161">
        <v>2.8</v>
      </c>
      <c r="N78" s="5162">
        <v>28000</v>
      </c>
      <c r="O78" s="5448">
        <f>F78*N78</f>
        <v>28000</v>
      </c>
      <c r="P78" s="4857" t="s">
        <v>2688</v>
      </c>
      <c r="Q78" s="4858" t="s">
        <v>2602</v>
      </c>
      <c r="R78" s="4859" t="s">
        <v>6151</v>
      </c>
      <c r="S78" s="4858">
        <v>0</v>
      </c>
      <c r="T78" s="4859" t="s">
        <v>6151</v>
      </c>
      <c r="U78" s="4860">
        <v>0</v>
      </c>
      <c r="AC78" s="4941"/>
    </row>
    <row r="79" spans="1:29" ht="33.75" customHeight="1">
      <c r="A79" s="5449">
        <v>14</v>
      </c>
      <c r="B79" s="5450">
        <v>46305</v>
      </c>
      <c r="C79" s="5450">
        <v>46320</v>
      </c>
      <c r="D79" s="5451">
        <v>0</v>
      </c>
      <c r="E79" s="5451">
        <v>1</v>
      </c>
      <c r="F79" s="5452">
        <f t="shared" si="3"/>
        <v>16</v>
      </c>
      <c r="G79" s="5464" t="s">
        <v>6237</v>
      </c>
      <c r="H79" s="5454">
        <v>2</v>
      </c>
      <c r="I79" s="5455" t="s">
        <v>5784</v>
      </c>
      <c r="J79" s="5456">
        <v>8</v>
      </c>
      <c r="K79" s="5457">
        <v>7</v>
      </c>
      <c r="L79" s="5457">
        <v>59</v>
      </c>
      <c r="M79" s="5457">
        <v>3</v>
      </c>
      <c r="N79" s="5458"/>
      <c r="O79" s="5459">
        <f t="shared" si="2"/>
        <v>0</v>
      </c>
      <c r="P79" s="5460" t="s">
        <v>2688</v>
      </c>
      <c r="Q79" s="5461" t="s">
        <v>2602</v>
      </c>
      <c r="R79" s="5462" t="s">
        <v>6151</v>
      </c>
      <c r="S79" s="5461">
        <v>0</v>
      </c>
      <c r="T79" s="5462" t="s">
        <v>6151</v>
      </c>
      <c r="U79" s="5463">
        <v>0</v>
      </c>
      <c r="AC79" s="4941"/>
    </row>
    <row r="80" spans="1:29" ht="33.75" customHeight="1">
      <c r="A80" s="5449">
        <v>14</v>
      </c>
      <c r="B80" s="5450">
        <v>46321</v>
      </c>
      <c r="C80" s="5450">
        <v>46321</v>
      </c>
      <c r="D80" s="5451">
        <v>0</v>
      </c>
      <c r="E80" s="5451">
        <v>0.5</v>
      </c>
      <c r="F80" s="5452">
        <f t="shared" si="3"/>
        <v>1</v>
      </c>
      <c r="G80" s="5464" t="s">
        <v>6237</v>
      </c>
      <c r="H80" s="5454">
        <v>2</v>
      </c>
      <c r="I80" s="5455" t="s">
        <v>5784</v>
      </c>
      <c r="J80" s="5456">
        <v>8</v>
      </c>
      <c r="K80" s="5457">
        <v>7</v>
      </c>
      <c r="L80" s="5457">
        <v>59</v>
      </c>
      <c r="M80" s="5457">
        <v>3</v>
      </c>
      <c r="N80" s="5458"/>
      <c r="O80" s="5459">
        <f t="shared" si="2"/>
        <v>0</v>
      </c>
      <c r="P80" s="5460" t="s">
        <v>2688</v>
      </c>
      <c r="Q80" s="5461" t="s">
        <v>2602</v>
      </c>
      <c r="R80" s="5462" t="s">
        <v>6151</v>
      </c>
      <c r="S80" s="5461">
        <v>0</v>
      </c>
      <c r="T80" s="5462" t="s">
        <v>6151</v>
      </c>
      <c r="U80" s="5463">
        <v>0</v>
      </c>
      <c r="AC80" s="4941"/>
    </row>
    <row r="81" spans="1:31" ht="33.75" customHeight="1">
      <c r="A81" s="5449">
        <v>15</v>
      </c>
      <c r="B81" s="5450">
        <v>46305</v>
      </c>
      <c r="C81" s="5450">
        <v>46320</v>
      </c>
      <c r="D81" s="5451">
        <v>0</v>
      </c>
      <c r="E81" s="5451">
        <v>1</v>
      </c>
      <c r="F81" s="5452">
        <f t="shared" si="3"/>
        <v>16</v>
      </c>
      <c r="G81" s="5464" t="s">
        <v>6238</v>
      </c>
      <c r="H81" s="5454">
        <v>2</v>
      </c>
      <c r="I81" s="5455" t="s">
        <v>5784</v>
      </c>
      <c r="J81" s="5456">
        <v>8</v>
      </c>
      <c r="K81" s="5457">
        <v>7</v>
      </c>
      <c r="L81" s="5457">
        <v>59</v>
      </c>
      <c r="M81" s="5457">
        <v>3</v>
      </c>
      <c r="N81" s="5458"/>
      <c r="O81" s="5459">
        <f>F81*N81</f>
        <v>0</v>
      </c>
      <c r="P81" s="5460" t="s">
        <v>2688</v>
      </c>
      <c r="Q81" s="5461" t="s">
        <v>2602</v>
      </c>
      <c r="R81" s="5462" t="s">
        <v>6151</v>
      </c>
      <c r="S81" s="5461">
        <v>0</v>
      </c>
      <c r="T81" s="5462" t="s">
        <v>6151</v>
      </c>
      <c r="U81" s="5463">
        <v>0</v>
      </c>
      <c r="AC81" s="4941"/>
    </row>
    <row r="82" spans="1:31" ht="33.75" customHeight="1">
      <c r="A82" s="5449">
        <v>15</v>
      </c>
      <c r="B82" s="5450">
        <v>46321</v>
      </c>
      <c r="C82" s="5450">
        <v>46321</v>
      </c>
      <c r="D82" s="5451">
        <v>0</v>
      </c>
      <c r="E82" s="5451">
        <v>0.5</v>
      </c>
      <c r="F82" s="5452">
        <f t="shared" si="3"/>
        <v>1</v>
      </c>
      <c r="G82" s="5464" t="s">
        <v>6238</v>
      </c>
      <c r="H82" s="5454">
        <v>2</v>
      </c>
      <c r="I82" s="5455" t="s">
        <v>5784</v>
      </c>
      <c r="J82" s="5456">
        <v>8</v>
      </c>
      <c r="K82" s="5457">
        <v>7</v>
      </c>
      <c r="L82" s="5457">
        <v>59</v>
      </c>
      <c r="M82" s="5457">
        <v>3</v>
      </c>
      <c r="N82" s="5458"/>
      <c r="O82" s="5459">
        <f>F82*N82</f>
        <v>0</v>
      </c>
      <c r="P82" s="5460" t="s">
        <v>2688</v>
      </c>
      <c r="Q82" s="5461" t="s">
        <v>2602</v>
      </c>
      <c r="R82" s="5462" t="s">
        <v>6151</v>
      </c>
      <c r="S82" s="5461">
        <v>0</v>
      </c>
      <c r="T82" s="5462" t="s">
        <v>6151</v>
      </c>
      <c r="U82" s="5463">
        <v>0</v>
      </c>
      <c r="AC82" s="4941"/>
    </row>
    <row r="83" spans="1:31" ht="33.75" customHeight="1">
      <c r="A83" s="5449">
        <v>16</v>
      </c>
      <c r="B83" s="5450">
        <v>46305</v>
      </c>
      <c r="C83" s="5450">
        <v>46320</v>
      </c>
      <c r="D83" s="5451">
        <v>0</v>
      </c>
      <c r="E83" s="5451">
        <v>1</v>
      </c>
      <c r="F83" s="5452">
        <f t="shared" si="3"/>
        <v>16</v>
      </c>
      <c r="G83" s="5464" t="s">
        <v>6239</v>
      </c>
      <c r="H83" s="5454">
        <v>2</v>
      </c>
      <c r="I83" s="5455" t="s">
        <v>5784</v>
      </c>
      <c r="J83" s="5456">
        <v>7</v>
      </c>
      <c r="K83" s="5457">
        <v>7</v>
      </c>
      <c r="L83" s="5457">
        <v>48</v>
      </c>
      <c r="M83" s="5457">
        <v>3</v>
      </c>
      <c r="N83" s="5458"/>
      <c r="O83" s="5459">
        <f t="shared" si="2"/>
        <v>0</v>
      </c>
      <c r="P83" s="5460" t="s">
        <v>2688</v>
      </c>
      <c r="Q83" s="5461" t="s">
        <v>2602</v>
      </c>
      <c r="R83" s="5462" t="s">
        <v>6151</v>
      </c>
      <c r="S83" s="5461">
        <v>0</v>
      </c>
      <c r="T83" s="5462" t="s">
        <v>6151</v>
      </c>
      <c r="U83" s="5463">
        <v>0</v>
      </c>
      <c r="AC83" s="4941"/>
    </row>
    <row r="84" spans="1:31" ht="33.75" customHeight="1">
      <c r="A84" s="5449">
        <v>16</v>
      </c>
      <c r="B84" s="5450">
        <v>46321</v>
      </c>
      <c r="C84" s="5450">
        <v>46321</v>
      </c>
      <c r="D84" s="5451">
        <v>0</v>
      </c>
      <c r="E84" s="5451">
        <v>0.5</v>
      </c>
      <c r="F84" s="5452">
        <f t="shared" si="3"/>
        <v>1</v>
      </c>
      <c r="G84" s="5464" t="s">
        <v>6239</v>
      </c>
      <c r="H84" s="5454">
        <v>2</v>
      </c>
      <c r="I84" s="5455" t="s">
        <v>5784</v>
      </c>
      <c r="J84" s="5456">
        <v>7</v>
      </c>
      <c r="K84" s="5457">
        <v>7</v>
      </c>
      <c r="L84" s="5457">
        <v>48</v>
      </c>
      <c r="M84" s="5457">
        <v>3</v>
      </c>
      <c r="N84" s="5458"/>
      <c r="O84" s="5459">
        <f t="shared" si="2"/>
        <v>0</v>
      </c>
      <c r="P84" s="5460" t="s">
        <v>2688</v>
      </c>
      <c r="Q84" s="5461" t="s">
        <v>2602</v>
      </c>
      <c r="R84" s="5462" t="s">
        <v>6151</v>
      </c>
      <c r="S84" s="5461">
        <v>0</v>
      </c>
      <c r="T84" s="5462" t="s">
        <v>6151</v>
      </c>
      <c r="U84" s="5463">
        <v>0</v>
      </c>
      <c r="AC84" s="4941"/>
    </row>
    <row r="85" spans="1:31" ht="33.65" customHeight="1">
      <c r="A85" s="5449">
        <v>17</v>
      </c>
      <c r="B85" s="5450">
        <v>46305</v>
      </c>
      <c r="C85" s="5450">
        <v>46320</v>
      </c>
      <c r="D85" s="5451">
        <v>0</v>
      </c>
      <c r="E85" s="5451">
        <v>1</v>
      </c>
      <c r="F85" s="5452">
        <f t="shared" si="3"/>
        <v>16</v>
      </c>
      <c r="G85" s="5454" t="s">
        <v>6240</v>
      </c>
      <c r="H85" s="5454">
        <v>2</v>
      </c>
      <c r="I85" s="5455" t="s">
        <v>5784</v>
      </c>
      <c r="J85" s="5456">
        <v>7</v>
      </c>
      <c r="K85" s="5457">
        <v>7</v>
      </c>
      <c r="L85" s="5457">
        <v>48</v>
      </c>
      <c r="M85" s="5457">
        <v>3</v>
      </c>
      <c r="N85" s="5472"/>
      <c r="O85" s="5459">
        <f t="shared" si="2"/>
        <v>0</v>
      </c>
      <c r="P85" s="5460" t="s">
        <v>2688</v>
      </c>
      <c r="Q85" s="5473" t="s">
        <v>2602</v>
      </c>
      <c r="R85" s="5474" t="s">
        <v>6151</v>
      </c>
      <c r="S85" s="5473">
        <v>0</v>
      </c>
      <c r="T85" s="5474" t="s">
        <v>6151</v>
      </c>
      <c r="U85" s="5475">
        <v>0</v>
      </c>
      <c r="AC85" s="4941"/>
    </row>
    <row r="86" spans="1:31" ht="33.65" customHeight="1">
      <c r="A86" s="5449">
        <v>17</v>
      </c>
      <c r="B86" s="5450">
        <v>46321</v>
      </c>
      <c r="C86" s="5450">
        <v>46321</v>
      </c>
      <c r="D86" s="5451">
        <v>0</v>
      </c>
      <c r="E86" s="5451">
        <v>0.5</v>
      </c>
      <c r="F86" s="5452">
        <f t="shared" si="3"/>
        <v>1</v>
      </c>
      <c r="G86" s="5454" t="s">
        <v>6240</v>
      </c>
      <c r="H86" s="5454">
        <v>2</v>
      </c>
      <c r="I86" s="5455" t="s">
        <v>5784</v>
      </c>
      <c r="J86" s="5456">
        <v>7</v>
      </c>
      <c r="K86" s="5457">
        <v>7</v>
      </c>
      <c r="L86" s="5457">
        <v>48</v>
      </c>
      <c r="M86" s="5457">
        <v>3</v>
      </c>
      <c r="N86" s="5472"/>
      <c r="O86" s="5459">
        <f t="shared" si="2"/>
        <v>0</v>
      </c>
      <c r="P86" s="5460" t="s">
        <v>2688</v>
      </c>
      <c r="Q86" s="5473" t="s">
        <v>2602</v>
      </c>
      <c r="R86" s="5474" t="s">
        <v>6151</v>
      </c>
      <c r="S86" s="5473">
        <v>0</v>
      </c>
      <c r="T86" s="5474" t="s">
        <v>6151</v>
      </c>
      <c r="U86" s="5475">
        <v>0</v>
      </c>
      <c r="AC86" s="4941"/>
    </row>
    <row r="87" spans="1:31" ht="33.75" customHeight="1">
      <c r="A87" s="5449">
        <v>18</v>
      </c>
      <c r="B87" s="5450">
        <v>46305</v>
      </c>
      <c r="C87" s="5450">
        <v>46320</v>
      </c>
      <c r="D87" s="5451">
        <v>0</v>
      </c>
      <c r="E87" s="5451">
        <v>1</v>
      </c>
      <c r="F87" s="5452">
        <f>IF(OR(ISBLANK($B87), ISBLANK($C87)), 0, _xlfn.DAYS($C87, $B87) + 1)</f>
        <v>16</v>
      </c>
      <c r="G87" s="5476" t="s">
        <v>6241</v>
      </c>
      <c r="H87" s="5477">
        <v>2</v>
      </c>
      <c r="I87" s="5455" t="s">
        <v>5784</v>
      </c>
      <c r="J87" s="5456">
        <v>7</v>
      </c>
      <c r="K87" s="5457">
        <v>7</v>
      </c>
      <c r="L87" s="5457">
        <v>48</v>
      </c>
      <c r="M87" s="5457">
        <v>3</v>
      </c>
      <c r="N87" s="5472"/>
      <c r="O87" s="5459">
        <f t="shared" si="2"/>
        <v>0</v>
      </c>
      <c r="P87" s="5478" t="s">
        <v>3804</v>
      </c>
      <c r="Q87" s="5473" t="s">
        <v>2602</v>
      </c>
      <c r="R87" s="5474" t="s">
        <v>6151</v>
      </c>
      <c r="S87" s="5473">
        <v>0</v>
      </c>
      <c r="T87" s="5474" t="s">
        <v>6151</v>
      </c>
      <c r="U87" s="5475">
        <v>0</v>
      </c>
      <c r="AC87" s="4941"/>
    </row>
    <row r="88" spans="1:31" ht="33.75" customHeight="1" thickBot="1">
      <c r="A88" s="5449">
        <v>18</v>
      </c>
      <c r="B88" s="5450">
        <v>46321</v>
      </c>
      <c r="C88" s="5450">
        <v>46321</v>
      </c>
      <c r="D88" s="5451">
        <v>0</v>
      </c>
      <c r="E88" s="5451">
        <v>0.5</v>
      </c>
      <c r="F88" s="5452">
        <f t="shared" si="3"/>
        <v>1</v>
      </c>
      <c r="G88" s="5479" t="s">
        <v>6241</v>
      </c>
      <c r="H88" s="5479">
        <v>2</v>
      </c>
      <c r="I88" s="5455" t="s">
        <v>5784</v>
      </c>
      <c r="J88" s="5456">
        <v>7</v>
      </c>
      <c r="K88" s="5457">
        <v>7</v>
      </c>
      <c r="L88" s="5457">
        <v>48</v>
      </c>
      <c r="M88" s="5457">
        <v>3</v>
      </c>
      <c r="N88" s="5472"/>
      <c r="O88" s="5480">
        <f t="shared" si="2"/>
        <v>0</v>
      </c>
      <c r="P88" s="5478" t="s">
        <v>3804</v>
      </c>
      <c r="Q88" s="5473" t="s">
        <v>2602</v>
      </c>
      <c r="R88" s="5474" t="s">
        <v>6151</v>
      </c>
      <c r="S88" s="5473">
        <v>0</v>
      </c>
      <c r="T88" s="5474" t="s">
        <v>6151</v>
      </c>
      <c r="U88" s="5475">
        <v>0</v>
      </c>
      <c r="AC88" s="4941"/>
    </row>
    <row r="89" spans="1:31" ht="33.75" customHeight="1" thickTop="1" thickBot="1">
      <c r="A89" s="5467" t="s">
        <v>5845</v>
      </c>
      <c r="B89" s="4866"/>
      <c r="C89" s="4866"/>
      <c r="D89" s="4866"/>
      <c r="E89" s="4866"/>
      <c r="F89" s="5166">
        <f>SUM(F53:F56,F61:F62,F75:F88)</f>
        <v>178</v>
      </c>
      <c r="G89" s="4866"/>
      <c r="H89" s="4868"/>
      <c r="I89" s="4782">
        <f>COUNTA(G53,G55,G61,G77)</f>
        <v>4</v>
      </c>
      <c r="J89" s="5168"/>
      <c r="K89" s="5168"/>
      <c r="L89" s="5168"/>
      <c r="M89" s="5168"/>
      <c r="N89" s="5169"/>
      <c r="O89" s="5468">
        <f>SUM(O53:O88)</f>
        <v>11770000</v>
      </c>
      <c r="P89" s="4904"/>
      <c r="Q89" s="4904"/>
      <c r="R89" s="4905"/>
      <c r="S89" s="4906"/>
      <c r="T89" s="4905"/>
      <c r="U89" s="4907"/>
      <c r="AC89" s="4941"/>
    </row>
    <row r="90" spans="1:31" s="4657" customFormat="1" ht="33.75" customHeight="1" thickBot="1">
      <c r="A90" s="5469" t="s">
        <v>5792</v>
      </c>
      <c r="B90" s="4877"/>
      <c r="C90" s="4878"/>
      <c r="D90" s="4878"/>
      <c r="E90" s="4878"/>
      <c r="F90" s="4879"/>
      <c r="G90" s="4878"/>
      <c r="H90" s="4880"/>
      <c r="I90" s="4878"/>
      <c r="J90" s="4881"/>
      <c r="K90" s="4881"/>
      <c r="L90" s="4881"/>
      <c r="M90" s="4881"/>
      <c r="N90" s="4882"/>
      <c r="O90" s="5470">
        <f>O89*1.1</f>
        <v>12947000.000000002</v>
      </c>
      <c r="P90" s="4884"/>
      <c r="Q90" s="4885"/>
      <c r="R90" s="4886"/>
      <c r="S90" s="4887"/>
      <c r="T90" s="4886"/>
      <c r="U90" s="4888"/>
    </row>
    <row r="91" spans="1:31" ht="32.15" customHeight="1">
      <c r="B91" s="4941"/>
      <c r="C91" s="4941"/>
      <c r="D91" s="4941"/>
      <c r="E91" s="4810"/>
      <c r="F91" s="4810"/>
      <c r="G91" s="4941"/>
      <c r="H91" s="4941"/>
      <c r="M91" s="4808" t="s">
        <v>5748</v>
      </c>
      <c r="N91" s="4809">
        <f>SUM(N53,N55,N61,N77)</f>
        <v>642000</v>
      </c>
      <c r="O91" s="4941"/>
      <c r="P91" s="4941"/>
      <c r="Q91" s="4941"/>
      <c r="AC91" s="4941"/>
    </row>
    <row r="92" spans="1:31" ht="32.15" customHeight="1">
      <c r="A92" s="5139"/>
      <c r="B92" s="5140"/>
      <c r="C92" s="5140"/>
      <c r="D92" s="5140"/>
      <c r="E92" s="5141"/>
      <c r="F92" s="5141"/>
      <c r="G92" s="5140"/>
      <c r="H92" s="5140"/>
      <c r="I92" s="5139"/>
      <c r="J92" s="5139"/>
      <c r="K92" s="5139"/>
      <c r="L92" s="5139"/>
      <c r="M92" s="5471" t="s">
        <v>6242</v>
      </c>
      <c r="N92" s="5471">
        <f>N91*1.1</f>
        <v>706200</v>
      </c>
      <c r="O92" s="5142"/>
      <c r="P92" s="5142"/>
      <c r="Q92" s="5142"/>
      <c r="R92" s="4943"/>
      <c r="S92" s="5139"/>
      <c r="T92" s="4943"/>
      <c r="U92" s="5139"/>
      <c r="W92" s="6916"/>
      <c r="X92" s="6916"/>
      <c r="Y92" s="6916"/>
      <c r="Z92" s="6916"/>
      <c r="AA92" s="6916"/>
      <c r="AB92" s="6915"/>
      <c r="AC92" s="6915"/>
      <c r="AD92" s="6915"/>
      <c r="AE92" s="6915"/>
    </row>
    <row r="93" spans="1:31" ht="36" customHeight="1"/>
    <row r="94" spans="1:31" ht="36" customHeight="1"/>
    <row r="95" spans="1:31" ht="36" customHeight="1"/>
    <row r="96" spans="1:31" ht="36" customHeight="1"/>
    <row r="97" spans="2:29" ht="36" customHeight="1"/>
    <row r="98" spans="2:29" ht="36" customHeight="1"/>
    <row r="99" spans="2:29" ht="36" customHeight="1"/>
    <row r="100" spans="2:29" ht="36" customHeight="1"/>
    <row r="101" spans="2:29" ht="36" customHeight="1"/>
    <row r="102" spans="2:29" ht="36" customHeight="1"/>
    <row r="103" spans="2:29" ht="10.15" customHeight="1">
      <c r="B103" s="4941"/>
      <c r="C103" s="4941"/>
      <c r="D103" s="4941"/>
      <c r="G103" s="4941"/>
      <c r="H103" s="4941"/>
      <c r="O103" s="4941"/>
      <c r="P103" s="4941"/>
      <c r="Q103" s="4941"/>
      <c r="AC103" s="4941"/>
    </row>
  </sheetData>
  <mergeCells count="38">
    <mergeCell ref="A2:B2"/>
    <mergeCell ref="C2:G2"/>
    <mergeCell ref="A5:A6"/>
    <mergeCell ref="B5:B6"/>
    <mergeCell ref="C5:C6"/>
    <mergeCell ref="D5:D6"/>
    <mergeCell ref="E5:E6"/>
    <mergeCell ref="F5:F6"/>
    <mergeCell ref="G5:G6"/>
    <mergeCell ref="F50:F51"/>
    <mergeCell ref="H5:H6"/>
    <mergeCell ref="I5:I6"/>
    <mergeCell ref="J5:J6"/>
    <mergeCell ref="K5:K6"/>
    <mergeCell ref="G50:G51"/>
    <mergeCell ref="H50:H51"/>
    <mergeCell ref="I50:I51"/>
    <mergeCell ref="J50:J51"/>
    <mergeCell ref="K50:K51"/>
    <mergeCell ref="A50:A51"/>
    <mergeCell ref="B50:B51"/>
    <mergeCell ref="C50:C51"/>
    <mergeCell ref="D50:D51"/>
    <mergeCell ref="E50:E51"/>
    <mergeCell ref="L50:L51"/>
    <mergeCell ref="N5:N6"/>
    <mergeCell ref="O5:O6"/>
    <mergeCell ref="P5:Q5"/>
    <mergeCell ref="R5:U5"/>
    <mergeCell ref="L5:L6"/>
    <mergeCell ref="M5:M6"/>
    <mergeCell ref="AB92:AE92"/>
    <mergeCell ref="M50:M51"/>
    <mergeCell ref="N50:N51"/>
    <mergeCell ref="O50:O51"/>
    <mergeCell ref="P50:Q50"/>
    <mergeCell ref="R50:U50"/>
    <mergeCell ref="W92:AA92"/>
  </mergeCells>
  <phoneticPr fontId="2"/>
  <conditionalFormatting sqref="B8:E43">
    <cfRule type="containsBlanks" dxfId="446" priority="4">
      <formula>LEN(TRIM(B8))=0</formula>
    </cfRule>
  </conditionalFormatting>
  <conditionalFormatting sqref="B53:E88">
    <cfRule type="containsBlanks" dxfId="445" priority="2">
      <formula>LEN(TRIM(B53))=0</formula>
    </cfRule>
  </conditionalFormatting>
  <conditionalFormatting sqref="C2:D2">
    <cfRule type="containsBlanks" dxfId="444" priority="7">
      <formula>LEN(TRIM(C2))=0</formula>
    </cfRule>
  </conditionalFormatting>
  <conditionalFormatting sqref="G8:N43">
    <cfRule type="containsBlanks" dxfId="443" priority="5">
      <formula>LEN(TRIM(G8))=0</formula>
    </cfRule>
  </conditionalFormatting>
  <conditionalFormatting sqref="G53:N88">
    <cfRule type="containsBlanks" dxfId="442" priority="1">
      <formula>LEN(TRIM(G53))=0</formula>
    </cfRule>
  </conditionalFormatting>
  <conditionalFormatting sqref="P8:U43">
    <cfRule type="containsBlanks" dxfId="441" priority="6">
      <formula>LEN(TRIM(P8))=0</formula>
    </cfRule>
  </conditionalFormatting>
  <conditionalFormatting sqref="P53:U88">
    <cfRule type="containsBlanks" dxfId="440" priority="3">
      <formula>LEN(TRIM(P53))=0</formula>
    </cfRule>
  </conditionalFormatting>
  <dataValidations count="1">
    <dataValidation type="list" allowBlank="1" showInputMessage="1" showErrorMessage="1" sqref="I7:I43 I52:I88" xr:uid="{43FF1694-5746-4E57-A79C-F44F544B7E86}">
      <formula1>会場形態</formula1>
    </dataValidation>
  </dataValidations>
  <printOptions horizontalCentered="1"/>
  <pageMargins left="0.59055118110236227" right="0.59055118110236227" top="0.74803149606299213" bottom="0.74803149606299213" header="0.31496062992125984" footer="0.31496062992125984"/>
  <pageSetup paperSize="8" scale="37" orientation="portrait" r:id="rId1"/>
  <headerFooter>
    <oddHeader>&amp;R&amp;G</oddHead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A5CC-6644-4231-A4A0-3AA5F790877F}">
  <sheetPr codeName="Sheet357">
    <tabColor rgb="FFFFFF66"/>
    <pageSetUpPr fitToPage="1"/>
  </sheetPr>
  <dimension ref="A1:AF67"/>
  <sheetViews>
    <sheetView topLeftCell="A39" zoomScale="40" zoomScaleNormal="40" zoomScaleSheetLayoutView="70" workbookViewId="0">
      <selection activeCell="F27" sqref="F27"/>
    </sheetView>
  </sheetViews>
  <sheetFormatPr defaultColWidth="9.81640625" defaultRowHeight="18"/>
  <cols>
    <col min="1" max="1" width="7.453125" style="4656" customWidth="1"/>
    <col min="2" max="2" width="26.1796875" style="4656" bestFit="1" customWidth="1"/>
    <col min="3" max="3" width="27.1796875" style="4657" bestFit="1" customWidth="1"/>
    <col min="4" max="4" width="7.54296875" style="4657" customWidth="1"/>
    <col min="5" max="5" width="25.7265625" style="4657" customWidth="1"/>
    <col min="6" max="6" width="7.54296875" style="4657" customWidth="1"/>
    <col min="7" max="7" width="25.453125" style="4656" bestFit="1" customWidth="1"/>
    <col min="8" max="8" width="7.54296875" style="4657" customWidth="1"/>
    <col min="9" max="9" width="42.81640625" style="4658" bestFit="1" customWidth="1"/>
    <col min="10" max="11" width="11" style="4656" customWidth="1"/>
    <col min="12" max="13" width="25.1796875" style="4659" customWidth="1"/>
    <col min="14" max="14" width="5.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c r="S1" s="4656"/>
      <c r="U1" s="4660"/>
      <c r="W1" s="4656"/>
    </row>
    <row r="2" spans="1:32" ht="44.25" customHeight="1">
      <c r="A2" s="5143" t="s">
        <v>6243</v>
      </c>
      <c r="B2" s="5144"/>
      <c r="D2" s="5145"/>
      <c r="E2" s="5145"/>
      <c r="F2" s="5145"/>
      <c r="G2" s="5145"/>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69"/>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3118</v>
      </c>
      <c r="AC7" s="4683" t="s">
        <v>5050</v>
      </c>
      <c r="AD7" s="4675" t="s">
        <v>5741</v>
      </c>
      <c r="AE7" s="4684"/>
      <c r="AF7" s="4685"/>
    </row>
    <row r="8" spans="1:32" ht="33.75" customHeight="1">
      <c r="A8" s="4686">
        <v>1</v>
      </c>
      <c r="B8" s="4687">
        <v>46279</v>
      </c>
      <c r="C8" s="4687">
        <v>46281</v>
      </c>
      <c r="D8" s="4672">
        <f t="shared" ref="D8:D23" si="0">IF(_xlfn.DAYS(C8,B8)=0,"1",_xlfn.DAYS(C8,B8))</f>
        <v>2</v>
      </c>
      <c r="E8" s="4687">
        <v>46292</v>
      </c>
      <c r="F8" s="4698">
        <f t="shared" ref="F8:F23" si="1">IF(_xlfn.DAYS(E8,C8)=0,"1",_xlfn.DAYS(E8,C8))+1</f>
        <v>12</v>
      </c>
      <c r="G8" s="4699">
        <v>46294</v>
      </c>
      <c r="H8" s="4672">
        <f t="shared" ref="H8:H23" si="2">IF(_xlfn.DAYS(G8,E8)=0,"1",_xlfn.DAYS(G8,E8))-1</f>
        <v>1</v>
      </c>
      <c r="I8" s="4972" t="s">
        <v>6244</v>
      </c>
      <c r="J8" s="4820">
        <v>174</v>
      </c>
      <c r="K8" s="4821">
        <v>23</v>
      </c>
      <c r="L8" s="4820">
        <v>55000</v>
      </c>
      <c r="M8" s="4820">
        <v>58000</v>
      </c>
      <c r="N8" s="4971">
        <f>M8*K8</f>
        <v>1334000</v>
      </c>
      <c r="O8" s="4820">
        <v>55000</v>
      </c>
      <c r="P8" s="4678">
        <f>SUM(D8,F8,H8)*K8</f>
        <v>345</v>
      </c>
      <c r="Q8" s="4679">
        <f>(D8*L8+F8*M8+H8*O8)*K8</f>
        <v>19803000</v>
      </c>
      <c r="R8" s="4820">
        <v>25</v>
      </c>
      <c r="S8" s="5209" t="s">
        <v>5742</v>
      </c>
      <c r="T8" s="5217">
        <v>25</v>
      </c>
      <c r="U8" s="4675">
        <v>1</v>
      </c>
      <c r="V8" s="4820">
        <v>203</v>
      </c>
      <c r="W8" s="5209" t="s">
        <v>2688</v>
      </c>
      <c r="X8" s="5219">
        <v>203</v>
      </c>
      <c r="Y8" s="4692">
        <v>1</v>
      </c>
      <c r="Z8" s="4820" t="s">
        <v>5953</v>
      </c>
      <c r="AA8" s="4683" t="s">
        <v>5035</v>
      </c>
      <c r="AB8" s="4834" t="s">
        <v>3118</v>
      </c>
      <c r="AC8" s="4683" t="s">
        <v>5050</v>
      </c>
      <c r="AD8" s="4692" t="s">
        <v>5741</v>
      </c>
      <c r="AE8" s="4696"/>
      <c r="AF8" s="4685">
        <f>U8*K8</f>
        <v>23</v>
      </c>
    </row>
    <row r="9" spans="1:32" ht="33.75" customHeight="1">
      <c r="A9" s="4686"/>
      <c r="B9" s="4687">
        <v>46279</v>
      </c>
      <c r="C9" s="4687">
        <v>46281</v>
      </c>
      <c r="D9" s="4672">
        <f t="shared" si="0"/>
        <v>2</v>
      </c>
      <c r="E9" s="4687">
        <v>46292</v>
      </c>
      <c r="F9" s="4698">
        <f t="shared" si="1"/>
        <v>12</v>
      </c>
      <c r="G9" s="4699">
        <v>46294</v>
      </c>
      <c r="H9" s="4672">
        <f t="shared" si="2"/>
        <v>1</v>
      </c>
      <c r="I9" s="5481" t="s">
        <v>6245</v>
      </c>
      <c r="J9" s="4820"/>
      <c r="K9" s="4821">
        <v>100</v>
      </c>
      <c r="L9" s="4820">
        <v>60000</v>
      </c>
      <c r="M9" s="4820">
        <v>66000</v>
      </c>
      <c r="N9" s="4971">
        <f t="shared" ref="N9:N16" si="3">M9*K9</f>
        <v>6600000</v>
      </c>
      <c r="O9" s="4820">
        <v>60000</v>
      </c>
      <c r="P9" s="4678">
        <f>SUM(D9,F9,H9)*K9</f>
        <v>1500</v>
      </c>
      <c r="Q9" s="4679">
        <f>(D9*L9+F9*M9+H9*O9)*K9</f>
        <v>97200000</v>
      </c>
      <c r="R9" s="4820">
        <v>25</v>
      </c>
      <c r="S9" s="5209" t="s">
        <v>5742</v>
      </c>
      <c r="T9" s="5217">
        <v>25</v>
      </c>
      <c r="U9" s="4675">
        <v>2</v>
      </c>
      <c r="V9" s="4697">
        <v>97</v>
      </c>
      <c r="W9" s="5482" t="s">
        <v>2688</v>
      </c>
      <c r="X9" s="5483">
        <v>197</v>
      </c>
      <c r="Y9" s="4692">
        <v>2</v>
      </c>
      <c r="Z9" s="4820" t="s">
        <v>5953</v>
      </c>
      <c r="AA9" s="4683" t="s">
        <v>5035</v>
      </c>
      <c r="AB9" s="4834" t="s">
        <v>3118</v>
      </c>
      <c r="AC9" s="4683" t="s">
        <v>5050</v>
      </c>
      <c r="AD9" s="4692" t="s">
        <v>5741</v>
      </c>
      <c r="AE9" s="4696"/>
      <c r="AF9" s="4685">
        <f t="shared" ref="AF9:AF23" si="4">U9*K9</f>
        <v>200</v>
      </c>
    </row>
    <row r="10" spans="1:32" ht="33.75" customHeight="1">
      <c r="A10" s="4686">
        <v>2</v>
      </c>
      <c r="B10" s="4687">
        <v>46279</v>
      </c>
      <c r="C10" s="4687">
        <v>46281</v>
      </c>
      <c r="D10" s="4672">
        <f t="shared" si="0"/>
        <v>2</v>
      </c>
      <c r="E10" s="4687">
        <v>46292</v>
      </c>
      <c r="F10" s="4698">
        <f t="shared" si="1"/>
        <v>12</v>
      </c>
      <c r="G10" s="4699">
        <v>46294</v>
      </c>
      <c r="H10" s="4672">
        <f t="shared" si="2"/>
        <v>1</v>
      </c>
      <c r="I10" s="4972" t="s">
        <v>6246</v>
      </c>
      <c r="J10" s="4820">
        <v>96</v>
      </c>
      <c r="K10" s="4821">
        <v>66</v>
      </c>
      <c r="L10" s="4820">
        <v>60000</v>
      </c>
      <c r="M10" s="4820">
        <v>66000</v>
      </c>
      <c r="N10" s="4971">
        <f t="shared" si="3"/>
        <v>4356000</v>
      </c>
      <c r="O10" s="4820">
        <v>60000</v>
      </c>
      <c r="P10" s="4678">
        <f t="shared" ref="P10:P23" si="5">SUM(D10,F10,H10)*K10</f>
        <v>990</v>
      </c>
      <c r="Q10" s="4679">
        <f t="shared" ref="Q10:Q23" si="6">(D10*L10+F10*M10+H10*O10)*K10</f>
        <v>64152000</v>
      </c>
      <c r="R10" s="4820">
        <v>25</v>
      </c>
      <c r="S10" s="5209" t="s">
        <v>5742</v>
      </c>
      <c r="T10" s="5217">
        <v>25</v>
      </c>
      <c r="U10" s="4675">
        <v>2</v>
      </c>
      <c r="V10" s="4820">
        <v>120</v>
      </c>
      <c r="W10" s="5209" t="s">
        <v>2688</v>
      </c>
      <c r="X10" s="5219">
        <v>203</v>
      </c>
      <c r="Y10" s="4692">
        <v>2</v>
      </c>
      <c r="Z10" s="4820" t="s">
        <v>5953</v>
      </c>
      <c r="AA10" s="4683" t="s">
        <v>5035</v>
      </c>
      <c r="AB10" s="4834" t="s">
        <v>3118</v>
      </c>
      <c r="AC10" s="4683" t="s">
        <v>5050</v>
      </c>
      <c r="AD10" s="4692" t="s">
        <v>5741</v>
      </c>
      <c r="AE10" s="4696"/>
      <c r="AF10" s="4685">
        <f t="shared" si="4"/>
        <v>132</v>
      </c>
    </row>
    <row r="11" spans="1:32" ht="33.75" customHeight="1">
      <c r="A11" s="4686">
        <v>3</v>
      </c>
      <c r="B11" s="4687">
        <v>46279</v>
      </c>
      <c r="C11" s="4687">
        <v>46281</v>
      </c>
      <c r="D11" s="4672">
        <f t="shared" si="0"/>
        <v>2</v>
      </c>
      <c r="E11" s="4687">
        <v>46292</v>
      </c>
      <c r="F11" s="4698">
        <f t="shared" si="1"/>
        <v>12</v>
      </c>
      <c r="G11" s="4699">
        <v>46294</v>
      </c>
      <c r="H11" s="4672">
        <f t="shared" si="2"/>
        <v>1</v>
      </c>
      <c r="I11" s="4972" t="s">
        <v>6247</v>
      </c>
      <c r="J11" s="4820">
        <v>27</v>
      </c>
      <c r="K11" s="4821">
        <v>21</v>
      </c>
      <c r="L11" s="4820">
        <v>65000</v>
      </c>
      <c r="M11" s="4820">
        <v>68000</v>
      </c>
      <c r="N11" s="4971">
        <f t="shared" si="3"/>
        <v>1428000</v>
      </c>
      <c r="O11" s="4820">
        <v>65000</v>
      </c>
      <c r="P11" s="4678">
        <f t="shared" si="5"/>
        <v>315</v>
      </c>
      <c r="Q11" s="4679">
        <f t="shared" si="6"/>
        <v>21231000</v>
      </c>
      <c r="R11" s="4820">
        <v>30</v>
      </c>
      <c r="S11" s="5209" t="s">
        <v>5742</v>
      </c>
      <c r="T11" s="5217">
        <v>30</v>
      </c>
      <c r="U11" s="4675">
        <v>1</v>
      </c>
      <c r="V11" s="4820">
        <v>203</v>
      </c>
      <c r="W11" s="5209" t="s">
        <v>2688</v>
      </c>
      <c r="X11" s="5219">
        <v>203</v>
      </c>
      <c r="Y11" s="4692">
        <v>1</v>
      </c>
      <c r="Z11" s="4820" t="s">
        <v>5953</v>
      </c>
      <c r="AA11" s="4683" t="s">
        <v>5035</v>
      </c>
      <c r="AB11" s="4834" t="s">
        <v>3118</v>
      </c>
      <c r="AC11" s="4683" t="s">
        <v>5050</v>
      </c>
      <c r="AD11" s="4692" t="s">
        <v>5741</v>
      </c>
      <c r="AE11" s="4696"/>
      <c r="AF11" s="4685">
        <f t="shared" si="4"/>
        <v>21</v>
      </c>
    </row>
    <row r="12" spans="1:32" ht="33.75" customHeight="1">
      <c r="A12" s="4686">
        <v>4</v>
      </c>
      <c r="B12" s="4687">
        <v>46279</v>
      </c>
      <c r="C12" s="4687">
        <v>46281</v>
      </c>
      <c r="D12" s="4672">
        <f t="shared" si="0"/>
        <v>2</v>
      </c>
      <c r="E12" s="4687">
        <v>46292</v>
      </c>
      <c r="F12" s="4698">
        <f t="shared" si="1"/>
        <v>12</v>
      </c>
      <c r="G12" s="4699">
        <v>46294</v>
      </c>
      <c r="H12" s="4672">
        <f t="shared" si="2"/>
        <v>1</v>
      </c>
      <c r="I12" s="4972" t="s">
        <v>5107</v>
      </c>
      <c r="J12" s="4820">
        <v>12</v>
      </c>
      <c r="K12" s="4821">
        <v>6</v>
      </c>
      <c r="L12" s="4820">
        <v>70000</v>
      </c>
      <c r="M12" s="4820">
        <v>76000</v>
      </c>
      <c r="N12" s="4971">
        <f t="shared" si="3"/>
        <v>456000</v>
      </c>
      <c r="O12" s="4820">
        <v>70000</v>
      </c>
      <c r="P12" s="4678">
        <f t="shared" si="5"/>
        <v>90</v>
      </c>
      <c r="Q12" s="4679">
        <f t="shared" si="6"/>
        <v>6732000</v>
      </c>
      <c r="R12" s="4820">
        <v>30</v>
      </c>
      <c r="S12" s="5209" t="s">
        <v>5742</v>
      </c>
      <c r="T12" s="5217">
        <v>30</v>
      </c>
      <c r="U12" s="4675">
        <v>2</v>
      </c>
      <c r="V12" s="4820">
        <v>120</v>
      </c>
      <c r="W12" s="5209" t="s">
        <v>2688</v>
      </c>
      <c r="X12" s="5219">
        <v>203</v>
      </c>
      <c r="Y12" s="4692">
        <v>2</v>
      </c>
      <c r="Z12" s="4820" t="s">
        <v>5953</v>
      </c>
      <c r="AA12" s="4683" t="s">
        <v>5035</v>
      </c>
      <c r="AB12" s="4834" t="s">
        <v>3118</v>
      </c>
      <c r="AC12" s="4683" t="s">
        <v>5050</v>
      </c>
      <c r="AD12" s="4692" t="s">
        <v>5741</v>
      </c>
      <c r="AE12" s="4696"/>
      <c r="AF12" s="4685">
        <f t="shared" si="4"/>
        <v>12</v>
      </c>
    </row>
    <row r="13" spans="1:32" ht="33.75" customHeight="1">
      <c r="A13" s="4686">
        <v>5</v>
      </c>
      <c r="B13" s="4687">
        <v>46279</v>
      </c>
      <c r="C13" s="4687">
        <v>46281</v>
      </c>
      <c r="D13" s="4672">
        <f t="shared" si="0"/>
        <v>2</v>
      </c>
      <c r="E13" s="4687">
        <v>46292</v>
      </c>
      <c r="F13" s="4698">
        <f t="shared" si="1"/>
        <v>12</v>
      </c>
      <c r="G13" s="4699">
        <v>46294</v>
      </c>
      <c r="H13" s="4672">
        <f t="shared" si="2"/>
        <v>1</v>
      </c>
      <c r="I13" s="4972" t="s">
        <v>6248</v>
      </c>
      <c r="J13" s="4820">
        <v>9</v>
      </c>
      <c r="K13" s="4821">
        <v>6</v>
      </c>
      <c r="L13" s="4820">
        <v>85000</v>
      </c>
      <c r="M13" s="4820">
        <v>88000</v>
      </c>
      <c r="N13" s="4971">
        <f t="shared" si="3"/>
        <v>528000</v>
      </c>
      <c r="O13" s="4820">
        <v>85000</v>
      </c>
      <c r="P13" s="4678">
        <f t="shared" si="5"/>
        <v>90</v>
      </c>
      <c r="Q13" s="4679">
        <f t="shared" si="6"/>
        <v>7866000</v>
      </c>
      <c r="R13" s="4820">
        <v>40</v>
      </c>
      <c r="S13" s="5209" t="s">
        <v>5742</v>
      </c>
      <c r="T13" s="5217">
        <v>40</v>
      </c>
      <c r="U13" s="4675">
        <v>1</v>
      </c>
      <c r="V13" s="4820">
        <v>203</v>
      </c>
      <c r="W13" s="5209" t="s">
        <v>2688</v>
      </c>
      <c r="X13" s="5219">
        <v>203</v>
      </c>
      <c r="Y13" s="4692">
        <v>1</v>
      </c>
      <c r="Z13" s="4820" t="s">
        <v>5953</v>
      </c>
      <c r="AA13" s="4683" t="s">
        <v>5035</v>
      </c>
      <c r="AB13" s="4834" t="s">
        <v>3118</v>
      </c>
      <c r="AC13" s="4683" t="s">
        <v>5050</v>
      </c>
      <c r="AD13" s="4692" t="s">
        <v>5741</v>
      </c>
      <c r="AE13" s="4696"/>
      <c r="AF13" s="4685">
        <f t="shared" si="4"/>
        <v>6</v>
      </c>
    </row>
    <row r="14" spans="1:32" ht="33.75" customHeight="1">
      <c r="A14" s="4686">
        <v>6</v>
      </c>
      <c r="B14" s="4687">
        <v>46279</v>
      </c>
      <c r="C14" s="4687">
        <v>46281</v>
      </c>
      <c r="D14" s="4672">
        <f t="shared" si="0"/>
        <v>2</v>
      </c>
      <c r="E14" s="4687">
        <v>46292</v>
      </c>
      <c r="F14" s="4698">
        <f t="shared" si="1"/>
        <v>12</v>
      </c>
      <c r="G14" s="4699">
        <v>46294</v>
      </c>
      <c r="H14" s="4672">
        <f t="shared" si="2"/>
        <v>1</v>
      </c>
      <c r="I14" s="4972" t="s">
        <v>6249</v>
      </c>
      <c r="J14" s="4820">
        <v>1</v>
      </c>
      <c r="K14" s="4821">
        <v>1</v>
      </c>
      <c r="L14" s="4820">
        <v>145000</v>
      </c>
      <c r="M14" s="4820">
        <v>148000</v>
      </c>
      <c r="N14" s="4971">
        <f t="shared" si="3"/>
        <v>148000</v>
      </c>
      <c r="O14" s="4820">
        <v>145000</v>
      </c>
      <c r="P14" s="4678">
        <f t="shared" si="5"/>
        <v>15</v>
      </c>
      <c r="Q14" s="4679">
        <f t="shared" si="6"/>
        <v>2211000</v>
      </c>
      <c r="R14" s="4820">
        <v>70</v>
      </c>
      <c r="S14" s="5209" t="s">
        <v>5742</v>
      </c>
      <c r="T14" s="5217">
        <v>70</v>
      </c>
      <c r="U14" s="4692">
        <v>1</v>
      </c>
      <c r="V14" s="4820">
        <v>203</v>
      </c>
      <c r="W14" s="5209" t="s">
        <v>2688</v>
      </c>
      <c r="X14" s="5219">
        <v>203</v>
      </c>
      <c r="Y14" s="4692">
        <v>1</v>
      </c>
      <c r="Z14" s="4820" t="s">
        <v>5953</v>
      </c>
      <c r="AA14" s="4683" t="s">
        <v>5035</v>
      </c>
      <c r="AB14" s="4834" t="s">
        <v>3118</v>
      </c>
      <c r="AC14" s="4683" t="s">
        <v>5050</v>
      </c>
      <c r="AD14" s="4692" t="s">
        <v>5741</v>
      </c>
      <c r="AE14" s="4696"/>
      <c r="AF14" s="4685">
        <f t="shared" si="4"/>
        <v>1</v>
      </c>
    </row>
    <row r="15" spans="1:32" ht="33.75" customHeight="1">
      <c r="A15" s="4686">
        <v>7</v>
      </c>
      <c r="B15" s="4687"/>
      <c r="C15" s="4687"/>
      <c r="D15" s="4672">
        <v>0</v>
      </c>
      <c r="E15" s="4687"/>
      <c r="F15" s="4698">
        <f t="shared" si="1"/>
        <v>2</v>
      </c>
      <c r="G15" s="4699"/>
      <c r="H15" s="4672">
        <f t="shared" si="2"/>
        <v>0</v>
      </c>
      <c r="I15" s="4691"/>
      <c r="J15" s="4692"/>
      <c r="K15" s="4693"/>
      <c r="L15" s="4692"/>
      <c r="M15" s="4692"/>
      <c r="N15" s="4971">
        <f t="shared" si="3"/>
        <v>0</v>
      </c>
      <c r="O15" s="4692"/>
      <c r="P15" s="4678">
        <f t="shared" si="5"/>
        <v>0</v>
      </c>
      <c r="Q15" s="4679">
        <f t="shared" si="6"/>
        <v>0</v>
      </c>
      <c r="R15" s="4692"/>
      <c r="S15" s="4680" t="s">
        <v>5742</v>
      </c>
      <c r="T15" s="4694"/>
      <c r="U15" s="4700"/>
      <c r="V15" s="4692"/>
      <c r="W15" s="4680" t="s">
        <v>4521</v>
      </c>
      <c r="X15" s="4695"/>
      <c r="Y15" s="4692"/>
      <c r="Z15" s="4692"/>
      <c r="AA15" s="4683" t="s">
        <v>5035</v>
      </c>
      <c r="AB15" s="4692"/>
      <c r="AC15" s="4683" t="s">
        <v>5050</v>
      </c>
      <c r="AD15" s="4692"/>
      <c r="AE15" s="4696"/>
      <c r="AF15" s="4685">
        <f t="shared" si="4"/>
        <v>0</v>
      </c>
    </row>
    <row r="16" spans="1:32" ht="33.75" customHeight="1">
      <c r="A16" s="4686">
        <v>8</v>
      </c>
      <c r="B16" s="4687"/>
      <c r="C16" s="4687"/>
      <c r="D16" s="4672" t="str">
        <f t="shared" si="0"/>
        <v>1</v>
      </c>
      <c r="E16" s="4687"/>
      <c r="F16" s="4698">
        <f t="shared" si="1"/>
        <v>2</v>
      </c>
      <c r="G16" s="4699"/>
      <c r="H16" s="4672">
        <f t="shared" si="2"/>
        <v>0</v>
      </c>
      <c r="I16" s="4691"/>
      <c r="J16" s="4692"/>
      <c r="K16" s="4693"/>
      <c r="L16" s="4692"/>
      <c r="M16" s="4692"/>
      <c r="N16" s="4971">
        <f t="shared" si="3"/>
        <v>0</v>
      </c>
      <c r="O16" s="4692"/>
      <c r="P16" s="4678">
        <f t="shared" si="5"/>
        <v>0</v>
      </c>
      <c r="Q16" s="4679">
        <f t="shared" si="6"/>
        <v>0</v>
      </c>
      <c r="R16" s="4692"/>
      <c r="S16" s="4680" t="s">
        <v>5742</v>
      </c>
      <c r="T16" s="4694"/>
      <c r="U16" s="4700"/>
      <c r="V16" s="4692"/>
      <c r="W16" s="4680" t="s">
        <v>4521</v>
      </c>
      <c r="X16" s="4695"/>
      <c r="Y16" s="4692"/>
      <c r="Z16" s="4692"/>
      <c r="AA16" s="4683" t="s">
        <v>5035</v>
      </c>
      <c r="AB16" s="4692"/>
      <c r="AC16" s="4683" t="s">
        <v>5050</v>
      </c>
      <c r="AD16" s="4692"/>
      <c r="AE16" s="4696"/>
      <c r="AF16" s="4685">
        <f t="shared" si="4"/>
        <v>0</v>
      </c>
    </row>
    <row r="17" spans="1:32" ht="33.75" customHeight="1">
      <c r="A17" s="4686">
        <v>9</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6"/>
        <v>0</v>
      </c>
      <c r="R17" s="4692"/>
      <c r="S17" s="4680" t="s">
        <v>5742</v>
      </c>
      <c r="T17" s="4694"/>
      <c r="U17" s="4700"/>
      <c r="V17" s="4692"/>
      <c r="W17" s="4680" t="s">
        <v>4521</v>
      </c>
      <c r="X17" s="4695"/>
      <c r="Y17" s="4692"/>
      <c r="Z17" s="4692"/>
      <c r="AA17" s="4683" t="s">
        <v>5035</v>
      </c>
      <c r="AB17" s="4692"/>
      <c r="AC17" s="4683" t="s">
        <v>5050</v>
      </c>
      <c r="AD17" s="4692"/>
      <c r="AE17" s="4696"/>
      <c r="AF17" s="4685">
        <f t="shared" si="4"/>
        <v>0</v>
      </c>
    </row>
    <row r="18" spans="1:32" ht="33.75" customHeight="1">
      <c r="A18" s="4686">
        <v>10</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6"/>
        <v>0</v>
      </c>
      <c r="R18" s="4692"/>
      <c r="S18" s="4680" t="s">
        <v>5742</v>
      </c>
      <c r="T18" s="4694"/>
      <c r="U18" s="4700"/>
      <c r="V18" s="4692"/>
      <c r="W18" s="4680" t="s">
        <v>4521</v>
      </c>
      <c r="X18" s="4695"/>
      <c r="Y18" s="4692"/>
      <c r="Z18" s="4692"/>
      <c r="AA18" s="4683" t="s">
        <v>5035</v>
      </c>
      <c r="AB18" s="4692"/>
      <c r="AC18" s="4683" t="s">
        <v>5050</v>
      </c>
      <c r="AD18" s="4692"/>
      <c r="AE18" s="4696"/>
      <c r="AF18" s="4685">
        <f t="shared" si="4"/>
        <v>0</v>
      </c>
    </row>
    <row r="19" spans="1:32" ht="33.75" customHeight="1">
      <c r="A19" s="4686">
        <v>11</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6"/>
        <v>0</v>
      </c>
      <c r="R19" s="4692"/>
      <c r="S19" s="4680" t="s">
        <v>5742</v>
      </c>
      <c r="T19" s="4694"/>
      <c r="U19" s="4700"/>
      <c r="V19" s="4692"/>
      <c r="W19" s="4680" t="s">
        <v>4521</v>
      </c>
      <c r="X19" s="4695"/>
      <c r="Y19" s="4692"/>
      <c r="Z19" s="4692"/>
      <c r="AA19" s="4683" t="s">
        <v>5035</v>
      </c>
      <c r="AB19" s="4692"/>
      <c r="AC19" s="4683" t="s">
        <v>5050</v>
      </c>
      <c r="AD19" s="4692"/>
      <c r="AE19" s="4696"/>
      <c r="AF19" s="4685">
        <f t="shared" si="4"/>
        <v>0</v>
      </c>
    </row>
    <row r="20" spans="1:32" ht="33.75" customHeight="1">
      <c r="A20" s="4686">
        <v>12</v>
      </c>
      <c r="B20" s="4687"/>
      <c r="C20" s="4687"/>
      <c r="D20" s="4672" t="str">
        <f t="shared" si="0"/>
        <v>1</v>
      </c>
      <c r="E20" s="4687"/>
      <c r="F20" s="4698">
        <f t="shared" si="1"/>
        <v>2</v>
      </c>
      <c r="G20" s="4699"/>
      <c r="H20" s="4672">
        <f t="shared" si="2"/>
        <v>0</v>
      </c>
      <c r="I20" s="4691"/>
      <c r="J20" s="4692"/>
      <c r="K20" s="4693"/>
      <c r="L20" s="4692"/>
      <c r="M20" s="4692"/>
      <c r="N20" s="4692"/>
      <c r="O20" s="4692"/>
      <c r="P20" s="4678">
        <f t="shared" si="5"/>
        <v>0</v>
      </c>
      <c r="Q20" s="4679">
        <f t="shared" si="6"/>
        <v>0</v>
      </c>
      <c r="R20" s="4692"/>
      <c r="S20" s="4680" t="s">
        <v>5742</v>
      </c>
      <c r="T20" s="4694"/>
      <c r="U20" s="4700"/>
      <c r="V20" s="4692"/>
      <c r="W20" s="4680" t="s">
        <v>4521</v>
      </c>
      <c r="X20" s="4695"/>
      <c r="Y20" s="4692"/>
      <c r="Z20" s="4692"/>
      <c r="AA20" s="4683" t="s">
        <v>5035</v>
      </c>
      <c r="AB20" s="4692"/>
      <c r="AC20" s="4683" t="s">
        <v>5050</v>
      </c>
      <c r="AD20" s="4692"/>
      <c r="AE20" s="4696"/>
      <c r="AF20" s="4685">
        <f t="shared" si="4"/>
        <v>0</v>
      </c>
    </row>
    <row r="21" spans="1:32" ht="33.75" customHeight="1">
      <c r="A21" s="4686">
        <v>13</v>
      </c>
      <c r="B21" s="4687"/>
      <c r="C21" s="4687"/>
      <c r="D21" s="4672" t="str">
        <f t="shared" si="0"/>
        <v>1</v>
      </c>
      <c r="E21" s="4687"/>
      <c r="F21" s="4698">
        <f t="shared" si="1"/>
        <v>2</v>
      </c>
      <c r="G21" s="4699"/>
      <c r="H21" s="4672">
        <f t="shared" si="2"/>
        <v>0</v>
      </c>
      <c r="I21" s="4691"/>
      <c r="J21" s="4692"/>
      <c r="K21" s="4693"/>
      <c r="L21" s="4692"/>
      <c r="M21" s="4692"/>
      <c r="N21" s="4692"/>
      <c r="O21" s="4692"/>
      <c r="P21" s="4678">
        <f>SUM(D21,F21,H21)*K21</f>
        <v>0</v>
      </c>
      <c r="Q21" s="4679">
        <f t="shared" si="6"/>
        <v>0</v>
      </c>
      <c r="R21" s="4692"/>
      <c r="S21" s="4680" t="s">
        <v>5742</v>
      </c>
      <c r="T21" s="4694"/>
      <c r="U21" s="4700"/>
      <c r="V21" s="4692"/>
      <c r="W21" s="4680" t="s">
        <v>4521</v>
      </c>
      <c r="X21" s="4695"/>
      <c r="Y21" s="4692"/>
      <c r="Z21" s="4692"/>
      <c r="AA21" s="4683" t="s">
        <v>5035</v>
      </c>
      <c r="AB21" s="4692"/>
      <c r="AC21" s="4683" t="s">
        <v>5050</v>
      </c>
      <c r="AD21" s="4692"/>
      <c r="AE21" s="4696"/>
      <c r="AF21" s="4685">
        <f t="shared" si="4"/>
        <v>0</v>
      </c>
    </row>
    <row r="22" spans="1:32" ht="33.75" customHeight="1">
      <c r="A22" s="4686">
        <v>14</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6"/>
        <v>0</v>
      </c>
      <c r="R22" s="4692"/>
      <c r="S22" s="4680" t="s">
        <v>5742</v>
      </c>
      <c r="T22" s="4694"/>
      <c r="U22" s="4700"/>
      <c r="V22" s="4692"/>
      <c r="W22" s="4680" t="s">
        <v>4521</v>
      </c>
      <c r="X22" s="4695"/>
      <c r="Y22" s="4692"/>
      <c r="Z22" s="4692"/>
      <c r="AA22" s="4683" t="s">
        <v>5035</v>
      </c>
      <c r="AB22" s="4692"/>
      <c r="AC22" s="4683" t="s">
        <v>5050</v>
      </c>
      <c r="AD22" s="4692"/>
      <c r="AE22" s="4696"/>
      <c r="AF22" s="4685">
        <f t="shared" si="4"/>
        <v>0</v>
      </c>
    </row>
    <row r="23" spans="1:32" ht="33.75" customHeight="1" thickBot="1">
      <c r="A23" s="4686">
        <v>15</v>
      </c>
      <c r="B23" s="4687"/>
      <c r="C23" s="4687"/>
      <c r="D23" s="4672" t="str">
        <f t="shared" si="0"/>
        <v>1</v>
      </c>
      <c r="E23" s="4687"/>
      <c r="F23" s="4698">
        <f t="shared" si="1"/>
        <v>2</v>
      </c>
      <c r="G23" s="4699"/>
      <c r="H23" s="4672">
        <f t="shared" si="2"/>
        <v>0</v>
      </c>
      <c r="I23" s="4691"/>
      <c r="J23" s="4692"/>
      <c r="K23" s="4693"/>
      <c r="L23" s="4692"/>
      <c r="M23" s="4692"/>
      <c r="N23" s="4692"/>
      <c r="O23" s="4692"/>
      <c r="P23" s="4678">
        <f t="shared" si="5"/>
        <v>0</v>
      </c>
      <c r="Q23" s="4679">
        <f t="shared" si="6"/>
        <v>0</v>
      </c>
      <c r="R23" s="4692"/>
      <c r="S23" s="4680" t="s">
        <v>5739</v>
      </c>
      <c r="T23" s="4694"/>
      <c r="U23" s="4700"/>
      <c r="V23" s="4692"/>
      <c r="W23" s="4680" t="s">
        <v>4521</v>
      </c>
      <c r="X23" s="4695"/>
      <c r="Y23" s="4692"/>
      <c r="Z23" s="4692"/>
      <c r="AA23" s="4683" t="s">
        <v>5035</v>
      </c>
      <c r="AB23" s="4692"/>
      <c r="AC23" s="4683" t="s">
        <v>5050</v>
      </c>
      <c r="AD23" s="4692"/>
      <c r="AE23" s="4696"/>
      <c r="AF23" s="4685">
        <f t="shared" si="4"/>
        <v>0</v>
      </c>
    </row>
    <row r="24" spans="1:32" ht="33.75" customHeight="1" thickTop="1" thickBot="1">
      <c r="A24" s="4701"/>
      <c r="B24" s="4702"/>
      <c r="C24" s="4702"/>
      <c r="D24" s="4702"/>
      <c r="E24" s="4702"/>
      <c r="F24" s="4703"/>
      <c r="G24" s="4704"/>
      <c r="H24" s="4702"/>
      <c r="I24" s="4705" t="s">
        <v>2432</v>
      </c>
      <c r="J24" s="5484">
        <f>SUM(J8:J23)</f>
        <v>319</v>
      </c>
      <c r="K24" s="5485">
        <f>SUM(K8:K23)</f>
        <v>223</v>
      </c>
      <c r="L24" s="4703"/>
      <c r="M24" s="4703"/>
      <c r="N24" s="4703"/>
      <c r="O24" s="4703"/>
      <c r="P24" s="5484">
        <f>SUM(P8:P23)</f>
        <v>3345</v>
      </c>
      <c r="Q24" s="5484">
        <f>SUM(Q8:Q23)</f>
        <v>219195000</v>
      </c>
      <c r="R24" s="6863"/>
      <c r="S24" s="6864"/>
      <c r="T24" s="6865"/>
      <c r="U24" s="4708"/>
      <c r="V24" s="6863"/>
      <c r="W24" s="6864"/>
      <c r="X24" s="6864"/>
      <c r="Y24" s="4708"/>
      <c r="Z24" s="4708"/>
      <c r="AA24" s="6866"/>
      <c r="AB24" s="6867"/>
      <c r="AC24" s="6866"/>
      <c r="AD24" s="6867"/>
      <c r="AE24" s="4709"/>
      <c r="AF24" s="5484">
        <f>SUM(AF8:AF23)</f>
        <v>395</v>
      </c>
    </row>
    <row r="25" spans="1:32" ht="33.75" customHeight="1" thickBot="1">
      <c r="C25" s="4710"/>
      <c r="D25" s="4710"/>
      <c r="E25" s="4710"/>
      <c r="F25" s="4710"/>
      <c r="G25" s="4710"/>
      <c r="H25" s="4710"/>
      <c r="I25" s="4711"/>
      <c r="J25" s="4712"/>
      <c r="K25" s="4710"/>
      <c r="L25" s="4713" t="s">
        <v>5748</v>
      </c>
      <c r="M25" s="4714">
        <f>SUM(N5:N23)</f>
        <v>14850000</v>
      </c>
      <c r="N25" s="4715"/>
      <c r="P25" s="4715"/>
      <c r="S25" s="4656"/>
      <c r="W25" s="4656"/>
    </row>
    <row r="26" spans="1:32" ht="33.75" customHeight="1">
      <c r="A26" s="6845" t="s">
        <v>5749</v>
      </c>
      <c r="B26" s="6846"/>
      <c r="C26" s="4716">
        <f>P24</f>
        <v>3345</v>
      </c>
      <c r="D26" s="4717"/>
      <c r="F26" s="4718"/>
      <c r="H26" s="4719"/>
      <c r="I26" s="4720"/>
      <c r="K26" s="4659"/>
      <c r="L26" s="4721" t="s">
        <v>5750</v>
      </c>
      <c r="M26" s="4722">
        <f>M25*1.1</f>
        <v>16335000.000000002</v>
      </c>
      <c r="O26" s="4715"/>
      <c r="P26" s="4656"/>
    </row>
    <row r="27" spans="1:32" ht="33.75" customHeight="1">
      <c r="A27" s="6847" t="s">
        <v>5883</v>
      </c>
      <c r="B27" s="6848"/>
      <c r="C27" s="4723">
        <f>Q24</f>
        <v>219195000</v>
      </c>
      <c r="D27" s="4717"/>
      <c r="F27" s="4724"/>
      <c r="H27" s="4719"/>
      <c r="I27" s="4720"/>
      <c r="K27" s="4659"/>
      <c r="P27" s="4656"/>
    </row>
    <row r="28" spans="1:32" ht="33.75" customHeight="1" thickBot="1">
      <c r="A28" s="6913" t="s">
        <v>5751</v>
      </c>
      <c r="B28" s="6914"/>
      <c r="C28" s="4987">
        <f>ROUNDDOWN(C27*1.1,0)</f>
        <v>241114500</v>
      </c>
      <c r="D28" s="4719"/>
      <c r="F28" s="4724"/>
      <c r="H28" s="4719"/>
      <c r="I28" s="4720"/>
      <c r="K28" s="4659"/>
      <c r="P28" s="4656"/>
    </row>
    <row r="29" spans="1:32" ht="32.15" customHeight="1">
      <c r="A29" s="4726"/>
      <c r="B29" s="4726"/>
      <c r="C29" s="4726"/>
      <c r="D29" s="4726"/>
      <c r="E29" s="4726"/>
      <c r="F29" s="4726"/>
      <c r="G29" s="4726"/>
      <c r="H29" s="4726"/>
      <c r="I29" s="4727"/>
    </row>
    <row r="30" spans="1:32" ht="33.75" customHeight="1" thickBot="1">
      <c r="A30" s="4665" t="s">
        <v>5807</v>
      </c>
      <c r="B30" s="4665"/>
      <c r="S30" s="4656"/>
      <c r="W30" s="4656"/>
      <c r="Z30" s="4656"/>
      <c r="AA30" s="4656"/>
      <c r="AB30" s="4656"/>
      <c r="AC30" s="4656"/>
      <c r="AD30" s="4656"/>
      <c r="AF30" s="4656" t="s">
        <v>5712</v>
      </c>
    </row>
    <row r="31" spans="1:32" s="4666" customFormat="1" ht="33.75" customHeight="1">
      <c r="A31" s="6877" t="s">
        <v>5713</v>
      </c>
      <c r="B31" s="6879" t="s">
        <v>5714</v>
      </c>
      <c r="C31" s="6855" t="s">
        <v>5715</v>
      </c>
      <c r="D31" s="6855" t="s">
        <v>5716</v>
      </c>
      <c r="E31" s="6855" t="s">
        <v>5717</v>
      </c>
      <c r="F31" s="6868" t="s">
        <v>5718</v>
      </c>
      <c r="G31" s="6855" t="s">
        <v>5719</v>
      </c>
      <c r="H31" s="6855" t="s">
        <v>5720</v>
      </c>
      <c r="I31" s="6857" t="s">
        <v>5721</v>
      </c>
      <c r="J31" s="6851" t="s">
        <v>5722</v>
      </c>
      <c r="K31" s="6851" t="s">
        <v>5723</v>
      </c>
      <c r="L31" s="6855" t="s">
        <v>5796</v>
      </c>
      <c r="M31" s="6855" t="s">
        <v>5797</v>
      </c>
      <c r="N31" s="4967" t="s">
        <v>5726</v>
      </c>
      <c r="O31" s="6855" t="s">
        <v>5798</v>
      </c>
      <c r="P31" s="6851" t="s">
        <v>3766</v>
      </c>
      <c r="Q31" s="6853"/>
      <c r="R31" s="6868" t="s">
        <v>5728</v>
      </c>
      <c r="S31" s="6869"/>
      <c r="T31" s="6870"/>
      <c r="U31" s="6855" t="s">
        <v>5729</v>
      </c>
      <c r="V31" s="6869" t="s">
        <v>5730</v>
      </c>
      <c r="W31" s="6869"/>
      <c r="X31" s="6869"/>
      <c r="Y31" s="6868" t="s">
        <v>5731</v>
      </c>
      <c r="Z31" s="6851" t="s">
        <v>5732</v>
      </c>
      <c r="AA31" s="6851" t="s">
        <v>5733</v>
      </c>
      <c r="AB31" s="6853"/>
      <c r="AC31" s="6853"/>
      <c r="AD31" s="6853"/>
      <c r="AE31" s="6860" t="s">
        <v>2792</v>
      </c>
      <c r="AF31" s="6862" t="s">
        <v>5734</v>
      </c>
    </row>
    <row r="32" spans="1:32" s="4666" customFormat="1" ht="20">
      <c r="A32" s="6878"/>
      <c r="B32" s="6880"/>
      <c r="C32" s="6858"/>
      <c r="D32" s="6856"/>
      <c r="E32" s="6856"/>
      <c r="F32" s="6881"/>
      <c r="G32" s="6856"/>
      <c r="H32" s="6856"/>
      <c r="I32" s="6858"/>
      <c r="J32" s="6859"/>
      <c r="K32" s="6859"/>
      <c r="L32" s="6856"/>
      <c r="M32" s="6856"/>
      <c r="N32" s="4968"/>
      <c r="O32" s="6856"/>
      <c r="P32" s="4667" t="s">
        <v>5735</v>
      </c>
      <c r="Q32" s="4668" t="s">
        <v>5736</v>
      </c>
      <c r="R32" s="6871"/>
      <c r="S32" s="6872"/>
      <c r="T32" s="6873"/>
      <c r="U32" s="6856"/>
      <c r="V32" s="6872"/>
      <c r="W32" s="6872"/>
      <c r="X32" s="6872"/>
      <c r="Y32" s="6852"/>
      <c r="Z32" s="6852"/>
      <c r="AA32" s="6852"/>
      <c r="AB32" s="6854"/>
      <c r="AC32" s="6854"/>
      <c r="AD32" s="6854"/>
      <c r="AE32" s="6861"/>
      <c r="AF32" s="6862"/>
    </row>
    <row r="33" spans="1:32" ht="33.75" customHeight="1">
      <c r="A33" s="4669" t="s">
        <v>5737</v>
      </c>
      <c r="B33" s="4826">
        <v>46305</v>
      </c>
      <c r="C33" s="4827">
        <v>46307</v>
      </c>
      <c r="D33" s="4672">
        <f>IF(_xlfn.DAYS(C33,B33)=0,"1",_xlfn.DAYS(C33,B33))</f>
        <v>2</v>
      </c>
      <c r="E33" s="4827">
        <v>46319</v>
      </c>
      <c r="F33" s="4672">
        <f>IF(_xlfn.DAYS(E33,C33)=0,"1",_xlfn.DAYS(E33,C33))+1</f>
        <v>13</v>
      </c>
      <c r="G33" s="4827">
        <v>46321</v>
      </c>
      <c r="H33" s="4672">
        <f>IF(_xlfn.DAYS(G33,E33)=0,"1",_xlfn.DAYS(G33,E33))-1</f>
        <v>1</v>
      </c>
      <c r="I33" s="4674" t="s">
        <v>5738</v>
      </c>
      <c r="J33" s="4677">
        <v>100</v>
      </c>
      <c r="K33" s="4676">
        <v>90</v>
      </c>
      <c r="L33" s="4677">
        <v>9000</v>
      </c>
      <c r="M33" s="4677">
        <v>10000</v>
      </c>
      <c r="N33" s="4969"/>
      <c r="O33" s="4677">
        <v>8000</v>
      </c>
      <c r="P33" s="4678">
        <f>SUM(D33,F33,H33)*K33</f>
        <v>1440</v>
      </c>
      <c r="Q33" s="4677">
        <f>(D33*L33+F33*M33+H33*O33)*K33</f>
        <v>14040000</v>
      </c>
      <c r="R33" s="4682">
        <v>21</v>
      </c>
      <c r="S33" s="4680" t="s">
        <v>5739</v>
      </c>
      <c r="T33" s="4682">
        <v>21</v>
      </c>
      <c r="U33" s="4675">
        <v>1</v>
      </c>
      <c r="V33" s="4675">
        <v>154</v>
      </c>
      <c r="W33" s="4680" t="s">
        <v>4521</v>
      </c>
      <c r="X33" s="4682">
        <v>203</v>
      </c>
      <c r="Y33" s="4675">
        <v>1</v>
      </c>
      <c r="Z33" s="4675" t="s">
        <v>5740</v>
      </c>
      <c r="AA33" s="4683" t="s">
        <v>5035</v>
      </c>
      <c r="AB33" s="4675" t="s">
        <v>3118</v>
      </c>
      <c r="AC33" s="4683" t="s">
        <v>5050</v>
      </c>
      <c r="AD33" s="4675" t="s">
        <v>5741</v>
      </c>
      <c r="AE33" s="4684"/>
      <c r="AF33" s="4685"/>
    </row>
    <row r="34" spans="1:32" ht="33.75" customHeight="1">
      <c r="A34" s="4828">
        <v>1</v>
      </c>
      <c r="B34" s="4829">
        <v>46304</v>
      </c>
      <c r="C34" s="4829">
        <v>46306</v>
      </c>
      <c r="D34" s="4672">
        <f t="shared" ref="D34:D39" si="7">IF(_xlfn.DAYS(C34,B34)=0,"1",_xlfn.DAYS(C34,B34))</f>
        <v>2</v>
      </c>
      <c r="E34" s="4829">
        <v>46320</v>
      </c>
      <c r="F34" s="4830">
        <f t="shared" ref="F34" si="8">IF(_xlfn.DAYS(E34,C34)=0,"1",_xlfn.DAYS(E34,C34))+1</f>
        <v>15</v>
      </c>
      <c r="G34" s="4699">
        <v>46322</v>
      </c>
      <c r="H34" s="4672">
        <f t="shared" ref="H34:H48" si="9">IF(_xlfn.DAYS(G34,E34)=0,"1",_xlfn.DAYS(G34,E34))-1</f>
        <v>1</v>
      </c>
      <c r="I34" s="4972" t="s">
        <v>6244</v>
      </c>
      <c r="J34" s="5097">
        <v>174</v>
      </c>
      <c r="K34" s="5246">
        <v>123</v>
      </c>
      <c r="L34" s="4820">
        <v>45000</v>
      </c>
      <c r="M34" s="4820">
        <v>48000</v>
      </c>
      <c r="N34" s="4971">
        <f>M34*K34</f>
        <v>5904000</v>
      </c>
      <c r="O34" s="4820">
        <v>45000</v>
      </c>
      <c r="P34" s="4678">
        <f t="shared" ref="P34:P48" si="10">SUM(D34,F34,H34)*K34</f>
        <v>2214</v>
      </c>
      <c r="Q34" s="4677">
        <f t="shared" ref="Q34:Q49" si="11">(D34*L34+F34*M34+H34*O34)*K34</f>
        <v>105165000</v>
      </c>
      <c r="R34" s="4820">
        <v>25</v>
      </c>
      <c r="S34" s="5209" t="s">
        <v>5742</v>
      </c>
      <c r="T34" s="5217">
        <v>25</v>
      </c>
      <c r="U34" s="4675">
        <v>1</v>
      </c>
      <c r="V34" s="4820">
        <v>203</v>
      </c>
      <c r="W34" s="5209" t="s">
        <v>2688</v>
      </c>
      <c r="X34" s="5219">
        <v>203</v>
      </c>
      <c r="Y34" s="4692">
        <v>1</v>
      </c>
      <c r="Z34" s="4820" t="s">
        <v>5953</v>
      </c>
      <c r="AA34" s="4839" t="s">
        <v>5035</v>
      </c>
      <c r="AB34" s="4834" t="s">
        <v>3118</v>
      </c>
      <c r="AC34" s="4839" t="s">
        <v>5050</v>
      </c>
      <c r="AD34" s="4692" t="s">
        <v>5741</v>
      </c>
      <c r="AE34" s="4832"/>
      <c r="AF34" s="4685">
        <f t="shared" ref="AF34:AF49" si="12">U34*K34</f>
        <v>123</v>
      </c>
    </row>
    <row r="35" spans="1:32" ht="33.75" customHeight="1">
      <c r="A35" s="4828">
        <v>2</v>
      </c>
      <c r="B35" s="4829">
        <v>46304</v>
      </c>
      <c r="C35" s="4829">
        <v>46306</v>
      </c>
      <c r="D35" s="4672">
        <f t="shared" si="7"/>
        <v>2</v>
      </c>
      <c r="E35" s="4829">
        <v>46320</v>
      </c>
      <c r="F35" s="4830">
        <f>IF(_xlfn.DAYS(E35,C35)=0,"1",_xlfn.DAYS(E35,C35))+1</f>
        <v>15</v>
      </c>
      <c r="G35" s="4699">
        <v>46322</v>
      </c>
      <c r="H35" s="4672">
        <f t="shared" si="9"/>
        <v>1</v>
      </c>
      <c r="I35" s="4972" t="s">
        <v>6246</v>
      </c>
      <c r="J35" s="5097">
        <v>96</v>
      </c>
      <c r="K35" s="5246">
        <v>66</v>
      </c>
      <c r="L35" s="4820">
        <v>50000</v>
      </c>
      <c r="M35" s="4820">
        <v>56000</v>
      </c>
      <c r="N35" s="4971">
        <f t="shared" ref="N35:N42" si="13">M35*K35</f>
        <v>3696000</v>
      </c>
      <c r="O35" s="4820">
        <v>50000</v>
      </c>
      <c r="P35" s="4678">
        <f t="shared" si="10"/>
        <v>1188</v>
      </c>
      <c r="Q35" s="4679">
        <f t="shared" si="11"/>
        <v>65340000</v>
      </c>
      <c r="R35" s="4820">
        <v>25</v>
      </c>
      <c r="S35" s="5209" t="s">
        <v>5742</v>
      </c>
      <c r="T35" s="5217">
        <v>25</v>
      </c>
      <c r="U35" s="4675">
        <v>2</v>
      </c>
      <c r="V35" s="4820">
        <v>120</v>
      </c>
      <c r="W35" s="5209" t="s">
        <v>2688</v>
      </c>
      <c r="X35" s="5219">
        <v>203</v>
      </c>
      <c r="Y35" s="4692">
        <v>2</v>
      </c>
      <c r="Z35" s="4820" t="s">
        <v>5953</v>
      </c>
      <c r="AA35" s="4839" t="s">
        <v>5035</v>
      </c>
      <c r="AB35" s="4834" t="s">
        <v>3118</v>
      </c>
      <c r="AC35" s="4839" t="s">
        <v>5050</v>
      </c>
      <c r="AD35" s="4692" t="s">
        <v>5741</v>
      </c>
      <c r="AE35" s="4832"/>
      <c r="AF35" s="4685">
        <f t="shared" si="12"/>
        <v>132</v>
      </c>
    </row>
    <row r="36" spans="1:32" ht="33.75" customHeight="1">
      <c r="A36" s="4828">
        <v>3</v>
      </c>
      <c r="B36" s="4829">
        <v>46304</v>
      </c>
      <c r="C36" s="4829">
        <v>46306</v>
      </c>
      <c r="D36" s="4672">
        <f t="shared" si="7"/>
        <v>2</v>
      </c>
      <c r="E36" s="4829">
        <v>46320</v>
      </c>
      <c r="F36" s="4830">
        <f t="shared" ref="F36:F38" si="14">IF(_xlfn.DAYS(E36,C36)=0,"1",_xlfn.DAYS(E36,C36))+1</f>
        <v>15</v>
      </c>
      <c r="G36" s="4699">
        <v>46322</v>
      </c>
      <c r="H36" s="4672">
        <f t="shared" si="9"/>
        <v>1</v>
      </c>
      <c r="I36" s="4972" t="s">
        <v>6247</v>
      </c>
      <c r="J36" s="5097">
        <v>27</v>
      </c>
      <c r="K36" s="5246">
        <v>21</v>
      </c>
      <c r="L36" s="4820">
        <v>55000</v>
      </c>
      <c r="M36" s="4820">
        <v>58000</v>
      </c>
      <c r="N36" s="4971">
        <f t="shared" si="13"/>
        <v>1218000</v>
      </c>
      <c r="O36" s="4820">
        <v>55000</v>
      </c>
      <c r="P36" s="4678">
        <f t="shared" si="10"/>
        <v>378</v>
      </c>
      <c r="Q36" s="4677">
        <f t="shared" si="11"/>
        <v>21735000</v>
      </c>
      <c r="R36" s="4820">
        <v>30</v>
      </c>
      <c r="S36" s="5209" t="s">
        <v>5742</v>
      </c>
      <c r="T36" s="5217">
        <v>30</v>
      </c>
      <c r="U36" s="4675">
        <v>1</v>
      </c>
      <c r="V36" s="4820">
        <v>203</v>
      </c>
      <c r="W36" s="5209" t="s">
        <v>2688</v>
      </c>
      <c r="X36" s="5219">
        <v>203</v>
      </c>
      <c r="Y36" s="4692">
        <v>1</v>
      </c>
      <c r="Z36" s="4820" t="s">
        <v>5953</v>
      </c>
      <c r="AA36" s="4839" t="s">
        <v>5035</v>
      </c>
      <c r="AB36" s="4834" t="s">
        <v>3118</v>
      </c>
      <c r="AC36" s="4839" t="s">
        <v>5050</v>
      </c>
      <c r="AD36" s="4692" t="s">
        <v>5741</v>
      </c>
      <c r="AE36" s="4832"/>
      <c r="AF36" s="4685">
        <f t="shared" si="12"/>
        <v>21</v>
      </c>
    </row>
    <row r="37" spans="1:32" ht="33.75" customHeight="1">
      <c r="A37" s="4828">
        <v>4</v>
      </c>
      <c r="B37" s="4829">
        <v>46304</v>
      </c>
      <c r="C37" s="4829">
        <v>46306</v>
      </c>
      <c r="D37" s="4672">
        <f t="shared" si="7"/>
        <v>2</v>
      </c>
      <c r="E37" s="4829">
        <v>46320</v>
      </c>
      <c r="F37" s="4830">
        <f t="shared" si="14"/>
        <v>15</v>
      </c>
      <c r="G37" s="4699">
        <v>46322</v>
      </c>
      <c r="H37" s="4672">
        <f t="shared" si="9"/>
        <v>1</v>
      </c>
      <c r="I37" s="4972" t="s">
        <v>5107</v>
      </c>
      <c r="J37" s="5097">
        <v>12</v>
      </c>
      <c r="K37" s="5246">
        <v>6</v>
      </c>
      <c r="L37" s="4820">
        <v>60000</v>
      </c>
      <c r="M37" s="4820">
        <v>66000</v>
      </c>
      <c r="N37" s="4971">
        <f t="shared" si="13"/>
        <v>396000</v>
      </c>
      <c r="O37" s="4820">
        <v>60000</v>
      </c>
      <c r="P37" s="4678">
        <f t="shared" si="10"/>
        <v>108</v>
      </c>
      <c r="Q37" s="4677">
        <f t="shared" si="11"/>
        <v>7020000</v>
      </c>
      <c r="R37" s="4820">
        <v>30</v>
      </c>
      <c r="S37" s="5209" t="s">
        <v>5742</v>
      </c>
      <c r="T37" s="5217">
        <v>30</v>
      </c>
      <c r="U37" s="4675">
        <v>2</v>
      </c>
      <c r="V37" s="4820">
        <v>120</v>
      </c>
      <c r="W37" s="5209" t="s">
        <v>2688</v>
      </c>
      <c r="X37" s="5219">
        <v>203</v>
      </c>
      <c r="Y37" s="4692">
        <v>2</v>
      </c>
      <c r="Z37" s="4820" t="s">
        <v>5953</v>
      </c>
      <c r="AA37" s="4839" t="s">
        <v>5035</v>
      </c>
      <c r="AB37" s="4834" t="s">
        <v>3118</v>
      </c>
      <c r="AC37" s="4839" t="s">
        <v>5050</v>
      </c>
      <c r="AD37" s="4692" t="s">
        <v>5741</v>
      </c>
      <c r="AE37" s="4832"/>
      <c r="AF37" s="4685">
        <f t="shared" si="12"/>
        <v>12</v>
      </c>
    </row>
    <row r="38" spans="1:32" ht="33.75" customHeight="1">
      <c r="A38" s="4828">
        <v>5</v>
      </c>
      <c r="B38" s="4829">
        <v>46304</v>
      </c>
      <c r="C38" s="4829">
        <v>46306</v>
      </c>
      <c r="D38" s="4672">
        <f t="shared" si="7"/>
        <v>2</v>
      </c>
      <c r="E38" s="4829">
        <v>46320</v>
      </c>
      <c r="F38" s="4830">
        <f t="shared" si="14"/>
        <v>15</v>
      </c>
      <c r="G38" s="4699">
        <v>46322</v>
      </c>
      <c r="H38" s="4672">
        <f t="shared" si="9"/>
        <v>1</v>
      </c>
      <c r="I38" s="4972" t="s">
        <v>6248</v>
      </c>
      <c r="J38" s="5097">
        <v>9</v>
      </c>
      <c r="K38" s="5246">
        <v>6</v>
      </c>
      <c r="L38" s="4820">
        <v>75000</v>
      </c>
      <c r="M38" s="4820">
        <v>78000</v>
      </c>
      <c r="N38" s="4971">
        <f t="shared" si="13"/>
        <v>468000</v>
      </c>
      <c r="O38" s="4820">
        <v>75000</v>
      </c>
      <c r="P38" s="4678">
        <f t="shared" si="10"/>
        <v>108</v>
      </c>
      <c r="Q38" s="4677">
        <f t="shared" si="11"/>
        <v>8370000</v>
      </c>
      <c r="R38" s="4820">
        <v>40</v>
      </c>
      <c r="S38" s="5209" t="s">
        <v>5742</v>
      </c>
      <c r="T38" s="5217">
        <v>40</v>
      </c>
      <c r="U38" s="4675">
        <v>1</v>
      </c>
      <c r="V38" s="4820">
        <v>203</v>
      </c>
      <c r="W38" s="5209" t="s">
        <v>2688</v>
      </c>
      <c r="X38" s="5219">
        <v>203</v>
      </c>
      <c r="Y38" s="4692">
        <v>1</v>
      </c>
      <c r="Z38" s="4820" t="s">
        <v>5953</v>
      </c>
      <c r="AA38" s="4839" t="s">
        <v>5035</v>
      </c>
      <c r="AB38" s="4834" t="s">
        <v>3118</v>
      </c>
      <c r="AC38" s="4839" t="s">
        <v>5050</v>
      </c>
      <c r="AD38" s="4692" t="s">
        <v>5741</v>
      </c>
      <c r="AE38" s="4832"/>
      <c r="AF38" s="4685">
        <f t="shared" si="12"/>
        <v>6</v>
      </c>
    </row>
    <row r="39" spans="1:32" ht="33.75" customHeight="1">
      <c r="A39" s="4828">
        <v>6</v>
      </c>
      <c r="B39" s="4829">
        <v>46304</v>
      </c>
      <c r="C39" s="4829">
        <v>46306</v>
      </c>
      <c r="D39" s="4672">
        <f t="shared" si="7"/>
        <v>2</v>
      </c>
      <c r="E39" s="4829">
        <v>46320</v>
      </c>
      <c r="F39" s="4830">
        <f>IF(_xlfn.DAYS(E39,C39)=0,"1",_xlfn.DAYS(E39,C39))+1</f>
        <v>15</v>
      </c>
      <c r="G39" s="4699">
        <v>46322</v>
      </c>
      <c r="H39" s="4672">
        <f t="shared" si="9"/>
        <v>1</v>
      </c>
      <c r="I39" s="4972" t="s">
        <v>6249</v>
      </c>
      <c r="J39" s="5097">
        <v>1</v>
      </c>
      <c r="K39" s="5246">
        <v>1</v>
      </c>
      <c r="L39" s="4820">
        <v>135000</v>
      </c>
      <c r="M39" s="4820">
        <v>138000</v>
      </c>
      <c r="N39" s="4971">
        <f t="shared" si="13"/>
        <v>138000</v>
      </c>
      <c r="O39" s="4820">
        <v>135000</v>
      </c>
      <c r="P39" s="4678">
        <f t="shared" si="10"/>
        <v>18</v>
      </c>
      <c r="Q39" s="4677">
        <f t="shared" si="11"/>
        <v>2475000</v>
      </c>
      <c r="R39" s="4820">
        <v>70</v>
      </c>
      <c r="S39" s="5209" t="s">
        <v>5742</v>
      </c>
      <c r="T39" s="5217">
        <v>70</v>
      </c>
      <c r="U39" s="4692">
        <v>1</v>
      </c>
      <c r="V39" s="4820">
        <v>203</v>
      </c>
      <c r="W39" s="5209" t="s">
        <v>2688</v>
      </c>
      <c r="X39" s="5219">
        <v>203</v>
      </c>
      <c r="Y39" s="4692">
        <v>1</v>
      </c>
      <c r="Z39" s="4820" t="s">
        <v>5953</v>
      </c>
      <c r="AA39" s="4839" t="s">
        <v>5035</v>
      </c>
      <c r="AB39" s="4834" t="s">
        <v>3118</v>
      </c>
      <c r="AC39" s="4839" t="s">
        <v>5050</v>
      </c>
      <c r="AD39" s="4692" t="s">
        <v>5741</v>
      </c>
      <c r="AE39" s="4832"/>
      <c r="AF39" s="4685">
        <f t="shared" si="12"/>
        <v>1</v>
      </c>
    </row>
    <row r="40" spans="1:32" ht="33.75" customHeight="1">
      <c r="A40" s="4828">
        <v>7</v>
      </c>
      <c r="B40" s="4833"/>
      <c r="C40" s="4829"/>
      <c r="D40" s="4672" t="str">
        <f t="shared" ref="D40:D48" si="15">IF(_xlfn.DAYS(C40,B40)=0,"1",_xlfn.DAYS(C40,B40))</f>
        <v>1</v>
      </c>
      <c r="E40" s="4829"/>
      <c r="F40" s="4672">
        <f t="shared" ref="F40:F48" si="16">IF(_xlfn.DAYS(E40,C40)=0,"1",_xlfn.DAYS(E40,C40))+1</f>
        <v>2</v>
      </c>
      <c r="G40" s="4699"/>
      <c r="H40" s="4672">
        <f t="shared" si="9"/>
        <v>0</v>
      </c>
      <c r="I40" s="4831"/>
      <c r="J40" s="4834"/>
      <c r="K40" s="4835"/>
      <c r="L40" s="4834"/>
      <c r="M40" s="4834"/>
      <c r="N40" s="4971">
        <f t="shared" si="13"/>
        <v>0</v>
      </c>
      <c r="O40" s="4820"/>
      <c r="P40" s="4678">
        <f t="shared" si="10"/>
        <v>0</v>
      </c>
      <c r="Q40" s="4677">
        <f t="shared" si="11"/>
        <v>0</v>
      </c>
      <c r="R40" s="4820"/>
      <c r="S40" s="5209" t="s">
        <v>5742</v>
      </c>
      <c r="T40" s="5217"/>
      <c r="U40" s="4692"/>
      <c r="V40" s="4820"/>
      <c r="W40" s="5209" t="s">
        <v>2688</v>
      </c>
      <c r="X40" s="5219"/>
      <c r="Y40" s="4692"/>
      <c r="Z40" s="4820"/>
      <c r="AA40" s="4839" t="s">
        <v>5035</v>
      </c>
      <c r="AB40" s="4834"/>
      <c r="AC40" s="4839" t="s">
        <v>5050</v>
      </c>
      <c r="AD40" s="4692"/>
      <c r="AE40" s="4832"/>
      <c r="AF40" s="4685">
        <f t="shared" si="12"/>
        <v>0</v>
      </c>
    </row>
    <row r="41" spans="1:32" ht="33.75" customHeight="1">
      <c r="A41" s="4828">
        <v>8</v>
      </c>
      <c r="B41" s="4833"/>
      <c r="C41" s="4829"/>
      <c r="D41" s="4672" t="str">
        <f t="shared" si="15"/>
        <v>1</v>
      </c>
      <c r="E41" s="4829"/>
      <c r="F41" s="4672">
        <f t="shared" si="16"/>
        <v>2</v>
      </c>
      <c r="G41" s="4699"/>
      <c r="H41" s="4672">
        <f t="shared" si="9"/>
        <v>0</v>
      </c>
      <c r="I41" s="4831"/>
      <c r="J41" s="4834"/>
      <c r="K41" s="4835"/>
      <c r="L41" s="4834"/>
      <c r="M41" s="4834"/>
      <c r="N41" s="4971">
        <f t="shared" si="13"/>
        <v>0</v>
      </c>
      <c r="O41" s="4834"/>
      <c r="P41" s="4678">
        <f t="shared" si="10"/>
        <v>0</v>
      </c>
      <c r="Q41" s="4677">
        <f t="shared" si="11"/>
        <v>0</v>
      </c>
      <c r="R41" s="4836"/>
      <c r="S41" s="4837" t="s">
        <v>5742</v>
      </c>
      <c r="T41" s="4836"/>
      <c r="U41" s="4838"/>
      <c r="V41" s="4834"/>
      <c r="W41" s="4837" t="s">
        <v>4521</v>
      </c>
      <c r="X41" s="4836"/>
      <c r="Y41" s="4834"/>
      <c r="Z41" s="4834"/>
      <c r="AA41" s="4839" t="s">
        <v>5035</v>
      </c>
      <c r="AB41" s="4834"/>
      <c r="AC41" s="4839" t="s">
        <v>5050</v>
      </c>
      <c r="AD41" s="4834"/>
      <c r="AE41" s="4832"/>
      <c r="AF41" s="4685">
        <f t="shared" si="12"/>
        <v>0</v>
      </c>
    </row>
    <row r="42" spans="1:32" ht="33.75" customHeight="1">
      <c r="A42" s="4828">
        <v>9</v>
      </c>
      <c r="B42" s="4833"/>
      <c r="C42" s="4829"/>
      <c r="D42" s="4672" t="str">
        <f t="shared" si="15"/>
        <v>1</v>
      </c>
      <c r="E42" s="4829"/>
      <c r="F42" s="4672">
        <f t="shared" si="16"/>
        <v>2</v>
      </c>
      <c r="G42" s="4699"/>
      <c r="H42" s="4672">
        <f t="shared" si="9"/>
        <v>0</v>
      </c>
      <c r="I42" s="4831"/>
      <c r="J42" s="4834"/>
      <c r="K42" s="4835"/>
      <c r="L42" s="4834"/>
      <c r="M42" s="4834"/>
      <c r="N42" s="4971">
        <f t="shared" si="13"/>
        <v>0</v>
      </c>
      <c r="O42" s="4834"/>
      <c r="P42" s="4678">
        <f t="shared" si="10"/>
        <v>0</v>
      </c>
      <c r="Q42" s="4677">
        <f t="shared" si="11"/>
        <v>0</v>
      </c>
      <c r="R42" s="4836"/>
      <c r="S42" s="4837" t="s">
        <v>5742</v>
      </c>
      <c r="T42" s="4836"/>
      <c r="U42" s="4838"/>
      <c r="V42" s="4834"/>
      <c r="W42" s="4837" t="s">
        <v>4521</v>
      </c>
      <c r="X42" s="4836"/>
      <c r="Y42" s="4834"/>
      <c r="Z42" s="4834"/>
      <c r="AA42" s="4839" t="s">
        <v>5035</v>
      </c>
      <c r="AB42" s="4834"/>
      <c r="AC42" s="4839" t="s">
        <v>5050</v>
      </c>
      <c r="AD42" s="4834"/>
      <c r="AE42" s="4832"/>
      <c r="AF42" s="4685">
        <f t="shared" si="12"/>
        <v>0</v>
      </c>
    </row>
    <row r="43" spans="1:32" ht="33.75" customHeight="1">
      <c r="A43" s="4828">
        <v>10</v>
      </c>
      <c r="B43" s="4833"/>
      <c r="C43" s="4829"/>
      <c r="D43" s="4672" t="str">
        <f t="shared" si="15"/>
        <v>1</v>
      </c>
      <c r="E43" s="4829"/>
      <c r="F43" s="4672">
        <f t="shared" si="16"/>
        <v>2</v>
      </c>
      <c r="G43" s="4699"/>
      <c r="H43" s="4672">
        <f t="shared" si="9"/>
        <v>0</v>
      </c>
      <c r="I43" s="4831"/>
      <c r="J43" s="4834"/>
      <c r="K43" s="4835"/>
      <c r="L43" s="4834"/>
      <c r="M43" s="4834"/>
      <c r="N43" s="4834"/>
      <c r="O43" s="4834"/>
      <c r="P43" s="4678">
        <f t="shared" si="10"/>
        <v>0</v>
      </c>
      <c r="Q43" s="4677">
        <f t="shared" si="11"/>
        <v>0</v>
      </c>
      <c r="R43" s="4836"/>
      <c r="S43" s="4837" t="s">
        <v>5742</v>
      </c>
      <c r="T43" s="4836"/>
      <c r="U43" s="4838"/>
      <c r="V43" s="4834"/>
      <c r="W43" s="4837" t="s">
        <v>4521</v>
      </c>
      <c r="X43" s="4836"/>
      <c r="Y43" s="4834"/>
      <c r="Z43" s="4834"/>
      <c r="AA43" s="4839" t="s">
        <v>5035</v>
      </c>
      <c r="AB43" s="4834"/>
      <c r="AC43" s="4839" t="s">
        <v>5050</v>
      </c>
      <c r="AD43" s="4834"/>
      <c r="AE43" s="4832"/>
      <c r="AF43" s="4685">
        <f t="shared" si="12"/>
        <v>0</v>
      </c>
    </row>
    <row r="44" spans="1:32" ht="33.75" customHeight="1">
      <c r="A44" s="4828">
        <v>11</v>
      </c>
      <c r="B44" s="4833"/>
      <c r="C44" s="4829"/>
      <c r="D44" s="4672" t="str">
        <f t="shared" si="15"/>
        <v>1</v>
      </c>
      <c r="E44" s="4829"/>
      <c r="F44" s="4672">
        <f t="shared" si="16"/>
        <v>2</v>
      </c>
      <c r="G44" s="4699"/>
      <c r="H44" s="4672">
        <f t="shared" si="9"/>
        <v>0</v>
      </c>
      <c r="I44" s="4831"/>
      <c r="J44" s="4834"/>
      <c r="K44" s="4835"/>
      <c r="L44" s="4834"/>
      <c r="M44" s="4834"/>
      <c r="N44" s="4834"/>
      <c r="O44" s="4834"/>
      <c r="P44" s="4678">
        <f t="shared" si="10"/>
        <v>0</v>
      </c>
      <c r="Q44" s="4677">
        <f t="shared" si="11"/>
        <v>0</v>
      </c>
      <c r="R44" s="4836"/>
      <c r="S44" s="4837" t="s">
        <v>5742</v>
      </c>
      <c r="T44" s="4836"/>
      <c r="U44" s="4838"/>
      <c r="V44" s="4834"/>
      <c r="W44" s="4837" t="s">
        <v>4521</v>
      </c>
      <c r="X44" s="4836"/>
      <c r="Y44" s="4834"/>
      <c r="Z44" s="4834"/>
      <c r="AA44" s="4839" t="s">
        <v>5035</v>
      </c>
      <c r="AB44" s="4834"/>
      <c r="AC44" s="4839" t="s">
        <v>5050</v>
      </c>
      <c r="AD44" s="4834"/>
      <c r="AE44" s="4832"/>
      <c r="AF44" s="4685">
        <f t="shared" si="12"/>
        <v>0</v>
      </c>
    </row>
    <row r="45" spans="1:32" ht="33.75" customHeight="1">
      <c r="A45" s="4828">
        <v>12</v>
      </c>
      <c r="B45" s="4833"/>
      <c r="C45" s="4829"/>
      <c r="D45" s="4672" t="str">
        <f t="shared" si="15"/>
        <v>1</v>
      </c>
      <c r="E45" s="4829"/>
      <c r="F45" s="4672">
        <f t="shared" si="16"/>
        <v>2</v>
      </c>
      <c r="G45" s="4699"/>
      <c r="H45" s="4672">
        <f t="shared" si="9"/>
        <v>0</v>
      </c>
      <c r="I45" s="4831"/>
      <c r="J45" s="4834"/>
      <c r="K45" s="4835"/>
      <c r="L45" s="4834"/>
      <c r="M45" s="4834"/>
      <c r="N45" s="4834"/>
      <c r="O45" s="4834"/>
      <c r="P45" s="4678">
        <f t="shared" si="10"/>
        <v>0</v>
      </c>
      <c r="Q45" s="4677">
        <f t="shared" si="11"/>
        <v>0</v>
      </c>
      <c r="R45" s="4836"/>
      <c r="S45" s="4837" t="s">
        <v>5742</v>
      </c>
      <c r="T45" s="4836"/>
      <c r="U45" s="4838"/>
      <c r="V45" s="4834"/>
      <c r="W45" s="4837" t="s">
        <v>4521</v>
      </c>
      <c r="X45" s="4836"/>
      <c r="Y45" s="4834"/>
      <c r="Z45" s="4834"/>
      <c r="AA45" s="4839" t="s">
        <v>5035</v>
      </c>
      <c r="AB45" s="4834"/>
      <c r="AC45" s="4839" t="s">
        <v>5050</v>
      </c>
      <c r="AD45" s="4834"/>
      <c r="AE45" s="4832"/>
      <c r="AF45" s="4685">
        <f t="shared" si="12"/>
        <v>0</v>
      </c>
    </row>
    <row r="46" spans="1:32" ht="33.75" customHeight="1">
      <c r="A46" s="4828">
        <v>13</v>
      </c>
      <c r="B46" s="4833"/>
      <c r="C46" s="4829"/>
      <c r="D46" s="4672" t="str">
        <f t="shared" si="15"/>
        <v>1</v>
      </c>
      <c r="E46" s="4829"/>
      <c r="F46" s="4672">
        <f t="shared" si="16"/>
        <v>2</v>
      </c>
      <c r="G46" s="4699"/>
      <c r="H46" s="4672">
        <f t="shared" si="9"/>
        <v>0</v>
      </c>
      <c r="I46" s="4831"/>
      <c r="J46" s="4834"/>
      <c r="K46" s="4835"/>
      <c r="L46" s="4834"/>
      <c r="M46" s="4834"/>
      <c r="N46" s="4834"/>
      <c r="O46" s="4834"/>
      <c r="P46" s="4678">
        <f t="shared" si="10"/>
        <v>0</v>
      </c>
      <c r="Q46" s="4677">
        <f t="shared" si="11"/>
        <v>0</v>
      </c>
      <c r="R46" s="4836"/>
      <c r="S46" s="4837" t="s">
        <v>5742</v>
      </c>
      <c r="T46" s="4836"/>
      <c r="U46" s="4838"/>
      <c r="V46" s="4834"/>
      <c r="W46" s="4837" t="s">
        <v>4521</v>
      </c>
      <c r="X46" s="4836"/>
      <c r="Y46" s="4834"/>
      <c r="Z46" s="4834"/>
      <c r="AA46" s="4839" t="s">
        <v>5035</v>
      </c>
      <c r="AB46" s="4834"/>
      <c r="AC46" s="4839" t="s">
        <v>5050</v>
      </c>
      <c r="AD46" s="4834"/>
      <c r="AE46" s="4832"/>
      <c r="AF46" s="4685">
        <f t="shared" si="12"/>
        <v>0</v>
      </c>
    </row>
    <row r="47" spans="1:32" ht="33.75" customHeight="1">
      <c r="A47" s="4828">
        <v>14</v>
      </c>
      <c r="B47" s="4833"/>
      <c r="C47" s="4829"/>
      <c r="D47" s="4672" t="str">
        <f t="shared" si="15"/>
        <v>1</v>
      </c>
      <c r="E47" s="4829"/>
      <c r="F47" s="4672">
        <f t="shared" si="16"/>
        <v>2</v>
      </c>
      <c r="G47" s="4699"/>
      <c r="H47" s="4672">
        <f t="shared" si="9"/>
        <v>0</v>
      </c>
      <c r="I47" s="4831"/>
      <c r="J47" s="4834"/>
      <c r="K47" s="4835"/>
      <c r="L47" s="4834"/>
      <c r="M47" s="4834"/>
      <c r="N47" s="4834"/>
      <c r="O47" s="4834"/>
      <c r="P47" s="4678">
        <f t="shared" si="10"/>
        <v>0</v>
      </c>
      <c r="Q47" s="4677">
        <f t="shared" si="11"/>
        <v>0</v>
      </c>
      <c r="R47" s="4836"/>
      <c r="S47" s="4837" t="s">
        <v>5742</v>
      </c>
      <c r="T47" s="4836"/>
      <c r="U47" s="4838"/>
      <c r="V47" s="4834"/>
      <c r="W47" s="4837" t="s">
        <v>4521</v>
      </c>
      <c r="X47" s="4836"/>
      <c r="Y47" s="4834"/>
      <c r="Z47" s="4834"/>
      <c r="AA47" s="4839" t="s">
        <v>5035</v>
      </c>
      <c r="AB47" s="4834"/>
      <c r="AC47" s="4839" t="s">
        <v>5050</v>
      </c>
      <c r="AD47" s="4834"/>
      <c r="AE47" s="4832"/>
      <c r="AF47" s="4685">
        <f t="shared" si="12"/>
        <v>0</v>
      </c>
    </row>
    <row r="48" spans="1:32" ht="33.75" customHeight="1">
      <c r="A48" s="4828">
        <v>15</v>
      </c>
      <c r="B48" s="4833"/>
      <c r="C48" s="4829"/>
      <c r="D48" s="4672" t="str">
        <f t="shared" si="15"/>
        <v>1</v>
      </c>
      <c r="E48" s="4829"/>
      <c r="F48" s="4672">
        <f t="shared" si="16"/>
        <v>2</v>
      </c>
      <c r="G48" s="4699"/>
      <c r="H48" s="4672">
        <f t="shared" si="9"/>
        <v>0</v>
      </c>
      <c r="I48" s="4831"/>
      <c r="J48" s="4834"/>
      <c r="K48" s="4835"/>
      <c r="L48" s="4834"/>
      <c r="M48" s="4834"/>
      <c r="N48" s="4834"/>
      <c r="O48" s="4834"/>
      <c r="P48" s="4678">
        <f t="shared" si="10"/>
        <v>0</v>
      </c>
      <c r="Q48" s="4677">
        <f t="shared" si="11"/>
        <v>0</v>
      </c>
      <c r="R48" s="4836"/>
      <c r="S48" s="4837" t="s">
        <v>5742</v>
      </c>
      <c r="T48" s="4836"/>
      <c r="U48" s="4838"/>
      <c r="V48" s="4834"/>
      <c r="W48" s="4837" t="s">
        <v>4521</v>
      </c>
      <c r="X48" s="4836"/>
      <c r="Y48" s="4834"/>
      <c r="Z48" s="4834"/>
      <c r="AA48" s="4839" t="s">
        <v>5035</v>
      </c>
      <c r="AB48" s="4834"/>
      <c r="AC48" s="4839" t="s">
        <v>5050</v>
      </c>
      <c r="AD48" s="4834"/>
      <c r="AE48" s="4832"/>
      <c r="AF48" s="4685">
        <f t="shared" si="12"/>
        <v>0</v>
      </c>
    </row>
    <row r="49" spans="1:32" ht="33.75" customHeight="1" thickBot="1">
      <c r="A49" s="4828">
        <v>16</v>
      </c>
      <c r="B49" s="4833"/>
      <c r="C49" s="4829"/>
      <c r="D49" s="4672" t="str">
        <f>IF(_xlfn.DAYS(C49,B49)=0,"1",_xlfn.DAYS(C49,B49))</f>
        <v>1</v>
      </c>
      <c r="E49" s="4829"/>
      <c r="F49" s="4672">
        <f>IF(_xlfn.DAYS(E49,C49)=0,"1",_xlfn.DAYS(E49,C49))+1</f>
        <v>2</v>
      </c>
      <c r="G49" s="4699"/>
      <c r="H49" s="4672">
        <f>IF(_xlfn.DAYS(G49,E49)=0,"1",_xlfn.DAYS(G49,E49))-1</f>
        <v>0</v>
      </c>
      <c r="I49" s="4831"/>
      <c r="J49" s="4834"/>
      <c r="K49" s="4835"/>
      <c r="L49" s="4834"/>
      <c r="M49" s="4834"/>
      <c r="N49" s="4834"/>
      <c r="O49" s="4834"/>
      <c r="P49" s="4678">
        <f>SUM(D49,F49,H49)*K49</f>
        <v>0</v>
      </c>
      <c r="Q49" s="4677">
        <f t="shared" si="11"/>
        <v>0</v>
      </c>
      <c r="R49" s="4836"/>
      <c r="S49" s="4837" t="s">
        <v>5739</v>
      </c>
      <c r="T49" s="4836"/>
      <c r="U49" s="4838"/>
      <c r="V49" s="4834"/>
      <c r="W49" s="4837" t="s">
        <v>4521</v>
      </c>
      <c r="X49" s="4836"/>
      <c r="Y49" s="4834"/>
      <c r="Z49" s="4834"/>
      <c r="AA49" s="4839" t="s">
        <v>5035</v>
      </c>
      <c r="AB49" s="4834"/>
      <c r="AC49" s="4839" t="s">
        <v>5050</v>
      </c>
      <c r="AD49" s="4834"/>
      <c r="AE49" s="4832"/>
      <c r="AF49" s="4685">
        <f t="shared" si="12"/>
        <v>0</v>
      </c>
    </row>
    <row r="50" spans="1:32" ht="33.75" customHeight="1" thickTop="1" thickBot="1">
      <c r="A50" s="4840"/>
      <c r="B50" s="4841"/>
      <c r="C50" s="4841"/>
      <c r="D50" s="4841"/>
      <c r="E50" s="4841"/>
      <c r="F50" s="4842"/>
      <c r="G50" s="4843"/>
      <c r="H50" s="4841"/>
      <c r="I50" s="4844" t="s">
        <v>2432</v>
      </c>
      <c r="J50" s="5486">
        <f>SUM(J34:J49)</f>
        <v>319</v>
      </c>
      <c r="K50" s="5487">
        <f>SUM(K34:K49)</f>
        <v>223</v>
      </c>
      <c r="L50" s="4843"/>
      <c r="M50" s="4843"/>
      <c r="N50" s="4843"/>
      <c r="O50" s="4843"/>
      <c r="P50" s="5486">
        <f>SUM(P34:P49)</f>
        <v>4014</v>
      </c>
      <c r="Q50" s="5486">
        <f>SUM(Q34:Q49)</f>
        <v>210105000</v>
      </c>
      <c r="R50" s="6901"/>
      <c r="S50" s="6901"/>
      <c r="T50" s="6901"/>
      <c r="U50" s="4847"/>
      <c r="V50" s="6902"/>
      <c r="W50" s="6901"/>
      <c r="X50" s="6901"/>
      <c r="Y50" s="4847"/>
      <c r="Z50" s="4847"/>
      <c r="AA50" s="6903"/>
      <c r="AB50" s="6904"/>
      <c r="AC50" s="6903"/>
      <c r="AD50" s="6904"/>
      <c r="AE50" s="4848"/>
      <c r="AF50" s="5486">
        <f>SUM(AF34:AF49)</f>
        <v>295</v>
      </c>
    </row>
    <row r="51" spans="1:32" ht="32.15" customHeight="1" thickBot="1">
      <c r="C51" s="4710"/>
      <c r="D51" s="4710"/>
      <c r="E51" s="4710"/>
      <c r="F51" s="4710"/>
      <c r="G51" s="4710"/>
      <c r="H51" s="4710"/>
      <c r="I51" s="4711"/>
      <c r="J51" s="4712"/>
      <c r="K51" s="4710"/>
      <c r="L51" s="4713" t="s">
        <v>5748</v>
      </c>
      <c r="M51" s="4714">
        <f>SUM(N31:N49)</f>
        <v>11820000</v>
      </c>
      <c r="N51" s="4715"/>
      <c r="O51" s="4715"/>
      <c r="P51" s="4715"/>
      <c r="S51" s="4656"/>
      <c r="W51" s="4656"/>
      <c r="AF51" s="4849"/>
    </row>
    <row r="52" spans="1:32" ht="33.75" customHeight="1">
      <c r="A52" s="6845" t="s">
        <v>5749</v>
      </c>
      <c r="B52" s="6846"/>
      <c r="C52" s="4716">
        <f>P50</f>
        <v>4014</v>
      </c>
      <c r="D52" s="4717"/>
      <c r="F52" s="4718"/>
      <c r="G52" s="4850"/>
      <c r="H52" s="4719"/>
      <c r="I52" s="4720"/>
      <c r="L52" s="4721" t="s">
        <v>5750</v>
      </c>
      <c r="M52" s="4722">
        <f>M51*1.1</f>
        <v>13002000.000000002</v>
      </c>
      <c r="P52" s="4656"/>
      <c r="AF52" s="4851"/>
    </row>
    <row r="53" spans="1:32" ht="33.75" customHeight="1">
      <c r="A53" s="6910" t="s">
        <v>5883</v>
      </c>
      <c r="B53" s="6911"/>
      <c r="C53" s="4723">
        <f>Q50</f>
        <v>210105000</v>
      </c>
      <c r="D53" s="4717"/>
      <c r="F53" s="4724"/>
      <c r="G53" s="4852"/>
      <c r="H53" s="4719"/>
      <c r="I53" s="4720"/>
      <c r="P53" s="4656"/>
      <c r="AF53" s="4851"/>
    </row>
    <row r="54" spans="1:32" ht="33.75" customHeight="1" thickBot="1">
      <c r="A54" s="6913" t="s">
        <v>5751</v>
      </c>
      <c r="B54" s="6914"/>
      <c r="C54" s="4987">
        <f>ROUNDDOWN(C53*1.1,0)</f>
        <v>231115500</v>
      </c>
      <c r="D54" s="4940"/>
      <c r="E54" s="4941"/>
      <c r="F54" s="4942"/>
      <c r="G54" s="4943"/>
      <c r="H54" s="4940"/>
      <c r="I54" s="4944"/>
      <c r="J54" s="4943"/>
      <c r="K54" s="4861"/>
      <c r="L54" s="4861"/>
      <c r="M54" s="4861"/>
      <c r="N54" s="4861"/>
      <c r="O54" s="4861"/>
      <c r="P54" s="4943"/>
      <c r="Q54" s="4943"/>
      <c r="R54" s="4941"/>
      <c r="S54" s="4941"/>
      <c r="T54" s="4941"/>
      <c r="U54" s="4941"/>
      <c r="V54" s="4941"/>
      <c r="W54" s="4941"/>
      <c r="X54" s="4941"/>
      <c r="Y54" s="4941"/>
      <c r="Z54" s="4941"/>
      <c r="AA54" s="4941"/>
      <c r="AB54" s="4941"/>
      <c r="AC54" s="4941"/>
      <c r="AD54" s="4941"/>
      <c r="AE54" s="4941"/>
      <c r="AF54" s="4941"/>
    </row>
    <row r="55" spans="1:32" ht="33.75" customHeight="1">
      <c r="A55" s="4729"/>
      <c r="B55" s="4729"/>
      <c r="C55" s="4729"/>
      <c r="D55" s="4729"/>
      <c r="E55" s="4729"/>
      <c r="F55" s="4729"/>
      <c r="G55" s="4726"/>
      <c r="H55" s="4729"/>
      <c r="I55" s="4720"/>
      <c r="P55" s="4656"/>
    </row>
    <row r="56" spans="1:32" ht="33.75" customHeight="1">
      <c r="A56" s="4728" t="s">
        <v>5752</v>
      </c>
      <c r="B56" s="4728"/>
      <c r="C56" s="4729"/>
      <c r="D56" s="4729"/>
      <c r="E56" s="4729"/>
      <c r="F56" s="4729"/>
      <c r="G56" s="4726"/>
      <c r="H56" s="4729"/>
      <c r="I56" s="4720"/>
      <c r="P56" s="4656"/>
    </row>
    <row r="57" spans="1:32" ht="36" customHeight="1">
      <c r="A57" s="4728" t="s">
        <v>5753</v>
      </c>
      <c r="B57" s="4728"/>
    </row>
    <row r="58" spans="1:32" ht="36" customHeight="1">
      <c r="A58" s="4730" t="s">
        <v>5754</v>
      </c>
      <c r="B58" s="4730"/>
    </row>
    <row r="59" spans="1:32" ht="36" customHeight="1">
      <c r="A59" s="4728"/>
      <c r="B59" s="4728"/>
    </row>
    <row r="60" spans="1:32" ht="36" customHeight="1"/>
    <row r="61" spans="1:32" ht="36" customHeight="1"/>
    <row r="62" spans="1:32" ht="36" customHeight="1"/>
    <row r="63" spans="1:32" ht="36" customHeight="1"/>
    <row r="64" spans="1:32" ht="36" customHeight="1"/>
    <row r="65" ht="36" customHeight="1"/>
    <row r="66" ht="36" customHeight="1"/>
    <row r="67" ht="10.4" customHeight="1"/>
  </sheetData>
  <mergeCells count="60">
    <mergeCell ref="L5:L6"/>
    <mergeCell ref="A5:A6"/>
    <mergeCell ref="B5:B6"/>
    <mergeCell ref="C5:C6"/>
    <mergeCell ref="D5:D6"/>
    <mergeCell ref="E5:E6"/>
    <mergeCell ref="F5:F6"/>
    <mergeCell ref="G5:G6"/>
    <mergeCell ref="H5:H6"/>
    <mergeCell ref="I5:I6"/>
    <mergeCell ref="J5:J6"/>
    <mergeCell ref="K5:K6"/>
    <mergeCell ref="AA24:AB24"/>
    <mergeCell ref="AC24:AD24"/>
    <mergeCell ref="M5:M6"/>
    <mergeCell ref="O5:O6"/>
    <mergeCell ref="P5:Q5"/>
    <mergeCell ref="R5:T6"/>
    <mergeCell ref="U5:U6"/>
    <mergeCell ref="V5:X6"/>
    <mergeCell ref="Y5:Y6"/>
    <mergeCell ref="Z5:Z6"/>
    <mergeCell ref="AA5:AD6"/>
    <mergeCell ref="K31:K32"/>
    <mergeCell ref="L31:L32"/>
    <mergeCell ref="R24:T24"/>
    <mergeCell ref="V24:X24"/>
    <mergeCell ref="P31:Q31"/>
    <mergeCell ref="A52:B52"/>
    <mergeCell ref="A53:B53"/>
    <mergeCell ref="AE5:AE6"/>
    <mergeCell ref="AF5:AF6"/>
    <mergeCell ref="I31:I32"/>
    <mergeCell ref="A26:B26"/>
    <mergeCell ref="A27:B27"/>
    <mergeCell ref="A28:B28"/>
    <mergeCell ref="A31:A32"/>
    <mergeCell ref="B31:B32"/>
    <mergeCell ref="C31:C32"/>
    <mergeCell ref="D31:D32"/>
    <mergeCell ref="E31:E32"/>
    <mergeCell ref="F31:F32"/>
    <mergeCell ref="G31:G32"/>
    <mergeCell ref="H31:H32"/>
    <mergeCell ref="A54:B54"/>
    <mergeCell ref="AE31:AE32"/>
    <mergeCell ref="AF31:AF32"/>
    <mergeCell ref="R50:T50"/>
    <mergeCell ref="V50:X50"/>
    <mergeCell ref="AA50:AB50"/>
    <mergeCell ref="AC50:AD50"/>
    <mergeCell ref="R31:T32"/>
    <mergeCell ref="U31:U32"/>
    <mergeCell ref="V31:X32"/>
    <mergeCell ref="Y31:Y32"/>
    <mergeCell ref="Z31:Z32"/>
    <mergeCell ref="AA31:AD32"/>
    <mergeCell ref="J31:J32"/>
    <mergeCell ref="M31:M32"/>
    <mergeCell ref="O31:O32"/>
  </mergeCells>
  <phoneticPr fontId="2"/>
  <conditionalFormatting sqref="A2 B8:C23 E8:G23">
    <cfRule type="containsBlanks" dxfId="439" priority="19">
      <formula>LEN(TRIM(A2))=0</formula>
    </cfRule>
  </conditionalFormatting>
  <conditionalFormatting sqref="D7:D23">
    <cfRule type="containsBlanks" dxfId="438" priority="18">
      <formula>LEN(TRIM(D7))=0</formula>
    </cfRule>
  </conditionalFormatting>
  <conditionalFormatting sqref="D33:D49">
    <cfRule type="containsBlanks" dxfId="437" priority="9">
      <formula>LEN(TRIM(D33))=0</formula>
    </cfRule>
  </conditionalFormatting>
  <conditionalFormatting sqref="E34:E48 B34:C49">
    <cfRule type="containsBlanks" dxfId="436" priority="10">
      <formula>LEN(TRIM(B34))=0</formula>
    </cfRule>
  </conditionalFormatting>
  <conditionalFormatting sqref="E49:F49">
    <cfRule type="containsBlanks" dxfId="435" priority="17">
      <formula>LEN(TRIM(E49))=0</formula>
    </cfRule>
  </conditionalFormatting>
  <conditionalFormatting sqref="F7">
    <cfRule type="containsBlanks" dxfId="434" priority="16">
      <formula>LEN(TRIM(F7))=0</formula>
    </cfRule>
  </conditionalFormatting>
  <conditionalFormatting sqref="F33:F48">
    <cfRule type="containsBlanks" dxfId="433" priority="8">
      <formula>LEN(TRIM(F33))=0</formula>
    </cfRule>
  </conditionalFormatting>
  <conditionalFormatting sqref="G34:G49">
    <cfRule type="containsBlanks" dxfId="432" priority="7">
      <formula>LEN(TRIM(G34))=0</formula>
    </cfRule>
  </conditionalFormatting>
  <conditionalFormatting sqref="H7:O23">
    <cfRule type="containsBlanks" dxfId="431" priority="11">
      <formula>LEN(TRIM(H7))=0</formula>
    </cfRule>
  </conditionalFormatting>
  <conditionalFormatting sqref="H33:O49">
    <cfRule type="containsBlanks" dxfId="430" priority="6">
      <formula>LEN(TRIM(H33))=0</formula>
    </cfRule>
  </conditionalFormatting>
  <conditionalFormatting sqref="Q7:R23">
    <cfRule type="containsBlanks" dxfId="429" priority="15">
      <formula>LEN(TRIM(Q7))=0</formula>
    </cfRule>
  </conditionalFormatting>
  <conditionalFormatting sqref="Q33:R49">
    <cfRule type="containsBlanks" dxfId="428" priority="4">
      <formula>LEN(TRIM(Q33))=0</formula>
    </cfRule>
  </conditionalFormatting>
  <conditionalFormatting sqref="T7:V23">
    <cfRule type="containsBlanks" dxfId="427" priority="13">
      <formula>LEN(TRIM(T7))=0</formula>
    </cfRule>
  </conditionalFormatting>
  <conditionalFormatting sqref="T33:V49">
    <cfRule type="containsBlanks" dxfId="426" priority="3">
      <formula>LEN(TRIM(T33))=0</formula>
    </cfRule>
  </conditionalFormatting>
  <conditionalFormatting sqref="X7:Z23">
    <cfRule type="containsBlanks" dxfId="425" priority="12">
      <formula>LEN(TRIM(X7))=0</formula>
    </cfRule>
  </conditionalFormatting>
  <conditionalFormatting sqref="X33:Z49">
    <cfRule type="containsBlanks" dxfId="424" priority="2">
      <formula>LEN(TRIM(X33))=0</formula>
    </cfRule>
  </conditionalFormatting>
  <conditionalFormatting sqref="AB7:AB23">
    <cfRule type="containsBlanks" dxfId="423" priority="14">
      <formula>LEN(TRIM(AB7))=0</formula>
    </cfRule>
  </conditionalFormatting>
  <conditionalFormatting sqref="AB33:AB49">
    <cfRule type="containsBlanks" dxfId="422" priority="5">
      <formula>LEN(TRIM(AB33))=0</formula>
    </cfRule>
  </conditionalFormatting>
  <conditionalFormatting sqref="AD7:AE23">
    <cfRule type="containsBlanks" dxfId="421" priority="20">
      <formula>LEN(TRIM(AD7))=0</formula>
    </cfRule>
  </conditionalFormatting>
  <conditionalFormatting sqref="AD33:AE49">
    <cfRule type="containsBlanks" dxfId="420" priority="1">
      <formula>LEN(TRIM(AD33))=0</formula>
    </cfRule>
  </conditionalFormatting>
  <printOptions horizontalCentered="1"/>
  <pageMargins left="0.39370078740157483" right="0.39370078740157483" top="0.55118110236220474" bottom="0.55118110236220474" header="0.31496062992125984" footer="0.31496062992125984"/>
  <pageSetup paperSize="8" scale="40" orientation="landscape" r:id="rId1"/>
  <headerFooter>
    <oddHeader>&amp;R&amp;G</oddHeader>
  </headerFooter>
  <legacy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ABF74-DA07-42EF-892B-7E493600D7D1}">
  <sheetPr codeName="Sheet408">
    <tabColor rgb="FFFFFF66"/>
    <pageSetUpPr fitToPage="1"/>
  </sheetPr>
  <dimension ref="A1:AE47"/>
  <sheetViews>
    <sheetView topLeftCell="A13" zoomScale="55" zoomScaleNormal="55" workbookViewId="0">
      <selection activeCell="D8" sqref="D8"/>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6250</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687">
        <v>46280</v>
      </c>
      <c r="C8" s="4699">
        <v>46294</v>
      </c>
      <c r="D8" s="4759"/>
      <c r="E8" s="4759"/>
      <c r="F8" s="4760">
        <f>IF(OR(ISBLANK($B8), ISBLANK($C8)), 0, _xlfn.DAYS($C8, $B8) + 1)</f>
        <v>15</v>
      </c>
      <c r="G8" s="4975" t="s">
        <v>6251</v>
      </c>
      <c r="H8" s="4762">
        <v>8</v>
      </c>
      <c r="I8" s="4763"/>
      <c r="J8" s="4902"/>
      <c r="K8" s="4765"/>
      <c r="L8" s="4765"/>
      <c r="M8" s="4765"/>
      <c r="N8" s="4762">
        <v>55000</v>
      </c>
      <c r="O8" s="4766">
        <f>F8*N8*H8</f>
        <v>6600000</v>
      </c>
      <c r="P8" s="4857"/>
      <c r="Q8" s="4858"/>
      <c r="R8" s="4864"/>
      <c r="S8" s="4858"/>
      <c r="T8" s="4859"/>
      <c r="U8" s="4860"/>
    </row>
    <row r="9" spans="1:31" ht="33.75" customHeight="1">
      <c r="A9" s="4758">
        <v>2</v>
      </c>
      <c r="B9" s="4910"/>
      <c r="C9" s="4911"/>
      <c r="D9" s="4759"/>
      <c r="E9" s="4759"/>
      <c r="F9" s="4760">
        <f t="shared" ref="F9:F17" si="1">IF(OR(ISBLANK($B9), ISBLANK($C9)), 0, _xlfn.DAYS($C9, $B9) + 1)</f>
        <v>0</v>
      </c>
      <c r="G9" s="4975"/>
      <c r="H9" s="4762"/>
      <c r="I9" s="4763"/>
      <c r="J9" s="4902"/>
      <c r="K9" s="4765"/>
      <c r="L9" s="4765"/>
      <c r="M9" s="4765"/>
      <c r="N9" s="4762"/>
      <c r="O9" s="4766">
        <f>F9*N9*H9</f>
        <v>0</v>
      </c>
      <c r="P9" s="4857"/>
      <c r="Q9" s="4858"/>
      <c r="R9" s="4864"/>
      <c r="S9" s="4858"/>
      <c r="T9" s="4859"/>
      <c r="U9" s="4860"/>
      <c r="AC9" s="4657"/>
    </row>
    <row r="10" spans="1:31" ht="33.75" customHeight="1">
      <c r="A10" s="4758">
        <v>3</v>
      </c>
      <c r="B10" s="4816"/>
      <c r="C10" s="4816"/>
      <c r="D10" s="4759"/>
      <c r="E10" s="4759"/>
      <c r="F10" s="4760">
        <f t="shared" si="1"/>
        <v>0</v>
      </c>
      <c r="G10" s="4975"/>
      <c r="H10" s="4762"/>
      <c r="I10" s="4763"/>
      <c r="J10" s="4764"/>
      <c r="K10" s="4765"/>
      <c r="L10" s="4765"/>
      <c r="M10" s="4765"/>
      <c r="N10" s="4762"/>
      <c r="O10" s="4766">
        <f t="shared" si="0"/>
        <v>0</v>
      </c>
      <c r="P10" s="4909"/>
      <c r="Q10" s="4858"/>
      <c r="R10" s="4864"/>
      <c r="S10" s="4858"/>
      <c r="T10" s="4859"/>
      <c r="U10" s="4860"/>
      <c r="AC10" s="4657"/>
    </row>
    <row r="11" spans="1:31" ht="33.75" customHeight="1">
      <c r="A11" s="4758">
        <v>4</v>
      </c>
      <c r="B11" s="4816"/>
      <c r="C11" s="4816"/>
      <c r="D11" s="4759"/>
      <c r="E11" s="4759"/>
      <c r="F11" s="4760">
        <f t="shared" si="1"/>
        <v>0</v>
      </c>
      <c r="G11" s="4771"/>
      <c r="H11" s="4762"/>
      <c r="I11" s="4763"/>
      <c r="J11" s="4764"/>
      <c r="K11" s="4765"/>
      <c r="L11" s="4765"/>
      <c r="M11" s="4765"/>
      <c r="N11" s="4762"/>
      <c r="O11" s="4766">
        <f t="shared" si="0"/>
        <v>0</v>
      </c>
      <c r="P11" s="4857"/>
      <c r="Q11" s="4858"/>
      <c r="R11" s="4859"/>
      <c r="S11" s="4858"/>
      <c r="T11" s="4859"/>
      <c r="U11" s="4860"/>
      <c r="AC11" s="4657"/>
    </row>
    <row r="12" spans="1:31" ht="33.75" customHeight="1">
      <c r="A12" s="4758">
        <v>5</v>
      </c>
      <c r="B12" s="4816"/>
      <c r="C12" s="4816"/>
      <c r="D12" s="4759"/>
      <c r="E12" s="4759"/>
      <c r="F12" s="4760">
        <f t="shared" si="1"/>
        <v>0</v>
      </c>
      <c r="G12" s="4771"/>
      <c r="H12" s="4762"/>
      <c r="I12" s="4763"/>
      <c r="J12" s="4764"/>
      <c r="K12" s="4765"/>
      <c r="L12" s="4765"/>
      <c r="M12" s="4765"/>
      <c r="N12" s="4762"/>
      <c r="O12" s="4766">
        <f t="shared" si="0"/>
        <v>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15</v>
      </c>
      <c r="G18" s="4779"/>
      <c r="H18" s="4781"/>
      <c r="I18" s="4782"/>
      <c r="J18" s="4783"/>
      <c r="K18" s="4784"/>
      <c r="L18" s="4784"/>
      <c r="M18" s="4784"/>
      <c r="N18" s="4785"/>
      <c r="O18" s="4922">
        <f>SUM(O8:O17)</f>
        <v>6600000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7260000.0000000009</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v>0</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1.1*SUM(O8)</f>
        <v>7260000.0000000009</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33.75" customHeight="1" thickBot="1">
      <c r="A25" s="4737" t="s">
        <v>5849</v>
      </c>
      <c r="B25" s="4657"/>
      <c r="C25" s="4657"/>
      <c r="D25" s="4657"/>
      <c r="G25" s="4657"/>
      <c r="H25" s="4657"/>
      <c r="O25" s="4656"/>
      <c r="P25" s="4656"/>
      <c r="Q25" s="4657"/>
      <c r="AC25" s="4657"/>
    </row>
    <row r="26" spans="1:31" s="4738" customFormat="1" ht="33.75" customHeight="1">
      <c r="A26" s="6893" t="s">
        <v>5713</v>
      </c>
      <c r="B26" s="6882" t="s">
        <v>5757</v>
      </c>
      <c r="C26" s="6882" t="s">
        <v>5758</v>
      </c>
      <c r="D26" s="6882" t="s">
        <v>5759</v>
      </c>
      <c r="E26" s="6882" t="s">
        <v>5760</v>
      </c>
      <c r="F26" s="6895" t="s">
        <v>5761</v>
      </c>
      <c r="G26" s="6882"/>
      <c r="H26" s="6897" t="s">
        <v>6252</v>
      </c>
      <c r="I26" s="6882" t="s">
        <v>6253</v>
      </c>
      <c r="J26" s="6895"/>
      <c r="K26" s="6888"/>
      <c r="L26" s="6888"/>
      <c r="M26" s="6888"/>
      <c r="N26" s="6882" t="s">
        <v>6254</v>
      </c>
      <c r="O26" s="6884" t="s">
        <v>5812</v>
      </c>
      <c r="P26" s="6886" t="s">
        <v>5771</v>
      </c>
      <c r="Q26" s="6887"/>
      <c r="R26" s="6888" t="s">
        <v>5772</v>
      </c>
      <c r="S26" s="6889"/>
      <c r="T26" s="6889"/>
      <c r="U26" s="6890"/>
    </row>
    <row r="27" spans="1:31"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31" s="4666" customFormat="1" ht="33.75" customHeight="1">
      <c r="A28" s="4743" t="s">
        <v>5779</v>
      </c>
      <c r="B28" s="4744">
        <v>46280</v>
      </c>
      <c r="C28" s="4744">
        <v>46300</v>
      </c>
      <c r="D28" s="4745">
        <v>0.3125</v>
      </c>
      <c r="E28" s="4746">
        <v>0.89583333333333337</v>
      </c>
      <c r="F28" s="4747">
        <f>IF(OR(ISBLANK($B28), ISBLANK($C28)), 0, _xlfn.DAYS($C28, $B28) + 1)</f>
        <v>21</v>
      </c>
      <c r="G28" s="4890" t="s">
        <v>5780</v>
      </c>
      <c r="H28" s="4891">
        <v>3</v>
      </c>
      <c r="I28" s="4892" t="s">
        <v>5781</v>
      </c>
      <c r="J28" s="4893">
        <v>30</v>
      </c>
      <c r="K28" s="4894">
        <v>100</v>
      </c>
      <c r="L28" s="4894">
        <f>J28*K28</f>
        <v>3000</v>
      </c>
      <c r="M28" s="4895">
        <v>5</v>
      </c>
      <c r="N28" s="4896">
        <v>150000</v>
      </c>
      <c r="O28" s="4754">
        <f t="shared" ref="O28:O38" si="2">F28*N28</f>
        <v>3150000</v>
      </c>
      <c r="P28" s="4897" t="s">
        <v>5782</v>
      </c>
      <c r="Q28" s="4898">
        <v>4</v>
      </c>
      <c r="R28" s="4898" t="s">
        <v>3804</v>
      </c>
      <c r="S28" s="4894" t="s">
        <v>246</v>
      </c>
      <c r="T28" s="4898" t="s">
        <v>2161</v>
      </c>
      <c r="U28" s="4899">
        <v>2000</v>
      </c>
    </row>
    <row r="29" spans="1:31" s="4666" customFormat="1" ht="33.75" customHeight="1">
      <c r="A29" s="4758">
        <v>1</v>
      </c>
      <c r="B29" s="4910"/>
      <c r="C29" s="4911"/>
      <c r="D29" s="4759"/>
      <c r="E29" s="4759"/>
      <c r="F29" s="4760"/>
      <c r="G29" s="4975"/>
      <c r="H29" s="4762"/>
      <c r="I29" s="4763"/>
      <c r="J29" s="4902"/>
      <c r="K29" s="4765"/>
      <c r="L29" s="4765"/>
      <c r="M29" s="4765"/>
      <c r="N29" s="4762"/>
      <c r="O29" s="4766">
        <f t="shared" ref="O29" si="3">F29*N29*H29</f>
        <v>0</v>
      </c>
      <c r="P29" s="4857"/>
      <c r="Q29" s="4858"/>
      <c r="R29" s="4859"/>
      <c r="S29" s="4858"/>
      <c r="T29" s="4859"/>
      <c r="U29" s="4860"/>
    </row>
    <row r="30" spans="1:31" ht="33.75" customHeight="1">
      <c r="A30" s="4758">
        <v>2</v>
      </c>
      <c r="B30" s="4910"/>
      <c r="C30" s="4911"/>
      <c r="D30" s="4759"/>
      <c r="E30" s="4759"/>
      <c r="F30" s="4760"/>
      <c r="G30" s="4975"/>
      <c r="H30" s="4762"/>
      <c r="I30" s="4763"/>
      <c r="J30" s="4902"/>
      <c r="K30" s="4765"/>
      <c r="L30" s="4765"/>
      <c r="M30" s="4765"/>
      <c r="N30" s="4762"/>
      <c r="O30" s="4766">
        <f>F30*N30*H30</f>
        <v>0</v>
      </c>
      <c r="P30" s="4857"/>
      <c r="Q30" s="4858"/>
      <c r="R30" s="4859"/>
      <c r="S30" s="4858"/>
      <c r="T30" s="4859"/>
      <c r="U30" s="4860"/>
      <c r="AC30" s="4657"/>
    </row>
    <row r="31" spans="1:31" ht="33.75" customHeight="1">
      <c r="A31" s="4758">
        <v>3</v>
      </c>
      <c r="B31" s="4950"/>
      <c r="C31" s="4950"/>
      <c r="D31" s="4951"/>
      <c r="E31" s="4759"/>
      <c r="F31" s="4760">
        <f t="shared" ref="F31:F38" si="4">IF(OR(ISBLANK($B31), ISBLANK($C31)), 0, _xlfn.DAYS($C31, $B31) + 1)</f>
        <v>0</v>
      </c>
      <c r="G31" s="4771"/>
      <c r="H31" s="4762"/>
      <c r="I31" s="4763"/>
      <c r="J31" s="4902"/>
      <c r="K31" s="4765"/>
      <c r="L31" s="4765"/>
      <c r="M31" s="4765"/>
      <c r="N31" s="4762"/>
      <c r="O31" s="4766">
        <f t="shared" ref="O31:O36" si="5">F31*N31*H31</f>
        <v>0</v>
      </c>
      <c r="P31" s="4857"/>
      <c r="Q31" s="4858"/>
      <c r="R31" s="4859"/>
      <c r="S31" s="4858"/>
      <c r="T31" s="4859"/>
      <c r="U31" s="4860"/>
      <c r="AC31" s="4657"/>
    </row>
    <row r="32" spans="1:31" ht="33.75" customHeight="1">
      <c r="A32" s="4758">
        <v>4</v>
      </c>
      <c r="B32" s="4950"/>
      <c r="C32" s="4950"/>
      <c r="D32" s="4951"/>
      <c r="E32" s="4759"/>
      <c r="F32" s="4760">
        <f t="shared" si="4"/>
        <v>0</v>
      </c>
      <c r="G32" s="5521"/>
      <c r="H32" s="4762"/>
      <c r="I32" s="4763"/>
      <c r="J32" s="4902"/>
      <c r="K32" s="4765"/>
      <c r="L32" s="4765"/>
      <c r="M32" s="4765"/>
      <c r="N32" s="4762"/>
      <c r="O32" s="4766">
        <f t="shared" si="5"/>
        <v>0</v>
      </c>
      <c r="P32" s="4857"/>
      <c r="Q32" s="4858"/>
      <c r="R32" s="4859"/>
      <c r="S32" s="4858"/>
      <c r="T32" s="4859"/>
      <c r="U32" s="4860"/>
      <c r="AC32" s="4657"/>
    </row>
    <row r="33" spans="1:31" ht="33.75" customHeight="1">
      <c r="A33" s="4758">
        <v>5</v>
      </c>
      <c r="B33" s="4950"/>
      <c r="C33" s="4950"/>
      <c r="D33" s="4913"/>
      <c r="E33" s="4759"/>
      <c r="F33" s="4760">
        <f t="shared" si="4"/>
        <v>0</v>
      </c>
      <c r="G33" s="5522"/>
      <c r="H33" s="4762"/>
      <c r="I33" s="4763"/>
      <c r="J33" s="4902"/>
      <c r="K33" s="4765"/>
      <c r="L33" s="4765"/>
      <c r="M33" s="4765"/>
      <c r="N33" s="4762"/>
      <c r="O33" s="4766">
        <f t="shared" si="5"/>
        <v>0</v>
      </c>
      <c r="P33" s="4857"/>
      <c r="Q33" s="4858"/>
      <c r="R33" s="4859"/>
      <c r="S33" s="4858"/>
      <c r="T33" s="4859"/>
      <c r="U33" s="4860"/>
      <c r="AC33" s="4657"/>
    </row>
    <row r="34" spans="1:31" ht="33.75" customHeight="1">
      <c r="A34" s="4758">
        <v>6</v>
      </c>
      <c r="B34" s="4950"/>
      <c r="C34" s="4950"/>
      <c r="D34" s="4951"/>
      <c r="E34" s="4759"/>
      <c r="F34" s="4760">
        <f t="shared" si="4"/>
        <v>0</v>
      </c>
      <c r="G34" s="5522"/>
      <c r="H34" s="4762"/>
      <c r="I34" s="4763"/>
      <c r="J34" s="4902"/>
      <c r="K34" s="4765"/>
      <c r="L34" s="4765"/>
      <c r="M34" s="4765"/>
      <c r="N34" s="4762"/>
      <c r="O34" s="4766">
        <f t="shared" si="5"/>
        <v>0</v>
      </c>
      <c r="P34" s="4857"/>
      <c r="Q34" s="4858"/>
      <c r="R34" s="4859"/>
      <c r="S34" s="4858"/>
      <c r="T34" s="4859"/>
      <c r="U34" s="4860"/>
      <c r="AC34" s="4657"/>
    </row>
    <row r="35" spans="1:31" ht="33.75" customHeight="1">
      <c r="A35" s="4758">
        <v>7</v>
      </c>
      <c r="B35" s="4950"/>
      <c r="C35" s="4950"/>
      <c r="D35" s="4951"/>
      <c r="E35" s="4759"/>
      <c r="F35" s="4760">
        <f t="shared" si="4"/>
        <v>0</v>
      </c>
      <c r="G35" s="4771"/>
      <c r="H35" s="4762"/>
      <c r="I35" s="4763"/>
      <c r="J35" s="4902"/>
      <c r="K35" s="4765"/>
      <c r="L35" s="4765"/>
      <c r="M35" s="4765"/>
      <c r="N35" s="4762"/>
      <c r="O35" s="4766">
        <f t="shared" si="5"/>
        <v>0</v>
      </c>
      <c r="P35" s="4857"/>
      <c r="Q35" s="4858"/>
      <c r="R35" s="4859"/>
      <c r="S35" s="4858"/>
      <c r="T35" s="4859"/>
      <c r="U35" s="4860"/>
      <c r="AC35" s="4657"/>
    </row>
    <row r="36" spans="1:31" ht="33.75" customHeight="1">
      <c r="A36" s="4758">
        <v>8</v>
      </c>
      <c r="B36" s="4950"/>
      <c r="C36" s="4950"/>
      <c r="D36" s="4951"/>
      <c r="E36" s="4759"/>
      <c r="F36" s="4760">
        <f t="shared" si="4"/>
        <v>0</v>
      </c>
      <c r="G36" s="5521"/>
      <c r="H36" s="4762"/>
      <c r="I36" s="4763"/>
      <c r="J36" s="4902"/>
      <c r="K36" s="4765"/>
      <c r="L36" s="4765"/>
      <c r="M36" s="4765"/>
      <c r="N36" s="4762"/>
      <c r="O36" s="4766">
        <f t="shared" si="5"/>
        <v>0</v>
      </c>
      <c r="P36" s="4857"/>
      <c r="Q36" s="4858"/>
      <c r="R36" s="4859"/>
      <c r="S36" s="4858"/>
      <c r="T36" s="4859"/>
      <c r="U36" s="4860"/>
      <c r="AC36" s="4657"/>
    </row>
    <row r="37" spans="1:31" ht="33.75" customHeight="1">
      <c r="A37" s="4758">
        <v>9</v>
      </c>
      <c r="B37" s="4950"/>
      <c r="C37" s="4950"/>
      <c r="D37" s="4951"/>
      <c r="E37" s="4759"/>
      <c r="F37" s="4760">
        <f t="shared" si="4"/>
        <v>0</v>
      </c>
      <c r="G37" s="4950"/>
      <c r="H37" s="4952"/>
      <c r="I37" s="4763"/>
      <c r="J37" s="4902"/>
      <c r="K37" s="4765"/>
      <c r="L37" s="4765"/>
      <c r="M37" s="4765"/>
      <c r="N37" s="4762"/>
      <c r="O37" s="4766">
        <f t="shared" si="2"/>
        <v>0</v>
      </c>
      <c r="P37" s="4857"/>
      <c r="Q37" s="4858"/>
      <c r="R37" s="4859"/>
      <c r="S37" s="4858"/>
      <c r="T37" s="4859"/>
      <c r="U37" s="4860"/>
      <c r="AC37" s="4657"/>
    </row>
    <row r="38" spans="1:31" ht="33.75" customHeight="1" thickBot="1">
      <c r="A38" s="4772">
        <v>10</v>
      </c>
      <c r="B38" s="4953"/>
      <c r="C38" s="4953"/>
      <c r="D38" s="4954"/>
      <c r="E38" s="4915"/>
      <c r="F38" s="4770">
        <f t="shared" si="4"/>
        <v>0</v>
      </c>
      <c r="G38" s="4953"/>
      <c r="H38" s="4955"/>
      <c r="I38" s="4774"/>
      <c r="J38" s="4902"/>
      <c r="K38" s="4765"/>
      <c r="L38" s="5009"/>
      <c r="M38" s="4765"/>
      <c r="N38" s="4775"/>
      <c r="O38" s="4776">
        <f t="shared" si="2"/>
        <v>0</v>
      </c>
      <c r="P38" s="4918"/>
      <c r="Q38" s="4919"/>
      <c r="R38" s="4920"/>
      <c r="S38" s="4919"/>
      <c r="T38" s="4920"/>
      <c r="U38" s="4921"/>
      <c r="AC38" s="4657"/>
    </row>
    <row r="39" spans="1:31" ht="33.75" customHeight="1" thickTop="1" thickBot="1">
      <c r="A39" s="4865" t="s">
        <v>5939</v>
      </c>
      <c r="B39" s="4866"/>
      <c r="C39" s="4866"/>
      <c r="D39" s="4866"/>
      <c r="E39" s="4866"/>
      <c r="F39" s="4867">
        <f>SUM(F29:F38)</f>
        <v>0</v>
      </c>
      <c r="G39" s="4866"/>
      <c r="H39" s="4868"/>
      <c r="I39" s="4782"/>
      <c r="J39" s="4870"/>
      <c r="K39" s="4870"/>
      <c r="L39" s="4870"/>
      <c r="M39" s="4870"/>
      <c r="N39" s="4903"/>
      <c r="O39" s="4871">
        <f>SUM(O29:O38)</f>
        <v>0</v>
      </c>
      <c r="P39" s="4904"/>
      <c r="Q39" s="4904"/>
      <c r="R39" s="4905"/>
      <c r="S39" s="4906"/>
      <c r="T39" s="4905"/>
      <c r="U39" s="4907"/>
      <c r="AC39" s="4657"/>
    </row>
    <row r="40" spans="1:31" ht="33.75" customHeight="1" thickBot="1">
      <c r="A40" s="4876" t="s">
        <v>5792</v>
      </c>
      <c r="B40" s="4957"/>
      <c r="C40" s="4958"/>
      <c r="D40" s="4958"/>
      <c r="E40" s="4958"/>
      <c r="F40" s="4959"/>
      <c r="G40" s="4958"/>
      <c r="H40" s="4960"/>
      <c r="I40" s="4958"/>
      <c r="J40" s="4961"/>
      <c r="K40" s="4961"/>
      <c r="L40" s="4961"/>
      <c r="M40" s="4961"/>
      <c r="N40" s="4962"/>
      <c r="O40" s="5010">
        <f>O39*1.1</f>
        <v>0</v>
      </c>
      <c r="P40" s="4963"/>
      <c r="Q40" s="4963"/>
      <c r="R40" s="4964"/>
      <c r="S40" s="4965"/>
      <c r="T40" s="4964"/>
      <c r="U40" s="4966"/>
      <c r="V40" s="4941"/>
      <c r="W40" s="4941"/>
      <c r="X40" s="4941"/>
      <c r="Y40" s="4941"/>
      <c r="Z40" s="4941"/>
      <c r="AA40" s="4941"/>
      <c r="AB40" s="4941"/>
      <c r="AC40" s="4941"/>
      <c r="AD40" s="4941"/>
      <c r="AE40" s="4941"/>
    </row>
    <row r="41" spans="1:31" ht="32.15" customHeight="1" thickBot="1">
      <c r="A41" s="4656"/>
      <c r="B41" s="4660"/>
      <c r="C41" s="4660"/>
      <c r="D41" s="4660"/>
      <c r="G41" s="4660"/>
      <c r="H41" s="4660"/>
      <c r="M41" s="4657"/>
      <c r="N41" s="4657"/>
      <c r="O41" s="4656"/>
      <c r="P41" s="4657"/>
      <c r="Q41" s="4657"/>
      <c r="AC41" s="4657"/>
    </row>
    <row r="42" spans="1:31" ht="39.65" customHeight="1" thickBot="1">
      <c r="A42" s="6908" t="s">
        <v>5846</v>
      </c>
      <c r="B42" s="6909"/>
      <c r="C42" s="4924">
        <f>1.1*SUM(O29:O30)</f>
        <v>0</v>
      </c>
      <c r="E42" s="4814"/>
      <c r="F42" s="4814"/>
      <c r="G42" s="4813"/>
      <c r="H42" s="4813"/>
      <c r="I42" s="4812"/>
      <c r="J42" s="4812"/>
      <c r="K42" s="4812"/>
      <c r="L42" s="4812"/>
      <c r="M42" s="4812"/>
      <c r="N42" s="4812"/>
      <c r="O42" s="4715"/>
      <c r="P42" s="4715"/>
      <c r="Q42" s="4715"/>
      <c r="R42" s="4656"/>
      <c r="S42" s="4812"/>
      <c r="T42" s="4656"/>
      <c r="U42" s="4812"/>
      <c r="W42" s="6905"/>
      <c r="X42" s="6905"/>
      <c r="Y42" s="6905"/>
      <c r="Z42" s="6905"/>
      <c r="AA42" s="6905"/>
      <c r="AB42" s="6891"/>
      <c r="AC42" s="6891"/>
      <c r="AD42" s="6891"/>
      <c r="AE42" s="6891"/>
    </row>
    <row r="43" spans="1:31" ht="36" customHeight="1" thickBot="1">
      <c r="A43" s="6906" t="s">
        <v>5848</v>
      </c>
      <c r="B43" s="6907"/>
      <c r="C43" s="4925">
        <v>0</v>
      </c>
    </row>
    <row r="44" spans="1:31" ht="36" customHeight="1"/>
    <row r="45" spans="1:31" ht="36" customHeight="1"/>
    <row r="46" spans="1:31" ht="36" customHeight="1"/>
    <row r="47" spans="1:31" ht="10.4" customHeight="1">
      <c r="B47" s="4657"/>
      <c r="C47" s="4657"/>
      <c r="D47" s="4657"/>
      <c r="G47" s="4657"/>
      <c r="H47" s="4657"/>
      <c r="O47" s="4656"/>
      <c r="P47" s="4657"/>
      <c r="Q47" s="4657"/>
      <c r="AC47" s="4657"/>
    </row>
  </sheetData>
  <mergeCells count="44">
    <mergeCell ref="A2:B2"/>
    <mergeCell ref="C2:G2"/>
    <mergeCell ref="A5:A6"/>
    <mergeCell ref="B5:B6"/>
    <mergeCell ref="C5:C6"/>
    <mergeCell ref="D5:D6"/>
    <mergeCell ref="E5:E6"/>
    <mergeCell ref="F5:F6"/>
    <mergeCell ref="G5:G6"/>
    <mergeCell ref="N5:N6"/>
    <mergeCell ref="O5:O6"/>
    <mergeCell ref="P5:Q5"/>
    <mergeCell ref="R5:U5"/>
    <mergeCell ref="A21:B21"/>
    <mergeCell ref="H5:H6"/>
    <mergeCell ref="I5:I6"/>
    <mergeCell ref="J5:J6"/>
    <mergeCell ref="K5:K6"/>
    <mergeCell ref="L5:L6"/>
    <mergeCell ref="M5:M6"/>
    <mergeCell ref="AB21:AE21"/>
    <mergeCell ref="A22:B22"/>
    <mergeCell ref="A26:A27"/>
    <mergeCell ref="B26:B27"/>
    <mergeCell ref="C26:C27"/>
    <mergeCell ref="D26:D27"/>
    <mergeCell ref="E26:E27"/>
    <mergeCell ref="F26:F27"/>
    <mergeCell ref="G26:G27"/>
    <mergeCell ref="H26:H27"/>
    <mergeCell ref="W21:AA21"/>
    <mergeCell ref="W42:AA42"/>
    <mergeCell ref="AB42:AE42"/>
    <mergeCell ref="I26:I27"/>
    <mergeCell ref="J26:J27"/>
    <mergeCell ref="K26:K27"/>
    <mergeCell ref="L26:L27"/>
    <mergeCell ref="M26:M27"/>
    <mergeCell ref="N26:N27"/>
    <mergeCell ref="A43:B43"/>
    <mergeCell ref="O26:O27"/>
    <mergeCell ref="P26:Q26"/>
    <mergeCell ref="R26:U26"/>
    <mergeCell ref="A42:B42"/>
  </mergeCells>
  <phoneticPr fontId="2"/>
  <conditionalFormatting sqref="B10:C11">
    <cfRule type="containsBlanks" dxfId="419" priority="6">
      <formula>LEN(TRIM(B10))=0</formula>
    </cfRule>
  </conditionalFormatting>
  <conditionalFormatting sqref="B31:C36">
    <cfRule type="containsBlanks" dxfId="418" priority="10">
      <formula>LEN(TRIM(B31))=0</formula>
    </cfRule>
  </conditionalFormatting>
  <conditionalFormatting sqref="B37:E38">
    <cfRule type="containsBlanks" dxfId="417" priority="14">
      <formula>LEN(TRIM(B37))=0</formula>
    </cfRule>
  </conditionalFormatting>
  <conditionalFormatting sqref="C2:D2">
    <cfRule type="containsBlanks" dxfId="416" priority="16">
      <formula>LEN(TRIM(C2))=0</formula>
    </cfRule>
  </conditionalFormatting>
  <conditionalFormatting sqref="D8:E11">
    <cfRule type="containsBlanks" dxfId="415" priority="9">
      <formula>LEN(TRIM(D8))=0</formula>
    </cfRule>
  </conditionalFormatting>
  <conditionalFormatting sqref="D29:E36">
    <cfRule type="containsBlanks" dxfId="414" priority="11">
      <formula>LEN(TRIM(D29))=0</formula>
    </cfRule>
  </conditionalFormatting>
  <conditionalFormatting sqref="G8:K9">
    <cfRule type="containsBlanks" dxfId="413" priority="8">
      <formula>LEN(TRIM(G8))=0</formula>
    </cfRule>
  </conditionalFormatting>
  <conditionalFormatting sqref="G29:K38">
    <cfRule type="containsBlanks" dxfId="412" priority="13">
      <formula>LEN(TRIM(G29))=0</formula>
    </cfRule>
  </conditionalFormatting>
  <conditionalFormatting sqref="G10:N17 B12:E17">
    <cfRule type="containsBlanks" dxfId="411" priority="15">
      <formula>LEN(TRIM(B10))=0</formula>
    </cfRule>
  </conditionalFormatting>
  <conditionalFormatting sqref="M8:N9">
    <cfRule type="containsBlanks" dxfId="410" priority="7">
      <formula>LEN(TRIM(M8))=0</formula>
    </cfRule>
  </conditionalFormatting>
  <conditionalFormatting sqref="M29:N38">
    <cfRule type="containsBlanks" dxfId="409" priority="12">
      <formula>LEN(TRIM(M29))=0</formula>
    </cfRule>
  </conditionalFormatting>
  <conditionalFormatting sqref="P8:U17">
    <cfRule type="containsBlanks" dxfId="408" priority="18">
      <formula>LEN(TRIM(P8))=0</formula>
    </cfRule>
  </conditionalFormatting>
  <conditionalFormatting sqref="P29:U38">
    <cfRule type="containsBlanks" dxfId="407" priority="17">
      <formula>LEN(TRIM(P29))=0</formula>
    </cfRule>
  </conditionalFormatting>
  <conditionalFormatting sqref="B8">
    <cfRule type="containsBlanks" dxfId="406" priority="2">
      <formula>LEN(TRIM(B8))=0</formula>
    </cfRule>
  </conditionalFormatting>
  <conditionalFormatting sqref="C8">
    <cfRule type="containsBlanks" dxfId="405" priority="1">
      <formula>LEN(TRIM(C8))=0</formula>
    </cfRule>
  </conditionalFormatting>
  <dataValidations count="1">
    <dataValidation type="list" allowBlank="1" showInputMessage="1" showErrorMessage="1" sqref="I28:I38 I7:I17" xr:uid="{D94CC7D1-CA96-4879-9432-1A6C76221080}">
      <formula1>会場形態</formula1>
    </dataValidation>
  </dataValidations>
  <printOptions horizontalCentered="1"/>
  <pageMargins left="0.39370078740157483" right="0.39370078740157483" top="0.55118110236220474" bottom="0.55118110236220474" header="0.31496062992125984" footer="0.31496062992125984"/>
  <pageSetup paperSize="8" scale="62" orientation="landscape" r:id="rId1"/>
  <headerFooter>
    <oddHeader>&amp;R&amp;G</oddHead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4FC07-A22B-4069-846C-213715473B14}">
  <sheetPr codeName="Sheet358">
    <tabColor rgb="FFFFFF66"/>
    <pageSetUpPr fitToPage="1"/>
  </sheetPr>
  <dimension ref="A1:AF39"/>
  <sheetViews>
    <sheetView topLeftCell="A13" zoomScale="55" zoomScaleNormal="55" zoomScaleSheetLayoutView="70" workbookViewId="0">
      <selection activeCell="I17" sqref="I17"/>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816406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6255</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6256</v>
      </c>
      <c r="M5" s="6855" t="s">
        <v>6257</v>
      </c>
      <c r="N5" s="4967" t="s">
        <v>5726</v>
      </c>
      <c r="O5" s="6855" t="s">
        <v>6258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86">
        <v>1</v>
      </c>
      <c r="B7" s="4687">
        <v>46283</v>
      </c>
      <c r="C7" s="4687">
        <v>46285</v>
      </c>
      <c r="D7" s="4672">
        <f t="shared" ref="D7:D21" si="0">IF(_xlfn.DAYS(C7,B7)=0,"1",_xlfn.DAYS(C7,B7))</f>
        <v>2</v>
      </c>
      <c r="E7" s="4687">
        <v>46298</v>
      </c>
      <c r="F7" s="4698">
        <f t="shared" ref="F7:F21" si="1">IF(_xlfn.DAYS(E7,C7)=0,"1",_xlfn.DAYS(E7,C7))+1</f>
        <v>14</v>
      </c>
      <c r="G7" s="4699">
        <v>46300</v>
      </c>
      <c r="H7" s="4672">
        <f t="shared" ref="H7:H21" si="2">IF(_xlfn.DAYS(G7,E7)=0,"1",_xlfn.DAYS(G7,E7))-1</f>
        <v>1</v>
      </c>
      <c r="I7" s="4691" t="s">
        <v>4500</v>
      </c>
      <c r="J7" s="4692">
        <v>762</v>
      </c>
      <c r="K7" s="4692">
        <v>762</v>
      </c>
      <c r="L7" s="4692">
        <v>15300</v>
      </c>
      <c r="M7" s="4692">
        <v>15300</v>
      </c>
      <c r="N7" s="4971">
        <f>M7*K7</f>
        <v>11658600</v>
      </c>
      <c r="O7" s="4692">
        <v>15300</v>
      </c>
      <c r="P7" s="4678">
        <f>SUM(D7,F7,H7)*K7</f>
        <v>12954</v>
      </c>
      <c r="Q7" s="4679">
        <f t="shared" ref="Q7:Q21" si="3">(D7*L7+F7*M7+H7*O7)*K7</f>
        <v>198196200</v>
      </c>
      <c r="R7" s="4692">
        <v>12.37</v>
      </c>
      <c r="S7" s="4680" t="s">
        <v>5742</v>
      </c>
      <c r="T7" s="4694">
        <v>12.37</v>
      </c>
      <c r="U7" s="4700">
        <v>1</v>
      </c>
      <c r="V7" s="4692">
        <v>150</v>
      </c>
      <c r="W7" s="4680" t="s">
        <v>2688</v>
      </c>
      <c r="X7" s="4695">
        <v>203</v>
      </c>
      <c r="Y7" s="4692">
        <v>1</v>
      </c>
      <c r="Z7" s="4692" t="s">
        <v>5743</v>
      </c>
      <c r="AA7" s="4683" t="s">
        <v>5035</v>
      </c>
      <c r="AB7" s="4692" t="s">
        <v>5741</v>
      </c>
      <c r="AC7" s="4683" t="s">
        <v>5050</v>
      </c>
      <c r="AD7" s="4692" t="s">
        <v>5741</v>
      </c>
      <c r="AE7" s="4696"/>
      <c r="AF7" s="4685">
        <f>U7*K7</f>
        <v>762</v>
      </c>
    </row>
    <row r="8" spans="1:32" ht="33.75" customHeight="1">
      <c r="A8" s="4686">
        <v>2</v>
      </c>
      <c r="B8" s="4687">
        <v>46283</v>
      </c>
      <c r="C8" s="4687">
        <v>46285</v>
      </c>
      <c r="D8" s="4672">
        <f t="shared" si="0"/>
        <v>2</v>
      </c>
      <c r="E8" s="4687">
        <v>46298</v>
      </c>
      <c r="F8" s="4698">
        <f t="shared" si="1"/>
        <v>14</v>
      </c>
      <c r="G8" s="4699">
        <v>46300</v>
      </c>
      <c r="H8" s="4672">
        <f t="shared" si="2"/>
        <v>1</v>
      </c>
      <c r="I8" s="4691" t="s">
        <v>5058</v>
      </c>
      <c r="J8" s="4692">
        <v>12</v>
      </c>
      <c r="K8" s="4692">
        <v>12</v>
      </c>
      <c r="L8" s="4692">
        <v>15300</v>
      </c>
      <c r="M8" s="4692">
        <v>15300</v>
      </c>
      <c r="N8" s="4971">
        <f>M8*K8</f>
        <v>183600</v>
      </c>
      <c r="O8" s="4692">
        <v>15300</v>
      </c>
      <c r="P8" s="4678">
        <f t="shared" ref="P8:P21" si="4">SUM(D8,F8,H8)*K8</f>
        <v>204</v>
      </c>
      <c r="Q8" s="4679">
        <f t="shared" si="3"/>
        <v>3121200</v>
      </c>
      <c r="R8" s="4692">
        <v>14.71</v>
      </c>
      <c r="S8" s="4680" t="s">
        <v>5742</v>
      </c>
      <c r="T8" s="4694">
        <v>14.71</v>
      </c>
      <c r="U8" s="4700">
        <v>1</v>
      </c>
      <c r="V8" s="4692">
        <v>160</v>
      </c>
      <c r="W8" s="4680" t="s">
        <v>2688</v>
      </c>
      <c r="X8" s="4695">
        <v>203</v>
      </c>
      <c r="Y8" s="4692">
        <v>1</v>
      </c>
      <c r="Z8" s="4692" t="s">
        <v>5743</v>
      </c>
      <c r="AA8" s="4683" t="s">
        <v>5035</v>
      </c>
      <c r="AB8" s="4692" t="s">
        <v>5741</v>
      </c>
      <c r="AC8" s="4683" t="s">
        <v>5050</v>
      </c>
      <c r="AD8" s="4692" t="s">
        <v>5741</v>
      </c>
      <c r="AE8" s="4696"/>
      <c r="AF8" s="4685">
        <f t="shared" ref="AF8:AF21" si="5">U8*K8</f>
        <v>12</v>
      </c>
    </row>
    <row r="9" spans="1:32" ht="33.75" customHeight="1">
      <c r="A9" s="4686">
        <v>3</v>
      </c>
      <c r="B9" s="4687">
        <v>46283</v>
      </c>
      <c r="C9" s="4687">
        <v>46285</v>
      </c>
      <c r="D9" s="4672">
        <f t="shared" si="0"/>
        <v>2</v>
      </c>
      <c r="E9" s="4687">
        <v>46298</v>
      </c>
      <c r="F9" s="4698">
        <f t="shared" si="1"/>
        <v>14</v>
      </c>
      <c r="G9" s="4699">
        <v>46300</v>
      </c>
      <c r="H9" s="4672">
        <f t="shared" si="2"/>
        <v>1</v>
      </c>
      <c r="I9" s="4691" t="s">
        <v>5134</v>
      </c>
      <c r="J9" s="4692">
        <v>185</v>
      </c>
      <c r="K9" s="4692">
        <v>185</v>
      </c>
      <c r="L9" s="4692">
        <v>15300</v>
      </c>
      <c r="M9" s="4692">
        <v>15300</v>
      </c>
      <c r="N9" s="4971">
        <f t="shared" ref="N9:N16" si="6">M9*K9</f>
        <v>2830500</v>
      </c>
      <c r="O9" s="4692">
        <v>15300</v>
      </c>
      <c r="P9" s="4678">
        <f t="shared" si="4"/>
        <v>3145</v>
      </c>
      <c r="Q9" s="4679">
        <f t="shared" si="3"/>
        <v>48118500</v>
      </c>
      <c r="R9" s="4692">
        <v>14.02</v>
      </c>
      <c r="S9" s="4680" t="s">
        <v>5742</v>
      </c>
      <c r="T9" s="4694">
        <v>14.02</v>
      </c>
      <c r="U9" s="4700">
        <v>1</v>
      </c>
      <c r="V9" s="4692">
        <v>90</v>
      </c>
      <c r="W9" s="4680" t="s">
        <v>2688</v>
      </c>
      <c r="X9" s="4695">
        <v>203</v>
      </c>
      <c r="Y9" s="4692">
        <v>2</v>
      </c>
      <c r="Z9" s="4692" t="s">
        <v>5743</v>
      </c>
      <c r="AA9" s="4683" t="s">
        <v>5035</v>
      </c>
      <c r="AB9" s="4692" t="s">
        <v>5741</v>
      </c>
      <c r="AC9" s="4683" t="s">
        <v>5050</v>
      </c>
      <c r="AD9" s="4692" t="s">
        <v>5741</v>
      </c>
      <c r="AE9" s="4696"/>
      <c r="AF9" s="4685">
        <f t="shared" si="5"/>
        <v>185</v>
      </c>
    </row>
    <row r="10" spans="1:32" ht="33.75" customHeight="1">
      <c r="A10" s="4686">
        <v>4</v>
      </c>
      <c r="B10" s="4687">
        <v>46283</v>
      </c>
      <c r="C10" s="4687">
        <v>46285</v>
      </c>
      <c r="D10" s="4672">
        <f t="shared" si="0"/>
        <v>2</v>
      </c>
      <c r="E10" s="4687">
        <v>46298</v>
      </c>
      <c r="F10" s="4698">
        <f t="shared" si="1"/>
        <v>14</v>
      </c>
      <c r="G10" s="4699">
        <v>46300</v>
      </c>
      <c r="H10" s="4672">
        <f t="shared" si="2"/>
        <v>1</v>
      </c>
      <c r="I10" s="4691" t="s">
        <v>5072</v>
      </c>
      <c r="J10" s="4692">
        <v>281</v>
      </c>
      <c r="K10" s="4692">
        <v>281</v>
      </c>
      <c r="L10" s="4692">
        <v>15300</v>
      </c>
      <c r="M10" s="4692">
        <v>15300</v>
      </c>
      <c r="N10" s="4971">
        <f t="shared" si="6"/>
        <v>4299300</v>
      </c>
      <c r="O10" s="4692">
        <v>15300</v>
      </c>
      <c r="P10" s="4678">
        <f t="shared" si="4"/>
        <v>4777</v>
      </c>
      <c r="Q10" s="4679">
        <f t="shared" si="3"/>
        <v>73088100</v>
      </c>
      <c r="R10" s="4692">
        <v>14.71</v>
      </c>
      <c r="S10" s="4680" t="s">
        <v>5742</v>
      </c>
      <c r="T10" s="4694">
        <v>14.71</v>
      </c>
      <c r="U10" s="4700">
        <v>1</v>
      </c>
      <c r="V10" s="4692">
        <v>110</v>
      </c>
      <c r="W10" s="4680" t="s">
        <v>2688</v>
      </c>
      <c r="X10" s="4695">
        <v>203</v>
      </c>
      <c r="Y10" s="4692">
        <v>2</v>
      </c>
      <c r="Z10" s="4692" t="s">
        <v>5743</v>
      </c>
      <c r="AA10" s="4683" t="s">
        <v>5035</v>
      </c>
      <c r="AB10" s="4692" t="s">
        <v>5741</v>
      </c>
      <c r="AC10" s="4683" t="s">
        <v>5050</v>
      </c>
      <c r="AD10" s="4692" t="s">
        <v>5741</v>
      </c>
      <c r="AE10" s="4696"/>
      <c r="AF10" s="4685">
        <f t="shared" si="5"/>
        <v>281</v>
      </c>
    </row>
    <row r="11" spans="1:32" ht="33.75" customHeight="1">
      <c r="A11" s="4686">
        <v>5</v>
      </c>
      <c r="B11" s="4687">
        <v>46283</v>
      </c>
      <c r="C11" s="4687">
        <v>46285</v>
      </c>
      <c r="D11" s="4672">
        <f t="shared" si="0"/>
        <v>2</v>
      </c>
      <c r="E11" s="4687">
        <v>46298</v>
      </c>
      <c r="F11" s="4698">
        <f t="shared" si="1"/>
        <v>14</v>
      </c>
      <c r="G11" s="4699">
        <v>46300</v>
      </c>
      <c r="H11" s="4672">
        <f t="shared" si="2"/>
        <v>1</v>
      </c>
      <c r="I11" s="4691" t="s">
        <v>6259</v>
      </c>
      <c r="J11" s="4692">
        <v>1</v>
      </c>
      <c r="K11" s="4692">
        <v>1</v>
      </c>
      <c r="L11" s="4692">
        <v>15300</v>
      </c>
      <c r="M11" s="4692">
        <v>15300</v>
      </c>
      <c r="N11" s="4971">
        <f t="shared" si="6"/>
        <v>15300</v>
      </c>
      <c r="O11" s="4692">
        <v>15300</v>
      </c>
      <c r="P11" s="4678">
        <f t="shared" si="4"/>
        <v>17</v>
      </c>
      <c r="Q11" s="4679">
        <f t="shared" si="3"/>
        <v>260100</v>
      </c>
      <c r="R11" s="4692">
        <v>24.75</v>
      </c>
      <c r="S11" s="4680" t="s">
        <v>5742</v>
      </c>
      <c r="T11" s="4694">
        <v>24.75</v>
      </c>
      <c r="U11" s="4700">
        <v>1</v>
      </c>
      <c r="V11" s="4692">
        <v>140</v>
      </c>
      <c r="W11" s="4680" t="s">
        <v>2688</v>
      </c>
      <c r="X11" s="4695">
        <v>203</v>
      </c>
      <c r="Y11" s="4692">
        <v>2</v>
      </c>
      <c r="Z11" s="4692" t="s">
        <v>5984</v>
      </c>
      <c r="AA11" s="4683" t="s">
        <v>5035</v>
      </c>
      <c r="AB11" s="4692" t="s">
        <v>5741</v>
      </c>
      <c r="AC11" s="4683" t="s">
        <v>5050</v>
      </c>
      <c r="AD11" s="4692" t="s">
        <v>5741</v>
      </c>
      <c r="AE11" s="4696" t="s">
        <v>6032</v>
      </c>
      <c r="AF11" s="4685">
        <f t="shared" si="5"/>
        <v>1</v>
      </c>
    </row>
    <row r="12" spans="1:32" ht="33.75" customHeight="1">
      <c r="A12" s="4686">
        <v>6</v>
      </c>
      <c r="B12" s="4687">
        <v>46283</v>
      </c>
      <c r="C12" s="4687">
        <v>46285</v>
      </c>
      <c r="D12" s="4672">
        <f t="shared" si="0"/>
        <v>2</v>
      </c>
      <c r="E12" s="4687">
        <v>46298</v>
      </c>
      <c r="F12" s="4698">
        <f t="shared" si="1"/>
        <v>14</v>
      </c>
      <c r="G12" s="4699">
        <v>46300</v>
      </c>
      <c r="H12" s="4672">
        <f t="shared" si="2"/>
        <v>1</v>
      </c>
      <c r="I12" s="4691" t="s">
        <v>6030</v>
      </c>
      <c r="J12" s="4692">
        <v>45</v>
      </c>
      <c r="K12" s="4692">
        <v>45</v>
      </c>
      <c r="L12" s="4692">
        <v>15300</v>
      </c>
      <c r="M12" s="4692">
        <v>15300</v>
      </c>
      <c r="N12" s="4971">
        <f t="shared" si="6"/>
        <v>688500</v>
      </c>
      <c r="O12" s="4692">
        <v>15300</v>
      </c>
      <c r="P12" s="4678">
        <f t="shared" si="4"/>
        <v>765</v>
      </c>
      <c r="Q12" s="4679">
        <f t="shared" si="3"/>
        <v>11704500</v>
      </c>
      <c r="R12" s="4692">
        <v>12.37</v>
      </c>
      <c r="S12" s="4680" t="s">
        <v>5742</v>
      </c>
      <c r="T12" s="4694">
        <v>12.37</v>
      </c>
      <c r="U12" s="4700">
        <v>1</v>
      </c>
      <c r="V12" s="4692">
        <v>150</v>
      </c>
      <c r="W12" s="4680" t="s">
        <v>2688</v>
      </c>
      <c r="X12" s="4695">
        <v>203</v>
      </c>
      <c r="Y12" s="4692">
        <v>1</v>
      </c>
      <c r="Z12" s="4692" t="s">
        <v>5743</v>
      </c>
      <c r="AA12" s="4683" t="s">
        <v>5035</v>
      </c>
      <c r="AB12" s="4692" t="s">
        <v>5741</v>
      </c>
      <c r="AC12" s="4683" t="s">
        <v>5050</v>
      </c>
      <c r="AD12" s="4692" t="s">
        <v>5741</v>
      </c>
      <c r="AE12" s="4696"/>
      <c r="AF12" s="4685">
        <f t="shared" si="5"/>
        <v>45</v>
      </c>
    </row>
    <row r="13" spans="1:32" ht="33.75" customHeight="1">
      <c r="A13" s="4686">
        <v>7</v>
      </c>
      <c r="B13" s="4979">
        <v>46278</v>
      </c>
      <c r="C13" s="4979">
        <v>46283</v>
      </c>
      <c r="D13" s="4980">
        <f t="shared" si="0"/>
        <v>5</v>
      </c>
      <c r="E13" s="4979">
        <v>46283</v>
      </c>
      <c r="F13" s="5488">
        <v>0</v>
      </c>
      <c r="G13" s="4981">
        <v>46283</v>
      </c>
      <c r="H13" s="4980">
        <f t="shared" si="2"/>
        <v>0</v>
      </c>
      <c r="I13" s="4691" t="s">
        <v>6260</v>
      </c>
      <c r="J13" s="4692"/>
      <c r="K13" s="5489">
        <v>100</v>
      </c>
      <c r="L13" s="5490">
        <v>15300</v>
      </c>
      <c r="M13" s="4692"/>
      <c r="N13" s="4971">
        <f t="shared" si="6"/>
        <v>0</v>
      </c>
      <c r="O13" s="4692"/>
      <c r="P13" s="4985">
        <f>SUM(D13,F13,H13)*K13</f>
        <v>500</v>
      </c>
      <c r="Q13" s="4679">
        <f>(D13*L13+F13*M13+H13*O13)*K13</f>
        <v>7650000</v>
      </c>
      <c r="R13" s="4692"/>
      <c r="S13" s="4680" t="s">
        <v>5742</v>
      </c>
      <c r="T13" s="4694"/>
      <c r="U13" s="4700"/>
      <c r="V13" s="4692"/>
      <c r="W13" s="4680" t="s">
        <v>4521</v>
      </c>
      <c r="X13" s="4695"/>
      <c r="Y13" s="4692"/>
      <c r="Z13" s="4692"/>
      <c r="AA13" s="4683" t="s">
        <v>5035</v>
      </c>
      <c r="AB13" s="4692"/>
      <c r="AC13" s="4683" t="s">
        <v>5050</v>
      </c>
      <c r="AD13" s="4692"/>
      <c r="AE13" s="4696"/>
      <c r="AF13" s="4685">
        <f t="shared" si="5"/>
        <v>0</v>
      </c>
    </row>
    <row r="14" spans="1:32" ht="33.75" customHeight="1">
      <c r="A14" s="4686">
        <v>8</v>
      </c>
      <c r="B14" s="4687"/>
      <c r="C14" s="4687"/>
      <c r="D14" s="4672" t="str">
        <f t="shared" si="0"/>
        <v>1</v>
      </c>
      <c r="E14" s="4687"/>
      <c r="F14" s="4698">
        <f t="shared" si="1"/>
        <v>2</v>
      </c>
      <c r="G14" s="4699"/>
      <c r="H14" s="4672">
        <f t="shared" si="2"/>
        <v>0</v>
      </c>
      <c r="I14" s="4691"/>
      <c r="J14" s="4692"/>
      <c r="K14" s="4693"/>
      <c r="L14" s="4692"/>
      <c r="M14" s="4692"/>
      <c r="N14" s="4971">
        <f t="shared" si="6"/>
        <v>0</v>
      </c>
      <c r="O14" s="4692"/>
      <c r="P14" s="4678">
        <f t="shared" si="4"/>
        <v>0</v>
      </c>
      <c r="Q14" s="4679">
        <f t="shared" si="3"/>
        <v>0</v>
      </c>
      <c r="R14" s="4692"/>
      <c r="S14" s="4680" t="s">
        <v>5742</v>
      </c>
      <c r="T14" s="4694"/>
      <c r="U14" s="4700"/>
      <c r="V14" s="4692"/>
      <c r="W14" s="4680" t="s">
        <v>4521</v>
      </c>
      <c r="X14" s="4695"/>
      <c r="Y14" s="4692"/>
      <c r="Z14" s="4692"/>
      <c r="AA14" s="4683" t="s">
        <v>5035</v>
      </c>
      <c r="AB14" s="4692"/>
      <c r="AC14" s="4683" t="s">
        <v>5050</v>
      </c>
      <c r="AD14" s="4692"/>
      <c r="AE14" s="4696"/>
      <c r="AF14" s="4685">
        <f t="shared" si="5"/>
        <v>0</v>
      </c>
    </row>
    <row r="15" spans="1:32" ht="33.75" customHeight="1">
      <c r="A15" s="4686">
        <v>9</v>
      </c>
      <c r="B15" s="4687"/>
      <c r="C15" s="4687"/>
      <c r="D15" s="4672" t="str">
        <f t="shared" si="0"/>
        <v>1</v>
      </c>
      <c r="E15" s="4687"/>
      <c r="F15" s="4698">
        <f t="shared" si="1"/>
        <v>2</v>
      </c>
      <c r="G15" s="4699"/>
      <c r="H15" s="4672">
        <f t="shared" si="2"/>
        <v>0</v>
      </c>
      <c r="I15" s="4691"/>
      <c r="J15" s="4692"/>
      <c r="K15" s="4693"/>
      <c r="L15" s="4692"/>
      <c r="M15" s="4692"/>
      <c r="N15" s="4971">
        <f t="shared" si="6"/>
        <v>0</v>
      </c>
      <c r="O15" s="4692"/>
      <c r="P15" s="4678">
        <f t="shared" si="4"/>
        <v>0</v>
      </c>
      <c r="Q15" s="4679">
        <f t="shared" si="3"/>
        <v>0</v>
      </c>
      <c r="R15" s="4692"/>
      <c r="S15" s="4680" t="s">
        <v>5742</v>
      </c>
      <c r="T15" s="4694"/>
      <c r="U15" s="4700"/>
      <c r="V15" s="4692"/>
      <c r="W15" s="4680" t="s">
        <v>4521</v>
      </c>
      <c r="X15" s="4695"/>
      <c r="Y15" s="4692"/>
      <c r="Z15" s="4692"/>
      <c r="AA15" s="4683" t="s">
        <v>5035</v>
      </c>
      <c r="AB15" s="4692"/>
      <c r="AC15" s="4683" t="s">
        <v>5050</v>
      </c>
      <c r="AD15" s="4692"/>
      <c r="AE15" s="4696"/>
      <c r="AF15" s="4685">
        <f t="shared" si="5"/>
        <v>0</v>
      </c>
    </row>
    <row r="16" spans="1:32" ht="33.75" customHeight="1">
      <c r="A16" s="4686">
        <v>10</v>
      </c>
      <c r="B16" s="4687"/>
      <c r="C16" s="4687"/>
      <c r="D16" s="4672" t="str">
        <f t="shared" si="0"/>
        <v>1</v>
      </c>
      <c r="E16" s="4687"/>
      <c r="F16" s="4698">
        <f t="shared" si="1"/>
        <v>2</v>
      </c>
      <c r="G16" s="4699"/>
      <c r="H16" s="4672">
        <f t="shared" si="2"/>
        <v>0</v>
      </c>
      <c r="I16" s="4691"/>
      <c r="J16" s="4692"/>
      <c r="K16" s="4693"/>
      <c r="L16" s="4692"/>
      <c r="M16" s="4692"/>
      <c r="N16" s="4971">
        <f t="shared" si="6"/>
        <v>0</v>
      </c>
      <c r="O16" s="4692"/>
      <c r="P16" s="4678">
        <f t="shared" si="4"/>
        <v>0</v>
      </c>
      <c r="Q16" s="4679">
        <f t="shared" si="3"/>
        <v>0</v>
      </c>
      <c r="R16" s="4692"/>
      <c r="S16" s="4680" t="s">
        <v>5742</v>
      </c>
      <c r="T16" s="4694"/>
      <c r="U16" s="4700"/>
      <c r="V16" s="4692"/>
      <c r="W16" s="4680" t="s">
        <v>4521</v>
      </c>
      <c r="X16" s="4695"/>
      <c r="Y16" s="4692"/>
      <c r="Z16" s="4692"/>
      <c r="AA16" s="4683" t="s">
        <v>5035</v>
      </c>
      <c r="AB16" s="4692"/>
      <c r="AC16" s="4683" t="s">
        <v>5050</v>
      </c>
      <c r="AD16" s="4692"/>
      <c r="AE16" s="4696"/>
      <c r="AF16" s="4685">
        <f t="shared" si="5"/>
        <v>0</v>
      </c>
    </row>
    <row r="17" spans="1:32" ht="33.75" customHeight="1">
      <c r="A17" s="4686">
        <v>11</v>
      </c>
      <c r="B17" s="4687"/>
      <c r="C17" s="4687"/>
      <c r="D17" s="4672" t="str">
        <f t="shared" si="0"/>
        <v>1</v>
      </c>
      <c r="E17" s="4687"/>
      <c r="F17" s="4698">
        <f t="shared" si="1"/>
        <v>2</v>
      </c>
      <c r="G17" s="4699"/>
      <c r="H17" s="4672">
        <f t="shared" si="2"/>
        <v>0</v>
      </c>
      <c r="I17" s="4691"/>
      <c r="J17" s="4692"/>
      <c r="K17" s="4693"/>
      <c r="L17" s="4692"/>
      <c r="M17" s="4692"/>
      <c r="N17" s="4692"/>
      <c r="O17" s="4692"/>
      <c r="P17" s="4678">
        <f t="shared" si="4"/>
        <v>0</v>
      </c>
      <c r="Q17" s="4679">
        <f t="shared" si="3"/>
        <v>0</v>
      </c>
      <c r="R17" s="4692"/>
      <c r="S17" s="4680" t="s">
        <v>5742</v>
      </c>
      <c r="T17" s="4694"/>
      <c r="U17" s="4700"/>
      <c r="V17" s="4692"/>
      <c r="W17" s="4680" t="s">
        <v>4521</v>
      </c>
      <c r="X17" s="4695"/>
      <c r="Y17" s="4692"/>
      <c r="Z17" s="4692"/>
      <c r="AA17" s="4683" t="s">
        <v>5035</v>
      </c>
      <c r="AB17" s="4692"/>
      <c r="AC17" s="4683" t="s">
        <v>5050</v>
      </c>
      <c r="AD17" s="4692"/>
      <c r="AE17" s="4696"/>
      <c r="AF17" s="4685">
        <f t="shared" si="5"/>
        <v>0</v>
      </c>
    </row>
    <row r="18" spans="1:32" ht="33.75" customHeight="1">
      <c r="A18" s="4686">
        <v>12</v>
      </c>
      <c r="B18" s="4687"/>
      <c r="C18" s="4687"/>
      <c r="D18" s="4672" t="str">
        <f t="shared" si="0"/>
        <v>1</v>
      </c>
      <c r="E18" s="4687"/>
      <c r="F18" s="4698">
        <f t="shared" si="1"/>
        <v>2</v>
      </c>
      <c r="G18" s="4699"/>
      <c r="H18" s="4672">
        <f t="shared" si="2"/>
        <v>0</v>
      </c>
      <c r="I18" s="4691"/>
      <c r="J18" s="4692"/>
      <c r="K18" s="4693"/>
      <c r="L18" s="4692"/>
      <c r="M18" s="4692"/>
      <c r="N18" s="4692"/>
      <c r="O18" s="4692"/>
      <c r="P18" s="4678">
        <f t="shared" si="4"/>
        <v>0</v>
      </c>
      <c r="Q18" s="4679">
        <f t="shared" si="3"/>
        <v>0</v>
      </c>
      <c r="R18" s="4692"/>
      <c r="S18" s="4680" t="s">
        <v>5742</v>
      </c>
      <c r="T18" s="4694"/>
      <c r="U18" s="4700"/>
      <c r="V18" s="4692"/>
      <c r="W18" s="4680" t="s">
        <v>4521</v>
      </c>
      <c r="X18" s="4695"/>
      <c r="Y18" s="4692"/>
      <c r="Z18" s="4692"/>
      <c r="AA18" s="4683" t="s">
        <v>5035</v>
      </c>
      <c r="AB18" s="4692"/>
      <c r="AC18" s="4683" t="s">
        <v>5050</v>
      </c>
      <c r="AD18" s="4692"/>
      <c r="AE18" s="4696"/>
      <c r="AF18" s="4685">
        <f t="shared" si="5"/>
        <v>0</v>
      </c>
    </row>
    <row r="19" spans="1:32" ht="33.75" customHeight="1">
      <c r="A19" s="4686">
        <v>13</v>
      </c>
      <c r="B19" s="4687"/>
      <c r="C19" s="4687"/>
      <c r="D19" s="4672" t="str">
        <f t="shared" si="0"/>
        <v>1</v>
      </c>
      <c r="E19" s="4687"/>
      <c r="F19" s="4698">
        <f t="shared" si="1"/>
        <v>2</v>
      </c>
      <c r="G19" s="4699"/>
      <c r="H19" s="4672">
        <f t="shared" si="2"/>
        <v>0</v>
      </c>
      <c r="I19" s="4691"/>
      <c r="J19" s="4692"/>
      <c r="K19" s="4693"/>
      <c r="L19" s="4692"/>
      <c r="M19" s="4692"/>
      <c r="N19" s="4692"/>
      <c r="O19" s="4692"/>
      <c r="P19" s="4678">
        <f>SUM(D19,F19,H19)*K19</f>
        <v>0</v>
      </c>
      <c r="Q19" s="4679">
        <f t="shared" si="3"/>
        <v>0</v>
      </c>
      <c r="R19" s="4692"/>
      <c r="S19" s="4680" t="s">
        <v>5742</v>
      </c>
      <c r="T19" s="4694"/>
      <c r="U19" s="4700"/>
      <c r="V19" s="4692"/>
      <c r="W19" s="4680" t="s">
        <v>4521</v>
      </c>
      <c r="X19" s="4695"/>
      <c r="Y19" s="4692"/>
      <c r="Z19" s="4692"/>
      <c r="AA19" s="4683" t="s">
        <v>5035</v>
      </c>
      <c r="AB19" s="4692"/>
      <c r="AC19" s="4683" t="s">
        <v>5050</v>
      </c>
      <c r="AD19" s="4692"/>
      <c r="AE19" s="4696"/>
      <c r="AF19" s="4685">
        <f t="shared" si="5"/>
        <v>0</v>
      </c>
    </row>
    <row r="20" spans="1:32" ht="33.75" customHeight="1">
      <c r="A20" s="4686">
        <v>14</v>
      </c>
      <c r="B20" s="4687"/>
      <c r="C20" s="4687"/>
      <c r="D20" s="4672" t="str">
        <f t="shared" si="0"/>
        <v>1</v>
      </c>
      <c r="E20" s="4687"/>
      <c r="F20" s="4698">
        <f t="shared" si="1"/>
        <v>2</v>
      </c>
      <c r="G20" s="4699"/>
      <c r="H20" s="4672">
        <f t="shared" si="2"/>
        <v>0</v>
      </c>
      <c r="I20" s="4691"/>
      <c r="J20" s="4692"/>
      <c r="K20" s="4693"/>
      <c r="L20" s="4692"/>
      <c r="M20" s="4692"/>
      <c r="N20" s="4692"/>
      <c r="O20" s="4692"/>
      <c r="P20" s="4678">
        <f t="shared" si="4"/>
        <v>0</v>
      </c>
      <c r="Q20" s="4679">
        <f t="shared" si="3"/>
        <v>0</v>
      </c>
      <c r="R20" s="4692"/>
      <c r="S20" s="4680" t="s">
        <v>5742</v>
      </c>
      <c r="T20" s="4694"/>
      <c r="U20" s="4700"/>
      <c r="V20" s="4692"/>
      <c r="W20" s="4680" t="s">
        <v>4521</v>
      </c>
      <c r="X20" s="4695"/>
      <c r="Y20" s="4692"/>
      <c r="Z20" s="4692"/>
      <c r="AA20" s="4683" t="s">
        <v>5035</v>
      </c>
      <c r="AB20" s="4692"/>
      <c r="AC20" s="4683" t="s">
        <v>5050</v>
      </c>
      <c r="AD20" s="4692"/>
      <c r="AE20" s="4696"/>
      <c r="AF20" s="4685">
        <f t="shared" si="5"/>
        <v>0</v>
      </c>
    </row>
    <row r="21" spans="1:32" ht="33.75" customHeight="1" thickBot="1">
      <c r="A21" s="4686">
        <v>15</v>
      </c>
      <c r="B21" s="4687"/>
      <c r="C21" s="4687"/>
      <c r="D21" s="4672" t="str">
        <f t="shared" si="0"/>
        <v>1</v>
      </c>
      <c r="E21" s="4687"/>
      <c r="F21" s="4698">
        <f t="shared" si="1"/>
        <v>2</v>
      </c>
      <c r="G21" s="4699"/>
      <c r="H21" s="4672">
        <f t="shared" si="2"/>
        <v>0</v>
      </c>
      <c r="I21" s="4691"/>
      <c r="J21" s="4692"/>
      <c r="K21" s="4693"/>
      <c r="L21" s="4692"/>
      <c r="M21" s="4692"/>
      <c r="N21" s="4692"/>
      <c r="O21" s="4692"/>
      <c r="P21" s="4678">
        <f t="shared" si="4"/>
        <v>0</v>
      </c>
      <c r="Q21" s="4679">
        <f t="shared" si="3"/>
        <v>0</v>
      </c>
      <c r="R21" s="4692"/>
      <c r="S21" s="4680" t="s">
        <v>5739</v>
      </c>
      <c r="T21" s="4694"/>
      <c r="U21" s="4700"/>
      <c r="V21" s="4692"/>
      <c r="W21" s="4680" t="s">
        <v>4521</v>
      </c>
      <c r="X21" s="4695"/>
      <c r="Y21" s="4692"/>
      <c r="Z21" s="4692"/>
      <c r="AA21" s="4683" t="s">
        <v>5035</v>
      </c>
      <c r="AB21" s="4692"/>
      <c r="AC21" s="4683" t="s">
        <v>5050</v>
      </c>
      <c r="AD21" s="4692"/>
      <c r="AE21" s="4696"/>
      <c r="AF21" s="4685">
        <f t="shared" si="5"/>
        <v>0</v>
      </c>
    </row>
    <row r="22" spans="1:32" ht="33.75" customHeight="1" thickTop="1" thickBot="1">
      <c r="A22" s="4701"/>
      <c r="B22" s="4702"/>
      <c r="C22" s="4702"/>
      <c r="D22" s="4702"/>
      <c r="E22" s="4702"/>
      <c r="F22" s="4703"/>
      <c r="G22" s="4704"/>
      <c r="H22" s="4702"/>
      <c r="I22" s="4705" t="s">
        <v>2432</v>
      </c>
      <c r="J22" s="4706">
        <f>SUM(J7:J21)</f>
        <v>1286</v>
      </c>
      <c r="K22" s="4707">
        <f>SUM(K7:K12)</f>
        <v>1286</v>
      </c>
      <c r="L22" s="4703"/>
      <c r="M22" s="4703"/>
      <c r="N22" s="4703"/>
      <c r="O22" s="4703"/>
      <c r="P22" s="4706">
        <f>SUM(P7:P21)</f>
        <v>22362</v>
      </c>
      <c r="Q22" s="4706">
        <f>SUM(Q7:Q21)</f>
        <v>342138600</v>
      </c>
      <c r="R22" s="6863"/>
      <c r="S22" s="6864"/>
      <c r="T22" s="6865"/>
      <c r="U22" s="4708"/>
      <c r="V22" s="6863"/>
      <c r="W22" s="6864"/>
      <c r="X22" s="6864"/>
      <c r="Y22" s="4708"/>
      <c r="Z22" s="4708"/>
      <c r="AA22" s="6866"/>
      <c r="AB22" s="6867"/>
      <c r="AC22" s="6866"/>
      <c r="AD22" s="6867"/>
      <c r="AE22" s="4709"/>
      <c r="AF22" s="4685">
        <f>SUM(AF7:AF21)</f>
        <v>1286</v>
      </c>
    </row>
    <row r="23" spans="1:32" ht="33.75" customHeight="1" thickBot="1">
      <c r="C23" s="4710"/>
      <c r="D23" s="4710"/>
      <c r="E23" s="4710"/>
      <c r="F23" s="4710"/>
      <c r="G23" s="4710"/>
      <c r="H23" s="4710"/>
      <c r="I23" s="4711"/>
      <c r="J23" s="4712"/>
      <c r="K23" s="4710"/>
      <c r="L23" s="4713" t="s">
        <v>5748</v>
      </c>
      <c r="M23" s="4714">
        <f>SUM(N7:N21)</f>
        <v>19675800</v>
      </c>
      <c r="N23" s="4715"/>
      <c r="O23" s="4715"/>
      <c r="P23" s="4715"/>
      <c r="S23" s="4656"/>
      <c r="W23" s="4656"/>
    </row>
    <row r="24" spans="1:32" ht="33.75" customHeight="1">
      <c r="A24" s="6845" t="s">
        <v>5749</v>
      </c>
      <c r="B24" s="6846"/>
      <c r="C24" s="4716">
        <f>P22</f>
        <v>22362</v>
      </c>
      <c r="D24" s="4717"/>
      <c r="F24" s="4718"/>
      <c r="H24" s="4719"/>
      <c r="I24" s="4720"/>
      <c r="K24" s="4659"/>
      <c r="L24" s="4721" t="s">
        <v>5750</v>
      </c>
      <c r="M24" s="4722">
        <f>M23</f>
        <v>19675800</v>
      </c>
      <c r="P24" s="4656"/>
    </row>
    <row r="25" spans="1:32" ht="33.75" customHeight="1" thickBot="1">
      <c r="A25" s="6913" t="s">
        <v>5751</v>
      </c>
      <c r="B25" s="6914"/>
      <c r="C25" s="4723">
        <f>Q22</f>
        <v>342138600</v>
      </c>
      <c r="D25" s="4717"/>
      <c r="F25" s="4724"/>
      <c r="H25" s="4719"/>
      <c r="I25" s="4720"/>
      <c r="K25" s="4659"/>
      <c r="P25" s="4656"/>
    </row>
    <row r="26" spans="1:32" ht="33.75" customHeight="1" thickBot="1">
      <c r="A26" s="6849" t="s">
        <v>5751</v>
      </c>
      <c r="B26" s="6850"/>
      <c r="C26" s="4725"/>
      <c r="D26" s="4719"/>
      <c r="F26" s="4724"/>
      <c r="H26" s="4719"/>
      <c r="I26" s="4720"/>
      <c r="K26" s="4659"/>
      <c r="P26" s="4656"/>
    </row>
    <row r="27" spans="1:32" ht="33.75" customHeight="1">
      <c r="A27" s="4940"/>
      <c r="B27" s="4940"/>
      <c r="C27" s="5402"/>
      <c r="D27" s="4719"/>
      <c r="F27" s="4724"/>
      <c r="H27" s="4719"/>
      <c r="I27" s="4720"/>
      <c r="K27" s="4659"/>
      <c r="P27" s="4656"/>
    </row>
    <row r="28" spans="1:32" ht="33.75" customHeight="1">
      <c r="A28" s="4728" t="s">
        <v>5752</v>
      </c>
      <c r="B28" s="4728"/>
      <c r="C28" s="4729"/>
      <c r="D28" s="4729"/>
      <c r="E28" s="4729"/>
      <c r="F28" s="4729"/>
      <c r="G28" s="4726"/>
      <c r="H28" s="4729"/>
      <c r="I28" s="4720"/>
      <c r="P28" s="4656"/>
    </row>
    <row r="29" spans="1:32" ht="36" customHeight="1">
      <c r="A29" s="4728" t="s">
        <v>6261</v>
      </c>
      <c r="B29" s="4728"/>
    </row>
    <row r="30" spans="1:32" ht="36" customHeight="1">
      <c r="A30" s="4730" t="s">
        <v>5754</v>
      </c>
      <c r="B30" s="4730"/>
    </row>
    <row r="31" spans="1:32" ht="36" customHeight="1">
      <c r="A31" s="4728"/>
      <c r="B31" s="4728"/>
    </row>
    <row r="32" spans="1:32" ht="36" customHeight="1"/>
    <row r="33" ht="36" customHeight="1"/>
    <row r="34" ht="36" customHeight="1"/>
    <row r="35" ht="36" customHeight="1"/>
    <row r="36" ht="36" customHeight="1"/>
    <row r="37" ht="36" customHeight="1"/>
    <row r="38" ht="36" customHeight="1"/>
    <row r="39" ht="10.4" customHeight="1"/>
  </sheetData>
  <mergeCells count="32">
    <mergeCell ref="A2:B2"/>
    <mergeCell ref="C2:G2"/>
    <mergeCell ref="A5:A6"/>
    <mergeCell ref="B5:B6"/>
    <mergeCell ref="C5:C6"/>
    <mergeCell ref="D5:D6"/>
    <mergeCell ref="E5:E6"/>
    <mergeCell ref="F5:F6"/>
    <mergeCell ref="G5:G6"/>
    <mergeCell ref="AE5:AE6"/>
    <mergeCell ref="AF5:AF6"/>
    <mergeCell ref="R22:T22"/>
    <mergeCell ref="V22:X22"/>
    <mergeCell ref="AA22:AB22"/>
    <mergeCell ref="AC22:AD22"/>
    <mergeCell ref="R5:T6"/>
    <mergeCell ref="U5:U6"/>
    <mergeCell ref="V5:X6"/>
    <mergeCell ref="Y5:Y6"/>
    <mergeCell ref="A24:B24"/>
    <mergeCell ref="A25:B25"/>
    <mergeCell ref="A26:B26"/>
    <mergeCell ref="Z5:Z6"/>
    <mergeCell ref="AA5:AD6"/>
    <mergeCell ref="O5:O6"/>
    <mergeCell ref="P5:Q5"/>
    <mergeCell ref="H5:H6"/>
    <mergeCell ref="I5:I6"/>
    <mergeCell ref="J5:J6"/>
    <mergeCell ref="K5:K6"/>
    <mergeCell ref="L5:L6"/>
    <mergeCell ref="M5:M6"/>
  </mergeCells>
  <phoneticPr fontId="2"/>
  <conditionalFormatting sqref="B7:O21">
    <cfRule type="containsBlanks" dxfId="404" priority="1">
      <formula>LEN(TRIM(B7))=0</formula>
    </cfRule>
  </conditionalFormatting>
  <conditionalFormatting sqref="C2:D2">
    <cfRule type="containsBlanks" dxfId="403" priority="2">
      <formula>LEN(TRIM(C2))=0</formula>
    </cfRule>
  </conditionalFormatting>
  <conditionalFormatting sqref="Q7:R21 T7:V21 X7:Z21 AB7:AB21 AD7:AE21">
    <cfRule type="containsBlanks" dxfId="402" priority="3">
      <formula>LEN(TRIM(Q7))=0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DC52-29E3-46B2-9435-88EF81173392}">
  <sheetPr codeName="Sheet359">
    <tabColor rgb="FFFFFF66"/>
    <pageSetUpPr fitToPage="1"/>
  </sheetPr>
  <dimension ref="A1:AE33"/>
  <sheetViews>
    <sheetView topLeftCell="A15" zoomScale="55" zoomScaleNormal="55" workbookViewId="0">
      <selection activeCell="N9" sqref="N9"/>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6262</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I4" s="4657" t="s">
        <v>6263</v>
      </c>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6264</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46283</v>
      </c>
      <c r="C8" s="4911">
        <v>46300</v>
      </c>
      <c r="D8" s="4759"/>
      <c r="E8" s="4759"/>
      <c r="F8" s="4760">
        <f t="shared" ref="F8:F10" si="1">IF(OR(ISBLANK($B8), ISBLANK($C8)), 0, _xlfn.DAYS($C8, $B8) + 1)</f>
        <v>18</v>
      </c>
      <c r="G8" s="4975"/>
      <c r="H8" s="4762">
        <v>1</v>
      </c>
      <c r="I8" s="4763" t="s">
        <v>6265</v>
      </c>
      <c r="J8" s="4902"/>
      <c r="K8" s="4765"/>
      <c r="L8" s="4765"/>
      <c r="M8" s="4765"/>
      <c r="N8" s="4762">
        <v>35760000</v>
      </c>
      <c r="O8" s="4766">
        <f>N8*H8</f>
        <v>35760000</v>
      </c>
      <c r="P8" s="4857"/>
      <c r="Q8" s="4858"/>
      <c r="R8" s="4864"/>
      <c r="S8" s="4858"/>
      <c r="T8" s="4859"/>
      <c r="U8" s="4860"/>
    </row>
    <row r="9" spans="1:31" ht="33.75" customHeight="1">
      <c r="A9" s="4758">
        <v>2</v>
      </c>
      <c r="B9" s="4910">
        <v>46283</v>
      </c>
      <c r="C9" s="4911">
        <v>46300</v>
      </c>
      <c r="D9" s="4759"/>
      <c r="E9" s="4759"/>
      <c r="F9" s="4760">
        <f t="shared" si="1"/>
        <v>18</v>
      </c>
      <c r="G9" s="4975"/>
      <c r="H9" s="4762">
        <v>1</v>
      </c>
      <c r="I9" s="4763" t="s">
        <v>6266</v>
      </c>
      <c r="J9" s="4902"/>
      <c r="K9" s="4765"/>
      <c r="L9" s="4765"/>
      <c r="M9" s="4765"/>
      <c r="N9" s="4762">
        <v>1001000</v>
      </c>
      <c r="O9" s="4766">
        <f>N9*H9</f>
        <v>1001000</v>
      </c>
      <c r="P9" s="4857"/>
      <c r="Q9" s="4858"/>
      <c r="R9" s="4864"/>
      <c r="S9" s="4858"/>
      <c r="T9" s="4859"/>
      <c r="U9" s="4860"/>
      <c r="AC9" s="4657"/>
    </row>
    <row r="10" spans="1:31" ht="33.75" customHeight="1">
      <c r="A10" s="4758">
        <v>3</v>
      </c>
      <c r="B10" s="4910">
        <v>46218</v>
      </c>
      <c r="C10" s="4911">
        <v>46326</v>
      </c>
      <c r="D10" s="4759"/>
      <c r="E10" s="4759"/>
      <c r="F10" s="4760">
        <f t="shared" si="1"/>
        <v>109</v>
      </c>
      <c r="G10" s="4761" t="s">
        <v>6267</v>
      </c>
      <c r="H10" s="4762">
        <v>1</v>
      </c>
      <c r="I10" s="4763" t="s">
        <v>6268</v>
      </c>
      <c r="J10" s="4764"/>
      <c r="K10" s="4765"/>
      <c r="L10" s="4765"/>
      <c r="M10" s="4765"/>
      <c r="N10" s="4762">
        <v>132000</v>
      </c>
      <c r="O10" s="4766">
        <f t="shared" ref="O10:O16" si="2">F10*N10*H10</f>
        <v>14388000</v>
      </c>
      <c r="P10" s="4909"/>
      <c r="Q10" s="4858"/>
      <c r="R10" s="4864"/>
      <c r="S10" s="4858"/>
      <c r="T10" s="4859"/>
      <c r="U10" s="4860"/>
      <c r="AC10" s="4657"/>
    </row>
    <row r="11" spans="1:31" ht="33.75" customHeight="1">
      <c r="A11" s="4758">
        <v>4</v>
      </c>
      <c r="B11" s="4910"/>
      <c r="C11" s="4911"/>
      <c r="D11" s="4759"/>
      <c r="E11" s="4759"/>
      <c r="F11" s="4912"/>
      <c r="G11" s="4771"/>
      <c r="H11" s="4762"/>
      <c r="I11" s="4763"/>
      <c r="J11" s="4764"/>
      <c r="K11" s="4765"/>
      <c r="L11" s="4765"/>
      <c r="M11" s="4765"/>
      <c r="N11" s="4762"/>
      <c r="O11" s="4766">
        <f t="shared" si="2"/>
        <v>0</v>
      </c>
      <c r="P11" s="4857"/>
      <c r="Q11" s="4858"/>
      <c r="R11" s="4859"/>
      <c r="S11" s="4858"/>
      <c r="T11" s="4859"/>
      <c r="U11" s="4860"/>
      <c r="AC11" s="4657"/>
    </row>
    <row r="12" spans="1:31" ht="33.75" customHeight="1">
      <c r="A12" s="4758">
        <v>5</v>
      </c>
      <c r="B12" s="4910"/>
      <c r="C12" s="4911"/>
      <c r="D12" s="4759"/>
      <c r="E12" s="4759"/>
      <c r="F12" s="4912"/>
      <c r="G12" s="4771"/>
      <c r="H12" s="4762"/>
      <c r="I12" s="4763"/>
      <c r="J12" s="4764"/>
      <c r="K12" s="4765"/>
      <c r="L12" s="4765"/>
      <c r="M12" s="4765"/>
      <c r="N12" s="4762"/>
      <c r="O12" s="4766">
        <f t="shared" si="2"/>
        <v>0</v>
      </c>
      <c r="P12" s="4857"/>
      <c r="Q12" s="4858"/>
      <c r="R12" s="4859"/>
      <c r="S12" s="4858"/>
      <c r="T12" s="4859"/>
      <c r="U12" s="4860"/>
      <c r="AC12" s="4657"/>
    </row>
    <row r="13" spans="1:31" ht="33.75" customHeight="1">
      <c r="A13" s="4758">
        <v>6</v>
      </c>
      <c r="B13" s="4910"/>
      <c r="C13" s="4911"/>
      <c r="D13" s="4913"/>
      <c r="E13" s="4759"/>
      <c r="F13" s="4912"/>
      <c r="G13" s="4771"/>
      <c r="H13" s="4762"/>
      <c r="I13" s="4763"/>
      <c r="J13" s="4764"/>
      <c r="K13" s="4765"/>
      <c r="L13" s="4765"/>
      <c r="M13" s="4765"/>
      <c r="N13" s="4762"/>
      <c r="O13" s="4766">
        <f t="shared" si="2"/>
        <v>0</v>
      </c>
      <c r="P13" s="4857"/>
      <c r="Q13" s="4858"/>
      <c r="R13" s="4859"/>
      <c r="S13" s="4858"/>
      <c r="T13" s="4859"/>
      <c r="U13" s="4860"/>
      <c r="AC13" s="4657"/>
    </row>
    <row r="14" spans="1:31" ht="33.75" customHeight="1">
      <c r="A14" s="4758">
        <v>7</v>
      </c>
      <c r="B14" s="4910"/>
      <c r="C14" s="4911"/>
      <c r="D14" s="4913"/>
      <c r="E14" s="4759"/>
      <c r="F14" s="4912"/>
      <c r="G14" s="4771"/>
      <c r="H14" s="4762"/>
      <c r="I14" s="4763"/>
      <c r="J14" s="4764"/>
      <c r="K14" s="4765"/>
      <c r="L14" s="4765"/>
      <c r="M14" s="4765"/>
      <c r="N14" s="4762"/>
      <c r="O14" s="4766">
        <f t="shared" si="2"/>
        <v>0</v>
      </c>
      <c r="P14" s="4857"/>
      <c r="Q14" s="4858"/>
      <c r="R14" s="4859"/>
      <c r="S14" s="4858"/>
      <c r="T14" s="4859"/>
      <c r="U14" s="4860"/>
      <c r="AC14" s="4657"/>
    </row>
    <row r="15" spans="1:31" ht="33.75" customHeight="1">
      <c r="A15" s="4758">
        <v>8</v>
      </c>
      <c r="B15" s="4910"/>
      <c r="C15" s="4911"/>
      <c r="D15" s="4913"/>
      <c r="E15" s="4759"/>
      <c r="F15" s="4912"/>
      <c r="G15" s="4771"/>
      <c r="H15" s="4762"/>
      <c r="I15" s="4763"/>
      <c r="J15" s="4764"/>
      <c r="K15" s="4765"/>
      <c r="L15" s="4765"/>
      <c r="M15" s="4765"/>
      <c r="N15" s="4762"/>
      <c r="O15" s="4766">
        <f t="shared" si="2"/>
        <v>0</v>
      </c>
      <c r="P15" s="4857"/>
      <c r="Q15" s="4858"/>
      <c r="R15" s="4859"/>
      <c r="S15" s="4858"/>
      <c r="T15" s="4859"/>
      <c r="U15" s="4860"/>
      <c r="AC15" s="4657"/>
    </row>
    <row r="16" spans="1:31" ht="33.75" customHeight="1">
      <c r="A16" s="4758">
        <v>9</v>
      </c>
      <c r="B16" s="4910"/>
      <c r="C16" s="4911"/>
      <c r="D16" s="4913"/>
      <c r="E16" s="4759"/>
      <c r="F16" s="4912"/>
      <c r="G16" s="4771"/>
      <c r="H16" s="4762"/>
      <c r="I16" s="4763"/>
      <c r="J16" s="4764"/>
      <c r="K16" s="4765"/>
      <c r="L16" s="4765"/>
      <c r="M16" s="4765"/>
      <c r="N16" s="4762"/>
      <c r="O16" s="4766">
        <f t="shared" si="2"/>
        <v>0</v>
      </c>
      <c r="P16" s="4857"/>
      <c r="Q16" s="4858"/>
      <c r="R16" s="4859"/>
      <c r="S16" s="4858"/>
      <c r="T16" s="4859"/>
      <c r="U16" s="4860"/>
      <c r="AC16" s="4657"/>
    </row>
    <row r="17" spans="1:31" ht="33.75" customHeight="1" thickBot="1">
      <c r="A17" s="4772">
        <v>10</v>
      </c>
      <c r="B17" s="4910"/>
      <c r="C17" s="4911"/>
      <c r="D17" s="4914"/>
      <c r="E17" s="4915"/>
      <c r="F17" s="4916"/>
      <c r="G17" s="4773"/>
      <c r="H17" s="4917"/>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145</v>
      </c>
      <c r="G18" s="4779"/>
      <c r="H18" s="4781"/>
      <c r="I18" s="4782"/>
      <c r="J18" s="4783"/>
      <c r="K18" s="4784"/>
      <c r="L18" s="4784"/>
      <c r="M18" s="4784"/>
      <c r="N18" s="4785"/>
      <c r="O18" s="4922">
        <f>SUM(O8:O17)</f>
        <v>51149000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56263900.000000007</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v>0</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6269</v>
      </c>
      <c r="B22" s="6907"/>
      <c r="C22" s="4925">
        <f>SUM(O8:O17)*1.1</f>
        <v>56263900.000000007</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33.75" customHeight="1">
      <c r="A25" s="4656"/>
      <c r="B25" s="4660"/>
      <c r="C25" s="4660"/>
      <c r="D25" s="4660"/>
      <c r="G25" s="4660"/>
      <c r="H25" s="4660"/>
      <c r="O25" s="4656"/>
      <c r="P25" s="4657"/>
      <c r="Q25" s="4657"/>
      <c r="AC25" s="4657"/>
    </row>
    <row r="26" spans="1:31" ht="36" customHeight="1"/>
    <row r="27" spans="1:31" ht="36" customHeight="1"/>
    <row r="28" spans="1:31" ht="36" customHeight="1"/>
    <row r="29" spans="1:31" ht="36" customHeight="1"/>
    <row r="30" spans="1:31" ht="36" customHeight="1"/>
    <row r="31" spans="1:31" ht="36" customHeight="1"/>
    <row r="32" spans="1:31" ht="36" customHeight="1"/>
    <row r="33" spans="2:29" ht="10.4" customHeight="1">
      <c r="B33" s="4657"/>
      <c r="C33" s="4657"/>
      <c r="D33" s="4657"/>
      <c r="G33" s="4657"/>
      <c r="H33" s="4657"/>
      <c r="O33" s="4656"/>
      <c r="P33" s="4657"/>
      <c r="Q33" s="4657"/>
      <c r="AC33" s="4657"/>
    </row>
  </sheetData>
  <mergeCells count="23">
    <mergeCell ref="A2:B2"/>
    <mergeCell ref="C2:G2"/>
    <mergeCell ref="A5:A6"/>
    <mergeCell ref="B5:B6"/>
    <mergeCell ref="C5:C6"/>
    <mergeCell ref="D5:D6"/>
    <mergeCell ref="E5:E6"/>
    <mergeCell ref="F5:F6"/>
    <mergeCell ref="G5:G6"/>
    <mergeCell ref="AB21:AE21"/>
    <mergeCell ref="A22:B22"/>
    <mergeCell ref="N5:N6"/>
    <mergeCell ref="O5:O6"/>
    <mergeCell ref="P5:Q5"/>
    <mergeCell ref="R5:U5"/>
    <mergeCell ref="A21:B21"/>
    <mergeCell ref="W21:AA21"/>
    <mergeCell ref="H5:H6"/>
    <mergeCell ref="I5:I6"/>
    <mergeCell ref="J5:J6"/>
    <mergeCell ref="K5:K6"/>
    <mergeCell ref="L5:L6"/>
    <mergeCell ref="M5:M6"/>
  </mergeCells>
  <phoneticPr fontId="2"/>
  <conditionalFormatting sqref="C2:D2">
    <cfRule type="containsBlanks" dxfId="401" priority="1">
      <formula>LEN(TRIM(C2))=0</formula>
    </cfRule>
  </conditionalFormatting>
  <conditionalFormatting sqref="D8:E17">
    <cfRule type="containsBlanks" dxfId="400" priority="3">
      <formula>LEN(TRIM(D8))=0</formula>
    </cfRule>
  </conditionalFormatting>
  <conditionalFormatting sqref="G8:N17">
    <cfRule type="containsBlanks" dxfId="399" priority="2">
      <formula>LEN(TRIM(G8))=0</formula>
    </cfRule>
  </conditionalFormatting>
  <conditionalFormatting sqref="P8:U17">
    <cfRule type="containsBlanks" dxfId="398" priority="4">
      <formula>LEN(TRIM(P8))=0</formula>
    </cfRule>
  </conditionalFormatting>
  <dataValidations count="1">
    <dataValidation type="list" allowBlank="1" showInputMessage="1" showErrorMessage="1" sqref="I7:I17" xr:uid="{4D3B1F8F-970F-4B06-9CCA-2617831064E4}">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6AE9-6EB7-4304-9991-BD570620075C}">
  <sheetPr codeName="Sheet360">
    <tabColor rgb="FFFFFF66"/>
    <pageSetUpPr fitToPage="1"/>
  </sheetPr>
  <dimension ref="A1:AF38"/>
  <sheetViews>
    <sheetView topLeftCell="A8" zoomScale="55" zoomScaleNormal="55" zoomScaleSheetLayoutView="70" workbookViewId="0">
      <selection activeCell="I2" sqref="I2"/>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6270</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6271</v>
      </c>
      <c r="M5" s="6855" t="s">
        <v>6272</v>
      </c>
      <c r="N5" s="4967" t="s">
        <v>5726</v>
      </c>
      <c r="O5" s="6855" t="s">
        <v>6273</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86">
        <v>1</v>
      </c>
      <c r="B7" s="4687">
        <v>46283</v>
      </c>
      <c r="C7" s="4687">
        <v>46285</v>
      </c>
      <c r="D7" s="4672">
        <f t="shared" ref="D7:D21" si="0">IF(_xlfn.DAYS(C7,B7)=0,"1",_xlfn.DAYS(C7,B7))</f>
        <v>2</v>
      </c>
      <c r="E7" s="4687">
        <v>46297</v>
      </c>
      <c r="F7" s="4698">
        <f t="shared" ref="F7:F21" si="1">IF(_xlfn.DAYS(E7,C7)=0,"1",_xlfn.DAYS(E7,C7))+1</f>
        <v>13</v>
      </c>
      <c r="G7" s="4699">
        <v>46299</v>
      </c>
      <c r="H7" s="4672">
        <f t="shared" ref="H7:H21" si="2">IF(_xlfn.DAYS(G7,E7)=0,"1",_xlfn.DAYS(G7,E7))-1</f>
        <v>1</v>
      </c>
      <c r="I7" s="4691" t="s">
        <v>4500</v>
      </c>
      <c r="J7" s="4692">
        <v>598</v>
      </c>
      <c r="K7" s="5491">
        <v>368</v>
      </c>
      <c r="L7" s="4692">
        <v>13400</v>
      </c>
      <c r="M7" s="4692">
        <v>13400</v>
      </c>
      <c r="N7" s="4971">
        <f>M7*K7</f>
        <v>4931200</v>
      </c>
      <c r="O7" s="4692">
        <v>13400</v>
      </c>
      <c r="P7" s="4678">
        <f>SUM(D7,F7,H7)*K7</f>
        <v>5888</v>
      </c>
      <c r="Q7" s="4679">
        <f>(D7*L7+F7*M7+H7*O7)*K7</f>
        <v>78899200</v>
      </c>
      <c r="R7" s="4692">
        <v>12</v>
      </c>
      <c r="S7" s="4680" t="s">
        <v>5742</v>
      </c>
      <c r="T7" s="4694">
        <v>12</v>
      </c>
      <c r="U7" s="4700">
        <v>1</v>
      </c>
      <c r="V7" s="4692">
        <v>140</v>
      </c>
      <c r="W7" s="4680" t="s">
        <v>2688</v>
      </c>
      <c r="X7" s="4695">
        <v>203</v>
      </c>
      <c r="Y7" s="4692">
        <v>1</v>
      </c>
      <c r="Z7" s="4692" t="s">
        <v>5743</v>
      </c>
      <c r="AA7" s="4683" t="s">
        <v>5035</v>
      </c>
      <c r="AB7" s="4692" t="s">
        <v>2814</v>
      </c>
      <c r="AC7" s="4683" t="s">
        <v>5050</v>
      </c>
      <c r="AD7" s="4692" t="s">
        <v>2814</v>
      </c>
      <c r="AE7" s="4696"/>
      <c r="AF7" s="4685">
        <f>U7*K7</f>
        <v>368</v>
      </c>
    </row>
    <row r="8" spans="1:32" ht="33.75" customHeight="1">
      <c r="A8" s="4686">
        <v>2</v>
      </c>
      <c r="B8" s="4687">
        <v>46283</v>
      </c>
      <c r="C8" s="4687">
        <v>46285</v>
      </c>
      <c r="D8" s="4672">
        <f t="shared" si="0"/>
        <v>2</v>
      </c>
      <c r="E8" s="4687">
        <v>46297</v>
      </c>
      <c r="F8" s="4698">
        <f t="shared" si="1"/>
        <v>13</v>
      </c>
      <c r="G8" s="4699">
        <v>46299</v>
      </c>
      <c r="H8" s="4672">
        <f t="shared" si="2"/>
        <v>1</v>
      </c>
      <c r="I8" s="4691" t="s">
        <v>5058</v>
      </c>
      <c r="J8" s="4692">
        <v>26</v>
      </c>
      <c r="K8" s="5491">
        <v>16</v>
      </c>
      <c r="L8" s="4692">
        <v>17300</v>
      </c>
      <c r="M8" s="4692">
        <v>17300</v>
      </c>
      <c r="N8" s="4971">
        <f>M8*K8</f>
        <v>276800</v>
      </c>
      <c r="O8" s="4692">
        <v>17300</v>
      </c>
      <c r="P8" s="4678">
        <f t="shared" ref="P8:P21" si="3">SUM(D8,F8,H8)*K8</f>
        <v>256</v>
      </c>
      <c r="Q8" s="4679">
        <f t="shared" ref="Q8:Q21" si="4">(D8*L8+F8*M8+H8*O8)*K8</f>
        <v>4428800</v>
      </c>
      <c r="R8" s="4692">
        <v>15.17</v>
      </c>
      <c r="S8" s="4680" t="s">
        <v>5742</v>
      </c>
      <c r="T8" s="4694">
        <v>15.17</v>
      </c>
      <c r="U8" s="4700">
        <v>1</v>
      </c>
      <c r="V8" s="4692">
        <v>160</v>
      </c>
      <c r="W8" s="4680" t="s">
        <v>2688</v>
      </c>
      <c r="X8" s="4695">
        <v>203</v>
      </c>
      <c r="Y8" s="4692">
        <v>1</v>
      </c>
      <c r="Z8" s="4692" t="s">
        <v>5743</v>
      </c>
      <c r="AA8" s="4683" t="s">
        <v>5035</v>
      </c>
      <c r="AB8" s="4692" t="s">
        <v>2814</v>
      </c>
      <c r="AC8" s="4683" t="s">
        <v>5050</v>
      </c>
      <c r="AD8" s="4692" t="s">
        <v>2814</v>
      </c>
      <c r="AE8" s="4696"/>
      <c r="AF8" s="4685">
        <f t="shared" ref="AF8:AF21" si="5">U8*K8</f>
        <v>16</v>
      </c>
    </row>
    <row r="9" spans="1:32" ht="33.75" customHeight="1">
      <c r="A9" s="4686">
        <v>3</v>
      </c>
      <c r="B9" s="4687">
        <v>46283</v>
      </c>
      <c r="C9" s="4687">
        <v>46285</v>
      </c>
      <c r="D9" s="4672">
        <f t="shared" si="0"/>
        <v>2</v>
      </c>
      <c r="E9" s="4687">
        <v>46297</v>
      </c>
      <c r="F9" s="4698">
        <f t="shared" si="1"/>
        <v>13</v>
      </c>
      <c r="G9" s="4699">
        <v>46299</v>
      </c>
      <c r="H9" s="4672">
        <f t="shared" si="2"/>
        <v>1</v>
      </c>
      <c r="I9" s="4691" t="s">
        <v>5072</v>
      </c>
      <c r="J9" s="4692">
        <v>208</v>
      </c>
      <c r="K9" s="5491">
        <v>128</v>
      </c>
      <c r="L9" s="4692">
        <v>18800</v>
      </c>
      <c r="M9" s="4692">
        <v>18800</v>
      </c>
      <c r="N9" s="4971">
        <f t="shared" ref="N9:N14" si="6">M9*K9</f>
        <v>2406400</v>
      </c>
      <c r="O9" s="4692">
        <v>18800</v>
      </c>
      <c r="P9" s="4678">
        <f t="shared" si="3"/>
        <v>2048</v>
      </c>
      <c r="Q9" s="4679">
        <f t="shared" si="4"/>
        <v>38502400</v>
      </c>
      <c r="R9" s="4692">
        <v>15.68</v>
      </c>
      <c r="S9" s="4680" t="s">
        <v>5742</v>
      </c>
      <c r="T9" s="4694">
        <v>15.68</v>
      </c>
      <c r="U9" s="4700">
        <v>1</v>
      </c>
      <c r="V9" s="4692">
        <v>110</v>
      </c>
      <c r="W9" s="4680" t="s">
        <v>2688</v>
      </c>
      <c r="X9" s="4695">
        <v>203</v>
      </c>
      <c r="Y9" s="4692">
        <v>2</v>
      </c>
      <c r="Z9" s="4692" t="s">
        <v>5743</v>
      </c>
      <c r="AA9" s="4683" t="s">
        <v>5035</v>
      </c>
      <c r="AB9" s="4692" t="s">
        <v>2814</v>
      </c>
      <c r="AC9" s="4683" t="s">
        <v>5050</v>
      </c>
      <c r="AD9" s="4692" t="s">
        <v>2814</v>
      </c>
      <c r="AE9" s="4696"/>
      <c r="AF9" s="4685">
        <f t="shared" si="5"/>
        <v>128</v>
      </c>
    </row>
    <row r="10" spans="1:32" ht="33.75" customHeight="1">
      <c r="A10" s="4686">
        <v>4</v>
      </c>
      <c r="B10" s="4687">
        <v>46283</v>
      </c>
      <c r="C10" s="4687">
        <v>46285</v>
      </c>
      <c r="D10" s="4672">
        <f t="shared" si="0"/>
        <v>2</v>
      </c>
      <c r="E10" s="4687">
        <v>46297</v>
      </c>
      <c r="F10" s="4698">
        <f t="shared" si="1"/>
        <v>13</v>
      </c>
      <c r="G10" s="4699">
        <v>46299</v>
      </c>
      <c r="H10" s="4672">
        <f t="shared" si="2"/>
        <v>1</v>
      </c>
      <c r="I10" s="4691" t="s">
        <v>5134</v>
      </c>
      <c r="J10" s="4692">
        <v>78</v>
      </c>
      <c r="K10" s="5491">
        <v>48</v>
      </c>
      <c r="L10" s="4692">
        <v>17300</v>
      </c>
      <c r="M10" s="4692">
        <v>17300</v>
      </c>
      <c r="N10" s="4971">
        <f t="shared" si="6"/>
        <v>830400</v>
      </c>
      <c r="O10" s="4692">
        <v>17300</v>
      </c>
      <c r="P10" s="4678">
        <f t="shared" si="3"/>
        <v>768</v>
      </c>
      <c r="Q10" s="4679">
        <f t="shared" si="4"/>
        <v>13286400</v>
      </c>
      <c r="R10" s="4692">
        <v>15.17</v>
      </c>
      <c r="S10" s="4680" t="s">
        <v>5742</v>
      </c>
      <c r="T10" s="4694">
        <v>15.17</v>
      </c>
      <c r="U10" s="4700">
        <v>1</v>
      </c>
      <c r="V10" s="4692">
        <v>90</v>
      </c>
      <c r="W10" s="4680" t="s">
        <v>2688</v>
      </c>
      <c r="X10" s="4695">
        <v>203</v>
      </c>
      <c r="Y10" s="4692">
        <v>2</v>
      </c>
      <c r="Z10" s="4692" t="s">
        <v>5743</v>
      </c>
      <c r="AA10" s="4683" t="s">
        <v>5035</v>
      </c>
      <c r="AB10" s="4692" t="s">
        <v>2814</v>
      </c>
      <c r="AC10" s="4683" t="s">
        <v>5050</v>
      </c>
      <c r="AD10" s="4692" t="s">
        <v>2814</v>
      </c>
      <c r="AE10" s="4696"/>
      <c r="AF10" s="4685">
        <f t="shared" si="5"/>
        <v>48</v>
      </c>
    </row>
    <row r="11" spans="1:32" ht="33.75" customHeight="1">
      <c r="A11" s="4686">
        <v>5</v>
      </c>
      <c r="B11" s="4687">
        <v>46283</v>
      </c>
      <c r="C11" s="4687">
        <v>46285</v>
      </c>
      <c r="D11" s="4672">
        <f t="shared" si="0"/>
        <v>2</v>
      </c>
      <c r="E11" s="4687">
        <v>46297</v>
      </c>
      <c r="F11" s="4698">
        <f t="shared" si="1"/>
        <v>13</v>
      </c>
      <c r="G11" s="4699">
        <v>46299</v>
      </c>
      <c r="H11" s="4672">
        <f t="shared" si="2"/>
        <v>1</v>
      </c>
      <c r="I11" s="4691" t="s">
        <v>6030</v>
      </c>
      <c r="J11" s="4692">
        <v>52</v>
      </c>
      <c r="K11" s="5491">
        <v>32</v>
      </c>
      <c r="L11" s="4692">
        <v>15600</v>
      </c>
      <c r="M11" s="4692">
        <v>15600</v>
      </c>
      <c r="N11" s="4971">
        <f t="shared" si="6"/>
        <v>499200</v>
      </c>
      <c r="O11" s="4692">
        <v>15600</v>
      </c>
      <c r="P11" s="4678">
        <f t="shared" si="3"/>
        <v>512</v>
      </c>
      <c r="Q11" s="4679">
        <f t="shared" si="4"/>
        <v>7987200</v>
      </c>
      <c r="R11" s="4692">
        <v>12</v>
      </c>
      <c r="S11" s="4680" t="s">
        <v>5742</v>
      </c>
      <c r="T11" s="4694">
        <v>12</v>
      </c>
      <c r="U11" s="4700">
        <v>1</v>
      </c>
      <c r="V11" s="4692"/>
      <c r="W11" s="4680" t="s">
        <v>2688</v>
      </c>
      <c r="X11" s="4695">
        <v>203</v>
      </c>
      <c r="Y11" s="4692">
        <v>1</v>
      </c>
      <c r="Z11" s="4692" t="s">
        <v>5743</v>
      </c>
      <c r="AA11" s="4683" t="s">
        <v>5035</v>
      </c>
      <c r="AB11" s="4692" t="s">
        <v>2814</v>
      </c>
      <c r="AC11" s="4683" t="s">
        <v>5050</v>
      </c>
      <c r="AD11" s="4692" t="s">
        <v>2814</v>
      </c>
      <c r="AE11" s="4696"/>
      <c r="AF11" s="4685">
        <f t="shared" si="5"/>
        <v>32</v>
      </c>
    </row>
    <row r="12" spans="1:32" ht="33.75" customHeight="1">
      <c r="A12" s="4686">
        <v>6</v>
      </c>
      <c r="B12" s="4687">
        <v>46283</v>
      </c>
      <c r="C12" s="4687">
        <v>46285</v>
      </c>
      <c r="D12" s="4672">
        <f t="shared" si="0"/>
        <v>2</v>
      </c>
      <c r="E12" s="4687">
        <v>46297</v>
      </c>
      <c r="F12" s="4698">
        <f t="shared" si="1"/>
        <v>13</v>
      </c>
      <c r="G12" s="4699">
        <v>46299</v>
      </c>
      <c r="H12" s="4672">
        <f t="shared" si="2"/>
        <v>1</v>
      </c>
      <c r="I12" s="4691" t="s">
        <v>5092</v>
      </c>
      <c r="J12" s="4692">
        <v>13</v>
      </c>
      <c r="K12" s="5491">
        <v>8</v>
      </c>
      <c r="L12" s="4692">
        <v>27000</v>
      </c>
      <c r="M12" s="4692">
        <v>27000</v>
      </c>
      <c r="N12" s="4971">
        <f t="shared" si="6"/>
        <v>216000</v>
      </c>
      <c r="O12" s="4692">
        <v>27000</v>
      </c>
      <c r="P12" s="4678">
        <f t="shared" si="3"/>
        <v>128</v>
      </c>
      <c r="Q12" s="4679">
        <f t="shared" si="4"/>
        <v>3456000</v>
      </c>
      <c r="R12" s="4692">
        <v>28</v>
      </c>
      <c r="S12" s="4680" t="s">
        <v>5742</v>
      </c>
      <c r="T12" s="4694">
        <v>28</v>
      </c>
      <c r="U12" s="4700">
        <v>2</v>
      </c>
      <c r="V12" s="4692"/>
      <c r="W12" s="4680" t="s">
        <v>2688</v>
      </c>
      <c r="X12" s="4695">
        <v>203</v>
      </c>
      <c r="Y12" s="4692">
        <v>2</v>
      </c>
      <c r="Z12" s="4692" t="s">
        <v>5743</v>
      </c>
      <c r="AA12" s="4683" t="s">
        <v>5035</v>
      </c>
      <c r="AB12" s="4692" t="s">
        <v>2814</v>
      </c>
      <c r="AC12" s="4683" t="s">
        <v>5050</v>
      </c>
      <c r="AD12" s="4692" t="s">
        <v>2814</v>
      </c>
      <c r="AE12" s="4696"/>
      <c r="AF12" s="4685">
        <f t="shared" si="5"/>
        <v>16</v>
      </c>
    </row>
    <row r="13" spans="1:32" ht="33.75" customHeight="1">
      <c r="A13" s="4686">
        <v>7</v>
      </c>
      <c r="B13" s="4687">
        <v>46283</v>
      </c>
      <c r="C13" s="4687">
        <v>46285</v>
      </c>
      <c r="D13" s="4672">
        <f t="shared" si="0"/>
        <v>2</v>
      </c>
      <c r="E13" s="4687">
        <v>46297</v>
      </c>
      <c r="F13" s="4698">
        <f t="shared" si="1"/>
        <v>13</v>
      </c>
      <c r="G13" s="4699">
        <v>46299</v>
      </c>
      <c r="H13" s="4672">
        <f t="shared" si="2"/>
        <v>1</v>
      </c>
      <c r="I13" s="4691" t="s">
        <v>6259</v>
      </c>
      <c r="J13" s="4692">
        <v>4</v>
      </c>
      <c r="K13" s="5491">
        <v>3</v>
      </c>
      <c r="L13" s="4692">
        <v>18800</v>
      </c>
      <c r="M13" s="4692">
        <v>18800</v>
      </c>
      <c r="N13" s="4971">
        <f t="shared" si="6"/>
        <v>56400</v>
      </c>
      <c r="O13" s="4692">
        <v>18800</v>
      </c>
      <c r="P13" s="4678">
        <f t="shared" si="3"/>
        <v>48</v>
      </c>
      <c r="Q13" s="4679">
        <f>(D13*L13+F13*M13+H13*O13)*K13</f>
        <v>902400</v>
      </c>
      <c r="R13" s="4692">
        <v>28</v>
      </c>
      <c r="S13" s="4680" t="s">
        <v>5742</v>
      </c>
      <c r="T13" s="4694">
        <v>28</v>
      </c>
      <c r="U13" s="4700">
        <v>1</v>
      </c>
      <c r="V13" s="4692">
        <v>140</v>
      </c>
      <c r="W13" s="4680" t="s">
        <v>2688</v>
      </c>
      <c r="X13" s="4695">
        <v>203</v>
      </c>
      <c r="Y13" s="4692">
        <v>2</v>
      </c>
      <c r="Z13" s="4692" t="s">
        <v>5984</v>
      </c>
      <c r="AA13" s="4683" t="s">
        <v>5035</v>
      </c>
      <c r="AB13" s="4692" t="s">
        <v>2814</v>
      </c>
      <c r="AC13" s="4683" t="s">
        <v>5050</v>
      </c>
      <c r="AD13" s="4692" t="s">
        <v>2814</v>
      </c>
      <c r="AE13" s="4696" t="s">
        <v>6032</v>
      </c>
      <c r="AF13" s="4685">
        <f t="shared" si="5"/>
        <v>3</v>
      </c>
    </row>
    <row r="14" spans="1:32" ht="33.75" customHeight="1">
      <c r="A14" s="4686">
        <v>8</v>
      </c>
      <c r="B14" s="4687">
        <v>46283</v>
      </c>
      <c r="C14" s="4687">
        <v>46285</v>
      </c>
      <c r="D14" s="4672">
        <f t="shared" si="0"/>
        <v>2</v>
      </c>
      <c r="E14" s="4687">
        <v>46297</v>
      </c>
      <c r="F14" s="4698">
        <f t="shared" si="1"/>
        <v>13</v>
      </c>
      <c r="G14" s="4699">
        <v>46299</v>
      </c>
      <c r="H14" s="4672">
        <f t="shared" si="2"/>
        <v>1</v>
      </c>
      <c r="I14" s="4691" t="s">
        <v>5137</v>
      </c>
      <c r="J14" s="4692">
        <v>9</v>
      </c>
      <c r="K14" s="4693">
        <v>5</v>
      </c>
      <c r="L14" s="4692">
        <v>27000</v>
      </c>
      <c r="M14" s="4692">
        <v>27000</v>
      </c>
      <c r="N14" s="4971">
        <f t="shared" si="6"/>
        <v>135000</v>
      </c>
      <c r="O14" s="4692">
        <v>27000</v>
      </c>
      <c r="P14" s="4678">
        <f t="shared" si="3"/>
        <v>80</v>
      </c>
      <c r="Q14" s="4679">
        <f t="shared" si="4"/>
        <v>2160000</v>
      </c>
      <c r="R14" s="4692">
        <v>28</v>
      </c>
      <c r="S14" s="4680" t="s">
        <v>5742</v>
      </c>
      <c r="T14" s="4694">
        <v>28</v>
      </c>
      <c r="U14" s="4700">
        <v>2</v>
      </c>
      <c r="V14" s="4692">
        <v>90</v>
      </c>
      <c r="W14" s="4680" t="s">
        <v>4521</v>
      </c>
      <c r="X14" s="4695">
        <v>203</v>
      </c>
      <c r="Y14" s="4692">
        <v>3</v>
      </c>
      <c r="Z14" s="4692" t="s">
        <v>5743</v>
      </c>
      <c r="AA14" s="4683" t="s">
        <v>5035</v>
      </c>
      <c r="AB14" s="4692" t="s">
        <v>2814</v>
      </c>
      <c r="AC14" s="4683" t="s">
        <v>5050</v>
      </c>
      <c r="AD14" s="4692" t="s">
        <v>2814</v>
      </c>
      <c r="AE14" s="4696"/>
      <c r="AF14" s="4685">
        <f t="shared" si="5"/>
        <v>10</v>
      </c>
    </row>
    <row r="15" spans="1:32" ht="33.75" customHeight="1">
      <c r="A15" s="4686">
        <v>9</v>
      </c>
      <c r="B15" s="4687"/>
      <c r="C15" s="4687"/>
      <c r="D15" s="4672" t="str">
        <f t="shared" si="0"/>
        <v>1</v>
      </c>
      <c r="E15" s="4687"/>
      <c r="F15" s="4698">
        <f t="shared" si="1"/>
        <v>2</v>
      </c>
      <c r="G15" s="4699"/>
      <c r="H15" s="4672">
        <f t="shared" si="2"/>
        <v>0</v>
      </c>
      <c r="I15" s="4691"/>
      <c r="J15" s="4692"/>
      <c r="K15" s="4693"/>
      <c r="L15" s="4692"/>
      <c r="M15" s="4692"/>
      <c r="N15" s="4692"/>
      <c r="O15" s="4692"/>
      <c r="P15" s="4678">
        <f t="shared" si="3"/>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5"/>
        <v>0</v>
      </c>
    </row>
    <row r="16" spans="1:32" ht="33.75" customHeight="1">
      <c r="A16" s="4686">
        <v>10</v>
      </c>
      <c r="B16" s="4687"/>
      <c r="C16" s="4687"/>
      <c r="D16" s="4672" t="str">
        <f t="shared" si="0"/>
        <v>1</v>
      </c>
      <c r="E16" s="4687"/>
      <c r="F16" s="4698">
        <f t="shared" si="1"/>
        <v>2</v>
      </c>
      <c r="G16" s="4699"/>
      <c r="H16" s="4672">
        <f t="shared" si="2"/>
        <v>0</v>
      </c>
      <c r="I16" s="4691"/>
      <c r="J16" s="4692"/>
      <c r="K16" s="4693"/>
      <c r="L16" s="4692"/>
      <c r="M16" s="4692"/>
      <c r="N16" s="4692"/>
      <c r="O16" s="4692"/>
      <c r="P16" s="4678">
        <f t="shared" si="3"/>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5"/>
        <v>0</v>
      </c>
    </row>
    <row r="17" spans="1:32" ht="33.75" customHeight="1">
      <c r="A17" s="4686">
        <v>11</v>
      </c>
      <c r="B17" s="4687"/>
      <c r="C17" s="4687"/>
      <c r="D17" s="4672" t="str">
        <f t="shared" si="0"/>
        <v>1</v>
      </c>
      <c r="E17" s="4687"/>
      <c r="F17" s="4698">
        <f t="shared" si="1"/>
        <v>2</v>
      </c>
      <c r="G17" s="4699"/>
      <c r="H17" s="4672">
        <f t="shared" si="2"/>
        <v>0</v>
      </c>
      <c r="I17" s="4691"/>
      <c r="J17" s="4692"/>
      <c r="K17" s="4693"/>
      <c r="L17" s="4692"/>
      <c r="M17" s="4692"/>
      <c r="N17" s="4692"/>
      <c r="O17" s="4692"/>
      <c r="P17" s="4678">
        <f t="shared" si="3"/>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5"/>
        <v>0</v>
      </c>
    </row>
    <row r="18" spans="1:32" ht="33.75" customHeight="1">
      <c r="A18" s="4686">
        <v>12</v>
      </c>
      <c r="B18" s="4687"/>
      <c r="C18" s="4687"/>
      <c r="D18" s="4672" t="str">
        <f t="shared" si="0"/>
        <v>1</v>
      </c>
      <c r="E18" s="4687"/>
      <c r="F18" s="4698">
        <f t="shared" si="1"/>
        <v>2</v>
      </c>
      <c r="G18" s="4699"/>
      <c r="H18" s="4672">
        <f t="shared" si="2"/>
        <v>0</v>
      </c>
      <c r="I18" s="4691"/>
      <c r="J18" s="4692"/>
      <c r="K18" s="4693"/>
      <c r="L18" s="4692"/>
      <c r="M18" s="4692"/>
      <c r="N18" s="4692"/>
      <c r="O18" s="4692"/>
      <c r="P18" s="4678">
        <f t="shared" si="3"/>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5"/>
        <v>0</v>
      </c>
    </row>
    <row r="19" spans="1:32" ht="33.75" customHeight="1">
      <c r="A19" s="4686">
        <v>13</v>
      </c>
      <c r="B19" s="4687"/>
      <c r="C19" s="4687"/>
      <c r="D19" s="4672" t="str">
        <f t="shared" si="0"/>
        <v>1</v>
      </c>
      <c r="E19" s="4687"/>
      <c r="F19" s="4698">
        <f t="shared" si="1"/>
        <v>2</v>
      </c>
      <c r="G19" s="4699"/>
      <c r="H19" s="4672">
        <f t="shared" si="2"/>
        <v>0</v>
      </c>
      <c r="I19" s="4691"/>
      <c r="J19" s="4692"/>
      <c r="K19" s="4693"/>
      <c r="L19" s="4692"/>
      <c r="M19" s="4692"/>
      <c r="N19" s="4692"/>
      <c r="O19" s="4692"/>
      <c r="P19" s="4678">
        <f>SUM(D19,F19,H19)*K19</f>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5"/>
        <v>0</v>
      </c>
    </row>
    <row r="20" spans="1:32" ht="33.75" customHeight="1">
      <c r="A20" s="4686">
        <v>14</v>
      </c>
      <c r="B20" s="4687"/>
      <c r="C20" s="4687"/>
      <c r="D20" s="4672" t="str">
        <f t="shared" si="0"/>
        <v>1</v>
      </c>
      <c r="E20" s="4687"/>
      <c r="F20" s="4698">
        <f t="shared" si="1"/>
        <v>2</v>
      </c>
      <c r="G20" s="4699"/>
      <c r="H20" s="4672">
        <f t="shared" si="2"/>
        <v>0</v>
      </c>
      <c r="I20" s="4691"/>
      <c r="J20" s="4692"/>
      <c r="K20" s="4693"/>
      <c r="L20" s="4692"/>
      <c r="M20" s="4692"/>
      <c r="N20" s="4692"/>
      <c r="O20" s="4692"/>
      <c r="P20" s="4678">
        <f t="shared" si="3"/>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5"/>
        <v>0</v>
      </c>
    </row>
    <row r="21" spans="1:32" ht="33.75" customHeight="1" thickBot="1">
      <c r="A21" s="4686">
        <v>15</v>
      </c>
      <c r="B21" s="4687"/>
      <c r="C21" s="4687"/>
      <c r="D21" s="4672" t="str">
        <f t="shared" si="0"/>
        <v>1</v>
      </c>
      <c r="E21" s="4687"/>
      <c r="F21" s="4698">
        <f t="shared" si="1"/>
        <v>2</v>
      </c>
      <c r="G21" s="4699"/>
      <c r="H21" s="4672">
        <f t="shared" si="2"/>
        <v>0</v>
      </c>
      <c r="I21" s="4691"/>
      <c r="J21" s="4692"/>
      <c r="K21" s="4693"/>
      <c r="L21" s="4692"/>
      <c r="M21" s="4692"/>
      <c r="N21" s="4692"/>
      <c r="O21" s="4692"/>
      <c r="P21" s="4678">
        <f t="shared" si="3"/>
        <v>0</v>
      </c>
      <c r="Q21" s="4679">
        <f t="shared" si="4"/>
        <v>0</v>
      </c>
      <c r="R21" s="4692"/>
      <c r="S21" s="4680" t="s">
        <v>5739</v>
      </c>
      <c r="T21" s="4694"/>
      <c r="U21" s="4700"/>
      <c r="V21" s="4692"/>
      <c r="W21" s="4680" t="s">
        <v>4521</v>
      </c>
      <c r="X21" s="4695"/>
      <c r="Y21" s="4692"/>
      <c r="Z21" s="4692"/>
      <c r="AA21" s="4683" t="s">
        <v>5035</v>
      </c>
      <c r="AB21" s="4692"/>
      <c r="AC21" s="4683" t="s">
        <v>5050</v>
      </c>
      <c r="AD21" s="4692"/>
      <c r="AE21" s="4696"/>
      <c r="AF21" s="4685">
        <f t="shared" si="5"/>
        <v>0</v>
      </c>
    </row>
    <row r="22" spans="1:32" ht="33.75" customHeight="1" thickTop="1" thickBot="1">
      <c r="A22" s="4701"/>
      <c r="B22" s="4702"/>
      <c r="C22" s="4702"/>
      <c r="D22" s="4702"/>
      <c r="E22" s="4702"/>
      <c r="F22" s="4703"/>
      <c r="G22" s="4704"/>
      <c r="H22" s="4702"/>
      <c r="I22" s="4705" t="s">
        <v>2432</v>
      </c>
      <c r="J22" s="4706">
        <f>SUM(J7:J21)</f>
        <v>988</v>
      </c>
      <c r="K22" s="4707">
        <f>SUM(K7:K21)</f>
        <v>608</v>
      </c>
      <c r="L22" s="4703"/>
      <c r="M22" s="4703"/>
      <c r="N22" s="4703"/>
      <c r="O22" s="4703"/>
      <c r="P22" s="4706">
        <f>SUM(P7:P21)</f>
        <v>9728</v>
      </c>
      <c r="Q22" s="4706">
        <f>SUM(Q7:Q21)</f>
        <v>149622400</v>
      </c>
      <c r="R22" s="6863"/>
      <c r="S22" s="6864"/>
      <c r="T22" s="6865"/>
      <c r="U22" s="4708"/>
      <c r="V22" s="6863"/>
      <c r="W22" s="6864"/>
      <c r="X22" s="6864"/>
      <c r="Y22" s="4708"/>
      <c r="Z22" s="4708"/>
      <c r="AA22" s="6866"/>
      <c r="AB22" s="6867"/>
      <c r="AC22" s="6866"/>
      <c r="AD22" s="6867"/>
      <c r="AE22" s="4709"/>
      <c r="AF22" s="4685">
        <f>SUM(AF7:AF21)</f>
        <v>621</v>
      </c>
    </row>
    <row r="23" spans="1:32" ht="33.75" customHeight="1" thickBot="1">
      <c r="C23" s="4710"/>
      <c r="D23" s="4710"/>
      <c r="E23" s="4710"/>
      <c r="F23" s="4710"/>
      <c r="G23" s="4710"/>
      <c r="H23" s="4710"/>
      <c r="I23" s="4711"/>
      <c r="J23" s="4712"/>
      <c r="K23" s="4710"/>
      <c r="L23" s="4713" t="s">
        <v>5748</v>
      </c>
      <c r="M23" s="4714">
        <f>SUM(N7:N21)</f>
        <v>9351400</v>
      </c>
      <c r="N23" s="4715"/>
      <c r="O23" s="4715"/>
      <c r="P23" s="4715"/>
      <c r="S23" s="4656"/>
      <c r="W23" s="4656"/>
    </row>
    <row r="24" spans="1:32" ht="33.75" customHeight="1">
      <c r="A24" s="6845" t="s">
        <v>5749</v>
      </c>
      <c r="B24" s="6846"/>
      <c r="C24" s="5400">
        <f>P22</f>
        <v>9728</v>
      </c>
      <c r="D24" s="4719"/>
      <c r="F24" s="4718"/>
      <c r="H24" s="4719"/>
      <c r="I24" s="4720"/>
      <c r="K24" s="4659"/>
      <c r="L24" s="4721" t="s">
        <v>5750</v>
      </c>
      <c r="M24" s="4722">
        <f>M23</f>
        <v>9351400</v>
      </c>
      <c r="P24" s="4656"/>
    </row>
    <row r="25" spans="1:32" ht="33.75" customHeight="1" thickBot="1">
      <c r="A25" s="6899" t="s">
        <v>6274</v>
      </c>
      <c r="B25" s="6900"/>
      <c r="C25" s="4823">
        <f>Q22</f>
        <v>149622400</v>
      </c>
      <c r="D25" s="4719"/>
      <c r="F25" s="4724"/>
      <c r="H25" s="4719"/>
      <c r="I25" s="4720"/>
      <c r="K25" s="4659"/>
      <c r="P25" s="4656"/>
    </row>
    <row r="26" spans="1:32" ht="32.15" customHeight="1">
      <c r="A26" s="4726"/>
      <c r="B26" s="4726"/>
      <c r="C26" s="4726"/>
      <c r="D26" s="4726"/>
      <c r="E26" s="4726"/>
      <c r="F26" s="4726"/>
      <c r="G26" s="4726"/>
      <c r="H26" s="4726"/>
      <c r="I26" s="4727"/>
    </row>
    <row r="27" spans="1:32" ht="33.75" customHeight="1">
      <c r="A27" s="4728" t="s">
        <v>5752</v>
      </c>
      <c r="B27" s="4728"/>
      <c r="C27" s="4729"/>
      <c r="D27" s="4729"/>
      <c r="E27" s="4729"/>
      <c r="F27" s="4729"/>
      <c r="G27" s="4726"/>
      <c r="H27" s="4729"/>
      <c r="I27" s="4720"/>
      <c r="P27" s="4656"/>
    </row>
    <row r="28" spans="1:32" ht="36" customHeight="1">
      <c r="A28" s="4728" t="s">
        <v>6261</v>
      </c>
      <c r="B28" s="4728"/>
    </row>
    <row r="29" spans="1:32" ht="36" customHeight="1">
      <c r="A29" s="4730" t="s">
        <v>5754</v>
      </c>
      <c r="B29" s="4730"/>
    </row>
    <row r="30" spans="1:32" ht="36" customHeight="1">
      <c r="A30" s="4728"/>
      <c r="B30" s="4728"/>
    </row>
    <row r="31" spans="1:32" ht="36" customHeight="1"/>
    <row r="32" spans="1:32" ht="36" customHeight="1"/>
    <row r="33" ht="36" customHeight="1"/>
    <row r="34" ht="36" customHeight="1"/>
    <row r="35" ht="36" customHeight="1"/>
    <row r="36" ht="36" customHeight="1"/>
    <row r="37" ht="36" customHeight="1"/>
    <row r="38" ht="10.4" customHeight="1"/>
  </sheetData>
  <mergeCells count="31">
    <mergeCell ref="A2:B2"/>
    <mergeCell ref="C2:G2"/>
    <mergeCell ref="A5:A6"/>
    <mergeCell ref="B5:B6"/>
    <mergeCell ref="C5:C6"/>
    <mergeCell ref="D5:D6"/>
    <mergeCell ref="E5:E6"/>
    <mergeCell ref="F5:F6"/>
    <mergeCell ref="G5:G6"/>
    <mergeCell ref="AF5:AF6"/>
    <mergeCell ref="R22:T22"/>
    <mergeCell ref="V22:X22"/>
    <mergeCell ref="AA22:AB22"/>
    <mergeCell ref="AC22:AD22"/>
    <mergeCell ref="R5:T6"/>
    <mergeCell ref="U5:U6"/>
    <mergeCell ref="V5:X6"/>
    <mergeCell ref="Y5:Y6"/>
    <mergeCell ref="A24:B24"/>
    <mergeCell ref="A25:B25"/>
    <mergeCell ref="Z5:Z6"/>
    <mergeCell ref="AA5:AD6"/>
    <mergeCell ref="AE5:AE6"/>
    <mergeCell ref="O5:O6"/>
    <mergeCell ref="P5:Q5"/>
    <mergeCell ref="H5:H6"/>
    <mergeCell ref="I5:I6"/>
    <mergeCell ref="J5:J6"/>
    <mergeCell ref="K5:K6"/>
    <mergeCell ref="L5:L6"/>
    <mergeCell ref="M5:M6"/>
  </mergeCells>
  <phoneticPr fontId="2"/>
  <conditionalFormatting sqref="B7:O21">
    <cfRule type="containsBlanks" dxfId="397" priority="1">
      <formula>LEN(TRIM(B7))=0</formula>
    </cfRule>
  </conditionalFormatting>
  <conditionalFormatting sqref="C2:D2">
    <cfRule type="containsBlanks" dxfId="396" priority="2">
      <formula>LEN(TRIM(C2))=0</formula>
    </cfRule>
  </conditionalFormatting>
  <conditionalFormatting sqref="Q7:R21 T7:V21 X7:Z21 AB7:AB21 AD7:AE21">
    <cfRule type="containsBlanks" dxfId="395" priority="3">
      <formula>LEN(TRIM(Q7))=0</formula>
    </cfRule>
  </conditionalFormatting>
  <printOptions horizontalCentered="1"/>
  <pageMargins left="0.31496062992125984" right="0.31496062992125984" top="0.35433070866141736" bottom="0.35433070866141736" header="0.31496062992125984" footer="0.31496062992125984"/>
  <pageSetup paperSize="8" scale="42" orientation="landscape" r:id="rId1"/>
  <legacy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B203-01BF-484F-93CE-CD967C8EDF40}">
  <sheetPr codeName="Sheet361">
    <tabColor rgb="FFFFFF66"/>
    <pageSetUpPr fitToPage="1"/>
  </sheetPr>
  <dimension ref="A1:AE34"/>
  <sheetViews>
    <sheetView topLeftCell="A3"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6270</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46283</v>
      </c>
      <c r="C8" s="4699">
        <v>46298</v>
      </c>
      <c r="D8" s="4759">
        <v>0</v>
      </c>
      <c r="E8" s="4759">
        <v>1</v>
      </c>
      <c r="F8" s="4760">
        <f t="shared" ref="F8:F17" si="1">IF(OR(ISBLANK($B8), ISBLANK($C8)), 0, _xlfn.DAYS($C8, $B8) + 1)</f>
        <v>16</v>
      </c>
      <c r="G8" s="4975" t="s">
        <v>5784</v>
      </c>
      <c r="H8" s="4762">
        <v>1</v>
      </c>
      <c r="I8" s="4763" t="s">
        <v>5784</v>
      </c>
      <c r="J8" s="4764"/>
      <c r="K8" s="4765"/>
      <c r="L8" s="4765"/>
      <c r="M8" s="4765"/>
      <c r="N8" s="4762">
        <v>240000</v>
      </c>
      <c r="O8" s="4766">
        <f t="shared" si="0"/>
        <v>3840000</v>
      </c>
      <c r="P8" s="4857" t="s">
        <v>3804</v>
      </c>
      <c r="Q8" s="4858"/>
      <c r="R8" s="4976" t="s">
        <v>5815</v>
      </c>
      <c r="S8" s="4858" t="s">
        <v>246</v>
      </c>
      <c r="T8" s="4859"/>
      <c r="U8" s="4860"/>
    </row>
    <row r="9" spans="1:31" ht="33.75" customHeight="1">
      <c r="A9" s="4758">
        <v>2</v>
      </c>
      <c r="B9" s="4699">
        <v>46299</v>
      </c>
      <c r="C9" s="4699">
        <v>46299</v>
      </c>
      <c r="D9" s="4759">
        <v>0</v>
      </c>
      <c r="E9" s="4759">
        <v>0.5</v>
      </c>
      <c r="F9" s="4760">
        <f t="shared" si="1"/>
        <v>1</v>
      </c>
      <c r="G9" s="4975" t="s">
        <v>5784</v>
      </c>
      <c r="H9" s="4762">
        <v>1</v>
      </c>
      <c r="I9" s="4763" t="s">
        <v>5784</v>
      </c>
      <c r="J9" s="4764"/>
      <c r="K9" s="4765"/>
      <c r="L9" s="4765"/>
      <c r="M9" s="4765"/>
      <c r="N9" s="4762">
        <v>120000</v>
      </c>
      <c r="O9" s="4766">
        <f t="shared" si="0"/>
        <v>120000</v>
      </c>
      <c r="P9" s="4857" t="s">
        <v>3804</v>
      </c>
      <c r="Q9" s="4858"/>
      <c r="R9" s="4976" t="s">
        <v>5815</v>
      </c>
      <c r="S9" s="4858" t="s">
        <v>246</v>
      </c>
      <c r="T9" s="4859"/>
      <c r="U9" s="4860"/>
      <c r="AC9" s="4657"/>
    </row>
    <row r="10" spans="1:31" ht="33.75" customHeight="1">
      <c r="A10" s="4758">
        <v>3</v>
      </c>
      <c r="B10" s="4816"/>
      <c r="C10" s="4816"/>
      <c r="D10" s="4759"/>
      <c r="E10" s="4759"/>
      <c r="F10" s="4770">
        <f t="shared" si="1"/>
        <v>0</v>
      </c>
      <c r="G10" s="4975"/>
      <c r="H10" s="4762"/>
      <c r="I10" s="4763"/>
      <c r="J10" s="4764"/>
      <c r="K10" s="4765"/>
      <c r="L10" s="4765"/>
      <c r="M10" s="4765"/>
      <c r="N10" s="4762"/>
      <c r="O10" s="4766">
        <f t="shared" si="0"/>
        <v>0</v>
      </c>
      <c r="P10" s="4909"/>
      <c r="Q10" s="4858"/>
      <c r="R10" s="4864"/>
      <c r="S10" s="4858"/>
      <c r="T10" s="4859"/>
      <c r="U10" s="4860"/>
      <c r="AC10" s="4657"/>
    </row>
    <row r="11" spans="1:31" ht="33.75" customHeight="1">
      <c r="A11" s="4758">
        <v>4</v>
      </c>
      <c r="B11" s="4816"/>
      <c r="C11" s="4816"/>
      <c r="D11" s="4759"/>
      <c r="E11" s="4759"/>
      <c r="F11" s="4760">
        <f t="shared" si="1"/>
        <v>0</v>
      </c>
      <c r="G11" s="4771"/>
      <c r="H11" s="4762"/>
      <c r="I11" s="4763"/>
      <c r="J11" s="4764"/>
      <c r="K11" s="4765"/>
      <c r="L11" s="4765"/>
      <c r="M11" s="4765"/>
      <c r="N11" s="4762"/>
      <c r="O11" s="4766">
        <f t="shared" si="0"/>
        <v>0</v>
      </c>
      <c r="P11" s="4857"/>
      <c r="Q11" s="4858"/>
      <c r="R11" s="4859"/>
      <c r="S11" s="4858"/>
      <c r="T11" s="4859"/>
      <c r="U11" s="4860"/>
      <c r="AC11" s="4657"/>
    </row>
    <row r="12" spans="1:31" ht="33.75" customHeight="1">
      <c r="A12" s="4758">
        <v>5</v>
      </c>
      <c r="B12" s="4816"/>
      <c r="C12" s="4816"/>
      <c r="D12" s="4759"/>
      <c r="E12" s="4759"/>
      <c r="F12" s="4760">
        <f t="shared" si="1"/>
        <v>0</v>
      </c>
      <c r="G12" s="4771"/>
      <c r="H12" s="4762"/>
      <c r="I12" s="4763"/>
      <c r="J12" s="4764"/>
      <c r="K12" s="4765"/>
      <c r="L12" s="4765"/>
      <c r="M12" s="4765"/>
      <c r="N12" s="4762"/>
      <c r="O12" s="4766">
        <f t="shared" si="0"/>
        <v>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17</v>
      </c>
      <c r="G18" s="4779"/>
      <c r="H18" s="4781"/>
      <c r="I18" s="4782">
        <f>COUNTA(G8)</f>
        <v>1</v>
      </c>
      <c r="J18" s="4783"/>
      <c r="K18" s="4784"/>
      <c r="L18" s="4784"/>
      <c r="M18" s="4784"/>
      <c r="N18" s="4785"/>
      <c r="O18" s="4922">
        <f>SUM(O8:O17)</f>
        <v>3960000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4356000</v>
      </c>
      <c r="P19" s="4884"/>
      <c r="Q19" s="4885"/>
      <c r="R19" s="4886"/>
      <c r="S19" s="4887"/>
      <c r="T19" s="4886"/>
      <c r="U19" s="4888"/>
      <c r="AC19" s="4657"/>
    </row>
    <row r="20" spans="1:31" ht="33.75" customHeight="1">
      <c r="A20" s="4656"/>
      <c r="B20" s="4660"/>
      <c r="C20" s="4660"/>
      <c r="D20" s="4660"/>
      <c r="G20" s="4660"/>
      <c r="H20" s="4660"/>
      <c r="M20" s="4808" t="s">
        <v>5748</v>
      </c>
      <c r="N20" s="4809">
        <f>SUM(N8)</f>
        <v>240000</v>
      </c>
      <c r="O20" s="4656"/>
      <c r="P20" s="4657"/>
      <c r="Q20" s="4657"/>
      <c r="AC20" s="4657"/>
    </row>
    <row r="21" spans="1:31" ht="32.15" customHeight="1">
      <c r="A21" s="4656"/>
      <c r="B21" s="4660"/>
      <c r="C21" s="4660"/>
      <c r="D21" s="4660"/>
      <c r="G21" s="4660"/>
      <c r="H21" s="4660"/>
      <c r="M21" s="5471" t="s">
        <v>5750</v>
      </c>
      <c r="N21" s="5471">
        <f>N20*1.1</f>
        <v>264000</v>
      </c>
      <c r="O21" s="4656"/>
      <c r="P21" s="4657"/>
      <c r="Q21" s="4657"/>
      <c r="AC21" s="4657"/>
    </row>
    <row r="22" spans="1:31" ht="32.15" customHeight="1">
      <c r="B22" s="4657"/>
      <c r="C22" s="4657"/>
      <c r="D22" s="4657"/>
      <c r="E22" s="4810"/>
      <c r="F22" s="4811"/>
      <c r="G22" s="4657"/>
      <c r="H22" s="4657"/>
      <c r="O22" s="4656"/>
      <c r="P22" s="4657"/>
      <c r="Q22" s="4657"/>
      <c r="AC22" s="4657"/>
    </row>
    <row r="23" spans="1:31" ht="32.15" customHeight="1">
      <c r="A23" s="4812"/>
      <c r="B23" s="4813"/>
      <c r="C23" s="4813"/>
      <c r="D23" s="4813"/>
      <c r="E23" s="4814"/>
      <c r="F23" s="4814"/>
      <c r="G23" s="4813"/>
      <c r="H23" s="4813"/>
      <c r="I23" s="4812"/>
      <c r="J23" s="4812"/>
      <c r="K23" s="4812"/>
      <c r="L23" s="4812"/>
      <c r="M23" s="4812"/>
      <c r="N23" s="4812"/>
      <c r="O23" s="4715"/>
      <c r="P23" s="4715"/>
      <c r="Q23" s="4715"/>
      <c r="R23" s="4656"/>
      <c r="S23" s="4812"/>
      <c r="T23" s="4656"/>
      <c r="U23" s="4812"/>
      <c r="W23" s="6905"/>
      <c r="X23" s="6905"/>
      <c r="Y23" s="6905"/>
      <c r="Z23" s="6905"/>
      <c r="AA23" s="6905"/>
      <c r="AB23" s="6891"/>
      <c r="AC23" s="6891"/>
      <c r="AD23" s="6891"/>
      <c r="AE23" s="6891"/>
    </row>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10.4" customHeight="1">
      <c r="B34" s="4657"/>
      <c r="C34" s="4657"/>
      <c r="D34" s="4657"/>
      <c r="G34" s="4657"/>
      <c r="H34" s="4657"/>
      <c r="O34" s="4656"/>
      <c r="P34" s="4657"/>
      <c r="Q34" s="4657"/>
      <c r="AC34" s="4657"/>
    </row>
  </sheetData>
  <mergeCells count="21">
    <mergeCell ref="A2:B2"/>
    <mergeCell ref="C2:G2"/>
    <mergeCell ref="A5:A6"/>
    <mergeCell ref="B5:B6"/>
    <mergeCell ref="C5:C6"/>
    <mergeCell ref="D5:D6"/>
    <mergeCell ref="E5:E6"/>
    <mergeCell ref="F5:F6"/>
    <mergeCell ref="G5:G6"/>
    <mergeCell ref="AB23:AE23"/>
    <mergeCell ref="H5:H6"/>
    <mergeCell ref="I5:I6"/>
    <mergeCell ref="J5:J6"/>
    <mergeCell ref="K5:K6"/>
    <mergeCell ref="L5:L6"/>
    <mergeCell ref="M5:M6"/>
    <mergeCell ref="N5:N6"/>
    <mergeCell ref="O5:O6"/>
    <mergeCell ref="P5:Q5"/>
    <mergeCell ref="R5:U5"/>
    <mergeCell ref="W23:AA23"/>
  </mergeCells>
  <phoneticPr fontId="2"/>
  <conditionalFormatting sqref="B8:E17">
    <cfRule type="containsBlanks" dxfId="394" priority="1">
      <formula>LEN(TRIM(B8))=0</formula>
    </cfRule>
  </conditionalFormatting>
  <conditionalFormatting sqref="C2:D2">
    <cfRule type="containsBlanks" dxfId="393" priority="2">
      <formula>LEN(TRIM(C2))=0</formula>
    </cfRule>
  </conditionalFormatting>
  <conditionalFormatting sqref="G8:N17">
    <cfRule type="containsBlanks" dxfId="392" priority="3">
      <formula>LEN(TRIM(G8))=0</formula>
    </cfRule>
  </conditionalFormatting>
  <conditionalFormatting sqref="P8:U17">
    <cfRule type="containsBlanks" dxfId="391" priority="4">
      <formula>LEN(TRIM(P8))=0</formula>
    </cfRule>
  </conditionalFormatting>
  <dataValidations count="1">
    <dataValidation type="list" allowBlank="1" showInputMessage="1" showErrorMessage="1" sqref="I7:I17" xr:uid="{466DB816-6F4D-4503-9548-EC8878BEE8FE}">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D3622-317A-4650-8D0E-3C64456FAFF1}">
  <sheetPr codeName="Sheet362">
    <tabColor rgb="FFFFFF66"/>
    <pageSetUpPr fitToPage="1"/>
  </sheetPr>
  <dimension ref="A1:AF72"/>
  <sheetViews>
    <sheetView topLeftCell="A37" zoomScale="55" zoomScaleNormal="55" zoomScaleSheetLayoutView="70" workbookViewId="0">
      <selection activeCell="G61" sqref="G61"/>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3047</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0</v>
      </c>
      <c r="K7" s="4676">
        <v>90</v>
      </c>
      <c r="L7" s="4677">
        <v>9000</v>
      </c>
      <c r="M7" s="4677">
        <v>10000</v>
      </c>
      <c r="N7" s="4969"/>
      <c r="O7" s="4677">
        <v>8000</v>
      </c>
      <c r="P7" s="4678">
        <f t="shared" ref="P7:P25" si="0">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45913</v>
      </c>
      <c r="C8" s="4687">
        <v>45915</v>
      </c>
      <c r="D8" s="4672">
        <f t="shared" ref="D8:D25" si="1">IF(_xlfn.DAYS(C8,B8)=0,"1",_xlfn.DAYS(C8,B8))</f>
        <v>2</v>
      </c>
      <c r="E8" s="4687">
        <v>45934</v>
      </c>
      <c r="F8" s="4698">
        <f t="shared" ref="F8:F25" si="2">IF(_xlfn.DAYS(E8,C8)=0,"1",_xlfn.DAYS(E8,C8))+1</f>
        <v>20</v>
      </c>
      <c r="G8" s="4687">
        <v>45936</v>
      </c>
      <c r="H8" s="4672">
        <f t="shared" ref="H8:H25" si="3">IF(_xlfn.DAYS(G8,E8)=0,"1",_xlfn.DAYS(G8,E8))-1</f>
        <v>1</v>
      </c>
      <c r="I8" s="4691" t="s">
        <v>6275</v>
      </c>
      <c r="J8" s="4692"/>
      <c r="K8" s="4693">
        <v>15</v>
      </c>
      <c r="L8" s="4692">
        <v>23100</v>
      </c>
      <c r="M8" s="4692">
        <v>23100</v>
      </c>
      <c r="N8" s="4971">
        <f>M8*K8</f>
        <v>346500</v>
      </c>
      <c r="O8" s="4692">
        <v>23100</v>
      </c>
      <c r="P8" s="4678">
        <f t="shared" si="0"/>
        <v>345</v>
      </c>
      <c r="Q8" s="4679">
        <f t="shared" ref="Q8:Q25" si="4">(D8*L8+F8*M8+H8*O8)*K8</f>
        <v>7969500</v>
      </c>
      <c r="R8" s="4692">
        <v>22</v>
      </c>
      <c r="S8" s="4680" t="s">
        <v>5742</v>
      </c>
      <c r="T8" s="4694">
        <v>22</v>
      </c>
      <c r="U8" s="4700">
        <v>1</v>
      </c>
      <c r="V8" s="4692">
        <v>140</v>
      </c>
      <c r="W8" s="4680" t="s">
        <v>4521</v>
      </c>
      <c r="X8" s="4695">
        <v>200</v>
      </c>
      <c r="Y8" s="4692">
        <v>1</v>
      </c>
      <c r="Z8" s="4692" t="s">
        <v>5953</v>
      </c>
      <c r="AA8" s="4683" t="s">
        <v>5035</v>
      </c>
      <c r="AB8" s="4692" t="s">
        <v>5741</v>
      </c>
      <c r="AC8" s="4683" t="s">
        <v>5050</v>
      </c>
      <c r="AD8" s="5012" t="s">
        <v>5741</v>
      </c>
      <c r="AE8" s="4696"/>
      <c r="AF8" s="4685">
        <f>U8*K8</f>
        <v>15</v>
      </c>
    </row>
    <row r="9" spans="1:32" ht="33.75" customHeight="1">
      <c r="A9" s="4686">
        <v>2</v>
      </c>
      <c r="B9" s="4687">
        <v>45913</v>
      </c>
      <c r="C9" s="4687">
        <v>45915</v>
      </c>
      <c r="D9" s="4672">
        <f t="shared" si="1"/>
        <v>2</v>
      </c>
      <c r="E9" s="4687">
        <v>45934</v>
      </c>
      <c r="F9" s="4698">
        <f t="shared" si="2"/>
        <v>20</v>
      </c>
      <c r="G9" s="4687">
        <v>45936</v>
      </c>
      <c r="H9" s="4672">
        <f t="shared" si="3"/>
        <v>1</v>
      </c>
      <c r="I9" s="4691" t="s">
        <v>6276</v>
      </c>
      <c r="J9" s="4692"/>
      <c r="K9" s="4693">
        <v>2</v>
      </c>
      <c r="L9" s="4692">
        <v>28600</v>
      </c>
      <c r="M9" s="4692">
        <v>28600</v>
      </c>
      <c r="N9" s="4971">
        <f t="shared" ref="N9:N16" si="5">M9*K9</f>
        <v>57200</v>
      </c>
      <c r="O9" s="4692">
        <v>28600</v>
      </c>
      <c r="P9" s="4678">
        <f t="shared" si="0"/>
        <v>46</v>
      </c>
      <c r="Q9" s="4679">
        <f t="shared" si="4"/>
        <v>1315600</v>
      </c>
      <c r="R9" s="4692">
        <v>33</v>
      </c>
      <c r="S9" s="4680"/>
      <c r="T9" s="4694">
        <v>33</v>
      </c>
      <c r="U9" s="4700">
        <v>2</v>
      </c>
      <c r="V9" s="4692">
        <v>110</v>
      </c>
      <c r="W9" s="4680"/>
      <c r="X9" s="4695">
        <v>200</v>
      </c>
      <c r="Y9" s="4692">
        <v>2</v>
      </c>
      <c r="Z9" s="4692" t="s">
        <v>5953</v>
      </c>
      <c r="AA9" s="4683" t="s">
        <v>5035</v>
      </c>
      <c r="AB9" s="4692" t="s">
        <v>5741</v>
      </c>
      <c r="AC9" s="4683" t="s">
        <v>5050</v>
      </c>
      <c r="AD9" s="5012" t="s">
        <v>5741</v>
      </c>
      <c r="AE9" s="4696"/>
      <c r="AF9" s="4685">
        <f>U9*K9</f>
        <v>4</v>
      </c>
    </row>
    <row r="10" spans="1:32" ht="33.75" customHeight="1">
      <c r="A10" s="4686">
        <v>3</v>
      </c>
      <c r="B10" s="4687">
        <v>45913</v>
      </c>
      <c r="C10" s="4687">
        <v>45915</v>
      </c>
      <c r="D10" s="4672">
        <f t="shared" si="1"/>
        <v>2</v>
      </c>
      <c r="E10" s="4687">
        <v>45934</v>
      </c>
      <c r="F10" s="4698">
        <f t="shared" si="2"/>
        <v>20</v>
      </c>
      <c r="G10" s="4687">
        <v>45936</v>
      </c>
      <c r="H10" s="4672">
        <f t="shared" si="3"/>
        <v>1</v>
      </c>
      <c r="I10" s="4691" t="s">
        <v>6277</v>
      </c>
      <c r="J10" s="4692"/>
      <c r="K10" s="4693">
        <v>1</v>
      </c>
      <c r="L10" s="4692">
        <v>30800</v>
      </c>
      <c r="M10" s="4692">
        <v>30800</v>
      </c>
      <c r="N10" s="4971">
        <f t="shared" si="5"/>
        <v>30800</v>
      </c>
      <c r="O10" s="4692">
        <v>30800</v>
      </c>
      <c r="P10" s="4678">
        <f t="shared" si="0"/>
        <v>23</v>
      </c>
      <c r="Q10" s="4679">
        <f t="shared" si="4"/>
        <v>708400</v>
      </c>
      <c r="R10" s="4692">
        <v>33</v>
      </c>
      <c r="S10" s="4680"/>
      <c r="T10" s="4694">
        <v>33</v>
      </c>
      <c r="U10" s="4700">
        <v>2</v>
      </c>
      <c r="V10" s="4692">
        <v>110</v>
      </c>
      <c r="W10" s="4680"/>
      <c r="X10" s="4695">
        <v>200</v>
      </c>
      <c r="Y10" s="4692">
        <v>2</v>
      </c>
      <c r="Z10" s="4692" t="s">
        <v>5953</v>
      </c>
      <c r="AA10" s="4683" t="s">
        <v>5035</v>
      </c>
      <c r="AB10" s="4692" t="s">
        <v>5741</v>
      </c>
      <c r="AC10" s="4683" t="s">
        <v>5050</v>
      </c>
      <c r="AD10" s="5012" t="s">
        <v>5741</v>
      </c>
      <c r="AE10" s="4696"/>
      <c r="AF10" s="4685">
        <f>U10*K10</f>
        <v>2</v>
      </c>
    </row>
    <row r="11" spans="1:32" ht="33.75" customHeight="1">
      <c r="A11" s="4686">
        <v>4</v>
      </c>
      <c r="B11" s="4687">
        <v>45913</v>
      </c>
      <c r="C11" s="4687">
        <v>45915</v>
      </c>
      <c r="D11" s="4672">
        <f t="shared" si="1"/>
        <v>2</v>
      </c>
      <c r="E11" s="4687">
        <v>45934</v>
      </c>
      <c r="F11" s="4698">
        <f t="shared" si="2"/>
        <v>20</v>
      </c>
      <c r="G11" s="4687">
        <v>45936</v>
      </c>
      <c r="H11" s="4672">
        <f t="shared" si="3"/>
        <v>1</v>
      </c>
      <c r="I11" s="4691" t="s">
        <v>6278</v>
      </c>
      <c r="J11" s="4692"/>
      <c r="K11" s="4693">
        <v>1</v>
      </c>
      <c r="L11" s="4692">
        <v>27500</v>
      </c>
      <c r="M11" s="4692">
        <v>27500</v>
      </c>
      <c r="N11" s="4971">
        <f t="shared" si="5"/>
        <v>27500</v>
      </c>
      <c r="O11" s="4692">
        <v>27500</v>
      </c>
      <c r="P11" s="4678">
        <f t="shared" si="0"/>
        <v>23</v>
      </c>
      <c r="Q11" s="4679">
        <f t="shared" si="4"/>
        <v>632500</v>
      </c>
      <c r="R11" s="4692">
        <v>30</v>
      </c>
      <c r="S11" s="4680"/>
      <c r="T11" s="4694">
        <v>30</v>
      </c>
      <c r="U11" s="4700">
        <v>1</v>
      </c>
      <c r="V11" s="4692">
        <v>180</v>
      </c>
      <c r="W11" s="4680"/>
      <c r="X11" s="4695">
        <v>200</v>
      </c>
      <c r="Y11" s="4692">
        <v>1</v>
      </c>
      <c r="Z11" s="4692" t="s">
        <v>5953</v>
      </c>
      <c r="AA11" s="4683" t="s">
        <v>5035</v>
      </c>
      <c r="AB11" s="4692" t="s">
        <v>5741</v>
      </c>
      <c r="AC11" s="4683" t="s">
        <v>5050</v>
      </c>
      <c r="AD11" s="5012" t="s">
        <v>5741</v>
      </c>
      <c r="AE11" s="4696"/>
      <c r="AF11" s="4685">
        <f>U11*K11</f>
        <v>1</v>
      </c>
    </row>
    <row r="12" spans="1:32" ht="33.75" customHeight="1">
      <c r="A12" s="4686">
        <v>5</v>
      </c>
      <c r="B12" s="4687">
        <v>45913</v>
      </c>
      <c r="C12" s="4687">
        <v>45915</v>
      </c>
      <c r="D12" s="4672">
        <f t="shared" si="1"/>
        <v>2</v>
      </c>
      <c r="E12" s="4687">
        <v>45934</v>
      </c>
      <c r="F12" s="4698">
        <f t="shared" si="2"/>
        <v>20</v>
      </c>
      <c r="G12" s="4687">
        <v>45936</v>
      </c>
      <c r="H12" s="4672">
        <f t="shared" si="3"/>
        <v>1</v>
      </c>
      <c r="I12" s="4691" t="s">
        <v>6279</v>
      </c>
      <c r="J12" s="4692"/>
      <c r="K12" s="4693">
        <v>40</v>
      </c>
      <c r="L12" s="4692">
        <v>28600</v>
      </c>
      <c r="M12" s="4692">
        <v>28600</v>
      </c>
      <c r="N12" s="4971">
        <f t="shared" si="5"/>
        <v>1144000</v>
      </c>
      <c r="O12" s="4692">
        <v>28600</v>
      </c>
      <c r="P12" s="4678">
        <f t="shared" si="0"/>
        <v>920</v>
      </c>
      <c r="Q12" s="4679">
        <f t="shared" si="4"/>
        <v>26312000</v>
      </c>
      <c r="R12" s="4692">
        <v>34</v>
      </c>
      <c r="S12" s="4680"/>
      <c r="T12" s="4694">
        <v>34</v>
      </c>
      <c r="U12" s="4700">
        <v>2</v>
      </c>
      <c r="V12" s="4692">
        <v>110</v>
      </c>
      <c r="W12" s="4680"/>
      <c r="X12" s="4695">
        <v>200</v>
      </c>
      <c r="Y12" s="4692">
        <v>2</v>
      </c>
      <c r="Z12" s="4692" t="s">
        <v>5953</v>
      </c>
      <c r="AA12" s="4683" t="s">
        <v>5035</v>
      </c>
      <c r="AB12" s="4692" t="s">
        <v>5741</v>
      </c>
      <c r="AC12" s="4683" t="s">
        <v>5050</v>
      </c>
      <c r="AD12" s="5012" t="s">
        <v>5741</v>
      </c>
      <c r="AE12" s="4696"/>
      <c r="AF12" s="4685">
        <f>U12*K12</f>
        <v>80</v>
      </c>
    </row>
    <row r="13" spans="1:32" ht="33.75" customHeight="1">
      <c r="A13" s="4686">
        <v>6</v>
      </c>
      <c r="B13" s="4687">
        <v>45913</v>
      </c>
      <c r="C13" s="4687">
        <v>45915</v>
      </c>
      <c r="D13" s="4672">
        <f t="shared" si="1"/>
        <v>2</v>
      </c>
      <c r="E13" s="4687">
        <v>45934</v>
      </c>
      <c r="F13" s="4698">
        <f t="shared" si="2"/>
        <v>20</v>
      </c>
      <c r="G13" s="4687">
        <v>45936</v>
      </c>
      <c r="H13" s="4672">
        <f t="shared" si="3"/>
        <v>1</v>
      </c>
      <c r="I13" s="4691" t="s">
        <v>6280</v>
      </c>
      <c r="J13" s="4692"/>
      <c r="K13" s="4693">
        <v>15</v>
      </c>
      <c r="L13" s="4692">
        <v>27500</v>
      </c>
      <c r="M13" s="4692">
        <v>27500</v>
      </c>
      <c r="N13" s="4971">
        <f t="shared" si="5"/>
        <v>412500</v>
      </c>
      <c r="O13" s="4692">
        <v>27500</v>
      </c>
      <c r="P13" s="4678">
        <f t="shared" si="0"/>
        <v>345</v>
      </c>
      <c r="Q13" s="4679">
        <f t="shared" si="4"/>
        <v>9487500</v>
      </c>
      <c r="R13" s="4692">
        <v>22</v>
      </c>
      <c r="S13" s="4680" t="s">
        <v>5742</v>
      </c>
      <c r="T13" s="4694">
        <v>22</v>
      </c>
      <c r="U13" s="4700">
        <v>2</v>
      </c>
      <c r="V13" s="4692">
        <v>100</v>
      </c>
      <c r="W13" s="4680" t="s">
        <v>4521</v>
      </c>
      <c r="X13" s="4695">
        <v>200</v>
      </c>
      <c r="Y13" s="4692">
        <v>2</v>
      </c>
      <c r="Z13" s="4692" t="s">
        <v>5953</v>
      </c>
      <c r="AA13" s="4683" t="s">
        <v>5035</v>
      </c>
      <c r="AB13" s="4692" t="s">
        <v>5741</v>
      </c>
      <c r="AC13" s="4683" t="s">
        <v>5050</v>
      </c>
      <c r="AD13" s="5012" t="s">
        <v>5741</v>
      </c>
      <c r="AE13" s="4696"/>
      <c r="AF13" s="4685">
        <f t="shared" ref="AF13:AF25" si="6">U13*K13</f>
        <v>30</v>
      </c>
    </row>
    <row r="14" spans="1:32" ht="33.75" customHeight="1">
      <c r="A14" s="4686">
        <v>7</v>
      </c>
      <c r="B14" s="4687">
        <v>45913</v>
      </c>
      <c r="C14" s="4687">
        <v>45915</v>
      </c>
      <c r="D14" s="4672">
        <f t="shared" si="1"/>
        <v>2</v>
      </c>
      <c r="E14" s="4687">
        <v>45934</v>
      </c>
      <c r="F14" s="4698">
        <f t="shared" si="2"/>
        <v>20</v>
      </c>
      <c r="G14" s="4687">
        <v>45936</v>
      </c>
      <c r="H14" s="4672">
        <f t="shared" si="3"/>
        <v>1</v>
      </c>
      <c r="I14" s="4691" t="s">
        <v>6281</v>
      </c>
      <c r="J14" s="4692"/>
      <c r="K14" s="4693">
        <v>2</v>
      </c>
      <c r="L14" s="4692">
        <v>28600</v>
      </c>
      <c r="M14" s="4692">
        <v>28600</v>
      </c>
      <c r="N14" s="4971">
        <f t="shared" si="5"/>
        <v>57200</v>
      </c>
      <c r="O14" s="4692">
        <v>28600</v>
      </c>
      <c r="P14" s="4678">
        <f t="shared" si="0"/>
        <v>46</v>
      </c>
      <c r="Q14" s="4679">
        <f t="shared" si="4"/>
        <v>1315600</v>
      </c>
      <c r="R14" s="4692">
        <v>33</v>
      </c>
      <c r="S14" s="4680" t="s">
        <v>5742</v>
      </c>
      <c r="T14" s="4694">
        <v>33</v>
      </c>
      <c r="U14" s="4700">
        <v>2</v>
      </c>
      <c r="V14" s="4692">
        <v>110</v>
      </c>
      <c r="W14" s="4680" t="s">
        <v>4521</v>
      </c>
      <c r="X14" s="4695">
        <v>200</v>
      </c>
      <c r="Y14" s="4692">
        <v>2</v>
      </c>
      <c r="Z14" s="4692" t="s">
        <v>5953</v>
      </c>
      <c r="AA14" s="4683" t="s">
        <v>5035</v>
      </c>
      <c r="AB14" s="4692" t="s">
        <v>5741</v>
      </c>
      <c r="AC14" s="4683" t="s">
        <v>5050</v>
      </c>
      <c r="AD14" s="5012" t="s">
        <v>5741</v>
      </c>
      <c r="AE14" s="4696"/>
      <c r="AF14" s="4685">
        <f t="shared" si="6"/>
        <v>4</v>
      </c>
    </row>
    <row r="15" spans="1:32" ht="33.75" customHeight="1">
      <c r="A15" s="4686">
        <v>8</v>
      </c>
      <c r="B15" s="4687">
        <v>45913</v>
      </c>
      <c r="C15" s="4687">
        <v>45915</v>
      </c>
      <c r="D15" s="4672">
        <f t="shared" si="1"/>
        <v>2</v>
      </c>
      <c r="E15" s="4687">
        <v>45934</v>
      </c>
      <c r="F15" s="4698">
        <f t="shared" si="2"/>
        <v>20</v>
      </c>
      <c r="G15" s="4687">
        <v>45936</v>
      </c>
      <c r="H15" s="4672">
        <f t="shared" si="3"/>
        <v>1</v>
      </c>
      <c r="I15" s="4691" t="s">
        <v>6282</v>
      </c>
      <c r="J15" s="4692"/>
      <c r="K15" s="4693">
        <v>1</v>
      </c>
      <c r="L15" s="4692">
        <v>30800</v>
      </c>
      <c r="M15" s="4692">
        <v>30800</v>
      </c>
      <c r="N15" s="4971">
        <f t="shared" si="5"/>
        <v>30800</v>
      </c>
      <c r="O15" s="4692">
        <v>30800</v>
      </c>
      <c r="P15" s="4678">
        <f t="shared" si="0"/>
        <v>23</v>
      </c>
      <c r="Q15" s="4679">
        <f t="shared" si="4"/>
        <v>708400</v>
      </c>
      <c r="R15" s="4692">
        <v>33</v>
      </c>
      <c r="S15" s="4680" t="s">
        <v>5742</v>
      </c>
      <c r="T15" s="4694">
        <v>33</v>
      </c>
      <c r="U15" s="4700">
        <v>2</v>
      </c>
      <c r="V15" s="4692">
        <v>110</v>
      </c>
      <c r="W15" s="4680" t="s">
        <v>4521</v>
      </c>
      <c r="X15" s="4695">
        <v>200</v>
      </c>
      <c r="Y15" s="4692">
        <v>2</v>
      </c>
      <c r="Z15" s="4692" t="s">
        <v>5953</v>
      </c>
      <c r="AA15" s="4683" t="s">
        <v>5035</v>
      </c>
      <c r="AB15" s="4692" t="s">
        <v>5741</v>
      </c>
      <c r="AC15" s="4683" t="s">
        <v>5050</v>
      </c>
      <c r="AD15" s="5012" t="s">
        <v>5741</v>
      </c>
      <c r="AE15" s="4696"/>
      <c r="AF15" s="4685">
        <f t="shared" si="6"/>
        <v>2</v>
      </c>
    </row>
    <row r="16" spans="1:32" ht="33.75" customHeight="1">
      <c r="A16" s="4686">
        <v>9</v>
      </c>
      <c r="B16" s="4687">
        <v>45913</v>
      </c>
      <c r="C16" s="4687">
        <v>45915</v>
      </c>
      <c r="D16" s="4672">
        <f t="shared" si="1"/>
        <v>2</v>
      </c>
      <c r="E16" s="4687">
        <v>45934</v>
      </c>
      <c r="F16" s="4698">
        <f t="shared" si="2"/>
        <v>20</v>
      </c>
      <c r="G16" s="4687">
        <v>45936</v>
      </c>
      <c r="H16" s="4672">
        <f t="shared" si="3"/>
        <v>1</v>
      </c>
      <c r="I16" s="4691" t="s">
        <v>6283</v>
      </c>
      <c r="J16" s="4692"/>
      <c r="K16" s="4693">
        <v>1</v>
      </c>
      <c r="L16" s="4692">
        <v>27500</v>
      </c>
      <c r="M16" s="4692">
        <v>27500</v>
      </c>
      <c r="N16" s="4971">
        <f t="shared" si="5"/>
        <v>27500</v>
      </c>
      <c r="O16" s="4692">
        <v>27500</v>
      </c>
      <c r="P16" s="4678">
        <f t="shared" si="0"/>
        <v>23</v>
      </c>
      <c r="Q16" s="4679">
        <f t="shared" si="4"/>
        <v>632500</v>
      </c>
      <c r="R16" s="4692">
        <v>30</v>
      </c>
      <c r="S16" s="4680" t="s">
        <v>5742</v>
      </c>
      <c r="T16" s="4694">
        <v>30</v>
      </c>
      <c r="U16" s="4700">
        <v>1</v>
      </c>
      <c r="V16" s="4692">
        <v>180</v>
      </c>
      <c r="W16" s="4680" t="s">
        <v>4521</v>
      </c>
      <c r="X16" s="4695">
        <v>200</v>
      </c>
      <c r="Y16" s="4692">
        <v>1</v>
      </c>
      <c r="Z16" s="4692" t="s">
        <v>5953</v>
      </c>
      <c r="AA16" s="4683" t="s">
        <v>5035</v>
      </c>
      <c r="AB16" s="4692" t="s">
        <v>5741</v>
      </c>
      <c r="AC16" s="4683" t="s">
        <v>5050</v>
      </c>
      <c r="AD16" s="5012" t="s">
        <v>5741</v>
      </c>
      <c r="AE16" s="4696"/>
      <c r="AF16" s="4685">
        <f t="shared" si="6"/>
        <v>1</v>
      </c>
    </row>
    <row r="17" spans="1:32" ht="33.75" customHeight="1">
      <c r="A17" s="4686"/>
      <c r="B17" s="4687"/>
      <c r="C17" s="4687"/>
      <c r="D17" s="4672" t="str">
        <f t="shared" si="1"/>
        <v>1</v>
      </c>
      <c r="E17" s="4687"/>
      <c r="F17" s="4698">
        <f t="shared" si="2"/>
        <v>2</v>
      </c>
      <c r="G17" s="4687"/>
      <c r="H17" s="4672">
        <f t="shared" si="3"/>
        <v>0</v>
      </c>
      <c r="I17" s="4691"/>
      <c r="J17" s="4692"/>
      <c r="K17" s="4693"/>
      <c r="L17" s="4692"/>
      <c r="M17" s="4692"/>
      <c r="N17" s="4692"/>
      <c r="O17" s="4692"/>
      <c r="P17" s="4678">
        <f t="shared" si="0"/>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c r="B18" s="4687"/>
      <c r="C18" s="4687"/>
      <c r="D18" s="4672" t="str">
        <f t="shared" si="1"/>
        <v>1</v>
      </c>
      <c r="E18" s="4687"/>
      <c r="F18" s="4698">
        <f t="shared" si="2"/>
        <v>2</v>
      </c>
      <c r="G18" s="4687"/>
      <c r="H18" s="4672">
        <f t="shared" si="3"/>
        <v>0</v>
      </c>
      <c r="I18" s="4691"/>
      <c r="J18" s="4692"/>
      <c r="K18" s="4693"/>
      <c r="L18" s="4692"/>
      <c r="M18" s="4692"/>
      <c r="N18" s="4692"/>
      <c r="O18" s="4692"/>
      <c r="P18" s="4678">
        <f t="shared" si="0"/>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c r="B19" s="4687"/>
      <c r="C19" s="4687"/>
      <c r="D19" s="4672" t="str">
        <f t="shared" si="1"/>
        <v>1</v>
      </c>
      <c r="E19" s="4687"/>
      <c r="F19" s="4698">
        <f t="shared" si="2"/>
        <v>2</v>
      </c>
      <c r="G19" s="4687"/>
      <c r="H19" s="4672">
        <f t="shared" si="3"/>
        <v>0</v>
      </c>
      <c r="I19" s="4691"/>
      <c r="J19" s="4692"/>
      <c r="K19" s="4693"/>
      <c r="L19" s="4692"/>
      <c r="M19" s="4692"/>
      <c r="N19" s="4692"/>
      <c r="O19" s="4692"/>
      <c r="P19" s="4678">
        <f t="shared" si="0"/>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c r="B20" s="4687"/>
      <c r="C20" s="4687"/>
      <c r="D20" s="4672" t="str">
        <f t="shared" si="1"/>
        <v>1</v>
      </c>
      <c r="E20" s="4687"/>
      <c r="F20" s="4698">
        <f t="shared" si="2"/>
        <v>2</v>
      </c>
      <c r="G20" s="4687"/>
      <c r="H20" s="4672">
        <f t="shared" si="3"/>
        <v>0</v>
      </c>
      <c r="I20" s="4691"/>
      <c r="J20" s="4692"/>
      <c r="K20" s="4693"/>
      <c r="L20" s="4692"/>
      <c r="M20" s="4692"/>
      <c r="N20" s="4692"/>
      <c r="O20" s="4692"/>
      <c r="P20" s="4678">
        <f t="shared" si="0"/>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c r="B21" s="4687"/>
      <c r="C21" s="4687"/>
      <c r="D21" s="4672" t="str">
        <f t="shared" si="1"/>
        <v>1</v>
      </c>
      <c r="E21" s="4687"/>
      <c r="F21" s="4698">
        <f t="shared" si="2"/>
        <v>2</v>
      </c>
      <c r="G21" s="4687"/>
      <c r="H21" s="4672">
        <f t="shared" si="3"/>
        <v>0</v>
      </c>
      <c r="I21" s="4691"/>
      <c r="J21" s="4692"/>
      <c r="K21" s="4693"/>
      <c r="L21" s="4692"/>
      <c r="M21" s="4692"/>
      <c r="N21" s="4692"/>
      <c r="O21" s="4692"/>
      <c r="P21" s="4678">
        <f t="shared" si="0"/>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c r="A22" s="4686"/>
      <c r="B22" s="4687"/>
      <c r="C22" s="4687"/>
      <c r="D22" s="4672" t="str">
        <f t="shared" si="1"/>
        <v>1</v>
      </c>
      <c r="E22" s="4687"/>
      <c r="F22" s="4698">
        <f t="shared" si="2"/>
        <v>2</v>
      </c>
      <c r="G22" s="4687"/>
      <c r="H22" s="4672">
        <f t="shared" si="3"/>
        <v>0</v>
      </c>
      <c r="I22" s="4691"/>
      <c r="J22" s="4692"/>
      <c r="K22" s="4693"/>
      <c r="L22" s="4692"/>
      <c r="M22" s="4692"/>
      <c r="N22" s="4692"/>
      <c r="O22" s="4692"/>
      <c r="P22" s="4678">
        <f t="shared" si="0"/>
        <v>0</v>
      </c>
      <c r="Q22" s="4679">
        <f t="shared" si="4"/>
        <v>0</v>
      </c>
      <c r="R22" s="4692"/>
      <c r="S22" s="4680" t="s">
        <v>5742</v>
      </c>
      <c r="T22" s="4694"/>
      <c r="U22" s="4700"/>
      <c r="V22" s="4692"/>
      <c r="W22" s="4680" t="s">
        <v>4521</v>
      </c>
      <c r="X22" s="4695"/>
      <c r="Y22" s="4692"/>
      <c r="Z22" s="4692"/>
      <c r="AA22" s="4683" t="s">
        <v>5035</v>
      </c>
      <c r="AB22" s="4692"/>
      <c r="AC22" s="4683" t="s">
        <v>5050</v>
      </c>
      <c r="AD22" s="4692"/>
      <c r="AE22" s="4696"/>
      <c r="AF22" s="4685">
        <f t="shared" si="6"/>
        <v>0</v>
      </c>
    </row>
    <row r="23" spans="1:32" ht="33.75" customHeight="1">
      <c r="A23" s="4686"/>
      <c r="B23" s="4687"/>
      <c r="C23" s="4687"/>
      <c r="D23" s="4672" t="str">
        <f t="shared" si="1"/>
        <v>1</v>
      </c>
      <c r="E23" s="4687"/>
      <c r="F23" s="4698">
        <f t="shared" si="2"/>
        <v>2</v>
      </c>
      <c r="G23" s="4687"/>
      <c r="H23" s="4672">
        <f t="shared" si="3"/>
        <v>0</v>
      </c>
      <c r="I23" s="4691"/>
      <c r="J23" s="4692"/>
      <c r="K23" s="4693"/>
      <c r="L23" s="4692"/>
      <c r="M23" s="4692"/>
      <c r="N23" s="4692"/>
      <c r="O23" s="4692"/>
      <c r="P23" s="4678">
        <f>SUM(D23,F23,H23)*K23</f>
        <v>0</v>
      </c>
      <c r="Q23" s="4679">
        <f t="shared" si="4"/>
        <v>0</v>
      </c>
      <c r="R23" s="4692"/>
      <c r="S23" s="4680" t="s">
        <v>5742</v>
      </c>
      <c r="T23" s="4694"/>
      <c r="U23" s="4700"/>
      <c r="V23" s="4692"/>
      <c r="W23" s="4680" t="s">
        <v>4521</v>
      </c>
      <c r="X23" s="4695"/>
      <c r="Y23" s="4692"/>
      <c r="Z23" s="4692"/>
      <c r="AA23" s="4683" t="s">
        <v>5035</v>
      </c>
      <c r="AB23" s="4692"/>
      <c r="AC23" s="4683" t="s">
        <v>5050</v>
      </c>
      <c r="AD23" s="4692"/>
      <c r="AE23" s="4696"/>
      <c r="AF23" s="4685">
        <f t="shared" si="6"/>
        <v>0</v>
      </c>
    </row>
    <row r="24" spans="1:32" ht="33.75" customHeight="1">
      <c r="A24" s="4686"/>
      <c r="B24" s="4687"/>
      <c r="C24" s="4687"/>
      <c r="D24" s="4672" t="str">
        <f t="shared" si="1"/>
        <v>1</v>
      </c>
      <c r="E24" s="4687"/>
      <c r="F24" s="4698">
        <f t="shared" si="2"/>
        <v>2</v>
      </c>
      <c r="G24" s="4699"/>
      <c r="H24" s="4672">
        <f t="shared" si="3"/>
        <v>0</v>
      </c>
      <c r="I24" s="4691"/>
      <c r="J24" s="4692"/>
      <c r="K24" s="4693"/>
      <c r="L24" s="4692"/>
      <c r="M24" s="4692"/>
      <c r="N24" s="4692"/>
      <c r="O24" s="4692"/>
      <c r="P24" s="4678">
        <f t="shared" si="0"/>
        <v>0</v>
      </c>
      <c r="Q24" s="4679">
        <f t="shared" si="4"/>
        <v>0</v>
      </c>
      <c r="R24" s="4692"/>
      <c r="S24" s="4680" t="s">
        <v>5742</v>
      </c>
      <c r="T24" s="4694"/>
      <c r="U24" s="4700"/>
      <c r="V24" s="4692"/>
      <c r="W24" s="4680" t="s">
        <v>4521</v>
      </c>
      <c r="X24" s="4695"/>
      <c r="Y24" s="4692"/>
      <c r="Z24" s="4692"/>
      <c r="AA24" s="4683" t="s">
        <v>5035</v>
      </c>
      <c r="AB24" s="4692"/>
      <c r="AC24" s="4683" t="s">
        <v>5050</v>
      </c>
      <c r="AD24" s="4692"/>
      <c r="AE24" s="4696"/>
      <c r="AF24" s="4685">
        <f t="shared" si="6"/>
        <v>0</v>
      </c>
    </row>
    <row r="25" spans="1:32" ht="33.75" customHeight="1" thickBot="1">
      <c r="A25" s="4686"/>
      <c r="B25" s="4687"/>
      <c r="C25" s="4687"/>
      <c r="D25" s="4672" t="str">
        <f t="shared" si="1"/>
        <v>1</v>
      </c>
      <c r="E25" s="4687"/>
      <c r="F25" s="4698">
        <f t="shared" si="2"/>
        <v>2</v>
      </c>
      <c r="G25" s="4699"/>
      <c r="H25" s="4672">
        <f t="shared" si="3"/>
        <v>0</v>
      </c>
      <c r="I25" s="4691"/>
      <c r="J25" s="4692"/>
      <c r="K25" s="4693"/>
      <c r="L25" s="4692"/>
      <c r="M25" s="4692"/>
      <c r="N25" s="4692"/>
      <c r="O25" s="4692"/>
      <c r="P25" s="4678">
        <f t="shared" si="0"/>
        <v>0</v>
      </c>
      <c r="Q25" s="4679">
        <f t="shared" si="4"/>
        <v>0</v>
      </c>
      <c r="R25" s="4692"/>
      <c r="S25" s="4680" t="s">
        <v>5739</v>
      </c>
      <c r="T25" s="4694"/>
      <c r="U25" s="4700"/>
      <c r="V25" s="4692"/>
      <c r="W25" s="4680" t="s">
        <v>4521</v>
      </c>
      <c r="X25" s="4695"/>
      <c r="Y25" s="4692"/>
      <c r="Z25" s="4692"/>
      <c r="AA25" s="4683" t="s">
        <v>5035</v>
      </c>
      <c r="AB25" s="4692"/>
      <c r="AC25" s="4683" t="s">
        <v>5050</v>
      </c>
      <c r="AD25" s="4692"/>
      <c r="AE25" s="4696"/>
      <c r="AF25" s="4685">
        <f t="shared" si="6"/>
        <v>0</v>
      </c>
    </row>
    <row r="26" spans="1:32" ht="33.75" customHeight="1" thickTop="1" thickBot="1">
      <c r="A26" s="4701"/>
      <c r="B26" s="4702"/>
      <c r="C26" s="4702"/>
      <c r="D26" s="4702"/>
      <c r="E26" s="4702"/>
      <c r="F26" s="4703"/>
      <c r="G26" s="4704"/>
      <c r="H26" s="4702"/>
      <c r="I26" s="4705" t="s">
        <v>2432</v>
      </c>
      <c r="J26" s="4706">
        <f>SUM(J8:J25)</f>
        <v>0</v>
      </c>
      <c r="K26" s="4707">
        <f>SUM(K8:K25)</f>
        <v>78</v>
      </c>
      <c r="L26" s="4703"/>
      <c r="M26" s="4703"/>
      <c r="N26" s="4703"/>
      <c r="O26" s="4703"/>
      <c r="P26" s="4706">
        <f>SUM(P8:P25)</f>
        <v>1794</v>
      </c>
      <c r="Q26" s="4706">
        <f>SUM(Q8:Q25)</f>
        <v>49082000</v>
      </c>
      <c r="R26" s="6863"/>
      <c r="S26" s="6864"/>
      <c r="T26" s="6865"/>
      <c r="U26" s="4708"/>
      <c r="V26" s="6863"/>
      <c r="W26" s="6864"/>
      <c r="X26" s="6864"/>
      <c r="Y26" s="4708"/>
      <c r="Z26" s="4708"/>
      <c r="AA26" s="6866"/>
      <c r="AB26" s="6867"/>
      <c r="AC26" s="6866"/>
      <c r="AD26" s="6867"/>
      <c r="AE26" s="4709"/>
      <c r="AF26" s="4685">
        <f>SUM(AF7:AF25)</f>
        <v>139</v>
      </c>
    </row>
    <row r="27" spans="1:32" ht="33.75" customHeight="1" thickBot="1">
      <c r="C27" s="4710"/>
      <c r="D27" s="4710"/>
      <c r="E27" s="4710"/>
      <c r="F27" s="4710"/>
      <c r="G27" s="4710"/>
      <c r="H27" s="4710"/>
      <c r="I27" s="4711"/>
      <c r="J27" s="4712"/>
      <c r="K27" s="4710"/>
      <c r="L27" s="4713" t="s">
        <v>5748</v>
      </c>
      <c r="M27" s="4714">
        <f>SUM(N7:N25)</f>
        <v>2134000</v>
      </c>
      <c r="N27" s="4715"/>
      <c r="O27" s="4715"/>
      <c r="P27" s="4715"/>
      <c r="S27" s="4656"/>
      <c r="W27" s="4656"/>
    </row>
    <row r="28" spans="1:32" ht="33.75" customHeight="1">
      <c r="A28" s="6845" t="s">
        <v>5749</v>
      </c>
      <c r="B28" s="6846"/>
      <c r="C28" s="4716">
        <f>P26</f>
        <v>1794</v>
      </c>
      <c r="D28" s="4717"/>
      <c r="F28" s="4718"/>
      <c r="H28" s="4719"/>
      <c r="I28" s="4720"/>
      <c r="K28" s="4659"/>
      <c r="L28" s="4721" t="s">
        <v>6242</v>
      </c>
      <c r="M28" s="4722">
        <f>M27</f>
        <v>2134000</v>
      </c>
      <c r="P28" s="4656"/>
    </row>
    <row r="29" spans="1:32" ht="33.75" customHeight="1">
      <c r="A29" s="6847" t="s">
        <v>5751</v>
      </c>
      <c r="B29" s="6848"/>
      <c r="C29" s="4723">
        <f>Q26</f>
        <v>49082000</v>
      </c>
      <c r="D29" s="4717"/>
      <c r="F29" s="4724"/>
      <c r="H29" s="4719"/>
      <c r="I29" s="4720"/>
      <c r="K29" s="4659"/>
      <c r="P29" s="4656"/>
    </row>
    <row r="30" spans="1:32" ht="33.75" customHeight="1">
      <c r="A30" s="6991" t="s">
        <v>3113</v>
      </c>
      <c r="B30" s="6992"/>
      <c r="C30" s="5371">
        <f>200*C28</f>
        <v>358800</v>
      </c>
      <c r="D30" s="7002" t="s">
        <v>6284</v>
      </c>
      <c r="E30" s="7003"/>
      <c r="F30" s="4724"/>
      <c r="H30" s="4719"/>
      <c r="I30" s="4720"/>
      <c r="K30" s="4659"/>
      <c r="O30" s="4656"/>
      <c r="P30" s="4656"/>
      <c r="Q30" s="4657"/>
    </row>
    <row r="31" spans="1:32" ht="33.75" customHeight="1" thickBot="1">
      <c r="A31" s="6913" t="s">
        <v>5751</v>
      </c>
      <c r="B31" s="6914"/>
      <c r="C31" s="4987">
        <f>C29+C30</f>
        <v>49440800</v>
      </c>
      <c r="D31" s="7002" t="s">
        <v>6285</v>
      </c>
      <c r="E31" s="7003"/>
      <c r="F31" s="4724"/>
      <c r="H31" s="4719"/>
      <c r="I31" s="4720"/>
      <c r="K31" s="4659"/>
      <c r="O31" s="4656"/>
      <c r="P31" s="4656"/>
      <c r="Q31" s="4657"/>
    </row>
    <row r="32" spans="1:32" ht="32.15" customHeight="1">
      <c r="A32" s="4726"/>
      <c r="B32" s="4726"/>
      <c r="C32" s="4726"/>
      <c r="D32" s="4726"/>
      <c r="E32" s="4726"/>
      <c r="F32" s="4726"/>
      <c r="G32" s="4726"/>
      <c r="H32" s="4726"/>
      <c r="I32" s="4727"/>
    </row>
    <row r="33" spans="1:32" ht="33.75" customHeight="1">
      <c r="A33" s="4728" t="s">
        <v>5752</v>
      </c>
      <c r="B33" s="4728"/>
      <c r="C33" s="4729"/>
      <c r="D33" s="4729"/>
      <c r="E33" s="4729"/>
      <c r="F33" s="4729"/>
      <c r="G33" s="4726"/>
      <c r="H33" s="4729"/>
      <c r="I33" s="4720"/>
      <c r="P33" s="4656"/>
    </row>
    <row r="34" spans="1:32" ht="36" customHeight="1">
      <c r="A34" s="4728" t="s">
        <v>5753</v>
      </c>
      <c r="B34" s="4728"/>
    </row>
    <row r="35" spans="1:32" ht="36" customHeight="1">
      <c r="A35" s="4730" t="s">
        <v>5754</v>
      </c>
      <c r="B35" s="4730"/>
    </row>
    <row r="36" spans="1:32" ht="36" customHeight="1">
      <c r="A36" s="4728"/>
      <c r="B36" s="4728"/>
    </row>
    <row r="37" spans="1:32" ht="33.75" customHeight="1" thickBot="1">
      <c r="A37" s="4665" t="s">
        <v>5807</v>
      </c>
      <c r="B37" s="4665"/>
      <c r="P37" s="4656"/>
      <c r="Q37" s="4657"/>
      <c r="R37" s="4656"/>
      <c r="V37" s="4656"/>
      <c r="Y37" s="4656"/>
      <c r="Z37" s="4656"/>
      <c r="AA37" s="4656"/>
      <c r="AB37" s="4656"/>
      <c r="AC37" s="4656"/>
      <c r="AE37" s="4656" t="s">
        <v>5712</v>
      </c>
    </row>
    <row r="38" spans="1:32" s="4666" customFormat="1" ht="33.75" customHeight="1">
      <c r="A38" s="6877" t="s">
        <v>5713</v>
      </c>
      <c r="B38" s="6879" t="s">
        <v>5714</v>
      </c>
      <c r="C38" s="6855" t="s">
        <v>5715</v>
      </c>
      <c r="D38" s="6855" t="s">
        <v>5716</v>
      </c>
      <c r="E38" s="6855" t="s">
        <v>5717</v>
      </c>
      <c r="F38" s="6868" t="s">
        <v>5718</v>
      </c>
      <c r="G38" s="6855" t="s">
        <v>5719</v>
      </c>
      <c r="H38" s="6855" t="s">
        <v>5720</v>
      </c>
      <c r="I38" s="6857" t="s">
        <v>5721</v>
      </c>
      <c r="J38" s="6851" t="s">
        <v>5722</v>
      </c>
      <c r="K38" s="6851" t="s">
        <v>5723</v>
      </c>
      <c r="L38" s="6855" t="s">
        <v>5796</v>
      </c>
      <c r="M38" s="6855" t="s">
        <v>5797</v>
      </c>
      <c r="N38" s="4967" t="s">
        <v>5726</v>
      </c>
      <c r="O38" s="6855" t="s">
        <v>5798</v>
      </c>
      <c r="P38" s="6851" t="s">
        <v>3766</v>
      </c>
      <c r="Q38" s="6853"/>
      <c r="R38" s="6868" t="s">
        <v>5728</v>
      </c>
      <c r="S38" s="6869"/>
      <c r="T38" s="6870"/>
      <c r="U38" s="6855" t="s">
        <v>5729</v>
      </c>
      <c r="V38" s="6869" t="s">
        <v>5730</v>
      </c>
      <c r="W38" s="6869"/>
      <c r="X38" s="6869"/>
      <c r="Y38" s="6868" t="s">
        <v>5731</v>
      </c>
      <c r="Z38" s="6851" t="s">
        <v>5732</v>
      </c>
      <c r="AA38" s="6851" t="s">
        <v>5733</v>
      </c>
      <c r="AB38" s="6853"/>
      <c r="AC38" s="6853"/>
      <c r="AD38" s="6853"/>
      <c r="AE38" s="6860" t="s">
        <v>2792</v>
      </c>
      <c r="AF38" s="6862" t="s">
        <v>5734</v>
      </c>
    </row>
    <row r="39" spans="1:32" s="4666" customFormat="1" ht="20">
      <c r="A39" s="6878"/>
      <c r="B39" s="6880"/>
      <c r="C39" s="6858"/>
      <c r="D39" s="6856"/>
      <c r="E39" s="6856"/>
      <c r="F39" s="6881"/>
      <c r="G39" s="6856"/>
      <c r="H39" s="6856"/>
      <c r="I39" s="6858"/>
      <c r="J39" s="6859"/>
      <c r="K39" s="6859"/>
      <c r="L39" s="6856"/>
      <c r="M39" s="6856"/>
      <c r="N39" s="4968"/>
      <c r="O39" s="6856"/>
      <c r="P39" s="4667" t="s">
        <v>5735</v>
      </c>
      <c r="Q39" s="4668" t="s">
        <v>5736</v>
      </c>
      <c r="R39" s="6871"/>
      <c r="S39" s="6872"/>
      <c r="T39" s="6873"/>
      <c r="U39" s="6856"/>
      <c r="V39" s="6872"/>
      <c r="W39" s="6872"/>
      <c r="X39" s="6872"/>
      <c r="Y39" s="6852"/>
      <c r="Z39" s="6852"/>
      <c r="AA39" s="6852"/>
      <c r="AB39" s="6854"/>
      <c r="AC39" s="6854"/>
      <c r="AD39" s="6854"/>
      <c r="AE39" s="6861"/>
      <c r="AF39" s="6862"/>
    </row>
    <row r="40" spans="1:32" ht="33.75" customHeight="1">
      <c r="A40" s="4669" t="s">
        <v>5737</v>
      </c>
      <c r="B40" s="4670">
        <v>46266</v>
      </c>
      <c r="C40" s="4671">
        <v>46268</v>
      </c>
      <c r="D40" s="4672">
        <f>IF(_xlfn.DAYS(C40,B40)=0,"1",_xlfn.DAYS(C40,B40))</f>
        <v>2</v>
      </c>
      <c r="E40" s="4671">
        <v>46280</v>
      </c>
      <c r="F40" s="4672">
        <f>IF(_xlfn.DAYS(E40,C40)=0,"1",_xlfn.DAYS(E40,C40))+1</f>
        <v>13</v>
      </c>
      <c r="G40" s="4673">
        <v>46282</v>
      </c>
      <c r="H40" s="4672">
        <f>IF(_xlfn.DAYS(G40,E40)=0,"1",_xlfn.DAYS(G40,E40))-1</f>
        <v>1</v>
      </c>
      <c r="I40" s="4674" t="s">
        <v>5738</v>
      </c>
      <c r="J40" s="4675">
        <v>0</v>
      </c>
      <c r="K40" s="4676">
        <v>90</v>
      </c>
      <c r="L40" s="4677">
        <v>9000</v>
      </c>
      <c r="M40" s="4677">
        <v>10000</v>
      </c>
      <c r="N40" s="4969"/>
      <c r="O40" s="4677">
        <v>8000</v>
      </c>
      <c r="P40" s="4678">
        <f t="shared" ref="P40:P57" si="7">SUM(D40,F40,H40)*K40</f>
        <v>1440</v>
      </c>
      <c r="Q40" s="4679">
        <f t="shared" ref="Q40:Q57" si="8">(D40*L40+F40*M40+H40*O40)*K40</f>
        <v>14040000</v>
      </c>
      <c r="R40" s="4675">
        <v>21</v>
      </c>
      <c r="S40" s="4680" t="s">
        <v>5739</v>
      </c>
      <c r="T40" s="4681">
        <v>21</v>
      </c>
      <c r="U40" s="4815">
        <v>1</v>
      </c>
      <c r="V40" s="4675">
        <v>154</v>
      </c>
      <c r="W40" s="4680" t="s">
        <v>4521</v>
      </c>
      <c r="X40" s="4682">
        <v>203</v>
      </c>
      <c r="Y40" s="4675">
        <v>1</v>
      </c>
      <c r="Z40" s="4675" t="s">
        <v>5740</v>
      </c>
      <c r="AA40" s="4683" t="s">
        <v>5035</v>
      </c>
      <c r="AB40" s="4675" t="s">
        <v>2830</v>
      </c>
      <c r="AC40" s="4683" t="s">
        <v>5050</v>
      </c>
      <c r="AD40" s="4675" t="s">
        <v>5741</v>
      </c>
      <c r="AE40" s="4684"/>
      <c r="AF40" s="4685"/>
    </row>
    <row r="41" spans="1:32" ht="33.75" customHeight="1">
      <c r="A41" s="4686">
        <v>1</v>
      </c>
      <c r="B41" s="4687">
        <v>45940</v>
      </c>
      <c r="C41" s="4687">
        <v>45942</v>
      </c>
      <c r="D41" s="4672">
        <f t="shared" ref="D41:D57" si="9">IF(_xlfn.DAYS(C41,B41)=0,"1",_xlfn.DAYS(C41,B41))</f>
        <v>2</v>
      </c>
      <c r="E41" s="4687">
        <v>45954</v>
      </c>
      <c r="F41" s="5245">
        <v>15</v>
      </c>
      <c r="G41" s="4687">
        <v>45956</v>
      </c>
      <c r="H41" s="4672">
        <f t="shared" ref="H41:H57" si="10">IF(_xlfn.DAYS(G41,E41)=0,"1",_xlfn.DAYS(G41,E41))-1</f>
        <v>1</v>
      </c>
      <c r="I41" s="4691" t="s">
        <v>6275</v>
      </c>
      <c r="J41" s="4692"/>
      <c r="K41" s="4693">
        <v>15</v>
      </c>
      <c r="L41" s="4692">
        <v>23100</v>
      </c>
      <c r="M41" s="4692">
        <v>23100</v>
      </c>
      <c r="N41" s="4971">
        <f>M41*K41</f>
        <v>346500</v>
      </c>
      <c r="O41" s="4692">
        <v>23100</v>
      </c>
      <c r="P41" s="4678">
        <f t="shared" si="7"/>
        <v>270</v>
      </c>
      <c r="Q41" s="4679">
        <f>(D41*L41+F41*M41+H41*O41)*K41</f>
        <v>6237000</v>
      </c>
      <c r="R41" s="4692">
        <v>22</v>
      </c>
      <c r="S41" s="4680" t="s">
        <v>5742</v>
      </c>
      <c r="T41" s="4694">
        <v>22</v>
      </c>
      <c r="U41" s="4700">
        <v>1</v>
      </c>
      <c r="V41" s="4692">
        <v>140</v>
      </c>
      <c r="W41" s="4680" t="s">
        <v>4521</v>
      </c>
      <c r="X41" s="4695">
        <v>200</v>
      </c>
      <c r="Y41" s="4692">
        <v>1</v>
      </c>
      <c r="Z41" s="4692" t="s">
        <v>5953</v>
      </c>
      <c r="AA41" s="4683" t="s">
        <v>5035</v>
      </c>
      <c r="AB41" s="4692" t="s">
        <v>5741</v>
      </c>
      <c r="AC41" s="4683" t="s">
        <v>5050</v>
      </c>
      <c r="AD41" s="5012" t="s">
        <v>5741</v>
      </c>
      <c r="AE41" s="4696"/>
      <c r="AF41" s="4685">
        <f>U41*K41</f>
        <v>15</v>
      </c>
    </row>
    <row r="42" spans="1:32" ht="33.75" customHeight="1">
      <c r="A42" s="4686">
        <v>2</v>
      </c>
      <c r="B42" s="4687">
        <v>45940</v>
      </c>
      <c r="C42" s="4687">
        <v>45942</v>
      </c>
      <c r="D42" s="4672">
        <f t="shared" si="9"/>
        <v>2</v>
      </c>
      <c r="E42" s="4687">
        <v>45954</v>
      </c>
      <c r="F42" s="5245">
        <v>15</v>
      </c>
      <c r="G42" s="4687">
        <v>45956</v>
      </c>
      <c r="H42" s="4672">
        <f t="shared" si="10"/>
        <v>1</v>
      </c>
      <c r="I42" s="4691" t="s">
        <v>6276</v>
      </c>
      <c r="J42" s="4692"/>
      <c r="K42" s="4693">
        <v>2</v>
      </c>
      <c r="L42" s="4692">
        <v>28600</v>
      </c>
      <c r="M42" s="4692">
        <v>28600</v>
      </c>
      <c r="N42" s="4971">
        <f t="shared" ref="N42:N48" si="11">M42*K42</f>
        <v>57200</v>
      </c>
      <c r="O42" s="4692">
        <v>28600</v>
      </c>
      <c r="P42" s="4678">
        <f t="shared" si="7"/>
        <v>36</v>
      </c>
      <c r="Q42" s="4679">
        <f t="shared" si="8"/>
        <v>1029600</v>
      </c>
      <c r="R42" s="4692">
        <v>33</v>
      </c>
      <c r="S42" s="4680" t="s">
        <v>5742</v>
      </c>
      <c r="T42" s="4694">
        <v>33</v>
      </c>
      <c r="U42" s="4700">
        <v>2</v>
      </c>
      <c r="V42" s="4692">
        <v>110</v>
      </c>
      <c r="W42" s="4680" t="s">
        <v>4521</v>
      </c>
      <c r="X42" s="4695">
        <v>200</v>
      </c>
      <c r="Y42" s="4692">
        <v>2</v>
      </c>
      <c r="Z42" s="4692" t="s">
        <v>5953</v>
      </c>
      <c r="AA42" s="4683" t="s">
        <v>5035</v>
      </c>
      <c r="AB42" s="4692" t="s">
        <v>5741</v>
      </c>
      <c r="AC42" s="4683" t="s">
        <v>5050</v>
      </c>
      <c r="AD42" s="5012" t="s">
        <v>5741</v>
      </c>
      <c r="AE42" s="4696"/>
      <c r="AF42" s="4685">
        <f>U42*K42</f>
        <v>4</v>
      </c>
    </row>
    <row r="43" spans="1:32" ht="33.75" customHeight="1">
      <c r="A43" s="4686">
        <v>3</v>
      </c>
      <c r="B43" s="4687">
        <v>45940</v>
      </c>
      <c r="C43" s="4687">
        <v>45942</v>
      </c>
      <c r="D43" s="4672">
        <f t="shared" si="9"/>
        <v>2</v>
      </c>
      <c r="E43" s="4687">
        <v>45954</v>
      </c>
      <c r="F43" s="5245">
        <v>15</v>
      </c>
      <c r="G43" s="4687">
        <v>45956</v>
      </c>
      <c r="H43" s="4672">
        <f t="shared" si="10"/>
        <v>1</v>
      </c>
      <c r="I43" s="4691" t="s">
        <v>6277</v>
      </c>
      <c r="J43" s="4692"/>
      <c r="K43" s="4693">
        <v>1</v>
      </c>
      <c r="L43" s="4692">
        <v>30800</v>
      </c>
      <c r="M43" s="4692">
        <v>30800</v>
      </c>
      <c r="N43" s="4971">
        <f t="shared" si="11"/>
        <v>30800</v>
      </c>
      <c r="O43" s="4692">
        <v>30800</v>
      </c>
      <c r="P43" s="4678">
        <f t="shared" si="7"/>
        <v>18</v>
      </c>
      <c r="Q43" s="4679">
        <f t="shared" si="8"/>
        <v>554400</v>
      </c>
      <c r="R43" s="4692">
        <v>33</v>
      </c>
      <c r="S43" s="4680" t="s">
        <v>5742</v>
      </c>
      <c r="T43" s="4694">
        <v>33</v>
      </c>
      <c r="U43" s="4700">
        <v>2</v>
      </c>
      <c r="V43" s="4692">
        <v>110</v>
      </c>
      <c r="W43" s="4680" t="s">
        <v>4521</v>
      </c>
      <c r="X43" s="4695">
        <v>200</v>
      </c>
      <c r="Y43" s="4692">
        <v>2</v>
      </c>
      <c r="Z43" s="4692" t="s">
        <v>5953</v>
      </c>
      <c r="AA43" s="4683" t="s">
        <v>5035</v>
      </c>
      <c r="AB43" s="4692" t="s">
        <v>5741</v>
      </c>
      <c r="AC43" s="4683" t="s">
        <v>5050</v>
      </c>
      <c r="AD43" s="5012" t="s">
        <v>5741</v>
      </c>
      <c r="AE43" s="4696"/>
      <c r="AF43" s="4685">
        <f>U43*K43</f>
        <v>2</v>
      </c>
    </row>
    <row r="44" spans="1:32" ht="33.75" customHeight="1">
      <c r="A44" s="4686">
        <v>4</v>
      </c>
      <c r="B44" s="4687">
        <v>45940</v>
      </c>
      <c r="C44" s="4687">
        <v>45942</v>
      </c>
      <c r="D44" s="4672">
        <f t="shared" si="9"/>
        <v>2</v>
      </c>
      <c r="E44" s="4687">
        <v>45954</v>
      </c>
      <c r="F44" s="5245">
        <v>15</v>
      </c>
      <c r="G44" s="4687">
        <v>45956</v>
      </c>
      <c r="H44" s="4672">
        <f t="shared" si="10"/>
        <v>1</v>
      </c>
      <c r="I44" s="4691" t="s">
        <v>6278</v>
      </c>
      <c r="J44" s="4692"/>
      <c r="K44" s="4693">
        <v>1</v>
      </c>
      <c r="L44" s="4692">
        <v>27500</v>
      </c>
      <c r="M44" s="4692">
        <v>27500</v>
      </c>
      <c r="N44" s="4971">
        <f t="shared" si="11"/>
        <v>27500</v>
      </c>
      <c r="O44" s="4692">
        <v>27500</v>
      </c>
      <c r="P44" s="4678">
        <f t="shared" si="7"/>
        <v>18</v>
      </c>
      <c r="Q44" s="4679">
        <f t="shared" si="8"/>
        <v>495000</v>
      </c>
      <c r="R44" s="4692">
        <v>30</v>
      </c>
      <c r="S44" s="4680" t="s">
        <v>5742</v>
      </c>
      <c r="T44" s="4694">
        <v>30</v>
      </c>
      <c r="U44" s="4700">
        <v>1</v>
      </c>
      <c r="V44" s="4692">
        <v>180</v>
      </c>
      <c r="W44" s="4680" t="s">
        <v>4521</v>
      </c>
      <c r="X44" s="4695">
        <v>200</v>
      </c>
      <c r="Y44" s="4692">
        <v>1</v>
      </c>
      <c r="Z44" s="4692" t="s">
        <v>5953</v>
      </c>
      <c r="AA44" s="4683" t="s">
        <v>5035</v>
      </c>
      <c r="AB44" s="4692" t="s">
        <v>5741</v>
      </c>
      <c r="AC44" s="4683" t="s">
        <v>5050</v>
      </c>
      <c r="AD44" s="5012" t="s">
        <v>5741</v>
      </c>
      <c r="AE44" s="4696"/>
      <c r="AF44" s="4685">
        <f>U44*K44</f>
        <v>1</v>
      </c>
    </row>
    <row r="45" spans="1:32" ht="33.75" customHeight="1">
      <c r="A45" s="4686">
        <v>5</v>
      </c>
      <c r="B45" s="4687">
        <v>45940</v>
      </c>
      <c r="C45" s="4687">
        <v>45942</v>
      </c>
      <c r="D45" s="4672">
        <f t="shared" si="9"/>
        <v>2</v>
      </c>
      <c r="E45" s="4687">
        <v>45954</v>
      </c>
      <c r="F45" s="5245">
        <v>15</v>
      </c>
      <c r="G45" s="4687">
        <v>45956</v>
      </c>
      <c r="H45" s="4672">
        <f t="shared" si="10"/>
        <v>1</v>
      </c>
      <c r="I45" s="4691" t="s">
        <v>6280</v>
      </c>
      <c r="J45" s="4692"/>
      <c r="K45" s="4693">
        <v>15</v>
      </c>
      <c r="L45" s="4692">
        <v>27500</v>
      </c>
      <c r="M45" s="4692">
        <v>27500</v>
      </c>
      <c r="N45" s="4971">
        <f t="shared" si="11"/>
        <v>412500</v>
      </c>
      <c r="O45" s="4692">
        <v>27500</v>
      </c>
      <c r="P45" s="4678">
        <f t="shared" si="7"/>
        <v>270</v>
      </c>
      <c r="Q45" s="4679">
        <f t="shared" si="8"/>
        <v>7425000</v>
      </c>
      <c r="R45" s="4692">
        <v>22</v>
      </c>
      <c r="S45" s="4680" t="s">
        <v>5742</v>
      </c>
      <c r="T45" s="4694">
        <v>22</v>
      </c>
      <c r="U45" s="4700">
        <v>2</v>
      </c>
      <c r="V45" s="4692">
        <v>100</v>
      </c>
      <c r="W45" s="4680" t="s">
        <v>4521</v>
      </c>
      <c r="X45" s="4695">
        <v>200</v>
      </c>
      <c r="Y45" s="4692">
        <v>2</v>
      </c>
      <c r="Z45" s="4692" t="s">
        <v>5953</v>
      </c>
      <c r="AA45" s="4683" t="s">
        <v>5035</v>
      </c>
      <c r="AB45" s="4692" t="s">
        <v>5741</v>
      </c>
      <c r="AC45" s="4683" t="s">
        <v>5050</v>
      </c>
      <c r="AD45" s="5012" t="s">
        <v>5741</v>
      </c>
      <c r="AE45" s="4696"/>
      <c r="AF45" s="4685">
        <f>U45*K45</f>
        <v>30</v>
      </c>
    </row>
    <row r="46" spans="1:32" ht="33.75" customHeight="1">
      <c r="A46" s="4686">
        <v>6</v>
      </c>
      <c r="B46" s="4687">
        <v>45940</v>
      </c>
      <c r="C46" s="4687">
        <v>45942</v>
      </c>
      <c r="D46" s="4672">
        <f t="shared" si="9"/>
        <v>2</v>
      </c>
      <c r="E46" s="4687">
        <v>45954</v>
      </c>
      <c r="F46" s="5245">
        <v>15</v>
      </c>
      <c r="G46" s="4687">
        <v>45956</v>
      </c>
      <c r="H46" s="4672">
        <f t="shared" si="10"/>
        <v>1</v>
      </c>
      <c r="I46" s="4691" t="s">
        <v>6281</v>
      </c>
      <c r="J46" s="4692"/>
      <c r="K46" s="4693">
        <v>2</v>
      </c>
      <c r="L46" s="4692">
        <v>28600</v>
      </c>
      <c r="M46" s="4692">
        <v>28600</v>
      </c>
      <c r="N46" s="4971">
        <f t="shared" si="11"/>
        <v>57200</v>
      </c>
      <c r="O46" s="4692">
        <v>28600</v>
      </c>
      <c r="P46" s="4678">
        <f t="shared" si="7"/>
        <v>36</v>
      </c>
      <c r="Q46" s="4679">
        <f t="shared" si="8"/>
        <v>1029600</v>
      </c>
      <c r="R46" s="4692">
        <v>33</v>
      </c>
      <c r="S46" s="4680" t="s">
        <v>5742</v>
      </c>
      <c r="T46" s="4694">
        <v>33</v>
      </c>
      <c r="U46" s="4700">
        <v>2</v>
      </c>
      <c r="V46" s="4692">
        <v>110</v>
      </c>
      <c r="W46" s="4680" t="s">
        <v>4521</v>
      </c>
      <c r="X46" s="4695">
        <v>200</v>
      </c>
      <c r="Y46" s="4692">
        <v>2</v>
      </c>
      <c r="Z46" s="4692" t="s">
        <v>5953</v>
      </c>
      <c r="AA46" s="4683" t="s">
        <v>5035</v>
      </c>
      <c r="AB46" s="4692" t="s">
        <v>5741</v>
      </c>
      <c r="AC46" s="4683" t="s">
        <v>5050</v>
      </c>
      <c r="AD46" s="5012" t="s">
        <v>5741</v>
      </c>
      <c r="AE46" s="4696"/>
      <c r="AF46" s="4685">
        <f t="shared" ref="AF46:AF57" si="12">U46*K46</f>
        <v>4</v>
      </c>
    </row>
    <row r="47" spans="1:32" ht="33.75" customHeight="1">
      <c r="A47" s="4686">
        <v>7</v>
      </c>
      <c r="B47" s="4687">
        <v>45940</v>
      </c>
      <c r="C47" s="4687">
        <v>45942</v>
      </c>
      <c r="D47" s="4672">
        <f t="shared" si="9"/>
        <v>2</v>
      </c>
      <c r="E47" s="4687">
        <v>45954</v>
      </c>
      <c r="F47" s="5245">
        <v>15</v>
      </c>
      <c r="G47" s="4687">
        <v>45956</v>
      </c>
      <c r="H47" s="4672">
        <f t="shared" si="10"/>
        <v>1</v>
      </c>
      <c r="I47" s="4691" t="s">
        <v>6282</v>
      </c>
      <c r="J47" s="4692"/>
      <c r="K47" s="4693">
        <v>1</v>
      </c>
      <c r="L47" s="4692">
        <v>30800</v>
      </c>
      <c r="M47" s="4692">
        <v>30800</v>
      </c>
      <c r="N47" s="4971">
        <f t="shared" si="11"/>
        <v>30800</v>
      </c>
      <c r="O47" s="4692">
        <v>30800</v>
      </c>
      <c r="P47" s="4678">
        <f t="shared" si="7"/>
        <v>18</v>
      </c>
      <c r="Q47" s="4679">
        <f t="shared" si="8"/>
        <v>554400</v>
      </c>
      <c r="R47" s="4692">
        <v>33</v>
      </c>
      <c r="S47" s="4680" t="s">
        <v>5742</v>
      </c>
      <c r="T47" s="4694">
        <v>33</v>
      </c>
      <c r="U47" s="4700">
        <v>2</v>
      </c>
      <c r="V47" s="4692">
        <v>110</v>
      </c>
      <c r="W47" s="4680" t="s">
        <v>4521</v>
      </c>
      <c r="X47" s="4695">
        <v>200</v>
      </c>
      <c r="Y47" s="4692">
        <v>2</v>
      </c>
      <c r="Z47" s="4692" t="s">
        <v>5953</v>
      </c>
      <c r="AA47" s="4683" t="s">
        <v>5035</v>
      </c>
      <c r="AB47" s="4692" t="s">
        <v>5741</v>
      </c>
      <c r="AC47" s="4683" t="s">
        <v>5050</v>
      </c>
      <c r="AD47" s="5012" t="s">
        <v>5741</v>
      </c>
      <c r="AE47" s="4696"/>
      <c r="AF47" s="4685">
        <f t="shared" si="12"/>
        <v>2</v>
      </c>
    </row>
    <row r="48" spans="1:32" ht="33.75" customHeight="1">
      <c r="A48" s="4686">
        <v>8</v>
      </c>
      <c r="B48" s="4687">
        <v>45940</v>
      </c>
      <c r="C48" s="4687">
        <v>45942</v>
      </c>
      <c r="D48" s="4672">
        <f t="shared" si="9"/>
        <v>2</v>
      </c>
      <c r="E48" s="4687">
        <v>45954</v>
      </c>
      <c r="F48" s="5245">
        <v>15</v>
      </c>
      <c r="G48" s="4687">
        <v>45956</v>
      </c>
      <c r="H48" s="4672">
        <f t="shared" si="10"/>
        <v>1</v>
      </c>
      <c r="I48" s="4691" t="s">
        <v>6283</v>
      </c>
      <c r="J48" s="4692"/>
      <c r="K48" s="4693">
        <v>1</v>
      </c>
      <c r="L48" s="4692">
        <v>27500</v>
      </c>
      <c r="M48" s="4692">
        <v>27500</v>
      </c>
      <c r="N48" s="4971">
        <f t="shared" si="11"/>
        <v>27500</v>
      </c>
      <c r="O48" s="4692">
        <v>27500</v>
      </c>
      <c r="P48" s="4678">
        <f t="shared" si="7"/>
        <v>18</v>
      </c>
      <c r="Q48" s="4679">
        <f t="shared" si="8"/>
        <v>495000</v>
      </c>
      <c r="R48" s="4692">
        <v>30</v>
      </c>
      <c r="S48" s="4680" t="s">
        <v>5742</v>
      </c>
      <c r="T48" s="4694">
        <v>30</v>
      </c>
      <c r="U48" s="4700">
        <v>1</v>
      </c>
      <c r="V48" s="4692">
        <v>180</v>
      </c>
      <c r="W48" s="4680" t="s">
        <v>4521</v>
      </c>
      <c r="X48" s="4695">
        <v>200</v>
      </c>
      <c r="Y48" s="4692">
        <v>1</v>
      </c>
      <c r="Z48" s="4692" t="s">
        <v>5953</v>
      </c>
      <c r="AA48" s="4683" t="s">
        <v>5035</v>
      </c>
      <c r="AB48" s="4692" t="s">
        <v>5741</v>
      </c>
      <c r="AC48" s="4683" t="s">
        <v>5050</v>
      </c>
      <c r="AD48" s="5012" t="s">
        <v>5741</v>
      </c>
      <c r="AE48" s="4696"/>
      <c r="AF48" s="4685">
        <f t="shared" si="12"/>
        <v>1</v>
      </c>
    </row>
    <row r="49" spans="1:32" ht="33.75" customHeight="1">
      <c r="A49" s="4686"/>
      <c r="B49" s="4687"/>
      <c r="C49" s="4687"/>
      <c r="D49" s="4672" t="str">
        <f t="shared" si="9"/>
        <v>1</v>
      </c>
      <c r="E49" s="4687"/>
      <c r="F49" s="4698">
        <f t="shared" ref="F49:F57" si="13">IF(_xlfn.DAYS(E49,C49)=0,"1",_xlfn.DAYS(E49,C49))+1</f>
        <v>2</v>
      </c>
      <c r="G49" s="4687"/>
      <c r="H49" s="4672">
        <f t="shared" si="10"/>
        <v>0</v>
      </c>
      <c r="I49" s="4691"/>
      <c r="J49" s="4692"/>
      <c r="K49" s="4693"/>
      <c r="L49" s="4692"/>
      <c r="M49" s="4692"/>
      <c r="N49" s="4971"/>
      <c r="O49" s="4692"/>
      <c r="P49" s="4678">
        <f t="shared" si="7"/>
        <v>0</v>
      </c>
      <c r="Q49" s="4679">
        <f t="shared" si="8"/>
        <v>0</v>
      </c>
      <c r="R49" s="4692"/>
      <c r="S49" s="4680" t="s">
        <v>5742</v>
      </c>
      <c r="T49" s="4694"/>
      <c r="U49" s="4700"/>
      <c r="V49" s="4692"/>
      <c r="W49" s="4680" t="s">
        <v>4521</v>
      </c>
      <c r="X49" s="4695"/>
      <c r="Y49" s="4692"/>
      <c r="Z49" s="4692"/>
      <c r="AA49" s="4683" t="s">
        <v>5035</v>
      </c>
      <c r="AB49" s="4692"/>
      <c r="AC49" s="4683" t="s">
        <v>5050</v>
      </c>
      <c r="AD49" s="4692"/>
      <c r="AE49" s="4696"/>
      <c r="AF49" s="4685">
        <f t="shared" si="12"/>
        <v>0</v>
      </c>
    </row>
    <row r="50" spans="1:32" ht="33.75" customHeight="1">
      <c r="A50" s="4686"/>
      <c r="B50" s="4687"/>
      <c r="C50" s="4687"/>
      <c r="D50" s="4672" t="str">
        <f t="shared" si="9"/>
        <v>1</v>
      </c>
      <c r="E50" s="4687"/>
      <c r="F50" s="4698">
        <f t="shared" si="13"/>
        <v>2</v>
      </c>
      <c r="G50" s="4687"/>
      <c r="H50" s="4672">
        <f t="shared" si="10"/>
        <v>0</v>
      </c>
      <c r="I50" s="4691"/>
      <c r="J50" s="4692"/>
      <c r="K50" s="4693"/>
      <c r="L50" s="4692"/>
      <c r="M50" s="4692"/>
      <c r="N50" s="4692"/>
      <c r="O50" s="4692"/>
      <c r="P50" s="4678">
        <f t="shared" si="7"/>
        <v>0</v>
      </c>
      <c r="Q50" s="4679">
        <f t="shared" si="8"/>
        <v>0</v>
      </c>
      <c r="R50" s="4692"/>
      <c r="S50" s="4680" t="s">
        <v>5742</v>
      </c>
      <c r="T50" s="4694"/>
      <c r="U50" s="4700"/>
      <c r="V50" s="4692"/>
      <c r="W50" s="4680" t="s">
        <v>4521</v>
      </c>
      <c r="X50" s="4695"/>
      <c r="Y50" s="4692"/>
      <c r="Z50" s="4692"/>
      <c r="AA50" s="4683" t="s">
        <v>5035</v>
      </c>
      <c r="AB50" s="4692"/>
      <c r="AC50" s="4683" t="s">
        <v>5050</v>
      </c>
      <c r="AD50" s="4692"/>
      <c r="AE50" s="4696"/>
      <c r="AF50" s="4685">
        <f t="shared" si="12"/>
        <v>0</v>
      </c>
    </row>
    <row r="51" spans="1:32" ht="33.75" customHeight="1">
      <c r="A51" s="4686"/>
      <c r="B51" s="4687"/>
      <c r="C51" s="4687"/>
      <c r="D51" s="4672" t="str">
        <f t="shared" si="9"/>
        <v>1</v>
      </c>
      <c r="E51" s="4687"/>
      <c r="F51" s="4698">
        <f t="shared" si="13"/>
        <v>2</v>
      </c>
      <c r="G51" s="4687"/>
      <c r="H51" s="4672">
        <f t="shared" si="10"/>
        <v>0</v>
      </c>
      <c r="I51" s="4691"/>
      <c r="J51" s="4692"/>
      <c r="K51" s="4693"/>
      <c r="L51" s="4692"/>
      <c r="M51" s="4692"/>
      <c r="N51" s="4692"/>
      <c r="O51" s="4692"/>
      <c r="P51" s="4678">
        <f t="shared" si="7"/>
        <v>0</v>
      </c>
      <c r="Q51" s="4679">
        <f t="shared" si="8"/>
        <v>0</v>
      </c>
      <c r="R51" s="4692"/>
      <c r="S51" s="4680" t="s">
        <v>5742</v>
      </c>
      <c r="T51" s="4694"/>
      <c r="U51" s="4700"/>
      <c r="V51" s="4692"/>
      <c r="W51" s="4680" t="s">
        <v>4521</v>
      </c>
      <c r="X51" s="4695"/>
      <c r="Y51" s="4692"/>
      <c r="Z51" s="4692"/>
      <c r="AA51" s="4683" t="s">
        <v>5035</v>
      </c>
      <c r="AB51" s="4692"/>
      <c r="AC51" s="4683" t="s">
        <v>5050</v>
      </c>
      <c r="AD51" s="4692"/>
      <c r="AE51" s="4696"/>
      <c r="AF51" s="4685">
        <f t="shared" si="12"/>
        <v>0</v>
      </c>
    </row>
    <row r="52" spans="1:32" ht="33.75" customHeight="1">
      <c r="A52" s="4686"/>
      <c r="B52" s="4687"/>
      <c r="C52" s="4687"/>
      <c r="D52" s="4672" t="str">
        <f t="shared" si="9"/>
        <v>1</v>
      </c>
      <c r="E52" s="4687"/>
      <c r="F52" s="4698">
        <f t="shared" si="13"/>
        <v>2</v>
      </c>
      <c r="G52" s="4687"/>
      <c r="H52" s="4672">
        <f t="shared" si="10"/>
        <v>0</v>
      </c>
      <c r="I52" s="4691"/>
      <c r="J52" s="4692"/>
      <c r="K52" s="4693"/>
      <c r="L52" s="4692"/>
      <c r="M52" s="4692"/>
      <c r="N52" s="4692"/>
      <c r="O52" s="4692"/>
      <c r="P52" s="4678">
        <f t="shared" si="7"/>
        <v>0</v>
      </c>
      <c r="Q52" s="4679">
        <f t="shared" si="8"/>
        <v>0</v>
      </c>
      <c r="R52" s="4692"/>
      <c r="S52" s="4680" t="s">
        <v>5742</v>
      </c>
      <c r="T52" s="4694"/>
      <c r="U52" s="4700"/>
      <c r="V52" s="4692"/>
      <c r="W52" s="4680" t="s">
        <v>4521</v>
      </c>
      <c r="X52" s="4695"/>
      <c r="Y52" s="4692"/>
      <c r="Z52" s="4692"/>
      <c r="AA52" s="4683" t="s">
        <v>5035</v>
      </c>
      <c r="AB52" s="4692"/>
      <c r="AC52" s="4683" t="s">
        <v>5050</v>
      </c>
      <c r="AD52" s="4692"/>
      <c r="AE52" s="4696"/>
      <c r="AF52" s="4685">
        <f t="shared" si="12"/>
        <v>0</v>
      </c>
    </row>
    <row r="53" spans="1:32" ht="33.75" customHeight="1">
      <c r="A53" s="4686"/>
      <c r="B53" s="4687"/>
      <c r="C53" s="4687"/>
      <c r="D53" s="4672" t="str">
        <f t="shared" si="9"/>
        <v>1</v>
      </c>
      <c r="E53" s="4687"/>
      <c r="F53" s="4698">
        <f t="shared" si="13"/>
        <v>2</v>
      </c>
      <c r="G53" s="4687"/>
      <c r="H53" s="4672">
        <f t="shared" si="10"/>
        <v>0</v>
      </c>
      <c r="I53" s="4691"/>
      <c r="J53" s="4692"/>
      <c r="K53" s="4693"/>
      <c r="L53" s="4692"/>
      <c r="M53" s="4692"/>
      <c r="N53" s="4692"/>
      <c r="O53" s="4692"/>
      <c r="P53" s="4678">
        <f t="shared" si="7"/>
        <v>0</v>
      </c>
      <c r="Q53" s="4679">
        <f t="shared" si="8"/>
        <v>0</v>
      </c>
      <c r="R53" s="4692"/>
      <c r="S53" s="4680" t="s">
        <v>5742</v>
      </c>
      <c r="T53" s="4694"/>
      <c r="U53" s="4700"/>
      <c r="V53" s="4692"/>
      <c r="W53" s="4680" t="s">
        <v>4521</v>
      </c>
      <c r="X53" s="4695"/>
      <c r="Y53" s="4692"/>
      <c r="Z53" s="4692"/>
      <c r="AA53" s="4683" t="s">
        <v>5035</v>
      </c>
      <c r="AB53" s="4692"/>
      <c r="AC53" s="4683" t="s">
        <v>5050</v>
      </c>
      <c r="AD53" s="4692"/>
      <c r="AE53" s="4696"/>
      <c r="AF53" s="4685">
        <f t="shared" si="12"/>
        <v>0</v>
      </c>
    </row>
    <row r="54" spans="1:32" ht="33.75" customHeight="1">
      <c r="A54" s="4686"/>
      <c r="B54" s="4687"/>
      <c r="C54" s="4687"/>
      <c r="D54" s="4672" t="str">
        <f t="shared" si="9"/>
        <v>1</v>
      </c>
      <c r="E54" s="4687"/>
      <c r="F54" s="4698">
        <f t="shared" si="13"/>
        <v>2</v>
      </c>
      <c r="G54" s="4687"/>
      <c r="H54" s="4672">
        <f t="shared" si="10"/>
        <v>0</v>
      </c>
      <c r="I54" s="4691"/>
      <c r="J54" s="4692"/>
      <c r="K54" s="4693"/>
      <c r="L54" s="4692"/>
      <c r="M54" s="4692"/>
      <c r="N54" s="4692"/>
      <c r="O54" s="4692"/>
      <c r="P54" s="4678">
        <f t="shared" si="7"/>
        <v>0</v>
      </c>
      <c r="Q54" s="4679">
        <f t="shared" si="8"/>
        <v>0</v>
      </c>
      <c r="R54" s="4692"/>
      <c r="S54" s="4680" t="s">
        <v>5742</v>
      </c>
      <c r="T54" s="4694"/>
      <c r="U54" s="4700"/>
      <c r="V54" s="4692"/>
      <c r="W54" s="4680" t="s">
        <v>4521</v>
      </c>
      <c r="X54" s="4695"/>
      <c r="Y54" s="4692"/>
      <c r="Z54" s="4692"/>
      <c r="AA54" s="4683" t="s">
        <v>5035</v>
      </c>
      <c r="AB54" s="4692"/>
      <c r="AC54" s="4683" t="s">
        <v>5050</v>
      </c>
      <c r="AD54" s="4692"/>
      <c r="AE54" s="4696"/>
      <c r="AF54" s="4685">
        <f t="shared" si="12"/>
        <v>0</v>
      </c>
    </row>
    <row r="55" spans="1:32" ht="33.75" customHeight="1">
      <c r="A55" s="4686"/>
      <c r="B55" s="4687"/>
      <c r="C55" s="4687"/>
      <c r="D55" s="4672" t="str">
        <f t="shared" si="9"/>
        <v>1</v>
      </c>
      <c r="E55" s="4687"/>
      <c r="F55" s="4698">
        <f t="shared" si="13"/>
        <v>2</v>
      </c>
      <c r="G55" s="4687"/>
      <c r="H55" s="4672">
        <f t="shared" si="10"/>
        <v>0</v>
      </c>
      <c r="I55" s="4691"/>
      <c r="J55" s="4692"/>
      <c r="K55" s="4693"/>
      <c r="L55" s="4692"/>
      <c r="M55" s="4692"/>
      <c r="N55" s="4692"/>
      <c r="O55" s="4692"/>
      <c r="P55" s="4678">
        <f t="shared" si="7"/>
        <v>0</v>
      </c>
      <c r="Q55" s="4679">
        <f t="shared" si="8"/>
        <v>0</v>
      </c>
      <c r="R55" s="4692"/>
      <c r="S55" s="4680" t="s">
        <v>5742</v>
      </c>
      <c r="T55" s="4694"/>
      <c r="U55" s="4700"/>
      <c r="V55" s="4692"/>
      <c r="W55" s="4680" t="s">
        <v>4521</v>
      </c>
      <c r="X55" s="4695"/>
      <c r="Y55" s="4692"/>
      <c r="Z55" s="4692"/>
      <c r="AA55" s="4683" t="s">
        <v>5035</v>
      </c>
      <c r="AB55" s="4692"/>
      <c r="AC55" s="4683" t="s">
        <v>5050</v>
      </c>
      <c r="AD55" s="4692"/>
      <c r="AE55" s="4696"/>
      <c r="AF55" s="4685">
        <f t="shared" si="12"/>
        <v>0</v>
      </c>
    </row>
    <row r="56" spans="1:32" ht="33.75" customHeight="1">
      <c r="A56" s="4686"/>
      <c r="B56" s="4687"/>
      <c r="C56" s="4687"/>
      <c r="D56" s="4672" t="str">
        <f t="shared" si="9"/>
        <v>1</v>
      </c>
      <c r="E56" s="4687"/>
      <c r="F56" s="4698">
        <f t="shared" si="13"/>
        <v>2</v>
      </c>
      <c r="G56" s="4699"/>
      <c r="H56" s="4672">
        <f t="shared" si="10"/>
        <v>0</v>
      </c>
      <c r="I56" s="4691"/>
      <c r="J56" s="4692"/>
      <c r="K56" s="4693"/>
      <c r="L56" s="4692"/>
      <c r="M56" s="4692"/>
      <c r="N56" s="4692"/>
      <c r="O56" s="4692"/>
      <c r="P56" s="4678">
        <f t="shared" si="7"/>
        <v>0</v>
      </c>
      <c r="Q56" s="4679">
        <f t="shared" si="8"/>
        <v>0</v>
      </c>
      <c r="R56" s="4692"/>
      <c r="S56" s="4680" t="s">
        <v>5742</v>
      </c>
      <c r="T56" s="4694"/>
      <c r="U56" s="4700"/>
      <c r="V56" s="4692"/>
      <c r="W56" s="4680" t="s">
        <v>4521</v>
      </c>
      <c r="X56" s="4695"/>
      <c r="Y56" s="4692"/>
      <c r="Z56" s="4692"/>
      <c r="AA56" s="4683" t="s">
        <v>5035</v>
      </c>
      <c r="AB56" s="4692"/>
      <c r="AC56" s="4683" t="s">
        <v>5050</v>
      </c>
      <c r="AD56" s="4692"/>
      <c r="AE56" s="4696"/>
      <c r="AF56" s="4685">
        <f t="shared" si="12"/>
        <v>0</v>
      </c>
    </row>
    <row r="57" spans="1:32" ht="33.75" customHeight="1" thickBot="1">
      <c r="A57" s="4686"/>
      <c r="B57" s="4687"/>
      <c r="C57" s="4687"/>
      <c r="D57" s="4672" t="str">
        <f t="shared" si="9"/>
        <v>1</v>
      </c>
      <c r="E57" s="4687"/>
      <c r="F57" s="4698">
        <f t="shared" si="13"/>
        <v>2</v>
      </c>
      <c r="G57" s="4699"/>
      <c r="H57" s="4672">
        <f t="shared" si="10"/>
        <v>0</v>
      </c>
      <c r="I57" s="4691"/>
      <c r="J57" s="4692"/>
      <c r="K57" s="4693"/>
      <c r="L57" s="4692"/>
      <c r="M57" s="4692"/>
      <c r="N57" s="4692"/>
      <c r="O57" s="4692"/>
      <c r="P57" s="4678">
        <f t="shared" si="7"/>
        <v>0</v>
      </c>
      <c r="Q57" s="4679">
        <f t="shared" si="8"/>
        <v>0</v>
      </c>
      <c r="R57" s="4692"/>
      <c r="S57" s="4680" t="s">
        <v>5739</v>
      </c>
      <c r="T57" s="4694"/>
      <c r="U57" s="4700"/>
      <c r="V57" s="4692"/>
      <c r="W57" s="4680" t="s">
        <v>4521</v>
      </c>
      <c r="X57" s="4695"/>
      <c r="Y57" s="4692"/>
      <c r="Z57" s="4692"/>
      <c r="AA57" s="4683" t="s">
        <v>5035</v>
      </c>
      <c r="AB57" s="4692"/>
      <c r="AC57" s="4683" t="s">
        <v>5050</v>
      </c>
      <c r="AD57" s="4692"/>
      <c r="AE57" s="4696"/>
      <c r="AF57" s="4685">
        <f t="shared" si="12"/>
        <v>0</v>
      </c>
    </row>
    <row r="58" spans="1:32" ht="33.75" customHeight="1" thickTop="1" thickBot="1">
      <c r="A58" s="4701"/>
      <c r="B58" s="4702"/>
      <c r="C58" s="4702"/>
      <c r="D58" s="4702"/>
      <c r="E58" s="4702"/>
      <c r="F58" s="4703"/>
      <c r="G58" s="4704"/>
      <c r="H58" s="4702"/>
      <c r="I58" s="4705" t="s">
        <v>2432</v>
      </c>
      <c r="J58" s="4706">
        <f>SUM(J41:J57)</f>
        <v>0</v>
      </c>
      <c r="K58" s="4707">
        <f>SUM(K41:K57)</f>
        <v>38</v>
      </c>
      <c r="L58" s="4703"/>
      <c r="M58" s="4703"/>
      <c r="N58" s="4703"/>
      <c r="O58" s="4703"/>
      <c r="P58" s="4706">
        <f>SUM(P41:P57)</f>
        <v>684</v>
      </c>
      <c r="Q58" s="4706">
        <f>SUM(Q41:Q57)</f>
        <v>17820000</v>
      </c>
      <c r="R58" s="6863"/>
      <c r="S58" s="6864"/>
      <c r="T58" s="6865"/>
      <c r="U58" s="4708"/>
      <c r="V58" s="6863"/>
      <c r="W58" s="6864"/>
      <c r="X58" s="6864"/>
      <c r="Y58" s="4708"/>
      <c r="Z58" s="4708"/>
      <c r="AA58" s="6866"/>
      <c r="AB58" s="6867"/>
      <c r="AC58" s="6866"/>
      <c r="AD58" s="6867"/>
      <c r="AE58" s="4709"/>
      <c r="AF58" s="4685">
        <f>SUM(AF40:AF57)</f>
        <v>59</v>
      </c>
    </row>
    <row r="59" spans="1:32" ht="33.75" customHeight="1" thickBot="1">
      <c r="C59" s="4710"/>
      <c r="D59" s="4710"/>
      <c r="E59" s="4710"/>
      <c r="F59" s="4710"/>
      <c r="G59" s="4710"/>
      <c r="H59" s="4710"/>
      <c r="I59" s="4711"/>
      <c r="J59" s="4712"/>
      <c r="K59" s="4710"/>
      <c r="L59" s="4713" t="s">
        <v>5748</v>
      </c>
      <c r="M59" s="4714">
        <f>SUM(N40:N57)</f>
        <v>990000</v>
      </c>
      <c r="N59" s="4715"/>
      <c r="O59" s="4715"/>
      <c r="P59" s="4656"/>
      <c r="Q59" s="4657"/>
      <c r="R59" s="4656"/>
      <c r="V59" s="4656"/>
    </row>
    <row r="60" spans="1:32" ht="33.75" customHeight="1">
      <c r="A60" s="6845" t="s">
        <v>5749</v>
      </c>
      <c r="B60" s="6846"/>
      <c r="C60" s="4716">
        <f>P58</f>
        <v>684</v>
      </c>
      <c r="D60" s="4717"/>
      <c r="F60" s="4718"/>
      <c r="H60" s="4719"/>
      <c r="I60" s="4720"/>
      <c r="K60" s="4659"/>
      <c r="L60" s="4721" t="s">
        <v>6242</v>
      </c>
      <c r="M60" s="4722">
        <f>M59</f>
        <v>990000</v>
      </c>
      <c r="O60" s="4656"/>
      <c r="P60" s="4656"/>
      <c r="Q60" s="4657"/>
    </row>
    <row r="61" spans="1:32" ht="33.75" customHeight="1">
      <c r="A61" s="6847" t="s">
        <v>5751</v>
      </c>
      <c r="B61" s="6848"/>
      <c r="C61" s="4723">
        <f>Q58</f>
        <v>17820000</v>
      </c>
      <c r="D61" s="4717"/>
      <c r="F61" s="4724"/>
      <c r="H61" s="4719"/>
      <c r="I61" s="4720"/>
      <c r="K61" s="4659"/>
      <c r="O61" s="4656"/>
      <c r="P61" s="4656"/>
      <c r="Q61" s="4657"/>
    </row>
    <row r="62" spans="1:32" ht="33.75" customHeight="1">
      <c r="A62" s="6991" t="s">
        <v>3113</v>
      </c>
      <c r="B62" s="6992"/>
      <c r="C62" s="5371">
        <f>200*C60</f>
        <v>136800</v>
      </c>
      <c r="D62" s="7002" t="s">
        <v>6284</v>
      </c>
      <c r="E62" s="7003"/>
      <c r="F62" s="4724"/>
      <c r="H62" s="4719"/>
      <c r="I62" s="4720"/>
      <c r="K62" s="4659"/>
      <c r="O62" s="4656"/>
      <c r="P62" s="4656"/>
      <c r="Q62" s="4657"/>
    </row>
    <row r="63" spans="1:32" ht="33.75" customHeight="1" thickBot="1">
      <c r="A63" s="6913" t="s">
        <v>5751</v>
      </c>
      <c r="B63" s="6914"/>
      <c r="C63" s="4987">
        <f>C61+C62</f>
        <v>17956800</v>
      </c>
      <c r="D63" s="7002" t="s">
        <v>6285</v>
      </c>
      <c r="E63" s="7003"/>
      <c r="F63" s="4724"/>
      <c r="H63" s="4719"/>
      <c r="I63" s="4720"/>
      <c r="K63" s="4659"/>
      <c r="O63" s="4656"/>
      <c r="P63" s="4656"/>
      <c r="Q63" s="4657"/>
    </row>
    <row r="64" spans="1:32" ht="32.15" customHeight="1">
      <c r="A64" s="4726"/>
      <c r="B64" s="4726"/>
      <c r="C64" s="4726"/>
      <c r="D64" s="4726"/>
      <c r="E64" s="4726"/>
      <c r="F64" s="4726"/>
      <c r="G64" s="4726"/>
      <c r="H64" s="4726"/>
      <c r="I64" s="4727"/>
      <c r="P64" s="4656"/>
      <c r="Q64" s="4657"/>
    </row>
    <row r="65" ht="36" customHeight="1"/>
    <row r="66" ht="36" customHeight="1"/>
    <row r="67" ht="36" customHeight="1"/>
    <row r="68" ht="36" customHeight="1"/>
    <row r="69" ht="36" customHeight="1"/>
    <row r="70" ht="36" customHeight="1"/>
    <row r="71" ht="36" customHeight="1"/>
    <row r="72" ht="10.4" customHeight="1"/>
  </sheetData>
  <mergeCells count="68">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O5:O6"/>
    <mergeCell ref="P5:Q5"/>
    <mergeCell ref="R5:T6"/>
    <mergeCell ref="U5:U6"/>
    <mergeCell ref="V5:X6"/>
    <mergeCell ref="Z5:Z6"/>
    <mergeCell ref="AA5:AD6"/>
    <mergeCell ref="AE5:AE6"/>
    <mergeCell ref="AF5:AF6"/>
    <mergeCell ref="R26:T26"/>
    <mergeCell ref="V26:X26"/>
    <mergeCell ref="AA26:AB26"/>
    <mergeCell ref="AC26:AD26"/>
    <mergeCell ref="Y5:Y6"/>
    <mergeCell ref="A28:B28"/>
    <mergeCell ref="A29:B29"/>
    <mergeCell ref="A30:B30"/>
    <mergeCell ref="D30:E30"/>
    <mergeCell ref="A31:B31"/>
    <mergeCell ref="D31:E31"/>
    <mergeCell ref="L38:L39"/>
    <mergeCell ref="A38:A39"/>
    <mergeCell ref="B38:B39"/>
    <mergeCell ref="C38:C39"/>
    <mergeCell ref="D38:D39"/>
    <mergeCell ref="E38:E39"/>
    <mergeCell ref="F38:F39"/>
    <mergeCell ref="G38:G39"/>
    <mergeCell ref="H38:H39"/>
    <mergeCell ref="I38:I39"/>
    <mergeCell ref="J38:J39"/>
    <mergeCell ref="K38:K39"/>
    <mergeCell ref="U38:U39"/>
    <mergeCell ref="V38:X39"/>
    <mergeCell ref="Y38:Y39"/>
    <mergeCell ref="Z38:Z39"/>
    <mergeCell ref="AA38:AD39"/>
    <mergeCell ref="A63:B63"/>
    <mergeCell ref="D63:E63"/>
    <mergeCell ref="AE38:AE39"/>
    <mergeCell ref="AF38:AF39"/>
    <mergeCell ref="A60:B60"/>
    <mergeCell ref="A61:B61"/>
    <mergeCell ref="A62:B62"/>
    <mergeCell ref="D62:E62"/>
    <mergeCell ref="R58:T58"/>
    <mergeCell ref="V58:X58"/>
    <mergeCell ref="AA58:AB58"/>
    <mergeCell ref="AC58:AD58"/>
    <mergeCell ref="M38:M39"/>
    <mergeCell ref="O38:O39"/>
    <mergeCell ref="P38:Q38"/>
    <mergeCell ref="R38:T39"/>
  </mergeCells>
  <phoneticPr fontId="2"/>
  <conditionalFormatting sqref="C2:D2 H40:M41 B42:M49 B50:O57">
    <cfRule type="containsBlanks" dxfId="390" priority="5">
      <formula>LEN(TRIM(B2))=0</formula>
    </cfRule>
  </conditionalFormatting>
  <conditionalFormatting sqref="D7:D11 H7:M11 Q7:R25 T7:V25 X7:Z25 AB7:AB25 AD7:AE25 B8:C11 E8:G11 B12:M16 B17:O25">
    <cfRule type="containsBlanks" dxfId="389" priority="7">
      <formula>LEN(TRIM(B7))=0</formula>
    </cfRule>
  </conditionalFormatting>
  <conditionalFormatting sqref="D40:D41 Q40:R57 T40:V57 X40:Z57 AB40:AB57 AD40:AE57 B41:C41 E41:G41">
    <cfRule type="containsBlanks" dxfId="388" priority="4">
      <formula>LEN(TRIM(B40))=0</formula>
    </cfRule>
  </conditionalFormatting>
  <conditionalFormatting sqref="F7">
    <cfRule type="containsBlanks" dxfId="387" priority="6">
      <formula>LEN(TRIM(F7))=0</formula>
    </cfRule>
  </conditionalFormatting>
  <conditionalFormatting sqref="F40">
    <cfRule type="containsBlanks" dxfId="386" priority="3">
      <formula>LEN(TRIM(F40))=0</formula>
    </cfRule>
  </conditionalFormatting>
  <conditionalFormatting sqref="N7:O16">
    <cfRule type="containsBlanks" dxfId="385" priority="2">
      <formula>LEN(TRIM(N7))=0</formula>
    </cfRule>
  </conditionalFormatting>
  <conditionalFormatting sqref="N40:O49">
    <cfRule type="containsBlanks" dxfId="384" priority="1">
      <formula>LEN(TRIM(N40))=0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CA72-A66F-407F-8ABF-91A7CAFBB38A}">
  <sheetPr codeName="Sheet363">
    <tabColor rgb="FFFFFF66"/>
    <pageSetUpPr fitToPage="1"/>
  </sheetPr>
  <dimension ref="A1:AE50"/>
  <sheetViews>
    <sheetView topLeftCell="A27"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'[26]別紙1-1）客室提供条件'!C2</f>
        <v>Jホテルりんくう</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F7*N7</f>
        <v>3150000</v>
      </c>
      <c r="P7" s="4755" t="s">
        <v>5782</v>
      </c>
      <c r="Q7" s="4756">
        <v>4</v>
      </c>
      <c r="R7" s="4756" t="s">
        <v>3804</v>
      </c>
      <c r="S7" s="4751" t="s">
        <v>246</v>
      </c>
      <c r="T7" s="4756" t="s">
        <v>2161</v>
      </c>
      <c r="U7" s="4757">
        <v>2000</v>
      </c>
    </row>
    <row r="8" spans="1:31" s="4666" customFormat="1" ht="33.75" customHeight="1">
      <c r="A8" s="4758">
        <v>1</v>
      </c>
      <c r="B8" s="4816">
        <v>46278</v>
      </c>
      <c r="C8" s="4816">
        <v>46300</v>
      </c>
      <c r="D8" s="4759">
        <v>0</v>
      </c>
      <c r="E8" s="4759">
        <v>1</v>
      </c>
      <c r="F8" s="4760">
        <f t="shared" ref="F8:F17" si="0">IF(OR(ISBLANK($B8), ISBLANK($C8)), 0, _xlfn.DAYS($C8, $B8) + 1)</f>
        <v>23</v>
      </c>
      <c r="G8" s="4761" t="s">
        <v>6286</v>
      </c>
      <c r="H8" s="4762">
        <v>2</v>
      </c>
      <c r="I8" s="4763" t="s">
        <v>5784</v>
      </c>
      <c r="J8" s="4764">
        <v>14.6</v>
      </c>
      <c r="K8" s="4765">
        <v>5.7</v>
      </c>
      <c r="L8" s="4765">
        <v>83</v>
      </c>
      <c r="M8" s="4765">
        <v>2.7</v>
      </c>
      <c r="N8" s="4762">
        <v>167800</v>
      </c>
      <c r="O8" s="4766">
        <f>F8*N8</f>
        <v>3859400</v>
      </c>
      <c r="P8" s="5492" t="s">
        <v>3804</v>
      </c>
      <c r="Q8" s="4858">
        <v>1</v>
      </c>
      <c r="R8" s="4976" t="s">
        <v>3804</v>
      </c>
      <c r="S8" s="4858">
        <v>0</v>
      </c>
      <c r="T8" s="4859" t="s">
        <v>6151</v>
      </c>
      <c r="U8" s="4860">
        <v>0</v>
      </c>
    </row>
    <row r="9" spans="1:31" ht="33.75" customHeight="1">
      <c r="A9" s="4758">
        <v>2</v>
      </c>
      <c r="B9" s="4816">
        <v>46301</v>
      </c>
      <c r="C9" s="4816">
        <v>46301</v>
      </c>
      <c r="D9" s="4759">
        <v>0</v>
      </c>
      <c r="E9" s="4759">
        <v>1</v>
      </c>
      <c r="F9" s="4760">
        <f t="shared" si="0"/>
        <v>1</v>
      </c>
      <c r="G9" s="4761" t="s">
        <v>6286</v>
      </c>
      <c r="H9" s="4762">
        <v>2</v>
      </c>
      <c r="I9" s="4763" t="s">
        <v>5784</v>
      </c>
      <c r="J9" s="4764">
        <v>14.6</v>
      </c>
      <c r="K9" s="4765">
        <v>5.7</v>
      </c>
      <c r="L9" s="4765">
        <v>83</v>
      </c>
      <c r="M9" s="4765">
        <v>2.7</v>
      </c>
      <c r="N9" s="4762">
        <v>167800</v>
      </c>
      <c r="O9" s="4766">
        <f t="shared" ref="O9:O17" si="1">F9*N9</f>
        <v>167800</v>
      </c>
      <c r="P9" s="5492" t="s">
        <v>3804</v>
      </c>
      <c r="Q9" s="4858">
        <v>1</v>
      </c>
      <c r="R9" s="4976" t="s">
        <v>3804</v>
      </c>
      <c r="S9" s="4858">
        <v>0</v>
      </c>
      <c r="T9" s="4859" t="s">
        <v>6151</v>
      </c>
      <c r="U9" s="4860">
        <v>0</v>
      </c>
      <c r="AC9" s="4657"/>
    </row>
    <row r="10" spans="1:31" ht="33.75" customHeight="1">
      <c r="A10" s="4758">
        <v>3</v>
      </c>
      <c r="B10" s="4816">
        <v>46278</v>
      </c>
      <c r="C10" s="4816">
        <v>46300</v>
      </c>
      <c r="D10" s="4759">
        <v>0</v>
      </c>
      <c r="E10" s="4759">
        <v>1</v>
      </c>
      <c r="F10" s="4770">
        <f t="shared" si="0"/>
        <v>23</v>
      </c>
      <c r="G10" s="4761" t="s">
        <v>6287</v>
      </c>
      <c r="H10" s="4762">
        <v>2</v>
      </c>
      <c r="I10" s="4763" t="s">
        <v>5784</v>
      </c>
      <c r="J10" s="4764">
        <v>14.6</v>
      </c>
      <c r="K10" s="4765">
        <v>5.7</v>
      </c>
      <c r="L10" s="4765">
        <v>83</v>
      </c>
      <c r="M10" s="4765">
        <v>2.7</v>
      </c>
      <c r="N10" s="4762">
        <v>167800</v>
      </c>
      <c r="O10" s="4766">
        <f t="shared" si="1"/>
        <v>3859400</v>
      </c>
      <c r="P10" s="5492" t="s">
        <v>3804</v>
      </c>
      <c r="Q10" s="4858">
        <v>1</v>
      </c>
      <c r="R10" s="4976" t="s">
        <v>3804</v>
      </c>
      <c r="S10" s="4858">
        <v>0</v>
      </c>
      <c r="T10" s="4859" t="s">
        <v>6151</v>
      </c>
      <c r="U10" s="4860">
        <v>0</v>
      </c>
      <c r="AC10" s="4657"/>
    </row>
    <row r="11" spans="1:31" ht="33.75" customHeight="1">
      <c r="A11" s="4758">
        <v>4</v>
      </c>
      <c r="B11" s="4816">
        <v>46301</v>
      </c>
      <c r="C11" s="4816">
        <v>46301</v>
      </c>
      <c r="D11" s="4759">
        <v>0</v>
      </c>
      <c r="E11" s="4759">
        <v>1</v>
      </c>
      <c r="F11" s="4760">
        <f t="shared" si="0"/>
        <v>1</v>
      </c>
      <c r="G11" s="4761" t="s">
        <v>6287</v>
      </c>
      <c r="H11" s="4762">
        <v>2</v>
      </c>
      <c r="I11" s="4763" t="s">
        <v>5784</v>
      </c>
      <c r="J11" s="4764">
        <v>14.6</v>
      </c>
      <c r="K11" s="4765">
        <v>5.7</v>
      </c>
      <c r="L11" s="4765">
        <v>83</v>
      </c>
      <c r="M11" s="4765">
        <v>2.7</v>
      </c>
      <c r="N11" s="4762">
        <v>167800</v>
      </c>
      <c r="O11" s="4766">
        <f t="shared" si="1"/>
        <v>167800</v>
      </c>
      <c r="P11" s="5492" t="s">
        <v>3804</v>
      </c>
      <c r="Q11" s="4858">
        <v>1</v>
      </c>
      <c r="R11" s="4976" t="s">
        <v>3804</v>
      </c>
      <c r="S11" s="4858">
        <v>0</v>
      </c>
      <c r="T11" s="4859" t="s">
        <v>6151</v>
      </c>
      <c r="U11" s="4860">
        <v>0</v>
      </c>
      <c r="AC11" s="4657"/>
    </row>
    <row r="12" spans="1:31" ht="33.75" customHeight="1">
      <c r="A12" s="4758">
        <v>5</v>
      </c>
      <c r="B12" s="4816">
        <v>46278</v>
      </c>
      <c r="C12" s="4816">
        <v>46300</v>
      </c>
      <c r="D12" s="4759">
        <v>0</v>
      </c>
      <c r="E12" s="4759">
        <v>1</v>
      </c>
      <c r="F12" s="4760">
        <f t="shared" si="0"/>
        <v>23</v>
      </c>
      <c r="G12" s="4761" t="s">
        <v>6288</v>
      </c>
      <c r="H12" s="4762">
        <v>2</v>
      </c>
      <c r="I12" s="4763" t="s">
        <v>5784</v>
      </c>
      <c r="J12" s="4764">
        <v>4.2</v>
      </c>
      <c r="K12" s="4765">
        <v>5.7</v>
      </c>
      <c r="L12" s="4765">
        <v>24</v>
      </c>
      <c r="M12" s="4765">
        <v>2.7</v>
      </c>
      <c r="N12" s="4762">
        <v>132000</v>
      </c>
      <c r="O12" s="4766">
        <f t="shared" si="1"/>
        <v>3036000</v>
      </c>
      <c r="P12" s="5492" t="s">
        <v>3804</v>
      </c>
      <c r="Q12" s="4858">
        <v>1</v>
      </c>
      <c r="R12" s="4976" t="s">
        <v>3804</v>
      </c>
      <c r="S12" s="4858">
        <v>0</v>
      </c>
      <c r="T12" s="4859" t="s">
        <v>6151</v>
      </c>
      <c r="U12" s="4860">
        <v>0</v>
      </c>
      <c r="AC12" s="4657"/>
    </row>
    <row r="13" spans="1:31" ht="33.75" customHeight="1">
      <c r="A13" s="4758">
        <v>6</v>
      </c>
      <c r="B13" s="4816">
        <v>46301</v>
      </c>
      <c r="C13" s="4816">
        <v>46301</v>
      </c>
      <c r="D13" s="4759">
        <v>0</v>
      </c>
      <c r="E13" s="4759">
        <v>1</v>
      </c>
      <c r="F13" s="4760">
        <f t="shared" si="0"/>
        <v>1</v>
      </c>
      <c r="G13" s="4761" t="s">
        <v>6288</v>
      </c>
      <c r="H13" s="4762">
        <v>2</v>
      </c>
      <c r="I13" s="4763" t="s">
        <v>5784</v>
      </c>
      <c r="J13" s="4764">
        <v>4.2</v>
      </c>
      <c r="K13" s="4765">
        <v>5.7</v>
      </c>
      <c r="L13" s="4765">
        <v>24</v>
      </c>
      <c r="M13" s="4765">
        <v>2.7</v>
      </c>
      <c r="N13" s="4762">
        <v>132000</v>
      </c>
      <c r="O13" s="4766">
        <f t="shared" si="1"/>
        <v>132000</v>
      </c>
      <c r="P13" s="5492" t="s">
        <v>3804</v>
      </c>
      <c r="Q13" s="4858">
        <v>1</v>
      </c>
      <c r="R13" s="4976" t="s">
        <v>3804</v>
      </c>
      <c r="S13" s="4858">
        <v>0</v>
      </c>
      <c r="T13" s="4859" t="s">
        <v>6151</v>
      </c>
      <c r="U13" s="4860">
        <v>0</v>
      </c>
      <c r="AC13" s="4657"/>
    </row>
    <row r="14" spans="1:31" ht="33.75" customHeight="1">
      <c r="A14" s="4758">
        <v>7</v>
      </c>
      <c r="B14" s="4816">
        <v>46278</v>
      </c>
      <c r="C14" s="4816">
        <v>46325</v>
      </c>
      <c r="D14" s="4913"/>
      <c r="E14" s="4759"/>
      <c r="F14" s="4760">
        <f t="shared" si="0"/>
        <v>48</v>
      </c>
      <c r="G14" s="4771" t="s">
        <v>6289</v>
      </c>
      <c r="H14" s="4762">
        <v>1</v>
      </c>
      <c r="I14" s="4763" t="s">
        <v>5784</v>
      </c>
      <c r="J14" s="4764"/>
      <c r="K14" s="4765"/>
      <c r="L14" s="4765"/>
      <c r="M14" s="4765"/>
      <c r="N14" s="4762">
        <v>21350</v>
      </c>
      <c r="O14" s="4766">
        <f t="shared" si="1"/>
        <v>1024800</v>
      </c>
      <c r="P14" s="4857"/>
      <c r="Q14" s="4858"/>
      <c r="R14" s="4859"/>
      <c r="S14" s="4858"/>
      <c r="T14" s="4859"/>
      <c r="U14" s="4860"/>
      <c r="AC14" s="4657"/>
    </row>
    <row r="15" spans="1:31" ht="33.75" customHeight="1">
      <c r="A15" s="4758">
        <v>8</v>
      </c>
      <c r="B15" s="4816">
        <v>46278</v>
      </c>
      <c r="C15" s="4816">
        <v>46278</v>
      </c>
      <c r="D15" s="4913"/>
      <c r="E15" s="4759"/>
      <c r="F15" s="4760">
        <f t="shared" si="0"/>
        <v>1</v>
      </c>
      <c r="G15" s="4771" t="s">
        <v>6290</v>
      </c>
      <c r="H15" s="4762">
        <v>1</v>
      </c>
      <c r="I15" s="4763" t="s">
        <v>5784</v>
      </c>
      <c r="J15" s="4764"/>
      <c r="K15" s="4765"/>
      <c r="L15" s="4765"/>
      <c r="M15" s="4765"/>
      <c r="N15" s="4762">
        <v>4000000</v>
      </c>
      <c r="O15" s="4766">
        <f t="shared" si="1"/>
        <v>4000000</v>
      </c>
      <c r="P15" s="4857"/>
      <c r="Q15" s="4858"/>
      <c r="R15" s="4859"/>
      <c r="S15" s="4858"/>
      <c r="T15" s="4859"/>
      <c r="U15" s="4860"/>
      <c r="AC15" s="4657"/>
    </row>
    <row r="16" spans="1:31" ht="33.75" customHeight="1">
      <c r="A16" s="4758">
        <v>9</v>
      </c>
      <c r="B16" s="4950"/>
      <c r="C16" s="4950"/>
      <c r="D16" s="4913"/>
      <c r="E16" s="4759"/>
      <c r="F16" s="4760">
        <f t="shared" si="0"/>
        <v>0</v>
      </c>
      <c r="G16" s="4950"/>
      <c r="H16" s="4952"/>
      <c r="I16" s="4763"/>
      <c r="J16" s="4764"/>
      <c r="K16" s="4765"/>
      <c r="L16" s="4765"/>
      <c r="M16" s="4765"/>
      <c r="N16" s="4762"/>
      <c r="O16" s="4766">
        <f t="shared" si="1"/>
        <v>0</v>
      </c>
      <c r="P16" s="4857"/>
      <c r="Q16" s="4858"/>
      <c r="R16" s="4859"/>
      <c r="S16" s="4858"/>
      <c r="T16" s="4859"/>
      <c r="U16" s="4860"/>
      <c r="AC16" s="4657"/>
    </row>
    <row r="17" spans="1:29" ht="33.75" customHeight="1" thickBot="1">
      <c r="A17" s="4772">
        <v>10</v>
      </c>
      <c r="B17" s="4953"/>
      <c r="C17" s="4953"/>
      <c r="D17" s="4914"/>
      <c r="E17" s="4915"/>
      <c r="F17" s="4770">
        <f t="shared" si="0"/>
        <v>0</v>
      </c>
      <c r="G17" s="4953"/>
      <c r="H17" s="4955"/>
      <c r="I17" s="4774"/>
      <c r="J17" s="4764"/>
      <c r="K17" s="4765"/>
      <c r="L17" s="4765"/>
      <c r="M17" s="4765"/>
      <c r="N17" s="4775"/>
      <c r="O17" s="4766">
        <f t="shared" si="1"/>
        <v>0</v>
      </c>
      <c r="P17" s="4918"/>
      <c r="Q17" s="4919"/>
      <c r="R17" s="4920"/>
      <c r="S17" s="4919"/>
      <c r="T17" s="4920"/>
      <c r="U17" s="4921"/>
      <c r="AC17" s="4657"/>
    </row>
    <row r="18" spans="1:29" ht="33.75" customHeight="1" thickTop="1" thickBot="1">
      <c r="A18" s="4778" t="s">
        <v>5845</v>
      </c>
      <c r="B18" s="4779"/>
      <c r="C18" s="4779"/>
      <c r="D18" s="4779"/>
      <c r="E18" s="4779"/>
      <c r="F18" s="4780">
        <f>SUM(F8:F17)</f>
        <v>121</v>
      </c>
      <c r="G18" s="4779"/>
      <c r="H18" s="4781"/>
      <c r="I18" s="4782">
        <f>COUNTA(G8,G10,G12)</f>
        <v>3</v>
      </c>
      <c r="J18" s="4783"/>
      <c r="K18" s="4784"/>
      <c r="L18" s="4784"/>
      <c r="M18" s="4784"/>
      <c r="N18" s="4785"/>
      <c r="O18" s="4922">
        <f>SUM(O8:O17)</f>
        <v>16247200</v>
      </c>
      <c r="P18" s="4787"/>
      <c r="Q18" s="4787"/>
      <c r="R18" s="4788"/>
      <c r="S18" s="4789"/>
      <c r="T18" s="4788"/>
      <c r="U18" s="4790"/>
      <c r="AC18" s="4657"/>
    </row>
    <row r="19" spans="1:29" ht="33.75" customHeight="1" thickBot="1">
      <c r="A19" s="4876" t="s">
        <v>5792</v>
      </c>
      <c r="B19" s="4877"/>
      <c r="C19" s="4878"/>
      <c r="D19" s="4878"/>
      <c r="E19" s="4878"/>
      <c r="F19" s="4879"/>
      <c r="G19" s="4878"/>
      <c r="H19" s="4880"/>
      <c r="I19" s="4878"/>
      <c r="J19" s="4881"/>
      <c r="K19" s="4881"/>
      <c r="L19" s="4881"/>
      <c r="M19" s="4881"/>
      <c r="N19" s="4882"/>
      <c r="O19" s="4923">
        <f>O18</f>
        <v>16247200</v>
      </c>
      <c r="P19" s="4884"/>
      <c r="Q19" s="4885"/>
      <c r="R19" s="4886"/>
      <c r="S19" s="4887"/>
      <c r="T19" s="4886"/>
      <c r="U19" s="4888"/>
      <c r="AC19" s="4657"/>
    </row>
    <row r="20" spans="1:29" ht="33.75" customHeight="1">
      <c r="A20" s="4656"/>
      <c r="B20" s="4660"/>
      <c r="C20" s="4660"/>
      <c r="D20" s="4660"/>
      <c r="G20" s="4660"/>
      <c r="H20" s="4660"/>
      <c r="M20" s="4808" t="s">
        <v>5748</v>
      </c>
      <c r="N20" s="4809">
        <f>SUM(N8,N10,N12)</f>
        <v>467600</v>
      </c>
      <c r="O20" s="4656"/>
      <c r="P20" s="4657"/>
      <c r="Q20" s="4657"/>
      <c r="AC20" s="4657"/>
    </row>
    <row r="21" spans="1:29" ht="32.15" customHeight="1">
      <c r="B21" s="4657"/>
      <c r="C21" s="4657"/>
      <c r="D21" s="4657"/>
      <c r="E21" s="4810"/>
      <c r="F21" s="4811"/>
      <c r="G21" s="4657"/>
      <c r="H21" s="4657"/>
      <c r="M21" s="5471" t="s">
        <v>6242</v>
      </c>
      <c r="N21" s="5471">
        <f>N20</f>
        <v>467600</v>
      </c>
      <c r="O21" s="4656"/>
      <c r="P21" s="4657"/>
      <c r="Q21" s="4657"/>
      <c r="AC21" s="4657"/>
    </row>
    <row r="22" spans="1:29" ht="23.15" customHeight="1" thickBot="1">
      <c r="A22" s="4737" t="s">
        <v>5836</v>
      </c>
      <c r="B22" s="4657"/>
      <c r="C22" s="4657"/>
      <c r="D22" s="4657"/>
      <c r="G22" s="4657"/>
      <c r="H22" s="4657"/>
      <c r="O22" s="4656"/>
      <c r="P22" s="4656"/>
      <c r="Q22" s="4657"/>
      <c r="AC22" s="4657"/>
    </row>
    <row r="23" spans="1:29" s="4738" customFormat="1" ht="33.75" customHeight="1">
      <c r="A23" s="6893" t="s">
        <v>5713</v>
      </c>
      <c r="B23" s="6882" t="s">
        <v>5757</v>
      </c>
      <c r="C23" s="6882" t="s">
        <v>5758</v>
      </c>
      <c r="D23" s="6882" t="s">
        <v>5759</v>
      </c>
      <c r="E23" s="6882" t="s">
        <v>5760</v>
      </c>
      <c r="F23" s="6895" t="s">
        <v>5761</v>
      </c>
      <c r="G23" s="6882" t="s">
        <v>5762</v>
      </c>
      <c r="H23" s="6897" t="s">
        <v>5763</v>
      </c>
      <c r="I23" s="6882" t="s">
        <v>5764</v>
      </c>
      <c r="J23" s="6895" t="s">
        <v>5765</v>
      </c>
      <c r="K23" s="6888" t="s">
        <v>5766</v>
      </c>
      <c r="L23" s="6888" t="s">
        <v>5767</v>
      </c>
      <c r="M23" s="6888" t="s">
        <v>5768</v>
      </c>
      <c r="N23" s="6882" t="s">
        <v>5811</v>
      </c>
      <c r="O23" s="6884" t="s">
        <v>5812</v>
      </c>
      <c r="P23" s="6886" t="s">
        <v>5771</v>
      </c>
      <c r="Q23" s="6887"/>
      <c r="R23" s="6888" t="s">
        <v>5772</v>
      </c>
      <c r="S23" s="6889"/>
      <c r="T23" s="6889"/>
      <c r="U23" s="6890"/>
    </row>
    <row r="24" spans="1:29" s="4738" customFormat="1" ht="33.75" customHeight="1" thickBot="1">
      <c r="A24" s="6894"/>
      <c r="B24" s="6883"/>
      <c r="C24" s="6883"/>
      <c r="D24" s="6883"/>
      <c r="E24" s="6883"/>
      <c r="F24" s="6896"/>
      <c r="G24" s="6883"/>
      <c r="H24" s="6898"/>
      <c r="I24" s="6883"/>
      <c r="J24" s="6896"/>
      <c r="K24" s="6892"/>
      <c r="L24" s="6892"/>
      <c r="M24" s="6892"/>
      <c r="N24" s="6883"/>
      <c r="O24" s="6885"/>
      <c r="P24" s="4739" t="s">
        <v>5773</v>
      </c>
      <c r="Q24" s="4740" t="s">
        <v>5774</v>
      </c>
      <c r="R24" s="4740" t="s">
        <v>5775</v>
      </c>
      <c r="S24" s="4741" t="s">
        <v>5776</v>
      </c>
      <c r="T24" s="4740" t="s">
        <v>5777</v>
      </c>
      <c r="U24" s="4742" t="s">
        <v>5778</v>
      </c>
    </row>
    <row r="25" spans="1:29" s="4666" customFormat="1" ht="33.75" customHeight="1">
      <c r="A25" s="4743" t="s">
        <v>5779</v>
      </c>
      <c r="B25" s="4744">
        <v>46280</v>
      </c>
      <c r="C25" s="4744">
        <v>46300</v>
      </c>
      <c r="D25" s="4745">
        <v>0.3125</v>
      </c>
      <c r="E25" s="4746">
        <v>0.89583333333333337</v>
      </c>
      <c r="F25" s="4747">
        <f>IF(OR(ISBLANK($B25), ISBLANK($C25)), 0, _xlfn.DAYS($C25, $B25) + 1)</f>
        <v>21</v>
      </c>
      <c r="G25" s="4748" t="s">
        <v>5780</v>
      </c>
      <c r="H25" s="4749">
        <v>3</v>
      </c>
      <c r="I25" s="4747" t="s">
        <v>5781</v>
      </c>
      <c r="J25" s="4750">
        <v>30</v>
      </c>
      <c r="K25" s="4751">
        <v>100</v>
      </c>
      <c r="L25" s="4751">
        <f>J25*K25</f>
        <v>3000</v>
      </c>
      <c r="M25" s="4752">
        <v>5</v>
      </c>
      <c r="N25" s="4753">
        <v>150000</v>
      </c>
      <c r="O25" s="4754">
        <f>F25*N25</f>
        <v>3150000</v>
      </c>
      <c r="P25" s="4755" t="s">
        <v>5782</v>
      </c>
      <c r="Q25" s="4756">
        <v>4</v>
      </c>
      <c r="R25" s="4756" t="s">
        <v>3804</v>
      </c>
      <c r="S25" s="4751" t="s">
        <v>246</v>
      </c>
      <c r="T25" s="4756" t="s">
        <v>2161</v>
      </c>
      <c r="U25" s="4757">
        <v>2000</v>
      </c>
    </row>
    <row r="26" spans="1:29" s="4666" customFormat="1" ht="33.75" customHeight="1">
      <c r="A26" s="4758">
        <v>1</v>
      </c>
      <c r="B26" s="4816">
        <v>45940</v>
      </c>
      <c r="C26" s="4816">
        <v>45955</v>
      </c>
      <c r="D26" s="4759">
        <v>0</v>
      </c>
      <c r="E26" s="4759">
        <v>1</v>
      </c>
      <c r="F26" s="4949">
        <v>18</v>
      </c>
      <c r="G26" s="4761" t="s">
        <v>6286</v>
      </c>
      <c r="H26" s="4762">
        <v>2</v>
      </c>
      <c r="I26" s="4763" t="s">
        <v>5784</v>
      </c>
      <c r="J26" s="4764">
        <v>14.6</v>
      </c>
      <c r="K26" s="4765">
        <v>5.7</v>
      </c>
      <c r="L26" s="4765">
        <v>83</v>
      </c>
      <c r="M26" s="4765">
        <v>2.7</v>
      </c>
      <c r="N26" s="4762">
        <v>167800</v>
      </c>
      <c r="O26" s="4766">
        <f>F26*N26</f>
        <v>3020400</v>
      </c>
      <c r="P26" s="5492" t="s">
        <v>3804</v>
      </c>
      <c r="Q26" s="4858">
        <v>1</v>
      </c>
      <c r="R26" s="4976" t="s">
        <v>3804</v>
      </c>
      <c r="S26" s="4858">
        <v>0</v>
      </c>
      <c r="T26" s="4859" t="s">
        <v>6151</v>
      </c>
      <c r="U26" s="4860">
        <v>0</v>
      </c>
    </row>
    <row r="27" spans="1:29" ht="33.75" customHeight="1">
      <c r="A27" s="4758">
        <v>2</v>
      </c>
      <c r="B27" s="4816">
        <v>45956</v>
      </c>
      <c r="C27" s="4816">
        <v>45956</v>
      </c>
      <c r="D27" s="4759">
        <v>0</v>
      </c>
      <c r="E27" s="4759">
        <v>1</v>
      </c>
      <c r="F27" s="4949">
        <f t="shared" ref="F27:F35" si="2">IF(OR(ISBLANK($B27), ISBLANK($C27)), 0, _xlfn.DAYS($C27, $B27) + 1)</f>
        <v>1</v>
      </c>
      <c r="G27" s="4761" t="s">
        <v>6286</v>
      </c>
      <c r="H27" s="4762">
        <v>2</v>
      </c>
      <c r="I27" s="4763" t="s">
        <v>5784</v>
      </c>
      <c r="J27" s="4764">
        <v>14.6</v>
      </c>
      <c r="K27" s="4765">
        <v>5.7</v>
      </c>
      <c r="L27" s="4765">
        <v>83</v>
      </c>
      <c r="M27" s="4765">
        <v>2.7</v>
      </c>
      <c r="N27" s="4762">
        <v>167800</v>
      </c>
      <c r="O27" s="4766">
        <f t="shared" ref="O27:O35" si="3">F27*N27</f>
        <v>167800</v>
      </c>
      <c r="P27" s="5492" t="s">
        <v>3804</v>
      </c>
      <c r="Q27" s="4858">
        <v>1</v>
      </c>
      <c r="R27" s="4976" t="s">
        <v>3804</v>
      </c>
      <c r="S27" s="4858">
        <v>0</v>
      </c>
      <c r="T27" s="4859" t="s">
        <v>6151</v>
      </c>
      <c r="U27" s="4860">
        <v>0</v>
      </c>
      <c r="AC27" s="4657"/>
    </row>
    <row r="28" spans="1:29" ht="33.75" customHeight="1">
      <c r="A28" s="4758">
        <v>3</v>
      </c>
      <c r="B28" s="4816">
        <v>45940</v>
      </c>
      <c r="C28" s="4816">
        <v>45955</v>
      </c>
      <c r="D28" s="4759">
        <v>0</v>
      </c>
      <c r="E28" s="4759">
        <v>1</v>
      </c>
      <c r="F28" s="4977">
        <v>18</v>
      </c>
      <c r="G28" s="4761" t="s">
        <v>6287</v>
      </c>
      <c r="H28" s="4762">
        <v>2</v>
      </c>
      <c r="I28" s="4763" t="s">
        <v>5784</v>
      </c>
      <c r="J28" s="4764">
        <v>14.6</v>
      </c>
      <c r="K28" s="4765">
        <v>5.7</v>
      </c>
      <c r="L28" s="4765">
        <v>83</v>
      </c>
      <c r="M28" s="4765">
        <v>2.7</v>
      </c>
      <c r="N28" s="4762">
        <v>167800</v>
      </c>
      <c r="O28" s="4766">
        <f t="shared" si="3"/>
        <v>3020400</v>
      </c>
      <c r="P28" s="5492" t="s">
        <v>3804</v>
      </c>
      <c r="Q28" s="4858">
        <v>1</v>
      </c>
      <c r="R28" s="4976" t="s">
        <v>3804</v>
      </c>
      <c r="S28" s="4858">
        <v>0</v>
      </c>
      <c r="T28" s="4859" t="s">
        <v>6151</v>
      </c>
      <c r="U28" s="4860">
        <v>0</v>
      </c>
      <c r="AC28" s="4657"/>
    </row>
    <row r="29" spans="1:29" ht="33.75" customHeight="1">
      <c r="A29" s="4758">
        <v>4</v>
      </c>
      <c r="B29" s="4816">
        <v>45956</v>
      </c>
      <c r="C29" s="4816">
        <v>45956</v>
      </c>
      <c r="D29" s="4759">
        <v>0</v>
      </c>
      <c r="E29" s="4759">
        <v>1</v>
      </c>
      <c r="F29" s="4949">
        <f t="shared" si="2"/>
        <v>1</v>
      </c>
      <c r="G29" s="4761" t="s">
        <v>6287</v>
      </c>
      <c r="H29" s="4762">
        <v>2</v>
      </c>
      <c r="I29" s="4763" t="s">
        <v>5784</v>
      </c>
      <c r="J29" s="4764">
        <v>14.6</v>
      </c>
      <c r="K29" s="4765">
        <v>5.7</v>
      </c>
      <c r="L29" s="4765">
        <v>83</v>
      </c>
      <c r="M29" s="4765">
        <v>2.7</v>
      </c>
      <c r="N29" s="4762">
        <v>167800</v>
      </c>
      <c r="O29" s="4766">
        <f t="shared" si="3"/>
        <v>167800</v>
      </c>
      <c r="P29" s="5492" t="s">
        <v>3804</v>
      </c>
      <c r="Q29" s="4858">
        <v>1</v>
      </c>
      <c r="R29" s="4976" t="s">
        <v>3804</v>
      </c>
      <c r="S29" s="4858">
        <v>0</v>
      </c>
      <c r="T29" s="4859" t="s">
        <v>6151</v>
      </c>
      <c r="U29" s="4860">
        <v>0</v>
      </c>
      <c r="AC29" s="4657"/>
    </row>
    <row r="30" spans="1:29" ht="33.75" customHeight="1">
      <c r="A30" s="4758">
        <v>5</v>
      </c>
      <c r="B30" s="4816">
        <v>45940</v>
      </c>
      <c r="C30" s="4816">
        <v>45955</v>
      </c>
      <c r="D30" s="4759">
        <v>0</v>
      </c>
      <c r="E30" s="4759">
        <v>1</v>
      </c>
      <c r="F30" s="4949">
        <v>18</v>
      </c>
      <c r="G30" s="4761" t="s">
        <v>6288</v>
      </c>
      <c r="H30" s="4762">
        <v>2</v>
      </c>
      <c r="I30" s="4763" t="s">
        <v>5784</v>
      </c>
      <c r="J30" s="4764">
        <v>4.2</v>
      </c>
      <c r="K30" s="4765">
        <v>5.7</v>
      </c>
      <c r="L30" s="4765">
        <v>24</v>
      </c>
      <c r="M30" s="4765">
        <v>2.7</v>
      </c>
      <c r="N30" s="4762">
        <v>132000</v>
      </c>
      <c r="O30" s="4766">
        <f t="shared" si="3"/>
        <v>2376000</v>
      </c>
      <c r="P30" s="5492" t="s">
        <v>3804</v>
      </c>
      <c r="Q30" s="4858">
        <v>1</v>
      </c>
      <c r="R30" s="4976" t="s">
        <v>3804</v>
      </c>
      <c r="S30" s="4858">
        <v>0</v>
      </c>
      <c r="T30" s="4859" t="s">
        <v>6151</v>
      </c>
      <c r="U30" s="4860">
        <v>0</v>
      </c>
      <c r="AC30" s="4657"/>
    </row>
    <row r="31" spans="1:29" ht="33.75" customHeight="1">
      <c r="A31" s="4758">
        <v>6</v>
      </c>
      <c r="B31" s="4816">
        <v>45956</v>
      </c>
      <c r="C31" s="4816">
        <v>45956</v>
      </c>
      <c r="D31" s="4759">
        <v>0</v>
      </c>
      <c r="E31" s="4759">
        <v>1</v>
      </c>
      <c r="F31" s="4949">
        <f t="shared" si="2"/>
        <v>1</v>
      </c>
      <c r="G31" s="4761" t="s">
        <v>6288</v>
      </c>
      <c r="H31" s="4762">
        <v>2</v>
      </c>
      <c r="I31" s="4763" t="s">
        <v>5784</v>
      </c>
      <c r="J31" s="4764">
        <v>4.2</v>
      </c>
      <c r="K31" s="4765">
        <v>5.7</v>
      </c>
      <c r="L31" s="4765">
        <v>24</v>
      </c>
      <c r="M31" s="4765">
        <v>2.7</v>
      </c>
      <c r="N31" s="4762">
        <v>132000</v>
      </c>
      <c r="O31" s="4766">
        <f t="shared" si="3"/>
        <v>132000</v>
      </c>
      <c r="P31" s="5492" t="s">
        <v>3804</v>
      </c>
      <c r="Q31" s="4858">
        <v>1</v>
      </c>
      <c r="R31" s="4976" t="s">
        <v>3804</v>
      </c>
      <c r="S31" s="4858">
        <v>0</v>
      </c>
      <c r="T31" s="4859" t="s">
        <v>6151</v>
      </c>
      <c r="U31" s="4860">
        <v>0</v>
      </c>
      <c r="AC31" s="4657"/>
    </row>
    <row r="32" spans="1:29" ht="33.75" customHeight="1">
      <c r="A32" s="4758">
        <v>7</v>
      </c>
      <c r="B32" s="4950"/>
      <c r="C32" s="4950"/>
      <c r="D32" s="4913"/>
      <c r="E32" s="4759"/>
      <c r="F32" s="4760">
        <f t="shared" si="2"/>
        <v>0</v>
      </c>
      <c r="G32" s="4950"/>
      <c r="H32" s="4952"/>
      <c r="I32" s="4763"/>
      <c r="J32" s="4764"/>
      <c r="K32" s="4765"/>
      <c r="L32" s="4765"/>
      <c r="M32" s="4765"/>
      <c r="N32" s="4762"/>
      <c r="O32" s="4766">
        <f t="shared" si="3"/>
        <v>0</v>
      </c>
      <c r="P32" s="4857"/>
      <c r="Q32" s="4858"/>
      <c r="R32" s="4859"/>
      <c r="S32" s="4858"/>
      <c r="T32" s="4859"/>
      <c r="U32" s="4860"/>
      <c r="AC32" s="4657"/>
    </row>
    <row r="33" spans="1:31" ht="33.75" customHeight="1">
      <c r="A33" s="4758">
        <v>8</v>
      </c>
      <c r="B33" s="4950"/>
      <c r="C33" s="4950"/>
      <c r="D33" s="4913"/>
      <c r="E33" s="4759"/>
      <c r="F33" s="4760">
        <f t="shared" si="2"/>
        <v>0</v>
      </c>
      <c r="G33" s="4950"/>
      <c r="H33" s="4952"/>
      <c r="I33" s="4763"/>
      <c r="J33" s="4764"/>
      <c r="K33" s="4765"/>
      <c r="L33" s="4765"/>
      <c r="M33" s="4765"/>
      <c r="N33" s="4762"/>
      <c r="O33" s="4766">
        <f t="shared" si="3"/>
        <v>0</v>
      </c>
      <c r="P33" s="4857"/>
      <c r="Q33" s="4858"/>
      <c r="R33" s="4859"/>
      <c r="S33" s="4858"/>
      <c r="T33" s="4859"/>
      <c r="U33" s="4860"/>
      <c r="AC33" s="4657"/>
    </row>
    <row r="34" spans="1:31" ht="33.75" customHeight="1">
      <c r="A34" s="4758">
        <v>9</v>
      </c>
      <c r="B34" s="4950"/>
      <c r="C34" s="4950"/>
      <c r="D34" s="4913"/>
      <c r="E34" s="4759"/>
      <c r="F34" s="4760">
        <f t="shared" si="2"/>
        <v>0</v>
      </c>
      <c r="G34" s="4950"/>
      <c r="H34" s="4952"/>
      <c r="I34" s="4763"/>
      <c r="J34" s="4764"/>
      <c r="K34" s="4765"/>
      <c r="L34" s="4765"/>
      <c r="M34" s="4765"/>
      <c r="N34" s="4762"/>
      <c r="O34" s="4766">
        <f t="shared" si="3"/>
        <v>0</v>
      </c>
      <c r="P34" s="4857"/>
      <c r="Q34" s="4858"/>
      <c r="R34" s="4859"/>
      <c r="S34" s="4858"/>
      <c r="T34" s="4859"/>
      <c r="U34" s="4860"/>
      <c r="AC34" s="4657"/>
    </row>
    <row r="35" spans="1:31" ht="33.75" customHeight="1" thickBot="1">
      <c r="A35" s="4772">
        <v>10</v>
      </c>
      <c r="B35" s="4953"/>
      <c r="C35" s="4953"/>
      <c r="D35" s="4914"/>
      <c r="E35" s="4915"/>
      <c r="F35" s="4770">
        <f t="shared" si="2"/>
        <v>0</v>
      </c>
      <c r="G35" s="4953"/>
      <c r="H35" s="4955"/>
      <c r="I35" s="4774"/>
      <c r="J35" s="4764"/>
      <c r="K35" s="4765"/>
      <c r="L35" s="4765"/>
      <c r="M35" s="4765"/>
      <c r="N35" s="4775"/>
      <c r="O35" s="4766">
        <f t="shared" si="3"/>
        <v>0</v>
      </c>
      <c r="P35" s="4918"/>
      <c r="Q35" s="4919"/>
      <c r="R35" s="4920"/>
      <c r="S35" s="4919"/>
      <c r="T35" s="4920"/>
      <c r="U35" s="4921"/>
      <c r="AC35" s="4657"/>
    </row>
    <row r="36" spans="1:31" ht="33.75" customHeight="1" thickTop="1" thickBot="1">
      <c r="A36" s="4778" t="s">
        <v>5845</v>
      </c>
      <c r="B36" s="4779"/>
      <c r="C36" s="4779"/>
      <c r="D36" s="4779"/>
      <c r="E36" s="4779"/>
      <c r="F36" s="4780">
        <f>SUM(F26:F35)</f>
        <v>57</v>
      </c>
      <c r="G36" s="4779"/>
      <c r="H36" s="4781"/>
      <c r="I36" s="4782">
        <f>COUNTA(G26,G28,G30)</f>
        <v>3</v>
      </c>
      <c r="J36" s="4783"/>
      <c r="K36" s="4784"/>
      <c r="L36" s="4784"/>
      <c r="M36" s="4784"/>
      <c r="N36" s="4785"/>
      <c r="O36" s="4922">
        <f>SUM(O26:O35)</f>
        <v>8884400</v>
      </c>
      <c r="P36" s="4787"/>
      <c r="Q36" s="4787"/>
      <c r="R36" s="4788"/>
      <c r="S36" s="4789"/>
      <c r="T36" s="4788"/>
      <c r="U36" s="4790"/>
      <c r="AC36" s="4657"/>
    </row>
    <row r="37" spans="1:31" ht="33.75" customHeight="1" thickBot="1">
      <c r="A37" s="4876" t="s">
        <v>5792</v>
      </c>
      <c r="B37" s="4877"/>
      <c r="C37" s="4878"/>
      <c r="D37" s="4878"/>
      <c r="E37" s="4878"/>
      <c r="F37" s="4879"/>
      <c r="G37" s="4878"/>
      <c r="H37" s="4880"/>
      <c r="I37" s="4878"/>
      <c r="J37" s="4881"/>
      <c r="K37" s="4881"/>
      <c r="L37" s="4881"/>
      <c r="M37" s="4881"/>
      <c r="N37" s="4882"/>
      <c r="O37" s="4923">
        <f>O36</f>
        <v>8884400</v>
      </c>
      <c r="P37" s="4884"/>
      <c r="Q37" s="4885"/>
      <c r="R37" s="4886"/>
      <c r="S37" s="4887"/>
      <c r="T37" s="4886"/>
      <c r="U37" s="4888"/>
      <c r="AC37" s="4657"/>
    </row>
    <row r="38" spans="1:31" ht="33.75" customHeight="1">
      <c r="A38" s="4656"/>
      <c r="B38" s="4660"/>
      <c r="C38" s="4660"/>
      <c r="D38" s="4660"/>
      <c r="G38" s="4660"/>
      <c r="H38" s="4660"/>
      <c r="M38" s="4808" t="s">
        <v>5748</v>
      </c>
      <c r="N38" s="4809">
        <f>SUM(N26,N28,N30)</f>
        <v>467600</v>
      </c>
      <c r="O38" s="4656"/>
      <c r="P38" s="4657"/>
      <c r="Q38" s="4657"/>
      <c r="AC38" s="4657"/>
    </row>
    <row r="39" spans="1:31" ht="32.15" customHeight="1">
      <c r="A39" s="4812"/>
      <c r="B39" s="4813"/>
      <c r="C39" s="4813"/>
      <c r="D39" s="4813"/>
      <c r="E39" s="4814"/>
      <c r="F39" s="4814"/>
      <c r="G39" s="4813"/>
      <c r="H39" s="4813"/>
      <c r="I39" s="4812"/>
      <c r="J39" s="4812"/>
      <c r="K39" s="4812"/>
      <c r="L39" s="4812"/>
      <c r="M39" s="5471" t="s">
        <v>6242</v>
      </c>
      <c r="N39" s="5471">
        <f>N38</f>
        <v>467600</v>
      </c>
      <c r="O39" s="4715"/>
      <c r="P39" s="4715"/>
      <c r="Q39" s="4715"/>
      <c r="R39" s="4656"/>
      <c r="S39" s="4812"/>
      <c r="T39" s="4656"/>
      <c r="U39" s="4812"/>
      <c r="W39" s="6905"/>
      <c r="X39" s="6905"/>
      <c r="Y39" s="6905"/>
      <c r="Z39" s="6905"/>
      <c r="AA39" s="6905"/>
      <c r="AB39" s="6891"/>
      <c r="AC39" s="6891"/>
      <c r="AD39" s="6891"/>
      <c r="AE39" s="6891"/>
    </row>
    <row r="40" spans="1:31" ht="36" customHeight="1"/>
    <row r="41" spans="1:31" ht="36" customHeight="1"/>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10.4" customHeight="1">
      <c r="B50" s="4657"/>
      <c r="C50" s="4657"/>
      <c r="D50" s="4657"/>
      <c r="G50" s="4657"/>
      <c r="H50" s="4657"/>
      <c r="O50" s="4656"/>
      <c r="P50" s="4657"/>
      <c r="Q50" s="4657"/>
      <c r="AC50" s="4657"/>
    </row>
  </sheetData>
  <mergeCells count="38">
    <mergeCell ref="A2:B2"/>
    <mergeCell ref="C2:G2"/>
    <mergeCell ref="A5:A6"/>
    <mergeCell ref="B5:B6"/>
    <mergeCell ref="C5:C6"/>
    <mergeCell ref="D5:D6"/>
    <mergeCell ref="E5:E6"/>
    <mergeCell ref="F5:F6"/>
    <mergeCell ref="G5:G6"/>
    <mergeCell ref="F23:F24"/>
    <mergeCell ref="H5:H6"/>
    <mergeCell ref="I5:I6"/>
    <mergeCell ref="J5:J6"/>
    <mergeCell ref="K5:K6"/>
    <mergeCell ref="G23:G24"/>
    <mergeCell ref="H23:H24"/>
    <mergeCell ref="I23:I24"/>
    <mergeCell ref="J23:J24"/>
    <mergeCell ref="K23:K24"/>
    <mergeCell ref="A23:A24"/>
    <mergeCell ref="B23:B24"/>
    <mergeCell ref="C23:C24"/>
    <mergeCell ref="D23:D24"/>
    <mergeCell ref="E23:E24"/>
    <mergeCell ref="L23:L24"/>
    <mergeCell ref="N5:N6"/>
    <mergeCell ref="O5:O6"/>
    <mergeCell ref="P5:Q5"/>
    <mergeCell ref="R5:U5"/>
    <mergeCell ref="L5:L6"/>
    <mergeCell ref="M5:M6"/>
    <mergeCell ref="AB39:AE39"/>
    <mergeCell ref="M23:M24"/>
    <mergeCell ref="N23:N24"/>
    <mergeCell ref="O23:O24"/>
    <mergeCell ref="P23:Q23"/>
    <mergeCell ref="R23:U23"/>
    <mergeCell ref="W39:AA39"/>
  </mergeCells>
  <phoneticPr fontId="2"/>
  <conditionalFormatting sqref="B8:E17">
    <cfRule type="containsBlanks" dxfId="383" priority="5">
      <formula>LEN(TRIM(B8))=0</formula>
    </cfRule>
  </conditionalFormatting>
  <conditionalFormatting sqref="B26:E35 P26:U35">
    <cfRule type="containsBlanks" dxfId="382" priority="3">
      <formula>LEN(TRIM(B26))=0</formula>
    </cfRule>
  </conditionalFormatting>
  <conditionalFormatting sqref="C2:D2">
    <cfRule type="containsBlanks" dxfId="381" priority="6">
      <formula>LEN(TRIM(C2))=0</formula>
    </cfRule>
  </conditionalFormatting>
  <conditionalFormatting sqref="G8:N17">
    <cfRule type="containsBlanks" dxfId="380" priority="2">
      <formula>LEN(TRIM(G8))=0</formula>
    </cfRule>
  </conditionalFormatting>
  <conditionalFormatting sqref="G26:N35">
    <cfRule type="containsBlanks" dxfId="379" priority="1">
      <formula>LEN(TRIM(G26))=0</formula>
    </cfRule>
  </conditionalFormatting>
  <conditionalFormatting sqref="P8:U17">
    <cfRule type="containsBlanks" dxfId="378" priority="4">
      <formula>LEN(TRIM(P8))=0</formula>
    </cfRule>
  </conditionalFormatting>
  <dataValidations count="1">
    <dataValidation type="list" allowBlank="1" showInputMessage="1" showErrorMessage="1" sqref="I7:I17 I25:I35" xr:uid="{5C1EFBDF-AFC0-40EA-A2D5-E9A59663F941}">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3CB8-858D-44FA-A527-6A7FC2E10749}">
  <sheetPr codeName="Sheet364">
    <tabColor rgb="FFFFFF66"/>
    <pageSetUpPr fitToPage="1"/>
  </sheetPr>
  <dimension ref="A1:AF66"/>
  <sheetViews>
    <sheetView topLeftCell="A40" zoomScale="55" zoomScaleNormal="55" zoomScaleSheetLayoutView="70" workbookViewId="0">
      <selection activeCell="A2" sqref="A2:AE58"/>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269531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6291</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2.15" customHeight="1">
      <c r="A4" s="4726"/>
      <c r="B4" s="4726"/>
      <c r="C4" s="4726"/>
      <c r="D4" s="4726"/>
      <c r="E4" s="4726"/>
      <c r="F4" s="4726"/>
      <c r="G4" s="4726"/>
      <c r="H4" s="4726"/>
      <c r="I4" s="4727"/>
    </row>
    <row r="5" spans="1:32" ht="33.75" customHeight="1" thickBot="1">
      <c r="A5" s="4665" t="s">
        <v>5711</v>
      </c>
      <c r="B5" s="4665"/>
      <c r="S5" s="4656"/>
      <c r="W5" s="4656"/>
      <c r="Z5" s="4656"/>
      <c r="AA5" s="4656"/>
      <c r="AB5" s="4656"/>
      <c r="AC5" s="4656"/>
      <c r="AD5" s="4656"/>
      <c r="AF5" s="4656" t="s">
        <v>5712</v>
      </c>
    </row>
    <row r="6" spans="1:32" s="4666" customFormat="1" ht="33.75" customHeight="1">
      <c r="A6" s="6877" t="s">
        <v>5713</v>
      </c>
      <c r="B6" s="6879" t="s">
        <v>5714</v>
      </c>
      <c r="C6" s="6855" t="s">
        <v>5715</v>
      </c>
      <c r="D6" s="6855" t="s">
        <v>5716</v>
      </c>
      <c r="E6" s="6855" t="s">
        <v>5717</v>
      </c>
      <c r="F6" s="6868" t="s">
        <v>5718</v>
      </c>
      <c r="G6" s="6855" t="s">
        <v>5719</v>
      </c>
      <c r="H6" s="6855" t="s">
        <v>5720</v>
      </c>
      <c r="I6" s="6857" t="s">
        <v>5721</v>
      </c>
      <c r="J6" s="6851" t="s">
        <v>5722</v>
      </c>
      <c r="K6" s="6851" t="s">
        <v>5723</v>
      </c>
      <c r="L6" s="6855" t="s">
        <v>5796</v>
      </c>
      <c r="M6" s="6855" t="s">
        <v>5797</v>
      </c>
      <c r="N6" s="4967" t="s">
        <v>5726</v>
      </c>
      <c r="O6" s="6855" t="s">
        <v>5798</v>
      </c>
      <c r="P6" s="6851" t="s">
        <v>3766</v>
      </c>
      <c r="Q6" s="6853"/>
      <c r="R6" s="6868" t="s">
        <v>5728</v>
      </c>
      <c r="S6" s="6869"/>
      <c r="T6" s="6870"/>
      <c r="U6" s="6855" t="s">
        <v>5729</v>
      </c>
      <c r="V6" s="6869" t="s">
        <v>5730</v>
      </c>
      <c r="W6" s="6869"/>
      <c r="X6" s="6869"/>
      <c r="Y6" s="6868" t="s">
        <v>5731</v>
      </c>
      <c r="Z6" s="6851" t="s">
        <v>5732</v>
      </c>
      <c r="AA6" s="6851" t="s">
        <v>5733</v>
      </c>
      <c r="AB6" s="6853"/>
      <c r="AC6" s="6853"/>
      <c r="AD6" s="6853"/>
      <c r="AE6" s="6860" t="s">
        <v>2792</v>
      </c>
      <c r="AF6" s="6862" t="s">
        <v>5734</v>
      </c>
    </row>
    <row r="7" spans="1:32" s="4666" customFormat="1" ht="20">
      <c r="A7" s="6878"/>
      <c r="B7" s="6880"/>
      <c r="C7" s="6858"/>
      <c r="D7" s="6856"/>
      <c r="E7" s="6856"/>
      <c r="F7" s="6881"/>
      <c r="G7" s="6856"/>
      <c r="H7" s="6856"/>
      <c r="I7" s="6858"/>
      <c r="J7" s="6859"/>
      <c r="K7" s="6859"/>
      <c r="L7" s="6856"/>
      <c r="M7" s="6856"/>
      <c r="N7" s="4968"/>
      <c r="O7" s="6856"/>
      <c r="P7" s="4667" t="s">
        <v>5735</v>
      </c>
      <c r="Q7" s="4668" t="s">
        <v>5736</v>
      </c>
      <c r="R7" s="6871"/>
      <c r="S7" s="6872"/>
      <c r="T7" s="6873"/>
      <c r="U7" s="6856"/>
      <c r="V7" s="6872"/>
      <c r="W7" s="6872"/>
      <c r="X7" s="6872"/>
      <c r="Y7" s="6852"/>
      <c r="Z7" s="6852"/>
      <c r="AA7" s="6852"/>
      <c r="AB7" s="6854"/>
      <c r="AC7" s="6854"/>
      <c r="AD7" s="6854"/>
      <c r="AE7" s="6861"/>
      <c r="AF7" s="6862"/>
    </row>
    <row r="8" spans="1:32" ht="33.75" customHeight="1">
      <c r="A8" s="4669" t="s">
        <v>5737</v>
      </c>
      <c r="B8" s="4826">
        <v>46305</v>
      </c>
      <c r="C8" s="4827">
        <v>46307</v>
      </c>
      <c r="D8" s="4672">
        <f>IF(_xlfn.DAYS(C8,B8)=0,"1",_xlfn.DAYS(C8,B8))</f>
        <v>2</v>
      </c>
      <c r="E8" s="4827">
        <v>46319</v>
      </c>
      <c r="F8" s="4672">
        <f>IF(_xlfn.DAYS(E8,C8)=0,"1",_xlfn.DAYS(E8,C8))+1</f>
        <v>13</v>
      </c>
      <c r="G8" s="4827">
        <v>46321</v>
      </c>
      <c r="H8" s="4672">
        <f>IF(_xlfn.DAYS(G8,E8)=0,"1",_xlfn.DAYS(G8,E8))-1</f>
        <v>1</v>
      </c>
      <c r="I8" s="4674" t="s">
        <v>5738</v>
      </c>
      <c r="J8" s="4677">
        <v>100</v>
      </c>
      <c r="K8" s="4676">
        <v>90</v>
      </c>
      <c r="L8" s="4677">
        <v>9000</v>
      </c>
      <c r="M8" s="4677">
        <v>10000</v>
      </c>
      <c r="N8" s="4969"/>
      <c r="O8" s="4677">
        <v>8000</v>
      </c>
      <c r="P8" s="4678">
        <f>SUM(D8,F8,H8)*K8</f>
        <v>1440</v>
      </c>
      <c r="Q8" s="4677">
        <f>(D8*L8+F8*M8+H8*O8)*K8</f>
        <v>14040000</v>
      </c>
      <c r="R8" s="4682">
        <v>21</v>
      </c>
      <c r="S8" s="4680" t="s">
        <v>5739</v>
      </c>
      <c r="T8" s="4682">
        <v>21</v>
      </c>
      <c r="U8" s="4815">
        <v>1</v>
      </c>
      <c r="V8" s="4675">
        <v>154</v>
      </c>
      <c r="W8" s="4680" t="s">
        <v>4521</v>
      </c>
      <c r="X8" s="4682">
        <v>203</v>
      </c>
      <c r="Y8" s="4675">
        <v>1</v>
      </c>
      <c r="Z8" s="4675" t="s">
        <v>5740</v>
      </c>
      <c r="AA8" s="4683" t="s">
        <v>5035</v>
      </c>
      <c r="AB8" s="4675" t="s">
        <v>2830</v>
      </c>
      <c r="AC8" s="4683" t="s">
        <v>5050</v>
      </c>
      <c r="AD8" s="4675" t="s">
        <v>5741</v>
      </c>
      <c r="AE8" s="4684"/>
      <c r="AF8" s="4685">
        <f>U8*K8</f>
        <v>90</v>
      </c>
    </row>
    <row r="9" spans="1:32" ht="33.75" customHeight="1">
      <c r="A9" s="4828">
        <v>1</v>
      </c>
      <c r="B9" s="4687">
        <v>45913</v>
      </c>
      <c r="C9" s="4687">
        <v>45915</v>
      </c>
      <c r="D9" s="4672">
        <f t="shared" ref="D9:D18" si="0">IF(_xlfn.DAYS(C9,B9)=0,"1",_xlfn.DAYS(C9,B9))</f>
        <v>2</v>
      </c>
      <c r="E9" s="4816">
        <v>45933</v>
      </c>
      <c r="F9" s="4818">
        <f t="shared" ref="F9:F18" si="1">IF(_xlfn.DAYS(E9,C9)=0,"1",_xlfn.DAYS(E9,C9))+1</f>
        <v>19</v>
      </c>
      <c r="G9" s="4816">
        <v>45935</v>
      </c>
      <c r="H9" s="4672">
        <f t="shared" ref="H9:H18" si="2">IF(_xlfn.DAYS(G9,E9)=0,"1",_xlfn.DAYS(G9,E9))-1</f>
        <v>1</v>
      </c>
      <c r="I9" s="4831" t="s">
        <v>5148</v>
      </c>
      <c r="J9" s="4834">
        <v>60</v>
      </c>
      <c r="K9" s="4835">
        <v>60</v>
      </c>
      <c r="L9" s="4834">
        <v>27324</v>
      </c>
      <c r="M9" s="4834">
        <v>30947</v>
      </c>
      <c r="N9" s="4971">
        <f>M9*K9</f>
        <v>1856820</v>
      </c>
      <c r="O9" s="4834">
        <v>27324</v>
      </c>
      <c r="P9" s="4678">
        <f t="shared" ref="P9:P22" si="3">SUM(D9,F9,H9)*K9</f>
        <v>1320</v>
      </c>
      <c r="Q9" s="4677">
        <f t="shared" ref="Q9:Q23" si="4">(D9*L9+F9*M9+H9*O9)*K9</f>
        <v>40197900</v>
      </c>
      <c r="R9" s="4836">
        <v>24</v>
      </c>
      <c r="S9" s="4837" t="s">
        <v>5742</v>
      </c>
      <c r="T9" s="4836">
        <v>24</v>
      </c>
      <c r="U9" s="4838">
        <v>2</v>
      </c>
      <c r="V9" s="4834">
        <v>160</v>
      </c>
      <c r="W9" s="4837" t="s">
        <v>4521</v>
      </c>
      <c r="X9" s="4836">
        <v>200</v>
      </c>
      <c r="Y9" s="4834">
        <v>1</v>
      </c>
      <c r="Z9" s="4834" t="s">
        <v>5984</v>
      </c>
      <c r="AA9" s="4839" t="s">
        <v>5035</v>
      </c>
      <c r="AB9" s="4834" t="s">
        <v>2814</v>
      </c>
      <c r="AC9" s="4839" t="s">
        <v>5050</v>
      </c>
      <c r="AD9" s="4834" t="s">
        <v>2814</v>
      </c>
      <c r="AE9" s="4832"/>
      <c r="AF9" s="4685">
        <f t="shared" ref="AF9:AF23" si="5">U9*K9</f>
        <v>120</v>
      </c>
    </row>
    <row r="10" spans="1:32" ht="33.75" customHeight="1">
      <c r="A10" s="4828">
        <v>2</v>
      </c>
      <c r="B10" s="4687">
        <v>45913</v>
      </c>
      <c r="C10" s="4687">
        <v>45915</v>
      </c>
      <c r="D10" s="4672">
        <f t="shared" si="0"/>
        <v>2</v>
      </c>
      <c r="E10" s="4816">
        <v>45933</v>
      </c>
      <c r="F10" s="4818">
        <f t="shared" si="1"/>
        <v>19</v>
      </c>
      <c r="G10" s="4816">
        <v>45935</v>
      </c>
      <c r="H10" s="4672">
        <f t="shared" si="2"/>
        <v>1</v>
      </c>
      <c r="I10" s="4831" t="s">
        <v>5149</v>
      </c>
      <c r="J10" s="4834">
        <v>37</v>
      </c>
      <c r="K10" s="4835">
        <v>37</v>
      </c>
      <c r="L10" s="4834">
        <v>43470</v>
      </c>
      <c r="M10" s="4834">
        <v>50715</v>
      </c>
      <c r="N10" s="4971">
        <f t="shared" ref="N10:N16" si="6">M10*K10</f>
        <v>1876455</v>
      </c>
      <c r="O10" s="4834">
        <v>43470</v>
      </c>
      <c r="P10" s="4678">
        <f t="shared" si="3"/>
        <v>814</v>
      </c>
      <c r="Q10" s="4677">
        <f t="shared" si="4"/>
        <v>40477815</v>
      </c>
      <c r="R10" s="4836">
        <v>32</v>
      </c>
      <c r="S10" s="4837" t="s">
        <v>5742</v>
      </c>
      <c r="T10" s="4836">
        <v>32</v>
      </c>
      <c r="U10" s="4838">
        <v>2</v>
      </c>
      <c r="V10" s="4834">
        <v>120</v>
      </c>
      <c r="W10" s="4837" t="s">
        <v>4521</v>
      </c>
      <c r="X10" s="4836">
        <v>200</v>
      </c>
      <c r="Y10" s="4834">
        <v>2</v>
      </c>
      <c r="Z10" s="4834" t="s">
        <v>5984</v>
      </c>
      <c r="AA10" s="4839" t="s">
        <v>5035</v>
      </c>
      <c r="AB10" s="4834" t="s">
        <v>2814</v>
      </c>
      <c r="AC10" s="4839" t="s">
        <v>5050</v>
      </c>
      <c r="AD10" s="4834" t="s">
        <v>2814</v>
      </c>
      <c r="AE10" s="4832"/>
      <c r="AF10" s="4685">
        <f t="shared" si="5"/>
        <v>74</v>
      </c>
    </row>
    <row r="11" spans="1:32" ht="33.75" customHeight="1">
      <c r="A11" s="4828">
        <v>3</v>
      </c>
      <c r="B11" s="4687">
        <v>45913</v>
      </c>
      <c r="C11" s="4687">
        <v>45915</v>
      </c>
      <c r="D11" s="4672">
        <f t="shared" si="0"/>
        <v>2</v>
      </c>
      <c r="E11" s="4816">
        <v>45933</v>
      </c>
      <c r="F11" s="4818">
        <f t="shared" si="1"/>
        <v>19</v>
      </c>
      <c r="G11" s="4816">
        <v>45935</v>
      </c>
      <c r="H11" s="4672">
        <f t="shared" si="2"/>
        <v>1</v>
      </c>
      <c r="I11" s="4831" t="s">
        <v>5150</v>
      </c>
      <c r="J11" s="4834">
        <v>60</v>
      </c>
      <c r="K11" s="4835">
        <v>60</v>
      </c>
      <c r="L11" s="4834">
        <v>43470</v>
      </c>
      <c r="M11" s="4834">
        <v>50715</v>
      </c>
      <c r="N11" s="4971">
        <f t="shared" si="6"/>
        <v>3042900</v>
      </c>
      <c r="O11" s="4834">
        <v>43470</v>
      </c>
      <c r="P11" s="4678">
        <f t="shared" si="3"/>
        <v>1320</v>
      </c>
      <c r="Q11" s="4677">
        <f t="shared" si="4"/>
        <v>65639700</v>
      </c>
      <c r="R11" s="4836">
        <v>32</v>
      </c>
      <c r="S11" s="4837" t="s">
        <v>5742</v>
      </c>
      <c r="T11" s="4836">
        <v>32</v>
      </c>
      <c r="U11" s="4838">
        <v>2</v>
      </c>
      <c r="V11" s="4834">
        <v>120</v>
      </c>
      <c r="W11" s="4837" t="s">
        <v>4521</v>
      </c>
      <c r="X11" s="4836">
        <v>200</v>
      </c>
      <c r="Y11" s="4834">
        <v>2</v>
      </c>
      <c r="Z11" s="4834" t="s">
        <v>5984</v>
      </c>
      <c r="AA11" s="4839" t="s">
        <v>5035</v>
      </c>
      <c r="AB11" s="4834" t="s">
        <v>2814</v>
      </c>
      <c r="AC11" s="4839" t="s">
        <v>5050</v>
      </c>
      <c r="AD11" s="4834" t="s">
        <v>2814</v>
      </c>
      <c r="AE11" s="4832"/>
      <c r="AF11" s="4685">
        <f t="shared" si="5"/>
        <v>120</v>
      </c>
    </row>
    <row r="12" spans="1:32" ht="33.75" customHeight="1">
      <c r="A12" s="4828">
        <v>4</v>
      </c>
      <c r="B12" s="4687">
        <v>45913</v>
      </c>
      <c r="C12" s="4687">
        <v>45915</v>
      </c>
      <c r="D12" s="4672">
        <f t="shared" si="0"/>
        <v>2</v>
      </c>
      <c r="E12" s="4816">
        <v>45933</v>
      </c>
      <c r="F12" s="4818">
        <f t="shared" si="1"/>
        <v>19</v>
      </c>
      <c r="G12" s="4816">
        <v>45935</v>
      </c>
      <c r="H12" s="4672">
        <f t="shared" si="2"/>
        <v>1</v>
      </c>
      <c r="I12" s="4831" t="s">
        <v>5151</v>
      </c>
      <c r="J12" s="4834">
        <v>2</v>
      </c>
      <c r="K12" s="5493">
        <v>2</v>
      </c>
      <c r="L12" s="4834">
        <v>43470</v>
      </c>
      <c r="M12" s="4834">
        <v>50715</v>
      </c>
      <c r="N12" s="4971">
        <f t="shared" si="6"/>
        <v>101430</v>
      </c>
      <c r="O12" s="4834">
        <v>43470</v>
      </c>
      <c r="P12" s="4678">
        <f t="shared" si="3"/>
        <v>44</v>
      </c>
      <c r="Q12" s="4677">
        <f t="shared" si="4"/>
        <v>2187990</v>
      </c>
      <c r="R12" s="4836">
        <v>32</v>
      </c>
      <c r="S12" s="4837" t="s">
        <v>5742</v>
      </c>
      <c r="T12" s="4836">
        <v>32</v>
      </c>
      <c r="U12" s="4838">
        <v>2</v>
      </c>
      <c r="V12" s="4834">
        <v>120</v>
      </c>
      <c r="W12" s="4837" t="s">
        <v>4521</v>
      </c>
      <c r="X12" s="4836">
        <v>200</v>
      </c>
      <c r="Y12" s="4834">
        <v>2</v>
      </c>
      <c r="Z12" s="4834" t="s">
        <v>5984</v>
      </c>
      <c r="AA12" s="4839" t="s">
        <v>5035</v>
      </c>
      <c r="AB12" s="4834" t="s">
        <v>2814</v>
      </c>
      <c r="AC12" s="4839" t="s">
        <v>5050</v>
      </c>
      <c r="AD12" s="4834" t="s">
        <v>2814</v>
      </c>
      <c r="AE12" s="4832"/>
      <c r="AF12" s="4685">
        <f t="shared" si="5"/>
        <v>4</v>
      </c>
    </row>
    <row r="13" spans="1:32" ht="33.75" customHeight="1">
      <c r="A13" s="4828">
        <v>5</v>
      </c>
      <c r="B13" s="4687">
        <v>45913</v>
      </c>
      <c r="C13" s="4687">
        <v>45915</v>
      </c>
      <c r="D13" s="4672">
        <f t="shared" si="0"/>
        <v>2</v>
      </c>
      <c r="E13" s="4816">
        <v>45933</v>
      </c>
      <c r="F13" s="4818">
        <f t="shared" si="1"/>
        <v>19</v>
      </c>
      <c r="G13" s="4816">
        <v>45935</v>
      </c>
      <c r="H13" s="4672">
        <f t="shared" si="2"/>
        <v>1</v>
      </c>
      <c r="I13" s="4831" t="s">
        <v>5152</v>
      </c>
      <c r="J13" s="4834">
        <v>1</v>
      </c>
      <c r="K13" s="5493">
        <v>1</v>
      </c>
      <c r="L13" s="4834">
        <v>43470</v>
      </c>
      <c r="M13" s="4834">
        <v>50715</v>
      </c>
      <c r="N13" s="4971">
        <f t="shared" si="6"/>
        <v>50715</v>
      </c>
      <c r="O13" s="4834">
        <v>43470</v>
      </c>
      <c r="P13" s="4678">
        <f t="shared" si="3"/>
        <v>22</v>
      </c>
      <c r="Q13" s="4677">
        <f t="shared" si="4"/>
        <v>1093995</v>
      </c>
      <c r="R13" s="4836">
        <v>32</v>
      </c>
      <c r="S13" s="4837" t="s">
        <v>5742</v>
      </c>
      <c r="T13" s="4836">
        <v>32</v>
      </c>
      <c r="U13" s="4838">
        <v>2</v>
      </c>
      <c r="V13" s="4834">
        <v>120</v>
      </c>
      <c r="W13" s="4837" t="s">
        <v>4521</v>
      </c>
      <c r="X13" s="4836">
        <v>200</v>
      </c>
      <c r="Y13" s="4834">
        <v>2</v>
      </c>
      <c r="Z13" s="4834" t="s">
        <v>5984</v>
      </c>
      <c r="AA13" s="4839" t="s">
        <v>5035</v>
      </c>
      <c r="AB13" s="4834" t="s">
        <v>2814</v>
      </c>
      <c r="AC13" s="4839" t="s">
        <v>5050</v>
      </c>
      <c r="AD13" s="4834" t="s">
        <v>2814</v>
      </c>
      <c r="AE13" s="4832"/>
      <c r="AF13" s="4685">
        <f t="shared" si="5"/>
        <v>2</v>
      </c>
    </row>
    <row r="14" spans="1:32" ht="33.75" customHeight="1">
      <c r="A14" s="4828">
        <v>6</v>
      </c>
      <c r="B14" s="4687">
        <v>45913</v>
      </c>
      <c r="C14" s="4687">
        <v>45915</v>
      </c>
      <c r="D14" s="4672">
        <f t="shared" si="0"/>
        <v>2</v>
      </c>
      <c r="E14" s="4816">
        <v>45933</v>
      </c>
      <c r="F14" s="4818">
        <f t="shared" si="1"/>
        <v>19</v>
      </c>
      <c r="G14" s="4816">
        <v>45935</v>
      </c>
      <c r="H14" s="4672">
        <f t="shared" si="2"/>
        <v>1</v>
      </c>
      <c r="I14" s="4831" t="s">
        <v>5153</v>
      </c>
      <c r="J14" s="4834">
        <v>1</v>
      </c>
      <c r="K14" s="4835">
        <v>0</v>
      </c>
      <c r="L14" s="4834"/>
      <c r="M14" s="4834"/>
      <c r="N14" s="4971">
        <f t="shared" si="6"/>
        <v>0</v>
      </c>
      <c r="O14" s="4834"/>
      <c r="P14" s="4678">
        <f t="shared" si="3"/>
        <v>0</v>
      </c>
      <c r="Q14" s="4677">
        <f t="shared" si="4"/>
        <v>0</v>
      </c>
      <c r="R14" s="4836"/>
      <c r="S14" s="4837" t="s">
        <v>5742</v>
      </c>
      <c r="T14" s="4836"/>
      <c r="U14" s="4838"/>
      <c r="V14" s="4834"/>
      <c r="W14" s="4837" t="s">
        <v>4521</v>
      </c>
      <c r="X14" s="4836"/>
      <c r="Y14" s="4834"/>
      <c r="Z14" s="4834"/>
      <c r="AA14" s="4839" t="s">
        <v>5035</v>
      </c>
      <c r="AB14" s="4834"/>
      <c r="AC14" s="4839" t="s">
        <v>5050</v>
      </c>
      <c r="AD14" s="4834"/>
      <c r="AE14" s="4832"/>
      <c r="AF14" s="4685">
        <f t="shared" si="5"/>
        <v>0</v>
      </c>
    </row>
    <row r="15" spans="1:32" ht="33.75" customHeight="1">
      <c r="A15" s="4828">
        <v>7</v>
      </c>
      <c r="B15" s="4687">
        <v>45913</v>
      </c>
      <c r="C15" s="4687">
        <v>45915</v>
      </c>
      <c r="D15" s="4672">
        <f t="shared" si="0"/>
        <v>2</v>
      </c>
      <c r="E15" s="4816">
        <v>45933</v>
      </c>
      <c r="F15" s="4818">
        <f t="shared" si="1"/>
        <v>19</v>
      </c>
      <c r="G15" s="4816">
        <v>45935</v>
      </c>
      <c r="H15" s="4672">
        <f t="shared" si="2"/>
        <v>1</v>
      </c>
      <c r="I15" s="4831" t="s">
        <v>5154</v>
      </c>
      <c r="J15" s="4834">
        <v>133</v>
      </c>
      <c r="K15" s="4835">
        <v>0</v>
      </c>
      <c r="L15" s="4834"/>
      <c r="M15" s="4834"/>
      <c r="N15" s="4971">
        <f t="shared" si="6"/>
        <v>0</v>
      </c>
      <c r="O15" s="4834"/>
      <c r="P15" s="4678">
        <f t="shared" si="3"/>
        <v>0</v>
      </c>
      <c r="Q15" s="4677">
        <f t="shared" si="4"/>
        <v>0</v>
      </c>
      <c r="R15" s="4836"/>
      <c r="S15" s="4837" t="s">
        <v>5742</v>
      </c>
      <c r="T15" s="4836"/>
      <c r="U15" s="4838"/>
      <c r="V15" s="4834"/>
      <c r="W15" s="4837" t="s">
        <v>4521</v>
      </c>
      <c r="X15" s="4836"/>
      <c r="Y15" s="4834"/>
      <c r="Z15" s="4834"/>
      <c r="AA15" s="4839" t="s">
        <v>5035</v>
      </c>
      <c r="AB15" s="4834"/>
      <c r="AC15" s="4839" t="s">
        <v>5050</v>
      </c>
      <c r="AD15" s="4834"/>
      <c r="AE15" s="4832"/>
      <c r="AF15" s="4685">
        <f t="shared" si="5"/>
        <v>0</v>
      </c>
    </row>
    <row r="16" spans="1:32" ht="33.75" customHeight="1">
      <c r="A16" s="4828">
        <v>8</v>
      </c>
      <c r="B16" s="4687">
        <v>45913</v>
      </c>
      <c r="C16" s="4687">
        <v>45915</v>
      </c>
      <c r="D16" s="4672">
        <f t="shared" si="0"/>
        <v>2</v>
      </c>
      <c r="E16" s="4816">
        <v>45933</v>
      </c>
      <c r="F16" s="4818">
        <f t="shared" si="1"/>
        <v>19</v>
      </c>
      <c r="G16" s="4816">
        <v>45935</v>
      </c>
      <c r="H16" s="4672">
        <f t="shared" si="2"/>
        <v>1</v>
      </c>
      <c r="I16" s="4831" t="s">
        <v>5155</v>
      </c>
      <c r="J16" s="4834">
        <v>1</v>
      </c>
      <c r="K16" s="4835">
        <v>0</v>
      </c>
      <c r="L16" s="4834"/>
      <c r="M16" s="4834"/>
      <c r="N16" s="4971">
        <f t="shared" si="6"/>
        <v>0</v>
      </c>
      <c r="O16" s="4834"/>
      <c r="P16" s="4678">
        <f t="shared" si="3"/>
        <v>0</v>
      </c>
      <c r="Q16" s="4677">
        <f t="shared" si="4"/>
        <v>0</v>
      </c>
      <c r="R16" s="4836"/>
      <c r="S16" s="4837" t="s">
        <v>5742</v>
      </c>
      <c r="T16" s="4836"/>
      <c r="U16" s="4838"/>
      <c r="V16" s="4834"/>
      <c r="W16" s="4837" t="s">
        <v>4521</v>
      </c>
      <c r="X16" s="4836"/>
      <c r="Y16" s="4834"/>
      <c r="Z16" s="4834"/>
      <c r="AA16" s="4839" t="s">
        <v>5035</v>
      </c>
      <c r="AB16" s="4834"/>
      <c r="AC16" s="4839" t="s">
        <v>5050</v>
      </c>
      <c r="AD16" s="4834"/>
      <c r="AE16" s="4832"/>
      <c r="AF16" s="4685">
        <f t="shared" si="5"/>
        <v>0</v>
      </c>
    </row>
    <row r="17" spans="1:32" ht="33.75" customHeight="1">
      <c r="A17" s="4828">
        <v>9</v>
      </c>
      <c r="B17" s="4687">
        <v>45913</v>
      </c>
      <c r="C17" s="4687">
        <v>45915</v>
      </c>
      <c r="D17" s="4672">
        <f t="shared" si="0"/>
        <v>2</v>
      </c>
      <c r="E17" s="4816">
        <v>45933</v>
      </c>
      <c r="F17" s="4818">
        <f t="shared" si="1"/>
        <v>19</v>
      </c>
      <c r="G17" s="4816">
        <v>45935</v>
      </c>
      <c r="H17" s="4672">
        <f t="shared" si="2"/>
        <v>1</v>
      </c>
      <c r="I17" s="4831" t="s">
        <v>5156</v>
      </c>
      <c r="J17" s="4834">
        <v>13</v>
      </c>
      <c r="K17" s="4835">
        <v>0</v>
      </c>
      <c r="L17" s="4834"/>
      <c r="M17" s="4834"/>
      <c r="N17" s="4834"/>
      <c r="O17" s="4834"/>
      <c r="P17" s="4678">
        <f t="shared" si="3"/>
        <v>0</v>
      </c>
      <c r="Q17" s="4677">
        <f t="shared" si="4"/>
        <v>0</v>
      </c>
      <c r="R17" s="4836"/>
      <c r="S17" s="4837" t="s">
        <v>5742</v>
      </c>
      <c r="T17" s="4836"/>
      <c r="U17" s="4838"/>
      <c r="V17" s="4834"/>
      <c r="W17" s="4837" t="s">
        <v>4521</v>
      </c>
      <c r="X17" s="4836"/>
      <c r="Y17" s="4834"/>
      <c r="Z17" s="4834"/>
      <c r="AA17" s="4839" t="s">
        <v>5035</v>
      </c>
      <c r="AB17" s="4834"/>
      <c r="AC17" s="4839" t="s">
        <v>5050</v>
      </c>
      <c r="AD17" s="4834"/>
      <c r="AE17" s="4832"/>
      <c r="AF17" s="4685">
        <f t="shared" si="5"/>
        <v>0</v>
      </c>
    </row>
    <row r="18" spans="1:32" ht="33.75" customHeight="1">
      <c r="A18" s="4828">
        <v>10</v>
      </c>
      <c r="B18" s="4687">
        <v>45913</v>
      </c>
      <c r="C18" s="4687">
        <v>45915</v>
      </c>
      <c r="D18" s="4672">
        <f t="shared" si="0"/>
        <v>2</v>
      </c>
      <c r="E18" s="4816">
        <v>45933</v>
      </c>
      <c r="F18" s="4818">
        <f t="shared" si="1"/>
        <v>19</v>
      </c>
      <c r="G18" s="4816">
        <v>45935</v>
      </c>
      <c r="H18" s="4672">
        <f t="shared" si="2"/>
        <v>1</v>
      </c>
      <c r="I18" s="4831" t="s">
        <v>6292</v>
      </c>
      <c r="J18" s="4834">
        <v>73</v>
      </c>
      <c r="K18" s="4835">
        <v>0</v>
      </c>
      <c r="L18" s="4834"/>
      <c r="M18" s="4834"/>
      <c r="N18" s="4834"/>
      <c r="O18" s="4834"/>
      <c r="P18" s="4678">
        <f t="shared" si="3"/>
        <v>0</v>
      </c>
      <c r="Q18" s="4677">
        <f t="shared" si="4"/>
        <v>0</v>
      </c>
      <c r="R18" s="4836"/>
      <c r="S18" s="4837" t="s">
        <v>5742</v>
      </c>
      <c r="T18" s="4836"/>
      <c r="U18" s="4838"/>
      <c r="V18" s="4834"/>
      <c r="W18" s="4837" t="s">
        <v>4521</v>
      </c>
      <c r="X18" s="4836"/>
      <c r="Y18" s="4834"/>
      <c r="Z18" s="4834"/>
      <c r="AA18" s="4839" t="s">
        <v>5035</v>
      </c>
      <c r="AB18" s="4834"/>
      <c r="AC18" s="4839" t="s">
        <v>5050</v>
      </c>
      <c r="AD18" s="4834"/>
      <c r="AE18" s="4832"/>
      <c r="AF18" s="4685">
        <f t="shared" si="5"/>
        <v>0</v>
      </c>
    </row>
    <row r="19" spans="1:32" ht="33.75" customHeight="1">
      <c r="A19" s="4828">
        <v>11</v>
      </c>
      <c r="B19" s="4833"/>
      <c r="C19" s="4829"/>
      <c r="D19" s="4672" t="str">
        <f t="shared" ref="D19:D23" si="7">IF(_xlfn.DAYS(C19,B19)=0,"1",_xlfn.DAYS(C19,B19))</f>
        <v>1</v>
      </c>
      <c r="E19" s="4829"/>
      <c r="F19" s="4672">
        <f t="shared" ref="F19:F23" si="8">IF(_xlfn.DAYS(E19,C19)=0,"1",_xlfn.DAYS(E19,C19))+1</f>
        <v>2</v>
      </c>
      <c r="G19" s="4699"/>
      <c r="H19" s="4672">
        <f t="shared" ref="H19:H23" si="9">IF(_xlfn.DAYS(G19,E19)=0,"1",_xlfn.DAYS(G19,E19))-1</f>
        <v>0</v>
      </c>
      <c r="I19" s="4831"/>
      <c r="J19" s="4834"/>
      <c r="K19" s="4835"/>
      <c r="L19" s="4834"/>
      <c r="M19" s="4834"/>
      <c r="N19" s="4834"/>
      <c r="O19" s="4834"/>
      <c r="P19" s="4678">
        <f t="shared" si="3"/>
        <v>0</v>
      </c>
      <c r="Q19" s="4677">
        <f t="shared" si="4"/>
        <v>0</v>
      </c>
      <c r="R19" s="4836"/>
      <c r="S19" s="4837" t="s">
        <v>5742</v>
      </c>
      <c r="T19" s="4836"/>
      <c r="U19" s="4838"/>
      <c r="V19" s="4834"/>
      <c r="W19" s="4837" t="s">
        <v>4521</v>
      </c>
      <c r="X19" s="4836"/>
      <c r="Y19" s="4834"/>
      <c r="Z19" s="4834"/>
      <c r="AA19" s="4839" t="s">
        <v>5035</v>
      </c>
      <c r="AB19" s="4834"/>
      <c r="AC19" s="4839" t="s">
        <v>5050</v>
      </c>
      <c r="AD19" s="4834"/>
      <c r="AE19" s="4832"/>
      <c r="AF19" s="4685">
        <f t="shared" si="5"/>
        <v>0</v>
      </c>
    </row>
    <row r="20" spans="1:32" ht="33.75" customHeight="1">
      <c r="A20" s="4828">
        <v>12</v>
      </c>
      <c r="B20" s="4833"/>
      <c r="C20" s="4829"/>
      <c r="D20" s="4672" t="str">
        <f t="shared" si="7"/>
        <v>1</v>
      </c>
      <c r="E20" s="4829"/>
      <c r="F20" s="4672">
        <f t="shared" si="8"/>
        <v>2</v>
      </c>
      <c r="G20" s="4699"/>
      <c r="H20" s="4672">
        <f t="shared" si="9"/>
        <v>0</v>
      </c>
      <c r="I20" s="4831"/>
      <c r="J20" s="4834"/>
      <c r="K20" s="4835"/>
      <c r="L20" s="4834"/>
      <c r="M20" s="4834"/>
      <c r="N20" s="4834"/>
      <c r="O20" s="4834"/>
      <c r="P20" s="4678">
        <f t="shared" si="3"/>
        <v>0</v>
      </c>
      <c r="Q20" s="4677">
        <f t="shared" si="4"/>
        <v>0</v>
      </c>
      <c r="R20" s="4836"/>
      <c r="S20" s="4837" t="s">
        <v>5742</v>
      </c>
      <c r="T20" s="4836"/>
      <c r="U20" s="4838"/>
      <c r="V20" s="4834"/>
      <c r="W20" s="4837" t="s">
        <v>4521</v>
      </c>
      <c r="X20" s="4836"/>
      <c r="Y20" s="4834"/>
      <c r="Z20" s="4834"/>
      <c r="AA20" s="4839" t="s">
        <v>5035</v>
      </c>
      <c r="AB20" s="4834"/>
      <c r="AC20" s="4839" t="s">
        <v>5050</v>
      </c>
      <c r="AD20" s="4834"/>
      <c r="AE20" s="4832"/>
      <c r="AF20" s="4685">
        <f t="shared" si="5"/>
        <v>0</v>
      </c>
    </row>
    <row r="21" spans="1:32" ht="33.75" customHeight="1">
      <c r="A21" s="4828">
        <v>13</v>
      </c>
      <c r="B21" s="4833"/>
      <c r="C21" s="4829"/>
      <c r="D21" s="4672" t="str">
        <f t="shared" si="7"/>
        <v>1</v>
      </c>
      <c r="E21" s="4829"/>
      <c r="F21" s="4672">
        <f t="shared" si="8"/>
        <v>2</v>
      </c>
      <c r="G21" s="4699"/>
      <c r="H21" s="4672">
        <f t="shared" si="9"/>
        <v>0</v>
      </c>
      <c r="I21" s="4831"/>
      <c r="J21" s="4834"/>
      <c r="K21" s="4835"/>
      <c r="L21" s="4834"/>
      <c r="M21" s="4834"/>
      <c r="N21" s="4834"/>
      <c r="O21" s="4834"/>
      <c r="P21" s="4678">
        <f t="shared" si="3"/>
        <v>0</v>
      </c>
      <c r="Q21" s="4677">
        <f t="shared" si="4"/>
        <v>0</v>
      </c>
      <c r="R21" s="4836"/>
      <c r="S21" s="4837" t="s">
        <v>5742</v>
      </c>
      <c r="T21" s="4836"/>
      <c r="U21" s="4838"/>
      <c r="V21" s="4834"/>
      <c r="W21" s="4837" t="s">
        <v>4521</v>
      </c>
      <c r="X21" s="4836"/>
      <c r="Y21" s="4834"/>
      <c r="Z21" s="4834"/>
      <c r="AA21" s="4839" t="s">
        <v>5035</v>
      </c>
      <c r="AB21" s="4834"/>
      <c r="AC21" s="4839" t="s">
        <v>5050</v>
      </c>
      <c r="AD21" s="4834"/>
      <c r="AE21" s="4832"/>
      <c r="AF21" s="4685">
        <f t="shared" si="5"/>
        <v>0</v>
      </c>
    </row>
    <row r="22" spans="1:32" ht="33.75" customHeight="1">
      <c r="A22" s="4828">
        <v>14</v>
      </c>
      <c r="B22" s="4833"/>
      <c r="C22" s="4829"/>
      <c r="D22" s="4672" t="str">
        <f t="shared" si="7"/>
        <v>1</v>
      </c>
      <c r="E22" s="4829"/>
      <c r="F22" s="4672">
        <f t="shared" si="8"/>
        <v>2</v>
      </c>
      <c r="G22" s="4699"/>
      <c r="H22" s="4672">
        <f t="shared" si="9"/>
        <v>0</v>
      </c>
      <c r="I22" s="4831"/>
      <c r="J22" s="4834"/>
      <c r="K22" s="4835"/>
      <c r="L22" s="4834"/>
      <c r="M22" s="4834"/>
      <c r="N22" s="4834"/>
      <c r="O22" s="4834"/>
      <c r="P22" s="4678">
        <f t="shared" si="3"/>
        <v>0</v>
      </c>
      <c r="Q22" s="4677">
        <f t="shared" si="4"/>
        <v>0</v>
      </c>
      <c r="R22" s="4836"/>
      <c r="S22" s="4837" t="s">
        <v>5742</v>
      </c>
      <c r="T22" s="4836"/>
      <c r="U22" s="4838"/>
      <c r="V22" s="4834"/>
      <c r="W22" s="4837" t="s">
        <v>4521</v>
      </c>
      <c r="X22" s="4836"/>
      <c r="Y22" s="4834"/>
      <c r="Z22" s="4834"/>
      <c r="AA22" s="4839" t="s">
        <v>5035</v>
      </c>
      <c r="AB22" s="4834"/>
      <c r="AC22" s="4839" t="s">
        <v>5050</v>
      </c>
      <c r="AD22" s="4834"/>
      <c r="AE22" s="4832"/>
      <c r="AF22" s="4685">
        <f t="shared" si="5"/>
        <v>0</v>
      </c>
    </row>
    <row r="23" spans="1:32" ht="33.75" customHeight="1" thickBot="1">
      <c r="A23" s="4828">
        <v>15</v>
      </c>
      <c r="B23" s="4833"/>
      <c r="C23" s="4829"/>
      <c r="D23" s="4672" t="str">
        <f t="shared" si="7"/>
        <v>1</v>
      </c>
      <c r="E23" s="4829"/>
      <c r="F23" s="4672">
        <f t="shared" si="8"/>
        <v>2</v>
      </c>
      <c r="G23" s="4699"/>
      <c r="H23" s="4672">
        <f t="shared" si="9"/>
        <v>0</v>
      </c>
      <c r="I23" s="4831"/>
      <c r="J23" s="4834"/>
      <c r="K23" s="4835"/>
      <c r="L23" s="4834"/>
      <c r="M23" s="4834"/>
      <c r="N23" s="4834"/>
      <c r="O23" s="4834"/>
      <c r="P23" s="4678">
        <f>SUM(D23,F23,H23)*K23</f>
        <v>0</v>
      </c>
      <c r="Q23" s="4677">
        <f t="shared" si="4"/>
        <v>0</v>
      </c>
      <c r="R23" s="4836"/>
      <c r="S23" s="4837" t="s">
        <v>5739</v>
      </c>
      <c r="T23" s="4836"/>
      <c r="U23" s="4838"/>
      <c r="V23" s="4834"/>
      <c r="W23" s="4837" t="s">
        <v>4521</v>
      </c>
      <c r="X23" s="4836"/>
      <c r="Y23" s="4834"/>
      <c r="Z23" s="4834"/>
      <c r="AA23" s="4839" t="s">
        <v>5035</v>
      </c>
      <c r="AB23" s="4834"/>
      <c r="AC23" s="4839" t="s">
        <v>5050</v>
      </c>
      <c r="AD23" s="4834"/>
      <c r="AE23" s="4832"/>
      <c r="AF23" s="4685">
        <f t="shared" si="5"/>
        <v>0</v>
      </c>
    </row>
    <row r="24" spans="1:32" ht="33.75" customHeight="1" thickTop="1" thickBot="1">
      <c r="A24" s="4840"/>
      <c r="B24" s="4841"/>
      <c r="C24" s="4841"/>
      <c r="D24" s="4841"/>
      <c r="E24" s="4841"/>
      <c r="F24" s="4842"/>
      <c r="G24" s="4843"/>
      <c r="H24" s="4841"/>
      <c r="I24" s="4844" t="s">
        <v>2432</v>
      </c>
      <c r="J24" s="4845">
        <f>SUM(J9:J23)</f>
        <v>381</v>
      </c>
      <c r="K24" s="4846">
        <f>SUM(K9:K23)</f>
        <v>160</v>
      </c>
      <c r="L24" s="4843"/>
      <c r="M24" s="4843"/>
      <c r="N24" s="4843"/>
      <c r="O24" s="4843"/>
      <c r="P24" s="4845">
        <f>SUM(P9:P23)</f>
        <v>3520</v>
      </c>
      <c r="Q24" s="4845">
        <f>SUM(Q9:Q23)</f>
        <v>149597400</v>
      </c>
      <c r="R24" s="6901"/>
      <c r="S24" s="6901"/>
      <c r="T24" s="6901"/>
      <c r="U24" s="4847"/>
      <c r="V24" s="6902"/>
      <c r="W24" s="6901"/>
      <c r="X24" s="6901"/>
      <c r="Y24" s="4847"/>
      <c r="Z24" s="4847"/>
      <c r="AA24" s="6903"/>
      <c r="AB24" s="6904"/>
      <c r="AC24" s="6903"/>
      <c r="AD24" s="6904"/>
      <c r="AE24" s="4848"/>
      <c r="AF24" s="4685">
        <f>SUM(AF9:AF23)</f>
        <v>320</v>
      </c>
    </row>
    <row r="25" spans="1:32" ht="32.15" customHeight="1" thickBot="1">
      <c r="C25" s="4710"/>
      <c r="D25" s="4710"/>
      <c r="E25" s="4710"/>
      <c r="F25" s="4710"/>
      <c r="G25" s="4710"/>
      <c r="H25" s="4710"/>
      <c r="I25" s="4711"/>
      <c r="J25" s="4712"/>
      <c r="K25" s="4710"/>
      <c r="L25" s="4713" t="s">
        <v>5748</v>
      </c>
      <c r="M25" s="4714">
        <f>SUM(N6:N23)</f>
        <v>6928320</v>
      </c>
      <c r="N25" s="4715"/>
      <c r="O25" s="4715"/>
      <c r="P25" s="4715"/>
      <c r="S25" s="4656"/>
      <c r="W25" s="4656"/>
      <c r="AF25" s="4849"/>
    </row>
    <row r="26" spans="1:32" ht="33.75" customHeight="1">
      <c r="A26" s="6845" t="s">
        <v>5749</v>
      </c>
      <c r="B26" s="6846"/>
      <c r="C26" s="4716">
        <f>P24</f>
        <v>3520</v>
      </c>
      <c r="D26" s="4717"/>
      <c r="F26" s="4718"/>
      <c r="G26" s="4850"/>
      <c r="H26" s="4719"/>
      <c r="I26" s="4720"/>
      <c r="L26" s="4721" t="s">
        <v>5750</v>
      </c>
      <c r="M26" s="4722">
        <f>M25*1.1</f>
        <v>7621152.0000000009</v>
      </c>
      <c r="P26" s="4656"/>
      <c r="AF26" s="4851"/>
    </row>
    <row r="27" spans="1:32" ht="33.75" customHeight="1">
      <c r="A27" s="6910" t="s">
        <v>5883</v>
      </c>
      <c r="B27" s="6911"/>
      <c r="C27" s="4723">
        <f>Q24</f>
        <v>149597400</v>
      </c>
      <c r="D27" s="4717"/>
      <c r="F27" s="4724"/>
      <c r="G27" s="4852"/>
      <c r="H27" s="4719"/>
      <c r="I27" s="4720"/>
      <c r="P27" s="4656"/>
      <c r="AF27" s="4851"/>
    </row>
    <row r="28" spans="1:32" ht="33.75" customHeight="1" thickBot="1">
      <c r="A28" s="6913" t="s">
        <v>5751</v>
      </c>
      <c r="B28" s="6914"/>
      <c r="C28" s="4987">
        <f>ROUNDDOWN(C27*1.1,0)</f>
        <v>164557140</v>
      </c>
      <c r="D28" s="4940"/>
      <c r="E28" s="4941"/>
      <c r="F28" s="4942"/>
      <c r="G28" s="4943"/>
      <c r="H28" s="4940"/>
      <c r="I28" s="4944"/>
      <c r="J28" s="4943"/>
      <c r="K28" s="4861"/>
      <c r="L28" s="4861"/>
      <c r="M28" s="4861"/>
      <c r="N28" s="4861"/>
      <c r="O28" s="4861"/>
      <c r="P28" s="4943"/>
      <c r="Q28" s="4943"/>
      <c r="R28" s="4941"/>
      <c r="S28" s="4941"/>
      <c r="T28" s="4941"/>
      <c r="U28" s="4941"/>
      <c r="V28" s="4941"/>
      <c r="W28" s="4941"/>
      <c r="X28" s="4941"/>
      <c r="Y28" s="4941"/>
      <c r="Z28" s="4941"/>
      <c r="AA28" s="4941"/>
      <c r="AB28" s="4941"/>
      <c r="AC28" s="4941"/>
      <c r="AD28" s="4941"/>
      <c r="AE28" s="4941"/>
      <c r="AF28" s="4941"/>
    </row>
    <row r="29" spans="1:32" ht="33.75" customHeight="1">
      <c r="A29" s="4729"/>
      <c r="B29" s="4729"/>
      <c r="C29" s="4729"/>
      <c r="D29" s="4729"/>
      <c r="E29" s="4729"/>
      <c r="F29" s="4729"/>
      <c r="G29" s="4726"/>
      <c r="H29" s="4729"/>
      <c r="I29" s="4720"/>
      <c r="P29" s="4656"/>
    </row>
    <row r="30" spans="1:32" ht="33.75" customHeight="1" thickBot="1">
      <c r="A30" s="4665" t="s">
        <v>5807</v>
      </c>
      <c r="B30" s="4665"/>
      <c r="S30" s="4656"/>
      <c r="W30" s="4656"/>
      <c r="Z30" s="4656"/>
      <c r="AA30" s="4656"/>
      <c r="AB30" s="4656"/>
      <c r="AC30" s="4656"/>
      <c r="AD30" s="4656"/>
      <c r="AF30" s="4656" t="s">
        <v>5712</v>
      </c>
    </row>
    <row r="31" spans="1:32" s="4666" customFormat="1" ht="33.75" customHeight="1">
      <c r="A31" s="6877" t="s">
        <v>5713</v>
      </c>
      <c r="B31" s="6879" t="s">
        <v>5714</v>
      </c>
      <c r="C31" s="6855" t="s">
        <v>5715</v>
      </c>
      <c r="D31" s="6855" t="s">
        <v>5716</v>
      </c>
      <c r="E31" s="6855" t="s">
        <v>5717</v>
      </c>
      <c r="F31" s="6868" t="s">
        <v>5718</v>
      </c>
      <c r="G31" s="6855" t="s">
        <v>5719</v>
      </c>
      <c r="H31" s="6855" t="s">
        <v>5720</v>
      </c>
      <c r="I31" s="6857" t="s">
        <v>5721</v>
      </c>
      <c r="J31" s="6851" t="s">
        <v>5722</v>
      </c>
      <c r="K31" s="6851" t="s">
        <v>5723</v>
      </c>
      <c r="L31" s="6855" t="s">
        <v>5796</v>
      </c>
      <c r="M31" s="6855" t="s">
        <v>5797</v>
      </c>
      <c r="N31" s="4967" t="s">
        <v>5726</v>
      </c>
      <c r="O31" s="6855" t="s">
        <v>5798</v>
      </c>
      <c r="P31" s="6851" t="s">
        <v>3766</v>
      </c>
      <c r="Q31" s="6853"/>
      <c r="R31" s="6868" t="s">
        <v>5728</v>
      </c>
      <c r="S31" s="6869"/>
      <c r="T31" s="6870"/>
      <c r="U31" s="6855" t="s">
        <v>5729</v>
      </c>
      <c r="V31" s="6869" t="s">
        <v>5730</v>
      </c>
      <c r="W31" s="6869"/>
      <c r="X31" s="6869"/>
      <c r="Y31" s="6868" t="s">
        <v>5731</v>
      </c>
      <c r="Z31" s="6851" t="s">
        <v>5732</v>
      </c>
      <c r="AA31" s="6851" t="s">
        <v>5733</v>
      </c>
      <c r="AB31" s="6853"/>
      <c r="AC31" s="6853"/>
      <c r="AD31" s="6853"/>
      <c r="AE31" s="6860" t="s">
        <v>2792</v>
      </c>
      <c r="AF31" s="6862" t="s">
        <v>5734</v>
      </c>
    </row>
    <row r="32" spans="1:32" s="4666" customFormat="1" ht="20">
      <c r="A32" s="6878"/>
      <c r="B32" s="6880"/>
      <c r="C32" s="6858"/>
      <c r="D32" s="6856"/>
      <c r="E32" s="6856"/>
      <c r="F32" s="6881"/>
      <c r="G32" s="6856"/>
      <c r="H32" s="6856"/>
      <c r="I32" s="6858"/>
      <c r="J32" s="6859"/>
      <c r="K32" s="6859"/>
      <c r="L32" s="6856"/>
      <c r="M32" s="6856"/>
      <c r="N32" s="4968"/>
      <c r="O32" s="6856"/>
      <c r="P32" s="4667" t="s">
        <v>5735</v>
      </c>
      <c r="Q32" s="4668" t="s">
        <v>5736</v>
      </c>
      <c r="R32" s="6871"/>
      <c r="S32" s="6872"/>
      <c r="T32" s="6873"/>
      <c r="U32" s="6856"/>
      <c r="V32" s="6872"/>
      <c r="W32" s="6872"/>
      <c r="X32" s="6872"/>
      <c r="Y32" s="6852"/>
      <c r="Z32" s="6852"/>
      <c r="AA32" s="6852"/>
      <c r="AB32" s="6854"/>
      <c r="AC32" s="6854"/>
      <c r="AD32" s="6854"/>
      <c r="AE32" s="6861"/>
      <c r="AF32" s="6862"/>
    </row>
    <row r="33" spans="1:32" ht="33.75" customHeight="1">
      <c r="A33" s="4669" t="s">
        <v>5737</v>
      </c>
      <c r="B33" s="4826">
        <v>46305</v>
      </c>
      <c r="C33" s="4827">
        <v>46307</v>
      </c>
      <c r="D33" s="4672">
        <f>IF(_xlfn.DAYS(C33,B33)=0,"1",_xlfn.DAYS(C33,B33))</f>
        <v>2</v>
      </c>
      <c r="E33" s="4827">
        <v>46319</v>
      </c>
      <c r="F33" s="4672">
        <f>IF(_xlfn.DAYS(E33,C33)=0,"1",_xlfn.DAYS(E33,C33))+1</f>
        <v>13</v>
      </c>
      <c r="G33" s="4827">
        <v>46321</v>
      </c>
      <c r="H33" s="4672">
        <f>IF(_xlfn.DAYS(G33,E33)=0,"1",_xlfn.DAYS(G33,E33))-1</f>
        <v>1</v>
      </c>
      <c r="I33" s="4674" t="s">
        <v>5738</v>
      </c>
      <c r="J33" s="4677">
        <v>100</v>
      </c>
      <c r="K33" s="4676">
        <v>90</v>
      </c>
      <c r="L33" s="4677">
        <v>9000</v>
      </c>
      <c r="M33" s="4677">
        <v>10000</v>
      </c>
      <c r="N33" s="4969"/>
      <c r="O33" s="4677">
        <v>8000</v>
      </c>
      <c r="P33" s="4678">
        <f>SUM(D33,F33,H33)*K33</f>
        <v>1440</v>
      </c>
      <c r="Q33" s="4677">
        <f>(D33*L33+F33*M33+H33*O33)*K33</f>
        <v>14040000</v>
      </c>
      <c r="R33" s="4682">
        <v>21</v>
      </c>
      <c r="S33" s="4680" t="s">
        <v>5739</v>
      </c>
      <c r="T33" s="4682">
        <v>21</v>
      </c>
      <c r="U33" s="4815">
        <v>1</v>
      </c>
      <c r="V33" s="4675">
        <v>154</v>
      </c>
      <c r="W33" s="4680" t="s">
        <v>4521</v>
      </c>
      <c r="X33" s="4682">
        <v>203</v>
      </c>
      <c r="Y33" s="4675">
        <v>1</v>
      </c>
      <c r="Z33" s="4675" t="s">
        <v>5740</v>
      </c>
      <c r="AA33" s="4683" t="s">
        <v>5035</v>
      </c>
      <c r="AB33" s="4675" t="s">
        <v>2830</v>
      </c>
      <c r="AC33" s="4683" t="s">
        <v>5050</v>
      </c>
      <c r="AD33" s="4675" t="s">
        <v>5741</v>
      </c>
      <c r="AE33" s="4684"/>
      <c r="AF33" s="4685">
        <f>U33*K33</f>
        <v>90</v>
      </c>
    </row>
    <row r="34" spans="1:32" ht="33.75" customHeight="1">
      <c r="A34" s="4828">
        <v>1</v>
      </c>
      <c r="B34" s="4816">
        <v>45939</v>
      </c>
      <c r="C34" s="4816">
        <v>45941</v>
      </c>
      <c r="D34" s="4817">
        <f t="shared" ref="D34:D48" si="10">IF(_xlfn.DAYS(C34,B34)=0,"1",_xlfn.DAYS(C34,B34))</f>
        <v>2</v>
      </c>
      <c r="E34" s="4816">
        <v>45955</v>
      </c>
      <c r="F34" s="4818">
        <f t="shared" ref="F34:F48" si="11">IF(_xlfn.DAYS(E34,C34)=0,"1",_xlfn.DAYS(E34,C34))+1</f>
        <v>15</v>
      </c>
      <c r="G34" s="5146">
        <v>45957</v>
      </c>
      <c r="H34" s="4672">
        <f t="shared" ref="H34:H48" si="12">IF(_xlfn.DAYS(G34,E34)=0,"1",_xlfn.DAYS(G34,E34))-1</f>
        <v>1</v>
      </c>
      <c r="I34" s="4831" t="s">
        <v>5148</v>
      </c>
      <c r="J34" s="4834">
        <v>60</v>
      </c>
      <c r="K34" s="4835">
        <v>60</v>
      </c>
      <c r="L34" s="4834">
        <v>27324</v>
      </c>
      <c r="M34" s="4834">
        <v>30947</v>
      </c>
      <c r="N34" s="4971">
        <f>M34*K34</f>
        <v>1856820</v>
      </c>
      <c r="O34" s="4834">
        <v>27324</v>
      </c>
      <c r="P34" s="4678">
        <f t="shared" ref="P34:P47" si="13">SUM(D34,F34,H34)*K34</f>
        <v>1080</v>
      </c>
      <c r="Q34" s="4677">
        <f t="shared" ref="Q34:Q48" si="14">(D34*L34+F34*M34+H34*O34)*K34</f>
        <v>32770620</v>
      </c>
      <c r="R34" s="4836">
        <v>24</v>
      </c>
      <c r="S34" s="4837" t="s">
        <v>5742</v>
      </c>
      <c r="T34" s="4836">
        <v>24</v>
      </c>
      <c r="U34" s="4838">
        <v>2</v>
      </c>
      <c r="V34" s="4834">
        <v>160</v>
      </c>
      <c r="W34" s="4837" t="s">
        <v>4521</v>
      </c>
      <c r="X34" s="4836">
        <v>200</v>
      </c>
      <c r="Y34" s="4834">
        <v>1</v>
      </c>
      <c r="Z34" s="4834" t="s">
        <v>5984</v>
      </c>
      <c r="AA34" s="4839" t="s">
        <v>5035</v>
      </c>
      <c r="AB34" s="4834" t="s">
        <v>2814</v>
      </c>
      <c r="AC34" s="4839" t="s">
        <v>5050</v>
      </c>
      <c r="AD34" s="4834" t="s">
        <v>2814</v>
      </c>
      <c r="AE34" s="4832"/>
      <c r="AF34" s="4685">
        <f t="shared" ref="AF34:AF48" si="15">U34*K34</f>
        <v>120</v>
      </c>
    </row>
    <row r="35" spans="1:32" ht="33.75" customHeight="1">
      <c r="A35" s="4828">
        <v>2</v>
      </c>
      <c r="B35" s="4816">
        <v>45939</v>
      </c>
      <c r="C35" s="4816">
        <v>45941</v>
      </c>
      <c r="D35" s="4817">
        <f t="shared" si="10"/>
        <v>2</v>
      </c>
      <c r="E35" s="4816">
        <v>45955</v>
      </c>
      <c r="F35" s="4818">
        <f t="shared" si="11"/>
        <v>15</v>
      </c>
      <c r="G35" s="5146">
        <v>45957</v>
      </c>
      <c r="H35" s="4672">
        <f t="shared" si="12"/>
        <v>1</v>
      </c>
      <c r="I35" s="4831" t="s">
        <v>5149</v>
      </c>
      <c r="J35" s="4834">
        <v>37</v>
      </c>
      <c r="K35" s="4835">
        <v>37</v>
      </c>
      <c r="L35" s="4834">
        <v>43470</v>
      </c>
      <c r="M35" s="4834">
        <v>50715</v>
      </c>
      <c r="N35" s="4971">
        <f t="shared" ref="N35:N41" si="16">M35*K35</f>
        <v>1876455</v>
      </c>
      <c r="O35" s="4834">
        <v>43470</v>
      </c>
      <c r="P35" s="4678">
        <f t="shared" si="13"/>
        <v>666</v>
      </c>
      <c r="Q35" s="4677">
        <f t="shared" si="14"/>
        <v>32971995</v>
      </c>
      <c r="R35" s="4836">
        <v>32</v>
      </c>
      <c r="S35" s="4837" t="s">
        <v>5742</v>
      </c>
      <c r="T35" s="4836">
        <v>32</v>
      </c>
      <c r="U35" s="4838">
        <v>2</v>
      </c>
      <c r="V35" s="4834">
        <v>120</v>
      </c>
      <c r="W35" s="4837" t="s">
        <v>4521</v>
      </c>
      <c r="X35" s="4836">
        <v>200</v>
      </c>
      <c r="Y35" s="4834">
        <v>2</v>
      </c>
      <c r="Z35" s="4834" t="s">
        <v>5984</v>
      </c>
      <c r="AA35" s="4839" t="s">
        <v>5035</v>
      </c>
      <c r="AB35" s="4834" t="s">
        <v>2814</v>
      </c>
      <c r="AC35" s="4839" t="s">
        <v>5050</v>
      </c>
      <c r="AD35" s="4834" t="s">
        <v>2814</v>
      </c>
      <c r="AE35" s="4832"/>
      <c r="AF35" s="4685">
        <f t="shared" si="15"/>
        <v>74</v>
      </c>
    </row>
    <row r="36" spans="1:32" ht="33.75" customHeight="1">
      <c r="A36" s="4828">
        <v>3</v>
      </c>
      <c r="B36" s="4816">
        <v>45939</v>
      </c>
      <c r="C36" s="4816">
        <v>45941</v>
      </c>
      <c r="D36" s="4817">
        <f t="shared" si="10"/>
        <v>2</v>
      </c>
      <c r="E36" s="4816">
        <v>45955</v>
      </c>
      <c r="F36" s="4818">
        <f t="shared" si="11"/>
        <v>15</v>
      </c>
      <c r="G36" s="5146">
        <v>45957</v>
      </c>
      <c r="H36" s="4672">
        <f t="shared" si="12"/>
        <v>1</v>
      </c>
      <c r="I36" s="4831" t="s">
        <v>5150</v>
      </c>
      <c r="J36" s="4834">
        <v>60</v>
      </c>
      <c r="K36" s="4835">
        <v>60</v>
      </c>
      <c r="L36" s="4834">
        <v>43470</v>
      </c>
      <c r="M36" s="4834">
        <v>50715</v>
      </c>
      <c r="N36" s="4971">
        <f t="shared" si="16"/>
        <v>3042900</v>
      </c>
      <c r="O36" s="4834">
        <v>43470</v>
      </c>
      <c r="P36" s="4678">
        <f t="shared" si="13"/>
        <v>1080</v>
      </c>
      <c r="Q36" s="4677">
        <f t="shared" si="14"/>
        <v>53468100</v>
      </c>
      <c r="R36" s="4836">
        <v>32</v>
      </c>
      <c r="S36" s="4837" t="s">
        <v>5742</v>
      </c>
      <c r="T36" s="4836">
        <v>32</v>
      </c>
      <c r="U36" s="4838">
        <v>2</v>
      </c>
      <c r="V36" s="4834">
        <v>120</v>
      </c>
      <c r="W36" s="4837" t="s">
        <v>4521</v>
      </c>
      <c r="X36" s="4836">
        <v>200</v>
      </c>
      <c r="Y36" s="4834">
        <v>2</v>
      </c>
      <c r="Z36" s="4834" t="s">
        <v>5984</v>
      </c>
      <c r="AA36" s="4839" t="s">
        <v>5035</v>
      </c>
      <c r="AB36" s="4834" t="s">
        <v>2814</v>
      </c>
      <c r="AC36" s="4839" t="s">
        <v>5050</v>
      </c>
      <c r="AD36" s="4834" t="s">
        <v>2814</v>
      </c>
      <c r="AE36" s="4832"/>
      <c r="AF36" s="4685">
        <f t="shared" si="15"/>
        <v>120</v>
      </c>
    </row>
    <row r="37" spans="1:32" ht="33.75" customHeight="1">
      <c r="A37" s="4828">
        <v>4</v>
      </c>
      <c r="B37" s="4816">
        <v>45939</v>
      </c>
      <c r="C37" s="4816">
        <v>45941</v>
      </c>
      <c r="D37" s="4817">
        <f t="shared" si="10"/>
        <v>2</v>
      </c>
      <c r="E37" s="4816">
        <v>45955</v>
      </c>
      <c r="F37" s="4818">
        <f t="shared" si="11"/>
        <v>15</v>
      </c>
      <c r="G37" s="5146">
        <v>45957</v>
      </c>
      <c r="H37" s="4672">
        <f t="shared" si="12"/>
        <v>1</v>
      </c>
      <c r="I37" s="4831" t="s">
        <v>5151</v>
      </c>
      <c r="J37" s="4834">
        <v>2</v>
      </c>
      <c r="K37" s="5493">
        <v>2</v>
      </c>
      <c r="L37" s="4834">
        <v>43470</v>
      </c>
      <c r="M37" s="4834">
        <v>50715</v>
      </c>
      <c r="N37" s="4971">
        <f t="shared" si="16"/>
        <v>101430</v>
      </c>
      <c r="O37" s="4834">
        <v>43470</v>
      </c>
      <c r="P37" s="4678">
        <f t="shared" si="13"/>
        <v>36</v>
      </c>
      <c r="Q37" s="4677">
        <f t="shared" si="14"/>
        <v>1782270</v>
      </c>
      <c r="R37" s="4836">
        <v>32</v>
      </c>
      <c r="S37" s="4837" t="s">
        <v>5742</v>
      </c>
      <c r="T37" s="4836">
        <v>32</v>
      </c>
      <c r="U37" s="4838">
        <v>2</v>
      </c>
      <c r="V37" s="4834">
        <v>120</v>
      </c>
      <c r="W37" s="4837" t="s">
        <v>4521</v>
      </c>
      <c r="X37" s="4836">
        <v>200</v>
      </c>
      <c r="Y37" s="4834">
        <v>2</v>
      </c>
      <c r="Z37" s="4834" t="s">
        <v>5984</v>
      </c>
      <c r="AA37" s="4839" t="s">
        <v>5035</v>
      </c>
      <c r="AB37" s="4834" t="s">
        <v>2814</v>
      </c>
      <c r="AC37" s="4839" t="s">
        <v>5050</v>
      </c>
      <c r="AD37" s="4834" t="s">
        <v>2814</v>
      </c>
      <c r="AE37" s="4832"/>
      <c r="AF37" s="4685">
        <f t="shared" si="15"/>
        <v>4</v>
      </c>
    </row>
    <row r="38" spans="1:32" ht="33.75" customHeight="1">
      <c r="A38" s="4828">
        <v>5</v>
      </c>
      <c r="B38" s="4816">
        <v>45939</v>
      </c>
      <c r="C38" s="4816">
        <v>45941</v>
      </c>
      <c r="D38" s="4817">
        <f t="shared" si="10"/>
        <v>2</v>
      </c>
      <c r="E38" s="4816">
        <v>45955</v>
      </c>
      <c r="F38" s="4818">
        <f t="shared" si="11"/>
        <v>15</v>
      </c>
      <c r="G38" s="5146">
        <v>45957</v>
      </c>
      <c r="H38" s="4672">
        <f t="shared" si="12"/>
        <v>1</v>
      </c>
      <c r="I38" s="4831" t="s">
        <v>5152</v>
      </c>
      <c r="J38" s="4834">
        <v>1</v>
      </c>
      <c r="K38" s="5493">
        <v>1</v>
      </c>
      <c r="L38" s="4834">
        <v>43470</v>
      </c>
      <c r="M38" s="4834">
        <v>50715</v>
      </c>
      <c r="N38" s="4971">
        <f t="shared" si="16"/>
        <v>50715</v>
      </c>
      <c r="O38" s="4834">
        <v>43470</v>
      </c>
      <c r="P38" s="4678">
        <f t="shared" si="13"/>
        <v>18</v>
      </c>
      <c r="Q38" s="4677">
        <f t="shared" si="14"/>
        <v>891135</v>
      </c>
      <c r="R38" s="4836">
        <v>32</v>
      </c>
      <c r="S38" s="4837" t="s">
        <v>5742</v>
      </c>
      <c r="T38" s="4836">
        <v>32</v>
      </c>
      <c r="U38" s="4838">
        <v>2</v>
      </c>
      <c r="V38" s="4834">
        <v>120</v>
      </c>
      <c r="W38" s="4837" t="s">
        <v>4521</v>
      </c>
      <c r="X38" s="4836">
        <v>200</v>
      </c>
      <c r="Y38" s="4834">
        <v>2</v>
      </c>
      <c r="Z38" s="4834" t="s">
        <v>5984</v>
      </c>
      <c r="AA38" s="4839" t="s">
        <v>5035</v>
      </c>
      <c r="AB38" s="4834" t="s">
        <v>2814</v>
      </c>
      <c r="AC38" s="4839" t="s">
        <v>5050</v>
      </c>
      <c r="AD38" s="4834" t="s">
        <v>2814</v>
      </c>
      <c r="AE38" s="4832"/>
      <c r="AF38" s="4685">
        <f t="shared" si="15"/>
        <v>2</v>
      </c>
    </row>
    <row r="39" spans="1:32" ht="33.75" customHeight="1">
      <c r="A39" s="4828">
        <v>6</v>
      </c>
      <c r="B39" s="4816">
        <v>45939</v>
      </c>
      <c r="C39" s="4816">
        <v>45941</v>
      </c>
      <c r="D39" s="4817">
        <f t="shared" si="10"/>
        <v>2</v>
      </c>
      <c r="E39" s="4816">
        <v>45955</v>
      </c>
      <c r="F39" s="4818">
        <f t="shared" si="11"/>
        <v>15</v>
      </c>
      <c r="G39" s="5146">
        <v>45957</v>
      </c>
      <c r="H39" s="4672">
        <f t="shared" si="12"/>
        <v>1</v>
      </c>
      <c r="I39" s="4831" t="s">
        <v>5153</v>
      </c>
      <c r="J39" s="4834">
        <v>1</v>
      </c>
      <c r="K39" s="4835">
        <v>0</v>
      </c>
      <c r="L39" s="4834"/>
      <c r="M39" s="4834"/>
      <c r="N39" s="4971">
        <f t="shared" si="16"/>
        <v>0</v>
      </c>
      <c r="O39" s="4834"/>
      <c r="P39" s="4678">
        <f t="shared" si="13"/>
        <v>0</v>
      </c>
      <c r="Q39" s="4677">
        <f t="shared" si="14"/>
        <v>0</v>
      </c>
      <c r="R39" s="4836"/>
      <c r="S39" s="4837" t="s">
        <v>5742</v>
      </c>
      <c r="T39" s="4836"/>
      <c r="U39" s="4838"/>
      <c r="V39" s="4834"/>
      <c r="W39" s="4837" t="s">
        <v>4521</v>
      </c>
      <c r="X39" s="4836"/>
      <c r="Y39" s="4834"/>
      <c r="Z39" s="4834"/>
      <c r="AA39" s="4839" t="s">
        <v>5035</v>
      </c>
      <c r="AB39" s="4834"/>
      <c r="AC39" s="4839" t="s">
        <v>5050</v>
      </c>
      <c r="AD39" s="4834"/>
      <c r="AE39" s="4832"/>
      <c r="AF39" s="4685">
        <f t="shared" si="15"/>
        <v>0</v>
      </c>
    </row>
    <row r="40" spans="1:32" ht="33.75" customHeight="1">
      <c r="A40" s="4828">
        <v>7</v>
      </c>
      <c r="B40" s="4816">
        <v>45939</v>
      </c>
      <c r="C40" s="4816">
        <v>45941</v>
      </c>
      <c r="D40" s="4817">
        <f t="shared" si="10"/>
        <v>2</v>
      </c>
      <c r="E40" s="4816">
        <v>45955</v>
      </c>
      <c r="F40" s="4818">
        <f t="shared" si="11"/>
        <v>15</v>
      </c>
      <c r="G40" s="5146">
        <v>45957</v>
      </c>
      <c r="H40" s="4672">
        <f t="shared" si="12"/>
        <v>1</v>
      </c>
      <c r="I40" s="4831" t="s">
        <v>5154</v>
      </c>
      <c r="J40" s="4834">
        <v>133</v>
      </c>
      <c r="K40" s="4835">
        <v>0</v>
      </c>
      <c r="L40" s="4834"/>
      <c r="M40" s="4834"/>
      <c r="N40" s="4971">
        <f t="shared" si="16"/>
        <v>0</v>
      </c>
      <c r="O40" s="4834"/>
      <c r="P40" s="4678">
        <f t="shared" si="13"/>
        <v>0</v>
      </c>
      <c r="Q40" s="4677">
        <f t="shared" si="14"/>
        <v>0</v>
      </c>
      <c r="R40" s="4836"/>
      <c r="S40" s="4837" t="s">
        <v>5742</v>
      </c>
      <c r="T40" s="4836"/>
      <c r="U40" s="4838"/>
      <c r="V40" s="4834"/>
      <c r="W40" s="4837" t="s">
        <v>4521</v>
      </c>
      <c r="X40" s="4836"/>
      <c r="Y40" s="4834"/>
      <c r="Z40" s="4834"/>
      <c r="AA40" s="4839" t="s">
        <v>5035</v>
      </c>
      <c r="AB40" s="4834"/>
      <c r="AC40" s="4839" t="s">
        <v>5050</v>
      </c>
      <c r="AD40" s="4834"/>
      <c r="AE40" s="4832"/>
      <c r="AF40" s="4685">
        <f t="shared" si="15"/>
        <v>0</v>
      </c>
    </row>
    <row r="41" spans="1:32" ht="33.75" customHeight="1">
      <c r="A41" s="4828">
        <v>8</v>
      </c>
      <c r="B41" s="4816">
        <v>45939</v>
      </c>
      <c r="C41" s="4816">
        <v>45941</v>
      </c>
      <c r="D41" s="4817">
        <f t="shared" si="10"/>
        <v>2</v>
      </c>
      <c r="E41" s="4816">
        <v>45955</v>
      </c>
      <c r="F41" s="4818">
        <f t="shared" si="11"/>
        <v>15</v>
      </c>
      <c r="G41" s="5146">
        <v>45957</v>
      </c>
      <c r="H41" s="4672">
        <f t="shared" si="12"/>
        <v>1</v>
      </c>
      <c r="I41" s="4831" t="s">
        <v>5155</v>
      </c>
      <c r="J41" s="4834">
        <v>1</v>
      </c>
      <c r="K41" s="4835">
        <v>0</v>
      </c>
      <c r="L41" s="4834"/>
      <c r="M41" s="4834"/>
      <c r="N41" s="4971">
        <f t="shared" si="16"/>
        <v>0</v>
      </c>
      <c r="O41" s="4834"/>
      <c r="P41" s="4678">
        <f t="shared" si="13"/>
        <v>0</v>
      </c>
      <c r="Q41" s="4677">
        <f t="shared" si="14"/>
        <v>0</v>
      </c>
      <c r="R41" s="4836"/>
      <c r="S41" s="4837" t="s">
        <v>5742</v>
      </c>
      <c r="T41" s="4836"/>
      <c r="U41" s="4838"/>
      <c r="V41" s="4834"/>
      <c r="W41" s="4837" t="s">
        <v>4521</v>
      </c>
      <c r="X41" s="4836"/>
      <c r="Y41" s="4834"/>
      <c r="Z41" s="4834"/>
      <c r="AA41" s="4839" t="s">
        <v>5035</v>
      </c>
      <c r="AB41" s="4834"/>
      <c r="AC41" s="4839" t="s">
        <v>5050</v>
      </c>
      <c r="AD41" s="4834"/>
      <c r="AE41" s="4832"/>
      <c r="AF41" s="4685">
        <f t="shared" si="15"/>
        <v>0</v>
      </c>
    </row>
    <row r="42" spans="1:32" ht="33.75" customHeight="1">
      <c r="A42" s="4828">
        <v>9</v>
      </c>
      <c r="B42" s="4816">
        <v>45939</v>
      </c>
      <c r="C42" s="4816">
        <v>45941</v>
      </c>
      <c r="D42" s="4817">
        <f t="shared" si="10"/>
        <v>2</v>
      </c>
      <c r="E42" s="4816">
        <v>45955</v>
      </c>
      <c r="F42" s="4818">
        <f t="shared" si="11"/>
        <v>15</v>
      </c>
      <c r="G42" s="5146">
        <v>45957</v>
      </c>
      <c r="H42" s="4672">
        <f t="shared" si="12"/>
        <v>1</v>
      </c>
      <c r="I42" s="4831" t="s">
        <v>5156</v>
      </c>
      <c r="J42" s="4834">
        <v>13</v>
      </c>
      <c r="K42" s="4835">
        <v>0</v>
      </c>
      <c r="L42" s="4834"/>
      <c r="M42" s="4834"/>
      <c r="N42" s="4834"/>
      <c r="O42" s="4834"/>
      <c r="P42" s="4678">
        <f t="shared" si="13"/>
        <v>0</v>
      </c>
      <c r="Q42" s="4677">
        <f t="shared" si="14"/>
        <v>0</v>
      </c>
      <c r="R42" s="4836"/>
      <c r="S42" s="4837" t="s">
        <v>5742</v>
      </c>
      <c r="T42" s="4836"/>
      <c r="U42" s="4838"/>
      <c r="V42" s="4834"/>
      <c r="W42" s="4837" t="s">
        <v>4521</v>
      </c>
      <c r="X42" s="4836"/>
      <c r="Y42" s="4834"/>
      <c r="Z42" s="4834"/>
      <c r="AA42" s="4839" t="s">
        <v>5035</v>
      </c>
      <c r="AB42" s="4834"/>
      <c r="AC42" s="4839" t="s">
        <v>5050</v>
      </c>
      <c r="AD42" s="4834"/>
      <c r="AE42" s="4832"/>
      <c r="AF42" s="4685">
        <f t="shared" si="15"/>
        <v>0</v>
      </c>
    </row>
    <row r="43" spans="1:32" ht="33.75" customHeight="1">
      <c r="A43" s="4828">
        <v>10</v>
      </c>
      <c r="B43" s="4816">
        <v>45939</v>
      </c>
      <c r="C43" s="4816">
        <v>45941</v>
      </c>
      <c r="D43" s="4817">
        <f t="shared" si="10"/>
        <v>2</v>
      </c>
      <c r="E43" s="4816">
        <v>45955</v>
      </c>
      <c r="F43" s="4818">
        <f t="shared" si="11"/>
        <v>15</v>
      </c>
      <c r="G43" s="5146">
        <v>45957</v>
      </c>
      <c r="H43" s="4672">
        <f t="shared" si="12"/>
        <v>1</v>
      </c>
      <c r="I43" s="4831" t="s">
        <v>6292</v>
      </c>
      <c r="J43" s="4834">
        <v>73</v>
      </c>
      <c r="K43" s="4835">
        <v>0</v>
      </c>
      <c r="L43" s="4834"/>
      <c r="M43" s="4834"/>
      <c r="N43" s="4834"/>
      <c r="O43" s="4834"/>
      <c r="P43" s="4678">
        <f t="shared" si="13"/>
        <v>0</v>
      </c>
      <c r="Q43" s="4677">
        <f t="shared" si="14"/>
        <v>0</v>
      </c>
      <c r="R43" s="4836"/>
      <c r="S43" s="4837" t="s">
        <v>5742</v>
      </c>
      <c r="T43" s="4836"/>
      <c r="U43" s="4838"/>
      <c r="V43" s="4834"/>
      <c r="W43" s="4837" t="s">
        <v>4521</v>
      </c>
      <c r="X43" s="4836"/>
      <c r="Y43" s="4834"/>
      <c r="Z43" s="4834"/>
      <c r="AA43" s="4839" t="s">
        <v>5035</v>
      </c>
      <c r="AB43" s="4834"/>
      <c r="AC43" s="4839" t="s">
        <v>5050</v>
      </c>
      <c r="AD43" s="4834"/>
      <c r="AE43" s="4832"/>
      <c r="AF43" s="4685">
        <f t="shared" si="15"/>
        <v>0</v>
      </c>
    </row>
    <row r="44" spans="1:32" ht="33.75" customHeight="1">
      <c r="A44" s="4828">
        <v>11</v>
      </c>
      <c r="B44" s="5494"/>
      <c r="C44" s="4926"/>
      <c r="D44" s="4817" t="str">
        <f t="shared" si="10"/>
        <v>1</v>
      </c>
      <c r="E44" s="4926"/>
      <c r="F44" s="4817">
        <f t="shared" si="11"/>
        <v>2</v>
      </c>
      <c r="G44" s="5146"/>
      <c r="H44" s="4672">
        <f t="shared" si="12"/>
        <v>0</v>
      </c>
      <c r="I44" s="4831"/>
      <c r="J44" s="4834"/>
      <c r="K44" s="4835"/>
      <c r="L44" s="4834"/>
      <c r="M44" s="4834"/>
      <c r="N44" s="4834"/>
      <c r="O44" s="4834"/>
      <c r="P44" s="4678">
        <f t="shared" si="13"/>
        <v>0</v>
      </c>
      <c r="Q44" s="4677">
        <f t="shared" si="14"/>
        <v>0</v>
      </c>
      <c r="R44" s="4836"/>
      <c r="S44" s="4837" t="s">
        <v>5742</v>
      </c>
      <c r="T44" s="4836"/>
      <c r="U44" s="4838"/>
      <c r="V44" s="4834"/>
      <c r="W44" s="4837" t="s">
        <v>4521</v>
      </c>
      <c r="X44" s="4836"/>
      <c r="Y44" s="4834"/>
      <c r="Z44" s="4834"/>
      <c r="AA44" s="4839" t="s">
        <v>5035</v>
      </c>
      <c r="AB44" s="4834"/>
      <c r="AC44" s="4839" t="s">
        <v>5050</v>
      </c>
      <c r="AD44" s="4834"/>
      <c r="AE44" s="4832"/>
      <c r="AF44" s="4685">
        <f t="shared" si="15"/>
        <v>0</v>
      </c>
    </row>
    <row r="45" spans="1:32" ht="33.75" customHeight="1">
      <c r="A45" s="4828">
        <v>12</v>
      </c>
      <c r="B45" s="4833"/>
      <c r="C45" s="4829"/>
      <c r="D45" s="4672" t="str">
        <f t="shared" si="10"/>
        <v>1</v>
      </c>
      <c r="E45" s="4829"/>
      <c r="F45" s="4672">
        <f t="shared" si="11"/>
        <v>2</v>
      </c>
      <c r="G45" s="4699"/>
      <c r="H45" s="4672">
        <f t="shared" si="12"/>
        <v>0</v>
      </c>
      <c r="I45" s="4831"/>
      <c r="J45" s="4834"/>
      <c r="K45" s="4835"/>
      <c r="L45" s="4834"/>
      <c r="M45" s="4834"/>
      <c r="N45" s="4834"/>
      <c r="O45" s="4834"/>
      <c r="P45" s="4678">
        <f t="shared" si="13"/>
        <v>0</v>
      </c>
      <c r="Q45" s="4677">
        <f t="shared" si="14"/>
        <v>0</v>
      </c>
      <c r="R45" s="4836"/>
      <c r="S45" s="4837" t="s">
        <v>5742</v>
      </c>
      <c r="T45" s="4836"/>
      <c r="U45" s="4838"/>
      <c r="V45" s="4834"/>
      <c r="W45" s="4837" t="s">
        <v>4521</v>
      </c>
      <c r="X45" s="4836"/>
      <c r="Y45" s="4834"/>
      <c r="Z45" s="4834"/>
      <c r="AA45" s="4839" t="s">
        <v>5035</v>
      </c>
      <c r="AB45" s="4834"/>
      <c r="AC45" s="4839" t="s">
        <v>5050</v>
      </c>
      <c r="AD45" s="4834"/>
      <c r="AE45" s="4832"/>
      <c r="AF45" s="4685">
        <f t="shared" si="15"/>
        <v>0</v>
      </c>
    </row>
    <row r="46" spans="1:32" ht="33.75" customHeight="1">
      <c r="A46" s="4828">
        <v>13</v>
      </c>
      <c r="B46" s="4833"/>
      <c r="C46" s="4829"/>
      <c r="D46" s="4672" t="str">
        <f t="shared" si="10"/>
        <v>1</v>
      </c>
      <c r="E46" s="4829"/>
      <c r="F46" s="4672">
        <f t="shared" si="11"/>
        <v>2</v>
      </c>
      <c r="G46" s="4699"/>
      <c r="H46" s="4672">
        <f t="shared" si="12"/>
        <v>0</v>
      </c>
      <c r="I46" s="4831"/>
      <c r="J46" s="4834"/>
      <c r="K46" s="4835"/>
      <c r="L46" s="4834"/>
      <c r="M46" s="4834"/>
      <c r="N46" s="4834"/>
      <c r="O46" s="4834"/>
      <c r="P46" s="4678">
        <f t="shared" si="13"/>
        <v>0</v>
      </c>
      <c r="Q46" s="4677">
        <f t="shared" si="14"/>
        <v>0</v>
      </c>
      <c r="R46" s="4836"/>
      <c r="S46" s="4837" t="s">
        <v>5742</v>
      </c>
      <c r="T46" s="4836"/>
      <c r="U46" s="4838"/>
      <c r="V46" s="4834"/>
      <c r="W46" s="4837" t="s">
        <v>4521</v>
      </c>
      <c r="X46" s="4836"/>
      <c r="Y46" s="4834"/>
      <c r="Z46" s="4834"/>
      <c r="AA46" s="4839" t="s">
        <v>5035</v>
      </c>
      <c r="AB46" s="4834"/>
      <c r="AC46" s="4839" t="s">
        <v>5050</v>
      </c>
      <c r="AD46" s="4834"/>
      <c r="AE46" s="4832"/>
      <c r="AF46" s="4685">
        <f t="shared" si="15"/>
        <v>0</v>
      </c>
    </row>
    <row r="47" spans="1:32" ht="33.75" customHeight="1">
      <c r="A47" s="4828">
        <v>14</v>
      </c>
      <c r="B47" s="4833"/>
      <c r="C47" s="4829"/>
      <c r="D47" s="4672" t="str">
        <f t="shared" si="10"/>
        <v>1</v>
      </c>
      <c r="E47" s="4829"/>
      <c r="F47" s="4672">
        <f t="shared" si="11"/>
        <v>2</v>
      </c>
      <c r="G47" s="4699"/>
      <c r="H47" s="4672">
        <f t="shared" si="12"/>
        <v>0</v>
      </c>
      <c r="I47" s="4831"/>
      <c r="J47" s="4834"/>
      <c r="K47" s="4835"/>
      <c r="L47" s="4834"/>
      <c r="M47" s="4834"/>
      <c r="N47" s="4834"/>
      <c r="O47" s="4834"/>
      <c r="P47" s="4678">
        <f t="shared" si="13"/>
        <v>0</v>
      </c>
      <c r="Q47" s="4677">
        <f t="shared" si="14"/>
        <v>0</v>
      </c>
      <c r="R47" s="4836"/>
      <c r="S47" s="4837" t="s">
        <v>5742</v>
      </c>
      <c r="T47" s="4836"/>
      <c r="U47" s="4838"/>
      <c r="V47" s="4834"/>
      <c r="W47" s="4837" t="s">
        <v>4521</v>
      </c>
      <c r="X47" s="4836"/>
      <c r="Y47" s="4834"/>
      <c r="Z47" s="4834"/>
      <c r="AA47" s="4839" t="s">
        <v>5035</v>
      </c>
      <c r="AB47" s="4834"/>
      <c r="AC47" s="4839" t="s">
        <v>5050</v>
      </c>
      <c r="AD47" s="4834"/>
      <c r="AE47" s="4832"/>
      <c r="AF47" s="4685">
        <f t="shared" si="15"/>
        <v>0</v>
      </c>
    </row>
    <row r="48" spans="1:32" ht="33.75" customHeight="1" thickBot="1">
      <c r="A48" s="4828">
        <v>15</v>
      </c>
      <c r="B48" s="4833"/>
      <c r="C48" s="4829"/>
      <c r="D48" s="4672" t="str">
        <f t="shared" si="10"/>
        <v>1</v>
      </c>
      <c r="E48" s="4829"/>
      <c r="F48" s="4672">
        <f t="shared" si="11"/>
        <v>2</v>
      </c>
      <c r="G48" s="4699"/>
      <c r="H48" s="4672">
        <f t="shared" si="12"/>
        <v>0</v>
      </c>
      <c r="I48" s="4831"/>
      <c r="J48" s="4834"/>
      <c r="K48" s="4835"/>
      <c r="L48" s="4834"/>
      <c r="M48" s="4834"/>
      <c r="N48" s="4834"/>
      <c r="O48" s="4834"/>
      <c r="P48" s="4678">
        <f>SUM(D48,F48,H48)*K48</f>
        <v>0</v>
      </c>
      <c r="Q48" s="4677">
        <f t="shared" si="14"/>
        <v>0</v>
      </c>
      <c r="R48" s="4836"/>
      <c r="S48" s="4837" t="s">
        <v>5739</v>
      </c>
      <c r="T48" s="4836"/>
      <c r="U48" s="4838"/>
      <c r="V48" s="4834"/>
      <c r="W48" s="4837" t="s">
        <v>4521</v>
      </c>
      <c r="X48" s="4836"/>
      <c r="Y48" s="4834"/>
      <c r="Z48" s="4834"/>
      <c r="AA48" s="4839" t="s">
        <v>5035</v>
      </c>
      <c r="AB48" s="4834"/>
      <c r="AC48" s="4839" t="s">
        <v>5050</v>
      </c>
      <c r="AD48" s="4834"/>
      <c r="AE48" s="4832"/>
      <c r="AF48" s="4685">
        <f t="shared" si="15"/>
        <v>0</v>
      </c>
    </row>
    <row r="49" spans="1:32" ht="33.75" customHeight="1" thickTop="1" thickBot="1">
      <c r="A49" s="4840"/>
      <c r="B49" s="4841"/>
      <c r="C49" s="4841"/>
      <c r="D49" s="4841"/>
      <c r="E49" s="4841"/>
      <c r="F49" s="4842"/>
      <c r="G49" s="4843"/>
      <c r="H49" s="4841"/>
      <c r="I49" s="4844" t="s">
        <v>2432</v>
      </c>
      <c r="J49" s="4845">
        <f>SUM(J34:J48)</f>
        <v>381</v>
      </c>
      <c r="K49" s="4846">
        <f>SUM(K34:K48)</f>
        <v>160</v>
      </c>
      <c r="L49" s="4843"/>
      <c r="M49" s="4843"/>
      <c r="N49" s="4843"/>
      <c r="O49" s="4843"/>
      <c r="P49" s="4845">
        <f>SUM(P34:P48)</f>
        <v>2880</v>
      </c>
      <c r="Q49" s="4845">
        <f>SUM(Q34:Q48)</f>
        <v>121884120</v>
      </c>
      <c r="R49" s="6901"/>
      <c r="S49" s="6901"/>
      <c r="T49" s="6901"/>
      <c r="U49" s="4847"/>
      <c r="V49" s="6902"/>
      <c r="W49" s="6901"/>
      <c r="X49" s="6901"/>
      <c r="Y49" s="4847"/>
      <c r="Z49" s="4847"/>
      <c r="AA49" s="6903"/>
      <c r="AB49" s="6904"/>
      <c r="AC49" s="6903"/>
      <c r="AD49" s="6904"/>
      <c r="AE49" s="4848"/>
      <c r="AF49" s="4685">
        <f>SUM(AF34:AF48)</f>
        <v>320</v>
      </c>
    </row>
    <row r="50" spans="1:32" ht="32.15" customHeight="1" thickBot="1">
      <c r="C50" s="4710"/>
      <c r="D50" s="4710"/>
      <c r="E50" s="4710"/>
      <c r="F50" s="4710"/>
      <c r="G50" s="4710"/>
      <c r="H50" s="4710"/>
      <c r="I50" s="4711"/>
      <c r="J50" s="4712"/>
      <c r="K50" s="4710"/>
      <c r="L50" s="4713" t="s">
        <v>5748</v>
      </c>
      <c r="M50" s="4714">
        <f>SUM(N31:N48)</f>
        <v>6928320</v>
      </c>
      <c r="N50" s="4715"/>
      <c r="O50" s="4715"/>
      <c r="P50" s="4715"/>
      <c r="S50" s="4656"/>
      <c r="W50" s="4656"/>
      <c r="AF50" s="4849"/>
    </row>
    <row r="51" spans="1:32" ht="33.75" customHeight="1">
      <c r="A51" s="6845" t="s">
        <v>5749</v>
      </c>
      <c r="B51" s="6846"/>
      <c r="C51" s="4716">
        <f>P49</f>
        <v>2880</v>
      </c>
      <c r="D51" s="4717"/>
      <c r="F51" s="4718"/>
      <c r="G51" s="4850"/>
      <c r="H51" s="4719"/>
      <c r="I51" s="4720"/>
      <c r="L51" s="4721" t="s">
        <v>5750</v>
      </c>
      <c r="M51" s="4722">
        <f>M50*1.1</f>
        <v>7621152.0000000009</v>
      </c>
      <c r="P51" s="4656"/>
      <c r="AF51" s="4851"/>
    </row>
    <row r="52" spans="1:32" ht="33.75" customHeight="1">
      <c r="A52" s="6910" t="s">
        <v>5883</v>
      </c>
      <c r="B52" s="6911"/>
      <c r="C52" s="4723">
        <f>Q49</f>
        <v>121884120</v>
      </c>
      <c r="D52" s="4717"/>
      <c r="F52" s="4724"/>
      <c r="G52" s="4852"/>
      <c r="H52" s="4719"/>
      <c r="I52" s="4720"/>
      <c r="P52" s="4656"/>
      <c r="AF52" s="4851"/>
    </row>
    <row r="53" spans="1:32" ht="33.75" customHeight="1" thickBot="1">
      <c r="A53" s="6913" t="s">
        <v>5751</v>
      </c>
      <c r="B53" s="6914"/>
      <c r="C53" s="4987">
        <f>ROUNDDOWN(C52*1.1,0)</f>
        <v>134072532</v>
      </c>
      <c r="D53" s="4940"/>
      <c r="E53" s="4941"/>
      <c r="F53" s="4942"/>
      <c r="G53" s="4943"/>
      <c r="H53" s="4940"/>
      <c r="I53" s="4944"/>
      <c r="J53" s="4943"/>
      <c r="K53" s="4861"/>
      <c r="L53" s="4861"/>
      <c r="M53" s="4861"/>
      <c r="N53" s="4861"/>
      <c r="O53" s="4861"/>
      <c r="P53" s="4943"/>
      <c r="Q53" s="4943"/>
      <c r="R53" s="4941"/>
      <c r="S53" s="4941"/>
      <c r="T53" s="4941"/>
      <c r="U53" s="4941"/>
      <c r="V53" s="4941"/>
      <c r="W53" s="4941"/>
      <c r="X53" s="4941"/>
      <c r="Y53" s="4941"/>
      <c r="Z53" s="4941"/>
      <c r="AA53" s="4941"/>
      <c r="AB53" s="4941"/>
      <c r="AC53" s="4941"/>
      <c r="AD53" s="4941"/>
      <c r="AE53" s="4941"/>
      <c r="AF53" s="4941"/>
    </row>
    <row r="54" spans="1:32" ht="33.75" customHeight="1">
      <c r="A54" s="4729"/>
      <c r="B54" s="4729"/>
      <c r="C54" s="4729"/>
      <c r="D54" s="4729"/>
      <c r="E54" s="4729"/>
      <c r="F54" s="4729"/>
      <c r="G54" s="4726"/>
      <c r="H54" s="4729"/>
      <c r="I54" s="4720"/>
      <c r="P54" s="4656"/>
    </row>
    <row r="55" spans="1:32" ht="33.75" customHeight="1">
      <c r="A55" s="4728" t="s">
        <v>5752</v>
      </c>
      <c r="B55" s="4728"/>
      <c r="C55" s="4729"/>
      <c r="D55" s="4729"/>
      <c r="E55" s="4729"/>
      <c r="F55" s="4729"/>
      <c r="G55" s="4726"/>
      <c r="H55" s="4729"/>
      <c r="I55" s="4720"/>
      <c r="P55" s="4656"/>
    </row>
    <row r="56" spans="1:32" ht="36" customHeight="1">
      <c r="A56" s="4728" t="s">
        <v>5753</v>
      </c>
      <c r="B56" s="4728"/>
    </row>
    <row r="57" spans="1:32" ht="36" customHeight="1">
      <c r="A57" s="4730" t="s">
        <v>5754</v>
      </c>
      <c r="B57" s="4730"/>
    </row>
    <row r="58" spans="1:32" ht="36" customHeight="1">
      <c r="A58" s="4728"/>
      <c r="B58" s="4728"/>
    </row>
    <row r="59" spans="1:32" ht="36" customHeight="1"/>
    <row r="60" spans="1:32" ht="36" customHeight="1"/>
    <row r="61" spans="1:32" ht="36" customHeight="1"/>
    <row r="62" spans="1:32" ht="36" customHeight="1"/>
    <row r="63" spans="1:32" ht="36" customHeight="1"/>
    <row r="64" spans="1:32" ht="36" customHeight="1"/>
    <row r="65" ht="36" customHeight="1"/>
    <row r="66" ht="10.4" customHeight="1"/>
  </sheetData>
  <mergeCells count="62">
    <mergeCell ref="M6:M7"/>
    <mergeCell ref="A2:B2"/>
    <mergeCell ref="C2:G2"/>
    <mergeCell ref="A6:A7"/>
    <mergeCell ref="B6:B7"/>
    <mergeCell ref="C6:C7"/>
    <mergeCell ref="D6:D7"/>
    <mergeCell ref="E6:E7"/>
    <mergeCell ref="F6:F7"/>
    <mergeCell ref="G6:G7"/>
    <mergeCell ref="H6:H7"/>
    <mergeCell ref="I6:I7"/>
    <mergeCell ref="J6:J7"/>
    <mergeCell ref="K6:K7"/>
    <mergeCell ref="L6:L7"/>
    <mergeCell ref="O6:O7"/>
    <mergeCell ref="P6:Q6"/>
    <mergeCell ref="R6:T7"/>
    <mergeCell ref="U6:U7"/>
    <mergeCell ref="V6:X7"/>
    <mergeCell ref="Z6:Z7"/>
    <mergeCell ref="AA6:AD7"/>
    <mergeCell ref="AE6:AE7"/>
    <mergeCell ref="AF6:AF7"/>
    <mergeCell ref="R24:T24"/>
    <mergeCell ref="V24:X24"/>
    <mergeCell ref="AA24:AB24"/>
    <mergeCell ref="AC24:AD24"/>
    <mergeCell ref="Y6:Y7"/>
    <mergeCell ref="I31:I32"/>
    <mergeCell ref="A26:B26"/>
    <mergeCell ref="A27:B27"/>
    <mergeCell ref="A28:B28"/>
    <mergeCell ref="A31:A32"/>
    <mergeCell ref="B31:B32"/>
    <mergeCell ref="C31:C32"/>
    <mergeCell ref="D31:D32"/>
    <mergeCell ref="E31:E32"/>
    <mergeCell ref="F31:F32"/>
    <mergeCell ref="G31:G32"/>
    <mergeCell ref="H31:H32"/>
    <mergeCell ref="K31:K32"/>
    <mergeCell ref="L31:L32"/>
    <mergeCell ref="M31:M32"/>
    <mergeCell ref="O31:O32"/>
    <mergeCell ref="P31:Q31"/>
    <mergeCell ref="A51:B51"/>
    <mergeCell ref="A52:B52"/>
    <mergeCell ref="A53:B53"/>
    <mergeCell ref="AE31:AE32"/>
    <mergeCell ref="AF31:AF32"/>
    <mergeCell ref="R49:T49"/>
    <mergeCell ref="V49:X49"/>
    <mergeCell ref="AA49:AB49"/>
    <mergeCell ref="AC49:AD49"/>
    <mergeCell ref="R31:T32"/>
    <mergeCell ref="U31:U32"/>
    <mergeCell ref="V31:X32"/>
    <mergeCell ref="Y31:Y32"/>
    <mergeCell ref="Z31:Z32"/>
    <mergeCell ref="AA31:AD32"/>
    <mergeCell ref="J31:J32"/>
  </mergeCells>
  <phoneticPr fontId="2"/>
  <conditionalFormatting sqref="B19:C23">
    <cfRule type="containsBlanks" dxfId="377" priority="15">
      <formula>LEN(TRIM(B19))=0</formula>
    </cfRule>
  </conditionalFormatting>
  <conditionalFormatting sqref="B34:C48">
    <cfRule type="containsBlanks" dxfId="376" priority="25">
      <formula>LEN(TRIM(B34))=0</formula>
    </cfRule>
  </conditionalFormatting>
  <conditionalFormatting sqref="C2:D2">
    <cfRule type="containsBlanks" dxfId="375" priority="20">
      <formula>LEN(TRIM(C2))=0</formula>
    </cfRule>
  </conditionalFormatting>
  <conditionalFormatting sqref="D8 D19:D23">
    <cfRule type="containsBlanks" dxfId="374" priority="14">
      <formula>LEN(TRIM(D8))=0</formula>
    </cfRule>
  </conditionalFormatting>
  <conditionalFormatting sqref="D33:D48">
    <cfRule type="containsBlanks" dxfId="373" priority="24">
      <formula>LEN(TRIM(D33))=0</formula>
    </cfRule>
  </conditionalFormatting>
  <conditionalFormatting sqref="E19:G23">
    <cfRule type="containsBlanks" dxfId="372" priority="10">
      <formula>LEN(TRIM(E19))=0</formula>
    </cfRule>
  </conditionalFormatting>
  <conditionalFormatting sqref="E34:G48">
    <cfRule type="containsBlanks" dxfId="371" priority="21">
      <formula>LEN(TRIM(E34))=0</formula>
    </cfRule>
  </conditionalFormatting>
  <conditionalFormatting sqref="F8">
    <cfRule type="containsBlanks" dxfId="370" priority="13">
      <formula>LEN(TRIM(F8))=0</formula>
    </cfRule>
  </conditionalFormatting>
  <conditionalFormatting sqref="F33">
    <cfRule type="containsBlanks" dxfId="369" priority="23">
      <formula>LEN(TRIM(F33))=0</formula>
    </cfRule>
  </conditionalFormatting>
  <conditionalFormatting sqref="H8:M8 N17:O18 H19:O23">
    <cfRule type="containsBlanks" dxfId="368" priority="11">
      <formula>LEN(TRIM(H8))=0</formula>
    </cfRule>
  </conditionalFormatting>
  <conditionalFormatting sqref="H33:O36 H39:O48 H37:K38 N37:N38">
    <cfRule type="containsBlanks" dxfId="367" priority="9">
      <formula>LEN(TRIM(H33))=0</formula>
    </cfRule>
  </conditionalFormatting>
  <conditionalFormatting sqref="N8:O11 N14:O16 N12:N13">
    <cfRule type="containsBlanks" dxfId="366" priority="8">
      <formula>LEN(TRIM(N8))=0</formula>
    </cfRule>
  </conditionalFormatting>
  <conditionalFormatting sqref="Q8:R23">
    <cfRule type="containsBlanks" dxfId="365" priority="12">
      <formula>LEN(TRIM(Q8))=0</formula>
    </cfRule>
  </conditionalFormatting>
  <conditionalFormatting sqref="Q33:R48">
    <cfRule type="containsBlanks" dxfId="364" priority="22">
      <formula>LEN(TRIM(Q33))=0</formula>
    </cfRule>
  </conditionalFormatting>
  <conditionalFormatting sqref="T8:V23">
    <cfRule type="containsBlanks" dxfId="363" priority="19">
      <formula>LEN(TRIM(T8))=0</formula>
    </cfRule>
  </conditionalFormatting>
  <conditionalFormatting sqref="T33:V48">
    <cfRule type="containsBlanks" dxfId="362" priority="29">
      <formula>LEN(TRIM(T33))=0</formula>
    </cfRule>
  </conditionalFormatting>
  <conditionalFormatting sqref="X8:Z23">
    <cfRule type="containsBlanks" dxfId="361" priority="18">
      <formula>LEN(TRIM(X8))=0</formula>
    </cfRule>
  </conditionalFormatting>
  <conditionalFormatting sqref="X33:Z48">
    <cfRule type="containsBlanks" dxfId="360" priority="28">
      <formula>LEN(TRIM(X33))=0</formula>
    </cfRule>
  </conditionalFormatting>
  <conditionalFormatting sqref="AB8:AB23">
    <cfRule type="containsBlanks" dxfId="359" priority="17">
      <formula>LEN(TRIM(AB8))=0</formula>
    </cfRule>
  </conditionalFormatting>
  <conditionalFormatting sqref="AB33:AB48">
    <cfRule type="containsBlanks" dxfId="358" priority="27">
      <formula>LEN(TRIM(AB33))=0</formula>
    </cfRule>
  </conditionalFormatting>
  <conditionalFormatting sqref="AD8:AE23">
    <cfRule type="containsBlanks" dxfId="357" priority="16">
      <formula>LEN(TRIM(AD8))=0</formula>
    </cfRule>
  </conditionalFormatting>
  <conditionalFormatting sqref="AD33:AE48">
    <cfRule type="containsBlanks" dxfId="356" priority="26">
      <formula>LEN(TRIM(AD33))=0</formula>
    </cfRule>
  </conditionalFormatting>
  <conditionalFormatting sqref="L37:M38">
    <cfRule type="containsBlanks" dxfId="355" priority="7">
      <formula>LEN(TRIM(L37))=0</formula>
    </cfRule>
  </conditionalFormatting>
  <conditionalFormatting sqref="O37:O38">
    <cfRule type="containsBlanks" dxfId="354" priority="6">
      <formula>LEN(TRIM(O37))=0</formula>
    </cfRule>
  </conditionalFormatting>
  <conditionalFormatting sqref="B9:C18">
    <cfRule type="containsBlanks" dxfId="353" priority="4">
      <formula>LEN(TRIM(B9))=0</formula>
    </cfRule>
  </conditionalFormatting>
  <conditionalFormatting sqref="D9:D18">
    <cfRule type="containsBlanks" dxfId="352" priority="5">
      <formula>LEN(TRIM(D9))=0</formula>
    </cfRule>
  </conditionalFormatting>
  <conditionalFormatting sqref="E9:G18">
    <cfRule type="containsBlanks" dxfId="351" priority="3">
      <formula>LEN(TRIM(E9))=0</formula>
    </cfRule>
  </conditionalFormatting>
  <conditionalFormatting sqref="H9:M18">
    <cfRule type="containsBlanks" dxfId="350" priority="2">
      <formula>LEN(TRIM(H9))=0</formula>
    </cfRule>
  </conditionalFormatting>
  <conditionalFormatting sqref="O12:O13">
    <cfRule type="containsBlanks" dxfId="349" priority="1">
      <formula>LEN(TRIM(O12))=0</formula>
    </cfRule>
  </conditionalFormatting>
  <printOptions horizontalCentered="1"/>
  <pageMargins left="0.39370078740157483" right="0.39370078740157483" top="0.55118110236220474" bottom="0.55118110236220474" header="0.31496062992125984" footer="0.31496062992125984"/>
  <pageSetup paperSize="9" scale="28" orientation="landscape" r:id="rId1"/>
  <headerFooter>
    <oddHeader>&amp;R&amp;G</oddHeader>
  </headerFooter>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AED14-4A06-47BE-A58E-C79A6F936E71}">
  <sheetPr codeName="Sheet365">
    <tabColor rgb="FFFFFF66"/>
    <pageSetUpPr fitToPage="1"/>
  </sheetPr>
  <dimension ref="A1:AF40"/>
  <sheetViews>
    <sheetView topLeftCell="A2"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6.4531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6293</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6294</v>
      </c>
      <c r="M5" s="6855" t="s">
        <v>6295</v>
      </c>
      <c r="N5" s="4967" t="s">
        <v>5726</v>
      </c>
      <c r="O5" s="6855" t="s">
        <v>5727</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46278</v>
      </c>
      <c r="C8" s="4687">
        <v>46285</v>
      </c>
      <c r="D8" s="4672">
        <f t="shared" ref="D8:D22" si="0">IF(_xlfn.DAYS(C8,B8)=0,"1",_xlfn.DAYS(C8,B8))</f>
        <v>7</v>
      </c>
      <c r="E8" s="4687">
        <v>46288</v>
      </c>
      <c r="F8" s="4698">
        <f t="shared" ref="F8:F22" si="1">IF(_xlfn.DAYS(E8,C8)=0,"1",_xlfn.DAYS(E8,C8))+1</f>
        <v>4</v>
      </c>
      <c r="G8" s="4699">
        <v>46290</v>
      </c>
      <c r="H8" s="4672">
        <f t="shared" ref="H8:H22" si="2">IF(_xlfn.DAYS(G8,E8)=0,"1",_xlfn.DAYS(G8,E8))-1</f>
        <v>1</v>
      </c>
      <c r="I8" s="4691" t="s">
        <v>5046</v>
      </c>
      <c r="J8" s="4692">
        <v>79</v>
      </c>
      <c r="K8" s="4693">
        <v>63</v>
      </c>
      <c r="L8" s="4692">
        <v>13000</v>
      </c>
      <c r="M8" s="4692">
        <f>$L$8</f>
        <v>13000</v>
      </c>
      <c r="N8" s="4971">
        <f>M8*K8</f>
        <v>819000</v>
      </c>
      <c r="O8" s="4692">
        <v>13000</v>
      </c>
      <c r="P8" s="4678">
        <f>SUM(D8,F8,H8)*K8</f>
        <v>756</v>
      </c>
      <c r="Q8" s="4679">
        <f t="shared" ref="Q8:Q22" si="3">(D8*L8+F8*M8+H8*O8)*K8</f>
        <v>9828000</v>
      </c>
      <c r="R8" s="4820">
        <v>11</v>
      </c>
      <c r="S8" s="5209" t="s">
        <v>5742</v>
      </c>
      <c r="T8" s="5217">
        <v>12</v>
      </c>
      <c r="U8" s="4692">
        <v>1</v>
      </c>
      <c r="V8" s="4692">
        <v>130</v>
      </c>
      <c r="W8" s="4680" t="s">
        <v>4521</v>
      </c>
      <c r="X8" s="4695">
        <v>200</v>
      </c>
      <c r="Y8" s="4692">
        <v>1</v>
      </c>
      <c r="Z8" s="4692" t="s">
        <v>5740</v>
      </c>
      <c r="AA8" s="4683" t="s">
        <v>5035</v>
      </c>
      <c r="AB8" s="4692" t="s">
        <v>2830</v>
      </c>
      <c r="AC8" s="4683" t="s">
        <v>5050</v>
      </c>
      <c r="AD8" s="4692" t="s">
        <v>2814</v>
      </c>
      <c r="AE8" s="4696"/>
      <c r="AF8" s="4685">
        <f>U8*K8</f>
        <v>63</v>
      </c>
    </row>
    <row r="9" spans="1:32" ht="33.75" customHeight="1">
      <c r="A9" s="4686">
        <v>2</v>
      </c>
      <c r="B9" s="4687">
        <v>46278</v>
      </c>
      <c r="C9" s="4687">
        <v>46285</v>
      </c>
      <c r="D9" s="4672">
        <f t="shared" si="0"/>
        <v>7</v>
      </c>
      <c r="E9" s="4687">
        <v>46288</v>
      </c>
      <c r="F9" s="4698">
        <f t="shared" si="1"/>
        <v>4</v>
      </c>
      <c r="G9" s="4699">
        <v>46290</v>
      </c>
      <c r="H9" s="4672">
        <f t="shared" si="2"/>
        <v>1</v>
      </c>
      <c r="I9" s="4691" t="s">
        <v>6296</v>
      </c>
      <c r="J9" s="4692">
        <v>15</v>
      </c>
      <c r="K9" s="4693"/>
      <c r="L9" s="4692"/>
      <c r="M9" s="4692"/>
      <c r="N9" s="4971">
        <f t="shared" ref="N9:N16" si="4">M9*K9</f>
        <v>0</v>
      </c>
      <c r="O9" s="4692"/>
      <c r="P9" s="4678">
        <f t="shared" ref="P9:P22" si="5">SUM(D9,F9,H9)*K9</f>
        <v>0</v>
      </c>
      <c r="Q9" s="4679">
        <f t="shared" si="3"/>
        <v>0</v>
      </c>
      <c r="R9" s="4820">
        <v>11</v>
      </c>
      <c r="S9" s="5209" t="s">
        <v>5742</v>
      </c>
      <c r="T9" s="5217">
        <v>11</v>
      </c>
      <c r="U9" s="4692">
        <v>1</v>
      </c>
      <c r="V9" s="4692">
        <v>130</v>
      </c>
      <c r="W9" s="4680" t="s">
        <v>4521</v>
      </c>
      <c r="X9" s="4695">
        <v>200</v>
      </c>
      <c r="Y9" s="4692">
        <v>1</v>
      </c>
      <c r="Z9" s="4692" t="s">
        <v>5740</v>
      </c>
      <c r="AA9" s="4683" t="s">
        <v>5035</v>
      </c>
      <c r="AB9" s="4692" t="s">
        <v>2830</v>
      </c>
      <c r="AC9" s="4683" t="s">
        <v>5050</v>
      </c>
      <c r="AD9" s="4692" t="s">
        <v>2814</v>
      </c>
      <c r="AE9" s="4696"/>
      <c r="AF9" s="4685">
        <f t="shared" ref="AF9:AF22" si="6">U9*K9</f>
        <v>0</v>
      </c>
    </row>
    <row r="10" spans="1:32" ht="33.75" customHeight="1">
      <c r="A10" s="4686">
        <v>3</v>
      </c>
      <c r="B10" s="4687">
        <v>46278</v>
      </c>
      <c r="C10" s="4687">
        <v>46285</v>
      </c>
      <c r="D10" s="4672">
        <f t="shared" si="0"/>
        <v>7</v>
      </c>
      <c r="E10" s="4687">
        <v>46288</v>
      </c>
      <c r="F10" s="4698">
        <f t="shared" si="1"/>
        <v>4</v>
      </c>
      <c r="G10" s="4699">
        <v>46290</v>
      </c>
      <c r="H10" s="4672">
        <f t="shared" si="2"/>
        <v>1</v>
      </c>
      <c r="I10" s="4691" t="s">
        <v>5124</v>
      </c>
      <c r="J10" s="4692">
        <v>20</v>
      </c>
      <c r="K10" s="4693">
        <v>16</v>
      </c>
      <c r="L10" s="4692">
        <v>19500</v>
      </c>
      <c r="M10" s="4692">
        <f>$L$10</f>
        <v>19500</v>
      </c>
      <c r="N10" s="4971">
        <f t="shared" si="4"/>
        <v>312000</v>
      </c>
      <c r="O10" s="4692">
        <v>19500</v>
      </c>
      <c r="P10" s="4678">
        <f t="shared" si="5"/>
        <v>192</v>
      </c>
      <c r="Q10" s="4679">
        <f t="shared" si="3"/>
        <v>3744000</v>
      </c>
      <c r="R10" s="4820">
        <v>11</v>
      </c>
      <c r="S10" s="5209" t="s">
        <v>5742</v>
      </c>
      <c r="T10" s="5217">
        <v>12</v>
      </c>
      <c r="U10" s="4692">
        <v>1</v>
      </c>
      <c r="V10" s="4697">
        <v>140</v>
      </c>
      <c r="W10" s="4680" t="s">
        <v>4521</v>
      </c>
      <c r="X10" s="4695">
        <v>200</v>
      </c>
      <c r="Y10" s="4692">
        <v>1</v>
      </c>
      <c r="Z10" s="4692" t="s">
        <v>5740</v>
      </c>
      <c r="AA10" s="4683" t="s">
        <v>5035</v>
      </c>
      <c r="AB10" s="4692" t="s">
        <v>2830</v>
      </c>
      <c r="AC10" s="4683" t="s">
        <v>5050</v>
      </c>
      <c r="AD10" s="4692" t="s">
        <v>2814</v>
      </c>
      <c r="AE10" s="4696"/>
      <c r="AF10" s="4685">
        <f t="shared" si="6"/>
        <v>16</v>
      </c>
    </row>
    <row r="11" spans="1:32" ht="33.75" customHeight="1">
      <c r="A11" s="4686">
        <v>4</v>
      </c>
      <c r="B11" s="4687">
        <v>46278</v>
      </c>
      <c r="C11" s="4687">
        <v>46285</v>
      </c>
      <c r="D11" s="4672">
        <f t="shared" si="0"/>
        <v>7</v>
      </c>
      <c r="E11" s="4687">
        <v>46288</v>
      </c>
      <c r="F11" s="4698">
        <f t="shared" si="1"/>
        <v>4</v>
      </c>
      <c r="G11" s="4699">
        <v>46290</v>
      </c>
      <c r="H11" s="4672">
        <f t="shared" si="2"/>
        <v>1</v>
      </c>
      <c r="I11" s="4691" t="s">
        <v>5040</v>
      </c>
      <c r="J11" s="4692">
        <v>12</v>
      </c>
      <c r="K11" s="4693">
        <v>8</v>
      </c>
      <c r="L11" s="4692">
        <v>24700</v>
      </c>
      <c r="M11" s="4692">
        <f>$L$11</f>
        <v>24700</v>
      </c>
      <c r="N11" s="4971">
        <f t="shared" si="4"/>
        <v>197600</v>
      </c>
      <c r="O11" s="4692">
        <v>24700</v>
      </c>
      <c r="P11" s="4678">
        <f t="shared" si="5"/>
        <v>96</v>
      </c>
      <c r="Q11" s="4679">
        <f t="shared" si="3"/>
        <v>2371200</v>
      </c>
      <c r="R11" s="4820">
        <v>16</v>
      </c>
      <c r="S11" s="5209" t="s">
        <v>5742</v>
      </c>
      <c r="T11" s="5217">
        <v>16</v>
      </c>
      <c r="U11" s="4692">
        <v>1</v>
      </c>
      <c r="V11" s="4692">
        <v>160</v>
      </c>
      <c r="W11" s="4680" t="s">
        <v>4521</v>
      </c>
      <c r="X11" s="4695">
        <v>200</v>
      </c>
      <c r="Y11" s="4692">
        <v>1</v>
      </c>
      <c r="Z11" s="4692" t="s">
        <v>5740</v>
      </c>
      <c r="AA11" s="4683" t="s">
        <v>5035</v>
      </c>
      <c r="AB11" s="4692" t="s">
        <v>2830</v>
      </c>
      <c r="AC11" s="4683" t="s">
        <v>5050</v>
      </c>
      <c r="AD11" s="4692" t="s">
        <v>2814</v>
      </c>
      <c r="AE11" s="4696"/>
      <c r="AF11" s="4685">
        <f t="shared" si="6"/>
        <v>8</v>
      </c>
    </row>
    <row r="12" spans="1:32" ht="33.75" customHeight="1">
      <c r="A12" s="4686">
        <v>5</v>
      </c>
      <c r="B12" s="4687">
        <v>46278</v>
      </c>
      <c r="C12" s="4687">
        <v>46285</v>
      </c>
      <c r="D12" s="4672">
        <f t="shared" si="0"/>
        <v>7</v>
      </c>
      <c r="E12" s="4687">
        <v>46288</v>
      </c>
      <c r="F12" s="4698">
        <f t="shared" si="1"/>
        <v>4</v>
      </c>
      <c r="G12" s="4699">
        <v>46290</v>
      </c>
      <c r="H12" s="4672">
        <f t="shared" si="2"/>
        <v>1</v>
      </c>
      <c r="I12" s="4691" t="s">
        <v>6297</v>
      </c>
      <c r="J12" s="4692">
        <v>4</v>
      </c>
      <c r="K12" s="4693"/>
      <c r="L12" s="4692"/>
      <c r="M12" s="4692"/>
      <c r="N12" s="4971">
        <f t="shared" si="4"/>
        <v>0</v>
      </c>
      <c r="O12" s="4692"/>
      <c r="P12" s="4678">
        <f t="shared" si="5"/>
        <v>0</v>
      </c>
      <c r="Q12" s="4679">
        <f t="shared" si="3"/>
        <v>0</v>
      </c>
      <c r="R12" s="4820">
        <v>12</v>
      </c>
      <c r="S12" s="5209" t="s">
        <v>5742</v>
      </c>
      <c r="T12" s="5217">
        <v>12</v>
      </c>
      <c r="U12" s="4692">
        <v>1</v>
      </c>
      <c r="V12" s="4692">
        <v>130</v>
      </c>
      <c r="W12" s="4680" t="s">
        <v>4521</v>
      </c>
      <c r="X12" s="4695">
        <v>200</v>
      </c>
      <c r="Y12" s="4692">
        <v>1</v>
      </c>
      <c r="Z12" s="4692" t="s">
        <v>5740</v>
      </c>
      <c r="AA12" s="4683" t="s">
        <v>5035</v>
      </c>
      <c r="AB12" s="4692" t="s">
        <v>2830</v>
      </c>
      <c r="AC12" s="4683" t="s">
        <v>5050</v>
      </c>
      <c r="AD12" s="4692" t="s">
        <v>2814</v>
      </c>
      <c r="AE12" s="4696"/>
      <c r="AF12" s="4685">
        <f t="shared" si="6"/>
        <v>0</v>
      </c>
    </row>
    <row r="13" spans="1:32" ht="33.75" customHeight="1">
      <c r="A13" s="4686">
        <v>6</v>
      </c>
      <c r="B13" s="4687">
        <v>46278</v>
      </c>
      <c r="C13" s="4687">
        <v>46285</v>
      </c>
      <c r="D13" s="4672">
        <f t="shared" si="0"/>
        <v>7</v>
      </c>
      <c r="E13" s="4687">
        <v>46288</v>
      </c>
      <c r="F13" s="4698">
        <f t="shared" si="1"/>
        <v>4</v>
      </c>
      <c r="G13" s="4699">
        <v>46290</v>
      </c>
      <c r="H13" s="4672">
        <f t="shared" si="2"/>
        <v>1</v>
      </c>
      <c r="I13" s="4691" t="s">
        <v>5039</v>
      </c>
      <c r="J13" s="4692">
        <v>43</v>
      </c>
      <c r="K13" s="4821">
        <v>34</v>
      </c>
      <c r="L13" s="4692">
        <v>27300</v>
      </c>
      <c r="M13" s="4692">
        <f>$L$13</f>
        <v>27300</v>
      </c>
      <c r="N13" s="4971">
        <f t="shared" si="4"/>
        <v>928200</v>
      </c>
      <c r="O13" s="4692">
        <v>27300</v>
      </c>
      <c r="P13" s="4678">
        <f t="shared" si="5"/>
        <v>408</v>
      </c>
      <c r="Q13" s="4679">
        <f t="shared" si="3"/>
        <v>11138400</v>
      </c>
      <c r="R13" s="4820">
        <v>16</v>
      </c>
      <c r="S13" s="5209" t="s">
        <v>5742</v>
      </c>
      <c r="T13" s="5217">
        <v>16</v>
      </c>
      <c r="U13" s="4692">
        <v>2</v>
      </c>
      <c r="V13" s="4692">
        <v>110</v>
      </c>
      <c r="W13" s="4680" t="s">
        <v>4521</v>
      </c>
      <c r="X13" s="4695">
        <v>200</v>
      </c>
      <c r="Y13" s="4692">
        <v>2</v>
      </c>
      <c r="Z13" s="4692" t="s">
        <v>5740</v>
      </c>
      <c r="AA13" s="4683" t="s">
        <v>5035</v>
      </c>
      <c r="AB13" s="4692" t="s">
        <v>2830</v>
      </c>
      <c r="AC13" s="4683" t="s">
        <v>5050</v>
      </c>
      <c r="AD13" s="4692" t="s">
        <v>2814</v>
      </c>
      <c r="AE13" s="4696"/>
      <c r="AF13" s="4685">
        <f t="shared" si="6"/>
        <v>68</v>
      </c>
    </row>
    <row r="14" spans="1:32" ht="33.75" customHeight="1">
      <c r="A14" s="4686">
        <v>7</v>
      </c>
      <c r="B14" s="4687">
        <v>46278</v>
      </c>
      <c r="C14" s="4687">
        <v>46285</v>
      </c>
      <c r="D14" s="4672">
        <f t="shared" si="0"/>
        <v>7</v>
      </c>
      <c r="E14" s="4687">
        <v>46288</v>
      </c>
      <c r="F14" s="4698">
        <f t="shared" si="1"/>
        <v>4</v>
      </c>
      <c r="G14" s="4699">
        <v>46290</v>
      </c>
      <c r="H14" s="4672">
        <f t="shared" si="2"/>
        <v>1</v>
      </c>
      <c r="I14" s="4691" t="s">
        <v>5126</v>
      </c>
      <c r="J14" s="4692">
        <v>2</v>
      </c>
      <c r="K14" s="4821">
        <v>1</v>
      </c>
      <c r="L14" s="4692">
        <v>29900</v>
      </c>
      <c r="M14" s="4692">
        <f>$L$14</f>
        <v>29900</v>
      </c>
      <c r="N14" s="4971">
        <f t="shared" si="4"/>
        <v>29900</v>
      </c>
      <c r="O14" s="4692">
        <v>29900</v>
      </c>
      <c r="P14" s="4678">
        <f t="shared" si="5"/>
        <v>12</v>
      </c>
      <c r="Q14" s="4679">
        <f t="shared" si="3"/>
        <v>358800</v>
      </c>
      <c r="R14" s="4820">
        <v>23</v>
      </c>
      <c r="S14" s="5209" t="s">
        <v>5742</v>
      </c>
      <c r="T14" s="5217">
        <v>23</v>
      </c>
      <c r="U14" s="4692">
        <v>2</v>
      </c>
      <c r="V14" s="4697">
        <v>120</v>
      </c>
      <c r="W14" s="4680" t="s">
        <v>4521</v>
      </c>
      <c r="X14" s="4695">
        <v>200</v>
      </c>
      <c r="Y14" s="4692">
        <v>2</v>
      </c>
      <c r="Z14" s="4692" t="s">
        <v>5740</v>
      </c>
      <c r="AA14" s="4683" t="s">
        <v>5035</v>
      </c>
      <c r="AB14" s="4692" t="s">
        <v>2830</v>
      </c>
      <c r="AC14" s="4683" t="s">
        <v>5050</v>
      </c>
      <c r="AD14" s="4692" t="s">
        <v>2814</v>
      </c>
      <c r="AE14" s="4696"/>
      <c r="AF14" s="4685">
        <f t="shared" si="6"/>
        <v>2</v>
      </c>
    </row>
    <row r="15" spans="1:32" ht="33.75" customHeight="1">
      <c r="A15" s="4686">
        <v>8</v>
      </c>
      <c r="B15" s="4687">
        <v>46278</v>
      </c>
      <c r="C15" s="4687">
        <v>46285</v>
      </c>
      <c r="D15" s="4672">
        <f t="shared" si="0"/>
        <v>7</v>
      </c>
      <c r="E15" s="4687">
        <v>46288</v>
      </c>
      <c r="F15" s="4698">
        <f t="shared" si="1"/>
        <v>4</v>
      </c>
      <c r="G15" s="4699">
        <v>46290</v>
      </c>
      <c r="H15" s="4672">
        <f t="shared" si="2"/>
        <v>1</v>
      </c>
      <c r="I15" s="4691" t="s">
        <v>6298</v>
      </c>
      <c r="J15" s="4692">
        <v>8</v>
      </c>
      <c r="K15" s="4693"/>
      <c r="L15" s="4692"/>
      <c r="M15" s="4692"/>
      <c r="N15" s="4971">
        <f t="shared" si="4"/>
        <v>0</v>
      </c>
      <c r="O15" s="4692"/>
      <c r="P15" s="4678">
        <f t="shared" si="5"/>
        <v>0</v>
      </c>
      <c r="Q15" s="4679">
        <f t="shared" si="3"/>
        <v>0</v>
      </c>
      <c r="R15" s="4820">
        <v>15</v>
      </c>
      <c r="S15" s="5209" t="s">
        <v>5742</v>
      </c>
      <c r="T15" s="5217">
        <v>15</v>
      </c>
      <c r="U15" s="4692">
        <v>2</v>
      </c>
      <c r="V15" s="4692">
        <v>110</v>
      </c>
      <c r="W15" s="4680" t="s">
        <v>4521</v>
      </c>
      <c r="X15" s="4695">
        <v>200</v>
      </c>
      <c r="Y15" s="4692">
        <v>2</v>
      </c>
      <c r="Z15" s="4692" t="s">
        <v>5740</v>
      </c>
      <c r="AA15" s="4683" t="s">
        <v>5035</v>
      </c>
      <c r="AB15" s="4692" t="s">
        <v>2830</v>
      </c>
      <c r="AC15" s="4683" t="s">
        <v>5050</v>
      </c>
      <c r="AD15" s="4692" t="s">
        <v>2814</v>
      </c>
      <c r="AE15" s="4696"/>
      <c r="AF15" s="4685">
        <f t="shared" si="6"/>
        <v>0</v>
      </c>
    </row>
    <row r="16" spans="1:32" ht="33.75" customHeight="1">
      <c r="A16" s="4686">
        <v>9</v>
      </c>
      <c r="B16" s="4687">
        <v>46278</v>
      </c>
      <c r="C16" s="4687">
        <v>46285</v>
      </c>
      <c r="D16" s="4672">
        <f t="shared" si="0"/>
        <v>7</v>
      </c>
      <c r="E16" s="4687">
        <v>46288</v>
      </c>
      <c r="F16" s="4698">
        <f t="shared" si="1"/>
        <v>4</v>
      </c>
      <c r="G16" s="4699">
        <v>46290</v>
      </c>
      <c r="H16" s="4672">
        <f t="shared" si="2"/>
        <v>1</v>
      </c>
      <c r="I16" s="4691" t="s">
        <v>6299</v>
      </c>
      <c r="J16" s="4692">
        <v>1</v>
      </c>
      <c r="K16" s="4693">
        <v>1</v>
      </c>
      <c r="L16" s="4692">
        <v>13000</v>
      </c>
      <c r="M16" s="4692">
        <f>$L$16</f>
        <v>13000</v>
      </c>
      <c r="N16" s="4971">
        <f t="shared" si="4"/>
        <v>13000</v>
      </c>
      <c r="O16" s="4692">
        <v>13000</v>
      </c>
      <c r="P16" s="4678">
        <f t="shared" si="5"/>
        <v>12</v>
      </c>
      <c r="Q16" s="4679">
        <f t="shared" si="3"/>
        <v>156000</v>
      </c>
      <c r="R16" s="4820">
        <v>15</v>
      </c>
      <c r="S16" s="5209" t="s">
        <v>5742</v>
      </c>
      <c r="T16" s="5217">
        <v>15</v>
      </c>
      <c r="U16" s="4692">
        <v>2</v>
      </c>
      <c r="V16" s="4692">
        <v>130</v>
      </c>
      <c r="W16" s="4680" t="s">
        <v>4521</v>
      </c>
      <c r="X16" s="4695">
        <v>200</v>
      </c>
      <c r="Y16" s="4692">
        <v>2</v>
      </c>
      <c r="Z16" s="4692" t="s">
        <v>5740</v>
      </c>
      <c r="AA16" s="4683" t="s">
        <v>5035</v>
      </c>
      <c r="AB16" s="4692" t="s">
        <v>2830</v>
      </c>
      <c r="AC16" s="4683" t="s">
        <v>5050</v>
      </c>
      <c r="AD16" s="4692" t="s">
        <v>2814</v>
      </c>
      <c r="AE16" s="4696"/>
      <c r="AF16" s="4685">
        <f t="shared" si="6"/>
        <v>2</v>
      </c>
    </row>
    <row r="17" spans="1:32"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(D17*L17+F17*M17+H17*O17)*K17</f>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3"/>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3"/>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3"/>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3"/>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3"/>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184</v>
      </c>
      <c r="K23" s="4707">
        <f>SUM(K8:K22)</f>
        <v>123</v>
      </c>
      <c r="L23" s="4703"/>
      <c r="M23" s="4703"/>
      <c r="N23" s="4703"/>
      <c r="O23" s="4703"/>
      <c r="P23" s="4706">
        <f>SUM(P8:P22)</f>
        <v>1476</v>
      </c>
      <c r="Q23" s="4706">
        <f>SUM(Q8:Q22)</f>
        <v>27596400</v>
      </c>
      <c r="R23" s="6863"/>
      <c r="S23" s="6864"/>
      <c r="T23" s="6865"/>
      <c r="U23" s="4708"/>
      <c r="V23" s="6863"/>
      <c r="W23" s="6864"/>
      <c r="X23" s="6864"/>
      <c r="Y23" s="4708"/>
      <c r="Z23" s="4708"/>
      <c r="AA23" s="6866"/>
      <c r="AB23" s="6867"/>
      <c r="AC23" s="6866"/>
      <c r="AD23" s="6867"/>
      <c r="AE23" s="4709"/>
      <c r="AF23" s="4685">
        <f>SUM(AF8:AF22)</f>
        <v>159</v>
      </c>
    </row>
    <row r="24" spans="1:32" ht="33.75" customHeight="1" thickBot="1">
      <c r="C24" s="4710"/>
      <c r="D24" s="4710"/>
      <c r="E24" s="4710"/>
      <c r="F24" s="4710"/>
      <c r="G24" s="4710"/>
      <c r="H24" s="4710"/>
      <c r="I24" s="4711"/>
      <c r="J24" s="4712"/>
      <c r="K24" s="4710"/>
      <c r="L24" s="4713" t="s">
        <v>5748</v>
      </c>
      <c r="M24" s="4714">
        <f>SUM(N8:N22)</f>
        <v>2299700</v>
      </c>
      <c r="N24" s="4715"/>
      <c r="O24" s="4715"/>
      <c r="P24" s="4715"/>
      <c r="S24" s="4656"/>
      <c r="W24" s="4656"/>
    </row>
    <row r="25" spans="1:32" ht="33.75" customHeight="1">
      <c r="A25" s="6845" t="s">
        <v>5749</v>
      </c>
      <c r="B25" s="6846"/>
      <c r="C25" s="4716">
        <f>P23</f>
        <v>1476</v>
      </c>
      <c r="D25" s="4717"/>
      <c r="F25" s="4718"/>
      <c r="H25" s="4719"/>
      <c r="I25" s="4720"/>
      <c r="K25" s="4659"/>
      <c r="L25" s="4721" t="s">
        <v>5750</v>
      </c>
      <c r="M25" s="4722">
        <f>M24</f>
        <v>2299700</v>
      </c>
      <c r="P25" s="4656"/>
    </row>
    <row r="26" spans="1:32" ht="33.75" customHeight="1">
      <c r="A26" s="6847" t="s">
        <v>6300</v>
      </c>
      <c r="B26" s="6848"/>
      <c r="C26" s="4723">
        <f>Q23</f>
        <v>27596400</v>
      </c>
      <c r="D26" s="4717"/>
      <c r="F26" s="4724"/>
      <c r="H26" s="4719"/>
      <c r="I26" s="4720"/>
      <c r="K26" s="4659"/>
      <c r="P26" s="4656"/>
    </row>
    <row r="27" spans="1:32" ht="33.75" customHeight="1" thickBot="1">
      <c r="A27" s="6849" t="s">
        <v>5751</v>
      </c>
      <c r="B27" s="6850"/>
      <c r="C27" s="4725">
        <f>ROUNDDOWN(C26*1.1,0)</f>
        <v>30356040</v>
      </c>
      <c r="D27" s="4719"/>
      <c r="F27" s="4724"/>
      <c r="H27" s="4719"/>
      <c r="I27" s="4720"/>
      <c r="K27" s="4659"/>
      <c r="P27" s="4656"/>
    </row>
    <row r="28" spans="1:32" ht="33.75" customHeight="1">
      <c r="A28" s="4729"/>
      <c r="B28" s="4729"/>
      <c r="C28" s="4729"/>
      <c r="D28" s="4729"/>
      <c r="E28" s="4729"/>
      <c r="F28" s="4729"/>
      <c r="G28" s="4726"/>
      <c r="H28" s="4729"/>
      <c r="I28" s="4720"/>
      <c r="P28" s="4656"/>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8:C22">
    <cfRule type="containsBlanks" dxfId="348" priority="3">
      <formula>LEN(TRIM(B8))=0</formula>
    </cfRule>
  </conditionalFormatting>
  <conditionalFormatting sqref="C2:D2">
    <cfRule type="containsBlanks" dxfId="347" priority="5">
      <formula>LEN(TRIM(C2))=0</formula>
    </cfRule>
  </conditionalFormatting>
  <conditionalFormatting sqref="D7:D22">
    <cfRule type="containsBlanks" dxfId="346" priority="2">
      <formula>LEN(TRIM(D7))=0</formula>
    </cfRule>
  </conditionalFormatting>
  <conditionalFormatting sqref="E8:O22">
    <cfRule type="containsBlanks" dxfId="345" priority="1">
      <formula>LEN(TRIM(E8))=0</formula>
    </cfRule>
  </conditionalFormatting>
  <conditionalFormatting sqref="F7">
    <cfRule type="containsBlanks" dxfId="344" priority="6">
      <formula>LEN(TRIM(F7))=0</formula>
    </cfRule>
  </conditionalFormatting>
  <conditionalFormatting sqref="H7:O7">
    <cfRule type="containsBlanks" dxfId="343" priority="4">
      <formula>LEN(TRIM(H7))=0</formula>
    </cfRule>
  </conditionalFormatting>
  <conditionalFormatting sqref="Q7:R22">
    <cfRule type="containsBlanks" dxfId="342" priority="10">
      <formula>LEN(TRIM(Q7))=0</formula>
    </cfRule>
  </conditionalFormatting>
  <conditionalFormatting sqref="T7:V22">
    <cfRule type="containsBlanks" dxfId="341" priority="8">
      <formula>LEN(TRIM(T7))=0</formula>
    </cfRule>
  </conditionalFormatting>
  <conditionalFormatting sqref="X7:Z22">
    <cfRule type="containsBlanks" dxfId="340" priority="7">
      <formula>LEN(TRIM(X7))=0</formula>
    </cfRule>
  </conditionalFormatting>
  <conditionalFormatting sqref="AB7:AB22 AD7:AE22">
    <cfRule type="containsBlanks" dxfId="339" priority="9">
      <formula>LEN(TRIM(AB7))=0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BDB7-520D-4EC1-AEFB-096B85C09DD7}">
  <sheetPr codeName="Sheet366">
    <tabColor rgb="FFFFFF66"/>
    <pageSetUpPr fitToPage="1"/>
  </sheetPr>
  <dimension ref="A1:AE29"/>
  <sheetViews>
    <sheetView topLeftCell="C1" zoomScale="70" zoomScaleNormal="70"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'[28]別紙1-1）客室提供条件'!C2</f>
        <v>ホテルルートイン新城</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5769</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687">
        <v>46278</v>
      </c>
      <c r="C8" s="4687">
        <v>46288</v>
      </c>
      <c r="D8" s="4759">
        <v>0</v>
      </c>
      <c r="E8" s="4759">
        <v>1</v>
      </c>
      <c r="F8" s="4760">
        <f t="shared" ref="F8:F17" si="1">IF(OR(ISBLANK($B8), ISBLANK($C8)), 0, _xlfn.DAYS($C8, $B8) + 1)</f>
        <v>11</v>
      </c>
      <c r="G8" s="4761" t="s">
        <v>6301</v>
      </c>
      <c r="H8" s="4762"/>
      <c r="I8" s="4763" t="s">
        <v>5878</v>
      </c>
      <c r="J8" s="4764"/>
      <c r="K8" s="4765"/>
      <c r="L8" s="4765"/>
      <c r="M8" s="4765"/>
      <c r="N8" s="4762">
        <v>480000</v>
      </c>
      <c r="O8" s="4766">
        <f t="shared" si="0"/>
        <v>5280000</v>
      </c>
      <c r="P8" s="4857"/>
      <c r="Q8" s="4858"/>
      <c r="R8" s="4864"/>
      <c r="S8" s="4858"/>
      <c r="T8" s="4859" t="s">
        <v>2161</v>
      </c>
      <c r="U8" s="4860" t="s">
        <v>6302</v>
      </c>
      <c r="W8" s="5495"/>
      <c r="AA8" s="5496"/>
    </row>
    <row r="9" spans="1:31" ht="33.75" customHeight="1">
      <c r="A9" s="4758">
        <v>2</v>
      </c>
      <c r="B9" s="4687">
        <v>46289</v>
      </c>
      <c r="C9" s="4687">
        <v>46289</v>
      </c>
      <c r="D9" s="4759">
        <v>0</v>
      </c>
      <c r="E9" s="4759">
        <v>0.5</v>
      </c>
      <c r="F9" s="4760">
        <f t="shared" si="1"/>
        <v>1</v>
      </c>
      <c r="G9" s="4761" t="s">
        <v>6301</v>
      </c>
      <c r="H9" s="4762"/>
      <c r="I9" s="4763" t="s">
        <v>5878</v>
      </c>
      <c r="J9" s="4764"/>
      <c r="K9" s="4765"/>
      <c r="L9" s="4765"/>
      <c r="M9" s="4765"/>
      <c r="N9" s="4762">
        <v>480000</v>
      </c>
      <c r="O9" s="4766">
        <f t="shared" si="0"/>
        <v>480000</v>
      </c>
      <c r="P9" s="4857"/>
      <c r="Q9" s="4858"/>
      <c r="R9" s="4864"/>
      <c r="S9" s="4858"/>
      <c r="T9" s="4859" t="s">
        <v>2161</v>
      </c>
      <c r="U9" s="4860" t="s">
        <v>6302</v>
      </c>
      <c r="Z9" s="4666"/>
      <c r="AC9" s="4657"/>
    </row>
    <row r="10" spans="1:31" ht="33.75" customHeight="1">
      <c r="A10" s="4758">
        <v>3</v>
      </c>
      <c r="B10" s="4687"/>
      <c r="C10" s="4687"/>
      <c r="D10" s="4759"/>
      <c r="E10" s="4759"/>
      <c r="F10" s="4770">
        <f t="shared" si="1"/>
        <v>0</v>
      </c>
      <c r="G10" s="4975"/>
      <c r="H10" s="4762"/>
      <c r="I10" s="4763"/>
      <c r="J10" s="4764"/>
      <c r="K10" s="4765"/>
      <c r="L10" s="4765"/>
      <c r="M10" s="4765"/>
      <c r="N10" s="4762"/>
      <c r="O10" s="4766">
        <f t="shared" si="0"/>
        <v>0</v>
      </c>
      <c r="P10" s="4909"/>
      <c r="Q10" s="4858"/>
      <c r="R10" s="4864"/>
      <c r="S10" s="4858"/>
      <c r="T10" s="4859"/>
      <c r="U10" s="4860"/>
      <c r="AC10" s="4657"/>
    </row>
    <row r="11" spans="1:31" ht="33.75" customHeight="1">
      <c r="A11" s="4758">
        <v>4</v>
      </c>
      <c r="B11" s="4687"/>
      <c r="C11" s="4687"/>
      <c r="D11" s="4759"/>
      <c r="E11" s="4759"/>
      <c r="F11" s="4760">
        <f t="shared" si="1"/>
        <v>0</v>
      </c>
      <c r="G11" s="4771"/>
      <c r="H11" s="4762"/>
      <c r="I11" s="4763"/>
      <c r="J11" s="4764"/>
      <c r="K11" s="4765"/>
      <c r="L11" s="4765"/>
      <c r="M11" s="4765"/>
      <c r="N11" s="4762"/>
      <c r="O11" s="4766">
        <f t="shared" si="0"/>
        <v>0</v>
      </c>
      <c r="P11" s="4857"/>
      <c r="Q11" s="4858"/>
      <c r="R11" s="4859"/>
      <c r="S11" s="4858"/>
      <c r="T11" s="4859"/>
      <c r="U11" s="4860"/>
      <c r="AC11" s="4657"/>
    </row>
    <row r="12" spans="1:31" ht="33.75" customHeight="1">
      <c r="A12" s="4758">
        <v>5</v>
      </c>
      <c r="B12" s="4687"/>
      <c r="C12" s="4687"/>
      <c r="D12" s="4759"/>
      <c r="E12" s="4759"/>
      <c r="F12" s="4760">
        <f t="shared" si="1"/>
        <v>0</v>
      </c>
      <c r="G12" s="4771"/>
      <c r="H12" s="4762"/>
      <c r="I12" s="4763"/>
      <c r="J12" s="4764"/>
      <c r="K12" s="4765"/>
      <c r="L12" s="4765"/>
      <c r="M12" s="4765"/>
      <c r="N12" s="4762"/>
      <c r="O12" s="4766">
        <f t="shared" si="0"/>
        <v>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29"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29" ht="33.75" customHeight="1" thickTop="1" thickBot="1">
      <c r="A18" s="5497" t="s">
        <v>6303</v>
      </c>
      <c r="B18" s="4779"/>
      <c r="C18" s="4779"/>
      <c r="D18" s="4779"/>
      <c r="E18" s="4779"/>
      <c r="F18" s="4780">
        <f>SUM(F8:F17)</f>
        <v>12</v>
      </c>
      <c r="G18" s="4779"/>
      <c r="H18" s="4781"/>
      <c r="I18" s="4782">
        <f>COUNTA(G8)</f>
        <v>1</v>
      </c>
      <c r="J18" s="4783"/>
      <c r="K18" s="4784"/>
      <c r="L18" s="4784"/>
      <c r="M18" s="4784"/>
      <c r="N18" s="4785"/>
      <c r="O18" s="4786">
        <f>SUM(O8:O17)</f>
        <v>5760000</v>
      </c>
      <c r="P18" s="4787"/>
      <c r="Q18" s="4787"/>
      <c r="R18" s="4788"/>
      <c r="S18" s="4789"/>
      <c r="T18" s="4788"/>
      <c r="U18" s="4790"/>
      <c r="AC18" s="4657"/>
    </row>
    <row r="19" spans="1:29" ht="33.75" customHeight="1" thickBot="1">
      <c r="A19" s="4791" t="s">
        <v>5792</v>
      </c>
      <c r="B19" s="4792"/>
      <c r="C19" s="4793"/>
      <c r="D19" s="4793"/>
      <c r="E19" s="4793"/>
      <c r="F19" s="4794"/>
      <c r="G19" s="4793"/>
      <c r="H19" s="4795"/>
      <c r="I19" s="4793"/>
      <c r="J19" s="4796"/>
      <c r="K19" s="4796"/>
      <c r="L19" s="4796"/>
      <c r="M19" s="4796"/>
      <c r="N19" s="4797"/>
      <c r="O19" s="4798">
        <f>O18*1.1</f>
        <v>6336000.0000000009</v>
      </c>
      <c r="P19" s="4799"/>
      <c r="Q19" s="4800"/>
      <c r="R19" s="4801"/>
      <c r="S19" s="4802"/>
      <c r="T19" s="4801"/>
      <c r="U19" s="4803"/>
      <c r="AC19" s="4657"/>
    </row>
    <row r="20" spans="1:29" ht="33.75" customHeight="1">
      <c r="A20" s="4656"/>
      <c r="B20" s="4660"/>
      <c r="C20" s="4660"/>
      <c r="D20" s="4660"/>
      <c r="G20" s="4660"/>
      <c r="H20" s="4660"/>
      <c r="M20" s="4808" t="s">
        <v>5748</v>
      </c>
      <c r="N20" s="4809">
        <f>SUM(N8)</f>
        <v>480000</v>
      </c>
      <c r="O20" s="4656"/>
      <c r="P20" s="4657"/>
      <c r="Q20" s="4657"/>
      <c r="AC20" s="4657"/>
    </row>
    <row r="21" spans="1:29" ht="36" customHeight="1">
      <c r="M21" s="4808" t="s">
        <v>5750</v>
      </c>
      <c r="N21" s="4809">
        <f>N20</f>
        <v>480000</v>
      </c>
    </row>
    <row r="22" spans="1:29" ht="36" customHeight="1"/>
    <row r="23" spans="1:29" ht="36" customHeight="1"/>
    <row r="24" spans="1:29" ht="36" customHeight="1"/>
    <row r="25" spans="1:29" ht="36" customHeight="1"/>
    <row r="26" spans="1:29" ht="36" customHeight="1"/>
    <row r="27" spans="1:29" ht="36" customHeight="1"/>
    <row r="28" spans="1:29" ht="36" customHeight="1"/>
    <row r="29" spans="1:29" ht="10.4" customHeight="1">
      <c r="B29" s="4657"/>
      <c r="C29" s="4657"/>
      <c r="D29" s="4657"/>
      <c r="G29" s="4657"/>
      <c r="H29" s="4657"/>
      <c r="O29" s="4656"/>
      <c r="P29" s="4657"/>
      <c r="Q29" s="4657"/>
      <c r="AC29" s="4657"/>
    </row>
  </sheetData>
  <mergeCells count="19">
    <mergeCell ref="A2:B2"/>
    <mergeCell ref="C2:G2"/>
    <mergeCell ref="A5:A6"/>
    <mergeCell ref="B5:B6"/>
    <mergeCell ref="C5:C6"/>
    <mergeCell ref="D5:D6"/>
    <mergeCell ref="E5:E6"/>
    <mergeCell ref="F5:F6"/>
    <mergeCell ref="G5:G6"/>
    <mergeCell ref="N5:N6"/>
    <mergeCell ref="O5:O6"/>
    <mergeCell ref="P5:Q5"/>
    <mergeCell ref="R5:U5"/>
    <mergeCell ref="H5:H6"/>
    <mergeCell ref="I5:I6"/>
    <mergeCell ref="J5:J6"/>
    <mergeCell ref="K5:K6"/>
    <mergeCell ref="L5:L6"/>
    <mergeCell ref="M5:M6"/>
  </mergeCells>
  <phoneticPr fontId="2"/>
  <conditionalFormatting sqref="B8:E17">
    <cfRule type="containsBlanks" dxfId="338" priority="1">
      <formula>LEN(TRIM(B8))=0</formula>
    </cfRule>
  </conditionalFormatting>
  <conditionalFormatting sqref="C2:D2">
    <cfRule type="containsBlanks" dxfId="337" priority="3">
      <formula>LEN(TRIM(C2))=0</formula>
    </cfRule>
  </conditionalFormatting>
  <conditionalFormatting sqref="G8:N17">
    <cfRule type="containsBlanks" dxfId="336" priority="2">
      <formula>LEN(TRIM(G8))=0</formula>
    </cfRule>
  </conditionalFormatting>
  <conditionalFormatting sqref="P8:U17">
    <cfRule type="containsBlanks" dxfId="335" priority="4">
      <formula>LEN(TRIM(P8))=0</formula>
    </cfRule>
  </conditionalFormatting>
  <dataValidations count="1">
    <dataValidation type="list" allowBlank="1" showInputMessage="1" showErrorMessage="1" sqref="I7:I17" xr:uid="{54ED0C53-7826-426D-86B6-4A1B2D653E6E}">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8C3A-04BA-447C-A7A7-988EADA9AF31}">
  <sheetPr codeName="Sheet367">
    <tabColor rgb="FFFFFF66"/>
    <pageSetUpPr fitToPage="1"/>
  </sheetPr>
  <dimension ref="A1:AF62"/>
  <sheetViews>
    <sheetView zoomScale="55" zoomScaleNormal="55" zoomScaleSheetLayoutView="70" workbookViewId="0">
      <selection activeCell="M9" sqref="M9"/>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26953125" style="4825" customWidth="1"/>
    <col min="15" max="15" width="25.1796875" style="4659" customWidth="1"/>
    <col min="16" max="16" width="16.453125" style="4659"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c r="S1" s="4656"/>
      <c r="U1" s="4660"/>
      <c r="W1" s="4656"/>
    </row>
    <row r="2" spans="1:32" ht="44.25" customHeight="1">
      <c r="A2" s="5143" t="s">
        <v>2239</v>
      </c>
      <c r="B2" s="5144"/>
      <c r="D2" s="5145"/>
      <c r="E2" s="5145"/>
      <c r="F2" s="5145"/>
      <c r="G2" s="5145"/>
      <c r="I2" s="4662"/>
      <c r="J2" s="4663"/>
      <c r="L2" s="4663"/>
      <c r="M2" s="4663"/>
      <c r="N2" s="5042"/>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86">
        <v>1</v>
      </c>
      <c r="B7" s="4687">
        <v>46284</v>
      </c>
      <c r="C7" s="4687">
        <v>46286</v>
      </c>
      <c r="D7" s="4672">
        <f t="shared" ref="D7:D21" si="0">IF(_xlfn.DAYS(C7,B7)=0,"1",_xlfn.DAYS(C7,B7))</f>
        <v>2</v>
      </c>
      <c r="E7" s="4687">
        <v>46292</v>
      </c>
      <c r="F7" s="4698">
        <f t="shared" ref="F7:F21" si="1">IF(_xlfn.DAYS(E7,C7)=0,"1",_xlfn.DAYS(E7,C7))+1</f>
        <v>7</v>
      </c>
      <c r="G7" s="4699">
        <v>46294</v>
      </c>
      <c r="H7" s="4672">
        <f t="shared" ref="H7:H21" si="2">IF(_xlfn.DAYS(G7,E7)=0,"1",_xlfn.DAYS(G7,E7))-1</f>
        <v>1</v>
      </c>
      <c r="I7" s="4691" t="s">
        <v>6304</v>
      </c>
      <c r="J7" s="4692">
        <v>25</v>
      </c>
      <c r="K7" s="4693">
        <v>25</v>
      </c>
      <c r="L7" s="4692">
        <v>25000</v>
      </c>
      <c r="M7" s="4692">
        <v>26600</v>
      </c>
      <c r="N7" s="4971">
        <f t="shared" ref="N7:N21" si="3">M7*K7</f>
        <v>665000</v>
      </c>
      <c r="O7" s="4692">
        <v>25000</v>
      </c>
      <c r="P7" s="4678">
        <f t="shared" ref="P7:P16" si="4">SUM(D7,F7,H7)*K7</f>
        <v>250</v>
      </c>
      <c r="Q7" s="4679">
        <f t="shared" ref="Q7:Q16" si="5">(D7*L7+F7*M7+H7*O7)*K7</f>
        <v>6530000</v>
      </c>
      <c r="R7" s="4692">
        <v>17</v>
      </c>
      <c r="S7" s="4680" t="s">
        <v>5742</v>
      </c>
      <c r="T7" s="4694">
        <v>17</v>
      </c>
      <c r="U7" s="4700">
        <v>1</v>
      </c>
      <c r="V7" s="4998">
        <v>160</v>
      </c>
      <c r="W7" s="4680" t="s">
        <v>4521</v>
      </c>
      <c r="X7" s="4695">
        <v>203</v>
      </c>
      <c r="Y7" s="4692">
        <v>1</v>
      </c>
      <c r="Z7" s="4692" t="s">
        <v>6305</v>
      </c>
      <c r="AA7" s="4683" t="s">
        <v>5035</v>
      </c>
      <c r="AB7" s="4692" t="s">
        <v>2830</v>
      </c>
      <c r="AC7" s="4683" t="s">
        <v>5050</v>
      </c>
      <c r="AD7" s="4692" t="s">
        <v>5741</v>
      </c>
      <c r="AE7" s="4684"/>
      <c r="AF7" s="5498">
        <f t="shared" ref="AF7:AF21" si="6">U7*K7</f>
        <v>25</v>
      </c>
    </row>
    <row r="8" spans="1:32" ht="33.75" customHeight="1">
      <c r="A8" s="4686">
        <v>2</v>
      </c>
      <c r="B8" s="4687">
        <v>46284</v>
      </c>
      <c r="C8" s="4687">
        <v>46286</v>
      </c>
      <c r="D8" s="4672">
        <f t="shared" si="0"/>
        <v>2</v>
      </c>
      <c r="E8" s="4687">
        <v>46292</v>
      </c>
      <c r="F8" s="4698">
        <f t="shared" si="1"/>
        <v>7</v>
      </c>
      <c r="G8" s="4699">
        <v>46294</v>
      </c>
      <c r="H8" s="4672">
        <f t="shared" si="2"/>
        <v>1</v>
      </c>
      <c r="I8" s="4691" t="s">
        <v>6306</v>
      </c>
      <c r="J8" s="4692">
        <v>12</v>
      </c>
      <c r="K8" s="4693">
        <v>12</v>
      </c>
      <c r="L8" s="4692">
        <v>26100</v>
      </c>
      <c r="M8" s="4692">
        <v>27700</v>
      </c>
      <c r="N8" s="4971">
        <f t="shared" si="3"/>
        <v>332400</v>
      </c>
      <c r="O8" s="4692">
        <v>26100</v>
      </c>
      <c r="P8" s="4678">
        <f t="shared" si="4"/>
        <v>120</v>
      </c>
      <c r="Q8" s="4679">
        <f t="shared" si="5"/>
        <v>3266400</v>
      </c>
      <c r="R8" s="4692">
        <v>17</v>
      </c>
      <c r="S8" s="4680" t="s">
        <v>5742</v>
      </c>
      <c r="T8" s="4694">
        <v>17</v>
      </c>
      <c r="U8" s="4700">
        <v>1</v>
      </c>
      <c r="V8" s="4998">
        <v>180</v>
      </c>
      <c r="W8" s="4680" t="s">
        <v>4521</v>
      </c>
      <c r="X8" s="4695">
        <v>203</v>
      </c>
      <c r="Y8" s="4692">
        <v>1</v>
      </c>
      <c r="Z8" s="4692" t="s">
        <v>6305</v>
      </c>
      <c r="AA8" s="4683" t="s">
        <v>5035</v>
      </c>
      <c r="AB8" s="4692" t="s">
        <v>2830</v>
      </c>
      <c r="AC8" s="4683" t="s">
        <v>5050</v>
      </c>
      <c r="AD8" s="4692" t="s">
        <v>5741</v>
      </c>
      <c r="AE8" s="4696"/>
      <c r="AF8" s="4685">
        <f t="shared" si="6"/>
        <v>12</v>
      </c>
    </row>
    <row r="9" spans="1:32" ht="33.75" customHeight="1">
      <c r="A9" s="4686">
        <v>3</v>
      </c>
      <c r="B9" s="4687">
        <v>46284</v>
      </c>
      <c r="C9" s="4687">
        <v>46286</v>
      </c>
      <c r="D9" s="4672">
        <f t="shared" si="0"/>
        <v>2</v>
      </c>
      <c r="E9" s="4687">
        <v>46292</v>
      </c>
      <c r="F9" s="4698">
        <f t="shared" si="1"/>
        <v>7</v>
      </c>
      <c r="G9" s="4699">
        <v>46294</v>
      </c>
      <c r="H9" s="4672">
        <f t="shared" si="2"/>
        <v>1</v>
      </c>
      <c r="I9" s="4691" t="s">
        <v>6307</v>
      </c>
      <c r="J9" s="4692">
        <v>4</v>
      </c>
      <c r="K9" s="4693">
        <v>4</v>
      </c>
      <c r="L9" s="4692">
        <v>28200</v>
      </c>
      <c r="M9" s="4692">
        <v>29800</v>
      </c>
      <c r="N9" s="4971">
        <f t="shared" si="3"/>
        <v>119200</v>
      </c>
      <c r="O9" s="4692">
        <v>28200</v>
      </c>
      <c r="P9" s="4678">
        <f t="shared" si="4"/>
        <v>40</v>
      </c>
      <c r="Q9" s="4679">
        <f t="shared" si="5"/>
        <v>1172800</v>
      </c>
      <c r="R9" s="4692">
        <v>19.5</v>
      </c>
      <c r="S9" s="4680" t="s">
        <v>5742</v>
      </c>
      <c r="T9" s="4694">
        <v>19.5</v>
      </c>
      <c r="U9" s="4700">
        <v>2</v>
      </c>
      <c r="V9" s="4692">
        <v>160</v>
      </c>
      <c r="W9" s="4680" t="s">
        <v>4521</v>
      </c>
      <c r="X9" s="4695">
        <v>203</v>
      </c>
      <c r="Y9" s="4692">
        <v>2</v>
      </c>
      <c r="Z9" s="4692" t="s">
        <v>6308</v>
      </c>
      <c r="AA9" s="4683" t="s">
        <v>5035</v>
      </c>
      <c r="AB9" s="4692" t="s">
        <v>2830</v>
      </c>
      <c r="AC9" s="4683" t="s">
        <v>5050</v>
      </c>
      <c r="AD9" s="4692" t="s">
        <v>5741</v>
      </c>
      <c r="AE9" s="4696"/>
      <c r="AF9" s="4685">
        <f t="shared" si="6"/>
        <v>8</v>
      </c>
    </row>
    <row r="10" spans="1:32" ht="33.75" customHeight="1">
      <c r="A10" s="4686">
        <v>4</v>
      </c>
      <c r="B10" s="4687">
        <v>46284</v>
      </c>
      <c r="C10" s="4687">
        <v>46286</v>
      </c>
      <c r="D10" s="4672">
        <f t="shared" si="0"/>
        <v>2</v>
      </c>
      <c r="E10" s="4687">
        <v>46292</v>
      </c>
      <c r="F10" s="4698">
        <f t="shared" si="1"/>
        <v>7</v>
      </c>
      <c r="G10" s="4699">
        <v>46294</v>
      </c>
      <c r="H10" s="4672">
        <f t="shared" si="2"/>
        <v>1</v>
      </c>
      <c r="I10" s="4691" t="s">
        <v>6309</v>
      </c>
      <c r="J10" s="4692">
        <v>3</v>
      </c>
      <c r="K10" s="4693">
        <v>3</v>
      </c>
      <c r="L10" s="4692">
        <v>29200</v>
      </c>
      <c r="M10" s="4692">
        <v>30800</v>
      </c>
      <c r="N10" s="4971">
        <f t="shared" si="3"/>
        <v>92400</v>
      </c>
      <c r="O10" s="4692">
        <v>29200</v>
      </c>
      <c r="P10" s="4678">
        <f t="shared" si="4"/>
        <v>30</v>
      </c>
      <c r="Q10" s="4679">
        <f t="shared" si="5"/>
        <v>909600</v>
      </c>
      <c r="R10" s="4692">
        <v>20</v>
      </c>
      <c r="S10" s="4680" t="s">
        <v>5742</v>
      </c>
      <c r="T10" s="4694">
        <v>20</v>
      </c>
      <c r="U10" s="4700">
        <v>2</v>
      </c>
      <c r="V10" s="4692">
        <v>200</v>
      </c>
      <c r="W10" s="4680" t="s">
        <v>4521</v>
      </c>
      <c r="X10" s="4695">
        <v>203</v>
      </c>
      <c r="Y10" s="4692">
        <v>2</v>
      </c>
      <c r="Z10" s="4692" t="s">
        <v>6308</v>
      </c>
      <c r="AA10" s="4683" t="s">
        <v>5035</v>
      </c>
      <c r="AB10" s="4692" t="s">
        <v>2830</v>
      </c>
      <c r="AC10" s="4683" t="s">
        <v>5050</v>
      </c>
      <c r="AD10" s="4692" t="s">
        <v>5741</v>
      </c>
      <c r="AE10" s="4696"/>
      <c r="AF10" s="4685">
        <f t="shared" si="6"/>
        <v>6</v>
      </c>
    </row>
    <row r="11" spans="1:32" ht="33.75" customHeight="1">
      <c r="A11" s="4686">
        <v>5</v>
      </c>
      <c r="B11" s="4687">
        <v>46284</v>
      </c>
      <c r="C11" s="4687">
        <v>46286</v>
      </c>
      <c r="D11" s="4672">
        <f t="shared" si="0"/>
        <v>2</v>
      </c>
      <c r="E11" s="4687">
        <v>46292</v>
      </c>
      <c r="F11" s="4698">
        <f t="shared" si="1"/>
        <v>7</v>
      </c>
      <c r="G11" s="4699">
        <v>46294</v>
      </c>
      <c r="H11" s="4672">
        <f t="shared" si="2"/>
        <v>1</v>
      </c>
      <c r="I11" s="4691" t="s">
        <v>6310</v>
      </c>
      <c r="J11" s="4692">
        <v>60</v>
      </c>
      <c r="K11" s="4693">
        <v>60</v>
      </c>
      <c r="L11" s="4692">
        <v>33000</v>
      </c>
      <c r="M11" s="4692">
        <v>36200</v>
      </c>
      <c r="N11" s="4971">
        <f t="shared" si="3"/>
        <v>2172000</v>
      </c>
      <c r="O11" s="4692">
        <v>33000</v>
      </c>
      <c r="P11" s="4678">
        <f t="shared" si="4"/>
        <v>600</v>
      </c>
      <c r="Q11" s="4679">
        <f t="shared" si="5"/>
        <v>21144000</v>
      </c>
      <c r="R11" s="4692">
        <v>20</v>
      </c>
      <c r="S11" s="4680" t="s">
        <v>5742</v>
      </c>
      <c r="T11" s="4694">
        <v>20</v>
      </c>
      <c r="U11" s="4700">
        <v>2</v>
      </c>
      <c r="V11" s="4692">
        <v>120</v>
      </c>
      <c r="W11" s="4680" t="s">
        <v>4521</v>
      </c>
      <c r="X11" s="4695">
        <v>203</v>
      </c>
      <c r="Y11" s="4692">
        <v>2</v>
      </c>
      <c r="Z11" s="4692" t="s">
        <v>6305</v>
      </c>
      <c r="AA11" s="4683" t="s">
        <v>5035</v>
      </c>
      <c r="AB11" s="4692" t="s">
        <v>2830</v>
      </c>
      <c r="AC11" s="4683" t="s">
        <v>5050</v>
      </c>
      <c r="AD11" s="4692" t="s">
        <v>5741</v>
      </c>
      <c r="AE11" s="4696"/>
      <c r="AF11" s="4685">
        <f t="shared" si="6"/>
        <v>120</v>
      </c>
    </row>
    <row r="12" spans="1:32" ht="33.75" customHeight="1">
      <c r="A12" s="4686">
        <v>6</v>
      </c>
      <c r="B12" s="4687">
        <v>46284</v>
      </c>
      <c r="C12" s="4687">
        <v>46286</v>
      </c>
      <c r="D12" s="4672">
        <f t="shared" si="0"/>
        <v>2</v>
      </c>
      <c r="E12" s="4687">
        <v>46292</v>
      </c>
      <c r="F12" s="4698">
        <f t="shared" si="1"/>
        <v>7</v>
      </c>
      <c r="G12" s="4699">
        <v>46294</v>
      </c>
      <c r="H12" s="4672">
        <f t="shared" si="2"/>
        <v>1</v>
      </c>
      <c r="I12" s="4691" t="s">
        <v>6298</v>
      </c>
      <c r="J12" s="4692">
        <v>2</v>
      </c>
      <c r="K12" s="4693">
        <v>2</v>
      </c>
      <c r="L12" s="4692">
        <v>34000</v>
      </c>
      <c r="M12" s="4692">
        <v>37200</v>
      </c>
      <c r="N12" s="4971">
        <f t="shared" si="3"/>
        <v>74400</v>
      </c>
      <c r="O12" s="4692">
        <v>34000</v>
      </c>
      <c r="P12" s="4678">
        <f t="shared" si="4"/>
        <v>20</v>
      </c>
      <c r="Q12" s="4679">
        <f t="shared" si="5"/>
        <v>724800</v>
      </c>
      <c r="R12" s="4692">
        <v>21.5</v>
      </c>
      <c r="S12" s="4680" t="s">
        <v>5742</v>
      </c>
      <c r="T12" s="4694">
        <v>21.5</v>
      </c>
      <c r="U12" s="4700">
        <v>2</v>
      </c>
      <c r="V12" s="4692">
        <v>120</v>
      </c>
      <c r="W12" s="4680" t="s">
        <v>4521</v>
      </c>
      <c r="X12" s="4695">
        <v>203</v>
      </c>
      <c r="Y12" s="4692">
        <v>2</v>
      </c>
      <c r="Z12" s="4692" t="s">
        <v>6308</v>
      </c>
      <c r="AA12" s="4683" t="s">
        <v>5035</v>
      </c>
      <c r="AB12" s="4692" t="s">
        <v>2830</v>
      </c>
      <c r="AC12" s="4683" t="s">
        <v>5050</v>
      </c>
      <c r="AD12" s="4692" t="s">
        <v>5741</v>
      </c>
      <c r="AE12" s="4696"/>
      <c r="AF12" s="4685">
        <f t="shared" si="6"/>
        <v>4</v>
      </c>
    </row>
    <row r="13" spans="1:32" ht="33.75" customHeight="1">
      <c r="A13" s="4686">
        <v>7</v>
      </c>
      <c r="B13" s="4687">
        <v>46284</v>
      </c>
      <c r="C13" s="4687">
        <v>46286</v>
      </c>
      <c r="D13" s="4672">
        <f t="shared" si="0"/>
        <v>2</v>
      </c>
      <c r="E13" s="4687">
        <v>46292</v>
      </c>
      <c r="F13" s="4698">
        <f t="shared" si="1"/>
        <v>7</v>
      </c>
      <c r="G13" s="4699">
        <v>46294</v>
      </c>
      <c r="H13" s="4672">
        <f t="shared" si="2"/>
        <v>1</v>
      </c>
      <c r="I13" s="4691" t="s">
        <v>5136</v>
      </c>
      <c r="J13" s="4692">
        <v>8</v>
      </c>
      <c r="K13" s="4693">
        <v>8</v>
      </c>
      <c r="L13" s="4692">
        <v>37400</v>
      </c>
      <c r="M13" s="4692">
        <v>40600</v>
      </c>
      <c r="N13" s="4971">
        <f t="shared" si="3"/>
        <v>324800</v>
      </c>
      <c r="O13" s="4692">
        <v>37400</v>
      </c>
      <c r="P13" s="4678">
        <f t="shared" si="4"/>
        <v>80</v>
      </c>
      <c r="Q13" s="4679">
        <f t="shared" si="5"/>
        <v>3171200</v>
      </c>
      <c r="R13" s="4692">
        <v>23.5</v>
      </c>
      <c r="S13" s="4680" t="s">
        <v>5742</v>
      </c>
      <c r="T13" s="4694">
        <v>23.5</v>
      </c>
      <c r="U13" s="4700">
        <v>1</v>
      </c>
      <c r="V13" s="4692">
        <v>120</v>
      </c>
      <c r="W13" s="4680" t="s">
        <v>4521</v>
      </c>
      <c r="X13" s="4695">
        <v>203</v>
      </c>
      <c r="Y13" s="4692">
        <v>2</v>
      </c>
      <c r="Z13" s="4692" t="s">
        <v>6308</v>
      </c>
      <c r="AA13" s="4683" t="s">
        <v>5035</v>
      </c>
      <c r="AB13" s="4692" t="s">
        <v>2830</v>
      </c>
      <c r="AC13" s="4683" t="s">
        <v>5050</v>
      </c>
      <c r="AD13" s="4692" t="s">
        <v>5741</v>
      </c>
      <c r="AE13" s="4696"/>
      <c r="AF13" s="4685">
        <f t="shared" si="6"/>
        <v>8</v>
      </c>
    </row>
    <row r="14" spans="1:32" ht="33.75" customHeight="1">
      <c r="A14" s="4686">
        <v>8</v>
      </c>
      <c r="B14" s="4687">
        <v>46284</v>
      </c>
      <c r="C14" s="4687">
        <v>46286</v>
      </c>
      <c r="D14" s="4672">
        <f t="shared" si="0"/>
        <v>2</v>
      </c>
      <c r="E14" s="4687">
        <v>46292</v>
      </c>
      <c r="F14" s="4698">
        <f t="shared" si="1"/>
        <v>7</v>
      </c>
      <c r="G14" s="4699">
        <v>46294</v>
      </c>
      <c r="H14" s="4672">
        <f t="shared" si="2"/>
        <v>1</v>
      </c>
      <c r="I14" s="4691" t="s">
        <v>6311</v>
      </c>
      <c r="J14" s="4692">
        <v>1</v>
      </c>
      <c r="K14" s="4693">
        <v>1</v>
      </c>
      <c r="L14" s="4692">
        <v>50300</v>
      </c>
      <c r="M14" s="4692">
        <v>53500</v>
      </c>
      <c r="N14" s="4971">
        <f t="shared" si="3"/>
        <v>53500</v>
      </c>
      <c r="O14" s="4692">
        <v>50300</v>
      </c>
      <c r="P14" s="4678">
        <f t="shared" si="4"/>
        <v>10</v>
      </c>
      <c r="Q14" s="4679">
        <f t="shared" si="5"/>
        <v>525400</v>
      </c>
      <c r="R14" s="4692">
        <v>35.5</v>
      </c>
      <c r="S14" s="4680" t="s">
        <v>5742</v>
      </c>
      <c r="T14" s="4694">
        <v>35.5</v>
      </c>
      <c r="U14" s="4700">
        <v>2</v>
      </c>
      <c r="V14" s="4692">
        <v>120</v>
      </c>
      <c r="W14" s="4680" t="s">
        <v>4521</v>
      </c>
      <c r="X14" s="4695">
        <v>203</v>
      </c>
      <c r="Y14" s="4692" t="s">
        <v>6312</v>
      </c>
      <c r="Z14" s="4692" t="s">
        <v>6308</v>
      </c>
      <c r="AA14" s="4683" t="s">
        <v>5035</v>
      </c>
      <c r="AB14" s="4692" t="s">
        <v>2830</v>
      </c>
      <c r="AC14" s="4683" t="s">
        <v>5050</v>
      </c>
      <c r="AD14" s="4692" t="s">
        <v>5741</v>
      </c>
      <c r="AE14" s="4696" t="s">
        <v>6313</v>
      </c>
      <c r="AF14" s="4685">
        <f t="shared" si="6"/>
        <v>2</v>
      </c>
    </row>
    <row r="15" spans="1:32" ht="33.75" customHeight="1">
      <c r="A15" s="4686">
        <v>9</v>
      </c>
      <c r="B15" s="4687">
        <v>46284</v>
      </c>
      <c r="C15" s="4687">
        <v>46286</v>
      </c>
      <c r="D15" s="4672">
        <f t="shared" si="0"/>
        <v>2</v>
      </c>
      <c r="E15" s="4687">
        <v>46292</v>
      </c>
      <c r="F15" s="4698">
        <f t="shared" si="1"/>
        <v>7</v>
      </c>
      <c r="G15" s="4699">
        <v>46294</v>
      </c>
      <c r="H15" s="4672">
        <f t="shared" si="2"/>
        <v>1</v>
      </c>
      <c r="I15" s="4691" t="s">
        <v>6314</v>
      </c>
      <c r="J15" s="4692">
        <v>1</v>
      </c>
      <c r="K15" s="4693">
        <v>1</v>
      </c>
      <c r="L15" s="4692">
        <v>53500</v>
      </c>
      <c r="M15" s="4692">
        <v>56700</v>
      </c>
      <c r="N15" s="4971">
        <f t="shared" si="3"/>
        <v>56700</v>
      </c>
      <c r="O15" s="4692">
        <v>53500</v>
      </c>
      <c r="P15" s="4678">
        <f t="shared" si="4"/>
        <v>10</v>
      </c>
      <c r="Q15" s="4679">
        <f t="shared" si="5"/>
        <v>557400</v>
      </c>
      <c r="R15" s="4692">
        <v>38</v>
      </c>
      <c r="S15" s="4680" t="s">
        <v>5742</v>
      </c>
      <c r="T15" s="4694">
        <v>38</v>
      </c>
      <c r="U15" s="4700">
        <v>2</v>
      </c>
      <c r="V15" s="4692">
        <v>120</v>
      </c>
      <c r="W15" s="4680" t="s">
        <v>4521</v>
      </c>
      <c r="X15" s="4695">
        <v>203</v>
      </c>
      <c r="Y15" s="4692" t="s">
        <v>6312</v>
      </c>
      <c r="Z15" s="4692" t="s">
        <v>6308</v>
      </c>
      <c r="AA15" s="4683" t="s">
        <v>5035</v>
      </c>
      <c r="AB15" s="4692" t="s">
        <v>2830</v>
      </c>
      <c r="AC15" s="4683" t="s">
        <v>5050</v>
      </c>
      <c r="AD15" s="4692" t="s">
        <v>5741</v>
      </c>
      <c r="AE15" s="4696" t="s">
        <v>6313</v>
      </c>
      <c r="AF15" s="4685">
        <f t="shared" si="6"/>
        <v>2</v>
      </c>
    </row>
    <row r="16" spans="1:32" ht="33.75" customHeight="1">
      <c r="A16" s="4686">
        <v>10</v>
      </c>
      <c r="B16" s="4687">
        <v>46284</v>
      </c>
      <c r="C16" s="4687">
        <v>46286</v>
      </c>
      <c r="D16" s="4672">
        <f t="shared" si="0"/>
        <v>2</v>
      </c>
      <c r="E16" s="4687">
        <v>46292</v>
      </c>
      <c r="F16" s="4698">
        <f t="shared" si="1"/>
        <v>7</v>
      </c>
      <c r="G16" s="4699">
        <v>46294</v>
      </c>
      <c r="H16" s="4672">
        <f t="shared" si="2"/>
        <v>1</v>
      </c>
      <c r="I16" s="4691" t="s">
        <v>6315</v>
      </c>
      <c r="J16" s="4692">
        <v>2</v>
      </c>
      <c r="K16" s="4693">
        <v>2</v>
      </c>
      <c r="L16" s="4692">
        <v>29200</v>
      </c>
      <c r="M16" s="4692">
        <v>30800</v>
      </c>
      <c r="N16" s="4971">
        <f t="shared" si="3"/>
        <v>61600</v>
      </c>
      <c r="O16" s="4692">
        <v>29200</v>
      </c>
      <c r="P16" s="4678">
        <f t="shared" si="4"/>
        <v>20</v>
      </c>
      <c r="Q16" s="4679">
        <f t="shared" si="5"/>
        <v>606400</v>
      </c>
      <c r="R16" s="4692">
        <v>21.5</v>
      </c>
      <c r="S16" s="4680" t="s">
        <v>5742</v>
      </c>
      <c r="T16" s="4694">
        <v>21.5</v>
      </c>
      <c r="U16" s="4700">
        <v>1</v>
      </c>
      <c r="V16" s="4692">
        <v>120</v>
      </c>
      <c r="W16" s="4680" t="s">
        <v>4521</v>
      </c>
      <c r="X16" s="4695">
        <v>203</v>
      </c>
      <c r="Y16" s="4692">
        <v>1</v>
      </c>
      <c r="Z16" s="4692" t="s">
        <v>6308</v>
      </c>
      <c r="AA16" s="4683" t="s">
        <v>5035</v>
      </c>
      <c r="AB16" s="4692" t="s">
        <v>2830</v>
      </c>
      <c r="AC16" s="4683" t="s">
        <v>5050</v>
      </c>
      <c r="AD16" s="4692" t="s">
        <v>5741</v>
      </c>
      <c r="AE16" s="4696" t="s">
        <v>6316</v>
      </c>
      <c r="AF16" s="4685">
        <f t="shared" si="6"/>
        <v>2</v>
      </c>
    </row>
    <row r="17" spans="1:32" ht="33.75" customHeight="1">
      <c r="A17" s="4686">
        <v>11</v>
      </c>
      <c r="B17" s="4687"/>
      <c r="C17" s="4687"/>
      <c r="D17" s="4672" t="str">
        <f t="shared" si="0"/>
        <v>1</v>
      </c>
      <c r="E17" s="4687"/>
      <c r="F17" s="4698">
        <f t="shared" si="1"/>
        <v>2</v>
      </c>
      <c r="G17" s="4699"/>
      <c r="H17" s="4672">
        <f t="shared" si="2"/>
        <v>0</v>
      </c>
      <c r="I17" s="4691"/>
      <c r="J17" s="4692"/>
      <c r="K17" s="4693"/>
      <c r="L17" s="4692"/>
      <c r="M17" s="4692"/>
      <c r="N17" s="4971">
        <f t="shared" si="3"/>
        <v>0</v>
      </c>
      <c r="O17" s="4692"/>
      <c r="P17" s="4692"/>
      <c r="Q17" s="4692"/>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12</v>
      </c>
      <c r="B18" s="4687"/>
      <c r="C18" s="4687"/>
      <c r="D18" s="4672" t="str">
        <f t="shared" si="0"/>
        <v>1</v>
      </c>
      <c r="E18" s="4687"/>
      <c r="F18" s="4698">
        <f t="shared" si="1"/>
        <v>2</v>
      </c>
      <c r="G18" s="4699"/>
      <c r="H18" s="4672">
        <f t="shared" si="2"/>
        <v>0</v>
      </c>
      <c r="I18" s="4691"/>
      <c r="J18" s="4692"/>
      <c r="K18" s="4693"/>
      <c r="L18" s="4692"/>
      <c r="M18" s="4692"/>
      <c r="N18" s="4971">
        <f t="shared" si="3"/>
        <v>0</v>
      </c>
      <c r="O18" s="4692"/>
      <c r="P18" s="4692"/>
      <c r="Q18" s="4692"/>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13</v>
      </c>
      <c r="B19" s="4687"/>
      <c r="C19" s="4687"/>
      <c r="D19" s="4672" t="str">
        <f t="shared" si="0"/>
        <v>1</v>
      </c>
      <c r="E19" s="4687"/>
      <c r="F19" s="4698">
        <f t="shared" si="1"/>
        <v>2</v>
      </c>
      <c r="G19" s="4699"/>
      <c r="H19" s="4672">
        <f t="shared" si="2"/>
        <v>0</v>
      </c>
      <c r="I19" s="4691"/>
      <c r="J19" s="4692"/>
      <c r="K19" s="4693"/>
      <c r="L19" s="4692"/>
      <c r="M19" s="4692"/>
      <c r="N19" s="4971">
        <f t="shared" si="3"/>
        <v>0</v>
      </c>
      <c r="O19" s="4692"/>
      <c r="P19" s="4692"/>
      <c r="Q19" s="4692"/>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14</v>
      </c>
      <c r="B20" s="4687"/>
      <c r="C20" s="4687"/>
      <c r="D20" s="4672" t="str">
        <f t="shared" si="0"/>
        <v>1</v>
      </c>
      <c r="E20" s="4687"/>
      <c r="F20" s="4698">
        <f t="shared" si="1"/>
        <v>2</v>
      </c>
      <c r="G20" s="4699"/>
      <c r="H20" s="4672">
        <f t="shared" si="2"/>
        <v>0</v>
      </c>
      <c r="I20" s="4691"/>
      <c r="J20" s="4692"/>
      <c r="K20" s="4693"/>
      <c r="L20" s="4692"/>
      <c r="M20" s="4692"/>
      <c r="N20" s="4971">
        <f t="shared" si="3"/>
        <v>0</v>
      </c>
      <c r="O20" s="4692"/>
      <c r="P20" s="4692"/>
      <c r="Q20" s="4692"/>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thickBot="1">
      <c r="A21" s="4686">
        <v>15</v>
      </c>
      <c r="B21" s="4687"/>
      <c r="C21" s="4687"/>
      <c r="D21" s="4672" t="str">
        <f t="shared" si="0"/>
        <v>1</v>
      </c>
      <c r="E21" s="4687"/>
      <c r="F21" s="4698">
        <f t="shared" si="1"/>
        <v>2</v>
      </c>
      <c r="G21" s="4699"/>
      <c r="H21" s="4672">
        <f t="shared" si="2"/>
        <v>0</v>
      </c>
      <c r="I21" s="4691"/>
      <c r="J21" s="4692"/>
      <c r="K21" s="4693"/>
      <c r="L21" s="4692"/>
      <c r="M21" s="4692"/>
      <c r="N21" s="4971">
        <f t="shared" si="3"/>
        <v>0</v>
      </c>
      <c r="O21" s="4692"/>
      <c r="P21" s="4692"/>
      <c r="Q21" s="4692"/>
      <c r="R21" s="4692"/>
      <c r="S21" s="4680" t="s">
        <v>5739</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Top="1" thickBot="1">
      <c r="A22" s="4701"/>
      <c r="B22" s="4702"/>
      <c r="C22" s="4702"/>
      <c r="D22" s="4702"/>
      <c r="E22" s="4702"/>
      <c r="F22" s="4703"/>
      <c r="G22" s="4704"/>
      <c r="H22" s="4702"/>
      <c r="I22" s="4705" t="s">
        <v>2432</v>
      </c>
      <c r="J22" s="4706">
        <f>SUM(J7:J21)</f>
        <v>118</v>
      </c>
      <c r="K22" s="4707">
        <f>SUM(K7:K21)</f>
        <v>118</v>
      </c>
      <c r="L22" s="4703"/>
      <c r="M22" s="4703"/>
      <c r="N22" s="5045"/>
      <c r="O22" s="4703"/>
      <c r="P22" s="4706">
        <f>SUM(P7:P21)</f>
        <v>1180</v>
      </c>
      <c r="Q22" s="4706">
        <f>SUM(Q7:Q21)</f>
        <v>38608000</v>
      </c>
      <c r="R22" s="6863"/>
      <c r="S22" s="6864"/>
      <c r="T22" s="6865"/>
      <c r="U22" s="4708"/>
      <c r="V22" s="6863"/>
      <c r="W22" s="6864"/>
      <c r="X22" s="6864"/>
      <c r="Y22" s="4708"/>
      <c r="Z22" s="4708"/>
      <c r="AA22" s="6866"/>
      <c r="AB22" s="6867"/>
      <c r="AC22" s="6866"/>
      <c r="AD22" s="6867"/>
      <c r="AE22" s="4709"/>
      <c r="AF22" s="4685">
        <f>SUM(AF7:AF21)</f>
        <v>189</v>
      </c>
    </row>
    <row r="23" spans="1:32" ht="33.75" customHeight="1" thickBot="1">
      <c r="C23" s="4710"/>
      <c r="D23" s="4710"/>
      <c r="E23" s="4710"/>
      <c r="F23" s="4710"/>
      <c r="G23" s="4710"/>
      <c r="H23" s="4710"/>
      <c r="I23" s="4711"/>
      <c r="J23" s="4712"/>
      <c r="K23" s="4710"/>
      <c r="L23" s="4713" t="s">
        <v>5748</v>
      </c>
      <c r="M23" s="4714">
        <f>SUM(N7:N21)</f>
        <v>3952000</v>
      </c>
      <c r="N23" s="5046"/>
      <c r="O23" s="4715"/>
      <c r="P23" s="4715"/>
      <c r="S23" s="4656"/>
      <c r="W23" s="4656"/>
    </row>
    <row r="24" spans="1:32" ht="33.75" customHeight="1">
      <c r="A24" s="6845" t="s">
        <v>5749</v>
      </c>
      <c r="B24" s="6846"/>
      <c r="C24" s="4716">
        <f>P22</f>
        <v>1180</v>
      </c>
      <c r="D24" s="4717"/>
      <c r="F24" s="4718"/>
      <c r="H24" s="4719"/>
      <c r="I24" s="4720"/>
      <c r="K24" s="4659"/>
      <c r="L24" s="4721" t="s">
        <v>5750</v>
      </c>
      <c r="M24" s="4722">
        <f>M23*1.1</f>
        <v>4347200</v>
      </c>
      <c r="P24" s="4656"/>
    </row>
    <row r="25" spans="1:32" ht="33.75" customHeight="1">
      <c r="A25" s="6991" t="s">
        <v>5805</v>
      </c>
      <c r="B25" s="6992"/>
      <c r="C25" s="5371">
        <f>Q22</f>
        <v>38608000</v>
      </c>
      <c r="D25" s="4717"/>
      <c r="F25" s="4724"/>
      <c r="H25" s="4719"/>
      <c r="I25" s="4720"/>
      <c r="K25" s="4659"/>
      <c r="P25" s="4656"/>
    </row>
    <row r="26" spans="1:32" ht="32.15" customHeight="1" thickBot="1">
      <c r="A26" s="6993" t="s">
        <v>5751</v>
      </c>
      <c r="B26" s="6994"/>
      <c r="C26" s="5372">
        <f>ROUNDDOWN(C25*1.1,0)</f>
        <v>42468800</v>
      </c>
      <c r="D26" s="4726"/>
      <c r="E26" s="4726"/>
      <c r="F26" s="4726"/>
      <c r="G26" s="4726"/>
      <c r="H26" s="4726"/>
      <c r="I26" s="4727"/>
    </row>
    <row r="27" spans="1:32" ht="33.75" hidden="1" customHeight="1" thickBot="1">
      <c r="A27" s="4665" t="s">
        <v>5807</v>
      </c>
      <c r="B27" s="4665"/>
      <c r="S27" s="4656"/>
      <c r="W27" s="4656"/>
      <c r="Z27" s="4656"/>
      <c r="AA27" s="4656"/>
      <c r="AB27" s="4656"/>
      <c r="AC27" s="4656"/>
      <c r="AD27" s="4656"/>
      <c r="AF27" s="4656" t="s">
        <v>5712</v>
      </c>
    </row>
    <row r="28" spans="1:32" s="4666" customFormat="1" ht="33.75" hidden="1" customHeight="1">
      <c r="A28" s="6877" t="s">
        <v>5713</v>
      </c>
      <c r="B28" s="6879" t="s">
        <v>5714</v>
      </c>
      <c r="C28" s="6855" t="s">
        <v>5715</v>
      </c>
      <c r="D28" s="6855" t="s">
        <v>5716</v>
      </c>
      <c r="E28" s="6855" t="s">
        <v>5717</v>
      </c>
      <c r="F28" s="6868" t="s">
        <v>5718</v>
      </c>
      <c r="G28" s="6855" t="s">
        <v>5719</v>
      </c>
      <c r="H28" s="6855" t="s">
        <v>5720</v>
      </c>
      <c r="I28" s="6857" t="s">
        <v>5721</v>
      </c>
      <c r="J28" s="6851" t="s">
        <v>5722</v>
      </c>
      <c r="K28" s="6851" t="s">
        <v>5723</v>
      </c>
      <c r="L28" s="6855" t="s">
        <v>5796</v>
      </c>
      <c r="M28" s="6855" t="s">
        <v>5797</v>
      </c>
      <c r="N28" s="4967"/>
      <c r="O28" s="6855" t="s">
        <v>5798</v>
      </c>
      <c r="P28" s="6851" t="s">
        <v>3766</v>
      </c>
      <c r="Q28" s="6853"/>
      <c r="R28" s="6868" t="s">
        <v>5728</v>
      </c>
      <c r="S28" s="6869"/>
      <c r="T28" s="6870"/>
      <c r="U28" s="6855" t="s">
        <v>5729</v>
      </c>
      <c r="V28" s="6869" t="s">
        <v>5730</v>
      </c>
      <c r="W28" s="6869"/>
      <c r="X28" s="6869"/>
      <c r="Y28" s="6868" t="s">
        <v>5731</v>
      </c>
      <c r="Z28" s="6851" t="s">
        <v>5732</v>
      </c>
      <c r="AA28" s="6851" t="s">
        <v>5733</v>
      </c>
      <c r="AB28" s="6853"/>
      <c r="AC28" s="6853"/>
      <c r="AD28" s="6853"/>
      <c r="AE28" s="6860" t="s">
        <v>2792</v>
      </c>
      <c r="AF28" s="6862" t="s">
        <v>5734</v>
      </c>
    </row>
    <row r="29" spans="1:32" s="4666" customFormat="1" ht="20" hidden="1">
      <c r="A29" s="6878"/>
      <c r="B29" s="6880"/>
      <c r="C29" s="6858"/>
      <c r="D29" s="6856"/>
      <c r="E29" s="6856"/>
      <c r="F29" s="6881"/>
      <c r="G29" s="6856"/>
      <c r="H29" s="6856"/>
      <c r="I29" s="6858"/>
      <c r="J29" s="6859"/>
      <c r="K29" s="6859"/>
      <c r="L29" s="6856"/>
      <c r="M29" s="6856"/>
      <c r="N29" s="4968"/>
      <c r="O29" s="6856"/>
      <c r="P29" s="4667" t="s">
        <v>5735</v>
      </c>
      <c r="Q29" s="4668" t="s">
        <v>5736</v>
      </c>
      <c r="R29" s="6871"/>
      <c r="S29" s="6872"/>
      <c r="T29" s="6873"/>
      <c r="U29" s="6856"/>
      <c r="V29" s="6872"/>
      <c r="W29" s="6872"/>
      <c r="X29" s="6872"/>
      <c r="Y29" s="6852"/>
      <c r="Z29" s="6852"/>
      <c r="AA29" s="6852"/>
      <c r="AB29" s="6854"/>
      <c r="AC29" s="6854"/>
      <c r="AD29" s="6854"/>
      <c r="AE29" s="6861"/>
      <c r="AF29" s="6862"/>
    </row>
    <row r="30" spans="1:32" ht="33.75" hidden="1" customHeight="1">
      <c r="A30" s="4669" t="s">
        <v>5737</v>
      </c>
      <c r="B30" s="4826">
        <v>46305</v>
      </c>
      <c r="C30" s="4827">
        <v>46307</v>
      </c>
      <c r="D30" s="4672">
        <f t="shared" ref="D30:D45" si="7">IF(_xlfn.DAYS(C30,B30)=0,"1",_xlfn.DAYS(C30,B30))</f>
        <v>2</v>
      </c>
      <c r="E30" s="4827">
        <v>46319</v>
      </c>
      <c r="F30" s="4672">
        <f t="shared" ref="F30:F45" si="8">IF(_xlfn.DAYS(E30,C30)=0,"1",_xlfn.DAYS(E30,C30))+1</f>
        <v>13</v>
      </c>
      <c r="G30" s="4827">
        <v>46321</v>
      </c>
      <c r="H30" s="4672">
        <f t="shared" ref="H30:H45" si="9">IF(_xlfn.DAYS(G30,E30)=0,"1",_xlfn.DAYS(G30,E30))-1</f>
        <v>1</v>
      </c>
      <c r="I30" s="4674" t="s">
        <v>5738</v>
      </c>
      <c r="J30" s="4677">
        <v>100</v>
      </c>
      <c r="K30" s="4676">
        <v>90</v>
      </c>
      <c r="L30" s="4677">
        <v>9000</v>
      </c>
      <c r="M30" s="4677">
        <v>10000</v>
      </c>
      <c r="N30" s="4969"/>
      <c r="O30" s="4677">
        <v>8000</v>
      </c>
      <c r="P30" s="4678">
        <f t="shared" ref="P30:P45" si="10">SUM(D30,F30,H30)*K30</f>
        <v>1440</v>
      </c>
      <c r="Q30" s="4677">
        <f t="shared" ref="Q30:Q45" si="11">(D30*L30+F30*M30+H30*O30)*K30</f>
        <v>14040000</v>
      </c>
      <c r="R30" s="4682">
        <v>21</v>
      </c>
      <c r="S30" s="4680" t="s">
        <v>5739</v>
      </c>
      <c r="T30" s="4682">
        <v>21</v>
      </c>
      <c r="U30" s="4815">
        <v>1</v>
      </c>
      <c r="V30" s="4675">
        <v>154</v>
      </c>
      <c r="W30" s="4680" t="s">
        <v>4521</v>
      </c>
      <c r="X30" s="4682">
        <v>203</v>
      </c>
      <c r="Y30" s="4675">
        <v>1</v>
      </c>
      <c r="Z30" s="4675" t="s">
        <v>5740</v>
      </c>
      <c r="AA30" s="4683" t="s">
        <v>5035</v>
      </c>
      <c r="AB30" s="4675" t="s">
        <v>2830</v>
      </c>
      <c r="AC30" s="4683" t="s">
        <v>5050</v>
      </c>
      <c r="AD30" s="4675" t="s">
        <v>5741</v>
      </c>
      <c r="AE30" s="4684"/>
      <c r="AF30" s="4685">
        <f t="shared" ref="AF30:AF45" si="12">U30*K30</f>
        <v>90</v>
      </c>
    </row>
    <row r="31" spans="1:32" ht="33.75" hidden="1" customHeight="1">
      <c r="A31" s="4828">
        <v>1</v>
      </c>
      <c r="B31" s="4833"/>
      <c r="C31" s="4829"/>
      <c r="D31" s="4672" t="str">
        <f t="shared" si="7"/>
        <v>1</v>
      </c>
      <c r="E31" s="4829"/>
      <c r="F31" s="4672">
        <f t="shared" si="8"/>
        <v>2</v>
      </c>
      <c r="G31" s="4699"/>
      <c r="H31" s="4672">
        <f t="shared" si="9"/>
        <v>0</v>
      </c>
      <c r="I31" s="4831"/>
      <c r="J31" s="4834"/>
      <c r="K31" s="4835"/>
      <c r="L31" s="4834"/>
      <c r="M31" s="4834"/>
      <c r="N31" s="5499"/>
      <c r="O31" s="4834"/>
      <c r="P31" s="4678">
        <f t="shared" si="10"/>
        <v>0</v>
      </c>
      <c r="Q31" s="4677">
        <f t="shared" si="11"/>
        <v>0</v>
      </c>
      <c r="R31" s="4836"/>
      <c r="S31" s="4837" t="s">
        <v>5742</v>
      </c>
      <c r="T31" s="4836"/>
      <c r="U31" s="4838"/>
      <c r="V31" s="4834"/>
      <c r="W31" s="4837" t="s">
        <v>4521</v>
      </c>
      <c r="X31" s="4836"/>
      <c r="Y31" s="4834"/>
      <c r="Z31" s="4834"/>
      <c r="AA31" s="4839" t="s">
        <v>5035</v>
      </c>
      <c r="AB31" s="4834"/>
      <c r="AC31" s="4839" t="s">
        <v>5050</v>
      </c>
      <c r="AD31" s="4834"/>
      <c r="AE31" s="4832"/>
      <c r="AF31" s="4685">
        <f t="shared" si="12"/>
        <v>0</v>
      </c>
    </row>
    <row r="32" spans="1:32" ht="33.75" hidden="1" customHeight="1">
      <c r="A32" s="4828">
        <v>2</v>
      </c>
      <c r="B32" s="4833"/>
      <c r="C32" s="4829"/>
      <c r="D32" s="4672" t="str">
        <f t="shared" si="7"/>
        <v>1</v>
      </c>
      <c r="E32" s="4829"/>
      <c r="F32" s="4672">
        <f t="shared" si="8"/>
        <v>2</v>
      </c>
      <c r="G32" s="4699"/>
      <c r="H32" s="4672">
        <f t="shared" si="9"/>
        <v>0</v>
      </c>
      <c r="I32" s="4831"/>
      <c r="J32" s="4834"/>
      <c r="K32" s="4835"/>
      <c r="L32" s="4834"/>
      <c r="M32" s="4834"/>
      <c r="N32" s="5499"/>
      <c r="O32" s="4834"/>
      <c r="P32" s="4678">
        <f t="shared" si="10"/>
        <v>0</v>
      </c>
      <c r="Q32" s="4677">
        <f t="shared" si="11"/>
        <v>0</v>
      </c>
      <c r="R32" s="4836"/>
      <c r="S32" s="4837" t="s">
        <v>5742</v>
      </c>
      <c r="T32" s="4836"/>
      <c r="U32" s="4838"/>
      <c r="V32" s="4834"/>
      <c r="W32" s="4837" t="s">
        <v>4521</v>
      </c>
      <c r="X32" s="4836"/>
      <c r="Y32" s="4834"/>
      <c r="Z32" s="4834"/>
      <c r="AA32" s="4839" t="s">
        <v>5035</v>
      </c>
      <c r="AB32" s="4834"/>
      <c r="AC32" s="4839" t="s">
        <v>5050</v>
      </c>
      <c r="AD32" s="4834"/>
      <c r="AE32" s="4832"/>
      <c r="AF32" s="4685">
        <f t="shared" si="12"/>
        <v>0</v>
      </c>
    </row>
    <row r="33" spans="1:32" ht="33.75" hidden="1" customHeight="1">
      <c r="A33" s="4828">
        <v>3</v>
      </c>
      <c r="B33" s="4833"/>
      <c r="C33" s="4829"/>
      <c r="D33" s="4672" t="str">
        <f t="shared" si="7"/>
        <v>1</v>
      </c>
      <c r="E33" s="4829"/>
      <c r="F33" s="4672">
        <f t="shared" si="8"/>
        <v>2</v>
      </c>
      <c r="G33" s="4699"/>
      <c r="H33" s="4672">
        <f t="shared" si="9"/>
        <v>0</v>
      </c>
      <c r="I33" s="4831"/>
      <c r="J33" s="4834"/>
      <c r="K33" s="4835"/>
      <c r="L33" s="4834"/>
      <c r="M33" s="4834"/>
      <c r="N33" s="5499"/>
      <c r="O33" s="4834"/>
      <c r="P33" s="4678">
        <f t="shared" si="10"/>
        <v>0</v>
      </c>
      <c r="Q33" s="4677">
        <f t="shared" si="11"/>
        <v>0</v>
      </c>
      <c r="R33" s="4836"/>
      <c r="S33" s="4837" t="s">
        <v>5742</v>
      </c>
      <c r="T33" s="4836"/>
      <c r="U33" s="4838"/>
      <c r="V33" s="4834"/>
      <c r="W33" s="4837" t="s">
        <v>4521</v>
      </c>
      <c r="X33" s="4836"/>
      <c r="Y33" s="4834"/>
      <c r="Z33" s="4834"/>
      <c r="AA33" s="4839" t="s">
        <v>5035</v>
      </c>
      <c r="AB33" s="4834"/>
      <c r="AC33" s="4839" t="s">
        <v>5050</v>
      </c>
      <c r="AD33" s="4834"/>
      <c r="AE33" s="4832"/>
      <c r="AF33" s="4685">
        <f t="shared" si="12"/>
        <v>0</v>
      </c>
    </row>
    <row r="34" spans="1:32" ht="33.75" hidden="1" customHeight="1">
      <c r="A34" s="4828">
        <v>4</v>
      </c>
      <c r="B34" s="4833"/>
      <c r="C34" s="4829"/>
      <c r="D34" s="4672" t="str">
        <f t="shared" si="7"/>
        <v>1</v>
      </c>
      <c r="E34" s="4829"/>
      <c r="F34" s="4672">
        <f t="shared" si="8"/>
        <v>2</v>
      </c>
      <c r="G34" s="4699"/>
      <c r="H34" s="4672">
        <f t="shared" si="9"/>
        <v>0</v>
      </c>
      <c r="I34" s="4831"/>
      <c r="J34" s="4834"/>
      <c r="K34" s="4835"/>
      <c r="L34" s="4834"/>
      <c r="M34" s="4834"/>
      <c r="N34" s="5499"/>
      <c r="O34" s="4834"/>
      <c r="P34" s="4678">
        <f t="shared" si="10"/>
        <v>0</v>
      </c>
      <c r="Q34" s="4677">
        <f t="shared" si="11"/>
        <v>0</v>
      </c>
      <c r="R34" s="4836"/>
      <c r="S34" s="4837" t="s">
        <v>5742</v>
      </c>
      <c r="T34" s="4836"/>
      <c r="U34" s="4838"/>
      <c r="V34" s="4834"/>
      <c r="W34" s="4837" t="s">
        <v>4521</v>
      </c>
      <c r="X34" s="4836"/>
      <c r="Y34" s="4834"/>
      <c r="Z34" s="4834"/>
      <c r="AA34" s="4839" t="s">
        <v>5035</v>
      </c>
      <c r="AB34" s="4834"/>
      <c r="AC34" s="4839" t="s">
        <v>5050</v>
      </c>
      <c r="AD34" s="4834"/>
      <c r="AE34" s="4832"/>
      <c r="AF34" s="4685">
        <f t="shared" si="12"/>
        <v>0</v>
      </c>
    </row>
    <row r="35" spans="1:32" ht="33.75" hidden="1" customHeight="1">
      <c r="A35" s="4828">
        <v>5</v>
      </c>
      <c r="B35" s="4833"/>
      <c r="C35" s="4829"/>
      <c r="D35" s="4672" t="str">
        <f t="shared" si="7"/>
        <v>1</v>
      </c>
      <c r="E35" s="4829"/>
      <c r="F35" s="4672">
        <f t="shared" si="8"/>
        <v>2</v>
      </c>
      <c r="G35" s="4699"/>
      <c r="H35" s="4672">
        <f t="shared" si="9"/>
        <v>0</v>
      </c>
      <c r="I35" s="4831"/>
      <c r="J35" s="4834"/>
      <c r="K35" s="4835"/>
      <c r="L35" s="4834"/>
      <c r="M35" s="4834"/>
      <c r="N35" s="5499"/>
      <c r="O35" s="4834"/>
      <c r="P35" s="4678">
        <f t="shared" si="10"/>
        <v>0</v>
      </c>
      <c r="Q35" s="4677">
        <f t="shared" si="11"/>
        <v>0</v>
      </c>
      <c r="R35" s="4836"/>
      <c r="S35" s="4837" t="s">
        <v>5742</v>
      </c>
      <c r="T35" s="4836"/>
      <c r="U35" s="4838"/>
      <c r="V35" s="4834"/>
      <c r="W35" s="4837" t="s">
        <v>4521</v>
      </c>
      <c r="X35" s="4836"/>
      <c r="Y35" s="4834"/>
      <c r="Z35" s="4834"/>
      <c r="AA35" s="4839" t="s">
        <v>5035</v>
      </c>
      <c r="AB35" s="4834"/>
      <c r="AC35" s="4839" t="s">
        <v>5050</v>
      </c>
      <c r="AD35" s="4834"/>
      <c r="AE35" s="4832"/>
      <c r="AF35" s="4685">
        <f t="shared" si="12"/>
        <v>0</v>
      </c>
    </row>
    <row r="36" spans="1:32" ht="33.75" hidden="1" customHeight="1">
      <c r="A36" s="4828">
        <v>6</v>
      </c>
      <c r="B36" s="4833"/>
      <c r="C36" s="4829"/>
      <c r="D36" s="4672" t="str">
        <f t="shared" si="7"/>
        <v>1</v>
      </c>
      <c r="E36" s="4829"/>
      <c r="F36" s="4672">
        <f t="shared" si="8"/>
        <v>2</v>
      </c>
      <c r="G36" s="4699"/>
      <c r="H36" s="4672">
        <f t="shared" si="9"/>
        <v>0</v>
      </c>
      <c r="I36" s="4831"/>
      <c r="J36" s="4834"/>
      <c r="K36" s="4835"/>
      <c r="L36" s="4834"/>
      <c r="M36" s="4834"/>
      <c r="N36" s="5499"/>
      <c r="O36" s="4834"/>
      <c r="P36" s="4678">
        <f t="shared" si="10"/>
        <v>0</v>
      </c>
      <c r="Q36" s="4677">
        <f t="shared" si="11"/>
        <v>0</v>
      </c>
      <c r="R36" s="4836"/>
      <c r="S36" s="4837" t="s">
        <v>5742</v>
      </c>
      <c r="T36" s="4836"/>
      <c r="U36" s="4838"/>
      <c r="V36" s="4834"/>
      <c r="W36" s="4837" t="s">
        <v>4521</v>
      </c>
      <c r="X36" s="4836"/>
      <c r="Y36" s="4834"/>
      <c r="Z36" s="4834"/>
      <c r="AA36" s="4839" t="s">
        <v>5035</v>
      </c>
      <c r="AB36" s="4834"/>
      <c r="AC36" s="4839" t="s">
        <v>5050</v>
      </c>
      <c r="AD36" s="4834"/>
      <c r="AE36" s="4832"/>
      <c r="AF36" s="4685">
        <f t="shared" si="12"/>
        <v>0</v>
      </c>
    </row>
    <row r="37" spans="1:32" ht="33.75" hidden="1" customHeight="1">
      <c r="A37" s="4828">
        <v>7</v>
      </c>
      <c r="B37" s="4833"/>
      <c r="C37" s="4829"/>
      <c r="D37" s="4672" t="str">
        <f t="shared" si="7"/>
        <v>1</v>
      </c>
      <c r="E37" s="4829"/>
      <c r="F37" s="4672">
        <f t="shared" si="8"/>
        <v>2</v>
      </c>
      <c r="G37" s="4699"/>
      <c r="H37" s="4672">
        <f t="shared" si="9"/>
        <v>0</v>
      </c>
      <c r="I37" s="4831"/>
      <c r="J37" s="4834"/>
      <c r="K37" s="4835"/>
      <c r="L37" s="4834"/>
      <c r="M37" s="4834"/>
      <c r="N37" s="5499"/>
      <c r="O37" s="4834"/>
      <c r="P37" s="4678">
        <f t="shared" si="10"/>
        <v>0</v>
      </c>
      <c r="Q37" s="4677">
        <f t="shared" si="11"/>
        <v>0</v>
      </c>
      <c r="R37" s="4836"/>
      <c r="S37" s="4837" t="s">
        <v>5742</v>
      </c>
      <c r="T37" s="4836"/>
      <c r="U37" s="4838"/>
      <c r="V37" s="4834"/>
      <c r="W37" s="4837" t="s">
        <v>4521</v>
      </c>
      <c r="X37" s="4836"/>
      <c r="Y37" s="4834"/>
      <c r="Z37" s="4834"/>
      <c r="AA37" s="4839" t="s">
        <v>5035</v>
      </c>
      <c r="AB37" s="4834"/>
      <c r="AC37" s="4839" t="s">
        <v>5050</v>
      </c>
      <c r="AD37" s="4834"/>
      <c r="AE37" s="4832"/>
      <c r="AF37" s="4685">
        <f t="shared" si="12"/>
        <v>0</v>
      </c>
    </row>
    <row r="38" spans="1:32" ht="33.75" hidden="1" customHeight="1">
      <c r="A38" s="4828">
        <v>8</v>
      </c>
      <c r="B38" s="4833"/>
      <c r="C38" s="4829"/>
      <c r="D38" s="4672" t="str">
        <f t="shared" si="7"/>
        <v>1</v>
      </c>
      <c r="E38" s="4829"/>
      <c r="F38" s="4672">
        <f t="shared" si="8"/>
        <v>2</v>
      </c>
      <c r="G38" s="4699"/>
      <c r="H38" s="4672">
        <f t="shared" si="9"/>
        <v>0</v>
      </c>
      <c r="I38" s="4831"/>
      <c r="J38" s="4834"/>
      <c r="K38" s="4835"/>
      <c r="L38" s="4834"/>
      <c r="M38" s="4834"/>
      <c r="N38" s="5499"/>
      <c r="O38" s="4834"/>
      <c r="P38" s="4678">
        <f t="shared" si="10"/>
        <v>0</v>
      </c>
      <c r="Q38" s="4677">
        <f t="shared" si="11"/>
        <v>0</v>
      </c>
      <c r="R38" s="4836"/>
      <c r="S38" s="4837" t="s">
        <v>5742</v>
      </c>
      <c r="T38" s="4836"/>
      <c r="U38" s="4838"/>
      <c r="V38" s="4834"/>
      <c r="W38" s="4837" t="s">
        <v>4521</v>
      </c>
      <c r="X38" s="4836"/>
      <c r="Y38" s="4834"/>
      <c r="Z38" s="4834"/>
      <c r="AA38" s="4839" t="s">
        <v>5035</v>
      </c>
      <c r="AB38" s="4834"/>
      <c r="AC38" s="4839" t="s">
        <v>5050</v>
      </c>
      <c r="AD38" s="4834"/>
      <c r="AE38" s="4832"/>
      <c r="AF38" s="4685">
        <f t="shared" si="12"/>
        <v>0</v>
      </c>
    </row>
    <row r="39" spans="1:32" ht="33.75" hidden="1" customHeight="1">
      <c r="A39" s="4828">
        <v>9</v>
      </c>
      <c r="B39" s="4833"/>
      <c r="C39" s="4829"/>
      <c r="D39" s="4672" t="str">
        <f t="shared" si="7"/>
        <v>1</v>
      </c>
      <c r="E39" s="4829"/>
      <c r="F39" s="4672">
        <f t="shared" si="8"/>
        <v>2</v>
      </c>
      <c r="G39" s="4699"/>
      <c r="H39" s="4672">
        <f t="shared" si="9"/>
        <v>0</v>
      </c>
      <c r="I39" s="4831"/>
      <c r="J39" s="4834"/>
      <c r="K39" s="4835"/>
      <c r="L39" s="4834"/>
      <c r="M39" s="4834"/>
      <c r="N39" s="5499"/>
      <c r="O39" s="4834"/>
      <c r="P39" s="4678">
        <f t="shared" si="10"/>
        <v>0</v>
      </c>
      <c r="Q39" s="4677">
        <f t="shared" si="11"/>
        <v>0</v>
      </c>
      <c r="R39" s="4836"/>
      <c r="S39" s="4837" t="s">
        <v>5742</v>
      </c>
      <c r="T39" s="4836"/>
      <c r="U39" s="4838"/>
      <c r="V39" s="4834"/>
      <c r="W39" s="4837" t="s">
        <v>4521</v>
      </c>
      <c r="X39" s="4836"/>
      <c r="Y39" s="4834"/>
      <c r="Z39" s="4834"/>
      <c r="AA39" s="4839" t="s">
        <v>5035</v>
      </c>
      <c r="AB39" s="4834"/>
      <c r="AC39" s="4839" t="s">
        <v>5050</v>
      </c>
      <c r="AD39" s="4834"/>
      <c r="AE39" s="4832"/>
      <c r="AF39" s="4685">
        <f t="shared" si="12"/>
        <v>0</v>
      </c>
    </row>
    <row r="40" spans="1:32" ht="33.75" hidden="1" customHeight="1">
      <c r="A40" s="4828">
        <v>10</v>
      </c>
      <c r="B40" s="4833"/>
      <c r="C40" s="4829"/>
      <c r="D40" s="4672" t="str">
        <f t="shared" si="7"/>
        <v>1</v>
      </c>
      <c r="E40" s="4829"/>
      <c r="F40" s="4672">
        <f t="shared" si="8"/>
        <v>2</v>
      </c>
      <c r="G40" s="4699"/>
      <c r="H40" s="4672">
        <f t="shared" si="9"/>
        <v>0</v>
      </c>
      <c r="I40" s="4831"/>
      <c r="J40" s="4834"/>
      <c r="K40" s="4835"/>
      <c r="L40" s="4834"/>
      <c r="M40" s="4834"/>
      <c r="N40" s="5499"/>
      <c r="O40" s="4834"/>
      <c r="P40" s="4678">
        <f t="shared" si="10"/>
        <v>0</v>
      </c>
      <c r="Q40" s="4677">
        <f t="shared" si="11"/>
        <v>0</v>
      </c>
      <c r="R40" s="4836"/>
      <c r="S40" s="4837" t="s">
        <v>5742</v>
      </c>
      <c r="T40" s="4836"/>
      <c r="U40" s="4838"/>
      <c r="V40" s="4834"/>
      <c r="W40" s="4837" t="s">
        <v>4521</v>
      </c>
      <c r="X40" s="4836"/>
      <c r="Y40" s="4834"/>
      <c r="Z40" s="4834"/>
      <c r="AA40" s="4839" t="s">
        <v>5035</v>
      </c>
      <c r="AB40" s="4834"/>
      <c r="AC40" s="4839" t="s">
        <v>5050</v>
      </c>
      <c r="AD40" s="4834"/>
      <c r="AE40" s="4832"/>
      <c r="AF40" s="4685">
        <f t="shared" si="12"/>
        <v>0</v>
      </c>
    </row>
    <row r="41" spans="1:32" ht="33.75" hidden="1" customHeight="1">
      <c r="A41" s="4828">
        <v>11</v>
      </c>
      <c r="B41" s="4833"/>
      <c r="C41" s="4829"/>
      <c r="D41" s="4672" t="str">
        <f t="shared" si="7"/>
        <v>1</v>
      </c>
      <c r="E41" s="4829"/>
      <c r="F41" s="4672">
        <f t="shared" si="8"/>
        <v>2</v>
      </c>
      <c r="G41" s="4699"/>
      <c r="H41" s="4672">
        <f t="shared" si="9"/>
        <v>0</v>
      </c>
      <c r="I41" s="4831"/>
      <c r="J41" s="4834"/>
      <c r="K41" s="4835"/>
      <c r="L41" s="4834"/>
      <c r="M41" s="4834"/>
      <c r="N41" s="5499"/>
      <c r="O41" s="4834"/>
      <c r="P41" s="4678">
        <f t="shared" si="10"/>
        <v>0</v>
      </c>
      <c r="Q41" s="4677">
        <f t="shared" si="11"/>
        <v>0</v>
      </c>
      <c r="R41" s="4836"/>
      <c r="S41" s="4837" t="s">
        <v>5742</v>
      </c>
      <c r="T41" s="4836"/>
      <c r="U41" s="4838"/>
      <c r="V41" s="4834"/>
      <c r="W41" s="4837" t="s">
        <v>4521</v>
      </c>
      <c r="X41" s="4836"/>
      <c r="Y41" s="4834"/>
      <c r="Z41" s="4834"/>
      <c r="AA41" s="4839" t="s">
        <v>5035</v>
      </c>
      <c r="AB41" s="4834"/>
      <c r="AC41" s="4839" t="s">
        <v>5050</v>
      </c>
      <c r="AD41" s="4834"/>
      <c r="AE41" s="4832"/>
      <c r="AF41" s="4685">
        <f t="shared" si="12"/>
        <v>0</v>
      </c>
    </row>
    <row r="42" spans="1:32" ht="33.75" hidden="1" customHeight="1">
      <c r="A42" s="4828">
        <v>12</v>
      </c>
      <c r="B42" s="4833"/>
      <c r="C42" s="4829"/>
      <c r="D42" s="4672" t="str">
        <f t="shared" si="7"/>
        <v>1</v>
      </c>
      <c r="E42" s="4829"/>
      <c r="F42" s="4672">
        <f t="shared" si="8"/>
        <v>2</v>
      </c>
      <c r="G42" s="4699"/>
      <c r="H42" s="4672">
        <f t="shared" si="9"/>
        <v>0</v>
      </c>
      <c r="I42" s="4831"/>
      <c r="J42" s="4834"/>
      <c r="K42" s="4835"/>
      <c r="L42" s="4834"/>
      <c r="M42" s="4834"/>
      <c r="N42" s="5499"/>
      <c r="O42" s="4834"/>
      <c r="P42" s="4678">
        <f t="shared" si="10"/>
        <v>0</v>
      </c>
      <c r="Q42" s="4677">
        <f t="shared" si="11"/>
        <v>0</v>
      </c>
      <c r="R42" s="4836"/>
      <c r="S42" s="4837" t="s">
        <v>5742</v>
      </c>
      <c r="T42" s="4836"/>
      <c r="U42" s="4838"/>
      <c r="V42" s="4834"/>
      <c r="W42" s="4837" t="s">
        <v>4521</v>
      </c>
      <c r="X42" s="4836"/>
      <c r="Y42" s="4834"/>
      <c r="Z42" s="4834"/>
      <c r="AA42" s="4839" t="s">
        <v>5035</v>
      </c>
      <c r="AB42" s="4834"/>
      <c r="AC42" s="4839" t="s">
        <v>5050</v>
      </c>
      <c r="AD42" s="4834"/>
      <c r="AE42" s="4832"/>
      <c r="AF42" s="4685">
        <f t="shared" si="12"/>
        <v>0</v>
      </c>
    </row>
    <row r="43" spans="1:32" ht="33.75" hidden="1" customHeight="1">
      <c r="A43" s="4828">
        <v>13</v>
      </c>
      <c r="B43" s="4833"/>
      <c r="C43" s="4829"/>
      <c r="D43" s="4672" t="str">
        <f t="shared" si="7"/>
        <v>1</v>
      </c>
      <c r="E43" s="4829"/>
      <c r="F43" s="4672">
        <f t="shared" si="8"/>
        <v>2</v>
      </c>
      <c r="G43" s="4699"/>
      <c r="H43" s="4672">
        <f t="shared" si="9"/>
        <v>0</v>
      </c>
      <c r="I43" s="4831"/>
      <c r="J43" s="4834"/>
      <c r="K43" s="4835"/>
      <c r="L43" s="4834"/>
      <c r="M43" s="4834"/>
      <c r="N43" s="5499"/>
      <c r="O43" s="4834"/>
      <c r="P43" s="4678">
        <f t="shared" si="10"/>
        <v>0</v>
      </c>
      <c r="Q43" s="4677">
        <f t="shared" si="11"/>
        <v>0</v>
      </c>
      <c r="R43" s="4836"/>
      <c r="S43" s="4837" t="s">
        <v>5742</v>
      </c>
      <c r="T43" s="4836"/>
      <c r="U43" s="4838"/>
      <c r="V43" s="4834"/>
      <c r="W43" s="4837" t="s">
        <v>4521</v>
      </c>
      <c r="X43" s="4836"/>
      <c r="Y43" s="4834"/>
      <c r="Z43" s="4834"/>
      <c r="AA43" s="4839" t="s">
        <v>5035</v>
      </c>
      <c r="AB43" s="4834"/>
      <c r="AC43" s="4839" t="s">
        <v>5050</v>
      </c>
      <c r="AD43" s="4834"/>
      <c r="AE43" s="4832"/>
      <c r="AF43" s="4685">
        <f t="shared" si="12"/>
        <v>0</v>
      </c>
    </row>
    <row r="44" spans="1:32" ht="33.75" hidden="1" customHeight="1">
      <c r="A44" s="4828">
        <v>14</v>
      </c>
      <c r="B44" s="4833"/>
      <c r="C44" s="4829"/>
      <c r="D44" s="4672" t="str">
        <f t="shared" si="7"/>
        <v>1</v>
      </c>
      <c r="E44" s="4829"/>
      <c r="F44" s="4672">
        <f t="shared" si="8"/>
        <v>2</v>
      </c>
      <c r="G44" s="4699"/>
      <c r="H44" s="4672">
        <f t="shared" si="9"/>
        <v>0</v>
      </c>
      <c r="I44" s="4831"/>
      <c r="J44" s="4834"/>
      <c r="K44" s="4835"/>
      <c r="L44" s="4834"/>
      <c r="M44" s="4834"/>
      <c r="N44" s="5499"/>
      <c r="O44" s="4834"/>
      <c r="P44" s="4678">
        <f t="shared" si="10"/>
        <v>0</v>
      </c>
      <c r="Q44" s="4677">
        <f t="shared" si="11"/>
        <v>0</v>
      </c>
      <c r="R44" s="4836"/>
      <c r="S44" s="4837" t="s">
        <v>5742</v>
      </c>
      <c r="T44" s="4836"/>
      <c r="U44" s="4838"/>
      <c r="V44" s="4834"/>
      <c r="W44" s="4837" t="s">
        <v>4521</v>
      </c>
      <c r="X44" s="4836"/>
      <c r="Y44" s="4834"/>
      <c r="Z44" s="4834"/>
      <c r="AA44" s="4839" t="s">
        <v>5035</v>
      </c>
      <c r="AB44" s="4834"/>
      <c r="AC44" s="4839" t="s">
        <v>5050</v>
      </c>
      <c r="AD44" s="4834"/>
      <c r="AE44" s="4832"/>
      <c r="AF44" s="4685">
        <f t="shared" si="12"/>
        <v>0</v>
      </c>
    </row>
    <row r="45" spans="1:32" ht="33.75" hidden="1" customHeight="1" thickBot="1">
      <c r="A45" s="4828">
        <v>15</v>
      </c>
      <c r="B45" s="4833"/>
      <c r="C45" s="4829"/>
      <c r="D45" s="4672" t="str">
        <f t="shared" si="7"/>
        <v>1</v>
      </c>
      <c r="E45" s="4829"/>
      <c r="F45" s="4672">
        <f t="shared" si="8"/>
        <v>2</v>
      </c>
      <c r="G45" s="4699"/>
      <c r="H45" s="4672">
        <f t="shared" si="9"/>
        <v>0</v>
      </c>
      <c r="I45" s="4831"/>
      <c r="J45" s="4834"/>
      <c r="K45" s="4835"/>
      <c r="L45" s="4834"/>
      <c r="M45" s="4834"/>
      <c r="N45" s="5499"/>
      <c r="O45" s="4834"/>
      <c r="P45" s="4678">
        <f t="shared" si="10"/>
        <v>0</v>
      </c>
      <c r="Q45" s="4677">
        <f t="shared" si="11"/>
        <v>0</v>
      </c>
      <c r="R45" s="4836"/>
      <c r="S45" s="4837" t="s">
        <v>5739</v>
      </c>
      <c r="T45" s="4836"/>
      <c r="U45" s="4838"/>
      <c r="V45" s="4834"/>
      <c r="W45" s="4837" t="s">
        <v>4521</v>
      </c>
      <c r="X45" s="4836"/>
      <c r="Y45" s="4834"/>
      <c r="Z45" s="4834"/>
      <c r="AA45" s="4839" t="s">
        <v>5035</v>
      </c>
      <c r="AB45" s="4834"/>
      <c r="AC45" s="4839" t="s">
        <v>5050</v>
      </c>
      <c r="AD45" s="4834"/>
      <c r="AE45" s="4832"/>
      <c r="AF45" s="4685">
        <f t="shared" si="12"/>
        <v>0</v>
      </c>
    </row>
    <row r="46" spans="1:32" ht="33.75" hidden="1" customHeight="1" thickTop="1" thickBot="1">
      <c r="A46" s="4840"/>
      <c r="B46" s="4841"/>
      <c r="C46" s="4841"/>
      <c r="D46" s="4841"/>
      <c r="E46" s="4841"/>
      <c r="F46" s="4842"/>
      <c r="G46" s="4843"/>
      <c r="H46" s="4841"/>
      <c r="I46" s="4844" t="s">
        <v>2432</v>
      </c>
      <c r="J46" s="4845">
        <f>SUM(J31:J45)</f>
        <v>0</v>
      </c>
      <c r="K46" s="4846">
        <f>SUM(K31:K45)</f>
        <v>0</v>
      </c>
      <c r="L46" s="4843"/>
      <c r="M46" s="4843"/>
      <c r="N46" s="5150"/>
      <c r="O46" s="4843"/>
      <c r="P46" s="4845">
        <f>SUM(P31:P45)</f>
        <v>0</v>
      </c>
      <c r="Q46" s="4845">
        <f>SUM(Q31:Q45)</f>
        <v>0</v>
      </c>
      <c r="R46" s="6901"/>
      <c r="S46" s="6901"/>
      <c r="T46" s="6901"/>
      <c r="U46" s="4847"/>
      <c r="V46" s="6902"/>
      <c r="W46" s="6901"/>
      <c r="X46" s="6901"/>
      <c r="Y46" s="4847"/>
      <c r="Z46" s="4847"/>
      <c r="AA46" s="6903"/>
      <c r="AB46" s="6904"/>
      <c r="AC46" s="6903"/>
      <c r="AD46" s="6904"/>
      <c r="AE46" s="4848"/>
      <c r="AF46" s="4685"/>
    </row>
    <row r="47" spans="1:32" ht="32.15" hidden="1" customHeight="1" thickBot="1">
      <c r="C47" s="4710"/>
      <c r="D47" s="4710"/>
      <c r="E47" s="4710"/>
      <c r="F47" s="4710"/>
      <c r="G47" s="4710"/>
      <c r="H47" s="4710"/>
      <c r="I47" s="4711"/>
      <c r="J47" s="4712"/>
      <c r="K47" s="4710"/>
      <c r="L47" s="4715"/>
      <c r="M47" s="4715"/>
      <c r="N47" s="5046"/>
      <c r="O47" s="4715"/>
      <c r="P47" s="4715"/>
      <c r="S47" s="4656"/>
      <c r="W47" s="4656"/>
      <c r="AF47" s="4849"/>
    </row>
    <row r="48" spans="1:32" ht="33.75" hidden="1" customHeight="1">
      <c r="A48" s="6845" t="s">
        <v>5749</v>
      </c>
      <c r="B48" s="6846"/>
      <c r="C48" s="4716">
        <f>P46</f>
        <v>0</v>
      </c>
      <c r="D48" s="4717"/>
      <c r="F48" s="4718"/>
      <c r="G48" s="4850"/>
      <c r="H48" s="4719"/>
      <c r="I48" s="4720"/>
      <c r="P48" s="4656"/>
      <c r="AF48" s="4851"/>
    </row>
    <row r="49" spans="1:32" ht="33.75" hidden="1" customHeight="1" thickBot="1">
      <c r="A49" s="6899" t="s">
        <v>5805</v>
      </c>
      <c r="B49" s="6900"/>
      <c r="C49" s="5148">
        <f>Q46</f>
        <v>0</v>
      </c>
      <c r="D49" s="4717"/>
      <c r="F49" s="4724"/>
      <c r="G49" s="4852"/>
      <c r="H49" s="4719"/>
      <c r="I49" s="4720"/>
      <c r="P49" s="4656"/>
      <c r="AF49" s="4851"/>
    </row>
    <row r="50" spans="1:32" ht="33.75" customHeight="1">
      <c r="A50" s="4729"/>
      <c r="B50" s="4729"/>
      <c r="C50" s="4729"/>
      <c r="D50" s="4729"/>
      <c r="E50" s="4729"/>
      <c r="F50" s="4729"/>
      <c r="G50" s="4726"/>
      <c r="H50" s="4729"/>
      <c r="I50" s="4720"/>
      <c r="P50" s="4656"/>
    </row>
    <row r="51" spans="1:32" ht="33.75" customHeight="1">
      <c r="A51" s="4728" t="s">
        <v>5752</v>
      </c>
      <c r="B51" s="4728"/>
      <c r="C51" s="4729"/>
      <c r="D51" s="4729"/>
      <c r="E51" s="4729"/>
      <c r="F51" s="4729"/>
      <c r="G51" s="4726"/>
      <c r="H51" s="4729"/>
      <c r="I51" s="4720"/>
      <c r="P51" s="4656"/>
    </row>
    <row r="52" spans="1:32" ht="36" customHeight="1">
      <c r="A52" s="4728" t="s">
        <v>5809</v>
      </c>
      <c r="B52" s="4728"/>
    </row>
    <row r="53" spans="1:32" ht="36" customHeight="1">
      <c r="A53" s="4730" t="s">
        <v>5754</v>
      </c>
      <c r="B53" s="4730"/>
    </row>
    <row r="54" spans="1:32" ht="36" customHeight="1">
      <c r="A54" s="4728"/>
      <c r="B54" s="4728"/>
    </row>
    <row r="55" spans="1:32" ht="36" customHeight="1"/>
    <row r="56" spans="1:32" ht="36" customHeight="1"/>
    <row r="57" spans="1:32" ht="36" customHeight="1"/>
    <row r="58" spans="1:32" ht="36" customHeight="1"/>
    <row r="59" spans="1:32" ht="36" customHeight="1"/>
    <row r="60" spans="1:32" ht="36" customHeight="1"/>
    <row r="61" spans="1:32" ht="36" customHeight="1"/>
    <row r="62" spans="1:32" ht="10.4" customHeight="1"/>
  </sheetData>
  <mergeCells count="59">
    <mergeCell ref="A5:A6"/>
    <mergeCell ref="B5:B6"/>
    <mergeCell ref="C5:C6"/>
    <mergeCell ref="D5:D6"/>
    <mergeCell ref="E5:E6"/>
    <mergeCell ref="AF5:AF6"/>
    <mergeCell ref="R22:T22"/>
    <mergeCell ref="V22:X22"/>
    <mergeCell ref="AA22:AB22"/>
    <mergeCell ref="AC22:AD22"/>
    <mergeCell ref="R5:T6"/>
    <mergeCell ref="U5:U6"/>
    <mergeCell ref="V5:X6"/>
    <mergeCell ref="C28:C29"/>
    <mergeCell ref="Y5:Y6"/>
    <mergeCell ref="Z5:Z6"/>
    <mergeCell ref="AA5:AD6"/>
    <mergeCell ref="AE5:AE6"/>
    <mergeCell ref="M5:M6"/>
    <mergeCell ref="O5:O6"/>
    <mergeCell ref="P5:Q5"/>
    <mergeCell ref="G5:G6"/>
    <mergeCell ref="H5:H6"/>
    <mergeCell ref="I5:I6"/>
    <mergeCell ref="J5:J6"/>
    <mergeCell ref="K5:K6"/>
    <mergeCell ref="L5:L6"/>
    <mergeCell ref="F5:F6"/>
    <mergeCell ref="L28:L29"/>
    <mergeCell ref="A24:B24"/>
    <mergeCell ref="A25:B25"/>
    <mergeCell ref="A26:B26"/>
    <mergeCell ref="A28:A29"/>
    <mergeCell ref="B28:B29"/>
    <mergeCell ref="M28:M29"/>
    <mergeCell ref="O28:O29"/>
    <mergeCell ref="P28:Q28"/>
    <mergeCell ref="D28:D29"/>
    <mergeCell ref="E28:E29"/>
    <mergeCell ref="F28:F29"/>
    <mergeCell ref="G28:G29"/>
    <mergeCell ref="H28:H29"/>
    <mergeCell ref="I28:I29"/>
    <mergeCell ref="A48:B48"/>
    <mergeCell ref="A49:B49"/>
    <mergeCell ref="AE28:AE29"/>
    <mergeCell ref="AF28:AF29"/>
    <mergeCell ref="R46:T46"/>
    <mergeCell ref="V46:X46"/>
    <mergeCell ref="AA46:AB46"/>
    <mergeCell ref="AC46:AD46"/>
    <mergeCell ref="R28:T29"/>
    <mergeCell ref="U28:U29"/>
    <mergeCell ref="V28:X29"/>
    <mergeCell ref="Y28:Y29"/>
    <mergeCell ref="Z28:Z29"/>
    <mergeCell ref="AA28:AD29"/>
    <mergeCell ref="J28:J29"/>
    <mergeCell ref="K28:K29"/>
  </mergeCells>
  <phoneticPr fontId="2"/>
  <conditionalFormatting sqref="A2 Q7:R16 T7:V21 X7:Z21 AB7:AB21 AD7:AE21 B31:C45 E31:E45">
    <cfRule type="containsBlanks" dxfId="334" priority="8">
      <formula>LEN(TRIM(A2))=0</formula>
    </cfRule>
  </conditionalFormatting>
  <conditionalFormatting sqref="B7:O21">
    <cfRule type="containsBlanks" dxfId="333" priority="1">
      <formula>LEN(TRIM(B7))=0</formula>
    </cfRule>
  </conditionalFormatting>
  <conditionalFormatting sqref="D30:D45">
    <cfRule type="containsBlanks" dxfId="332" priority="7">
      <formula>LEN(TRIM(D30))=0</formula>
    </cfRule>
  </conditionalFormatting>
  <conditionalFormatting sqref="F30:F45">
    <cfRule type="containsBlanks" dxfId="331" priority="6">
      <formula>LEN(TRIM(F30))=0</formula>
    </cfRule>
  </conditionalFormatting>
  <conditionalFormatting sqref="G31:G45">
    <cfRule type="containsBlanks" dxfId="330" priority="3">
      <formula>LEN(TRIM(G31))=0</formula>
    </cfRule>
  </conditionalFormatting>
  <conditionalFormatting sqref="H30:O45">
    <cfRule type="containsBlanks" dxfId="329" priority="4">
      <formula>LEN(TRIM(H30))=0</formula>
    </cfRule>
  </conditionalFormatting>
  <conditionalFormatting sqref="P17:R21">
    <cfRule type="containsBlanks" dxfId="328" priority="2">
      <formula>LEN(TRIM(P17))=0</formula>
    </cfRule>
  </conditionalFormatting>
  <conditionalFormatting sqref="Q30:R45">
    <cfRule type="containsBlanks" dxfId="327" priority="5">
      <formula>LEN(TRIM(Q30))=0</formula>
    </cfRule>
  </conditionalFormatting>
  <conditionalFormatting sqref="T30:V45">
    <cfRule type="containsBlanks" dxfId="326" priority="12">
      <formula>LEN(TRIM(T30))=0</formula>
    </cfRule>
  </conditionalFormatting>
  <conditionalFormatting sqref="X30:Z45">
    <cfRule type="containsBlanks" dxfId="325" priority="11">
      <formula>LEN(TRIM(X30))=0</formula>
    </cfRule>
  </conditionalFormatting>
  <conditionalFormatting sqref="AB30:AB45">
    <cfRule type="containsBlanks" dxfId="324" priority="10">
      <formula>LEN(TRIM(AB30))=0</formula>
    </cfRule>
  </conditionalFormatting>
  <conditionalFormatting sqref="AD30:AE45">
    <cfRule type="containsBlanks" dxfId="323" priority="9">
      <formula>LEN(TRIM(AD30))=0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E0C1-B525-43F7-B2D5-2C613B1523A0}">
  <sheetPr codeName="Sheet368">
    <tabColor rgb="FFFFFF66"/>
    <pageSetUpPr fitToPage="1"/>
  </sheetPr>
  <dimension ref="A1:AE32"/>
  <sheetViews>
    <sheetView topLeftCell="A8" zoomScale="55" zoomScaleNormal="55" workbookViewId="0">
      <selection activeCell="BJ123" sqref="BJ123"/>
    </sheetView>
  </sheetViews>
  <sheetFormatPr defaultColWidth="9.81640625" defaultRowHeight="26.5"/>
  <cols>
    <col min="1" max="1" width="7.45312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1.8164062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
        <v>2836</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58">
        <v>1</v>
      </c>
      <c r="B7" s="4816">
        <v>46284</v>
      </c>
      <c r="C7" s="4816">
        <v>46293</v>
      </c>
      <c r="D7" s="4759">
        <v>0</v>
      </c>
      <c r="E7" s="4759">
        <v>1</v>
      </c>
      <c r="F7" s="4747">
        <f>IF(OR(ISBLANK($B7), ISBLANK($C7)), 0, _xlfn.DAYS($C7, $B7) + 1)</f>
        <v>10</v>
      </c>
      <c r="G7" s="4975" t="s">
        <v>6317</v>
      </c>
      <c r="H7" s="4762">
        <v>1</v>
      </c>
      <c r="I7" s="5115" t="s">
        <v>5784</v>
      </c>
      <c r="J7" s="4764">
        <v>15</v>
      </c>
      <c r="K7" s="4765">
        <v>6</v>
      </c>
      <c r="L7" s="4765">
        <v>99</v>
      </c>
      <c r="M7" s="4765">
        <v>3</v>
      </c>
      <c r="N7" s="4762">
        <v>287500</v>
      </c>
      <c r="O7" s="4766">
        <f t="shared" ref="O7:O16" si="0">F7*N7</f>
        <v>2875000</v>
      </c>
      <c r="P7" s="4857" t="s">
        <v>5815</v>
      </c>
      <c r="Q7" s="4858">
        <v>2</v>
      </c>
      <c r="R7" s="4976" t="s">
        <v>3804</v>
      </c>
      <c r="S7" s="5500" t="s">
        <v>246</v>
      </c>
      <c r="T7" s="4859" t="s">
        <v>5815</v>
      </c>
      <c r="U7" s="4860" t="s">
        <v>2815</v>
      </c>
    </row>
    <row r="8" spans="1:31" ht="33.75" customHeight="1">
      <c r="A8" s="4758">
        <v>2</v>
      </c>
      <c r="B8" s="4816">
        <v>46294</v>
      </c>
      <c r="C8" s="4816">
        <v>46294</v>
      </c>
      <c r="D8" s="4759">
        <v>0</v>
      </c>
      <c r="E8" s="4759">
        <v>0.5</v>
      </c>
      <c r="F8" s="5501">
        <f t="shared" ref="F8:F16" si="1">IF(OR(ISBLANK($B8), ISBLANK($C8)), 0, _xlfn.DAYS($C8, $B8) + 1)</f>
        <v>1</v>
      </c>
      <c r="G8" s="4975" t="s">
        <v>6317</v>
      </c>
      <c r="H8" s="4762">
        <v>1</v>
      </c>
      <c r="I8" s="5115" t="s">
        <v>5784</v>
      </c>
      <c r="J8" s="4764">
        <v>15</v>
      </c>
      <c r="K8" s="4765">
        <v>6</v>
      </c>
      <c r="L8" s="4765">
        <v>99</v>
      </c>
      <c r="M8" s="4765">
        <v>3</v>
      </c>
      <c r="N8" s="4762">
        <v>143750</v>
      </c>
      <c r="O8" s="4766">
        <f t="shared" si="0"/>
        <v>143750</v>
      </c>
      <c r="P8" s="4857" t="s">
        <v>3804</v>
      </c>
      <c r="Q8" s="4858" t="s">
        <v>2815</v>
      </c>
      <c r="R8" s="4976" t="s">
        <v>3804</v>
      </c>
      <c r="S8" s="4858" t="s">
        <v>2815</v>
      </c>
      <c r="T8" s="4859" t="s">
        <v>5815</v>
      </c>
      <c r="U8" s="4860" t="s">
        <v>2815</v>
      </c>
      <c r="AC8" s="4657"/>
    </row>
    <row r="9" spans="1:31" ht="33.75" customHeight="1">
      <c r="A9" s="4758">
        <v>3</v>
      </c>
      <c r="B9" s="4816">
        <v>46284</v>
      </c>
      <c r="C9" s="4816">
        <v>46293</v>
      </c>
      <c r="D9" s="4759">
        <v>0</v>
      </c>
      <c r="E9" s="4759">
        <v>1</v>
      </c>
      <c r="F9" s="5501">
        <f t="shared" si="1"/>
        <v>10</v>
      </c>
      <c r="G9" s="4975" t="s">
        <v>6318</v>
      </c>
      <c r="H9" s="4762">
        <v>1</v>
      </c>
      <c r="I9" s="5115" t="s">
        <v>5784</v>
      </c>
      <c r="J9" s="4764">
        <v>6</v>
      </c>
      <c r="K9" s="4765">
        <v>4</v>
      </c>
      <c r="L9" s="4765">
        <v>29</v>
      </c>
      <c r="M9" s="4765">
        <v>3</v>
      </c>
      <c r="N9" s="4762">
        <v>138000</v>
      </c>
      <c r="O9" s="4766">
        <f t="shared" si="0"/>
        <v>1380000</v>
      </c>
      <c r="P9" s="4909"/>
      <c r="Q9" s="4858"/>
      <c r="R9" s="4864"/>
      <c r="S9" s="4858"/>
      <c r="T9" s="4859"/>
      <c r="U9" s="4860"/>
      <c r="AC9" s="4657"/>
    </row>
    <row r="10" spans="1:31" ht="33.75" customHeight="1">
      <c r="A10" s="4758">
        <v>4</v>
      </c>
      <c r="B10" s="4816">
        <v>46294</v>
      </c>
      <c r="C10" s="4816">
        <v>46294</v>
      </c>
      <c r="D10" s="4759">
        <v>0</v>
      </c>
      <c r="E10" s="4759">
        <v>0.5</v>
      </c>
      <c r="F10" s="5501">
        <f t="shared" si="1"/>
        <v>1</v>
      </c>
      <c r="G10" s="4975" t="s">
        <v>6318</v>
      </c>
      <c r="H10" s="4762">
        <v>1</v>
      </c>
      <c r="I10" s="5115" t="s">
        <v>5784</v>
      </c>
      <c r="J10" s="4764">
        <v>6</v>
      </c>
      <c r="K10" s="4765">
        <v>4</v>
      </c>
      <c r="L10" s="4765">
        <v>29</v>
      </c>
      <c r="M10" s="4765">
        <v>3</v>
      </c>
      <c r="N10" s="4762">
        <v>69000</v>
      </c>
      <c r="O10" s="4766">
        <f t="shared" si="0"/>
        <v>69000</v>
      </c>
      <c r="P10" s="4857"/>
      <c r="Q10" s="4858"/>
      <c r="R10" s="4859"/>
      <c r="S10" s="4858"/>
      <c r="T10" s="4859"/>
      <c r="U10" s="4860"/>
      <c r="AC10" s="4657"/>
    </row>
    <row r="11" spans="1:31" ht="33.75" customHeight="1">
      <c r="A11" s="4758">
        <v>5</v>
      </c>
      <c r="B11" s="4816"/>
      <c r="C11" s="4816"/>
      <c r="D11" s="4759"/>
      <c r="E11" s="4759"/>
      <c r="F11" s="4760">
        <f t="shared" si="1"/>
        <v>0</v>
      </c>
      <c r="G11" s="4771"/>
      <c r="H11" s="4762"/>
      <c r="I11" s="4763"/>
      <c r="J11" s="4764"/>
      <c r="K11" s="4765"/>
      <c r="L11" s="4765"/>
      <c r="M11" s="4765"/>
      <c r="N11" s="4762"/>
      <c r="O11" s="4766">
        <f t="shared" si="0"/>
        <v>0</v>
      </c>
      <c r="P11" s="4857"/>
      <c r="Q11" s="4858"/>
      <c r="R11" s="4859"/>
      <c r="S11" s="4858"/>
      <c r="T11" s="4859"/>
      <c r="U11" s="4860"/>
      <c r="AC11" s="4657"/>
    </row>
    <row r="12" spans="1:31" ht="33.75" customHeight="1">
      <c r="A12" s="4758">
        <v>6</v>
      </c>
      <c r="B12" s="4950"/>
      <c r="C12" s="4950"/>
      <c r="D12" s="4913"/>
      <c r="E12" s="4759"/>
      <c r="F12" s="4760">
        <f t="shared" si="1"/>
        <v>0</v>
      </c>
      <c r="G12" s="4950"/>
      <c r="H12" s="4952"/>
      <c r="I12" s="4763"/>
      <c r="J12" s="4764"/>
      <c r="K12" s="4765"/>
      <c r="L12" s="4765"/>
      <c r="M12" s="4765"/>
      <c r="N12" s="4762"/>
      <c r="O12" s="4766">
        <f t="shared" si="0"/>
        <v>0</v>
      </c>
      <c r="P12" s="4857"/>
      <c r="Q12" s="4858"/>
      <c r="R12" s="4859"/>
      <c r="S12" s="4858"/>
      <c r="T12" s="4859"/>
      <c r="U12" s="4860"/>
      <c r="AC12" s="4657"/>
    </row>
    <row r="13" spans="1:31" ht="33.75" customHeight="1">
      <c r="A13" s="4758">
        <v>7</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8</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9</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thickBot="1">
      <c r="A16" s="4772">
        <v>10</v>
      </c>
      <c r="B16" s="4953"/>
      <c r="C16" s="4953"/>
      <c r="D16" s="4914"/>
      <c r="E16" s="4915"/>
      <c r="F16" s="4770">
        <f t="shared" si="1"/>
        <v>0</v>
      </c>
      <c r="G16" s="4953"/>
      <c r="H16" s="4955"/>
      <c r="I16" s="4774"/>
      <c r="J16" s="4764"/>
      <c r="K16" s="4765"/>
      <c r="L16" s="4765"/>
      <c r="M16" s="4765"/>
      <c r="N16" s="4775"/>
      <c r="O16" s="4776">
        <f t="shared" si="0"/>
        <v>0</v>
      </c>
      <c r="P16" s="4918"/>
      <c r="Q16" s="4919"/>
      <c r="R16" s="4920"/>
      <c r="S16" s="4919"/>
      <c r="T16" s="4920"/>
      <c r="U16" s="4921"/>
      <c r="AC16" s="4657"/>
    </row>
    <row r="17" spans="1:31" ht="33.75" customHeight="1" thickTop="1" thickBot="1">
      <c r="A17" s="4865" t="s">
        <v>127</v>
      </c>
      <c r="B17" s="4866"/>
      <c r="C17" s="4866"/>
      <c r="D17" s="4866"/>
      <c r="E17" s="4866"/>
      <c r="F17" s="4867">
        <f>SUM(F7:F16)</f>
        <v>22</v>
      </c>
      <c r="G17" s="4866"/>
      <c r="H17" s="4868"/>
      <c r="I17" s="4782">
        <f>COUNTA(G7,G8)</f>
        <v>2</v>
      </c>
      <c r="J17" s="4869"/>
      <c r="K17" s="4870"/>
      <c r="L17" s="4870"/>
      <c r="M17" s="4870"/>
      <c r="N17" s="5062"/>
      <c r="O17" s="4871">
        <f>SUM(O7:O16)</f>
        <v>4467750</v>
      </c>
      <c r="P17" s="4872"/>
      <c r="Q17" s="4872"/>
      <c r="R17" s="4873"/>
      <c r="S17" s="4874"/>
      <c r="T17" s="4873"/>
      <c r="U17" s="4875"/>
      <c r="AC17" s="4657"/>
    </row>
    <row r="18" spans="1:31" ht="33.75" customHeight="1" thickBot="1">
      <c r="A18" s="4876" t="s">
        <v>5792</v>
      </c>
      <c r="B18" s="4877"/>
      <c r="C18" s="4878"/>
      <c r="D18" s="4878"/>
      <c r="E18" s="4878"/>
      <c r="F18" s="4879"/>
      <c r="G18" s="4878"/>
      <c r="H18" s="4880"/>
      <c r="I18" s="4878"/>
      <c r="J18" s="4881"/>
      <c r="K18" s="4881"/>
      <c r="L18" s="4881"/>
      <c r="M18" s="4881"/>
      <c r="N18" s="4882"/>
      <c r="O18" s="4923">
        <f>O17*1.1</f>
        <v>4914525</v>
      </c>
      <c r="P18" s="4884"/>
      <c r="Q18" s="4885"/>
      <c r="R18" s="4886"/>
      <c r="S18" s="4887"/>
      <c r="T18" s="4886"/>
      <c r="U18" s="4888"/>
      <c r="AC18" s="4657"/>
    </row>
    <row r="19" spans="1:31" ht="32.15" customHeight="1">
      <c r="A19" s="4656"/>
      <c r="B19" s="4660"/>
      <c r="C19" s="4660"/>
      <c r="D19" s="4660"/>
      <c r="G19" s="4660"/>
      <c r="H19" s="4660"/>
      <c r="M19" s="4808" t="s">
        <v>5748</v>
      </c>
      <c r="N19" s="4809">
        <f>SUM(N7,N9)</f>
        <v>425500</v>
      </c>
      <c r="O19" s="4656"/>
      <c r="P19" s="4657"/>
      <c r="Q19" s="4657"/>
      <c r="AC19" s="4657"/>
    </row>
    <row r="20" spans="1:31" ht="32.15" customHeight="1">
      <c r="B20" s="4657"/>
      <c r="C20" s="4657"/>
      <c r="D20" s="4657"/>
      <c r="E20" s="4810"/>
      <c r="F20" s="4811"/>
      <c r="G20" s="4657"/>
      <c r="H20" s="4657"/>
      <c r="M20" s="4808" t="s">
        <v>5750</v>
      </c>
      <c r="N20" s="4809">
        <f>N19*1.1</f>
        <v>468050.00000000006</v>
      </c>
      <c r="O20" s="4656"/>
      <c r="P20" s="4657"/>
      <c r="Q20" s="4657"/>
      <c r="AC20" s="4657"/>
    </row>
    <row r="21" spans="1:31" ht="32.15" customHeight="1">
      <c r="A21" s="4812"/>
      <c r="B21" s="4813"/>
      <c r="C21" s="4813"/>
      <c r="D21" s="4813"/>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row r="23" spans="1:31" ht="36" customHeight="1"/>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10.15" customHeight="1">
      <c r="B32" s="4657"/>
      <c r="C32" s="4657"/>
      <c r="D32" s="4657"/>
      <c r="G32" s="4657"/>
      <c r="H32" s="4657"/>
      <c r="O32" s="4656"/>
      <c r="P32" s="4657"/>
      <c r="Q32" s="4657"/>
      <c r="AC32" s="4657"/>
    </row>
  </sheetData>
  <mergeCells count="21">
    <mergeCell ref="A2:B2"/>
    <mergeCell ref="C2:G2"/>
    <mergeCell ref="A5:A6"/>
    <mergeCell ref="B5:B6"/>
    <mergeCell ref="C5:C6"/>
    <mergeCell ref="D5:D6"/>
    <mergeCell ref="E5:E6"/>
    <mergeCell ref="F5:F6"/>
    <mergeCell ref="G5:G6"/>
    <mergeCell ref="AB21:AE21"/>
    <mergeCell ref="H5:H6"/>
    <mergeCell ref="I5:I6"/>
    <mergeCell ref="J5:J6"/>
    <mergeCell ref="K5:K6"/>
    <mergeCell ref="L5:L6"/>
    <mergeCell ref="M5:M6"/>
    <mergeCell ref="N5:N6"/>
    <mergeCell ref="O5:O6"/>
    <mergeCell ref="P5:Q5"/>
    <mergeCell ref="R5:U5"/>
    <mergeCell ref="W21:AA21"/>
  </mergeCells>
  <phoneticPr fontId="2"/>
  <conditionalFormatting sqref="B7:E16 G7:N16">
    <cfRule type="containsBlanks" dxfId="322" priority="1">
      <formula>LEN(TRIM(B7))=0</formula>
    </cfRule>
  </conditionalFormatting>
  <conditionalFormatting sqref="C2:D2">
    <cfRule type="containsBlanks" dxfId="321" priority="2">
      <formula>LEN(TRIM(C2))=0</formula>
    </cfRule>
  </conditionalFormatting>
  <conditionalFormatting sqref="P7:R7 T7:U7 P8:U16">
    <cfRule type="containsBlanks" dxfId="320" priority="3">
      <formula>LEN(TRIM(P7))=0</formula>
    </cfRule>
  </conditionalFormatting>
  <dataValidations count="1">
    <dataValidation type="list" allowBlank="1" showInputMessage="1" showErrorMessage="1" sqref="I7:I16" xr:uid="{33526CBE-F188-4F2F-97B1-660C4CDA6BF8}">
      <formula1>会場形態</formula1>
    </dataValidation>
  </dataValidations>
  <printOptions horizontalCentered="1"/>
  <pageMargins left="0.59055118110236227" right="0.59055118110236227" top="0.74803149606299213" bottom="0.74803149606299213" header="0.31496062992125984" footer="0.31496062992125984"/>
  <pageSetup paperSize="8" scale="64" orientation="landscape" r:id="rId1"/>
  <headerFooter>
    <oddHeader>&amp;R&amp;G</oddHead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5DDD-4CC8-4519-8217-337F72B5C74D}">
  <sheetPr codeName="Sheet369">
    <tabColor rgb="FFFFFF66"/>
    <pageSetUpPr fitToPage="1"/>
  </sheetPr>
  <dimension ref="A1:AH40"/>
  <sheetViews>
    <sheetView topLeftCell="A16" zoomScale="55" zoomScaleNormal="55" zoomScaleSheetLayoutView="70" workbookViewId="0">
      <selection activeCell="BJ123" sqref="BJ123"/>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17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4" ht="21" customHeight="1">
      <c r="S1" s="4656"/>
      <c r="U1" s="4660"/>
      <c r="W1" s="4656"/>
    </row>
    <row r="2" spans="1:34" ht="44.25" customHeight="1">
      <c r="A2" s="5143" t="s">
        <v>6319</v>
      </c>
      <c r="B2" s="5144"/>
      <c r="D2" s="5145"/>
      <c r="E2" s="5145"/>
      <c r="F2" s="5145"/>
      <c r="G2" s="5145"/>
      <c r="I2" s="4662"/>
      <c r="J2" s="4663"/>
      <c r="L2" s="4663"/>
      <c r="M2" s="4663"/>
      <c r="N2" s="4663"/>
      <c r="O2" s="4663"/>
      <c r="S2" s="4656"/>
      <c r="U2" s="4660"/>
      <c r="W2" s="4656"/>
      <c r="AE2" s="4664" t="s">
        <v>5710</v>
      </c>
    </row>
    <row r="3" spans="1:34" ht="10.4" customHeight="1">
      <c r="S3" s="4656"/>
      <c r="U3" s="4660"/>
      <c r="W3" s="4656"/>
    </row>
    <row r="4" spans="1:34" ht="33.75" customHeight="1" thickBot="1">
      <c r="A4" s="4665" t="s">
        <v>5711</v>
      </c>
      <c r="B4" s="4665"/>
      <c r="S4" s="4656"/>
      <c r="W4" s="4656"/>
      <c r="Z4" s="4656"/>
      <c r="AA4" s="4656"/>
      <c r="AB4" s="4656"/>
      <c r="AC4" s="4656"/>
      <c r="AD4" s="4656"/>
      <c r="AF4" s="4656" t="s">
        <v>5712</v>
      </c>
    </row>
    <row r="5" spans="1:34"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c r="AG5" s="4666" t="s">
        <v>6158</v>
      </c>
    </row>
    <row r="6" spans="1:34"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4"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c r="AH7" s="4666"/>
    </row>
    <row r="8" spans="1:34" ht="33.75" customHeight="1">
      <c r="A8" s="4686">
        <v>1</v>
      </c>
      <c r="B8" s="4687">
        <v>46279</v>
      </c>
      <c r="C8" s="4687">
        <v>46281</v>
      </c>
      <c r="D8" s="4672">
        <f t="shared" ref="D8:D22" si="0">IF(_xlfn.DAYS(C8,B8)=0,"1",_xlfn.DAYS(C8,B8))</f>
        <v>2</v>
      </c>
      <c r="E8" s="4687">
        <v>46297</v>
      </c>
      <c r="F8" s="4698">
        <f t="shared" ref="F8:F22" si="1">IF(_xlfn.DAYS(E8,C8)=0,"1",_xlfn.DAYS(E8,C8))+1</f>
        <v>17</v>
      </c>
      <c r="G8" s="4699">
        <v>46299</v>
      </c>
      <c r="H8" s="4672">
        <f t="shared" ref="H8:H22" si="2">IF(_xlfn.DAYS(G8,E8)=0,"1",_xlfn.DAYS(G8,E8))-1</f>
        <v>1</v>
      </c>
      <c r="I8" s="4691" t="s">
        <v>5158</v>
      </c>
      <c r="J8" s="4692">
        <v>24</v>
      </c>
      <c r="K8" s="4692">
        <v>24</v>
      </c>
      <c r="L8" s="5502">
        <v>44000</v>
      </c>
      <c r="M8" s="5503">
        <v>52000</v>
      </c>
      <c r="N8" s="4971">
        <f t="shared" ref="N8:N13" si="3">M8*K8</f>
        <v>1248000</v>
      </c>
      <c r="O8" s="5502">
        <v>44000</v>
      </c>
      <c r="P8" s="4678">
        <f>SUM(D8,F8,H8)*K8</f>
        <v>480</v>
      </c>
      <c r="Q8" s="4679">
        <f t="shared" ref="Q8:Q22" si="4">(D8*L8+F8*M8+H8*O8)*K8</f>
        <v>24384000</v>
      </c>
      <c r="R8" s="4692">
        <v>28</v>
      </c>
      <c r="S8" s="4680" t="s">
        <v>5742</v>
      </c>
      <c r="T8" s="4694">
        <v>28</v>
      </c>
      <c r="U8" s="4700">
        <v>4</v>
      </c>
      <c r="V8" s="4692"/>
      <c r="W8" s="4680" t="s">
        <v>4521</v>
      </c>
      <c r="X8" s="4695"/>
      <c r="Y8" s="4692"/>
      <c r="Z8" s="4692" t="s">
        <v>5984</v>
      </c>
      <c r="AA8" s="4683" t="s">
        <v>5035</v>
      </c>
      <c r="AB8" s="4692" t="s">
        <v>2826</v>
      </c>
      <c r="AC8" s="4683" t="s">
        <v>5050</v>
      </c>
      <c r="AD8" s="4692" t="s">
        <v>2814</v>
      </c>
      <c r="AE8" s="4696"/>
      <c r="AF8" s="4685">
        <f>U8*K8</f>
        <v>96</v>
      </c>
      <c r="AG8" s="4657">
        <f>P8*U8*150</f>
        <v>288000</v>
      </c>
      <c r="AH8" s="4666"/>
    </row>
    <row r="9" spans="1:34" ht="33.75" customHeight="1">
      <c r="A9" s="4686">
        <v>2</v>
      </c>
      <c r="B9" s="4687">
        <v>46279</v>
      </c>
      <c r="C9" s="4687">
        <v>46281</v>
      </c>
      <c r="D9" s="4672">
        <f t="shared" si="0"/>
        <v>2</v>
      </c>
      <c r="E9" s="4687">
        <v>46297</v>
      </c>
      <c r="F9" s="4698">
        <f t="shared" si="1"/>
        <v>17</v>
      </c>
      <c r="G9" s="4699">
        <v>46299</v>
      </c>
      <c r="H9" s="4672">
        <f t="shared" si="2"/>
        <v>1</v>
      </c>
      <c r="I9" s="4691" t="s">
        <v>5159</v>
      </c>
      <c r="J9" s="4692">
        <v>5</v>
      </c>
      <c r="K9" s="4692">
        <v>5</v>
      </c>
      <c r="L9" s="5502">
        <v>45000</v>
      </c>
      <c r="M9" s="5503">
        <v>53000</v>
      </c>
      <c r="N9" s="4971">
        <f t="shared" si="3"/>
        <v>265000</v>
      </c>
      <c r="O9" s="5502">
        <v>45000</v>
      </c>
      <c r="P9" s="4678">
        <f t="shared" ref="P9:P22" si="5">SUM(D9,F9,H9)*K9</f>
        <v>100</v>
      </c>
      <c r="Q9" s="4679">
        <f t="shared" si="4"/>
        <v>5180000</v>
      </c>
      <c r="R9" s="4692">
        <v>28</v>
      </c>
      <c r="S9" s="4680" t="s">
        <v>5742</v>
      </c>
      <c r="T9" s="4694">
        <v>28</v>
      </c>
      <c r="U9" s="4700">
        <v>4</v>
      </c>
      <c r="V9" s="4692"/>
      <c r="W9" s="4680" t="s">
        <v>4521</v>
      </c>
      <c r="X9" s="4695"/>
      <c r="Y9" s="4692"/>
      <c r="Z9" s="4692" t="s">
        <v>5984</v>
      </c>
      <c r="AA9" s="4683" t="s">
        <v>5035</v>
      </c>
      <c r="AB9" s="4692" t="s">
        <v>2826</v>
      </c>
      <c r="AC9" s="4683" t="s">
        <v>5050</v>
      </c>
      <c r="AD9" s="4692" t="s">
        <v>2814</v>
      </c>
      <c r="AE9" s="4696"/>
      <c r="AF9" s="4685">
        <f t="shared" ref="AF9:AF22" si="6">U9*K9</f>
        <v>20</v>
      </c>
      <c r="AG9" s="4657">
        <f>P9*U9*150</f>
        <v>60000</v>
      </c>
      <c r="AH9" s="4666"/>
    </row>
    <row r="10" spans="1:34" ht="33.75" customHeight="1">
      <c r="A10" s="4686">
        <v>3</v>
      </c>
      <c r="B10" s="4687">
        <v>46279</v>
      </c>
      <c r="C10" s="4687">
        <v>46281</v>
      </c>
      <c r="D10" s="4672">
        <f t="shared" si="0"/>
        <v>2</v>
      </c>
      <c r="E10" s="4687">
        <v>46297</v>
      </c>
      <c r="F10" s="4698">
        <f t="shared" si="1"/>
        <v>17</v>
      </c>
      <c r="G10" s="4699">
        <v>46299</v>
      </c>
      <c r="H10" s="4672">
        <f t="shared" si="2"/>
        <v>1</v>
      </c>
      <c r="I10" s="4691" t="s">
        <v>5160</v>
      </c>
      <c r="J10" s="4692">
        <v>1</v>
      </c>
      <c r="K10" s="4692">
        <v>1</v>
      </c>
      <c r="L10" s="5502">
        <v>45000</v>
      </c>
      <c r="M10" s="5503">
        <v>53000</v>
      </c>
      <c r="N10" s="4971">
        <f t="shared" si="3"/>
        <v>53000</v>
      </c>
      <c r="O10" s="5502">
        <v>45000</v>
      </c>
      <c r="P10" s="4678">
        <f t="shared" si="5"/>
        <v>20</v>
      </c>
      <c r="Q10" s="4679">
        <f t="shared" si="4"/>
        <v>1036000</v>
      </c>
      <c r="R10" s="4692">
        <v>28</v>
      </c>
      <c r="S10" s="4680" t="s">
        <v>5742</v>
      </c>
      <c r="T10" s="4694">
        <v>28</v>
      </c>
      <c r="U10" s="4700">
        <v>4</v>
      </c>
      <c r="V10" s="4692"/>
      <c r="W10" s="4680" t="s">
        <v>4521</v>
      </c>
      <c r="X10" s="4695"/>
      <c r="Y10" s="4692"/>
      <c r="Z10" s="4692" t="s">
        <v>5984</v>
      </c>
      <c r="AA10" s="4683" t="s">
        <v>5035</v>
      </c>
      <c r="AB10" s="4692" t="s">
        <v>2826</v>
      </c>
      <c r="AC10" s="4683" t="s">
        <v>5050</v>
      </c>
      <c r="AD10" s="4692" t="s">
        <v>2814</v>
      </c>
      <c r="AE10" s="4696"/>
      <c r="AF10" s="4685">
        <f t="shared" si="6"/>
        <v>4</v>
      </c>
      <c r="AG10" s="4657">
        <f>P10*U10*150</f>
        <v>12000</v>
      </c>
      <c r="AH10" s="4666"/>
    </row>
    <row r="11" spans="1:34" ht="33.75" customHeight="1">
      <c r="A11" s="4686">
        <v>4</v>
      </c>
      <c r="B11" s="4687"/>
      <c r="C11" s="4687"/>
      <c r="D11" s="4672" t="str">
        <f t="shared" si="0"/>
        <v>1</v>
      </c>
      <c r="E11" s="4687"/>
      <c r="F11" s="4698">
        <f t="shared" si="1"/>
        <v>2</v>
      </c>
      <c r="G11" s="4699"/>
      <c r="H11" s="4672">
        <f t="shared" si="2"/>
        <v>0</v>
      </c>
      <c r="I11" s="4691"/>
      <c r="J11" s="4692"/>
      <c r="K11" s="4693"/>
      <c r="L11" s="4692"/>
      <c r="M11" s="4692"/>
      <c r="N11" s="4971">
        <f t="shared" si="3"/>
        <v>0</v>
      </c>
      <c r="O11" s="4692"/>
      <c r="P11" s="4678">
        <f t="shared" si="5"/>
        <v>0</v>
      </c>
      <c r="Q11" s="4679">
        <f t="shared" si="4"/>
        <v>0</v>
      </c>
      <c r="R11" s="4692"/>
      <c r="S11" s="4680" t="s">
        <v>5742</v>
      </c>
      <c r="T11" s="4694"/>
      <c r="U11" s="4700"/>
      <c r="V11" s="4692"/>
      <c r="W11" s="4680" t="s">
        <v>4521</v>
      </c>
      <c r="X11" s="4695"/>
      <c r="Y11" s="4692"/>
      <c r="Z11" s="4692"/>
      <c r="AA11" s="4683" t="s">
        <v>5035</v>
      </c>
      <c r="AB11" s="4692"/>
      <c r="AC11" s="4683" t="s">
        <v>5050</v>
      </c>
      <c r="AD11" s="4692"/>
      <c r="AE11" s="4696"/>
      <c r="AF11" s="4685">
        <f t="shared" si="6"/>
        <v>0</v>
      </c>
      <c r="AH11" s="4666"/>
    </row>
    <row r="12" spans="1:34" ht="33.75" customHeight="1">
      <c r="A12" s="4686">
        <v>5</v>
      </c>
      <c r="B12" s="4687"/>
      <c r="C12" s="4687"/>
      <c r="D12" s="4672" t="str">
        <f t="shared" si="0"/>
        <v>1</v>
      </c>
      <c r="E12" s="4687"/>
      <c r="F12" s="4698">
        <f t="shared" si="1"/>
        <v>2</v>
      </c>
      <c r="G12" s="4699"/>
      <c r="H12" s="4672">
        <f t="shared" si="2"/>
        <v>0</v>
      </c>
      <c r="I12" s="4691"/>
      <c r="J12" s="4692"/>
      <c r="K12" s="4693"/>
      <c r="L12" s="4692"/>
      <c r="M12" s="4692"/>
      <c r="N12" s="4971">
        <f t="shared" si="3"/>
        <v>0</v>
      </c>
      <c r="O12" s="4692"/>
      <c r="P12" s="4678">
        <f t="shared" si="5"/>
        <v>0</v>
      </c>
      <c r="Q12" s="4679">
        <f t="shared" si="4"/>
        <v>0</v>
      </c>
      <c r="R12" s="4692"/>
      <c r="S12" s="4680" t="s">
        <v>5742</v>
      </c>
      <c r="T12" s="4694"/>
      <c r="U12" s="4700"/>
      <c r="V12" s="4692"/>
      <c r="W12" s="4680" t="s">
        <v>4521</v>
      </c>
      <c r="X12" s="4695"/>
      <c r="Y12" s="4692"/>
      <c r="Z12" s="4692"/>
      <c r="AA12" s="4683" t="s">
        <v>5035</v>
      </c>
      <c r="AB12" s="4692"/>
      <c r="AC12" s="4683" t="s">
        <v>5050</v>
      </c>
      <c r="AD12" s="4692"/>
      <c r="AE12" s="4696"/>
      <c r="AF12" s="4685">
        <f t="shared" si="6"/>
        <v>0</v>
      </c>
    </row>
    <row r="13" spans="1:34"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5"/>
        <v>0</v>
      </c>
      <c r="Q13" s="4679">
        <f t="shared" si="4"/>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4" ht="33.75" customHeight="1">
      <c r="A14" s="4686">
        <v>7</v>
      </c>
      <c r="B14" s="4687"/>
      <c r="C14" s="4687"/>
      <c r="D14" s="4672" t="str">
        <f t="shared" si="0"/>
        <v>1</v>
      </c>
      <c r="E14" s="4687"/>
      <c r="F14" s="4698">
        <f t="shared" si="1"/>
        <v>2</v>
      </c>
      <c r="G14" s="4699"/>
      <c r="H14" s="4672">
        <f t="shared" si="2"/>
        <v>0</v>
      </c>
      <c r="I14" s="4691"/>
      <c r="J14" s="4692"/>
      <c r="K14" s="4693"/>
      <c r="L14" s="4692"/>
      <c r="M14" s="4692"/>
      <c r="N14" s="4692"/>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4" ht="33.75" customHeight="1">
      <c r="A15" s="4686">
        <v>8</v>
      </c>
      <c r="B15" s="4687"/>
      <c r="C15" s="4687"/>
      <c r="D15" s="4672" t="str">
        <f t="shared" si="0"/>
        <v>1</v>
      </c>
      <c r="E15" s="4687"/>
      <c r="F15" s="4698">
        <f t="shared" si="1"/>
        <v>2</v>
      </c>
      <c r="G15" s="4699"/>
      <c r="H15" s="4672">
        <f t="shared" si="2"/>
        <v>0</v>
      </c>
      <c r="I15" s="4691"/>
      <c r="J15" s="4692"/>
      <c r="K15" s="4693"/>
      <c r="L15" s="4692"/>
      <c r="M15" s="4692"/>
      <c r="N15" s="4692"/>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4" ht="33.75" customHeight="1">
      <c r="A16" s="4686">
        <v>9</v>
      </c>
      <c r="B16" s="4687"/>
      <c r="C16" s="4687"/>
      <c r="D16" s="4672" t="str">
        <f t="shared" si="0"/>
        <v>1</v>
      </c>
      <c r="E16" s="4687"/>
      <c r="F16" s="4698">
        <f t="shared" si="1"/>
        <v>2</v>
      </c>
      <c r="G16" s="4699"/>
      <c r="H16" s="4672">
        <f t="shared" si="2"/>
        <v>0</v>
      </c>
      <c r="I16" s="4691"/>
      <c r="J16" s="4692"/>
      <c r="K16" s="4693"/>
      <c r="L16" s="4692"/>
      <c r="M16" s="4692"/>
      <c r="N16" s="4692"/>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3"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3"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3"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3"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3"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3"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3" ht="33.75" customHeight="1" thickTop="1" thickBot="1">
      <c r="A23" s="4701"/>
      <c r="B23" s="4702"/>
      <c r="C23" s="4702"/>
      <c r="D23" s="4702"/>
      <c r="E23" s="4702"/>
      <c r="F23" s="4703"/>
      <c r="G23" s="4704"/>
      <c r="H23" s="4702"/>
      <c r="I23" s="4705" t="s">
        <v>2432</v>
      </c>
      <c r="J23" s="4706">
        <f>SUM(J8:J22)</f>
        <v>30</v>
      </c>
      <c r="K23" s="4707">
        <f>SUM(K8:K22)</f>
        <v>30</v>
      </c>
      <c r="L23" s="4703"/>
      <c r="M23" s="4703"/>
      <c r="N23" s="4703"/>
      <c r="O23" s="4703"/>
      <c r="P23" s="4706">
        <f>SUM(P8:P22)</f>
        <v>600</v>
      </c>
      <c r="Q23" s="4706">
        <f>SUM(Q8:Q22)</f>
        <v>30600000</v>
      </c>
      <c r="R23" s="6863"/>
      <c r="S23" s="6864"/>
      <c r="T23" s="6865"/>
      <c r="U23" s="4708"/>
      <c r="V23" s="6863"/>
      <c r="W23" s="6864"/>
      <c r="X23" s="6864"/>
      <c r="Y23" s="4708"/>
      <c r="Z23" s="4708"/>
      <c r="AA23" s="6866"/>
      <c r="AB23" s="6867"/>
      <c r="AC23" s="6866"/>
      <c r="AD23" s="6867"/>
      <c r="AE23" s="4709"/>
      <c r="AF23" s="4685">
        <f>SUM(AF8:AF22)</f>
        <v>120</v>
      </c>
      <c r="AG23" s="4657">
        <f>SUM(AG8:AG22)</f>
        <v>360000</v>
      </c>
    </row>
    <row r="24" spans="1:33" ht="33.75" customHeight="1" thickBot="1">
      <c r="C24" s="4710"/>
      <c r="D24" s="4710"/>
      <c r="E24" s="4710"/>
      <c r="F24" s="4710"/>
      <c r="G24" s="4710"/>
      <c r="H24" s="4710"/>
      <c r="I24" s="4711"/>
      <c r="J24" s="4712"/>
      <c r="K24" s="4710"/>
      <c r="L24" s="4713" t="s">
        <v>5748</v>
      </c>
      <c r="M24" s="4714">
        <f>SUM(N7:N22)</f>
        <v>1566000</v>
      </c>
      <c r="N24" s="4715"/>
      <c r="O24" s="4715"/>
      <c r="P24" s="4715"/>
      <c r="S24" s="4656"/>
      <c r="W24" s="4656"/>
    </row>
    <row r="25" spans="1:33" ht="33.75" customHeight="1">
      <c r="A25" s="6845" t="s">
        <v>5749</v>
      </c>
      <c r="B25" s="6846"/>
      <c r="C25" s="4716">
        <f>P23</f>
        <v>600</v>
      </c>
      <c r="D25" s="4717"/>
      <c r="F25" s="4718"/>
      <c r="H25" s="4719"/>
      <c r="I25" s="4720"/>
      <c r="K25" s="4659"/>
      <c r="L25" s="4721" t="s">
        <v>5750</v>
      </c>
      <c r="M25" s="4722">
        <f>M24*1.1</f>
        <v>1722600.0000000002</v>
      </c>
      <c r="P25" s="4656"/>
    </row>
    <row r="26" spans="1:33" ht="33.75" customHeight="1">
      <c r="A26" s="6847" t="s">
        <v>5883</v>
      </c>
      <c r="B26" s="6848"/>
      <c r="C26" s="4723">
        <f>Q23</f>
        <v>30600000</v>
      </c>
      <c r="D26" s="4717"/>
      <c r="F26" s="4724"/>
      <c r="H26" s="4719"/>
      <c r="I26" s="4720"/>
      <c r="K26" s="4659"/>
      <c r="P26" s="4656"/>
    </row>
    <row r="27" spans="1:33" ht="33.75" customHeight="1" thickBot="1">
      <c r="A27" s="6913" t="s">
        <v>5751</v>
      </c>
      <c r="B27" s="6914"/>
      <c r="C27" s="4987">
        <f>ROUNDDOWN(C26*1.1,0)</f>
        <v>33660000</v>
      </c>
      <c r="D27" s="4719"/>
      <c r="F27" s="4724"/>
      <c r="H27" s="4719"/>
      <c r="I27" s="4720"/>
      <c r="K27" s="4659"/>
      <c r="P27" s="4656"/>
    </row>
    <row r="28" spans="1:33" ht="33.75" customHeight="1">
      <c r="A28" s="4729"/>
      <c r="B28" s="4729"/>
      <c r="C28" s="4729"/>
      <c r="D28" s="4729"/>
      <c r="E28" s="4729"/>
      <c r="F28" s="4729"/>
      <c r="G28" s="4726"/>
      <c r="H28" s="4729"/>
      <c r="I28" s="4720"/>
      <c r="P28" s="4656"/>
    </row>
    <row r="29" spans="1:33" ht="33.75" customHeight="1">
      <c r="A29" s="4728" t="s">
        <v>5752</v>
      </c>
      <c r="B29" s="4728"/>
      <c r="C29" s="4729"/>
      <c r="D29" s="4729"/>
      <c r="E29" s="4729"/>
      <c r="F29" s="4729"/>
      <c r="G29" s="4726"/>
      <c r="H29" s="4729"/>
      <c r="I29" s="4720"/>
      <c r="P29" s="4656"/>
    </row>
    <row r="30" spans="1:33" ht="36" customHeight="1">
      <c r="A30" s="4728" t="s">
        <v>5753</v>
      </c>
      <c r="B30" s="4728"/>
    </row>
    <row r="31" spans="1:33" ht="36" customHeight="1">
      <c r="A31" s="4730" t="s">
        <v>5754</v>
      </c>
      <c r="B31" s="4730"/>
    </row>
    <row r="32" spans="1:33"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0">
    <mergeCell ref="C5:C6"/>
    <mergeCell ref="D5:D6"/>
    <mergeCell ref="E5:E6"/>
    <mergeCell ref="F5:F6"/>
    <mergeCell ref="AA5:AD6"/>
    <mergeCell ref="AE5:AE6"/>
    <mergeCell ref="AF5:AF6"/>
    <mergeCell ref="R23:T23"/>
    <mergeCell ref="V23:X23"/>
    <mergeCell ref="AA23:AB23"/>
    <mergeCell ref="AC23:AD23"/>
    <mergeCell ref="R5:T6"/>
    <mergeCell ref="U5:U6"/>
    <mergeCell ref="V5:X6"/>
    <mergeCell ref="A25:B25"/>
    <mergeCell ref="A26:B26"/>
    <mergeCell ref="A27:B27"/>
    <mergeCell ref="Y5:Y6"/>
    <mergeCell ref="Z5:Z6"/>
    <mergeCell ref="M5:M6"/>
    <mergeCell ref="O5:O6"/>
    <mergeCell ref="P5:Q5"/>
    <mergeCell ref="G5:G6"/>
    <mergeCell ref="H5:H6"/>
    <mergeCell ref="I5:I6"/>
    <mergeCell ref="J5:J6"/>
    <mergeCell ref="K5:K6"/>
    <mergeCell ref="L5:L6"/>
    <mergeCell ref="A5:A6"/>
    <mergeCell ref="B5:B6"/>
  </mergeCells>
  <phoneticPr fontId="2"/>
  <conditionalFormatting sqref="A2 B8:C22 E8:G22">
    <cfRule type="containsBlanks" dxfId="319" priority="4">
      <formula>LEN(TRIM(A2))=0</formula>
    </cfRule>
  </conditionalFormatting>
  <conditionalFormatting sqref="D7:D22">
    <cfRule type="containsBlanks" dxfId="318" priority="3">
      <formula>LEN(TRIM(D7))=0</formula>
    </cfRule>
  </conditionalFormatting>
  <conditionalFormatting sqref="F7">
    <cfRule type="containsBlanks" dxfId="317" priority="2">
      <formula>LEN(TRIM(F7))=0</formula>
    </cfRule>
  </conditionalFormatting>
  <conditionalFormatting sqref="H7:O22">
    <cfRule type="containsBlanks" dxfId="316" priority="1">
      <formula>LEN(TRIM(H7))=0</formula>
    </cfRule>
  </conditionalFormatting>
  <conditionalFormatting sqref="Q7:R22">
    <cfRule type="containsBlanks" dxfId="315" priority="8">
      <formula>LEN(TRIM(Q7))=0</formula>
    </cfRule>
  </conditionalFormatting>
  <conditionalFormatting sqref="T7:V22">
    <cfRule type="containsBlanks" dxfId="314" priority="6">
      <formula>LEN(TRIM(T7))=0</formula>
    </cfRule>
  </conditionalFormatting>
  <conditionalFormatting sqref="X7:Z22">
    <cfRule type="containsBlanks" dxfId="313" priority="5">
      <formula>LEN(TRIM(X7))=0</formula>
    </cfRule>
  </conditionalFormatting>
  <conditionalFormatting sqref="AB7:AB22 AD7:AE22">
    <cfRule type="containsBlanks" dxfId="312" priority="7">
      <formula>LEN(TRIM(AB7))=0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drawing r:id="rId2"/>
  <legacyDrawing r:id="rId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BB8D4-48CB-40F1-8DB6-A333355182C7}">
  <sheetPr codeName="Sheet370">
    <tabColor rgb="FFFFFF66"/>
    <pageSetUpPr fitToPage="1"/>
  </sheetPr>
  <dimension ref="A1:AE34"/>
  <sheetViews>
    <sheetView topLeftCell="A13" zoomScale="70" zoomScaleNormal="70"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'[29]別紙1-1）客室提供条件'!A2</f>
        <v>ホテル海陽閣</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5504">
        <v>1</v>
      </c>
      <c r="B8" s="4816">
        <v>46279</v>
      </c>
      <c r="C8" s="4816">
        <v>46298</v>
      </c>
      <c r="D8" s="4759">
        <v>0</v>
      </c>
      <c r="E8" s="4759">
        <v>1</v>
      </c>
      <c r="F8" s="4760">
        <f t="shared" ref="F8:F17" si="1">IF(OR(ISBLANK($B8), ISBLANK($C8)), 0, _xlfn.DAYS($C8, $B8) + 1)</f>
        <v>20</v>
      </c>
      <c r="G8" s="4975" t="s">
        <v>6320</v>
      </c>
      <c r="H8" s="4762">
        <v>1</v>
      </c>
      <c r="I8" s="4763" t="s">
        <v>5190</v>
      </c>
      <c r="J8" s="4764">
        <v>9</v>
      </c>
      <c r="K8" s="4765">
        <v>27.9</v>
      </c>
      <c r="L8" s="4765">
        <v>252</v>
      </c>
      <c r="M8" s="4765">
        <v>3.5</v>
      </c>
      <c r="N8" s="4762">
        <v>55000</v>
      </c>
      <c r="O8" s="4766">
        <f t="shared" si="0"/>
        <v>1100000</v>
      </c>
      <c r="P8" s="4857" t="s">
        <v>2161</v>
      </c>
      <c r="Q8" s="4858">
        <v>4</v>
      </c>
      <c r="R8" s="4976" t="s">
        <v>3804</v>
      </c>
      <c r="S8" s="4858" t="s">
        <v>246</v>
      </c>
      <c r="T8" s="4859" t="s">
        <v>2161</v>
      </c>
      <c r="U8" s="4860">
        <v>0</v>
      </c>
    </row>
    <row r="9" spans="1:31" ht="33.75" customHeight="1">
      <c r="A9" s="5504">
        <v>2</v>
      </c>
      <c r="B9" s="4816">
        <v>46299</v>
      </c>
      <c r="C9" s="4816">
        <v>46299</v>
      </c>
      <c r="D9" s="4759">
        <v>0</v>
      </c>
      <c r="E9" s="4759">
        <v>0.5</v>
      </c>
      <c r="F9" s="4760">
        <f>IF(OR(ISBLANK($B9), ISBLANK($C9)), 0, _xlfn.DAYS($C9, $B9) + 1)</f>
        <v>1</v>
      </c>
      <c r="G9" s="4975" t="s">
        <v>6320</v>
      </c>
      <c r="H9" s="4762">
        <v>1</v>
      </c>
      <c r="I9" s="4763" t="s">
        <v>5190</v>
      </c>
      <c r="J9" s="4764">
        <v>9</v>
      </c>
      <c r="K9" s="4765">
        <v>27.9</v>
      </c>
      <c r="L9" s="4765">
        <v>252</v>
      </c>
      <c r="M9" s="4765">
        <v>3.5</v>
      </c>
      <c r="N9" s="4762">
        <v>27500</v>
      </c>
      <c r="O9" s="4766">
        <f>F9*N9</f>
        <v>27500</v>
      </c>
      <c r="P9" s="4857" t="s">
        <v>2161</v>
      </c>
      <c r="Q9" s="4858">
        <v>4</v>
      </c>
      <c r="R9" s="4976" t="s">
        <v>3804</v>
      </c>
      <c r="S9" s="4858" t="s">
        <v>246</v>
      </c>
      <c r="T9" s="4859" t="s">
        <v>2161</v>
      </c>
      <c r="U9" s="4860">
        <v>0</v>
      </c>
      <c r="AC9" s="4657"/>
    </row>
    <row r="10" spans="1:31" ht="33.75" customHeight="1">
      <c r="A10" s="5504">
        <v>3</v>
      </c>
      <c r="B10" s="4816">
        <v>46279</v>
      </c>
      <c r="C10" s="4816">
        <v>46298</v>
      </c>
      <c r="D10" s="4759">
        <v>0</v>
      </c>
      <c r="E10" s="4759">
        <v>1</v>
      </c>
      <c r="F10" s="4760">
        <f t="shared" si="1"/>
        <v>20</v>
      </c>
      <c r="G10" s="4975" t="s">
        <v>5157</v>
      </c>
      <c r="H10" s="4762">
        <v>3</v>
      </c>
      <c r="I10" s="4763" t="s">
        <v>5784</v>
      </c>
      <c r="J10" s="4764">
        <v>6</v>
      </c>
      <c r="K10" s="4765">
        <v>10</v>
      </c>
      <c r="L10" s="4765">
        <v>60</v>
      </c>
      <c r="M10" s="4765">
        <v>3.5</v>
      </c>
      <c r="N10" s="4762">
        <v>30000</v>
      </c>
      <c r="O10" s="4766">
        <f t="shared" si="0"/>
        <v>600000</v>
      </c>
      <c r="P10" s="4857" t="s">
        <v>3804</v>
      </c>
      <c r="Q10" s="4858" t="s">
        <v>246</v>
      </c>
      <c r="R10" s="4976" t="s">
        <v>3804</v>
      </c>
      <c r="S10" s="4858" t="s">
        <v>246</v>
      </c>
      <c r="T10" s="4859" t="s">
        <v>2161</v>
      </c>
      <c r="U10" s="4860">
        <v>0</v>
      </c>
      <c r="AC10" s="4657"/>
    </row>
    <row r="11" spans="1:31" ht="33.75" customHeight="1">
      <c r="A11" s="5504">
        <v>4</v>
      </c>
      <c r="B11" s="4816">
        <v>46299</v>
      </c>
      <c r="C11" s="4816">
        <v>46299</v>
      </c>
      <c r="D11" s="4759">
        <v>0</v>
      </c>
      <c r="E11" s="4759">
        <v>0.5</v>
      </c>
      <c r="F11" s="4760">
        <f>IF(OR(ISBLANK($B11), ISBLANK($C11)), 0, _xlfn.DAYS($C11, $B11) + 1)</f>
        <v>1</v>
      </c>
      <c r="G11" s="4975" t="s">
        <v>5157</v>
      </c>
      <c r="H11" s="4762">
        <v>3</v>
      </c>
      <c r="I11" s="4763" t="s">
        <v>5784</v>
      </c>
      <c r="J11" s="4764">
        <v>6</v>
      </c>
      <c r="K11" s="4765">
        <v>10</v>
      </c>
      <c r="L11" s="4765">
        <v>60</v>
      </c>
      <c r="M11" s="4856">
        <v>3.5</v>
      </c>
      <c r="N11" s="4762">
        <v>15000</v>
      </c>
      <c r="O11" s="4766">
        <f>F11*N11</f>
        <v>15000</v>
      </c>
      <c r="P11" s="4857" t="s">
        <v>3804</v>
      </c>
      <c r="Q11" s="4858" t="s">
        <v>246</v>
      </c>
      <c r="R11" s="4976" t="s">
        <v>3804</v>
      </c>
      <c r="S11" s="4858" t="s">
        <v>246</v>
      </c>
      <c r="T11" s="4859" t="s">
        <v>2161</v>
      </c>
      <c r="U11" s="4860">
        <v>0</v>
      </c>
      <c r="AC11" s="4657"/>
    </row>
    <row r="12" spans="1:31" ht="33.75" customHeight="1">
      <c r="A12" s="5504">
        <v>5</v>
      </c>
      <c r="B12" s="4816">
        <v>46279</v>
      </c>
      <c r="C12" s="4816">
        <v>46298</v>
      </c>
      <c r="D12" s="4759">
        <v>0</v>
      </c>
      <c r="E12" s="4759">
        <v>1</v>
      </c>
      <c r="F12" s="4770">
        <f t="shared" si="1"/>
        <v>20</v>
      </c>
      <c r="G12" s="4975" t="s">
        <v>6321</v>
      </c>
      <c r="H12" s="4762" t="s">
        <v>6322</v>
      </c>
      <c r="I12" s="4763"/>
      <c r="J12" s="4764"/>
      <c r="K12" s="4765"/>
      <c r="L12" s="4765"/>
      <c r="M12" s="4765"/>
      <c r="N12" s="4762">
        <v>43200</v>
      </c>
      <c r="O12" s="4766">
        <f t="shared" si="0"/>
        <v>864000</v>
      </c>
      <c r="P12" s="4857" t="s">
        <v>3804</v>
      </c>
      <c r="Q12" s="4858" t="s">
        <v>246</v>
      </c>
      <c r="R12" s="4976" t="s">
        <v>3804</v>
      </c>
      <c r="S12" s="4858" t="s">
        <v>246</v>
      </c>
      <c r="T12" s="4859" t="s">
        <v>2161</v>
      </c>
      <c r="U12" s="4860">
        <v>0</v>
      </c>
      <c r="AC12" s="4657"/>
    </row>
    <row r="13" spans="1:31" ht="33.75" customHeight="1">
      <c r="A13" s="5504">
        <v>6</v>
      </c>
      <c r="B13" s="4816"/>
      <c r="C13" s="4816"/>
      <c r="D13" s="4759"/>
      <c r="E13" s="4759"/>
      <c r="F13" s="4760">
        <f>IF(OR(ISBLANK($B13), ISBLANK($C13)), 0, _xlfn.DAYS($C13, $B13) + 1)</f>
        <v>0</v>
      </c>
      <c r="G13" s="4975"/>
      <c r="H13" s="4762"/>
      <c r="I13" s="4763"/>
      <c r="J13" s="4764"/>
      <c r="K13" s="4765"/>
      <c r="L13" s="4765"/>
      <c r="M13" s="4765"/>
      <c r="N13" s="4762"/>
      <c r="O13" s="4766">
        <f t="shared" si="0"/>
        <v>0</v>
      </c>
      <c r="P13" s="4857"/>
      <c r="Q13" s="4858"/>
      <c r="R13" s="4976"/>
      <c r="S13" s="4858"/>
      <c r="T13" s="4859"/>
      <c r="U13" s="4860"/>
      <c r="AC13" s="4657"/>
    </row>
    <row r="14" spans="1:31" ht="33.75" customHeight="1">
      <c r="A14" s="5504">
        <v>7</v>
      </c>
      <c r="B14" s="5505"/>
      <c r="C14" s="5505"/>
      <c r="D14" s="5506"/>
      <c r="E14" s="5506"/>
      <c r="F14" s="5507">
        <f t="shared" si="1"/>
        <v>0</v>
      </c>
      <c r="G14" s="5508"/>
      <c r="H14" s="5509"/>
      <c r="I14" s="5510"/>
      <c r="J14" s="5511"/>
      <c r="K14" s="5512"/>
      <c r="L14" s="5512"/>
      <c r="M14" s="5512"/>
      <c r="N14" s="5509"/>
      <c r="O14" s="4766">
        <f t="shared" si="0"/>
        <v>0</v>
      </c>
      <c r="P14" s="4857"/>
      <c r="Q14" s="4858"/>
      <c r="R14" s="4976"/>
      <c r="S14" s="4858"/>
      <c r="T14" s="4859"/>
      <c r="U14" s="4860"/>
      <c r="AC14" s="4657"/>
    </row>
    <row r="15" spans="1:31" ht="33.75" customHeight="1">
      <c r="A15" s="5504">
        <v>8</v>
      </c>
      <c r="B15" s="5505"/>
      <c r="C15" s="5505"/>
      <c r="D15" s="5506"/>
      <c r="E15" s="5506"/>
      <c r="F15" s="5507">
        <f t="shared" si="1"/>
        <v>0</v>
      </c>
      <c r="G15" s="5508"/>
      <c r="H15" s="5509"/>
      <c r="I15" s="5510"/>
      <c r="J15" s="5511"/>
      <c r="K15" s="5512"/>
      <c r="L15" s="5512"/>
      <c r="M15" s="5512"/>
      <c r="N15" s="5509"/>
      <c r="O15" s="4766">
        <f t="shared" si="0"/>
        <v>0</v>
      </c>
      <c r="P15" s="4857"/>
      <c r="Q15" s="4858"/>
      <c r="R15" s="4976"/>
      <c r="S15" s="4858"/>
      <c r="T15" s="4859"/>
      <c r="U15" s="4860"/>
      <c r="AC15" s="4657"/>
    </row>
    <row r="16" spans="1:31" ht="33.75" customHeight="1">
      <c r="A16" s="5504">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62</v>
      </c>
      <c r="G18" s="4779"/>
      <c r="H18" s="4781"/>
      <c r="I18" s="4782">
        <f>COUNTA(G8,G10,G12)</f>
        <v>3</v>
      </c>
      <c r="J18" s="4783"/>
      <c r="K18" s="4784"/>
      <c r="L18" s="4784"/>
      <c r="M18" s="4784"/>
      <c r="N18" s="4785"/>
      <c r="O18" s="4922">
        <f>SUM(O8:O17)</f>
        <v>2606500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2867150</v>
      </c>
      <c r="P19" s="4884"/>
      <c r="Q19" s="4885"/>
      <c r="R19" s="4886"/>
      <c r="S19" s="4887"/>
      <c r="T19" s="4886"/>
      <c r="U19" s="4888"/>
      <c r="AC19" s="4657"/>
    </row>
    <row r="20" spans="1:31" ht="33.75" customHeight="1">
      <c r="A20" s="4656"/>
      <c r="B20" s="4660"/>
      <c r="C20" s="4660"/>
      <c r="D20" s="4660"/>
      <c r="G20" s="4660"/>
      <c r="H20" s="4660"/>
      <c r="M20" s="4808" t="s">
        <v>5748</v>
      </c>
      <c r="N20" s="4809">
        <f>SUM(N8,N10,N12)</f>
        <v>128200</v>
      </c>
      <c r="O20" s="4656"/>
      <c r="P20" s="4657"/>
      <c r="Q20" s="4657"/>
      <c r="AC20" s="4657"/>
    </row>
    <row r="21" spans="1:31" ht="32.15" customHeight="1">
      <c r="A21" s="4656"/>
      <c r="B21" s="4660"/>
      <c r="C21" s="4660"/>
      <c r="D21" s="4660"/>
      <c r="G21" s="4660"/>
      <c r="H21" s="4660"/>
      <c r="M21" s="4808" t="s">
        <v>5750</v>
      </c>
      <c r="N21" s="4809">
        <f>N20*1.1</f>
        <v>141020</v>
      </c>
      <c r="O21" s="4656"/>
      <c r="P21" s="4657"/>
      <c r="Q21" s="4657"/>
      <c r="AC21" s="4657"/>
    </row>
    <row r="22" spans="1:31" ht="32.15" customHeight="1">
      <c r="B22" s="4657"/>
      <c r="C22" s="4657"/>
      <c r="D22" s="4657"/>
      <c r="E22" s="4810"/>
      <c r="F22" s="4811"/>
      <c r="G22" s="4657"/>
      <c r="H22" s="4657"/>
      <c r="O22" s="4656"/>
      <c r="P22" s="4657"/>
      <c r="Q22" s="4657"/>
      <c r="AC22" s="4657"/>
    </row>
    <row r="23" spans="1:31" ht="32.15" customHeight="1">
      <c r="A23" s="4812"/>
      <c r="B23" s="4813"/>
      <c r="C23" s="4813"/>
      <c r="D23" s="4813"/>
      <c r="E23" s="4814"/>
      <c r="F23" s="4814"/>
      <c r="G23" s="4813"/>
      <c r="H23" s="4813"/>
      <c r="I23" s="4812"/>
      <c r="J23" s="4812"/>
      <c r="K23" s="4812"/>
      <c r="L23" s="4812"/>
      <c r="M23" s="4812"/>
      <c r="N23" s="4812"/>
      <c r="O23" s="4715"/>
      <c r="P23" s="4715"/>
      <c r="Q23" s="4715"/>
      <c r="R23" s="4656"/>
      <c r="S23" s="4812"/>
      <c r="T23" s="4656"/>
      <c r="U23" s="4812"/>
      <c r="W23" s="6905"/>
      <c r="X23" s="6905"/>
      <c r="Y23" s="6905"/>
      <c r="Z23" s="6905"/>
      <c r="AA23" s="6905"/>
      <c r="AB23" s="6891"/>
      <c r="AC23" s="6891"/>
      <c r="AD23" s="6891"/>
      <c r="AE23" s="6891"/>
    </row>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10.4" customHeight="1">
      <c r="B34" s="4657"/>
      <c r="C34" s="4657"/>
      <c r="D34" s="4657"/>
      <c r="G34" s="4657"/>
      <c r="H34" s="4657"/>
      <c r="O34" s="4656"/>
      <c r="P34" s="4657"/>
      <c r="Q34" s="4657"/>
      <c r="AC34" s="4657"/>
    </row>
  </sheetData>
  <mergeCells count="21">
    <mergeCell ref="A2:B2"/>
    <mergeCell ref="C2:G2"/>
    <mergeCell ref="A5:A6"/>
    <mergeCell ref="B5:B6"/>
    <mergeCell ref="C5:C6"/>
    <mergeCell ref="D5:D6"/>
    <mergeCell ref="E5:E6"/>
    <mergeCell ref="F5:F6"/>
    <mergeCell ref="G5:G6"/>
    <mergeCell ref="AB23:AE23"/>
    <mergeCell ref="H5:H6"/>
    <mergeCell ref="I5:I6"/>
    <mergeCell ref="J5:J6"/>
    <mergeCell ref="K5:K6"/>
    <mergeCell ref="L5:L6"/>
    <mergeCell ref="M5:M6"/>
    <mergeCell ref="N5:N6"/>
    <mergeCell ref="O5:O6"/>
    <mergeCell ref="P5:Q5"/>
    <mergeCell ref="R5:U5"/>
    <mergeCell ref="W23:AA23"/>
  </mergeCells>
  <phoneticPr fontId="2"/>
  <conditionalFormatting sqref="B8:E17 G8:N17 P8:U17">
    <cfRule type="containsBlanks" dxfId="311" priority="1">
      <formula>LEN(TRIM(B8))=0</formula>
    </cfRule>
  </conditionalFormatting>
  <conditionalFormatting sqref="C2:D2">
    <cfRule type="containsBlanks" dxfId="310" priority="2">
      <formula>LEN(TRIM(C2))=0</formula>
    </cfRule>
  </conditionalFormatting>
  <dataValidations count="1">
    <dataValidation type="list" allowBlank="1" showInputMessage="1" showErrorMessage="1" sqref="I7:I17" xr:uid="{73738E88-6112-426F-94DD-5939D48C4F8D}">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D83A-CEEB-48F3-8240-BC88C3530E90}">
  <sheetPr codeName="Sheet371">
    <tabColor rgb="FFFFFF66"/>
    <pageSetUpPr fitToPage="1"/>
  </sheetPr>
  <dimension ref="A1:AF65"/>
  <sheetViews>
    <sheetView topLeftCell="A17" zoomScale="40" zoomScaleNormal="40" zoomScaleSheetLayoutView="70" workbookViewId="0">
      <selection activeCell="N16" sqref="N16"/>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17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6323</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910">
        <v>46281</v>
      </c>
      <c r="C8" s="4910">
        <v>46283</v>
      </c>
      <c r="D8" s="4672">
        <v>0</v>
      </c>
      <c r="E8" s="4910">
        <v>46299</v>
      </c>
      <c r="F8" s="4997">
        <v>20</v>
      </c>
      <c r="G8" s="4911">
        <v>46301</v>
      </c>
      <c r="H8" s="4672">
        <v>0</v>
      </c>
      <c r="I8" s="4691" t="s">
        <v>6324</v>
      </c>
      <c r="J8" s="4692">
        <v>157</v>
      </c>
      <c r="K8" s="4692">
        <v>157</v>
      </c>
      <c r="L8" s="4692">
        <v>67000</v>
      </c>
      <c r="M8" s="4692">
        <v>70000</v>
      </c>
      <c r="N8" s="4971">
        <f t="shared" ref="N8:N13" si="0">M8*K8</f>
        <v>10990000</v>
      </c>
      <c r="O8" s="4692">
        <v>67000</v>
      </c>
      <c r="P8" s="4678">
        <f>SUM(D8,F8,H8)*K8</f>
        <v>3140</v>
      </c>
      <c r="Q8" s="4679">
        <f t="shared" ref="Q8:Q22" si="1">(D8*L8+F8*M8+H8*O8)*K8</f>
        <v>219800000</v>
      </c>
      <c r="R8" s="4692"/>
      <c r="S8" s="4680" t="s">
        <v>5742</v>
      </c>
      <c r="T8" s="4694"/>
      <c r="U8" s="4700">
        <v>1</v>
      </c>
      <c r="V8" s="4692"/>
      <c r="W8" s="4680" t="s">
        <v>4521</v>
      </c>
      <c r="X8" s="4695"/>
      <c r="Y8" s="4692"/>
      <c r="Z8" s="4692"/>
      <c r="AA8" s="4683" t="s">
        <v>5035</v>
      </c>
      <c r="AB8" s="4692"/>
      <c r="AC8" s="4683" t="s">
        <v>5050</v>
      </c>
      <c r="AD8" s="4692"/>
      <c r="AE8" s="4696"/>
      <c r="AF8" s="4685">
        <f>U8*K8</f>
        <v>157</v>
      </c>
    </row>
    <row r="9" spans="1:32" ht="33.75" customHeight="1">
      <c r="A9" s="4686">
        <v>2</v>
      </c>
      <c r="B9" s="4910">
        <v>46281</v>
      </c>
      <c r="C9" s="4910">
        <v>46283</v>
      </c>
      <c r="D9" s="4672">
        <v>0</v>
      </c>
      <c r="E9" s="4910">
        <v>46299</v>
      </c>
      <c r="F9" s="4997">
        <v>20</v>
      </c>
      <c r="G9" s="4911">
        <v>46301</v>
      </c>
      <c r="H9" s="4672">
        <v>0</v>
      </c>
      <c r="I9" s="4691" t="s">
        <v>6325</v>
      </c>
      <c r="J9" s="4692">
        <v>45</v>
      </c>
      <c r="K9" s="4692">
        <v>45</v>
      </c>
      <c r="L9" s="4692">
        <v>67000</v>
      </c>
      <c r="M9" s="4692">
        <v>70000</v>
      </c>
      <c r="N9" s="4971">
        <f t="shared" si="0"/>
        <v>3150000</v>
      </c>
      <c r="O9" s="4692">
        <v>67000</v>
      </c>
      <c r="P9" s="4678">
        <f t="shared" ref="P9:P22" si="2">SUM(D9,F9,H9)*K9</f>
        <v>900</v>
      </c>
      <c r="Q9" s="4679">
        <f t="shared" si="1"/>
        <v>63000000</v>
      </c>
      <c r="R9" s="4692"/>
      <c r="S9" s="4680" t="s">
        <v>5742</v>
      </c>
      <c r="T9" s="4694"/>
      <c r="U9" s="4700">
        <v>1</v>
      </c>
      <c r="V9" s="4692"/>
      <c r="W9" s="4680" t="s">
        <v>4521</v>
      </c>
      <c r="X9" s="4695"/>
      <c r="Y9" s="4692"/>
      <c r="Z9" s="4692"/>
      <c r="AA9" s="4683" t="s">
        <v>5035</v>
      </c>
      <c r="AB9" s="4692"/>
      <c r="AC9" s="4683" t="s">
        <v>5050</v>
      </c>
      <c r="AD9" s="4692"/>
      <c r="AE9" s="4696"/>
      <c r="AF9" s="4685">
        <f t="shared" ref="AF9:AF22" si="3">U9*K9</f>
        <v>45</v>
      </c>
    </row>
    <row r="10" spans="1:32" ht="33.75" customHeight="1">
      <c r="A10" s="4686">
        <v>3</v>
      </c>
      <c r="B10" s="4910">
        <v>46281</v>
      </c>
      <c r="C10" s="4910">
        <v>46283</v>
      </c>
      <c r="D10" s="4672">
        <v>0</v>
      </c>
      <c r="E10" s="4910">
        <v>46299</v>
      </c>
      <c r="F10" s="4997">
        <v>20</v>
      </c>
      <c r="G10" s="4911">
        <v>46301</v>
      </c>
      <c r="H10" s="4672">
        <v>0</v>
      </c>
      <c r="I10" s="4691" t="s">
        <v>6326</v>
      </c>
      <c r="J10" s="4692">
        <v>40</v>
      </c>
      <c r="K10" s="4692">
        <v>40</v>
      </c>
      <c r="L10" s="4692">
        <v>77000</v>
      </c>
      <c r="M10" s="4692">
        <v>80000</v>
      </c>
      <c r="N10" s="4971">
        <f t="shared" si="0"/>
        <v>3200000</v>
      </c>
      <c r="O10" s="4692">
        <v>77000</v>
      </c>
      <c r="P10" s="4678">
        <f t="shared" si="2"/>
        <v>800</v>
      </c>
      <c r="Q10" s="4679">
        <f t="shared" si="1"/>
        <v>64000000</v>
      </c>
      <c r="R10" s="4692"/>
      <c r="S10" s="4680" t="s">
        <v>5742</v>
      </c>
      <c r="T10" s="4694"/>
      <c r="U10" s="4700">
        <v>1</v>
      </c>
      <c r="V10" s="4692"/>
      <c r="W10" s="4680" t="s">
        <v>4521</v>
      </c>
      <c r="X10" s="4695"/>
      <c r="Y10" s="4692"/>
      <c r="Z10" s="4692"/>
      <c r="AA10" s="4683" t="s">
        <v>5035</v>
      </c>
      <c r="AB10" s="4692"/>
      <c r="AC10" s="4683" t="s">
        <v>5050</v>
      </c>
      <c r="AD10" s="4692"/>
      <c r="AE10" s="4696"/>
      <c r="AF10" s="4685">
        <f t="shared" si="3"/>
        <v>40</v>
      </c>
    </row>
    <row r="11" spans="1:32" ht="33.75" customHeight="1">
      <c r="A11" s="4686">
        <v>4</v>
      </c>
      <c r="B11" s="4910">
        <v>46281</v>
      </c>
      <c r="C11" s="4910">
        <v>46283</v>
      </c>
      <c r="D11" s="4672">
        <v>0</v>
      </c>
      <c r="E11" s="4910">
        <v>46299</v>
      </c>
      <c r="F11" s="4997">
        <v>20</v>
      </c>
      <c r="G11" s="4911">
        <v>46301</v>
      </c>
      <c r="H11" s="4672">
        <v>0</v>
      </c>
      <c r="I11" s="4691" t="s">
        <v>6327</v>
      </c>
      <c r="J11" s="4692">
        <v>84</v>
      </c>
      <c r="K11" s="4692">
        <v>84</v>
      </c>
      <c r="L11" s="4692">
        <v>77000</v>
      </c>
      <c r="M11" s="4692">
        <v>80000</v>
      </c>
      <c r="N11" s="4971">
        <f t="shared" si="0"/>
        <v>6720000</v>
      </c>
      <c r="O11" s="4692">
        <v>77000</v>
      </c>
      <c r="P11" s="4678">
        <f t="shared" si="2"/>
        <v>1680</v>
      </c>
      <c r="Q11" s="4679">
        <f t="shared" si="1"/>
        <v>134400000</v>
      </c>
      <c r="R11" s="4692"/>
      <c r="S11" s="4680" t="s">
        <v>5742</v>
      </c>
      <c r="T11" s="4694"/>
      <c r="U11" s="4700">
        <v>1</v>
      </c>
      <c r="V11" s="4692"/>
      <c r="W11" s="4680" t="s">
        <v>4521</v>
      </c>
      <c r="X11" s="4695"/>
      <c r="Y11" s="4692"/>
      <c r="Z11" s="4692"/>
      <c r="AA11" s="4683" t="s">
        <v>5035</v>
      </c>
      <c r="AB11" s="4692"/>
      <c r="AC11" s="4683" t="s">
        <v>5050</v>
      </c>
      <c r="AD11" s="4692"/>
      <c r="AE11" s="4696"/>
      <c r="AF11" s="4685">
        <f t="shared" si="3"/>
        <v>84</v>
      </c>
    </row>
    <row r="12" spans="1:32" ht="33.75" customHeight="1">
      <c r="A12" s="4686">
        <v>5</v>
      </c>
      <c r="B12" s="4910">
        <v>46281</v>
      </c>
      <c r="C12" s="4910">
        <v>46283</v>
      </c>
      <c r="D12" s="4672">
        <v>0</v>
      </c>
      <c r="E12" s="4910">
        <v>46299</v>
      </c>
      <c r="F12" s="4997">
        <v>20</v>
      </c>
      <c r="G12" s="4911">
        <v>46301</v>
      </c>
      <c r="H12" s="4672">
        <v>0</v>
      </c>
      <c r="I12" s="4691" t="s">
        <v>6328</v>
      </c>
      <c r="J12" s="4692">
        <v>10</v>
      </c>
      <c r="K12" s="4692">
        <v>10</v>
      </c>
      <c r="L12" s="4692">
        <v>197000</v>
      </c>
      <c r="M12" s="4692">
        <v>200000</v>
      </c>
      <c r="N12" s="4971">
        <f t="shared" si="0"/>
        <v>2000000</v>
      </c>
      <c r="O12" s="4692">
        <v>197000</v>
      </c>
      <c r="P12" s="4678">
        <f t="shared" si="2"/>
        <v>200</v>
      </c>
      <c r="Q12" s="4679">
        <f t="shared" si="1"/>
        <v>40000000</v>
      </c>
      <c r="R12" s="4692"/>
      <c r="S12" s="4680" t="s">
        <v>5742</v>
      </c>
      <c r="T12" s="4694"/>
      <c r="U12" s="4700">
        <v>1</v>
      </c>
      <c r="V12" s="4692"/>
      <c r="W12" s="4680" t="s">
        <v>4521</v>
      </c>
      <c r="X12" s="4695"/>
      <c r="Y12" s="4692"/>
      <c r="Z12" s="4692"/>
      <c r="AA12" s="4683" t="s">
        <v>5035</v>
      </c>
      <c r="AB12" s="4692"/>
      <c r="AC12" s="4683" t="s">
        <v>5050</v>
      </c>
      <c r="AD12" s="4692"/>
      <c r="AE12" s="4696"/>
      <c r="AF12" s="4685">
        <f t="shared" si="3"/>
        <v>10</v>
      </c>
    </row>
    <row r="13" spans="1:32" ht="33.75" customHeight="1">
      <c r="A13" s="4686">
        <v>6</v>
      </c>
      <c r="B13" s="4910">
        <v>46281</v>
      </c>
      <c r="C13" s="4910">
        <v>46283</v>
      </c>
      <c r="D13" s="4672">
        <v>0</v>
      </c>
      <c r="E13" s="4910">
        <v>46299</v>
      </c>
      <c r="F13" s="4997">
        <v>20</v>
      </c>
      <c r="G13" s="4911">
        <v>46301</v>
      </c>
      <c r="H13" s="4672">
        <v>0</v>
      </c>
      <c r="I13" s="4691" t="s">
        <v>6329</v>
      </c>
      <c r="J13" s="4692">
        <v>4</v>
      </c>
      <c r="K13" s="4692">
        <v>4</v>
      </c>
      <c r="L13" s="4692">
        <v>67000</v>
      </c>
      <c r="M13" s="4692">
        <v>70000</v>
      </c>
      <c r="N13" s="4971">
        <f t="shared" si="0"/>
        <v>280000</v>
      </c>
      <c r="O13" s="4692">
        <v>67000</v>
      </c>
      <c r="P13" s="4678">
        <f t="shared" si="2"/>
        <v>80</v>
      </c>
      <c r="Q13" s="4679">
        <f t="shared" si="1"/>
        <v>5600000</v>
      </c>
      <c r="R13" s="4692"/>
      <c r="S13" s="4680" t="s">
        <v>5742</v>
      </c>
      <c r="T13" s="4694"/>
      <c r="U13" s="4700">
        <v>1</v>
      </c>
      <c r="V13" s="4692"/>
      <c r="W13" s="4680" t="s">
        <v>4521</v>
      </c>
      <c r="X13" s="4695"/>
      <c r="Y13" s="4692"/>
      <c r="Z13" s="4692"/>
      <c r="AA13" s="4683" t="s">
        <v>5035</v>
      </c>
      <c r="AB13" s="4692"/>
      <c r="AC13" s="4683" t="s">
        <v>5050</v>
      </c>
      <c r="AD13" s="4692"/>
      <c r="AE13" s="4696"/>
      <c r="AF13" s="4685">
        <f t="shared" si="3"/>
        <v>4</v>
      </c>
    </row>
    <row r="14" spans="1:32" ht="33.75" customHeight="1">
      <c r="A14" s="4686">
        <v>7</v>
      </c>
      <c r="B14" s="4687"/>
      <c r="C14" s="4687"/>
      <c r="D14" s="4672" t="str">
        <f t="shared" ref="D14:D22" si="4">IF(_xlfn.DAYS(C14,B14)=0,"1",_xlfn.DAYS(C14,B14))</f>
        <v>1</v>
      </c>
      <c r="E14" s="4687"/>
      <c r="F14" s="4698">
        <f t="shared" ref="F14:F22" si="5">IF(_xlfn.DAYS(E14,C14)=0,"1",_xlfn.DAYS(E14,C14))+1</f>
        <v>2</v>
      </c>
      <c r="G14" s="4699"/>
      <c r="H14" s="4672">
        <f t="shared" ref="H14:H22" si="6">IF(_xlfn.DAYS(G14,E14)=0,"1",_xlfn.DAYS(G14,E14))-1</f>
        <v>0</v>
      </c>
      <c r="I14" s="4691"/>
      <c r="J14" s="4692"/>
      <c r="K14" s="4693"/>
      <c r="L14" s="4692"/>
      <c r="M14" s="4692"/>
      <c r="N14" s="4692"/>
      <c r="O14" s="4692"/>
      <c r="P14" s="4678">
        <f t="shared" si="2"/>
        <v>0</v>
      </c>
      <c r="Q14" s="4679">
        <f t="shared" si="1"/>
        <v>0</v>
      </c>
      <c r="R14" s="4692"/>
      <c r="S14" s="4680" t="s">
        <v>5742</v>
      </c>
      <c r="T14" s="4694"/>
      <c r="U14" s="4700"/>
      <c r="V14" s="4692"/>
      <c r="W14" s="4680" t="s">
        <v>4521</v>
      </c>
      <c r="X14" s="4695"/>
      <c r="Y14" s="4692"/>
      <c r="Z14" s="4692"/>
      <c r="AA14" s="4683" t="s">
        <v>5035</v>
      </c>
      <c r="AB14" s="4692"/>
      <c r="AC14" s="4683" t="s">
        <v>5050</v>
      </c>
      <c r="AD14" s="4692"/>
      <c r="AE14" s="4696"/>
      <c r="AF14" s="4685">
        <f t="shared" si="3"/>
        <v>0</v>
      </c>
    </row>
    <row r="15" spans="1:32" ht="33.75" customHeight="1">
      <c r="A15" s="4686">
        <v>8</v>
      </c>
      <c r="B15" s="4687"/>
      <c r="C15" s="4687"/>
      <c r="D15" s="4672" t="str">
        <f t="shared" si="4"/>
        <v>1</v>
      </c>
      <c r="E15" s="4687"/>
      <c r="F15" s="4698">
        <f t="shared" si="5"/>
        <v>2</v>
      </c>
      <c r="G15" s="4699"/>
      <c r="H15" s="4672">
        <f t="shared" si="6"/>
        <v>0</v>
      </c>
      <c r="I15" s="4691"/>
      <c r="J15" s="4692"/>
      <c r="K15" s="4693"/>
      <c r="L15" s="4692"/>
      <c r="M15" s="4692"/>
      <c r="N15" s="4692"/>
      <c r="O15" s="4692"/>
      <c r="P15" s="4678">
        <f t="shared" si="2"/>
        <v>0</v>
      </c>
      <c r="Q15" s="4679">
        <f t="shared" si="1"/>
        <v>0</v>
      </c>
      <c r="R15" s="4692"/>
      <c r="S15" s="4680" t="s">
        <v>5742</v>
      </c>
      <c r="T15" s="4694"/>
      <c r="U15" s="4700"/>
      <c r="V15" s="4692"/>
      <c r="W15" s="4680" t="s">
        <v>4521</v>
      </c>
      <c r="X15" s="4695"/>
      <c r="Y15" s="4692"/>
      <c r="Z15" s="4692"/>
      <c r="AA15" s="4683" t="s">
        <v>5035</v>
      </c>
      <c r="AB15" s="4692"/>
      <c r="AC15" s="4683" t="s">
        <v>5050</v>
      </c>
      <c r="AD15" s="4692"/>
      <c r="AE15" s="4696"/>
      <c r="AF15" s="4685">
        <f t="shared" si="3"/>
        <v>0</v>
      </c>
    </row>
    <row r="16" spans="1:32" ht="33.75" customHeight="1">
      <c r="A16" s="4686">
        <v>9</v>
      </c>
      <c r="B16" s="4687"/>
      <c r="C16" s="4687"/>
      <c r="D16" s="4672" t="str">
        <f t="shared" si="4"/>
        <v>1</v>
      </c>
      <c r="E16" s="4687"/>
      <c r="F16" s="4698">
        <f t="shared" si="5"/>
        <v>2</v>
      </c>
      <c r="G16" s="4699"/>
      <c r="H16" s="4672">
        <f t="shared" si="6"/>
        <v>0</v>
      </c>
      <c r="I16" s="4691"/>
      <c r="J16" s="4692"/>
      <c r="K16" s="4693"/>
      <c r="L16" s="4692"/>
      <c r="M16" s="4692"/>
      <c r="N16" s="4692"/>
      <c r="O16" s="4692"/>
      <c r="P16" s="4678">
        <f t="shared" si="2"/>
        <v>0</v>
      </c>
      <c r="Q16" s="4679">
        <f t="shared" si="1"/>
        <v>0</v>
      </c>
      <c r="R16" s="4692"/>
      <c r="S16" s="4680" t="s">
        <v>5742</v>
      </c>
      <c r="T16" s="4694"/>
      <c r="U16" s="4700"/>
      <c r="V16" s="4692"/>
      <c r="W16" s="4680" t="s">
        <v>4521</v>
      </c>
      <c r="X16" s="4695"/>
      <c r="Y16" s="4692"/>
      <c r="Z16" s="4692"/>
      <c r="AA16" s="4683" t="s">
        <v>5035</v>
      </c>
      <c r="AB16" s="4692"/>
      <c r="AC16" s="4683" t="s">
        <v>5050</v>
      </c>
      <c r="AD16" s="4692"/>
      <c r="AE16" s="4696"/>
      <c r="AF16" s="4685">
        <f t="shared" si="3"/>
        <v>0</v>
      </c>
    </row>
    <row r="17" spans="1:32" ht="33.75" customHeight="1">
      <c r="A17" s="4686">
        <v>10</v>
      </c>
      <c r="B17" s="4687"/>
      <c r="C17" s="4687"/>
      <c r="D17" s="4672" t="str">
        <f t="shared" si="4"/>
        <v>1</v>
      </c>
      <c r="E17" s="4687"/>
      <c r="F17" s="4698">
        <f t="shared" si="5"/>
        <v>2</v>
      </c>
      <c r="G17" s="4699"/>
      <c r="H17" s="4672">
        <f t="shared" si="6"/>
        <v>0</v>
      </c>
      <c r="I17" s="4691"/>
      <c r="J17" s="4692"/>
      <c r="K17" s="4693"/>
      <c r="L17" s="4692"/>
      <c r="M17" s="4692"/>
      <c r="N17" s="4692"/>
      <c r="O17" s="4692"/>
      <c r="P17" s="4678">
        <f t="shared" si="2"/>
        <v>0</v>
      </c>
      <c r="Q17" s="4679">
        <f t="shared" si="1"/>
        <v>0</v>
      </c>
      <c r="R17" s="4692"/>
      <c r="S17" s="4680" t="s">
        <v>5742</v>
      </c>
      <c r="T17" s="4694"/>
      <c r="U17" s="4700"/>
      <c r="V17" s="4692"/>
      <c r="W17" s="4680" t="s">
        <v>4521</v>
      </c>
      <c r="X17" s="4695"/>
      <c r="Y17" s="4692"/>
      <c r="Z17" s="4692"/>
      <c r="AA17" s="4683" t="s">
        <v>5035</v>
      </c>
      <c r="AB17" s="4692"/>
      <c r="AC17" s="4683" t="s">
        <v>5050</v>
      </c>
      <c r="AD17" s="4692"/>
      <c r="AE17" s="4696"/>
      <c r="AF17" s="4685">
        <f t="shared" si="3"/>
        <v>0</v>
      </c>
    </row>
    <row r="18" spans="1:32" ht="33.75" customHeight="1">
      <c r="A18" s="4686">
        <v>11</v>
      </c>
      <c r="B18" s="4687"/>
      <c r="C18" s="4687"/>
      <c r="D18" s="4672" t="str">
        <f t="shared" si="4"/>
        <v>1</v>
      </c>
      <c r="E18" s="4687"/>
      <c r="F18" s="4698">
        <f t="shared" si="5"/>
        <v>2</v>
      </c>
      <c r="G18" s="4699"/>
      <c r="H18" s="4672">
        <f t="shared" si="6"/>
        <v>0</v>
      </c>
      <c r="I18" s="4691"/>
      <c r="J18" s="4692"/>
      <c r="K18" s="4693"/>
      <c r="L18" s="4692"/>
      <c r="M18" s="4692"/>
      <c r="N18" s="4692"/>
      <c r="O18" s="4692"/>
      <c r="P18" s="4678">
        <f t="shared" si="2"/>
        <v>0</v>
      </c>
      <c r="Q18" s="4679">
        <f t="shared" si="1"/>
        <v>0</v>
      </c>
      <c r="R18" s="4692"/>
      <c r="S18" s="4680" t="s">
        <v>5742</v>
      </c>
      <c r="T18" s="4694"/>
      <c r="U18" s="4700"/>
      <c r="V18" s="4692"/>
      <c r="W18" s="4680" t="s">
        <v>4521</v>
      </c>
      <c r="X18" s="4695"/>
      <c r="Y18" s="4692"/>
      <c r="Z18" s="4692"/>
      <c r="AA18" s="4683" t="s">
        <v>5035</v>
      </c>
      <c r="AB18" s="4692"/>
      <c r="AC18" s="4683" t="s">
        <v>5050</v>
      </c>
      <c r="AD18" s="4692"/>
      <c r="AE18" s="4696"/>
      <c r="AF18" s="4685">
        <f t="shared" si="3"/>
        <v>0</v>
      </c>
    </row>
    <row r="19" spans="1:32" ht="33.75" customHeight="1">
      <c r="A19" s="4686">
        <v>12</v>
      </c>
      <c r="B19" s="4687"/>
      <c r="C19" s="4687"/>
      <c r="D19" s="4672" t="str">
        <f t="shared" si="4"/>
        <v>1</v>
      </c>
      <c r="E19" s="4687"/>
      <c r="F19" s="4698">
        <f t="shared" si="5"/>
        <v>2</v>
      </c>
      <c r="G19" s="4699"/>
      <c r="H19" s="4672">
        <f t="shared" si="6"/>
        <v>0</v>
      </c>
      <c r="I19" s="4691"/>
      <c r="J19" s="4692"/>
      <c r="K19" s="4693"/>
      <c r="L19" s="4692"/>
      <c r="M19" s="4692"/>
      <c r="N19" s="4692"/>
      <c r="O19" s="4692"/>
      <c r="P19" s="4678">
        <f t="shared" si="2"/>
        <v>0</v>
      </c>
      <c r="Q19" s="4679">
        <f t="shared" si="1"/>
        <v>0</v>
      </c>
      <c r="R19" s="4692"/>
      <c r="S19" s="4680" t="s">
        <v>5742</v>
      </c>
      <c r="T19" s="4694"/>
      <c r="U19" s="4700"/>
      <c r="V19" s="4692"/>
      <c r="W19" s="4680" t="s">
        <v>4521</v>
      </c>
      <c r="X19" s="4695"/>
      <c r="Y19" s="4692"/>
      <c r="Z19" s="4692"/>
      <c r="AA19" s="4683" t="s">
        <v>5035</v>
      </c>
      <c r="AB19" s="4692"/>
      <c r="AC19" s="4683" t="s">
        <v>5050</v>
      </c>
      <c r="AD19" s="4692"/>
      <c r="AE19" s="4696"/>
      <c r="AF19" s="4685">
        <f t="shared" si="3"/>
        <v>0</v>
      </c>
    </row>
    <row r="20" spans="1:32" ht="33.75" customHeight="1">
      <c r="A20" s="4686">
        <v>13</v>
      </c>
      <c r="B20" s="4687"/>
      <c r="C20" s="4687"/>
      <c r="D20" s="4672" t="str">
        <f t="shared" si="4"/>
        <v>1</v>
      </c>
      <c r="E20" s="4687"/>
      <c r="F20" s="4698">
        <f t="shared" si="5"/>
        <v>2</v>
      </c>
      <c r="G20" s="4699"/>
      <c r="H20" s="4672">
        <f t="shared" si="6"/>
        <v>0</v>
      </c>
      <c r="I20" s="4691"/>
      <c r="J20" s="4692"/>
      <c r="K20" s="4693"/>
      <c r="L20" s="4692"/>
      <c r="M20" s="4692"/>
      <c r="N20" s="4692"/>
      <c r="O20" s="4692"/>
      <c r="P20" s="4678">
        <f>SUM(D20,F20,H20)*K20</f>
        <v>0</v>
      </c>
      <c r="Q20" s="4679">
        <f t="shared" si="1"/>
        <v>0</v>
      </c>
      <c r="R20" s="4692"/>
      <c r="S20" s="4680" t="s">
        <v>5742</v>
      </c>
      <c r="T20" s="4694"/>
      <c r="U20" s="4700"/>
      <c r="V20" s="4692"/>
      <c r="W20" s="4680" t="s">
        <v>4521</v>
      </c>
      <c r="X20" s="4695"/>
      <c r="Y20" s="4692"/>
      <c r="Z20" s="4692"/>
      <c r="AA20" s="4683" t="s">
        <v>5035</v>
      </c>
      <c r="AB20" s="4692"/>
      <c r="AC20" s="4683" t="s">
        <v>5050</v>
      </c>
      <c r="AD20" s="4692"/>
      <c r="AE20" s="4696"/>
      <c r="AF20" s="4685">
        <f t="shared" si="3"/>
        <v>0</v>
      </c>
    </row>
    <row r="21" spans="1:32" ht="33.75" customHeight="1">
      <c r="A21" s="4686">
        <v>14</v>
      </c>
      <c r="B21" s="4687"/>
      <c r="C21" s="4687"/>
      <c r="D21" s="4672" t="str">
        <f t="shared" si="4"/>
        <v>1</v>
      </c>
      <c r="E21" s="4687"/>
      <c r="F21" s="4698">
        <f t="shared" si="5"/>
        <v>2</v>
      </c>
      <c r="G21" s="4699"/>
      <c r="H21" s="4672">
        <f t="shared" si="6"/>
        <v>0</v>
      </c>
      <c r="I21" s="4691"/>
      <c r="J21" s="4692"/>
      <c r="K21" s="4693"/>
      <c r="L21" s="4692"/>
      <c r="M21" s="4692"/>
      <c r="N21" s="4692"/>
      <c r="O21" s="4692"/>
      <c r="P21" s="4678">
        <f t="shared" si="2"/>
        <v>0</v>
      </c>
      <c r="Q21" s="4679">
        <f t="shared" si="1"/>
        <v>0</v>
      </c>
      <c r="R21" s="4692"/>
      <c r="S21" s="4680" t="s">
        <v>5742</v>
      </c>
      <c r="T21" s="4694"/>
      <c r="U21" s="4700"/>
      <c r="V21" s="4692"/>
      <c r="W21" s="4680" t="s">
        <v>4521</v>
      </c>
      <c r="X21" s="4695"/>
      <c r="Y21" s="4692"/>
      <c r="Z21" s="4692"/>
      <c r="AA21" s="4683" t="s">
        <v>5035</v>
      </c>
      <c r="AB21" s="4692"/>
      <c r="AC21" s="4683" t="s">
        <v>5050</v>
      </c>
      <c r="AD21" s="4692"/>
      <c r="AE21" s="4696"/>
      <c r="AF21" s="4685">
        <f t="shared" si="3"/>
        <v>0</v>
      </c>
    </row>
    <row r="22" spans="1:32" ht="33.75" customHeight="1" thickBot="1">
      <c r="A22" s="4686">
        <v>15</v>
      </c>
      <c r="B22" s="4687"/>
      <c r="C22" s="4687"/>
      <c r="D22" s="4672" t="str">
        <f t="shared" si="4"/>
        <v>1</v>
      </c>
      <c r="E22" s="4687"/>
      <c r="F22" s="4698">
        <f t="shared" si="5"/>
        <v>2</v>
      </c>
      <c r="G22" s="4699"/>
      <c r="H22" s="4672">
        <f t="shared" si="6"/>
        <v>0</v>
      </c>
      <c r="I22" s="4691"/>
      <c r="J22" s="4692"/>
      <c r="K22" s="4693"/>
      <c r="L22" s="4692"/>
      <c r="M22" s="4692"/>
      <c r="N22" s="4692"/>
      <c r="O22" s="4692"/>
      <c r="P22" s="4678">
        <f t="shared" si="2"/>
        <v>0</v>
      </c>
      <c r="Q22" s="4679">
        <f t="shared" si="1"/>
        <v>0</v>
      </c>
      <c r="R22" s="4692"/>
      <c r="S22" s="4680" t="s">
        <v>5739</v>
      </c>
      <c r="T22" s="4694"/>
      <c r="U22" s="4700"/>
      <c r="V22" s="4692"/>
      <c r="W22" s="4680" t="s">
        <v>4521</v>
      </c>
      <c r="X22" s="4695"/>
      <c r="Y22" s="4692"/>
      <c r="Z22" s="4692"/>
      <c r="AA22" s="4683" t="s">
        <v>5035</v>
      </c>
      <c r="AB22" s="4692"/>
      <c r="AC22" s="4683" t="s">
        <v>5050</v>
      </c>
      <c r="AD22" s="4692"/>
      <c r="AE22" s="4696"/>
      <c r="AF22" s="4685">
        <f t="shared" si="3"/>
        <v>0</v>
      </c>
    </row>
    <row r="23" spans="1:32" ht="33.75" customHeight="1" thickTop="1" thickBot="1">
      <c r="A23" s="4701"/>
      <c r="B23" s="4702"/>
      <c r="C23" s="4702"/>
      <c r="D23" s="4702"/>
      <c r="E23" s="4702"/>
      <c r="F23" s="4703"/>
      <c r="G23" s="4704"/>
      <c r="H23" s="4702"/>
      <c r="I23" s="4705" t="s">
        <v>2432</v>
      </c>
      <c r="J23" s="4706">
        <f>SUM(J8:J22)</f>
        <v>340</v>
      </c>
      <c r="K23" s="4707">
        <f>SUM(K8:K22)</f>
        <v>340</v>
      </c>
      <c r="L23" s="4703"/>
      <c r="M23" s="4703"/>
      <c r="N23" s="4703"/>
      <c r="O23" s="4703"/>
      <c r="P23" s="4706">
        <f>SUM(P8:P22)</f>
        <v>6800</v>
      </c>
      <c r="Q23" s="4706">
        <f>SUM(Q8:Q22)*1.1</f>
        <v>579480000</v>
      </c>
      <c r="R23" s="6863"/>
      <c r="S23" s="6864"/>
      <c r="T23" s="6865"/>
      <c r="U23" s="4708"/>
      <c r="V23" s="6863"/>
      <c r="W23" s="6864"/>
      <c r="X23" s="6864"/>
      <c r="Y23" s="4708"/>
      <c r="Z23" s="4708"/>
      <c r="AA23" s="6866"/>
      <c r="AB23" s="6867"/>
      <c r="AC23" s="6866"/>
      <c r="AD23" s="6867"/>
      <c r="AE23" s="4709"/>
      <c r="AF23" s="4685">
        <f>SUM(AF8:AF22)</f>
        <v>340</v>
      </c>
    </row>
    <row r="24" spans="1:32" ht="33.75" customHeight="1" thickBot="1">
      <c r="C24" s="4710"/>
      <c r="D24" s="4710"/>
      <c r="E24" s="4710"/>
      <c r="F24" s="4710"/>
      <c r="G24" s="4710"/>
      <c r="H24" s="4710"/>
      <c r="I24" s="4711"/>
      <c r="J24" s="4712"/>
      <c r="K24" s="4710"/>
      <c r="L24" s="4713" t="s">
        <v>5748</v>
      </c>
      <c r="M24" s="4714">
        <f>SUM(N7:N22)</f>
        <v>26340000</v>
      </c>
      <c r="N24" s="4715"/>
      <c r="O24" s="4715"/>
      <c r="P24" s="4715"/>
      <c r="S24" s="4656"/>
      <c r="W24" s="4656"/>
    </row>
    <row r="25" spans="1:32" ht="33.75" customHeight="1">
      <c r="A25" s="6845" t="s">
        <v>5749</v>
      </c>
      <c r="B25" s="6846"/>
      <c r="C25" s="4716">
        <f>P23</f>
        <v>6800</v>
      </c>
      <c r="D25" s="4717"/>
      <c r="F25" s="4718"/>
      <c r="H25" s="4719"/>
      <c r="I25" s="4720"/>
      <c r="K25" s="4659"/>
      <c r="L25" s="4721" t="s">
        <v>5750</v>
      </c>
      <c r="M25" s="4722">
        <f>M24*1.1</f>
        <v>28974000.000000004</v>
      </c>
      <c r="P25" s="4656"/>
    </row>
    <row r="26" spans="1:32" ht="33.75" customHeight="1">
      <c r="A26" s="6847" t="s">
        <v>5883</v>
      </c>
      <c r="B26" s="6848"/>
      <c r="C26" s="4723">
        <f>Q23</f>
        <v>579480000</v>
      </c>
      <c r="D26" s="4717"/>
      <c r="F26" s="4724"/>
      <c r="H26" s="4719"/>
      <c r="I26" s="4720"/>
      <c r="K26" s="4659"/>
      <c r="P26" s="4656"/>
    </row>
    <row r="27" spans="1:32" ht="33.75" customHeight="1" thickBot="1">
      <c r="A27" s="6913" t="s">
        <v>5751</v>
      </c>
      <c r="B27" s="6914"/>
      <c r="C27" s="4987">
        <f>ROUNDDOWN(C26*1.1,0)</f>
        <v>637428000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thickBot="1">
      <c r="A29" s="4665" t="s">
        <v>5807</v>
      </c>
      <c r="B29" s="4665"/>
      <c r="S29" s="4656"/>
      <c r="W29" s="4656"/>
      <c r="Z29" s="4656"/>
      <c r="AA29" s="4656"/>
      <c r="AB29" s="4656"/>
      <c r="AC29" s="4656"/>
      <c r="AD29" s="4656"/>
      <c r="AF29" s="4656" t="s">
        <v>5712</v>
      </c>
    </row>
    <row r="30" spans="1:32" s="4666" customFormat="1" ht="33.75" customHeight="1">
      <c r="A30" s="6877" t="s">
        <v>5713</v>
      </c>
      <c r="B30" s="6879" t="s">
        <v>5714</v>
      </c>
      <c r="C30" s="6855" t="s">
        <v>5715</v>
      </c>
      <c r="D30" s="6855" t="s">
        <v>5716</v>
      </c>
      <c r="E30" s="6855" t="s">
        <v>5717</v>
      </c>
      <c r="F30" s="6868" t="s">
        <v>5718</v>
      </c>
      <c r="G30" s="6855" t="s">
        <v>5719</v>
      </c>
      <c r="H30" s="6855" t="s">
        <v>5720</v>
      </c>
      <c r="I30" s="6857" t="s">
        <v>5721</v>
      </c>
      <c r="J30" s="6851" t="s">
        <v>5722</v>
      </c>
      <c r="K30" s="6851" t="s">
        <v>5723</v>
      </c>
      <c r="L30" s="6855" t="s">
        <v>5796</v>
      </c>
      <c r="M30" s="6855" t="s">
        <v>5797</v>
      </c>
      <c r="N30" s="4967" t="s">
        <v>5726</v>
      </c>
      <c r="O30" s="6855" t="s">
        <v>5798</v>
      </c>
      <c r="P30" s="6851" t="s">
        <v>3766</v>
      </c>
      <c r="Q30" s="6853"/>
      <c r="R30" s="6868" t="s">
        <v>5728</v>
      </c>
      <c r="S30" s="6869"/>
      <c r="T30" s="6870"/>
      <c r="U30" s="6855" t="s">
        <v>5729</v>
      </c>
      <c r="V30" s="6869" t="s">
        <v>5730</v>
      </c>
      <c r="W30" s="6869"/>
      <c r="X30" s="6869"/>
      <c r="Y30" s="6868" t="s">
        <v>5731</v>
      </c>
      <c r="Z30" s="6851" t="s">
        <v>5732</v>
      </c>
      <c r="AA30" s="6851" t="s">
        <v>5733</v>
      </c>
      <c r="AB30" s="6853"/>
      <c r="AC30" s="6853"/>
      <c r="AD30" s="6853"/>
      <c r="AE30" s="6860" t="s">
        <v>2792</v>
      </c>
      <c r="AF30" s="6862" t="s">
        <v>5734</v>
      </c>
    </row>
    <row r="31" spans="1:32" s="4666" customFormat="1" ht="20">
      <c r="A31" s="6878"/>
      <c r="B31" s="6880"/>
      <c r="C31" s="6858"/>
      <c r="D31" s="6856"/>
      <c r="E31" s="6856"/>
      <c r="F31" s="6881"/>
      <c r="G31" s="6856"/>
      <c r="H31" s="6856"/>
      <c r="I31" s="6858"/>
      <c r="J31" s="6859"/>
      <c r="K31" s="6859"/>
      <c r="L31" s="6856"/>
      <c r="M31" s="6856"/>
      <c r="N31" s="4968"/>
      <c r="O31" s="6856"/>
      <c r="P31" s="4667" t="s">
        <v>5735</v>
      </c>
      <c r="Q31" s="4668" t="s">
        <v>5736</v>
      </c>
      <c r="R31" s="6871"/>
      <c r="S31" s="6872"/>
      <c r="T31" s="6873"/>
      <c r="U31" s="6856"/>
      <c r="V31" s="6872"/>
      <c r="W31" s="6872"/>
      <c r="X31" s="6872"/>
      <c r="Y31" s="6852"/>
      <c r="Z31" s="6852"/>
      <c r="AA31" s="6852"/>
      <c r="AB31" s="6854"/>
      <c r="AC31" s="6854"/>
      <c r="AD31" s="6854"/>
      <c r="AE31" s="6861"/>
      <c r="AF31" s="6862"/>
    </row>
    <row r="32" spans="1:32" ht="33.75" customHeight="1">
      <c r="A32" s="4669" t="s">
        <v>5737</v>
      </c>
      <c r="B32" s="4826">
        <v>46305</v>
      </c>
      <c r="C32" s="4827">
        <v>46307</v>
      </c>
      <c r="D32" s="4672">
        <f>IF(_xlfn.DAYS(C32,B32)=0,"1",_xlfn.DAYS(C32,B32))</f>
        <v>2</v>
      </c>
      <c r="E32" s="4827">
        <v>46319</v>
      </c>
      <c r="F32" s="4672">
        <f>IF(_xlfn.DAYS(E32,C32)=0,"1",_xlfn.DAYS(E32,C32))+1</f>
        <v>13</v>
      </c>
      <c r="G32" s="4827">
        <v>46321</v>
      </c>
      <c r="H32" s="4672">
        <f>IF(_xlfn.DAYS(G32,E32)=0,"1",_xlfn.DAYS(G32,E32))-1</f>
        <v>1</v>
      </c>
      <c r="I32" s="4674" t="s">
        <v>5738</v>
      </c>
      <c r="J32" s="4677">
        <v>100</v>
      </c>
      <c r="K32" s="4676">
        <v>90</v>
      </c>
      <c r="L32" s="4677">
        <v>9000</v>
      </c>
      <c r="M32" s="4677">
        <v>10000</v>
      </c>
      <c r="N32" s="4971"/>
      <c r="O32" s="4677">
        <v>8000</v>
      </c>
      <c r="P32" s="4678">
        <f>SUM(D32,F32,H32)*K32</f>
        <v>1440</v>
      </c>
      <c r="Q32" s="4677">
        <f>(D32*L32+F32*M32+H32*O32)*K32</f>
        <v>14040000</v>
      </c>
      <c r="R32" s="4682">
        <v>21</v>
      </c>
      <c r="S32" s="4680" t="s">
        <v>5739</v>
      </c>
      <c r="T32" s="4682">
        <v>21</v>
      </c>
      <c r="U32" s="4815">
        <v>1</v>
      </c>
      <c r="V32" s="4675">
        <v>154</v>
      </c>
      <c r="W32" s="4680" t="s">
        <v>4521</v>
      </c>
      <c r="X32" s="4682">
        <v>203</v>
      </c>
      <c r="Y32" s="4675">
        <v>1</v>
      </c>
      <c r="Z32" s="4675" t="s">
        <v>5740</v>
      </c>
      <c r="AA32" s="4683" t="s">
        <v>5035</v>
      </c>
      <c r="AB32" s="4675" t="s">
        <v>2830</v>
      </c>
      <c r="AC32" s="4683" t="s">
        <v>5050</v>
      </c>
      <c r="AD32" s="4675" t="s">
        <v>5741</v>
      </c>
      <c r="AE32" s="4684"/>
      <c r="AF32" s="4685"/>
    </row>
    <row r="33" spans="1:32" ht="33.75" customHeight="1">
      <c r="A33" s="4828">
        <v>1</v>
      </c>
      <c r="B33" s="4910">
        <v>46308</v>
      </c>
      <c r="C33" s="4910">
        <v>46309</v>
      </c>
      <c r="D33" s="4672">
        <f t="shared" ref="D33:D47" si="7">IF(_xlfn.DAYS(C33,B33)=0,"1",_xlfn.DAYS(C33,B33))</f>
        <v>1</v>
      </c>
      <c r="E33" s="4910">
        <v>46319</v>
      </c>
      <c r="F33" s="4996">
        <f t="shared" ref="F33:F47" si="8">IF(_xlfn.DAYS(E33,C33)=0,"1",_xlfn.DAYS(E33,C33))+1</f>
        <v>11</v>
      </c>
      <c r="G33" s="4910">
        <v>46321</v>
      </c>
      <c r="H33" s="4672">
        <f t="shared" ref="H33:H47" si="9">IF(_xlfn.DAYS(G33,E33)=0,"1",_xlfn.DAYS(G33,E33))-1</f>
        <v>1</v>
      </c>
      <c r="I33" s="4691" t="s">
        <v>6324</v>
      </c>
      <c r="J33" s="4692">
        <v>157</v>
      </c>
      <c r="K33" s="4692">
        <v>157</v>
      </c>
      <c r="L33" s="4692">
        <v>77000</v>
      </c>
      <c r="M33" s="4692">
        <v>80000</v>
      </c>
      <c r="N33" s="4971">
        <f t="shared" ref="N33:N38" si="10">M33*K33</f>
        <v>12560000</v>
      </c>
      <c r="O33" s="4692">
        <v>77000</v>
      </c>
      <c r="P33" s="4678">
        <f>SUM(D33,F33,H33)*K33</f>
        <v>2041</v>
      </c>
      <c r="Q33" s="4677">
        <f>(D33*L33+F33*M33+H33*O33)*K33</f>
        <v>162338000</v>
      </c>
      <c r="R33" s="4836"/>
      <c r="S33" s="4837" t="s">
        <v>5742</v>
      </c>
      <c r="T33" s="4836"/>
      <c r="U33" s="4700">
        <v>1</v>
      </c>
      <c r="V33" s="4834"/>
      <c r="W33" s="4837" t="s">
        <v>4521</v>
      </c>
      <c r="X33" s="4836"/>
      <c r="Y33" s="4834"/>
      <c r="Z33" s="4834"/>
      <c r="AA33" s="4839" t="s">
        <v>5035</v>
      </c>
      <c r="AB33" s="4834"/>
      <c r="AC33" s="4839" t="s">
        <v>5050</v>
      </c>
      <c r="AD33" s="4834"/>
      <c r="AE33" s="4832"/>
      <c r="AF33" s="4685">
        <f>U33*K33</f>
        <v>157</v>
      </c>
    </row>
    <row r="34" spans="1:32" ht="33.75" customHeight="1">
      <c r="A34" s="4828">
        <v>2</v>
      </c>
      <c r="B34" s="4910">
        <v>46308</v>
      </c>
      <c r="C34" s="4910">
        <v>46309</v>
      </c>
      <c r="D34" s="4672">
        <f t="shared" si="7"/>
        <v>1</v>
      </c>
      <c r="E34" s="4910">
        <v>46319</v>
      </c>
      <c r="F34" s="4996">
        <f>IF(_xlfn.DAYS(E34,C34)=0,"1",_xlfn.DAYS(E34,C34))+1</f>
        <v>11</v>
      </c>
      <c r="G34" s="4910">
        <v>46321</v>
      </c>
      <c r="H34" s="4672">
        <f t="shared" si="9"/>
        <v>1</v>
      </c>
      <c r="I34" s="4691" t="s">
        <v>6325</v>
      </c>
      <c r="J34" s="4692">
        <v>45</v>
      </c>
      <c r="K34" s="4692">
        <v>45</v>
      </c>
      <c r="L34" s="4692">
        <v>77000</v>
      </c>
      <c r="M34" s="4692">
        <v>80000</v>
      </c>
      <c r="N34" s="4971">
        <f t="shared" si="10"/>
        <v>3600000</v>
      </c>
      <c r="O34" s="4692">
        <v>77000</v>
      </c>
      <c r="P34" s="4678">
        <f t="shared" ref="P34:P46" si="11">SUM(D34,F34,H34)*K34</f>
        <v>585</v>
      </c>
      <c r="Q34" s="5513">
        <f t="shared" ref="Q34:Q47" si="12">(D34*L34+F34*M34+H34*O34)*K34</f>
        <v>46530000</v>
      </c>
      <c r="R34" s="4836"/>
      <c r="S34" s="4837" t="s">
        <v>5742</v>
      </c>
      <c r="T34" s="4836"/>
      <c r="U34" s="4700">
        <v>1</v>
      </c>
      <c r="V34" s="4834"/>
      <c r="W34" s="4837" t="s">
        <v>4521</v>
      </c>
      <c r="X34" s="4836"/>
      <c r="Y34" s="4834"/>
      <c r="Z34" s="4834"/>
      <c r="AA34" s="4839" t="s">
        <v>5035</v>
      </c>
      <c r="AB34" s="4834"/>
      <c r="AC34" s="4839" t="s">
        <v>5050</v>
      </c>
      <c r="AD34" s="4834"/>
      <c r="AE34" s="4832"/>
      <c r="AF34" s="4685">
        <f t="shared" ref="AF34:AF47" si="13">U34*K34</f>
        <v>45</v>
      </c>
    </row>
    <row r="35" spans="1:32" ht="33.75" customHeight="1">
      <c r="A35" s="4828">
        <v>3</v>
      </c>
      <c r="B35" s="4910">
        <v>46308</v>
      </c>
      <c r="C35" s="4910">
        <v>46309</v>
      </c>
      <c r="D35" s="4672">
        <f t="shared" si="7"/>
        <v>1</v>
      </c>
      <c r="E35" s="4910">
        <v>46319</v>
      </c>
      <c r="F35" s="4996">
        <f t="shared" ref="F35:F38" si="14">IF(_xlfn.DAYS(E35,C35)=0,"1",_xlfn.DAYS(E35,C35))+1</f>
        <v>11</v>
      </c>
      <c r="G35" s="4910">
        <v>46321</v>
      </c>
      <c r="H35" s="4672">
        <f t="shared" si="9"/>
        <v>1</v>
      </c>
      <c r="I35" s="4691" t="s">
        <v>6326</v>
      </c>
      <c r="J35" s="4692">
        <v>40</v>
      </c>
      <c r="K35" s="4692">
        <v>40</v>
      </c>
      <c r="L35" s="4692">
        <v>87000</v>
      </c>
      <c r="M35" s="4692">
        <v>90000</v>
      </c>
      <c r="N35" s="4971">
        <f t="shared" si="10"/>
        <v>3600000</v>
      </c>
      <c r="O35" s="4692">
        <v>87000</v>
      </c>
      <c r="P35" s="4678">
        <f t="shared" si="11"/>
        <v>520</v>
      </c>
      <c r="Q35" s="5513">
        <f t="shared" si="12"/>
        <v>46560000</v>
      </c>
      <c r="R35" s="4836"/>
      <c r="S35" s="4837" t="s">
        <v>5742</v>
      </c>
      <c r="T35" s="4836"/>
      <c r="U35" s="4700">
        <v>1</v>
      </c>
      <c r="V35" s="4834"/>
      <c r="W35" s="4837" t="s">
        <v>4521</v>
      </c>
      <c r="X35" s="4836"/>
      <c r="Y35" s="4834"/>
      <c r="Z35" s="4834"/>
      <c r="AA35" s="4839" t="s">
        <v>5035</v>
      </c>
      <c r="AB35" s="4834"/>
      <c r="AC35" s="4839" t="s">
        <v>5050</v>
      </c>
      <c r="AD35" s="4834"/>
      <c r="AE35" s="4832"/>
      <c r="AF35" s="4685">
        <f t="shared" si="13"/>
        <v>40</v>
      </c>
    </row>
    <row r="36" spans="1:32" ht="33.75" customHeight="1">
      <c r="A36" s="4828">
        <v>4</v>
      </c>
      <c r="B36" s="4910">
        <v>46308</v>
      </c>
      <c r="C36" s="4910">
        <v>46309</v>
      </c>
      <c r="D36" s="4672">
        <f t="shared" si="7"/>
        <v>1</v>
      </c>
      <c r="E36" s="4910">
        <v>46319</v>
      </c>
      <c r="F36" s="4996">
        <f t="shared" si="14"/>
        <v>11</v>
      </c>
      <c r="G36" s="4910">
        <v>46321</v>
      </c>
      <c r="H36" s="4672">
        <f t="shared" si="9"/>
        <v>1</v>
      </c>
      <c r="I36" s="4691" t="s">
        <v>6327</v>
      </c>
      <c r="J36" s="4692">
        <v>84</v>
      </c>
      <c r="K36" s="4692">
        <v>84</v>
      </c>
      <c r="L36" s="4692">
        <v>87000</v>
      </c>
      <c r="M36" s="4692">
        <v>90000</v>
      </c>
      <c r="N36" s="4971">
        <f t="shared" si="10"/>
        <v>7560000</v>
      </c>
      <c r="O36" s="4692">
        <v>87000</v>
      </c>
      <c r="P36" s="4678">
        <f t="shared" si="11"/>
        <v>1092</v>
      </c>
      <c r="Q36" s="5513">
        <f t="shared" si="12"/>
        <v>97776000</v>
      </c>
      <c r="R36" s="4836"/>
      <c r="S36" s="4837" t="s">
        <v>5742</v>
      </c>
      <c r="T36" s="4836"/>
      <c r="U36" s="4700">
        <v>1</v>
      </c>
      <c r="V36" s="4834"/>
      <c r="W36" s="4837" t="s">
        <v>4521</v>
      </c>
      <c r="X36" s="4836"/>
      <c r="Y36" s="4834"/>
      <c r="Z36" s="4834"/>
      <c r="AA36" s="4839" t="s">
        <v>5035</v>
      </c>
      <c r="AB36" s="4834"/>
      <c r="AC36" s="4839" t="s">
        <v>5050</v>
      </c>
      <c r="AD36" s="4834"/>
      <c r="AE36" s="4832"/>
      <c r="AF36" s="4685">
        <f t="shared" si="13"/>
        <v>84</v>
      </c>
    </row>
    <row r="37" spans="1:32" ht="33.75" customHeight="1">
      <c r="A37" s="4828">
        <v>5</v>
      </c>
      <c r="B37" s="4910">
        <v>46308</v>
      </c>
      <c r="C37" s="4910">
        <v>46309</v>
      </c>
      <c r="D37" s="4672">
        <f t="shared" si="7"/>
        <v>1</v>
      </c>
      <c r="E37" s="4910">
        <v>46319</v>
      </c>
      <c r="F37" s="4996">
        <f t="shared" si="14"/>
        <v>11</v>
      </c>
      <c r="G37" s="4910">
        <v>46321</v>
      </c>
      <c r="H37" s="4672">
        <f t="shared" si="9"/>
        <v>1</v>
      </c>
      <c r="I37" s="4691" t="s">
        <v>6328</v>
      </c>
      <c r="J37" s="4692">
        <v>10</v>
      </c>
      <c r="K37" s="4692">
        <v>10</v>
      </c>
      <c r="L37" s="4692">
        <v>207000</v>
      </c>
      <c r="M37" s="4692">
        <v>210000</v>
      </c>
      <c r="N37" s="4971">
        <f t="shared" si="10"/>
        <v>2100000</v>
      </c>
      <c r="O37" s="4692">
        <v>207000</v>
      </c>
      <c r="P37" s="4678">
        <f t="shared" si="11"/>
        <v>130</v>
      </c>
      <c r="Q37" s="5513">
        <f t="shared" si="12"/>
        <v>27240000</v>
      </c>
      <c r="R37" s="4836"/>
      <c r="S37" s="4837" t="s">
        <v>5742</v>
      </c>
      <c r="T37" s="4836"/>
      <c r="U37" s="4700">
        <v>1</v>
      </c>
      <c r="V37" s="4834"/>
      <c r="W37" s="4837" t="s">
        <v>4521</v>
      </c>
      <c r="X37" s="4836"/>
      <c r="Y37" s="4834"/>
      <c r="Z37" s="4834"/>
      <c r="AA37" s="4839" t="s">
        <v>5035</v>
      </c>
      <c r="AB37" s="4834"/>
      <c r="AC37" s="4839" t="s">
        <v>5050</v>
      </c>
      <c r="AD37" s="4834"/>
      <c r="AE37" s="4832"/>
      <c r="AF37" s="4685">
        <f t="shared" si="13"/>
        <v>10</v>
      </c>
    </row>
    <row r="38" spans="1:32" ht="33.75" customHeight="1">
      <c r="A38" s="4828">
        <v>6</v>
      </c>
      <c r="B38" s="4910">
        <v>46308</v>
      </c>
      <c r="C38" s="4910">
        <v>46309</v>
      </c>
      <c r="D38" s="4672">
        <f t="shared" si="7"/>
        <v>1</v>
      </c>
      <c r="E38" s="4910">
        <v>46319</v>
      </c>
      <c r="F38" s="4996">
        <f t="shared" si="14"/>
        <v>11</v>
      </c>
      <c r="G38" s="4910">
        <v>46321</v>
      </c>
      <c r="H38" s="4672">
        <f t="shared" si="9"/>
        <v>1</v>
      </c>
      <c r="I38" s="4691" t="s">
        <v>6329</v>
      </c>
      <c r="J38" s="4692">
        <v>4</v>
      </c>
      <c r="K38" s="4692">
        <v>4</v>
      </c>
      <c r="L38" s="4692">
        <v>77000</v>
      </c>
      <c r="M38" s="4692">
        <v>80000</v>
      </c>
      <c r="N38" s="4971">
        <f t="shared" si="10"/>
        <v>320000</v>
      </c>
      <c r="O38" s="4692">
        <v>77000</v>
      </c>
      <c r="P38" s="4678">
        <f t="shared" si="11"/>
        <v>52</v>
      </c>
      <c r="Q38" s="5513">
        <f t="shared" si="12"/>
        <v>4136000</v>
      </c>
      <c r="R38" s="4836"/>
      <c r="S38" s="4837" t="s">
        <v>5742</v>
      </c>
      <c r="T38" s="4836"/>
      <c r="U38" s="4700">
        <v>1</v>
      </c>
      <c r="V38" s="4834"/>
      <c r="W38" s="4837" t="s">
        <v>4521</v>
      </c>
      <c r="X38" s="4836"/>
      <c r="Y38" s="4834"/>
      <c r="Z38" s="4834"/>
      <c r="AA38" s="4839" t="s">
        <v>5035</v>
      </c>
      <c r="AB38" s="4834"/>
      <c r="AC38" s="4839" t="s">
        <v>5050</v>
      </c>
      <c r="AD38" s="4834"/>
      <c r="AE38" s="4832"/>
      <c r="AF38" s="4685">
        <f t="shared" si="13"/>
        <v>4</v>
      </c>
    </row>
    <row r="39" spans="1:32" ht="33.75" customHeight="1">
      <c r="A39" s="4828">
        <v>7</v>
      </c>
      <c r="B39" s="5514">
        <v>46302</v>
      </c>
      <c r="C39" s="5515">
        <v>46302</v>
      </c>
      <c r="D39" s="4980" t="str">
        <f t="shared" si="7"/>
        <v>1</v>
      </c>
      <c r="E39" s="5515">
        <v>46308</v>
      </c>
      <c r="F39" s="4980">
        <f t="shared" si="8"/>
        <v>7</v>
      </c>
      <c r="G39" s="4981">
        <v>46308</v>
      </c>
      <c r="H39" s="4980">
        <f t="shared" si="9"/>
        <v>0</v>
      </c>
      <c r="I39" s="5516" t="s">
        <v>6324</v>
      </c>
      <c r="J39" s="4834"/>
      <c r="K39" s="4983">
        <v>10</v>
      </c>
      <c r="L39" s="4834"/>
      <c r="M39" s="5490">
        <v>80000</v>
      </c>
      <c r="N39" s="4834"/>
      <c r="O39" s="4834"/>
      <c r="P39" s="4678">
        <f t="shared" si="11"/>
        <v>70</v>
      </c>
      <c r="Q39" s="4677">
        <f>(D39*L39+F39*M39+H39*O39)*K39</f>
        <v>5600000</v>
      </c>
      <c r="R39" s="4836"/>
      <c r="S39" s="4837" t="s">
        <v>5742</v>
      </c>
      <c r="T39" s="4836"/>
      <c r="U39" s="4838"/>
      <c r="V39" s="4834"/>
      <c r="W39" s="4837" t="s">
        <v>4521</v>
      </c>
      <c r="X39" s="4836"/>
      <c r="Y39" s="4834"/>
      <c r="Z39" s="4834"/>
      <c r="AA39" s="4839" t="s">
        <v>5035</v>
      </c>
      <c r="AB39" s="4834"/>
      <c r="AC39" s="4839" t="s">
        <v>5050</v>
      </c>
      <c r="AD39" s="4834"/>
      <c r="AE39" s="4832"/>
      <c r="AF39" s="4685">
        <f t="shared" si="13"/>
        <v>0</v>
      </c>
    </row>
    <row r="40" spans="1:32" ht="33.75" customHeight="1">
      <c r="A40" s="4828">
        <v>8</v>
      </c>
      <c r="B40" s="4833"/>
      <c r="C40" s="4829"/>
      <c r="D40" s="4672" t="str">
        <f t="shared" si="7"/>
        <v>1</v>
      </c>
      <c r="E40" s="4829"/>
      <c r="F40" s="4672">
        <f t="shared" si="8"/>
        <v>2</v>
      </c>
      <c r="G40" s="4699"/>
      <c r="H40" s="4672">
        <f t="shared" si="9"/>
        <v>0</v>
      </c>
      <c r="I40" s="4831"/>
      <c r="J40" s="4834"/>
      <c r="K40" s="4835"/>
      <c r="L40" s="4834"/>
      <c r="M40" s="4834"/>
      <c r="N40" s="4834"/>
      <c r="O40" s="4834"/>
      <c r="P40" s="4678">
        <f t="shared" si="11"/>
        <v>0</v>
      </c>
      <c r="Q40" s="4677">
        <f t="shared" si="12"/>
        <v>0</v>
      </c>
      <c r="R40" s="4836"/>
      <c r="S40" s="4837" t="s">
        <v>5742</v>
      </c>
      <c r="T40" s="4836"/>
      <c r="U40" s="4838"/>
      <c r="V40" s="4834"/>
      <c r="W40" s="4837" t="s">
        <v>4521</v>
      </c>
      <c r="X40" s="4836"/>
      <c r="Y40" s="4834"/>
      <c r="Z40" s="4834"/>
      <c r="AA40" s="4839" t="s">
        <v>5035</v>
      </c>
      <c r="AB40" s="4834"/>
      <c r="AC40" s="4839" t="s">
        <v>5050</v>
      </c>
      <c r="AD40" s="4834"/>
      <c r="AE40" s="4832"/>
      <c r="AF40" s="4685">
        <f t="shared" si="13"/>
        <v>0</v>
      </c>
    </row>
    <row r="41" spans="1:32" ht="33.75" customHeight="1">
      <c r="A41" s="4828">
        <v>9</v>
      </c>
      <c r="B41" s="4833"/>
      <c r="C41" s="4829"/>
      <c r="D41" s="4672" t="str">
        <f t="shared" si="7"/>
        <v>1</v>
      </c>
      <c r="E41" s="4829"/>
      <c r="F41" s="4672">
        <f t="shared" si="8"/>
        <v>2</v>
      </c>
      <c r="G41" s="4699"/>
      <c r="H41" s="4672">
        <f t="shared" si="9"/>
        <v>0</v>
      </c>
      <c r="I41" s="4831"/>
      <c r="J41" s="4834"/>
      <c r="K41" s="4835"/>
      <c r="L41" s="4834"/>
      <c r="M41" s="4834"/>
      <c r="N41" s="4834"/>
      <c r="O41" s="4834"/>
      <c r="P41" s="4678">
        <f t="shared" si="11"/>
        <v>0</v>
      </c>
      <c r="Q41" s="4677">
        <f t="shared" si="12"/>
        <v>0</v>
      </c>
      <c r="R41" s="4836"/>
      <c r="S41" s="4837" t="s">
        <v>5742</v>
      </c>
      <c r="T41" s="4836"/>
      <c r="U41" s="4838"/>
      <c r="V41" s="4834"/>
      <c r="W41" s="4837" t="s">
        <v>4521</v>
      </c>
      <c r="X41" s="4836"/>
      <c r="Y41" s="4834"/>
      <c r="Z41" s="4834"/>
      <c r="AA41" s="4839" t="s">
        <v>5035</v>
      </c>
      <c r="AB41" s="4834"/>
      <c r="AC41" s="4839" t="s">
        <v>5050</v>
      </c>
      <c r="AD41" s="4834"/>
      <c r="AE41" s="4832"/>
      <c r="AF41" s="4685">
        <f t="shared" si="13"/>
        <v>0</v>
      </c>
    </row>
    <row r="42" spans="1:32" ht="33.75" customHeight="1">
      <c r="A42" s="4828">
        <v>10</v>
      </c>
      <c r="B42" s="4833"/>
      <c r="C42" s="4829"/>
      <c r="D42" s="4672" t="str">
        <f t="shared" si="7"/>
        <v>1</v>
      </c>
      <c r="E42" s="4829"/>
      <c r="F42" s="4672">
        <f t="shared" si="8"/>
        <v>2</v>
      </c>
      <c r="G42" s="4699"/>
      <c r="H42" s="4672">
        <f t="shared" si="9"/>
        <v>0</v>
      </c>
      <c r="I42" s="4831"/>
      <c r="J42" s="4834"/>
      <c r="K42" s="4835"/>
      <c r="L42" s="4834"/>
      <c r="M42" s="4834"/>
      <c r="N42" s="4834"/>
      <c r="O42" s="4834"/>
      <c r="P42" s="4678">
        <f t="shared" si="11"/>
        <v>0</v>
      </c>
      <c r="Q42" s="4677">
        <f t="shared" si="12"/>
        <v>0</v>
      </c>
      <c r="R42" s="4836"/>
      <c r="S42" s="4837" t="s">
        <v>5742</v>
      </c>
      <c r="T42" s="4836"/>
      <c r="U42" s="4838"/>
      <c r="V42" s="4834"/>
      <c r="W42" s="4837" t="s">
        <v>4521</v>
      </c>
      <c r="X42" s="4836"/>
      <c r="Y42" s="4834"/>
      <c r="Z42" s="4834"/>
      <c r="AA42" s="4839" t="s">
        <v>5035</v>
      </c>
      <c r="AB42" s="4834"/>
      <c r="AC42" s="4839" t="s">
        <v>5050</v>
      </c>
      <c r="AD42" s="4834"/>
      <c r="AE42" s="4832"/>
      <c r="AF42" s="4685">
        <f t="shared" si="13"/>
        <v>0</v>
      </c>
    </row>
    <row r="43" spans="1:32" ht="33.75" customHeight="1">
      <c r="A43" s="4828">
        <v>11</v>
      </c>
      <c r="B43" s="4833"/>
      <c r="C43" s="4829"/>
      <c r="D43" s="4672" t="str">
        <f t="shared" si="7"/>
        <v>1</v>
      </c>
      <c r="E43" s="4829"/>
      <c r="F43" s="4672">
        <f t="shared" si="8"/>
        <v>2</v>
      </c>
      <c r="G43" s="4699"/>
      <c r="H43" s="4672">
        <f t="shared" si="9"/>
        <v>0</v>
      </c>
      <c r="I43" s="4831"/>
      <c r="J43" s="4834"/>
      <c r="K43" s="4835"/>
      <c r="L43" s="4834"/>
      <c r="M43" s="4834"/>
      <c r="N43" s="4834"/>
      <c r="O43" s="4834"/>
      <c r="P43" s="4678">
        <f t="shared" si="11"/>
        <v>0</v>
      </c>
      <c r="Q43" s="4677">
        <f t="shared" si="12"/>
        <v>0</v>
      </c>
      <c r="R43" s="4836"/>
      <c r="S43" s="4837" t="s">
        <v>5742</v>
      </c>
      <c r="T43" s="4836"/>
      <c r="U43" s="4838"/>
      <c r="V43" s="4834"/>
      <c r="W43" s="4837" t="s">
        <v>4521</v>
      </c>
      <c r="X43" s="4836"/>
      <c r="Y43" s="4834"/>
      <c r="Z43" s="4834"/>
      <c r="AA43" s="4839" t="s">
        <v>5035</v>
      </c>
      <c r="AB43" s="4834"/>
      <c r="AC43" s="4839" t="s">
        <v>5050</v>
      </c>
      <c r="AD43" s="4834"/>
      <c r="AE43" s="4832"/>
      <c r="AF43" s="4685">
        <f t="shared" si="13"/>
        <v>0</v>
      </c>
    </row>
    <row r="44" spans="1:32" ht="33.75" customHeight="1">
      <c r="A44" s="4828">
        <v>12</v>
      </c>
      <c r="B44" s="4833"/>
      <c r="C44" s="4829"/>
      <c r="D44" s="4672" t="str">
        <f t="shared" si="7"/>
        <v>1</v>
      </c>
      <c r="E44" s="4829"/>
      <c r="F44" s="4672">
        <f t="shared" si="8"/>
        <v>2</v>
      </c>
      <c r="G44" s="4699"/>
      <c r="H44" s="4672">
        <f t="shared" si="9"/>
        <v>0</v>
      </c>
      <c r="I44" s="4831"/>
      <c r="J44" s="4834"/>
      <c r="K44" s="4835"/>
      <c r="L44" s="4834"/>
      <c r="M44" s="4834"/>
      <c r="N44" s="4834"/>
      <c r="O44" s="4834"/>
      <c r="P44" s="4678">
        <f t="shared" si="11"/>
        <v>0</v>
      </c>
      <c r="Q44" s="4677">
        <f t="shared" si="12"/>
        <v>0</v>
      </c>
      <c r="R44" s="4836"/>
      <c r="S44" s="4837" t="s">
        <v>5742</v>
      </c>
      <c r="T44" s="4836"/>
      <c r="U44" s="4838"/>
      <c r="V44" s="4834"/>
      <c r="W44" s="4837" t="s">
        <v>4521</v>
      </c>
      <c r="X44" s="4836"/>
      <c r="Y44" s="4834"/>
      <c r="Z44" s="4834"/>
      <c r="AA44" s="4839" t="s">
        <v>5035</v>
      </c>
      <c r="AB44" s="4834"/>
      <c r="AC44" s="4839" t="s">
        <v>5050</v>
      </c>
      <c r="AD44" s="4834"/>
      <c r="AE44" s="4832"/>
      <c r="AF44" s="4685">
        <f t="shared" si="13"/>
        <v>0</v>
      </c>
    </row>
    <row r="45" spans="1:32" ht="33.75" customHeight="1">
      <c r="A45" s="4828">
        <v>13</v>
      </c>
      <c r="B45" s="4833"/>
      <c r="C45" s="4829"/>
      <c r="D45" s="4672" t="str">
        <f t="shared" si="7"/>
        <v>1</v>
      </c>
      <c r="E45" s="4829"/>
      <c r="F45" s="4672">
        <f t="shared" si="8"/>
        <v>2</v>
      </c>
      <c r="G45" s="4699"/>
      <c r="H45" s="4672">
        <f t="shared" si="9"/>
        <v>0</v>
      </c>
      <c r="I45" s="4831"/>
      <c r="J45" s="4834"/>
      <c r="K45" s="4835"/>
      <c r="L45" s="4834"/>
      <c r="M45" s="4834"/>
      <c r="N45" s="4834"/>
      <c r="O45" s="4834"/>
      <c r="P45" s="4678">
        <f t="shared" si="11"/>
        <v>0</v>
      </c>
      <c r="Q45" s="4677">
        <f t="shared" si="12"/>
        <v>0</v>
      </c>
      <c r="R45" s="4836"/>
      <c r="S45" s="4837" t="s">
        <v>5742</v>
      </c>
      <c r="T45" s="4836"/>
      <c r="U45" s="4838"/>
      <c r="V45" s="4834"/>
      <c r="W45" s="4837" t="s">
        <v>4521</v>
      </c>
      <c r="X45" s="4836"/>
      <c r="Y45" s="4834"/>
      <c r="Z45" s="4834"/>
      <c r="AA45" s="4839" t="s">
        <v>5035</v>
      </c>
      <c r="AB45" s="4834"/>
      <c r="AC45" s="4839" t="s">
        <v>5050</v>
      </c>
      <c r="AD45" s="4834"/>
      <c r="AE45" s="4832"/>
      <c r="AF45" s="4685">
        <f t="shared" si="13"/>
        <v>0</v>
      </c>
    </row>
    <row r="46" spans="1:32" ht="33.75" customHeight="1">
      <c r="A46" s="4828">
        <v>14</v>
      </c>
      <c r="B46" s="4833"/>
      <c r="C46" s="4829"/>
      <c r="D46" s="4672" t="str">
        <f t="shared" si="7"/>
        <v>1</v>
      </c>
      <c r="E46" s="4829"/>
      <c r="F46" s="4672">
        <f t="shared" si="8"/>
        <v>2</v>
      </c>
      <c r="G46" s="4699"/>
      <c r="H46" s="4672">
        <f t="shared" si="9"/>
        <v>0</v>
      </c>
      <c r="I46" s="4831"/>
      <c r="J46" s="4834"/>
      <c r="K46" s="4835"/>
      <c r="L46" s="4834"/>
      <c r="M46" s="4834"/>
      <c r="N46" s="4834"/>
      <c r="O46" s="4834"/>
      <c r="P46" s="4678">
        <f t="shared" si="11"/>
        <v>0</v>
      </c>
      <c r="Q46" s="4677">
        <f t="shared" si="12"/>
        <v>0</v>
      </c>
      <c r="R46" s="4836"/>
      <c r="S46" s="4837" t="s">
        <v>5742</v>
      </c>
      <c r="T46" s="4836"/>
      <c r="U46" s="4838"/>
      <c r="V46" s="4834"/>
      <c r="W46" s="4837" t="s">
        <v>4521</v>
      </c>
      <c r="X46" s="4836"/>
      <c r="Y46" s="4834"/>
      <c r="Z46" s="4834"/>
      <c r="AA46" s="4839" t="s">
        <v>5035</v>
      </c>
      <c r="AB46" s="4834"/>
      <c r="AC46" s="4839" t="s">
        <v>5050</v>
      </c>
      <c r="AD46" s="4834"/>
      <c r="AE46" s="4832"/>
      <c r="AF46" s="4685">
        <f t="shared" si="13"/>
        <v>0</v>
      </c>
    </row>
    <row r="47" spans="1:32" ht="33.75" customHeight="1" thickBot="1">
      <c r="A47" s="4828">
        <v>15</v>
      </c>
      <c r="B47" s="4833"/>
      <c r="C47" s="4829"/>
      <c r="D47" s="4672" t="str">
        <f t="shared" si="7"/>
        <v>1</v>
      </c>
      <c r="E47" s="4829"/>
      <c r="F47" s="4672">
        <f t="shared" si="8"/>
        <v>2</v>
      </c>
      <c r="G47" s="4699"/>
      <c r="H47" s="4672">
        <f t="shared" si="9"/>
        <v>0</v>
      </c>
      <c r="I47" s="4831"/>
      <c r="J47" s="4834"/>
      <c r="K47" s="4835"/>
      <c r="L47" s="4834"/>
      <c r="M47" s="4834"/>
      <c r="N47" s="4834"/>
      <c r="O47" s="4834"/>
      <c r="P47" s="4678">
        <f>SUM(D47,F47,H47)*K47</f>
        <v>0</v>
      </c>
      <c r="Q47" s="4677">
        <f t="shared" si="12"/>
        <v>0</v>
      </c>
      <c r="R47" s="4836"/>
      <c r="S47" s="4837" t="s">
        <v>5739</v>
      </c>
      <c r="T47" s="4836"/>
      <c r="U47" s="4838"/>
      <c r="V47" s="4834"/>
      <c r="W47" s="4837" t="s">
        <v>4521</v>
      </c>
      <c r="X47" s="4836"/>
      <c r="Y47" s="4834"/>
      <c r="Z47" s="4834"/>
      <c r="AA47" s="4839" t="s">
        <v>5035</v>
      </c>
      <c r="AB47" s="4834"/>
      <c r="AC47" s="4839" t="s">
        <v>5050</v>
      </c>
      <c r="AD47" s="4834"/>
      <c r="AE47" s="4832"/>
      <c r="AF47" s="4685">
        <f t="shared" si="13"/>
        <v>0</v>
      </c>
    </row>
    <row r="48" spans="1:32" ht="33.75" customHeight="1" thickTop="1" thickBot="1">
      <c r="A48" s="4840"/>
      <c r="B48" s="4841"/>
      <c r="C48" s="4841"/>
      <c r="D48" s="4841"/>
      <c r="E48" s="4841"/>
      <c r="F48" s="4842"/>
      <c r="G48" s="4843"/>
      <c r="H48" s="4841"/>
      <c r="I48" s="4844" t="s">
        <v>2432</v>
      </c>
      <c r="J48" s="4845">
        <f>SUM(J33:J47)</f>
        <v>340</v>
      </c>
      <c r="K48" s="4846">
        <f>SUM(K33:K47)</f>
        <v>350</v>
      </c>
      <c r="L48" s="4843"/>
      <c r="M48" s="4843"/>
      <c r="N48" s="4843"/>
      <c r="O48" s="4843"/>
      <c r="P48" s="4845">
        <f>SUM(P33:P47)</f>
        <v>4490</v>
      </c>
      <c r="Q48" s="4845">
        <f>SUM(Q33:Q47)*1.1</f>
        <v>429198000.00000006</v>
      </c>
      <c r="R48" s="6901"/>
      <c r="S48" s="6901"/>
      <c r="T48" s="6901"/>
      <c r="U48" s="4847"/>
      <c r="V48" s="6902"/>
      <c r="W48" s="6901"/>
      <c r="X48" s="6901"/>
      <c r="Y48" s="4847"/>
      <c r="Z48" s="4847"/>
      <c r="AA48" s="6903"/>
      <c r="AB48" s="6904"/>
      <c r="AC48" s="6903"/>
      <c r="AD48" s="6904"/>
      <c r="AE48" s="4848"/>
      <c r="AF48" s="4685">
        <f>SUM(AF33:AF47)</f>
        <v>340</v>
      </c>
    </row>
    <row r="49" spans="1:32" ht="32.15" customHeight="1" thickBot="1">
      <c r="C49" s="4710"/>
      <c r="D49" s="4710"/>
      <c r="E49" s="4710"/>
      <c r="F49" s="4710"/>
      <c r="G49" s="4710"/>
      <c r="H49" s="4710"/>
      <c r="I49" s="4711"/>
      <c r="J49" s="4712"/>
      <c r="K49" s="4710"/>
      <c r="L49" s="4713" t="s">
        <v>5748</v>
      </c>
      <c r="M49" s="4714">
        <f>SUM(N32:N47)</f>
        <v>29740000</v>
      </c>
      <c r="N49" s="4715"/>
      <c r="O49" s="4715"/>
      <c r="P49" s="4715"/>
      <c r="S49" s="4656"/>
      <c r="W49" s="4656"/>
      <c r="AF49" s="4849"/>
    </row>
    <row r="50" spans="1:32" ht="33.75" customHeight="1">
      <c r="A50" s="6845" t="s">
        <v>5749</v>
      </c>
      <c r="B50" s="6846"/>
      <c r="C50" s="4716">
        <f>P48</f>
        <v>4490</v>
      </c>
      <c r="D50" s="4717"/>
      <c r="F50" s="4718"/>
      <c r="G50" s="4850"/>
      <c r="H50" s="4719"/>
      <c r="I50" s="4720"/>
      <c r="L50" s="4721" t="s">
        <v>5750</v>
      </c>
      <c r="M50" s="4722">
        <f>M49*1.1</f>
        <v>32714000.000000004</v>
      </c>
      <c r="P50" s="4656"/>
      <c r="AF50" s="4851"/>
    </row>
    <row r="51" spans="1:32" ht="33.75" customHeight="1">
      <c r="A51" s="6910" t="s">
        <v>5883</v>
      </c>
      <c r="B51" s="6911"/>
      <c r="C51" s="4723">
        <f>Q48</f>
        <v>429198000.00000006</v>
      </c>
      <c r="D51" s="4717"/>
      <c r="F51" s="4724"/>
      <c r="G51" s="4852"/>
      <c r="H51" s="4719"/>
      <c r="I51" s="4720"/>
      <c r="P51" s="4656"/>
      <c r="AF51" s="4851"/>
    </row>
    <row r="52" spans="1:32" ht="33.75" customHeight="1" thickBot="1">
      <c r="A52" s="6913" t="s">
        <v>5751</v>
      </c>
      <c r="B52" s="6914"/>
      <c r="C52" s="4987">
        <f>ROUNDDOWN(C51*1.1,0)</f>
        <v>472117800</v>
      </c>
      <c r="D52" s="4940"/>
      <c r="E52" s="4941"/>
      <c r="F52" s="4942"/>
      <c r="G52" s="4943"/>
      <c r="H52" s="4940"/>
      <c r="I52" s="4944"/>
      <c r="J52" s="4943"/>
      <c r="K52" s="4861"/>
      <c r="L52" s="4861"/>
      <c r="M52" s="4861"/>
      <c r="N52" s="4861"/>
      <c r="O52" s="4861"/>
      <c r="P52" s="4943"/>
      <c r="Q52" s="4943"/>
      <c r="R52" s="4941"/>
      <c r="S52" s="4941"/>
      <c r="T52" s="4941"/>
      <c r="U52" s="4941"/>
      <c r="V52" s="4941"/>
      <c r="W52" s="4941"/>
      <c r="X52" s="4941"/>
      <c r="Y52" s="4941"/>
      <c r="Z52" s="4941"/>
      <c r="AA52" s="4941"/>
      <c r="AB52" s="4941"/>
      <c r="AC52" s="4941"/>
      <c r="AD52" s="4941"/>
      <c r="AE52" s="4941"/>
      <c r="AF52" s="4941"/>
    </row>
    <row r="53" spans="1:32" ht="33.75" customHeight="1">
      <c r="A53" s="4729"/>
      <c r="B53" s="4729"/>
      <c r="C53" s="4729"/>
      <c r="D53" s="4729"/>
      <c r="E53" s="4729"/>
      <c r="F53" s="4729"/>
      <c r="G53" s="4726"/>
      <c r="H53" s="4729"/>
      <c r="I53" s="4720"/>
      <c r="P53" s="4656"/>
    </row>
    <row r="54" spans="1:32" ht="33.75" customHeight="1">
      <c r="A54" s="4728" t="s">
        <v>5752</v>
      </c>
      <c r="B54" s="4728"/>
      <c r="C54" s="4729"/>
      <c r="D54" s="4729"/>
      <c r="E54" s="4729"/>
      <c r="F54" s="4729"/>
      <c r="G54" s="4726"/>
      <c r="H54" s="4729"/>
      <c r="I54" s="4720"/>
      <c r="P54" s="4656"/>
    </row>
    <row r="55" spans="1:32" ht="36" customHeight="1">
      <c r="A55" s="4728" t="s">
        <v>5753</v>
      </c>
      <c r="B55" s="4728"/>
    </row>
    <row r="56" spans="1:32" ht="36" customHeight="1">
      <c r="A56" s="4730" t="s">
        <v>5754</v>
      </c>
      <c r="B56" s="4730"/>
    </row>
    <row r="57" spans="1:32" ht="36" customHeight="1">
      <c r="A57" s="4728"/>
      <c r="B57" s="4728"/>
    </row>
    <row r="58" spans="1:32" ht="36" customHeight="1">
      <c r="A58" s="4728" t="s">
        <v>6330</v>
      </c>
    </row>
    <row r="59" spans="1:32" ht="36" customHeight="1">
      <c r="A59" s="4828">
        <v>1</v>
      </c>
      <c r="B59" s="4911">
        <v>46308</v>
      </c>
      <c r="C59" s="4910">
        <v>46309</v>
      </c>
      <c r="D59" s="4672">
        <v>0</v>
      </c>
      <c r="E59" s="4910">
        <v>46319</v>
      </c>
      <c r="F59" s="4996">
        <f t="shared" ref="F59" si="15">IF(_xlfn.DAYS(E59,C59)=0,"1",_xlfn.DAYS(E59,C59))+1</f>
        <v>11</v>
      </c>
      <c r="G59" s="4910">
        <v>46321</v>
      </c>
      <c r="H59" s="4672">
        <v>0</v>
      </c>
      <c r="I59" s="4691" t="s">
        <v>6324</v>
      </c>
      <c r="J59" s="4692">
        <v>157</v>
      </c>
      <c r="K59" s="4692">
        <v>157</v>
      </c>
      <c r="L59" s="4692">
        <v>77000</v>
      </c>
      <c r="M59" s="4692">
        <v>80000</v>
      </c>
      <c r="N59" s="4971">
        <f t="shared" ref="N59:N63" si="16">M59*K59</f>
        <v>12560000</v>
      </c>
      <c r="O59" s="4692">
        <v>77000</v>
      </c>
      <c r="P59" s="5517">
        <f>SUM(D59,F59,H59)*K59</f>
        <v>1727</v>
      </c>
      <c r="Q59" s="4677">
        <f>(D59*L59+F59*M59+H59*O59)*K59</f>
        <v>138160000</v>
      </c>
    </row>
    <row r="60" spans="1:32" ht="36" customHeight="1">
      <c r="A60" s="4828">
        <v>2</v>
      </c>
      <c r="B60" s="4911">
        <v>46308</v>
      </c>
      <c r="C60" s="4910">
        <v>46309</v>
      </c>
      <c r="D60" s="4672">
        <v>0</v>
      </c>
      <c r="E60" s="4910">
        <v>46319</v>
      </c>
      <c r="F60" s="4996">
        <f>IF(_xlfn.DAYS(E60,C60)=0,"1",_xlfn.DAYS(E60,C60))+1</f>
        <v>11</v>
      </c>
      <c r="G60" s="4910">
        <v>46321</v>
      </c>
      <c r="H60" s="4672">
        <v>0</v>
      </c>
      <c r="I60" s="4691" t="s">
        <v>6325</v>
      </c>
      <c r="J60" s="4692">
        <v>45</v>
      </c>
      <c r="K60" s="4692">
        <v>45</v>
      </c>
      <c r="L60" s="4692">
        <v>77000</v>
      </c>
      <c r="M60" s="4692">
        <v>80000</v>
      </c>
      <c r="N60" s="4971">
        <f t="shared" si="16"/>
        <v>3600000</v>
      </c>
      <c r="O60" s="4692">
        <v>77000</v>
      </c>
      <c r="P60" s="4678">
        <f t="shared" ref="P60:P63" si="17">SUM(D60,F60,H60)*K60</f>
        <v>495</v>
      </c>
      <c r="Q60" s="5513">
        <f t="shared" ref="Q60:Q63" si="18">(D60*L60+F60*M60+H60*O60)*K60</f>
        <v>39600000</v>
      </c>
    </row>
    <row r="61" spans="1:32" ht="36" customHeight="1">
      <c r="A61" s="4828">
        <v>3</v>
      </c>
      <c r="B61" s="4911">
        <v>46308</v>
      </c>
      <c r="C61" s="4910">
        <v>46309</v>
      </c>
      <c r="D61" s="4672">
        <v>0</v>
      </c>
      <c r="E61" s="4910">
        <v>46319</v>
      </c>
      <c r="F61" s="4996">
        <f t="shared" ref="F61:F63" si="19">IF(_xlfn.DAYS(E61,C61)=0,"1",_xlfn.DAYS(E61,C61))+1</f>
        <v>11</v>
      </c>
      <c r="G61" s="4910">
        <v>46321</v>
      </c>
      <c r="H61" s="4672">
        <v>0</v>
      </c>
      <c r="I61" s="4691" t="s">
        <v>6326</v>
      </c>
      <c r="J61" s="4692">
        <v>40</v>
      </c>
      <c r="K61" s="4692">
        <v>40</v>
      </c>
      <c r="L61" s="4692">
        <v>87000</v>
      </c>
      <c r="M61" s="4692">
        <v>90000</v>
      </c>
      <c r="N61" s="4971">
        <f t="shared" si="16"/>
        <v>3600000</v>
      </c>
      <c r="O61" s="4692">
        <v>87000</v>
      </c>
      <c r="P61" s="4678">
        <f t="shared" si="17"/>
        <v>440</v>
      </c>
      <c r="Q61" s="5513">
        <f t="shared" si="18"/>
        <v>39600000</v>
      </c>
    </row>
    <row r="62" spans="1:32" ht="36" customHeight="1">
      <c r="A62" s="4828">
        <v>4</v>
      </c>
      <c r="B62" s="4911">
        <v>46308</v>
      </c>
      <c r="C62" s="4910">
        <v>46309</v>
      </c>
      <c r="D62" s="4672">
        <f t="shared" ref="D62:D63" si="20">IF(_xlfn.DAYS(C62,B62)=0,"1",_xlfn.DAYS(C62,B62))</f>
        <v>1</v>
      </c>
      <c r="E62" s="4910">
        <v>46319</v>
      </c>
      <c r="F62" s="4996">
        <f t="shared" si="19"/>
        <v>11</v>
      </c>
      <c r="G62" s="4910">
        <v>46321</v>
      </c>
      <c r="H62" s="4672">
        <f t="shared" ref="H62:H63" si="21">IF(_xlfn.DAYS(G62,E62)=0,"1",_xlfn.DAYS(G62,E62))-1</f>
        <v>1</v>
      </c>
      <c r="I62" s="4691" t="s">
        <v>6327</v>
      </c>
      <c r="J62" s="4692">
        <v>84</v>
      </c>
      <c r="K62" s="4692">
        <v>11</v>
      </c>
      <c r="L62" s="4692">
        <v>87000</v>
      </c>
      <c r="M62" s="4692">
        <v>90000</v>
      </c>
      <c r="N62" s="4971">
        <f t="shared" si="16"/>
        <v>990000</v>
      </c>
      <c r="O62" s="4692">
        <v>87000</v>
      </c>
      <c r="P62" s="4678">
        <f t="shared" si="17"/>
        <v>143</v>
      </c>
      <c r="Q62" s="5513">
        <f t="shared" si="18"/>
        <v>12804000</v>
      </c>
    </row>
    <row r="63" spans="1:32" ht="36" customHeight="1">
      <c r="A63" s="4828">
        <v>6</v>
      </c>
      <c r="B63" s="4911">
        <v>46308</v>
      </c>
      <c r="C63" s="4910">
        <v>46309</v>
      </c>
      <c r="D63" s="4672">
        <f t="shared" si="20"/>
        <v>1</v>
      </c>
      <c r="E63" s="4910">
        <v>46319</v>
      </c>
      <c r="F63" s="4996">
        <f t="shared" si="19"/>
        <v>11</v>
      </c>
      <c r="G63" s="4910">
        <v>46321</v>
      </c>
      <c r="H63" s="4672">
        <f t="shared" si="21"/>
        <v>1</v>
      </c>
      <c r="I63" s="4691" t="s">
        <v>6329</v>
      </c>
      <c r="J63" s="4692">
        <v>4</v>
      </c>
      <c r="K63" s="4692">
        <v>4</v>
      </c>
      <c r="L63" s="4692">
        <v>77000</v>
      </c>
      <c r="M63" s="4692">
        <v>80000</v>
      </c>
      <c r="N63" s="4971">
        <f t="shared" si="16"/>
        <v>320000</v>
      </c>
      <c r="O63" s="4692">
        <v>77000</v>
      </c>
      <c r="P63" s="4678">
        <f t="shared" si="17"/>
        <v>52</v>
      </c>
      <c r="Q63" s="5513">
        <f t="shared" si="18"/>
        <v>4136000</v>
      </c>
    </row>
    <row r="64" spans="1:32" ht="36" customHeight="1">
      <c r="K64" s="5518">
        <f>SUM(K59:K63)</f>
        <v>257</v>
      </c>
      <c r="Q64" s="5518">
        <f>SUM(Q59:Q63)</f>
        <v>234300000</v>
      </c>
    </row>
    <row r="65" ht="10.4" customHeight="1"/>
  </sheetData>
  <mergeCells count="6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O5:O6"/>
    <mergeCell ref="P5:Q5"/>
    <mergeCell ref="R5:T6"/>
    <mergeCell ref="U5:U6"/>
    <mergeCell ref="V5:X6"/>
    <mergeCell ref="Z5:Z6"/>
    <mergeCell ref="AA5:AD6"/>
    <mergeCell ref="AE5:AE6"/>
    <mergeCell ref="AF5:AF6"/>
    <mergeCell ref="R23:T23"/>
    <mergeCell ref="V23:X23"/>
    <mergeCell ref="AA23:AB23"/>
    <mergeCell ref="AC23:AD23"/>
    <mergeCell ref="Y5:Y6"/>
    <mergeCell ref="I30:I31"/>
    <mergeCell ref="A25:B25"/>
    <mergeCell ref="A26:B26"/>
    <mergeCell ref="A27:B27"/>
    <mergeCell ref="A30:A31"/>
    <mergeCell ref="B30:B31"/>
    <mergeCell ref="C30:C31"/>
    <mergeCell ref="D30:D31"/>
    <mergeCell ref="E30:E31"/>
    <mergeCell ref="F30:F31"/>
    <mergeCell ref="G30:G31"/>
    <mergeCell ref="H30:H31"/>
    <mergeCell ref="K30:K31"/>
    <mergeCell ref="L30:L31"/>
    <mergeCell ref="M30:M31"/>
    <mergeCell ref="O30:O31"/>
    <mergeCell ref="P30:Q30"/>
    <mergeCell ref="A50:B50"/>
    <mergeCell ref="A51:B51"/>
    <mergeCell ref="A52:B52"/>
    <mergeCell ref="AE30:AE31"/>
    <mergeCell ref="AF30:AF31"/>
    <mergeCell ref="R48:T48"/>
    <mergeCell ref="V48:X48"/>
    <mergeCell ref="AA48:AB48"/>
    <mergeCell ref="AC48:AD48"/>
    <mergeCell ref="R30:T31"/>
    <mergeCell ref="U30:U31"/>
    <mergeCell ref="V30:X31"/>
    <mergeCell ref="Y30:Y31"/>
    <mergeCell ref="Z30:Z31"/>
    <mergeCell ref="AA30:AD31"/>
    <mergeCell ref="J30:J31"/>
  </mergeCells>
  <phoneticPr fontId="2"/>
  <conditionalFormatting sqref="B14:C22 C39 E39:E47 B40:C47">
    <cfRule type="containsBlanks" dxfId="309" priority="16">
      <formula>LEN(TRIM(B14))=0</formula>
    </cfRule>
  </conditionalFormatting>
  <conditionalFormatting sqref="C2:D2">
    <cfRule type="containsBlanks" dxfId="308" priority="10">
      <formula>LEN(TRIM(C2))=0</formula>
    </cfRule>
  </conditionalFormatting>
  <conditionalFormatting sqref="D7:D22">
    <cfRule type="containsBlanks" dxfId="307" priority="15">
      <formula>LEN(TRIM(D7))=0</formula>
    </cfRule>
  </conditionalFormatting>
  <conditionalFormatting sqref="D32:D47">
    <cfRule type="containsBlanks" dxfId="306" priority="14">
      <formula>LEN(TRIM(D32))=0</formula>
    </cfRule>
  </conditionalFormatting>
  <conditionalFormatting sqref="D59:D63">
    <cfRule type="containsBlanks" dxfId="305" priority="4">
      <formula>LEN(TRIM(D59))=0</formula>
    </cfRule>
  </conditionalFormatting>
  <conditionalFormatting sqref="E14:O22">
    <cfRule type="containsBlanks" dxfId="304" priority="11">
      <formula>LEN(TRIM(E14))=0</formula>
    </cfRule>
  </conditionalFormatting>
  <conditionalFormatting sqref="F7:F13">
    <cfRule type="containsBlanks" dxfId="303" priority="12">
      <formula>LEN(TRIM(F7))=0</formula>
    </cfRule>
  </conditionalFormatting>
  <conditionalFormatting sqref="F32:F47">
    <cfRule type="containsBlanks" dxfId="302" priority="13">
      <formula>LEN(TRIM(F32))=0</formula>
    </cfRule>
  </conditionalFormatting>
  <conditionalFormatting sqref="F59:F63">
    <cfRule type="containsBlanks" dxfId="301" priority="3">
      <formula>LEN(TRIM(F59))=0</formula>
    </cfRule>
  </conditionalFormatting>
  <conditionalFormatting sqref="G39:O47">
    <cfRule type="containsBlanks" dxfId="300" priority="5">
      <formula>LEN(TRIM(G39))=0</formula>
    </cfRule>
  </conditionalFormatting>
  <conditionalFormatting sqref="H7:O13">
    <cfRule type="containsBlanks" dxfId="299" priority="8">
      <formula>LEN(TRIM(H7))=0</formula>
    </cfRule>
  </conditionalFormatting>
  <conditionalFormatting sqref="H32:O38">
    <cfRule type="containsBlanks" dxfId="298" priority="7">
      <formula>LEN(TRIM(H32))=0</formula>
    </cfRule>
  </conditionalFormatting>
  <conditionalFormatting sqref="H59:O63">
    <cfRule type="containsBlanks" dxfId="297" priority="1">
      <formula>LEN(TRIM(H59))=0</formula>
    </cfRule>
  </conditionalFormatting>
  <conditionalFormatting sqref="Q59:Q63">
    <cfRule type="containsBlanks" dxfId="296" priority="2">
      <formula>LEN(TRIM(Q59))=0</formula>
    </cfRule>
  </conditionalFormatting>
  <conditionalFormatting sqref="Q7:R22">
    <cfRule type="containsBlanks" dxfId="295" priority="23">
      <formula>LEN(TRIM(Q7))=0</formula>
    </cfRule>
  </conditionalFormatting>
  <conditionalFormatting sqref="Q32:R47">
    <cfRule type="containsBlanks" dxfId="294" priority="9">
      <formula>LEN(TRIM(Q32))=0</formula>
    </cfRule>
  </conditionalFormatting>
  <conditionalFormatting sqref="T7:V22">
    <cfRule type="containsBlanks" dxfId="293" priority="21">
      <formula>LEN(TRIM(T7))=0</formula>
    </cfRule>
  </conditionalFormatting>
  <conditionalFormatting sqref="T32:V47">
    <cfRule type="containsBlanks" dxfId="292" priority="6">
      <formula>LEN(TRIM(T32))=0</formula>
    </cfRule>
  </conditionalFormatting>
  <conditionalFormatting sqref="X7:Z22">
    <cfRule type="containsBlanks" dxfId="291" priority="20">
      <formula>LEN(TRIM(X7))=0</formula>
    </cfRule>
  </conditionalFormatting>
  <conditionalFormatting sqref="X32:Z47">
    <cfRule type="containsBlanks" dxfId="290" priority="19">
      <formula>LEN(TRIM(X32))=0</formula>
    </cfRule>
  </conditionalFormatting>
  <conditionalFormatting sqref="AB7:AB22 AD7:AE22">
    <cfRule type="containsBlanks" dxfId="289" priority="22">
      <formula>LEN(TRIM(AB7))=0</formula>
    </cfRule>
  </conditionalFormatting>
  <conditionalFormatting sqref="AB32:AB47">
    <cfRule type="containsBlanks" dxfId="288" priority="18">
      <formula>LEN(TRIM(AB32))=0</formula>
    </cfRule>
  </conditionalFormatting>
  <conditionalFormatting sqref="AD32:AE47">
    <cfRule type="containsBlanks" dxfId="287" priority="17">
      <formula>LEN(TRIM(AD32))=0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698C-22C2-4087-8CEA-CC4B8E1AC6DF}">
  <sheetPr codeName="Sheet372">
    <tabColor rgb="FFFFFF66"/>
    <pageSetUpPr fitToPage="1"/>
  </sheetPr>
  <dimension ref="A1:AE52"/>
  <sheetViews>
    <sheetView topLeftCell="C22" zoomScale="70" zoomScaleNormal="70"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'[6]別紙1-1）客室提供条件'!C2</f>
        <v>コートヤードバイマリオット</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46281</v>
      </c>
      <c r="C8" s="4911">
        <v>46301</v>
      </c>
      <c r="D8" s="4759">
        <v>0.375</v>
      </c>
      <c r="E8" s="4759">
        <v>0.875</v>
      </c>
      <c r="F8" s="4760">
        <f t="shared" ref="F8:F17" si="1">IF(OR(ISBLANK($B8), ISBLANK($C8)), 0, _xlfn.DAYS($C8, $B8) + 1)</f>
        <v>21</v>
      </c>
      <c r="G8" s="4975" t="s">
        <v>6331</v>
      </c>
      <c r="H8" s="4762"/>
      <c r="I8" s="4763" t="s">
        <v>5190</v>
      </c>
      <c r="J8" s="4764"/>
      <c r="K8" s="4765"/>
      <c r="L8" s="4765"/>
      <c r="M8" s="4765"/>
      <c r="N8" s="4762">
        <f>6000000*1.1</f>
        <v>6600000.0000000009</v>
      </c>
      <c r="O8" s="4766">
        <f t="shared" si="0"/>
        <v>138600000.00000003</v>
      </c>
      <c r="P8" s="4857"/>
      <c r="Q8" s="4858"/>
      <c r="R8" s="4864"/>
      <c r="S8" s="4858"/>
      <c r="T8" s="4859"/>
      <c r="U8" s="4860"/>
    </row>
    <row r="9" spans="1:31" ht="33.75" customHeight="1">
      <c r="A9" s="4758">
        <v>2</v>
      </c>
      <c r="B9" s="4910">
        <v>46281</v>
      </c>
      <c r="C9" s="4911">
        <v>46301</v>
      </c>
      <c r="D9" s="4759">
        <v>0.375</v>
      </c>
      <c r="E9" s="4759">
        <v>0.875</v>
      </c>
      <c r="F9" s="4760">
        <f t="shared" si="1"/>
        <v>21</v>
      </c>
      <c r="G9" s="4975" t="s">
        <v>6332</v>
      </c>
      <c r="H9" s="4762"/>
      <c r="I9" s="4763" t="s">
        <v>5190</v>
      </c>
      <c r="J9" s="4764"/>
      <c r="K9" s="4765"/>
      <c r="L9" s="4765"/>
      <c r="M9" s="4765"/>
      <c r="N9" s="4762">
        <v>3240000</v>
      </c>
      <c r="O9" s="4766">
        <f t="shared" si="0"/>
        <v>68040000</v>
      </c>
      <c r="P9" s="4857"/>
      <c r="Q9" s="4858"/>
      <c r="R9" s="4864"/>
      <c r="S9" s="4858"/>
      <c r="T9" s="4859"/>
      <c r="U9" s="4860"/>
      <c r="AC9" s="4657"/>
    </row>
    <row r="10" spans="1:31" ht="33.75" customHeight="1">
      <c r="A10" s="4758">
        <v>3</v>
      </c>
      <c r="B10" s="4910">
        <v>46281</v>
      </c>
      <c r="C10" s="4911">
        <v>46301</v>
      </c>
      <c r="D10" s="4759">
        <v>0.375</v>
      </c>
      <c r="E10" s="4759">
        <v>0.875</v>
      </c>
      <c r="F10" s="4770">
        <f t="shared" si="1"/>
        <v>21</v>
      </c>
      <c r="G10" s="4975" t="s">
        <v>6333</v>
      </c>
      <c r="H10" s="4762"/>
      <c r="I10" s="4763" t="s">
        <v>5190</v>
      </c>
      <c r="J10" s="4764"/>
      <c r="K10" s="4765"/>
      <c r="L10" s="4765"/>
      <c r="M10" s="4765"/>
      <c r="N10" s="4762">
        <v>2700000</v>
      </c>
      <c r="O10" s="4766">
        <f t="shared" si="0"/>
        <v>56700000</v>
      </c>
      <c r="P10" s="4909"/>
      <c r="Q10" s="4858"/>
      <c r="R10" s="4864"/>
      <c r="S10" s="4858"/>
      <c r="T10" s="4859"/>
      <c r="U10" s="4860"/>
      <c r="AC10" s="4657"/>
    </row>
    <row r="11" spans="1:31" ht="33.75" customHeight="1">
      <c r="A11" s="4758">
        <v>4</v>
      </c>
      <c r="B11" s="4910">
        <v>46281</v>
      </c>
      <c r="C11" s="4911">
        <v>46301</v>
      </c>
      <c r="D11" s="4759">
        <v>0.375</v>
      </c>
      <c r="E11" s="4759">
        <v>0.875</v>
      </c>
      <c r="F11" s="4760">
        <f t="shared" si="1"/>
        <v>21</v>
      </c>
      <c r="G11" s="4771" t="s">
        <v>6334</v>
      </c>
      <c r="H11" s="4762"/>
      <c r="I11" s="4763" t="s">
        <v>5190</v>
      </c>
      <c r="J11" s="4764"/>
      <c r="K11" s="4765"/>
      <c r="L11" s="4765"/>
      <c r="M11" s="4765"/>
      <c r="N11" s="4762">
        <v>1800000</v>
      </c>
      <c r="O11" s="4766">
        <f t="shared" si="0"/>
        <v>37800000</v>
      </c>
      <c r="P11" s="4857"/>
      <c r="Q11" s="4858"/>
      <c r="R11" s="4859"/>
      <c r="S11" s="4858"/>
      <c r="T11" s="4859"/>
      <c r="U11" s="4860"/>
      <c r="AC11" s="4657"/>
    </row>
    <row r="12" spans="1:31" ht="33.75" customHeight="1">
      <c r="A12" s="4758">
        <v>5</v>
      </c>
      <c r="B12" s="4816"/>
      <c r="C12" s="4816"/>
      <c r="D12" s="4759"/>
      <c r="E12" s="4759"/>
      <c r="F12" s="4760">
        <f t="shared" si="1"/>
        <v>0</v>
      </c>
      <c r="G12" s="4771"/>
      <c r="H12" s="4762"/>
      <c r="I12" s="4763"/>
      <c r="J12" s="4764"/>
      <c r="K12" s="4765"/>
      <c r="L12" s="4765"/>
      <c r="M12" s="4765"/>
      <c r="N12" s="4762"/>
      <c r="O12" s="4766">
        <f t="shared" si="0"/>
        <v>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29"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29" ht="33.75" customHeight="1" thickTop="1" thickBot="1">
      <c r="A18" s="4778" t="s">
        <v>5845</v>
      </c>
      <c r="B18" s="4779"/>
      <c r="C18" s="4779"/>
      <c r="D18" s="4779"/>
      <c r="E18" s="4779"/>
      <c r="F18" s="4780">
        <f>SUM(F8:F17)</f>
        <v>84</v>
      </c>
      <c r="G18" s="4779"/>
      <c r="H18" s="4781"/>
      <c r="I18" s="4782">
        <f>COUNTA(G8,G9,G10,G11)</f>
        <v>4</v>
      </c>
      <c r="J18" s="4783"/>
      <c r="K18" s="4784"/>
      <c r="L18" s="4784"/>
      <c r="M18" s="4784"/>
      <c r="N18" s="4785"/>
      <c r="O18" s="4922">
        <f>SUM(O8:O17)*1.1</f>
        <v>331254000</v>
      </c>
      <c r="P18" s="4787"/>
      <c r="Q18" s="4787"/>
      <c r="R18" s="4788"/>
      <c r="S18" s="4789"/>
      <c r="T18" s="4788"/>
      <c r="U18" s="4790"/>
      <c r="AC18" s="4657"/>
    </row>
    <row r="19" spans="1:29" ht="33.75" customHeight="1" thickBot="1">
      <c r="A19" s="4876" t="s">
        <v>5792</v>
      </c>
      <c r="B19" s="4877"/>
      <c r="C19" s="4878"/>
      <c r="D19" s="4878"/>
      <c r="E19" s="4878"/>
      <c r="F19" s="4879"/>
      <c r="G19" s="4878"/>
      <c r="H19" s="4880"/>
      <c r="I19" s="4878"/>
      <c r="J19" s="4881"/>
      <c r="K19" s="4881"/>
      <c r="L19" s="4881"/>
      <c r="M19" s="4881"/>
      <c r="N19" s="4882"/>
      <c r="O19" s="4923">
        <f>O18*1.1</f>
        <v>364379400</v>
      </c>
      <c r="P19" s="4884"/>
      <c r="Q19" s="4885"/>
      <c r="R19" s="4886"/>
      <c r="S19" s="4887"/>
      <c r="T19" s="4886"/>
      <c r="U19" s="4888"/>
      <c r="AC19" s="4657"/>
    </row>
    <row r="20" spans="1:29" ht="33.75" customHeight="1">
      <c r="A20" s="4656"/>
      <c r="B20" s="4660"/>
      <c r="C20" s="4660"/>
      <c r="D20" s="4660"/>
      <c r="G20" s="4660"/>
      <c r="H20" s="4660"/>
      <c r="M20" s="4808" t="s">
        <v>5748</v>
      </c>
      <c r="N20" s="4809">
        <f>SUM(N8,N9,N10,N11)</f>
        <v>14340000</v>
      </c>
      <c r="O20" s="4656"/>
      <c r="P20" s="4657"/>
      <c r="Q20" s="4657"/>
      <c r="AC20" s="4657"/>
    </row>
    <row r="21" spans="1:29" ht="33.75" customHeight="1">
      <c r="A21" s="4656"/>
      <c r="B21" s="4660"/>
      <c r="C21" s="4660"/>
      <c r="D21" s="4660"/>
      <c r="G21" s="4660"/>
      <c r="H21" s="4660"/>
      <c r="M21" s="4808" t="s">
        <v>5750</v>
      </c>
      <c r="N21" s="4809">
        <f>N20*1.1</f>
        <v>15774000.000000002</v>
      </c>
      <c r="O21" s="4656"/>
      <c r="P21" s="4657"/>
      <c r="Q21" s="4657"/>
      <c r="AC21" s="4657"/>
    </row>
    <row r="22" spans="1:29" ht="33.75" customHeight="1">
      <c r="A22" s="4656"/>
      <c r="B22" s="4660"/>
      <c r="C22" s="4660"/>
      <c r="D22" s="4660"/>
      <c r="G22" s="4660"/>
      <c r="H22" s="4660"/>
      <c r="O22" s="4656"/>
      <c r="P22" s="4657"/>
      <c r="Q22" s="4657"/>
      <c r="AC22" s="4657"/>
    </row>
    <row r="23" spans="1:29" ht="33.75" customHeight="1" thickBot="1">
      <c r="A23" s="4737" t="s">
        <v>5836</v>
      </c>
      <c r="B23" s="4657"/>
      <c r="C23" s="4657"/>
      <c r="D23" s="4657"/>
      <c r="G23" s="4657"/>
      <c r="H23" s="4657"/>
      <c r="O23" s="4656"/>
      <c r="P23" s="4656"/>
      <c r="Q23" s="4657"/>
      <c r="AC23" s="4657"/>
    </row>
    <row r="24" spans="1:29" s="4738" customFormat="1" ht="33.75" customHeight="1">
      <c r="A24" s="6893" t="s">
        <v>5713</v>
      </c>
      <c r="B24" s="6882" t="s">
        <v>5757</v>
      </c>
      <c r="C24" s="6882" t="s">
        <v>5758</v>
      </c>
      <c r="D24" s="6882" t="s">
        <v>5759</v>
      </c>
      <c r="E24" s="6882" t="s">
        <v>5760</v>
      </c>
      <c r="F24" s="6895" t="s">
        <v>5761</v>
      </c>
      <c r="G24" s="6882" t="s">
        <v>5762</v>
      </c>
      <c r="H24" s="6897" t="s">
        <v>5763</v>
      </c>
      <c r="I24" s="6882" t="s">
        <v>5764</v>
      </c>
      <c r="J24" s="6895" t="s">
        <v>5765</v>
      </c>
      <c r="K24" s="6888" t="s">
        <v>5766</v>
      </c>
      <c r="L24" s="6888" t="s">
        <v>5767</v>
      </c>
      <c r="M24" s="6888" t="s">
        <v>5768</v>
      </c>
      <c r="N24" s="6882" t="s">
        <v>5811</v>
      </c>
      <c r="O24" s="6884" t="s">
        <v>5812</v>
      </c>
      <c r="P24" s="6886" t="s">
        <v>5771</v>
      </c>
      <c r="Q24" s="6887"/>
      <c r="R24" s="6888" t="s">
        <v>5772</v>
      </c>
      <c r="S24" s="6889"/>
      <c r="T24" s="6889"/>
      <c r="U24" s="6890"/>
    </row>
    <row r="25" spans="1:29" s="4738" customFormat="1" ht="33.75" customHeight="1" thickBot="1">
      <c r="A25" s="6894"/>
      <c r="B25" s="6883"/>
      <c r="C25" s="6883"/>
      <c r="D25" s="6883"/>
      <c r="E25" s="6883"/>
      <c r="F25" s="6896"/>
      <c r="G25" s="6883"/>
      <c r="H25" s="6898"/>
      <c r="I25" s="6883"/>
      <c r="J25" s="6896"/>
      <c r="K25" s="6892"/>
      <c r="L25" s="6892"/>
      <c r="M25" s="6892"/>
      <c r="N25" s="6883"/>
      <c r="O25" s="6885"/>
      <c r="P25" s="4739" t="s">
        <v>5773</v>
      </c>
      <c r="Q25" s="4740" t="s">
        <v>5774</v>
      </c>
      <c r="R25" s="4740" t="s">
        <v>5775</v>
      </c>
      <c r="S25" s="4741" t="s">
        <v>5776</v>
      </c>
      <c r="T25" s="4740" t="s">
        <v>5777</v>
      </c>
      <c r="U25" s="4742" t="s">
        <v>5778</v>
      </c>
    </row>
    <row r="26" spans="1:29" s="4666" customFormat="1" ht="33.75" customHeight="1">
      <c r="A26" s="4743" t="s">
        <v>5779</v>
      </c>
      <c r="B26" s="4744">
        <v>46280</v>
      </c>
      <c r="C26" s="4744">
        <v>46300</v>
      </c>
      <c r="D26" s="4745">
        <v>0.3125</v>
      </c>
      <c r="E26" s="4746">
        <v>0.89583333333333337</v>
      </c>
      <c r="F26" s="4747">
        <f>IF(OR(ISBLANK($B26), ISBLANK($C26)), 0, _xlfn.DAYS($C26, $B26) + 1)</f>
        <v>21</v>
      </c>
      <c r="G26" s="4890" t="s">
        <v>5780</v>
      </c>
      <c r="H26" s="4891">
        <v>3</v>
      </c>
      <c r="I26" s="4892" t="s">
        <v>5781</v>
      </c>
      <c r="J26" s="4893">
        <v>30</v>
      </c>
      <c r="K26" s="4894">
        <v>100</v>
      </c>
      <c r="L26" s="4894">
        <f>J26*K26</f>
        <v>3000</v>
      </c>
      <c r="M26" s="4895">
        <v>5</v>
      </c>
      <c r="N26" s="4896">
        <v>150000</v>
      </c>
      <c r="O26" s="4754">
        <f t="shared" ref="O26:O36" si="2">F26*N26</f>
        <v>3150000</v>
      </c>
      <c r="P26" s="4897" t="s">
        <v>5782</v>
      </c>
      <c r="Q26" s="4898">
        <v>4</v>
      </c>
      <c r="R26" s="4898" t="s">
        <v>3804</v>
      </c>
      <c r="S26" s="4894" t="s">
        <v>246</v>
      </c>
      <c r="T26" s="4898" t="s">
        <v>2161</v>
      </c>
      <c r="U26" s="4899">
        <v>2000</v>
      </c>
    </row>
    <row r="27" spans="1:29" s="4666" customFormat="1" ht="33.75" customHeight="1">
      <c r="A27" s="4758">
        <v>1</v>
      </c>
      <c r="B27" s="4910">
        <v>46308</v>
      </c>
      <c r="C27" s="4911">
        <v>46321</v>
      </c>
      <c r="D27" s="4759">
        <v>0.375</v>
      </c>
      <c r="E27" s="4759">
        <v>0.875</v>
      </c>
      <c r="F27" s="4760">
        <f t="shared" ref="F27:F36" si="3">IF(OR(ISBLANK($B27), ISBLANK($C27)), 0, _xlfn.DAYS($C27, $B27) + 1)</f>
        <v>14</v>
      </c>
      <c r="G27" s="4761" t="s">
        <v>6331</v>
      </c>
      <c r="H27" s="4762"/>
      <c r="I27" s="4763" t="s">
        <v>5190</v>
      </c>
      <c r="J27" s="4902"/>
      <c r="K27" s="4765"/>
      <c r="L27" s="4765"/>
      <c r="M27" s="4765"/>
      <c r="N27" s="4762">
        <v>6000000</v>
      </c>
      <c r="O27" s="4766">
        <f t="shared" si="2"/>
        <v>84000000</v>
      </c>
      <c r="P27" s="4857"/>
      <c r="Q27" s="4858"/>
      <c r="R27" s="4859"/>
      <c r="S27" s="4858"/>
      <c r="T27" s="4859"/>
      <c r="U27" s="4860"/>
    </row>
    <row r="28" spans="1:29" ht="33.75" customHeight="1">
      <c r="A28" s="4758">
        <v>2</v>
      </c>
      <c r="B28" s="4910">
        <v>46308</v>
      </c>
      <c r="C28" s="4911">
        <v>46321</v>
      </c>
      <c r="D28" s="4759">
        <v>0.375</v>
      </c>
      <c r="E28" s="4759">
        <v>0.875</v>
      </c>
      <c r="F28" s="4760">
        <f t="shared" si="3"/>
        <v>14</v>
      </c>
      <c r="G28" s="4761" t="s">
        <v>6332</v>
      </c>
      <c r="H28" s="4762"/>
      <c r="I28" s="4763" t="s">
        <v>5190</v>
      </c>
      <c r="J28" s="4902"/>
      <c r="K28" s="4765"/>
      <c r="L28" s="4765"/>
      <c r="M28" s="4765"/>
      <c r="N28" s="4762">
        <v>3240000</v>
      </c>
      <c r="O28" s="4766">
        <f t="shared" si="2"/>
        <v>45360000</v>
      </c>
      <c r="P28" s="4857"/>
      <c r="Q28" s="4858"/>
      <c r="R28" s="4859"/>
      <c r="S28" s="4858"/>
      <c r="T28" s="4859"/>
      <c r="U28" s="4860"/>
      <c r="AC28" s="4657"/>
    </row>
    <row r="29" spans="1:29" ht="33.75" customHeight="1">
      <c r="A29" s="4758">
        <v>3</v>
      </c>
      <c r="B29" s="4910">
        <v>46308</v>
      </c>
      <c r="C29" s="4911">
        <v>46321</v>
      </c>
      <c r="D29" s="4759">
        <v>0.375</v>
      </c>
      <c r="E29" s="4759">
        <v>0.875</v>
      </c>
      <c r="F29" s="4760">
        <f t="shared" si="3"/>
        <v>14</v>
      </c>
      <c r="G29" s="4761" t="s">
        <v>6333</v>
      </c>
      <c r="H29" s="4762"/>
      <c r="I29" s="4763" t="s">
        <v>5190</v>
      </c>
      <c r="J29" s="4902"/>
      <c r="K29" s="4765"/>
      <c r="L29" s="4765"/>
      <c r="M29" s="4765"/>
      <c r="N29" s="4762">
        <v>2700000</v>
      </c>
      <c r="O29" s="4766">
        <f t="shared" si="2"/>
        <v>37800000</v>
      </c>
      <c r="P29" s="4857"/>
      <c r="Q29" s="4858"/>
      <c r="R29" s="4859"/>
      <c r="S29" s="4858"/>
      <c r="T29" s="4859"/>
      <c r="U29" s="4860"/>
      <c r="AC29" s="4657"/>
    </row>
    <row r="30" spans="1:29" ht="33.75" customHeight="1">
      <c r="A30" s="4758">
        <v>4</v>
      </c>
      <c r="B30" s="4910">
        <v>46308</v>
      </c>
      <c r="C30" s="4911">
        <v>46321</v>
      </c>
      <c r="D30" s="4759">
        <v>0.375</v>
      </c>
      <c r="E30" s="4759">
        <v>0.875</v>
      </c>
      <c r="F30" s="4760">
        <f t="shared" si="3"/>
        <v>14</v>
      </c>
      <c r="G30" s="4771" t="s">
        <v>6334</v>
      </c>
      <c r="H30" s="4762"/>
      <c r="I30" s="4763" t="s">
        <v>5190</v>
      </c>
      <c r="J30" s="4902"/>
      <c r="K30" s="4765"/>
      <c r="L30" s="4765"/>
      <c r="M30" s="4765"/>
      <c r="N30" s="4762">
        <v>1800000</v>
      </c>
      <c r="O30" s="4766">
        <f t="shared" si="2"/>
        <v>25200000</v>
      </c>
      <c r="P30" s="4857"/>
      <c r="Q30" s="4858"/>
      <c r="R30" s="4859"/>
      <c r="S30" s="4858"/>
      <c r="T30" s="4859"/>
      <c r="U30" s="4860"/>
      <c r="AC30" s="4657"/>
    </row>
    <row r="31" spans="1:29" ht="33.75" customHeight="1">
      <c r="A31" s="4758">
        <v>5</v>
      </c>
      <c r="B31" s="5514">
        <v>46302</v>
      </c>
      <c r="C31" s="5519">
        <v>46308</v>
      </c>
      <c r="D31" s="4951"/>
      <c r="E31" s="4759"/>
      <c r="F31" s="4760">
        <f t="shared" si="3"/>
        <v>7</v>
      </c>
      <c r="G31" s="5520" t="s">
        <v>6335</v>
      </c>
      <c r="H31" s="4762"/>
      <c r="I31" s="4763" t="s">
        <v>5190</v>
      </c>
      <c r="J31" s="4902"/>
      <c r="K31" s="4765"/>
      <c r="L31" s="4765"/>
      <c r="M31" s="4765"/>
      <c r="N31" s="5007">
        <f>6000000*1.1</f>
        <v>6600000.0000000009</v>
      </c>
      <c r="O31" s="4766">
        <f t="shared" si="2"/>
        <v>46200000.000000007</v>
      </c>
      <c r="P31" s="4857"/>
      <c r="Q31" s="4858"/>
      <c r="R31" s="4859"/>
      <c r="S31" s="4858"/>
      <c r="T31" s="4859"/>
      <c r="U31" s="4860"/>
      <c r="AC31" s="4657"/>
    </row>
    <row r="32" spans="1:29" ht="33.75" customHeight="1">
      <c r="A32" s="4758">
        <v>6</v>
      </c>
      <c r="B32" s="4950"/>
      <c r="C32" s="4950"/>
      <c r="D32" s="4951"/>
      <c r="E32" s="4759"/>
      <c r="F32" s="4760">
        <f t="shared" si="3"/>
        <v>0</v>
      </c>
      <c r="G32" s="4950"/>
      <c r="H32" s="4952"/>
      <c r="I32" s="4763"/>
      <c r="J32" s="4902"/>
      <c r="K32" s="4765"/>
      <c r="L32" s="4765"/>
      <c r="M32" s="4765"/>
      <c r="N32" s="4762"/>
      <c r="O32" s="4766">
        <f t="shared" si="2"/>
        <v>0</v>
      </c>
      <c r="P32" s="4857"/>
      <c r="Q32" s="4858"/>
      <c r="R32" s="4859"/>
      <c r="S32" s="4858"/>
      <c r="T32" s="4859"/>
      <c r="U32" s="4860"/>
      <c r="AC32" s="4657"/>
    </row>
    <row r="33" spans="1:31" ht="33.75" customHeight="1">
      <c r="A33" s="4758">
        <v>7</v>
      </c>
      <c r="B33" s="4950"/>
      <c r="C33" s="4950"/>
      <c r="D33" s="4951"/>
      <c r="E33" s="4759"/>
      <c r="F33" s="4760">
        <f t="shared" si="3"/>
        <v>0</v>
      </c>
      <c r="G33" s="4950"/>
      <c r="H33" s="4952"/>
      <c r="I33" s="4763"/>
      <c r="J33" s="4902"/>
      <c r="K33" s="4765"/>
      <c r="L33" s="4765"/>
      <c r="M33" s="4765"/>
      <c r="N33" s="4762"/>
      <c r="O33" s="4766">
        <f t="shared" si="2"/>
        <v>0</v>
      </c>
      <c r="P33" s="4857"/>
      <c r="Q33" s="4858"/>
      <c r="R33" s="4859"/>
      <c r="S33" s="4858"/>
      <c r="T33" s="4859"/>
      <c r="U33" s="4860"/>
      <c r="AC33" s="4657"/>
    </row>
    <row r="34" spans="1:31" ht="33.75" customHeight="1">
      <c r="A34" s="4758">
        <v>8</v>
      </c>
      <c r="B34" s="4950"/>
      <c r="C34" s="4950"/>
      <c r="D34" s="4951"/>
      <c r="E34" s="4759"/>
      <c r="F34" s="4760">
        <f t="shared" si="3"/>
        <v>0</v>
      </c>
      <c r="G34" s="4950"/>
      <c r="H34" s="4952"/>
      <c r="I34" s="4763"/>
      <c r="J34" s="4902"/>
      <c r="K34" s="4765"/>
      <c r="L34" s="4765"/>
      <c r="M34" s="4765"/>
      <c r="N34" s="4762"/>
      <c r="O34" s="4766">
        <f t="shared" si="2"/>
        <v>0</v>
      </c>
      <c r="P34" s="4857"/>
      <c r="Q34" s="4858"/>
      <c r="R34" s="4859"/>
      <c r="S34" s="4858"/>
      <c r="T34" s="4859"/>
      <c r="U34" s="4860"/>
      <c r="AC34" s="4657"/>
    </row>
    <row r="35" spans="1:31" ht="33.75" customHeight="1">
      <c r="A35" s="4758">
        <v>9</v>
      </c>
      <c r="B35" s="4950"/>
      <c r="C35" s="4950"/>
      <c r="D35" s="4951"/>
      <c r="E35" s="4759"/>
      <c r="F35" s="4760">
        <f t="shared" si="3"/>
        <v>0</v>
      </c>
      <c r="G35" s="4950"/>
      <c r="H35" s="4952"/>
      <c r="I35" s="4763"/>
      <c r="J35" s="4902"/>
      <c r="K35" s="4765"/>
      <c r="L35" s="4765"/>
      <c r="M35" s="4765"/>
      <c r="N35" s="4762"/>
      <c r="O35" s="4766">
        <f t="shared" si="2"/>
        <v>0</v>
      </c>
      <c r="P35" s="4857"/>
      <c r="Q35" s="4858"/>
      <c r="R35" s="4859"/>
      <c r="S35" s="4858"/>
      <c r="T35" s="4859"/>
      <c r="U35" s="4860"/>
      <c r="AC35" s="4657"/>
    </row>
    <row r="36" spans="1:31" ht="33.75" customHeight="1" thickBot="1">
      <c r="A36" s="4772">
        <v>10</v>
      </c>
      <c r="B36" s="4953"/>
      <c r="C36" s="4953"/>
      <c r="D36" s="4954"/>
      <c r="E36" s="4915"/>
      <c r="F36" s="4770">
        <f t="shared" si="3"/>
        <v>0</v>
      </c>
      <c r="G36" s="4953"/>
      <c r="H36" s="4955"/>
      <c r="I36" s="4774"/>
      <c r="J36" s="4902"/>
      <c r="K36" s="4765"/>
      <c r="L36" s="5009"/>
      <c r="M36" s="4765"/>
      <c r="N36" s="4775"/>
      <c r="O36" s="4776">
        <f t="shared" si="2"/>
        <v>0</v>
      </c>
      <c r="P36" s="4918"/>
      <c r="Q36" s="4919"/>
      <c r="R36" s="4920"/>
      <c r="S36" s="4919"/>
      <c r="T36" s="4920"/>
      <c r="U36" s="4921"/>
      <c r="AC36" s="4657"/>
    </row>
    <row r="37" spans="1:31" ht="33.75" customHeight="1" thickTop="1" thickBot="1">
      <c r="A37" s="4865" t="s">
        <v>5939</v>
      </c>
      <c r="B37" s="4866"/>
      <c r="C37" s="4866"/>
      <c r="D37" s="4866"/>
      <c r="E37" s="4866"/>
      <c r="F37" s="4867">
        <f>SUM(F27:F36)</f>
        <v>63</v>
      </c>
      <c r="G37" s="4866"/>
      <c r="H37" s="4868"/>
      <c r="I37" s="4782">
        <f>COUNTA(G27,G28,G29,G30)</f>
        <v>4</v>
      </c>
      <c r="J37" s="4870"/>
      <c r="K37" s="4870"/>
      <c r="L37" s="4870"/>
      <c r="M37" s="4870"/>
      <c r="N37" s="4903"/>
      <c r="O37" s="4871">
        <f>SUM(O27:O36)*1.1</f>
        <v>262416000.00000003</v>
      </c>
      <c r="P37" s="4904"/>
      <c r="Q37" s="4904"/>
      <c r="R37" s="4905"/>
      <c r="S37" s="4906"/>
      <c r="T37" s="4905"/>
      <c r="U37" s="4907"/>
      <c r="AC37" s="4657"/>
    </row>
    <row r="38" spans="1:31" ht="33.75" customHeight="1" thickBot="1">
      <c r="A38" s="4876" t="s">
        <v>5792</v>
      </c>
      <c r="B38" s="4957"/>
      <c r="C38" s="4958"/>
      <c r="D38" s="4958"/>
      <c r="E38" s="4958"/>
      <c r="F38" s="4959"/>
      <c r="G38" s="4958"/>
      <c r="H38" s="4960"/>
      <c r="I38" s="4958"/>
      <c r="J38" s="4961"/>
      <c r="K38" s="4961"/>
      <c r="L38" s="4961"/>
      <c r="M38" s="4961"/>
      <c r="N38" s="4962"/>
      <c r="O38" s="5010">
        <f>O37*1.1</f>
        <v>288657600.00000006</v>
      </c>
      <c r="P38" s="4963"/>
      <c r="Q38" s="4963"/>
      <c r="R38" s="4964"/>
      <c r="S38" s="4965"/>
      <c r="T38" s="4964"/>
      <c r="U38" s="4966"/>
      <c r="V38" s="4941"/>
      <c r="W38" s="4941"/>
      <c r="X38" s="4941"/>
      <c r="Y38" s="4941"/>
      <c r="Z38" s="4941"/>
      <c r="AA38" s="4941"/>
      <c r="AB38" s="4941"/>
      <c r="AC38" s="4941"/>
      <c r="AD38" s="4941"/>
      <c r="AE38" s="4941"/>
    </row>
    <row r="39" spans="1:31" ht="32.15" customHeight="1">
      <c r="A39" s="4656"/>
      <c r="B39" s="4660"/>
      <c r="C39" s="4660"/>
      <c r="D39" s="4660"/>
      <c r="G39" s="4660"/>
      <c r="H39" s="4660"/>
      <c r="M39" s="4808" t="s">
        <v>5748</v>
      </c>
      <c r="N39" s="4809">
        <f>SUM(N27,N28,N29,N30)</f>
        <v>13740000</v>
      </c>
      <c r="O39" s="4656"/>
      <c r="P39" s="4657"/>
      <c r="Q39" s="4657"/>
      <c r="AC39" s="4657"/>
    </row>
    <row r="40" spans="1:31" ht="32.15" customHeight="1">
      <c r="B40" s="4657"/>
      <c r="C40" s="4657"/>
      <c r="D40" s="4657"/>
      <c r="E40" s="4810"/>
      <c r="F40" s="4811"/>
      <c r="G40" s="4657"/>
      <c r="H40" s="4657"/>
      <c r="M40" s="4808" t="s">
        <v>5750</v>
      </c>
      <c r="N40" s="4809">
        <f>N39*1.1</f>
        <v>15114000.000000002</v>
      </c>
      <c r="O40" s="4656"/>
      <c r="P40" s="4657"/>
      <c r="Q40" s="4657"/>
      <c r="AC40" s="4657"/>
    </row>
    <row r="41" spans="1:31" ht="32.15" customHeight="1">
      <c r="A41" s="4812"/>
      <c r="B41" s="4813"/>
      <c r="C41" s="4813"/>
      <c r="D41" s="4813"/>
      <c r="E41" s="4814"/>
      <c r="F41" s="4814"/>
      <c r="G41" s="4813"/>
      <c r="H41" s="4813"/>
      <c r="I41" s="4812"/>
      <c r="J41" s="4812"/>
      <c r="K41" s="4812"/>
      <c r="L41" s="4812"/>
      <c r="M41" s="4812"/>
      <c r="N41" s="4812"/>
      <c r="O41" s="4715"/>
      <c r="P41" s="4715"/>
      <c r="Q41" s="4715"/>
      <c r="R41" s="4656"/>
      <c r="S41" s="4812"/>
      <c r="T41" s="4656"/>
      <c r="U41" s="4812"/>
      <c r="W41" s="6905"/>
      <c r="X41" s="6905"/>
      <c r="Y41" s="6905"/>
      <c r="Z41" s="6905"/>
      <c r="AA41" s="6905"/>
      <c r="AB41" s="6891"/>
      <c r="AC41" s="6891"/>
      <c r="AD41" s="6891"/>
      <c r="AE41" s="6891"/>
    </row>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36" customHeight="1"/>
    <row r="51" spans="2:29" ht="36" customHeight="1"/>
    <row r="52" spans="2:29" ht="10.4" customHeight="1">
      <c r="B52" s="4657"/>
      <c r="C52" s="4657"/>
      <c r="D52" s="4657"/>
      <c r="G52" s="4657"/>
      <c r="H52" s="4657"/>
      <c r="O52" s="4656"/>
      <c r="P52" s="4657"/>
      <c r="Q52" s="4657"/>
      <c r="AC52" s="4657"/>
    </row>
  </sheetData>
  <mergeCells count="38">
    <mergeCell ref="A2:B2"/>
    <mergeCell ref="C2:G2"/>
    <mergeCell ref="A5:A6"/>
    <mergeCell ref="B5:B6"/>
    <mergeCell ref="C5:C6"/>
    <mergeCell ref="D5:D6"/>
    <mergeCell ref="E5:E6"/>
    <mergeCell ref="F5:F6"/>
    <mergeCell ref="G5:G6"/>
    <mergeCell ref="F24:F25"/>
    <mergeCell ref="H5:H6"/>
    <mergeCell ref="I5:I6"/>
    <mergeCell ref="J5:J6"/>
    <mergeCell ref="K5:K6"/>
    <mergeCell ref="G24:G25"/>
    <mergeCell ref="H24:H25"/>
    <mergeCell ref="I24:I25"/>
    <mergeCell ref="J24:J25"/>
    <mergeCell ref="K24:K25"/>
    <mergeCell ref="A24:A25"/>
    <mergeCell ref="B24:B25"/>
    <mergeCell ref="C24:C25"/>
    <mergeCell ref="D24:D25"/>
    <mergeCell ref="E24:E25"/>
    <mergeCell ref="L24:L25"/>
    <mergeCell ref="N5:N6"/>
    <mergeCell ref="O5:O6"/>
    <mergeCell ref="P5:Q5"/>
    <mergeCell ref="R5:U5"/>
    <mergeCell ref="L5:L6"/>
    <mergeCell ref="M5:M6"/>
    <mergeCell ref="AB41:AE41"/>
    <mergeCell ref="M24:M25"/>
    <mergeCell ref="N24:N25"/>
    <mergeCell ref="O24:O25"/>
    <mergeCell ref="P24:Q24"/>
    <mergeCell ref="R24:U24"/>
    <mergeCell ref="W41:AA41"/>
  </mergeCells>
  <phoneticPr fontId="2"/>
  <conditionalFormatting sqref="B32:E36">
    <cfRule type="containsBlanks" dxfId="286" priority="4">
      <formula>LEN(TRIM(B32))=0</formula>
    </cfRule>
  </conditionalFormatting>
  <conditionalFormatting sqref="C2:D2">
    <cfRule type="containsBlanks" dxfId="285" priority="6">
      <formula>LEN(TRIM(C2))=0</formula>
    </cfRule>
  </conditionalFormatting>
  <conditionalFormatting sqref="D8:E11 G8:N17 B12:E17">
    <cfRule type="containsBlanks" dxfId="284" priority="5">
      <formula>LEN(TRIM(B8))=0</formula>
    </cfRule>
  </conditionalFormatting>
  <conditionalFormatting sqref="D27:E31">
    <cfRule type="containsBlanks" dxfId="283" priority="1">
      <formula>LEN(TRIM(D27))=0</formula>
    </cfRule>
  </conditionalFormatting>
  <conditionalFormatting sqref="G27:K36">
    <cfRule type="containsBlanks" dxfId="282" priority="3">
      <formula>LEN(TRIM(G27))=0</formula>
    </cfRule>
  </conditionalFormatting>
  <conditionalFormatting sqref="M27:N36">
    <cfRule type="containsBlanks" dxfId="281" priority="2">
      <formula>LEN(TRIM(M27))=0</formula>
    </cfRule>
  </conditionalFormatting>
  <conditionalFormatting sqref="P8:U17">
    <cfRule type="containsBlanks" dxfId="280" priority="8">
      <formula>LEN(TRIM(P8))=0</formula>
    </cfRule>
  </conditionalFormatting>
  <conditionalFormatting sqref="P27:U36">
    <cfRule type="containsBlanks" dxfId="279" priority="7">
      <formula>LEN(TRIM(P27))=0</formula>
    </cfRule>
  </conditionalFormatting>
  <dataValidations count="1">
    <dataValidation type="list" allowBlank="1" showInputMessage="1" showErrorMessage="1" sqref="I7:I17 I26:I36" xr:uid="{A238ED8B-C100-41E1-A0F4-F6ADE247F135}">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0B18-3FEC-4313-9A70-E9A28F190969}">
  <sheetPr codeName="Sheet373">
    <tabColor rgb="FFFFFF66"/>
    <pageSetUpPr fitToPage="1"/>
  </sheetPr>
  <dimension ref="A1:AE52"/>
  <sheetViews>
    <sheetView topLeftCell="A42"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'[6]別紙1-1）客室提供条件'!C2</f>
        <v>コートヤードバイマリオット</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46281</v>
      </c>
      <c r="C8" s="4911">
        <v>46300</v>
      </c>
      <c r="D8" s="4759"/>
      <c r="E8" s="4759"/>
      <c r="F8" s="4760">
        <f>IF(OR(ISBLANK($B8), ISBLANK($C8)), 0, _xlfn.DAYS($C8, $B8) + 1)</f>
        <v>20</v>
      </c>
      <c r="G8" s="4975"/>
      <c r="H8" s="4762">
        <v>340</v>
      </c>
      <c r="I8" s="4763" t="s">
        <v>4248</v>
      </c>
      <c r="J8" s="4902"/>
      <c r="K8" s="4765"/>
      <c r="L8" s="4765"/>
      <c r="M8" s="4765"/>
      <c r="N8" s="4762">
        <f>6000*1.1</f>
        <v>6600.0000000000009</v>
      </c>
      <c r="O8" s="4766">
        <f>F8*N8*H8</f>
        <v>44880000.000000007</v>
      </c>
      <c r="P8" s="4857"/>
      <c r="Q8" s="4858"/>
      <c r="R8" s="4864"/>
      <c r="S8" s="4858"/>
      <c r="T8" s="4859"/>
      <c r="U8" s="4860"/>
    </row>
    <row r="9" spans="1:31" ht="33.75" customHeight="1">
      <c r="A9" s="4758">
        <v>2</v>
      </c>
      <c r="B9" s="4910">
        <v>46281</v>
      </c>
      <c r="C9" s="4911">
        <v>46300</v>
      </c>
      <c r="D9" s="4759"/>
      <c r="E9" s="4759"/>
      <c r="F9" s="4760">
        <f t="shared" ref="F9:F17" si="1">IF(OR(ISBLANK($B9), ISBLANK($C9)), 0, _xlfn.DAYS($C9, $B9) + 1)</f>
        <v>20</v>
      </c>
      <c r="G9" s="4975"/>
      <c r="H9" s="4762">
        <v>340</v>
      </c>
      <c r="I9" s="4763" t="s">
        <v>4249</v>
      </c>
      <c r="J9" s="4902"/>
      <c r="K9" s="4765"/>
      <c r="L9" s="4765"/>
      <c r="M9" s="4765"/>
      <c r="N9" s="4762">
        <f>10000*1.1</f>
        <v>11000</v>
      </c>
      <c r="O9" s="4766">
        <f>F9*N9*H9</f>
        <v>74800000</v>
      </c>
      <c r="P9" s="4857"/>
      <c r="Q9" s="4858"/>
      <c r="R9" s="4864"/>
      <c r="S9" s="4858"/>
      <c r="T9" s="4859"/>
      <c r="U9" s="4860"/>
      <c r="AC9" s="4657"/>
    </row>
    <row r="10" spans="1:31" ht="33.75" customHeight="1">
      <c r="A10" s="4758">
        <v>3</v>
      </c>
      <c r="B10" s="4816"/>
      <c r="C10" s="4816"/>
      <c r="D10" s="4759"/>
      <c r="E10" s="4759"/>
      <c r="F10" s="4760">
        <f t="shared" si="1"/>
        <v>0</v>
      </c>
      <c r="G10" s="4975"/>
      <c r="H10" s="4762"/>
      <c r="I10" s="4763"/>
      <c r="J10" s="4764"/>
      <c r="K10" s="4765"/>
      <c r="L10" s="4765"/>
      <c r="M10" s="4765"/>
      <c r="N10" s="4762"/>
      <c r="O10" s="4766">
        <f t="shared" si="0"/>
        <v>0</v>
      </c>
      <c r="P10" s="4909"/>
      <c r="Q10" s="4858"/>
      <c r="R10" s="4864"/>
      <c r="S10" s="4858"/>
      <c r="T10" s="4859"/>
      <c r="U10" s="4860"/>
      <c r="AC10" s="4657"/>
    </row>
    <row r="11" spans="1:31" ht="33.75" customHeight="1">
      <c r="A11" s="4758">
        <v>4</v>
      </c>
      <c r="B11" s="4816"/>
      <c r="C11" s="4816"/>
      <c r="D11" s="4759"/>
      <c r="E11" s="4759"/>
      <c r="F11" s="4760">
        <f t="shared" si="1"/>
        <v>0</v>
      </c>
      <c r="G11" s="4771"/>
      <c r="H11" s="4762"/>
      <c r="I11" s="4763"/>
      <c r="J11" s="4764"/>
      <c r="K11" s="4765"/>
      <c r="L11" s="4765"/>
      <c r="M11" s="4765"/>
      <c r="N11" s="4762"/>
      <c r="O11" s="4766">
        <f t="shared" si="0"/>
        <v>0</v>
      </c>
      <c r="P11" s="4857"/>
      <c r="Q11" s="4858"/>
      <c r="R11" s="4859"/>
      <c r="S11" s="4858"/>
      <c r="T11" s="4859"/>
      <c r="U11" s="4860"/>
      <c r="AC11" s="4657"/>
    </row>
    <row r="12" spans="1:31" ht="33.75" customHeight="1">
      <c r="A12" s="4758">
        <v>5</v>
      </c>
      <c r="B12" s="4816"/>
      <c r="C12" s="4816"/>
      <c r="D12" s="4759"/>
      <c r="E12" s="4759"/>
      <c r="F12" s="4760">
        <f t="shared" si="1"/>
        <v>0</v>
      </c>
      <c r="G12" s="4771"/>
      <c r="H12" s="4762"/>
      <c r="I12" s="4763"/>
      <c r="J12" s="4764"/>
      <c r="K12" s="4765"/>
      <c r="L12" s="4765"/>
      <c r="M12" s="4765"/>
      <c r="N12" s="4762"/>
      <c r="O12" s="4766">
        <f t="shared" si="0"/>
        <v>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40</v>
      </c>
      <c r="G18" s="4779"/>
      <c r="H18" s="4781"/>
      <c r="I18" s="4782"/>
      <c r="J18" s="4783"/>
      <c r="K18" s="4784"/>
      <c r="L18" s="4784"/>
      <c r="M18" s="4784"/>
      <c r="N18" s="4785"/>
      <c r="O18" s="4922">
        <f>SUM(O8:O17)</f>
        <v>119680000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131648000.00000001</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f>1.1*SUM(O8:O9)</f>
        <v>131648000.00000001</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v>0</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33.75" customHeight="1" thickBot="1">
      <c r="A25" s="4737" t="s">
        <v>5849</v>
      </c>
      <c r="B25" s="4657"/>
      <c r="C25" s="4657"/>
      <c r="D25" s="4657"/>
      <c r="G25" s="4657"/>
      <c r="H25" s="4657"/>
      <c r="O25" s="4656"/>
      <c r="P25" s="4656"/>
      <c r="Q25" s="4657"/>
      <c r="AC25" s="4657"/>
    </row>
    <row r="26" spans="1:31" s="4738" customFormat="1" ht="33.75" customHeight="1">
      <c r="A26" s="6893" t="s">
        <v>5713</v>
      </c>
      <c r="B26" s="6882" t="s">
        <v>5757</v>
      </c>
      <c r="C26" s="6882" t="s">
        <v>5758</v>
      </c>
      <c r="D26" s="6882" t="s">
        <v>5759</v>
      </c>
      <c r="E26" s="6882" t="s">
        <v>5760</v>
      </c>
      <c r="F26" s="6895" t="s">
        <v>5761</v>
      </c>
      <c r="G26" s="6882"/>
      <c r="H26" s="6897" t="s">
        <v>6252</v>
      </c>
      <c r="I26" s="6882" t="s">
        <v>6253</v>
      </c>
      <c r="J26" s="6895"/>
      <c r="K26" s="6888"/>
      <c r="L26" s="6888"/>
      <c r="M26" s="6888"/>
      <c r="N26" s="6882" t="s">
        <v>6254</v>
      </c>
      <c r="O26" s="6884" t="s">
        <v>5812</v>
      </c>
      <c r="P26" s="6886" t="s">
        <v>5771</v>
      </c>
      <c r="Q26" s="6887"/>
      <c r="R26" s="6888" t="s">
        <v>5772</v>
      </c>
      <c r="S26" s="6889"/>
      <c r="T26" s="6889"/>
      <c r="U26" s="6890"/>
    </row>
    <row r="27" spans="1:31"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31" s="4666" customFormat="1" ht="33.75" customHeight="1">
      <c r="A28" s="4743" t="s">
        <v>5779</v>
      </c>
      <c r="B28" s="4744">
        <v>46280</v>
      </c>
      <c r="C28" s="4744">
        <v>46300</v>
      </c>
      <c r="D28" s="4745">
        <v>0.3125</v>
      </c>
      <c r="E28" s="4746">
        <v>0.89583333333333337</v>
      </c>
      <c r="F28" s="4747">
        <f>IF(OR(ISBLANK($B28), ISBLANK($C28)), 0, _xlfn.DAYS($C28, $B28) + 1)</f>
        <v>21</v>
      </c>
      <c r="G28" s="4890" t="s">
        <v>5780</v>
      </c>
      <c r="H28" s="4891">
        <v>3</v>
      </c>
      <c r="I28" s="4892" t="s">
        <v>5781</v>
      </c>
      <c r="J28" s="4893">
        <v>30</v>
      </c>
      <c r="K28" s="4894">
        <v>100</v>
      </c>
      <c r="L28" s="4894">
        <f>J28*K28</f>
        <v>3000</v>
      </c>
      <c r="M28" s="4895">
        <v>5</v>
      </c>
      <c r="N28" s="4896">
        <v>150000</v>
      </c>
      <c r="O28" s="4754">
        <f t="shared" ref="O28:O38" si="2">F28*N28</f>
        <v>3150000</v>
      </c>
      <c r="P28" s="4897" t="s">
        <v>5782</v>
      </c>
      <c r="Q28" s="4898">
        <v>4</v>
      </c>
      <c r="R28" s="4898" t="s">
        <v>3804</v>
      </c>
      <c r="S28" s="4894" t="s">
        <v>246</v>
      </c>
      <c r="T28" s="4898" t="s">
        <v>2161</v>
      </c>
      <c r="U28" s="4899">
        <v>2000</v>
      </c>
    </row>
    <row r="29" spans="1:31" s="4666" customFormat="1" ht="33.75" customHeight="1">
      <c r="A29" s="4758">
        <v>1</v>
      </c>
      <c r="B29" s="4910">
        <v>46310</v>
      </c>
      <c r="C29" s="4911">
        <v>46320</v>
      </c>
      <c r="D29" s="4759"/>
      <c r="E29" s="4759"/>
      <c r="F29" s="4760">
        <f t="shared" ref="F29:F38" si="3">IF(OR(ISBLANK($B29), ISBLANK($C29)), 0, _xlfn.DAYS($C29, $B29) + 1)</f>
        <v>11</v>
      </c>
      <c r="G29" s="4975"/>
      <c r="H29" s="4762">
        <v>340</v>
      </c>
      <c r="I29" s="4763" t="s">
        <v>4248</v>
      </c>
      <c r="J29" s="4902"/>
      <c r="K29" s="4765"/>
      <c r="L29" s="4765"/>
      <c r="M29" s="4765"/>
      <c r="N29" s="4762">
        <f>6000*1.1</f>
        <v>6600.0000000000009</v>
      </c>
      <c r="O29" s="4766">
        <f t="shared" ref="O29" si="4">F29*N29*H29</f>
        <v>24684000.000000004</v>
      </c>
      <c r="P29" s="4857"/>
      <c r="Q29" s="4858"/>
      <c r="R29" s="4859"/>
      <c r="S29" s="4858"/>
      <c r="T29" s="4859"/>
      <c r="U29" s="4860"/>
    </row>
    <row r="30" spans="1:31" ht="33.75" customHeight="1">
      <c r="A30" s="4758">
        <v>2</v>
      </c>
      <c r="B30" s="4910">
        <v>46310</v>
      </c>
      <c r="C30" s="4911">
        <v>46320</v>
      </c>
      <c r="D30" s="4759"/>
      <c r="E30" s="4759"/>
      <c r="F30" s="4760">
        <f t="shared" si="3"/>
        <v>11</v>
      </c>
      <c r="G30" s="4975"/>
      <c r="H30" s="4762">
        <v>340</v>
      </c>
      <c r="I30" s="4763" t="s">
        <v>4249</v>
      </c>
      <c r="J30" s="4902"/>
      <c r="K30" s="4765"/>
      <c r="L30" s="4765"/>
      <c r="M30" s="4765"/>
      <c r="N30" s="4762">
        <f>10000*1.1</f>
        <v>11000</v>
      </c>
      <c r="O30" s="4766">
        <f>F30*N30*H30</f>
        <v>41140000</v>
      </c>
      <c r="P30" s="4857"/>
      <c r="Q30" s="4858"/>
      <c r="R30" s="4859"/>
      <c r="S30" s="4858"/>
      <c r="T30" s="4859"/>
      <c r="U30" s="4860"/>
      <c r="AC30" s="4657"/>
    </row>
    <row r="31" spans="1:31" ht="33.75" customHeight="1">
      <c r="A31" s="4758">
        <v>3</v>
      </c>
      <c r="B31" s="4950"/>
      <c r="C31" s="4950"/>
      <c r="D31" s="4951"/>
      <c r="E31" s="4759"/>
      <c r="F31" s="4760">
        <f t="shared" si="3"/>
        <v>0</v>
      </c>
      <c r="G31" s="4771"/>
      <c r="H31" s="4762"/>
      <c r="I31" s="4763"/>
      <c r="J31" s="4902"/>
      <c r="K31" s="4765"/>
      <c r="L31" s="4765"/>
      <c r="M31" s="4765"/>
      <c r="N31" s="4762"/>
      <c r="O31" s="4766">
        <f t="shared" ref="O31:O36" si="5">F31*N31*H31</f>
        <v>0</v>
      </c>
      <c r="P31" s="4857"/>
      <c r="Q31" s="4858"/>
      <c r="R31" s="4859"/>
      <c r="S31" s="4858"/>
      <c r="T31" s="4859"/>
      <c r="U31" s="4860"/>
      <c r="AC31" s="4657"/>
    </row>
    <row r="32" spans="1:31" ht="33.75" customHeight="1">
      <c r="A32" s="4758">
        <v>4</v>
      </c>
      <c r="B32" s="4950"/>
      <c r="C32" s="4950"/>
      <c r="D32" s="4951"/>
      <c r="E32" s="4759"/>
      <c r="F32" s="4760">
        <f t="shared" si="3"/>
        <v>0</v>
      </c>
      <c r="G32" s="5521"/>
      <c r="H32" s="4762"/>
      <c r="I32" s="4763"/>
      <c r="J32" s="4902"/>
      <c r="K32" s="4765"/>
      <c r="L32" s="4765"/>
      <c r="M32" s="4765"/>
      <c r="N32" s="4762"/>
      <c r="O32" s="4766">
        <f t="shared" si="5"/>
        <v>0</v>
      </c>
      <c r="P32" s="4857"/>
      <c r="Q32" s="4858"/>
      <c r="R32" s="4859"/>
      <c r="S32" s="4858"/>
      <c r="T32" s="4859"/>
      <c r="U32" s="4860"/>
      <c r="AC32" s="4657"/>
    </row>
    <row r="33" spans="1:31" ht="33.75" customHeight="1">
      <c r="A33" s="4758">
        <v>5</v>
      </c>
      <c r="B33" s="4950"/>
      <c r="C33" s="4950"/>
      <c r="D33" s="4913"/>
      <c r="E33" s="4759"/>
      <c r="F33" s="4760">
        <f t="shared" si="3"/>
        <v>0</v>
      </c>
      <c r="G33" s="5522"/>
      <c r="H33" s="4762"/>
      <c r="I33" s="4763"/>
      <c r="J33" s="4902"/>
      <c r="K33" s="4765"/>
      <c r="L33" s="4765"/>
      <c r="M33" s="4765"/>
      <c r="N33" s="4762"/>
      <c r="O33" s="4766">
        <f t="shared" si="5"/>
        <v>0</v>
      </c>
      <c r="P33" s="4857"/>
      <c r="Q33" s="4858"/>
      <c r="R33" s="4859"/>
      <c r="S33" s="4858"/>
      <c r="T33" s="4859"/>
      <c r="U33" s="4860"/>
      <c r="AC33" s="4657"/>
    </row>
    <row r="34" spans="1:31" ht="33.75" customHeight="1">
      <c r="A34" s="4758">
        <v>6</v>
      </c>
      <c r="B34" s="4950"/>
      <c r="C34" s="4950"/>
      <c r="D34" s="4951"/>
      <c r="E34" s="4759"/>
      <c r="F34" s="4760">
        <f t="shared" si="3"/>
        <v>0</v>
      </c>
      <c r="G34" s="5522"/>
      <c r="H34" s="4762"/>
      <c r="I34" s="4763"/>
      <c r="J34" s="4902"/>
      <c r="K34" s="4765"/>
      <c r="L34" s="4765"/>
      <c r="M34" s="4765"/>
      <c r="N34" s="4762"/>
      <c r="O34" s="4766">
        <f t="shared" si="5"/>
        <v>0</v>
      </c>
      <c r="P34" s="4857"/>
      <c r="Q34" s="4858"/>
      <c r="R34" s="4859"/>
      <c r="S34" s="4858"/>
      <c r="T34" s="4859"/>
      <c r="U34" s="4860"/>
      <c r="AC34" s="4657"/>
    </row>
    <row r="35" spans="1:31" ht="33.75" customHeight="1">
      <c r="A35" s="4758">
        <v>7</v>
      </c>
      <c r="B35" s="4950"/>
      <c r="C35" s="4950"/>
      <c r="D35" s="4951"/>
      <c r="E35" s="4759"/>
      <c r="F35" s="4760">
        <f t="shared" si="3"/>
        <v>0</v>
      </c>
      <c r="G35" s="4771"/>
      <c r="H35" s="4762"/>
      <c r="I35" s="4763"/>
      <c r="J35" s="4902"/>
      <c r="K35" s="4765"/>
      <c r="L35" s="4765"/>
      <c r="M35" s="4765"/>
      <c r="N35" s="4762"/>
      <c r="O35" s="4766">
        <f t="shared" si="5"/>
        <v>0</v>
      </c>
      <c r="P35" s="4857"/>
      <c r="Q35" s="4858"/>
      <c r="R35" s="4859"/>
      <c r="S35" s="4858"/>
      <c r="T35" s="4859"/>
      <c r="U35" s="4860"/>
      <c r="AC35" s="4657"/>
    </row>
    <row r="36" spans="1:31" ht="33.75" customHeight="1">
      <c r="A36" s="4758">
        <v>8</v>
      </c>
      <c r="B36" s="4950"/>
      <c r="C36" s="4950"/>
      <c r="D36" s="4951"/>
      <c r="E36" s="4759"/>
      <c r="F36" s="4760">
        <f t="shared" si="3"/>
        <v>0</v>
      </c>
      <c r="G36" s="5521"/>
      <c r="H36" s="4762"/>
      <c r="I36" s="4763"/>
      <c r="J36" s="4902"/>
      <c r="K36" s="4765"/>
      <c r="L36" s="4765"/>
      <c r="M36" s="4765"/>
      <c r="N36" s="4762"/>
      <c r="O36" s="4766">
        <f t="shared" si="5"/>
        <v>0</v>
      </c>
      <c r="P36" s="4857"/>
      <c r="Q36" s="4858"/>
      <c r="R36" s="4859"/>
      <c r="S36" s="4858"/>
      <c r="T36" s="4859"/>
      <c r="U36" s="4860"/>
      <c r="AC36" s="4657"/>
    </row>
    <row r="37" spans="1:31" ht="33.75" customHeight="1">
      <c r="A37" s="4758">
        <v>9</v>
      </c>
      <c r="B37" s="4950"/>
      <c r="C37" s="4950"/>
      <c r="D37" s="4951"/>
      <c r="E37" s="4759"/>
      <c r="F37" s="4760">
        <f t="shared" si="3"/>
        <v>0</v>
      </c>
      <c r="G37" s="4950"/>
      <c r="H37" s="4952"/>
      <c r="I37" s="4763"/>
      <c r="J37" s="4902"/>
      <c r="K37" s="4765"/>
      <c r="L37" s="4765"/>
      <c r="M37" s="4765"/>
      <c r="N37" s="4762"/>
      <c r="O37" s="4766">
        <f t="shared" si="2"/>
        <v>0</v>
      </c>
      <c r="P37" s="4857"/>
      <c r="Q37" s="4858"/>
      <c r="R37" s="4859"/>
      <c r="S37" s="4858"/>
      <c r="T37" s="4859"/>
      <c r="U37" s="4860"/>
      <c r="AC37" s="4657"/>
    </row>
    <row r="38" spans="1:31" ht="33.75" customHeight="1" thickBot="1">
      <c r="A38" s="4772">
        <v>10</v>
      </c>
      <c r="B38" s="4953"/>
      <c r="C38" s="4953"/>
      <c r="D38" s="4954"/>
      <c r="E38" s="4915"/>
      <c r="F38" s="4770">
        <f t="shared" si="3"/>
        <v>0</v>
      </c>
      <c r="G38" s="4953"/>
      <c r="H38" s="4955"/>
      <c r="I38" s="4774"/>
      <c r="J38" s="4902"/>
      <c r="K38" s="4765"/>
      <c r="L38" s="5009"/>
      <c r="M38" s="4765"/>
      <c r="N38" s="4775"/>
      <c r="O38" s="4776">
        <f t="shared" si="2"/>
        <v>0</v>
      </c>
      <c r="P38" s="4918"/>
      <c r="Q38" s="4919"/>
      <c r="R38" s="4920"/>
      <c r="S38" s="4919"/>
      <c r="T38" s="4920"/>
      <c r="U38" s="4921"/>
      <c r="AC38" s="4657"/>
    </row>
    <row r="39" spans="1:31" ht="33.75" customHeight="1" thickTop="1" thickBot="1">
      <c r="A39" s="4865" t="s">
        <v>5939</v>
      </c>
      <c r="B39" s="4866"/>
      <c r="C39" s="4866"/>
      <c r="D39" s="4866"/>
      <c r="E39" s="4866"/>
      <c r="F39" s="4867">
        <f>SUM(F29:F38)</f>
        <v>22</v>
      </c>
      <c r="G39" s="4866"/>
      <c r="H39" s="4868"/>
      <c r="I39" s="4782"/>
      <c r="J39" s="4870"/>
      <c r="K39" s="4870"/>
      <c r="L39" s="4870"/>
      <c r="M39" s="4870"/>
      <c r="N39" s="4903"/>
      <c r="O39" s="4871">
        <f>SUM(O29:O38)</f>
        <v>65824000</v>
      </c>
      <c r="P39" s="4904"/>
      <c r="Q39" s="4904"/>
      <c r="R39" s="4905"/>
      <c r="S39" s="4906"/>
      <c r="T39" s="4905"/>
      <c r="U39" s="4907"/>
      <c r="AC39" s="4657"/>
    </row>
    <row r="40" spans="1:31" ht="33.75" customHeight="1" thickBot="1">
      <c r="A40" s="4876" t="s">
        <v>5792</v>
      </c>
      <c r="B40" s="4957"/>
      <c r="C40" s="4958"/>
      <c r="D40" s="4958"/>
      <c r="E40" s="4958"/>
      <c r="F40" s="4959"/>
      <c r="G40" s="4958"/>
      <c r="H40" s="4960"/>
      <c r="I40" s="4958"/>
      <c r="J40" s="4961"/>
      <c r="K40" s="4961"/>
      <c r="L40" s="4961"/>
      <c r="M40" s="4961"/>
      <c r="N40" s="4962"/>
      <c r="O40" s="5010">
        <f>O39*1.1</f>
        <v>72406400</v>
      </c>
      <c r="P40" s="4963"/>
      <c r="Q40" s="4963"/>
      <c r="R40" s="4964"/>
      <c r="S40" s="4965"/>
      <c r="T40" s="4964"/>
      <c r="U40" s="4966"/>
      <c r="V40" s="4941"/>
      <c r="W40" s="4941"/>
      <c r="X40" s="4941"/>
      <c r="Y40" s="4941"/>
      <c r="Z40" s="4941"/>
      <c r="AA40" s="4941"/>
      <c r="AB40" s="4941"/>
      <c r="AC40" s="4941"/>
      <c r="AD40" s="4941"/>
      <c r="AE40" s="4941"/>
    </row>
    <row r="41" spans="1:31" ht="32.15" customHeight="1" thickBot="1">
      <c r="A41" s="4656"/>
      <c r="B41" s="4660"/>
      <c r="C41" s="4660"/>
      <c r="D41" s="4660"/>
      <c r="G41" s="4660"/>
      <c r="H41" s="4660"/>
      <c r="M41" s="4657"/>
      <c r="N41" s="4657"/>
      <c r="O41" s="4656"/>
      <c r="P41" s="4657"/>
      <c r="Q41" s="4657"/>
      <c r="AC41" s="4657"/>
    </row>
    <row r="42" spans="1:31" ht="39.65" customHeight="1" thickBot="1">
      <c r="A42" s="6908" t="s">
        <v>5846</v>
      </c>
      <c r="B42" s="6909"/>
      <c r="C42" s="4924">
        <f>1.1*SUM(O29:O30)</f>
        <v>72406400</v>
      </c>
      <c r="D42" s="4658" t="s">
        <v>5916</v>
      </c>
      <c r="E42" s="4814"/>
      <c r="F42" s="4814"/>
      <c r="G42" s="4813"/>
      <c r="H42" s="4813"/>
      <c r="I42" s="4812"/>
      <c r="J42" s="4812"/>
      <c r="K42" s="4812"/>
      <c r="L42" s="4812"/>
      <c r="M42" s="4812"/>
      <c r="N42" s="4812"/>
      <c r="O42" s="4715"/>
      <c r="P42" s="4715"/>
      <c r="Q42" s="4715"/>
      <c r="R42" s="4656"/>
      <c r="S42" s="4812"/>
      <c r="T42" s="4656"/>
      <c r="U42" s="4812"/>
      <c r="W42" s="6905"/>
      <c r="X42" s="6905"/>
      <c r="Y42" s="6905"/>
      <c r="Z42" s="6905"/>
      <c r="AA42" s="6905"/>
      <c r="AB42" s="6891"/>
      <c r="AC42" s="6891"/>
      <c r="AD42" s="6891"/>
      <c r="AE42" s="6891"/>
    </row>
    <row r="43" spans="1:31" ht="36" customHeight="1" thickBot="1">
      <c r="A43" s="6906" t="s">
        <v>5848</v>
      </c>
      <c r="B43" s="6907"/>
      <c r="C43" s="4925">
        <v>0</v>
      </c>
    </row>
    <row r="44" spans="1:31" ht="36" customHeight="1"/>
    <row r="45" spans="1:31" ht="36" customHeight="1">
      <c r="A45" s="4728" t="s">
        <v>6336</v>
      </c>
    </row>
    <row r="46" spans="1:31" ht="36" customHeight="1">
      <c r="A46" s="4758">
        <v>1</v>
      </c>
      <c r="B46" s="4910">
        <v>46310</v>
      </c>
      <c r="C46" s="4911">
        <v>46320</v>
      </c>
      <c r="D46" s="4759"/>
      <c r="E46" s="4759"/>
      <c r="F46" s="4760">
        <f t="shared" ref="F46:F47" si="6">IF(OR(ISBLANK($B46), ISBLANK($C46)), 0, _xlfn.DAYS($C46, $B46) + 1)</f>
        <v>11</v>
      </c>
      <c r="G46" s="4975"/>
      <c r="H46" s="4762">
        <v>257</v>
      </c>
      <c r="I46" s="4763" t="s">
        <v>4248</v>
      </c>
      <c r="J46" s="4902"/>
      <c r="K46" s="4765"/>
      <c r="L46" s="4765"/>
      <c r="M46" s="4765"/>
      <c r="N46" s="4762">
        <f>6000*1.1</f>
        <v>6600.0000000000009</v>
      </c>
      <c r="O46" s="4766">
        <f t="shared" ref="O46" si="7">F46*N46*H46</f>
        <v>18658200.000000004</v>
      </c>
    </row>
    <row r="47" spans="1:31" ht="36" customHeight="1">
      <c r="A47" s="4758">
        <v>2</v>
      </c>
      <c r="B47" s="4910">
        <v>46310</v>
      </c>
      <c r="C47" s="4911">
        <v>46320</v>
      </c>
      <c r="D47" s="4759"/>
      <c r="E47" s="4759"/>
      <c r="F47" s="4760">
        <f t="shared" si="6"/>
        <v>11</v>
      </c>
      <c r="G47" s="4975"/>
      <c r="H47" s="4762">
        <v>257</v>
      </c>
      <c r="I47" s="4763" t="s">
        <v>4249</v>
      </c>
      <c r="J47" s="4902"/>
      <c r="K47" s="4765"/>
      <c r="L47" s="4765"/>
      <c r="M47" s="4765"/>
      <c r="N47" s="4762">
        <f>10000*1.1</f>
        <v>11000</v>
      </c>
      <c r="O47" s="4766">
        <f>F47*N47*H47</f>
        <v>31097000</v>
      </c>
    </row>
    <row r="48" spans="1:31" ht="36" customHeight="1">
      <c r="O48" s="4659">
        <f>SUM(O46:O47)*1.1</f>
        <v>54730720.000000007</v>
      </c>
      <c r="P48" s="4658" t="s">
        <v>6337</v>
      </c>
    </row>
    <row r="49" spans="2:29" ht="36" customHeight="1">
      <c r="O49" s="5523">
        <f>O48*1.1</f>
        <v>60203792.000000015</v>
      </c>
      <c r="P49" s="4658" t="s">
        <v>6338</v>
      </c>
    </row>
    <row r="50" spans="2:29" ht="36" customHeight="1"/>
    <row r="51" spans="2:29" ht="36" customHeight="1"/>
    <row r="52" spans="2:29" ht="10.4" customHeight="1">
      <c r="B52" s="4657"/>
      <c r="C52" s="4657"/>
      <c r="D52" s="4657"/>
      <c r="G52" s="4657"/>
      <c r="H52" s="4657"/>
      <c r="O52" s="4656"/>
      <c r="P52" s="4657"/>
      <c r="Q52" s="4657"/>
      <c r="AC52" s="4657"/>
    </row>
  </sheetData>
  <mergeCells count="44">
    <mergeCell ref="A2:B2"/>
    <mergeCell ref="C2:G2"/>
    <mergeCell ref="A5:A6"/>
    <mergeCell ref="B5:B6"/>
    <mergeCell ref="C5:C6"/>
    <mergeCell ref="D5:D6"/>
    <mergeCell ref="E5:E6"/>
    <mergeCell ref="F5:F6"/>
    <mergeCell ref="G5:G6"/>
    <mergeCell ref="N5:N6"/>
    <mergeCell ref="O5:O6"/>
    <mergeCell ref="P5:Q5"/>
    <mergeCell ref="R5:U5"/>
    <mergeCell ref="A21:B21"/>
    <mergeCell ref="H5:H6"/>
    <mergeCell ref="I5:I6"/>
    <mergeCell ref="J5:J6"/>
    <mergeCell ref="K5:K6"/>
    <mergeCell ref="L5:L6"/>
    <mergeCell ref="M5:M6"/>
    <mergeCell ref="AB21:AE21"/>
    <mergeCell ref="A22:B22"/>
    <mergeCell ref="A26:A27"/>
    <mergeCell ref="B26:B27"/>
    <mergeCell ref="C26:C27"/>
    <mergeCell ref="D26:D27"/>
    <mergeCell ref="E26:E27"/>
    <mergeCell ref="F26:F27"/>
    <mergeCell ref="G26:G27"/>
    <mergeCell ref="H26:H27"/>
    <mergeCell ref="W21:AA21"/>
    <mergeCell ref="W42:AA42"/>
    <mergeCell ref="AB42:AE42"/>
    <mergeCell ref="I26:I27"/>
    <mergeCell ref="J26:J27"/>
    <mergeCell ref="K26:K27"/>
    <mergeCell ref="L26:L27"/>
    <mergeCell ref="M26:M27"/>
    <mergeCell ref="N26:N27"/>
    <mergeCell ref="A43:B43"/>
    <mergeCell ref="O26:O27"/>
    <mergeCell ref="P26:Q26"/>
    <mergeCell ref="R26:U26"/>
    <mergeCell ref="A42:B42"/>
  </mergeCells>
  <phoneticPr fontId="2"/>
  <conditionalFormatting sqref="B10:C11">
    <cfRule type="containsBlanks" dxfId="278" priority="4">
      <formula>LEN(TRIM(B10))=0</formula>
    </cfRule>
  </conditionalFormatting>
  <conditionalFormatting sqref="B31:C36">
    <cfRule type="containsBlanks" dxfId="277" priority="8">
      <formula>LEN(TRIM(B31))=0</formula>
    </cfRule>
  </conditionalFormatting>
  <conditionalFormatting sqref="B37:E38">
    <cfRule type="containsBlanks" dxfId="276" priority="12">
      <formula>LEN(TRIM(B37))=0</formula>
    </cfRule>
  </conditionalFormatting>
  <conditionalFormatting sqref="C2:D2">
    <cfRule type="containsBlanks" dxfId="275" priority="14">
      <formula>LEN(TRIM(C2))=0</formula>
    </cfRule>
  </conditionalFormatting>
  <conditionalFormatting sqref="D8:E11">
    <cfRule type="containsBlanks" dxfId="274" priority="7">
      <formula>LEN(TRIM(D8))=0</formula>
    </cfRule>
  </conditionalFormatting>
  <conditionalFormatting sqref="D29:E36">
    <cfRule type="containsBlanks" dxfId="273" priority="9">
      <formula>LEN(TRIM(D29))=0</formula>
    </cfRule>
  </conditionalFormatting>
  <conditionalFormatting sqref="D46:E47">
    <cfRule type="containsBlanks" dxfId="272" priority="1">
      <formula>LEN(TRIM(D46))=0</formula>
    </cfRule>
  </conditionalFormatting>
  <conditionalFormatting sqref="G8:K9">
    <cfRule type="containsBlanks" dxfId="271" priority="6">
      <formula>LEN(TRIM(G8))=0</formula>
    </cfRule>
  </conditionalFormatting>
  <conditionalFormatting sqref="G29:K38">
    <cfRule type="containsBlanks" dxfId="270" priority="11">
      <formula>LEN(TRIM(G29))=0</formula>
    </cfRule>
  </conditionalFormatting>
  <conditionalFormatting sqref="G46:K47">
    <cfRule type="containsBlanks" dxfId="269" priority="3">
      <formula>LEN(TRIM(G46))=0</formula>
    </cfRule>
  </conditionalFormatting>
  <conditionalFormatting sqref="G10:N17 B12:E17">
    <cfRule type="containsBlanks" dxfId="268" priority="13">
      <formula>LEN(TRIM(B10))=0</formula>
    </cfRule>
  </conditionalFormatting>
  <conditionalFormatting sqref="M8:N9">
    <cfRule type="containsBlanks" dxfId="267" priority="5">
      <formula>LEN(TRIM(M8))=0</formula>
    </cfRule>
  </conditionalFormatting>
  <conditionalFormatting sqref="M29:N38">
    <cfRule type="containsBlanks" dxfId="266" priority="10">
      <formula>LEN(TRIM(M29))=0</formula>
    </cfRule>
  </conditionalFormatting>
  <conditionalFormatting sqref="M46:N47">
    <cfRule type="containsBlanks" dxfId="265" priority="2">
      <formula>LEN(TRIM(M46))=0</formula>
    </cfRule>
  </conditionalFormatting>
  <conditionalFormatting sqref="P8:U17">
    <cfRule type="containsBlanks" dxfId="264" priority="16">
      <formula>LEN(TRIM(P8))=0</formula>
    </cfRule>
  </conditionalFormatting>
  <conditionalFormatting sqref="P29:U38">
    <cfRule type="containsBlanks" dxfId="263" priority="15">
      <formula>LEN(TRIM(P29))=0</formula>
    </cfRule>
  </conditionalFormatting>
  <dataValidations count="1">
    <dataValidation type="list" allowBlank="1" showInputMessage="1" showErrorMessage="1" sqref="I28:I38 I7:I17 I46:I47" xr:uid="{2A06DE5E-DB16-427E-9A6E-02B069D42D7D}">
      <formula1>会場形態</formula1>
    </dataValidation>
  </dataValidations>
  <printOptions horizontalCentered="1"/>
  <pageMargins left="0.39370078740157483" right="0.39370078740157483" top="0.55118110236220474" bottom="0.55118110236220474" header="0.31496062992125984" footer="0.31496062992125984"/>
  <pageSetup paperSize="8" scale="62" orientation="landscape" r:id="rId1"/>
  <headerFooter>
    <oddHeader>&amp;R&amp;G</oddHead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7E435-806F-485E-B7EA-A436A8520D96}">
  <sheetPr codeName="Sheet374">
    <tabColor rgb="FFFFFF66"/>
    <pageSetUpPr fitToPage="1"/>
  </sheetPr>
  <dimension ref="A1:AF41"/>
  <sheetViews>
    <sheetView topLeftCell="A18" zoomScale="55" zoomScaleNormal="55" zoomScaleSheetLayoutView="70" workbookViewId="0">
      <selection activeCell="F27" sqref="F27"/>
    </sheetView>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3.54296875" style="4658" customWidth="1"/>
    <col min="10" max="11" width="11.1796875" style="4656" customWidth="1"/>
    <col min="12" max="13" width="25.453125" style="4659" customWidth="1"/>
    <col min="14" max="14" width="4.453125" style="4659" customWidth="1"/>
    <col min="15" max="15" width="25.453125" style="4659" customWidth="1"/>
    <col min="16" max="16" width="16.453125" style="4659" bestFit="1" customWidth="1"/>
    <col min="17" max="17" width="20.453125" style="4656" customWidth="1"/>
    <col min="18" max="18" width="11.1796875" style="4657" customWidth="1"/>
    <col min="19" max="19" width="9.54296875" style="4657" customWidth="1"/>
    <col min="20" max="20" width="11.1796875" style="4657" customWidth="1"/>
    <col min="21" max="21" width="12.453125" style="4657" customWidth="1"/>
    <col min="22" max="22" width="11.1796875" style="4657" customWidth="1"/>
    <col min="23" max="23" width="9.54296875" style="4657" customWidth="1"/>
    <col min="24" max="25" width="11.1796875" style="4657" customWidth="1"/>
    <col min="26" max="26" width="24" style="4657" customWidth="1"/>
    <col min="27" max="27" width="9.81640625" style="4657"/>
    <col min="28" max="28" width="7.81640625" style="4657" customWidth="1"/>
    <col min="29" max="29" width="9.81640625" style="4657"/>
    <col min="30" max="30" width="7.81640625" style="4657" customWidth="1"/>
    <col min="31" max="31" width="40.1796875" style="4657" customWidth="1"/>
    <col min="32" max="32" width="22.1796875" style="4657" customWidth="1"/>
    <col min="33" max="33" width="9.81640625" style="4657"/>
    <col min="34" max="34" width="10.1796875" style="4657" bestFit="1" customWidth="1"/>
    <col min="35" max="16384" width="9.81640625" style="4657"/>
  </cols>
  <sheetData>
    <row r="1" spans="1:32" ht="21" customHeight="1">
      <c r="S1" s="4656"/>
      <c r="U1" s="4660"/>
      <c r="W1" s="4656"/>
    </row>
    <row r="2" spans="1:32" ht="44.25" customHeight="1">
      <c r="A2" s="5143" t="s">
        <v>2696</v>
      </c>
      <c r="B2" s="5144"/>
      <c r="D2" s="5145"/>
      <c r="E2" s="5145"/>
      <c r="F2" s="5145"/>
      <c r="G2" s="5145"/>
      <c r="I2" s="4662"/>
      <c r="J2" s="4663"/>
      <c r="L2" s="4663"/>
      <c r="M2" s="4663"/>
      <c r="N2" s="4663"/>
      <c r="O2" s="4663"/>
      <c r="S2" s="4656"/>
      <c r="U2" s="4660"/>
      <c r="W2" s="4656"/>
      <c r="AE2" s="4664" t="s">
        <v>5710</v>
      </c>
    </row>
    <row r="3" spans="1:32" ht="10.15" customHeight="1">
      <c r="S3" s="4656"/>
      <c r="U3" s="4660"/>
      <c r="W3" s="4656"/>
    </row>
    <row r="4" spans="1:32" ht="32.15" customHeight="1">
      <c r="A4" s="4940"/>
      <c r="B4" s="4940"/>
      <c r="C4" s="5402"/>
      <c r="D4" s="4726"/>
      <c r="E4" s="4726"/>
      <c r="F4" s="4726"/>
      <c r="G4" s="4726"/>
      <c r="H4" s="4726"/>
      <c r="I4" s="4727"/>
    </row>
    <row r="5" spans="1:32" ht="33.75" customHeight="1" thickBot="1">
      <c r="A5" s="4665" t="s">
        <v>5807</v>
      </c>
      <c r="B5" s="4665"/>
      <c r="S5" s="4656"/>
      <c r="W5" s="4656"/>
      <c r="Z5" s="4656"/>
      <c r="AA5" s="4656"/>
      <c r="AB5" s="4656"/>
      <c r="AC5" s="4656"/>
      <c r="AD5" s="4656"/>
      <c r="AF5" s="4656" t="s">
        <v>5712</v>
      </c>
    </row>
    <row r="6" spans="1:32" s="4666" customFormat="1" ht="33.75" customHeight="1">
      <c r="A6" s="6877" t="s">
        <v>5713</v>
      </c>
      <c r="B6" s="6879" t="s">
        <v>5714</v>
      </c>
      <c r="C6" s="6855" t="s">
        <v>5715</v>
      </c>
      <c r="D6" s="6855" t="s">
        <v>5716</v>
      </c>
      <c r="E6" s="6855" t="s">
        <v>5717</v>
      </c>
      <c r="F6" s="6868" t="s">
        <v>5718</v>
      </c>
      <c r="G6" s="6855" t="s">
        <v>5719</v>
      </c>
      <c r="H6" s="6855" t="s">
        <v>5720</v>
      </c>
      <c r="I6" s="6857" t="s">
        <v>5721</v>
      </c>
      <c r="J6" s="6851" t="s">
        <v>5722</v>
      </c>
      <c r="K6" s="6851" t="s">
        <v>5723</v>
      </c>
      <c r="L6" s="6855" t="s">
        <v>5796</v>
      </c>
      <c r="M6" s="6855" t="s">
        <v>5797</v>
      </c>
      <c r="N6" s="4967" t="s">
        <v>5726</v>
      </c>
      <c r="O6" s="6855" t="s">
        <v>5798</v>
      </c>
      <c r="P6" s="6851" t="s">
        <v>3766</v>
      </c>
      <c r="Q6" s="6853"/>
      <c r="R6" s="6868" t="s">
        <v>5728</v>
      </c>
      <c r="S6" s="6869"/>
      <c r="T6" s="6870"/>
      <c r="U6" s="6855" t="s">
        <v>5729</v>
      </c>
      <c r="V6" s="6869" t="s">
        <v>5730</v>
      </c>
      <c r="W6" s="6869"/>
      <c r="X6" s="6869"/>
      <c r="Y6" s="6868" t="s">
        <v>5731</v>
      </c>
      <c r="Z6" s="6851" t="s">
        <v>5732</v>
      </c>
      <c r="AA6" s="6851" t="s">
        <v>5733</v>
      </c>
      <c r="AB6" s="6853"/>
      <c r="AC6" s="6853"/>
      <c r="AD6" s="6853"/>
      <c r="AE6" s="6860" t="s">
        <v>2792</v>
      </c>
      <c r="AF6" s="6862" t="s">
        <v>5734</v>
      </c>
    </row>
    <row r="7" spans="1:32" s="4666" customFormat="1" ht="20">
      <c r="A7" s="6878"/>
      <c r="B7" s="6880"/>
      <c r="C7" s="6858"/>
      <c r="D7" s="6856"/>
      <c r="E7" s="6856"/>
      <c r="F7" s="6881"/>
      <c r="G7" s="6856"/>
      <c r="H7" s="6856"/>
      <c r="I7" s="6858"/>
      <c r="J7" s="6859"/>
      <c r="K7" s="6859"/>
      <c r="L7" s="6856"/>
      <c r="M7" s="6856"/>
      <c r="N7" s="4968"/>
      <c r="O7" s="6856"/>
      <c r="P7" s="4667" t="s">
        <v>5735</v>
      </c>
      <c r="Q7" s="4668" t="s">
        <v>5736</v>
      </c>
      <c r="R7" s="6871"/>
      <c r="S7" s="6872"/>
      <c r="T7" s="6873"/>
      <c r="U7" s="6856"/>
      <c r="V7" s="6872"/>
      <c r="W7" s="6872"/>
      <c r="X7" s="6872"/>
      <c r="Y7" s="6852"/>
      <c r="Z7" s="6852"/>
      <c r="AA7" s="6852"/>
      <c r="AB7" s="6854"/>
      <c r="AC7" s="6854"/>
      <c r="AD7" s="6854"/>
      <c r="AE7" s="6861"/>
      <c r="AF7" s="6862"/>
    </row>
    <row r="8" spans="1:32" ht="33.75" customHeight="1">
      <c r="A8" s="4669" t="s">
        <v>5737</v>
      </c>
      <c r="B8" s="4826">
        <v>46305</v>
      </c>
      <c r="C8" s="4827">
        <v>46307</v>
      </c>
      <c r="D8" s="4672">
        <f>IF(_xlfn.DAYS(C8,B8)=0,"1",_xlfn.DAYS(C8,B8))</f>
        <v>2</v>
      </c>
      <c r="E8" s="4827">
        <v>46319</v>
      </c>
      <c r="F8" s="4672">
        <f>IF(_xlfn.DAYS(E8,C8)=0,"1",_xlfn.DAYS(E8,C8))+1</f>
        <v>13</v>
      </c>
      <c r="G8" s="4827">
        <v>46321</v>
      </c>
      <c r="H8" s="4672">
        <f>IF(_xlfn.DAYS(G8,E8)=0,"1",_xlfn.DAYS(G8,E8))-1</f>
        <v>1</v>
      </c>
      <c r="I8" s="4674" t="s">
        <v>5738</v>
      </c>
      <c r="J8" s="4677">
        <v>100</v>
      </c>
      <c r="K8" s="4676">
        <v>90</v>
      </c>
      <c r="L8" s="4677">
        <v>9000</v>
      </c>
      <c r="M8" s="4677">
        <v>10000</v>
      </c>
      <c r="N8" s="4971"/>
      <c r="O8" s="4677">
        <v>8000</v>
      </c>
      <c r="P8" s="4678">
        <f>SUM(D8,F8,H8)*K8</f>
        <v>1440</v>
      </c>
      <c r="Q8" s="4677">
        <f>(D8*L8+F8*M8+H8*O8)*K8</f>
        <v>14040000</v>
      </c>
      <c r="R8" s="4682">
        <v>21</v>
      </c>
      <c r="S8" s="4680" t="s">
        <v>5739</v>
      </c>
      <c r="T8" s="4682">
        <v>21</v>
      </c>
      <c r="U8" s="4815">
        <v>1</v>
      </c>
      <c r="V8" s="4675">
        <v>154</v>
      </c>
      <c r="W8" s="4680" t="s">
        <v>4521</v>
      </c>
      <c r="X8" s="4682">
        <v>203</v>
      </c>
      <c r="Y8" s="4675">
        <v>1</v>
      </c>
      <c r="Z8" s="4675" t="s">
        <v>5740</v>
      </c>
      <c r="AA8" s="4683" t="s">
        <v>5035</v>
      </c>
      <c r="AB8" s="4675" t="s">
        <v>2830</v>
      </c>
      <c r="AC8" s="4683" t="s">
        <v>5050</v>
      </c>
      <c r="AD8" s="4675" t="s">
        <v>5741</v>
      </c>
      <c r="AE8" s="4684"/>
      <c r="AF8" s="4685"/>
    </row>
    <row r="9" spans="1:32" ht="33.75" customHeight="1">
      <c r="A9" s="4828">
        <v>1</v>
      </c>
      <c r="B9" s="4687">
        <v>46304</v>
      </c>
      <c r="C9" s="4829">
        <v>46306</v>
      </c>
      <c r="D9" s="4672">
        <f t="shared" ref="D9:D23" si="0">IF(_xlfn.DAYS(C9,B9)=0,"1",_xlfn.DAYS(C9,B9))</f>
        <v>2</v>
      </c>
      <c r="E9" s="4829">
        <v>46320</v>
      </c>
      <c r="F9" s="4830">
        <f t="shared" ref="F9:F23" si="1">IF(_xlfn.DAYS(E9,C9)=0,"1",_xlfn.DAYS(E9,C9))+1</f>
        <v>15</v>
      </c>
      <c r="G9" s="4699">
        <v>46322</v>
      </c>
      <c r="H9" s="4672">
        <f t="shared" ref="H9:H23" si="2">IF(_xlfn.DAYS(G9,E9)=0,"1",_xlfn.DAYS(G9,E9))-1</f>
        <v>1</v>
      </c>
      <c r="I9" s="5524" t="s">
        <v>6339</v>
      </c>
      <c r="J9" s="5525">
        <v>18</v>
      </c>
      <c r="K9" s="4835">
        <v>14</v>
      </c>
      <c r="L9" s="4834">
        <v>69000</v>
      </c>
      <c r="M9" s="5526">
        <v>78200</v>
      </c>
      <c r="N9" s="4971">
        <f t="shared" ref="N9:N23" si="3">M9*K9</f>
        <v>1094800</v>
      </c>
      <c r="O9" s="4834">
        <v>69000</v>
      </c>
      <c r="P9" s="4678">
        <f t="shared" ref="P9:P23" si="4">SUM(D9,F9,H9)*K9</f>
        <v>252</v>
      </c>
      <c r="Q9" s="4677">
        <f t="shared" ref="Q9:Q23" si="5">(D9*L9+F9*M9+H9*O9)*K9</f>
        <v>19320000</v>
      </c>
      <c r="R9" s="4692">
        <v>50</v>
      </c>
      <c r="S9" s="4680" t="s">
        <v>5742</v>
      </c>
      <c r="T9" s="4694">
        <v>50</v>
      </c>
      <c r="U9" s="4700">
        <v>2</v>
      </c>
      <c r="V9" s="4692">
        <v>128</v>
      </c>
      <c r="W9" s="4680" t="s">
        <v>4521</v>
      </c>
      <c r="X9" s="4695">
        <v>200</v>
      </c>
      <c r="Y9" s="4834">
        <v>2</v>
      </c>
      <c r="Z9" s="4834" t="s">
        <v>5984</v>
      </c>
      <c r="AA9" s="4839" t="s">
        <v>5035</v>
      </c>
      <c r="AB9" s="4834" t="s">
        <v>4435</v>
      </c>
      <c r="AC9" s="4839" t="s">
        <v>5050</v>
      </c>
      <c r="AD9" s="4834" t="s">
        <v>2814</v>
      </c>
      <c r="AE9" s="4832"/>
      <c r="AF9" s="4685">
        <f t="shared" ref="AF9:AF23" si="6">U9*K9</f>
        <v>28</v>
      </c>
    </row>
    <row r="10" spans="1:32" ht="33.75" customHeight="1">
      <c r="A10" s="4828">
        <v>2</v>
      </c>
      <c r="B10" s="4687">
        <v>46304</v>
      </c>
      <c r="C10" s="4829">
        <v>46306</v>
      </c>
      <c r="D10" s="4672">
        <f t="shared" si="0"/>
        <v>2</v>
      </c>
      <c r="E10" s="4829">
        <v>46320</v>
      </c>
      <c r="F10" s="4830">
        <f>IF(_xlfn.DAYS(E10,C10)=0,"1",_xlfn.DAYS(E10,C10))+1</f>
        <v>15</v>
      </c>
      <c r="G10" s="4699">
        <v>46322</v>
      </c>
      <c r="H10" s="4672">
        <f t="shared" si="2"/>
        <v>1</v>
      </c>
      <c r="I10" s="5524" t="s">
        <v>6340</v>
      </c>
      <c r="J10" s="5525">
        <v>4</v>
      </c>
      <c r="K10" s="4835">
        <v>2</v>
      </c>
      <c r="L10" s="4834">
        <v>69000</v>
      </c>
      <c r="M10" s="5526">
        <v>73600</v>
      </c>
      <c r="N10" s="4971">
        <f t="shared" si="3"/>
        <v>147200</v>
      </c>
      <c r="O10" s="4834">
        <v>69000</v>
      </c>
      <c r="P10" s="4678">
        <f t="shared" si="4"/>
        <v>36</v>
      </c>
      <c r="Q10" s="4677">
        <f t="shared" si="5"/>
        <v>2622000</v>
      </c>
      <c r="R10" s="4692">
        <v>51</v>
      </c>
      <c r="S10" s="4680" t="s">
        <v>5742</v>
      </c>
      <c r="T10" s="4694">
        <v>51</v>
      </c>
      <c r="U10" s="4700">
        <v>1</v>
      </c>
      <c r="V10" s="4692">
        <v>200</v>
      </c>
      <c r="W10" s="4680" t="s">
        <v>4521</v>
      </c>
      <c r="X10" s="4695">
        <v>200</v>
      </c>
      <c r="Y10" s="4834">
        <v>1</v>
      </c>
      <c r="Z10" s="4834" t="s">
        <v>5984</v>
      </c>
      <c r="AA10" s="4839" t="s">
        <v>5035</v>
      </c>
      <c r="AB10" s="4834" t="s">
        <v>4435</v>
      </c>
      <c r="AC10" s="4839" t="s">
        <v>5050</v>
      </c>
      <c r="AD10" s="4834" t="s">
        <v>2814</v>
      </c>
      <c r="AE10" s="4832"/>
      <c r="AF10" s="4685">
        <f t="shared" si="6"/>
        <v>2</v>
      </c>
    </row>
    <row r="11" spans="1:32" ht="33.75" customHeight="1">
      <c r="A11" s="4828">
        <v>3</v>
      </c>
      <c r="B11" s="4687">
        <v>46304</v>
      </c>
      <c r="C11" s="4829">
        <v>46306</v>
      </c>
      <c r="D11" s="4672">
        <f t="shared" si="0"/>
        <v>2</v>
      </c>
      <c r="E11" s="4829">
        <v>46320</v>
      </c>
      <c r="F11" s="4830">
        <f t="shared" ref="F11:F13" si="7">IF(_xlfn.DAYS(E11,C11)=0,"1",_xlfn.DAYS(E11,C11))+1</f>
        <v>15</v>
      </c>
      <c r="G11" s="4699">
        <v>46322</v>
      </c>
      <c r="H11" s="4672">
        <f t="shared" si="2"/>
        <v>1</v>
      </c>
      <c r="I11" s="5524" t="s">
        <v>6341</v>
      </c>
      <c r="J11" s="5525">
        <v>23</v>
      </c>
      <c r="K11" s="4835">
        <v>18</v>
      </c>
      <c r="L11" s="4834">
        <v>74750</v>
      </c>
      <c r="M11" s="5526">
        <v>83950</v>
      </c>
      <c r="N11" s="4971">
        <f t="shared" si="3"/>
        <v>1511100</v>
      </c>
      <c r="O11" s="4834">
        <v>74750</v>
      </c>
      <c r="P11" s="4678">
        <f t="shared" si="4"/>
        <v>324</v>
      </c>
      <c r="Q11" s="4677">
        <f t="shared" si="5"/>
        <v>26703000</v>
      </c>
      <c r="R11" s="4692">
        <v>51</v>
      </c>
      <c r="S11" s="4680" t="s">
        <v>5742</v>
      </c>
      <c r="T11" s="4694">
        <v>51</v>
      </c>
      <c r="U11" s="4700">
        <v>2</v>
      </c>
      <c r="V11" s="4692">
        <v>128</v>
      </c>
      <c r="W11" s="4680" t="s">
        <v>4521</v>
      </c>
      <c r="X11" s="4695">
        <v>200</v>
      </c>
      <c r="Y11" s="4834">
        <v>2</v>
      </c>
      <c r="Z11" s="4834" t="s">
        <v>5984</v>
      </c>
      <c r="AA11" s="4839" t="s">
        <v>5035</v>
      </c>
      <c r="AB11" s="4834" t="s">
        <v>4435</v>
      </c>
      <c r="AC11" s="4839" t="s">
        <v>5050</v>
      </c>
      <c r="AD11" s="4834" t="s">
        <v>2814</v>
      </c>
      <c r="AE11" s="4832"/>
      <c r="AF11" s="4685">
        <f t="shared" si="6"/>
        <v>36</v>
      </c>
    </row>
    <row r="12" spans="1:32" ht="33.75" customHeight="1">
      <c r="A12" s="4828">
        <v>4</v>
      </c>
      <c r="B12" s="4687">
        <v>46304</v>
      </c>
      <c r="C12" s="4829">
        <v>46306</v>
      </c>
      <c r="D12" s="4672">
        <f t="shared" si="0"/>
        <v>2</v>
      </c>
      <c r="E12" s="4829">
        <v>46320</v>
      </c>
      <c r="F12" s="4830">
        <f t="shared" si="7"/>
        <v>15</v>
      </c>
      <c r="G12" s="4699">
        <v>46322</v>
      </c>
      <c r="H12" s="4672">
        <f t="shared" si="2"/>
        <v>1</v>
      </c>
      <c r="I12" s="5524" t="s">
        <v>6342</v>
      </c>
      <c r="J12" s="5525">
        <v>1</v>
      </c>
      <c r="K12" s="4835">
        <v>1</v>
      </c>
      <c r="L12" s="4834">
        <v>69000</v>
      </c>
      <c r="M12" s="5526">
        <v>73600</v>
      </c>
      <c r="N12" s="4971">
        <f t="shared" si="3"/>
        <v>73600</v>
      </c>
      <c r="O12" s="4834">
        <v>69000</v>
      </c>
      <c r="P12" s="4678">
        <f t="shared" si="4"/>
        <v>18</v>
      </c>
      <c r="Q12" s="4677">
        <f t="shared" si="5"/>
        <v>1311000</v>
      </c>
      <c r="R12" s="4692">
        <v>51</v>
      </c>
      <c r="S12" s="4680" t="s">
        <v>5742</v>
      </c>
      <c r="T12" s="4694">
        <v>51</v>
      </c>
      <c r="U12" s="4700">
        <v>1</v>
      </c>
      <c r="V12" s="4692">
        <v>180</v>
      </c>
      <c r="W12" s="4680" t="s">
        <v>4521</v>
      </c>
      <c r="X12" s="4695">
        <v>200</v>
      </c>
      <c r="Y12" s="4834">
        <v>1</v>
      </c>
      <c r="Z12" s="4834" t="s">
        <v>5984</v>
      </c>
      <c r="AA12" s="4839" t="s">
        <v>5035</v>
      </c>
      <c r="AB12" s="4834" t="s">
        <v>4435</v>
      </c>
      <c r="AC12" s="4839" t="s">
        <v>5050</v>
      </c>
      <c r="AD12" s="4834" t="s">
        <v>2814</v>
      </c>
      <c r="AE12" s="4832"/>
      <c r="AF12" s="4685">
        <f t="shared" si="6"/>
        <v>1</v>
      </c>
    </row>
    <row r="13" spans="1:32" ht="33.75" customHeight="1">
      <c r="A13" s="4828">
        <v>5</v>
      </c>
      <c r="B13" s="4687">
        <v>46304</v>
      </c>
      <c r="C13" s="4829">
        <v>46306</v>
      </c>
      <c r="D13" s="4672">
        <f t="shared" si="0"/>
        <v>2</v>
      </c>
      <c r="E13" s="4829">
        <v>46320</v>
      </c>
      <c r="F13" s="4830">
        <f t="shared" si="7"/>
        <v>15</v>
      </c>
      <c r="G13" s="4699">
        <v>46322</v>
      </c>
      <c r="H13" s="4672">
        <f t="shared" si="2"/>
        <v>1</v>
      </c>
      <c r="I13" s="5524" t="s">
        <v>6343</v>
      </c>
      <c r="J13" s="5525">
        <v>5</v>
      </c>
      <c r="K13" s="4835">
        <v>3</v>
      </c>
      <c r="L13" s="4834">
        <v>74750</v>
      </c>
      <c r="M13" s="5526">
        <v>79350</v>
      </c>
      <c r="N13" s="4971">
        <f t="shared" si="3"/>
        <v>238050</v>
      </c>
      <c r="O13" s="4834">
        <v>74750</v>
      </c>
      <c r="P13" s="4678">
        <f t="shared" si="4"/>
        <v>54</v>
      </c>
      <c r="Q13" s="4677">
        <f t="shared" si="5"/>
        <v>4243500</v>
      </c>
      <c r="R13" s="4692">
        <v>52</v>
      </c>
      <c r="S13" s="4680" t="s">
        <v>5742</v>
      </c>
      <c r="T13" s="4694">
        <v>52</v>
      </c>
      <c r="U13" s="4700">
        <v>1</v>
      </c>
      <c r="V13" s="4692">
        <v>200</v>
      </c>
      <c r="W13" s="4680" t="s">
        <v>4521</v>
      </c>
      <c r="X13" s="4695">
        <v>200</v>
      </c>
      <c r="Y13" s="4834">
        <v>1</v>
      </c>
      <c r="Z13" s="4834" t="s">
        <v>5984</v>
      </c>
      <c r="AA13" s="4839" t="s">
        <v>5035</v>
      </c>
      <c r="AB13" s="4834" t="s">
        <v>4435</v>
      </c>
      <c r="AC13" s="4839" t="s">
        <v>5050</v>
      </c>
      <c r="AD13" s="4834" t="s">
        <v>2814</v>
      </c>
      <c r="AE13" s="4832"/>
      <c r="AF13" s="4685">
        <f t="shared" si="6"/>
        <v>3</v>
      </c>
    </row>
    <row r="14" spans="1:32" ht="33.75" customHeight="1">
      <c r="A14" s="4828">
        <v>6</v>
      </c>
      <c r="B14" s="4687">
        <v>46304</v>
      </c>
      <c r="C14" s="4829">
        <v>46306</v>
      </c>
      <c r="D14" s="4672">
        <f t="shared" si="0"/>
        <v>2</v>
      </c>
      <c r="E14" s="4829">
        <v>46320</v>
      </c>
      <c r="F14" s="4830">
        <f>IF(_xlfn.DAYS(E14,C14)=0,"1",_xlfn.DAYS(E14,C14))+1</f>
        <v>15</v>
      </c>
      <c r="G14" s="4699">
        <v>46322</v>
      </c>
      <c r="H14" s="4672">
        <f t="shared" si="2"/>
        <v>1</v>
      </c>
      <c r="I14" s="5524" t="s">
        <v>6344</v>
      </c>
      <c r="J14" s="5525">
        <v>25</v>
      </c>
      <c r="K14" s="4835">
        <v>19</v>
      </c>
      <c r="L14" s="4834">
        <v>77050</v>
      </c>
      <c r="M14" s="5526">
        <v>81650</v>
      </c>
      <c r="N14" s="4971">
        <f t="shared" si="3"/>
        <v>1551350</v>
      </c>
      <c r="O14" s="4834">
        <v>77050</v>
      </c>
      <c r="P14" s="4678">
        <f t="shared" si="4"/>
        <v>342</v>
      </c>
      <c r="Q14" s="4677">
        <f t="shared" si="5"/>
        <v>27662100</v>
      </c>
      <c r="R14" s="4692">
        <v>60</v>
      </c>
      <c r="S14" s="4680" t="s">
        <v>5742</v>
      </c>
      <c r="T14" s="4694">
        <v>60</v>
      </c>
      <c r="U14" s="4700">
        <v>1</v>
      </c>
      <c r="V14" s="4692">
        <v>200</v>
      </c>
      <c r="W14" s="4680" t="s">
        <v>4521</v>
      </c>
      <c r="X14" s="4695">
        <v>200</v>
      </c>
      <c r="Y14" s="4834">
        <v>1</v>
      </c>
      <c r="Z14" s="4834" t="s">
        <v>5984</v>
      </c>
      <c r="AA14" s="4839" t="s">
        <v>5035</v>
      </c>
      <c r="AB14" s="4834" t="s">
        <v>4435</v>
      </c>
      <c r="AC14" s="4839" t="s">
        <v>5050</v>
      </c>
      <c r="AD14" s="4834" t="s">
        <v>2814</v>
      </c>
      <c r="AE14" s="4832"/>
      <c r="AF14" s="4685">
        <f t="shared" si="6"/>
        <v>19</v>
      </c>
    </row>
    <row r="15" spans="1:32" ht="33.75" customHeight="1">
      <c r="A15" s="4828">
        <v>7</v>
      </c>
      <c r="B15" s="4687">
        <v>46304</v>
      </c>
      <c r="C15" s="4829">
        <v>46306</v>
      </c>
      <c r="D15" s="4672">
        <f t="shared" si="0"/>
        <v>2</v>
      </c>
      <c r="E15" s="4829">
        <v>46320</v>
      </c>
      <c r="F15" s="4830">
        <f t="shared" si="1"/>
        <v>15</v>
      </c>
      <c r="G15" s="4699">
        <v>46322</v>
      </c>
      <c r="H15" s="4672">
        <f t="shared" si="2"/>
        <v>1</v>
      </c>
      <c r="I15" s="5524" t="s">
        <v>6345</v>
      </c>
      <c r="J15" s="5525">
        <v>20</v>
      </c>
      <c r="K15" s="4835">
        <v>16</v>
      </c>
      <c r="L15" s="4834">
        <v>77050</v>
      </c>
      <c r="M15" s="5526">
        <v>86250</v>
      </c>
      <c r="N15" s="4971">
        <f t="shared" si="3"/>
        <v>1380000</v>
      </c>
      <c r="O15" s="4834">
        <v>77050</v>
      </c>
      <c r="P15" s="4678">
        <f t="shared" si="4"/>
        <v>288</v>
      </c>
      <c r="Q15" s="4677">
        <f t="shared" si="5"/>
        <v>24398400</v>
      </c>
      <c r="R15" s="4692">
        <v>56</v>
      </c>
      <c r="S15" s="4680" t="s">
        <v>5742</v>
      </c>
      <c r="T15" s="4694">
        <v>56</v>
      </c>
      <c r="U15" s="4700">
        <v>2</v>
      </c>
      <c r="V15" s="4692">
        <v>128</v>
      </c>
      <c r="W15" s="4680" t="s">
        <v>4521</v>
      </c>
      <c r="X15" s="4695">
        <v>200</v>
      </c>
      <c r="Y15" s="4834">
        <v>2</v>
      </c>
      <c r="Z15" s="4834" t="s">
        <v>5984</v>
      </c>
      <c r="AA15" s="4839" t="s">
        <v>5035</v>
      </c>
      <c r="AB15" s="4834" t="s">
        <v>4435</v>
      </c>
      <c r="AC15" s="4839" t="s">
        <v>5050</v>
      </c>
      <c r="AD15" s="4834" t="s">
        <v>2814</v>
      </c>
      <c r="AE15" s="4832"/>
      <c r="AF15" s="4685">
        <f t="shared" si="6"/>
        <v>32</v>
      </c>
    </row>
    <row r="16" spans="1:32" ht="33.75" customHeight="1">
      <c r="A16" s="4828">
        <v>8</v>
      </c>
      <c r="B16" s="4687">
        <v>46304</v>
      </c>
      <c r="C16" s="4829">
        <v>46306</v>
      </c>
      <c r="D16" s="4672">
        <f t="shared" si="0"/>
        <v>2</v>
      </c>
      <c r="E16" s="4829">
        <v>46320</v>
      </c>
      <c r="F16" s="4830">
        <f t="shared" si="1"/>
        <v>15</v>
      </c>
      <c r="G16" s="4699">
        <v>46322</v>
      </c>
      <c r="H16" s="4672">
        <f t="shared" si="2"/>
        <v>1</v>
      </c>
      <c r="I16" s="5524" t="s">
        <v>6346</v>
      </c>
      <c r="J16" s="5525">
        <v>8</v>
      </c>
      <c r="K16" s="4835">
        <v>7</v>
      </c>
      <c r="L16" s="4834">
        <v>80500</v>
      </c>
      <c r="M16" s="5526">
        <v>85100</v>
      </c>
      <c r="N16" s="4971">
        <f t="shared" si="3"/>
        <v>595700</v>
      </c>
      <c r="O16" s="4834">
        <v>80500</v>
      </c>
      <c r="P16" s="4678">
        <f t="shared" si="4"/>
        <v>126</v>
      </c>
      <c r="Q16" s="4677">
        <f t="shared" si="5"/>
        <v>10626000</v>
      </c>
      <c r="R16" s="4692">
        <v>61</v>
      </c>
      <c r="S16" s="4680" t="s">
        <v>5742</v>
      </c>
      <c r="T16" s="4694">
        <v>61</v>
      </c>
      <c r="U16" s="4700">
        <v>1</v>
      </c>
      <c r="V16" s="4692">
        <v>200</v>
      </c>
      <c r="W16" s="4680" t="s">
        <v>4521</v>
      </c>
      <c r="X16" s="4695">
        <v>200</v>
      </c>
      <c r="Y16" s="4834">
        <v>1</v>
      </c>
      <c r="Z16" s="4834" t="s">
        <v>5984</v>
      </c>
      <c r="AA16" s="4839" t="s">
        <v>5035</v>
      </c>
      <c r="AB16" s="4834" t="s">
        <v>4435</v>
      </c>
      <c r="AC16" s="4839" t="s">
        <v>5050</v>
      </c>
      <c r="AD16" s="4834" t="s">
        <v>2814</v>
      </c>
      <c r="AE16" s="4832"/>
      <c r="AF16" s="4685">
        <f t="shared" si="6"/>
        <v>7</v>
      </c>
    </row>
    <row r="17" spans="1:32" ht="33.75" customHeight="1">
      <c r="A17" s="4828">
        <v>9</v>
      </c>
      <c r="B17" s="4687">
        <v>46304</v>
      </c>
      <c r="C17" s="4829">
        <v>46306</v>
      </c>
      <c r="D17" s="4672">
        <f t="shared" si="0"/>
        <v>2</v>
      </c>
      <c r="E17" s="4829">
        <v>46320</v>
      </c>
      <c r="F17" s="4830">
        <f t="shared" si="1"/>
        <v>15</v>
      </c>
      <c r="G17" s="4699">
        <v>46322</v>
      </c>
      <c r="H17" s="4672">
        <f t="shared" si="2"/>
        <v>1</v>
      </c>
      <c r="I17" s="5524" t="s">
        <v>6347</v>
      </c>
      <c r="J17" s="5525">
        <v>28</v>
      </c>
      <c r="K17" s="4835">
        <v>22</v>
      </c>
      <c r="L17" s="4834">
        <v>92000</v>
      </c>
      <c r="M17" s="5526">
        <v>96600</v>
      </c>
      <c r="N17" s="4971">
        <f t="shared" si="3"/>
        <v>2125200</v>
      </c>
      <c r="O17" s="4834">
        <v>92000</v>
      </c>
      <c r="P17" s="4678">
        <f t="shared" si="4"/>
        <v>396</v>
      </c>
      <c r="Q17" s="4677">
        <f t="shared" si="5"/>
        <v>37950000</v>
      </c>
      <c r="R17" s="4692">
        <v>61</v>
      </c>
      <c r="S17" s="4680" t="s">
        <v>5742</v>
      </c>
      <c r="T17" s="4694">
        <v>61</v>
      </c>
      <c r="U17" s="4700">
        <v>1</v>
      </c>
      <c r="V17" s="4692">
        <v>200</v>
      </c>
      <c r="W17" s="4680" t="s">
        <v>4521</v>
      </c>
      <c r="X17" s="4695">
        <v>200</v>
      </c>
      <c r="Y17" s="4834">
        <v>1</v>
      </c>
      <c r="Z17" s="4834" t="s">
        <v>5984</v>
      </c>
      <c r="AA17" s="4839" t="s">
        <v>5035</v>
      </c>
      <c r="AB17" s="4834" t="s">
        <v>4435</v>
      </c>
      <c r="AC17" s="4839" t="s">
        <v>5050</v>
      </c>
      <c r="AD17" s="4834" t="s">
        <v>2814</v>
      </c>
      <c r="AE17" s="4832"/>
      <c r="AF17" s="4685">
        <f t="shared" si="6"/>
        <v>22</v>
      </c>
    </row>
    <row r="18" spans="1:32" ht="33.75" customHeight="1">
      <c r="A18" s="4828">
        <v>10</v>
      </c>
      <c r="B18" s="4687">
        <v>46304</v>
      </c>
      <c r="C18" s="4829">
        <v>46306</v>
      </c>
      <c r="D18" s="4672">
        <f t="shared" si="0"/>
        <v>2</v>
      </c>
      <c r="E18" s="4829">
        <v>46320</v>
      </c>
      <c r="F18" s="4830">
        <f t="shared" si="1"/>
        <v>15</v>
      </c>
      <c r="G18" s="4699">
        <v>46322</v>
      </c>
      <c r="H18" s="4672">
        <f t="shared" si="2"/>
        <v>1</v>
      </c>
      <c r="I18" s="5524" t="s">
        <v>6348</v>
      </c>
      <c r="J18" s="5525">
        <v>4</v>
      </c>
      <c r="K18" s="4835">
        <v>4</v>
      </c>
      <c r="L18" s="4834">
        <v>103500</v>
      </c>
      <c r="M18" s="5526">
        <v>112700</v>
      </c>
      <c r="N18" s="5527">
        <f t="shared" si="3"/>
        <v>450800</v>
      </c>
      <c r="O18" s="4834">
        <v>103500</v>
      </c>
      <c r="P18" s="4678">
        <f t="shared" si="4"/>
        <v>72</v>
      </c>
      <c r="Q18" s="4677">
        <f t="shared" si="5"/>
        <v>8004000</v>
      </c>
      <c r="R18" s="4692">
        <v>70</v>
      </c>
      <c r="S18" s="4680" t="s">
        <v>5742</v>
      </c>
      <c r="T18" s="4694">
        <v>70</v>
      </c>
      <c r="U18" s="4700">
        <v>2</v>
      </c>
      <c r="V18" s="4692">
        <v>128</v>
      </c>
      <c r="W18" s="4680" t="s">
        <v>4521</v>
      </c>
      <c r="X18" s="4695">
        <v>200</v>
      </c>
      <c r="Y18" s="4834">
        <v>2</v>
      </c>
      <c r="Z18" s="4834" t="s">
        <v>5984</v>
      </c>
      <c r="AA18" s="4839" t="s">
        <v>5035</v>
      </c>
      <c r="AB18" s="4834" t="s">
        <v>4435</v>
      </c>
      <c r="AC18" s="4839" t="s">
        <v>5050</v>
      </c>
      <c r="AD18" s="4834" t="s">
        <v>2814</v>
      </c>
      <c r="AE18" s="4832"/>
      <c r="AF18" s="4685">
        <f t="shared" si="6"/>
        <v>8</v>
      </c>
    </row>
    <row r="19" spans="1:32" ht="33.75" customHeight="1">
      <c r="A19" s="4828">
        <v>11</v>
      </c>
      <c r="B19" s="4687">
        <v>46304</v>
      </c>
      <c r="C19" s="4829">
        <v>46306</v>
      </c>
      <c r="D19" s="4672">
        <f t="shared" si="0"/>
        <v>2</v>
      </c>
      <c r="E19" s="4829">
        <v>46320</v>
      </c>
      <c r="F19" s="4830">
        <f t="shared" si="1"/>
        <v>15</v>
      </c>
      <c r="G19" s="4699">
        <v>46322</v>
      </c>
      <c r="H19" s="4672">
        <f t="shared" si="2"/>
        <v>1</v>
      </c>
      <c r="I19" s="5524" t="s">
        <v>6349</v>
      </c>
      <c r="J19" s="5525">
        <v>1</v>
      </c>
      <c r="K19" s="4835">
        <v>1</v>
      </c>
      <c r="L19" s="4834">
        <v>80500</v>
      </c>
      <c r="M19" s="5526">
        <v>89700</v>
      </c>
      <c r="N19" s="5527">
        <f t="shared" si="3"/>
        <v>89700</v>
      </c>
      <c r="O19" s="4834">
        <v>80500</v>
      </c>
      <c r="P19" s="4678">
        <f t="shared" si="4"/>
        <v>18</v>
      </c>
      <c r="Q19" s="4677">
        <f t="shared" si="5"/>
        <v>1587000</v>
      </c>
      <c r="R19" s="4692">
        <v>70</v>
      </c>
      <c r="S19" s="4680" t="s">
        <v>5742</v>
      </c>
      <c r="T19" s="4694">
        <v>70</v>
      </c>
      <c r="U19" s="4700">
        <v>2</v>
      </c>
      <c r="V19" s="4692">
        <v>128</v>
      </c>
      <c r="W19" s="4680" t="s">
        <v>4521</v>
      </c>
      <c r="X19" s="4695">
        <v>200</v>
      </c>
      <c r="Y19" s="4834">
        <v>2</v>
      </c>
      <c r="Z19" s="4834" t="s">
        <v>5984</v>
      </c>
      <c r="AA19" s="4839" t="s">
        <v>5035</v>
      </c>
      <c r="AB19" s="4834" t="s">
        <v>4435</v>
      </c>
      <c r="AC19" s="4839" t="s">
        <v>5050</v>
      </c>
      <c r="AD19" s="4834" t="s">
        <v>2814</v>
      </c>
      <c r="AE19" s="4832"/>
      <c r="AF19" s="4685">
        <f t="shared" si="6"/>
        <v>2</v>
      </c>
    </row>
    <row r="20" spans="1:32" ht="33.75" customHeight="1">
      <c r="A20" s="4828">
        <v>12</v>
      </c>
      <c r="B20" s="4687">
        <v>46304</v>
      </c>
      <c r="C20" s="4829">
        <v>46306</v>
      </c>
      <c r="D20" s="4672">
        <f t="shared" si="0"/>
        <v>2</v>
      </c>
      <c r="E20" s="4829">
        <v>46320</v>
      </c>
      <c r="F20" s="4830">
        <f t="shared" si="1"/>
        <v>15</v>
      </c>
      <c r="G20" s="4699">
        <v>46322</v>
      </c>
      <c r="H20" s="4672">
        <f t="shared" si="2"/>
        <v>1</v>
      </c>
      <c r="I20" s="5524" t="s">
        <v>6350</v>
      </c>
      <c r="J20" s="5525">
        <v>9</v>
      </c>
      <c r="K20" s="4835">
        <v>7</v>
      </c>
      <c r="L20" s="4834">
        <v>106950</v>
      </c>
      <c r="M20" s="5526">
        <v>111550</v>
      </c>
      <c r="N20" s="5527">
        <f t="shared" si="3"/>
        <v>780850</v>
      </c>
      <c r="O20" s="4834">
        <v>106950</v>
      </c>
      <c r="P20" s="4678">
        <f t="shared" si="4"/>
        <v>126</v>
      </c>
      <c r="Q20" s="4677">
        <f t="shared" si="5"/>
        <v>13958700</v>
      </c>
      <c r="R20" s="4692">
        <v>57</v>
      </c>
      <c r="S20" s="4680" t="s">
        <v>5742</v>
      </c>
      <c r="T20" s="4694">
        <v>57</v>
      </c>
      <c r="U20" s="4700">
        <v>1</v>
      </c>
      <c r="V20" s="4692">
        <v>200</v>
      </c>
      <c r="W20" s="4680" t="s">
        <v>4521</v>
      </c>
      <c r="X20" s="4695">
        <v>200</v>
      </c>
      <c r="Y20" s="4834">
        <v>1</v>
      </c>
      <c r="Z20" s="4834" t="s">
        <v>5984</v>
      </c>
      <c r="AA20" s="4839" t="s">
        <v>5035</v>
      </c>
      <c r="AB20" s="4834" t="s">
        <v>4435</v>
      </c>
      <c r="AC20" s="4839" t="s">
        <v>5050</v>
      </c>
      <c r="AD20" s="4834" t="s">
        <v>2814</v>
      </c>
      <c r="AE20" s="4832"/>
      <c r="AF20" s="4685">
        <f t="shared" si="6"/>
        <v>7</v>
      </c>
    </row>
    <row r="21" spans="1:32" ht="33.75" customHeight="1">
      <c r="A21" s="4828">
        <v>13</v>
      </c>
      <c r="B21" s="4687">
        <v>46304</v>
      </c>
      <c r="C21" s="4829">
        <v>46306</v>
      </c>
      <c r="D21" s="4672">
        <f t="shared" si="0"/>
        <v>2</v>
      </c>
      <c r="E21" s="4829">
        <v>46320</v>
      </c>
      <c r="F21" s="4830">
        <f t="shared" si="1"/>
        <v>15</v>
      </c>
      <c r="G21" s="4699">
        <v>46322</v>
      </c>
      <c r="H21" s="4672">
        <f t="shared" si="2"/>
        <v>1</v>
      </c>
      <c r="I21" s="5524" t="s">
        <v>5049</v>
      </c>
      <c r="J21" s="5525">
        <v>2</v>
      </c>
      <c r="K21" s="4835">
        <v>0</v>
      </c>
      <c r="L21" s="4834">
        <v>274850</v>
      </c>
      <c r="M21" s="5526">
        <v>279450</v>
      </c>
      <c r="N21" s="5527">
        <f t="shared" si="3"/>
        <v>0</v>
      </c>
      <c r="O21" s="4834">
        <v>274850</v>
      </c>
      <c r="P21" s="4678">
        <f t="shared" si="4"/>
        <v>0</v>
      </c>
      <c r="Q21" s="4677">
        <f t="shared" si="5"/>
        <v>0</v>
      </c>
      <c r="R21" s="4692">
        <v>96</v>
      </c>
      <c r="S21" s="4680" t="s">
        <v>5742</v>
      </c>
      <c r="T21" s="4694">
        <v>96</v>
      </c>
      <c r="U21" s="4700">
        <v>1</v>
      </c>
      <c r="V21" s="4692">
        <v>200</v>
      </c>
      <c r="W21" s="4680" t="s">
        <v>4521</v>
      </c>
      <c r="X21" s="4695">
        <v>200</v>
      </c>
      <c r="Y21" s="4834">
        <v>1</v>
      </c>
      <c r="Z21" s="4834" t="s">
        <v>5984</v>
      </c>
      <c r="AA21" s="4839" t="s">
        <v>5035</v>
      </c>
      <c r="AB21" s="4834" t="s">
        <v>4435</v>
      </c>
      <c r="AC21" s="4839" t="s">
        <v>5050</v>
      </c>
      <c r="AD21" s="4834" t="s">
        <v>2814</v>
      </c>
      <c r="AE21" s="4832"/>
      <c r="AF21" s="4685">
        <f t="shared" si="6"/>
        <v>0</v>
      </c>
    </row>
    <row r="22" spans="1:32" ht="33.75" customHeight="1">
      <c r="A22" s="4828">
        <v>14</v>
      </c>
      <c r="B22" s="4687">
        <v>46304</v>
      </c>
      <c r="C22" s="4829">
        <v>46306</v>
      </c>
      <c r="D22" s="4672">
        <f t="shared" si="0"/>
        <v>2</v>
      </c>
      <c r="E22" s="4829">
        <v>46320</v>
      </c>
      <c r="F22" s="4830">
        <f t="shared" si="1"/>
        <v>15</v>
      </c>
      <c r="G22" s="4699">
        <v>46322</v>
      </c>
      <c r="H22" s="4672">
        <f t="shared" si="2"/>
        <v>1</v>
      </c>
      <c r="I22" s="5524" t="s">
        <v>6351</v>
      </c>
      <c r="J22" s="5525">
        <v>1</v>
      </c>
      <c r="K22" s="4835">
        <v>1</v>
      </c>
      <c r="L22" s="4834">
        <v>345000</v>
      </c>
      <c r="M22" s="5526">
        <v>349600</v>
      </c>
      <c r="N22" s="5527">
        <f t="shared" si="3"/>
        <v>349600</v>
      </c>
      <c r="O22" s="4834">
        <v>345000</v>
      </c>
      <c r="P22" s="4678">
        <f t="shared" si="4"/>
        <v>18</v>
      </c>
      <c r="Q22" s="4677">
        <f t="shared" si="5"/>
        <v>6279000</v>
      </c>
      <c r="R22" s="4692">
        <v>96</v>
      </c>
      <c r="S22" s="4680" t="s">
        <v>5742</v>
      </c>
      <c r="T22" s="4694">
        <v>96</v>
      </c>
      <c r="U22" s="4700">
        <v>1</v>
      </c>
      <c r="V22" s="4692">
        <v>200</v>
      </c>
      <c r="W22" s="4680" t="s">
        <v>4521</v>
      </c>
      <c r="X22" s="4695">
        <v>200</v>
      </c>
      <c r="Y22" s="4834">
        <v>1</v>
      </c>
      <c r="Z22" s="4834" t="s">
        <v>5984</v>
      </c>
      <c r="AA22" s="4839" t="s">
        <v>5035</v>
      </c>
      <c r="AB22" s="4834" t="s">
        <v>4435</v>
      </c>
      <c r="AC22" s="4839" t="s">
        <v>5050</v>
      </c>
      <c r="AD22" s="4834" t="s">
        <v>2814</v>
      </c>
      <c r="AE22" s="4832"/>
      <c r="AF22" s="4685">
        <f t="shared" si="6"/>
        <v>1</v>
      </c>
    </row>
    <row r="23" spans="1:32" ht="33.75" customHeight="1" thickBot="1">
      <c r="A23" s="4828">
        <v>15</v>
      </c>
      <c r="B23" s="4687">
        <v>46304</v>
      </c>
      <c r="C23" s="4829">
        <v>46306</v>
      </c>
      <c r="D23" s="4672">
        <f t="shared" si="0"/>
        <v>2</v>
      </c>
      <c r="E23" s="4829">
        <v>46319</v>
      </c>
      <c r="F23" s="4830">
        <f t="shared" si="1"/>
        <v>14</v>
      </c>
      <c r="G23" s="4699">
        <v>46322</v>
      </c>
      <c r="H23" s="4672">
        <f t="shared" si="2"/>
        <v>2</v>
      </c>
      <c r="I23" s="5528" t="s">
        <v>6352</v>
      </c>
      <c r="J23" s="5529">
        <v>1</v>
      </c>
      <c r="K23" s="4835">
        <v>0</v>
      </c>
      <c r="L23" s="4834">
        <v>540500</v>
      </c>
      <c r="M23" s="5526">
        <v>549700</v>
      </c>
      <c r="N23" s="5527">
        <f t="shared" si="3"/>
        <v>0</v>
      </c>
      <c r="O23" s="4834">
        <v>540500</v>
      </c>
      <c r="P23" s="4678">
        <f t="shared" si="4"/>
        <v>0</v>
      </c>
      <c r="Q23" s="4677">
        <f t="shared" si="5"/>
        <v>0</v>
      </c>
      <c r="R23" s="4692">
        <v>115</v>
      </c>
      <c r="S23" s="4680" t="s">
        <v>5742</v>
      </c>
      <c r="T23" s="4694">
        <v>115</v>
      </c>
      <c r="U23" s="4700">
        <v>2</v>
      </c>
      <c r="V23" s="4692">
        <v>135</v>
      </c>
      <c r="W23" s="4680" t="s">
        <v>4521</v>
      </c>
      <c r="X23" s="4695">
        <v>200</v>
      </c>
      <c r="Y23" s="4834">
        <v>2</v>
      </c>
      <c r="Z23" s="4834" t="s">
        <v>5984</v>
      </c>
      <c r="AA23" s="4839" t="s">
        <v>5035</v>
      </c>
      <c r="AB23" s="4834" t="s">
        <v>4435</v>
      </c>
      <c r="AC23" s="4839" t="s">
        <v>5050</v>
      </c>
      <c r="AD23" s="4834" t="s">
        <v>2814</v>
      </c>
      <c r="AE23" s="4832"/>
      <c r="AF23" s="4685">
        <f t="shared" si="6"/>
        <v>0</v>
      </c>
    </row>
    <row r="24" spans="1:32" ht="33.75" customHeight="1" thickTop="1" thickBot="1">
      <c r="A24" s="4840"/>
      <c r="B24" s="4841"/>
      <c r="C24" s="4841"/>
      <c r="D24" s="4841"/>
      <c r="E24" s="4841"/>
      <c r="F24" s="4842"/>
      <c r="G24" s="4843"/>
      <c r="H24" s="4841"/>
      <c r="I24" s="4844" t="s">
        <v>2432</v>
      </c>
      <c r="J24" s="4845">
        <f>SUM(J9:J23)</f>
        <v>150</v>
      </c>
      <c r="K24" s="4846">
        <f>SUM(K9:K23)</f>
        <v>115</v>
      </c>
      <c r="L24" s="4843"/>
      <c r="M24" s="4843"/>
      <c r="N24" s="4843"/>
      <c r="O24" s="4843"/>
      <c r="P24" s="4845">
        <f>SUM(P9:P23)</f>
        <v>2070</v>
      </c>
      <c r="Q24" s="4845">
        <f>SUM(Q9:Q23)</f>
        <v>184664700</v>
      </c>
      <c r="R24" s="6901"/>
      <c r="S24" s="6901"/>
      <c r="T24" s="6901"/>
      <c r="U24" s="4847"/>
      <c r="V24" s="6902"/>
      <c r="W24" s="6901"/>
      <c r="X24" s="6901"/>
      <c r="Y24" s="4847"/>
      <c r="Z24" s="4847"/>
      <c r="AA24" s="6903"/>
      <c r="AB24" s="6904"/>
      <c r="AC24" s="6903"/>
      <c r="AD24" s="6904"/>
      <c r="AE24" s="4848"/>
      <c r="AF24" s="4685">
        <f>SUM(AF9:AF23)</f>
        <v>168</v>
      </c>
    </row>
    <row r="25" spans="1:32" ht="32.15" customHeight="1" thickBot="1">
      <c r="C25" s="4710"/>
      <c r="D25" s="4710"/>
      <c r="E25" s="4710"/>
      <c r="F25" s="4710"/>
      <c r="G25" s="4710"/>
      <c r="H25" s="4710"/>
      <c r="I25" s="4711"/>
      <c r="J25" s="4712"/>
      <c r="K25" s="4710"/>
      <c r="L25" s="4713" t="s">
        <v>5748</v>
      </c>
      <c r="M25" s="4714">
        <f>SUM(N9:N23)</f>
        <v>10387950</v>
      </c>
      <c r="N25" s="4715"/>
      <c r="O25" s="4715"/>
      <c r="P25" s="4715"/>
      <c r="S25" s="4656"/>
      <c r="W25" s="4656"/>
      <c r="AF25" s="4849"/>
    </row>
    <row r="26" spans="1:32" ht="33.75" customHeight="1">
      <c r="A26" s="7004" t="s">
        <v>5749</v>
      </c>
      <c r="B26" s="7005"/>
      <c r="C26" s="5400">
        <f>P24</f>
        <v>2070</v>
      </c>
      <c r="D26" s="4719"/>
      <c r="F26" s="4718"/>
      <c r="G26" s="4850"/>
      <c r="H26" s="4719"/>
      <c r="I26" s="4720"/>
      <c r="L26" s="4721" t="s">
        <v>5750</v>
      </c>
      <c r="M26" s="4722">
        <f>M25*1.1</f>
        <v>11426745</v>
      </c>
      <c r="P26" s="4656"/>
      <c r="AF26" s="4851"/>
    </row>
    <row r="27" spans="1:32" ht="33.75" customHeight="1">
      <c r="A27" s="7006" t="s">
        <v>5805</v>
      </c>
      <c r="B27" s="7007"/>
      <c r="C27" s="5371">
        <f>Q24</f>
        <v>184664700</v>
      </c>
      <c r="D27" s="4719"/>
      <c r="F27" s="4724"/>
      <c r="G27" s="4852"/>
      <c r="H27" s="4719"/>
      <c r="I27" s="4720"/>
      <c r="P27" s="4656"/>
      <c r="AF27" s="4851"/>
    </row>
    <row r="28" spans="1:32" ht="33.75" customHeight="1" thickBot="1">
      <c r="A28" s="7008" t="s">
        <v>5751</v>
      </c>
      <c r="B28" s="7009"/>
      <c r="C28" s="4987">
        <f>ROUNDDOWN(C27*1.1,0)</f>
        <v>203131170</v>
      </c>
      <c r="D28" s="4729"/>
      <c r="E28" s="4729"/>
      <c r="F28" s="4729"/>
      <c r="G28" s="4726"/>
      <c r="H28" s="4729"/>
      <c r="I28" s="4720"/>
      <c r="P28" s="4656"/>
    </row>
    <row r="29" spans="1:32" ht="33.75" customHeight="1">
      <c r="A29" s="4940"/>
      <c r="B29" s="4940"/>
      <c r="C29" s="5402"/>
      <c r="D29" s="4729"/>
      <c r="E29" s="4729"/>
      <c r="F29" s="4729"/>
      <c r="G29" s="4726"/>
      <c r="H29" s="4729"/>
      <c r="I29" s="4720"/>
      <c r="P29" s="4656"/>
    </row>
    <row r="30" spans="1:32" ht="33.75" customHeight="1">
      <c r="A30" s="4728" t="s">
        <v>5752</v>
      </c>
      <c r="B30" s="4728"/>
      <c r="C30" s="4729"/>
      <c r="D30" s="4729"/>
      <c r="E30" s="4729"/>
      <c r="F30" s="4729"/>
      <c r="G30" s="4726"/>
      <c r="H30" s="4729"/>
      <c r="I30" s="4720"/>
      <c r="P30" s="4656"/>
    </row>
    <row r="31" spans="1:32" ht="36" customHeight="1">
      <c r="A31" s="4728" t="s">
        <v>5809</v>
      </c>
      <c r="B31" s="4728"/>
    </row>
    <row r="32" spans="1:32" ht="36" customHeight="1">
      <c r="A32" s="4730" t="s">
        <v>5754</v>
      </c>
      <c r="B32" s="4730"/>
    </row>
    <row r="33" spans="1:2" ht="36" customHeight="1">
      <c r="A33" s="4728"/>
      <c r="B33" s="4728"/>
    </row>
    <row r="34" spans="1:2" ht="36" customHeight="1"/>
    <row r="35" spans="1:2" ht="36" customHeight="1"/>
    <row r="36" spans="1:2" ht="36" customHeight="1"/>
    <row r="37" spans="1:2" ht="36" customHeight="1"/>
    <row r="38" spans="1:2" ht="36" customHeight="1"/>
    <row r="39" spans="1:2" ht="36" customHeight="1"/>
    <row r="40" spans="1:2" ht="36" customHeight="1"/>
    <row r="41" spans="1:2" ht="10.15" customHeight="1"/>
  </sheetData>
  <mergeCells count="30">
    <mergeCell ref="C6:C7"/>
    <mergeCell ref="D6:D7"/>
    <mergeCell ref="E6:E7"/>
    <mergeCell ref="F6:F7"/>
    <mergeCell ref="AA6:AD7"/>
    <mergeCell ref="AE6:AE7"/>
    <mergeCell ref="AF6:AF7"/>
    <mergeCell ref="R24:T24"/>
    <mergeCell ref="V24:X24"/>
    <mergeCell ref="AA24:AB24"/>
    <mergeCell ref="AC24:AD24"/>
    <mergeCell ref="R6:T7"/>
    <mergeCell ref="U6:U7"/>
    <mergeCell ref="V6:X7"/>
    <mergeCell ref="A26:B26"/>
    <mergeCell ref="A27:B27"/>
    <mergeCell ref="A28:B28"/>
    <mergeCell ref="Y6:Y7"/>
    <mergeCell ref="Z6:Z7"/>
    <mergeCell ref="M6:M7"/>
    <mergeCell ref="O6:O7"/>
    <mergeCell ref="P6:Q6"/>
    <mergeCell ref="G6:G7"/>
    <mergeCell ref="H6:H7"/>
    <mergeCell ref="I6:I7"/>
    <mergeCell ref="J6:J7"/>
    <mergeCell ref="K6:K7"/>
    <mergeCell ref="L6:L7"/>
    <mergeCell ref="A6:A7"/>
    <mergeCell ref="B6:B7"/>
  </mergeCells>
  <phoneticPr fontId="2"/>
  <conditionalFormatting sqref="A2 B9:C23 E9:E23">
    <cfRule type="containsBlanks" dxfId="262" priority="11">
      <formula>LEN(TRIM(A2))=0</formula>
    </cfRule>
  </conditionalFormatting>
  <conditionalFormatting sqref="D8:D23">
    <cfRule type="containsBlanks" dxfId="261" priority="10">
      <formula>LEN(TRIM(D8))=0</formula>
    </cfRule>
  </conditionalFormatting>
  <conditionalFormatting sqref="F8:F23">
    <cfRule type="containsBlanks" dxfId="260" priority="9">
      <formula>LEN(TRIM(F8))=0</formula>
    </cfRule>
  </conditionalFormatting>
  <conditionalFormatting sqref="G9:H23">
    <cfRule type="containsBlanks" dxfId="259" priority="7">
      <formula>LEN(TRIM(G9))=0</formula>
    </cfRule>
  </conditionalFormatting>
  <conditionalFormatting sqref="H8:M8 O8:O23 K9:L23">
    <cfRule type="containsBlanks" dxfId="258" priority="8">
      <formula>LEN(TRIM(H8))=0</formula>
    </cfRule>
  </conditionalFormatting>
  <conditionalFormatting sqref="I9:J9">
    <cfRule type="containsBlanks" dxfId="257" priority="6">
      <formula>LEN(TRIM(I9))=0</formula>
    </cfRule>
  </conditionalFormatting>
  <conditionalFormatting sqref="M9:M17 M18:N23">
    <cfRule type="containsBlanks" dxfId="256" priority="2">
      <formula>LEN(TRIM(M9))=0</formula>
    </cfRule>
  </conditionalFormatting>
  <conditionalFormatting sqref="N8:N17">
    <cfRule type="containsBlanks" dxfId="255" priority="1">
      <formula>LEN(TRIM(N8))=0</formula>
    </cfRule>
  </conditionalFormatting>
  <conditionalFormatting sqref="Q8:R23">
    <cfRule type="containsBlanks" dxfId="254" priority="5">
      <formula>LEN(TRIM(Q8))=0</formula>
    </cfRule>
  </conditionalFormatting>
  <conditionalFormatting sqref="T8:V23">
    <cfRule type="containsBlanks" dxfId="253" priority="3">
      <formula>LEN(TRIM(T8))=0</formula>
    </cfRule>
  </conditionalFormatting>
  <conditionalFormatting sqref="X8:Z23">
    <cfRule type="containsBlanks" dxfId="252" priority="4">
      <formula>LEN(TRIM(X8))=0</formula>
    </cfRule>
  </conditionalFormatting>
  <conditionalFormatting sqref="AB8:AB23">
    <cfRule type="containsBlanks" dxfId="251" priority="13">
      <formula>LEN(TRIM(AB8))=0</formula>
    </cfRule>
  </conditionalFormatting>
  <conditionalFormatting sqref="AD8:AE23">
    <cfRule type="containsBlanks" dxfId="250" priority="12">
      <formula>LEN(TRIM(AD8))=0</formula>
    </cfRule>
  </conditionalFormatting>
  <printOptions horizontalCentered="1"/>
  <pageMargins left="0.39370078740157483" right="0.39370078740157483" top="0.55118110236220474" bottom="0.55118110236220474" header="0.31496062992125984" footer="0.31496062992125984"/>
  <pageSetup paperSize="8" scale="41" orientation="landscape" r:id="rId1"/>
  <headerFooter>
    <oddHeader>&amp;R&amp;G</oddHeader>
  </headerFooter>
  <legacy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62CE0-831F-41BC-B49D-53A4BCFD0463}">
  <sheetPr codeName="Sheet375">
    <tabColor rgb="FFFFFF66"/>
    <pageSetUpPr fitToPage="1"/>
  </sheetPr>
  <dimension ref="A1:AE33"/>
  <sheetViews>
    <sheetView topLeftCell="A12" zoomScale="55" zoomScaleNormal="55" workbookViewId="0">
      <selection activeCell="I3" sqref="I3"/>
    </sheetView>
  </sheetViews>
  <sheetFormatPr defaultColWidth="9.81640625" defaultRowHeight="26.5"/>
  <cols>
    <col min="1" max="1" width="12.179687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1.8164062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
        <v>6353</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33.75" customHeight="1" thickBot="1">
      <c r="A4" s="5530" t="s">
        <v>5836</v>
      </c>
      <c r="B4" s="5530"/>
      <c r="C4" s="5530"/>
      <c r="D4" s="5530"/>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890" t="s">
        <v>5780</v>
      </c>
      <c r="H7" s="4891">
        <v>3</v>
      </c>
      <c r="I7" s="4892" t="s">
        <v>5781</v>
      </c>
      <c r="J7" s="4893">
        <v>30</v>
      </c>
      <c r="K7" s="4894">
        <v>100</v>
      </c>
      <c r="L7" s="4894">
        <f>J7*K7</f>
        <v>3000</v>
      </c>
      <c r="M7" s="4895">
        <v>5</v>
      </c>
      <c r="N7" s="4896">
        <v>150000</v>
      </c>
      <c r="O7" s="4754">
        <f t="shared" ref="O7:O18" si="0">F7*N7</f>
        <v>3150000</v>
      </c>
      <c r="P7" s="4897" t="s">
        <v>5782</v>
      </c>
      <c r="Q7" s="4898">
        <v>4</v>
      </c>
      <c r="R7" s="4898" t="s">
        <v>3804</v>
      </c>
      <c r="S7" s="4894" t="s">
        <v>246</v>
      </c>
      <c r="T7" s="4898" t="s">
        <v>2161</v>
      </c>
      <c r="U7" s="4899">
        <v>2000</v>
      </c>
    </row>
    <row r="8" spans="1:31" s="4666" customFormat="1" ht="33.75" customHeight="1">
      <c r="A8" s="4758">
        <v>1</v>
      </c>
      <c r="B8" s="4900">
        <v>46305</v>
      </c>
      <c r="C8" s="4946">
        <v>46320</v>
      </c>
      <c r="D8" s="4759">
        <v>0.29166666666666669</v>
      </c>
      <c r="E8" s="4759">
        <v>0.91666666666666663</v>
      </c>
      <c r="F8" s="4949">
        <v>18</v>
      </c>
      <c r="G8" s="5531" t="s">
        <v>6354</v>
      </c>
      <c r="H8" s="5532">
        <v>4</v>
      </c>
      <c r="I8" s="4763" t="s">
        <v>5190</v>
      </c>
      <c r="J8" s="4902">
        <v>20000</v>
      </c>
      <c r="K8" s="4765">
        <v>15300</v>
      </c>
      <c r="L8" s="4765">
        <v>326</v>
      </c>
      <c r="M8" s="4765">
        <v>4.3</v>
      </c>
      <c r="N8" s="5533">
        <v>2711125</v>
      </c>
      <c r="O8" s="5534">
        <f t="shared" si="0"/>
        <v>48800250</v>
      </c>
      <c r="P8" s="4857" t="s">
        <v>3804</v>
      </c>
      <c r="Q8" s="4858">
        <v>1</v>
      </c>
      <c r="R8" s="4976" t="s">
        <v>3804</v>
      </c>
      <c r="S8" s="4858" t="s">
        <v>246</v>
      </c>
      <c r="T8" s="4859" t="s">
        <v>5815</v>
      </c>
      <c r="U8" s="4860">
        <v>0</v>
      </c>
    </row>
    <row r="9" spans="1:31" ht="33.75" customHeight="1">
      <c r="A9" s="4758">
        <v>2</v>
      </c>
      <c r="B9" s="4946">
        <v>46321</v>
      </c>
      <c r="C9" s="4946">
        <v>46321</v>
      </c>
      <c r="D9" s="4948">
        <v>0.29166666666666669</v>
      </c>
      <c r="E9" s="4948">
        <v>0.5</v>
      </c>
      <c r="F9" s="4949">
        <f t="shared" ref="F9:F11" si="1">IF(OR(ISBLANK($B9), ISBLANK($C9)), 0, _xlfn.DAYS($C9, $B9) + 1)</f>
        <v>1</v>
      </c>
      <c r="G9" s="5531" t="s">
        <v>6354</v>
      </c>
      <c r="H9" s="5532">
        <v>4</v>
      </c>
      <c r="I9" s="4763" t="s">
        <v>5190</v>
      </c>
      <c r="J9" s="4902">
        <v>20000</v>
      </c>
      <c r="K9" s="4765">
        <v>15300</v>
      </c>
      <c r="L9" s="4765">
        <v>326</v>
      </c>
      <c r="M9" s="4765">
        <v>4.3</v>
      </c>
      <c r="N9" s="5533">
        <v>1388625</v>
      </c>
      <c r="O9" s="5534">
        <f t="shared" si="0"/>
        <v>1388625</v>
      </c>
      <c r="P9" s="4857" t="s">
        <v>3804</v>
      </c>
      <c r="Q9" s="4858">
        <v>1</v>
      </c>
      <c r="R9" s="4976" t="s">
        <v>3804</v>
      </c>
      <c r="S9" s="4858" t="s">
        <v>246</v>
      </c>
      <c r="T9" s="4859" t="s">
        <v>5815</v>
      </c>
      <c r="U9" s="4860">
        <v>0</v>
      </c>
      <c r="AC9" s="4657"/>
    </row>
    <row r="10" spans="1:31" ht="33.75" customHeight="1">
      <c r="A10" s="4758">
        <v>3</v>
      </c>
      <c r="B10" s="4900">
        <v>46305</v>
      </c>
      <c r="C10" s="4946">
        <v>46320</v>
      </c>
      <c r="D10" s="4759">
        <v>0.29166666666666669</v>
      </c>
      <c r="E10" s="4759">
        <v>0.91666666666666663</v>
      </c>
      <c r="F10" s="4949">
        <v>18</v>
      </c>
      <c r="G10" s="5535" t="s">
        <v>6355</v>
      </c>
      <c r="H10" s="5532">
        <v>6</v>
      </c>
      <c r="I10" s="5536" t="s">
        <v>5784</v>
      </c>
      <c r="J10" s="4902">
        <v>9000</v>
      </c>
      <c r="K10" s="4765">
        <v>6000</v>
      </c>
      <c r="L10" s="4765">
        <v>70</v>
      </c>
      <c r="M10" s="4765">
        <v>2.8</v>
      </c>
      <c r="N10" s="5533">
        <v>462875</v>
      </c>
      <c r="O10" s="5534">
        <f t="shared" si="0"/>
        <v>8331750</v>
      </c>
      <c r="P10" s="4857" t="s">
        <v>3804</v>
      </c>
      <c r="Q10" s="4858">
        <v>1</v>
      </c>
      <c r="R10" s="4976" t="s">
        <v>3804</v>
      </c>
      <c r="S10" s="4858" t="s">
        <v>246</v>
      </c>
      <c r="T10" s="4859" t="s">
        <v>5815</v>
      </c>
      <c r="U10" s="4860">
        <v>0</v>
      </c>
      <c r="AC10" s="4657"/>
    </row>
    <row r="11" spans="1:31" ht="33.75" customHeight="1">
      <c r="A11" s="4758">
        <v>4</v>
      </c>
      <c r="B11" s="4946">
        <v>46321</v>
      </c>
      <c r="C11" s="4946">
        <v>46321</v>
      </c>
      <c r="D11" s="4948">
        <v>0.29166666666666669</v>
      </c>
      <c r="E11" s="4948">
        <v>0.5</v>
      </c>
      <c r="F11" s="4949">
        <f t="shared" si="1"/>
        <v>1</v>
      </c>
      <c r="G11" s="5535" t="s">
        <v>6355</v>
      </c>
      <c r="H11" s="5532">
        <v>6</v>
      </c>
      <c r="I11" s="5536" t="s">
        <v>5784</v>
      </c>
      <c r="J11" s="4902">
        <v>9000</v>
      </c>
      <c r="K11" s="4765">
        <v>6000</v>
      </c>
      <c r="L11" s="4765">
        <v>70</v>
      </c>
      <c r="M11" s="4765">
        <v>2.8</v>
      </c>
      <c r="N11" s="5533">
        <v>201251</v>
      </c>
      <c r="O11" s="5534">
        <f t="shared" si="0"/>
        <v>201251</v>
      </c>
      <c r="P11" s="4857" t="s">
        <v>5815</v>
      </c>
      <c r="Q11" s="4858">
        <v>2</v>
      </c>
      <c r="R11" s="4976" t="s">
        <v>3804</v>
      </c>
      <c r="S11" s="4858" t="s">
        <v>246</v>
      </c>
      <c r="T11" s="4859" t="s">
        <v>5815</v>
      </c>
      <c r="U11" s="4860">
        <v>0</v>
      </c>
      <c r="AC11" s="4657"/>
    </row>
    <row r="12" spans="1:31" ht="33.75" customHeight="1">
      <c r="A12" s="4758"/>
      <c r="B12" s="4900"/>
      <c r="C12" s="4900"/>
      <c r="D12" s="4759"/>
      <c r="E12" s="4759"/>
      <c r="F12" s="4760"/>
      <c r="G12" s="5537"/>
      <c r="H12" s="5538"/>
      <c r="I12" s="4763"/>
      <c r="J12" s="4902"/>
      <c r="K12" s="4765"/>
      <c r="L12" s="4765"/>
      <c r="M12" s="4765"/>
      <c r="N12" s="5539"/>
      <c r="O12" s="5534">
        <f t="shared" si="0"/>
        <v>0</v>
      </c>
      <c r="P12" s="4857" t="s">
        <v>3804</v>
      </c>
      <c r="Q12" s="4858">
        <v>1</v>
      </c>
      <c r="R12" s="4976" t="s">
        <v>3804</v>
      </c>
      <c r="S12" s="4858" t="s">
        <v>246</v>
      </c>
      <c r="T12" s="4859" t="s">
        <v>5815</v>
      </c>
      <c r="U12" s="4860">
        <v>0</v>
      </c>
      <c r="AC12" s="4657"/>
    </row>
    <row r="13" spans="1:31" ht="33.75" customHeight="1">
      <c r="A13" s="4758"/>
      <c r="B13" s="4900"/>
      <c r="C13" s="4900"/>
      <c r="D13" s="4759"/>
      <c r="E13" s="4759"/>
      <c r="F13" s="4760"/>
      <c r="G13" s="5537"/>
      <c r="H13" s="5538"/>
      <c r="I13" s="4763"/>
      <c r="J13" s="4902"/>
      <c r="K13" s="4765"/>
      <c r="L13" s="4765"/>
      <c r="M13" s="4765"/>
      <c r="N13" s="5539"/>
      <c r="O13" s="5534">
        <f t="shared" si="0"/>
        <v>0</v>
      </c>
      <c r="P13" s="4857" t="s">
        <v>3804</v>
      </c>
      <c r="Q13" s="4858">
        <v>1</v>
      </c>
      <c r="R13" s="4976" t="s">
        <v>3804</v>
      </c>
      <c r="S13" s="4858" t="s">
        <v>246</v>
      </c>
      <c r="T13" s="4859" t="s">
        <v>5815</v>
      </c>
      <c r="U13" s="4860">
        <v>0</v>
      </c>
      <c r="AC13" s="4657"/>
    </row>
    <row r="14" spans="1:31" ht="33.75" customHeight="1">
      <c r="A14" s="4758"/>
      <c r="B14" s="4900"/>
      <c r="C14" s="4900"/>
      <c r="D14" s="4759"/>
      <c r="E14" s="4759"/>
      <c r="F14" s="4760"/>
      <c r="G14" s="5537"/>
      <c r="H14" s="5538"/>
      <c r="I14" s="4763"/>
      <c r="J14" s="4902"/>
      <c r="K14" s="4765"/>
      <c r="L14" s="4765"/>
      <c r="M14" s="4765"/>
      <c r="N14" s="5539"/>
      <c r="O14" s="5534">
        <f t="shared" si="0"/>
        <v>0</v>
      </c>
      <c r="P14" s="4857" t="s">
        <v>3804</v>
      </c>
      <c r="Q14" s="4858">
        <v>1</v>
      </c>
      <c r="R14" s="4976" t="s">
        <v>3804</v>
      </c>
      <c r="S14" s="4858" t="s">
        <v>246</v>
      </c>
      <c r="T14" s="4859" t="s">
        <v>5815</v>
      </c>
      <c r="U14" s="4860">
        <v>0</v>
      </c>
      <c r="AC14" s="4657"/>
    </row>
    <row r="15" spans="1:31" ht="33.75" customHeight="1">
      <c r="A15" s="4758"/>
      <c r="B15" s="4900"/>
      <c r="C15" s="4900"/>
      <c r="D15" s="4759"/>
      <c r="E15" s="4759"/>
      <c r="F15" s="4760"/>
      <c r="G15" s="5537"/>
      <c r="H15" s="5538"/>
      <c r="I15" s="4763"/>
      <c r="J15" s="4902"/>
      <c r="K15" s="4765"/>
      <c r="L15" s="4765"/>
      <c r="M15" s="4765"/>
      <c r="N15" s="5539"/>
      <c r="O15" s="5534">
        <f>F15*N15</f>
        <v>0</v>
      </c>
      <c r="P15" s="4857" t="s">
        <v>3804</v>
      </c>
      <c r="Q15" s="4858">
        <v>1</v>
      </c>
      <c r="R15" s="4976" t="s">
        <v>3804</v>
      </c>
      <c r="S15" s="4858" t="s">
        <v>246</v>
      </c>
      <c r="T15" s="4859" t="s">
        <v>5815</v>
      </c>
      <c r="U15" s="4860">
        <v>0</v>
      </c>
      <c r="AC15" s="4657"/>
    </row>
    <row r="16" spans="1:31" ht="33.75" customHeight="1">
      <c r="A16" s="4758"/>
      <c r="B16" s="4900"/>
      <c r="C16" s="4900"/>
      <c r="D16" s="4759"/>
      <c r="E16" s="4759"/>
      <c r="F16" s="4760"/>
      <c r="G16" s="5537"/>
      <c r="H16" s="5538"/>
      <c r="I16" s="4763"/>
      <c r="J16" s="4902"/>
      <c r="K16" s="4765"/>
      <c r="L16" s="4765"/>
      <c r="M16" s="4765"/>
      <c r="N16" s="5539"/>
      <c r="O16" s="5534">
        <f t="shared" si="0"/>
        <v>0</v>
      </c>
      <c r="P16" s="4857" t="s">
        <v>3804</v>
      </c>
      <c r="Q16" s="4858">
        <v>1</v>
      </c>
      <c r="R16" s="4976" t="s">
        <v>3804</v>
      </c>
      <c r="S16" s="4858" t="s">
        <v>246</v>
      </c>
      <c r="T16" s="4859" t="s">
        <v>5815</v>
      </c>
      <c r="U16" s="4860">
        <v>0</v>
      </c>
      <c r="AC16" s="4657"/>
    </row>
    <row r="17" spans="1:31" ht="33.75" customHeight="1">
      <c r="A17" s="4758"/>
      <c r="B17" s="4900"/>
      <c r="C17" s="4900"/>
      <c r="D17" s="4759"/>
      <c r="E17" s="4759"/>
      <c r="F17" s="4760"/>
      <c r="G17" s="5537"/>
      <c r="H17" s="5538"/>
      <c r="I17" s="4763"/>
      <c r="J17" s="4902"/>
      <c r="K17" s="4765"/>
      <c r="L17" s="4765"/>
      <c r="M17" s="4765"/>
      <c r="N17" s="5539"/>
      <c r="O17" s="5534">
        <f t="shared" si="0"/>
        <v>0</v>
      </c>
      <c r="P17" s="4857" t="s">
        <v>3804</v>
      </c>
      <c r="Q17" s="4858">
        <v>1</v>
      </c>
      <c r="R17" s="4976" t="s">
        <v>3804</v>
      </c>
      <c r="S17" s="4858" t="s">
        <v>246</v>
      </c>
      <c r="T17" s="4859" t="s">
        <v>5815</v>
      </c>
      <c r="U17" s="4860">
        <v>0</v>
      </c>
      <c r="AC17" s="4657"/>
    </row>
    <row r="18" spans="1:31" ht="33.75" customHeight="1" thickBot="1">
      <c r="A18" s="4758"/>
      <c r="B18" s="4900"/>
      <c r="C18" s="4900"/>
      <c r="D18" s="4759"/>
      <c r="E18" s="4759"/>
      <c r="F18" s="4770"/>
      <c r="G18" s="5537"/>
      <c r="H18" s="5538"/>
      <c r="I18" s="4774"/>
      <c r="J18" s="4902"/>
      <c r="K18" s="4765"/>
      <c r="L18" s="5009"/>
      <c r="M18" s="4765"/>
      <c r="N18" s="5540"/>
      <c r="O18" s="5541">
        <f t="shared" si="0"/>
        <v>0</v>
      </c>
      <c r="P18" s="4857" t="s">
        <v>3804</v>
      </c>
      <c r="Q18" s="4919">
        <v>1</v>
      </c>
      <c r="R18" s="4976" t="s">
        <v>3804</v>
      </c>
      <c r="S18" s="4858" t="s">
        <v>246</v>
      </c>
      <c r="T18" s="4859" t="s">
        <v>5815</v>
      </c>
      <c r="U18" s="4921">
        <v>0</v>
      </c>
      <c r="AC18" s="4657"/>
    </row>
    <row r="19" spans="1:31" ht="33.75" customHeight="1" thickTop="1" thickBot="1">
      <c r="A19" s="4865" t="s">
        <v>127</v>
      </c>
      <c r="B19" s="4866"/>
      <c r="C19" s="4866"/>
      <c r="D19" s="4866"/>
      <c r="E19" s="4866"/>
      <c r="F19" s="4867">
        <f>SUM(F8:F18)</f>
        <v>38</v>
      </c>
      <c r="G19" s="4866"/>
      <c r="H19" s="4868"/>
      <c r="I19" s="4782">
        <f>COUNTA(G8,G10,G15)</f>
        <v>2</v>
      </c>
      <c r="J19" s="4870"/>
      <c r="K19" s="4870"/>
      <c r="L19" s="4870"/>
      <c r="M19" s="4870"/>
      <c r="N19" s="4903"/>
      <c r="O19" s="4871">
        <f>SUM(O8:O18)</f>
        <v>58721876</v>
      </c>
      <c r="P19" s="4904"/>
      <c r="Q19" s="4904"/>
      <c r="R19" s="4905"/>
      <c r="S19" s="4906"/>
      <c r="T19" s="4905"/>
      <c r="U19" s="4907"/>
      <c r="AC19" s="4657"/>
    </row>
    <row r="20" spans="1:31" ht="33.75" customHeight="1" thickBot="1">
      <c r="A20" s="4876" t="s">
        <v>5792</v>
      </c>
      <c r="B20" s="4957"/>
      <c r="C20" s="4958"/>
      <c r="D20" s="4958"/>
      <c r="E20" s="4958"/>
      <c r="F20" s="4959"/>
      <c r="G20" s="4958"/>
      <c r="H20" s="4960"/>
      <c r="I20" s="4958"/>
      <c r="J20" s="4961"/>
      <c r="K20" s="4961"/>
      <c r="L20" s="4961"/>
      <c r="M20" s="4961"/>
      <c r="N20" s="4962"/>
      <c r="O20" s="5010">
        <f>ROUNDDOWN(O19*1.1,0)</f>
        <v>64594063</v>
      </c>
      <c r="P20" s="4963"/>
      <c r="Q20" s="4963"/>
      <c r="R20" s="4964"/>
      <c r="S20" s="4965"/>
      <c r="T20" s="4964"/>
      <c r="U20" s="4966"/>
      <c r="V20" s="4941"/>
      <c r="W20" s="4941"/>
      <c r="X20" s="4941"/>
      <c r="Y20" s="4941"/>
      <c r="Z20" s="4941"/>
      <c r="AA20" s="4941"/>
      <c r="AB20" s="4941"/>
      <c r="AC20" s="4941"/>
      <c r="AD20" s="4941"/>
      <c r="AE20" s="4941"/>
    </row>
    <row r="21" spans="1:31" ht="32.15" customHeight="1">
      <c r="B21" s="4657"/>
      <c r="C21" s="4657"/>
      <c r="D21" s="4657"/>
      <c r="E21" s="4810"/>
      <c r="F21" s="4811"/>
      <c r="G21" s="4657"/>
      <c r="H21" s="4657"/>
      <c r="M21" s="4808" t="s">
        <v>5748</v>
      </c>
      <c r="N21" s="4809">
        <f>SUM(N8,N10,N15)</f>
        <v>3174000</v>
      </c>
      <c r="O21" s="4656"/>
      <c r="P21" s="4657"/>
      <c r="Q21" s="4657"/>
      <c r="AC21" s="4657"/>
    </row>
    <row r="22" spans="1:31" ht="32.15" customHeight="1">
      <c r="A22" s="4812"/>
      <c r="B22" s="4813"/>
      <c r="C22" s="4813"/>
      <c r="D22" s="4813"/>
      <c r="E22" s="4814"/>
      <c r="F22" s="4814"/>
      <c r="G22" s="4813"/>
      <c r="H22" s="4813"/>
      <c r="I22" s="4812"/>
      <c r="J22" s="4812"/>
      <c r="K22" s="4812"/>
      <c r="L22" s="4812"/>
      <c r="M22" s="4808" t="s">
        <v>5750</v>
      </c>
      <c r="N22" s="4809">
        <f>N21*1.1</f>
        <v>3491400.0000000005</v>
      </c>
      <c r="O22" s="4715"/>
      <c r="P22" s="4715"/>
      <c r="Q22" s="4715"/>
      <c r="R22" s="4656"/>
      <c r="S22" s="4812"/>
      <c r="T22" s="4656"/>
      <c r="U22" s="4812"/>
      <c r="W22" s="6905"/>
      <c r="X22" s="6905"/>
      <c r="Y22" s="6905"/>
      <c r="Z22" s="6905"/>
      <c r="AA22" s="6905"/>
      <c r="AB22" s="6891"/>
      <c r="AC22" s="6891"/>
      <c r="AD22" s="6891"/>
      <c r="AE22" s="6891"/>
    </row>
    <row r="23" spans="1:31" ht="36" customHeight="1"/>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10.15" customHeight="1">
      <c r="B33" s="4657"/>
      <c r="C33" s="4657"/>
      <c r="D33" s="4657"/>
      <c r="G33" s="4657"/>
      <c r="H33" s="4657"/>
      <c r="O33" s="4656"/>
      <c r="P33" s="4657"/>
      <c r="Q33" s="4657"/>
      <c r="AC33" s="4657"/>
    </row>
  </sheetData>
  <mergeCells count="21">
    <mergeCell ref="A2:B2"/>
    <mergeCell ref="C2:G2"/>
    <mergeCell ref="A5:A6"/>
    <mergeCell ref="B5:B6"/>
    <mergeCell ref="C5:C6"/>
    <mergeCell ref="D5:D6"/>
    <mergeCell ref="E5:E6"/>
    <mergeCell ref="F5:F6"/>
    <mergeCell ref="G5:G6"/>
    <mergeCell ref="AB22:AE22"/>
    <mergeCell ref="H5:H6"/>
    <mergeCell ref="I5:I6"/>
    <mergeCell ref="J5:J6"/>
    <mergeCell ref="K5:K6"/>
    <mergeCell ref="L5:L6"/>
    <mergeCell ref="M5:M6"/>
    <mergeCell ref="N5:N6"/>
    <mergeCell ref="O5:O6"/>
    <mergeCell ref="P5:Q5"/>
    <mergeCell ref="R5:U5"/>
    <mergeCell ref="W22:AA22"/>
  </mergeCells>
  <phoneticPr fontId="2"/>
  <conditionalFormatting sqref="B8:E18 I8:K18 M8:M18">
    <cfRule type="containsBlanks" dxfId="249" priority="1">
      <formula>LEN(TRIM(B8))=0</formula>
    </cfRule>
  </conditionalFormatting>
  <conditionalFormatting sqref="C2:D2">
    <cfRule type="containsBlanks" dxfId="248" priority="4">
      <formula>LEN(TRIM(C2))=0</formula>
    </cfRule>
  </conditionalFormatting>
  <conditionalFormatting sqref="H15:H17 G18:H18">
    <cfRule type="containsBlanks" dxfId="247" priority="3">
      <formula>LEN(TRIM(G15))=0</formula>
    </cfRule>
  </conditionalFormatting>
  <conditionalFormatting sqref="P8:U18">
    <cfRule type="containsBlanks" dxfId="246" priority="2">
      <formula>LEN(TRIM(P8))=0</formula>
    </cfRule>
  </conditionalFormatting>
  <dataValidations count="1">
    <dataValidation type="list" allowBlank="1" showInputMessage="1" showErrorMessage="1" sqref="I7:I18" xr:uid="{D3321B9A-7B7A-430D-991C-8577AD8FBACC}">
      <formula1>会場形態</formula1>
    </dataValidation>
  </dataValidations>
  <printOptions horizontalCentered="1"/>
  <pageMargins left="0.59055118110236227" right="0.59055118110236227" top="0.74803149606299213" bottom="0.74803149606299213" header="0.31496062992125984" footer="0.31496062992125984"/>
  <pageSetup paperSize="9" scale="43" orientation="landscape" r:id="rId1"/>
  <headerFooter>
    <oddHeader>&amp;R&amp;G</oddHead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11B5-B4A0-444A-BE88-69BACAF29971}">
  <sheetPr codeName="Sheet376">
    <tabColor rgb="FFFFFF66"/>
    <pageSetUpPr fitToPage="1"/>
  </sheetPr>
  <dimension ref="A1:AF40"/>
  <sheetViews>
    <sheetView zoomScale="55" zoomScaleNormal="55" zoomScaleSheetLayoutView="70" workbookViewId="0">
      <selection activeCell="F4" sqref="F4"/>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81640625" style="4659" customWidth="1"/>
    <col min="15" max="15" width="25.1796875" style="4659" customWidth="1"/>
    <col min="16" max="16" width="22.453125" style="4659"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6356</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s="5558" customFormat="1" ht="33.75" customHeight="1">
      <c r="A7" s="5542" t="s">
        <v>5737</v>
      </c>
      <c r="B7" s="5543">
        <v>46266</v>
      </c>
      <c r="C7" s="5544">
        <v>46268</v>
      </c>
      <c r="D7" s="5545">
        <f>IF(_xlfn.DAYS(C7,B7)=0,"1",_xlfn.DAYS(C7,B7))</f>
        <v>2</v>
      </c>
      <c r="E7" s="5544">
        <v>46280</v>
      </c>
      <c r="F7" s="5545">
        <f>IF(_xlfn.DAYS(E7,C7)=0,"1",_xlfn.DAYS(E7,C7))+1</f>
        <v>13</v>
      </c>
      <c r="G7" s="5546">
        <v>46282</v>
      </c>
      <c r="H7" s="5545">
        <f>IF(_xlfn.DAYS(G7,E7)=0,"1",_xlfn.DAYS(G7,E7))-1</f>
        <v>1</v>
      </c>
      <c r="I7" s="5547" t="s">
        <v>5738</v>
      </c>
      <c r="J7" s="5548">
        <v>100</v>
      </c>
      <c r="K7" s="5549">
        <v>90</v>
      </c>
      <c r="L7" s="4969">
        <v>9000</v>
      </c>
      <c r="M7" s="4969">
        <v>10000</v>
      </c>
      <c r="N7" s="4971"/>
      <c r="O7" s="4969">
        <v>8000</v>
      </c>
      <c r="P7" s="5550">
        <f>SUM(D7,F7,H7)*K7</f>
        <v>1440</v>
      </c>
      <c r="Q7" s="5551">
        <f>(D7*L7+F7*M7+H7*O7)*K7</f>
        <v>14040000</v>
      </c>
      <c r="R7" s="5548">
        <v>21</v>
      </c>
      <c r="S7" s="5552" t="s">
        <v>5739</v>
      </c>
      <c r="T7" s="5553">
        <v>21</v>
      </c>
      <c r="U7" s="5548">
        <v>1</v>
      </c>
      <c r="V7" s="5548">
        <v>154</v>
      </c>
      <c r="W7" s="5552" t="s">
        <v>4521</v>
      </c>
      <c r="X7" s="5554">
        <v>203</v>
      </c>
      <c r="Y7" s="5548">
        <v>1</v>
      </c>
      <c r="Z7" s="5548" t="s">
        <v>5740</v>
      </c>
      <c r="AA7" s="5555" t="s">
        <v>5035</v>
      </c>
      <c r="AB7" s="5548" t="s">
        <v>2830</v>
      </c>
      <c r="AC7" s="5555" t="s">
        <v>5050</v>
      </c>
      <c r="AD7" s="5548" t="s">
        <v>5741</v>
      </c>
      <c r="AE7" s="5556"/>
      <c r="AF7" s="5557">
        <f>U7*K7</f>
        <v>90</v>
      </c>
    </row>
    <row r="8" spans="1:32" ht="33.75" customHeight="1">
      <c r="A8" s="4686">
        <v>1</v>
      </c>
      <c r="B8" s="4687">
        <v>46285</v>
      </c>
      <c r="C8" s="4687">
        <v>46287</v>
      </c>
      <c r="D8" s="4672">
        <f t="shared" ref="D8:D22" si="0">IF(_xlfn.DAYS(C8,B8)=0,"1",_xlfn.DAYS(C8,B8))</f>
        <v>2</v>
      </c>
      <c r="E8" s="4687">
        <v>46294</v>
      </c>
      <c r="F8" s="4698">
        <f t="shared" ref="F8:F22" si="1">IF(_xlfn.DAYS(E8,C8)=0,"1",_xlfn.DAYS(E8,C8))+1</f>
        <v>8</v>
      </c>
      <c r="G8" s="4699">
        <v>46296</v>
      </c>
      <c r="H8" s="4672">
        <f t="shared" ref="H8:H22" si="2">IF(_xlfn.DAYS(G8,E8)=0,"1",_xlfn.DAYS(G8,E8))-1</f>
        <v>1</v>
      </c>
      <c r="I8" s="5559" t="s">
        <v>5132</v>
      </c>
      <c r="J8" s="4820">
        <v>24</v>
      </c>
      <c r="K8" s="4693">
        <v>16</v>
      </c>
      <c r="L8" s="4692">
        <v>27752</v>
      </c>
      <c r="M8" s="4692">
        <v>45636</v>
      </c>
      <c r="N8" s="4971">
        <f t="shared" ref="N8:N13" si="3">M8*K8</f>
        <v>730176</v>
      </c>
      <c r="O8" s="4692">
        <v>27752</v>
      </c>
      <c r="P8" s="4678">
        <f>SUM(D8,F8,H8)*K8</f>
        <v>176</v>
      </c>
      <c r="Q8" s="4679">
        <f>(D8*L8+F8*M8+H8*O8)*K8</f>
        <v>7173504</v>
      </c>
      <c r="R8" s="4692">
        <v>20</v>
      </c>
      <c r="S8" s="4680" t="s">
        <v>5742</v>
      </c>
      <c r="T8" s="4694">
        <v>22</v>
      </c>
      <c r="U8" s="4692">
        <v>2</v>
      </c>
      <c r="V8" s="4692">
        <v>97</v>
      </c>
      <c r="W8" s="4680" t="s">
        <v>2688</v>
      </c>
      <c r="X8" s="4695">
        <v>195</v>
      </c>
      <c r="Y8" s="4692">
        <v>2</v>
      </c>
      <c r="Z8" s="4692" t="s">
        <v>5743</v>
      </c>
      <c r="AA8" s="4683" t="s">
        <v>5035</v>
      </c>
      <c r="AB8" s="4692" t="s">
        <v>2830</v>
      </c>
      <c r="AC8" s="4683" t="s">
        <v>5050</v>
      </c>
      <c r="AD8" s="4692" t="s">
        <v>5741</v>
      </c>
      <c r="AE8" s="4696" t="s">
        <v>6357</v>
      </c>
      <c r="AF8" s="4685">
        <f>U8*K8</f>
        <v>32</v>
      </c>
    </row>
    <row r="9" spans="1:32" ht="33.75" customHeight="1">
      <c r="A9" s="4686">
        <v>2</v>
      </c>
      <c r="B9" s="4687">
        <v>46285</v>
      </c>
      <c r="C9" s="4687">
        <v>46287</v>
      </c>
      <c r="D9" s="4672">
        <f t="shared" si="0"/>
        <v>2</v>
      </c>
      <c r="E9" s="4687">
        <v>46294</v>
      </c>
      <c r="F9" s="4698">
        <f t="shared" si="1"/>
        <v>8</v>
      </c>
      <c r="G9" s="4699">
        <v>46296</v>
      </c>
      <c r="H9" s="4672">
        <f t="shared" si="2"/>
        <v>1</v>
      </c>
      <c r="I9" s="5559" t="s">
        <v>6358</v>
      </c>
      <c r="J9" s="4820">
        <v>20</v>
      </c>
      <c r="K9" s="4693">
        <v>14</v>
      </c>
      <c r="L9" s="4692">
        <v>27752</v>
      </c>
      <c r="M9" s="4692">
        <v>45636</v>
      </c>
      <c r="N9" s="4971">
        <f t="shared" si="3"/>
        <v>638904</v>
      </c>
      <c r="O9" s="4692">
        <v>27752</v>
      </c>
      <c r="P9" s="4678">
        <f t="shared" ref="P9:P22" si="4">SUM(D9,F9,H9)*K9</f>
        <v>154</v>
      </c>
      <c r="Q9" s="4679">
        <f t="shared" ref="Q9:Q22" si="5">(D9*L9+F9*M9+H9*O9)*K9</f>
        <v>6276816</v>
      </c>
      <c r="R9" s="4692">
        <v>29</v>
      </c>
      <c r="S9" s="4680" t="s">
        <v>5742</v>
      </c>
      <c r="T9" s="4694">
        <v>29</v>
      </c>
      <c r="U9" s="4692">
        <v>2</v>
      </c>
      <c r="V9" s="4692">
        <v>97</v>
      </c>
      <c r="W9" s="4680" t="s">
        <v>2688</v>
      </c>
      <c r="X9" s="4695">
        <v>195</v>
      </c>
      <c r="Y9" s="4692">
        <v>2</v>
      </c>
      <c r="Z9" s="4692" t="s">
        <v>5743</v>
      </c>
      <c r="AA9" s="4683" t="s">
        <v>5035</v>
      </c>
      <c r="AB9" s="4692" t="s">
        <v>2830</v>
      </c>
      <c r="AC9" s="4683" t="s">
        <v>5050</v>
      </c>
      <c r="AD9" s="4692" t="s">
        <v>5741</v>
      </c>
      <c r="AE9" s="4696" t="s">
        <v>6357</v>
      </c>
      <c r="AF9" s="4685">
        <f t="shared" ref="AF9:AF22" si="6">U9*K9</f>
        <v>28</v>
      </c>
    </row>
    <row r="10" spans="1:32" ht="33.75" customHeight="1">
      <c r="A10" s="4686">
        <v>3</v>
      </c>
      <c r="B10" s="4687">
        <v>46285</v>
      </c>
      <c r="C10" s="4687">
        <v>46287</v>
      </c>
      <c r="D10" s="4672">
        <f t="shared" si="0"/>
        <v>2</v>
      </c>
      <c r="E10" s="4687">
        <v>46294</v>
      </c>
      <c r="F10" s="4698">
        <f t="shared" si="1"/>
        <v>8</v>
      </c>
      <c r="G10" s="4699">
        <v>46296</v>
      </c>
      <c r="H10" s="4672">
        <f t="shared" si="2"/>
        <v>1</v>
      </c>
      <c r="I10" s="5559" t="s">
        <v>6359</v>
      </c>
      <c r="J10" s="4820">
        <v>30</v>
      </c>
      <c r="K10" s="4693">
        <v>20</v>
      </c>
      <c r="L10" s="4692">
        <v>27752</v>
      </c>
      <c r="M10" s="4692">
        <v>45636</v>
      </c>
      <c r="N10" s="4971">
        <f t="shared" si="3"/>
        <v>912720</v>
      </c>
      <c r="O10" s="4692">
        <v>27752</v>
      </c>
      <c r="P10" s="4678">
        <f t="shared" si="4"/>
        <v>220</v>
      </c>
      <c r="Q10" s="4679">
        <f t="shared" si="5"/>
        <v>8966880</v>
      </c>
      <c r="R10" s="4692">
        <v>33</v>
      </c>
      <c r="S10" s="4680" t="s">
        <v>5742</v>
      </c>
      <c r="T10" s="4694">
        <v>33</v>
      </c>
      <c r="U10" s="4692">
        <v>2</v>
      </c>
      <c r="V10" s="4692" t="s">
        <v>2602</v>
      </c>
      <c r="W10" s="4680" t="s">
        <v>2688</v>
      </c>
      <c r="X10" s="4695" t="s">
        <v>2602</v>
      </c>
      <c r="Y10" s="4692">
        <v>2</v>
      </c>
      <c r="Z10" s="4692" t="s">
        <v>5953</v>
      </c>
      <c r="AA10" s="4683" t="s">
        <v>5035</v>
      </c>
      <c r="AB10" s="4692" t="s">
        <v>2830</v>
      </c>
      <c r="AC10" s="4683" t="s">
        <v>5050</v>
      </c>
      <c r="AD10" s="4692" t="s">
        <v>5741</v>
      </c>
      <c r="AE10" s="4696" t="s">
        <v>6357</v>
      </c>
      <c r="AF10" s="4685">
        <f t="shared" si="6"/>
        <v>40</v>
      </c>
    </row>
    <row r="11" spans="1:32" ht="33.75" customHeight="1">
      <c r="A11" s="4686">
        <v>4</v>
      </c>
      <c r="B11" s="4687">
        <v>46285</v>
      </c>
      <c r="C11" s="4687">
        <v>46287</v>
      </c>
      <c r="D11" s="4672">
        <f t="shared" si="0"/>
        <v>2</v>
      </c>
      <c r="E11" s="4687">
        <v>46294</v>
      </c>
      <c r="F11" s="4698">
        <f t="shared" si="1"/>
        <v>8</v>
      </c>
      <c r="G11" s="4699">
        <v>46296</v>
      </c>
      <c r="H11" s="4672">
        <f t="shared" si="2"/>
        <v>1</v>
      </c>
      <c r="I11" s="5559" t="s">
        <v>6360</v>
      </c>
      <c r="J11" s="4820">
        <v>6</v>
      </c>
      <c r="K11" s="4693">
        <v>4</v>
      </c>
      <c r="L11" s="4692">
        <v>27752</v>
      </c>
      <c r="M11" s="4692">
        <v>54578</v>
      </c>
      <c r="N11" s="4971">
        <f t="shared" si="3"/>
        <v>218312</v>
      </c>
      <c r="O11" s="4692">
        <v>27752</v>
      </c>
      <c r="P11" s="4678">
        <f t="shared" si="4"/>
        <v>44</v>
      </c>
      <c r="Q11" s="4679">
        <f t="shared" si="5"/>
        <v>2079520</v>
      </c>
      <c r="R11" s="4692">
        <v>46</v>
      </c>
      <c r="S11" s="4680" t="s">
        <v>5742</v>
      </c>
      <c r="T11" s="4694">
        <v>46</v>
      </c>
      <c r="U11" s="4692">
        <v>3</v>
      </c>
      <c r="V11" s="4692">
        <v>122</v>
      </c>
      <c r="W11" s="4680" t="s">
        <v>2688</v>
      </c>
      <c r="X11" s="4695">
        <v>203</v>
      </c>
      <c r="Y11" s="4692">
        <v>3</v>
      </c>
      <c r="Z11" s="4692" t="s">
        <v>5743</v>
      </c>
      <c r="AA11" s="4683" t="s">
        <v>5035</v>
      </c>
      <c r="AB11" s="4692" t="s">
        <v>2830</v>
      </c>
      <c r="AC11" s="4683" t="s">
        <v>5050</v>
      </c>
      <c r="AD11" s="4692" t="s">
        <v>5741</v>
      </c>
      <c r="AE11" s="4696" t="s">
        <v>6357</v>
      </c>
      <c r="AF11" s="4685">
        <f t="shared" si="6"/>
        <v>12</v>
      </c>
    </row>
    <row r="12" spans="1:32" ht="33.75" customHeight="1">
      <c r="A12" s="4686">
        <v>5</v>
      </c>
      <c r="B12" s="4687">
        <v>46285</v>
      </c>
      <c r="C12" s="4687">
        <v>46287</v>
      </c>
      <c r="D12" s="4672">
        <f t="shared" si="0"/>
        <v>2</v>
      </c>
      <c r="E12" s="4687">
        <v>46294</v>
      </c>
      <c r="F12" s="4698">
        <f t="shared" si="1"/>
        <v>8</v>
      </c>
      <c r="G12" s="4699">
        <v>46296</v>
      </c>
      <c r="H12" s="4672">
        <f t="shared" si="2"/>
        <v>1</v>
      </c>
      <c r="I12" s="5559" t="s">
        <v>5140</v>
      </c>
      <c r="J12" s="4820">
        <v>12</v>
      </c>
      <c r="K12" s="4693">
        <v>8</v>
      </c>
      <c r="L12" s="4692">
        <v>27752</v>
      </c>
      <c r="M12" s="4692">
        <v>45636</v>
      </c>
      <c r="N12" s="4971">
        <f t="shared" si="3"/>
        <v>365088</v>
      </c>
      <c r="O12" s="4692">
        <v>27752</v>
      </c>
      <c r="P12" s="4678">
        <f t="shared" si="4"/>
        <v>88</v>
      </c>
      <c r="Q12" s="4679">
        <f t="shared" si="5"/>
        <v>3586752</v>
      </c>
      <c r="R12" s="4692">
        <v>31</v>
      </c>
      <c r="S12" s="4680" t="s">
        <v>5742</v>
      </c>
      <c r="T12" s="4694">
        <v>31</v>
      </c>
      <c r="U12" s="4692">
        <v>2</v>
      </c>
      <c r="V12" s="4692" t="s">
        <v>2602</v>
      </c>
      <c r="W12" s="4680" t="s">
        <v>2688</v>
      </c>
      <c r="X12" s="4695" t="s">
        <v>2602</v>
      </c>
      <c r="Y12" s="4692">
        <v>0</v>
      </c>
      <c r="Z12" s="4692" t="s">
        <v>5953</v>
      </c>
      <c r="AA12" s="4683" t="s">
        <v>5035</v>
      </c>
      <c r="AB12" s="4692" t="s">
        <v>2830</v>
      </c>
      <c r="AC12" s="4683" t="s">
        <v>5050</v>
      </c>
      <c r="AD12" s="4692" t="s">
        <v>5741</v>
      </c>
      <c r="AE12" s="4696" t="s">
        <v>6357</v>
      </c>
      <c r="AF12" s="4685">
        <f t="shared" si="6"/>
        <v>16</v>
      </c>
    </row>
    <row r="13" spans="1:32" ht="33.75" customHeight="1">
      <c r="A13" s="4686">
        <v>6</v>
      </c>
      <c r="B13" s="4687">
        <v>46285</v>
      </c>
      <c r="C13" s="4687">
        <v>46287</v>
      </c>
      <c r="D13" s="4672">
        <f t="shared" si="0"/>
        <v>2</v>
      </c>
      <c r="E13" s="4687">
        <v>46294</v>
      </c>
      <c r="F13" s="4698">
        <f t="shared" si="1"/>
        <v>8</v>
      </c>
      <c r="G13" s="4699">
        <v>46296</v>
      </c>
      <c r="H13" s="4672">
        <f t="shared" si="2"/>
        <v>1</v>
      </c>
      <c r="I13" s="5559" t="s">
        <v>6361</v>
      </c>
      <c r="J13" s="4820">
        <v>7</v>
      </c>
      <c r="K13" s="4693">
        <v>4</v>
      </c>
      <c r="L13" s="4692">
        <v>27752</v>
      </c>
      <c r="M13" s="4692">
        <v>45636</v>
      </c>
      <c r="N13" s="4971">
        <f t="shared" si="3"/>
        <v>182544</v>
      </c>
      <c r="O13" s="4692">
        <v>27752</v>
      </c>
      <c r="P13" s="4678">
        <f t="shared" si="4"/>
        <v>44</v>
      </c>
      <c r="Q13" s="4679">
        <f t="shared" si="5"/>
        <v>1793376</v>
      </c>
      <c r="R13" s="4692">
        <v>40</v>
      </c>
      <c r="S13" s="4680" t="s">
        <v>5742</v>
      </c>
      <c r="T13" s="4694">
        <v>46</v>
      </c>
      <c r="U13" s="4692">
        <v>2</v>
      </c>
      <c r="V13" s="4692">
        <v>122</v>
      </c>
      <c r="W13" s="4680" t="s">
        <v>2688</v>
      </c>
      <c r="X13" s="4695">
        <v>203</v>
      </c>
      <c r="Y13" s="4692">
        <v>2</v>
      </c>
      <c r="Z13" s="4692" t="s">
        <v>5743</v>
      </c>
      <c r="AA13" s="4683" t="s">
        <v>5035</v>
      </c>
      <c r="AB13" s="4692" t="s">
        <v>2830</v>
      </c>
      <c r="AC13" s="4683" t="s">
        <v>5050</v>
      </c>
      <c r="AD13" s="4692" t="s">
        <v>5741</v>
      </c>
      <c r="AE13" s="4696" t="s">
        <v>6357</v>
      </c>
      <c r="AF13" s="4685">
        <f t="shared" si="6"/>
        <v>8</v>
      </c>
    </row>
    <row r="14" spans="1:32" ht="33.75" customHeight="1">
      <c r="A14" s="4686">
        <v>7</v>
      </c>
      <c r="B14" s="4687"/>
      <c r="C14" s="4687"/>
      <c r="D14" s="4672" t="str">
        <f t="shared" si="0"/>
        <v>1</v>
      </c>
      <c r="E14" s="4687"/>
      <c r="F14" s="4698">
        <f t="shared" si="1"/>
        <v>2</v>
      </c>
      <c r="G14" s="4699"/>
      <c r="H14" s="4672">
        <f t="shared" si="2"/>
        <v>0</v>
      </c>
      <c r="I14" s="5559" t="s">
        <v>6362</v>
      </c>
      <c r="J14" s="4820">
        <v>3</v>
      </c>
      <c r="K14" s="4693"/>
      <c r="L14" s="4692"/>
      <c r="M14" s="4692"/>
      <c r="N14" s="4692"/>
      <c r="O14" s="4692"/>
      <c r="P14" s="4678">
        <f>SUM(D14,F14,H14)*K14</f>
        <v>0</v>
      </c>
      <c r="Q14" s="4679">
        <f t="shared" si="5"/>
        <v>0</v>
      </c>
      <c r="R14" s="4692"/>
      <c r="S14" s="4680" t="s">
        <v>5742</v>
      </c>
      <c r="T14" s="4694"/>
      <c r="U14" s="4692"/>
      <c r="V14" s="4692"/>
      <c r="W14" s="4680" t="s">
        <v>2688</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5559" t="s">
        <v>5043</v>
      </c>
      <c r="J15" s="4820">
        <v>6</v>
      </c>
      <c r="K15" s="4693"/>
      <c r="L15" s="4692"/>
      <c r="M15" s="4692"/>
      <c r="N15" s="4692"/>
      <c r="O15" s="4692"/>
      <c r="P15" s="4678">
        <f t="shared" si="4"/>
        <v>0</v>
      </c>
      <c r="Q15" s="4679">
        <f t="shared" si="5"/>
        <v>0</v>
      </c>
      <c r="R15" s="4692"/>
      <c r="S15" s="4680" t="s">
        <v>5742</v>
      </c>
      <c r="T15" s="4694"/>
      <c r="U15" s="4692"/>
      <c r="V15" s="4692"/>
      <c r="W15" s="4680" t="s">
        <v>2688</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5559" t="s">
        <v>5069</v>
      </c>
      <c r="J16" s="4820">
        <v>8</v>
      </c>
      <c r="K16" s="4693"/>
      <c r="L16" s="4692"/>
      <c r="M16" s="4692"/>
      <c r="N16" s="4692"/>
      <c r="O16" s="4692"/>
      <c r="P16" s="4678">
        <f t="shared" si="4"/>
        <v>0</v>
      </c>
      <c r="Q16" s="4679">
        <f t="shared" si="5"/>
        <v>0</v>
      </c>
      <c r="R16" s="4692"/>
      <c r="S16" s="4680" t="s">
        <v>5742</v>
      </c>
      <c r="T16" s="4694"/>
      <c r="U16" s="4692"/>
      <c r="V16" s="4692"/>
      <c r="W16" s="4680" t="s">
        <v>2688</v>
      </c>
      <c r="X16" s="4695"/>
      <c r="Y16" s="4692"/>
      <c r="Z16" s="4692"/>
      <c r="AA16" s="4683" t="s">
        <v>5035</v>
      </c>
      <c r="AB16" s="4692"/>
      <c r="AC16" s="4683" t="s">
        <v>5050</v>
      </c>
      <c r="AD16" s="4692"/>
      <c r="AE16" s="4696"/>
      <c r="AF16" s="4685">
        <f t="shared" si="6"/>
        <v>0</v>
      </c>
    </row>
    <row r="17" spans="1:32" ht="33.75" customHeight="1">
      <c r="A17" s="4686">
        <v>10</v>
      </c>
      <c r="B17" s="4687"/>
      <c r="C17" s="4687"/>
      <c r="D17" s="4672" t="str">
        <f t="shared" si="0"/>
        <v>1</v>
      </c>
      <c r="E17" s="4687"/>
      <c r="F17" s="4698">
        <f t="shared" si="1"/>
        <v>2</v>
      </c>
      <c r="G17" s="4699"/>
      <c r="H17" s="4672">
        <f t="shared" si="2"/>
        <v>0</v>
      </c>
      <c r="I17" s="5559" t="s">
        <v>5092</v>
      </c>
      <c r="J17" s="4820">
        <v>11</v>
      </c>
      <c r="K17" s="4693"/>
      <c r="L17" s="4692"/>
      <c r="M17" s="4692"/>
      <c r="N17" s="4692"/>
      <c r="O17" s="4692"/>
      <c r="P17" s="4678">
        <f t="shared" si="4"/>
        <v>0</v>
      </c>
      <c r="Q17" s="4679">
        <f t="shared" si="5"/>
        <v>0</v>
      </c>
      <c r="R17" s="4692"/>
      <c r="S17" s="4680" t="s">
        <v>5742</v>
      </c>
      <c r="T17" s="4694"/>
      <c r="U17" s="4692"/>
      <c r="V17" s="4692"/>
      <c r="W17" s="4680" t="s">
        <v>2688</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5559" t="s">
        <v>6363</v>
      </c>
      <c r="J18" s="4820">
        <v>2</v>
      </c>
      <c r="K18" s="4693"/>
      <c r="L18" s="4692"/>
      <c r="M18" s="4692"/>
      <c r="N18" s="4692"/>
      <c r="O18" s="4692"/>
      <c r="P18" s="4678">
        <f t="shared" si="4"/>
        <v>0</v>
      </c>
      <c r="Q18" s="4679">
        <f t="shared" si="5"/>
        <v>0</v>
      </c>
      <c r="R18" s="4692"/>
      <c r="S18" s="4680" t="s">
        <v>5742</v>
      </c>
      <c r="T18" s="4694"/>
      <c r="U18" s="4692"/>
      <c r="V18" s="4692"/>
      <c r="W18" s="4680" t="s">
        <v>2688</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5559" t="s">
        <v>5130</v>
      </c>
      <c r="J19" s="4820">
        <v>7</v>
      </c>
      <c r="K19" s="4693"/>
      <c r="L19" s="4692"/>
      <c r="M19" s="4692"/>
      <c r="N19" s="4692"/>
      <c r="O19" s="4692"/>
      <c r="P19" s="4678">
        <f t="shared" si="4"/>
        <v>0</v>
      </c>
      <c r="Q19" s="4679">
        <f t="shared" si="5"/>
        <v>0</v>
      </c>
      <c r="R19" s="4692"/>
      <c r="S19" s="4680" t="s">
        <v>5742</v>
      </c>
      <c r="T19" s="4694"/>
      <c r="U19" s="4692"/>
      <c r="V19" s="4692"/>
      <c r="W19" s="4680" t="s">
        <v>2688</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5559" t="s">
        <v>5075</v>
      </c>
      <c r="J20" s="4820">
        <v>10</v>
      </c>
      <c r="K20" s="4693"/>
      <c r="L20" s="4692"/>
      <c r="M20" s="4692"/>
      <c r="N20" s="4692"/>
      <c r="O20" s="4692"/>
      <c r="P20" s="4678">
        <f t="shared" si="4"/>
        <v>0</v>
      </c>
      <c r="Q20" s="4679">
        <f t="shared" si="5"/>
        <v>0</v>
      </c>
      <c r="R20" s="4692"/>
      <c r="S20" s="4680" t="s">
        <v>5742</v>
      </c>
      <c r="T20" s="4694"/>
      <c r="U20" s="4692"/>
      <c r="V20" s="4692"/>
      <c r="W20" s="4680" t="s">
        <v>2688</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5559" t="s">
        <v>6364</v>
      </c>
      <c r="J21" s="4820">
        <v>2</v>
      </c>
      <c r="K21" s="4693"/>
      <c r="L21" s="4692"/>
      <c r="M21" s="4692"/>
      <c r="N21" s="4692"/>
      <c r="O21" s="4692"/>
      <c r="P21" s="4678">
        <f t="shared" si="4"/>
        <v>0</v>
      </c>
      <c r="Q21" s="4679">
        <f t="shared" si="5"/>
        <v>0</v>
      </c>
      <c r="R21" s="4692"/>
      <c r="S21" s="4680" t="s">
        <v>5742</v>
      </c>
      <c r="T21" s="4694"/>
      <c r="U21" s="4692"/>
      <c r="V21" s="4692"/>
      <c r="W21" s="4680" t="s">
        <v>2688</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4"/>
        <v>0</v>
      </c>
      <c r="Q22" s="4679">
        <f t="shared" si="5"/>
        <v>0</v>
      </c>
      <c r="R22" s="4692"/>
      <c r="S22" s="4680" t="s">
        <v>5739</v>
      </c>
      <c r="T22" s="4694"/>
      <c r="U22" s="4692"/>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148</v>
      </c>
      <c r="K23" s="4707">
        <f>SUM(K8:K22)</f>
        <v>66</v>
      </c>
      <c r="L23" s="4703"/>
      <c r="M23" s="4703"/>
      <c r="N23" s="4703"/>
      <c r="O23" s="4703"/>
      <c r="P23" s="4706">
        <f>SUM(P8:P22)</f>
        <v>726</v>
      </c>
      <c r="Q23" s="4706">
        <f>SUM(Q8:Q22)</f>
        <v>29876848</v>
      </c>
      <c r="R23" s="6863"/>
      <c r="S23" s="6864"/>
      <c r="T23" s="6865"/>
      <c r="U23" s="4708"/>
      <c r="V23" s="6863"/>
      <c r="W23" s="6864"/>
      <c r="X23" s="6864"/>
      <c r="Y23" s="4708"/>
      <c r="Z23" s="4708"/>
      <c r="AA23" s="6866"/>
      <c r="AB23" s="6867"/>
      <c r="AC23" s="6866"/>
      <c r="AD23" s="6867"/>
      <c r="AE23" s="4709"/>
      <c r="AF23" s="4685">
        <f>SUM(AF8:AF22)</f>
        <v>136</v>
      </c>
    </row>
    <row r="24" spans="1:32" ht="33.75" customHeight="1" thickBot="1">
      <c r="C24" s="4710"/>
      <c r="D24" s="4710"/>
      <c r="E24" s="4710"/>
      <c r="F24" s="4710"/>
      <c r="G24" s="4710"/>
      <c r="H24" s="4710"/>
      <c r="I24" s="4711"/>
      <c r="J24" s="4712"/>
      <c r="K24" s="4710"/>
      <c r="L24" s="4715"/>
      <c r="M24" s="4715"/>
      <c r="N24" s="4715"/>
      <c r="O24" s="4713" t="s">
        <v>5748</v>
      </c>
      <c r="P24" s="4714">
        <f>SUM(N8:N22)</f>
        <v>3047744</v>
      </c>
      <c r="S24" s="4656"/>
      <c r="W24" s="4656"/>
    </row>
    <row r="25" spans="1:32" ht="33.75" customHeight="1">
      <c r="A25" s="6845" t="s">
        <v>5749</v>
      </c>
      <c r="B25" s="6846"/>
      <c r="C25" s="4716">
        <f>P23</f>
        <v>726</v>
      </c>
      <c r="D25" s="4717"/>
      <c r="F25" s="4718"/>
      <c r="H25" s="4719"/>
      <c r="I25" s="4720"/>
      <c r="K25" s="4659"/>
      <c r="O25" s="4721" t="s">
        <v>5750</v>
      </c>
      <c r="P25" s="4722">
        <f>P24*1.1</f>
        <v>3352518.4000000004</v>
      </c>
    </row>
    <row r="26" spans="1:32" ht="33.75" customHeight="1">
      <c r="A26" s="6847" t="s">
        <v>5883</v>
      </c>
      <c r="B26" s="6848"/>
      <c r="C26" s="4723">
        <f>Q23</f>
        <v>29876848</v>
      </c>
      <c r="D26" s="4717"/>
      <c r="F26" s="4724"/>
      <c r="H26" s="4719"/>
      <c r="I26" s="4720"/>
      <c r="K26" s="4659"/>
      <c r="P26" s="4656"/>
    </row>
    <row r="27" spans="1:32" ht="33.75" customHeight="1" thickBot="1">
      <c r="A27" s="6913" t="s">
        <v>5751</v>
      </c>
      <c r="B27" s="6914"/>
      <c r="C27" s="4987">
        <f>ROUNDDOWN(C26*1.1,0)</f>
        <v>32864532</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C2:D2">
    <cfRule type="containsBlanks" dxfId="245" priority="4">
      <formula>LEN(TRIM(C2))=0</formula>
    </cfRule>
  </conditionalFormatting>
  <conditionalFormatting sqref="D7:D9 F7:F9 Q7:R22 T7:V22 X7:Z22 AB7:AB22 AD7:AE22 B8:C9 E8:E9 G8:H9 K8:M13 B10:H11 E12:H21 B12:D22 K14:O21">
    <cfRule type="containsBlanks" dxfId="244" priority="3">
      <formula>LEN(TRIM(B7))=0</formula>
    </cfRule>
  </conditionalFormatting>
  <conditionalFormatting sqref="H7:M7 E22:O22">
    <cfRule type="containsBlanks" dxfId="243" priority="5">
      <formula>LEN(TRIM(E7))=0</formula>
    </cfRule>
  </conditionalFormatting>
  <conditionalFormatting sqref="I8:J21">
    <cfRule type="containsBlanks" dxfId="242" priority="2">
      <formula>LEN(TRIM(I8))=0</formula>
    </cfRule>
  </conditionalFormatting>
  <conditionalFormatting sqref="N7:O13">
    <cfRule type="containsBlanks" dxfId="241" priority="1">
      <formula>LEN(TRIM(N7))=0</formula>
    </cfRule>
  </conditionalFormatting>
  <printOptions horizontalCentered="1"/>
  <pageMargins left="0.39370078740157483" right="0.39370078740157483" top="0.55118110236220474" bottom="0.55118110236220474" header="0.31496062992125984" footer="0.31496062992125984"/>
  <pageSetup paperSize="8" scale="41" orientation="landscape" r:id="rId1"/>
  <headerFooter>
    <oddHeader>&amp;R&amp;G</oddHeader>
  </headerFooter>
  <legacy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B4AE-40FF-4FB1-B925-DA1E9E521DBC}">
  <sheetPr codeName="Sheet377">
    <tabColor rgb="FFFFFF66"/>
    <pageSetUpPr fitToPage="1"/>
  </sheetPr>
  <dimension ref="A1:AE35"/>
  <sheetViews>
    <sheetView topLeftCell="A15" zoomScale="70" zoomScaleNormal="70"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'[30]別紙1-1）客室提供条件'!C2</f>
        <v>伊良湖オーシャンリゾート</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9" si="0">F7*N7</f>
        <v>3150000</v>
      </c>
      <c r="P7" s="4755" t="s">
        <v>5782</v>
      </c>
      <c r="Q7" s="4756">
        <v>4</v>
      </c>
      <c r="R7" s="4756" t="s">
        <v>3804</v>
      </c>
      <c r="S7" s="4751" t="s">
        <v>246</v>
      </c>
      <c r="T7" s="4756" t="s">
        <v>2161</v>
      </c>
      <c r="U7" s="4757">
        <v>2000</v>
      </c>
    </row>
    <row r="8" spans="1:31" s="4666" customFormat="1" ht="33.75" customHeight="1">
      <c r="A8" s="4758">
        <v>1</v>
      </c>
      <c r="B8" s="4816">
        <v>46285</v>
      </c>
      <c r="C8" s="4816">
        <v>46295</v>
      </c>
      <c r="D8" s="4759">
        <v>0</v>
      </c>
      <c r="E8" s="4759">
        <v>1</v>
      </c>
      <c r="F8" s="4760">
        <v>11</v>
      </c>
      <c r="G8" s="4761" t="s">
        <v>6365</v>
      </c>
      <c r="H8" s="4762">
        <v>2</v>
      </c>
      <c r="I8" s="4763" t="s">
        <v>5190</v>
      </c>
      <c r="J8" s="5001"/>
      <c r="K8" s="5002"/>
      <c r="L8" s="5002">
        <v>26.9</v>
      </c>
      <c r="M8" s="5002">
        <v>2.4</v>
      </c>
      <c r="N8" s="4952">
        <v>158950</v>
      </c>
      <c r="O8" s="5560">
        <f t="shared" si="0"/>
        <v>1748450</v>
      </c>
      <c r="P8" s="4857" t="s">
        <v>6366</v>
      </c>
      <c r="Q8" s="4858"/>
      <c r="R8" s="4976" t="s">
        <v>2830</v>
      </c>
      <c r="S8" s="4858"/>
      <c r="T8" s="4859" t="s">
        <v>2814</v>
      </c>
      <c r="U8" s="4860"/>
    </row>
    <row r="9" spans="1:31" ht="33.75" customHeight="1">
      <c r="A9" s="4758">
        <v>2</v>
      </c>
      <c r="B9" s="4816">
        <v>46296</v>
      </c>
      <c r="C9" s="4816">
        <v>46296</v>
      </c>
      <c r="D9" s="4759">
        <v>0</v>
      </c>
      <c r="E9" s="4759">
        <v>0.5</v>
      </c>
      <c r="F9" s="4760">
        <v>1</v>
      </c>
      <c r="G9" s="4761" t="s">
        <v>6365</v>
      </c>
      <c r="H9" s="4762">
        <v>2</v>
      </c>
      <c r="I9" s="4763" t="s">
        <v>5190</v>
      </c>
      <c r="J9" s="5001"/>
      <c r="K9" s="5002"/>
      <c r="L9" s="5002">
        <v>26.9</v>
      </c>
      <c r="M9" s="5002">
        <v>2.4</v>
      </c>
      <c r="N9" s="4952">
        <v>158950</v>
      </c>
      <c r="O9" s="5560">
        <f t="shared" si="0"/>
        <v>158950</v>
      </c>
      <c r="P9" s="4857" t="s">
        <v>6366</v>
      </c>
      <c r="Q9" s="4858"/>
      <c r="R9" s="4864" t="s">
        <v>2830</v>
      </c>
      <c r="S9" s="4858"/>
      <c r="T9" s="4859" t="s">
        <v>2814</v>
      </c>
      <c r="U9" s="4860"/>
      <c r="AC9" s="4657"/>
    </row>
    <row r="10" spans="1:31" ht="33.75" customHeight="1">
      <c r="A10" s="4758">
        <v>3</v>
      </c>
      <c r="B10" s="4816">
        <v>46285</v>
      </c>
      <c r="C10" s="4816">
        <v>46295</v>
      </c>
      <c r="D10" s="4759">
        <v>0</v>
      </c>
      <c r="E10" s="4759">
        <v>1</v>
      </c>
      <c r="F10" s="4770">
        <v>11</v>
      </c>
      <c r="G10" s="4761" t="s">
        <v>6367</v>
      </c>
      <c r="H10" s="4762">
        <v>2</v>
      </c>
      <c r="I10" s="4763" t="s">
        <v>5190</v>
      </c>
      <c r="J10" s="5001"/>
      <c r="K10" s="5002"/>
      <c r="L10" s="5002">
        <v>35.799999999999997</v>
      </c>
      <c r="M10" s="5002">
        <v>2.4</v>
      </c>
      <c r="N10" s="4952">
        <v>317900</v>
      </c>
      <c r="O10" s="5560">
        <f t="shared" si="0"/>
        <v>3496900</v>
      </c>
      <c r="P10" s="4909" t="s">
        <v>6366</v>
      </c>
      <c r="Q10" s="4858"/>
      <c r="R10" s="4864" t="s">
        <v>2830</v>
      </c>
      <c r="S10" s="4858"/>
      <c r="T10" s="4859" t="s">
        <v>2814</v>
      </c>
      <c r="U10" s="4860"/>
      <c r="AC10" s="4657"/>
    </row>
    <row r="11" spans="1:31" ht="33.75" customHeight="1">
      <c r="A11" s="4758">
        <v>4</v>
      </c>
      <c r="B11" s="4816">
        <v>46296</v>
      </c>
      <c r="C11" s="4816">
        <v>46296</v>
      </c>
      <c r="D11" s="4759">
        <v>0</v>
      </c>
      <c r="E11" s="4759">
        <v>0.5</v>
      </c>
      <c r="F11" s="4760">
        <v>1</v>
      </c>
      <c r="G11" s="4771" t="s">
        <v>6367</v>
      </c>
      <c r="H11" s="4762">
        <v>2</v>
      </c>
      <c r="I11" s="4763" t="s">
        <v>5190</v>
      </c>
      <c r="J11" s="5001"/>
      <c r="K11" s="5002"/>
      <c r="L11" s="5002">
        <v>35.799999999999997</v>
      </c>
      <c r="M11" s="5002">
        <v>2.4</v>
      </c>
      <c r="N11" s="4952">
        <v>317900</v>
      </c>
      <c r="O11" s="5560">
        <f t="shared" si="0"/>
        <v>317900</v>
      </c>
      <c r="P11" s="4857" t="s">
        <v>6366</v>
      </c>
      <c r="Q11" s="4858"/>
      <c r="R11" s="4859" t="s">
        <v>2830</v>
      </c>
      <c r="S11" s="4858"/>
      <c r="T11" s="4859" t="s">
        <v>2814</v>
      </c>
      <c r="U11" s="4860"/>
      <c r="AC11" s="4657"/>
    </row>
    <row r="12" spans="1:31" ht="33.75" customHeight="1">
      <c r="A12" s="4758">
        <v>5</v>
      </c>
      <c r="B12" s="4816">
        <v>46285</v>
      </c>
      <c r="C12" s="4816">
        <v>46295</v>
      </c>
      <c r="D12" s="4759">
        <v>0</v>
      </c>
      <c r="E12" s="4759">
        <v>1</v>
      </c>
      <c r="F12" s="4760">
        <v>11</v>
      </c>
      <c r="G12" s="4771" t="s">
        <v>6368</v>
      </c>
      <c r="H12" s="4762">
        <v>2</v>
      </c>
      <c r="I12" s="4763" t="s">
        <v>5190</v>
      </c>
      <c r="J12" s="5001"/>
      <c r="K12" s="5002"/>
      <c r="L12" s="5002">
        <v>46.2</v>
      </c>
      <c r="M12" s="5002">
        <v>2.4</v>
      </c>
      <c r="N12" s="4952">
        <v>317900</v>
      </c>
      <c r="O12" s="5560">
        <f t="shared" si="0"/>
        <v>3496900</v>
      </c>
      <c r="P12" s="4857" t="s">
        <v>6366</v>
      </c>
      <c r="Q12" s="4858"/>
      <c r="R12" s="4859" t="s">
        <v>2830</v>
      </c>
      <c r="S12" s="4858"/>
      <c r="T12" s="4859" t="s">
        <v>2814</v>
      </c>
      <c r="U12" s="4860"/>
      <c r="AC12" s="4657"/>
    </row>
    <row r="13" spans="1:31" ht="33.75" customHeight="1">
      <c r="A13" s="4758">
        <v>6</v>
      </c>
      <c r="B13" s="4816">
        <v>46296</v>
      </c>
      <c r="C13" s="4816">
        <v>46296</v>
      </c>
      <c r="D13" s="4759">
        <v>0</v>
      </c>
      <c r="E13" s="4759">
        <v>0.5</v>
      </c>
      <c r="F13" s="4760">
        <v>1</v>
      </c>
      <c r="G13" s="4771" t="s">
        <v>6368</v>
      </c>
      <c r="H13" s="4762">
        <v>2</v>
      </c>
      <c r="I13" s="4763" t="s">
        <v>5190</v>
      </c>
      <c r="J13" s="5001"/>
      <c r="K13" s="5002"/>
      <c r="L13" s="5002">
        <v>46.2</v>
      </c>
      <c r="M13" s="5002">
        <v>2.4</v>
      </c>
      <c r="N13" s="4952">
        <v>317900</v>
      </c>
      <c r="O13" s="5560">
        <f t="shared" si="0"/>
        <v>317900</v>
      </c>
      <c r="P13" s="4857" t="s">
        <v>6366</v>
      </c>
      <c r="Q13" s="4858"/>
      <c r="R13" s="4859" t="s">
        <v>2830</v>
      </c>
      <c r="S13" s="4858"/>
      <c r="T13" s="4859" t="s">
        <v>2814</v>
      </c>
      <c r="U13" s="4860"/>
      <c r="AC13" s="4657"/>
    </row>
    <row r="14" spans="1:31" ht="33.75" customHeight="1">
      <c r="A14" s="4758">
        <v>7</v>
      </c>
      <c r="B14" s="4816">
        <v>46285</v>
      </c>
      <c r="C14" s="4816">
        <v>46295</v>
      </c>
      <c r="D14" s="4759">
        <v>0</v>
      </c>
      <c r="E14" s="4759">
        <v>1</v>
      </c>
      <c r="F14" s="4760">
        <v>11</v>
      </c>
      <c r="G14" s="4771" t="s">
        <v>6369</v>
      </c>
      <c r="H14" s="4762">
        <v>2</v>
      </c>
      <c r="I14" s="4763" t="s">
        <v>5190</v>
      </c>
      <c r="J14" s="5001"/>
      <c r="K14" s="5002"/>
      <c r="L14" s="5002">
        <v>41</v>
      </c>
      <c r="M14" s="5002">
        <v>2.4</v>
      </c>
      <c r="N14" s="4952">
        <v>317900</v>
      </c>
      <c r="O14" s="5560">
        <f t="shared" si="0"/>
        <v>3496900</v>
      </c>
      <c r="P14" s="4857" t="s">
        <v>6366</v>
      </c>
      <c r="Q14" s="4858"/>
      <c r="R14" s="4859" t="s">
        <v>2830</v>
      </c>
      <c r="S14" s="4858"/>
      <c r="T14" s="4859" t="s">
        <v>2814</v>
      </c>
      <c r="U14" s="4860"/>
      <c r="AC14" s="4657"/>
    </row>
    <row r="15" spans="1:31" ht="33.75" customHeight="1">
      <c r="A15" s="5504">
        <v>8</v>
      </c>
      <c r="B15" s="4816">
        <v>46296</v>
      </c>
      <c r="C15" s="4816">
        <v>46296</v>
      </c>
      <c r="D15" s="4759">
        <v>0</v>
      </c>
      <c r="E15" s="4759">
        <v>0.5</v>
      </c>
      <c r="F15" s="4760">
        <v>1</v>
      </c>
      <c r="G15" s="4762" t="s">
        <v>6369</v>
      </c>
      <c r="H15" s="4762">
        <v>2</v>
      </c>
      <c r="I15" s="4763" t="s">
        <v>5190</v>
      </c>
      <c r="J15" s="5561"/>
      <c r="K15" s="5562"/>
      <c r="L15" s="5562">
        <v>41</v>
      </c>
      <c r="M15" s="5563">
        <v>2.4</v>
      </c>
      <c r="N15" s="4952">
        <v>317900</v>
      </c>
      <c r="O15" s="5560">
        <f t="shared" si="0"/>
        <v>317900</v>
      </c>
      <c r="P15" s="4857" t="s">
        <v>6366</v>
      </c>
      <c r="Q15" s="4858"/>
      <c r="R15" s="4859" t="s">
        <v>2830</v>
      </c>
      <c r="S15" s="4858"/>
      <c r="T15" s="4859" t="s">
        <v>2814</v>
      </c>
      <c r="U15" s="4860"/>
      <c r="AC15" s="4657"/>
    </row>
    <row r="16" spans="1:31" ht="33.75" customHeight="1">
      <c r="A16" s="5504">
        <v>9</v>
      </c>
      <c r="B16" s="4816">
        <v>46285</v>
      </c>
      <c r="C16" s="4816">
        <v>46295</v>
      </c>
      <c r="D16" s="4759">
        <v>0</v>
      </c>
      <c r="E16" s="4759">
        <v>1</v>
      </c>
      <c r="F16" s="4760">
        <v>11</v>
      </c>
      <c r="G16" s="4762" t="s">
        <v>6370</v>
      </c>
      <c r="H16" s="4762">
        <v>2</v>
      </c>
      <c r="I16" s="4763" t="s">
        <v>5190</v>
      </c>
      <c r="J16" s="5561"/>
      <c r="K16" s="5562"/>
      <c r="L16" s="5562">
        <v>87.2</v>
      </c>
      <c r="M16" s="5563">
        <v>2.4</v>
      </c>
      <c r="N16" s="4952">
        <v>476849.99999999994</v>
      </c>
      <c r="O16" s="5560">
        <f t="shared" si="0"/>
        <v>5245349.9999999991</v>
      </c>
      <c r="P16" s="4857" t="s">
        <v>6366</v>
      </c>
      <c r="Q16" s="4858"/>
      <c r="R16" s="4859" t="s">
        <v>2830</v>
      </c>
      <c r="S16" s="4858"/>
      <c r="T16" s="4859" t="s">
        <v>2814</v>
      </c>
      <c r="U16" s="4860"/>
      <c r="AC16" s="4657"/>
    </row>
    <row r="17" spans="1:31" ht="33.75" customHeight="1">
      <c r="A17" s="5504">
        <v>10</v>
      </c>
      <c r="B17" s="4816">
        <v>46296</v>
      </c>
      <c r="C17" s="4816">
        <v>46296</v>
      </c>
      <c r="D17" s="4759">
        <v>0</v>
      </c>
      <c r="E17" s="4759">
        <v>0.5</v>
      </c>
      <c r="F17" s="4760">
        <v>1</v>
      </c>
      <c r="G17" s="4762" t="s">
        <v>6370</v>
      </c>
      <c r="H17" s="4762">
        <v>2</v>
      </c>
      <c r="I17" s="4763" t="s">
        <v>5190</v>
      </c>
      <c r="J17" s="5561"/>
      <c r="K17" s="5562"/>
      <c r="L17" s="5562">
        <v>87.2</v>
      </c>
      <c r="M17" s="5563">
        <v>2.4</v>
      </c>
      <c r="N17" s="5564">
        <v>476849.99999999994</v>
      </c>
      <c r="O17" s="5565">
        <f t="shared" si="0"/>
        <v>476849.99999999994</v>
      </c>
      <c r="P17" s="4918" t="s">
        <v>6366</v>
      </c>
      <c r="Q17" s="4919"/>
      <c r="R17" s="4920" t="s">
        <v>2830</v>
      </c>
      <c r="S17" s="4919"/>
      <c r="T17" s="4920" t="s">
        <v>2814</v>
      </c>
      <c r="U17" s="4921"/>
      <c r="AC17" s="4657"/>
    </row>
    <row r="18" spans="1:31" ht="33.75" customHeight="1">
      <c r="A18" s="5504">
        <v>11</v>
      </c>
      <c r="B18" s="4816">
        <v>46285</v>
      </c>
      <c r="C18" s="4816">
        <v>46295</v>
      </c>
      <c r="D18" s="4759">
        <v>0</v>
      </c>
      <c r="E18" s="4759">
        <v>1</v>
      </c>
      <c r="F18" s="4760">
        <v>11</v>
      </c>
      <c r="G18" s="4762" t="s">
        <v>6371</v>
      </c>
      <c r="H18" s="4762">
        <v>2</v>
      </c>
      <c r="I18" s="4763" t="s">
        <v>5190</v>
      </c>
      <c r="J18" s="5561">
        <v>23.5</v>
      </c>
      <c r="K18" s="5562">
        <v>15.5</v>
      </c>
      <c r="L18" s="5562">
        <v>320</v>
      </c>
      <c r="M18" s="5563">
        <v>2.7</v>
      </c>
      <c r="N18" s="4952">
        <v>1733999.9999999998</v>
      </c>
      <c r="O18" s="5560">
        <f t="shared" si="0"/>
        <v>19073999.999999996</v>
      </c>
      <c r="P18" s="4857" t="s">
        <v>6366</v>
      </c>
      <c r="Q18" s="4858"/>
      <c r="R18" s="4859" t="s">
        <v>2830</v>
      </c>
      <c r="S18" s="4858"/>
      <c r="T18" s="4859" t="s">
        <v>2814</v>
      </c>
      <c r="U18" s="4860"/>
      <c r="AC18" s="4657"/>
    </row>
    <row r="19" spans="1:31" ht="33.75" customHeight="1" thickBot="1">
      <c r="A19" s="5504">
        <v>12</v>
      </c>
      <c r="B19" s="4816">
        <v>46296</v>
      </c>
      <c r="C19" s="4816">
        <v>46296</v>
      </c>
      <c r="D19" s="4759">
        <v>0</v>
      </c>
      <c r="E19" s="4759">
        <v>0.5</v>
      </c>
      <c r="F19" s="4760">
        <v>1</v>
      </c>
      <c r="G19" s="4762" t="s">
        <v>6371</v>
      </c>
      <c r="H19" s="4762">
        <v>2</v>
      </c>
      <c r="I19" s="4763" t="s">
        <v>5190</v>
      </c>
      <c r="J19" s="5566">
        <v>23.5</v>
      </c>
      <c r="K19" s="5567">
        <v>15.5</v>
      </c>
      <c r="L19" s="5567">
        <v>320</v>
      </c>
      <c r="M19" s="5563">
        <v>2.7</v>
      </c>
      <c r="N19" s="5564">
        <v>1733999.9999999998</v>
      </c>
      <c r="O19" s="5565">
        <f t="shared" si="0"/>
        <v>1733999.9999999998</v>
      </c>
      <c r="P19" s="4918" t="s">
        <v>6366</v>
      </c>
      <c r="Q19" s="4919"/>
      <c r="R19" s="4920" t="s">
        <v>2830</v>
      </c>
      <c r="S19" s="4919"/>
      <c r="T19" s="4920" t="s">
        <v>2814</v>
      </c>
      <c r="U19" s="4921"/>
      <c r="AC19" s="4657"/>
    </row>
    <row r="20" spans="1:31" ht="33.75" customHeight="1" thickTop="1" thickBot="1">
      <c r="A20" s="4778" t="s">
        <v>5845</v>
      </c>
      <c r="B20" s="4779"/>
      <c r="C20" s="4779"/>
      <c r="D20" s="4779"/>
      <c r="E20" s="4779"/>
      <c r="F20" s="4780">
        <f>SUM(F8:F17)</f>
        <v>60</v>
      </c>
      <c r="G20" s="4779"/>
      <c r="H20" s="4781"/>
      <c r="I20" s="4782">
        <f>COUNTA(G8,G10,G12,G14,G16,G18)</f>
        <v>6</v>
      </c>
      <c r="J20" s="4783"/>
      <c r="K20" s="4784"/>
      <c r="L20" s="4784"/>
      <c r="M20" s="4784"/>
      <c r="N20" s="5568"/>
      <c r="O20" s="5569">
        <f>SUM(O8:O19)</f>
        <v>39882000</v>
      </c>
      <c r="P20" s="4787"/>
      <c r="Q20" s="4787"/>
      <c r="R20" s="4788"/>
      <c r="S20" s="4789"/>
      <c r="T20" s="4788"/>
      <c r="U20" s="4790"/>
      <c r="AC20" s="4657"/>
    </row>
    <row r="21" spans="1:31" ht="33.75" customHeight="1" thickBot="1">
      <c r="A21" s="4876" t="s">
        <v>5792</v>
      </c>
      <c r="B21" s="4877"/>
      <c r="C21" s="4878"/>
      <c r="D21" s="4878"/>
      <c r="E21" s="4878"/>
      <c r="F21" s="4879"/>
      <c r="G21" s="4878"/>
      <c r="H21" s="4880"/>
      <c r="I21" s="4878"/>
      <c r="J21" s="4881"/>
      <c r="K21" s="4881"/>
      <c r="L21" s="4881"/>
      <c r="M21" s="4881"/>
      <c r="N21" s="5570"/>
      <c r="O21" s="5571">
        <f>O20*1.1</f>
        <v>43870200</v>
      </c>
      <c r="P21" s="5572" t="s">
        <v>6372</v>
      </c>
      <c r="Q21" s="4885"/>
      <c r="R21" s="4886"/>
      <c r="S21" s="4887"/>
      <c r="T21" s="4886"/>
      <c r="U21" s="4888"/>
      <c r="AC21" s="4657"/>
    </row>
    <row r="22" spans="1:31" ht="33.75" customHeight="1">
      <c r="A22" s="4656"/>
      <c r="B22" s="4660"/>
      <c r="C22" s="4660"/>
      <c r="D22" s="4660"/>
      <c r="G22" s="4660"/>
      <c r="H22" s="4660"/>
      <c r="M22" s="4808" t="s">
        <v>5748</v>
      </c>
      <c r="N22" s="4809">
        <f>SUM(N8,N10,N12,N14,N16,N18)</f>
        <v>3323500</v>
      </c>
      <c r="O22" s="4656"/>
      <c r="P22" s="4657"/>
      <c r="Q22" s="4657"/>
      <c r="AC22" s="4657"/>
    </row>
    <row r="23" spans="1:31" ht="32.15" customHeight="1">
      <c r="B23" s="4657"/>
      <c r="C23" s="4657"/>
      <c r="D23" s="4657"/>
      <c r="E23" s="4810"/>
      <c r="F23" s="4811"/>
      <c r="G23" s="4657"/>
      <c r="H23" s="4657"/>
      <c r="M23" s="4808" t="s">
        <v>5750</v>
      </c>
      <c r="N23" s="4809">
        <f>N22*1.1</f>
        <v>3655850.0000000005</v>
      </c>
      <c r="O23" s="4656"/>
      <c r="P23" s="4657"/>
      <c r="Q23" s="4657"/>
      <c r="AC23" s="4657"/>
    </row>
    <row r="24" spans="1:31" ht="32.15" customHeight="1">
      <c r="A24" s="4812"/>
      <c r="B24" s="4813"/>
      <c r="C24" s="4813"/>
      <c r="D24" s="4813"/>
      <c r="E24" s="4814"/>
      <c r="F24" s="4814"/>
      <c r="G24" s="4813"/>
      <c r="H24" s="4813"/>
      <c r="I24" s="4812"/>
      <c r="J24" s="4812"/>
      <c r="K24" s="4812"/>
      <c r="L24" s="4812"/>
      <c r="M24" s="4812"/>
      <c r="N24" s="4812"/>
      <c r="O24" s="4715"/>
      <c r="P24" s="4715"/>
      <c r="Q24" s="4715"/>
      <c r="R24" s="4656"/>
      <c r="S24" s="4812"/>
      <c r="T24" s="4656"/>
      <c r="U24" s="4812"/>
      <c r="W24" s="6905"/>
      <c r="X24" s="6905"/>
      <c r="Y24" s="6905"/>
      <c r="Z24" s="6905"/>
      <c r="AA24" s="6905"/>
      <c r="AB24" s="6891"/>
      <c r="AC24" s="6891"/>
      <c r="AD24" s="6891"/>
      <c r="AE24" s="6891"/>
    </row>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36" customHeight="1"/>
    <row r="35" spans="2:29" ht="10.4" customHeight="1">
      <c r="B35" s="4657"/>
      <c r="C35" s="4657"/>
      <c r="D35" s="4657"/>
      <c r="G35" s="4657"/>
      <c r="H35" s="4657"/>
      <c r="O35" s="4656"/>
      <c r="P35" s="4657"/>
      <c r="Q35" s="4657"/>
      <c r="AC35" s="4657"/>
    </row>
  </sheetData>
  <mergeCells count="21">
    <mergeCell ref="A2:B2"/>
    <mergeCell ref="C2:G2"/>
    <mergeCell ref="A5:A6"/>
    <mergeCell ref="B5:B6"/>
    <mergeCell ref="C5:C6"/>
    <mergeCell ref="D5:D6"/>
    <mergeCell ref="E5:E6"/>
    <mergeCell ref="F5:F6"/>
    <mergeCell ref="G5:G6"/>
    <mergeCell ref="AB24:AE24"/>
    <mergeCell ref="H5:H6"/>
    <mergeCell ref="I5:I6"/>
    <mergeCell ref="J5:J6"/>
    <mergeCell ref="K5:K6"/>
    <mergeCell ref="L5:L6"/>
    <mergeCell ref="M5:M6"/>
    <mergeCell ref="N5:N6"/>
    <mergeCell ref="O5:O6"/>
    <mergeCell ref="P5:Q5"/>
    <mergeCell ref="R5:U5"/>
    <mergeCell ref="W24:AA24"/>
  </mergeCells>
  <phoneticPr fontId="2"/>
  <conditionalFormatting sqref="B8:E19">
    <cfRule type="containsBlanks" dxfId="240" priority="1">
      <formula>LEN(TRIM(B8))=0</formula>
    </cfRule>
  </conditionalFormatting>
  <conditionalFormatting sqref="C2:D2">
    <cfRule type="containsBlanks" dxfId="239" priority="3">
      <formula>LEN(TRIM(C2))=0</formula>
    </cfRule>
  </conditionalFormatting>
  <conditionalFormatting sqref="G8:N19">
    <cfRule type="containsBlanks" dxfId="238" priority="2">
      <formula>LEN(TRIM(G8))=0</formula>
    </cfRule>
  </conditionalFormatting>
  <conditionalFormatting sqref="P8:U19">
    <cfRule type="containsBlanks" dxfId="237" priority="4">
      <formula>LEN(TRIM(P8))=0</formula>
    </cfRule>
  </conditionalFormatting>
  <dataValidations count="1">
    <dataValidation type="list" allowBlank="1" showInputMessage="1" showErrorMessage="1" sqref="I7:I19" xr:uid="{B303E6A2-A4F0-4524-B94D-359A9FB95913}">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15A1-58C3-4CF2-B8F3-B16D88D82602}">
  <sheetPr codeName="Sheet378">
    <pageSetUpPr fitToPage="1"/>
  </sheetPr>
  <dimension ref="B1:T73"/>
  <sheetViews>
    <sheetView workbookViewId="0">
      <selection activeCell="BJ123" sqref="BJ123"/>
    </sheetView>
  </sheetViews>
  <sheetFormatPr defaultColWidth="9" defaultRowHeight="12"/>
  <cols>
    <col min="1" max="1" width="4.453125" style="1" customWidth="1"/>
    <col min="2" max="5" width="14.81640625" style="1" customWidth="1"/>
    <col min="6" max="6" width="14.81640625" style="89" customWidth="1"/>
    <col min="7" max="7" width="18" style="1" customWidth="1"/>
    <col min="8" max="9" width="14.81640625" style="1" customWidth="1"/>
    <col min="10" max="10" width="2.26953125" style="1" customWidth="1"/>
    <col min="11" max="11" width="19.453125" style="1" customWidth="1"/>
    <col min="12" max="12" width="11" style="1" customWidth="1"/>
    <col min="13" max="14" width="9.1796875" style="1" customWidth="1"/>
    <col min="15" max="15" width="22.453125" style="1" bestFit="1" customWidth="1"/>
    <col min="16" max="16" width="11" style="1" customWidth="1"/>
    <col min="17" max="17" width="9.54296875" style="1" bestFit="1" customWidth="1"/>
    <col min="18" max="18" width="9" style="1"/>
    <col min="19" max="19" width="28.54296875" style="1" bestFit="1" customWidth="1"/>
    <col min="20" max="16384" width="9" style="1"/>
  </cols>
  <sheetData>
    <row r="1" spans="2:20" ht="26">
      <c r="B1" s="2691" t="s">
        <v>5006</v>
      </c>
      <c r="C1" s="2691" t="s">
        <v>5007</v>
      </c>
      <c r="D1" s="2691" t="s">
        <v>5008</v>
      </c>
      <c r="E1" s="2701" t="s">
        <v>5009</v>
      </c>
      <c r="F1" s="2701" t="s">
        <v>5010</v>
      </c>
    </row>
    <row r="2" spans="2:20">
      <c r="B2" s="1" t="str">
        <f>[57]Results!C196</f>
        <v/>
      </c>
      <c r="C2" s="1" t="str">
        <f>[57]Results!D196</f>
        <v/>
      </c>
      <c r="D2" s="1" t="str">
        <f>[57]Results!E196</f>
        <v/>
      </c>
      <c r="E2" s="1" t="str">
        <f>[57]Results!F196</f>
        <v/>
      </c>
      <c r="F2" s="89" t="str">
        <f>[57]Results!G196</f>
        <v/>
      </c>
      <c r="I2" s="1">
        <v>197</v>
      </c>
    </row>
    <row r="3" spans="2:20" ht="35.25" customHeight="1" thickBot="1">
      <c r="B3" s="59">
        <v>2007</v>
      </c>
      <c r="C3" s="60" t="s">
        <v>5011</v>
      </c>
      <c r="D3" s="6781" t="str">
        <f>VLOOKUP(B3,[55]マスター2_施設情報!B7:T344,4,0)</f>
        <v>シェラトン都ホテル大阪</v>
      </c>
      <c r="E3" s="6781"/>
      <c r="F3" s="6781"/>
      <c r="G3" s="6781"/>
      <c r="H3" s="6781"/>
      <c r="I3" s="6781"/>
      <c r="K3" s="1" t="s">
        <v>5012</v>
      </c>
      <c r="L3" s="11"/>
      <c r="N3" s="11"/>
      <c r="P3" s="11"/>
      <c r="R3" s="11"/>
      <c r="T3" s="11"/>
    </row>
    <row r="4" spans="2:20" ht="14" thickTop="1">
      <c r="B4" s="61"/>
      <c r="C4" s="61"/>
      <c r="D4" s="61"/>
      <c r="E4" s="61"/>
      <c r="F4" s="93"/>
      <c r="G4" s="61"/>
      <c r="H4" s="61"/>
      <c r="I4" s="61"/>
      <c r="M4" s="10"/>
    </row>
    <row r="5" spans="2:20" ht="12" customHeight="1">
      <c r="B5" s="62" t="s">
        <v>4092</v>
      </c>
      <c r="C5" s="6782"/>
      <c r="D5" s="6783"/>
      <c r="E5" s="6784"/>
      <c r="F5" s="103"/>
      <c r="G5" s="63" t="s">
        <v>5013</v>
      </c>
      <c r="H5" s="88">
        <f>C6</f>
        <v>0</v>
      </c>
      <c r="I5" s="61"/>
      <c r="M5" s="10"/>
    </row>
    <row r="6" spans="2:20" ht="12" customHeight="1">
      <c r="B6" s="62" t="s">
        <v>5014</v>
      </c>
      <c r="C6" s="87"/>
      <c r="D6" s="62" t="s">
        <v>5015</v>
      </c>
      <c r="E6" s="105"/>
      <c r="F6" s="102"/>
      <c r="G6" s="63" t="s">
        <v>5016</v>
      </c>
      <c r="H6" s="104">
        <f>E6</f>
        <v>0</v>
      </c>
      <c r="I6" s="64"/>
      <c r="M6" s="10"/>
    </row>
    <row r="7" spans="2:20" ht="6" customHeight="1">
      <c r="B7" s="65"/>
      <c r="C7" s="66"/>
      <c r="D7" s="67"/>
      <c r="E7" s="66"/>
      <c r="F7" s="101"/>
      <c r="G7" s="61"/>
      <c r="H7" s="61"/>
      <c r="I7" s="68"/>
      <c r="M7" s="10"/>
    </row>
    <row r="8" spans="2:20" ht="12" customHeight="1">
      <c r="B8" s="62" t="s">
        <v>4092</v>
      </c>
      <c r="C8" s="6782"/>
      <c r="D8" s="6783"/>
      <c r="E8" s="6784"/>
      <c r="F8" s="101"/>
      <c r="G8" s="69"/>
      <c r="H8" s="69"/>
      <c r="I8" s="64"/>
      <c r="M8" s="10"/>
    </row>
    <row r="9" spans="2:20" ht="12" customHeight="1">
      <c r="B9" s="62" t="s">
        <v>5014</v>
      </c>
      <c r="C9" s="87"/>
      <c r="D9" s="62" t="s">
        <v>5015</v>
      </c>
      <c r="E9" s="86"/>
      <c r="F9" s="101"/>
      <c r="G9" s="69"/>
      <c r="H9" s="69"/>
      <c r="I9" s="68"/>
      <c r="M9" s="10"/>
    </row>
    <row r="10" spans="2:20" ht="13.5">
      <c r="B10" s="61"/>
      <c r="C10" s="61"/>
      <c r="D10" s="61"/>
      <c r="E10" s="61"/>
      <c r="F10" s="93"/>
      <c r="G10" s="61"/>
      <c r="H10" s="61"/>
      <c r="I10" s="61"/>
      <c r="M10" s="10"/>
    </row>
    <row r="11" spans="2:20" ht="15" customHeight="1" thickBot="1">
      <c r="B11" s="6785" t="s">
        <v>5017</v>
      </c>
      <c r="C11" s="6786"/>
      <c r="D11" s="6786"/>
      <c r="E11" s="6786"/>
      <c r="F11" s="6786"/>
      <c r="G11" s="6786"/>
      <c r="H11" s="6786"/>
      <c r="I11" s="6787"/>
      <c r="K11" s="18" t="s">
        <v>5018</v>
      </c>
      <c r="M11" s="10" t="s">
        <v>5019</v>
      </c>
      <c r="N11" s="1" t="s">
        <v>5020</v>
      </c>
      <c r="O11" s="1" t="s">
        <v>5021</v>
      </c>
      <c r="P11" s="1" t="s">
        <v>5022</v>
      </c>
    </row>
    <row r="12" spans="2:20" ht="14.25" customHeight="1" thickTop="1">
      <c r="B12" s="70" t="s">
        <v>5023</v>
      </c>
      <c r="C12" s="6788" t="s">
        <v>4239</v>
      </c>
      <c r="D12" s="6789"/>
      <c r="E12" s="71" t="s">
        <v>5024</v>
      </c>
      <c r="F12" s="98" t="s">
        <v>5025</v>
      </c>
      <c r="G12" s="71" t="s">
        <v>5026</v>
      </c>
      <c r="H12" s="6788" t="s">
        <v>5027</v>
      </c>
      <c r="I12" s="6789"/>
      <c r="K12" s="58" t="s">
        <v>5028</v>
      </c>
      <c r="M12" s="10"/>
    </row>
    <row r="13" spans="2:20" ht="15.65" customHeight="1">
      <c r="B13" s="72">
        <v>102</v>
      </c>
      <c r="C13" s="6790" t="str">
        <f>IFERROR(VLOOKUP(B13,[55]マスター1_項目コード!$B$4:$C$91,2,FALSE),"")</f>
        <v>［2］ダブル</v>
      </c>
      <c r="D13" s="6791"/>
      <c r="E13" s="73">
        <f t="shared" ref="E13:E26" si="0">ROUNDUP(K13/0.85,0)</f>
        <v>55977</v>
      </c>
      <c r="F13" s="92">
        <v>0</v>
      </c>
      <c r="G13" s="73">
        <f t="shared" ref="G13:G26" si="1">IF(E13="","",E13*F13)</f>
        <v>0</v>
      </c>
      <c r="H13" s="6792" t="s">
        <v>5054</v>
      </c>
      <c r="I13" s="6793"/>
      <c r="K13" s="19">
        <f>39000*1.22</f>
        <v>47580</v>
      </c>
      <c r="M13" s="106">
        <v>14</v>
      </c>
      <c r="N13" s="106">
        <v>8</v>
      </c>
      <c r="O13" s="1" t="s">
        <v>5054</v>
      </c>
      <c r="P13" s="1">
        <v>39000</v>
      </c>
    </row>
    <row r="14" spans="2:20" ht="15.65" customHeight="1">
      <c r="B14" s="72">
        <v>104</v>
      </c>
      <c r="C14" s="6790" t="str">
        <f>IFERROR(VLOOKUP(B14,[55]マスター1_項目コード!$B$4:$C$91,2,FALSE),"")</f>
        <v>［4］ツイン2名</v>
      </c>
      <c r="D14" s="6791"/>
      <c r="E14" s="73">
        <f t="shared" si="0"/>
        <v>55977</v>
      </c>
      <c r="F14" s="92">
        <v>10</v>
      </c>
      <c r="G14" s="73">
        <f t="shared" si="1"/>
        <v>559770</v>
      </c>
      <c r="H14" s="6792" t="s">
        <v>5038</v>
      </c>
      <c r="I14" s="6793"/>
      <c r="K14" s="19">
        <f t="shared" ref="K14:K16" si="2">39000*1.22</f>
        <v>47580</v>
      </c>
      <c r="M14" s="106">
        <v>101</v>
      </c>
      <c r="N14" s="106">
        <v>51</v>
      </c>
      <c r="O14" s="1" t="s">
        <v>5038</v>
      </c>
      <c r="P14" s="1">
        <v>40000</v>
      </c>
    </row>
    <row r="15" spans="2:20" ht="15.65" customHeight="1">
      <c r="B15" s="72">
        <v>104</v>
      </c>
      <c r="C15" s="6790" t="str">
        <f>IFERROR(VLOOKUP(B15,[55]マスター1_項目コード!$B$4:$C$91,2,FALSE),"")</f>
        <v>［4］ツイン2名</v>
      </c>
      <c r="D15" s="6791"/>
      <c r="E15" s="73">
        <f t="shared" si="0"/>
        <v>55977</v>
      </c>
      <c r="F15" s="92">
        <v>0</v>
      </c>
      <c r="G15" s="73">
        <f t="shared" si="1"/>
        <v>0</v>
      </c>
      <c r="H15" s="6811" t="s">
        <v>5161</v>
      </c>
      <c r="I15" s="6812"/>
      <c r="K15" s="19">
        <f t="shared" si="2"/>
        <v>47580</v>
      </c>
      <c r="M15" s="106">
        <v>79</v>
      </c>
      <c r="N15" s="106">
        <v>41</v>
      </c>
      <c r="O15" s="1" t="s">
        <v>5161</v>
      </c>
      <c r="P15" s="1">
        <v>42000</v>
      </c>
    </row>
    <row r="16" spans="2:20" ht="13.5">
      <c r="B16" s="2978">
        <v>102</v>
      </c>
      <c r="C16" s="6790" t="str">
        <f>IFERROR(VLOOKUP(B16,[55]マスター1_項目コード!$B$4:$C$91,2,FALSE),"")</f>
        <v>［2］ダブル</v>
      </c>
      <c r="D16" s="6791"/>
      <c r="E16" s="73">
        <f t="shared" si="0"/>
        <v>55977</v>
      </c>
      <c r="F16" s="92">
        <v>0</v>
      </c>
      <c r="G16" s="73">
        <f t="shared" si="1"/>
        <v>0</v>
      </c>
      <c r="H16" s="6792" t="s">
        <v>5038</v>
      </c>
      <c r="I16" s="6793"/>
      <c r="K16" s="19">
        <f t="shared" si="2"/>
        <v>47580</v>
      </c>
      <c r="M16" s="106">
        <v>19</v>
      </c>
      <c r="N16" s="106">
        <v>0</v>
      </c>
      <c r="O16" s="1" t="s">
        <v>5105</v>
      </c>
      <c r="P16" s="1" t="s">
        <v>5041</v>
      </c>
    </row>
    <row r="17" spans="2:16" ht="13.5">
      <c r="B17" s="72"/>
      <c r="C17" s="6790" t="str">
        <f>IFERROR(VLOOKUP(B17,[55]マスター1_項目コード!$B$4:$C$91,2,FALSE),"")</f>
        <v/>
      </c>
      <c r="D17" s="6791"/>
      <c r="E17" s="90">
        <f t="shared" si="0"/>
        <v>0</v>
      </c>
      <c r="F17" s="92"/>
      <c r="G17" s="90">
        <f t="shared" si="1"/>
        <v>0</v>
      </c>
      <c r="H17" s="6792"/>
      <c r="I17" s="6793"/>
      <c r="K17" s="19"/>
      <c r="M17" s="106">
        <v>85</v>
      </c>
      <c r="N17" s="106">
        <v>0</v>
      </c>
      <c r="O17" s="1" t="s">
        <v>5162</v>
      </c>
      <c r="P17" s="1" t="s">
        <v>5041</v>
      </c>
    </row>
    <row r="18" spans="2:16" ht="13.5">
      <c r="B18" s="72"/>
      <c r="C18" s="6790" t="str">
        <f>IFERROR(VLOOKUP(B18,[55]マスター1_項目コード!$B$4:$C$91,2,FALSE),"")</f>
        <v/>
      </c>
      <c r="D18" s="6791"/>
      <c r="E18" s="90">
        <f t="shared" si="0"/>
        <v>0</v>
      </c>
      <c r="F18" s="92"/>
      <c r="G18" s="90">
        <f t="shared" si="1"/>
        <v>0</v>
      </c>
      <c r="H18" s="6792"/>
      <c r="I18" s="6793"/>
      <c r="K18" s="19"/>
      <c r="M18" s="106">
        <v>6</v>
      </c>
      <c r="N18" s="106">
        <v>0</v>
      </c>
      <c r="O18" s="1" t="s">
        <v>5163</v>
      </c>
      <c r="P18" s="1" t="s">
        <v>5041</v>
      </c>
    </row>
    <row r="19" spans="2:16" ht="13.5">
      <c r="B19" s="72"/>
      <c r="C19" s="6790" t="str">
        <f>IFERROR(VLOOKUP(B19,[55]マスター1_項目コード!$B$4:$C$91,2,FALSE),"")</f>
        <v/>
      </c>
      <c r="D19" s="6791"/>
      <c r="E19" s="90">
        <f t="shared" si="0"/>
        <v>0</v>
      </c>
      <c r="F19" s="92"/>
      <c r="G19" s="90">
        <f t="shared" si="1"/>
        <v>0</v>
      </c>
      <c r="H19" s="6792"/>
      <c r="I19" s="6793"/>
      <c r="K19" s="19"/>
      <c r="M19" s="106">
        <v>14</v>
      </c>
      <c r="N19" s="106">
        <v>0</v>
      </c>
      <c r="O19" s="1" t="s">
        <v>5147</v>
      </c>
      <c r="P19" s="1" t="s">
        <v>5041</v>
      </c>
    </row>
    <row r="20" spans="2:16" ht="13.5">
      <c r="B20" s="72"/>
      <c r="C20" s="6790" t="str">
        <f>IFERROR(VLOOKUP(B20,[55]マスター1_項目コード!$B$4:$C$91,2,FALSE),"")</f>
        <v/>
      </c>
      <c r="D20" s="6791"/>
      <c r="E20" s="90">
        <f t="shared" si="0"/>
        <v>0</v>
      </c>
      <c r="F20" s="92"/>
      <c r="G20" s="90">
        <f t="shared" si="1"/>
        <v>0</v>
      </c>
      <c r="H20" s="6792"/>
      <c r="I20" s="6793"/>
      <c r="K20" s="19"/>
      <c r="M20" s="106">
        <v>33</v>
      </c>
      <c r="N20" s="106">
        <v>0</v>
      </c>
      <c r="O20" s="1" t="s">
        <v>5164</v>
      </c>
      <c r="P20" s="1" t="s">
        <v>5041</v>
      </c>
    </row>
    <row r="21" spans="2:16" ht="13.5">
      <c r="B21" s="72"/>
      <c r="C21" s="6790" t="str">
        <f>IFERROR(VLOOKUP(B21,[55]マスター1_項目コード!$B$4:$C$91,2,FALSE),"")</f>
        <v/>
      </c>
      <c r="D21" s="6791"/>
      <c r="E21" s="90">
        <f t="shared" si="0"/>
        <v>0</v>
      </c>
      <c r="F21" s="92"/>
      <c r="G21" s="90">
        <f t="shared" si="1"/>
        <v>0</v>
      </c>
      <c r="H21" s="6792"/>
      <c r="I21" s="6793"/>
      <c r="K21" s="19"/>
      <c r="M21" s="106">
        <v>108</v>
      </c>
      <c r="N21" s="106">
        <v>0</v>
      </c>
      <c r="O21" s="1" t="s">
        <v>5107</v>
      </c>
      <c r="P21" s="1" t="s">
        <v>5041</v>
      </c>
    </row>
    <row r="22" spans="2:16" ht="13.5">
      <c r="B22" s="72"/>
      <c r="C22" s="6790" t="str">
        <f>IFERROR(VLOOKUP(B22,[55]マスター1_項目コード!$B$4:$C$91,2,FALSE),"")</f>
        <v/>
      </c>
      <c r="D22" s="6791"/>
      <c r="E22" s="90">
        <f t="shared" si="0"/>
        <v>0</v>
      </c>
      <c r="F22" s="92"/>
      <c r="G22" s="90">
        <f t="shared" si="1"/>
        <v>0</v>
      </c>
      <c r="H22" s="6792"/>
      <c r="I22" s="6793"/>
      <c r="K22" s="19"/>
      <c r="M22" s="106">
        <v>16</v>
      </c>
      <c r="N22" s="106">
        <v>0</v>
      </c>
      <c r="O22" s="1" t="s">
        <v>5165</v>
      </c>
      <c r="P22" s="1" t="s">
        <v>5041</v>
      </c>
    </row>
    <row r="23" spans="2:16" ht="13.5">
      <c r="B23" s="72"/>
      <c r="C23" s="6790" t="str">
        <f>IFERROR(VLOOKUP(B23,[55]マスター1_項目コード!$B$4:$C$91,2,FALSE),"")</f>
        <v/>
      </c>
      <c r="D23" s="6791"/>
      <c r="E23" s="90">
        <f t="shared" si="0"/>
        <v>0</v>
      </c>
      <c r="F23" s="92"/>
      <c r="G23" s="90">
        <f t="shared" si="1"/>
        <v>0</v>
      </c>
      <c r="H23" s="6792"/>
      <c r="I23" s="6793"/>
      <c r="K23" s="19"/>
      <c r="M23" s="106">
        <v>40</v>
      </c>
      <c r="N23" s="106">
        <v>0</v>
      </c>
      <c r="O23" s="1" t="s">
        <v>5166</v>
      </c>
      <c r="P23" s="1" t="s">
        <v>5041</v>
      </c>
    </row>
    <row r="24" spans="2:16" ht="13.5">
      <c r="B24" s="72"/>
      <c r="C24" s="6790" t="str">
        <f>IFERROR(VLOOKUP(B24,[55]マスター1_項目コード!$B$4:$C$91,2,FALSE),"")</f>
        <v/>
      </c>
      <c r="D24" s="6791"/>
      <c r="E24" s="90">
        <f t="shared" si="0"/>
        <v>0</v>
      </c>
      <c r="F24" s="92"/>
      <c r="G24" s="90">
        <f t="shared" si="1"/>
        <v>0</v>
      </c>
      <c r="H24" s="6792"/>
      <c r="I24" s="6793"/>
      <c r="K24" s="19"/>
      <c r="M24" s="106">
        <v>12</v>
      </c>
      <c r="N24" s="106">
        <v>0</v>
      </c>
      <c r="O24" s="1" t="s">
        <v>5167</v>
      </c>
      <c r="P24" s="1" t="s">
        <v>5041</v>
      </c>
    </row>
    <row r="25" spans="2:16" ht="13.5">
      <c r="B25" s="72"/>
      <c r="C25" s="6790" t="str">
        <f>IFERROR(VLOOKUP(B25,[55]マスター1_項目コード!$B$4:$C$91,2,FALSE),"")</f>
        <v/>
      </c>
      <c r="D25" s="6791"/>
      <c r="E25" s="90">
        <f t="shared" si="0"/>
        <v>0</v>
      </c>
      <c r="F25" s="92"/>
      <c r="G25" s="90">
        <f t="shared" si="1"/>
        <v>0</v>
      </c>
      <c r="H25" s="6792"/>
      <c r="I25" s="6793"/>
      <c r="K25" s="19"/>
      <c r="M25" s="106">
        <v>42</v>
      </c>
      <c r="N25" s="106">
        <v>0</v>
      </c>
      <c r="O25" s="1" t="s">
        <v>5168</v>
      </c>
      <c r="P25" s="1" t="s">
        <v>5041</v>
      </c>
    </row>
    <row r="26" spans="2:16" ht="14" thickBot="1">
      <c r="B26" s="74"/>
      <c r="C26" s="6790" t="str">
        <f>IFERROR(VLOOKUP(B26,[55]マスター1_項目コード!$B$4:$C$91,2,FALSE),"")</f>
        <v/>
      </c>
      <c r="D26" s="6791"/>
      <c r="E26" s="90">
        <f t="shared" si="0"/>
        <v>0</v>
      </c>
      <c r="F26" s="91"/>
      <c r="G26" s="90">
        <f t="shared" si="1"/>
        <v>0</v>
      </c>
      <c r="H26" s="6805"/>
      <c r="I26" s="6806"/>
      <c r="K26" s="51"/>
      <c r="M26" s="106">
        <v>1</v>
      </c>
      <c r="N26" s="106">
        <v>0</v>
      </c>
      <c r="O26" s="1" t="s">
        <v>5169</v>
      </c>
      <c r="P26" s="1" t="s">
        <v>5041</v>
      </c>
    </row>
    <row r="27" spans="2:16" ht="15" customHeight="1" thickTop="1">
      <c r="B27" s="6796" t="s">
        <v>5029</v>
      </c>
      <c r="C27" s="6796"/>
      <c r="D27" s="6796"/>
      <c r="E27" s="6796"/>
      <c r="F27" s="100">
        <f>SUM(F13:F26)</f>
        <v>10</v>
      </c>
      <c r="G27" s="75">
        <f>SUM(G13:G26)</f>
        <v>559770</v>
      </c>
      <c r="H27" s="6803"/>
      <c r="I27" s="6804"/>
      <c r="K27" s="52"/>
      <c r="M27" s="106">
        <v>6</v>
      </c>
      <c r="N27" s="106">
        <v>0</v>
      </c>
      <c r="O27" s="1" t="s">
        <v>5170</v>
      </c>
      <c r="P27" s="1" t="s">
        <v>5041</v>
      </c>
    </row>
    <row r="28" spans="2:16" ht="15" customHeight="1" thickBot="1">
      <c r="B28" s="76"/>
      <c r="C28" s="77"/>
      <c r="D28" s="77"/>
      <c r="E28" s="78" t="s">
        <v>5030</v>
      </c>
      <c r="F28" s="96" t="s">
        <v>246</v>
      </c>
      <c r="G28" s="79">
        <f>ROUNDDOWN(G27*0.1,0)</f>
        <v>55977</v>
      </c>
      <c r="H28" s="6807"/>
      <c r="I28" s="6808"/>
      <c r="M28" s="106">
        <v>1</v>
      </c>
      <c r="N28" s="106">
        <v>0</v>
      </c>
      <c r="O28" s="1" t="s">
        <v>5122</v>
      </c>
      <c r="P28" s="1" t="s">
        <v>5041</v>
      </c>
    </row>
    <row r="29" spans="2:16" ht="15" customHeight="1" thickTop="1">
      <c r="B29" s="80"/>
      <c r="C29" s="81"/>
      <c r="D29" s="81"/>
      <c r="E29" s="82" t="s">
        <v>5031</v>
      </c>
      <c r="F29" s="95" t="s">
        <v>246</v>
      </c>
      <c r="G29" s="83">
        <f>SUM(G27:G28)</f>
        <v>615747</v>
      </c>
      <c r="H29" s="6809"/>
      <c r="I29" s="6810"/>
      <c r="M29" s="106">
        <v>1</v>
      </c>
      <c r="N29" s="106">
        <v>0</v>
      </c>
      <c r="O29" s="1" t="s">
        <v>5171</v>
      </c>
      <c r="P29" s="1" t="s">
        <v>5041</v>
      </c>
    </row>
    <row r="30" spans="2:16" ht="13.5">
      <c r="B30" s="67"/>
      <c r="C30" s="67"/>
      <c r="D30" s="67"/>
      <c r="E30" s="67"/>
      <c r="F30" s="99"/>
      <c r="G30" s="67"/>
      <c r="H30" s="67"/>
      <c r="I30" s="67"/>
      <c r="M30" s="10"/>
    </row>
    <row r="31" spans="2:16" ht="15" customHeight="1" thickBot="1">
      <c r="B31" s="6797" t="s">
        <v>5032</v>
      </c>
      <c r="C31" s="6798"/>
      <c r="D31" s="6798"/>
      <c r="E31" s="6798"/>
      <c r="F31" s="6798"/>
      <c r="G31" s="6798"/>
      <c r="H31" s="6798"/>
      <c r="I31" s="6799"/>
      <c r="K31" s="18" t="s">
        <v>5018</v>
      </c>
      <c r="M31" s="10"/>
    </row>
    <row r="32" spans="2:16" ht="13.5" customHeight="1" thickTop="1">
      <c r="B32" s="70" t="s">
        <v>5023</v>
      </c>
      <c r="C32" s="6788" t="s">
        <v>4239</v>
      </c>
      <c r="D32" s="6789"/>
      <c r="E32" s="71" t="s">
        <v>5024</v>
      </c>
      <c r="F32" s="98" t="s">
        <v>5033</v>
      </c>
      <c r="G32" s="71" t="s">
        <v>5026</v>
      </c>
      <c r="H32" s="6788" t="s">
        <v>5027</v>
      </c>
      <c r="I32" s="6789"/>
      <c r="K32" s="58" t="s">
        <v>5028</v>
      </c>
      <c r="M32" s="10"/>
    </row>
    <row r="33" spans="2:13" ht="13.5" customHeight="1">
      <c r="B33" s="72">
        <v>202</v>
      </c>
      <c r="C33" s="6794" t="str">
        <f>IFERROR(VLOOKUP(B33,[55]マスター1_項目コード!$B$4:$C$91,2,FALSE),"")</f>
        <v>昼食代</v>
      </c>
      <c r="D33" s="6795"/>
      <c r="E33" s="73">
        <f>K33</f>
        <v>0</v>
      </c>
      <c r="F33" s="73"/>
      <c r="G33" s="73">
        <f>IF(E33="","",E33*F33)</f>
        <v>0</v>
      </c>
      <c r="H33" s="6792"/>
      <c r="I33" s="6793"/>
      <c r="K33" s="19"/>
      <c r="M33" s="10"/>
    </row>
    <row r="34" spans="2:13" ht="13.5">
      <c r="B34" s="72">
        <v>203</v>
      </c>
      <c r="C34" s="6794" t="str">
        <f>IFERROR(VLOOKUP(B34,[55]マスター1_項目コード!$B$4:$C$91,2,FALSE),"")</f>
        <v>夕食代</v>
      </c>
      <c r="D34" s="6795"/>
      <c r="E34" s="73">
        <f>K34</f>
        <v>0</v>
      </c>
      <c r="F34" s="73"/>
      <c r="G34" s="73">
        <f>IF(E34="","",E34*F34)</f>
        <v>0</v>
      </c>
      <c r="H34" s="6792"/>
      <c r="I34" s="6793"/>
      <c r="K34" s="19"/>
      <c r="M34" s="10"/>
    </row>
    <row r="35" spans="2:13" ht="13.5" customHeight="1">
      <c r="B35" s="72"/>
      <c r="C35" s="6794" t="str">
        <f>IFERROR(VLOOKUP(B35,[55]マスター1_項目コード!$B$4:$C$91,2,FALSE),"")</f>
        <v/>
      </c>
      <c r="D35" s="6795"/>
      <c r="E35" s="90">
        <f>K35</f>
        <v>0</v>
      </c>
      <c r="F35" s="73"/>
      <c r="G35" s="90">
        <f>IF(E35="","",E35*F35)</f>
        <v>0</v>
      </c>
      <c r="H35" s="6792"/>
      <c r="I35" s="6793"/>
      <c r="K35" s="19"/>
      <c r="M35" s="10"/>
    </row>
    <row r="36" spans="2:13" ht="13.5">
      <c r="B36" s="72"/>
      <c r="C36" s="6794" t="str">
        <f>IFERROR(VLOOKUP(B36,[55]マスター1_項目コード!$B$4:$C$91,2,FALSE),"")</f>
        <v/>
      </c>
      <c r="D36" s="6795"/>
      <c r="E36" s="90">
        <f>K36</f>
        <v>0</v>
      </c>
      <c r="F36" s="73"/>
      <c r="G36" s="90">
        <f>IF(E36="","",E36*F36)</f>
        <v>0</v>
      </c>
      <c r="H36" s="6792"/>
      <c r="I36" s="6793"/>
      <c r="K36" s="19"/>
      <c r="M36" s="10"/>
    </row>
    <row r="37" spans="2:13" ht="14.15" customHeight="1" thickBot="1">
      <c r="B37" s="72"/>
      <c r="C37" s="6794" t="str">
        <f>IFERROR(VLOOKUP(B37,[55]マスター1_項目コード!$B$4:$C$91,2,FALSE),"")</f>
        <v/>
      </c>
      <c r="D37" s="6795"/>
      <c r="E37" s="90">
        <f>K37</f>
        <v>0</v>
      </c>
      <c r="F37" s="73"/>
      <c r="G37" s="90">
        <f>IF(E37="","",E37*F37)</f>
        <v>0</v>
      </c>
      <c r="H37" s="6805"/>
      <c r="I37" s="6806"/>
      <c r="K37" s="51"/>
      <c r="M37" s="10"/>
    </row>
    <row r="38" spans="2:13" ht="15" customHeight="1" thickTop="1">
      <c r="B38" s="6800" t="s">
        <v>5029</v>
      </c>
      <c r="C38" s="6801"/>
      <c r="D38" s="6801"/>
      <c r="E38" s="6802"/>
      <c r="F38" s="97" t="s">
        <v>246</v>
      </c>
      <c r="G38" s="75">
        <f>SUM(G33:G37)</f>
        <v>0</v>
      </c>
      <c r="H38" s="6803"/>
      <c r="I38" s="6804"/>
      <c r="K38" s="57"/>
    </row>
    <row r="39" spans="2:13" ht="15" customHeight="1" thickBot="1">
      <c r="B39" s="76"/>
      <c r="C39" s="77"/>
      <c r="D39" s="77"/>
      <c r="E39" s="78" t="s">
        <v>5030</v>
      </c>
      <c r="F39" s="96" t="s">
        <v>246</v>
      </c>
      <c r="G39" s="79">
        <f>ROUNDDOWN(G38*0.1,0)</f>
        <v>0</v>
      </c>
      <c r="H39" s="6807"/>
      <c r="I39" s="6808"/>
      <c r="K39" s="56"/>
    </row>
    <row r="40" spans="2:13" ht="15" customHeight="1" thickTop="1">
      <c r="B40" s="80"/>
      <c r="C40" s="81"/>
      <c r="D40" s="81"/>
      <c r="E40" s="82" t="s">
        <v>5031</v>
      </c>
      <c r="F40" s="95" t="s">
        <v>246</v>
      </c>
      <c r="G40" s="83">
        <f>SUM(G38:G39)</f>
        <v>0</v>
      </c>
      <c r="H40" s="6809"/>
      <c r="I40" s="6810"/>
      <c r="K40" s="56"/>
    </row>
    <row r="41" spans="2:13" ht="13.5">
      <c r="B41" s="67"/>
      <c r="C41" s="67"/>
      <c r="D41" s="67"/>
      <c r="E41" s="67"/>
      <c r="F41" s="99"/>
      <c r="G41" s="67"/>
      <c r="H41" s="67"/>
      <c r="I41" s="67"/>
      <c r="K41" s="56"/>
    </row>
    <row r="42" spans="2:13" ht="15" customHeight="1" thickBot="1">
      <c r="B42" s="6785" t="s">
        <v>5034</v>
      </c>
      <c r="C42" s="6786"/>
      <c r="D42" s="6786"/>
      <c r="E42" s="6786"/>
      <c r="F42" s="6786"/>
      <c r="G42" s="6786"/>
      <c r="H42" s="6786"/>
      <c r="I42" s="6787"/>
      <c r="K42" s="18" t="s">
        <v>5018</v>
      </c>
    </row>
    <row r="43" spans="2:13" ht="13.5" customHeight="1" thickTop="1">
      <c r="B43" s="70" t="s">
        <v>5023</v>
      </c>
      <c r="C43" s="6788" t="s">
        <v>4239</v>
      </c>
      <c r="D43" s="6789"/>
      <c r="E43" s="71" t="s">
        <v>5024</v>
      </c>
      <c r="F43" s="98" t="s">
        <v>5033</v>
      </c>
      <c r="G43" s="71" t="s">
        <v>5026</v>
      </c>
      <c r="H43" s="6788" t="s">
        <v>5027</v>
      </c>
      <c r="I43" s="6789"/>
      <c r="K43" s="58" t="s">
        <v>5028</v>
      </c>
    </row>
    <row r="44" spans="2:13" ht="13.5">
      <c r="B44" s="72">
        <v>401</v>
      </c>
      <c r="C44" s="6794" t="str">
        <f>IFERROR(VLOOKUP(B44,[55]マスター1_項目コード!$B$4:$C$91,2,FALSE),"")</f>
        <v>ファンクションルーム利用費（1）</v>
      </c>
      <c r="D44" s="6795"/>
      <c r="E44" s="73">
        <f>ROUNDUP(K44/0.85,0)</f>
        <v>1188000</v>
      </c>
      <c r="F44" s="73">
        <v>1</v>
      </c>
      <c r="G44" s="73">
        <f t="shared" ref="G44:G63" si="3">IF(E44="","",E44*F44)</f>
        <v>1188000</v>
      </c>
      <c r="H44" s="6792" t="s">
        <v>5076</v>
      </c>
      <c r="I44" s="6793"/>
      <c r="K44" s="19">
        <v>1009800</v>
      </c>
    </row>
    <row r="45" spans="2:13" ht="13.5">
      <c r="B45" s="72">
        <v>402</v>
      </c>
      <c r="C45" s="6794" t="str">
        <f>IFERROR(VLOOKUP(B45,[55]マスター1_項目コード!$B$4:$C$91,2,FALSE),"")</f>
        <v>ファンクションルーム利用費（2）</v>
      </c>
      <c r="D45" s="6795"/>
      <c r="E45" s="73">
        <f>ROUNDUP(K45/0.85,0)</f>
        <v>1056000</v>
      </c>
      <c r="F45" s="73">
        <v>1</v>
      </c>
      <c r="G45" s="73">
        <f t="shared" si="3"/>
        <v>1056000</v>
      </c>
      <c r="H45" s="6792" t="s">
        <v>5044</v>
      </c>
      <c r="I45" s="6793"/>
      <c r="K45" s="19">
        <v>897600</v>
      </c>
    </row>
    <row r="46" spans="2:13" ht="13.5">
      <c r="B46" s="72">
        <v>403</v>
      </c>
      <c r="C46" s="6794" t="str">
        <f>IFERROR(VLOOKUP(B46,[55]マスター1_項目コード!$B$4:$C$91,2,FALSE),"")</f>
        <v>ファンクションルーム利用費（3）</v>
      </c>
      <c r="D46" s="6795"/>
      <c r="E46" s="73">
        <f>ROUNDUP(K46/0.85,0)</f>
        <v>900706</v>
      </c>
      <c r="F46" s="73">
        <v>1</v>
      </c>
      <c r="G46" s="73">
        <f t="shared" si="3"/>
        <v>900706</v>
      </c>
      <c r="H46" s="6792" t="s">
        <v>5044</v>
      </c>
      <c r="I46" s="6793"/>
      <c r="K46" s="19">
        <v>765600</v>
      </c>
      <c r="M46" s="106"/>
    </row>
    <row r="47" spans="2:13" ht="13.5">
      <c r="B47" s="72">
        <v>431</v>
      </c>
      <c r="C47" s="6794" t="str">
        <f>IFERROR(VLOOKUP(B47,[55]マスター1_項目コード!$B$4:$C$91,2,FALSE),"")</f>
        <v>インターネット利用費 (ファンクションルーム)</v>
      </c>
      <c r="D47" s="6795"/>
      <c r="E47" s="73">
        <f>ROUNDUP(K47/0.85,0)</f>
        <v>35295</v>
      </c>
      <c r="F47" s="73">
        <v>1</v>
      </c>
      <c r="G47" s="73">
        <f t="shared" si="3"/>
        <v>35295</v>
      </c>
      <c r="H47" s="6792" t="s">
        <v>5035</v>
      </c>
      <c r="I47" s="6793"/>
      <c r="K47" s="19">
        <v>30000</v>
      </c>
      <c r="M47" s="89"/>
    </row>
    <row r="48" spans="2:13" ht="13.5">
      <c r="B48" s="72">
        <v>604</v>
      </c>
      <c r="C48" s="6794" t="str">
        <f>IFERROR(VLOOKUP(B48,[55]マスター1_項目コード!$B$4:$C$91,2,FALSE),"")</f>
        <v>宿泊税</v>
      </c>
      <c r="D48" s="6795"/>
      <c r="E48" s="73">
        <f>K48</f>
        <v>300</v>
      </c>
      <c r="F48" s="73">
        <v>60</v>
      </c>
      <c r="G48" s="73">
        <f t="shared" si="3"/>
        <v>18000</v>
      </c>
      <c r="H48" s="6841" t="s">
        <v>5142</v>
      </c>
      <c r="I48" s="6842"/>
      <c r="K48" s="19">
        <v>300</v>
      </c>
    </row>
    <row r="49" spans="2:11" ht="13.5">
      <c r="B49" s="72"/>
      <c r="C49" s="6794" t="str">
        <f>IFERROR(VLOOKUP(B49,[55]マスター1_項目コード!$B$4:$C$91,2,FALSE),"")</f>
        <v/>
      </c>
      <c r="D49" s="6795"/>
      <c r="E49" s="90">
        <f t="shared" ref="E49:E63" si="4">ROUNDUP(K49/0.85,0)</f>
        <v>0</v>
      </c>
      <c r="F49" s="73"/>
      <c r="G49" s="90">
        <f t="shared" si="3"/>
        <v>0</v>
      </c>
      <c r="H49" s="6792"/>
      <c r="I49" s="6793"/>
      <c r="K49" s="19"/>
    </row>
    <row r="50" spans="2:11" ht="13.5" customHeight="1">
      <c r="B50" s="72"/>
      <c r="C50" s="6794" t="str">
        <f>IFERROR(VLOOKUP(B50,[55]マスター1_項目コード!$B$4:$C$91,2,FALSE),"")</f>
        <v/>
      </c>
      <c r="D50" s="6795"/>
      <c r="E50" s="90">
        <f t="shared" si="4"/>
        <v>0</v>
      </c>
      <c r="F50" s="73"/>
      <c r="G50" s="90">
        <f t="shared" si="3"/>
        <v>0</v>
      </c>
      <c r="H50" s="6792"/>
      <c r="I50" s="6793"/>
      <c r="K50" s="19"/>
    </row>
    <row r="51" spans="2:11" ht="13.5" customHeight="1">
      <c r="B51" s="72"/>
      <c r="C51" s="6794" t="str">
        <f>IFERROR(VLOOKUP(B51,[55]マスター1_項目コード!$B$4:$C$91,2,FALSE),"")</f>
        <v/>
      </c>
      <c r="D51" s="6795"/>
      <c r="E51" s="90">
        <f t="shared" si="4"/>
        <v>0</v>
      </c>
      <c r="F51" s="73"/>
      <c r="G51" s="90">
        <f t="shared" si="3"/>
        <v>0</v>
      </c>
      <c r="H51" s="6792"/>
      <c r="I51" s="6793"/>
      <c r="K51" s="19"/>
    </row>
    <row r="52" spans="2:11" ht="13.5" customHeight="1">
      <c r="B52" s="72"/>
      <c r="C52" s="6794" t="str">
        <f>IFERROR(VLOOKUP(B52,[55]マスター1_項目コード!$B$4:$C$91,2,FALSE),"")</f>
        <v/>
      </c>
      <c r="D52" s="6795"/>
      <c r="E52" s="90">
        <f t="shared" si="4"/>
        <v>0</v>
      </c>
      <c r="F52" s="73"/>
      <c r="G52" s="90">
        <f t="shared" si="3"/>
        <v>0</v>
      </c>
      <c r="H52" s="6792"/>
      <c r="I52" s="6793"/>
      <c r="K52" s="19"/>
    </row>
    <row r="53" spans="2:11" ht="13.5" customHeight="1">
      <c r="B53" s="72"/>
      <c r="C53" s="6794" t="str">
        <f>IFERROR(VLOOKUP(B53,[55]マスター1_項目コード!$B$4:$C$91,2,FALSE),"")</f>
        <v/>
      </c>
      <c r="D53" s="6795"/>
      <c r="E53" s="90">
        <f t="shared" si="4"/>
        <v>0</v>
      </c>
      <c r="F53" s="73"/>
      <c r="G53" s="90">
        <f t="shared" si="3"/>
        <v>0</v>
      </c>
      <c r="H53" s="6792"/>
      <c r="I53" s="6793"/>
      <c r="K53" s="19"/>
    </row>
    <row r="54" spans="2:11" ht="13.5" customHeight="1">
      <c r="B54" s="72"/>
      <c r="C54" s="6794" t="str">
        <f>IFERROR(VLOOKUP(B54,[55]マスター1_項目コード!$B$4:$C$91,2,FALSE),"")</f>
        <v/>
      </c>
      <c r="D54" s="6795"/>
      <c r="E54" s="90">
        <f t="shared" si="4"/>
        <v>0</v>
      </c>
      <c r="F54" s="73"/>
      <c r="G54" s="90">
        <f t="shared" si="3"/>
        <v>0</v>
      </c>
      <c r="H54" s="6792"/>
      <c r="I54" s="6793"/>
      <c r="K54" s="19"/>
    </row>
    <row r="55" spans="2:11" ht="13.5" customHeight="1">
      <c r="B55" s="72"/>
      <c r="C55" s="6794" t="str">
        <f>IFERROR(VLOOKUP(B55,[55]マスター1_項目コード!$B$4:$C$91,2,FALSE),"")</f>
        <v/>
      </c>
      <c r="D55" s="6795"/>
      <c r="E55" s="90">
        <f t="shared" si="4"/>
        <v>0</v>
      </c>
      <c r="F55" s="73"/>
      <c r="G55" s="90">
        <f t="shared" si="3"/>
        <v>0</v>
      </c>
      <c r="H55" s="6792"/>
      <c r="I55" s="6793"/>
      <c r="K55" s="19"/>
    </row>
    <row r="56" spans="2:11" ht="13.5">
      <c r="B56" s="72"/>
      <c r="C56" s="6794" t="str">
        <f>IFERROR(VLOOKUP(B56,[55]マスター1_項目コード!$B$4:$C$91,2,FALSE),"")</f>
        <v/>
      </c>
      <c r="D56" s="6795"/>
      <c r="E56" s="90">
        <f t="shared" si="4"/>
        <v>0</v>
      </c>
      <c r="F56" s="73"/>
      <c r="G56" s="90">
        <f t="shared" si="3"/>
        <v>0</v>
      </c>
      <c r="H56" s="6792"/>
      <c r="I56" s="6793"/>
      <c r="K56" s="19"/>
    </row>
    <row r="57" spans="2:11" ht="13.5">
      <c r="B57" s="72"/>
      <c r="C57" s="6794" t="str">
        <f>IFERROR(VLOOKUP(B57,[55]マスター1_項目コード!$B$4:$C$91,2,FALSE),"")</f>
        <v/>
      </c>
      <c r="D57" s="6795"/>
      <c r="E57" s="90">
        <f t="shared" si="4"/>
        <v>0</v>
      </c>
      <c r="F57" s="73"/>
      <c r="G57" s="90">
        <f t="shared" si="3"/>
        <v>0</v>
      </c>
      <c r="H57" s="6792"/>
      <c r="I57" s="6793"/>
      <c r="K57" s="19"/>
    </row>
    <row r="58" spans="2:11" ht="13.5">
      <c r="B58" s="72"/>
      <c r="C58" s="6794" t="str">
        <f>IFERROR(VLOOKUP(B58,[55]マスター1_項目コード!$B$4:$C$91,2,FALSE),"")</f>
        <v/>
      </c>
      <c r="D58" s="6795"/>
      <c r="E58" s="90">
        <f t="shared" si="4"/>
        <v>0</v>
      </c>
      <c r="F58" s="73"/>
      <c r="G58" s="90">
        <f t="shared" si="3"/>
        <v>0</v>
      </c>
      <c r="H58" s="6792"/>
      <c r="I58" s="6793"/>
      <c r="K58" s="19"/>
    </row>
    <row r="59" spans="2:11" ht="13.5">
      <c r="B59" s="72"/>
      <c r="C59" s="6794" t="str">
        <f>IFERROR(VLOOKUP(B59,[55]マスター1_項目コード!$B$4:$C$91,2,FALSE),"")</f>
        <v/>
      </c>
      <c r="D59" s="6795"/>
      <c r="E59" s="90">
        <f t="shared" si="4"/>
        <v>0</v>
      </c>
      <c r="F59" s="73"/>
      <c r="G59" s="90">
        <f t="shared" si="3"/>
        <v>0</v>
      </c>
      <c r="H59" s="6792"/>
      <c r="I59" s="6793"/>
      <c r="K59" s="19"/>
    </row>
    <row r="60" spans="2:11" ht="13.5">
      <c r="B60" s="72"/>
      <c r="C60" s="6794" t="str">
        <f>IFERROR(VLOOKUP(B60,[55]マスター1_項目コード!$B$4:$C$91,2,FALSE),"")</f>
        <v/>
      </c>
      <c r="D60" s="6795"/>
      <c r="E60" s="90">
        <f t="shared" si="4"/>
        <v>0</v>
      </c>
      <c r="F60" s="73"/>
      <c r="G60" s="90">
        <f t="shared" si="3"/>
        <v>0</v>
      </c>
      <c r="H60" s="6792"/>
      <c r="I60" s="6793"/>
      <c r="K60" s="19"/>
    </row>
    <row r="61" spans="2:11" ht="13.5">
      <c r="B61" s="72"/>
      <c r="C61" s="6794" t="str">
        <f>IFERROR(VLOOKUP(B61,[55]マスター1_項目コード!$B$4:$C$91,2,FALSE),"")</f>
        <v/>
      </c>
      <c r="D61" s="6795"/>
      <c r="E61" s="90">
        <f t="shared" si="4"/>
        <v>0</v>
      </c>
      <c r="F61" s="73"/>
      <c r="G61" s="90">
        <f t="shared" si="3"/>
        <v>0</v>
      </c>
      <c r="H61" s="6792"/>
      <c r="I61" s="6793"/>
      <c r="K61" s="19"/>
    </row>
    <row r="62" spans="2:11" ht="13.5">
      <c r="B62" s="72"/>
      <c r="C62" s="6794" t="str">
        <f>IFERROR(VLOOKUP(B62,[55]マスター1_項目コード!$B$4:$C$91,2,FALSE),"")</f>
        <v/>
      </c>
      <c r="D62" s="6795"/>
      <c r="E62" s="90">
        <f t="shared" si="4"/>
        <v>0</v>
      </c>
      <c r="F62" s="73"/>
      <c r="G62" s="90">
        <f t="shared" si="3"/>
        <v>0</v>
      </c>
      <c r="H62" s="6792"/>
      <c r="I62" s="6793"/>
      <c r="K62" s="19"/>
    </row>
    <row r="63" spans="2:11" ht="14" thickBot="1">
      <c r="B63" s="72"/>
      <c r="C63" s="6794" t="str">
        <f>IFERROR(VLOOKUP(B63,[55]マスター1_項目コード!$B$4:$C$91,2,FALSE),"")</f>
        <v/>
      </c>
      <c r="D63" s="6795"/>
      <c r="E63" s="90">
        <f t="shared" si="4"/>
        <v>0</v>
      </c>
      <c r="F63" s="73"/>
      <c r="G63" s="90">
        <f t="shared" si="3"/>
        <v>0</v>
      </c>
      <c r="H63" s="6805"/>
      <c r="I63" s="6806"/>
      <c r="K63" s="50"/>
    </row>
    <row r="64" spans="2:11" ht="15" customHeight="1" thickTop="1">
      <c r="B64" s="6800" t="s">
        <v>5029</v>
      </c>
      <c r="C64" s="6801"/>
      <c r="D64" s="6801"/>
      <c r="E64" s="6802"/>
      <c r="F64" s="97" t="s">
        <v>246</v>
      </c>
      <c r="G64" s="75">
        <f>SUM(G44:G63)</f>
        <v>3198001</v>
      </c>
      <c r="H64" s="6803"/>
      <c r="I64" s="6804"/>
    </row>
    <row r="65" spans="2:9" ht="15" customHeight="1" thickBot="1">
      <c r="B65" s="76"/>
      <c r="C65" s="77"/>
      <c r="D65" s="77"/>
      <c r="E65" s="78" t="s">
        <v>5030</v>
      </c>
      <c r="F65" s="96" t="s">
        <v>246</v>
      </c>
      <c r="G65" s="79">
        <f>ROUNDDOWN(3180001*0.1,0)</f>
        <v>318000</v>
      </c>
      <c r="H65" s="6807"/>
      <c r="I65" s="6808"/>
    </row>
    <row r="66" spans="2:9" ht="15" customHeight="1" thickTop="1">
      <c r="B66" s="80"/>
      <c r="C66" s="81"/>
      <c r="D66" s="81"/>
      <c r="E66" s="82" t="s">
        <v>5031</v>
      </c>
      <c r="F66" s="95" t="s">
        <v>246</v>
      </c>
      <c r="G66" s="83">
        <f>SUM(G64:G65)</f>
        <v>3516001</v>
      </c>
      <c r="H66" s="6809"/>
      <c r="I66" s="6810"/>
    </row>
    <row r="67" spans="2:9" ht="13.5">
      <c r="B67" s="61"/>
      <c r="C67" s="61"/>
      <c r="D67" s="61"/>
      <c r="E67" s="61"/>
      <c r="F67" s="93"/>
      <c r="G67" s="61"/>
      <c r="H67" s="61"/>
      <c r="I67" s="61"/>
    </row>
    <row r="68" spans="2:9" ht="20.25" customHeight="1">
      <c r="B68" s="84"/>
      <c r="C68" s="84"/>
      <c r="D68" s="84"/>
      <c r="E68" s="84"/>
      <c r="F68" s="94" t="s">
        <v>5036</v>
      </c>
      <c r="G68" s="85">
        <f>G66+G40+G29</f>
        <v>4131748</v>
      </c>
      <c r="H68" s="84"/>
      <c r="I68" s="84"/>
    </row>
    <row r="69" spans="2:9" ht="13.5">
      <c r="B69" s="61"/>
      <c r="C69" s="61"/>
      <c r="D69" s="61"/>
      <c r="E69" s="61"/>
      <c r="F69" s="93"/>
      <c r="G69" s="61"/>
      <c r="H69" s="61"/>
      <c r="I69" s="61"/>
    </row>
    <row r="70" spans="2:9" ht="13.5">
      <c r="B70" s="66" t="s">
        <v>5172</v>
      </c>
      <c r="C70" s="61"/>
      <c r="D70" s="61"/>
      <c r="E70" s="61"/>
      <c r="F70" s="93"/>
      <c r="G70" s="61"/>
      <c r="H70" s="61"/>
      <c r="I70" s="61"/>
    </row>
    <row r="71" spans="2:9" ht="13.5">
      <c r="B71" s="66" t="s">
        <v>5173</v>
      </c>
      <c r="C71" s="61"/>
      <c r="D71" s="61"/>
      <c r="E71" s="61"/>
      <c r="F71" s="93"/>
      <c r="G71" s="61"/>
      <c r="H71" s="61"/>
      <c r="I71" s="61"/>
    </row>
    <row r="72" spans="2:9" ht="13.5">
      <c r="B72" s="66" t="s">
        <v>5174</v>
      </c>
      <c r="C72" s="61"/>
      <c r="D72" s="61"/>
      <c r="E72" s="61"/>
      <c r="F72" s="93"/>
      <c r="G72" s="61"/>
      <c r="H72" s="61"/>
      <c r="I72" s="61"/>
    </row>
    <row r="73" spans="2:9">
      <c r="B73" s="107"/>
    </row>
  </sheetData>
  <mergeCells count="102">
    <mergeCell ref="D3:I3"/>
    <mergeCell ref="C5:E5"/>
    <mergeCell ref="C8:E8"/>
    <mergeCell ref="B11:I11"/>
    <mergeCell ref="C12:D12"/>
    <mergeCell ref="H12:I12"/>
    <mergeCell ref="C16:D16"/>
    <mergeCell ref="H16:I16"/>
    <mergeCell ref="C17:D17"/>
    <mergeCell ref="H17:I17"/>
    <mergeCell ref="C18:D18"/>
    <mergeCell ref="H18:I18"/>
    <mergeCell ref="C13:D13"/>
    <mergeCell ref="H13:I13"/>
    <mergeCell ref="C14:D14"/>
    <mergeCell ref="H14:I14"/>
    <mergeCell ref="C15:D15"/>
    <mergeCell ref="H15:I15"/>
    <mergeCell ref="C22:D22"/>
    <mergeCell ref="H22:I22"/>
    <mergeCell ref="C23:D23"/>
    <mergeCell ref="H23:I23"/>
    <mergeCell ref="C24:D24"/>
    <mergeCell ref="H24:I24"/>
    <mergeCell ref="C19:D19"/>
    <mergeCell ref="H19:I19"/>
    <mergeCell ref="C20:D20"/>
    <mergeCell ref="H20:I20"/>
    <mergeCell ref="C21:D21"/>
    <mergeCell ref="H21:I21"/>
    <mergeCell ref="H28:I28"/>
    <mergeCell ref="H29:I29"/>
    <mergeCell ref="B31:I31"/>
    <mergeCell ref="C32:D32"/>
    <mergeCell ref="H32:I32"/>
    <mergeCell ref="C33:D33"/>
    <mergeCell ref="H33:I33"/>
    <mergeCell ref="C25:D25"/>
    <mergeCell ref="H25:I25"/>
    <mergeCell ref="C26:D26"/>
    <mergeCell ref="H26:I26"/>
    <mergeCell ref="B27:E27"/>
    <mergeCell ref="H27:I27"/>
    <mergeCell ref="C37:D37"/>
    <mergeCell ref="H37:I37"/>
    <mergeCell ref="B38:E38"/>
    <mergeCell ref="H38:I38"/>
    <mergeCell ref="H39:I39"/>
    <mergeCell ref="H40:I40"/>
    <mergeCell ref="C34:D34"/>
    <mergeCell ref="H34:I34"/>
    <mergeCell ref="C35:D35"/>
    <mergeCell ref="H35:I35"/>
    <mergeCell ref="C36:D36"/>
    <mergeCell ref="H36:I36"/>
    <mergeCell ref="C46:D46"/>
    <mergeCell ref="H46:I46"/>
    <mergeCell ref="C47:D47"/>
    <mergeCell ref="H47:I47"/>
    <mergeCell ref="C48:D48"/>
    <mergeCell ref="H48:I48"/>
    <mergeCell ref="B42:I42"/>
    <mergeCell ref="C43:D43"/>
    <mergeCell ref="H43:I43"/>
    <mergeCell ref="C44:D44"/>
    <mergeCell ref="H44:I44"/>
    <mergeCell ref="C45:D45"/>
    <mergeCell ref="H45:I45"/>
    <mergeCell ref="C52:D52"/>
    <mergeCell ref="H52:I52"/>
    <mergeCell ref="C53:D53"/>
    <mergeCell ref="H53:I53"/>
    <mergeCell ref="C54:D54"/>
    <mergeCell ref="H54:I54"/>
    <mergeCell ref="C49:D49"/>
    <mergeCell ref="H49:I49"/>
    <mergeCell ref="C50:D50"/>
    <mergeCell ref="H50:I50"/>
    <mergeCell ref="C51:D51"/>
    <mergeCell ref="H51:I51"/>
    <mergeCell ref="C58:D58"/>
    <mergeCell ref="H58:I58"/>
    <mergeCell ref="C59:D59"/>
    <mergeCell ref="H59:I59"/>
    <mergeCell ref="C60:D60"/>
    <mergeCell ref="H60:I60"/>
    <mergeCell ref="C55:D55"/>
    <mergeCell ref="H55:I55"/>
    <mergeCell ref="C56:D56"/>
    <mergeCell ref="H56:I56"/>
    <mergeCell ref="C57:D57"/>
    <mergeCell ref="H57:I57"/>
    <mergeCell ref="B64:E64"/>
    <mergeCell ref="H64:I64"/>
    <mergeCell ref="H65:I65"/>
    <mergeCell ref="H66:I66"/>
    <mergeCell ref="C61:D61"/>
    <mergeCell ref="H61:I61"/>
    <mergeCell ref="C62:D62"/>
    <mergeCell ref="H62:I62"/>
    <mergeCell ref="C63:D63"/>
    <mergeCell ref="H63:I63"/>
  </mergeCells>
  <phoneticPr fontId="2"/>
  <pageMargins left="0.7" right="0.7" top="0.75" bottom="0.75" header="0.3" footer="0.3"/>
  <pageSetup paperSize="9" scale="69" orientation="portrait" r:id="rId1"/>
  <headerFooter>
    <oddHeader>&amp;R&amp;"Meiryo UI,太字"&amp;12大阪</oddHead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EA0E-4B2B-4703-B9DF-8671F4B6B93F}">
  <sheetPr codeName="Sheet379">
    <tabColor rgb="FFFFFF66"/>
    <pageSetUpPr fitToPage="1"/>
  </sheetPr>
  <dimension ref="A1:AE32"/>
  <sheetViews>
    <sheetView topLeftCell="A9"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3137</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N4" s="4656" t="s">
        <v>6373</v>
      </c>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3148</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c r="C8" s="4911"/>
      <c r="D8" s="4759"/>
      <c r="E8" s="4759"/>
      <c r="F8" s="4760">
        <v>5</v>
      </c>
      <c r="G8" s="4975"/>
      <c r="H8" s="4762">
        <v>10</v>
      </c>
      <c r="I8" s="4763" t="s">
        <v>4248</v>
      </c>
      <c r="J8" s="4902"/>
      <c r="K8" s="4765"/>
      <c r="L8" s="4765"/>
      <c r="M8" s="4765"/>
      <c r="N8" s="4762">
        <f>8000*1.13</f>
        <v>9040</v>
      </c>
      <c r="O8" s="4766">
        <f>N8*H8*F8</f>
        <v>452000</v>
      </c>
      <c r="P8" s="4857"/>
      <c r="Q8" s="4858"/>
      <c r="R8" s="4864"/>
      <c r="S8" s="4858"/>
      <c r="T8" s="4859"/>
      <c r="U8" s="4860"/>
      <c r="W8" s="4666" t="s">
        <v>6374</v>
      </c>
    </row>
    <row r="9" spans="1:31" ht="33.75" customHeight="1">
      <c r="A9" s="4758">
        <v>2</v>
      </c>
      <c r="B9" s="4910"/>
      <c r="C9" s="4911"/>
      <c r="D9" s="4759"/>
      <c r="E9" s="4759"/>
      <c r="F9" s="4760">
        <v>5</v>
      </c>
      <c r="G9" s="4975"/>
      <c r="H9" s="4762">
        <v>10</v>
      </c>
      <c r="I9" s="4763" t="s">
        <v>4249</v>
      </c>
      <c r="J9" s="4902"/>
      <c r="K9" s="4765"/>
      <c r="L9" s="4765"/>
      <c r="M9" s="4765"/>
      <c r="N9" s="4762">
        <f>10000*1.13</f>
        <v>11299.999999999998</v>
      </c>
      <c r="O9" s="4766">
        <f>N9*H9*F9</f>
        <v>564999.99999999988</v>
      </c>
      <c r="P9" s="4857"/>
      <c r="Q9" s="4858"/>
      <c r="R9" s="4864"/>
      <c r="S9" s="4858"/>
      <c r="T9" s="4859"/>
      <c r="U9" s="4860"/>
      <c r="AC9" s="4657"/>
    </row>
    <row r="10" spans="1:31" ht="33.75" customHeight="1">
      <c r="A10" s="4758">
        <v>3</v>
      </c>
      <c r="B10" s="4910"/>
      <c r="C10" s="4911"/>
      <c r="D10" s="4759"/>
      <c r="E10" s="4759"/>
      <c r="F10" s="4912"/>
      <c r="G10" s="4975"/>
      <c r="H10" s="4762"/>
      <c r="I10" s="4763"/>
      <c r="J10" s="4764"/>
      <c r="K10" s="4765"/>
      <c r="L10" s="4765"/>
      <c r="M10" s="4765"/>
      <c r="N10" s="4762"/>
      <c r="O10" s="4766">
        <f t="shared" ref="O10:O16" si="1">F10*N10*H10</f>
        <v>0</v>
      </c>
      <c r="P10" s="4909"/>
      <c r="Q10" s="4858"/>
      <c r="R10" s="4864"/>
      <c r="S10" s="4858"/>
      <c r="T10" s="4859"/>
      <c r="U10" s="4860"/>
      <c r="AC10" s="4657"/>
    </row>
    <row r="11" spans="1:31" ht="33.75" customHeight="1">
      <c r="A11" s="4758">
        <v>4</v>
      </c>
      <c r="B11" s="4910"/>
      <c r="C11" s="4911"/>
      <c r="D11" s="4759"/>
      <c r="E11" s="4759"/>
      <c r="F11" s="4912"/>
      <c r="G11" s="4771"/>
      <c r="H11" s="4762"/>
      <c r="I11" s="4763"/>
      <c r="J11" s="4764"/>
      <c r="K11" s="4765"/>
      <c r="L11" s="4765"/>
      <c r="M11" s="4765"/>
      <c r="N11" s="4762"/>
      <c r="O11" s="4766">
        <f t="shared" si="1"/>
        <v>0</v>
      </c>
      <c r="P11" s="4857"/>
      <c r="Q11" s="4858"/>
      <c r="R11" s="4859"/>
      <c r="S11" s="4858"/>
      <c r="T11" s="4859"/>
      <c r="U11" s="4860"/>
      <c r="AC11" s="4657"/>
    </row>
    <row r="12" spans="1:31" ht="33.75" customHeight="1">
      <c r="A12" s="4758">
        <v>5</v>
      </c>
      <c r="B12" s="4910"/>
      <c r="C12" s="4911"/>
      <c r="D12" s="4759"/>
      <c r="E12" s="4759"/>
      <c r="F12" s="4912"/>
      <c r="G12" s="4771"/>
      <c r="H12" s="4762"/>
      <c r="I12" s="4763"/>
      <c r="J12" s="4764"/>
      <c r="K12" s="4765"/>
      <c r="L12" s="4765"/>
      <c r="M12" s="4765"/>
      <c r="N12" s="4762"/>
      <c r="O12" s="4766">
        <f t="shared" si="1"/>
        <v>0</v>
      </c>
      <c r="P12" s="4857"/>
      <c r="Q12" s="4858"/>
      <c r="R12" s="4859"/>
      <c r="S12" s="4858"/>
      <c r="T12" s="4859"/>
      <c r="U12" s="4860"/>
      <c r="AC12" s="4657"/>
    </row>
    <row r="13" spans="1:31" ht="33.75" customHeight="1">
      <c r="A13" s="4758">
        <v>6</v>
      </c>
      <c r="B13" s="4910"/>
      <c r="C13" s="4911"/>
      <c r="D13" s="4913"/>
      <c r="E13" s="4759"/>
      <c r="F13" s="4912"/>
      <c r="G13" s="4771"/>
      <c r="H13" s="4762"/>
      <c r="I13" s="4763"/>
      <c r="J13" s="4764"/>
      <c r="K13" s="4765"/>
      <c r="L13" s="4765"/>
      <c r="M13" s="4765"/>
      <c r="N13" s="4762"/>
      <c r="O13" s="4766">
        <f t="shared" si="1"/>
        <v>0</v>
      </c>
      <c r="P13" s="4857"/>
      <c r="Q13" s="4858"/>
      <c r="R13" s="4859"/>
      <c r="S13" s="4858"/>
      <c r="T13" s="4859"/>
      <c r="U13" s="4860"/>
      <c r="AC13" s="4657"/>
    </row>
    <row r="14" spans="1:31" ht="33.75" customHeight="1">
      <c r="A14" s="4758">
        <v>7</v>
      </c>
      <c r="B14" s="4910"/>
      <c r="C14" s="4911"/>
      <c r="D14" s="4913"/>
      <c r="E14" s="4759"/>
      <c r="F14" s="4912"/>
      <c r="G14" s="4771"/>
      <c r="H14" s="4762"/>
      <c r="I14" s="4763"/>
      <c r="J14" s="4764"/>
      <c r="K14" s="4765"/>
      <c r="L14" s="4765"/>
      <c r="M14" s="4765"/>
      <c r="N14" s="4762"/>
      <c r="O14" s="4766">
        <f t="shared" si="1"/>
        <v>0</v>
      </c>
      <c r="P14" s="4857"/>
      <c r="Q14" s="4858"/>
      <c r="R14" s="4859"/>
      <c r="S14" s="4858"/>
      <c r="T14" s="4859"/>
      <c r="U14" s="4860"/>
      <c r="AC14" s="4657"/>
    </row>
    <row r="15" spans="1:31" ht="33.75" customHeight="1">
      <c r="A15" s="4758">
        <v>8</v>
      </c>
      <c r="B15" s="4910"/>
      <c r="C15" s="4911"/>
      <c r="D15" s="4913"/>
      <c r="E15" s="4759"/>
      <c r="F15" s="4912"/>
      <c r="G15" s="4771"/>
      <c r="H15" s="4762"/>
      <c r="I15" s="4763"/>
      <c r="J15" s="4764"/>
      <c r="K15" s="4765"/>
      <c r="L15" s="4765"/>
      <c r="M15" s="4765"/>
      <c r="N15" s="4762"/>
      <c r="O15" s="4766">
        <f t="shared" si="1"/>
        <v>0</v>
      </c>
      <c r="P15" s="4857"/>
      <c r="Q15" s="4858"/>
      <c r="R15" s="4859"/>
      <c r="S15" s="4858"/>
      <c r="T15" s="4859"/>
      <c r="U15" s="4860"/>
      <c r="AC15" s="4657"/>
    </row>
    <row r="16" spans="1:31" ht="33.75" customHeight="1">
      <c r="A16" s="4758">
        <v>9</v>
      </c>
      <c r="B16" s="4910"/>
      <c r="C16" s="4911"/>
      <c r="D16" s="4913"/>
      <c r="E16" s="4759"/>
      <c r="F16" s="4912"/>
      <c r="G16" s="4771"/>
      <c r="H16" s="4762"/>
      <c r="I16" s="4763"/>
      <c r="J16" s="4764"/>
      <c r="K16" s="4765"/>
      <c r="L16" s="4765"/>
      <c r="M16" s="4765"/>
      <c r="N16" s="4762"/>
      <c r="O16" s="4766">
        <f t="shared" si="1"/>
        <v>0</v>
      </c>
      <c r="P16" s="4857"/>
      <c r="Q16" s="4858"/>
      <c r="R16" s="4859"/>
      <c r="S16" s="4858"/>
      <c r="T16" s="4859"/>
      <c r="U16" s="4860"/>
      <c r="AC16" s="4657"/>
    </row>
    <row r="17" spans="1:31" ht="33.75" customHeight="1" thickBot="1">
      <c r="A17" s="4772">
        <v>10</v>
      </c>
      <c r="B17" s="4953"/>
      <c r="C17" s="4953"/>
      <c r="D17" s="4914"/>
      <c r="E17" s="4915"/>
      <c r="F17" s="4770">
        <f t="shared" ref="F17" si="2">IF(OR(ISBLANK($B17), ISBLANK($C17)), 0, _xlfn.DAYS($C17, $B17) + 1)</f>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10</v>
      </c>
      <c r="G18" s="4779"/>
      <c r="H18" s="4781"/>
      <c r="I18" s="4782"/>
      <c r="J18" s="4783"/>
      <c r="K18" s="4784"/>
      <c r="L18" s="4784"/>
      <c r="M18" s="4784"/>
      <c r="N18" s="4785"/>
      <c r="O18" s="4922">
        <f>SUM(O8:O17)</f>
        <v>1016999.9999999999</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1118700</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f>1.1*SUM(O8:O9)</f>
        <v>1118700</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SUM(O10:O16)</f>
        <v>0</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36" customHeight="1"/>
    <row r="26" spans="1:31" ht="36" customHeight="1"/>
    <row r="27" spans="1:31" ht="36" customHeight="1"/>
    <row r="28" spans="1:31" ht="36" customHeight="1"/>
    <row r="29" spans="1:31" ht="36" customHeight="1"/>
    <row r="30" spans="1:31" ht="36" customHeight="1"/>
    <row r="31" spans="1:31" ht="36" customHeight="1"/>
    <row r="32" spans="1:31" ht="10.4" customHeight="1">
      <c r="B32" s="4657"/>
      <c r="C32" s="4657"/>
      <c r="D32" s="4657"/>
      <c r="G32" s="4657"/>
      <c r="H32" s="4657"/>
      <c r="O32" s="4656"/>
      <c r="P32" s="4657"/>
      <c r="Q32" s="4657"/>
      <c r="AC32" s="4657"/>
    </row>
  </sheetData>
  <mergeCells count="23">
    <mergeCell ref="A2:B2"/>
    <mergeCell ref="C2:G2"/>
    <mergeCell ref="A5:A6"/>
    <mergeCell ref="B5:B6"/>
    <mergeCell ref="C5:C6"/>
    <mergeCell ref="D5:D6"/>
    <mergeCell ref="E5:E6"/>
    <mergeCell ref="F5:F6"/>
    <mergeCell ref="G5:G6"/>
    <mergeCell ref="AB21:AE21"/>
    <mergeCell ref="A22:B22"/>
    <mergeCell ref="N5:N6"/>
    <mergeCell ref="O5:O6"/>
    <mergeCell ref="P5:Q5"/>
    <mergeCell ref="R5:U5"/>
    <mergeCell ref="A21:B21"/>
    <mergeCell ref="W21:AA21"/>
    <mergeCell ref="H5:H6"/>
    <mergeCell ref="I5:I6"/>
    <mergeCell ref="J5:J6"/>
    <mergeCell ref="K5:K6"/>
    <mergeCell ref="L5:L6"/>
    <mergeCell ref="M5:M6"/>
  </mergeCells>
  <phoneticPr fontId="2"/>
  <conditionalFormatting sqref="C2:D2">
    <cfRule type="containsBlanks" dxfId="236" priority="1">
      <formula>LEN(TRIM(C2))=0</formula>
    </cfRule>
  </conditionalFormatting>
  <conditionalFormatting sqref="D8:E16">
    <cfRule type="containsBlanks" dxfId="235" priority="4">
      <formula>LEN(TRIM(D8))=0</formula>
    </cfRule>
  </conditionalFormatting>
  <conditionalFormatting sqref="G8:K9">
    <cfRule type="containsBlanks" dxfId="234" priority="3">
      <formula>LEN(TRIM(G8))=0</formula>
    </cfRule>
  </conditionalFormatting>
  <conditionalFormatting sqref="G10:N17 B17:E17">
    <cfRule type="containsBlanks" dxfId="233" priority="5">
      <formula>LEN(TRIM(B10))=0</formula>
    </cfRule>
  </conditionalFormatting>
  <conditionalFormatting sqref="M8:N9">
    <cfRule type="containsBlanks" dxfId="232" priority="2">
      <formula>LEN(TRIM(M8))=0</formula>
    </cfRule>
  </conditionalFormatting>
  <conditionalFormatting sqref="P8:U17">
    <cfRule type="containsBlanks" dxfId="231" priority="6">
      <formula>LEN(TRIM(P8))=0</formula>
    </cfRule>
  </conditionalFormatting>
  <dataValidations count="1">
    <dataValidation type="list" allowBlank="1" showInputMessage="1" showErrorMessage="1" sqref="I7:I17" xr:uid="{734CAE15-4703-4A46-9373-2A2ACA734520}">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408D1-5AF9-40E4-B048-432C0C49BC77}">
  <sheetPr codeName="Sheet380">
    <tabColor rgb="FFFFFF66"/>
    <pageSetUpPr fitToPage="1"/>
  </sheetPr>
  <dimension ref="A1:AF39"/>
  <sheetViews>
    <sheetView topLeftCell="A8" zoomScale="70" zoomScaleNormal="70"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6375</v>
      </c>
      <c r="D2" s="6876"/>
      <c r="E2" s="6876"/>
      <c r="F2" s="6876"/>
      <c r="G2" s="6876"/>
      <c r="H2" s="4661" t="s">
        <v>5709</v>
      </c>
      <c r="I2" s="5894" t="s">
        <v>6376</v>
      </c>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86">
        <v>1</v>
      </c>
      <c r="B7" s="4687">
        <v>46274</v>
      </c>
      <c r="C7" s="4687">
        <v>46276</v>
      </c>
      <c r="D7" s="4672">
        <f t="shared" ref="D7:D21" si="0">IF(_xlfn.DAYS(C7,B7)=0,"1",_xlfn.DAYS(C7,B7))</f>
        <v>2</v>
      </c>
      <c r="E7" s="4687">
        <v>46295</v>
      </c>
      <c r="F7" s="4698">
        <f t="shared" ref="F7:F21" si="1">IF(_xlfn.DAYS(E7,C7)=0,"1",_xlfn.DAYS(E7,C7))+1</f>
        <v>20</v>
      </c>
      <c r="G7" s="4699">
        <v>46297</v>
      </c>
      <c r="H7" s="4672">
        <f t="shared" ref="H7:H21" si="2">IF(_xlfn.DAYS(G7,E7)=0,"1",_xlfn.DAYS(G7,E7))-1</f>
        <v>1</v>
      </c>
      <c r="I7" s="4691" t="s">
        <v>6377</v>
      </c>
      <c r="J7" s="4692">
        <v>114</v>
      </c>
      <c r="K7" s="4693">
        <v>40</v>
      </c>
      <c r="L7" s="4692">
        <v>27600</v>
      </c>
      <c r="M7" s="4692">
        <v>32800</v>
      </c>
      <c r="N7" s="4971">
        <f t="shared" ref="N7:N13" si="3">M7*K7</f>
        <v>1312000</v>
      </c>
      <c r="O7" s="4692">
        <v>27600</v>
      </c>
      <c r="P7" s="4678">
        <f>SUM(D7,F7,H7)*K7</f>
        <v>920</v>
      </c>
      <c r="Q7" s="4679">
        <f t="shared" ref="Q7:Q21" si="4">(D7*L7+F7*M7+H7*O7)*K7</f>
        <v>29552000</v>
      </c>
      <c r="R7" s="4692">
        <v>25</v>
      </c>
      <c r="S7" s="4680" t="s">
        <v>5742</v>
      </c>
      <c r="T7" s="4694">
        <v>25</v>
      </c>
      <c r="U7" s="4692">
        <v>2</v>
      </c>
      <c r="V7" s="4692">
        <v>120</v>
      </c>
      <c r="W7" s="4680" t="s">
        <v>4521</v>
      </c>
      <c r="X7" s="4695">
        <v>200</v>
      </c>
      <c r="Y7" s="4692">
        <v>2</v>
      </c>
      <c r="Z7" s="4675" t="s">
        <v>5740</v>
      </c>
      <c r="AA7" s="4683" t="s">
        <v>5035</v>
      </c>
      <c r="AB7" s="4675" t="s">
        <v>2830</v>
      </c>
      <c r="AC7" s="4683" t="s">
        <v>5050</v>
      </c>
      <c r="AD7" s="4675" t="s">
        <v>5741</v>
      </c>
      <c r="AE7" s="4684"/>
      <c r="AF7" s="4685">
        <f>U7*K7</f>
        <v>80</v>
      </c>
    </row>
    <row r="8" spans="1:32" ht="33.75" customHeight="1">
      <c r="A8" s="4686">
        <v>2</v>
      </c>
      <c r="B8" s="4687">
        <v>46274</v>
      </c>
      <c r="C8" s="4687">
        <v>46276</v>
      </c>
      <c r="D8" s="4672">
        <f t="shared" ref="D8:D10" si="5">IF(_xlfn.DAYS(C8,B8)=0,"1",_xlfn.DAYS(C8,B8))</f>
        <v>2</v>
      </c>
      <c r="E8" s="4687">
        <v>46295</v>
      </c>
      <c r="F8" s="4698">
        <f t="shared" ref="F8:F10" si="6">IF(_xlfn.DAYS(E8,C8)=0,"1",_xlfn.DAYS(E8,C8))+1</f>
        <v>20</v>
      </c>
      <c r="G8" s="4699">
        <v>46297</v>
      </c>
      <c r="H8" s="4672">
        <f t="shared" ref="H8:H10" si="7">IF(_xlfn.DAYS(G8,E8)=0,"1",_xlfn.DAYS(G8,E8))-1</f>
        <v>1</v>
      </c>
      <c r="I8" s="4691" t="s">
        <v>6378</v>
      </c>
      <c r="J8" s="4692">
        <v>85</v>
      </c>
      <c r="K8" s="4693">
        <v>32</v>
      </c>
      <c r="L8" s="4692">
        <v>27600</v>
      </c>
      <c r="M8" s="4692">
        <v>32800</v>
      </c>
      <c r="N8" s="4971">
        <f t="shared" si="3"/>
        <v>1049600</v>
      </c>
      <c r="O8" s="4692">
        <v>27600</v>
      </c>
      <c r="P8" s="4678">
        <f t="shared" ref="P8:P21" si="8">SUM(D8,F8,H8)*K8</f>
        <v>736</v>
      </c>
      <c r="Q8" s="4679">
        <f t="shared" si="4"/>
        <v>23641600</v>
      </c>
      <c r="R8" s="4692">
        <v>33</v>
      </c>
      <c r="S8" s="4680" t="s">
        <v>5742</v>
      </c>
      <c r="T8" s="4694">
        <v>33</v>
      </c>
      <c r="U8" s="4692">
        <v>2</v>
      </c>
      <c r="V8" s="4692">
        <v>120</v>
      </c>
      <c r="W8" s="4680" t="s">
        <v>4521</v>
      </c>
      <c r="X8" s="4695">
        <v>200</v>
      </c>
      <c r="Y8" s="4692">
        <v>2</v>
      </c>
      <c r="Z8" s="4675" t="s">
        <v>5740</v>
      </c>
      <c r="AA8" s="4683" t="s">
        <v>5035</v>
      </c>
      <c r="AB8" s="4675" t="s">
        <v>2830</v>
      </c>
      <c r="AC8" s="4683" t="s">
        <v>5050</v>
      </c>
      <c r="AD8" s="4675" t="s">
        <v>5741</v>
      </c>
      <c r="AE8" s="4696"/>
      <c r="AF8" s="4685">
        <f t="shared" ref="AF8:AF21" si="9">U8*K8</f>
        <v>64</v>
      </c>
    </row>
    <row r="9" spans="1:32" ht="33.75" customHeight="1">
      <c r="A9" s="4686">
        <v>3</v>
      </c>
      <c r="B9" s="4687">
        <v>46274</v>
      </c>
      <c r="C9" s="4687">
        <v>46276</v>
      </c>
      <c r="D9" s="4672">
        <f t="shared" si="5"/>
        <v>2</v>
      </c>
      <c r="E9" s="4687">
        <v>46295</v>
      </c>
      <c r="F9" s="4698">
        <f t="shared" si="6"/>
        <v>20</v>
      </c>
      <c r="G9" s="4699">
        <v>46297</v>
      </c>
      <c r="H9" s="4672">
        <f t="shared" si="7"/>
        <v>1</v>
      </c>
      <c r="I9" s="4691" t="s">
        <v>5040</v>
      </c>
      <c r="J9" s="4692">
        <v>26</v>
      </c>
      <c r="K9" s="4693">
        <v>8</v>
      </c>
      <c r="L9" s="4692">
        <v>29900</v>
      </c>
      <c r="M9" s="4692">
        <v>32500</v>
      </c>
      <c r="N9" s="4971">
        <f t="shared" si="3"/>
        <v>260000</v>
      </c>
      <c r="O9" s="4692">
        <v>29900</v>
      </c>
      <c r="P9" s="4678">
        <f t="shared" si="8"/>
        <v>184</v>
      </c>
      <c r="Q9" s="4679">
        <f t="shared" si="4"/>
        <v>5917600</v>
      </c>
      <c r="R9" s="4692">
        <v>31</v>
      </c>
      <c r="S9" s="4680" t="s">
        <v>5742</v>
      </c>
      <c r="T9" s="4694">
        <v>31</v>
      </c>
      <c r="U9" s="4692">
        <v>1</v>
      </c>
      <c r="V9" s="4692">
        <v>140</v>
      </c>
      <c r="W9" s="4680" t="s">
        <v>4521</v>
      </c>
      <c r="X9" s="4695">
        <v>200</v>
      </c>
      <c r="Y9" s="4692">
        <v>1</v>
      </c>
      <c r="Z9" s="4675" t="s">
        <v>5740</v>
      </c>
      <c r="AA9" s="4683" t="s">
        <v>5035</v>
      </c>
      <c r="AB9" s="4675" t="s">
        <v>2830</v>
      </c>
      <c r="AC9" s="4683" t="s">
        <v>5050</v>
      </c>
      <c r="AD9" s="4675" t="s">
        <v>5741</v>
      </c>
      <c r="AE9" s="4696"/>
      <c r="AF9" s="4685">
        <f t="shared" si="9"/>
        <v>8</v>
      </c>
    </row>
    <row r="10" spans="1:32" ht="33.75" customHeight="1">
      <c r="A10" s="4686">
        <v>4</v>
      </c>
      <c r="B10" s="4687">
        <v>46274</v>
      </c>
      <c r="C10" s="4687">
        <v>46276</v>
      </c>
      <c r="D10" s="4672">
        <f t="shared" si="5"/>
        <v>2</v>
      </c>
      <c r="E10" s="4687">
        <v>46295</v>
      </c>
      <c r="F10" s="4698">
        <f t="shared" si="6"/>
        <v>20</v>
      </c>
      <c r="G10" s="4699">
        <v>46297</v>
      </c>
      <c r="H10" s="4672">
        <f t="shared" si="7"/>
        <v>1</v>
      </c>
      <c r="I10" s="4691" t="s">
        <v>5126</v>
      </c>
      <c r="J10" s="4692">
        <v>12</v>
      </c>
      <c r="K10" s="4693">
        <v>4</v>
      </c>
      <c r="L10" s="4692">
        <v>32200</v>
      </c>
      <c r="M10" s="4692">
        <v>37400</v>
      </c>
      <c r="N10" s="4971">
        <f t="shared" si="3"/>
        <v>149600</v>
      </c>
      <c r="O10" s="4692">
        <v>32200</v>
      </c>
      <c r="P10" s="4678">
        <f t="shared" si="8"/>
        <v>92</v>
      </c>
      <c r="Q10" s="4679">
        <f>(D10*L10+F10*M10+H10*O10)*K10</f>
        <v>3378400</v>
      </c>
      <c r="R10" s="4692">
        <v>48</v>
      </c>
      <c r="S10" s="4680" t="s">
        <v>5742</v>
      </c>
      <c r="T10" s="4694">
        <v>48</v>
      </c>
      <c r="U10" s="4692">
        <v>2</v>
      </c>
      <c r="V10" s="4692">
        <v>120</v>
      </c>
      <c r="W10" s="4680" t="s">
        <v>4521</v>
      </c>
      <c r="X10" s="4695">
        <v>200</v>
      </c>
      <c r="Y10" s="4692">
        <v>2</v>
      </c>
      <c r="Z10" s="4675" t="s">
        <v>5740</v>
      </c>
      <c r="AA10" s="4683" t="s">
        <v>5035</v>
      </c>
      <c r="AB10" s="4675" t="s">
        <v>2830</v>
      </c>
      <c r="AC10" s="4683" t="s">
        <v>5050</v>
      </c>
      <c r="AD10" s="4675" t="s">
        <v>5741</v>
      </c>
      <c r="AE10" s="4696"/>
      <c r="AF10" s="4685">
        <f t="shared" si="9"/>
        <v>8</v>
      </c>
    </row>
    <row r="11" spans="1:32" ht="33.75" customHeight="1">
      <c r="A11" s="4686">
        <v>5</v>
      </c>
      <c r="B11" s="4687"/>
      <c r="C11" s="4687"/>
      <c r="D11" s="4672" t="str">
        <f t="shared" si="0"/>
        <v>1</v>
      </c>
      <c r="E11" s="4687"/>
      <c r="F11" s="4698">
        <f t="shared" si="1"/>
        <v>2</v>
      </c>
      <c r="G11" s="4699"/>
      <c r="H11" s="4672">
        <f t="shared" si="2"/>
        <v>0</v>
      </c>
      <c r="I11" s="4691"/>
      <c r="J11" s="4692"/>
      <c r="K11" s="4693"/>
      <c r="L11" s="4692"/>
      <c r="M11" s="4692"/>
      <c r="N11" s="4971">
        <f t="shared" si="3"/>
        <v>0</v>
      </c>
      <c r="O11" s="4692"/>
      <c r="P11" s="4678">
        <f t="shared" si="8"/>
        <v>0</v>
      </c>
      <c r="Q11" s="4679">
        <f t="shared" si="4"/>
        <v>0</v>
      </c>
      <c r="R11" s="4692"/>
      <c r="S11" s="4680" t="s">
        <v>5742</v>
      </c>
      <c r="T11" s="4694"/>
      <c r="U11" s="4692"/>
      <c r="V11" s="4692"/>
      <c r="W11" s="4680" t="s">
        <v>4521</v>
      </c>
      <c r="X11" s="4695"/>
      <c r="Y11" s="4692"/>
      <c r="Z11" s="4692"/>
      <c r="AA11" s="4683" t="s">
        <v>5035</v>
      </c>
      <c r="AB11" s="4692"/>
      <c r="AC11" s="4683" t="s">
        <v>5050</v>
      </c>
      <c r="AD11" s="4692"/>
      <c r="AE11" s="4696"/>
      <c r="AF11" s="4685">
        <f t="shared" si="9"/>
        <v>0</v>
      </c>
    </row>
    <row r="12" spans="1:32" ht="33.75" customHeight="1">
      <c r="A12" s="4686">
        <v>6</v>
      </c>
      <c r="B12" s="4687"/>
      <c r="C12" s="4687"/>
      <c r="D12" s="4672" t="str">
        <f t="shared" si="0"/>
        <v>1</v>
      </c>
      <c r="E12" s="4687"/>
      <c r="F12" s="4698">
        <f t="shared" si="1"/>
        <v>2</v>
      </c>
      <c r="G12" s="4699"/>
      <c r="H12" s="4672">
        <f t="shared" si="2"/>
        <v>0</v>
      </c>
      <c r="I12" s="4691"/>
      <c r="J12" s="4692"/>
      <c r="K12" s="4693"/>
      <c r="L12" s="4692"/>
      <c r="M12" s="4692"/>
      <c r="N12" s="4971">
        <f t="shared" si="3"/>
        <v>0</v>
      </c>
      <c r="O12" s="4692"/>
      <c r="P12" s="4678">
        <f t="shared" si="8"/>
        <v>0</v>
      </c>
      <c r="Q12" s="4679">
        <f t="shared" si="4"/>
        <v>0</v>
      </c>
      <c r="R12" s="4692"/>
      <c r="S12" s="4680" t="s">
        <v>5742</v>
      </c>
      <c r="T12" s="4694"/>
      <c r="U12" s="4692"/>
      <c r="V12" s="4692"/>
      <c r="W12" s="4680" t="s">
        <v>4521</v>
      </c>
      <c r="X12" s="4695"/>
      <c r="Y12" s="4692"/>
      <c r="Z12" s="4692"/>
      <c r="AA12" s="4683" t="s">
        <v>5035</v>
      </c>
      <c r="AB12" s="4692"/>
      <c r="AC12" s="4683" t="s">
        <v>5050</v>
      </c>
      <c r="AD12" s="4692"/>
      <c r="AE12" s="4696"/>
      <c r="AF12" s="4685">
        <f t="shared" si="9"/>
        <v>0</v>
      </c>
    </row>
    <row r="13" spans="1:32" ht="33.75" customHeight="1">
      <c r="A13" s="4686">
        <v>7</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8"/>
        <v>0</v>
      </c>
      <c r="Q13" s="4679">
        <f t="shared" si="4"/>
        <v>0</v>
      </c>
      <c r="R13" s="4692"/>
      <c r="S13" s="4680" t="s">
        <v>5742</v>
      </c>
      <c r="T13" s="4694"/>
      <c r="U13" s="4692"/>
      <c r="V13" s="4692"/>
      <c r="W13" s="4680" t="s">
        <v>4521</v>
      </c>
      <c r="X13" s="4695"/>
      <c r="Y13" s="4692"/>
      <c r="Z13" s="4692"/>
      <c r="AA13" s="4683" t="s">
        <v>5035</v>
      </c>
      <c r="AB13" s="4692"/>
      <c r="AC13" s="4683" t="s">
        <v>5050</v>
      </c>
      <c r="AD13" s="4692"/>
      <c r="AE13" s="4696"/>
      <c r="AF13" s="4685">
        <f t="shared" si="9"/>
        <v>0</v>
      </c>
    </row>
    <row r="14" spans="1:32" ht="33.75" customHeight="1">
      <c r="A14" s="4686">
        <v>8</v>
      </c>
      <c r="B14" s="4687"/>
      <c r="C14" s="4687"/>
      <c r="D14" s="4672" t="str">
        <f t="shared" si="0"/>
        <v>1</v>
      </c>
      <c r="E14" s="4687"/>
      <c r="F14" s="4698">
        <f t="shared" si="1"/>
        <v>2</v>
      </c>
      <c r="G14" s="4699"/>
      <c r="H14" s="4672">
        <f t="shared" si="2"/>
        <v>0</v>
      </c>
      <c r="I14" s="4691"/>
      <c r="J14" s="4692"/>
      <c r="K14" s="4693"/>
      <c r="L14" s="4692"/>
      <c r="M14" s="4692"/>
      <c r="N14" s="4692"/>
      <c r="O14" s="4692"/>
      <c r="P14" s="4678">
        <f t="shared" si="8"/>
        <v>0</v>
      </c>
      <c r="Q14" s="4679">
        <f t="shared" si="4"/>
        <v>0</v>
      </c>
      <c r="R14" s="4692"/>
      <c r="S14" s="4680" t="s">
        <v>5742</v>
      </c>
      <c r="T14" s="4694"/>
      <c r="U14" s="4692"/>
      <c r="V14" s="4692"/>
      <c r="W14" s="4680" t="s">
        <v>4521</v>
      </c>
      <c r="X14" s="4695"/>
      <c r="Y14" s="4692"/>
      <c r="Z14" s="4692"/>
      <c r="AA14" s="4683" t="s">
        <v>5035</v>
      </c>
      <c r="AB14" s="4692"/>
      <c r="AC14" s="4683" t="s">
        <v>5050</v>
      </c>
      <c r="AD14" s="4692"/>
      <c r="AE14" s="4696"/>
      <c r="AF14" s="4685">
        <f t="shared" si="9"/>
        <v>0</v>
      </c>
    </row>
    <row r="15" spans="1:32" ht="33.75" customHeight="1">
      <c r="A15" s="4686">
        <v>9</v>
      </c>
      <c r="B15" s="4687"/>
      <c r="C15" s="4687"/>
      <c r="D15" s="4672" t="str">
        <f t="shared" si="0"/>
        <v>1</v>
      </c>
      <c r="E15" s="4687"/>
      <c r="F15" s="4698">
        <f t="shared" si="1"/>
        <v>2</v>
      </c>
      <c r="G15" s="4699"/>
      <c r="H15" s="4672">
        <f t="shared" si="2"/>
        <v>0</v>
      </c>
      <c r="I15" s="4691"/>
      <c r="J15" s="4692"/>
      <c r="K15" s="4693"/>
      <c r="L15" s="4692"/>
      <c r="M15" s="4692"/>
      <c r="N15" s="4692"/>
      <c r="O15" s="4692"/>
      <c r="P15" s="4678">
        <f t="shared" si="8"/>
        <v>0</v>
      </c>
      <c r="Q15" s="4679">
        <f t="shared" si="4"/>
        <v>0</v>
      </c>
      <c r="R15" s="4692"/>
      <c r="S15" s="4680" t="s">
        <v>5742</v>
      </c>
      <c r="T15" s="4694"/>
      <c r="U15" s="4692"/>
      <c r="V15" s="4692"/>
      <c r="W15" s="4680" t="s">
        <v>4521</v>
      </c>
      <c r="X15" s="4695"/>
      <c r="Y15" s="4692"/>
      <c r="Z15" s="4692"/>
      <c r="AA15" s="4683" t="s">
        <v>5035</v>
      </c>
      <c r="AB15" s="4692"/>
      <c r="AC15" s="4683" t="s">
        <v>5050</v>
      </c>
      <c r="AD15" s="4692"/>
      <c r="AE15" s="4696"/>
      <c r="AF15" s="4685">
        <f t="shared" si="9"/>
        <v>0</v>
      </c>
    </row>
    <row r="16" spans="1:32" ht="33.75" customHeight="1">
      <c r="A16" s="4686">
        <v>10</v>
      </c>
      <c r="B16" s="4687"/>
      <c r="C16" s="4687"/>
      <c r="D16" s="4672" t="str">
        <f t="shared" si="0"/>
        <v>1</v>
      </c>
      <c r="E16" s="4687"/>
      <c r="F16" s="4698">
        <f t="shared" si="1"/>
        <v>2</v>
      </c>
      <c r="G16" s="4699"/>
      <c r="H16" s="4672">
        <f t="shared" si="2"/>
        <v>0</v>
      </c>
      <c r="I16" s="4691"/>
      <c r="J16" s="4692"/>
      <c r="K16" s="4693"/>
      <c r="L16" s="4692"/>
      <c r="M16" s="4692"/>
      <c r="N16" s="4692"/>
      <c r="O16" s="4692"/>
      <c r="P16" s="4678">
        <f t="shared" si="8"/>
        <v>0</v>
      </c>
      <c r="Q16" s="4679">
        <f t="shared" si="4"/>
        <v>0</v>
      </c>
      <c r="R16" s="4692"/>
      <c r="S16" s="4680" t="s">
        <v>5742</v>
      </c>
      <c r="T16" s="4694"/>
      <c r="U16" s="4692"/>
      <c r="V16" s="4692"/>
      <c r="W16" s="4680" t="s">
        <v>4521</v>
      </c>
      <c r="X16" s="4695"/>
      <c r="Y16" s="4692"/>
      <c r="Z16" s="4692"/>
      <c r="AA16" s="4683" t="s">
        <v>5035</v>
      </c>
      <c r="AB16" s="4692"/>
      <c r="AC16" s="4683" t="s">
        <v>5050</v>
      </c>
      <c r="AD16" s="4692"/>
      <c r="AE16" s="4696"/>
      <c r="AF16" s="4685">
        <f t="shared" si="9"/>
        <v>0</v>
      </c>
    </row>
    <row r="17" spans="1:32" ht="33.75" customHeight="1">
      <c r="A17" s="4686">
        <v>11</v>
      </c>
      <c r="B17" s="4687"/>
      <c r="C17" s="4687"/>
      <c r="D17" s="4672" t="str">
        <f t="shared" si="0"/>
        <v>1</v>
      </c>
      <c r="E17" s="4687"/>
      <c r="F17" s="4698">
        <f t="shared" si="1"/>
        <v>2</v>
      </c>
      <c r="G17" s="4699"/>
      <c r="H17" s="4672">
        <f t="shared" si="2"/>
        <v>0</v>
      </c>
      <c r="I17" s="4691"/>
      <c r="J17" s="4692"/>
      <c r="K17" s="4693"/>
      <c r="L17" s="4692"/>
      <c r="M17" s="4692"/>
      <c r="N17" s="4692"/>
      <c r="O17" s="4692"/>
      <c r="P17" s="4678">
        <f t="shared" si="8"/>
        <v>0</v>
      </c>
      <c r="Q17" s="4679">
        <f t="shared" si="4"/>
        <v>0</v>
      </c>
      <c r="R17" s="4692"/>
      <c r="S17" s="4680" t="s">
        <v>5742</v>
      </c>
      <c r="T17" s="4694"/>
      <c r="U17" s="4692"/>
      <c r="V17" s="4692"/>
      <c r="W17" s="4680" t="s">
        <v>4521</v>
      </c>
      <c r="X17" s="4695"/>
      <c r="Y17" s="4692"/>
      <c r="Z17" s="4692"/>
      <c r="AA17" s="4683" t="s">
        <v>5035</v>
      </c>
      <c r="AB17" s="4692"/>
      <c r="AC17" s="4683" t="s">
        <v>5050</v>
      </c>
      <c r="AD17" s="4692"/>
      <c r="AE17" s="4696"/>
      <c r="AF17" s="4685">
        <f t="shared" si="9"/>
        <v>0</v>
      </c>
    </row>
    <row r="18" spans="1:32" ht="33.75" customHeight="1">
      <c r="A18" s="4686">
        <v>12</v>
      </c>
      <c r="B18" s="4687"/>
      <c r="C18" s="4687"/>
      <c r="D18" s="4672" t="str">
        <f t="shared" si="0"/>
        <v>1</v>
      </c>
      <c r="E18" s="4687"/>
      <c r="F18" s="4698">
        <f t="shared" si="1"/>
        <v>2</v>
      </c>
      <c r="G18" s="4699"/>
      <c r="H18" s="4672">
        <f t="shared" si="2"/>
        <v>0</v>
      </c>
      <c r="I18" s="4691"/>
      <c r="J18" s="4692"/>
      <c r="K18" s="4693"/>
      <c r="L18" s="4692"/>
      <c r="M18" s="4692"/>
      <c r="N18" s="4692"/>
      <c r="O18" s="4692"/>
      <c r="P18" s="4678">
        <f t="shared" si="8"/>
        <v>0</v>
      </c>
      <c r="Q18" s="4679">
        <f t="shared" si="4"/>
        <v>0</v>
      </c>
      <c r="R18" s="4692"/>
      <c r="S18" s="4680" t="s">
        <v>5742</v>
      </c>
      <c r="T18" s="4694"/>
      <c r="U18" s="4692"/>
      <c r="V18" s="4692"/>
      <c r="W18" s="4680" t="s">
        <v>4521</v>
      </c>
      <c r="X18" s="4695"/>
      <c r="Y18" s="4692"/>
      <c r="Z18" s="4692"/>
      <c r="AA18" s="4683" t="s">
        <v>5035</v>
      </c>
      <c r="AB18" s="4692"/>
      <c r="AC18" s="4683" t="s">
        <v>5050</v>
      </c>
      <c r="AD18" s="4692"/>
      <c r="AE18" s="4696"/>
      <c r="AF18" s="4685">
        <f t="shared" si="9"/>
        <v>0</v>
      </c>
    </row>
    <row r="19" spans="1:32" ht="33.75" customHeight="1">
      <c r="A19" s="4686">
        <v>13</v>
      </c>
      <c r="B19" s="4687"/>
      <c r="C19" s="4687"/>
      <c r="D19" s="4672" t="str">
        <f t="shared" si="0"/>
        <v>1</v>
      </c>
      <c r="E19" s="4687"/>
      <c r="F19" s="4698">
        <f t="shared" si="1"/>
        <v>2</v>
      </c>
      <c r="G19" s="4699"/>
      <c r="H19" s="4672">
        <f t="shared" si="2"/>
        <v>0</v>
      </c>
      <c r="I19" s="4691"/>
      <c r="J19" s="4692"/>
      <c r="K19" s="4693"/>
      <c r="L19" s="4692"/>
      <c r="M19" s="4692"/>
      <c r="N19" s="4692"/>
      <c r="O19" s="4692"/>
      <c r="P19" s="4678">
        <f>SUM(D19,F19,H19)*K19</f>
        <v>0</v>
      </c>
      <c r="Q19" s="4679">
        <f t="shared" si="4"/>
        <v>0</v>
      </c>
      <c r="R19" s="4692"/>
      <c r="S19" s="4680" t="s">
        <v>5742</v>
      </c>
      <c r="T19" s="4694"/>
      <c r="U19" s="4692"/>
      <c r="V19" s="4692"/>
      <c r="W19" s="4680" t="s">
        <v>4521</v>
      </c>
      <c r="X19" s="4695"/>
      <c r="Y19" s="4692"/>
      <c r="Z19" s="4692"/>
      <c r="AA19" s="4683" t="s">
        <v>5035</v>
      </c>
      <c r="AB19" s="4692"/>
      <c r="AC19" s="4683" t="s">
        <v>5050</v>
      </c>
      <c r="AD19" s="4692"/>
      <c r="AE19" s="4696"/>
      <c r="AF19" s="4685">
        <f t="shared" si="9"/>
        <v>0</v>
      </c>
    </row>
    <row r="20" spans="1:32" ht="33.75" customHeight="1">
      <c r="A20" s="4686">
        <v>14</v>
      </c>
      <c r="B20" s="4687"/>
      <c r="C20" s="4687"/>
      <c r="D20" s="4672" t="str">
        <f t="shared" si="0"/>
        <v>1</v>
      </c>
      <c r="E20" s="4687"/>
      <c r="F20" s="4698">
        <f t="shared" si="1"/>
        <v>2</v>
      </c>
      <c r="G20" s="4699"/>
      <c r="H20" s="4672">
        <f t="shared" si="2"/>
        <v>0</v>
      </c>
      <c r="I20" s="4691"/>
      <c r="J20" s="4692"/>
      <c r="K20" s="4693"/>
      <c r="L20" s="4692"/>
      <c r="M20" s="4692"/>
      <c r="N20" s="4692"/>
      <c r="O20" s="4692"/>
      <c r="P20" s="4678">
        <f t="shared" si="8"/>
        <v>0</v>
      </c>
      <c r="Q20" s="4679">
        <f t="shared" si="4"/>
        <v>0</v>
      </c>
      <c r="R20" s="4692"/>
      <c r="S20" s="4680" t="s">
        <v>5742</v>
      </c>
      <c r="T20" s="4694"/>
      <c r="U20" s="4692"/>
      <c r="V20" s="4692"/>
      <c r="W20" s="4680" t="s">
        <v>4521</v>
      </c>
      <c r="X20" s="4695"/>
      <c r="Y20" s="4692"/>
      <c r="Z20" s="4692"/>
      <c r="AA20" s="4683" t="s">
        <v>5035</v>
      </c>
      <c r="AB20" s="4692"/>
      <c r="AC20" s="4683" t="s">
        <v>5050</v>
      </c>
      <c r="AD20" s="4692"/>
      <c r="AE20" s="4696"/>
      <c r="AF20" s="4685">
        <f t="shared" si="9"/>
        <v>0</v>
      </c>
    </row>
    <row r="21" spans="1:32" ht="33.75" customHeight="1" thickBot="1">
      <c r="A21" s="4686">
        <v>15</v>
      </c>
      <c r="B21" s="4687"/>
      <c r="C21" s="4687"/>
      <c r="D21" s="4672" t="str">
        <f t="shared" si="0"/>
        <v>1</v>
      </c>
      <c r="E21" s="4687"/>
      <c r="F21" s="4698">
        <f t="shared" si="1"/>
        <v>2</v>
      </c>
      <c r="G21" s="4699"/>
      <c r="H21" s="4672">
        <f t="shared" si="2"/>
        <v>0</v>
      </c>
      <c r="I21" s="4691"/>
      <c r="J21" s="4692"/>
      <c r="K21" s="4693"/>
      <c r="L21" s="4692"/>
      <c r="M21" s="4692"/>
      <c r="N21" s="4692"/>
      <c r="O21" s="4692"/>
      <c r="P21" s="4678">
        <f t="shared" si="8"/>
        <v>0</v>
      </c>
      <c r="Q21" s="4679">
        <f t="shared" si="4"/>
        <v>0</v>
      </c>
      <c r="R21" s="4692"/>
      <c r="S21" s="4680" t="s">
        <v>5739</v>
      </c>
      <c r="T21" s="4694"/>
      <c r="U21" s="4692"/>
      <c r="V21" s="4692"/>
      <c r="W21" s="4680" t="s">
        <v>4521</v>
      </c>
      <c r="X21" s="4695"/>
      <c r="Y21" s="4692"/>
      <c r="Z21" s="4692"/>
      <c r="AA21" s="4683" t="s">
        <v>5035</v>
      </c>
      <c r="AB21" s="4692"/>
      <c r="AC21" s="4683" t="s">
        <v>5050</v>
      </c>
      <c r="AD21" s="4692"/>
      <c r="AE21" s="4696"/>
      <c r="AF21" s="4685">
        <f t="shared" si="9"/>
        <v>0</v>
      </c>
    </row>
    <row r="22" spans="1:32" ht="33.75" customHeight="1" thickTop="1" thickBot="1">
      <c r="A22" s="4701"/>
      <c r="B22" s="4702"/>
      <c r="C22" s="4702"/>
      <c r="D22" s="4702"/>
      <c r="E22" s="4702"/>
      <c r="F22" s="4703"/>
      <c r="G22" s="4704"/>
      <c r="H22" s="4702"/>
      <c r="I22" s="4705" t="s">
        <v>2432</v>
      </c>
      <c r="J22" s="4706">
        <f>SUM(J7:J21)</f>
        <v>237</v>
      </c>
      <c r="K22" s="4707">
        <f>SUM(K7:K21)</f>
        <v>84</v>
      </c>
      <c r="L22" s="4703"/>
      <c r="M22" s="4703"/>
      <c r="N22" s="4703"/>
      <c r="O22" s="4703"/>
      <c r="P22" s="4706">
        <f>SUM(P7:P21)</f>
        <v>1932</v>
      </c>
      <c r="Q22" s="4706">
        <f>SUM(Q7:Q21)</f>
        <v>62489600</v>
      </c>
      <c r="R22" s="6863"/>
      <c r="S22" s="6864"/>
      <c r="T22" s="6865"/>
      <c r="U22" s="4708"/>
      <c r="V22" s="6863"/>
      <c r="W22" s="6864"/>
      <c r="X22" s="6864"/>
      <c r="Y22" s="4708"/>
      <c r="Z22" s="4708"/>
      <c r="AA22" s="6866"/>
      <c r="AB22" s="6867"/>
      <c r="AC22" s="6866"/>
      <c r="AD22" s="6867"/>
      <c r="AE22" s="4709"/>
      <c r="AF22" s="4685">
        <f>SUM(AF7:AF21)</f>
        <v>160</v>
      </c>
    </row>
    <row r="23" spans="1:32" ht="33.75" customHeight="1" thickBot="1">
      <c r="C23" s="4710"/>
      <c r="D23" s="4710"/>
      <c r="E23" s="4710"/>
      <c r="F23" s="4710"/>
      <c r="G23" s="4710"/>
      <c r="H23" s="4710"/>
      <c r="I23" s="4711"/>
      <c r="J23" s="4712"/>
      <c r="K23" s="4710"/>
      <c r="L23" s="4713" t="s">
        <v>5748</v>
      </c>
      <c r="M23" s="4714">
        <f>SUM(N7:N21)</f>
        <v>2771200</v>
      </c>
      <c r="N23" s="4715"/>
      <c r="O23" s="4715"/>
      <c r="P23" s="4715"/>
      <c r="S23" s="4656"/>
      <c r="W23" s="4656"/>
    </row>
    <row r="24" spans="1:32" ht="33.75" customHeight="1">
      <c r="A24" s="6845" t="s">
        <v>5749</v>
      </c>
      <c r="B24" s="6846"/>
      <c r="C24" s="4716">
        <f>P22</f>
        <v>1932</v>
      </c>
      <c r="D24" s="4717"/>
      <c r="F24" s="4718"/>
      <c r="H24" s="4719"/>
      <c r="I24" s="4720"/>
      <c r="K24" s="4659"/>
      <c r="L24" s="4721" t="s">
        <v>5750</v>
      </c>
      <c r="M24" s="4722">
        <f>M23*1.1</f>
        <v>3048320.0000000005</v>
      </c>
      <c r="P24" s="4656"/>
    </row>
    <row r="25" spans="1:32" ht="33.75" customHeight="1">
      <c r="A25" s="6847" t="s">
        <v>5883</v>
      </c>
      <c r="B25" s="6848"/>
      <c r="C25" s="4723">
        <f>Q22</f>
        <v>62489600</v>
      </c>
      <c r="D25" s="4717"/>
      <c r="F25" s="4724"/>
      <c r="H25" s="4719"/>
      <c r="I25" s="4720"/>
      <c r="K25" s="4659"/>
      <c r="P25" s="4656"/>
    </row>
    <row r="26" spans="1:32" ht="33.75" customHeight="1" thickBot="1">
      <c r="A26" s="6913" t="s">
        <v>5751</v>
      </c>
      <c r="B26" s="6914"/>
      <c r="C26" s="4987">
        <f>ROUNDDOWN(C25*1.1,0)</f>
        <v>68738560</v>
      </c>
      <c r="D26" s="4719"/>
      <c r="F26" s="4724"/>
      <c r="H26" s="4719"/>
      <c r="I26" s="4720"/>
      <c r="K26" s="4659"/>
      <c r="P26" s="4656"/>
    </row>
    <row r="27" spans="1:32" ht="32.15" customHeight="1">
      <c r="A27" s="4726"/>
      <c r="B27" s="4726"/>
      <c r="C27" s="4726"/>
      <c r="D27" s="4726"/>
      <c r="E27" s="4726"/>
      <c r="F27" s="4726"/>
      <c r="G27" s="4726"/>
      <c r="H27" s="4726"/>
      <c r="I27" s="4727"/>
    </row>
    <row r="28" spans="1:32" ht="33.75" customHeight="1">
      <c r="A28" s="4728" t="s">
        <v>5752</v>
      </c>
      <c r="B28" s="4728"/>
      <c r="C28" s="4729"/>
      <c r="D28" s="4729"/>
      <c r="E28" s="4729"/>
      <c r="F28" s="4729"/>
      <c r="G28" s="4726"/>
      <c r="H28" s="4729"/>
      <c r="I28" s="4720"/>
      <c r="P28" s="4656"/>
    </row>
    <row r="29" spans="1:32" ht="36" customHeight="1">
      <c r="A29" s="4728" t="s">
        <v>5753</v>
      </c>
      <c r="B29" s="4728"/>
    </row>
    <row r="30" spans="1:32" ht="36" customHeight="1">
      <c r="A30" s="4730" t="s">
        <v>5754</v>
      </c>
      <c r="B30" s="4730"/>
    </row>
    <row r="31" spans="1:32" ht="36" customHeight="1">
      <c r="A31" s="4728"/>
      <c r="B31" s="4728"/>
    </row>
    <row r="32" spans="1:32" ht="36" customHeight="1"/>
    <row r="33" ht="36" customHeight="1"/>
    <row r="34" ht="36" customHeight="1"/>
    <row r="35" ht="36" customHeight="1"/>
    <row r="36" ht="36" customHeight="1"/>
    <row r="37" ht="36" customHeight="1"/>
    <row r="38" ht="36" customHeight="1"/>
    <row r="39" ht="10.4" customHeight="1"/>
  </sheetData>
  <mergeCells count="32">
    <mergeCell ref="A2:B2"/>
    <mergeCell ref="C2:G2"/>
    <mergeCell ref="A5:A6"/>
    <mergeCell ref="B5:B6"/>
    <mergeCell ref="C5:C6"/>
    <mergeCell ref="D5:D6"/>
    <mergeCell ref="E5:E6"/>
    <mergeCell ref="F5:F6"/>
    <mergeCell ref="G5:G6"/>
    <mergeCell ref="AE5:AE6"/>
    <mergeCell ref="AF5:AF6"/>
    <mergeCell ref="R22:T22"/>
    <mergeCell ref="V22:X22"/>
    <mergeCell ref="AA22:AB22"/>
    <mergeCell ref="AC22:AD22"/>
    <mergeCell ref="R5:T6"/>
    <mergeCell ref="U5:U6"/>
    <mergeCell ref="V5:X6"/>
    <mergeCell ref="Y5:Y6"/>
    <mergeCell ref="A24:B24"/>
    <mergeCell ref="A25:B25"/>
    <mergeCell ref="A26:B26"/>
    <mergeCell ref="Z5:Z6"/>
    <mergeCell ref="AA5:AD6"/>
    <mergeCell ref="O5:O6"/>
    <mergeCell ref="P5:Q5"/>
    <mergeCell ref="H5:H6"/>
    <mergeCell ref="I5:I6"/>
    <mergeCell ref="J5:J6"/>
    <mergeCell ref="K5:K6"/>
    <mergeCell ref="L5:L6"/>
    <mergeCell ref="M5:M6"/>
  </mergeCells>
  <phoneticPr fontId="2"/>
  <conditionalFormatting sqref="B7:O21">
    <cfRule type="containsBlanks" dxfId="230" priority="1">
      <formula>LEN(TRIM(B7))=0</formula>
    </cfRule>
  </conditionalFormatting>
  <conditionalFormatting sqref="C2:D2">
    <cfRule type="containsBlanks" dxfId="229" priority="2">
      <formula>LEN(TRIM(C2))=0</formula>
    </cfRule>
  </conditionalFormatting>
  <conditionalFormatting sqref="Q7:R21 T7:V21 X7:Z21 AB7:AB21 AD7:AE21">
    <cfRule type="containsBlanks" dxfId="228" priority="3">
      <formula>LEN(TRIM(Q7))=0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B7AF-521D-42A2-A878-86EE0EF1AFEC}">
  <sheetPr codeName="Sheet381">
    <tabColor rgb="FFFFFF66"/>
    <pageSetUpPr fitToPage="1"/>
  </sheetPr>
  <dimension ref="A1:AE33"/>
  <sheetViews>
    <sheetView zoomScale="70" zoomScaleNormal="70" workbookViewId="0">
      <selection activeCell="D10" sqref="D10"/>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5573"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21.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'[31]別紙1-1）客室提供条件'!C2</f>
        <v>ホテルアゴーラリージェンシー大阪堺</v>
      </c>
      <c r="D2" s="6876"/>
      <c r="E2" s="6876"/>
      <c r="F2" s="6876"/>
      <c r="G2" s="6876"/>
      <c r="H2" s="4661" t="s">
        <v>5709</v>
      </c>
      <c r="I2" s="5894" t="s">
        <v>6379</v>
      </c>
      <c r="J2" s="5574"/>
      <c r="K2" s="5574"/>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5574"/>
      <c r="K3" s="5574"/>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7010" t="s">
        <v>5765</v>
      </c>
      <c r="K5" s="7012" t="s">
        <v>5766</v>
      </c>
      <c r="L5" s="7012" t="s">
        <v>5767</v>
      </c>
      <c r="M5" s="7012"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7011"/>
      <c r="K6" s="7013"/>
      <c r="L6" s="7013"/>
      <c r="M6" s="7013"/>
      <c r="N6" s="6883"/>
      <c r="O6" s="6885"/>
      <c r="P6" s="4739" t="s">
        <v>5773</v>
      </c>
      <c r="Q6" s="4740" t="s">
        <v>5774</v>
      </c>
      <c r="R6" s="4740" t="s">
        <v>5775</v>
      </c>
      <c r="S6" s="4741" t="s">
        <v>5776</v>
      </c>
      <c r="T6" s="4740" t="s">
        <v>5777</v>
      </c>
      <c r="U6" s="4742" t="s">
        <v>5778</v>
      </c>
    </row>
    <row r="7" spans="1:31" s="4666" customFormat="1" ht="33.75" customHeight="1">
      <c r="A7" s="4758">
        <v>1</v>
      </c>
      <c r="B7" s="4687">
        <v>46273</v>
      </c>
      <c r="C7" s="4816">
        <v>46296</v>
      </c>
      <c r="D7" s="4759">
        <v>0</v>
      </c>
      <c r="E7" s="4759">
        <v>1</v>
      </c>
      <c r="F7" s="4760">
        <f t="shared" ref="F7:F16" si="0">IF(OR(ISBLANK($B7), ISBLANK($C7)), 0, _xlfn.DAYS($C7, $B7) + 1)</f>
        <v>24</v>
      </c>
      <c r="G7" s="4761" t="s">
        <v>6380</v>
      </c>
      <c r="H7" s="4762">
        <v>3</v>
      </c>
      <c r="I7" s="4763" t="s">
        <v>5190</v>
      </c>
      <c r="J7" s="5575">
        <v>14.5</v>
      </c>
      <c r="K7" s="5576">
        <v>21</v>
      </c>
      <c r="L7" s="5576">
        <v>303</v>
      </c>
      <c r="M7" s="5576">
        <v>3.5</v>
      </c>
      <c r="N7" s="4762">
        <v>1163800</v>
      </c>
      <c r="O7" s="4766">
        <f>F7*N7</f>
        <v>27931200</v>
      </c>
      <c r="P7" s="4857" t="s">
        <v>3804</v>
      </c>
      <c r="Q7" s="4858">
        <v>1</v>
      </c>
      <c r="R7" s="4976" t="s">
        <v>6381</v>
      </c>
      <c r="S7" s="4858"/>
      <c r="T7" s="4859" t="s">
        <v>6151</v>
      </c>
      <c r="U7" s="4860" t="s">
        <v>6302</v>
      </c>
    </row>
    <row r="8" spans="1:31" ht="33.75" customHeight="1">
      <c r="A8" s="4758">
        <v>2</v>
      </c>
      <c r="B8" s="4816">
        <v>46297</v>
      </c>
      <c r="C8" s="4816">
        <v>46297</v>
      </c>
      <c r="D8" s="4759">
        <v>0</v>
      </c>
      <c r="E8" s="4759">
        <v>0.5</v>
      </c>
      <c r="F8" s="4760">
        <f t="shared" si="0"/>
        <v>1</v>
      </c>
      <c r="G8" s="4761" t="s">
        <v>6380</v>
      </c>
      <c r="H8" s="4762">
        <v>3</v>
      </c>
      <c r="I8" s="4763" t="s">
        <v>5190</v>
      </c>
      <c r="J8" s="5575">
        <v>14.5</v>
      </c>
      <c r="K8" s="5576">
        <v>21</v>
      </c>
      <c r="L8" s="5576">
        <v>303</v>
      </c>
      <c r="M8" s="5576">
        <v>3.5</v>
      </c>
      <c r="N8" s="4762">
        <v>607200</v>
      </c>
      <c r="O8" s="4766">
        <f t="shared" ref="O8:O16" si="1">F8*N8</f>
        <v>607200</v>
      </c>
      <c r="P8" s="4857" t="s">
        <v>2688</v>
      </c>
      <c r="Q8" s="4858">
        <v>1</v>
      </c>
      <c r="R8" s="4976" t="s">
        <v>6381</v>
      </c>
      <c r="S8" s="4858"/>
      <c r="T8" s="4859" t="s">
        <v>6151</v>
      </c>
      <c r="U8" s="4860" t="s">
        <v>6302</v>
      </c>
      <c r="AC8" s="4657"/>
    </row>
    <row r="9" spans="1:31" ht="33.75" customHeight="1">
      <c r="A9" s="4758">
        <v>3</v>
      </c>
      <c r="B9" s="4687">
        <v>46273</v>
      </c>
      <c r="C9" s="4816">
        <v>46296</v>
      </c>
      <c r="D9" s="4759">
        <v>0</v>
      </c>
      <c r="E9" s="4759">
        <v>1</v>
      </c>
      <c r="F9" s="4770">
        <f t="shared" si="0"/>
        <v>24</v>
      </c>
      <c r="G9" s="4761" t="s">
        <v>6382</v>
      </c>
      <c r="H9" s="4762">
        <v>3</v>
      </c>
      <c r="I9" s="4763" t="s">
        <v>5190</v>
      </c>
      <c r="J9" s="5575">
        <v>30</v>
      </c>
      <c r="K9" s="5576">
        <v>21</v>
      </c>
      <c r="L9" s="5576">
        <v>627</v>
      </c>
      <c r="M9" s="5576">
        <v>3.5</v>
      </c>
      <c r="N9" s="4762">
        <v>2277000</v>
      </c>
      <c r="O9" s="4766">
        <f t="shared" si="1"/>
        <v>54648000</v>
      </c>
      <c r="P9" s="5492" t="s">
        <v>6151</v>
      </c>
      <c r="Q9" s="4858">
        <v>2</v>
      </c>
      <c r="R9" s="4976" t="s">
        <v>6381</v>
      </c>
      <c r="S9" s="4858"/>
      <c r="T9" s="4859" t="s">
        <v>6151</v>
      </c>
      <c r="U9" s="4860" t="s">
        <v>6302</v>
      </c>
      <c r="AC9" s="4657"/>
    </row>
    <row r="10" spans="1:31" ht="33.75" customHeight="1">
      <c r="A10" s="4758">
        <v>4</v>
      </c>
      <c r="B10" s="4816">
        <v>46297</v>
      </c>
      <c r="C10" s="4816">
        <v>46297</v>
      </c>
      <c r="D10" s="4759">
        <v>0</v>
      </c>
      <c r="E10" s="4759">
        <v>0.5</v>
      </c>
      <c r="F10" s="4760">
        <f t="shared" si="0"/>
        <v>1</v>
      </c>
      <c r="G10" s="4761" t="s">
        <v>6382</v>
      </c>
      <c r="H10" s="4762">
        <v>3</v>
      </c>
      <c r="I10" s="4763" t="s">
        <v>5190</v>
      </c>
      <c r="J10" s="5575">
        <v>30</v>
      </c>
      <c r="K10" s="5576">
        <v>21</v>
      </c>
      <c r="L10" s="5576">
        <v>627</v>
      </c>
      <c r="M10" s="5576">
        <v>3.5</v>
      </c>
      <c r="N10" s="4762">
        <v>1138500</v>
      </c>
      <c r="O10" s="4766">
        <f t="shared" si="1"/>
        <v>1138500</v>
      </c>
      <c r="P10" s="5492" t="s">
        <v>6151</v>
      </c>
      <c r="Q10" s="4858">
        <v>2</v>
      </c>
      <c r="R10" s="4976" t="s">
        <v>6381</v>
      </c>
      <c r="S10" s="4858"/>
      <c r="T10" s="4859" t="s">
        <v>6151</v>
      </c>
      <c r="U10" s="4860" t="s">
        <v>6302</v>
      </c>
      <c r="AC10" s="4657"/>
    </row>
    <row r="11" spans="1:31" ht="33.75" customHeight="1">
      <c r="A11" s="4758">
        <v>5</v>
      </c>
      <c r="B11" s="4687">
        <v>46273</v>
      </c>
      <c r="C11" s="4816">
        <v>46296</v>
      </c>
      <c r="D11" s="4759">
        <v>0</v>
      </c>
      <c r="E11" s="4759">
        <v>1</v>
      </c>
      <c r="F11" s="4760">
        <f t="shared" si="0"/>
        <v>24</v>
      </c>
      <c r="G11" s="4771" t="s">
        <v>6383</v>
      </c>
      <c r="H11" s="4762">
        <v>3</v>
      </c>
      <c r="I11" s="4763" t="s">
        <v>5190</v>
      </c>
      <c r="J11" s="5575">
        <v>10</v>
      </c>
      <c r="K11" s="5576">
        <v>11</v>
      </c>
      <c r="L11" s="5576">
        <v>110</v>
      </c>
      <c r="M11" s="5576">
        <v>3</v>
      </c>
      <c r="N11" s="4762">
        <v>354200</v>
      </c>
      <c r="O11" s="4766">
        <f t="shared" si="1"/>
        <v>8500800</v>
      </c>
      <c r="P11" s="4857" t="s">
        <v>2688</v>
      </c>
      <c r="Q11" s="4858">
        <v>1</v>
      </c>
      <c r="R11" s="4976" t="s">
        <v>6381</v>
      </c>
      <c r="S11" s="4858"/>
      <c r="T11" s="4859" t="s">
        <v>6151</v>
      </c>
      <c r="U11" s="4860" t="s">
        <v>6302</v>
      </c>
      <c r="AC11" s="4657"/>
    </row>
    <row r="12" spans="1:31" ht="33.75" customHeight="1">
      <c r="A12" s="4758">
        <v>6</v>
      </c>
      <c r="B12" s="4816">
        <v>46297</v>
      </c>
      <c r="C12" s="4816">
        <v>46297</v>
      </c>
      <c r="D12" s="4759">
        <v>0</v>
      </c>
      <c r="E12" s="4759">
        <v>0.5</v>
      </c>
      <c r="F12" s="4760">
        <f t="shared" si="0"/>
        <v>1</v>
      </c>
      <c r="G12" s="4771" t="s">
        <v>6383</v>
      </c>
      <c r="H12" s="4762">
        <v>3</v>
      </c>
      <c r="I12" s="4763" t="s">
        <v>5190</v>
      </c>
      <c r="J12" s="5575">
        <v>10</v>
      </c>
      <c r="K12" s="5576">
        <v>11</v>
      </c>
      <c r="L12" s="5576">
        <v>110</v>
      </c>
      <c r="M12" s="5576">
        <v>3</v>
      </c>
      <c r="N12" s="4762">
        <v>202399.99999999997</v>
      </c>
      <c r="O12" s="4766">
        <f t="shared" si="1"/>
        <v>202399.99999999997</v>
      </c>
      <c r="P12" s="4857" t="s">
        <v>2688</v>
      </c>
      <c r="Q12" s="4858">
        <v>1</v>
      </c>
      <c r="R12" s="4976" t="s">
        <v>6381</v>
      </c>
      <c r="S12" s="4858"/>
      <c r="T12" s="4859" t="s">
        <v>6151</v>
      </c>
      <c r="U12" s="4860" t="s">
        <v>6302</v>
      </c>
      <c r="AC12" s="4657"/>
    </row>
    <row r="13" spans="1:31" ht="33.75" customHeight="1">
      <c r="A13" s="4758">
        <v>7</v>
      </c>
      <c r="B13" s="4687">
        <v>46273</v>
      </c>
      <c r="C13" s="4816">
        <v>46296</v>
      </c>
      <c r="D13" s="4759">
        <v>0</v>
      </c>
      <c r="E13" s="4759">
        <v>1</v>
      </c>
      <c r="F13" s="4760">
        <f t="shared" si="0"/>
        <v>24</v>
      </c>
      <c r="G13" s="4771" t="s">
        <v>6384</v>
      </c>
      <c r="H13" s="4762">
        <v>3</v>
      </c>
      <c r="I13" s="4763" t="s">
        <v>5190</v>
      </c>
      <c r="J13" s="5575">
        <v>7.5</v>
      </c>
      <c r="K13" s="5576">
        <v>11</v>
      </c>
      <c r="L13" s="5576">
        <v>88</v>
      </c>
      <c r="M13" s="5576">
        <v>3</v>
      </c>
      <c r="N13" s="4762">
        <v>354200</v>
      </c>
      <c r="O13" s="4766">
        <f t="shared" si="1"/>
        <v>8500800</v>
      </c>
      <c r="P13" s="4857" t="s">
        <v>2688</v>
      </c>
      <c r="Q13" s="4858">
        <v>1</v>
      </c>
      <c r="R13" s="4976" t="s">
        <v>6381</v>
      </c>
      <c r="S13" s="4858"/>
      <c r="T13" s="4859" t="s">
        <v>6151</v>
      </c>
      <c r="U13" s="4860" t="s">
        <v>6302</v>
      </c>
      <c r="AC13" s="4657"/>
    </row>
    <row r="14" spans="1:31" ht="33.75" customHeight="1">
      <c r="A14" s="4758">
        <v>8</v>
      </c>
      <c r="B14" s="4816">
        <v>46297</v>
      </c>
      <c r="C14" s="4816">
        <v>46297</v>
      </c>
      <c r="D14" s="4759">
        <v>0</v>
      </c>
      <c r="E14" s="4759">
        <v>0.5</v>
      </c>
      <c r="F14" s="4760">
        <f t="shared" si="0"/>
        <v>1</v>
      </c>
      <c r="G14" s="4771" t="s">
        <v>6384</v>
      </c>
      <c r="H14" s="4762">
        <v>3</v>
      </c>
      <c r="I14" s="4763" t="s">
        <v>5190</v>
      </c>
      <c r="J14" s="5575">
        <v>7.5</v>
      </c>
      <c r="K14" s="5576">
        <v>11</v>
      </c>
      <c r="L14" s="5576">
        <v>88</v>
      </c>
      <c r="M14" s="5576">
        <v>3</v>
      </c>
      <c r="N14" s="4762">
        <v>202399.99999999997</v>
      </c>
      <c r="O14" s="4766">
        <f t="shared" si="1"/>
        <v>202399.99999999997</v>
      </c>
      <c r="P14" s="4918" t="s">
        <v>2688</v>
      </c>
      <c r="Q14" s="4919">
        <v>1</v>
      </c>
      <c r="R14" s="4976" t="s">
        <v>6381</v>
      </c>
      <c r="S14" s="4919"/>
      <c r="T14" s="4920" t="s">
        <v>6151</v>
      </c>
      <c r="U14" s="4921" t="s">
        <v>6302</v>
      </c>
      <c r="AC14" s="4657"/>
    </row>
    <row r="15" spans="1:31" ht="33.75" customHeight="1">
      <c r="A15" s="4758">
        <v>9</v>
      </c>
      <c r="B15" s="4687">
        <v>46273</v>
      </c>
      <c r="C15" s="4816">
        <v>46296</v>
      </c>
      <c r="D15" s="4759">
        <v>0</v>
      </c>
      <c r="E15" s="4759">
        <v>1</v>
      </c>
      <c r="F15" s="4760">
        <f t="shared" si="0"/>
        <v>24</v>
      </c>
      <c r="G15" s="5077" t="s">
        <v>6385</v>
      </c>
      <c r="H15" s="4762">
        <v>3</v>
      </c>
      <c r="I15" s="4763" t="s">
        <v>5190</v>
      </c>
      <c r="J15" s="5575">
        <v>8</v>
      </c>
      <c r="K15" s="5576">
        <v>11</v>
      </c>
      <c r="L15" s="5576">
        <v>88</v>
      </c>
      <c r="M15" s="5576">
        <v>3</v>
      </c>
      <c r="N15" s="4762">
        <v>354200</v>
      </c>
      <c r="O15" s="4766">
        <f t="shared" si="1"/>
        <v>8500800</v>
      </c>
      <c r="P15" s="4918" t="s">
        <v>2688</v>
      </c>
      <c r="Q15" s="4919">
        <v>1</v>
      </c>
      <c r="R15" s="4976" t="s">
        <v>6381</v>
      </c>
      <c r="S15" s="4919"/>
      <c r="T15" s="4920" t="s">
        <v>6151</v>
      </c>
      <c r="U15" s="4921" t="s">
        <v>6302</v>
      </c>
      <c r="AC15" s="4657"/>
    </row>
    <row r="16" spans="1:31" ht="33.75" customHeight="1" thickBot="1">
      <c r="A16" s="4758">
        <v>10</v>
      </c>
      <c r="B16" s="4816">
        <v>46297</v>
      </c>
      <c r="C16" s="4816">
        <v>46297</v>
      </c>
      <c r="D16" s="4759">
        <v>0</v>
      </c>
      <c r="E16" s="4759">
        <v>0.5</v>
      </c>
      <c r="F16" s="4760">
        <f t="shared" si="0"/>
        <v>1</v>
      </c>
      <c r="G16" s="5077" t="s">
        <v>6385</v>
      </c>
      <c r="H16" s="4762">
        <v>3</v>
      </c>
      <c r="I16" s="4763" t="s">
        <v>5190</v>
      </c>
      <c r="J16" s="5575">
        <v>8</v>
      </c>
      <c r="K16" s="5576">
        <v>11</v>
      </c>
      <c r="L16" s="5576">
        <v>88</v>
      </c>
      <c r="M16" s="5576">
        <v>3</v>
      </c>
      <c r="N16" s="4762">
        <v>202399.99999999997</v>
      </c>
      <c r="O16" s="4766">
        <f t="shared" si="1"/>
        <v>202399.99999999997</v>
      </c>
      <c r="P16" s="4918" t="s">
        <v>2688</v>
      </c>
      <c r="Q16" s="4919">
        <v>1</v>
      </c>
      <c r="R16" s="4976" t="s">
        <v>6381</v>
      </c>
      <c r="S16" s="4919"/>
      <c r="T16" s="4920" t="s">
        <v>6151</v>
      </c>
      <c r="U16" s="4921" t="s">
        <v>6302</v>
      </c>
      <c r="AC16" s="4657"/>
    </row>
    <row r="17" spans="1:31" ht="33.75" customHeight="1" thickTop="1" thickBot="1">
      <c r="A17" s="4778" t="s">
        <v>5845</v>
      </c>
      <c r="B17" s="4779"/>
      <c r="C17" s="4779"/>
      <c r="D17" s="4779"/>
      <c r="E17" s="4779"/>
      <c r="F17" s="4780">
        <f>SUM(F7:F16)</f>
        <v>125</v>
      </c>
      <c r="G17" s="5577"/>
      <c r="H17" s="4781"/>
      <c r="I17" s="4782">
        <f>COUNTA(G7,G9,G11,G13,G15)</f>
        <v>5</v>
      </c>
      <c r="J17" s="5578"/>
      <c r="K17" s="5579"/>
      <c r="L17" s="5579"/>
      <c r="M17" s="5579"/>
      <c r="N17" s="4785"/>
      <c r="O17" s="4922">
        <f>SUM(O7:O16)</f>
        <v>110434500</v>
      </c>
      <c r="P17" s="4787"/>
      <c r="Q17" s="4787"/>
      <c r="R17" s="4788"/>
      <c r="S17" s="4789"/>
      <c r="T17" s="4788"/>
      <c r="U17" s="4790"/>
      <c r="AC17" s="4657"/>
    </row>
    <row r="18" spans="1:31" ht="33.75" customHeight="1" thickBot="1">
      <c r="A18" s="4876" t="s">
        <v>5792</v>
      </c>
      <c r="B18" s="4877"/>
      <c r="C18" s="4878"/>
      <c r="D18" s="4878"/>
      <c r="E18" s="4878"/>
      <c r="F18" s="4879"/>
      <c r="G18" s="4878"/>
      <c r="H18" s="4880"/>
      <c r="I18" s="4878"/>
      <c r="J18" s="5580"/>
      <c r="K18" s="5580"/>
      <c r="L18" s="5580"/>
      <c r="M18" s="5580"/>
      <c r="N18" s="4882"/>
      <c r="O18" s="4923">
        <f>O17*1.1</f>
        <v>121477950.00000001</v>
      </c>
      <c r="P18" s="4884"/>
      <c r="Q18" s="4885"/>
      <c r="R18" s="4886"/>
      <c r="S18" s="4887"/>
      <c r="T18" s="4886"/>
      <c r="U18" s="4888"/>
      <c r="AC18" s="4657"/>
    </row>
    <row r="19" spans="1:31" ht="33.75" customHeight="1">
      <c r="A19" s="4656"/>
      <c r="B19" s="4660"/>
      <c r="C19" s="4660"/>
      <c r="D19" s="4660"/>
      <c r="G19" s="4660"/>
      <c r="H19" s="4660"/>
      <c r="M19" s="4808" t="s">
        <v>5748</v>
      </c>
      <c r="N19" s="4809">
        <f>SUM(N7,N9,N11,N13,N15)</f>
        <v>4503400</v>
      </c>
      <c r="O19" s="4656"/>
      <c r="P19" s="4657"/>
      <c r="Q19" s="4657"/>
      <c r="AC19" s="4657"/>
    </row>
    <row r="20" spans="1:31" ht="32.15" customHeight="1">
      <c r="A20" s="4656"/>
      <c r="B20" s="4660"/>
      <c r="C20" s="4660"/>
      <c r="D20" s="4660"/>
      <c r="G20" s="4660"/>
      <c r="H20" s="4660"/>
      <c r="M20" s="4808" t="s">
        <v>5750</v>
      </c>
      <c r="N20" s="4809">
        <f>N19*1.1</f>
        <v>4953740</v>
      </c>
      <c r="O20" s="4656"/>
      <c r="P20" s="4657"/>
      <c r="Q20" s="4657"/>
      <c r="AC20" s="4657"/>
    </row>
    <row r="21" spans="1:31" ht="32.15" customHeight="1">
      <c r="B21" s="4657"/>
      <c r="C21" s="4657"/>
      <c r="D21" s="4657"/>
      <c r="E21" s="4810"/>
      <c r="F21" s="4811"/>
      <c r="G21" s="4657"/>
      <c r="H21" s="4657"/>
      <c r="O21" s="4656"/>
      <c r="P21" s="4657"/>
      <c r="Q21" s="4657"/>
      <c r="AC21" s="4657"/>
    </row>
    <row r="22" spans="1:31" ht="32.15" customHeight="1">
      <c r="A22" s="4812"/>
      <c r="B22" s="4813"/>
      <c r="C22" s="4813"/>
      <c r="D22" s="4813"/>
      <c r="E22" s="4814"/>
      <c r="F22" s="4814"/>
      <c r="G22" s="4813"/>
      <c r="H22" s="4813"/>
      <c r="I22" s="4812"/>
      <c r="J22" s="5581"/>
      <c r="K22" s="5581"/>
      <c r="L22" s="5581"/>
      <c r="M22" s="5581"/>
      <c r="N22" s="4812"/>
      <c r="O22" s="4715"/>
      <c r="P22" s="4715"/>
      <c r="Q22" s="4715"/>
      <c r="R22" s="4656"/>
      <c r="S22" s="4812"/>
      <c r="T22" s="4656"/>
      <c r="U22" s="4812"/>
      <c r="W22" s="6905"/>
      <c r="X22" s="6905"/>
      <c r="Y22" s="6905"/>
      <c r="Z22" s="6905"/>
      <c r="AA22" s="6905"/>
      <c r="AB22" s="6891"/>
      <c r="AC22" s="6891"/>
      <c r="AD22" s="6891"/>
      <c r="AE22" s="6891"/>
    </row>
    <row r="23" spans="1:31" ht="36" customHeight="1"/>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10.4" customHeight="1">
      <c r="B33" s="4657"/>
      <c r="C33" s="4657"/>
      <c r="D33" s="4657"/>
      <c r="G33" s="4657"/>
      <c r="H33" s="4657"/>
      <c r="O33" s="4656"/>
      <c r="P33" s="4657"/>
      <c r="Q33" s="4657"/>
      <c r="AC33" s="4657"/>
    </row>
  </sheetData>
  <mergeCells count="21">
    <mergeCell ref="A2:B2"/>
    <mergeCell ref="C2:G2"/>
    <mergeCell ref="A5:A6"/>
    <mergeCell ref="B5:B6"/>
    <mergeCell ref="C5:C6"/>
    <mergeCell ref="D5:D6"/>
    <mergeCell ref="E5:E6"/>
    <mergeCell ref="F5:F6"/>
    <mergeCell ref="G5:G6"/>
    <mergeCell ref="AB22:AE22"/>
    <mergeCell ref="H5:H6"/>
    <mergeCell ref="I5:I6"/>
    <mergeCell ref="J5:J6"/>
    <mergeCell ref="K5:K6"/>
    <mergeCell ref="L5:L6"/>
    <mergeCell ref="M5:M6"/>
    <mergeCell ref="N5:N6"/>
    <mergeCell ref="O5:O6"/>
    <mergeCell ref="P5:Q5"/>
    <mergeCell ref="R5:U5"/>
    <mergeCell ref="W22:AA22"/>
  </mergeCells>
  <phoneticPr fontId="2"/>
  <conditionalFormatting sqref="G7:N16 P7:U16 B7:E16">
    <cfRule type="containsBlanks" dxfId="227" priority="1">
      <formula>LEN(TRIM(B7))=0</formula>
    </cfRule>
  </conditionalFormatting>
  <conditionalFormatting sqref="C2:D2">
    <cfRule type="containsBlanks" dxfId="226" priority="2">
      <formula>LEN(TRIM(C2))=0</formula>
    </cfRule>
  </conditionalFormatting>
  <dataValidations count="1">
    <dataValidation type="list" allowBlank="1" showInputMessage="1" showErrorMessage="1" sqref="I7:I16" xr:uid="{49A8E568-6A80-42B2-BC5B-389DC1BE1A97}">
      <formula1>会場形態</formula1>
    </dataValidation>
  </dataValidations>
  <printOptions horizontalCentered="1"/>
  <pageMargins left="0.39370078740157483" right="0.39370078740157483" top="0.55118110236220474" bottom="0.55118110236220474" header="0.31496062992125984" footer="0.31496062992125984"/>
  <pageSetup paperSize="9" scale="44" orientation="landscape" r:id="rId1"/>
  <headerFooter>
    <oddHeader>&amp;R&amp;G</oddHead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4026-67F5-4A46-8BD3-D9852FA6700A}">
  <sheetPr codeName="Sheet382">
    <tabColor rgb="FFFFFF66"/>
    <pageSetUpPr fitToPage="1"/>
  </sheetPr>
  <dimension ref="A1:AF40"/>
  <sheetViews>
    <sheetView topLeftCell="A15"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6"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6386</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L4" s="5582"/>
      <c r="M4" s="5583"/>
      <c r="N4" s="5583"/>
      <c r="O4" s="5582"/>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f>U7*K7</f>
        <v>90</v>
      </c>
    </row>
    <row r="8" spans="1:32" ht="33.75" customHeight="1">
      <c r="A8" s="4686">
        <v>1</v>
      </c>
      <c r="B8" s="4687">
        <v>46274</v>
      </c>
      <c r="C8" s="4687">
        <v>46276</v>
      </c>
      <c r="D8" s="4672">
        <f t="shared" ref="D8" si="0">IF(_xlfn.DAYS(C8,B8)=0,"1",_xlfn.DAYS(C8,B8))</f>
        <v>2</v>
      </c>
      <c r="E8" s="4687">
        <v>46297</v>
      </c>
      <c r="F8" s="4698">
        <f t="shared" ref="F8" si="1">IF(_xlfn.DAYS(E8,C8)=0,"1",_xlfn.DAYS(E8,C8))+1</f>
        <v>22</v>
      </c>
      <c r="G8" s="4699">
        <v>46299</v>
      </c>
      <c r="H8" s="4672">
        <f t="shared" ref="H8:H22" si="2">IF(_xlfn.DAYS(G8,E8)=0,"1",_xlfn.DAYS(G8,E8))-1</f>
        <v>1</v>
      </c>
      <c r="I8" s="4691" t="s">
        <v>5176</v>
      </c>
      <c r="J8" s="4692">
        <v>127</v>
      </c>
      <c r="K8" s="4693">
        <v>40</v>
      </c>
      <c r="L8" s="4692">
        <v>35000</v>
      </c>
      <c r="M8" s="4692">
        <v>44000</v>
      </c>
      <c r="N8" s="4971">
        <f t="shared" ref="N8:N16" si="3">M8*K8</f>
        <v>1760000</v>
      </c>
      <c r="O8" s="4692">
        <v>35000</v>
      </c>
      <c r="P8" s="4678">
        <f>SUM(D8,F8,H8)*K8</f>
        <v>1000</v>
      </c>
      <c r="Q8" s="4679">
        <f t="shared" ref="Q8:Q22" si="4">(D8*L8+F8*M8+H8*O8)*K8</f>
        <v>42920000</v>
      </c>
      <c r="R8" s="4692">
        <v>52</v>
      </c>
      <c r="S8" s="4680" t="s">
        <v>5742</v>
      </c>
      <c r="T8" s="4694">
        <v>52</v>
      </c>
      <c r="U8" s="4692">
        <v>4</v>
      </c>
      <c r="V8" s="4692">
        <v>120</v>
      </c>
      <c r="W8" s="4680" t="s">
        <v>4521</v>
      </c>
      <c r="X8" s="4695">
        <v>205</v>
      </c>
      <c r="Y8" s="4692">
        <v>4</v>
      </c>
      <c r="Z8" s="4692" t="s">
        <v>5984</v>
      </c>
      <c r="AA8" s="4683" t="s">
        <v>5035</v>
      </c>
      <c r="AB8" s="4692"/>
      <c r="AC8" s="4683" t="s">
        <v>5050</v>
      </c>
      <c r="AD8" s="4692" t="s">
        <v>2814</v>
      </c>
      <c r="AE8" s="4696"/>
      <c r="AF8" s="4685">
        <f>U8*K8</f>
        <v>160</v>
      </c>
    </row>
    <row r="9" spans="1:32" ht="33.75" customHeight="1">
      <c r="A9" s="4686">
        <v>2</v>
      </c>
      <c r="B9" s="4687"/>
      <c r="C9" s="4687"/>
      <c r="D9" s="4672"/>
      <c r="E9" s="4687"/>
      <c r="F9" s="4698"/>
      <c r="G9" s="4699"/>
      <c r="H9" s="4672">
        <f t="shared" si="2"/>
        <v>0</v>
      </c>
      <c r="I9" s="4691"/>
      <c r="J9" s="4692"/>
      <c r="K9" s="4693"/>
      <c r="L9" s="4692"/>
      <c r="M9" s="4692"/>
      <c r="N9" s="4971">
        <f t="shared" si="3"/>
        <v>0</v>
      </c>
      <c r="O9" s="4692"/>
      <c r="P9" s="4678">
        <f t="shared" ref="P9:P22" si="5">SUM(D9,F9,H9)*K9</f>
        <v>0</v>
      </c>
      <c r="Q9" s="4679">
        <f t="shared" si="4"/>
        <v>0</v>
      </c>
      <c r="R9" s="4692"/>
      <c r="S9" s="4680" t="s">
        <v>5742</v>
      </c>
      <c r="T9" s="4694"/>
      <c r="U9" s="4692"/>
      <c r="V9" s="4692"/>
      <c r="W9" s="4680" t="s">
        <v>4521</v>
      </c>
      <c r="X9" s="4695"/>
      <c r="Y9" s="4692"/>
      <c r="Z9" s="4692"/>
      <c r="AA9" s="4683" t="s">
        <v>5035</v>
      </c>
      <c r="AB9" s="4692"/>
      <c r="AC9" s="4683" t="s">
        <v>5050</v>
      </c>
      <c r="AD9" s="4692"/>
      <c r="AE9" s="4696"/>
      <c r="AF9" s="4685">
        <f t="shared" ref="AF9:AF22" si="6">U9*K9</f>
        <v>0</v>
      </c>
    </row>
    <row r="10" spans="1:32" ht="33.75" customHeight="1">
      <c r="A10" s="4686">
        <v>3</v>
      </c>
      <c r="B10" s="4687"/>
      <c r="C10" s="4687"/>
      <c r="D10" s="4672"/>
      <c r="E10" s="4687"/>
      <c r="F10" s="4698"/>
      <c r="G10" s="4699"/>
      <c r="H10" s="4672">
        <f t="shared" si="2"/>
        <v>0</v>
      </c>
      <c r="I10" s="4691"/>
      <c r="J10" s="4692"/>
      <c r="K10" s="4693"/>
      <c r="L10" s="4692"/>
      <c r="M10" s="4692"/>
      <c r="N10" s="4971">
        <f t="shared" si="3"/>
        <v>0</v>
      </c>
      <c r="O10" s="4692"/>
      <c r="P10" s="4678">
        <f t="shared" si="5"/>
        <v>0</v>
      </c>
      <c r="Q10" s="4679">
        <f t="shared" si="4"/>
        <v>0</v>
      </c>
      <c r="R10" s="4692"/>
      <c r="S10" s="4680" t="s">
        <v>5742</v>
      </c>
      <c r="T10" s="4694"/>
      <c r="U10" s="4692"/>
      <c r="V10" s="4692"/>
      <c r="W10" s="4680" t="s">
        <v>4521</v>
      </c>
      <c r="X10" s="4695"/>
      <c r="Y10" s="4692"/>
      <c r="Z10" s="4692"/>
      <c r="AA10" s="4683" t="s">
        <v>5035</v>
      </c>
      <c r="AB10" s="4692"/>
      <c r="AC10" s="4683" t="s">
        <v>5050</v>
      </c>
      <c r="AD10" s="4692"/>
      <c r="AE10" s="4696"/>
      <c r="AF10" s="4685">
        <f t="shared" si="6"/>
        <v>0</v>
      </c>
    </row>
    <row r="11" spans="1:32" ht="33.75" customHeight="1">
      <c r="A11" s="4686">
        <v>4</v>
      </c>
      <c r="B11" s="4687"/>
      <c r="C11" s="4687"/>
      <c r="D11" s="4672"/>
      <c r="E11" s="4687"/>
      <c r="F11" s="4698"/>
      <c r="G11" s="4699"/>
      <c r="H11" s="4672">
        <f t="shared" si="2"/>
        <v>0</v>
      </c>
      <c r="I11" s="4691"/>
      <c r="J11" s="4692"/>
      <c r="K11" s="4693"/>
      <c r="L11" s="4692"/>
      <c r="M11" s="4692"/>
      <c r="N11" s="4971">
        <f t="shared" si="3"/>
        <v>0</v>
      </c>
      <c r="O11" s="4692"/>
      <c r="P11" s="4678">
        <f t="shared" si="5"/>
        <v>0</v>
      </c>
      <c r="Q11" s="4679">
        <f t="shared" si="4"/>
        <v>0</v>
      </c>
      <c r="R11" s="4692"/>
      <c r="S11" s="4680" t="s">
        <v>5742</v>
      </c>
      <c r="T11" s="4694"/>
      <c r="U11" s="4692"/>
      <c r="V11" s="4692"/>
      <c r="W11" s="4680" t="s">
        <v>4521</v>
      </c>
      <c r="X11" s="4695"/>
      <c r="Y11" s="4692"/>
      <c r="Z11" s="4692"/>
      <c r="AA11" s="4683" t="s">
        <v>5035</v>
      </c>
      <c r="AB11" s="4692"/>
      <c r="AC11" s="4683" t="s">
        <v>5050</v>
      </c>
      <c r="AD11" s="4692"/>
      <c r="AE11" s="4696"/>
      <c r="AF11" s="4685">
        <f t="shared" si="6"/>
        <v>0</v>
      </c>
    </row>
    <row r="12" spans="1:32" ht="33.75" customHeight="1">
      <c r="A12" s="4686">
        <v>5</v>
      </c>
      <c r="B12" s="4687"/>
      <c r="C12" s="4687"/>
      <c r="D12" s="4672"/>
      <c r="E12" s="4687"/>
      <c r="F12" s="4698"/>
      <c r="G12" s="4699"/>
      <c r="H12" s="4672">
        <f t="shared" si="2"/>
        <v>0</v>
      </c>
      <c r="I12" s="4691"/>
      <c r="J12" s="4692"/>
      <c r="K12" s="4693"/>
      <c r="L12" s="4692"/>
      <c r="M12" s="4692"/>
      <c r="N12" s="4971">
        <f t="shared" si="3"/>
        <v>0</v>
      </c>
      <c r="O12" s="4692"/>
      <c r="P12" s="4678">
        <f t="shared" si="5"/>
        <v>0</v>
      </c>
      <c r="Q12" s="4679">
        <f t="shared" si="4"/>
        <v>0</v>
      </c>
      <c r="R12" s="4692"/>
      <c r="S12" s="4680" t="s">
        <v>5742</v>
      </c>
      <c r="T12" s="4694"/>
      <c r="U12" s="4700"/>
      <c r="V12" s="4692"/>
      <c r="W12" s="4680" t="s">
        <v>4521</v>
      </c>
      <c r="X12" s="4695"/>
      <c r="Y12" s="4692"/>
      <c r="Z12" s="4692"/>
      <c r="AA12" s="4683" t="s">
        <v>5035</v>
      </c>
      <c r="AB12" s="4692"/>
      <c r="AC12" s="4683" t="s">
        <v>5050</v>
      </c>
      <c r="AD12" s="4692"/>
      <c r="AE12" s="4696"/>
      <c r="AF12" s="4685">
        <f t="shared" si="6"/>
        <v>0</v>
      </c>
    </row>
    <row r="13" spans="1:32" ht="33.75" customHeight="1">
      <c r="A13" s="4686">
        <v>6</v>
      </c>
      <c r="B13" s="4687"/>
      <c r="C13" s="4687"/>
      <c r="D13" s="4672"/>
      <c r="E13" s="4687"/>
      <c r="F13" s="4698"/>
      <c r="G13" s="4699"/>
      <c r="H13" s="4672">
        <f t="shared" si="2"/>
        <v>0</v>
      </c>
      <c r="I13" s="4691"/>
      <c r="J13" s="4692"/>
      <c r="K13" s="4693"/>
      <c r="L13" s="4692"/>
      <c r="M13" s="4692"/>
      <c r="N13" s="4971">
        <f t="shared" si="3"/>
        <v>0</v>
      </c>
      <c r="O13" s="4692"/>
      <c r="P13" s="4678">
        <f t="shared" si="5"/>
        <v>0</v>
      </c>
      <c r="Q13" s="4679">
        <f t="shared" si="4"/>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c r="E14" s="4687"/>
      <c r="F14" s="4698"/>
      <c r="G14" s="4699"/>
      <c r="H14" s="4672">
        <f t="shared" si="2"/>
        <v>0</v>
      </c>
      <c r="I14" s="4691"/>
      <c r="J14" s="4692"/>
      <c r="K14" s="4693"/>
      <c r="L14" s="4692"/>
      <c r="M14" s="4692"/>
      <c r="N14" s="4971">
        <f t="shared" si="3"/>
        <v>0</v>
      </c>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c r="E15" s="4687"/>
      <c r="F15" s="4698"/>
      <c r="G15" s="4699"/>
      <c r="H15" s="4672">
        <f t="shared" si="2"/>
        <v>0</v>
      </c>
      <c r="I15" s="4691"/>
      <c r="J15" s="4692"/>
      <c r="K15" s="4693"/>
      <c r="L15" s="4692"/>
      <c r="M15" s="4692"/>
      <c r="N15" s="4971">
        <f t="shared" si="3"/>
        <v>0</v>
      </c>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c r="E16" s="4687"/>
      <c r="F16" s="4698"/>
      <c r="G16" s="4699"/>
      <c r="H16" s="4672">
        <f t="shared" si="2"/>
        <v>0</v>
      </c>
      <c r="I16" s="4691"/>
      <c r="J16" s="4692"/>
      <c r="K16" s="4693"/>
      <c r="L16" s="4692"/>
      <c r="M16" s="4692"/>
      <c r="N16" s="4971">
        <f t="shared" si="3"/>
        <v>0</v>
      </c>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10</v>
      </c>
      <c r="B17" s="4687"/>
      <c r="C17" s="4687"/>
      <c r="D17" s="4672"/>
      <c r="E17" s="4687"/>
      <c r="F17" s="4698"/>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c r="E18" s="4687"/>
      <c r="F18" s="4698"/>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c r="E19" s="4687"/>
      <c r="F19" s="4698"/>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c r="E20" s="4687"/>
      <c r="F20" s="4698"/>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c r="E21" s="4687"/>
      <c r="F21" s="4698"/>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c r="E22" s="4687"/>
      <c r="F22" s="4698"/>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127</v>
      </c>
      <c r="K23" s="4707">
        <f>SUM(K8:K22)</f>
        <v>40</v>
      </c>
      <c r="L23" s="4703"/>
      <c r="M23" s="4703"/>
      <c r="N23" s="4703"/>
      <c r="O23" s="4703"/>
      <c r="P23" s="4706">
        <f>SUM(P8:P22)</f>
        <v>1000</v>
      </c>
      <c r="Q23" s="4706">
        <f>SUM(Q8:Q22)</f>
        <v>42920000</v>
      </c>
      <c r="R23" s="6863"/>
      <c r="S23" s="6864"/>
      <c r="T23" s="6865"/>
      <c r="U23" s="4708"/>
      <c r="V23" s="6863"/>
      <c r="W23" s="6864"/>
      <c r="X23" s="6864"/>
      <c r="Y23" s="4708"/>
      <c r="Z23" s="4708"/>
      <c r="AA23" s="6866"/>
      <c r="AB23" s="6867"/>
      <c r="AC23" s="6866"/>
      <c r="AD23" s="6867"/>
      <c r="AE23" s="4709"/>
      <c r="AF23" s="4685">
        <f>SUM(AF8:AF22)</f>
        <v>160</v>
      </c>
    </row>
    <row r="24" spans="1:32" ht="33.75" customHeight="1" thickBot="1">
      <c r="C24" s="4710"/>
      <c r="D24" s="4710"/>
      <c r="E24" s="4710"/>
      <c r="F24" s="4710"/>
      <c r="G24" s="4710"/>
      <c r="H24" s="4710"/>
      <c r="I24" s="4711"/>
      <c r="J24" s="4712"/>
      <c r="K24" s="4710"/>
      <c r="L24" s="4713" t="s">
        <v>5748</v>
      </c>
      <c r="M24" s="4714">
        <f>SUM(N8:N22)</f>
        <v>1760000</v>
      </c>
      <c r="N24" s="4715"/>
      <c r="O24" s="4715"/>
      <c r="P24" s="4715"/>
      <c r="S24" s="4656"/>
      <c r="W24" s="4656"/>
    </row>
    <row r="25" spans="1:32" ht="33.75" customHeight="1">
      <c r="A25" s="6845" t="s">
        <v>5749</v>
      </c>
      <c r="B25" s="6846"/>
      <c r="C25" s="4716">
        <f>P23</f>
        <v>1000</v>
      </c>
      <c r="D25" s="4717"/>
      <c r="F25" s="4718"/>
      <c r="H25" s="4719"/>
      <c r="I25" s="4720"/>
      <c r="K25" s="4659"/>
      <c r="L25" s="4721" t="s">
        <v>5750</v>
      </c>
      <c r="M25" s="4722">
        <f>M24*1.1</f>
        <v>1936000.0000000002</v>
      </c>
      <c r="P25" s="4656"/>
    </row>
    <row r="26" spans="1:32" ht="33.75" customHeight="1">
      <c r="A26" s="6847" t="s">
        <v>5883</v>
      </c>
      <c r="B26" s="6848"/>
      <c r="C26" s="4723">
        <f>Q23</f>
        <v>42920000</v>
      </c>
      <c r="D26" s="4717"/>
      <c r="F26" s="4724"/>
      <c r="H26" s="4719"/>
      <c r="I26" s="4720"/>
      <c r="K26" s="4659"/>
      <c r="P26" s="4656"/>
    </row>
    <row r="27" spans="1:32" ht="33.75" customHeight="1" thickBot="1">
      <c r="A27" s="6913" t="s">
        <v>5751</v>
      </c>
      <c r="B27" s="6914"/>
      <c r="C27" s="4987">
        <f>ROUNDDOWN(C26*1.1,0)</f>
        <v>47212000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8:C22 E8:G22">
    <cfRule type="containsBlanks" dxfId="225" priority="5">
      <formula>LEN(TRIM(B8))=0</formula>
    </cfRule>
  </conditionalFormatting>
  <conditionalFormatting sqref="C2:D2">
    <cfRule type="containsBlanks" dxfId="224" priority="2">
      <formula>LEN(TRIM(C2))=0</formula>
    </cfRule>
  </conditionalFormatting>
  <conditionalFormatting sqref="D7:D22">
    <cfRule type="containsBlanks" dxfId="223" priority="4">
      <formula>LEN(TRIM(D7))=0</formula>
    </cfRule>
  </conditionalFormatting>
  <conditionalFormatting sqref="F7">
    <cfRule type="containsBlanks" dxfId="222" priority="3">
      <formula>LEN(TRIM(F7))=0</formula>
    </cfRule>
  </conditionalFormatting>
  <conditionalFormatting sqref="H7:O22">
    <cfRule type="containsBlanks" dxfId="221" priority="1">
      <formula>LEN(TRIM(H7))=0</formula>
    </cfRule>
  </conditionalFormatting>
  <conditionalFormatting sqref="Q7:R22">
    <cfRule type="containsBlanks" dxfId="220" priority="9">
      <formula>LEN(TRIM(Q7))=0</formula>
    </cfRule>
  </conditionalFormatting>
  <conditionalFormatting sqref="T7:V22">
    <cfRule type="containsBlanks" dxfId="219" priority="7">
      <formula>LEN(TRIM(T7))=0</formula>
    </cfRule>
  </conditionalFormatting>
  <conditionalFormatting sqref="X7:Z22">
    <cfRule type="containsBlanks" dxfId="218" priority="6">
      <formula>LEN(TRIM(X7))=0</formula>
    </cfRule>
  </conditionalFormatting>
  <conditionalFormatting sqref="AB7:AB22 AD7:AE22">
    <cfRule type="containsBlanks" dxfId="217" priority="8">
      <formula>LEN(TRIM(AB7))=0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B644-5078-402A-8B35-C54106E61A16}">
  <sheetPr codeName="Sheet383">
    <tabColor rgb="FFFFFF66"/>
    <pageSetUpPr fitToPage="1"/>
  </sheetPr>
  <dimension ref="A1:AE42"/>
  <sheetViews>
    <sheetView topLeftCell="A20" zoomScale="70" zoomScaleNormal="70" workbookViewId="0">
      <selection activeCell="I27" sqref="I27"/>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'[32]別紙1-1）客室提供条件'!C2</f>
        <v>つま恋リゾート　彩の郷</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23" si="0">F7*N7</f>
        <v>3150000</v>
      </c>
      <c r="P7" s="4755" t="s">
        <v>5782</v>
      </c>
      <c r="Q7" s="4756">
        <v>4</v>
      </c>
      <c r="R7" s="4756" t="s">
        <v>3804</v>
      </c>
      <c r="S7" s="4751" t="s">
        <v>246</v>
      </c>
      <c r="T7" s="4756" t="s">
        <v>2161</v>
      </c>
      <c r="U7" s="4757">
        <v>2000</v>
      </c>
    </row>
    <row r="8" spans="1:31" s="4666" customFormat="1" ht="33.75" customHeight="1">
      <c r="A8" s="4758">
        <v>1</v>
      </c>
      <c r="B8" s="4816">
        <v>46274</v>
      </c>
      <c r="C8" s="4816">
        <v>46298</v>
      </c>
      <c r="D8" s="4759">
        <v>0</v>
      </c>
      <c r="E8" s="4759">
        <v>1</v>
      </c>
      <c r="F8" s="4760">
        <f t="shared" ref="F8:F23" si="1">IF(OR(ISBLANK($B8), ISBLANK($C8)), 0, _xlfn.DAYS($C8, $B8) + 1)</f>
        <v>25</v>
      </c>
      <c r="G8" s="4761" t="s">
        <v>6941</v>
      </c>
      <c r="H8" s="4762" t="s">
        <v>5827</v>
      </c>
      <c r="I8" s="4763" t="s">
        <v>5957</v>
      </c>
      <c r="J8" s="4764">
        <v>30</v>
      </c>
      <c r="K8" s="4765">
        <v>18.7</v>
      </c>
      <c r="L8" s="4765">
        <v>558</v>
      </c>
      <c r="M8" s="4765">
        <v>2.5</v>
      </c>
      <c r="N8" s="4762">
        <v>660000</v>
      </c>
      <c r="O8" s="4766">
        <f t="shared" si="0"/>
        <v>16500000</v>
      </c>
      <c r="P8" s="4857" t="s">
        <v>6151</v>
      </c>
      <c r="Q8" s="4858">
        <v>2</v>
      </c>
      <c r="R8" s="4976" t="s">
        <v>2688</v>
      </c>
      <c r="S8" s="4858">
        <v>0</v>
      </c>
      <c r="T8" s="4859" t="s">
        <v>6151</v>
      </c>
      <c r="U8" s="4860">
        <v>0</v>
      </c>
    </row>
    <row r="9" spans="1:31" ht="33.75" customHeight="1">
      <c r="A9" s="4758">
        <v>2</v>
      </c>
      <c r="B9" s="4816">
        <v>46299</v>
      </c>
      <c r="C9" s="4816">
        <v>46299</v>
      </c>
      <c r="D9" s="4759">
        <v>0</v>
      </c>
      <c r="E9" s="4759">
        <v>0.5</v>
      </c>
      <c r="F9" s="4760">
        <f t="shared" si="1"/>
        <v>1</v>
      </c>
      <c r="G9" s="4761" t="s">
        <v>6941</v>
      </c>
      <c r="H9" s="4762" t="s">
        <v>5827</v>
      </c>
      <c r="I9" s="4763" t="s">
        <v>5957</v>
      </c>
      <c r="J9" s="4764">
        <v>30</v>
      </c>
      <c r="K9" s="4765">
        <v>19</v>
      </c>
      <c r="L9" s="4765">
        <v>558</v>
      </c>
      <c r="M9" s="4765">
        <v>2.5</v>
      </c>
      <c r="N9" s="4762">
        <v>330000</v>
      </c>
      <c r="O9" s="4766">
        <f t="shared" si="0"/>
        <v>330000</v>
      </c>
      <c r="P9" s="4857" t="s">
        <v>6151</v>
      </c>
      <c r="Q9" s="4858">
        <v>2</v>
      </c>
      <c r="R9" s="4976" t="s">
        <v>2688</v>
      </c>
      <c r="S9" s="4858">
        <v>0</v>
      </c>
      <c r="T9" s="4859" t="s">
        <v>6151</v>
      </c>
      <c r="U9" s="4860">
        <v>0</v>
      </c>
      <c r="AC9" s="4657"/>
    </row>
    <row r="10" spans="1:31" ht="33.75" customHeight="1">
      <c r="A10" s="4758">
        <v>3</v>
      </c>
      <c r="B10" s="4816">
        <v>46274</v>
      </c>
      <c r="C10" s="4816">
        <v>46298</v>
      </c>
      <c r="D10" s="4759">
        <v>0</v>
      </c>
      <c r="E10" s="4759">
        <v>1</v>
      </c>
      <c r="F10" s="4770">
        <f t="shared" si="1"/>
        <v>25</v>
      </c>
      <c r="G10" s="4761" t="s">
        <v>6942</v>
      </c>
      <c r="H10" s="4762" t="s">
        <v>5827</v>
      </c>
      <c r="I10" s="4763" t="s">
        <v>5957</v>
      </c>
      <c r="J10" s="4764">
        <v>18.899999999999999</v>
      </c>
      <c r="K10" s="4765">
        <v>11.8</v>
      </c>
      <c r="L10" s="4765">
        <v>228</v>
      </c>
      <c r="M10" s="4765">
        <v>2.5</v>
      </c>
      <c r="N10" s="4762">
        <v>480000</v>
      </c>
      <c r="O10" s="4766">
        <f t="shared" si="0"/>
        <v>12000000</v>
      </c>
      <c r="P10" s="5492" t="s">
        <v>2688</v>
      </c>
      <c r="Q10" s="4858"/>
      <c r="R10" s="4976" t="s">
        <v>2688</v>
      </c>
      <c r="S10" s="4858">
        <v>0</v>
      </c>
      <c r="T10" s="4859" t="s">
        <v>6151</v>
      </c>
      <c r="U10" s="4860">
        <v>0</v>
      </c>
      <c r="AC10" s="4657"/>
    </row>
    <row r="11" spans="1:31" ht="33.75" customHeight="1">
      <c r="A11" s="4758">
        <v>4</v>
      </c>
      <c r="B11" s="4816">
        <v>46299</v>
      </c>
      <c r="C11" s="4816">
        <v>46299</v>
      </c>
      <c r="D11" s="4759">
        <v>0</v>
      </c>
      <c r="E11" s="4759">
        <v>0.5</v>
      </c>
      <c r="F11" s="4760">
        <f t="shared" si="1"/>
        <v>1</v>
      </c>
      <c r="G11" s="4761" t="s">
        <v>6942</v>
      </c>
      <c r="H11" s="4762" t="s">
        <v>5827</v>
      </c>
      <c r="I11" s="4763" t="s">
        <v>5957</v>
      </c>
      <c r="J11" s="4764">
        <v>19</v>
      </c>
      <c r="K11" s="4765">
        <v>12</v>
      </c>
      <c r="L11" s="4765">
        <v>228</v>
      </c>
      <c r="M11" s="4765">
        <v>2.5</v>
      </c>
      <c r="N11" s="4762">
        <v>240000</v>
      </c>
      <c r="O11" s="4766">
        <f t="shared" si="0"/>
        <v>240000</v>
      </c>
      <c r="P11" s="5492" t="s">
        <v>2688</v>
      </c>
      <c r="Q11" s="4858"/>
      <c r="R11" s="4976" t="s">
        <v>2688</v>
      </c>
      <c r="S11" s="4858">
        <v>0</v>
      </c>
      <c r="T11" s="4859" t="s">
        <v>6151</v>
      </c>
      <c r="U11" s="4860">
        <v>0</v>
      </c>
      <c r="AC11" s="4657"/>
    </row>
    <row r="12" spans="1:31" ht="33.75" customHeight="1">
      <c r="A12" s="4758">
        <v>5</v>
      </c>
      <c r="B12" s="4816">
        <v>46274</v>
      </c>
      <c r="C12" s="4816">
        <v>46298</v>
      </c>
      <c r="D12" s="4759">
        <v>0</v>
      </c>
      <c r="E12" s="4759">
        <v>1</v>
      </c>
      <c r="F12" s="4760">
        <f t="shared" si="1"/>
        <v>25</v>
      </c>
      <c r="G12" s="4771" t="s">
        <v>6943</v>
      </c>
      <c r="H12" s="4762">
        <v>1</v>
      </c>
      <c r="I12" s="4763" t="s">
        <v>5157</v>
      </c>
      <c r="J12" s="4764">
        <v>7</v>
      </c>
      <c r="K12" s="4765">
        <v>11</v>
      </c>
      <c r="L12" s="4765">
        <v>77</v>
      </c>
      <c r="M12" s="4765">
        <v>3</v>
      </c>
      <c r="N12" s="4762">
        <v>150000</v>
      </c>
      <c r="O12" s="4766">
        <f t="shared" si="0"/>
        <v>3750000</v>
      </c>
      <c r="P12" s="5492" t="s">
        <v>2688</v>
      </c>
      <c r="Q12" s="4858"/>
      <c r="R12" s="4976" t="s">
        <v>2688</v>
      </c>
      <c r="S12" s="4858">
        <v>0</v>
      </c>
      <c r="T12" s="4859" t="s">
        <v>6151</v>
      </c>
      <c r="U12" s="4860">
        <v>0</v>
      </c>
      <c r="AC12" s="4657"/>
    </row>
    <row r="13" spans="1:31" ht="33.75" customHeight="1">
      <c r="A13" s="4758">
        <v>6</v>
      </c>
      <c r="B13" s="4816">
        <v>46299</v>
      </c>
      <c r="C13" s="4816">
        <v>46299</v>
      </c>
      <c r="D13" s="4759">
        <v>0</v>
      </c>
      <c r="E13" s="4759">
        <v>0.5</v>
      </c>
      <c r="F13" s="4760">
        <f t="shared" si="1"/>
        <v>1</v>
      </c>
      <c r="G13" s="4771" t="s">
        <v>6943</v>
      </c>
      <c r="H13" s="4762">
        <v>1</v>
      </c>
      <c r="I13" s="4763" t="s">
        <v>5157</v>
      </c>
      <c r="J13" s="4764">
        <v>7</v>
      </c>
      <c r="K13" s="4765">
        <v>11</v>
      </c>
      <c r="L13" s="4765">
        <v>77</v>
      </c>
      <c r="M13" s="4765">
        <v>3</v>
      </c>
      <c r="N13" s="4762">
        <v>75000</v>
      </c>
      <c r="O13" s="4766">
        <f t="shared" si="0"/>
        <v>75000</v>
      </c>
      <c r="P13" s="5492" t="s">
        <v>2688</v>
      </c>
      <c r="Q13" s="4858"/>
      <c r="R13" s="4976" t="s">
        <v>2688</v>
      </c>
      <c r="S13" s="4858">
        <v>0</v>
      </c>
      <c r="T13" s="4859" t="s">
        <v>6151</v>
      </c>
      <c r="U13" s="4860">
        <v>0</v>
      </c>
      <c r="AC13" s="4657"/>
    </row>
    <row r="14" spans="1:31" ht="33.75" customHeight="1">
      <c r="A14" s="4758">
        <v>7</v>
      </c>
      <c r="B14" s="4816">
        <v>46274</v>
      </c>
      <c r="C14" s="4816">
        <v>46298</v>
      </c>
      <c r="D14" s="4759">
        <v>0</v>
      </c>
      <c r="E14" s="4759">
        <v>1</v>
      </c>
      <c r="F14" s="4760">
        <f t="shared" si="1"/>
        <v>25</v>
      </c>
      <c r="G14" s="4771" t="s">
        <v>6944</v>
      </c>
      <c r="H14" s="4762">
        <v>1</v>
      </c>
      <c r="I14" s="4763" t="s">
        <v>5157</v>
      </c>
      <c r="J14" s="4764">
        <v>6</v>
      </c>
      <c r="K14" s="4765">
        <v>13</v>
      </c>
      <c r="L14" s="4765">
        <v>78</v>
      </c>
      <c r="M14" s="4765">
        <v>3</v>
      </c>
      <c r="N14" s="4762">
        <v>150000</v>
      </c>
      <c r="O14" s="4766">
        <f t="shared" si="0"/>
        <v>3750000</v>
      </c>
      <c r="P14" s="5492" t="s">
        <v>2688</v>
      </c>
      <c r="Q14" s="4858"/>
      <c r="R14" s="4976" t="s">
        <v>2688</v>
      </c>
      <c r="S14" s="4858">
        <v>0</v>
      </c>
      <c r="T14" s="4859" t="s">
        <v>6151</v>
      </c>
      <c r="U14" s="4860">
        <v>0</v>
      </c>
      <c r="AC14" s="4657"/>
    </row>
    <row r="15" spans="1:31" ht="33.75" customHeight="1">
      <c r="A15" s="4758">
        <v>8</v>
      </c>
      <c r="B15" s="4816">
        <v>46299</v>
      </c>
      <c r="C15" s="4816">
        <v>46299</v>
      </c>
      <c r="D15" s="4759">
        <v>0</v>
      </c>
      <c r="E15" s="4759">
        <v>0.5</v>
      </c>
      <c r="F15" s="4760">
        <f t="shared" si="1"/>
        <v>1</v>
      </c>
      <c r="G15" s="4771" t="s">
        <v>6944</v>
      </c>
      <c r="H15" s="4762">
        <v>1</v>
      </c>
      <c r="I15" s="4763" t="s">
        <v>5157</v>
      </c>
      <c r="J15" s="4764">
        <v>6</v>
      </c>
      <c r="K15" s="4765">
        <v>13</v>
      </c>
      <c r="L15" s="4765">
        <v>78</v>
      </c>
      <c r="M15" s="4765">
        <v>3</v>
      </c>
      <c r="N15" s="4762">
        <v>75000</v>
      </c>
      <c r="O15" s="4766">
        <f t="shared" si="0"/>
        <v>75000</v>
      </c>
      <c r="P15" s="5492" t="s">
        <v>2688</v>
      </c>
      <c r="Q15" s="4858"/>
      <c r="R15" s="4976" t="s">
        <v>2688</v>
      </c>
      <c r="S15" s="4858">
        <v>0</v>
      </c>
      <c r="T15" s="4859" t="s">
        <v>6151</v>
      </c>
      <c r="U15" s="4860">
        <v>0</v>
      </c>
      <c r="AC15" s="4657"/>
    </row>
    <row r="16" spans="1:31" ht="33.75" customHeight="1">
      <c r="A16" s="4758">
        <v>9</v>
      </c>
      <c r="B16" s="4816">
        <v>46274</v>
      </c>
      <c r="C16" s="4816">
        <v>46298</v>
      </c>
      <c r="D16" s="4759">
        <v>0</v>
      </c>
      <c r="E16" s="4759">
        <v>1</v>
      </c>
      <c r="F16" s="4760">
        <f t="shared" si="1"/>
        <v>25</v>
      </c>
      <c r="G16" s="4771" t="s">
        <v>6945</v>
      </c>
      <c r="H16" s="4762">
        <v>1</v>
      </c>
      <c r="I16" s="4763" t="s">
        <v>5157</v>
      </c>
      <c r="J16" s="4764">
        <v>9</v>
      </c>
      <c r="K16" s="4765">
        <v>9</v>
      </c>
      <c r="L16" s="4765">
        <v>81</v>
      </c>
      <c r="M16" s="4765">
        <v>3</v>
      </c>
      <c r="N16" s="4762">
        <v>150000</v>
      </c>
      <c r="O16" s="4766">
        <f t="shared" si="0"/>
        <v>3750000</v>
      </c>
      <c r="P16" s="5492" t="s">
        <v>2688</v>
      </c>
      <c r="Q16" s="4858"/>
      <c r="R16" s="4976" t="s">
        <v>2688</v>
      </c>
      <c r="S16" s="4858">
        <v>0</v>
      </c>
      <c r="T16" s="4859" t="s">
        <v>6151</v>
      </c>
      <c r="U16" s="4860">
        <v>0</v>
      </c>
      <c r="AC16" s="4657"/>
    </row>
    <row r="17" spans="1:31" ht="33.75" customHeight="1">
      <c r="A17" s="4758">
        <v>10</v>
      </c>
      <c r="B17" s="4816">
        <v>46299</v>
      </c>
      <c r="C17" s="4816">
        <v>46299</v>
      </c>
      <c r="D17" s="4759">
        <v>0</v>
      </c>
      <c r="E17" s="4759">
        <v>0.5</v>
      </c>
      <c r="F17" s="4760">
        <f t="shared" si="1"/>
        <v>1</v>
      </c>
      <c r="G17" s="4771" t="s">
        <v>6945</v>
      </c>
      <c r="H17" s="4762">
        <v>1</v>
      </c>
      <c r="I17" s="4763" t="s">
        <v>5157</v>
      </c>
      <c r="J17" s="4764">
        <v>9</v>
      </c>
      <c r="K17" s="4765">
        <v>9</v>
      </c>
      <c r="L17" s="4765">
        <v>81</v>
      </c>
      <c r="M17" s="4765">
        <v>3</v>
      </c>
      <c r="N17" s="4762">
        <v>75000</v>
      </c>
      <c r="O17" s="4766">
        <f t="shared" si="0"/>
        <v>75000</v>
      </c>
      <c r="P17" s="5492" t="s">
        <v>2688</v>
      </c>
      <c r="Q17" s="4858"/>
      <c r="R17" s="4976" t="s">
        <v>2688</v>
      </c>
      <c r="S17" s="4858">
        <v>0</v>
      </c>
      <c r="T17" s="4859" t="s">
        <v>6151</v>
      </c>
      <c r="U17" s="4860">
        <v>0</v>
      </c>
      <c r="AC17" s="4657"/>
    </row>
    <row r="18" spans="1:31" ht="33.75" customHeight="1">
      <c r="A18" s="4758">
        <v>11</v>
      </c>
      <c r="B18" s="4816">
        <v>46274</v>
      </c>
      <c r="C18" s="4816">
        <v>46298</v>
      </c>
      <c r="D18" s="4759">
        <v>0</v>
      </c>
      <c r="E18" s="4759">
        <v>1</v>
      </c>
      <c r="F18" s="4760">
        <f t="shared" si="1"/>
        <v>25</v>
      </c>
      <c r="G18" s="4771" t="s">
        <v>6946</v>
      </c>
      <c r="H18" s="4762">
        <v>1</v>
      </c>
      <c r="I18" s="4763" t="s">
        <v>5157</v>
      </c>
      <c r="J18" s="4764">
        <v>9.1</v>
      </c>
      <c r="K18" s="4765">
        <v>17.7</v>
      </c>
      <c r="L18" s="4765">
        <v>156</v>
      </c>
      <c r="M18" s="4765">
        <v>2.5</v>
      </c>
      <c r="N18" s="4762">
        <v>280000</v>
      </c>
      <c r="O18" s="4766">
        <f t="shared" si="0"/>
        <v>7000000</v>
      </c>
      <c r="P18" s="5492" t="s">
        <v>6151</v>
      </c>
      <c r="Q18" s="4858">
        <v>3</v>
      </c>
      <c r="R18" s="4976" t="s">
        <v>2688</v>
      </c>
      <c r="S18" s="4858">
        <v>0</v>
      </c>
      <c r="T18" s="4859" t="s">
        <v>6151</v>
      </c>
      <c r="U18" s="4860">
        <v>0</v>
      </c>
      <c r="AC18" s="4657"/>
    </row>
    <row r="19" spans="1:31" ht="33.75" customHeight="1">
      <c r="A19" s="4758">
        <v>12</v>
      </c>
      <c r="B19" s="4816">
        <v>46299</v>
      </c>
      <c r="C19" s="4816">
        <v>46299</v>
      </c>
      <c r="D19" s="4759">
        <v>0</v>
      </c>
      <c r="E19" s="4759">
        <v>0.5</v>
      </c>
      <c r="F19" s="4760">
        <f t="shared" si="1"/>
        <v>1</v>
      </c>
      <c r="G19" s="4771" t="s">
        <v>6946</v>
      </c>
      <c r="H19" s="4762">
        <v>1</v>
      </c>
      <c r="I19" s="4763" t="s">
        <v>5157</v>
      </c>
      <c r="J19" s="4764">
        <v>9.1</v>
      </c>
      <c r="K19" s="4765">
        <v>17.7</v>
      </c>
      <c r="L19" s="4765">
        <v>156</v>
      </c>
      <c r="M19" s="4765">
        <v>2.5</v>
      </c>
      <c r="N19" s="4762">
        <v>140000</v>
      </c>
      <c r="O19" s="4766">
        <f t="shared" si="0"/>
        <v>140000</v>
      </c>
      <c r="P19" s="5492" t="s">
        <v>6151</v>
      </c>
      <c r="Q19" s="4858">
        <v>3</v>
      </c>
      <c r="R19" s="4976" t="s">
        <v>2688</v>
      </c>
      <c r="S19" s="4858">
        <v>0</v>
      </c>
      <c r="T19" s="4859" t="s">
        <v>6151</v>
      </c>
      <c r="U19" s="4860">
        <v>0</v>
      </c>
      <c r="AC19" s="4657"/>
    </row>
    <row r="20" spans="1:31" ht="33.75" customHeight="1">
      <c r="A20" s="4758">
        <v>13</v>
      </c>
      <c r="B20" s="4816">
        <v>46274</v>
      </c>
      <c r="C20" s="4816">
        <v>46298</v>
      </c>
      <c r="D20" s="4759">
        <v>0</v>
      </c>
      <c r="E20" s="4759">
        <v>1</v>
      </c>
      <c r="F20" s="4760">
        <f t="shared" si="1"/>
        <v>25</v>
      </c>
      <c r="G20" s="4771" t="s">
        <v>6947</v>
      </c>
      <c r="H20" s="4762">
        <v>1</v>
      </c>
      <c r="I20" s="4763" t="s">
        <v>5157</v>
      </c>
      <c r="J20" s="4764">
        <v>8.1999999999999993</v>
      </c>
      <c r="K20" s="4765">
        <v>6</v>
      </c>
      <c r="L20" s="4765">
        <v>52</v>
      </c>
      <c r="M20" s="4765">
        <v>2.5</v>
      </c>
      <c r="N20" s="4762">
        <v>95000</v>
      </c>
      <c r="O20" s="4766">
        <f t="shared" si="0"/>
        <v>2375000</v>
      </c>
      <c r="P20" s="5492" t="s">
        <v>2688</v>
      </c>
      <c r="Q20" s="4858"/>
      <c r="R20" s="4976" t="s">
        <v>2688</v>
      </c>
      <c r="S20" s="4858">
        <v>0</v>
      </c>
      <c r="T20" s="4859" t="s">
        <v>6151</v>
      </c>
      <c r="U20" s="4860">
        <v>0</v>
      </c>
      <c r="AC20" s="4657"/>
    </row>
    <row r="21" spans="1:31" ht="33.75" customHeight="1">
      <c r="A21" s="4758">
        <v>14</v>
      </c>
      <c r="B21" s="4816">
        <v>46299</v>
      </c>
      <c r="C21" s="4816">
        <v>46299</v>
      </c>
      <c r="D21" s="4759">
        <v>0</v>
      </c>
      <c r="E21" s="4759">
        <v>0.5</v>
      </c>
      <c r="F21" s="4760">
        <f t="shared" si="1"/>
        <v>1</v>
      </c>
      <c r="G21" s="4771" t="s">
        <v>6947</v>
      </c>
      <c r="H21" s="4762">
        <v>1</v>
      </c>
      <c r="I21" s="4763" t="s">
        <v>5157</v>
      </c>
      <c r="J21" s="4764">
        <v>8.1999999999999993</v>
      </c>
      <c r="K21" s="4765">
        <v>6</v>
      </c>
      <c r="L21" s="4765">
        <v>52</v>
      </c>
      <c r="M21" s="4765">
        <v>2.5</v>
      </c>
      <c r="N21" s="4762">
        <v>47500</v>
      </c>
      <c r="O21" s="4766">
        <f t="shared" si="0"/>
        <v>47500</v>
      </c>
      <c r="P21" s="5492" t="s">
        <v>2688</v>
      </c>
      <c r="Q21" s="4858"/>
      <c r="R21" s="4976" t="s">
        <v>2688</v>
      </c>
      <c r="S21" s="4858">
        <v>0</v>
      </c>
      <c r="T21" s="4859" t="s">
        <v>6151</v>
      </c>
      <c r="U21" s="4860">
        <v>0</v>
      </c>
      <c r="AC21" s="4657"/>
    </row>
    <row r="22" spans="1:31" ht="33.75" customHeight="1">
      <c r="A22" s="4758">
        <v>15</v>
      </c>
      <c r="B22" s="4816">
        <v>46274</v>
      </c>
      <c r="C22" s="4816">
        <v>46298</v>
      </c>
      <c r="D22" s="4759">
        <v>0</v>
      </c>
      <c r="E22" s="4759">
        <v>1</v>
      </c>
      <c r="F22" s="4760">
        <f t="shared" si="1"/>
        <v>25</v>
      </c>
      <c r="G22" s="4771" t="s">
        <v>6948</v>
      </c>
      <c r="H22" s="4762">
        <v>1</v>
      </c>
      <c r="I22" s="4763" t="s">
        <v>5157</v>
      </c>
      <c r="J22" s="4764">
        <v>9.1</v>
      </c>
      <c r="K22" s="4765">
        <v>17.600000000000001</v>
      </c>
      <c r="L22" s="4765">
        <v>150</v>
      </c>
      <c r="M22" s="4765">
        <v>2.5</v>
      </c>
      <c r="N22" s="4762">
        <v>280000</v>
      </c>
      <c r="O22" s="4766">
        <f t="shared" si="0"/>
        <v>7000000</v>
      </c>
      <c r="P22" s="4857" t="s">
        <v>2688</v>
      </c>
      <c r="Q22" s="4858"/>
      <c r="R22" s="4859" t="s">
        <v>2688</v>
      </c>
      <c r="S22" s="4858">
        <v>0</v>
      </c>
      <c r="T22" s="4859" t="s">
        <v>6151</v>
      </c>
      <c r="U22" s="4860">
        <v>0</v>
      </c>
      <c r="AC22" s="4657"/>
    </row>
    <row r="23" spans="1:31" ht="33.75" customHeight="1">
      <c r="A23" s="4758">
        <v>16</v>
      </c>
      <c r="B23" s="4816">
        <v>46299</v>
      </c>
      <c r="C23" s="4816">
        <v>46299</v>
      </c>
      <c r="D23" s="4759">
        <v>0</v>
      </c>
      <c r="E23" s="4759">
        <v>0.5</v>
      </c>
      <c r="F23" s="4760">
        <f t="shared" si="1"/>
        <v>1</v>
      </c>
      <c r="G23" s="4771" t="s">
        <v>6948</v>
      </c>
      <c r="H23" s="4762">
        <v>1</v>
      </c>
      <c r="I23" s="4763" t="s">
        <v>5157</v>
      </c>
      <c r="J23" s="4764">
        <v>9.1</v>
      </c>
      <c r="K23" s="4765">
        <v>17.600000000000001</v>
      </c>
      <c r="L23" s="4765">
        <v>150</v>
      </c>
      <c r="M23" s="4765">
        <v>2.5</v>
      </c>
      <c r="N23" s="4762">
        <v>140000</v>
      </c>
      <c r="O23" s="4766">
        <f t="shared" si="0"/>
        <v>140000</v>
      </c>
      <c r="P23" s="4857" t="s">
        <v>2688</v>
      </c>
      <c r="Q23" s="4858"/>
      <c r="R23" s="4859" t="s">
        <v>2688</v>
      </c>
      <c r="S23" s="4858">
        <v>0</v>
      </c>
      <c r="T23" s="4859" t="s">
        <v>6151</v>
      </c>
      <c r="U23" s="4860">
        <v>0</v>
      </c>
      <c r="AC23" s="4657"/>
    </row>
    <row r="24" spans="1:31" ht="33.75" customHeight="1">
      <c r="A24" s="4758"/>
      <c r="B24" s="4816"/>
      <c r="C24" s="4816"/>
      <c r="D24" s="4759"/>
      <c r="E24" s="4759"/>
      <c r="F24" s="4760"/>
      <c r="G24" s="4771"/>
      <c r="H24" s="4762"/>
      <c r="I24" s="4763"/>
      <c r="J24" s="4764"/>
      <c r="K24" s="4765"/>
      <c r="L24" s="4765"/>
      <c r="M24" s="4765"/>
      <c r="N24" s="4762"/>
      <c r="O24" s="4766"/>
      <c r="P24" s="4857"/>
      <c r="Q24" s="4858"/>
      <c r="R24" s="4859"/>
      <c r="S24" s="4858"/>
      <c r="T24" s="4859"/>
      <c r="U24" s="4860"/>
      <c r="AC24" s="4657"/>
    </row>
    <row r="25" spans="1:31" ht="33.75" customHeight="1" thickBot="1">
      <c r="A25" s="4772"/>
      <c r="B25" s="4816"/>
      <c r="C25" s="4816"/>
      <c r="D25" s="4759"/>
      <c r="E25" s="4759"/>
      <c r="F25" s="4770"/>
      <c r="G25" s="4773"/>
      <c r="H25" s="4762"/>
      <c r="I25" s="4774"/>
      <c r="J25" s="4764"/>
      <c r="K25" s="4765"/>
      <c r="L25" s="4765"/>
      <c r="M25" s="4765"/>
      <c r="N25" s="4775"/>
      <c r="O25" s="4776"/>
      <c r="P25" s="4918"/>
      <c r="Q25" s="4919"/>
      <c r="R25" s="4920"/>
      <c r="S25" s="4919"/>
      <c r="T25" s="4920"/>
      <c r="U25" s="4921"/>
      <c r="AC25" s="4657"/>
    </row>
    <row r="26" spans="1:31" ht="33.75" customHeight="1" thickTop="1" thickBot="1">
      <c r="A26" s="4778" t="s">
        <v>5845</v>
      </c>
      <c r="B26" s="4779"/>
      <c r="C26" s="4779"/>
      <c r="D26" s="4779"/>
      <c r="E26" s="4779"/>
      <c r="F26" s="4780">
        <f>SUM(F8:F25)</f>
        <v>208</v>
      </c>
      <c r="G26" s="4779"/>
      <c r="H26" s="4781"/>
      <c r="I26" s="4782">
        <f>COUNTA(G8,G10,G12,G14,G16,G18,G20,G22)</f>
        <v>8</v>
      </c>
      <c r="J26" s="4783"/>
      <c r="K26" s="4784"/>
      <c r="L26" s="4784"/>
      <c r="M26" s="4784"/>
      <c r="N26" s="4785"/>
      <c r="O26" s="4922">
        <f>SUM(O8:O25)</f>
        <v>57247500</v>
      </c>
      <c r="P26" s="4787"/>
      <c r="Q26" s="4787"/>
      <c r="R26" s="4788"/>
      <c r="S26" s="4789"/>
      <c r="T26" s="4788"/>
      <c r="U26" s="4790"/>
      <c r="AC26" s="4657"/>
    </row>
    <row r="27" spans="1:31" ht="33.75" customHeight="1" thickBot="1">
      <c r="A27" s="4876" t="s">
        <v>5792</v>
      </c>
      <c r="B27" s="4877"/>
      <c r="C27" s="4878"/>
      <c r="D27" s="4878"/>
      <c r="E27" s="4878"/>
      <c r="F27" s="4879"/>
      <c r="G27" s="4878"/>
      <c r="H27" s="4880"/>
      <c r="I27" s="4878"/>
      <c r="J27" s="4881"/>
      <c r="K27" s="4881"/>
      <c r="L27" s="4881"/>
      <c r="M27" s="4881"/>
      <c r="N27" s="4882"/>
      <c r="O27" s="4923">
        <f>O26*1.1</f>
        <v>62972250.000000007</v>
      </c>
      <c r="P27" s="4884"/>
      <c r="Q27" s="4885"/>
      <c r="R27" s="4886"/>
      <c r="S27" s="4887"/>
      <c r="T27" s="4886"/>
      <c r="U27" s="4888"/>
      <c r="AC27" s="4657"/>
    </row>
    <row r="28" spans="1:31" ht="33.75" customHeight="1">
      <c r="A28" s="4656"/>
      <c r="B28" s="4660"/>
      <c r="C28" s="4660"/>
      <c r="D28" s="4660"/>
      <c r="G28" s="4660"/>
      <c r="H28" s="4660"/>
      <c r="M28" s="4808" t="s">
        <v>5748</v>
      </c>
      <c r="N28" s="4809">
        <f>SUM(N8,N10,N12,N14,N16,N18,N20,N22)</f>
        <v>2245000</v>
      </c>
      <c r="O28" s="4656"/>
      <c r="P28" s="4657"/>
      <c r="Q28" s="4657"/>
      <c r="AC28" s="4657"/>
    </row>
    <row r="29" spans="1:31" ht="32.15" customHeight="1">
      <c r="A29" s="4656"/>
      <c r="B29" s="4660"/>
      <c r="C29" s="4660"/>
      <c r="D29" s="4660"/>
      <c r="G29" s="4660"/>
      <c r="H29" s="4660"/>
      <c r="M29" s="4808" t="s">
        <v>5750</v>
      </c>
      <c r="N29" s="4809">
        <f>N28*1.1</f>
        <v>2469500</v>
      </c>
      <c r="O29" s="4656"/>
      <c r="P29" s="4657"/>
      <c r="Q29" s="4657"/>
      <c r="AC29" s="4657"/>
    </row>
    <row r="30" spans="1:31" ht="32.15" customHeight="1">
      <c r="B30" s="4657"/>
      <c r="C30" s="4657"/>
      <c r="D30" s="4657"/>
      <c r="E30" s="4810"/>
      <c r="F30" s="4811"/>
      <c r="G30" s="4657"/>
      <c r="H30" s="4657"/>
      <c r="O30" s="4656"/>
      <c r="P30" s="4657"/>
      <c r="Q30" s="4657"/>
      <c r="AC30" s="4657"/>
    </row>
    <row r="31" spans="1:31" ht="32.15" customHeight="1">
      <c r="A31" s="4812"/>
      <c r="B31" s="4813"/>
      <c r="C31" s="4813"/>
      <c r="D31" s="4813"/>
      <c r="E31" s="4814"/>
      <c r="F31" s="4814"/>
      <c r="G31" s="4813"/>
      <c r="H31" s="4813"/>
      <c r="I31" s="4812"/>
      <c r="J31" s="4812"/>
      <c r="K31" s="4812"/>
      <c r="L31" s="4812"/>
      <c r="M31" s="4812"/>
      <c r="N31" s="4812"/>
      <c r="O31" s="4715"/>
      <c r="P31" s="4715"/>
      <c r="Q31" s="4715"/>
      <c r="R31" s="4656"/>
      <c r="S31" s="4812"/>
      <c r="T31" s="4656"/>
      <c r="U31" s="4812"/>
      <c r="W31" s="6905"/>
      <c r="X31" s="6905"/>
      <c r="Y31" s="6905"/>
      <c r="Z31" s="6905"/>
      <c r="AA31" s="6905"/>
      <c r="AB31" s="6891"/>
      <c r="AC31" s="6891"/>
      <c r="AD31" s="6891"/>
      <c r="AE31" s="6891"/>
    </row>
    <row r="32" spans="1:31" ht="36" customHeight="1"/>
    <row r="33" spans="2:29" ht="36" customHeight="1"/>
    <row r="34" spans="2:29" ht="36" customHeight="1"/>
    <row r="35" spans="2:29" ht="36" customHeight="1"/>
    <row r="36" spans="2:29" ht="36" customHeight="1"/>
    <row r="37" spans="2:29" ht="36" customHeight="1"/>
    <row r="38" spans="2:29" ht="36" customHeight="1"/>
    <row r="39" spans="2:29" ht="36" customHeight="1"/>
    <row r="40" spans="2:29" ht="36" customHeight="1"/>
    <row r="41" spans="2:29" ht="36" customHeight="1"/>
    <row r="42" spans="2:29" ht="10.4" customHeight="1">
      <c r="B42" s="4657"/>
      <c r="C42" s="4657"/>
      <c r="D42" s="4657"/>
      <c r="G42" s="4657"/>
      <c r="H42" s="4657"/>
      <c r="O42" s="4656"/>
      <c r="P42" s="4657"/>
      <c r="Q42" s="4657"/>
      <c r="AC42" s="4657"/>
    </row>
  </sheetData>
  <mergeCells count="21">
    <mergeCell ref="A2:B2"/>
    <mergeCell ref="C2:G2"/>
    <mergeCell ref="A5:A6"/>
    <mergeCell ref="B5:B6"/>
    <mergeCell ref="C5:C6"/>
    <mergeCell ref="D5:D6"/>
    <mergeCell ref="E5:E6"/>
    <mergeCell ref="F5:F6"/>
    <mergeCell ref="G5:G6"/>
    <mergeCell ref="AB31:AE31"/>
    <mergeCell ref="H5:H6"/>
    <mergeCell ref="I5:I6"/>
    <mergeCell ref="J5:J6"/>
    <mergeCell ref="K5:K6"/>
    <mergeCell ref="L5:L6"/>
    <mergeCell ref="M5:M6"/>
    <mergeCell ref="N5:N6"/>
    <mergeCell ref="O5:O6"/>
    <mergeCell ref="P5:Q5"/>
    <mergeCell ref="R5:U5"/>
    <mergeCell ref="W31:AA31"/>
  </mergeCells>
  <phoneticPr fontId="2"/>
  <conditionalFormatting sqref="B8:E25 G8:N25">
    <cfRule type="containsBlanks" dxfId="216" priority="1">
      <formula>LEN(TRIM(B8))=0</formula>
    </cfRule>
  </conditionalFormatting>
  <conditionalFormatting sqref="C2:D2">
    <cfRule type="containsBlanks" dxfId="215" priority="2">
      <formula>LEN(TRIM(C2))=0</formula>
    </cfRule>
  </conditionalFormatting>
  <conditionalFormatting sqref="P8:U25">
    <cfRule type="containsBlanks" dxfId="214" priority="3">
      <formula>LEN(TRIM(P8))=0</formula>
    </cfRule>
  </conditionalFormatting>
  <dataValidations count="1">
    <dataValidation type="list" allowBlank="1" showInputMessage="1" showErrorMessage="1" sqref="I7:I25" xr:uid="{24E876A1-228B-4367-A9A1-D514F2E3325E}">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0AF3-D8B3-479B-AF6B-63C02C4BFDE3}">
  <sheetPr codeName="Sheet384">
    <tabColor rgb="FFFFFF66"/>
    <pageSetUpPr fitToPage="1"/>
  </sheetPr>
  <dimension ref="A1:AF40"/>
  <sheetViews>
    <sheetView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2881</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6387</v>
      </c>
      <c r="M5" s="6855" t="s">
        <v>6388</v>
      </c>
      <c r="N5" s="4967" t="s">
        <v>5726</v>
      </c>
      <c r="O5" s="6855" t="s">
        <v>6389</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46274</v>
      </c>
      <c r="C8" s="4687">
        <v>46276</v>
      </c>
      <c r="D8" s="4672">
        <f t="shared" ref="D8:D22" si="0">IF(_xlfn.DAYS(C8,B8)=0,"1",_xlfn.DAYS(C8,B8))</f>
        <v>2</v>
      </c>
      <c r="E8" s="4687">
        <v>46297</v>
      </c>
      <c r="F8" s="4698">
        <f t="shared" ref="F8:F22" si="1">IF(_xlfn.DAYS(E8,C8)=0,"1",_xlfn.DAYS(E8,C8))+1</f>
        <v>22</v>
      </c>
      <c r="G8" s="4699">
        <v>46299</v>
      </c>
      <c r="H8" s="4672">
        <f t="shared" ref="H8:H22" si="2">IF(_xlfn.DAYS(G8,E8)=0,"1",_xlfn.DAYS(G8,E8))-1</f>
        <v>1</v>
      </c>
      <c r="I8" s="4691" t="s">
        <v>6390</v>
      </c>
      <c r="J8" s="4692">
        <v>24</v>
      </c>
      <c r="K8" s="4693">
        <v>20</v>
      </c>
      <c r="L8" s="4692">
        <v>13000</v>
      </c>
      <c r="M8" s="4692">
        <v>16000</v>
      </c>
      <c r="N8" s="4971">
        <f t="shared" ref="N8:N16" si="3">M8*K8</f>
        <v>320000</v>
      </c>
      <c r="O8" s="4692">
        <v>13000</v>
      </c>
      <c r="P8" s="4678">
        <f>SUM(D8,F8,H8)*K8</f>
        <v>500</v>
      </c>
      <c r="Q8" s="4679">
        <f t="shared" ref="Q8:Q22" si="4">(D8*L8+F8*M8+H8*O8)*K8</f>
        <v>7820000</v>
      </c>
      <c r="R8" s="4692">
        <v>20</v>
      </c>
      <c r="S8" s="4680" t="s">
        <v>5742</v>
      </c>
      <c r="T8" s="4694">
        <v>20</v>
      </c>
      <c r="U8" s="4692">
        <v>1</v>
      </c>
      <c r="V8" s="4692">
        <v>140</v>
      </c>
      <c r="W8" s="4680" t="s">
        <v>4521</v>
      </c>
      <c r="X8" s="4695">
        <v>195</v>
      </c>
      <c r="Y8" s="4692">
        <v>1</v>
      </c>
      <c r="Z8" s="4692" t="s">
        <v>5740</v>
      </c>
      <c r="AA8" s="4683" t="s">
        <v>5035</v>
      </c>
      <c r="AB8" s="4692" t="s">
        <v>2814</v>
      </c>
      <c r="AC8" s="4683" t="s">
        <v>5050</v>
      </c>
      <c r="AD8" s="4692" t="s">
        <v>2814</v>
      </c>
      <c r="AE8" s="4696"/>
      <c r="AF8" s="4685">
        <f>U8*K8</f>
        <v>20</v>
      </c>
    </row>
    <row r="9" spans="1:32" ht="33.75" customHeight="1">
      <c r="A9" s="4686">
        <v>2</v>
      </c>
      <c r="B9" s="4687">
        <v>46274</v>
      </c>
      <c r="C9" s="4687">
        <v>46276</v>
      </c>
      <c r="D9" s="4672">
        <f t="shared" si="0"/>
        <v>2</v>
      </c>
      <c r="E9" s="4687">
        <v>46297</v>
      </c>
      <c r="F9" s="4698">
        <f t="shared" si="1"/>
        <v>22</v>
      </c>
      <c r="G9" s="4699">
        <v>46299</v>
      </c>
      <c r="H9" s="4672">
        <f t="shared" si="2"/>
        <v>1</v>
      </c>
      <c r="I9" s="4691" t="s">
        <v>6391</v>
      </c>
      <c r="J9" s="4692">
        <v>3</v>
      </c>
      <c r="K9" s="4693">
        <v>2</v>
      </c>
      <c r="L9" s="4692">
        <v>18000</v>
      </c>
      <c r="M9" s="4692">
        <v>21000</v>
      </c>
      <c r="N9" s="4971">
        <f t="shared" si="3"/>
        <v>42000</v>
      </c>
      <c r="O9" s="4692">
        <v>18000</v>
      </c>
      <c r="P9" s="4678">
        <f t="shared" ref="P9:P22" si="5">SUM(D9,F9,H9)*K9</f>
        <v>50</v>
      </c>
      <c r="Q9" s="4679">
        <f t="shared" si="4"/>
        <v>1032000</v>
      </c>
      <c r="R9" s="4692">
        <v>23</v>
      </c>
      <c r="S9" s="4680" t="s">
        <v>5742</v>
      </c>
      <c r="T9" s="4694">
        <v>23</v>
      </c>
      <c r="U9" s="4692">
        <v>1</v>
      </c>
      <c r="V9" s="4692">
        <v>180</v>
      </c>
      <c r="W9" s="4680" t="s">
        <v>4521</v>
      </c>
      <c r="X9" s="4695">
        <v>195</v>
      </c>
      <c r="Y9" s="4692">
        <v>1</v>
      </c>
      <c r="Z9" s="4692" t="s">
        <v>5740</v>
      </c>
      <c r="AA9" s="4683" t="s">
        <v>5035</v>
      </c>
      <c r="AB9" s="4692" t="s">
        <v>2814</v>
      </c>
      <c r="AC9" s="4683" t="s">
        <v>5050</v>
      </c>
      <c r="AD9" s="4692" t="s">
        <v>2814</v>
      </c>
      <c r="AE9" s="4696"/>
      <c r="AF9" s="4685">
        <f t="shared" ref="AF9:AF22" si="6">U9*K9</f>
        <v>2</v>
      </c>
    </row>
    <row r="10" spans="1:32" ht="33.75" customHeight="1">
      <c r="A10" s="4686">
        <v>3</v>
      </c>
      <c r="B10" s="4687">
        <v>46274</v>
      </c>
      <c r="C10" s="4687">
        <v>46276</v>
      </c>
      <c r="D10" s="4672">
        <f t="shared" si="0"/>
        <v>2</v>
      </c>
      <c r="E10" s="4687">
        <v>46297</v>
      </c>
      <c r="F10" s="4698">
        <f t="shared" si="1"/>
        <v>22</v>
      </c>
      <c r="G10" s="4699">
        <v>46299</v>
      </c>
      <c r="H10" s="4672">
        <f t="shared" si="2"/>
        <v>1</v>
      </c>
      <c r="I10" s="4691" t="s">
        <v>6392</v>
      </c>
      <c r="J10" s="4692">
        <v>30</v>
      </c>
      <c r="K10" s="4693">
        <v>22</v>
      </c>
      <c r="L10" s="4998">
        <v>25000</v>
      </c>
      <c r="M10" s="4998">
        <v>31000</v>
      </c>
      <c r="N10" s="4971">
        <f t="shared" si="3"/>
        <v>682000</v>
      </c>
      <c r="O10" s="4998">
        <v>25000</v>
      </c>
      <c r="P10" s="4678">
        <f t="shared" si="5"/>
        <v>550</v>
      </c>
      <c r="Q10" s="4679">
        <f t="shared" si="4"/>
        <v>16654000</v>
      </c>
      <c r="R10" s="4692">
        <v>23</v>
      </c>
      <c r="S10" s="4680" t="s">
        <v>5742</v>
      </c>
      <c r="T10" s="4694">
        <v>23</v>
      </c>
      <c r="U10" s="4692">
        <v>2</v>
      </c>
      <c r="V10" s="4692">
        <v>120</v>
      </c>
      <c r="W10" s="4680" t="s">
        <v>4521</v>
      </c>
      <c r="X10" s="4695">
        <v>195</v>
      </c>
      <c r="Y10" s="4692">
        <v>2</v>
      </c>
      <c r="Z10" s="4692" t="s">
        <v>5740</v>
      </c>
      <c r="AA10" s="4683" t="s">
        <v>5035</v>
      </c>
      <c r="AB10" s="4692" t="s">
        <v>2814</v>
      </c>
      <c r="AC10" s="4683" t="s">
        <v>5050</v>
      </c>
      <c r="AD10" s="4692" t="s">
        <v>2814</v>
      </c>
      <c r="AE10" s="4696"/>
      <c r="AF10" s="4685">
        <f t="shared" si="6"/>
        <v>44</v>
      </c>
    </row>
    <row r="11" spans="1:32" ht="33.75" customHeight="1">
      <c r="A11" s="4686">
        <v>4</v>
      </c>
      <c r="B11" s="4687">
        <v>46274</v>
      </c>
      <c r="C11" s="4687">
        <v>46276</v>
      </c>
      <c r="D11" s="4672">
        <f t="shared" si="0"/>
        <v>2</v>
      </c>
      <c r="E11" s="4687">
        <v>46297</v>
      </c>
      <c r="F11" s="4698">
        <f t="shared" si="1"/>
        <v>22</v>
      </c>
      <c r="G11" s="4699">
        <v>46299</v>
      </c>
      <c r="H11" s="4672">
        <f t="shared" si="2"/>
        <v>1</v>
      </c>
      <c r="I11" s="4691" t="s">
        <v>6393</v>
      </c>
      <c r="J11" s="4692">
        <v>15</v>
      </c>
      <c r="K11" s="4693">
        <v>11</v>
      </c>
      <c r="L11" s="4998">
        <v>25000</v>
      </c>
      <c r="M11" s="4998">
        <v>31000</v>
      </c>
      <c r="N11" s="4971">
        <f t="shared" si="3"/>
        <v>341000</v>
      </c>
      <c r="O11" s="4998">
        <v>25000</v>
      </c>
      <c r="P11" s="4678">
        <f t="shared" si="5"/>
        <v>275</v>
      </c>
      <c r="Q11" s="4679">
        <f t="shared" si="4"/>
        <v>8327000</v>
      </c>
      <c r="R11" s="4692">
        <v>24</v>
      </c>
      <c r="S11" s="4680" t="s">
        <v>5742</v>
      </c>
      <c r="T11" s="4694">
        <v>24</v>
      </c>
      <c r="U11" s="4692">
        <v>2</v>
      </c>
      <c r="V11" s="4692">
        <v>120</v>
      </c>
      <c r="W11" s="4680" t="s">
        <v>4521</v>
      </c>
      <c r="X11" s="4695">
        <v>195</v>
      </c>
      <c r="Y11" s="4692">
        <v>2</v>
      </c>
      <c r="Z11" s="4692" t="s">
        <v>5740</v>
      </c>
      <c r="AA11" s="4683" t="s">
        <v>5035</v>
      </c>
      <c r="AB11" s="4692" t="s">
        <v>2814</v>
      </c>
      <c r="AC11" s="4683" t="s">
        <v>5050</v>
      </c>
      <c r="AD11" s="4692" t="s">
        <v>2814</v>
      </c>
      <c r="AE11" s="4696"/>
      <c r="AF11" s="4685">
        <f t="shared" si="6"/>
        <v>22</v>
      </c>
    </row>
    <row r="12" spans="1:32" ht="33.75" customHeight="1">
      <c r="A12" s="4686">
        <v>5</v>
      </c>
      <c r="B12" s="4687"/>
      <c r="C12" s="4687"/>
      <c r="D12" s="4672" t="str">
        <f t="shared" si="0"/>
        <v>1</v>
      </c>
      <c r="E12" s="4687"/>
      <c r="F12" s="4698">
        <f t="shared" si="1"/>
        <v>2</v>
      </c>
      <c r="G12" s="4699"/>
      <c r="H12" s="4672">
        <f t="shared" si="2"/>
        <v>0</v>
      </c>
      <c r="I12" s="4691"/>
      <c r="J12" s="4692"/>
      <c r="K12" s="4693"/>
      <c r="L12" s="4692"/>
      <c r="M12" s="4692"/>
      <c r="N12" s="4971">
        <f t="shared" si="3"/>
        <v>0</v>
      </c>
      <c r="O12" s="4692"/>
      <c r="P12" s="4678">
        <f t="shared" si="5"/>
        <v>0</v>
      </c>
      <c r="Q12" s="4679">
        <f t="shared" si="4"/>
        <v>0</v>
      </c>
      <c r="R12" s="4692"/>
      <c r="S12" s="4680" t="s">
        <v>5742</v>
      </c>
      <c r="T12" s="4694"/>
      <c r="U12" s="4692"/>
      <c r="V12" s="4692"/>
      <c r="W12" s="4680" t="s">
        <v>4521</v>
      </c>
      <c r="X12" s="4695"/>
      <c r="Y12" s="4692"/>
      <c r="Z12" s="4692"/>
      <c r="AA12" s="4683" t="s">
        <v>5035</v>
      </c>
      <c r="AB12" s="4692"/>
      <c r="AC12" s="4683" t="s">
        <v>5050</v>
      </c>
      <c r="AD12" s="4692"/>
      <c r="AE12" s="4696"/>
      <c r="AF12" s="4685">
        <f t="shared" si="6"/>
        <v>0</v>
      </c>
    </row>
    <row r="13" spans="1:32"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5"/>
        <v>0</v>
      </c>
      <c r="Q13" s="4679">
        <f t="shared" si="4"/>
        <v>0</v>
      </c>
      <c r="R13" s="4692"/>
      <c r="S13" s="4680" t="s">
        <v>5742</v>
      </c>
      <c r="T13" s="4694"/>
      <c r="U13" s="4692"/>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t="str">
        <f t="shared" si="0"/>
        <v>1</v>
      </c>
      <c r="E14" s="4687"/>
      <c r="F14" s="4698">
        <f t="shared" si="1"/>
        <v>2</v>
      </c>
      <c r="G14" s="4699"/>
      <c r="H14" s="4672">
        <f t="shared" si="2"/>
        <v>0</v>
      </c>
      <c r="I14" s="4691"/>
      <c r="J14" s="4692"/>
      <c r="K14" s="4693"/>
      <c r="L14" s="4692"/>
      <c r="M14" s="4692"/>
      <c r="N14" s="4971">
        <f t="shared" si="3"/>
        <v>0</v>
      </c>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4691"/>
      <c r="J15" s="4692"/>
      <c r="K15" s="4693"/>
      <c r="L15" s="4692"/>
      <c r="M15" s="4692"/>
      <c r="N15" s="4971">
        <f t="shared" si="3"/>
        <v>0</v>
      </c>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4691"/>
      <c r="J16" s="4692"/>
      <c r="K16" s="4693"/>
      <c r="L16" s="4692"/>
      <c r="M16" s="4692"/>
      <c r="N16" s="4971">
        <f t="shared" si="3"/>
        <v>0</v>
      </c>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72</v>
      </c>
      <c r="K23" s="4707">
        <f>SUM(K8:K22)</f>
        <v>55</v>
      </c>
      <c r="L23" s="4703"/>
      <c r="M23" s="4703"/>
      <c r="N23" s="4703"/>
      <c r="O23" s="4703"/>
      <c r="P23" s="4706">
        <f>SUM(P8:P22)</f>
        <v>1375</v>
      </c>
      <c r="Q23" s="4706">
        <f>SUM(Q8:Q22)</f>
        <v>33833000</v>
      </c>
      <c r="R23" s="6863"/>
      <c r="S23" s="6864"/>
      <c r="T23" s="6865"/>
      <c r="U23" s="4708"/>
      <c r="V23" s="6863"/>
      <c r="W23" s="6864"/>
      <c r="X23" s="6864"/>
      <c r="Y23" s="4708"/>
      <c r="Z23" s="4708"/>
      <c r="AA23" s="6866"/>
      <c r="AB23" s="6867"/>
      <c r="AC23" s="6866"/>
      <c r="AD23" s="6867"/>
      <c r="AE23" s="4709"/>
      <c r="AF23" s="4685">
        <f>SUM(AF8:AF22)</f>
        <v>88</v>
      </c>
    </row>
    <row r="24" spans="1:32" ht="33.75" customHeight="1" thickBot="1">
      <c r="C24" s="4710"/>
      <c r="D24" s="4710"/>
      <c r="E24" s="4710"/>
      <c r="F24" s="4710"/>
      <c r="G24" s="4710"/>
      <c r="H24" s="4710"/>
      <c r="I24" s="4711"/>
      <c r="J24" s="4712"/>
      <c r="K24" s="4710"/>
      <c r="L24" s="4713" t="s">
        <v>5748</v>
      </c>
      <c r="M24" s="4714">
        <f>SUM(N8:N22)</f>
        <v>1385000</v>
      </c>
      <c r="N24" s="4715"/>
      <c r="O24" s="4715"/>
      <c r="P24" s="4715"/>
      <c r="S24" s="4656"/>
      <c r="W24" s="4656"/>
    </row>
    <row r="25" spans="1:32" ht="33.75" customHeight="1">
      <c r="A25" s="6845" t="s">
        <v>5749</v>
      </c>
      <c r="B25" s="6846"/>
      <c r="C25" s="4716">
        <f>P23</f>
        <v>1375</v>
      </c>
      <c r="D25" s="4717"/>
      <c r="F25" s="4718"/>
      <c r="H25" s="4719"/>
      <c r="I25" s="4720"/>
      <c r="K25" s="4659"/>
      <c r="L25" s="4721" t="s">
        <v>5750</v>
      </c>
      <c r="M25" s="4722">
        <f>M24*1.1</f>
        <v>1523500.0000000002</v>
      </c>
      <c r="P25" s="4656"/>
    </row>
    <row r="26" spans="1:32" ht="33.75" customHeight="1">
      <c r="A26" s="6847" t="s">
        <v>5883</v>
      </c>
      <c r="B26" s="6848"/>
      <c r="C26" s="4723">
        <f>Q23</f>
        <v>33833000</v>
      </c>
      <c r="D26" s="4717"/>
      <c r="F26" s="4724"/>
      <c r="H26" s="4719"/>
      <c r="I26" s="4720"/>
      <c r="K26" s="4659"/>
      <c r="P26" s="4656"/>
    </row>
    <row r="27" spans="1:32" ht="33.75" customHeight="1" thickBot="1">
      <c r="A27" s="6913" t="s">
        <v>5751</v>
      </c>
      <c r="B27" s="6914"/>
      <c r="C27" s="4987">
        <f>ROUNDDOWN(C26*1.1,0)</f>
        <v>37216300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8:C22 E8:G22">
    <cfRule type="containsBlanks" dxfId="213" priority="5">
      <formula>LEN(TRIM(B8))=0</formula>
    </cfRule>
  </conditionalFormatting>
  <conditionalFormatting sqref="C2:D2">
    <cfRule type="containsBlanks" dxfId="212" priority="2">
      <formula>LEN(TRIM(C2))=0</formula>
    </cfRule>
  </conditionalFormatting>
  <conditionalFormatting sqref="D7:D22">
    <cfRule type="containsBlanks" dxfId="211" priority="4">
      <formula>LEN(TRIM(D7))=0</formula>
    </cfRule>
  </conditionalFormatting>
  <conditionalFormatting sqref="F7">
    <cfRule type="containsBlanks" dxfId="210" priority="3">
      <formula>LEN(TRIM(F7))=0</formula>
    </cfRule>
  </conditionalFormatting>
  <conditionalFormatting sqref="H7:O22">
    <cfRule type="containsBlanks" dxfId="209" priority="1">
      <formula>LEN(TRIM(H7))=0</formula>
    </cfRule>
  </conditionalFormatting>
  <conditionalFormatting sqref="Q7:R22">
    <cfRule type="containsBlanks" dxfId="208" priority="9">
      <formula>LEN(TRIM(Q7))=0</formula>
    </cfRule>
  </conditionalFormatting>
  <conditionalFormatting sqref="T7:V22">
    <cfRule type="containsBlanks" dxfId="207" priority="7">
      <formula>LEN(TRIM(T7))=0</formula>
    </cfRule>
  </conditionalFormatting>
  <conditionalFormatting sqref="X7:Z22">
    <cfRule type="containsBlanks" dxfId="206" priority="6">
      <formula>LEN(TRIM(X7))=0</formula>
    </cfRule>
  </conditionalFormatting>
  <conditionalFormatting sqref="AB7:AB22 AD7:AE22">
    <cfRule type="containsBlanks" dxfId="205" priority="8">
      <formula>LEN(TRIM(AB7))=0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53EC-A747-4CBB-B5C6-24C9CF141BAB}">
  <sheetPr codeName="Sheet385">
    <tabColor rgb="FFFFFF66"/>
    <pageSetUpPr fitToPage="1"/>
  </sheetPr>
  <dimension ref="A1:AE34"/>
  <sheetViews>
    <sheetView zoomScale="70" zoomScaleNormal="70" workbookViewId="0">
      <selection activeCell="I9" sqref="I9"/>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'[33]別紙1-1）客室提供条件'!C2</f>
        <v>掛川グランドホテル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46274</v>
      </c>
      <c r="C8" s="4816">
        <v>46298</v>
      </c>
      <c r="D8" s="4759">
        <v>0</v>
      </c>
      <c r="E8" s="4759">
        <v>1</v>
      </c>
      <c r="F8" s="4760">
        <f t="shared" ref="F8:F17" si="1">IF(OR(ISBLANK($B8), ISBLANK($C8)), 0, _xlfn.DAYS($C8, $B8) + 1)</f>
        <v>25</v>
      </c>
      <c r="G8" s="4761" t="s">
        <v>6394</v>
      </c>
      <c r="H8" s="4762">
        <v>3</v>
      </c>
      <c r="I8" s="4763" t="s">
        <v>5190</v>
      </c>
      <c r="J8" s="4764">
        <v>34.299999999999997</v>
      </c>
      <c r="K8" s="4765">
        <v>18.8</v>
      </c>
      <c r="L8" s="4765">
        <v>664</v>
      </c>
      <c r="M8" s="4765">
        <v>5</v>
      </c>
      <c r="N8" s="4762">
        <v>575000</v>
      </c>
      <c r="O8" s="4766">
        <f t="shared" si="0"/>
        <v>14375000</v>
      </c>
      <c r="P8" s="4857" t="s">
        <v>5815</v>
      </c>
      <c r="Q8" s="4858">
        <v>3</v>
      </c>
      <c r="R8" s="4859" t="s">
        <v>5815</v>
      </c>
      <c r="S8" s="4858"/>
      <c r="T8" s="4859" t="s">
        <v>5815</v>
      </c>
      <c r="U8" s="4860"/>
    </row>
    <row r="9" spans="1:31" ht="33.75" customHeight="1">
      <c r="A9" s="4758">
        <v>2</v>
      </c>
      <c r="B9" s="5065">
        <v>46299</v>
      </c>
      <c r="C9" s="4816">
        <v>46299</v>
      </c>
      <c r="D9" s="4759">
        <v>0</v>
      </c>
      <c r="E9" s="4759">
        <v>0.5</v>
      </c>
      <c r="F9" s="4912">
        <f t="shared" si="1"/>
        <v>1</v>
      </c>
      <c r="G9" s="4761" t="s">
        <v>6394</v>
      </c>
      <c r="H9" s="4762">
        <v>3</v>
      </c>
      <c r="I9" s="4763" t="s">
        <v>5190</v>
      </c>
      <c r="J9" s="4764">
        <v>34</v>
      </c>
      <c r="K9" s="4765">
        <v>19</v>
      </c>
      <c r="L9" s="4765">
        <v>664</v>
      </c>
      <c r="M9" s="4765">
        <v>5</v>
      </c>
      <c r="N9" s="4762">
        <v>345000</v>
      </c>
      <c r="O9" s="5118">
        <f t="shared" si="0"/>
        <v>345000</v>
      </c>
      <c r="P9" s="4857" t="s">
        <v>5815</v>
      </c>
      <c r="Q9" s="4858">
        <v>3</v>
      </c>
      <c r="R9" s="4859" t="s">
        <v>5815</v>
      </c>
      <c r="S9" s="4858"/>
      <c r="T9" s="4859" t="s">
        <v>5815</v>
      </c>
      <c r="U9" s="4860"/>
      <c r="AC9" s="4657"/>
    </row>
    <row r="10" spans="1:31" ht="33.75" customHeight="1">
      <c r="A10" s="4758">
        <v>3</v>
      </c>
      <c r="B10" s="4816">
        <v>46274</v>
      </c>
      <c r="C10" s="4816">
        <v>46298</v>
      </c>
      <c r="D10" s="4759">
        <v>0</v>
      </c>
      <c r="E10" s="4759">
        <v>1</v>
      </c>
      <c r="F10" s="4770">
        <f t="shared" si="1"/>
        <v>25</v>
      </c>
      <c r="G10" s="5584" t="s">
        <v>6395</v>
      </c>
      <c r="H10" s="4762">
        <v>3</v>
      </c>
      <c r="I10" s="4763" t="s">
        <v>5190</v>
      </c>
      <c r="J10" s="4764"/>
      <c r="K10" s="4765"/>
      <c r="L10" s="4765">
        <v>17</v>
      </c>
      <c r="M10" s="4765">
        <v>2.7</v>
      </c>
      <c r="N10" s="4762">
        <v>115000</v>
      </c>
      <c r="O10" s="4766">
        <f t="shared" si="0"/>
        <v>2875000</v>
      </c>
      <c r="P10" s="5492" t="s">
        <v>5992</v>
      </c>
      <c r="Q10" s="4858" t="s">
        <v>2815</v>
      </c>
      <c r="R10" s="4976" t="s">
        <v>5992</v>
      </c>
      <c r="S10" s="4858"/>
      <c r="T10" s="4976" t="s">
        <v>5992</v>
      </c>
      <c r="U10" s="4860"/>
      <c r="AC10" s="4657"/>
    </row>
    <row r="11" spans="1:31" ht="33.75" customHeight="1">
      <c r="A11" s="4758">
        <v>4</v>
      </c>
      <c r="B11" s="5065">
        <v>46299</v>
      </c>
      <c r="C11" s="4816">
        <v>46299</v>
      </c>
      <c r="D11" s="4759">
        <v>0</v>
      </c>
      <c r="E11" s="4759">
        <v>0.5</v>
      </c>
      <c r="F11" s="4912">
        <f t="shared" si="1"/>
        <v>1</v>
      </c>
      <c r="G11" s="5584" t="s">
        <v>6395</v>
      </c>
      <c r="H11" s="4762">
        <v>3</v>
      </c>
      <c r="I11" s="4763" t="s">
        <v>5190</v>
      </c>
      <c r="J11" s="4764"/>
      <c r="K11" s="4765"/>
      <c r="L11" s="4765">
        <v>17</v>
      </c>
      <c r="M11" s="4765">
        <v>2.7</v>
      </c>
      <c r="N11" s="4762">
        <v>69000</v>
      </c>
      <c r="O11" s="5118">
        <f t="shared" si="0"/>
        <v>69000</v>
      </c>
      <c r="P11" s="5492" t="s">
        <v>5992</v>
      </c>
      <c r="Q11" s="4858" t="s">
        <v>2815</v>
      </c>
      <c r="R11" s="4976" t="s">
        <v>5992</v>
      </c>
      <c r="S11" s="4858"/>
      <c r="T11" s="4976" t="s">
        <v>5992</v>
      </c>
      <c r="U11" s="4860"/>
      <c r="AC11" s="4657"/>
    </row>
    <row r="12" spans="1:31" ht="33.75" customHeight="1">
      <c r="A12" s="4758">
        <v>5</v>
      </c>
      <c r="B12" s="4816">
        <v>46274</v>
      </c>
      <c r="C12" s="4816">
        <v>46298</v>
      </c>
      <c r="D12" s="4759">
        <v>0</v>
      </c>
      <c r="E12" s="4759">
        <v>1</v>
      </c>
      <c r="F12" s="4760">
        <f t="shared" si="1"/>
        <v>25</v>
      </c>
      <c r="G12" s="4771" t="s">
        <v>6396</v>
      </c>
      <c r="H12" s="4762">
        <v>3</v>
      </c>
      <c r="I12" s="4763" t="s">
        <v>5190</v>
      </c>
      <c r="J12" s="4764"/>
      <c r="K12" s="4765"/>
      <c r="L12" s="4765">
        <v>46</v>
      </c>
      <c r="M12" s="4765">
        <v>2.7</v>
      </c>
      <c r="N12" s="4762">
        <v>115000</v>
      </c>
      <c r="O12" s="4766">
        <f t="shared" si="0"/>
        <v>2875000</v>
      </c>
      <c r="P12" s="5492" t="s">
        <v>5992</v>
      </c>
      <c r="Q12" s="4858" t="s">
        <v>2815</v>
      </c>
      <c r="R12" s="4976" t="s">
        <v>5992</v>
      </c>
      <c r="S12" s="4858"/>
      <c r="T12" s="4976" t="s">
        <v>5992</v>
      </c>
      <c r="U12" s="4860"/>
      <c r="AC12" s="4657"/>
    </row>
    <row r="13" spans="1:31" ht="33.75" customHeight="1">
      <c r="A13" s="4758">
        <v>6</v>
      </c>
      <c r="B13" s="5065">
        <v>46299</v>
      </c>
      <c r="C13" s="4816">
        <v>46299</v>
      </c>
      <c r="D13" s="4759">
        <v>0</v>
      </c>
      <c r="E13" s="4759">
        <v>0.5</v>
      </c>
      <c r="F13" s="4912">
        <f t="shared" si="1"/>
        <v>1</v>
      </c>
      <c r="G13" s="4771" t="s">
        <v>6396</v>
      </c>
      <c r="H13" s="4762">
        <v>3</v>
      </c>
      <c r="I13" s="4763" t="s">
        <v>5190</v>
      </c>
      <c r="J13" s="4764"/>
      <c r="K13" s="4765"/>
      <c r="L13" s="4765">
        <v>46</v>
      </c>
      <c r="M13" s="4765">
        <v>2.7</v>
      </c>
      <c r="N13" s="4762">
        <v>69000</v>
      </c>
      <c r="O13" s="5118">
        <f t="shared" si="0"/>
        <v>69000</v>
      </c>
      <c r="P13" s="5492" t="s">
        <v>5992</v>
      </c>
      <c r="Q13" s="4858" t="s">
        <v>2815</v>
      </c>
      <c r="R13" s="4976" t="s">
        <v>5992</v>
      </c>
      <c r="S13" s="4858"/>
      <c r="T13" s="4976" t="s">
        <v>5992</v>
      </c>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78</v>
      </c>
      <c r="G18" s="4779"/>
      <c r="H18" s="4781"/>
      <c r="I18" s="4782">
        <f>COUNTA(G8,G10,G12)</f>
        <v>3</v>
      </c>
      <c r="J18" s="4783"/>
      <c r="K18" s="4784"/>
      <c r="L18" s="4784"/>
      <c r="M18" s="4784"/>
      <c r="N18" s="4785"/>
      <c r="O18" s="5585">
        <f>SUM(O8:O17)</f>
        <v>20608000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5586">
        <f>O18*1.1</f>
        <v>22668800</v>
      </c>
      <c r="P19" s="4884"/>
      <c r="Q19" s="4885"/>
      <c r="R19" s="4886"/>
      <c r="S19" s="4887"/>
      <c r="T19" s="4886"/>
      <c r="U19" s="4888"/>
      <c r="AC19" s="4657"/>
    </row>
    <row r="20" spans="1:31" ht="33.75" customHeight="1">
      <c r="A20" s="4656"/>
      <c r="B20" s="4660"/>
      <c r="C20" s="4660"/>
      <c r="D20" s="4660"/>
      <c r="G20" s="4660"/>
      <c r="H20" s="4660"/>
      <c r="M20" s="4808" t="s">
        <v>5748</v>
      </c>
      <c r="N20" s="4809">
        <f>SUM(N8,N10,N12)</f>
        <v>805000</v>
      </c>
      <c r="O20" s="4656"/>
      <c r="P20" s="4657"/>
      <c r="Q20" s="4657"/>
      <c r="AC20" s="4657"/>
    </row>
    <row r="21" spans="1:31" ht="32.15" customHeight="1">
      <c r="A21" s="4656"/>
      <c r="B21" s="4660"/>
      <c r="C21" s="4660"/>
      <c r="D21" s="4660"/>
      <c r="G21" s="4660"/>
      <c r="H21" s="4660"/>
      <c r="M21" s="4808" t="s">
        <v>5750</v>
      </c>
      <c r="N21" s="4809">
        <f>N20*1.1</f>
        <v>885500.00000000012</v>
      </c>
      <c r="O21" s="4656"/>
      <c r="P21" s="4657"/>
      <c r="Q21" s="4657"/>
      <c r="AC21" s="4657"/>
    </row>
    <row r="22" spans="1:31" ht="32.15" customHeight="1">
      <c r="B22" s="4657"/>
      <c r="C22" s="4657"/>
      <c r="D22" s="4657"/>
      <c r="E22" s="4810"/>
      <c r="F22" s="4811"/>
      <c r="G22" s="4657"/>
      <c r="H22" s="4657"/>
      <c r="O22" s="4656"/>
      <c r="P22" s="4657"/>
      <c r="Q22" s="4657"/>
      <c r="AC22" s="4657"/>
    </row>
    <row r="23" spans="1:31" ht="32.15" customHeight="1">
      <c r="A23" s="4812"/>
      <c r="B23" s="4813"/>
      <c r="C23" s="4813"/>
      <c r="D23" s="4813"/>
      <c r="E23" s="4814"/>
      <c r="F23" s="4814"/>
      <c r="G23" s="4813"/>
      <c r="H23" s="4813"/>
      <c r="I23" s="4812"/>
      <c r="J23" s="4812"/>
      <c r="K23" s="4812"/>
      <c r="L23" s="4812"/>
      <c r="M23" s="4812"/>
      <c r="N23" s="4812"/>
      <c r="O23" s="4715"/>
      <c r="P23" s="4715"/>
      <c r="Q23" s="4715"/>
      <c r="R23" s="4656"/>
      <c r="S23" s="4812"/>
      <c r="T23" s="4656"/>
      <c r="U23" s="4812"/>
      <c r="W23" s="6905"/>
      <c r="X23" s="6905"/>
      <c r="Y23" s="6905"/>
      <c r="Z23" s="6905"/>
      <c r="AA23" s="6905"/>
      <c r="AB23" s="6891"/>
      <c r="AC23" s="6891"/>
      <c r="AD23" s="6891"/>
      <c r="AE23" s="6891"/>
    </row>
    <row r="24" spans="1:31" ht="36" customHeight="1"/>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10.4" customHeight="1">
      <c r="B34" s="4657"/>
      <c r="C34" s="4657"/>
      <c r="D34" s="4657"/>
      <c r="G34" s="4657"/>
      <c r="H34" s="4657"/>
      <c r="O34" s="4656"/>
      <c r="P34" s="4657"/>
      <c r="Q34" s="4657"/>
      <c r="AC34" s="4657"/>
    </row>
  </sheetData>
  <mergeCells count="21">
    <mergeCell ref="A2:B2"/>
    <mergeCell ref="C2:G2"/>
    <mergeCell ref="A5:A6"/>
    <mergeCell ref="B5:B6"/>
    <mergeCell ref="C5:C6"/>
    <mergeCell ref="D5:D6"/>
    <mergeCell ref="E5:E6"/>
    <mergeCell ref="F5:F6"/>
    <mergeCell ref="G5:G6"/>
    <mergeCell ref="AB23:AE23"/>
    <mergeCell ref="H5:H6"/>
    <mergeCell ref="I5:I6"/>
    <mergeCell ref="J5:J6"/>
    <mergeCell ref="K5:K6"/>
    <mergeCell ref="L5:L6"/>
    <mergeCell ref="M5:M6"/>
    <mergeCell ref="N5:N6"/>
    <mergeCell ref="O5:O6"/>
    <mergeCell ref="P5:Q5"/>
    <mergeCell ref="R5:U5"/>
    <mergeCell ref="W23:AA23"/>
  </mergeCells>
  <phoneticPr fontId="2"/>
  <conditionalFormatting sqref="B8:E17 G8:N17">
    <cfRule type="containsBlanks" dxfId="204" priority="1">
      <formula>LEN(TRIM(B8))=0</formula>
    </cfRule>
  </conditionalFormatting>
  <conditionalFormatting sqref="C2:D2">
    <cfRule type="containsBlanks" dxfId="203" priority="2">
      <formula>LEN(TRIM(C2))=0</formula>
    </cfRule>
  </conditionalFormatting>
  <conditionalFormatting sqref="P8:U17">
    <cfRule type="containsBlanks" dxfId="202" priority="3">
      <formula>LEN(TRIM(P8))=0</formula>
    </cfRule>
  </conditionalFormatting>
  <dataValidations count="1">
    <dataValidation type="list" allowBlank="1" showInputMessage="1" showErrorMessage="1" sqref="I7:I17" xr:uid="{1A208E1E-D3DD-453F-810D-D17DC3DE6E5B}">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329F1-8597-4C93-953F-07DA5B9A2D43}">
  <sheetPr codeName="Sheet424">
    <tabColor rgb="FFFFFF66"/>
    <pageSetUpPr fitToPage="1"/>
  </sheetPr>
  <dimension ref="A1:AF65"/>
  <sheetViews>
    <sheetView topLeftCell="A2" zoomScale="70" zoomScaleNormal="70" zoomScaleSheetLayoutView="70" workbookViewId="0"/>
  </sheetViews>
  <sheetFormatPr defaultColWidth="9.81640625" defaultRowHeight="18"/>
  <cols>
    <col min="1" max="1" width="7.5429687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453125" style="4656" customWidth="1"/>
    <col min="8" max="8" width="7.54296875" style="4657" customWidth="1"/>
    <col min="9" max="9" width="30.1796875" style="4658" bestFit="1" customWidth="1"/>
    <col min="10" max="11" width="11" style="4656" customWidth="1"/>
    <col min="12" max="13" width="25.1796875" style="4659" customWidth="1"/>
    <col min="14" max="14" width="2.72656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26953125" style="4657" customWidth="1"/>
    <col min="32" max="32" width="22.26953125" style="4657" customWidth="1"/>
    <col min="33" max="16384" width="9.81640625" style="4657"/>
  </cols>
  <sheetData>
    <row r="1" spans="1:32" ht="21" customHeight="1" thickBot="1">
      <c r="S1" s="4656"/>
      <c r="U1" s="4660"/>
      <c r="W1" s="4656"/>
    </row>
    <row r="2" spans="1:32" ht="44.25" customHeight="1" thickBot="1">
      <c r="A2" s="6874" t="s">
        <v>5707</v>
      </c>
      <c r="B2" s="6875"/>
      <c r="C2" s="6876" t="s">
        <v>6397</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f>U7*K7</f>
        <v>90</v>
      </c>
    </row>
    <row r="8" spans="1:32" ht="33.75" customHeight="1">
      <c r="A8" s="4686">
        <v>1</v>
      </c>
      <c r="B8" s="4687">
        <v>46281</v>
      </c>
      <c r="C8" s="4687">
        <v>46283</v>
      </c>
      <c r="D8" s="4672">
        <f t="shared" ref="D8:D9" si="0">IF(_xlfn.DAYS(C8,B8)=0,"1",_xlfn.DAYS(C8,B8))</f>
        <v>2</v>
      </c>
      <c r="E8" s="4816">
        <v>46292</v>
      </c>
      <c r="F8" s="4818">
        <f t="shared" ref="F8:F9" si="1">IF(_xlfn.DAYS(E8,C8)=0,"1",_xlfn.DAYS(E8,C8))+1</f>
        <v>10</v>
      </c>
      <c r="G8" s="5146">
        <v>46294</v>
      </c>
      <c r="H8" s="4672">
        <f t="shared" ref="H8:H22" si="2">IF(_xlfn.DAYS(G8,E8)=0,"1",_xlfn.DAYS(G8,E8))-1</f>
        <v>1</v>
      </c>
      <c r="I8" s="4674" t="s">
        <v>6398</v>
      </c>
      <c r="J8" s="4692">
        <v>369</v>
      </c>
      <c r="K8" s="4693">
        <v>25</v>
      </c>
      <c r="L8" s="4692">
        <v>24500</v>
      </c>
      <c r="M8" s="4692">
        <v>27500</v>
      </c>
      <c r="N8" s="4971">
        <f>M8*K8</f>
        <v>687500</v>
      </c>
      <c r="O8" s="4692">
        <v>24500</v>
      </c>
      <c r="P8" s="4678">
        <f>SUM(D8,F8,H8)*K8</f>
        <v>325</v>
      </c>
      <c r="Q8" s="4679">
        <f>(D8*L8+F8*M8+H8*O8)*K8</f>
        <v>8712500</v>
      </c>
      <c r="R8" s="4692">
        <v>36</v>
      </c>
      <c r="S8" s="4680" t="s">
        <v>5742</v>
      </c>
      <c r="T8" s="4694">
        <v>36</v>
      </c>
      <c r="U8" s="4700">
        <v>1</v>
      </c>
      <c r="V8" s="4692">
        <v>120</v>
      </c>
      <c r="W8" s="4680" t="s">
        <v>4521</v>
      </c>
      <c r="X8" s="4695">
        <v>200</v>
      </c>
      <c r="Y8" s="4692">
        <v>2</v>
      </c>
      <c r="Z8" s="4675" t="s">
        <v>5740</v>
      </c>
      <c r="AA8" s="4683" t="s">
        <v>5035</v>
      </c>
      <c r="AB8" s="4675" t="s">
        <v>2830</v>
      </c>
      <c r="AC8" s="4683" t="s">
        <v>5050</v>
      </c>
      <c r="AD8" s="4675" t="s">
        <v>5741</v>
      </c>
      <c r="AE8" s="4696"/>
      <c r="AF8" s="4685">
        <f>U8*K8</f>
        <v>25</v>
      </c>
    </row>
    <row r="9" spans="1:32" ht="33.75" customHeight="1">
      <c r="A9" s="4686">
        <v>2</v>
      </c>
      <c r="B9" s="4687">
        <v>46281</v>
      </c>
      <c r="C9" s="4687">
        <v>46283</v>
      </c>
      <c r="D9" s="4672">
        <f t="shared" si="0"/>
        <v>2</v>
      </c>
      <c r="E9" s="4816">
        <v>46292</v>
      </c>
      <c r="F9" s="4818">
        <f t="shared" si="1"/>
        <v>10</v>
      </c>
      <c r="G9" s="5146">
        <v>46294</v>
      </c>
      <c r="H9" s="4672">
        <f t="shared" si="2"/>
        <v>1</v>
      </c>
      <c r="I9" s="4691" t="s">
        <v>5039</v>
      </c>
      <c r="J9" s="4692" t="s">
        <v>3750</v>
      </c>
      <c r="K9" s="4693">
        <v>155</v>
      </c>
      <c r="L9" s="4692">
        <v>34000</v>
      </c>
      <c r="M9" s="4692">
        <v>40000</v>
      </c>
      <c r="N9" s="4971">
        <f t="shared" ref="N9:N11" si="3">M9*K9</f>
        <v>6200000</v>
      </c>
      <c r="O9" s="4692">
        <v>34000</v>
      </c>
      <c r="P9" s="4678">
        <f>SUM(D9,F9,H9)*K9</f>
        <v>2015</v>
      </c>
      <c r="Q9" s="4679">
        <f>(D9*L9+F9*M9+H9*O9)*K9</f>
        <v>77810000</v>
      </c>
      <c r="R9" s="4692">
        <v>36</v>
      </c>
      <c r="S9" s="4680" t="s">
        <v>5742</v>
      </c>
      <c r="T9" s="4694">
        <v>36</v>
      </c>
      <c r="U9" s="4700">
        <v>2</v>
      </c>
      <c r="V9" s="4692">
        <v>120</v>
      </c>
      <c r="W9" s="4680" t="s">
        <v>4521</v>
      </c>
      <c r="X9" s="4695">
        <v>200</v>
      </c>
      <c r="Y9" s="4692">
        <v>2</v>
      </c>
      <c r="Z9" s="4675" t="s">
        <v>5740</v>
      </c>
      <c r="AA9" s="4683" t="s">
        <v>5035</v>
      </c>
      <c r="AB9" s="4675" t="s">
        <v>2830</v>
      </c>
      <c r="AC9" s="4683" t="s">
        <v>5050</v>
      </c>
      <c r="AD9" s="4675" t="s">
        <v>5741</v>
      </c>
      <c r="AE9" s="4696"/>
      <c r="AF9" s="4685">
        <f t="shared" ref="AF9:AF22" si="4">U9*K9</f>
        <v>310</v>
      </c>
    </row>
    <row r="10" spans="1:32" ht="33.75" customHeight="1">
      <c r="A10" s="4686">
        <v>3</v>
      </c>
      <c r="B10" s="4687">
        <v>46280</v>
      </c>
      <c r="C10" s="4687">
        <v>46280</v>
      </c>
      <c r="D10" s="4672">
        <v>0</v>
      </c>
      <c r="E10" s="5146">
        <v>46293</v>
      </c>
      <c r="F10" s="4818">
        <f>IF(_xlfn.DAYS(E10,C10)=0,"1",_xlfn.DAYS(E10,C10))</f>
        <v>13</v>
      </c>
      <c r="G10" s="5146">
        <v>46293</v>
      </c>
      <c r="H10" s="4672">
        <f t="shared" si="2"/>
        <v>0</v>
      </c>
      <c r="I10" s="4674" t="s">
        <v>6398</v>
      </c>
      <c r="J10" s="4692" t="s">
        <v>3750</v>
      </c>
      <c r="K10" s="4693">
        <v>33</v>
      </c>
      <c r="L10" s="4692">
        <v>24500</v>
      </c>
      <c r="M10" s="4692">
        <v>27500</v>
      </c>
      <c r="N10" s="4971">
        <f t="shared" si="3"/>
        <v>907500</v>
      </c>
      <c r="O10" s="4692">
        <v>24500</v>
      </c>
      <c r="P10" s="4678">
        <f t="shared" ref="P10:P22" si="5">SUM(D10,F10,H10)*K10</f>
        <v>429</v>
      </c>
      <c r="Q10" s="4679">
        <f t="shared" ref="Q10:Q22" si="6">(D10*L10+F10*M10+H10*O10)*K10</f>
        <v>11797500</v>
      </c>
      <c r="R10" s="4692">
        <v>37</v>
      </c>
      <c r="S10" s="4680" t="s">
        <v>5742</v>
      </c>
      <c r="T10" s="4694">
        <v>37</v>
      </c>
      <c r="U10" s="4700"/>
      <c r="V10" s="4692"/>
      <c r="W10" s="4680" t="s">
        <v>4521</v>
      </c>
      <c r="X10" s="4695"/>
      <c r="Y10" s="4692"/>
      <c r="Z10" s="4692"/>
      <c r="AA10" s="4683" t="s">
        <v>5035</v>
      </c>
      <c r="AB10" s="4692"/>
      <c r="AC10" s="4683" t="s">
        <v>5050</v>
      </c>
      <c r="AD10" s="4692"/>
      <c r="AE10" s="4696"/>
      <c r="AF10" s="4685">
        <f t="shared" si="4"/>
        <v>0</v>
      </c>
    </row>
    <row r="11" spans="1:32" ht="33.75" customHeight="1">
      <c r="A11" s="4686">
        <v>4</v>
      </c>
      <c r="B11" s="4687">
        <v>46280</v>
      </c>
      <c r="C11" s="4687">
        <v>46280</v>
      </c>
      <c r="D11" s="4672">
        <v>0</v>
      </c>
      <c r="E11" s="5146">
        <v>46293</v>
      </c>
      <c r="F11" s="4818">
        <f>IF(_xlfn.DAYS(E11,C11)=0,"1",_xlfn.DAYS(E11,C11))</f>
        <v>13</v>
      </c>
      <c r="G11" s="5146">
        <v>46293</v>
      </c>
      <c r="H11" s="4672">
        <f t="shared" si="2"/>
        <v>0</v>
      </c>
      <c r="I11" s="4691" t="s">
        <v>5039</v>
      </c>
      <c r="J11" s="4692" t="s">
        <v>3750</v>
      </c>
      <c r="K11" s="4693">
        <v>12</v>
      </c>
      <c r="L11" s="4692">
        <v>34000</v>
      </c>
      <c r="M11" s="4692">
        <v>40000</v>
      </c>
      <c r="N11" s="4971">
        <f t="shared" si="3"/>
        <v>480000</v>
      </c>
      <c r="O11" s="4692">
        <v>34000</v>
      </c>
      <c r="P11" s="4678">
        <f t="shared" si="5"/>
        <v>156</v>
      </c>
      <c r="Q11" s="4679">
        <f t="shared" si="6"/>
        <v>6240000</v>
      </c>
      <c r="R11" s="4692">
        <v>38</v>
      </c>
      <c r="S11" s="4680" t="s">
        <v>5742</v>
      </c>
      <c r="T11" s="4694">
        <v>38</v>
      </c>
      <c r="U11" s="4700"/>
      <c r="V11" s="4692"/>
      <c r="W11" s="4680" t="s">
        <v>4521</v>
      </c>
      <c r="X11" s="4695"/>
      <c r="Y11" s="4692"/>
      <c r="Z11" s="4692"/>
      <c r="AA11" s="4683" t="s">
        <v>5035</v>
      </c>
      <c r="AB11" s="4692"/>
      <c r="AC11" s="4683" t="s">
        <v>5050</v>
      </c>
      <c r="AD11" s="4692"/>
      <c r="AE11" s="4696"/>
      <c r="AF11" s="4685">
        <f t="shared" si="4"/>
        <v>0</v>
      </c>
    </row>
    <row r="12" spans="1:32" ht="33.75" customHeight="1">
      <c r="A12" s="4686">
        <v>5</v>
      </c>
      <c r="B12" s="4687"/>
      <c r="C12" s="4687"/>
      <c r="D12" s="4672"/>
      <c r="E12" s="4816"/>
      <c r="F12" s="4818"/>
      <c r="G12" s="5146"/>
      <c r="H12" s="4672">
        <f t="shared" si="2"/>
        <v>0</v>
      </c>
      <c r="I12" s="4691"/>
      <c r="J12" s="4692"/>
      <c r="K12" s="4693"/>
      <c r="L12" s="4692"/>
      <c r="M12" s="4692"/>
      <c r="N12" s="4692"/>
      <c r="O12" s="4692"/>
      <c r="P12" s="4678">
        <f t="shared" si="5"/>
        <v>0</v>
      </c>
      <c r="Q12" s="4679">
        <f t="shared" si="6"/>
        <v>0</v>
      </c>
      <c r="R12" s="4692"/>
      <c r="S12" s="4680" t="s">
        <v>5742</v>
      </c>
      <c r="T12" s="4694"/>
      <c r="U12" s="4700"/>
      <c r="V12" s="4692"/>
      <c r="W12" s="4680" t="s">
        <v>4521</v>
      </c>
      <c r="X12" s="4695"/>
      <c r="Y12" s="4692"/>
      <c r="Z12" s="4692"/>
      <c r="AA12" s="4683" t="s">
        <v>5035</v>
      </c>
      <c r="AB12" s="4692"/>
      <c r="AC12" s="4683" t="s">
        <v>5050</v>
      </c>
      <c r="AD12" s="4692"/>
      <c r="AE12" s="4696"/>
      <c r="AF12" s="4685">
        <f t="shared" si="4"/>
        <v>0</v>
      </c>
    </row>
    <row r="13" spans="1:32" ht="33.75" customHeight="1">
      <c r="A13" s="4686">
        <v>6</v>
      </c>
      <c r="B13" s="4687"/>
      <c r="C13" s="4687"/>
      <c r="D13" s="4672"/>
      <c r="E13" s="4816"/>
      <c r="F13" s="4818"/>
      <c r="G13" s="5146"/>
      <c r="H13" s="4672">
        <f t="shared" si="2"/>
        <v>0</v>
      </c>
      <c r="I13" s="4691"/>
      <c r="J13" s="4692"/>
      <c r="K13" s="4693"/>
      <c r="L13" s="4692"/>
      <c r="M13" s="4692"/>
      <c r="N13" s="4692"/>
      <c r="O13" s="4692"/>
      <c r="P13" s="4678">
        <f t="shared" si="5"/>
        <v>0</v>
      </c>
      <c r="Q13" s="4679">
        <f t="shared" si="6"/>
        <v>0</v>
      </c>
      <c r="R13" s="4692"/>
      <c r="S13" s="4680" t="s">
        <v>5742</v>
      </c>
      <c r="T13" s="4694"/>
      <c r="U13" s="4700"/>
      <c r="V13" s="4692"/>
      <c r="W13" s="4680" t="s">
        <v>4521</v>
      </c>
      <c r="X13" s="4695"/>
      <c r="Y13" s="4692"/>
      <c r="Z13" s="4692"/>
      <c r="AA13" s="4683" t="s">
        <v>5035</v>
      </c>
      <c r="AB13" s="4692"/>
      <c r="AC13" s="4683" t="s">
        <v>5050</v>
      </c>
      <c r="AD13" s="4692"/>
      <c r="AE13" s="4696"/>
      <c r="AF13" s="4685">
        <f t="shared" si="4"/>
        <v>0</v>
      </c>
    </row>
    <row r="14" spans="1:32" ht="33.75" customHeight="1">
      <c r="A14" s="4686">
        <v>7</v>
      </c>
      <c r="B14" s="4687"/>
      <c r="C14" s="4687"/>
      <c r="D14" s="4672"/>
      <c r="E14" s="4816"/>
      <c r="F14" s="4818"/>
      <c r="G14" s="5146"/>
      <c r="H14" s="4672">
        <f t="shared" si="2"/>
        <v>0</v>
      </c>
      <c r="I14" s="4691"/>
      <c r="J14" s="4692"/>
      <c r="K14" s="4693"/>
      <c r="L14" s="4692"/>
      <c r="M14" s="4692"/>
      <c r="N14" s="4692"/>
      <c r="O14" s="4692"/>
      <c r="P14" s="4678">
        <f t="shared" si="5"/>
        <v>0</v>
      </c>
      <c r="Q14" s="4679">
        <f t="shared" si="6"/>
        <v>0</v>
      </c>
      <c r="R14" s="4692"/>
      <c r="S14" s="4680" t="s">
        <v>5742</v>
      </c>
      <c r="T14" s="4694"/>
      <c r="U14" s="4700"/>
      <c r="V14" s="4692"/>
      <c r="W14" s="4680" t="s">
        <v>4521</v>
      </c>
      <c r="X14" s="4695"/>
      <c r="Y14" s="4692"/>
      <c r="Z14" s="4692"/>
      <c r="AA14" s="4683" t="s">
        <v>5035</v>
      </c>
      <c r="AB14" s="4692"/>
      <c r="AC14" s="4683" t="s">
        <v>5050</v>
      </c>
      <c r="AD14" s="4692"/>
      <c r="AE14" s="4696"/>
      <c r="AF14" s="4685">
        <f t="shared" si="4"/>
        <v>0</v>
      </c>
    </row>
    <row r="15" spans="1:32" ht="33.75" customHeight="1">
      <c r="A15" s="4686">
        <v>8</v>
      </c>
      <c r="B15" s="4687"/>
      <c r="C15" s="4687"/>
      <c r="D15" s="4672"/>
      <c r="E15" s="4816"/>
      <c r="F15" s="4818"/>
      <c r="G15" s="5146"/>
      <c r="H15" s="4672">
        <f t="shared" si="2"/>
        <v>0</v>
      </c>
      <c r="I15" s="4691"/>
      <c r="J15" s="4692"/>
      <c r="K15" s="4693"/>
      <c r="L15" s="4692"/>
      <c r="M15" s="4692"/>
      <c r="N15" s="4692"/>
      <c r="O15" s="4692"/>
      <c r="P15" s="4678">
        <f t="shared" si="5"/>
        <v>0</v>
      </c>
      <c r="Q15" s="4679">
        <f t="shared" si="6"/>
        <v>0</v>
      </c>
      <c r="R15" s="4692"/>
      <c r="S15" s="4680" t="s">
        <v>5742</v>
      </c>
      <c r="T15" s="4694"/>
      <c r="U15" s="4700"/>
      <c r="V15" s="4692"/>
      <c r="W15" s="4680" t="s">
        <v>4521</v>
      </c>
      <c r="X15" s="4695"/>
      <c r="Y15" s="4692"/>
      <c r="Z15" s="4692"/>
      <c r="AA15" s="4683" t="s">
        <v>5035</v>
      </c>
      <c r="AB15" s="4692"/>
      <c r="AC15" s="4683" t="s">
        <v>5050</v>
      </c>
      <c r="AD15" s="4692"/>
      <c r="AE15" s="4696"/>
      <c r="AF15" s="4685">
        <f t="shared" si="4"/>
        <v>0</v>
      </c>
    </row>
    <row r="16" spans="1:32" ht="33.75" customHeight="1">
      <c r="A16" s="4686">
        <v>9</v>
      </c>
      <c r="B16" s="4687"/>
      <c r="C16" s="4687"/>
      <c r="D16" s="4672"/>
      <c r="E16" s="4816"/>
      <c r="F16" s="4818"/>
      <c r="G16" s="5146"/>
      <c r="H16" s="4672">
        <f t="shared" si="2"/>
        <v>0</v>
      </c>
      <c r="I16" s="4691"/>
      <c r="J16" s="4692"/>
      <c r="K16" s="4693"/>
      <c r="L16" s="4692"/>
      <c r="M16" s="4692"/>
      <c r="N16" s="4692"/>
      <c r="O16" s="4692"/>
      <c r="P16" s="4678">
        <f t="shared" si="5"/>
        <v>0</v>
      </c>
      <c r="Q16" s="4679">
        <f t="shared" si="6"/>
        <v>0</v>
      </c>
      <c r="R16" s="4692"/>
      <c r="S16" s="4680" t="s">
        <v>5742</v>
      </c>
      <c r="T16" s="4694"/>
      <c r="U16" s="4700"/>
      <c r="V16" s="4692"/>
      <c r="W16" s="4680" t="s">
        <v>4521</v>
      </c>
      <c r="X16" s="4695"/>
      <c r="Y16" s="4692"/>
      <c r="Z16" s="4692"/>
      <c r="AA16" s="4683" t="s">
        <v>5035</v>
      </c>
      <c r="AB16" s="4692"/>
      <c r="AC16" s="4683" t="s">
        <v>5050</v>
      </c>
      <c r="AD16" s="4692"/>
      <c r="AE16" s="4696"/>
      <c r="AF16" s="4685">
        <f t="shared" si="4"/>
        <v>0</v>
      </c>
    </row>
    <row r="17" spans="1:32" ht="33.75" customHeight="1">
      <c r="A17" s="4686">
        <v>10</v>
      </c>
      <c r="B17" s="4687"/>
      <c r="C17" s="4687"/>
      <c r="D17" s="4672"/>
      <c r="E17" s="4816"/>
      <c r="F17" s="4818"/>
      <c r="G17" s="5146"/>
      <c r="H17" s="4672">
        <f t="shared" si="2"/>
        <v>0</v>
      </c>
      <c r="I17" s="4691"/>
      <c r="J17" s="4692"/>
      <c r="K17" s="4693"/>
      <c r="L17" s="4692"/>
      <c r="M17" s="4692"/>
      <c r="N17" s="4692"/>
      <c r="O17" s="4692"/>
      <c r="P17" s="4678">
        <f t="shared" si="5"/>
        <v>0</v>
      </c>
      <c r="Q17" s="4679">
        <f t="shared" si="6"/>
        <v>0</v>
      </c>
      <c r="R17" s="4692"/>
      <c r="S17" s="4680" t="s">
        <v>5742</v>
      </c>
      <c r="T17" s="4694"/>
      <c r="U17" s="4700"/>
      <c r="V17" s="4692"/>
      <c r="W17" s="4680" t="s">
        <v>4521</v>
      </c>
      <c r="X17" s="4695"/>
      <c r="Y17" s="4692"/>
      <c r="Z17" s="4692"/>
      <c r="AA17" s="4683" t="s">
        <v>5035</v>
      </c>
      <c r="AB17" s="4692"/>
      <c r="AC17" s="4683" t="s">
        <v>5050</v>
      </c>
      <c r="AD17" s="4692"/>
      <c r="AE17" s="4696"/>
      <c r="AF17" s="4685">
        <f t="shared" si="4"/>
        <v>0</v>
      </c>
    </row>
    <row r="18" spans="1:32" ht="33.75" customHeight="1">
      <c r="A18" s="4686">
        <v>11</v>
      </c>
      <c r="B18" s="4687"/>
      <c r="C18" s="4687"/>
      <c r="D18" s="4672"/>
      <c r="E18" s="4816"/>
      <c r="F18" s="4818"/>
      <c r="G18" s="5146"/>
      <c r="H18" s="4672">
        <f t="shared" si="2"/>
        <v>0</v>
      </c>
      <c r="I18" s="4691"/>
      <c r="J18" s="4692"/>
      <c r="K18" s="4693"/>
      <c r="L18" s="4692"/>
      <c r="M18" s="4692"/>
      <c r="N18" s="4692"/>
      <c r="O18" s="4692"/>
      <c r="P18" s="4678">
        <f t="shared" si="5"/>
        <v>0</v>
      </c>
      <c r="Q18" s="4679">
        <f t="shared" si="6"/>
        <v>0</v>
      </c>
      <c r="R18" s="4692"/>
      <c r="S18" s="4680" t="s">
        <v>5742</v>
      </c>
      <c r="T18" s="4694"/>
      <c r="U18" s="4700"/>
      <c r="V18" s="4692"/>
      <c r="W18" s="4680" t="s">
        <v>4521</v>
      </c>
      <c r="X18" s="4695"/>
      <c r="Y18" s="4692"/>
      <c r="Z18" s="4692"/>
      <c r="AA18" s="4683" t="s">
        <v>5035</v>
      </c>
      <c r="AB18" s="4692"/>
      <c r="AC18" s="4683" t="s">
        <v>5050</v>
      </c>
      <c r="AD18" s="4692"/>
      <c r="AE18" s="4696"/>
      <c r="AF18" s="4685">
        <f t="shared" si="4"/>
        <v>0</v>
      </c>
    </row>
    <row r="19" spans="1:32" ht="33.75" customHeight="1">
      <c r="A19" s="4686">
        <v>12</v>
      </c>
      <c r="B19" s="4687"/>
      <c r="C19" s="4687"/>
      <c r="D19" s="4672"/>
      <c r="E19" s="4816"/>
      <c r="F19" s="4818"/>
      <c r="G19" s="5146"/>
      <c r="H19" s="4672">
        <f t="shared" si="2"/>
        <v>0</v>
      </c>
      <c r="I19" s="4691"/>
      <c r="J19" s="4692"/>
      <c r="K19" s="4693"/>
      <c r="L19" s="4692"/>
      <c r="M19" s="4692"/>
      <c r="N19" s="4692"/>
      <c r="O19" s="4692"/>
      <c r="P19" s="4678">
        <f t="shared" si="5"/>
        <v>0</v>
      </c>
      <c r="Q19" s="4679">
        <f t="shared" si="6"/>
        <v>0</v>
      </c>
      <c r="R19" s="4692"/>
      <c r="S19" s="4680" t="s">
        <v>5742</v>
      </c>
      <c r="T19" s="4694"/>
      <c r="U19" s="4700"/>
      <c r="V19" s="4692"/>
      <c r="W19" s="4680" t="s">
        <v>4521</v>
      </c>
      <c r="X19" s="4695"/>
      <c r="Y19" s="4692"/>
      <c r="Z19" s="4692"/>
      <c r="AA19" s="4683" t="s">
        <v>5035</v>
      </c>
      <c r="AB19" s="4692"/>
      <c r="AC19" s="4683" t="s">
        <v>5050</v>
      </c>
      <c r="AD19" s="4692"/>
      <c r="AE19" s="4696"/>
      <c r="AF19" s="4685">
        <f t="shared" si="4"/>
        <v>0</v>
      </c>
    </row>
    <row r="20" spans="1:32" ht="33.75" customHeight="1">
      <c r="A20" s="4686">
        <v>13</v>
      </c>
      <c r="B20" s="4687"/>
      <c r="C20" s="4687"/>
      <c r="D20" s="4672"/>
      <c r="E20" s="4816"/>
      <c r="F20" s="4818"/>
      <c r="G20" s="5146"/>
      <c r="H20" s="4672">
        <f t="shared" si="2"/>
        <v>0</v>
      </c>
      <c r="I20" s="4691"/>
      <c r="J20" s="4692"/>
      <c r="K20" s="4693"/>
      <c r="L20" s="4692"/>
      <c r="M20" s="4692"/>
      <c r="N20" s="4692"/>
      <c r="O20" s="4692"/>
      <c r="P20" s="4678">
        <f>SUM(D20,F20,H20)*K20</f>
        <v>0</v>
      </c>
      <c r="Q20" s="4679">
        <f t="shared" si="6"/>
        <v>0</v>
      </c>
      <c r="R20" s="4692"/>
      <c r="S20" s="4680" t="s">
        <v>5742</v>
      </c>
      <c r="T20" s="4694"/>
      <c r="U20" s="4700"/>
      <c r="V20" s="4692"/>
      <c r="W20" s="4680" t="s">
        <v>4521</v>
      </c>
      <c r="X20" s="4695"/>
      <c r="Y20" s="4692"/>
      <c r="Z20" s="4692"/>
      <c r="AA20" s="4683" t="s">
        <v>5035</v>
      </c>
      <c r="AB20" s="4692"/>
      <c r="AC20" s="4683" t="s">
        <v>5050</v>
      </c>
      <c r="AD20" s="4692"/>
      <c r="AE20" s="4696"/>
      <c r="AF20" s="4685">
        <f t="shared" si="4"/>
        <v>0</v>
      </c>
    </row>
    <row r="21" spans="1:32" ht="33.75" customHeight="1">
      <c r="A21" s="4686">
        <v>14</v>
      </c>
      <c r="B21" s="4687"/>
      <c r="C21" s="4687"/>
      <c r="D21" s="4672"/>
      <c r="E21" s="4816"/>
      <c r="F21" s="4818"/>
      <c r="G21" s="5146"/>
      <c r="H21" s="4672">
        <f t="shared" si="2"/>
        <v>0</v>
      </c>
      <c r="I21" s="4691"/>
      <c r="J21" s="4692"/>
      <c r="K21" s="4693"/>
      <c r="L21" s="4692"/>
      <c r="M21" s="4692"/>
      <c r="N21" s="4692"/>
      <c r="O21" s="4692"/>
      <c r="P21" s="4678">
        <f t="shared" si="5"/>
        <v>0</v>
      </c>
      <c r="Q21" s="4679">
        <f t="shared" si="6"/>
        <v>0</v>
      </c>
      <c r="R21" s="4692"/>
      <c r="S21" s="4680" t="s">
        <v>5742</v>
      </c>
      <c r="T21" s="4694"/>
      <c r="U21" s="4700"/>
      <c r="V21" s="4692"/>
      <c r="W21" s="4680" t="s">
        <v>4521</v>
      </c>
      <c r="X21" s="4695"/>
      <c r="Y21" s="4692"/>
      <c r="Z21" s="4692"/>
      <c r="AA21" s="4683" t="s">
        <v>5035</v>
      </c>
      <c r="AB21" s="4692"/>
      <c r="AC21" s="4683" t="s">
        <v>5050</v>
      </c>
      <c r="AD21" s="4692"/>
      <c r="AE21" s="4696"/>
      <c r="AF21" s="4685">
        <f t="shared" si="4"/>
        <v>0</v>
      </c>
    </row>
    <row r="22" spans="1:32" ht="33.75" customHeight="1" thickBot="1">
      <c r="A22" s="4686">
        <v>15</v>
      </c>
      <c r="B22" s="4687"/>
      <c r="C22" s="4687"/>
      <c r="D22" s="4672"/>
      <c r="E22" s="4816"/>
      <c r="F22" s="4818"/>
      <c r="G22" s="5146"/>
      <c r="H22" s="4672">
        <f t="shared" si="2"/>
        <v>0</v>
      </c>
      <c r="I22" s="4691"/>
      <c r="J22" s="4692"/>
      <c r="K22" s="4693"/>
      <c r="L22" s="4692"/>
      <c r="M22" s="4692"/>
      <c r="N22" s="4692"/>
      <c r="O22" s="4692"/>
      <c r="P22" s="4678">
        <f t="shared" si="5"/>
        <v>0</v>
      </c>
      <c r="Q22" s="4679">
        <f t="shared" si="6"/>
        <v>0</v>
      </c>
      <c r="R22" s="4692"/>
      <c r="S22" s="4680" t="s">
        <v>5739</v>
      </c>
      <c r="T22" s="4694"/>
      <c r="U22" s="4700"/>
      <c r="V22" s="4692"/>
      <c r="W22" s="4680" t="s">
        <v>4521</v>
      </c>
      <c r="X22" s="4695"/>
      <c r="Y22" s="4692"/>
      <c r="Z22" s="4692"/>
      <c r="AA22" s="4683" t="s">
        <v>5035</v>
      </c>
      <c r="AB22" s="4692"/>
      <c r="AC22" s="4683" t="s">
        <v>5050</v>
      </c>
      <c r="AD22" s="4692"/>
      <c r="AE22" s="4696"/>
      <c r="AF22" s="4685">
        <f t="shared" si="4"/>
        <v>0</v>
      </c>
    </row>
    <row r="23" spans="1:32" ht="33.75" customHeight="1" thickTop="1" thickBot="1">
      <c r="A23" s="4701"/>
      <c r="B23" s="4702"/>
      <c r="C23" s="4702"/>
      <c r="D23" s="4702"/>
      <c r="E23" s="4702"/>
      <c r="F23" s="4703"/>
      <c r="G23" s="4704"/>
      <c r="H23" s="4702"/>
      <c r="I23" s="4705" t="s">
        <v>2432</v>
      </c>
      <c r="J23" s="4706">
        <f>SUM(J8:J22)</f>
        <v>369</v>
      </c>
      <c r="K23" s="4707">
        <f>SUM(K8:K22)</f>
        <v>225</v>
      </c>
      <c r="L23" s="4703"/>
      <c r="M23" s="4703"/>
      <c r="N23" s="4703"/>
      <c r="O23" s="4703"/>
      <c r="P23" s="4706">
        <f>SUM(P8:P22)</f>
        <v>2925</v>
      </c>
      <c r="Q23" s="4706">
        <f>SUM(Q8:Q22)</f>
        <v>104560000</v>
      </c>
      <c r="R23" s="6863"/>
      <c r="S23" s="6864"/>
      <c r="T23" s="6865"/>
      <c r="U23" s="4708"/>
      <c r="V23" s="6863"/>
      <c r="W23" s="6864"/>
      <c r="X23" s="6864"/>
      <c r="Y23" s="4708"/>
      <c r="Z23" s="4708"/>
      <c r="AA23" s="6866"/>
      <c r="AB23" s="6867"/>
      <c r="AC23" s="6866"/>
      <c r="AD23" s="6867"/>
      <c r="AE23" s="4709"/>
      <c r="AF23" s="4685">
        <f>SUM(AF8:AF22)</f>
        <v>335</v>
      </c>
    </row>
    <row r="24" spans="1:32" ht="33.75" customHeight="1" thickBot="1">
      <c r="C24" s="4710"/>
      <c r="D24" s="4710"/>
      <c r="E24" s="4710"/>
      <c r="F24" s="4710"/>
      <c r="G24" s="4710"/>
      <c r="H24" s="4710"/>
      <c r="I24" s="4711"/>
      <c r="J24" s="4712"/>
      <c r="K24" s="4710"/>
      <c r="L24" s="4713" t="s">
        <v>5748</v>
      </c>
      <c r="M24" s="4714">
        <f>SUM(N8:N22)</f>
        <v>8275000</v>
      </c>
      <c r="N24" s="4715"/>
      <c r="O24" s="4715"/>
      <c r="P24" s="4715"/>
      <c r="S24" s="4656"/>
      <c r="W24" s="4656"/>
    </row>
    <row r="25" spans="1:32" ht="33.75" customHeight="1">
      <c r="A25" s="6845" t="s">
        <v>5749</v>
      </c>
      <c r="B25" s="6846"/>
      <c r="C25" s="4716">
        <f>P23</f>
        <v>2925</v>
      </c>
      <c r="D25" s="4717"/>
      <c r="F25" s="4718"/>
      <c r="H25" s="4719"/>
      <c r="I25" s="4720"/>
      <c r="K25" s="4659"/>
      <c r="L25" s="4721" t="s">
        <v>5750</v>
      </c>
      <c r="M25" s="4722">
        <f>M24*1.1</f>
        <v>9102500</v>
      </c>
      <c r="P25" s="4656"/>
    </row>
    <row r="26" spans="1:32" ht="33.75" customHeight="1">
      <c r="A26" s="6847" t="s">
        <v>5883</v>
      </c>
      <c r="B26" s="6848"/>
      <c r="C26" s="4723">
        <f>Q23</f>
        <v>104560000</v>
      </c>
      <c r="D26" s="4717"/>
      <c r="F26" s="4724"/>
      <c r="H26" s="4719"/>
      <c r="I26" s="4720"/>
      <c r="K26" s="4659"/>
      <c r="P26" s="4656"/>
    </row>
    <row r="27" spans="1:32" ht="33.75" customHeight="1" thickBot="1">
      <c r="A27" s="6913" t="s">
        <v>5751</v>
      </c>
      <c r="B27" s="6914"/>
      <c r="C27" s="4987">
        <f>ROUNDDOWN(C26*1.1,0)</f>
        <v>115016000</v>
      </c>
      <c r="D27" s="4719"/>
      <c r="F27" s="4724"/>
      <c r="H27" s="4719"/>
      <c r="I27" s="4720"/>
      <c r="K27" s="4659"/>
      <c r="P27" s="4656"/>
    </row>
    <row r="28" spans="1:32" ht="32.15" customHeight="1">
      <c r="A28" s="4726"/>
      <c r="B28" s="4726"/>
      <c r="C28" s="4726"/>
      <c r="D28" s="4726"/>
      <c r="E28" s="4726"/>
      <c r="F28" s="4726"/>
      <c r="G28" s="4726"/>
      <c r="H28" s="4726"/>
      <c r="I28" s="4727"/>
    </row>
    <row r="29" spans="1:32" ht="33.75" hidden="1" customHeight="1" thickBot="1">
      <c r="A29" s="4665" t="s">
        <v>5807</v>
      </c>
      <c r="B29" s="4665"/>
      <c r="S29" s="4656"/>
      <c r="W29" s="4656"/>
      <c r="Z29" s="4656"/>
      <c r="AA29" s="4656"/>
      <c r="AB29" s="4656"/>
      <c r="AC29" s="4656"/>
      <c r="AD29" s="4656"/>
      <c r="AF29" s="4656" t="s">
        <v>5712</v>
      </c>
    </row>
    <row r="30" spans="1:32" s="4666" customFormat="1" ht="33.75" hidden="1" customHeight="1">
      <c r="A30" s="6877" t="s">
        <v>5713</v>
      </c>
      <c r="B30" s="6879" t="s">
        <v>5714</v>
      </c>
      <c r="C30" s="6855" t="s">
        <v>5715</v>
      </c>
      <c r="D30" s="6855" t="s">
        <v>5716</v>
      </c>
      <c r="E30" s="6855" t="s">
        <v>5717</v>
      </c>
      <c r="F30" s="6868" t="s">
        <v>5718</v>
      </c>
      <c r="G30" s="6855" t="s">
        <v>5719</v>
      </c>
      <c r="H30" s="6855" t="s">
        <v>5720</v>
      </c>
      <c r="I30" s="6857" t="s">
        <v>5721</v>
      </c>
      <c r="J30" s="6851" t="s">
        <v>5722</v>
      </c>
      <c r="K30" s="6851" t="s">
        <v>5723</v>
      </c>
      <c r="L30" s="6855" t="s">
        <v>5796</v>
      </c>
      <c r="M30" s="6855" t="s">
        <v>5797</v>
      </c>
      <c r="N30" s="5922"/>
      <c r="O30" s="6855" t="s">
        <v>5798</v>
      </c>
      <c r="P30" s="6851" t="s">
        <v>3766</v>
      </c>
      <c r="Q30" s="6853"/>
      <c r="R30" s="6868" t="s">
        <v>5728</v>
      </c>
      <c r="S30" s="6869"/>
      <c r="T30" s="6870"/>
      <c r="U30" s="6855" t="s">
        <v>5729</v>
      </c>
      <c r="V30" s="6869" t="s">
        <v>5730</v>
      </c>
      <c r="W30" s="6869"/>
      <c r="X30" s="6869"/>
      <c r="Y30" s="6868" t="s">
        <v>5731</v>
      </c>
      <c r="Z30" s="6851" t="s">
        <v>5732</v>
      </c>
      <c r="AA30" s="6851" t="s">
        <v>5733</v>
      </c>
      <c r="AB30" s="6853"/>
      <c r="AC30" s="6853"/>
      <c r="AD30" s="6853"/>
      <c r="AE30" s="6860" t="s">
        <v>2792</v>
      </c>
      <c r="AF30" s="6862" t="s">
        <v>5734</v>
      </c>
    </row>
    <row r="31" spans="1:32" s="4666" customFormat="1" ht="20" hidden="1">
      <c r="A31" s="6878"/>
      <c r="B31" s="6880"/>
      <c r="C31" s="6858"/>
      <c r="D31" s="6856"/>
      <c r="E31" s="6856"/>
      <c r="F31" s="6881"/>
      <c r="G31" s="6856"/>
      <c r="H31" s="6856"/>
      <c r="I31" s="6858"/>
      <c r="J31" s="6859"/>
      <c r="K31" s="6859"/>
      <c r="L31" s="6856"/>
      <c r="M31" s="6856"/>
      <c r="N31" s="5923"/>
      <c r="O31" s="6856"/>
      <c r="P31" s="4667" t="s">
        <v>5735</v>
      </c>
      <c r="Q31" s="4668" t="s">
        <v>5736</v>
      </c>
      <c r="R31" s="6871"/>
      <c r="S31" s="6872"/>
      <c r="T31" s="6873"/>
      <c r="U31" s="6856"/>
      <c r="V31" s="6872"/>
      <c r="W31" s="6872"/>
      <c r="X31" s="6872"/>
      <c r="Y31" s="6852"/>
      <c r="Z31" s="6852"/>
      <c r="AA31" s="6852"/>
      <c r="AB31" s="6854"/>
      <c r="AC31" s="6854"/>
      <c r="AD31" s="6854"/>
      <c r="AE31" s="6861"/>
      <c r="AF31" s="6862"/>
    </row>
    <row r="32" spans="1:32" ht="33.75" hidden="1" customHeight="1">
      <c r="A32" s="4669" t="s">
        <v>5737</v>
      </c>
      <c r="B32" s="4826">
        <v>46305</v>
      </c>
      <c r="C32" s="4827">
        <v>46307</v>
      </c>
      <c r="D32" s="4672">
        <f>IF(_xlfn.DAYS(C32,B32)=0,"1",_xlfn.DAYS(C32,B32))</f>
        <v>2</v>
      </c>
      <c r="E32" s="4827">
        <v>46319</v>
      </c>
      <c r="F32" s="4672">
        <f>IF(_xlfn.DAYS(E32,C32)=0,"1",_xlfn.DAYS(E32,C32))+1</f>
        <v>13</v>
      </c>
      <c r="G32" s="4827">
        <v>46321</v>
      </c>
      <c r="H32" s="4672">
        <f>IF(_xlfn.DAYS(G32,E32)=0,"1",_xlfn.DAYS(G32,E32))-1</f>
        <v>1</v>
      </c>
      <c r="I32" s="4674" t="s">
        <v>5738</v>
      </c>
      <c r="J32" s="4677">
        <v>100</v>
      </c>
      <c r="K32" s="4676">
        <v>90</v>
      </c>
      <c r="L32" s="4677">
        <v>9000</v>
      </c>
      <c r="M32" s="4677">
        <v>10000</v>
      </c>
      <c r="N32" s="4677"/>
      <c r="O32" s="4677">
        <v>8000</v>
      </c>
      <c r="P32" s="4678">
        <f>SUM(D32,F32,H32)*K32</f>
        <v>1440</v>
      </c>
      <c r="Q32" s="4677">
        <f>(D32*L32+F32*M32+H32*O32)*K32</f>
        <v>14040000</v>
      </c>
      <c r="R32" s="4682">
        <v>21</v>
      </c>
      <c r="S32" s="4680" t="s">
        <v>5739</v>
      </c>
      <c r="T32" s="4682">
        <v>21</v>
      </c>
      <c r="U32" s="4815">
        <v>1</v>
      </c>
      <c r="V32" s="4675">
        <v>154</v>
      </c>
      <c r="W32" s="4680" t="s">
        <v>4521</v>
      </c>
      <c r="X32" s="4682">
        <v>203</v>
      </c>
      <c r="Y32" s="4675">
        <v>1</v>
      </c>
      <c r="Z32" s="4675" t="s">
        <v>5740</v>
      </c>
      <c r="AA32" s="4683" t="s">
        <v>5035</v>
      </c>
      <c r="AB32" s="4675" t="s">
        <v>2830</v>
      </c>
      <c r="AC32" s="4683" t="s">
        <v>5050</v>
      </c>
      <c r="AD32" s="4675" t="s">
        <v>5741</v>
      </c>
      <c r="AE32" s="4684"/>
      <c r="AF32" s="4685">
        <f>U32*K32</f>
        <v>90</v>
      </c>
    </row>
    <row r="33" spans="1:32" ht="33.75" hidden="1" customHeight="1">
      <c r="A33" s="4828">
        <v>1</v>
      </c>
      <c r="B33" s="4833"/>
      <c r="C33" s="4829"/>
      <c r="D33" s="4672" t="str">
        <f t="shared" ref="D33:D47" si="7">IF(_xlfn.DAYS(C33,B33)=0,"1",_xlfn.DAYS(C33,B33))</f>
        <v>1</v>
      </c>
      <c r="E33" s="4829"/>
      <c r="F33" s="4672">
        <f t="shared" ref="F33:F47" si="8">IF(_xlfn.DAYS(E33,C33)=0,"1",_xlfn.DAYS(E33,C33))+1</f>
        <v>2</v>
      </c>
      <c r="G33" s="4699"/>
      <c r="H33" s="4672">
        <f t="shared" ref="H33:H47" si="9">IF(_xlfn.DAYS(G33,E33)=0,"1",_xlfn.DAYS(G33,E33))-1</f>
        <v>0</v>
      </c>
      <c r="I33" s="4831"/>
      <c r="J33" s="4834"/>
      <c r="K33" s="4835"/>
      <c r="L33" s="4834"/>
      <c r="M33" s="4834"/>
      <c r="N33" s="4834"/>
      <c r="O33" s="4834"/>
      <c r="P33" s="4678">
        <f t="shared" ref="P33:P46" si="10">SUM(D33,F33,H33)*K33</f>
        <v>0</v>
      </c>
      <c r="Q33" s="4677">
        <f t="shared" ref="Q33:Q47" si="11">(D33*L33+F33*M33+H33*O33)*K33</f>
        <v>0</v>
      </c>
      <c r="R33" s="4836"/>
      <c r="S33" s="4837" t="s">
        <v>5742</v>
      </c>
      <c r="T33" s="4836"/>
      <c r="U33" s="4838"/>
      <c r="V33" s="4834"/>
      <c r="W33" s="4837" t="s">
        <v>4521</v>
      </c>
      <c r="X33" s="4836"/>
      <c r="Y33" s="4834"/>
      <c r="Z33" s="4834"/>
      <c r="AA33" s="4839" t="s">
        <v>5035</v>
      </c>
      <c r="AB33" s="4834"/>
      <c r="AC33" s="4839" t="s">
        <v>5050</v>
      </c>
      <c r="AD33" s="4834"/>
      <c r="AE33" s="4832"/>
      <c r="AF33" s="4685">
        <f t="shared" ref="AF33:AF47" si="12">U33*K33</f>
        <v>0</v>
      </c>
    </row>
    <row r="34" spans="1:32" ht="33.75" hidden="1" customHeight="1">
      <c r="A34" s="4828">
        <v>2</v>
      </c>
      <c r="B34" s="4833"/>
      <c r="C34" s="4829"/>
      <c r="D34" s="4672" t="str">
        <f t="shared" si="7"/>
        <v>1</v>
      </c>
      <c r="E34" s="4829"/>
      <c r="F34" s="4672">
        <f>IF(_xlfn.DAYS(E34,C34)=0,"1",_xlfn.DAYS(E34,C34))+1</f>
        <v>2</v>
      </c>
      <c r="G34" s="4699"/>
      <c r="H34" s="4672">
        <f t="shared" si="9"/>
        <v>0</v>
      </c>
      <c r="I34" s="4831"/>
      <c r="J34" s="4834"/>
      <c r="K34" s="4835"/>
      <c r="L34" s="4834"/>
      <c r="M34" s="4834"/>
      <c r="N34" s="4834"/>
      <c r="O34" s="4834"/>
      <c r="P34" s="4678">
        <f t="shared" si="10"/>
        <v>0</v>
      </c>
      <c r="Q34" s="4677">
        <f t="shared" si="11"/>
        <v>0</v>
      </c>
      <c r="R34" s="4836"/>
      <c r="S34" s="4837" t="s">
        <v>5742</v>
      </c>
      <c r="T34" s="4836"/>
      <c r="U34" s="4838"/>
      <c r="V34" s="4834"/>
      <c r="W34" s="4837" t="s">
        <v>4521</v>
      </c>
      <c r="X34" s="4836"/>
      <c r="Y34" s="4834"/>
      <c r="Z34" s="4834"/>
      <c r="AA34" s="4839" t="s">
        <v>5035</v>
      </c>
      <c r="AB34" s="4834"/>
      <c r="AC34" s="4839" t="s">
        <v>5050</v>
      </c>
      <c r="AD34" s="4834"/>
      <c r="AE34" s="4832"/>
      <c r="AF34" s="4685">
        <f t="shared" si="12"/>
        <v>0</v>
      </c>
    </row>
    <row r="35" spans="1:32" ht="33.75" hidden="1" customHeight="1">
      <c r="A35" s="4828">
        <v>3</v>
      </c>
      <c r="B35" s="4833"/>
      <c r="C35" s="4829"/>
      <c r="D35" s="4672" t="str">
        <f t="shared" si="7"/>
        <v>1</v>
      </c>
      <c r="E35" s="4829"/>
      <c r="F35" s="4672">
        <f t="shared" ref="F35:F37" si="13">IF(_xlfn.DAYS(E35,C35)=0,"1",_xlfn.DAYS(E35,C35))+1</f>
        <v>2</v>
      </c>
      <c r="G35" s="4699"/>
      <c r="H35" s="4672">
        <f t="shared" si="9"/>
        <v>0</v>
      </c>
      <c r="I35" s="4831"/>
      <c r="J35" s="4834"/>
      <c r="K35" s="4835"/>
      <c r="L35" s="4834"/>
      <c r="M35" s="4834"/>
      <c r="N35" s="4834"/>
      <c r="O35" s="4834"/>
      <c r="P35" s="4678">
        <f t="shared" si="10"/>
        <v>0</v>
      </c>
      <c r="Q35" s="4677">
        <f t="shared" si="11"/>
        <v>0</v>
      </c>
      <c r="R35" s="4836"/>
      <c r="S35" s="4837" t="s">
        <v>5742</v>
      </c>
      <c r="T35" s="4836"/>
      <c r="U35" s="4838"/>
      <c r="V35" s="4834"/>
      <c r="W35" s="4837" t="s">
        <v>4521</v>
      </c>
      <c r="X35" s="4836"/>
      <c r="Y35" s="4834"/>
      <c r="Z35" s="4834"/>
      <c r="AA35" s="4839" t="s">
        <v>5035</v>
      </c>
      <c r="AB35" s="4834"/>
      <c r="AC35" s="4839" t="s">
        <v>5050</v>
      </c>
      <c r="AD35" s="4834"/>
      <c r="AE35" s="4832"/>
      <c r="AF35" s="4685">
        <f t="shared" si="12"/>
        <v>0</v>
      </c>
    </row>
    <row r="36" spans="1:32" ht="33.75" hidden="1" customHeight="1">
      <c r="A36" s="4828">
        <v>4</v>
      </c>
      <c r="B36" s="4833"/>
      <c r="C36" s="4829"/>
      <c r="D36" s="4672" t="str">
        <f t="shared" si="7"/>
        <v>1</v>
      </c>
      <c r="E36" s="4829"/>
      <c r="F36" s="4672">
        <f t="shared" si="13"/>
        <v>2</v>
      </c>
      <c r="G36" s="4699"/>
      <c r="H36" s="4672">
        <f t="shared" si="9"/>
        <v>0</v>
      </c>
      <c r="I36" s="4831"/>
      <c r="J36" s="4834"/>
      <c r="K36" s="4835"/>
      <c r="L36" s="4834"/>
      <c r="M36" s="4834"/>
      <c r="N36" s="4834"/>
      <c r="O36" s="4834"/>
      <c r="P36" s="4678">
        <f t="shared" si="10"/>
        <v>0</v>
      </c>
      <c r="Q36" s="4677">
        <f t="shared" si="11"/>
        <v>0</v>
      </c>
      <c r="R36" s="4836"/>
      <c r="S36" s="4837" t="s">
        <v>5742</v>
      </c>
      <c r="T36" s="4836"/>
      <c r="U36" s="4838"/>
      <c r="V36" s="4834"/>
      <c r="W36" s="4837" t="s">
        <v>4521</v>
      </c>
      <c r="X36" s="4836"/>
      <c r="Y36" s="4834"/>
      <c r="Z36" s="4834"/>
      <c r="AA36" s="4839" t="s">
        <v>5035</v>
      </c>
      <c r="AB36" s="4834"/>
      <c r="AC36" s="4839" t="s">
        <v>5050</v>
      </c>
      <c r="AD36" s="4834"/>
      <c r="AE36" s="4832"/>
      <c r="AF36" s="4685">
        <f t="shared" si="12"/>
        <v>0</v>
      </c>
    </row>
    <row r="37" spans="1:32" ht="33.75" hidden="1" customHeight="1">
      <c r="A37" s="4828">
        <v>5</v>
      </c>
      <c r="B37" s="4833"/>
      <c r="C37" s="4829"/>
      <c r="D37" s="4672" t="str">
        <f t="shared" si="7"/>
        <v>1</v>
      </c>
      <c r="E37" s="4829"/>
      <c r="F37" s="4672">
        <f t="shared" si="13"/>
        <v>2</v>
      </c>
      <c r="G37" s="4699"/>
      <c r="H37" s="4672">
        <f t="shared" si="9"/>
        <v>0</v>
      </c>
      <c r="I37" s="4831"/>
      <c r="J37" s="4834"/>
      <c r="K37" s="4835"/>
      <c r="L37" s="4834"/>
      <c r="M37" s="4834"/>
      <c r="N37" s="4834"/>
      <c r="O37" s="4834"/>
      <c r="P37" s="4678">
        <f t="shared" si="10"/>
        <v>0</v>
      </c>
      <c r="Q37" s="4677">
        <f t="shared" si="11"/>
        <v>0</v>
      </c>
      <c r="R37" s="4836"/>
      <c r="S37" s="4837" t="s">
        <v>5742</v>
      </c>
      <c r="T37" s="4836"/>
      <c r="U37" s="4838"/>
      <c r="V37" s="4834"/>
      <c r="W37" s="4837" t="s">
        <v>4521</v>
      </c>
      <c r="X37" s="4836"/>
      <c r="Y37" s="4834"/>
      <c r="Z37" s="4834"/>
      <c r="AA37" s="4839" t="s">
        <v>5035</v>
      </c>
      <c r="AB37" s="4834"/>
      <c r="AC37" s="4839" t="s">
        <v>5050</v>
      </c>
      <c r="AD37" s="4834"/>
      <c r="AE37" s="4832"/>
      <c r="AF37" s="4685">
        <f t="shared" si="12"/>
        <v>0</v>
      </c>
    </row>
    <row r="38" spans="1:32" ht="33.75" hidden="1" customHeight="1">
      <c r="A38" s="4828">
        <v>6</v>
      </c>
      <c r="B38" s="4833"/>
      <c r="C38" s="4829"/>
      <c r="D38" s="4672" t="str">
        <f t="shared" si="7"/>
        <v>1</v>
      </c>
      <c r="E38" s="4829"/>
      <c r="F38" s="4672">
        <f>IF(_xlfn.DAYS(E38,C38)=0,"1",_xlfn.DAYS(E38,C38))+1</f>
        <v>2</v>
      </c>
      <c r="G38" s="4699"/>
      <c r="H38" s="4672">
        <f t="shared" si="9"/>
        <v>0</v>
      </c>
      <c r="I38" s="4831"/>
      <c r="J38" s="4834"/>
      <c r="K38" s="4835"/>
      <c r="L38" s="4834"/>
      <c r="M38" s="4834"/>
      <c r="N38" s="4834"/>
      <c r="O38" s="4834"/>
      <c r="P38" s="4678">
        <f t="shared" si="10"/>
        <v>0</v>
      </c>
      <c r="Q38" s="4677">
        <f t="shared" si="11"/>
        <v>0</v>
      </c>
      <c r="R38" s="4836"/>
      <c r="S38" s="4837" t="s">
        <v>5742</v>
      </c>
      <c r="T38" s="4836"/>
      <c r="U38" s="4838"/>
      <c r="V38" s="4834"/>
      <c r="W38" s="4837" t="s">
        <v>4521</v>
      </c>
      <c r="X38" s="4836"/>
      <c r="Y38" s="4834"/>
      <c r="Z38" s="4834"/>
      <c r="AA38" s="4839" t="s">
        <v>5035</v>
      </c>
      <c r="AB38" s="4834"/>
      <c r="AC38" s="4839" t="s">
        <v>5050</v>
      </c>
      <c r="AD38" s="4834"/>
      <c r="AE38" s="4832"/>
      <c r="AF38" s="4685">
        <f t="shared" si="12"/>
        <v>0</v>
      </c>
    </row>
    <row r="39" spans="1:32" ht="33.75" hidden="1" customHeight="1">
      <c r="A39" s="4828">
        <v>7</v>
      </c>
      <c r="B39" s="4833"/>
      <c r="C39" s="4829"/>
      <c r="D39" s="4672" t="str">
        <f t="shared" si="7"/>
        <v>1</v>
      </c>
      <c r="E39" s="4829"/>
      <c r="F39" s="4672">
        <f t="shared" si="8"/>
        <v>2</v>
      </c>
      <c r="G39" s="4699"/>
      <c r="H39" s="4672">
        <f t="shared" si="9"/>
        <v>0</v>
      </c>
      <c r="I39" s="4831"/>
      <c r="J39" s="4834"/>
      <c r="K39" s="4835"/>
      <c r="L39" s="4834"/>
      <c r="M39" s="4834"/>
      <c r="N39" s="4834"/>
      <c r="O39" s="4834"/>
      <c r="P39" s="4678">
        <f t="shared" si="10"/>
        <v>0</v>
      </c>
      <c r="Q39" s="4677">
        <f t="shared" si="11"/>
        <v>0</v>
      </c>
      <c r="R39" s="4836"/>
      <c r="S39" s="4837" t="s">
        <v>5742</v>
      </c>
      <c r="T39" s="4836"/>
      <c r="U39" s="4838"/>
      <c r="V39" s="4834"/>
      <c r="W39" s="4837" t="s">
        <v>4521</v>
      </c>
      <c r="X39" s="4836"/>
      <c r="Y39" s="4834"/>
      <c r="Z39" s="4834"/>
      <c r="AA39" s="4839" t="s">
        <v>5035</v>
      </c>
      <c r="AB39" s="4834"/>
      <c r="AC39" s="4839" t="s">
        <v>5050</v>
      </c>
      <c r="AD39" s="4834"/>
      <c r="AE39" s="4832"/>
      <c r="AF39" s="4685">
        <f t="shared" si="12"/>
        <v>0</v>
      </c>
    </row>
    <row r="40" spans="1:32" ht="33.75" hidden="1" customHeight="1">
      <c r="A40" s="4828">
        <v>8</v>
      </c>
      <c r="B40" s="4833"/>
      <c r="C40" s="4829"/>
      <c r="D40" s="4672" t="str">
        <f t="shared" si="7"/>
        <v>1</v>
      </c>
      <c r="E40" s="4829"/>
      <c r="F40" s="4672">
        <f t="shared" si="8"/>
        <v>2</v>
      </c>
      <c r="G40" s="4699"/>
      <c r="H40" s="4672">
        <f t="shared" si="9"/>
        <v>0</v>
      </c>
      <c r="I40" s="4831"/>
      <c r="J40" s="4834"/>
      <c r="K40" s="4835"/>
      <c r="L40" s="4834"/>
      <c r="M40" s="4834"/>
      <c r="N40" s="4834"/>
      <c r="O40" s="4834"/>
      <c r="P40" s="4678">
        <f t="shared" si="10"/>
        <v>0</v>
      </c>
      <c r="Q40" s="4677">
        <f t="shared" si="11"/>
        <v>0</v>
      </c>
      <c r="R40" s="4836"/>
      <c r="S40" s="4837" t="s">
        <v>5742</v>
      </c>
      <c r="T40" s="4836"/>
      <c r="U40" s="4838"/>
      <c r="V40" s="4834"/>
      <c r="W40" s="4837" t="s">
        <v>4521</v>
      </c>
      <c r="X40" s="4836"/>
      <c r="Y40" s="4834"/>
      <c r="Z40" s="4834"/>
      <c r="AA40" s="4839" t="s">
        <v>5035</v>
      </c>
      <c r="AB40" s="4834"/>
      <c r="AC40" s="4839" t="s">
        <v>5050</v>
      </c>
      <c r="AD40" s="4834"/>
      <c r="AE40" s="4832"/>
      <c r="AF40" s="4685">
        <f t="shared" si="12"/>
        <v>0</v>
      </c>
    </row>
    <row r="41" spans="1:32" ht="33.75" hidden="1" customHeight="1">
      <c r="A41" s="4828">
        <v>9</v>
      </c>
      <c r="B41" s="4833"/>
      <c r="C41" s="4829"/>
      <c r="D41" s="4672" t="str">
        <f t="shared" si="7"/>
        <v>1</v>
      </c>
      <c r="E41" s="4829"/>
      <c r="F41" s="4672">
        <f t="shared" si="8"/>
        <v>2</v>
      </c>
      <c r="G41" s="4699"/>
      <c r="H41" s="4672">
        <f t="shared" si="9"/>
        <v>0</v>
      </c>
      <c r="I41" s="4831"/>
      <c r="J41" s="4834"/>
      <c r="K41" s="4835"/>
      <c r="L41" s="4834"/>
      <c r="M41" s="4834"/>
      <c r="N41" s="4834"/>
      <c r="O41" s="4834"/>
      <c r="P41" s="4678">
        <f t="shared" si="10"/>
        <v>0</v>
      </c>
      <c r="Q41" s="4677">
        <f t="shared" si="11"/>
        <v>0</v>
      </c>
      <c r="R41" s="4836"/>
      <c r="S41" s="4837" t="s">
        <v>5742</v>
      </c>
      <c r="T41" s="4836"/>
      <c r="U41" s="4838"/>
      <c r="V41" s="4834"/>
      <c r="W41" s="4837" t="s">
        <v>4521</v>
      </c>
      <c r="X41" s="4836"/>
      <c r="Y41" s="4834"/>
      <c r="Z41" s="4834"/>
      <c r="AA41" s="4839" t="s">
        <v>5035</v>
      </c>
      <c r="AB41" s="4834"/>
      <c r="AC41" s="4839" t="s">
        <v>5050</v>
      </c>
      <c r="AD41" s="4834"/>
      <c r="AE41" s="4832"/>
      <c r="AF41" s="4685">
        <f t="shared" si="12"/>
        <v>0</v>
      </c>
    </row>
    <row r="42" spans="1:32" ht="33.75" hidden="1" customHeight="1">
      <c r="A42" s="4828">
        <v>10</v>
      </c>
      <c r="B42" s="4833"/>
      <c r="C42" s="4829"/>
      <c r="D42" s="4672" t="str">
        <f t="shared" si="7"/>
        <v>1</v>
      </c>
      <c r="E42" s="4829"/>
      <c r="F42" s="4672">
        <f t="shared" si="8"/>
        <v>2</v>
      </c>
      <c r="G42" s="4699"/>
      <c r="H42" s="4672">
        <f t="shared" si="9"/>
        <v>0</v>
      </c>
      <c r="I42" s="4831"/>
      <c r="J42" s="4834"/>
      <c r="K42" s="4835"/>
      <c r="L42" s="4834"/>
      <c r="M42" s="4834"/>
      <c r="N42" s="4834"/>
      <c r="O42" s="4834"/>
      <c r="P42" s="4678">
        <f t="shared" si="10"/>
        <v>0</v>
      </c>
      <c r="Q42" s="4677">
        <f t="shared" si="11"/>
        <v>0</v>
      </c>
      <c r="R42" s="4836"/>
      <c r="S42" s="4837" t="s">
        <v>5742</v>
      </c>
      <c r="T42" s="4836"/>
      <c r="U42" s="4838"/>
      <c r="V42" s="4834"/>
      <c r="W42" s="4837" t="s">
        <v>4521</v>
      </c>
      <c r="X42" s="4836"/>
      <c r="Y42" s="4834"/>
      <c r="Z42" s="4834"/>
      <c r="AA42" s="4839" t="s">
        <v>5035</v>
      </c>
      <c r="AB42" s="4834"/>
      <c r="AC42" s="4839" t="s">
        <v>5050</v>
      </c>
      <c r="AD42" s="4834"/>
      <c r="AE42" s="4832"/>
      <c r="AF42" s="4685">
        <f t="shared" si="12"/>
        <v>0</v>
      </c>
    </row>
    <row r="43" spans="1:32" ht="33.75" hidden="1" customHeight="1">
      <c r="A43" s="4828">
        <v>11</v>
      </c>
      <c r="B43" s="4833"/>
      <c r="C43" s="4829"/>
      <c r="D43" s="4672" t="str">
        <f t="shared" si="7"/>
        <v>1</v>
      </c>
      <c r="E43" s="4829"/>
      <c r="F43" s="4672">
        <f t="shared" si="8"/>
        <v>2</v>
      </c>
      <c r="G43" s="4699"/>
      <c r="H43" s="4672">
        <f t="shared" si="9"/>
        <v>0</v>
      </c>
      <c r="I43" s="4831"/>
      <c r="J43" s="4834"/>
      <c r="K43" s="4835"/>
      <c r="L43" s="4834"/>
      <c r="M43" s="4834"/>
      <c r="N43" s="4834"/>
      <c r="O43" s="4834"/>
      <c r="P43" s="4678">
        <f t="shared" si="10"/>
        <v>0</v>
      </c>
      <c r="Q43" s="4677">
        <f t="shared" si="11"/>
        <v>0</v>
      </c>
      <c r="R43" s="4836"/>
      <c r="S43" s="4837" t="s">
        <v>5742</v>
      </c>
      <c r="T43" s="4836"/>
      <c r="U43" s="4838"/>
      <c r="V43" s="4834"/>
      <c r="W43" s="4837" t="s">
        <v>4521</v>
      </c>
      <c r="X43" s="4836"/>
      <c r="Y43" s="4834"/>
      <c r="Z43" s="4834"/>
      <c r="AA43" s="4839" t="s">
        <v>5035</v>
      </c>
      <c r="AB43" s="4834"/>
      <c r="AC43" s="4839" t="s">
        <v>5050</v>
      </c>
      <c r="AD43" s="4834"/>
      <c r="AE43" s="4832"/>
      <c r="AF43" s="4685">
        <f t="shared" si="12"/>
        <v>0</v>
      </c>
    </row>
    <row r="44" spans="1:32" ht="33.75" hidden="1" customHeight="1">
      <c r="A44" s="4828">
        <v>12</v>
      </c>
      <c r="B44" s="4833"/>
      <c r="C44" s="4829"/>
      <c r="D44" s="4672" t="str">
        <f t="shared" si="7"/>
        <v>1</v>
      </c>
      <c r="E44" s="4829"/>
      <c r="F44" s="4672">
        <f t="shared" si="8"/>
        <v>2</v>
      </c>
      <c r="G44" s="4699"/>
      <c r="H44" s="4672">
        <f t="shared" si="9"/>
        <v>0</v>
      </c>
      <c r="I44" s="4831"/>
      <c r="J44" s="4834"/>
      <c r="K44" s="4835"/>
      <c r="L44" s="4834"/>
      <c r="M44" s="4834"/>
      <c r="N44" s="4834"/>
      <c r="O44" s="4834"/>
      <c r="P44" s="4678">
        <f t="shared" si="10"/>
        <v>0</v>
      </c>
      <c r="Q44" s="4677">
        <f t="shared" si="11"/>
        <v>0</v>
      </c>
      <c r="R44" s="4836"/>
      <c r="S44" s="4837" t="s">
        <v>5742</v>
      </c>
      <c r="T44" s="4836"/>
      <c r="U44" s="4838"/>
      <c r="V44" s="4834"/>
      <c r="W44" s="4837" t="s">
        <v>4521</v>
      </c>
      <c r="X44" s="4836"/>
      <c r="Y44" s="4834"/>
      <c r="Z44" s="4834"/>
      <c r="AA44" s="4839" t="s">
        <v>5035</v>
      </c>
      <c r="AB44" s="4834"/>
      <c r="AC44" s="4839" t="s">
        <v>5050</v>
      </c>
      <c r="AD44" s="4834"/>
      <c r="AE44" s="4832"/>
      <c r="AF44" s="4685">
        <f t="shared" si="12"/>
        <v>0</v>
      </c>
    </row>
    <row r="45" spans="1:32" ht="33.75" hidden="1" customHeight="1">
      <c r="A45" s="4828">
        <v>13</v>
      </c>
      <c r="B45" s="4833"/>
      <c r="C45" s="4829"/>
      <c r="D45" s="4672" t="str">
        <f t="shared" si="7"/>
        <v>1</v>
      </c>
      <c r="E45" s="4829"/>
      <c r="F45" s="4672">
        <f t="shared" si="8"/>
        <v>2</v>
      </c>
      <c r="G45" s="4699"/>
      <c r="H45" s="4672">
        <f t="shared" si="9"/>
        <v>0</v>
      </c>
      <c r="I45" s="4831"/>
      <c r="J45" s="4834"/>
      <c r="K45" s="4835"/>
      <c r="L45" s="4834"/>
      <c r="M45" s="4834"/>
      <c r="N45" s="4834"/>
      <c r="O45" s="4834"/>
      <c r="P45" s="4678">
        <f t="shared" si="10"/>
        <v>0</v>
      </c>
      <c r="Q45" s="4677">
        <f t="shared" si="11"/>
        <v>0</v>
      </c>
      <c r="R45" s="4836"/>
      <c r="S45" s="4837" t="s">
        <v>5742</v>
      </c>
      <c r="T45" s="4836"/>
      <c r="U45" s="4838"/>
      <c r="V45" s="4834"/>
      <c r="W45" s="4837" t="s">
        <v>4521</v>
      </c>
      <c r="X45" s="4836"/>
      <c r="Y45" s="4834"/>
      <c r="Z45" s="4834"/>
      <c r="AA45" s="4839" t="s">
        <v>5035</v>
      </c>
      <c r="AB45" s="4834"/>
      <c r="AC45" s="4839" t="s">
        <v>5050</v>
      </c>
      <c r="AD45" s="4834"/>
      <c r="AE45" s="4832"/>
      <c r="AF45" s="4685">
        <f t="shared" si="12"/>
        <v>0</v>
      </c>
    </row>
    <row r="46" spans="1:32" ht="33.75" hidden="1" customHeight="1">
      <c r="A46" s="4828">
        <v>14</v>
      </c>
      <c r="B46" s="4833"/>
      <c r="C46" s="4829"/>
      <c r="D46" s="4672" t="str">
        <f t="shared" si="7"/>
        <v>1</v>
      </c>
      <c r="E46" s="4829"/>
      <c r="F46" s="4672">
        <f t="shared" si="8"/>
        <v>2</v>
      </c>
      <c r="G46" s="4699"/>
      <c r="H46" s="4672">
        <f t="shared" si="9"/>
        <v>0</v>
      </c>
      <c r="I46" s="4831"/>
      <c r="J46" s="4834"/>
      <c r="K46" s="4835"/>
      <c r="L46" s="4834"/>
      <c r="M46" s="4834"/>
      <c r="N46" s="4834"/>
      <c r="O46" s="4834"/>
      <c r="P46" s="4678">
        <f t="shared" si="10"/>
        <v>0</v>
      </c>
      <c r="Q46" s="4677">
        <f t="shared" si="11"/>
        <v>0</v>
      </c>
      <c r="R46" s="4836"/>
      <c r="S46" s="4837" t="s">
        <v>5742</v>
      </c>
      <c r="T46" s="4836"/>
      <c r="U46" s="4838"/>
      <c r="V46" s="4834"/>
      <c r="W46" s="4837" t="s">
        <v>4521</v>
      </c>
      <c r="X46" s="4836"/>
      <c r="Y46" s="4834"/>
      <c r="Z46" s="4834"/>
      <c r="AA46" s="4839" t="s">
        <v>5035</v>
      </c>
      <c r="AB46" s="4834"/>
      <c r="AC46" s="4839" t="s">
        <v>5050</v>
      </c>
      <c r="AD46" s="4834"/>
      <c r="AE46" s="4832"/>
      <c r="AF46" s="4685">
        <f t="shared" si="12"/>
        <v>0</v>
      </c>
    </row>
    <row r="47" spans="1:32" ht="33.75" hidden="1" customHeight="1" thickBot="1">
      <c r="A47" s="4828">
        <v>15</v>
      </c>
      <c r="B47" s="4833"/>
      <c r="C47" s="4829"/>
      <c r="D47" s="4672" t="str">
        <f t="shared" si="7"/>
        <v>1</v>
      </c>
      <c r="E47" s="4829"/>
      <c r="F47" s="4672">
        <f t="shared" si="8"/>
        <v>2</v>
      </c>
      <c r="G47" s="4699"/>
      <c r="H47" s="4672">
        <f t="shared" si="9"/>
        <v>0</v>
      </c>
      <c r="I47" s="4831"/>
      <c r="J47" s="4834"/>
      <c r="K47" s="4835"/>
      <c r="L47" s="4834"/>
      <c r="M47" s="4834"/>
      <c r="N47" s="4834"/>
      <c r="O47" s="4834"/>
      <c r="P47" s="4678">
        <f>SUM(D47,F47,H47)*K47</f>
        <v>0</v>
      </c>
      <c r="Q47" s="4677">
        <f t="shared" si="11"/>
        <v>0</v>
      </c>
      <c r="R47" s="4836"/>
      <c r="S47" s="4837" t="s">
        <v>5739</v>
      </c>
      <c r="T47" s="4836"/>
      <c r="U47" s="4838"/>
      <c r="V47" s="4834"/>
      <c r="W47" s="4837" t="s">
        <v>4521</v>
      </c>
      <c r="X47" s="4836"/>
      <c r="Y47" s="4834"/>
      <c r="Z47" s="4834"/>
      <c r="AA47" s="4839" t="s">
        <v>5035</v>
      </c>
      <c r="AB47" s="4834"/>
      <c r="AC47" s="4839" t="s">
        <v>5050</v>
      </c>
      <c r="AD47" s="4834"/>
      <c r="AE47" s="4832"/>
      <c r="AF47" s="4685">
        <f t="shared" si="12"/>
        <v>0</v>
      </c>
    </row>
    <row r="48" spans="1:32" ht="33.75" hidden="1" customHeight="1" thickTop="1" thickBot="1">
      <c r="A48" s="4840"/>
      <c r="B48" s="4841"/>
      <c r="C48" s="4841"/>
      <c r="D48" s="4841"/>
      <c r="E48" s="4841"/>
      <c r="F48" s="4842"/>
      <c r="G48" s="4843"/>
      <c r="H48" s="4841"/>
      <c r="I48" s="4844" t="s">
        <v>2432</v>
      </c>
      <c r="J48" s="4845">
        <f>SUM(J33:J47)</f>
        <v>0</v>
      </c>
      <c r="K48" s="4846">
        <f>SUM(K33:K47)</f>
        <v>0</v>
      </c>
      <c r="L48" s="4843"/>
      <c r="M48" s="4843"/>
      <c r="N48" s="4843"/>
      <c r="O48" s="4843"/>
      <c r="P48" s="4845">
        <f>SUM(P33:P47)</f>
        <v>0</v>
      </c>
      <c r="Q48" s="4845">
        <f>SUM(Q33:Q47)</f>
        <v>0</v>
      </c>
      <c r="R48" s="6901"/>
      <c r="S48" s="6901"/>
      <c r="T48" s="6901"/>
      <c r="U48" s="4847"/>
      <c r="V48" s="6902"/>
      <c r="W48" s="6901"/>
      <c r="X48" s="6901"/>
      <c r="Y48" s="4847"/>
      <c r="Z48" s="4847"/>
      <c r="AA48" s="6903"/>
      <c r="AB48" s="6904"/>
      <c r="AC48" s="6903"/>
      <c r="AD48" s="6904"/>
      <c r="AE48" s="4848"/>
      <c r="AF48" s="4685"/>
    </row>
    <row r="49" spans="1:32" ht="32.15" hidden="1" customHeight="1" thickBot="1">
      <c r="C49" s="4710"/>
      <c r="D49" s="4710"/>
      <c r="E49" s="4710"/>
      <c r="F49" s="4710"/>
      <c r="G49" s="4710"/>
      <c r="H49" s="4710"/>
      <c r="I49" s="4711"/>
      <c r="J49" s="4712"/>
      <c r="K49" s="4710"/>
      <c r="L49" s="4715"/>
      <c r="M49" s="4715"/>
      <c r="N49" s="4715"/>
      <c r="O49" s="4715"/>
      <c r="P49" s="4715"/>
      <c r="S49" s="4656"/>
      <c r="W49" s="4656"/>
      <c r="AF49" s="4849"/>
    </row>
    <row r="50" spans="1:32" ht="33.75" hidden="1" customHeight="1">
      <c r="A50" s="6845" t="s">
        <v>5749</v>
      </c>
      <c r="B50" s="6846"/>
      <c r="C50" s="4716">
        <f>P48</f>
        <v>0</v>
      </c>
      <c r="D50" s="4717"/>
      <c r="F50" s="4718"/>
      <c r="G50" s="4850"/>
      <c r="H50" s="4719"/>
      <c r="I50" s="4720"/>
      <c r="P50" s="4656"/>
      <c r="AF50" s="4851"/>
    </row>
    <row r="51" spans="1:32" ht="33.75" hidden="1" customHeight="1">
      <c r="A51" s="6910" t="s">
        <v>5883</v>
      </c>
      <c r="B51" s="6911"/>
      <c r="C51" s="4723">
        <f>Q48</f>
        <v>0</v>
      </c>
      <c r="D51" s="4717"/>
      <c r="F51" s="4724"/>
      <c r="G51" s="4852"/>
      <c r="H51" s="4719"/>
      <c r="I51" s="4720"/>
      <c r="P51" s="4656"/>
      <c r="AF51" s="4851"/>
    </row>
    <row r="52" spans="1:32" ht="33.75" hidden="1" customHeight="1" thickBot="1">
      <c r="A52" s="6913" t="s">
        <v>5751</v>
      </c>
      <c r="B52" s="6914"/>
      <c r="C52" s="4987">
        <f>ROUNDDOWN(C51*1.1,0)</f>
        <v>0</v>
      </c>
      <c r="D52" s="4940"/>
      <c r="E52" s="4941"/>
      <c r="F52" s="4942"/>
      <c r="G52" s="4943"/>
      <c r="H52" s="4940"/>
      <c r="I52" s="4944"/>
      <c r="J52" s="4943"/>
      <c r="K52" s="4861"/>
      <c r="L52" s="4861"/>
      <c r="M52" s="4861"/>
      <c r="N52" s="4861"/>
      <c r="O52" s="4861"/>
      <c r="P52" s="4943"/>
      <c r="Q52" s="4943"/>
      <c r="R52" s="4941"/>
      <c r="S52" s="4941"/>
      <c r="T52" s="4941"/>
      <c r="U52" s="4941"/>
      <c r="V52" s="4941"/>
      <c r="W52" s="4941"/>
      <c r="X52" s="4941"/>
      <c r="Y52" s="4941"/>
      <c r="Z52" s="4941"/>
      <c r="AA52" s="4941"/>
      <c r="AB52" s="4941"/>
      <c r="AC52" s="4941"/>
      <c r="AD52" s="4941"/>
      <c r="AE52" s="4941"/>
      <c r="AF52" s="4941"/>
    </row>
    <row r="53" spans="1:32" ht="33.75" customHeight="1">
      <c r="A53" s="4729"/>
      <c r="B53" s="4729"/>
      <c r="C53" s="4729"/>
      <c r="D53" s="4729"/>
      <c r="E53" s="4729"/>
      <c r="F53" s="4729"/>
      <c r="G53" s="4726"/>
      <c r="H53" s="4729"/>
      <c r="I53" s="4720"/>
      <c r="P53" s="4656"/>
    </row>
    <row r="54" spans="1:32" ht="33.75" customHeight="1">
      <c r="A54" s="4728" t="s">
        <v>5752</v>
      </c>
      <c r="B54" s="4728"/>
      <c r="C54" s="4729"/>
      <c r="D54" s="4729"/>
      <c r="E54" s="4729"/>
      <c r="F54" s="4729"/>
      <c r="G54" s="4726"/>
      <c r="H54" s="4729"/>
      <c r="I54" s="4720"/>
      <c r="P54" s="4656"/>
    </row>
    <row r="55" spans="1:32" ht="36" customHeight="1">
      <c r="A55" s="4728" t="s">
        <v>5753</v>
      </c>
      <c r="B55" s="4728"/>
    </row>
    <row r="56" spans="1:32" ht="36" customHeight="1">
      <c r="A56" s="4730" t="s">
        <v>5754</v>
      </c>
      <c r="B56" s="4730"/>
    </row>
    <row r="57" spans="1:32" ht="36" customHeight="1">
      <c r="A57" s="4728"/>
      <c r="B57" s="4728"/>
    </row>
    <row r="58" spans="1:32" ht="36" customHeight="1"/>
    <row r="59" spans="1:32" ht="36" customHeight="1"/>
    <row r="60" spans="1:32" ht="36" customHeight="1"/>
    <row r="61" spans="1:32" ht="36" customHeight="1"/>
    <row r="62" spans="1:32" ht="36" customHeight="1"/>
    <row r="63" spans="1:32" ht="36" customHeight="1"/>
    <row r="64" spans="1:32" ht="36" customHeight="1"/>
    <row r="65" ht="10.4" customHeight="1"/>
  </sheetData>
  <mergeCells count="62">
    <mergeCell ref="A50:B50"/>
    <mergeCell ref="A51:B51"/>
    <mergeCell ref="A52:B52"/>
    <mergeCell ref="AE30:AE31"/>
    <mergeCell ref="AF30:AF31"/>
    <mergeCell ref="R48:T48"/>
    <mergeCell ref="V48:X48"/>
    <mergeCell ref="AA48:AB48"/>
    <mergeCell ref="AC48:AD48"/>
    <mergeCell ref="R30:T31"/>
    <mergeCell ref="U30:U31"/>
    <mergeCell ref="V30:X31"/>
    <mergeCell ref="Y30:Y31"/>
    <mergeCell ref="Z30:Z31"/>
    <mergeCell ref="AA30:AD31"/>
    <mergeCell ref="J30:J31"/>
    <mergeCell ref="K30:K31"/>
    <mergeCell ref="L30:L31"/>
    <mergeCell ref="M30:M31"/>
    <mergeCell ref="O30:O31"/>
    <mergeCell ref="P30:Q30"/>
    <mergeCell ref="I30:I31"/>
    <mergeCell ref="A25:B25"/>
    <mergeCell ref="A26:B26"/>
    <mergeCell ref="A27:B27"/>
    <mergeCell ref="A30:A31"/>
    <mergeCell ref="B30:B31"/>
    <mergeCell ref="C30:C31"/>
    <mergeCell ref="D30:D31"/>
    <mergeCell ref="E30:E31"/>
    <mergeCell ref="F30:F31"/>
    <mergeCell ref="G30:G31"/>
    <mergeCell ref="H30:H31"/>
    <mergeCell ref="Z5:Z6"/>
    <mergeCell ref="AA5:AD6"/>
    <mergeCell ref="AE5:AE6"/>
    <mergeCell ref="AF5:AF6"/>
    <mergeCell ref="R23:T23"/>
    <mergeCell ref="V23:X23"/>
    <mergeCell ref="AA23:AB23"/>
    <mergeCell ref="AC23:AD23"/>
    <mergeCell ref="Y5:Y6"/>
    <mergeCell ref="O5:O6"/>
    <mergeCell ref="P5:Q5"/>
    <mergeCell ref="R5:T6"/>
    <mergeCell ref="U5:U6"/>
    <mergeCell ref="V5:X6"/>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s>
  <phoneticPr fontId="2"/>
  <conditionalFormatting sqref="B8:C22">
    <cfRule type="containsBlanks" dxfId="201" priority="3">
      <formula>LEN(TRIM(B8))=0</formula>
    </cfRule>
  </conditionalFormatting>
  <conditionalFormatting sqref="B33:C47 E33:E47">
    <cfRule type="containsBlanks" dxfId="200" priority="13">
      <formula>LEN(TRIM(B33))=0</formula>
    </cfRule>
  </conditionalFormatting>
  <conditionalFormatting sqref="C2:D2">
    <cfRule type="containsBlanks" dxfId="199" priority="4">
      <formula>LEN(TRIM(C2))=0</formula>
    </cfRule>
  </conditionalFormatting>
  <conditionalFormatting sqref="D7:D22">
    <cfRule type="containsBlanks" dxfId="198" priority="12">
      <formula>LEN(TRIM(D7))=0</formula>
    </cfRule>
  </conditionalFormatting>
  <conditionalFormatting sqref="D32:D47">
    <cfRule type="containsBlanks" dxfId="197" priority="11">
      <formula>LEN(TRIM(D32))=0</formula>
    </cfRule>
  </conditionalFormatting>
  <conditionalFormatting sqref="E8:G22">
    <cfRule type="containsBlanks" dxfId="196" priority="2">
      <formula>LEN(TRIM(E8))=0</formula>
    </cfRule>
  </conditionalFormatting>
  <conditionalFormatting sqref="F7">
    <cfRule type="containsBlanks" dxfId="195" priority="8">
      <formula>LEN(TRIM(F7))=0</formula>
    </cfRule>
  </conditionalFormatting>
  <conditionalFormatting sqref="F32:F47">
    <cfRule type="containsBlanks" dxfId="194" priority="10">
      <formula>LEN(TRIM(F32))=0</formula>
    </cfRule>
  </conditionalFormatting>
  <conditionalFormatting sqref="G33:G47">
    <cfRule type="containsBlanks" dxfId="193" priority="5">
      <formula>LEN(TRIM(G33))=0</formula>
    </cfRule>
  </conditionalFormatting>
  <conditionalFormatting sqref="H12:O22 H7:M11 O7:O11">
    <cfRule type="containsBlanks" dxfId="192" priority="7">
      <formula>LEN(TRIM(H7))=0</formula>
    </cfRule>
  </conditionalFormatting>
  <conditionalFormatting sqref="H32:O47">
    <cfRule type="containsBlanks" dxfId="191" priority="6">
      <formula>LEN(TRIM(H32))=0</formula>
    </cfRule>
  </conditionalFormatting>
  <conditionalFormatting sqref="Q7:R22">
    <cfRule type="containsBlanks" dxfId="190" priority="21">
      <formula>LEN(TRIM(Q7))=0</formula>
    </cfRule>
  </conditionalFormatting>
  <conditionalFormatting sqref="Q32:R47">
    <cfRule type="containsBlanks" dxfId="189" priority="9">
      <formula>LEN(TRIM(Q32))=0</formula>
    </cfRule>
  </conditionalFormatting>
  <conditionalFormatting sqref="T7:V22">
    <cfRule type="containsBlanks" dxfId="188" priority="19">
      <formula>LEN(TRIM(T7))=0</formula>
    </cfRule>
  </conditionalFormatting>
  <conditionalFormatting sqref="T32:V47">
    <cfRule type="containsBlanks" dxfId="187" priority="17">
      <formula>LEN(TRIM(T32))=0</formula>
    </cfRule>
  </conditionalFormatting>
  <conditionalFormatting sqref="X7:Z22">
    <cfRule type="containsBlanks" dxfId="186" priority="18">
      <formula>LEN(TRIM(X7))=0</formula>
    </cfRule>
  </conditionalFormatting>
  <conditionalFormatting sqref="X32:Z47">
    <cfRule type="containsBlanks" dxfId="185" priority="16">
      <formula>LEN(TRIM(X32))=0</formula>
    </cfRule>
  </conditionalFormatting>
  <conditionalFormatting sqref="AB7:AB22 AD7:AE22">
    <cfRule type="containsBlanks" dxfId="184" priority="20">
      <formula>LEN(TRIM(AB7))=0</formula>
    </cfRule>
  </conditionalFormatting>
  <conditionalFormatting sqref="AB32:AB47">
    <cfRule type="containsBlanks" dxfId="183" priority="15">
      <formula>LEN(TRIM(AB32))=0</formula>
    </cfRule>
  </conditionalFormatting>
  <conditionalFormatting sqref="AD32:AE47">
    <cfRule type="containsBlanks" dxfId="182" priority="14">
      <formula>LEN(TRIM(AD32))=0</formula>
    </cfRule>
  </conditionalFormatting>
  <conditionalFormatting sqref="N7:N11">
    <cfRule type="containsBlanks" dxfId="181" priority="1">
      <formula>LEN(TRIM(N7))=0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FFEA8-EF16-4793-8BAC-14EA4CADEF93}">
  <sheetPr codeName="Sheet425">
    <tabColor rgb="FFFFFF66"/>
    <pageSetUpPr fitToPage="1"/>
  </sheetPr>
  <dimension ref="A1:AE63"/>
  <sheetViews>
    <sheetView topLeftCell="A24" zoomScale="55" zoomScaleNormal="55" workbookViewId="0">
      <selection activeCell="N2" sqref="N2"/>
    </sheetView>
  </sheetViews>
  <sheetFormatPr defaultColWidth="9.81640625" defaultRowHeight="26.5"/>
  <cols>
    <col min="1" max="1" width="12" style="4657" customWidth="1"/>
    <col min="2" max="2" width="25.1796875" style="4658" customWidth="1"/>
    <col min="3" max="3" width="24.54296875" style="4658" bestFit="1" customWidth="1"/>
    <col min="4" max="4" width="17.453125" style="4658" customWidth="1"/>
    <col min="5" max="5" width="17.453125" style="4657" customWidth="1"/>
    <col min="6" max="6" width="7"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6397</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thickBot="1">
      <c r="A7" s="5938" t="s">
        <v>5779</v>
      </c>
      <c r="B7" s="5939">
        <v>46280</v>
      </c>
      <c r="C7" s="5939">
        <v>46300</v>
      </c>
      <c r="D7" s="5940">
        <v>0.3125</v>
      </c>
      <c r="E7" s="5941">
        <v>0.89583333333333337</v>
      </c>
      <c r="F7" s="5942">
        <f t="shared" ref="F7:F29" si="0">IF(OR(ISBLANK($B7), ISBLANK($C7)), 0, _xlfn.DAYS($C7, $B7) + 1)</f>
        <v>21</v>
      </c>
      <c r="G7" s="5943" t="s">
        <v>5780</v>
      </c>
      <c r="H7" s="5944">
        <v>3</v>
      </c>
      <c r="I7" s="5942" t="s">
        <v>5781</v>
      </c>
      <c r="J7" s="5945">
        <v>30</v>
      </c>
      <c r="K7" s="5946">
        <v>100</v>
      </c>
      <c r="L7" s="5946">
        <f>J7*K7</f>
        <v>3000</v>
      </c>
      <c r="M7" s="5947">
        <v>5</v>
      </c>
      <c r="N7" s="5948">
        <v>150000</v>
      </c>
      <c r="O7" s="4754">
        <f t="shared" ref="O7:O19" si="1">F7*N7</f>
        <v>3150000</v>
      </c>
      <c r="P7" s="5949" t="s">
        <v>5782</v>
      </c>
      <c r="Q7" s="5950">
        <v>4</v>
      </c>
      <c r="R7" s="5950" t="s">
        <v>3804</v>
      </c>
      <c r="S7" s="5946" t="s">
        <v>246</v>
      </c>
      <c r="T7" s="5950" t="s">
        <v>2161</v>
      </c>
      <c r="U7" s="5951">
        <v>2000</v>
      </c>
    </row>
    <row r="8" spans="1:31" s="5967" customFormat="1" ht="33.75" customHeight="1">
      <c r="A8" s="5952">
        <v>1</v>
      </c>
      <c r="B8" s="5953">
        <v>46281</v>
      </c>
      <c r="C8" s="5953">
        <v>46293</v>
      </c>
      <c r="D8" s="5954">
        <v>0</v>
      </c>
      <c r="E8" s="5954">
        <v>1</v>
      </c>
      <c r="F8" s="5955">
        <f t="shared" si="0"/>
        <v>13</v>
      </c>
      <c r="G8" s="5956" t="s">
        <v>6399</v>
      </c>
      <c r="H8" s="5957">
        <v>2</v>
      </c>
      <c r="I8" s="5958" t="s">
        <v>5814</v>
      </c>
      <c r="J8" s="5959">
        <v>23.8</v>
      </c>
      <c r="K8" s="5960">
        <v>13</v>
      </c>
      <c r="L8" s="5960">
        <v>268</v>
      </c>
      <c r="M8" s="5960">
        <v>6</v>
      </c>
      <c r="N8" s="5957">
        <v>100000</v>
      </c>
      <c r="O8" s="5961">
        <f t="shared" si="1"/>
        <v>1300000</v>
      </c>
      <c r="P8" s="5962" t="s">
        <v>3804</v>
      </c>
      <c r="Q8" s="5963"/>
      <c r="R8" s="5964" t="s">
        <v>3804</v>
      </c>
      <c r="S8" s="5965" t="s">
        <v>246</v>
      </c>
      <c r="T8" s="5964" t="s">
        <v>2161</v>
      </c>
      <c r="U8" s="5966" t="s">
        <v>2815</v>
      </c>
      <c r="V8" s="7014"/>
      <c r="W8" s="7014"/>
      <c r="X8" s="7018"/>
    </row>
    <row r="9" spans="1:31" s="5967" customFormat="1" ht="33.75" customHeight="1" thickBot="1">
      <c r="A9" s="5968">
        <v>2</v>
      </c>
      <c r="B9" s="5969">
        <v>46294</v>
      </c>
      <c r="C9" s="5969">
        <v>46294</v>
      </c>
      <c r="D9" s="5970">
        <v>0</v>
      </c>
      <c r="E9" s="5970">
        <v>0.5</v>
      </c>
      <c r="F9" s="5971">
        <f t="shared" si="0"/>
        <v>1</v>
      </c>
      <c r="G9" s="5972" t="s">
        <v>6399</v>
      </c>
      <c r="H9" s="5973">
        <v>2</v>
      </c>
      <c r="I9" s="5974" t="s">
        <v>5814</v>
      </c>
      <c r="J9" s="5975">
        <v>23.8</v>
      </c>
      <c r="K9" s="5976">
        <v>13</v>
      </c>
      <c r="L9" s="5976">
        <v>268</v>
      </c>
      <c r="M9" s="5976">
        <v>6</v>
      </c>
      <c r="N9" s="5973">
        <v>50000</v>
      </c>
      <c r="O9" s="5977">
        <f t="shared" si="1"/>
        <v>50000</v>
      </c>
      <c r="P9" s="5978" t="s">
        <v>3804</v>
      </c>
      <c r="Q9" s="5979"/>
      <c r="R9" s="5980" t="s">
        <v>3804</v>
      </c>
      <c r="S9" s="5981" t="s">
        <v>246</v>
      </c>
      <c r="T9" s="5980" t="s">
        <v>2161</v>
      </c>
      <c r="U9" s="5982" t="s">
        <v>2815</v>
      </c>
      <c r="V9" s="7016"/>
      <c r="W9" s="7016"/>
      <c r="X9" s="7019"/>
    </row>
    <row r="10" spans="1:31" s="5967" customFormat="1" ht="33.75" customHeight="1">
      <c r="A10" s="5952">
        <v>3</v>
      </c>
      <c r="B10" s="5953">
        <v>46281</v>
      </c>
      <c r="C10" s="5953">
        <v>46293</v>
      </c>
      <c r="D10" s="5954">
        <v>0</v>
      </c>
      <c r="E10" s="5954">
        <v>1</v>
      </c>
      <c r="F10" s="5955">
        <f t="shared" si="0"/>
        <v>13</v>
      </c>
      <c r="G10" s="5956" t="s">
        <v>6400</v>
      </c>
      <c r="H10" s="5957">
        <v>2</v>
      </c>
      <c r="I10" s="5958" t="s">
        <v>5814</v>
      </c>
      <c r="J10" s="5959">
        <v>23.8</v>
      </c>
      <c r="K10" s="5960">
        <v>15</v>
      </c>
      <c r="L10" s="5960">
        <v>408</v>
      </c>
      <c r="M10" s="5960">
        <v>6</v>
      </c>
      <c r="N10" s="5957">
        <v>100000</v>
      </c>
      <c r="O10" s="5961">
        <f t="shared" si="1"/>
        <v>1300000</v>
      </c>
      <c r="P10" s="5962" t="s">
        <v>3804</v>
      </c>
      <c r="Q10" s="5963"/>
      <c r="R10" s="5964" t="s">
        <v>3804</v>
      </c>
      <c r="S10" s="5965" t="s">
        <v>246</v>
      </c>
      <c r="T10" s="5964" t="s">
        <v>2161</v>
      </c>
      <c r="U10" s="5966" t="s">
        <v>2815</v>
      </c>
      <c r="V10" s="7014"/>
      <c r="W10" s="7014"/>
      <c r="X10" s="7018"/>
    </row>
    <row r="11" spans="1:31" s="5967" customFormat="1" ht="33.75" customHeight="1" thickBot="1">
      <c r="A11" s="5968">
        <v>4</v>
      </c>
      <c r="B11" s="5969">
        <v>46294</v>
      </c>
      <c r="C11" s="5969">
        <v>46294</v>
      </c>
      <c r="D11" s="5970">
        <v>0</v>
      </c>
      <c r="E11" s="5970">
        <v>0.5</v>
      </c>
      <c r="F11" s="5971">
        <f t="shared" si="0"/>
        <v>1</v>
      </c>
      <c r="G11" s="5972" t="s">
        <v>6400</v>
      </c>
      <c r="H11" s="5973">
        <v>2</v>
      </c>
      <c r="I11" s="5974" t="s">
        <v>5814</v>
      </c>
      <c r="J11" s="5975">
        <v>23.8</v>
      </c>
      <c r="K11" s="5976">
        <v>15</v>
      </c>
      <c r="L11" s="5976">
        <v>408</v>
      </c>
      <c r="M11" s="5976">
        <v>6</v>
      </c>
      <c r="N11" s="5973">
        <v>500000</v>
      </c>
      <c r="O11" s="5977">
        <f t="shared" si="1"/>
        <v>500000</v>
      </c>
      <c r="P11" s="5978" t="s">
        <v>3804</v>
      </c>
      <c r="Q11" s="5979"/>
      <c r="R11" s="5980" t="s">
        <v>3804</v>
      </c>
      <c r="S11" s="5981" t="s">
        <v>246</v>
      </c>
      <c r="T11" s="5980" t="s">
        <v>2161</v>
      </c>
      <c r="U11" s="5982" t="s">
        <v>2815</v>
      </c>
      <c r="V11" s="7016"/>
      <c r="W11" s="7016"/>
      <c r="X11" s="7019"/>
    </row>
    <row r="12" spans="1:31" s="5654" customFormat="1" ht="33.75" customHeight="1">
      <c r="A12" s="5983">
        <v>5</v>
      </c>
      <c r="B12" s="5984">
        <v>46281</v>
      </c>
      <c r="C12" s="5984">
        <v>46293</v>
      </c>
      <c r="D12" s="5985">
        <v>0</v>
      </c>
      <c r="E12" s="5985">
        <v>1</v>
      </c>
      <c r="F12" s="5986">
        <f t="shared" si="0"/>
        <v>13</v>
      </c>
      <c r="G12" s="5987" t="s">
        <v>6401</v>
      </c>
      <c r="H12" s="5988">
        <v>2</v>
      </c>
      <c r="I12" s="5989" t="s">
        <v>5784</v>
      </c>
      <c r="J12" s="5990">
        <v>12.72</v>
      </c>
      <c r="K12" s="5991">
        <v>6.98</v>
      </c>
      <c r="L12" s="5991">
        <v>89</v>
      </c>
      <c r="M12" s="5991">
        <v>2.6</v>
      </c>
      <c r="N12" s="5988">
        <v>88000</v>
      </c>
      <c r="O12" s="5992">
        <f t="shared" si="1"/>
        <v>1144000</v>
      </c>
      <c r="P12" s="5993" t="s">
        <v>3804</v>
      </c>
      <c r="Q12" s="5994"/>
      <c r="R12" s="5708" t="s">
        <v>3804</v>
      </c>
      <c r="S12" s="5703" t="s">
        <v>246</v>
      </c>
      <c r="T12" s="5708" t="s">
        <v>2161</v>
      </c>
      <c r="U12" s="5995" t="s">
        <v>2815</v>
      </c>
      <c r="V12" s="7020"/>
      <c r="W12" s="7020"/>
      <c r="X12" s="7021"/>
    </row>
    <row r="13" spans="1:31" s="5654" customFormat="1" ht="33.75" customHeight="1" thickBot="1">
      <c r="A13" s="5996">
        <v>6</v>
      </c>
      <c r="B13" s="5997">
        <v>46294</v>
      </c>
      <c r="C13" s="5997">
        <v>46294</v>
      </c>
      <c r="D13" s="5998">
        <v>0</v>
      </c>
      <c r="E13" s="5998">
        <v>0.5</v>
      </c>
      <c r="F13" s="5999">
        <f t="shared" si="0"/>
        <v>1</v>
      </c>
      <c r="G13" s="6000" t="s">
        <v>6401</v>
      </c>
      <c r="H13" s="6001">
        <v>2</v>
      </c>
      <c r="I13" s="6002" t="s">
        <v>5784</v>
      </c>
      <c r="J13" s="6003">
        <v>12.72</v>
      </c>
      <c r="K13" s="6004">
        <v>6.98</v>
      </c>
      <c r="L13" s="6004">
        <v>89</v>
      </c>
      <c r="M13" s="6004">
        <v>2.6</v>
      </c>
      <c r="N13" s="6001">
        <v>44000</v>
      </c>
      <c r="O13" s="6005">
        <f t="shared" si="1"/>
        <v>44000</v>
      </c>
      <c r="P13" s="6006" t="s">
        <v>3804</v>
      </c>
      <c r="Q13" s="6007"/>
      <c r="R13" s="6008" t="s">
        <v>3804</v>
      </c>
      <c r="S13" s="6009" t="s">
        <v>246</v>
      </c>
      <c r="T13" s="6008" t="s">
        <v>2161</v>
      </c>
      <c r="U13" s="6010" t="s">
        <v>2815</v>
      </c>
      <c r="V13" s="7022"/>
      <c r="W13" s="7022"/>
      <c r="X13" s="7023"/>
    </row>
    <row r="14" spans="1:31" s="5967" customFormat="1" ht="33.75" customHeight="1">
      <c r="A14" s="5952">
        <v>5</v>
      </c>
      <c r="B14" s="5953">
        <v>46281</v>
      </c>
      <c r="C14" s="5953">
        <v>46293</v>
      </c>
      <c r="D14" s="5954">
        <v>0</v>
      </c>
      <c r="E14" s="5954">
        <v>1</v>
      </c>
      <c r="F14" s="5955">
        <f t="shared" si="0"/>
        <v>13</v>
      </c>
      <c r="G14" s="5956" t="s">
        <v>6402</v>
      </c>
      <c r="H14" s="5957">
        <v>2</v>
      </c>
      <c r="I14" s="5958" t="s">
        <v>5784</v>
      </c>
      <c r="J14" s="5959">
        <v>8.6</v>
      </c>
      <c r="K14" s="5960">
        <v>16</v>
      </c>
      <c r="L14" s="5960">
        <v>131</v>
      </c>
      <c r="M14" s="5960">
        <v>2.5</v>
      </c>
      <c r="N14" s="5957">
        <v>72000</v>
      </c>
      <c r="O14" s="5961">
        <f t="shared" si="1"/>
        <v>936000</v>
      </c>
      <c r="P14" s="5962" t="s">
        <v>3804</v>
      </c>
      <c r="Q14" s="5963"/>
      <c r="R14" s="5964" t="s">
        <v>3804</v>
      </c>
      <c r="S14" s="5965" t="s">
        <v>246</v>
      </c>
      <c r="T14" s="5964" t="s">
        <v>2161</v>
      </c>
      <c r="U14" s="5966" t="s">
        <v>2815</v>
      </c>
      <c r="V14" s="7014"/>
      <c r="W14" s="7014"/>
      <c r="X14" s="7018"/>
    </row>
    <row r="15" spans="1:31" s="5967" customFormat="1" ht="33.75" customHeight="1" thickBot="1">
      <c r="A15" s="5968">
        <v>6</v>
      </c>
      <c r="B15" s="5969">
        <v>46294</v>
      </c>
      <c r="C15" s="5969">
        <v>46294</v>
      </c>
      <c r="D15" s="5970">
        <v>0</v>
      </c>
      <c r="E15" s="5970">
        <v>0.5</v>
      </c>
      <c r="F15" s="5971">
        <f t="shared" si="0"/>
        <v>1</v>
      </c>
      <c r="G15" s="5972" t="s">
        <v>6402</v>
      </c>
      <c r="H15" s="5973">
        <v>2</v>
      </c>
      <c r="I15" s="5974" t="s">
        <v>5784</v>
      </c>
      <c r="J15" s="5975">
        <v>8.6</v>
      </c>
      <c r="K15" s="5976">
        <v>16</v>
      </c>
      <c r="L15" s="5976">
        <v>131</v>
      </c>
      <c r="M15" s="5976">
        <v>2.5</v>
      </c>
      <c r="N15" s="5973">
        <v>36000</v>
      </c>
      <c r="O15" s="5977">
        <f t="shared" si="1"/>
        <v>36000</v>
      </c>
      <c r="P15" s="5978" t="s">
        <v>3804</v>
      </c>
      <c r="Q15" s="5979"/>
      <c r="R15" s="5980" t="s">
        <v>3804</v>
      </c>
      <c r="S15" s="5981" t="s">
        <v>246</v>
      </c>
      <c r="T15" s="5980" t="s">
        <v>2161</v>
      </c>
      <c r="U15" s="5982" t="s">
        <v>2815</v>
      </c>
      <c r="V15" s="7016"/>
      <c r="W15" s="7016"/>
      <c r="X15" s="7019"/>
    </row>
    <row r="16" spans="1:31" s="4666" customFormat="1" ht="33.75" customHeight="1">
      <c r="A16" s="6011">
        <v>1</v>
      </c>
      <c r="B16" s="5984">
        <v>46281</v>
      </c>
      <c r="C16" s="5984">
        <v>46293</v>
      </c>
      <c r="D16" s="5985">
        <v>0</v>
      </c>
      <c r="E16" s="5985">
        <v>1</v>
      </c>
      <c r="F16" s="5986">
        <f t="shared" si="0"/>
        <v>13</v>
      </c>
      <c r="G16" s="5987" t="s">
        <v>6403</v>
      </c>
      <c r="H16" s="5988">
        <v>4</v>
      </c>
      <c r="I16" s="5989" t="s">
        <v>5784</v>
      </c>
      <c r="J16" s="5990">
        <v>8.1300000000000008</v>
      </c>
      <c r="K16" s="5991">
        <v>16.239999999999998</v>
      </c>
      <c r="L16" s="5991">
        <v>142</v>
      </c>
      <c r="M16" s="5991">
        <v>2.2999999999999998</v>
      </c>
      <c r="N16" s="5988">
        <v>132000</v>
      </c>
      <c r="O16" s="5992">
        <f t="shared" si="1"/>
        <v>1716000</v>
      </c>
      <c r="P16" s="5949" t="s">
        <v>5782</v>
      </c>
      <c r="Q16" s="6012">
        <v>2</v>
      </c>
      <c r="R16" s="5950" t="s">
        <v>3804</v>
      </c>
      <c r="S16" s="5946" t="s">
        <v>246</v>
      </c>
      <c r="T16" s="5950" t="s">
        <v>2161</v>
      </c>
      <c r="U16" s="5995" t="s">
        <v>2815</v>
      </c>
      <c r="V16" s="7024" t="s">
        <v>6404</v>
      </c>
      <c r="W16" s="7025"/>
      <c r="X16" s="7026"/>
    </row>
    <row r="17" spans="1:29" ht="33.75" customHeight="1" thickBot="1">
      <c r="A17" s="6013">
        <v>2</v>
      </c>
      <c r="B17" s="5997">
        <v>46294</v>
      </c>
      <c r="C17" s="5997">
        <v>46294</v>
      </c>
      <c r="D17" s="5998">
        <v>0</v>
      </c>
      <c r="E17" s="5998">
        <v>0.5</v>
      </c>
      <c r="F17" s="5999">
        <f t="shared" si="0"/>
        <v>1</v>
      </c>
      <c r="G17" s="6000" t="s">
        <v>6403</v>
      </c>
      <c r="H17" s="6001">
        <v>4</v>
      </c>
      <c r="I17" s="6002" t="s">
        <v>5784</v>
      </c>
      <c r="J17" s="6003">
        <v>8.1300000000000008</v>
      </c>
      <c r="K17" s="6004">
        <v>16.239999999999998</v>
      </c>
      <c r="L17" s="6004">
        <v>142</v>
      </c>
      <c r="M17" s="6004">
        <v>2.2999999999999998</v>
      </c>
      <c r="N17" s="6001">
        <v>66000</v>
      </c>
      <c r="O17" s="6005">
        <f t="shared" si="1"/>
        <v>66000</v>
      </c>
      <c r="P17" s="6014" t="s">
        <v>5782</v>
      </c>
      <c r="Q17" s="6007">
        <v>2</v>
      </c>
      <c r="R17" s="6015" t="s">
        <v>3804</v>
      </c>
      <c r="S17" s="6016" t="s">
        <v>246</v>
      </c>
      <c r="T17" s="6015" t="s">
        <v>2161</v>
      </c>
      <c r="U17" s="6010" t="s">
        <v>2815</v>
      </c>
      <c r="V17" s="7027"/>
      <c r="W17" s="7027"/>
      <c r="X17" s="7028"/>
      <c r="AC17" s="4657"/>
    </row>
    <row r="18" spans="1:29" ht="33.75" customHeight="1">
      <c r="A18" s="5082">
        <v>3</v>
      </c>
      <c r="B18" s="6017">
        <v>46281</v>
      </c>
      <c r="C18" s="6017">
        <v>46293</v>
      </c>
      <c r="D18" s="5630">
        <v>0</v>
      </c>
      <c r="E18" s="5630">
        <v>1</v>
      </c>
      <c r="F18" s="4770">
        <f t="shared" si="0"/>
        <v>13</v>
      </c>
      <c r="G18" s="6018" t="s">
        <v>6405</v>
      </c>
      <c r="H18" s="5059">
        <v>4</v>
      </c>
      <c r="I18" s="6019" t="s">
        <v>5784</v>
      </c>
      <c r="J18" s="6020">
        <v>8.06</v>
      </c>
      <c r="K18" s="6021">
        <v>8.8800000000000008</v>
      </c>
      <c r="L18" s="6021">
        <v>71</v>
      </c>
      <c r="M18" s="6021">
        <v>2.4</v>
      </c>
      <c r="N18" s="5059">
        <v>66000</v>
      </c>
      <c r="O18" s="6022">
        <f t="shared" si="1"/>
        <v>858000</v>
      </c>
      <c r="P18" s="6023" t="s">
        <v>3804</v>
      </c>
      <c r="Q18" s="6024"/>
      <c r="R18" s="5396" t="s">
        <v>3804</v>
      </c>
      <c r="S18" s="6025" t="s">
        <v>246</v>
      </c>
      <c r="T18" s="5396" t="s">
        <v>2161</v>
      </c>
      <c r="U18" s="5924" t="s">
        <v>2815</v>
      </c>
      <c r="V18" s="7029" t="s">
        <v>6406</v>
      </c>
      <c r="W18" s="7030"/>
      <c r="X18" s="7031"/>
      <c r="AC18" s="4657"/>
    </row>
    <row r="19" spans="1:29" ht="33.75" customHeight="1" thickBot="1">
      <c r="A19" s="6026">
        <v>4</v>
      </c>
      <c r="B19" s="6027">
        <v>46294</v>
      </c>
      <c r="C19" s="6027">
        <v>46294</v>
      </c>
      <c r="D19" s="4991">
        <v>0</v>
      </c>
      <c r="E19" s="4991">
        <v>0.5</v>
      </c>
      <c r="F19" s="5076">
        <f t="shared" si="0"/>
        <v>1</v>
      </c>
      <c r="G19" s="6028" t="s">
        <v>6405</v>
      </c>
      <c r="H19" s="4775">
        <v>4</v>
      </c>
      <c r="I19" s="5078" t="s">
        <v>5784</v>
      </c>
      <c r="J19" s="6029">
        <v>8.06</v>
      </c>
      <c r="K19" s="5080">
        <v>8.8800000000000008</v>
      </c>
      <c r="L19" s="5080">
        <v>71</v>
      </c>
      <c r="M19" s="5080">
        <v>2.4</v>
      </c>
      <c r="N19" s="4775">
        <v>33000</v>
      </c>
      <c r="O19" s="6030">
        <f t="shared" si="1"/>
        <v>33000</v>
      </c>
      <c r="P19" s="6031" t="s">
        <v>3804</v>
      </c>
      <c r="Q19" s="4919"/>
      <c r="R19" s="6032" t="s">
        <v>3804</v>
      </c>
      <c r="S19" s="6033" t="s">
        <v>246</v>
      </c>
      <c r="T19" s="6032" t="s">
        <v>2161</v>
      </c>
      <c r="U19" s="4921" t="s">
        <v>2815</v>
      </c>
      <c r="V19" s="7032"/>
      <c r="W19" s="7032"/>
      <c r="X19" s="7033"/>
      <c r="AC19" s="4657"/>
    </row>
    <row r="20" spans="1:29" s="5967" customFormat="1" ht="33.75" customHeight="1">
      <c r="A20" s="5952">
        <v>7</v>
      </c>
      <c r="B20" s="5953">
        <v>46281</v>
      </c>
      <c r="C20" s="5953">
        <v>46293</v>
      </c>
      <c r="D20" s="5954">
        <v>0</v>
      </c>
      <c r="E20" s="5954">
        <v>1</v>
      </c>
      <c r="F20" s="5955">
        <f t="shared" si="0"/>
        <v>13</v>
      </c>
      <c r="G20" s="5956" t="s">
        <v>6407</v>
      </c>
      <c r="H20" s="5957">
        <v>4</v>
      </c>
      <c r="I20" s="5958" t="s">
        <v>5784</v>
      </c>
      <c r="J20" s="5959">
        <v>8.1300000000000008</v>
      </c>
      <c r="K20" s="5960">
        <v>16.239999999999998</v>
      </c>
      <c r="L20" s="5960">
        <v>142</v>
      </c>
      <c r="M20" s="5960">
        <v>2.2999999999999998</v>
      </c>
      <c r="N20" s="5957">
        <v>132000</v>
      </c>
      <c r="O20" s="5961">
        <f>F20*N20</f>
        <v>1716000</v>
      </c>
      <c r="P20" s="6034" t="s">
        <v>5782</v>
      </c>
      <c r="Q20" s="6035">
        <v>2</v>
      </c>
      <c r="R20" s="6036" t="s">
        <v>3804</v>
      </c>
      <c r="S20" s="6037" t="s">
        <v>246</v>
      </c>
      <c r="T20" s="6036" t="s">
        <v>2161</v>
      </c>
      <c r="U20" s="5966" t="s">
        <v>2815</v>
      </c>
      <c r="V20" s="7014"/>
      <c r="W20" s="7014"/>
      <c r="X20" s="7018"/>
    </row>
    <row r="21" spans="1:29" s="5967" customFormat="1" ht="33.75" customHeight="1" thickBot="1">
      <c r="A21" s="5968">
        <v>8</v>
      </c>
      <c r="B21" s="5969">
        <v>46294</v>
      </c>
      <c r="C21" s="5969">
        <v>46294</v>
      </c>
      <c r="D21" s="5970">
        <v>0</v>
      </c>
      <c r="E21" s="5970">
        <v>0.5</v>
      </c>
      <c r="F21" s="5971">
        <f t="shared" si="0"/>
        <v>1</v>
      </c>
      <c r="G21" s="5972" t="s">
        <v>6407</v>
      </c>
      <c r="H21" s="5973">
        <v>4</v>
      </c>
      <c r="I21" s="5974" t="s">
        <v>5784</v>
      </c>
      <c r="J21" s="5975">
        <v>8.1300000000000008</v>
      </c>
      <c r="K21" s="5976">
        <v>16.239999999999998</v>
      </c>
      <c r="L21" s="5976">
        <v>142</v>
      </c>
      <c r="M21" s="5976">
        <v>2.2999999999999998</v>
      </c>
      <c r="N21" s="5973">
        <v>66000</v>
      </c>
      <c r="O21" s="5977">
        <f t="shared" ref="O21:O29" si="2">F21*N21</f>
        <v>66000</v>
      </c>
      <c r="P21" s="6038" t="s">
        <v>5782</v>
      </c>
      <c r="Q21" s="5979">
        <v>2</v>
      </c>
      <c r="R21" s="6039" t="s">
        <v>3804</v>
      </c>
      <c r="S21" s="6040" t="s">
        <v>246</v>
      </c>
      <c r="T21" s="6039" t="s">
        <v>2161</v>
      </c>
      <c r="U21" s="5982" t="s">
        <v>2815</v>
      </c>
      <c r="V21" s="7016"/>
      <c r="W21" s="7016"/>
      <c r="X21" s="7019"/>
    </row>
    <row r="22" spans="1:29" s="5967" customFormat="1" ht="33.75" customHeight="1">
      <c r="A22" s="5952">
        <v>9</v>
      </c>
      <c r="B22" s="5953">
        <v>46281</v>
      </c>
      <c r="C22" s="5953">
        <v>46293</v>
      </c>
      <c r="D22" s="5954">
        <v>0</v>
      </c>
      <c r="E22" s="5954">
        <v>1</v>
      </c>
      <c r="F22" s="5955">
        <f t="shared" si="0"/>
        <v>13</v>
      </c>
      <c r="G22" s="5956" t="s">
        <v>6408</v>
      </c>
      <c r="H22" s="5957">
        <v>4</v>
      </c>
      <c r="I22" s="5958" t="s">
        <v>5784</v>
      </c>
      <c r="J22" s="5959">
        <v>8.06</v>
      </c>
      <c r="K22" s="5960">
        <v>8.8800000000000008</v>
      </c>
      <c r="L22" s="5960">
        <v>71</v>
      </c>
      <c r="M22" s="5960">
        <v>2.4</v>
      </c>
      <c r="N22" s="5957">
        <v>66000</v>
      </c>
      <c r="O22" s="5961">
        <f t="shared" si="2"/>
        <v>858000</v>
      </c>
      <c r="P22" s="5962" t="s">
        <v>3804</v>
      </c>
      <c r="Q22" s="5963"/>
      <c r="R22" s="6036" t="s">
        <v>3804</v>
      </c>
      <c r="S22" s="6037" t="s">
        <v>246</v>
      </c>
      <c r="T22" s="6036" t="s">
        <v>2161</v>
      </c>
      <c r="U22" s="5966" t="s">
        <v>2815</v>
      </c>
      <c r="V22" s="7014"/>
      <c r="W22" s="7014"/>
      <c r="X22" s="7015"/>
    </row>
    <row r="23" spans="1:29" s="5967" customFormat="1" ht="33.75" customHeight="1" thickBot="1">
      <c r="A23" s="5968">
        <v>10</v>
      </c>
      <c r="B23" s="5969">
        <v>46294</v>
      </c>
      <c r="C23" s="5969">
        <v>46294</v>
      </c>
      <c r="D23" s="5970">
        <v>0</v>
      </c>
      <c r="E23" s="5970">
        <v>0.5</v>
      </c>
      <c r="F23" s="5971">
        <f t="shared" si="0"/>
        <v>1</v>
      </c>
      <c r="G23" s="5972" t="s">
        <v>6408</v>
      </c>
      <c r="H23" s="5973">
        <v>4</v>
      </c>
      <c r="I23" s="5974" t="s">
        <v>5784</v>
      </c>
      <c r="J23" s="5975">
        <v>8.06</v>
      </c>
      <c r="K23" s="5976">
        <v>8.8800000000000008</v>
      </c>
      <c r="L23" s="5976">
        <v>71</v>
      </c>
      <c r="M23" s="5976">
        <v>2.4</v>
      </c>
      <c r="N23" s="5973">
        <v>33000</v>
      </c>
      <c r="O23" s="5977">
        <f t="shared" si="2"/>
        <v>33000</v>
      </c>
      <c r="P23" s="5978" t="s">
        <v>3804</v>
      </c>
      <c r="Q23" s="5979"/>
      <c r="R23" s="6039" t="s">
        <v>3804</v>
      </c>
      <c r="S23" s="6040" t="s">
        <v>246</v>
      </c>
      <c r="T23" s="6039" t="s">
        <v>2161</v>
      </c>
      <c r="U23" s="5982" t="s">
        <v>2815</v>
      </c>
      <c r="V23" s="7016"/>
      <c r="W23" s="7016"/>
      <c r="X23" s="7017"/>
    </row>
    <row r="24" spans="1:29" s="5967" customFormat="1" ht="33.75" customHeight="1">
      <c r="A24" s="5952">
        <v>11</v>
      </c>
      <c r="B24" s="5953">
        <v>46281</v>
      </c>
      <c r="C24" s="5953">
        <v>46293</v>
      </c>
      <c r="D24" s="5954">
        <v>0</v>
      </c>
      <c r="E24" s="5954">
        <v>1</v>
      </c>
      <c r="F24" s="5955">
        <f t="shared" si="0"/>
        <v>13</v>
      </c>
      <c r="G24" s="5956" t="s">
        <v>6409</v>
      </c>
      <c r="H24" s="5957">
        <v>4</v>
      </c>
      <c r="I24" s="5958" t="s">
        <v>5784</v>
      </c>
      <c r="J24" s="5959">
        <v>8.06</v>
      </c>
      <c r="K24" s="5960">
        <v>8.8800000000000008</v>
      </c>
      <c r="L24" s="5960">
        <v>71</v>
      </c>
      <c r="M24" s="5960">
        <v>2.4</v>
      </c>
      <c r="N24" s="5957">
        <v>66000</v>
      </c>
      <c r="O24" s="5961">
        <f t="shared" si="2"/>
        <v>858000</v>
      </c>
      <c r="P24" s="5962" t="s">
        <v>3804</v>
      </c>
      <c r="Q24" s="5963"/>
      <c r="R24" s="6036" t="s">
        <v>3804</v>
      </c>
      <c r="S24" s="6037" t="s">
        <v>246</v>
      </c>
      <c r="T24" s="6036" t="s">
        <v>2161</v>
      </c>
      <c r="U24" s="5966" t="s">
        <v>2815</v>
      </c>
      <c r="V24" s="7014"/>
      <c r="W24" s="7014"/>
      <c r="X24" s="7015"/>
    </row>
    <row r="25" spans="1:29" s="5967" customFormat="1" ht="33.75" customHeight="1" thickBot="1">
      <c r="A25" s="5968">
        <v>12</v>
      </c>
      <c r="B25" s="5969">
        <v>46294</v>
      </c>
      <c r="C25" s="5969">
        <v>46294</v>
      </c>
      <c r="D25" s="5970">
        <v>0</v>
      </c>
      <c r="E25" s="5970">
        <v>0.5</v>
      </c>
      <c r="F25" s="5971">
        <f t="shared" si="0"/>
        <v>1</v>
      </c>
      <c r="G25" s="5972" t="s">
        <v>6409</v>
      </c>
      <c r="H25" s="5973">
        <v>4</v>
      </c>
      <c r="I25" s="5974" t="s">
        <v>5784</v>
      </c>
      <c r="J25" s="5975">
        <v>8.06</v>
      </c>
      <c r="K25" s="5976">
        <v>8.8800000000000008</v>
      </c>
      <c r="L25" s="5976">
        <v>71</v>
      </c>
      <c r="M25" s="5976">
        <v>2.4</v>
      </c>
      <c r="N25" s="5973">
        <v>33000</v>
      </c>
      <c r="O25" s="5977">
        <f t="shared" si="2"/>
        <v>33000</v>
      </c>
      <c r="P25" s="5978" t="s">
        <v>3804</v>
      </c>
      <c r="Q25" s="5979"/>
      <c r="R25" s="6039" t="s">
        <v>3804</v>
      </c>
      <c r="S25" s="6040" t="s">
        <v>246</v>
      </c>
      <c r="T25" s="6039" t="s">
        <v>2161</v>
      </c>
      <c r="U25" s="5982" t="s">
        <v>2815</v>
      </c>
      <c r="V25" s="7016"/>
      <c r="W25" s="7016"/>
      <c r="X25" s="7017"/>
    </row>
    <row r="26" spans="1:29" s="5967" customFormat="1" ht="33.75" customHeight="1">
      <c r="A26" s="5952">
        <v>13</v>
      </c>
      <c r="B26" s="5953">
        <v>46281</v>
      </c>
      <c r="C26" s="5953">
        <v>46293</v>
      </c>
      <c r="D26" s="5954">
        <v>0</v>
      </c>
      <c r="E26" s="5954">
        <v>1</v>
      </c>
      <c r="F26" s="5955">
        <f t="shared" si="0"/>
        <v>13</v>
      </c>
      <c r="G26" s="5956" t="s">
        <v>6410</v>
      </c>
      <c r="H26" s="5957">
        <v>4</v>
      </c>
      <c r="I26" s="5958" t="s">
        <v>5784</v>
      </c>
      <c r="J26" s="5959">
        <v>8.06</v>
      </c>
      <c r="K26" s="5960">
        <v>8.8800000000000008</v>
      </c>
      <c r="L26" s="5960">
        <v>71</v>
      </c>
      <c r="M26" s="5960">
        <v>2.4</v>
      </c>
      <c r="N26" s="5957">
        <v>66000</v>
      </c>
      <c r="O26" s="5961">
        <f t="shared" si="2"/>
        <v>858000</v>
      </c>
      <c r="P26" s="5962" t="s">
        <v>3804</v>
      </c>
      <c r="Q26" s="5963"/>
      <c r="R26" s="6036" t="s">
        <v>3804</v>
      </c>
      <c r="S26" s="6037" t="s">
        <v>246</v>
      </c>
      <c r="T26" s="6036" t="s">
        <v>2161</v>
      </c>
      <c r="U26" s="5966" t="s">
        <v>2815</v>
      </c>
      <c r="V26" s="7014"/>
      <c r="W26" s="7014"/>
      <c r="X26" s="7015"/>
    </row>
    <row r="27" spans="1:29" s="5967" customFormat="1" ht="33.75" customHeight="1" thickBot="1">
      <c r="A27" s="5968">
        <v>14</v>
      </c>
      <c r="B27" s="5969">
        <v>46294</v>
      </c>
      <c r="C27" s="5969">
        <v>46294</v>
      </c>
      <c r="D27" s="5970">
        <v>0</v>
      </c>
      <c r="E27" s="5970">
        <v>0.5</v>
      </c>
      <c r="F27" s="5971">
        <f t="shared" si="0"/>
        <v>1</v>
      </c>
      <c r="G27" s="5972" t="s">
        <v>6410</v>
      </c>
      <c r="H27" s="5973">
        <v>4</v>
      </c>
      <c r="I27" s="5974" t="s">
        <v>5784</v>
      </c>
      <c r="J27" s="5975">
        <v>8.06</v>
      </c>
      <c r="K27" s="5976">
        <v>8.8800000000000008</v>
      </c>
      <c r="L27" s="5976">
        <v>71</v>
      </c>
      <c r="M27" s="5976">
        <v>2.4</v>
      </c>
      <c r="N27" s="5973">
        <v>33000</v>
      </c>
      <c r="O27" s="5977">
        <f t="shared" si="2"/>
        <v>33000</v>
      </c>
      <c r="P27" s="5978" t="s">
        <v>3804</v>
      </c>
      <c r="Q27" s="5979"/>
      <c r="R27" s="6039" t="s">
        <v>3804</v>
      </c>
      <c r="S27" s="6040" t="s">
        <v>246</v>
      </c>
      <c r="T27" s="6039" t="s">
        <v>2161</v>
      </c>
      <c r="U27" s="5982" t="s">
        <v>2815</v>
      </c>
      <c r="V27" s="7016"/>
      <c r="W27" s="7016"/>
      <c r="X27" s="7017"/>
    </row>
    <row r="28" spans="1:29" s="5967" customFormat="1" ht="33.75" customHeight="1" thickBot="1">
      <c r="A28" s="5952">
        <v>15</v>
      </c>
      <c r="B28" s="5953">
        <v>46281</v>
      </c>
      <c r="C28" s="5953">
        <v>46293</v>
      </c>
      <c r="D28" s="5954">
        <v>0</v>
      </c>
      <c r="E28" s="5954">
        <v>1</v>
      </c>
      <c r="F28" s="5955">
        <f t="shared" si="0"/>
        <v>13</v>
      </c>
      <c r="G28" s="5956" t="s">
        <v>6411</v>
      </c>
      <c r="H28" s="5957">
        <v>13</v>
      </c>
      <c r="I28" s="5958" t="s">
        <v>5190</v>
      </c>
      <c r="J28" s="5959">
        <v>8.6999999999999993</v>
      </c>
      <c r="K28" s="5960">
        <v>37</v>
      </c>
      <c r="L28" s="5960">
        <v>322</v>
      </c>
      <c r="M28" s="5960">
        <v>2.7</v>
      </c>
      <c r="N28" s="5957">
        <v>250000</v>
      </c>
      <c r="O28" s="5961">
        <f t="shared" si="2"/>
        <v>3250000</v>
      </c>
      <c r="P28" s="5978" t="s">
        <v>3804</v>
      </c>
      <c r="Q28" s="5963"/>
      <c r="R28" s="6036"/>
      <c r="S28" s="6037" t="s">
        <v>246</v>
      </c>
      <c r="T28" s="6036"/>
      <c r="U28" s="5966" t="s">
        <v>2815</v>
      </c>
      <c r="V28" s="7014"/>
      <c r="W28" s="7014"/>
      <c r="X28" s="7015"/>
    </row>
    <row r="29" spans="1:29" s="5967" customFormat="1" ht="33.75" customHeight="1" thickBot="1">
      <c r="A29" s="5968">
        <v>16</v>
      </c>
      <c r="B29" s="5969">
        <v>46294</v>
      </c>
      <c r="C29" s="5969">
        <v>46294</v>
      </c>
      <c r="D29" s="5970">
        <v>0</v>
      </c>
      <c r="E29" s="5970">
        <v>0.5</v>
      </c>
      <c r="F29" s="5971">
        <f t="shared" si="0"/>
        <v>1</v>
      </c>
      <c r="G29" s="5972" t="s">
        <v>6412</v>
      </c>
      <c r="H29" s="5973">
        <v>13</v>
      </c>
      <c r="I29" s="5974" t="s">
        <v>5190</v>
      </c>
      <c r="J29" s="5975">
        <v>8.6999999999999993</v>
      </c>
      <c r="K29" s="5976">
        <v>37</v>
      </c>
      <c r="L29" s="5976">
        <v>322</v>
      </c>
      <c r="M29" s="5976">
        <v>2.7</v>
      </c>
      <c r="N29" s="5973">
        <v>125000</v>
      </c>
      <c r="O29" s="5977">
        <f t="shared" si="2"/>
        <v>125000</v>
      </c>
      <c r="P29" s="5978" t="s">
        <v>3804</v>
      </c>
      <c r="Q29" s="5979"/>
      <c r="R29" s="6039"/>
      <c r="S29" s="6040" t="s">
        <v>246</v>
      </c>
      <c r="T29" s="6039"/>
      <c r="U29" s="5982" t="s">
        <v>2815</v>
      </c>
      <c r="V29" s="7016"/>
      <c r="W29" s="7016"/>
      <c r="X29" s="7017"/>
    </row>
    <row r="30" spans="1:29" ht="33.75" customHeight="1" thickTop="1" thickBot="1">
      <c r="A30" s="5057" t="s">
        <v>5845</v>
      </c>
      <c r="B30" s="6041"/>
      <c r="C30" s="6041"/>
      <c r="D30" s="6041"/>
      <c r="E30" s="6041"/>
      <c r="F30" s="6042">
        <f>SUM(F16:F27)</f>
        <v>84</v>
      </c>
      <c r="G30" s="6041"/>
      <c r="H30" s="6043"/>
      <c r="I30" s="4782">
        <f>COUNTA(G8,G10,G12,G14,G16,G18,G20,G22,G24,G26,G28)</f>
        <v>11</v>
      </c>
      <c r="J30" s="4783"/>
      <c r="K30" s="4784"/>
      <c r="L30" s="4784"/>
      <c r="M30" s="4784"/>
      <c r="N30" s="4785"/>
      <c r="O30" s="4776">
        <f>SUM(O8:O29)</f>
        <v>15813000</v>
      </c>
      <c r="P30" s="6044"/>
      <c r="Q30" s="6044"/>
      <c r="R30" s="5399"/>
      <c r="S30" s="6045"/>
      <c r="T30" s="5399"/>
      <c r="U30" s="6046"/>
      <c r="AC30" s="4657"/>
    </row>
    <row r="31" spans="1:29" ht="33.75" customHeight="1" thickBot="1">
      <c r="A31" s="4876" t="s">
        <v>5792</v>
      </c>
      <c r="B31" s="4877"/>
      <c r="C31" s="4878"/>
      <c r="D31" s="4878"/>
      <c r="E31" s="4878"/>
      <c r="F31" s="4879"/>
      <c r="G31" s="4878"/>
      <c r="H31" s="4880"/>
      <c r="I31" s="4878"/>
      <c r="J31" s="4881"/>
      <c r="K31" s="4881"/>
      <c r="L31" s="4881"/>
      <c r="M31" s="4881"/>
      <c r="N31" s="4882"/>
      <c r="O31" s="4923">
        <f>O30*1.1</f>
        <v>17394300</v>
      </c>
      <c r="P31" s="4884"/>
      <c r="Q31" s="4885"/>
      <c r="R31" s="4886"/>
      <c r="S31" s="4887"/>
      <c r="T31" s="4886"/>
      <c r="U31" s="4888"/>
      <c r="AC31" s="4657"/>
    </row>
    <row r="32" spans="1:29" ht="33.75" customHeight="1">
      <c r="A32" s="4656"/>
      <c r="B32" s="4660"/>
      <c r="C32" s="4660"/>
      <c r="D32" s="4660"/>
      <c r="G32" s="4660"/>
      <c r="H32" s="4660"/>
      <c r="M32" s="4808" t="s">
        <v>5748</v>
      </c>
      <c r="N32" s="4809">
        <f>SUM(N8,N10,N12,N14,N16,N18,N20,N22,N24,N26,N28)</f>
        <v>1138000</v>
      </c>
      <c r="O32" s="4656"/>
      <c r="P32" s="4657"/>
      <c r="Q32" s="4657"/>
      <c r="AC32" s="4657"/>
    </row>
    <row r="33" spans="1:29" ht="33.75" customHeight="1">
      <c r="A33" s="4656"/>
      <c r="B33" s="4660"/>
      <c r="C33" s="4660"/>
      <c r="D33" s="4660"/>
      <c r="G33" s="4660"/>
      <c r="H33" s="4660"/>
      <c r="M33" s="4808" t="s">
        <v>5750</v>
      </c>
      <c r="N33" s="4809">
        <f>N32*1.1</f>
        <v>1251800</v>
      </c>
      <c r="O33" s="4656"/>
      <c r="P33" s="4657"/>
      <c r="Q33" s="4657"/>
      <c r="AC33" s="4657"/>
    </row>
    <row r="34" spans="1:29" ht="33.75" customHeight="1" thickBot="1">
      <c r="A34" s="4737" t="s">
        <v>5836</v>
      </c>
      <c r="B34" s="4657"/>
      <c r="C34" s="4657"/>
      <c r="D34" s="4657"/>
      <c r="G34" s="4657"/>
      <c r="H34" s="4657"/>
      <c r="M34" s="5064"/>
      <c r="N34" s="5063"/>
      <c r="O34" s="4656"/>
      <c r="P34" s="4656"/>
      <c r="Q34" s="4657"/>
      <c r="AC34" s="4657"/>
    </row>
    <row r="35" spans="1:29" s="4738" customFormat="1" ht="33.75" customHeight="1">
      <c r="A35" s="6893" t="s">
        <v>5713</v>
      </c>
      <c r="B35" s="6882" t="s">
        <v>5757</v>
      </c>
      <c r="C35" s="6882" t="s">
        <v>5758</v>
      </c>
      <c r="D35" s="6882" t="s">
        <v>5759</v>
      </c>
      <c r="E35" s="6882" t="s">
        <v>5760</v>
      </c>
      <c r="F35" s="6895" t="s">
        <v>5761</v>
      </c>
      <c r="G35" s="6882" t="s">
        <v>5762</v>
      </c>
      <c r="H35" s="6897" t="s">
        <v>5763</v>
      </c>
      <c r="I35" s="6882" t="s">
        <v>5764</v>
      </c>
      <c r="J35" s="6895" t="s">
        <v>5765</v>
      </c>
      <c r="K35" s="6888" t="s">
        <v>5766</v>
      </c>
      <c r="L35" s="6888" t="s">
        <v>5767</v>
      </c>
      <c r="M35" s="6888" t="s">
        <v>5768</v>
      </c>
      <c r="N35" s="6882" t="s">
        <v>5811</v>
      </c>
      <c r="O35" s="6884" t="s">
        <v>5812</v>
      </c>
      <c r="P35" s="6886" t="s">
        <v>5771</v>
      </c>
      <c r="Q35" s="6887"/>
      <c r="R35" s="6888" t="s">
        <v>5772</v>
      </c>
      <c r="S35" s="6889"/>
      <c r="T35" s="6889"/>
      <c r="U35" s="6890"/>
    </row>
    <row r="36" spans="1:29" s="4738" customFormat="1" ht="33.75" customHeight="1" thickBot="1">
      <c r="A36" s="6894"/>
      <c r="B36" s="6883"/>
      <c r="C36" s="6883"/>
      <c r="D36" s="6883"/>
      <c r="E36" s="6883"/>
      <c r="F36" s="6896"/>
      <c r="G36" s="6883"/>
      <c r="H36" s="6898"/>
      <c r="I36" s="6883"/>
      <c r="J36" s="6896"/>
      <c r="K36" s="6892"/>
      <c r="L36" s="6892"/>
      <c r="M36" s="6892"/>
      <c r="N36" s="6883"/>
      <c r="O36" s="6885"/>
      <c r="P36" s="4739" t="s">
        <v>5773</v>
      </c>
      <c r="Q36" s="4740" t="s">
        <v>5774</v>
      </c>
      <c r="R36" s="4740" t="s">
        <v>5775</v>
      </c>
      <c r="S36" s="4741" t="s">
        <v>5776</v>
      </c>
      <c r="T36" s="4740" t="s">
        <v>5777</v>
      </c>
      <c r="U36" s="4742" t="s">
        <v>5778</v>
      </c>
    </row>
    <row r="37" spans="1:29" s="4666" customFormat="1" ht="33.75" customHeight="1">
      <c r="A37" s="4743" t="s">
        <v>5779</v>
      </c>
      <c r="B37" s="4744">
        <v>46280</v>
      </c>
      <c r="C37" s="4744">
        <v>46300</v>
      </c>
      <c r="D37" s="4745">
        <v>0.3125</v>
      </c>
      <c r="E37" s="4746">
        <v>0.89583333333333337</v>
      </c>
      <c r="F37" s="4747">
        <f>IF(OR(ISBLANK($B37), ISBLANK($C37)), 0, _xlfn.DAYS($C37, $B37) + 1)</f>
        <v>21</v>
      </c>
      <c r="G37" s="4890" t="s">
        <v>5780</v>
      </c>
      <c r="H37" s="4891">
        <v>3</v>
      </c>
      <c r="I37" s="4892" t="s">
        <v>5781</v>
      </c>
      <c r="J37" s="4893">
        <v>30</v>
      </c>
      <c r="K37" s="4894">
        <v>100</v>
      </c>
      <c r="L37" s="4894">
        <f>J37*K37</f>
        <v>3000</v>
      </c>
      <c r="M37" s="4895">
        <v>5</v>
      </c>
      <c r="N37" s="4896">
        <v>150000</v>
      </c>
      <c r="O37" s="4754">
        <f t="shared" ref="O37:O47" si="3">F37*N37</f>
        <v>3150000</v>
      </c>
      <c r="P37" s="4897" t="s">
        <v>5782</v>
      </c>
      <c r="Q37" s="4898">
        <v>4</v>
      </c>
      <c r="R37" s="4898" t="s">
        <v>3804</v>
      </c>
      <c r="S37" s="4894" t="s">
        <v>246</v>
      </c>
      <c r="T37" s="4898" t="s">
        <v>2161</v>
      </c>
      <c r="U37" s="4899">
        <v>2000</v>
      </c>
    </row>
    <row r="38" spans="1:29" s="4666" customFormat="1" ht="33.75" customHeight="1">
      <c r="A38" s="4758">
        <v>1</v>
      </c>
      <c r="B38" s="4900"/>
      <c r="C38" s="4900"/>
      <c r="D38" s="4913"/>
      <c r="E38" s="4759"/>
      <c r="F38" s="4760">
        <f t="shared" ref="F38:F47" si="4">IF(OR(ISBLANK($B38), ISBLANK($C38)), 0, _xlfn.DAYS($C38, $B38) + 1)</f>
        <v>0</v>
      </c>
      <c r="G38" s="4771"/>
      <c r="H38" s="4762"/>
      <c r="I38" s="4763"/>
      <c r="J38" s="4902"/>
      <c r="K38" s="4765"/>
      <c r="L38" s="4765"/>
      <c r="M38" s="4765"/>
      <c r="N38" s="4762"/>
      <c r="O38" s="4766">
        <f t="shared" si="3"/>
        <v>0</v>
      </c>
      <c r="P38" s="4857"/>
      <c r="Q38" s="4858"/>
      <c r="R38" s="4859"/>
      <c r="S38" s="4858"/>
      <c r="T38" s="4859"/>
      <c r="U38" s="4860"/>
    </row>
    <row r="39" spans="1:29" ht="33.75" customHeight="1">
      <c r="A39" s="4758">
        <v>2</v>
      </c>
      <c r="B39" s="4900"/>
      <c r="C39" s="4900"/>
      <c r="D39" s="4913"/>
      <c r="E39" s="4759"/>
      <c r="F39" s="4760">
        <f t="shared" si="4"/>
        <v>0</v>
      </c>
      <c r="G39" s="4771"/>
      <c r="H39" s="4762"/>
      <c r="I39" s="4763"/>
      <c r="J39" s="4902"/>
      <c r="K39" s="4765"/>
      <c r="L39" s="4765"/>
      <c r="M39" s="4765"/>
      <c r="N39" s="4762"/>
      <c r="O39" s="4766">
        <f t="shared" si="3"/>
        <v>0</v>
      </c>
      <c r="P39" s="4857"/>
      <c r="Q39" s="4858"/>
      <c r="R39" s="4859"/>
      <c r="S39" s="4858"/>
      <c r="T39" s="4859"/>
      <c r="U39" s="4860"/>
      <c r="AC39" s="4657"/>
    </row>
    <row r="40" spans="1:29" ht="33.75" customHeight="1">
      <c r="A40" s="4758">
        <v>3</v>
      </c>
      <c r="B40" s="4900"/>
      <c r="C40" s="4900"/>
      <c r="D40" s="4913"/>
      <c r="E40" s="4759"/>
      <c r="F40" s="4760">
        <f t="shared" si="4"/>
        <v>0</v>
      </c>
      <c r="G40" s="4771"/>
      <c r="H40" s="4762"/>
      <c r="I40" s="4763"/>
      <c r="J40" s="4902"/>
      <c r="K40" s="4765"/>
      <c r="L40" s="4765"/>
      <c r="M40" s="4765"/>
      <c r="N40" s="4762"/>
      <c r="O40" s="4766">
        <f t="shared" si="3"/>
        <v>0</v>
      </c>
      <c r="P40" s="4857"/>
      <c r="Q40" s="4858"/>
      <c r="R40" s="4859"/>
      <c r="S40" s="4858"/>
      <c r="T40" s="4859"/>
      <c r="U40" s="4860"/>
      <c r="AC40" s="4657"/>
    </row>
    <row r="41" spans="1:29" ht="33.75" customHeight="1">
      <c r="A41" s="4758">
        <v>4</v>
      </c>
      <c r="B41" s="4900"/>
      <c r="C41" s="4900"/>
      <c r="D41" s="4913"/>
      <c r="E41" s="4759"/>
      <c r="F41" s="4760">
        <f t="shared" si="4"/>
        <v>0</v>
      </c>
      <c r="G41" s="4771"/>
      <c r="H41" s="4762"/>
      <c r="I41" s="4763"/>
      <c r="J41" s="4902"/>
      <c r="K41" s="4765"/>
      <c r="L41" s="4765"/>
      <c r="M41" s="4765"/>
      <c r="N41" s="4762"/>
      <c r="O41" s="4766">
        <f t="shared" si="3"/>
        <v>0</v>
      </c>
      <c r="P41" s="4857"/>
      <c r="Q41" s="4858"/>
      <c r="R41" s="4859"/>
      <c r="S41" s="4858"/>
      <c r="T41" s="4859"/>
      <c r="U41" s="4860"/>
      <c r="AC41" s="4657"/>
    </row>
    <row r="42" spans="1:29" ht="33.75" customHeight="1">
      <c r="A42" s="4758">
        <v>5</v>
      </c>
      <c r="B42" s="4900"/>
      <c r="C42" s="4900"/>
      <c r="D42" s="4913"/>
      <c r="E42" s="4759"/>
      <c r="F42" s="4760">
        <f t="shared" si="4"/>
        <v>0</v>
      </c>
      <c r="G42" s="4771"/>
      <c r="H42" s="4762"/>
      <c r="I42" s="4763"/>
      <c r="J42" s="4902"/>
      <c r="K42" s="4765"/>
      <c r="L42" s="4765"/>
      <c r="M42" s="4765"/>
      <c r="N42" s="4762"/>
      <c r="O42" s="4766">
        <f t="shared" si="3"/>
        <v>0</v>
      </c>
      <c r="P42" s="4857"/>
      <c r="Q42" s="4858"/>
      <c r="R42" s="4859"/>
      <c r="S42" s="4858"/>
      <c r="T42" s="4859"/>
      <c r="U42" s="4860"/>
      <c r="AC42" s="4657"/>
    </row>
    <row r="43" spans="1:29" ht="33.75" customHeight="1">
      <c r="A43" s="4758">
        <v>6</v>
      </c>
      <c r="B43" s="4950"/>
      <c r="C43" s="4950"/>
      <c r="D43" s="4951"/>
      <c r="E43" s="4759"/>
      <c r="F43" s="4760">
        <f t="shared" si="4"/>
        <v>0</v>
      </c>
      <c r="G43" s="4950"/>
      <c r="H43" s="4952"/>
      <c r="I43" s="4763"/>
      <c r="J43" s="4902"/>
      <c r="K43" s="4765"/>
      <c r="L43" s="4765"/>
      <c r="M43" s="4765"/>
      <c r="N43" s="4762"/>
      <c r="O43" s="4766">
        <f t="shared" si="3"/>
        <v>0</v>
      </c>
      <c r="P43" s="4857"/>
      <c r="Q43" s="4858"/>
      <c r="R43" s="4859"/>
      <c r="S43" s="4858"/>
      <c r="T43" s="4859"/>
      <c r="U43" s="4860"/>
      <c r="AC43" s="4657"/>
    </row>
    <row r="44" spans="1:29" ht="33.75" customHeight="1">
      <c r="A44" s="4758">
        <v>7</v>
      </c>
      <c r="B44" s="4950"/>
      <c r="C44" s="4950"/>
      <c r="D44" s="4951"/>
      <c r="E44" s="4759"/>
      <c r="F44" s="4760">
        <f t="shared" si="4"/>
        <v>0</v>
      </c>
      <c r="G44" s="4950"/>
      <c r="H44" s="4952"/>
      <c r="I44" s="4763"/>
      <c r="J44" s="4902"/>
      <c r="K44" s="4765"/>
      <c r="L44" s="4765"/>
      <c r="M44" s="4765"/>
      <c r="N44" s="4762"/>
      <c r="O44" s="4766">
        <f t="shared" si="3"/>
        <v>0</v>
      </c>
      <c r="P44" s="4857"/>
      <c r="Q44" s="4858"/>
      <c r="R44" s="4859"/>
      <c r="S44" s="4858"/>
      <c r="T44" s="4859"/>
      <c r="U44" s="4860"/>
      <c r="AC44" s="4657"/>
    </row>
    <row r="45" spans="1:29" ht="33.75" customHeight="1">
      <c r="A45" s="4758">
        <v>8</v>
      </c>
      <c r="B45" s="4950"/>
      <c r="C45" s="4950"/>
      <c r="D45" s="4951"/>
      <c r="E45" s="4759"/>
      <c r="F45" s="4760">
        <f t="shared" si="4"/>
        <v>0</v>
      </c>
      <c r="G45" s="4950"/>
      <c r="H45" s="4952"/>
      <c r="I45" s="4763"/>
      <c r="J45" s="4902"/>
      <c r="K45" s="4765"/>
      <c r="L45" s="4765"/>
      <c r="M45" s="4765"/>
      <c r="N45" s="4762"/>
      <c r="O45" s="4766">
        <f t="shared" si="3"/>
        <v>0</v>
      </c>
      <c r="P45" s="4857"/>
      <c r="Q45" s="4858"/>
      <c r="R45" s="4859"/>
      <c r="S45" s="4858"/>
      <c r="T45" s="4859"/>
      <c r="U45" s="4860"/>
      <c r="AC45" s="4657"/>
    </row>
    <row r="46" spans="1:29" ht="33.75" customHeight="1">
      <c r="A46" s="4758">
        <v>9</v>
      </c>
      <c r="B46" s="4950"/>
      <c r="C46" s="4950"/>
      <c r="D46" s="4951"/>
      <c r="E46" s="4759"/>
      <c r="F46" s="4760">
        <f t="shared" si="4"/>
        <v>0</v>
      </c>
      <c r="G46" s="4950"/>
      <c r="H46" s="4952"/>
      <c r="I46" s="4763"/>
      <c r="J46" s="4902"/>
      <c r="K46" s="4765"/>
      <c r="L46" s="4765"/>
      <c r="M46" s="4765"/>
      <c r="N46" s="4762"/>
      <c r="O46" s="4766">
        <f t="shared" si="3"/>
        <v>0</v>
      </c>
      <c r="P46" s="4857"/>
      <c r="Q46" s="4858"/>
      <c r="R46" s="4859"/>
      <c r="S46" s="4858"/>
      <c r="T46" s="4859"/>
      <c r="U46" s="4860"/>
      <c r="AC46" s="4657"/>
    </row>
    <row r="47" spans="1:29" ht="33.75" customHeight="1" thickBot="1">
      <c r="A47" s="4772">
        <v>10</v>
      </c>
      <c r="B47" s="4953"/>
      <c r="C47" s="4953"/>
      <c r="D47" s="4954"/>
      <c r="E47" s="4915"/>
      <c r="F47" s="4770">
        <f t="shared" si="4"/>
        <v>0</v>
      </c>
      <c r="G47" s="4953"/>
      <c r="H47" s="4955"/>
      <c r="I47" s="4774"/>
      <c r="J47" s="4902"/>
      <c r="K47" s="4765"/>
      <c r="L47" s="5009"/>
      <c r="M47" s="4765"/>
      <c r="N47" s="4775"/>
      <c r="O47" s="4776">
        <f t="shared" si="3"/>
        <v>0</v>
      </c>
      <c r="P47" s="4918"/>
      <c r="Q47" s="4919"/>
      <c r="R47" s="4920"/>
      <c r="S47" s="4919"/>
      <c r="T47" s="4920"/>
      <c r="U47" s="4921"/>
      <c r="AC47" s="4657"/>
    </row>
    <row r="48" spans="1:29" ht="33.75" customHeight="1" thickTop="1" thickBot="1">
      <c r="A48" s="4865" t="s">
        <v>5939</v>
      </c>
      <c r="B48" s="4866"/>
      <c r="C48" s="4866"/>
      <c r="D48" s="4866"/>
      <c r="E48" s="4866"/>
      <c r="F48" s="4867">
        <f>SUM(F38:F47)</f>
        <v>0</v>
      </c>
      <c r="G48" s="4866"/>
      <c r="H48" s="4868"/>
      <c r="I48" s="4866"/>
      <c r="J48" s="4870"/>
      <c r="K48" s="4870"/>
      <c r="L48" s="4870"/>
      <c r="M48" s="4870"/>
      <c r="N48" s="4903"/>
      <c r="O48" s="4871">
        <f>SUM(O38:O47)</f>
        <v>0</v>
      </c>
      <c r="P48" s="4904"/>
      <c r="Q48" s="4904"/>
      <c r="R48" s="4905"/>
      <c r="S48" s="4906"/>
      <c r="T48" s="4905"/>
      <c r="U48" s="4907"/>
      <c r="AC48" s="4657"/>
    </row>
    <row r="49" spans="1:31" ht="33.75" customHeight="1" thickBot="1">
      <c r="A49" s="4876" t="s">
        <v>5792</v>
      </c>
      <c r="B49" s="4957"/>
      <c r="C49" s="4958"/>
      <c r="D49" s="4958"/>
      <c r="E49" s="4958"/>
      <c r="F49" s="4959"/>
      <c r="G49" s="4958"/>
      <c r="H49" s="4960"/>
      <c r="I49" s="4958"/>
      <c r="J49" s="4961"/>
      <c r="K49" s="4961"/>
      <c r="L49" s="4961"/>
      <c r="M49" s="4961"/>
      <c r="N49" s="4962"/>
      <c r="O49" s="5010">
        <f>O48*1.1</f>
        <v>0</v>
      </c>
      <c r="P49" s="4963"/>
      <c r="Q49" s="4963"/>
      <c r="R49" s="4964"/>
      <c r="S49" s="4965"/>
      <c r="T49" s="4964"/>
      <c r="U49" s="4966"/>
      <c r="V49" s="4941"/>
      <c r="W49" s="4941"/>
      <c r="X49" s="4941"/>
      <c r="Y49" s="4941"/>
      <c r="Z49" s="4941"/>
      <c r="AA49" s="4941"/>
      <c r="AB49" s="4941"/>
      <c r="AC49" s="4941"/>
      <c r="AD49" s="4941"/>
      <c r="AE49" s="4941"/>
    </row>
    <row r="50" spans="1:31" ht="32.15" customHeight="1">
      <c r="A50" s="4656"/>
      <c r="B50" s="4660"/>
      <c r="C50" s="4660"/>
      <c r="D50" s="4660"/>
      <c r="G50" s="4660"/>
      <c r="H50" s="4660"/>
      <c r="O50" s="4656"/>
      <c r="P50" s="4657"/>
      <c r="Q50" s="4657"/>
      <c r="AC50" s="4657"/>
    </row>
    <row r="51" spans="1:31" ht="32.15" customHeight="1">
      <c r="B51" s="4657"/>
      <c r="C51" s="4657"/>
      <c r="D51" s="4657"/>
      <c r="E51" s="4810"/>
      <c r="F51" s="4811"/>
      <c r="G51" s="4657"/>
      <c r="H51" s="4657"/>
      <c r="O51" s="4656"/>
      <c r="P51" s="4657"/>
      <c r="Q51" s="4657"/>
      <c r="AC51" s="4657"/>
    </row>
    <row r="52" spans="1:31" ht="32.15" customHeight="1">
      <c r="A52" s="4812"/>
      <c r="B52" s="4813"/>
      <c r="C52" s="4813"/>
      <c r="D52" s="4813"/>
      <c r="E52" s="4814"/>
      <c r="F52" s="4814"/>
      <c r="G52" s="4813"/>
      <c r="H52" s="4813"/>
      <c r="I52" s="4812"/>
      <c r="J52" s="4812"/>
      <c r="K52" s="4812"/>
      <c r="L52" s="4812"/>
      <c r="M52" s="4812"/>
      <c r="N52" s="4812"/>
      <c r="O52" s="4715"/>
      <c r="P52" s="4715"/>
      <c r="Q52" s="4715"/>
      <c r="R52" s="4656"/>
      <c r="S52" s="4812"/>
      <c r="T52" s="4656"/>
      <c r="U52" s="4812"/>
      <c r="W52" s="6905"/>
      <c r="X52" s="6905"/>
      <c r="Y52" s="6905"/>
      <c r="Z52" s="6905"/>
      <c r="AA52" s="6905"/>
      <c r="AB52" s="6891"/>
      <c r="AC52" s="6891"/>
      <c r="AD52" s="6891"/>
      <c r="AE52" s="6891"/>
    </row>
    <row r="53" spans="1:31" ht="36" customHeight="1"/>
    <row r="54" spans="1:31" ht="36" customHeight="1"/>
    <row r="55" spans="1:31" ht="36" customHeight="1"/>
    <row r="56" spans="1:31" ht="36" customHeight="1"/>
    <row r="57" spans="1:31" ht="36" customHeight="1"/>
    <row r="58" spans="1:31" ht="36" customHeight="1"/>
    <row r="59" spans="1:31" ht="36" customHeight="1"/>
    <row r="60" spans="1:31" ht="36" customHeight="1"/>
    <row r="61" spans="1:31" ht="36" customHeight="1"/>
    <row r="62" spans="1:31" ht="36" customHeight="1"/>
    <row r="63" spans="1:31" ht="10.4" customHeight="1">
      <c r="B63" s="4657"/>
      <c r="C63" s="4657"/>
      <c r="D63" s="4657"/>
      <c r="G63" s="4657"/>
      <c r="H63" s="4657"/>
      <c r="O63" s="4656"/>
      <c r="P63" s="4657"/>
      <c r="Q63" s="4657"/>
      <c r="AC63" s="4657"/>
    </row>
  </sheetData>
  <mergeCells count="49">
    <mergeCell ref="AB52:AE52"/>
    <mergeCell ref="H35:H36"/>
    <mergeCell ref="I35:I36"/>
    <mergeCell ref="J35:J36"/>
    <mergeCell ref="K35:K36"/>
    <mergeCell ref="L35:L36"/>
    <mergeCell ref="M35:M36"/>
    <mergeCell ref="N35:N36"/>
    <mergeCell ref="O35:O36"/>
    <mergeCell ref="P35:Q35"/>
    <mergeCell ref="R35:U35"/>
    <mergeCell ref="W52:AA52"/>
    <mergeCell ref="V24:X25"/>
    <mergeCell ref="V26:X27"/>
    <mergeCell ref="V28:X29"/>
    <mergeCell ref="A35:A36"/>
    <mergeCell ref="B35:B36"/>
    <mergeCell ref="C35:C36"/>
    <mergeCell ref="D35:D36"/>
    <mergeCell ref="E35:E36"/>
    <mergeCell ref="F35:F36"/>
    <mergeCell ref="G35:G36"/>
    <mergeCell ref="V22:X23"/>
    <mergeCell ref="N5:N6"/>
    <mergeCell ref="O5:O6"/>
    <mergeCell ref="P5:Q5"/>
    <mergeCell ref="R5:U5"/>
    <mergeCell ref="V8:X9"/>
    <mergeCell ref="V10:X11"/>
    <mergeCell ref="V12:X13"/>
    <mergeCell ref="V14:X15"/>
    <mergeCell ref="V16:X17"/>
    <mergeCell ref="V18:X19"/>
    <mergeCell ref="V20:X21"/>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s>
  <phoneticPr fontId="2"/>
  <conditionalFormatting sqref="B38:E47 G38:K47">
    <cfRule type="containsBlanks" dxfId="180" priority="2">
      <formula>LEN(TRIM(B38))=0</formula>
    </cfRule>
  </conditionalFormatting>
  <conditionalFormatting sqref="C2:D2">
    <cfRule type="containsBlanks" dxfId="179" priority="3">
      <formula>LEN(TRIM(C2))=0</formula>
    </cfRule>
  </conditionalFormatting>
  <conditionalFormatting sqref="M38:N47">
    <cfRule type="containsBlanks" dxfId="178" priority="5">
      <formula>LEN(TRIM(M38))=0</formula>
    </cfRule>
  </conditionalFormatting>
  <conditionalFormatting sqref="P8:Q15 B8:E29 G8:N29 U8:U29 P18:Q19">
    <cfRule type="containsBlanks" dxfId="177" priority="1">
      <formula>LEN(TRIM(B8))=0</formula>
    </cfRule>
  </conditionalFormatting>
  <conditionalFormatting sqref="P38:U47">
    <cfRule type="containsBlanks" dxfId="176" priority="4">
      <formula>LEN(TRIM(P38))=0</formula>
    </cfRule>
  </conditionalFormatting>
  <conditionalFormatting sqref="Q16:Q17 Q20:Q21 P22:Q29">
    <cfRule type="containsBlanks" dxfId="175" priority="6">
      <formula>LEN(TRIM(P16))=0</formula>
    </cfRule>
  </conditionalFormatting>
  <dataValidations count="1">
    <dataValidation type="list" allowBlank="1" showInputMessage="1" showErrorMessage="1" sqref="I37:I47 I7:I29" xr:uid="{74633BFC-B589-4F83-9B56-53FC5B6AA496}">
      <formula1>会場形態</formula1>
    </dataValidation>
  </dataValidations>
  <printOptions horizontalCentered="1"/>
  <pageMargins left="0.39370078740157483" right="0.39370078740157483" top="0.55118110236220474" bottom="0.55118110236220474" header="0.31496062992125984" footer="0.31496062992125984"/>
  <pageSetup paperSize="9" scale="34" orientation="landscape" r:id="rId1"/>
  <headerFooter>
    <oddHeader>&amp;R&amp;G</oddHead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5222-F55A-4B89-B61B-05BED05DEDA9}">
  <sheetPr codeName="Sheet386">
    <tabColor rgb="FFFFFF66"/>
    <pageSetUpPr fitToPage="1"/>
  </sheetPr>
  <dimension ref="A1:AF65"/>
  <sheetViews>
    <sheetView topLeftCell="B4" zoomScale="55" zoomScaleNormal="55" zoomScaleSheetLayoutView="70" workbookViewId="0">
      <selection activeCell="I14" sqref="I14"/>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5.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6413</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46289</v>
      </c>
      <c r="C8" s="4687">
        <v>46291</v>
      </c>
      <c r="D8" s="4672">
        <f t="shared" ref="D8:D22" si="0">IF(_xlfn.DAYS(C8,B8)=0,"1",_xlfn.DAYS(C8,B8))</f>
        <v>2</v>
      </c>
      <c r="E8" s="4687">
        <v>46297</v>
      </c>
      <c r="F8" s="4698">
        <f t="shared" ref="F8:F22" si="1">IF(_xlfn.DAYS(E8,C8)=0,"1",_xlfn.DAYS(E8,C8))+1</f>
        <v>7</v>
      </c>
      <c r="G8" s="4687">
        <v>46299</v>
      </c>
      <c r="H8" s="4672">
        <f t="shared" ref="H8:H22" si="2">IF(_xlfn.DAYS(G8,E8)=0,"1",_xlfn.DAYS(G8,E8))-1</f>
        <v>1</v>
      </c>
      <c r="I8" s="4691" t="s">
        <v>5178</v>
      </c>
      <c r="J8" s="4692">
        <v>36</v>
      </c>
      <c r="K8" s="4693">
        <v>36</v>
      </c>
      <c r="L8" s="4692">
        <v>33409</v>
      </c>
      <c r="M8" s="4692">
        <v>38863</v>
      </c>
      <c r="N8" s="4971">
        <f t="shared" ref="N8:N16" si="3">M8*K8</f>
        <v>1399068</v>
      </c>
      <c r="O8" s="4692">
        <v>33409</v>
      </c>
      <c r="P8" s="4678">
        <f>SUM(D8,F8,H8)*K8</f>
        <v>360</v>
      </c>
      <c r="Q8" s="4679">
        <f>(D8*L8+F8*M8+H8*O8)*K8</f>
        <v>13401648</v>
      </c>
      <c r="R8" s="4692">
        <v>36</v>
      </c>
      <c r="S8" s="4680" t="s">
        <v>5742</v>
      </c>
      <c r="T8" s="4694">
        <v>36</v>
      </c>
      <c r="U8" s="4700">
        <v>2</v>
      </c>
      <c r="V8" s="4692">
        <v>200</v>
      </c>
      <c r="W8" s="4680" t="s">
        <v>4521</v>
      </c>
      <c r="X8" s="4695">
        <v>120</v>
      </c>
      <c r="Y8" s="4692">
        <v>2</v>
      </c>
      <c r="Z8" s="4692" t="s">
        <v>5984</v>
      </c>
      <c r="AA8" s="4683" t="s">
        <v>5035</v>
      </c>
      <c r="AB8" s="4692" t="s">
        <v>2830</v>
      </c>
      <c r="AC8" s="4683" t="s">
        <v>5050</v>
      </c>
      <c r="AD8" s="4692" t="s">
        <v>2814</v>
      </c>
      <c r="AE8" s="4696"/>
      <c r="AF8" s="4685">
        <f>U8*K8</f>
        <v>72</v>
      </c>
    </row>
    <row r="9" spans="1:32" ht="33.75" customHeight="1">
      <c r="A9" s="4686">
        <v>2</v>
      </c>
      <c r="B9" s="4687">
        <v>46289</v>
      </c>
      <c r="C9" s="4687">
        <v>46291</v>
      </c>
      <c r="D9" s="4672">
        <f t="shared" si="0"/>
        <v>2</v>
      </c>
      <c r="E9" s="4687">
        <v>46297</v>
      </c>
      <c r="F9" s="4698">
        <f t="shared" si="1"/>
        <v>7</v>
      </c>
      <c r="G9" s="4687">
        <v>46299</v>
      </c>
      <c r="H9" s="4672">
        <f t="shared" si="2"/>
        <v>1</v>
      </c>
      <c r="I9" s="4691" t="s">
        <v>5180</v>
      </c>
      <c r="J9" s="4692">
        <v>4</v>
      </c>
      <c r="K9" s="4693">
        <v>4</v>
      </c>
      <c r="L9" s="4692">
        <v>57046</v>
      </c>
      <c r="M9" s="4692">
        <v>62500</v>
      </c>
      <c r="N9" s="4971">
        <f t="shared" si="3"/>
        <v>250000</v>
      </c>
      <c r="O9" s="4692">
        <v>57046</v>
      </c>
      <c r="P9" s="4678">
        <f t="shared" ref="P9:P22" si="4">SUM(D9,F9,H9)*K9</f>
        <v>40</v>
      </c>
      <c r="Q9" s="4679">
        <f t="shared" ref="Q9:Q22" si="5">(D9*L9+F9*M9+H9*O9)*K9</f>
        <v>2434552</v>
      </c>
      <c r="R9" s="4692">
        <v>39</v>
      </c>
      <c r="S9" s="4680" t="s">
        <v>5742</v>
      </c>
      <c r="T9" s="4694">
        <v>39</v>
      </c>
      <c r="U9" s="4700">
        <v>2</v>
      </c>
      <c r="V9" s="4692">
        <v>200</v>
      </c>
      <c r="W9" s="4680" t="s">
        <v>4521</v>
      </c>
      <c r="X9" s="4695">
        <v>120</v>
      </c>
      <c r="Y9" s="4692">
        <v>2</v>
      </c>
      <c r="Z9" s="4692" t="s">
        <v>5984</v>
      </c>
      <c r="AA9" s="4683" t="s">
        <v>5035</v>
      </c>
      <c r="AB9" s="4692" t="s">
        <v>2830</v>
      </c>
      <c r="AC9" s="4683" t="s">
        <v>5050</v>
      </c>
      <c r="AD9" s="4692" t="s">
        <v>2814</v>
      </c>
      <c r="AE9" s="4696"/>
      <c r="AF9" s="4685">
        <f t="shared" ref="AF9:AF22" si="6">U9*K9</f>
        <v>8</v>
      </c>
    </row>
    <row r="10" spans="1:32" ht="33.75" customHeight="1">
      <c r="A10" s="4686">
        <v>3</v>
      </c>
      <c r="B10" s="4687">
        <v>46289</v>
      </c>
      <c r="C10" s="4687">
        <v>46291</v>
      </c>
      <c r="D10" s="4672">
        <f t="shared" si="0"/>
        <v>2</v>
      </c>
      <c r="E10" s="4687">
        <v>46297</v>
      </c>
      <c r="F10" s="4698">
        <f t="shared" si="1"/>
        <v>7</v>
      </c>
      <c r="G10" s="4687">
        <v>46299</v>
      </c>
      <c r="H10" s="4672">
        <f t="shared" si="2"/>
        <v>1</v>
      </c>
      <c r="I10" s="4691" t="s">
        <v>5179</v>
      </c>
      <c r="J10" s="4692">
        <v>49</v>
      </c>
      <c r="K10" s="4693">
        <v>48</v>
      </c>
      <c r="L10" s="4692">
        <v>44319</v>
      </c>
      <c r="M10" s="4692">
        <v>55227</v>
      </c>
      <c r="N10" s="4971">
        <f t="shared" si="3"/>
        <v>2650896</v>
      </c>
      <c r="O10" s="4692">
        <v>44319</v>
      </c>
      <c r="P10" s="4678">
        <f t="shared" si="4"/>
        <v>480</v>
      </c>
      <c r="Q10" s="4679">
        <f t="shared" si="5"/>
        <v>24938208</v>
      </c>
      <c r="R10" s="4692">
        <v>69</v>
      </c>
      <c r="S10" s="4680" t="s">
        <v>5742</v>
      </c>
      <c r="T10" s="4694">
        <v>69</v>
      </c>
      <c r="U10" s="4700">
        <v>4</v>
      </c>
      <c r="V10" s="4692" t="s">
        <v>5952</v>
      </c>
      <c r="W10" s="4680" t="s">
        <v>4521</v>
      </c>
      <c r="X10" s="4695" t="s">
        <v>5952</v>
      </c>
      <c r="Y10" s="4692" t="s">
        <v>5952</v>
      </c>
      <c r="Z10" s="4692" t="s">
        <v>5984</v>
      </c>
      <c r="AA10" s="4683" t="s">
        <v>5035</v>
      </c>
      <c r="AB10" s="4692" t="s">
        <v>2830</v>
      </c>
      <c r="AC10" s="4683" t="s">
        <v>5050</v>
      </c>
      <c r="AD10" s="4692" t="s">
        <v>2814</v>
      </c>
      <c r="AE10" s="4696" t="s">
        <v>6414</v>
      </c>
      <c r="AF10" s="4685">
        <f t="shared" si="6"/>
        <v>192</v>
      </c>
    </row>
    <row r="11" spans="1:32" ht="33.75" customHeight="1">
      <c r="A11" s="4686">
        <v>4</v>
      </c>
      <c r="B11" s="4829">
        <v>46288</v>
      </c>
      <c r="C11" s="4829">
        <v>46288</v>
      </c>
      <c r="D11" s="4672" t="str">
        <f t="shared" si="0"/>
        <v>1</v>
      </c>
      <c r="E11" s="4829">
        <v>46289</v>
      </c>
      <c r="F11" s="4830">
        <f t="shared" si="1"/>
        <v>2</v>
      </c>
      <c r="G11" s="4699">
        <v>46289</v>
      </c>
      <c r="H11" s="4672">
        <f t="shared" si="2"/>
        <v>0</v>
      </c>
      <c r="I11" s="4831" t="s">
        <v>6415</v>
      </c>
      <c r="J11" s="4834">
        <v>49</v>
      </c>
      <c r="K11" s="4835">
        <v>21</v>
      </c>
      <c r="L11" s="4834">
        <v>0</v>
      </c>
      <c r="M11" s="4834">
        <f>SUM(55227,18000*U11)</f>
        <v>127227</v>
      </c>
      <c r="N11" s="4971"/>
      <c r="O11" s="4834">
        <v>0</v>
      </c>
      <c r="P11" s="4678">
        <f t="shared" si="4"/>
        <v>42</v>
      </c>
      <c r="Q11" s="4679">
        <f>(D11*L11+F11*M11+H11*O11)*K11</f>
        <v>5343534</v>
      </c>
      <c r="R11" s="4692"/>
      <c r="S11" s="4680" t="s">
        <v>5742</v>
      </c>
      <c r="T11" s="4694"/>
      <c r="U11" s="4700">
        <v>4</v>
      </c>
      <c r="V11" s="4692"/>
      <c r="W11" s="4680" t="s">
        <v>4521</v>
      </c>
      <c r="X11" s="4695"/>
      <c r="Y11" s="4692"/>
      <c r="Z11" s="4692"/>
      <c r="AA11" s="4683" t="s">
        <v>5035</v>
      </c>
      <c r="AB11" s="4692"/>
      <c r="AC11" s="4683" t="s">
        <v>5050</v>
      </c>
      <c r="AD11" s="4692"/>
      <c r="AE11" s="4696"/>
      <c r="AF11" s="4685">
        <f t="shared" si="6"/>
        <v>84</v>
      </c>
    </row>
    <row r="12" spans="1:32" ht="33.75" customHeight="1">
      <c r="A12" s="4686">
        <v>5</v>
      </c>
      <c r="B12" s="4687"/>
      <c r="C12" s="4687"/>
      <c r="D12" s="4672" t="str">
        <f t="shared" si="0"/>
        <v>1</v>
      </c>
      <c r="E12" s="4687"/>
      <c r="F12" s="4698">
        <f t="shared" si="1"/>
        <v>2</v>
      </c>
      <c r="G12" s="4699"/>
      <c r="H12" s="4672">
        <f t="shared" si="2"/>
        <v>0</v>
      </c>
      <c r="I12" s="4691"/>
      <c r="J12" s="4692"/>
      <c r="K12" s="4693"/>
      <c r="L12" s="4692"/>
      <c r="M12" s="4692"/>
      <c r="N12" s="4971">
        <f t="shared" si="3"/>
        <v>0</v>
      </c>
      <c r="O12" s="4692"/>
      <c r="P12" s="4678">
        <f t="shared" si="4"/>
        <v>0</v>
      </c>
      <c r="Q12" s="4679">
        <f t="shared" si="5"/>
        <v>0</v>
      </c>
      <c r="R12" s="4692"/>
      <c r="S12" s="4680" t="s">
        <v>5742</v>
      </c>
      <c r="T12" s="4694"/>
      <c r="U12" s="4700"/>
      <c r="V12" s="4692"/>
      <c r="W12" s="4680" t="s">
        <v>4521</v>
      </c>
      <c r="X12" s="4695"/>
      <c r="Y12" s="4692"/>
      <c r="Z12" s="4692"/>
      <c r="AA12" s="4683" t="s">
        <v>5035</v>
      </c>
      <c r="AB12" s="4692"/>
      <c r="AC12" s="4683" t="s">
        <v>5050</v>
      </c>
      <c r="AD12" s="4692"/>
      <c r="AE12" s="4696"/>
      <c r="AF12" s="4685">
        <f t="shared" si="6"/>
        <v>0</v>
      </c>
    </row>
    <row r="13" spans="1:32"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4"/>
        <v>0</v>
      </c>
      <c r="Q13" s="4679">
        <f t="shared" si="5"/>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t="str">
        <f t="shared" si="0"/>
        <v>1</v>
      </c>
      <c r="E14" s="4687"/>
      <c r="F14" s="4698">
        <f t="shared" si="1"/>
        <v>2</v>
      </c>
      <c r="G14" s="4699"/>
      <c r="H14" s="4672">
        <f t="shared" si="2"/>
        <v>0</v>
      </c>
      <c r="I14" s="4691"/>
      <c r="J14" s="4692"/>
      <c r="K14" s="4693"/>
      <c r="L14" s="4692"/>
      <c r="M14" s="4692"/>
      <c r="N14" s="4971">
        <f t="shared" si="3"/>
        <v>0</v>
      </c>
      <c r="O14" s="4692"/>
      <c r="P14" s="4678">
        <f t="shared" si="4"/>
        <v>0</v>
      </c>
      <c r="Q14" s="4679">
        <f t="shared" si="5"/>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4691"/>
      <c r="J15" s="4692"/>
      <c r="K15" s="4693"/>
      <c r="L15" s="4692"/>
      <c r="M15" s="4692"/>
      <c r="N15" s="4971">
        <f t="shared" si="3"/>
        <v>0</v>
      </c>
      <c r="O15" s="4692"/>
      <c r="P15" s="4678">
        <f t="shared" si="4"/>
        <v>0</v>
      </c>
      <c r="Q15" s="4679">
        <f t="shared" si="5"/>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4691"/>
      <c r="J16" s="4692"/>
      <c r="K16" s="4693"/>
      <c r="L16" s="4692"/>
      <c r="M16" s="4692"/>
      <c r="N16" s="4971">
        <f t="shared" si="3"/>
        <v>0</v>
      </c>
      <c r="O16" s="4692"/>
      <c r="P16" s="4678">
        <f t="shared" si="4"/>
        <v>0</v>
      </c>
      <c r="Q16" s="4679">
        <f t="shared" si="5"/>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4"/>
        <v>0</v>
      </c>
      <c r="Q17" s="4679">
        <f t="shared" si="5"/>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4"/>
        <v>0</v>
      </c>
      <c r="Q18" s="4679">
        <f t="shared" si="5"/>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4"/>
        <v>0</v>
      </c>
      <c r="Q19" s="4679">
        <f t="shared" si="5"/>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5"/>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4"/>
        <v>0</v>
      </c>
      <c r="Q21" s="4679">
        <f t="shared" si="5"/>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4"/>
        <v>0</v>
      </c>
      <c r="Q22" s="4679">
        <f t="shared" si="5"/>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138</v>
      </c>
      <c r="K23" s="4707">
        <f>SUM(K8:K22)</f>
        <v>109</v>
      </c>
      <c r="L23" s="4703"/>
      <c r="M23" s="4703"/>
      <c r="N23" s="4703"/>
      <c r="O23" s="4703"/>
      <c r="P23" s="4706">
        <f>SUM(P8:P22)</f>
        <v>922</v>
      </c>
      <c r="Q23" s="4706">
        <f>SUM(Q8:Q22)</f>
        <v>46117942</v>
      </c>
      <c r="R23" s="6863"/>
      <c r="S23" s="6864"/>
      <c r="T23" s="6865"/>
      <c r="U23" s="4708"/>
      <c r="V23" s="6863"/>
      <c r="W23" s="6864"/>
      <c r="X23" s="6864"/>
      <c r="Y23" s="4708"/>
      <c r="Z23" s="4708"/>
      <c r="AA23" s="6866"/>
      <c r="AB23" s="6867"/>
      <c r="AC23" s="6866"/>
      <c r="AD23" s="6867"/>
      <c r="AE23" s="4709"/>
      <c r="AF23" s="4685">
        <f>SUM(AF8:AF22)</f>
        <v>356</v>
      </c>
    </row>
    <row r="24" spans="1:32" ht="33.75" customHeight="1" thickBot="1">
      <c r="C24" s="4710"/>
      <c r="D24" s="4710"/>
      <c r="E24" s="4710"/>
      <c r="F24" s="4710"/>
      <c r="G24" s="4710"/>
      <c r="H24" s="4710"/>
      <c r="I24" s="4711"/>
      <c r="J24" s="4712"/>
      <c r="K24" s="4710"/>
      <c r="L24" s="4713" t="s">
        <v>5748</v>
      </c>
      <c r="M24" s="4714">
        <f>SUM(N8:N22)</f>
        <v>4299964</v>
      </c>
      <c r="N24" s="4715"/>
      <c r="O24" s="4715"/>
      <c r="P24" s="4715"/>
      <c r="S24" s="4656"/>
      <c r="W24" s="4656"/>
    </row>
    <row r="25" spans="1:32" ht="33.75" customHeight="1">
      <c r="A25" s="6845" t="s">
        <v>5749</v>
      </c>
      <c r="B25" s="6846"/>
      <c r="C25" s="4716">
        <f>P23</f>
        <v>922</v>
      </c>
      <c r="D25" s="4717"/>
      <c r="F25" s="4718"/>
      <c r="H25" s="4719"/>
      <c r="I25" s="4720"/>
      <c r="K25" s="4659"/>
      <c r="L25" s="4721" t="s">
        <v>5750</v>
      </c>
      <c r="M25" s="4722">
        <f>M24*1.1</f>
        <v>4729960.4000000004</v>
      </c>
      <c r="P25" s="4656"/>
    </row>
    <row r="26" spans="1:32" ht="33.75" customHeight="1">
      <c r="A26" s="6847" t="s">
        <v>5883</v>
      </c>
      <c r="B26" s="6848"/>
      <c r="C26" s="4723">
        <f>Q23</f>
        <v>46117942</v>
      </c>
      <c r="D26" s="4717"/>
      <c r="F26" s="4724"/>
      <c r="H26" s="4719"/>
      <c r="I26" s="4720"/>
      <c r="K26" s="4659"/>
      <c r="P26" s="4656"/>
    </row>
    <row r="27" spans="1:32" ht="33.75" customHeight="1" thickBot="1">
      <c r="A27" s="6913" t="s">
        <v>5751</v>
      </c>
      <c r="B27" s="6914"/>
      <c r="C27" s="4987">
        <f>ROUNDDOWN(C26*1.1,0)</f>
        <v>50729736</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thickBot="1">
      <c r="A29" s="4665" t="s">
        <v>5807</v>
      </c>
      <c r="B29" s="4665"/>
      <c r="S29" s="4656"/>
      <c r="W29" s="4656"/>
      <c r="Z29" s="4656"/>
      <c r="AA29" s="4656"/>
      <c r="AB29" s="4656"/>
      <c r="AC29" s="4656"/>
      <c r="AD29" s="4656"/>
      <c r="AF29" s="4656" t="s">
        <v>5712</v>
      </c>
    </row>
    <row r="30" spans="1:32" s="4666" customFormat="1" ht="33.75" customHeight="1">
      <c r="A30" s="6877" t="s">
        <v>5713</v>
      </c>
      <c r="B30" s="6879" t="s">
        <v>5714</v>
      </c>
      <c r="C30" s="6855" t="s">
        <v>5715</v>
      </c>
      <c r="D30" s="6855" t="s">
        <v>5716</v>
      </c>
      <c r="E30" s="6855" t="s">
        <v>5717</v>
      </c>
      <c r="F30" s="6868" t="s">
        <v>5718</v>
      </c>
      <c r="G30" s="6855" t="s">
        <v>5719</v>
      </c>
      <c r="H30" s="6855" t="s">
        <v>5720</v>
      </c>
      <c r="I30" s="6857" t="s">
        <v>5721</v>
      </c>
      <c r="J30" s="6851" t="s">
        <v>5722</v>
      </c>
      <c r="K30" s="6851" t="s">
        <v>5723</v>
      </c>
      <c r="L30" s="6855" t="s">
        <v>5796</v>
      </c>
      <c r="M30" s="6855" t="s">
        <v>5797</v>
      </c>
      <c r="N30" s="4967" t="s">
        <v>5726</v>
      </c>
      <c r="O30" s="6855" t="s">
        <v>5798</v>
      </c>
      <c r="P30" s="6851" t="s">
        <v>3766</v>
      </c>
      <c r="Q30" s="6853"/>
      <c r="R30" s="6868" t="s">
        <v>5728</v>
      </c>
      <c r="S30" s="6869"/>
      <c r="T30" s="6870"/>
      <c r="U30" s="6855" t="s">
        <v>5729</v>
      </c>
      <c r="V30" s="6869" t="s">
        <v>5730</v>
      </c>
      <c r="W30" s="6869"/>
      <c r="X30" s="6869"/>
      <c r="Y30" s="6868" t="s">
        <v>5731</v>
      </c>
      <c r="Z30" s="6851" t="s">
        <v>5732</v>
      </c>
      <c r="AA30" s="6851" t="s">
        <v>5733</v>
      </c>
      <c r="AB30" s="6853"/>
      <c r="AC30" s="6853"/>
      <c r="AD30" s="6853"/>
      <c r="AE30" s="6860" t="s">
        <v>2792</v>
      </c>
      <c r="AF30" s="6862" t="s">
        <v>5734</v>
      </c>
    </row>
    <row r="31" spans="1:32" s="4666" customFormat="1" ht="20">
      <c r="A31" s="6878"/>
      <c r="B31" s="6880"/>
      <c r="C31" s="6858"/>
      <c r="D31" s="6856"/>
      <c r="E31" s="6856"/>
      <c r="F31" s="6881"/>
      <c r="G31" s="6856"/>
      <c r="H31" s="6856"/>
      <c r="I31" s="6858"/>
      <c r="J31" s="6859"/>
      <c r="K31" s="6859"/>
      <c r="L31" s="6856"/>
      <c r="M31" s="6856"/>
      <c r="N31" s="4968"/>
      <c r="O31" s="6856"/>
      <c r="P31" s="4667" t="s">
        <v>5735</v>
      </c>
      <c r="Q31" s="4668" t="s">
        <v>5736</v>
      </c>
      <c r="R31" s="6871"/>
      <c r="S31" s="6872"/>
      <c r="T31" s="6873"/>
      <c r="U31" s="6856"/>
      <c r="V31" s="6872"/>
      <c r="W31" s="6872"/>
      <c r="X31" s="6872"/>
      <c r="Y31" s="6852"/>
      <c r="Z31" s="6852"/>
      <c r="AA31" s="6852"/>
      <c r="AB31" s="6854"/>
      <c r="AC31" s="6854"/>
      <c r="AD31" s="6854"/>
      <c r="AE31" s="6861"/>
      <c r="AF31" s="6862"/>
    </row>
    <row r="32" spans="1:32" ht="33.75" customHeight="1">
      <c r="A32" s="4669" t="s">
        <v>5737</v>
      </c>
      <c r="B32" s="4826">
        <v>46305</v>
      </c>
      <c r="C32" s="4827">
        <v>46307</v>
      </c>
      <c r="D32" s="4672">
        <f>IF(_xlfn.DAYS(C32,B32)=0,"1",_xlfn.DAYS(C32,B32))</f>
        <v>2</v>
      </c>
      <c r="E32" s="4827">
        <v>46319</v>
      </c>
      <c r="F32" s="4672">
        <f>IF(_xlfn.DAYS(E32,C32)=0,"1",_xlfn.DAYS(E32,C32))+1</f>
        <v>13</v>
      </c>
      <c r="G32" s="4827">
        <v>46321</v>
      </c>
      <c r="H32" s="4672">
        <f>IF(_xlfn.DAYS(G32,E32)=0,"1",_xlfn.DAYS(G32,E32))-1</f>
        <v>1</v>
      </c>
      <c r="I32" s="4674" t="s">
        <v>5738</v>
      </c>
      <c r="J32" s="4677">
        <v>100</v>
      </c>
      <c r="K32" s="4676">
        <v>90</v>
      </c>
      <c r="L32" s="4677">
        <v>9000</v>
      </c>
      <c r="M32" s="4677">
        <v>10000</v>
      </c>
      <c r="N32" s="4971"/>
      <c r="O32" s="4677">
        <v>8000</v>
      </c>
      <c r="P32" s="4678">
        <f>SUM(D32,F32,H32)*K32</f>
        <v>1440</v>
      </c>
      <c r="Q32" s="4677">
        <f>(D32*L32+F32*M32+H32*O32)*K32</f>
        <v>14040000</v>
      </c>
      <c r="R32" s="4682">
        <v>21</v>
      </c>
      <c r="S32" s="4680" t="s">
        <v>5739</v>
      </c>
      <c r="T32" s="4682">
        <v>21</v>
      </c>
      <c r="U32" s="4815">
        <v>1</v>
      </c>
      <c r="V32" s="4675">
        <v>154</v>
      </c>
      <c r="W32" s="4680" t="s">
        <v>4521</v>
      </c>
      <c r="X32" s="4682">
        <v>203</v>
      </c>
      <c r="Y32" s="4675">
        <v>1</v>
      </c>
      <c r="Z32" s="4675" t="s">
        <v>5740</v>
      </c>
      <c r="AA32" s="4683" t="s">
        <v>5035</v>
      </c>
      <c r="AB32" s="4675" t="s">
        <v>2830</v>
      </c>
      <c r="AC32" s="4683" t="s">
        <v>5050</v>
      </c>
      <c r="AD32" s="4675" t="s">
        <v>5741</v>
      </c>
      <c r="AE32" s="4684"/>
      <c r="AF32" s="4685"/>
    </row>
    <row r="33" spans="1:32" ht="33.75" customHeight="1">
      <c r="A33" s="4828">
        <v>1</v>
      </c>
      <c r="B33" s="4829">
        <v>46304</v>
      </c>
      <c r="C33" s="4829">
        <v>46306</v>
      </c>
      <c r="D33" s="4672">
        <f t="shared" ref="D33:D35" si="7">IF(_xlfn.DAYS(C33,B33)=0,"1",_xlfn.DAYS(C33,B33))</f>
        <v>2</v>
      </c>
      <c r="E33" s="4829">
        <v>46320</v>
      </c>
      <c r="F33" s="4830">
        <f t="shared" ref="F33" si="8">IF(_xlfn.DAYS(E33,C33)=0,"1",_xlfn.DAYS(E33,C33))+1</f>
        <v>15</v>
      </c>
      <c r="G33" s="4699">
        <v>46322</v>
      </c>
      <c r="H33" s="4672">
        <f t="shared" ref="H33:H47" si="9">IF(_xlfn.DAYS(G33,E33)=0,"1",_xlfn.DAYS(G33,E33))-1</f>
        <v>1</v>
      </c>
      <c r="I33" s="4831" t="s">
        <v>5178</v>
      </c>
      <c r="J33" s="4834">
        <v>36</v>
      </c>
      <c r="K33" s="4835">
        <v>36</v>
      </c>
      <c r="L33" s="4834">
        <v>33409</v>
      </c>
      <c r="M33" s="4834">
        <v>38863</v>
      </c>
      <c r="N33" s="4971">
        <f t="shared" ref="N33:N41" si="10">M33*K33</f>
        <v>1399068</v>
      </c>
      <c r="O33" s="4834">
        <v>33409</v>
      </c>
      <c r="P33" s="4678">
        <f>SUM(D33,F33,H33)*K33</f>
        <v>648</v>
      </c>
      <c r="Q33" s="4677">
        <f>(D33*L33+F33*M33+H33*O33)*K33</f>
        <v>24594192</v>
      </c>
      <c r="R33" s="4836">
        <v>36</v>
      </c>
      <c r="S33" s="4837" t="s">
        <v>5742</v>
      </c>
      <c r="T33" s="4836">
        <v>36</v>
      </c>
      <c r="U33" s="4838">
        <v>2</v>
      </c>
      <c r="V33" s="4834"/>
      <c r="W33" s="4837" t="s">
        <v>4521</v>
      </c>
      <c r="X33" s="4836"/>
      <c r="Y33" s="4834">
        <v>2</v>
      </c>
      <c r="Z33" s="4834" t="s">
        <v>5984</v>
      </c>
      <c r="AA33" s="4839" t="s">
        <v>5035</v>
      </c>
      <c r="AB33" s="4834"/>
      <c r="AC33" s="4839" t="s">
        <v>5050</v>
      </c>
      <c r="AD33" s="4834" t="s">
        <v>2814</v>
      </c>
      <c r="AE33" s="4832"/>
      <c r="AF33" s="4685">
        <f t="shared" ref="AF33:AF47" si="11">U33*K33</f>
        <v>72</v>
      </c>
    </row>
    <row r="34" spans="1:32" ht="33.75" customHeight="1">
      <c r="A34" s="4828">
        <v>2</v>
      </c>
      <c r="B34" s="4829">
        <v>46304</v>
      </c>
      <c r="C34" s="4829">
        <v>46306</v>
      </c>
      <c r="D34" s="4672">
        <f t="shared" si="7"/>
        <v>2</v>
      </c>
      <c r="E34" s="4829">
        <v>46320</v>
      </c>
      <c r="F34" s="4830">
        <f>IF(_xlfn.DAYS(E34,C34)=0,"1",_xlfn.DAYS(E34,C34))+1</f>
        <v>15</v>
      </c>
      <c r="G34" s="4699">
        <v>46322</v>
      </c>
      <c r="H34" s="4672">
        <f t="shared" si="9"/>
        <v>1</v>
      </c>
      <c r="I34" s="4831" t="s">
        <v>5180</v>
      </c>
      <c r="J34" s="4834">
        <v>4</v>
      </c>
      <c r="K34" s="4835">
        <v>4</v>
      </c>
      <c r="L34" s="4834">
        <v>57046</v>
      </c>
      <c r="M34" s="4834">
        <v>62500</v>
      </c>
      <c r="N34" s="4971">
        <f t="shared" si="10"/>
        <v>250000</v>
      </c>
      <c r="O34" s="4834">
        <v>57046</v>
      </c>
      <c r="P34" s="4678">
        <f t="shared" ref="P34:P46" si="12">SUM(D34,F34,H34)*K34</f>
        <v>72</v>
      </c>
      <c r="Q34" s="4677">
        <f t="shared" ref="Q34:Q47" si="13">(D34*L34+F34*M34+H34*O34)*K34</f>
        <v>4434552</v>
      </c>
      <c r="R34" s="4836">
        <v>39</v>
      </c>
      <c r="S34" s="4837" t="s">
        <v>5742</v>
      </c>
      <c r="T34" s="4836">
        <v>39</v>
      </c>
      <c r="U34" s="4838">
        <v>2</v>
      </c>
      <c r="V34" s="4834"/>
      <c r="W34" s="4837" t="s">
        <v>4521</v>
      </c>
      <c r="X34" s="4836"/>
      <c r="Y34" s="4834">
        <v>2</v>
      </c>
      <c r="Z34" s="4834" t="s">
        <v>5984</v>
      </c>
      <c r="AA34" s="4839" t="s">
        <v>5035</v>
      </c>
      <c r="AB34" s="4834"/>
      <c r="AC34" s="4839" t="s">
        <v>5050</v>
      </c>
      <c r="AD34" s="4834" t="s">
        <v>2814</v>
      </c>
      <c r="AE34" s="4832"/>
      <c r="AF34" s="4685">
        <f t="shared" si="11"/>
        <v>8</v>
      </c>
    </row>
    <row r="35" spans="1:32" ht="33.75" customHeight="1">
      <c r="A35" s="4828">
        <v>3</v>
      </c>
      <c r="B35" s="4829">
        <v>46304</v>
      </c>
      <c r="C35" s="4829">
        <v>46306</v>
      </c>
      <c r="D35" s="4672">
        <f t="shared" si="7"/>
        <v>2</v>
      </c>
      <c r="E35" s="4829">
        <v>46320</v>
      </c>
      <c r="F35" s="4830">
        <f t="shared" ref="F35" si="14">IF(_xlfn.DAYS(E35,C35)=0,"1",_xlfn.DAYS(E35,C35))+1</f>
        <v>15</v>
      </c>
      <c r="G35" s="4699">
        <v>46322</v>
      </c>
      <c r="H35" s="4672">
        <f t="shared" si="9"/>
        <v>1</v>
      </c>
      <c r="I35" s="4831" t="s">
        <v>5179</v>
      </c>
      <c r="J35" s="4834">
        <v>49</v>
      </c>
      <c r="K35" s="4835">
        <v>49</v>
      </c>
      <c r="L35" s="4834">
        <v>44319</v>
      </c>
      <c r="M35" s="4834">
        <v>55227</v>
      </c>
      <c r="N35" s="4971">
        <f t="shared" si="10"/>
        <v>2706123</v>
      </c>
      <c r="O35" s="4834">
        <v>44319</v>
      </c>
      <c r="P35" s="4678">
        <f t="shared" si="12"/>
        <v>882</v>
      </c>
      <c r="Q35" s="4677">
        <f t="shared" si="13"/>
        <v>47106738</v>
      </c>
      <c r="R35" s="4836">
        <v>69</v>
      </c>
      <c r="S35" s="4837" t="s">
        <v>5742</v>
      </c>
      <c r="T35" s="4836">
        <v>69</v>
      </c>
      <c r="U35" s="4838">
        <v>4</v>
      </c>
      <c r="V35" s="4834"/>
      <c r="W35" s="4837" t="s">
        <v>4521</v>
      </c>
      <c r="X35" s="4836"/>
      <c r="Y35" s="4834" t="s">
        <v>5952</v>
      </c>
      <c r="Z35" s="4834" t="s">
        <v>5984</v>
      </c>
      <c r="AA35" s="4839" t="s">
        <v>5035</v>
      </c>
      <c r="AB35" s="4834"/>
      <c r="AC35" s="4839" t="s">
        <v>5050</v>
      </c>
      <c r="AD35" s="4834" t="s">
        <v>2814</v>
      </c>
      <c r="AE35" s="4832"/>
      <c r="AF35" s="4685">
        <f t="shared" si="11"/>
        <v>196</v>
      </c>
    </row>
    <row r="36" spans="1:32" ht="33.75" customHeight="1">
      <c r="A36" s="4828">
        <v>4</v>
      </c>
      <c r="B36" s="4833"/>
      <c r="C36" s="4829"/>
      <c r="D36" s="4672" t="str">
        <f t="shared" ref="D36:D47" si="15">IF(_xlfn.DAYS(C36,B36)=0,"1",_xlfn.DAYS(C36,B36))</f>
        <v>1</v>
      </c>
      <c r="E36" s="4829"/>
      <c r="F36" s="4672">
        <f>IF(_xlfn.DAYS(E36,C36)=0,"1",_xlfn.DAYS(E36,C36))+1</f>
        <v>2</v>
      </c>
      <c r="G36" s="4699"/>
      <c r="H36" s="4672">
        <f t="shared" si="9"/>
        <v>0</v>
      </c>
      <c r="I36" s="4831"/>
      <c r="J36" s="4834"/>
      <c r="K36" s="4835"/>
      <c r="L36" s="4834"/>
      <c r="M36" s="4834"/>
      <c r="N36" s="4971">
        <f t="shared" si="10"/>
        <v>0</v>
      </c>
      <c r="O36" s="4834"/>
      <c r="P36" s="4678">
        <f t="shared" si="12"/>
        <v>0</v>
      </c>
      <c r="Q36" s="4677">
        <f t="shared" si="13"/>
        <v>0</v>
      </c>
      <c r="R36" s="4836"/>
      <c r="S36" s="4837" t="s">
        <v>5742</v>
      </c>
      <c r="T36" s="4836"/>
      <c r="U36" s="4838"/>
      <c r="V36" s="4834"/>
      <c r="W36" s="4837" t="s">
        <v>4521</v>
      </c>
      <c r="X36" s="4836"/>
      <c r="Y36" s="4834"/>
      <c r="Z36" s="4834"/>
      <c r="AA36" s="4839" t="s">
        <v>5035</v>
      </c>
      <c r="AB36" s="4834"/>
      <c r="AC36" s="4839" t="s">
        <v>5050</v>
      </c>
      <c r="AD36" s="4834"/>
      <c r="AE36" s="4832"/>
      <c r="AF36" s="4685">
        <f t="shared" si="11"/>
        <v>0</v>
      </c>
    </row>
    <row r="37" spans="1:32" ht="33.75" customHeight="1">
      <c r="A37" s="4828">
        <v>5</v>
      </c>
      <c r="B37" s="4833"/>
      <c r="C37" s="4829"/>
      <c r="D37" s="4672" t="str">
        <f t="shared" si="15"/>
        <v>1</v>
      </c>
      <c r="E37" s="4829"/>
      <c r="F37" s="4672">
        <f>IF(_xlfn.DAYS(E37,C37)=0,"1",_xlfn.DAYS(E37,C37))+1</f>
        <v>2</v>
      </c>
      <c r="G37" s="4699"/>
      <c r="H37" s="4672">
        <f t="shared" si="9"/>
        <v>0</v>
      </c>
      <c r="I37" s="4831"/>
      <c r="J37" s="4834"/>
      <c r="K37" s="4835"/>
      <c r="L37" s="4834"/>
      <c r="M37" s="4834"/>
      <c r="N37" s="4971">
        <f t="shared" si="10"/>
        <v>0</v>
      </c>
      <c r="O37" s="4834"/>
      <c r="P37" s="4678">
        <f t="shared" si="12"/>
        <v>0</v>
      </c>
      <c r="Q37" s="4677">
        <f t="shared" si="13"/>
        <v>0</v>
      </c>
      <c r="R37" s="4836"/>
      <c r="S37" s="4837" t="s">
        <v>5742</v>
      </c>
      <c r="T37" s="4836"/>
      <c r="U37" s="4838"/>
      <c r="V37" s="4834"/>
      <c r="W37" s="4837" t="s">
        <v>4521</v>
      </c>
      <c r="X37" s="4836"/>
      <c r="Y37" s="4834"/>
      <c r="Z37" s="4834"/>
      <c r="AA37" s="4839" t="s">
        <v>5035</v>
      </c>
      <c r="AB37" s="4834"/>
      <c r="AC37" s="4839" t="s">
        <v>5050</v>
      </c>
      <c r="AD37" s="4834"/>
      <c r="AE37" s="4832"/>
      <c r="AF37" s="4685">
        <f t="shared" si="11"/>
        <v>0</v>
      </c>
    </row>
    <row r="38" spans="1:32" ht="33.75" customHeight="1">
      <c r="A38" s="4828">
        <v>6</v>
      </c>
      <c r="B38" s="4833"/>
      <c r="C38" s="4829"/>
      <c r="D38" s="4672" t="str">
        <f t="shared" si="15"/>
        <v>1</v>
      </c>
      <c r="E38" s="4829"/>
      <c r="F38" s="4672">
        <f>IF(_xlfn.DAYS(E38,C38)=0,"1",_xlfn.DAYS(E38,C38))+1</f>
        <v>2</v>
      </c>
      <c r="G38" s="4699"/>
      <c r="H38" s="4672">
        <f t="shared" si="9"/>
        <v>0</v>
      </c>
      <c r="I38" s="4831"/>
      <c r="J38" s="4834"/>
      <c r="K38" s="4835"/>
      <c r="L38" s="4834"/>
      <c r="M38" s="4834"/>
      <c r="N38" s="4971">
        <f t="shared" si="10"/>
        <v>0</v>
      </c>
      <c r="O38" s="4834"/>
      <c r="P38" s="4678">
        <f t="shared" si="12"/>
        <v>0</v>
      </c>
      <c r="Q38" s="4677">
        <f t="shared" si="13"/>
        <v>0</v>
      </c>
      <c r="R38" s="4836"/>
      <c r="S38" s="4837" t="s">
        <v>5742</v>
      </c>
      <c r="T38" s="4836"/>
      <c r="U38" s="4838"/>
      <c r="V38" s="4834"/>
      <c r="W38" s="4837" t="s">
        <v>4521</v>
      </c>
      <c r="X38" s="4836"/>
      <c r="Y38" s="4834"/>
      <c r="Z38" s="4834"/>
      <c r="AA38" s="4839" t="s">
        <v>5035</v>
      </c>
      <c r="AB38" s="4834"/>
      <c r="AC38" s="4839" t="s">
        <v>5050</v>
      </c>
      <c r="AD38" s="4834"/>
      <c r="AE38" s="4832"/>
      <c r="AF38" s="4685">
        <f t="shared" si="11"/>
        <v>0</v>
      </c>
    </row>
    <row r="39" spans="1:32" ht="33.75" customHeight="1">
      <c r="A39" s="4828">
        <v>7</v>
      </c>
      <c r="B39" s="4833"/>
      <c r="C39" s="4829"/>
      <c r="D39" s="4672" t="str">
        <f t="shared" si="15"/>
        <v>1</v>
      </c>
      <c r="E39" s="4829"/>
      <c r="F39" s="4672">
        <f t="shared" ref="F39:F47" si="16">IF(_xlfn.DAYS(E39,C39)=0,"1",_xlfn.DAYS(E39,C39))+1</f>
        <v>2</v>
      </c>
      <c r="G39" s="4699"/>
      <c r="H39" s="4672">
        <f t="shared" si="9"/>
        <v>0</v>
      </c>
      <c r="I39" s="4831"/>
      <c r="J39" s="4834"/>
      <c r="K39" s="4835"/>
      <c r="L39" s="4834"/>
      <c r="M39" s="4834"/>
      <c r="N39" s="4971">
        <f t="shared" si="10"/>
        <v>0</v>
      </c>
      <c r="O39" s="4834"/>
      <c r="P39" s="4678">
        <f t="shared" si="12"/>
        <v>0</v>
      </c>
      <c r="Q39" s="4677">
        <f t="shared" si="13"/>
        <v>0</v>
      </c>
      <c r="R39" s="4836"/>
      <c r="S39" s="4837" t="s">
        <v>5742</v>
      </c>
      <c r="T39" s="4836"/>
      <c r="U39" s="4838"/>
      <c r="V39" s="4834"/>
      <c r="W39" s="4837" t="s">
        <v>4521</v>
      </c>
      <c r="X39" s="4836"/>
      <c r="Y39" s="4834"/>
      <c r="Z39" s="4834"/>
      <c r="AA39" s="4839" t="s">
        <v>5035</v>
      </c>
      <c r="AB39" s="4834"/>
      <c r="AC39" s="4839" t="s">
        <v>5050</v>
      </c>
      <c r="AD39" s="4834"/>
      <c r="AE39" s="4832"/>
      <c r="AF39" s="4685">
        <f t="shared" si="11"/>
        <v>0</v>
      </c>
    </row>
    <row r="40" spans="1:32" ht="33.75" customHeight="1">
      <c r="A40" s="4828">
        <v>8</v>
      </c>
      <c r="B40" s="4833"/>
      <c r="C40" s="4829"/>
      <c r="D40" s="4672" t="str">
        <f t="shared" si="15"/>
        <v>1</v>
      </c>
      <c r="E40" s="4829"/>
      <c r="F40" s="4672">
        <f t="shared" si="16"/>
        <v>2</v>
      </c>
      <c r="G40" s="4699"/>
      <c r="H40" s="4672">
        <f t="shared" si="9"/>
        <v>0</v>
      </c>
      <c r="I40" s="4831"/>
      <c r="J40" s="4834"/>
      <c r="K40" s="4835"/>
      <c r="L40" s="4834"/>
      <c r="M40" s="4834"/>
      <c r="N40" s="4971">
        <f t="shared" si="10"/>
        <v>0</v>
      </c>
      <c r="O40" s="4834"/>
      <c r="P40" s="4678">
        <f t="shared" si="12"/>
        <v>0</v>
      </c>
      <c r="Q40" s="4677">
        <f t="shared" si="13"/>
        <v>0</v>
      </c>
      <c r="R40" s="4836"/>
      <c r="S40" s="4837" t="s">
        <v>5742</v>
      </c>
      <c r="T40" s="4836"/>
      <c r="U40" s="4838"/>
      <c r="V40" s="4834"/>
      <c r="W40" s="4837" t="s">
        <v>4521</v>
      </c>
      <c r="X40" s="4836"/>
      <c r="Y40" s="4834"/>
      <c r="Z40" s="4834"/>
      <c r="AA40" s="4839" t="s">
        <v>5035</v>
      </c>
      <c r="AB40" s="4834"/>
      <c r="AC40" s="4839" t="s">
        <v>5050</v>
      </c>
      <c r="AD40" s="4834"/>
      <c r="AE40" s="4832"/>
      <c r="AF40" s="4685">
        <f t="shared" si="11"/>
        <v>0</v>
      </c>
    </row>
    <row r="41" spans="1:32" ht="33.75" customHeight="1">
      <c r="A41" s="4828">
        <v>9</v>
      </c>
      <c r="B41" s="4833"/>
      <c r="C41" s="4829"/>
      <c r="D41" s="4672" t="str">
        <f t="shared" si="15"/>
        <v>1</v>
      </c>
      <c r="E41" s="4829"/>
      <c r="F41" s="4672">
        <f t="shared" si="16"/>
        <v>2</v>
      </c>
      <c r="G41" s="4699"/>
      <c r="H41" s="4672">
        <f t="shared" si="9"/>
        <v>0</v>
      </c>
      <c r="I41" s="4831"/>
      <c r="J41" s="4834"/>
      <c r="K41" s="4835"/>
      <c r="L41" s="4834"/>
      <c r="M41" s="4834"/>
      <c r="N41" s="4971">
        <f t="shared" si="10"/>
        <v>0</v>
      </c>
      <c r="O41" s="4834"/>
      <c r="P41" s="4678">
        <f t="shared" si="12"/>
        <v>0</v>
      </c>
      <c r="Q41" s="4677">
        <f t="shared" si="13"/>
        <v>0</v>
      </c>
      <c r="R41" s="4836"/>
      <c r="S41" s="4837" t="s">
        <v>5742</v>
      </c>
      <c r="T41" s="4836"/>
      <c r="U41" s="4838"/>
      <c r="V41" s="4834"/>
      <c r="W41" s="4837" t="s">
        <v>4521</v>
      </c>
      <c r="X41" s="4836"/>
      <c r="Y41" s="4834"/>
      <c r="Z41" s="4834"/>
      <c r="AA41" s="4839" t="s">
        <v>5035</v>
      </c>
      <c r="AB41" s="4834"/>
      <c r="AC41" s="4839" t="s">
        <v>5050</v>
      </c>
      <c r="AD41" s="4834"/>
      <c r="AE41" s="4832"/>
      <c r="AF41" s="4685">
        <f t="shared" si="11"/>
        <v>0</v>
      </c>
    </row>
    <row r="42" spans="1:32" ht="33.75" customHeight="1">
      <c r="A42" s="4828">
        <v>10</v>
      </c>
      <c r="B42" s="4833"/>
      <c r="C42" s="4829"/>
      <c r="D42" s="4672" t="str">
        <f t="shared" si="15"/>
        <v>1</v>
      </c>
      <c r="E42" s="4829"/>
      <c r="F42" s="4672">
        <f t="shared" si="16"/>
        <v>2</v>
      </c>
      <c r="G42" s="4699"/>
      <c r="H42" s="4672">
        <f t="shared" si="9"/>
        <v>0</v>
      </c>
      <c r="I42" s="4831"/>
      <c r="J42" s="4834"/>
      <c r="K42" s="4835"/>
      <c r="L42" s="4834"/>
      <c r="M42" s="4834"/>
      <c r="N42" s="4834"/>
      <c r="O42" s="4834"/>
      <c r="P42" s="4678">
        <f t="shared" si="12"/>
        <v>0</v>
      </c>
      <c r="Q42" s="4677">
        <f t="shared" si="13"/>
        <v>0</v>
      </c>
      <c r="R42" s="4836"/>
      <c r="S42" s="4837" t="s">
        <v>5742</v>
      </c>
      <c r="T42" s="4836"/>
      <c r="U42" s="4838"/>
      <c r="V42" s="4834"/>
      <c r="W42" s="4837" t="s">
        <v>4521</v>
      </c>
      <c r="X42" s="4836"/>
      <c r="Y42" s="4834"/>
      <c r="Z42" s="4834"/>
      <c r="AA42" s="4839" t="s">
        <v>5035</v>
      </c>
      <c r="AB42" s="4834"/>
      <c r="AC42" s="4839" t="s">
        <v>5050</v>
      </c>
      <c r="AD42" s="4834"/>
      <c r="AE42" s="4832"/>
      <c r="AF42" s="4685">
        <f t="shared" si="11"/>
        <v>0</v>
      </c>
    </row>
    <row r="43" spans="1:32" ht="33.75" customHeight="1">
      <c r="A43" s="4828">
        <v>11</v>
      </c>
      <c r="B43" s="4833"/>
      <c r="C43" s="4829"/>
      <c r="D43" s="4672" t="str">
        <f t="shared" si="15"/>
        <v>1</v>
      </c>
      <c r="E43" s="4829"/>
      <c r="F43" s="4672">
        <f t="shared" si="16"/>
        <v>2</v>
      </c>
      <c r="G43" s="4699"/>
      <c r="H43" s="4672">
        <f t="shared" si="9"/>
        <v>0</v>
      </c>
      <c r="I43" s="4831"/>
      <c r="J43" s="4834"/>
      <c r="K43" s="4835"/>
      <c r="L43" s="4834"/>
      <c r="M43" s="4834"/>
      <c r="N43" s="4834"/>
      <c r="O43" s="4834"/>
      <c r="P43" s="4678">
        <f t="shared" si="12"/>
        <v>0</v>
      </c>
      <c r="Q43" s="4677">
        <f t="shared" si="13"/>
        <v>0</v>
      </c>
      <c r="R43" s="4836"/>
      <c r="S43" s="4837" t="s">
        <v>5742</v>
      </c>
      <c r="T43" s="4836"/>
      <c r="U43" s="4838"/>
      <c r="V43" s="4834"/>
      <c r="W43" s="4837" t="s">
        <v>4521</v>
      </c>
      <c r="X43" s="4836"/>
      <c r="Y43" s="4834"/>
      <c r="Z43" s="4834"/>
      <c r="AA43" s="4839" t="s">
        <v>5035</v>
      </c>
      <c r="AB43" s="4834"/>
      <c r="AC43" s="4839" t="s">
        <v>5050</v>
      </c>
      <c r="AD43" s="4834"/>
      <c r="AE43" s="4832"/>
      <c r="AF43" s="4685">
        <f t="shared" si="11"/>
        <v>0</v>
      </c>
    </row>
    <row r="44" spans="1:32" ht="33.75" customHeight="1">
      <c r="A44" s="4828">
        <v>12</v>
      </c>
      <c r="B44" s="4833"/>
      <c r="C44" s="4829"/>
      <c r="D44" s="4672" t="str">
        <f t="shared" si="15"/>
        <v>1</v>
      </c>
      <c r="E44" s="4829"/>
      <c r="F44" s="4672">
        <f t="shared" si="16"/>
        <v>2</v>
      </c>
      <c r="G44" s="4699"/>
      <c r="H44" s="4672">
        <f t="shared" si="9"/>
        <v>0</v>
      </c>
      <c r="I44" s="4831"/>
      <c r="J44" s="4834"/>
      <c r="K44" s="4835"/>
      <c r="L44" s="4834"/>
      <c r="M44" s="4834"/>
      <c r="N44" s="4834"/>
      <c r="O44" s="4834"/>
      <c r="P44" s="4678">
        <f t="shared" si="12"/>
        <v>0</v>
      </c>
      <c r="Q44" s="4677">
        <f t="shared" si="13"/>
        <v>0</v>
      </c>
      <c r="R44" s="4836"/>
      <c r="S44" s="4837" t="s">
        <v>5742</v>
      </c>
      <c r="T44" s="4836"/>
      <c r="U44" s="4838"/>
      <c r="V44" s="4834"/>
      <c r="W44" s="4837" t="s">
        <v>4521</v>
      </c>
      <c r="X44" s="4836"/>
      <c r="Y44" s="4834"/>
      <c r="Z44" s="4834"/>
      <c r="AA44" s="4839" t="s">
        <v>5035</v>
      </c>
      <c r="AB44" s="4834"/>
      <c r="AC44" s="4839" t="s">
        <v>5050</v>
      </c>
      <c r="AD44" s="4834"/>
      <c r="AE44" s="4832"/>
      <c r="AF44" s="4685">
        <f t="shared" si="11"/>
        <v>0</v>
      </c>
    </row>
    <row r="45" spans="1:32" ht="33.75" customHeight="1">
      <c r="A45" s="4828">
        <v>13</v>
      </c>
      <c r="B45" s="4833"/>
      <c r="C45" s="4829"/>
      <c r="D45" s="4672" t="str">
        <f t="shared" si="15"/>
        <v>1</v>
      </c>
      <c r="E45" s="4829"/>
      <c r="F45" s="4672">
        <f t="shared" si="16"/>
        <v>2</v>
      </c>
      <c r="G45" s="4699"/>
      <c r="H45" s="4672">
        <f t="shared" si="9"/>
        <v>0</v>
      </c>
      <c r="I45" s="4831"/>
      <c r="J45" s="4834"/>
      <c r="K45" s="4835"/>
      <c r="L45" s="4834"/>
      <c r="M45" s="4834"/>
      <c r="N45" s="4834"/>
      <c r="O45" s="4834"/>
      <c r="P45" s="4678">
        <f t="shared" si="12"/>
        <v>0</v>
      </c>
      <c r="Q45" s="4677">
        <f t="shared" si="13"/>
        <v>0</v>
      </c>
      <c r="R45" s="4836"/>
      <c r="S45" s="4837" t="s">
        <v>5742</v>
      </c>
      <c r="T45" s="4836"/>
      <c r="U45" s="4838"/>
      <c r="V45" s="4834"/>
      <c r="W45" s="4837" t="s">
        <v>4521</v>
      </c>
      <c r="X45" s="4836"/>
      <c r="Y45" s="4834"/>
      <c r="Z45" s="4834"/>
      <c r="AA45" s="4839" t="s">
        <v>5035</v>
      </c>
      <c r="AB45" s="4834"/>
      <c r="AC45" s="4839" t="s">
        <v>5050</v>
      </c>
      <c r="AD45" s="4834"/>
      <c r="AE45" s="4832"/>
      <c r="AF45" s="4685">
        <f t="shared" si="11"/>
        <v>0</v>
      </c>
    </row>
    <row r="46" spans="1:32" ht="33.75" customHeight="1">
      <c r="A46" s="4828">
        <v>14</v>
      </c>
      <c r="B46" s="4833"/>
      <c r="C46" s="4829"/>
      <c r="D46" s="4672" t="str">
        <f t="shared" si="15"/>
        <v>1</v>
      </c>
      <c r="E46" s="4829"/>
      <c r="F46" s="4672">
        <f t="shared" si="16"/>
        <v>2</v>
      </c>
      <c r="G46" s="4699"/>
      <c r="H46" s="4672">
        <f t="shared" si="9"/>
        <v>0</v>
      </c>
      <c r="I46" s="4831"/>
      <c r="J46" s="4834"/>
      <c r="K46" s="4835"/>
      <c r="L46" s="4834"/>
      <c r="M46" s="4834"/>
      <c r="N46" s="4834"/>
      <c r="O46" s="4834"/>
      <c r="P46" s="4678">
        <f t="shared" si="12"/>
        <v>0</v>
      </c>
      <c r="Q46" s="4677">
        <f t="shared" si="13"/>
        <v>0</v>
      </c>
      <c r="R46" s="4836"/>
      <c r="S46" s="4837" t="s">
        <v>5742</v>
      </c>
      <c r="T46" s="4836"/>
      <c r="U46" s="4838"/>
      <c r="V46" s="4834"/>
      <c r="W46" s="4837" t="s">
        <v>4521</v>
      </c>
      <c r="X46" s="4836"/>
      <c r="Y46" s="4834"/>
      <c r="Z46" s="4834"/>
      <c r="AA46" s="4839" t="s">
        <v>5035</v>
      </c>
      <c r="AB46" s="4834"/>
      <c r="AC46" s="4839" t="s">
        <v>5050</v>
      </c>
      <c r="AD46" s="4834"/>
      <c r="AE46" s="4832"/>
      <c r="AF46" s="4685">
        <f t="shared" si="11"/>
        <v>0</v>
      </c>
    </row>
    <row r="47" spans="1:32" ht="33.75" customHeight="1" thickBot="1">
      <c r="A47" s="4828">
        <v>15</v>
      </c>
      <c r="B47" s="4833"/>
      <c r="C47" s="4829"/>
      <c r="D47" s="4672" t="str">
        <f t="shared" si="15"/>
        <v>1</v>
      </c>
      <c r="E47" s="4829"/>
      <c r="F47" s="4672">
        <f t="shared" si="16"/>
        <v>2</v>
      </c>
      <c r="G47" s="4699"/>
      <c r="H47" s="4672">
        <f t="shared" si="9"/>
        <v>0</v>
      </c>
      <c r="I47" s="4831"/>
      <c r="J47" s="4834"/>
      <c r="K47" s="4835"/>
      <c r="L47" s="4834"/>
      <c r="M47" s="4834"/>
      <c r="N47" s="4834"/>
      <c r="O47" s="4834"/>
      <c r="P47" s="4678">
        <f>SUM(D47,F47,H47)*K47</f>
        <v>0</v>
      </c>
      <c r="Q47" s="4677">
        <f t="shared" si="13"/>
        <v>0</v>
      </c>
      <c r="R47" s="4836"/>
      <c r="S47" s="4837" t="s">
        <v>5739</v>
      </c>
      <c r="T47" s="4836"/>
      <c r="U47" s="4838"/>
      <c r="V47" s="4834"/>
      <c r="W47" s="4837" t="s">
        <v>4521</v>
      </c>
      <c r="X47" s="4836"/>
      <c r="Y47" s="4834"/>
      <c r="Z47" s="4834"/>
      <c r="AA47" s="4839" t="s">
        <v>5035</v>
      </c>
      <c r="AB47" s="4834"/>
      <c r="AC47" s="4839" t="s">
        <v>5050</v>
      </c>
      <c r="AD47" s="4834"/>
      <c r="AE47" s="4832"/>
      <c r="AF47" s="4685">
        <f t="shared" si="11"/>
        <v>0</v>
      </c>
    </row>
    <row r="48" spans="1:32" ht="33.75" customHeight="1" thickTop="1" thickBot="1">
      <c r="A48" s="4840"/>
      <c r="B48" s="4841"/>
      <c r="C48" s="4841"/>
      <c r="D48" s="4841"/>
      <c r="E48" s="4841"/>
      <c r="F48" s="4842"/>
      <c r="G48" s="4843"/>
      <c r="H48" s="4841"/>
      <c r="I48" s="4844" t="s">
        <v>2432</v>
      </c>
      <c r="J48" s="4845">
        <f>SUM(J33:J47)</f>
        <v>89</v>
      </c>
      <c r="K48" s="4846">
        <f>SUM(K33:K47)</f>
        <v>89</v>
      </c>
      <c r="L48" s="4843"/>
      <c r="M48" s="4843"/>
      <c r="N48" s="4843"/>
      <c r="O48" s="4843"/>
      <c r="P48" s="4845">
        <f>SUM(P33:P47)</f>
        <v>1602</v>
      </c>
      <c r="Q48" s="4845">
        <f>SUM(Q33:Q47)</f>
        <v>76135482</v>
      </c>
      <c r="R48" s="6901"/>
      <c r="S48" s="6901"/>
      <c r="T48" s="6901"/>
      <c r="U48" s="4847"/>
      <c r="V48" s="6902"/>
      <c r="W48" s="6901"/>
      <c r="X48" s="6901"/>
      <c r="Y48" s="4847"/>
      <c r="Z48" s="4847"/>
      <c r="AA48" s="6903"/>
      <c r="AB48" s="6904"/>
      <c r="AC48" s="6903"/>
      <c r="AD48" s="6904"/>
      <c r="AE48" s="4848"/>
      <c r="AF48" s="4685">
        <f>SUM(AF33:AF47)</f>
        <v>276</v>
      </c>
    </row>
    <row r="49" spans="1:32" ht="32.15" customHeight="1" thickBot="1">
      <c r="C49" s="4710"/>
      <c r="D49" s="4710"/>
      <c r="E49" s="4710"/>
      <c r="F49" s="4710"/>
      <c r="G49" s="4710"/>
      <c r="H49" s="4710"/>
      <c r="I49" s="4711"/>
      <c r="J49" s="4712"/>
      <c r="K49" s="4710"/>
      <c r="L49" s="4713" t="s">
        <v>5748</v>
      </c>
      <c r="M49" s="4714">
        <f>SUM(N33:N47)</f>
        <v>4355191</v>
      </c>
      <c r="N49" s="4715"/>
      <c r="O49" s="4715"/>
      <c r="P49" s="4715"/>
      <c r="S49" s="4656"/>
      <c r="W49" s="4656"/>
      <c r="AF49" s="4849"/>
    </row>
    <row r="50" spans="1:32" ht="33.75" customHeight="1">
      <c r="A50" s="6845" t="s">
        <v>5749</v>
      </c>
      <c r="B50" s="6846"/>
      <c r="C50" s="4716">
        <f>P48</f>
        <v>1602</v>
      </c>
      <c r="D50" s="4717"/>
      <c r="F50" s="4718"/>
      <c r="G50" s="4850"/>
      <c r="H50" s="4719"/>
      <c r="I50" s="4720"/>
      <c r="L50" s="4721" t="s">
        <v>5750</v>
      </c>
      <c r="M50" s="4722">
        <f>M49*1.1</f>
        <v>4790710.1000000006</v>
      </c>
      <c r="P50" s="4656"/>
      <c r="AF50" s="4851"/>
    </row>
    <row r="51" spans="1:32" ht="33.75" customHeight="1">
      <c r="A51" s="6910" t="s">
        <v>5883</v>
      </c>
      <c r="B51" s="6911"/>
      <c r="C51" s="4723">
        <f>Q48</f>
        <v>76135482</v>
      </c>
      <c r="D51" s="4717"/>
      <c r="F51" s="4724"/>
      <c r="G51" s="4852"/>
      <c r="H51" s="4719"/>
      <c r="I51" s="4720"/>
      <c r="P51" s="4656"/>
      <c r="AF51" s="4851"/>
    </row>
    <row r="52" spans="1:32" ht="33.75" customHeight="1" thickBot="1">
      <c r="A52" s="6913" t="s">
        <v>5751</v>
      </c>
      <c r="B52" s="6914"/>
      <c r="C52" s="4987">
        <f>ROUNDDOWN(C51*1.1,0)</f>
        <v>83749030</v>
      </c>
      <c r="D52" s="4940"/>
      <c r="E52" s="4941"/>
      <c r="F52" s="4942"/>
      <c r="G52" s="4943"/>
      <c r="H52" s="4940"/>
      <c r="I52" s="4944"/>
      <c r="J52" s="4943"/>
      <c r="K52" s="4861"/>
      <c r="L52" s="4861"/>
      <c r="M52" s="4861"/>
      <c r="N52" s="4861"/>
      <c r="O52" s="4861"/>
      <c r="P52" s="4943"/>
      <c r="Q52" s="4943"/>
      <c r="R52" s="4941"/>
      <c r="S52" s="4941"/>
      <c r="T52" s="4941"/>
      <c r="U52" s="4941"/>
      <c r="V52" s="4941"/>
      <c r="W52" s="4941"/>
      <c r="X52" s="4941"/>
      <c r="Y52" s="4941"/>
      <c r="Z52" s="4941"/>
      <c r="AA52" s="4941"/>
      <c r="AB52" s="4941"/>
      <c r="AC52" s="4941"/>
      <c r="AD52" s="4941"/>
      <c r="AE52" s="4941"/>
      <c r="AF52" s="4941"/>
    </row>
    <row r="53" spans="1:32" ht="33.75" customHeight="1">
      <c r="A53" s="4729"/>
      <c r="B53" s="4729"/>
      <c r="C53" s="4729"/>
      <c r="D53" s="4729"/>
      <c r="E53" s="4729"/>
      <c r="F53" s="4729"/>
      <c r="G53" s="4726"/>
      <c r="H53" s="4729"/>
      <c r="I53" s="4720"/>
      <c r="P53" s="4656"/>
    </row>
    <row r="54" spans="1:32" ht="33.75" customHeight="1">
      <c r="A54" s="4728" t="s">
        <v>5752</v>
      </c>
      <c r="B54" s="4728"/>
      <c r="C54" s="4729"/>
      <c r="D54" s="4729"/>
      <c r="E54" s="4729"/>
      <c r="F54" s="4729"/>
      <c r="G54" s="4726"/>
      <c r="H54" s="4729"/>
      <c r="I54" s="4720"/>
      <c r="P54" s="4656"/>
    </row>
    <row r="55" spans="1:32" ht="36" customHeight="1">
      <c r="A55" s="4728" t="s">
        <v>5753</v>
      </c>
      <c r="B55" s="4728"/>
    </row>
    <row r="56" spans="1:32" ht="36" customHeight="1">
      <c r="A56" s="4730" t="s">
        <v>5754</v>
      </c>
      <c r="B56" s="4730"/>
    </row>
    <row r="57" spans="1:32" ht="36" customHeight="1">
      <c r="A57" s="4728"/>
      <c r="B57" s="4728"/>
    </row>
    <row r="58" spans="1:32" ht="36" customHeight="1"/>
    <row r="59" spans="1:32" ht="36" customHeight="1"/>
    <row r="60" spans="1:32" ht="36" customHeight="1"/>
    <row r="61" spans="1:32" ht="36" customHeight="1"/>
    <row r="62" spans="1:32" ht="36" customHeight="1"/>
    <row r="63" spans="1:32" ht="36" customHeight="1"/>
    <row r="64" spans="1:32" ht="36" customHeight="1"/>
    <row r="65" ht="10.4" customHeight="1"/>
  </sheetData>
  <mergeCells count="6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O5:O6"/>
    <mergeCell ref="P5:Q5"/>
    <mergeCell ref="R5:T6"/>
    <mergeCell ref="U5:U6"/>
    <mergeCell ref="V5:X6"/>
    <mergeCell ref="Z5:Z6"/>
    <mergeCell ref="AA5:AD6"/>
    <mergeCell ref="AE5:AE6"/>
    <mergeCell ref="AF5:AF6"/>
    <mergeCell ref="R23:T23"/>
    <mergeCell ref="V23:X23"/>
    <mergeCell ref="AA23:AB23"/>
    <mergeCell ref="AC23:AD23"/>
    <mergeCell ref="Y5:Y6"/>
    <mergeCell ref="I30:I31"/>
    <mergeCell ref="A25:B25"/>
    <mergeCell ref="A26:B26"/>
    <mergeCell ref="A27:B27"/>
    <mergeCell ref="A30:A31"/>
    <mergeCell ref="B30:B31"/>
    <mergeCell ref="C30:C31"/>
    <mergeCell ref="D30:D31"/>
    <mergeCell ref="E30:E31"/>
    <mergeCell ref="F30:F31"/>
    <mergeCell ref="G30:G31"/>
    <mergeCell ref="H30:H31"/>
    <mergeCell ref="K30:K31"/>
    <mergeCell ref="L30:L31"/>
    <mergeCell ref="M30:M31"/>
    <mergeCell ref="O30:O31"/>
    <mergeCell ref="P30:Q30"/>
    <mergeCell ref="A50:B50"/>
    <mergeCell ref="A51:B51"/>
    <mergeCell ref="A52:B52"/>
    <mergeCell ref="AE30:AE31"/>
    <mergeCell ref="AF30:AF31"/>
    <mergeCell ref="R48:T48"/>
    <mergeCell ref="V48:X48"/>
    <mergeCell ref="AA48:AB48"/>
    <mergeCell ref="AC48:AD48"/>
    <mergeCell ref="R30:T31"/>
    <mergeCell ref="U30:U31"/>
    <mergeCell ref="V30:X31"/>
    <mergeCell ref="Y30:Y31"/>
    <mergeCell ref="Z30:Z31"/>
    <mergeCell ref="AA30:AD31"/>
    <mergeCell ref="J30:J31"/>
  </mergeCells>
  <phoneticPr fontId="2"/>
  <conditionalFormatting sqref="E8:G10 B33:C47 E33:E47 E12:G22 B8:C22 E11">
    <cfRule type="containsBlanks" dxfId="174" priority="14">
      <formula>LEN(TRIM(B8))=0</formula>
    </cfRule>
  </conditionalFormatting>
  <conditionalFormatting sqref="C2:D2">
    <cfRule type="containsBlanks" dxfId="173" priority="7">
      <formula>LEN(TRIM(C2))=0</formula>
    </cfRule>
  </conditionalFormatting>
  <conditionalFormatting sqref="D7:D10 D12:D22">
    <cfRule type="containsBlanks" dxfId="172" priority="13">
      <formula>LEN(TRIM(D7))=0</formula>
    </cfRule>
  </conditionalFormatting>
  <conditionalFormatting sqref="D32:D47">
    <cfRule type="containsBlanks" dxfId="171" priority="12">
      <formula>LEN(TRIM(D32))=0</formula>
    </cfRule>
  </conditionalFormatting>
  <conditionalFormatting sqref="F7">
    <cfRule type="containsBlanks" dxfId="170" priority="9">
      <formula>LEN(TRIM(F7))=0</formula>
    </cfRule>
  </conditionalFormatting>
  <conditionalFormatting sqref="F32:F47">
    <cfRule type="containsBlanks" dxfId="169" priority="11">
      <formula>LEN(TRIM(F32))=0</formula>
    </cfRule>
  </conditionalFormatting>
  <conditionalFormatting sqref="G33:G47">
    <cfRule type="containsBlanks" dxfId="168" priority="8">
      <formula>LEN(TRIM(G33))=0</formula>
    </cfRule>
  </conditionalFormatting>
  <conditionalFormatting sqref="H7:O10 H12:O22">
    <cfRule type="containsBlanks" dxfId="167" priority="6">
      <formula>LEN(TRIM(H7))=0</formula>
    </cfRule>
  </conditionalFormatting>
  <conditionalFormatting sqref="H32:O47">
    <cfRule type="containsBlanks" dxfId="166" priority="5">
      <formula>LEN(TRIM(H32))=0</formula>
    </cfRule>
  </conditionalFormatting>
  <conditionalFormatting sqref="Q7:R22">
    <cfRule type="containsBlanks" dxfId="165" priority="22">
      <formula>LEN(TRIM(Q7))=0</formula>
    </cfRule>
  </conditionalFormatting>
  <conditionalFormatting sqref="Q32:R47">
    <cfRule type="containsBlanks" dxfId="164" priority="10">
      <formula>LEN(TRIM(Q32))=0</formula>
    </cfRule>
  </conditionalFormatting>
  <conditionalFormatting sqref="T7:V22">
    <cfRule type="containsBlanks" dxfId="163" priority="20">
      <formula>LEN(TRIM(T7))=0</formula>
    </cfRule>
  </conditionalFormatting>
  <conditionalFormatting sqref="T32:V47">
    <cfRule type="containsBlanks" dxfId="162" priority="18">
      <formula>LEN(TRIM(T32))=0</formula>
    </cfRule>
  </conditionalFormatting>
  <conditionalFormatting sqref="X7:Z22">
    <cfRule type="containsBlanks" dxfId="161" priority="19">
      <formula>LEN(TRIM(X7))=0</formula>
    </cfRule>
  </conditionalFormatting>
  <conditionalFormatting sqref="X32:Z47">
    <cfRule type="containsBlanks" dxfId="160" priority="17">
      <formula>LEN(TRIM(X32))=0</formula>
    </cfRule>
  </conditionalFormatting>
  <conditionalFormatting sqref="AB7:AB22 AD7:AE22">
    <cfRule type="containsBlanks" dxfId="159" priority="21">
      <formula>LEN(TRIM(AB7))=0</formula>
    </cfRule>
  </conditionalFormatting>
  <conditionalFormatting sqref="AB32:AB47">
    <cfRule type="containsBlanks" dxfId="158" priority="16">
      <formula>LEN(TRIM(AB32))=0</formula>
    </cfRule>
  </conditionalFormatting>
  <conditionalFormatting sqref="AD32:AE47">
    <cfRule type="containsBlanks" dxfId="157" priority="15">
      <formula>LEN(TRIM(AD32))=0</formula>
    </cfRule>
  </conditionalFormatting>
  <conditionalFormatting sqref="D11">
    <cfRule type="containsBlanks" dxfId="156" priority="4">
      <formula>LEN(TRIM(D11))=0</formula>
    </cfRule>
  </conditionalFormatting>
  <conditionalFormatting sqref="F11">
    <cfRule type="containsBlanks" dxfId="155" priority="3">
      <formula>LEN(TRIM(F11))=0</formula>
    </cfRule>
  </conditionalFormatting>
  <conditionalFormatting sqref="G11">
    <cfRule type="containsBlanks" dxfId="154" priority="2">
      <formula>LEN(TRIM(G11))=0</formula>
    </cfRule>
  </conditionalFormatting>
  <conditionalFormatting sqref="H11:O11">
    <cfRule type="containsBlanks" dxfId="153" priority="1">
      <formula>LEN(TRIM(H11))=0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597D3-B074-4E46-A8D9-2A65B16D2066}">
  <sheetPr codeName="Sheet387">
    <tabColor rgb="FFFFFF66"/>
    <pageSetUpPr fitToPage="1"/>
  </sheetPr>
  <dimension ref="A1:AE64"/>
  <sheetViews>
    <sheetView topLeftCell="A40" zoomScale="55" zoomScaleNormal="55" workbookViewId="0">
      <selection activeCell="I2" sqref="I2"/>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31.1796875" style="4658" bestFit="1"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'[35]別紙1-1）客室提供条件'!C2</f>
        <v>ホテルラフォーレ修善寺</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23" si="0">F7*N7</f>
        <v>3150000</v>
      </c>
      <c r="P7" s="4755" t="s">
        <v>5782</v>
      </c>
      <c r="Q7" s="4756">
        <v>4</v>
      </c>
      <c r="R7" s="4756" t="s">
        <v>3804</v>
      </c>
      <c r="S7" s="4751" t="s">
        <v>246</v>
      </c>
      <c r="T7" s="4756" t="s">
        <v>2161</v>
      </c>
      <c r="U7" s="4757">
        <v>2000</v>
      </c>
    </row>
    <row r="8" spans="1:31" s="4666" customFormat="1" ht="33.75" customHeight="1">
      <c r="A8" s="4758">
        <v>1</v>
      </c>
      <c r="B8" s="4816">
        <v>46289</v>
      </c>
      <c r="C8" s="4816">
        <v>46298</v>
      </c>
      <c r="D8" s="4759">
        <v>0</v>
      </c>
      <c r="E8" s="4759">
        <v>1</v>
      </c>
      <c r="F8" s="4760">
        <f t="shared" ref="F8:F23" si="1">IF(OR(ISBLANK($B8), ISBLANK($C8)), 0, _xlfn.DAYS($C8, $B8) + 1)</f>
        <v>10</v>
      </c>
      <c r="G8" s="4761" t="s">
        <v>6416</v>
      </c>
      <c r="H8" s="4762">
        <v>2</v>
      </c>
      <c r="I8" s="4763" t="s">
        <v>5157</v>
      </c>
      <c r="J8" s="4764">
        <v>6.7</v>
      </c>
      <c r="K8" s="4765">
        <v>13.5</v>
      </c>
      <c r="L8" s="4765">
        <v>89</v>
      </c>
      <c r="M8" s="4765">
        <v>2.8</v>
      </c>
      <c r="N8" s="4762">
        <v>40000</v>
      </c>
      <c r="O8" s="4766">
        <f t="shared" si="0"/>
        <v>400000</v>
      </c>
      <c r="P8" s="4857" t="s">
        <v>2688</v>
      </c>
      <c r="Q8" s="4858" t="s">
        <v>5952</v>
      </c>
      <c r="R8" s="4864" t="s">
        <v>6151</v>
      </c>
      <c r="S8" s="4858">
        <v>0</v>
      </c>
      <c r="T8" s="4859" t="s">
        <v>6151</v>
      </c>
      <c r="U8" s="4860">
        <v>0</v>
      </c>
    </row>
    <row r="9" spans="1:31" ht="33.75" customHeight="1">
      <c r="A9" s="4758">
        <v>2</v>
      </c>
      <c r="B9" s="4816">
        <v>46299</v>
      </c>
      <c r="C9" s="4816">
        <v>46299</v>
      </c>
      <c r="D9" s="4759">
        <v>0</v>
      </c>
      <c r="E9" s="4759">
        <v>0.5</v>
      </c>
      <c r="F9" s="4760">
        <f t="shared" si="1"/>
        <v>1</v>
      </c>
      <c r="G9" s="4761" t="s">
        <v>6416</v>
      </c>
      <c r="H9" s="4762">
        <v>2</v>
      </c>
      <c r="I9" s="4763" t="s">
        <v>5157</v>
      </c>
      <c r="J9" s="4764">
        <v>6.7</v>
      </c>
      <c r="K9" s="4765">
        <v>13.5</v>
      </c>
      <c r="L9" s="4765">
        <v>89</v>
      </c>
      <c r="M9" s="4765">
        <v>2.8</v>
      </c>
      <c r="N9" s="4762">
        <v>40000</v>
      </c>
      <c r="O9" s="4766">
        <f t="shared" si="0"/>
        <v>40000</v>
      </c>
      <c r="P9" s="4857" t="s">
        <v>2688</v>
      </c>
      <c r="Q9" s="4858" t="s">
        <v>5952</v>
      </c>
      <c r="R9" s="4864" t="s">
        <v>6151</v>
      </c>
      <c r="S9" s="4858">
        <v>0</v>
      </c>
      <c r="T9" s="4859" t="s">
        <v>6151</v>
      </c>
      <c r="U9" s="4860">
        <v>0</v>
      </c>
      <c r="AC9" s="4657"/>
    </row>
    <row r="10" spans="1:31" ht="33.75" customHeight="1">
      <c r="A10" s="4758">
        <v>3</v>
      </c>
      <c r="B10" s="4816">
        <v>46289</v>
      </c>
      <c r="C10" s="4816">
        <v>46298</v>
      </c>
      <c r="D10" s="4759">
        <v>0</v>
      </c>
      <c r="E10" s="4759">
        <v>1</v>
      </c>
      <c r="F10" s="4770">
        <f t="shared" si="1"/>
        <v>10</v>
      </c>
      <c r="G10" s="4761" t="s">
        <v>6417</v>
      </c>
      <c r="H10" s="4762">
        <v>2</v>
      </c>
      <c r="I10" s="4763" t="s">
        <v>5157</v>
      </c>
      <c r="J10" s="4764">
        <v>8.1</v>
      </c>
      <c r="K10" s="4765">
        <v>13.5</v>
      </c>
      <c r="L10" s="4765">
        <v>109</v>
      </c>
      <c r="M10" s="4765">
        <v>2.8</v>
      </c>
      <c r="N10" s="4762">
        <v>60000</v>
      </c>
      <c r="O10" s="4766">
        <f t="shared" si="0"/>
        <v>600000</v>
      </c>
      <c r="P10" s="4857" t="s">
        <v>6151</v>
      </c>
      <c r="Q10" s="4858">
        <v>2</v>
      </c>
      <c r="R10" s="4864" t="s">
        <v>6151</v>
      </c>
      <c r="S10" s="4858">
        <v>0</v>
      </c>
      <c r="T10" s="4859" t="s">
        <v>6151</v>
      </c>
      <c r="U10" s="4860">
        <v>0</v>
      </c>
      <c r="AC10" s="4657"/>
    </row>
    <row r="11" spans="1:31" ht="33.75" customHeight="1">
      <c r="A11" s="4758">
        <v>4</v>
      </c>
      <c r="B11" s="4816">
        <v>46299</v>
      </c>
      <c r="C11" s="4816">
        <v>46299</v>
      </c>
      <c r="D11" s="4759">
        <v>0</v>
      </c>
      <c r="E11" s="4759">
        <v>0.5</v>
      </c>
      <c r="F11" s="4760">
        <f t="shared" si="1"/>
        <v>1</v>
      </c>
      <c r="G11" s="4761" t="s">
        <v>6417</v>
      </c>
      <c r="H11" s="4762">
        <v>2</v>
      </c>
      <c r="I11" s="4763" t="s">
        <v>5157</v>
      </c>
      <c r="J11" s="4764">
        <v>8.1</v>
      </c>
      <c r="K11" s="4765">
        <v>13.5</v>
      </c>
      <c r="L11" s="4765">
        <v>109</v>
      </c>
      <c r="M11" s="4765">
        <v>2.8</v>
      </c>
      <c r="N11" s="4762">
        <v>60000</v>
      </c>
      <c r="O11" s="4766">
        <f t="shared" si="0"/>
        <v>60000</v>
      </c>
      <c r="P11" s="4857" t="s">
        <v>6151</v>
      </c>
      <c r="Q11" s="4858">
        <v>2</v>
      </c>
      <c r="R11" s="4864" t="s">
        <v>6151</v>
      </c>
      <c r="S11" s="4858">
        <v>0</v>
      </c>
      <c r="T11" s="4859" t="s">
        <v>6151</v>
      </c>
      <c r="U11" s="4860">
        <v>0</v>
      </c>
      <c r="AC11" s="4657"/>
    </row>
    <row r="12" spans="1:31" ht="33.75" customHeight="1">
      <c r="A12" s="4758">
        <v>5</v>
      </c>
      <c r="B12" s="4816">
        <v>46289</v>
      </c>
      <c r="C12" s="4816">
        <v>46298</v>
      </c>
      <c r="D12" s="4759">
        <v>0</v>
      </c>
      <c r="E12" s="4759">
        <v>1</v>
      </c>
      <c r="F12" s="4760">
        <f t="shared" si="1"/>
        <v>10</v>
      </c>
      <c r="G12" s="4761" t="s">
        <v>6418</v>
      </c>
      <c r="H12" s="4762">
        <v>1</v>
      </c>
      <c r="I12" s="4763" t="s">
        <v>5157</v>
      </c>
      <c r="J12" s="4764">
        <v>8.1</v>
      </c>
      <c r="K12" s="4765">
        <v>16.2</v>
      </c>
      <c r="L12" s="4765">
        <v>131</v>
      </c>
      <c r="M12" s="4765">
        <v>2.7</v>
      </c>
      <c r="N12" s="4762">
        <v>60000</v>
      </c>
      <c r="O12" s="4766">
        <f t="shared" si="0"/>
        <v>600000</v>
      </c>
      <c r="P12" s="4909" t="s">
        <v>2688</v>
      </c>
      <c r="Q12" s="4858" t="s">
        <v>5952</v>
      </c>
      <c r="R12" s="4864" t="s">
        <v>6151</v>
      </c>
      <c r="S12" s="4858">
        <v>0</v>
      </c>
      <c r="T12" s="4859" t="s">
        <v>6151</v>
      </c>
      <c r="U12" s="4860">
        <v>0</v>
      </c>
      <c r="AC12" s="4657"/>
    </row>
    <row r="13" spans="1:31" ht="33.75" customHeight="1">
      <c r="A13" s="4758">
        <v>6</v>
      </c>
      <c r="B13" s="4816">
        <v>46299</v>
      </c>
      <c r="C13" s="4816">
        <v>46299</v>
      </c>
      <c r="D13" s="4759">
        <v>0</v>
      </c>
      <c r="E13" s="4759">
        <v>0.5</v>
      </c>
      <c r="F13" s="4760">
        <f t="shared" si="1"/>
        <v>1</v>
      </c>
      <c r="G13" s="4761" t="s">
        <v>6418</v>
      </c>
      <c r="H13" s="4762">
        <v>1</v>
      </c>
      <c r="I13" s="4763" t="s">
        <v>5157</v>
      </c>
      <c r="J13" s="4764">
        <v>8.1</v>
      </c>
      <c r="K13" s="4765">
        <v>16.2</v>
      </c>
      <c r="L13" s="4765">
        <v>131</v>
      </c>
      <c r="M13" s="4765">
        <v>2.7</v>
      </c>
      <c r="N13" s="4762">
        <v>60000</v>
      </c>
      <c r="O13" s="4766">
        <f t="shared" si="0"/>
        <v>60000</v>
      </c>
      <c r="P13" s="4909" t="s">
        <v>2688</v>
      </c>
      <c r="Q13" s="4858" t="s">
        <v>5952</v>
      </c>
      <c r="R13" s="4864" t="s">
        <v>6151</v>
      </c>
      <c r="S13" s="4858">
        <v>0</v>
      </c>
      <c r="T13" s="4859" t="s">
        <v>6151</v>
      </c>
      <c r="U13" s="4860">
        <v>0</v>
      </c>
      <c r="AC13" s="4657"/>
    </row>
    <row r="14" spans="1:31" ht="33.75" customHeight="1">
      <c r="A14" s="4758">
        <v>7</v>
      </c>
      <c r="B14" s="4816">
        <v>46289</v>
      </c>
      <c r="C14" s="4816">
        <v>46298</v>
      </c>
      <c r="D14" s="4759">
        <v>0</v>
      </c>
      <c r="E14" s="4759">
        <v>1</v>
      </c>
      <c r="F14" s="4760">
        <f t="shared" si="1"/>
        <v>10</v>
      </c>
      <c r="G14" s="4771" t="s">
        <v>6419</v>
      </c>
      <c r="H14" s="4762">
        <v>1</v>
      </c>
      <c r="I14" s="4763" t="s">
        <v>5157</v>
      </c>
      <c r="J14" s="4764">
        <v>8.1</v>
      </c>
      <c r="K14" s="4765">
        <v>10.8</v>
      </c>
      <c r="L14" s="4765">
        <v>87</v>
      </c>
      <c r="M14" s="4765">
        <v>2.7</v>
      </c>
      <c r="N14" s="4762">
        <v>40000</v>
      </c>
      <c r="O14" s="4766">
        <f t="shared" si="0"/>
        <v>400000</v>
      </c>
      <c r="P14" s="4857" t="s">
        <v>2688</v>
      </c>
      <c r="Q14" s="4858" t="s">
        <v>5952</v>
      </c>
      <c r="R14" s="4859" t="s">
        <v>6151</v>
      </c>
      <c r="S14" s="4858">
        <v>0</v>
      </c>
      <c r="T14" s="4859" t="s">
        <v>6151</v>
      </c>
      <c r="U14" s="4860">
        <v>0</v>
      </c>
      <c r="AC14" s="4657"/>
    </row>
    <row r="15" spans="1:31" ht="33.75" customHeight="1">
      <c r="A15" s="4758">
        <v>8</v>
      </c>
      <c r="B15" s="4816">
        <v>46299</v>
      </c>
      <c r="C15" s="4816">
        <v>46299</v>
      </c>
      <c r="D15" s="4759">
        <v>0</v>
      </c>
      <c r="E15" s="4759">
        <v>0.5</v>
      </c>
      <c r="F15" s="4760">
        <f t="shared" si="1"/>
        <v>1</v>
      </c>
      <c r="G15" s="4771" t="s">
        <v>6419</v>
      </c>
      <c r="H15" s="4762">
        <v>1</v>
      </c>
      <c r="I15" s="4763" t="s">
        <v>5157</v>
      </c>
      <c r="J15" s="4764">
        <v>8.1</v>
      </c>
      <c r="K15" s="4765">
        <v>10.8</v>
      </c>
      <c r="L15" s="4765">
        <v>87</v>
      </c>
      <c r="M15" s="4765">
        <v>2.7</v>
      </c>
      <c r="N15" s="4762">
        <v>40000</v>
      </c>
      <c r="O15" s="4766">
        <f t="shared" si="0"/>
        <v>40000</v>
      </c>
      <c r="P15" s="4857" t="s">
        <v>2688</v>
      </c>
      <c r="Q15" s="4858" t="s">
        <v>5952</v>
      </c>
      <c r="R15" s="4859" t="s">
        <v>6151</v>
      </c>
      <c r="S15" s="4858">
        <v>0</v>
      </c>
      <c r="T15" s="4859" t="s">
        <v>6151</v>
      </c>
      <c r="U15" s="4860">
        <v>0</v>
      </c>
      <c r="AC15" s="4657"/>
    </row>
    <row r="16" spans="1:31" ht="33.75" customHeight="1">
      <c r="A16" s="4758">
        <v>9</v>
      </c>
      <c r="B16" s="4816">
        <v>46289</v>
      </c>
      <c r="C16" s="4816">
        <v>46298</v>
      </c>
      <c r="D16" s="4759">
        <v>0</v>
      </c>
      <c r="E16" s="4759">
        <v>1</v>
      </c>
      <c r="F16" s="4760">
        <f t="shared" si="1"/>
        <v>10</v>
      </c>
      <c r="G16" s="4771" t="s">
        <v>6420</v>
      </c>
      <c r="H16" s="4762">
        <v>2</v>
      </c>
      <c r="I16" s="4763" t="s">
        <v>5957</v>
      </c>
      <c r="J16" s="4764">
        <v>13</v>
      </c>
      <c r="K16" s="5002">
        <v>32.5</v>
      </c>
      <c r="L16" s="4765">
        <v>400</v>
      </c>
      <c r="M16" s="5002">
        <v>4.5</v>
      </c>
      <c r="N16" s="4762">
        <v>480000</v>
      </c>
      <c r="O16" s="4766">
        <f t="shared" si="0"/>
        <v>4800000</v>
      </c>
      <c r="P16" s="4857" t="s">
        <v>6151</v>
      </c>
      <c r="Q16" s="4858">
        <v>4</v>
      </c>
      <c r="R16" s="4859" t="s">
        <v>6151</v>
      </c>
      <c r="S16" s="4858">
        <v>0</v>
      </c>
      <c r="T16" s="4859" t="s">
        <v>6151</v>
      </c>
      <c r="U16" s="4860">
        <v>0</v>
      </c>
      <c r="AC16" s="4657"/>
    </row>
    <row r="17" spans="1:29" ht="33.75" customHeight="1">
      <c r="A17" s="4758">
        <v>10</v>
      </c>
      <c r="B17" s="4816">
        <v>46299</v>
      </c>
      <c r="C17" s="4816">
        <v>46299</v>
      </c>
      <c r="D17" s="4759">
        <v>0</v>
      </c>
      <c r="E17" s="4759">
        <v>0.5</v>
      </c>
      <c r="F17" s="4760">
        <f t="shared" si="1"/>
        <v>1</v>
      </c>
      <c r="G17" s="4771" t="s">
        <v>6420</v>
      </c>
      <c r="H17" s="4762">
        <v>2</v>
      </c>
      <c r="I17" s="4763" t="s">
        <v>5957</v>
      </c>
      <c r="J17" s="4764">
        <v>13</v>
      </c>
      <c r="K17" s="5002">
        <v>32.5</v>
      </c>
      <c r="L17" s="4765">
        <v>400</v>
      </c>
      <c r="M17" s="5002">
        <v>4.5</v>
      </c>
      <c r="N17" s="4762">
        <v>480000</v>
      </c>
      <c r="O17" s="4766">
        <f t="shared" si="0"/>
        <v>480000</v>
      </c>
      <c r="P17" s="4857" t="s">
        <v>6151</v>
      </c>
      <c r="Q17" s="4858">
        <v>4</v>
      </c>
      <c r="R17" s="4859" t="s">
        <v>6151</v>
      </c>
      <c r="S17" s="4858">
        <v>0</v>
      </c>
      <c r="T17" s="4859" t="s">
        <v>6151</v>
      </c>
      <c r="U17" s="4860">
        <v>0</v>
      </c>
      <c r="AC17" s="4657"/>
    </row>
    <row r="18" spans="1:29" ht="33.75" customHeight="1">
      <c r="A18" s="4758">
        <v>11</v>
      </c>
      <c r="B18" s="4816">
        <v>46289</v>
      </c>
      <c r="C18" s="4816">
        <v>46298</v>
      </c>
      <c r="D18" s="4759">
        <v>0</v>
      </c>
      <c r="E18" s="4759">
        <v>1</v>
      </c>
      <c r="F18" s="4760">
        <f t="shared" si="1"/>
        <v>10</v>
      </c>
      <c r="G18" s="4771" t="s">
        <v>6420</v>
      </c>
      <c r="H18" s="4762">
        <v>1</v>
      </c>
      <c r="I18" s="4763" t="s">
        <v>5957</v>
      </c>
      <c r="J18" s="4764">
        <v>13</v>
      </c>
      <c r="K18" s="5002">
        <v>32.5</v>
      </c>
      <c r="L18" s="4765">
        <v>400</v>
      </c>
      <c r="M18" s="5002">
        <v>4.5</v>
      </c>
      <c r="N18" s="4762">
        <v>480000</v>
      </c>
      <c r="O18" s="4766">
        <f t="shared" si="0"/>
        <v>4800000</v>
      </c>
      <c r="P18" s="4857" t="s">
        <v>6151</v>
      </c>
      <c r="Q18" s="4858">
        <v>4</v>
      </c>
      <c r="R18" s="4859" t="s">
        <v>6151</v>
      </c>
      <c r="S18" s="4858">
        <v>0</v>
      </c>
      <c r="T18" s="4859" t="s">
        <v>6151</v>
      </c>
      <c r="U18" s="4860">
        <v>0</v>
      </c>
      <c r="AC18" s="4657"/>
    </row>
    <row r="19" spans="1:29" ht="33.75" customHeight="1">
      <c r="A19" s="4758">
        <v>12</v>
      </c>
      <c r="B19" s="4816">
        <v>46299</v>
      </c>
      <c r="C19" s="4816">
        <v>46299</v>
      </c>
      <c r="D19" s="4759">
        <v>0</v>
      </c>
      <c r="E19" s="4759">
        <v>0.5</v>
      </c>
      <c r="F19" s="4760">
        <f t="shared" si="1"/>
        <v>1</v>
      </c>
      <c r="G19" s="4771" t="s">
        <v>6420</v>
      </c>
      <c r="H19" s="4762">
        <v>1</v>
      </c>
      <c r="I19" s="4763" t="s">
        <v>5957</v>
      </c>
      <c r="J19" s="4764">
        <v>13</v>
      </c>
      <c r="K19" s="5002">
        <v>32.5</v>
      </c>
      <c r="L19" s="4765">
        <v>400</v>
      </c>
      <c r="M19" s="5002">
        <v>4.5</v>
      </c>
      <c r="N19" s="4762">
        <v>480000</v>
      </c>
      <c r="O19" s="4766">
        <f t="shared" si="0"/>
        <v>480000</v>
      </c>
      <c r="P19" s="4857" t="s">
        <v>6151</v>
      </c>
      <c r="Q19" s="4858">
        <v>4</v>
      </c>
      <c r="R19" s="4859" t="s">
        <v>6151</v>
      </c>
      <c r="S19" s="4858">
        <v>0</v>
      </c>
      <c r="T19" s="4859" t="s">
        <v>6151</v>
      </c>
      <c r="U19" s="4860">
        <v>0</v>
      </c>
      <c r="AC19" s="4657"/>
    </row>
    <row r="20" spans="1:29" ht="33.75" customHeight="1">
      <c r="A20" s="4758">
        <v>13</v>
      </c>
      <c r="B20" s="4816">
        <v>46289</v>
      </c>
      <c r="C20" s="4816">
        <v>46298</v>
      </c>
      <c r="D20" s="4759">
        <v>0</v>
      </c>
      <c r="E20" s="4759">
        <v>1</v>
      </c>
      <c r="F20" s="4760">
        <f t="shared" si="1"/>
        <v>10</v>
      </c>
      <c r="G20" s="4771" t="s">
        <v>6421</v>
      </c>
      <c r="H20" s="4762" t="s">
        <v>5827</v>
      </c>
      <c r="I20" s="4763" t="s">
        <v>6422</v>
      </c>
      <c r="J20" s="4764">
        <v>13</v>
      </c>
      <c r="K20" s="5587">
        <v>32.5</v>
      </c>
      <c r="L20" s="4765">
        <v>400</v>
      </c>
      <c r="M20" s="5002">
        <v>3.7</v>
      </c>
      <c r="N20" s="4762">
        <v>480000</v>
      </c>
      <c r="O20" s="4766">
        <f t="shared" si="0"/>
        <v>4800000</v>
      </c>
      <c r="P20" s="4857" t="s">
        <v>6151</v>
      </c>
      <c r="Q20" s="4858">
        <v>3</v>
      </c>
      <c r="R20" s="4859" t="s">
        <v>6151</v>
      </c>
      <c r="S20" s="4858">
        <v>0</v>
      </c>
      <c r="T20" s="4859" t="s">
        <v>6151</v>
      </c>
      <c r="U20" s="4860">
        <v>0</v>
      </c>
      <c r="AC20" s="4657"/>
    </row>
    <row r="21" spans="1:29" ht="33.75" customHeight="1">
      <c r="A21" s="4758">
        <v>14</v>
      </c>
      <c r="B21" s="4816">
        <v>46299</v>
      </c>
      <c r="C21" s="4816">
        <v>46299</v>
      </c>
      <c r="D21" s="4759">
        <v>0</v>
      </c>
      <c r="E21" s="4759">
        <v>0.5</v>
      </c>
      <c r="F21" s="4760">
        <f t="shared" si="1"/>
        <v>1</v>
      </c>
      <c r="G21" s="4771" t="s">
        <v>6421</v>
      </c>
      <c r="H21" s="4762" t="s">
        <v>5827</v>
      </c>
      <c r="I21" s="4763" t="s">
        <v>6422</v>
      </c>
      <c r="J21" s="4764">
        <v>13</v>
      </c>
      <c r="K21" s="5587">
        <v>32.5</v>
      </c>
      <c r="L21" s="4765">
        <v>400</v>
      </c>
      <c r="M21" s="5002">
        <v>3.7</v>
      </c>
      <c r="N21" s="4762">
        <v>480000</v>
      </c>
      <c r="O21" s="4766">
        <f t="shared" si="0"/>
        <v>480000</v>
      </c>
      <c r="P21" s="4857" t="s">
        <v>6151</v>
      </c>
      <c r="Q21" s="4858">
        <v>3</v>
      </c>
      <c r="R21" s="4859" t="s">
        <v>6151</v>
      </c>
      <c r="S21" s="4858">
        <v>0</v>
      </c>
      <c r="T21" s="4859" t="s">
        <v>6151</v>
      </c>
      <c r="U21" s="4860">
        <v>0</v>
      </c>
      <c r="AC21" s="4657"/>
    </row>
    <row r="22" spans="1:29" ht="33.75" customHeight="1">
      <c r="A22" s="4758">
        <v>15</v>
      </c>
      <c r="B22" s="4816">
        <v>46289</v>
      </c>
      <c r="C22" s="4816">
        <v>46298</v>
      </c>
      <c r="D22" s="4759">
        <v>0</v>
      </c>
      <c r="E22" s="4759">
        <v>1</v>
      </c>
      <c r="F22" s="4760">
        <f t="shared" si="1"/>
        <v>10</v>
      </c>
      <c r="G22" s="4771" t="s">
        <v>6423</v>
      </c>
      <c r="H22" s="4952">
        <v>1</v>
      </c>
      <c r="I22" s="4763" t="s">
        <v>5814</v>
      </c>
      <c r="J22" s="4764">
        <v>4</v>
      </c>
      <c r="K22" s="4765">
        <v>8</v>
      </c>
      <c r="L22" s="4765">
        <v>32</v>
      </c>
      <c r="M22" s="4765">
        <v>3</v>
      </c>
      <c r="N22" s="4762">
        <v>40000</v>
      </c>
      <c r="O22" s="4766">
        <f t="shared" si="0"/>
        <v>400000</v>
      </c>
      <c r="P22" s="4857" t="s">
        <v>2688</v>
      </c>
      <c r="Q22" s="4858" t="s">
        <v>6424</v>
      </c>
      <c r="R22" s="4859" t="s">
        <v>3804</v>
      </c>
      <c r="S22" s="4858">
        <v>0</v>
      </c>
      <c r="T22" s="4859" t="s">
        <v>3804</v>
      </c>
      <c r="U22" s="4860">
        <v>0</v>
      </c>
      <c r="AC22" s="4657"/>
    </row>
    <row r="23" spans="1:29" ht="33.75" customHeight="1" thickBot="1">
      <c r="A23" s="4758">
        <v>16</v>
      </c>
      <c r="B23" s="4816">
        <v>46299</v>
      </c>
      <c r="C23" s="4816">
        <v>46299</v>
      </c>
      <c r="D23" s="4759">
        <v>0</v>
      </c>
      <c r="E23" s="4759">
        <v>0.5</v>
      </c>
      <c r="F23" s="4770">
        <f t="shared" si="1"/>
        <v>1</v>
      </c>
      <c r="G23" s="4771" t="s">
        <v>6423</v>
      </c>
      <c r="H23" s="4955">
        <v>1</v>
      </c>
      <c r="I23" s="4774" t="s">
        <v>5814</v>
      </c>
      <c r="J23" s="4764">
        <v>4</v>
      </c>
      <c r="K23" s="4765">
        <v>8</v>
      </c>
      <c r="L23" s="4765">
        <v>32</v>
      </c>
      <c r="M23" s="4765">
        <v>3</v>
      </c>
      <c r="N23" s="4775">
        <v>40000</v>
      </c>
      <c r="O23" s="4766">
        <f t="shared" si="0"/>
        <v>40000</v>
      </c>
      <c r="P23" s="4918" t="s">
        <v>2688</v>
      </c>
      <c r="Q23" s="4919" t="s">
        <v>6424</v>
      </c>
      <c r="R23" s="4920" t="s">
        <v>3804</v>
      </c>
      <c r="S23" s="4919">
        <v>0</v>
      </c>
      <c r="T23" s="4920" t="s">
        <v>3804</v>
      </c>
      <c r="U23" s="4921">
        <v>0</v>
      </c>
      <c r="AC23" s="4657"/>
    </row>
    <row r="24" spans="1:29" ht="33.75" customHeight="1" thickTop="1" thickBot="1">
      <c r="A24" s="4778" t="s">
        <v>5845</v>
      </c>
      <c r="B24" s="4779"/>
      <c r="C24" s="4779"/>
      <c r="D24" s="4779"/>
      <c r="E24" s="4779"/>
      <c r="F24" s="4780">
        <f>SUM(F8:F23)</f>
        <v>88</v>
      </c>
      <c r="G24" s="4779"/>
      <c r="H24" s="4781"/>
      <c r="I24" s="4782">
        <f>COUNTA(G8,G10,G12,G14,G16,G18,G20,G22)</f>
        <v>8</v>
      </c>
      <c r="J24" s="4783"/>
      <c r="K24" s="4784"/>
      <c r="L24" s="4784"/>
      <c r="M24" s="4784"/>
      <c r="N24" s="4785"/>
      <c r="O24" s="4922">
        <f>SUM(O8:O23)</f>
        <v>18480000</v>
      </c>
      <c r="P24" s="4787"/>
      <c r="Q24" s="4787"/>
      <c r="R24" s="4788"/>
      <c r="S24" s="4789"/>
      <c r="T24" s="4788"/>
      <c r="U24" s="4790"/>
      <c r="AC24" s="4657"/>
    </row>
    <row r="25" spans="1:29" ht="33.75" customHeight="1" thickBot="1">
      <c r="A25" s="4876" t="s">
        <v>5792</v>
      </c>
      <c r="B25" s="4877"/>
      <c r="C25" s="4878"/>
      <c r="D25" s="4878"/>
      <c r="E25" s="4878"/>
      <c r="F25" s="4879"/>
      <c r="G25" s="4878"/>
      <c r="H25" s="4880"/>
      <c r="I25" s="4878"/>
      <c r="J25" s="4881"/>
      <c r="K25" s="4881"/>
      <c r="L25" s="4881"/>
      <c r="M25" s="4881"/>
      <c r="N25" s="4882"/>
      <c r="O25" s="4923">
        <f>O24*1.1</f>
        <v>20328000</v>
      </c>
      <c r="P25" s="4884"/>
      <c r="Q25" s="4885"/>
      <c r="R25" s="4886"/>
      <c r="S25" s="4887"/>
      <c r="T25" s="4886"/>
      <c r="U25" s="4888"/>
      <c r="AC25" s="4657"/>
    </row>
    <row r="26" spans="1:29" ht="33.75" customHeight="1">
      <c r="A26" s="4656"/>
      <c r="B26" s="4660"/>
      <c r="C26" s="4660"/>
      <c r="D26" s="4660"/>
      <c r="G26" s="4660"/>
      <c r="H26" s="4660"/>
      <c r="M26" s="4808" t="s">
        <v>5748</v>
      </c>
      <c r="N26" s="4809">
        <f>SUM(N8,N10,N12,N14,N16,N18,N20,N22)</f>
        <v>1680000</v>
      </c>
      <c r="O26" s="4656"/>
      <c r="P26" s="4657"/>
      <c r="Q26" s="4657"/>
      <c r="AC26" s="4657"/>
    </row>
    <row r="27" spans="1:29" ht="33.75" customHeight="1">
      <c r="A27" s="4656"/>
      <c r="B27" s="4660"/>
      <c r="C27" s="4660"/>
      <c r="D27" s="4660"/>
      <c r="G27" s="4660"/>
      <c r="H27" s="4660"/>
      <c r="M27" s="4808" t="s">
        <v>5750</v>
      </c>
      <c r="N27" s="4809">
        <f>N26*1.1</f>
        <v>1848000.0000000002</v>
      </c>
      <c r="O27" s="4656"/>
      <c r="P27" s="4657"/>
      <c r="Q27" s="4657"/>
      <c r="AC27" s="4657"/>
    </row>
    <row r="28" spans="1:29" ht="33.75" customHeight="1">
      <c r="A28" s="4656"/>
      <c r="B28" s="4660"/>
      <c r="C28" s="4660"/>
      <c r="D28" s="4660"/>
      <c r="G28" s="4660"/>
      <c r="H28" s="4660"/>
      <c r="O28" s="4656"/>
      <c r="P28" s="4657"/>
      <c r="Q28" s="4657"/>
      <c r="AC28" s="4657"/>
    </row>
    <row r="29" spans="1:29" ht="33.75" customHeight="1" thickBot="1">
      <c r="A29" s="4737" t="s">
        <v>5836</v>
      </c>
      <c r="B29" s="4657"/>
      <c r="C29" s="4657"/>
      <c r="D29" s="4657"/>
      <c r="G29" s="4657"/>
      <c r="H29" s="4657"/>
      <c r="O29" s="4656"/>
      <c r="P29" s="4656"/>
      <c r="Q29" s="4657"/>
      <c r="AC29" s="4657"/>
    </row>
    <row r="30" spans="1:29" s="4738" customFormat="1" ht="33.75" customHeight="1">
      <c r="A30" s="6893" t="s">
        <v>5713</v>
      </c>
      <c r="B30" s="6882" t="s">
        <v>5757</v>
      </c>
      <c r="C30" s="6882" t="s">
        <v>5758</v>
      </c>
      <c r="D30" s="6882" t="s">
        <v>5759</v>
      </c>
      <c r="E30" s="6882" t="s">
        <v>5760</v>
      </c>
      <c r="F30" s="6895" t="s">
        <v>5761</v>
      </c>
      <c r="G30" s="6882" t="s">
        <v>5762</v>
      </c>
      <c r="H30" s="6897" t="s">
        <v>5763</v>
      </c>
      <c r="I30" s="6882" t="s">
        <v>5764</v>
      </c>
      <c r="J30" s="6895" t="s">
        <v>5765</v>
      </c>
      <c r="K30" s="6888" t="s">
        <v>5766</v>
      </c>
      <c r="L30" s="6888" t="s">
        <v>5767</v>
      </c>
      <c r="M30" s="6888" t="s">
        <v>5768</v>
      </c>
      <c r="N30" s="6882" t="s">
        <v>5811</v>
      </c>
      <c r="O30" s="6884" t="s">
        <v>5812</v>
      </c>
      <c r="P30" s="6886" t="s">
        <v>5771</v>
      </c>
      <c r="Q30" s="6887"/>
      <c r="R30" s="6888" t="s">
        <v>5772</v>
      </c>
      <c r="S30" s="6889"/>
      <c r="T30" s="6889"/>
      <c r="U30" s="6890"/>
    </row>
    <row r="31" spans="1:29" s="4738" customFormat="1" ht="33.75" customHeight="1" thickBot="1">
      <c r="A31" s="6894"/>
      <c r="B31" s="6883"/>
      <c r="C31" s="6883"/>
      <c r="D31" s="6883"/>
      <c r="E31" s="6883"/>
      <c r="F31" s="6896"/>
      <c r="G31" s="6883"/>
      <c r="H31" s="6898"/>
      <c r="I31" s="6883"/>
      <c r="J31" s="6896"/>
      <c r="K31" s="6892"/>
      <c r="L31" s="6892"/>
      <c r="M31" s="6892"/>
      <c r="N31" s="6883"/>
      <c r="O31" s="6885"/>
      <c r="P31" s="4739" t="s">
        <v>5773</v>
      </c>
      <c r="Q31" s="4740" t="s">
        <v>5774</v>
      </c>
      <c r="R31" s="4740" t="s">
        <v>5775</v>
      </c>
      <c r="S31" s="4741" t="s">
        <v>5776</v>
      </c>
      <c r="T31" s="4740" t="s">
        <v>5777</v>
      </c>
      <c r="U31" s="4742" t="s">
        <v>5778</v>
      </c>
    </row>
    <row r="32" spans="1:29" s="4666" customFormat="1" ht="33.75" customHeight="1">
      <c r="A32" s="4743" t="s">
        <v>5779</v>
      </c>
      <c r="B32" s="4744">
        <v>46280</v>
      </c>
      <c r="C32" s="4744">
        <v>46300</v>
      </c>
      <c r="D32" s="4745">
        <v>0.3125</v>
      </c>
      <c r="E32" s="4746">
        <v>0.89583333333333337</v>
      </c>
      <c r="F32" s="4747">
        <f>IF(OR(ISBLANK($B32), ISBLANK($C32)), 0, _xlfn.DAYS($C32, $B32) + 1)</f>
        <v>21</v>
      </c>
      <c r="G32" s="4890" t="s">
        <v>5780</v>
      </c>
      <c r="H32" s="4891">
        <v>3</v>
      </c>
      <c r="I32" s="4892" t="s">
        <v>5781</v>
      </c>
      <c r="J32" s="4893">
        <v>30</v>
      </c>
      <c r="K32" s="4894">
        <v>100</v>
      </c>
      <c r="L32" s="4894">
        <f>J32*K32</f>
        <v>3000</v>
      </c>
      <c r="M32" s="4895">
        <v>5</v>
      </c>
      <c r="N32" s="4896">
        <v>150000</v>
      </c>
      <c r="O32" s="4754">
        <f t="shared" ref="O32:O48" si="2">F32*N32</f>
        <v>3150000</v>
      </c>
      <c r="P32" s="4897" t="s">
        <v>5782</v>
      </c>
      <c r="Q32" s="4898">
        <v>4</v>
      </c>
      <c r="R32" s="4898" t="s">
        <v>3804</v>
      </c>
      <c r="S32" s="4894" t="s">
        <v>246</v>
      </c>
      <c r="T32" s="4898" t="s">
        <v>2161</v>
      </c>
      <c r="U32" s="4899">
        <v>2000</v>
      </c>
    </row>
    <row r="33" spans="1:29" s="4666" customFormat="1" ht="33.75" customHeight="1">
      <c r="A33" s="4758">
        <v>1</v>
      </c>
      <c r="B33" s="4900">
        <v>46304</v>
      </c>
      <c r="C33" s="4900">
        <v>46321</v>
      </c>
      <c r="D33" s="4913">
        <v>0</v>
      </c>
      <c r="E33" s="4759">
        <v>1</v>
      </c>
      <c r="F33" s="4949">
        <f t="shared" ref="F33:F48" si="3">IF(OR(ISBLANK($B33), ISBLANK($C33)), 0, _xlfn.DAYS($C33, $B33) + 1)</f>
        <v>18</v>
      </c>
      <c r="G33" s="4771" t="s">
        <v>6416</v>
      </c>
      <c r="H33" s="4762">
        <v>2</v>
      </c>
      <c r="I33" s="4763" t="s">
        <v>5157</v>
      </c>
      <c r="J33" s="4902">
        <v>6.7</v>
      </c>
      <c r="K33" s="4765">
        <v>13.5</v>
      </c>
      <c r="L33" s="4765">
        <v>89</v>
      </c>
      <c r="M33" s="4765">
        <v>2.8</v>
      </c>
      <c r="N33" s="4762">
        <v>40000</v>
      </c>
      <c r="O33" s="4766">
        <f t="shared" si="2"/>
        <v>720000</v>
      </c>
      <c r="P33" s="4857" t="s">
        <v>2688</v>
      </c>
      <c r="Q33" s="4858" t="s">
        <v>5952</v>
      </c>
      <c r="R33" s="4859" t="s">
        <v>6151</v>
      </c>
      <c r="S33" s="4858">
        <v>0</v>
      </c>
      <c r="T33" s="4859" t="s">
        <v>6151</v>
      </c>
      <c r="U33" s="4860">
        <v>0</v>
      </c>
    </row>
    <row r="34" spans="1:29" ht="33.75" customHeight="1">
      <c r="A34" s="4758">
        <v>2</v>
      </c>
      <c r="B34" s="4900">
        <v>46322</v>
      </c>
      <c r="C34" s="4900">
        <v>46322</v>
      </c>
      <c r="D34" s="4913">
        <v>0</v>
      </c>
      <c r="E34" s="4759">
        <v>0.5</v>
      </c>
      <c r="F34" s="4949">
        <f t="shared" si="3"/>
        <v>1</v>
      </c>
      <c r="G34" s="4771" t="s">
        <v>6416</v>
      </c>
      <c r="H34" s="4762">
        <v>2</v>
      </c>
      <c r="I34" s="4763" t="s">
        <v>5157</v>
      </c>
      <c r="J34" s="4902">
        <v>6.7</v>
      </c>
      <c r="K34" s="4765">
        <v>13.5</v>
      </c>
      <c r="L34" s="4765">
        <v>89</v>
      </c>
      <c r="M34" s="4765">
        <v>2.8</v>
      </c>
      <c r="N34" s="4762">
        <v>40000</v>
      </c>
      <c r="O34" s="4766">
        <f>F34*N34</f>
        <v>40000</v>
      </c>
      <c r="P34" s="4857" t="s">
        <v>2688</v>
      </c>
      <c r="Q34" s="4858" t="s">
        <v>5952</v>
      </c>
      <c r="R34" s="4859" t="s">
        <v>6151</v>
      </c>
      <c r="S34" s="4858">
        <v>0</v>
      </c>
      <c r="T34" s="4859" t="s">
        <v>6151</v>
      </c>
      <c r="U34" s="4860">
        <v>0</v>
      </c>
      <c r="AC34" s="4657"/>
    </row>
    <row r="35" spans="1:29" ht="33.75" customHeight="1">
      <c r="A35" s="4758">
        <v>3</v>
      </c>
      <c r="B35" s="4900">
        <v>46304</v>
      </c>
      <c r="C35" s="4900">
        <v>46321</v>
      </c>
      <c r="D35" s="4913">
        <v>0</v>
      </c>
      <c r="E35" s="4759">
        <v>1</v>
      </c>
      <c r="F35" s="4949">
        <f t="shared" si="3"/>
        <v>18</v>
      </c>
      <c r="G35" s="4771" t="s">
        <v>6417</v>
      </c>
      <c r="H35" s="4762">
        <v>2</v>
      </c>
      <c r="I35" s="4763" t="s">
        <v>5157</v>
      </c>
      <c r="J35" s="4902">
        <v>8.1</v>
      </c>
      <c r="K35" s="4765">
        <v>13.5</v>
      </c>
      <c r="L35" s="4765">
        <v>109</v>
      </c>
      <c r="M35" s="4765">
        <v>2.8</v>
      </c>
      <c r="N35" s="4762">
        <v>60000</v>
      </c>
      <c r="O35" s="4766">
        <f t="shared" si="2"/>
        <v>1080000</v>
      </c>
      <c r="P35" s="4857" t="s">
        <v>6151</v>
      </c>
      <c r="Q35" s="4858">
        <v>2</v>
      </c>
      <c r="R35" s="4859" t="s">
        <v>6151</v>
      </c>
      <c r="S35" s="4858">
        <v>0</v>
      </c>
      <c r="T35" s="4859" t="s">
        <v>6151</v>
      </c>
      <c r="U35" s="4860">
        <v>0</v>
      </c>
      <c r="AC35" s="4657"/>
    </row>
    <row r="36" spans="1:29" ht="33.75" customHeight="1">
      <c r="A36" s="4758">
        <v>4</v>
      </c>
      <c r="B36" s="4900">
        <v>46322</v>
      </c>
      <c r="C36" s="4900">
        <v>46322</v>
      </c>
      <c r="D36" s="4913">
        <v>0</v>
      </c>
      <c r="E36" s="4759">
        <v>0.5</v>
      </c>
      <c r="F36" s="4949">
        <f t="shared" si="3"/>
        <v>1</v>
      </c>
      <c r="G36" s="4771" t="s">
        <v>6417</v>
      </c>
      <c r="H36" s="4762">
        <v>2</v>
      </c>
      <c r="I36" s="4763" t="s">
        <v>5157</v>
      </c>
      <c r="J36" s="4902">
        <v>8.1</v>
      </c>
      <c r="K36" s="4765">
        <v>13.5</v>
      </c>
      <c r="L36" s="4765">
        <v>109</v>
      </c>
      <c r="M36" s="4765">
        <v>2.8</v>
      </c>
      <c r="N36" s="4762">
        <v>60000</v>
      </c>
      <c r="O36" s="4766">
        <f t="shared" si="2"/>
        <v>60000</v>
      </c>
      <c r="P36" s="4857" t="s">
        <v>6151</v>
      </c>
      <c r="Q36" s="4858">
        <v>2</v>
      </c>
      <c r="R36" s="4859" t="s">
        <v>6151</v>
      </c>
      <c r="S36" s="4858">
        <v>0</v>
      </c>
      <c r="T36" s="4859" t="s">
        <v>6151</v>
      </c>
      <c r="U36" s="4860">
        <v>0</v>
      </c>
      <c r="AC36" s="4657"/>
    </row>
    <row r="37" spans="1:29" ht="33.75" customHeight="1">
      <c r="A37" s="4758">
        <v>5</v>
      </c>
      <c r="B37" s="4900">
        <v>46304</v>
      </c>
      <c r="C37" s="4900">
        <v>46321</v>
      </c>
      <c r="D37" s="4913">
        <v>0</v>
      </c>
      <c r="E37" s="4759">
        <v>1</v>
      </c>
      <c r="F37" s="4949">
        <f t="shared" si="3"/>
        <v>18</v>
      </c>
      <c r="G37" s="4771" t="s">
        <v>6418</v>
      </c>
      <c r="H37" s="4762">
        <v>1</v>
      </c>
      <c r="I37" s="4763" t="s">
        <v>5157</v>
      </c>
      <c r="J37" s="4902">
        <v>8.1</v>
      </c>
      <c r="K37" s="4765">
        <v>16.2</v>
      </c>
      <c r="L37" s="4765">
        <v>131</v>
      </c>
      <c r="M37" s="4765">
        <v>2.7</v>
      </c>
      <c r="N37" s="4762">
        <v>60000</v>
      </c>
      <c r="O37" s="4766">
        <f t="shared" si="2"/>
        <v>1080000</v>
      </c>
      <c r="P37" s="4857" t="s">
        <v>2688</v>
      </c>
      <c r="Q37" s="4858" t="s">
        <v>5952</v>
      </c>
      <c r="R37" s="4859" t="s">
        <v>6151</v>
      </c>
      <c r="S37" s="4858">
        <v>0</v>
      </c>
      <c r="T37" s="4859" t="s">
        <v>6151</v>
      </c>
      <c r="U37" s="4860">
        <v>0</v>
      </c>
      <c r="AC37" s="4657"/>
    </row>
    <row r="38" spans="1:29" ht="33.75" customHeight="1">
      <c r="A38" s="4758">
        <v>6</v>
      </c>
      <c r="B38" s="4900">
        <v>46322</v>
      </c>
      <c r="C38" s="4900">
        <v>46322</v>
      </c>
      <c r="D38" s="4913">
        <v>0</v>
      </c>
      <c r="E38" s="4759">
        <v>0.5</v>
      </c>
      <c r="F38" s="4949">
        <f t="shared" si="3"/>
        <v>1</v>
      </c>
      <c r="G38" s="4771" t="s">
        <v>6418</v>
      </c>
      <c r="H38" s="4762">
        <v>1</v>
      </c>
      <c r="I38" s="4763" t="s">
        <v>5157</v>
      </c>
      <c r="J38" s="4902">
        <v>8.1</v>
      </c>
      <c r="K38" s="4765">
        <v>16.2</v>
      </c>
      <c r="L38" s="4765">
        <v>131</v>
      </c>
      <c r="M38" s="4765">
        <v>2.7</v>
      </c>
      <c r="N38" s="4762">
        <v>60000</v>
      </c>
      <c r="O38" s="4766">
        <f t="shared" si="2"/>
        <v>60000</v>
      </c>
      <c r="P38" s="4857" t="s">
        <v>2688</v>
      </c>
      <c r="Q38" s="4858" t="s">
        <v>5952</v>
      </c>
      <c r="R38" s="4859" t="s">
        <v>6151</v>
      </c>
      <c r="S38" s="4858">
        <v>0</v>
      </c>
      <c r="T38" s="4859" t="s">
        <v>6151</v>
      </c>
      <c r="U38" s="4860">
        <v>0</v>
      </c>
      <c r="AC38" s="4657"/>
    </row>
    <row r="39" spans="1:29" ht="33.75" customHeight="1">
      <c r="A39" s="4758">
        <v>7</v>
      </c>
      <c r="B39" s="4900">
        <v>46304</v>
      </c>
      <c r="C39" s="4900">
        <v>46321</v>
      </c>
      <c r="D39" s="4913">
        <v>0</v>
      </c>
      <c r="E39" s="4759">
        <v>1</v>
      </c>
      <c r="F39" s="4949">
        <f t="shared" si="3"/>
        <v>18</v>
      </c>
      <c r="G39" s="4771" t="s">
        <v>6419</v>
      </c>
      <c r="H39" s="4762">
        <v>1</v>
      </c>
      <c r="I39" s="4763" t="s">
        <v>5157</v>
      </c>
      <c r="J39" s="4902">
        <v>8.1</v>
      </c>
      <c r="K39" s="4765">
        <v>10.8</v>
      </c>
      <c r="L39" s="4765">
        <v>87</v>
      </c>
      <c r="M39" s="4765">
        <v>2.7</v>
      </c>
      <c r="N39" s="4762">
        <v>40000</v>
      </c>
      <c r="O39" s="4766">
        <f t="shared" si="2"/>
        <v>720000</v>
      </c>
      <c r="P39" s="4857" t="s">
        <v>2688</v>
      </c>
      <c r="Q39" s="4858" t="s">
        <v>5952</v>
      </c>
      <c r="R39" s="4859" t="s">
        <v>6151</v>
      </c>
      <c r="S39" s="4858">
        <v>0</v>
      </c>
      <c r="T39" s="4859" t="s">
        <v>6151</v>
      </c>
      <c r="U39" s="4860">
        <v>0</v>
      </c>
      <c r="AC39" s="4657"/>
    </row>
    <row r="40" spans="1:29" ht="33.75" customHeight="1">
      <c r="A40" s="4758">
        <v>8</v>
      </c>
      <c r="B40" s="4900">
        <v>46322</v>
      </c>
      <c r="C40" s="4900">
        <v>46322</v>
      </c>
      <c r="D40" s="4913">
        <v>0</v>
      </c>
      <c r="E40" s="4759">
        <v>0.5</v>
      </c>
      <c r="F40" s="4949">
        <f t="shared" si="3"/>
        <v>1</v>
      </c>
      <c r="G40" s="4771" t="s">
        <v>6419</v>
      </c>
      <c r="H40" s="4762">
        <v>1</v>
      </c>
      <c r="I40" s="4763" t="s">
        <v>5157</v>
      </c>
      <c r="J40" s="4902">
        <v>8.1</v>
      </c>
      <c r="K40" s="4765">
        <v>10.8</v>
      </c>
      <c r="L40" s="4765">
        <v>87</v>
      </c>
      <c r="M40" s="4765">
        <v>2.7</v>
      </c>
      <c r="N40" s="4762">
        <v>40000</v>
      </c>
      <c r="O40" s="4766">
        <f t="shared" si="2"/>
        <v>40000</v>
      </c>
      <c r="P40" s="4857" t="s">
        <v>2688</v>
      </c>
      <c r="Q40" s="4858" t="s">
        <v>5952</v>
      </c>
      <c r="R40" s="4859" t="s">
        <v>6151</v>
      </c>
      <c r="S40" s="4858">
        <v>0</v>
      </c>
      <c r="T40" s="4859" t="s">
        <v>6151</v>
      </c>
      <c r="U40" s="4860">
        <v>0</v>
      </c>
      <c r="AC40" s="4657"/>
    </row>
    <row r="41" spans="1:29" ht="33.75" customHeight="1">
      <c r="A41" s="4758">
        <v>9</v>
      </c>
      <c r="B41" s="4900">
        <v>46304</v>
      </c>
      <c r="C41" s="4900">
        <v>46321</v>
      </c>
      <c r="D41" s="4913">
        <v>0</v>
      </c>
      <c r="E41" s="4759">
        <v>1</v>
      </c>
      <c r="F41" s="4949">
        <f t="shared" si="3"/>
        <v>18</v>
      </c>
      <c r="G41" s="4771" t="s">
        <v>6420</v>
      </c>
      <c r="H41" s="4762">
        <v>2</v>
      </c>
      <c r="I41" s="4763" t="s">
        <v>5957</v>
      </c>
      <c r="J41" s="4902">
        <v>13</v>
      </c>
      <c r="K41" s="4765">
        <v>32.5</v>
      </c>
      <c r="L41" s="4765">
        <v>400</v>
      </c>
      <c r="M41" s="4765">
        <v>4.5</v>
      </c>
      <c r="N41" s="4762">
        <v>480000</v>
      </c>
      <c r="O41" s="4766">
        <f t="shared" si="2"/>
        <v>8640000</v>
      </c>
      <c r="P41" s="4857" t="s">
        <v>6151</v>
      </c>
      <c r="Q41" s="4858">
        <v>4</v>
      </c>
      <c r="R41" s="4859" t="s">
        <v>6151</v>
      </c>
      <c r="S41" s="4858">
        <v>0</v>
      </c>
      <c r="T41" s="4859" t="s">
        <v>6151</v>
      </c>
      <c r="U41" s="4860">
        <v>0</v>
      </c>
      <c r="AC41" s="4657"/>
    </row>
    <row r="42" spans="1:29" ht="33.75" customHeight="1">
      <c r="A42" s="4758">
        <v>10</v>
      </c>
      <c r="B42" s="4900">
        <v>46322</v>
      </c>
      <c r="C42" s="4900">
        <v>46322</v>
      </c>
      <c r="D42" s="4913">
        <v>0</v>
      </c>
      <c r="E42" s="4759">
        <v>0.5</v>
      </c>
      <c r="F42" s="4949">
        <f t="shared" si="3"/>
        <v>1</v>
      </c>
      <c r="G42" s="4771" t="s">
        <v>6420</v>
      </c>
      <c r="H42" s="4762">
        <v>2</v>
      </c>
      <c r="I42" s="4763" t="s">
        <v>5957</v>
      </c>
      <c r="J42" s="4902">
        <v>13</v>
      </c>
      <c r="K42" s="4765">
        <v>32.5</v>
      </c>
      <c r="L42" s="4765">
        <v>400</v>
      </c>
      <c r="M42" s="4765">
        <v>4.5</v>
      </c>
      <c r="N42" s="4762">
        <v>480000</v>
      </c>
      <c r="O42" s="4766">
        <f t="shared" si="2"/>
        <v>480000</v>
      </c>
      <c r="P42" s="4857" t="s">
        <v>6151</v>
      </c>
      <c r="Q42" s="4858">
        <v>4</v>
      </c>
      <c r="R42" s="4859" t="s">
        <v>6151</v>
      </c>
      <c r="S42" s="4858">
        <v>0</v>
      </c>
      <c r="T42" s="4859" t="s">
        <v>6151</v>
      </c>
      <c r="U42" s="4860">
        <v>0</v>
      </c>
      <c r="AC42" s="4657"/>
    </row>
    <row r="43" spans="1:29" ht="33.75" customHeight="1">
      <c r="A43" s="4758">
        <v>11</v>
      </c>
      <c r="B43" s="4816">
        <v>46304</v>
      </c>
      <c r="C43" s="4816">
        <v>46321</v>
      </c>
      <c r="D43" s="4759">
        <v>0</v>
      </c>
      <c r="E43" s="4759">
        <v>1</v>
      </c>
      <c r="F43" s="4949">
        <f t="shared" si="3"/>
        <v>18</v>
      </c>
      <c r="G43" s="4771" t="s">
        <v>6420</v>
      </c>
      <c r="H43" s="4762">
        <v>1</v>
      </c>
      <c r="I43" s="4763" t="s">
        <v>5957</v>
      </c>
      <c r="J43" s="4764">
        <v>13</v>
      </c>
      <c r="K43" s="4765">
        <v>32.5</v>
      </c>
      <c r="L43" s="4765">
        <v>400</v>
      </c>
      <c r="M43" s="4765">
        <v>4.5</v>
      </c>
      <c r="N43" s="4762">
        <v>480000</v>
      </c>
      <c r="O43" s="4766">
        <f>F43*N43</f>
        <v>8640000</v>
      </c>
      <c r="P43" s="4857" t="s">
        <v>6151</v>
      </c>
      <c r="Q43" s="4858">
        <v>4</v>
      </c>
      <c r="R43" s="4859" t="s">
        <v>6151</v>
      </c>
      <c r="S43" s="4858">
        <v>0</v>
      </c>
      <c r="T43" s="4859" t="s">
        <v>6151</v>
      </c>
      <c r="U43" s="4860">
        <v>0</v>
      </c>
      <c r="AC43" s="4657"/>
    </row>
    <row r="44" spans="1:29" ht="33.75" customHeight="1">
      <c r="A44" s="4758">
        <v>12</v>
      </c>
      <c r="B44" s="4816">
        <v>46322</v>
      </c>
      <c r="C44" s="4816">
        <v>46322</v>
      </c>
      <c r="D44" s="4759">
        <v>0</v>
      </c>
      <c r="E44" s="4759">
        <v>0.5</v>
      </c>
      <c r="F44" s="4949">
        <f t="shared" si="3"/>
        <v>1</v>
      </c>
      <c r="G44" s="4771" t="s">
        <v>6420</v>
      </c>
      <c r="H44" s="4762">
        <v>1</v>
      </c>
      <c r="I44" s="4763" t="s">
        <v>5957</v>
      </c>
      <c r="J44" s="4764">
        <v>13</v>
      </c>
      <c r="K44" s="4765">
        <v>32.5</v>
      </c>
      <c r="L44" s="4765">
        <v>400</v>
      </c>
      <c r="M44" s="4765">
        <v>4.5</v>
      </c>
      <c r="N44" s="4762">
        <v>480000</v>
      </c>
      <c r="O44" s="4766">
        <f t="shared" si="2"/>
        <v>480000</v>
      </c>
      <c r="P44" s="4857" t="s">
        <v>6151</v>
      </c>
      <c r="Q44" s="4858">
        <v>4</v>
      </c>
      <c r="R44" s="4859" t="s">
        <v>6151</v>
      </c>
      <c r="S44" s="4858">
        <v>0</v>
      </c>
      <c r="T44" s="4859" t="s">
        <v>6151</v>
      </c>
      <c r="U44" s="4860">
        <v>0</v>
      </c>
      <c r="AC44" s="4657"/>
    </row>
    <row r="45" spans="1:29" ht="33.75" customHeight="1">
      <c r="A45" s="4758">
        <v>13</v>
      </c>
      <c r="B45" s="4900">
        <v>46304</v>
      </c>
      <c r="C45" s="4900">
        <v>46321</v>
      </c>
      <c r="D45" s="4913">
        <v>0</v>
      </c>
      <c r="E45" s="4759">
        <v>1</v>
      </c>
      <c r="F45" s="4949">
        <f t="shared" si="3"/>
        <v>18</v>
      </c>
      <c r="G45" s="4771" t="s">
        <v>6421</v>
      </c>
      <c r="H45" s="4762" t="s">
        <v>5827</v>
      </c>
      <c r="I45" s="4763" t="s">
        <v>6422</v>
      </c>
      <c r="J45" s="4902">
        <v>13</v>
      </c>
      <c r="K45" s="4765">
        <v>32.5</v>
      </c>
      <c r="L45" s="4765">
        <v>400</v>
      </c>
      <c r="M45" s="4765">
        <v>3.7</v>
      </c>
      <c r="N45" s="4762">
        <v>480000</v>
      </c>
      <c r="O45" s="4766">
        <f>F45*N45</f>
        <v>8640000</v>
      </c>
      <c r="P45" s="4857" t="s">
        <v>6151</v>
      </c>
      <c r="Q45" s="4858">
        <v>3</v>
      </c>
      <c r="R45" s="4859" t="s">
        <v>6151</v>
      </c>
      <c r="S45" s="4858">
        <v>0</v>
      </c>
      <c r="T45" s="4859" t="s">
        <v>6151</v>
      </c>
      <c r="U45" s="4860">
        <v>0</v>
      </c>
      <c r="AC45" s="4657"/>
    </row>
    <row r="46" spans="1:29" ht="33.75" customHeight="1">
      <c r="A46" s="4758">
        <v>14</v>
      </c>
      <c r="B46" s="4900">
        <v>46322</v>
      </c>
      <c r="C46" s="4900">
        <v>46322</v>
      </c>
      <c r="D46" s="4913">
        <v>0</v>
      </c>
      <c r="E46" s="4759">
        <v>0.5</v>
      </c>
      <c r="F46" s="4949">
        <f t="shared" si="3"/>
        <v>1</v>
      </c>
      <c r="G46" s="4771" t="s">
        <v>6421</v>
      </c>
      <c r="H46" s="4762" t="s">
        <v>5827</v>
      </c>
      <c r="I46" s="4763" t="s">
        <v>6422</v>
      </c>
      <c r="J46" s="4902">
        <v>13</v>
      </c>
      <c r="K46" s="4765">
        <v>32.5</v>
      </c>
      <c r="L46" s="4765">
        <v>400</v>
      </c>
      <c r="M46" s="4765">
        <v>3.7</v>
      </c>
      <c r="N46" s="4762">
        <v>480000</v>
      </c>
      <c r="O46" s="4766">
        <f t="shared" si="2"/>
        <v>480000</v>
      </c>
      <c r="P46" s="4857" t="s">
        <v>6151</v>
      </c>
      <c r="Q46" s="4858">
        <v>3</v>
      </c>
      <c r="R46" s="4859" t="s">
        <v>6151</v>
      </c>
      <c r="S46" s="4858">
        <v>0</v>
      </c>
      <c r="T46" s="4859" t="s">
        <v>6151</v>
      </c>
      <c r="U46" s="4860">
        <v>0</v>
      </c>
      <c r="AC46" s="4657"/>
    </row>
    <row r="47" spans="1:29" ht="33.75" customHeight="1">
      <c r="A47" s="4758">
        <v>15</v>
      </c>
      <c r="B47" s="4900">
        <v>46304</v>
      </c>
      <c r="C47" s="4900">
        <v>46321</v>
      </c>
      <c r="D47" s="4913">
        <v>0</v>
      </c>
      <c r="E47" s="4759">
        <v>1</v>
      </c>
      <c r="F47" s="4949">
        <f t="shared" si="3"/>
        <v>18</v>
      </c>
      <c r="G47" s="4771" t="s">
        <v>6423</v>
      </c>
      <c r="H47" s="4762">
        <v>1</v>
      </c>
      <c r="I47" s="4763" t="s">
        <v>5814</v>
      </c>
      <c r="J47" s="4902">
        <v>4</v>
      </c>
      <c r="K47" s="4765">
        <v>8</v>
      </c>
      <c r="L47" s="4765">
        <v>32</v>
      </c>
      <c r="M47" s="4765">
        <v>3</v>
      </c>
      <c r="N47" s="4762">
        <v>40000</v>
      </c>
      <c r="O47" s="4766">
        <f>F47*N47</f>
        <v>720000</v>
      </c>
      <c r="P47" s="4857"/>
      <c r="Q47" s="4858"/>
      <c r="R47" s="4859"/>
      <c r="S47" s="4858"/>
      <c r="T47" s="4859"/>
      <c r="U47" s="4860"/>
      <c r="AC47" s="4657"/>
    </row>
    <row r="48" spans="1:29" ht="33.75" customHeight="1" thickBot="1">
      <c r="A48" s="4758">
        <v>16</v>
      </c>
      <c r="B48" s="4900">
        <v>46322</v>
      </c>
      <c r="C48" s="4900">
        <v>46322</v>
      </c>
      <c r="D48" s="4914">
        <v>0</v>
      </c>
      <c r="E48" s="4915">
        <v>0.5</v>
      </c>
      <c r="F48" s="4977">
        <f t="shared" si="3"/>
        <v>1</v>
      </c>
      <c r="G48" s="4773" t="s">
        <v>6423</v>
      </c>
      <c r="H48" s="4917">
        <v>1</v>
      </c>
      <c r="I48" s="4774" t="s">
        <v>5814</v>
      </c>
      <c r="J48" s="4902">
        <v>4</v>
      </c>
      <c r="K48" s="4765">
        <v>8</v>
      </c>
      <c r="L48" s="5009">
        <v>32</v>
      </c>
      <c r="M48" s="4765">
        <v>3</v>
      </c>
      <c r="N48" s="4775">
        <v>40000</v>
      </c>
      <c r="O48" s="4766">
        <f t="shared" si="2"/>
        <v>40000</v>
      </c>
      <c r="P48" s="4918"/>
      <c r="Q48" s="4919"/>
      <c r="R48" s="4920"/>
      <c r="S48" s="4919"/>
      <c r="T48" s="4920"/>
      <c r="U48" s="4921"/>
      <c r="AC48" s="4657"/>
    </row>
    <row r="49" spans="1:31" ht="33.75" customHeight="1" thickTop="1" thickBot="1">
      <c r="A49" s="4865" t="s">
        <v>5939</v>
      </c>
      <c r="B49" s="4866"/>
      <c r="C49" s="4866"/>
      <c r="D49" s="4866"/>
      <c r="E49" s="4866"/>
      <c r="F49" s="4867">
        <f>SUM(F33:F48)</f>
        <v>152</v>
      </c>
      <c r="G49" s="4866"/>
      <c r="H49" s="4868"/>
      <c r="I49" s="4782">
        <f>COUNTA(G33,G35,G37,G39,G41,G43,G45,G47)</f>
        <v>8</v>
      </c>
      <c r="J49" s="4870"/>
      <c r="K49" s="4870"/>
      <c r="L49" s="4870"/>
      <c r="M49" s="4870"/>
      <c r="N49" s="4903"/>
      <c r="O49" s="4871">
        <f>SUM(O33:O48)</f>
        <v>31920000</v>
      </c>
      <c r="P49" s="4904"/>
      <c r="Q49" s="4904"/>
      <c r="R49" s="4905"/>
      <c r="S49" s="4906"/>
      <c r="T49" s="4905"/>
      <c r="U49" s="4907"/>
      <c r="AC49" s="4657"/>
    </row>
    <row r="50" spans="1:31" ht="33.75" customHeight="1" thickBot="1">
      <c r="A50" s="4876" t="s">
        <v>5792</v>
      </c>
      <c r="B50" s="4957"/>
      <c r="C50" s="4958"/>
      <c r="D50" s="4958"/>
      <c r="E50" s="4958"/>
      <c r="F50" s="4959"/>
      <c r="G50" s="4958"/>
      <c r="H50" s="4960"/>
      <c r="I50" s="4958"/>
      <c r="J50" s="4961"/>
      <c r="K50" s="4961"/>
      <c r="L50" s="4961"/>
      <c r="M50" s="4961"/>
      <c r="N50" s="4962"/>
      <c r="O50" s="5010">
        <f>O49*1.1</f>
        <v>35112000</v>
      </c>
      <c r="P50" s="4963"/>
      <c r="Q50" s="4963"/>
      <c r="R50" s="4964"/>
      <c r="S50" s="4965"/>
      <c r="T50" s="4964"/>
      <c r="U50" s="4966"/>
      <c r="V50" s="4941"/>
      <c r="W50" s="4941"/>
      <c r="X50" s="4941"/>
      <c r="Y50" s="4941"/>
      <c r="Z50" s="4941"/>
      <c r="AA50" s="4941"/>
      <c r="AB50" s="4941"/>
      <c r="AC50" s="4941"/>
      <c r="AD50" s="4941"/>
      <c r="AE50" s="4941"/>
    </row>
    <row r="51" spans="1:31" ht="32.15" customHeight="1">
      <c r="A51" s="4656"/>
      <c r="B51" s="4660"/>
      <c r="C51" s="4660"/>
      <c r="D51" s="4660"/>
      <c r="G51" s="4660"/>
      <c r="H51" s="4660"/>
      <c r="M51" s="4808" t="s">
        <v>5748</v>
      </c>
      <c r="N51" s="4809">
        <f>SUM(N33,N35,N37,N39,N41,N43,N45,N47)</f>
        <v>1680000</v>
      </c>
      <c r="O51" s="4656"/>
      <c r="P51" s="4657"/>
      <c r="Q51" s="4657"/>
      <c r="AC51" s="4657"/>
    </row>
    <row r="52" spans="1:31" ht="32.15" customHeight="1">
      <c r="B52" s="4657"/>
      <c r="C52" s="4657"/>
      <c r="D52" s="4657"/>
      <c r="E52" s="4810"/>
      <c r="F52" s="4811"/>
      <c r="G52" s="4657"/>
      <c r="H52" s="4657"/>
      <c r="M52" s="4808" t="s">
        <v>5750</v>
      </c>
      <c r="N52" s="4809">
        <f>N51*1.1</f>
        <v>1848000.0000000002</v>
      </c>
      <c r="O52" s="4656"/>
      <c r="P52" s="4657"/>
      <c r="Q52" s="4657"/>
      <c r="AC52" s="4657"/>
    </row>
    <row r="53" spans="1:31" ht="32.15" customHeight="1">
      <c r="A53" s="4812"/>
      <c r="B53" s="4813"/>
      <c r="C53" s="4813"/>
      <c r="D53" s="4813"/>
      <c r="E53" s="4814"/>
      <c r="F53" s="4814"/>
      <c r="G53" s="4813"/>
      <c r="H53" s="4813"/>
      <c r="I53" s="4812"/>
      <c r="J53" s="4812"/>
      <c r="K53" s="4812"/>
      <c r="L53" s="4812"/>
      <c r="M53" s="4812"/>
      <c r="N53" s="4812"/>
      <c r="O53" s="4715"/>
      <c r="P53" s="4715"/>
      <c r="Q53" s="4715"/>
      <c r="R53" s="4656"/>
      <c r="S53" s="4812"/>
      <c r="T53" s="4656"/>
      <c r="U53" s="4812"/>
      <c r="W53" s="6905"/>
      <c r="X53" s="6905"/>
      <c r="Y53" s="6905"/>
      <c r="Z53" s="6905"/>
      <c r="AA53" s="6905"/>
      <c r="AB53" s="6891"/>
      <c r="AC53" s="6891"/>
      <c r="AD53" s="6891"/>
      <c r="AE53" s="6891"/>
    </row>
    <row r="54" spans="1:31" ht="36" customHeight="1"/>
    <row r="55" spans="1:31" ht="36" customHeight="1"/>
    <row r="56" spans="1:31" ht="36" customHeight="1"/>
    <row r="57" spans="1:31" ht="36" customHeight="1"/>
    <row r="58" spans="1:31" ht="36" customHeight="1"/>
    <row r="59" spans="1:31" ht="36" customHeight="1"/>
    <row r="60" spans="1:31" ht="36" customHeight="1"/>
    <row r="61" spans="1:31" ht="36" customHeight="1"/>
    <row r="62" spans="1:31" ht="36" customHeight="1"/>
    <row r="63" spans="1:31" ht="36" customHeight="1"/>
    <row r="64" spans="1:31" ht="10.4" customHeight="1">
      <c r="B64" s="4657"/>
      <c r="C64" s="4657"/>
      <c r="D64" s="4657"/>
      <c r="G64" s="4657"/>
      <c r="H64" s="4657"/>
      <c r="O64" s="4656"/>
      <c r="P64" s="4657"/>
      <c r="Q64" s="4657"/>
      <c r="AC64" s="4657"/>
    </row>
  </sheetData>
  <mergeCells count="38">
    <mergeCell ref="A2:B2"/>
    <mergeCell ref="C2:G2"/>
    <mergeCell ref="A5:A6"/>
    <mergeCell ref="B5:B6"/>
    <mergeCell ref="C5:C6"/>
    <mergeCell ref="D5:D6"/>
    <mergeCell ref="E5:E6"/>
    <mergeCell ref="F5:F6"/>
    <mergeCell ref="G5:G6"/>
    <mergeCell ref="F30:F31"/>
    <mergeCell ref="H5:H6"/>
    <mergeCell ref="I5:I6"/>
    <mergeCell ref="J5:J6"/>
    <mergeCell ref="K5:K6"/>
    <mergeCell ref="G30:G31"/>
    <mergeCell ref="H30:H31"/>
    <mergeCell ref="I30:I31"/>
    <mergeCell ref="J30:J31"/>
    <mergeCell ref="K30:K31"/>
    <mergeCell ref="A30:A31"/>
    <mergeCell ref="B30:B31"/>
    <mergeCell ref="C30:C31"/>
    <mergeCell ref="D30:D31"/>
    <mergeCell ref="E30:E31"/>
    <mergeCell ref="L30:L31"/>
    <mergeCell ref="N5:N6"/>
    <mergeCell ref="O5:O6"/>
    <mergeCell ref="P5:Q5"/>
    <mergeCell ref="R5:U5"/>
    <mergeCell ref="L5:L6"/>
    <mergeCell ref="M5:M6"/>
    <mergeCell ref="AB53:AE53"/>
    <mergeCell ref="M30:M31"/>
    <mergeCell ref="N30:N31"/>
    <mergeCell ref="O30:O31"/>
    <mergeCell ref="P30:Q30"/>
    <mergeCell ref="R30:U30"/>
    <mergeCell ref="W53:AA53"/>
  </mergeCells>
  <phoneticPr fontId="2"/>
  <conditionalFormatting sqref="B8:E23 G8:N23 P8:U23 B33:E48 P33:U48">
    <cfRule type="containsBlanks" dxfId="152" priority="4">
      <formula>LEN(TRIM(B8))=0</formula>
    </cfRule>
  </conditionalFormatting>
  <conditionalFormatting sqref="C2:D2">
    <cfRule type="containsBlanks" dxfId="151" priority="5">
      <formula>LEN(TRIM(C2))=0</formula>
    </cfRule>
  </conditionalFormatting>
  <conditionalFormatting sqref="G33:K42 G45:K48">
    <cfRule type="containsBlanks" dxfId="150" priority="2">
      <formula>LEN(TRIM(G33))=0</formula>
    </cfRule>
  </conditionalFormatting>
  <conditionalFormatting sqref="G43:N44">
    <cfRule type="containsBlanks" dxfId="149" priority="1">
      <formula>LEN(TRIM(G43))=0</formula>
    </cfRule>
  </conditionalFormatting>
  <conditionalFormatting sqref="M33:N42 M45:N48">
    <cfRule type="containsBlanks" dxfId="148" priority="3">
      <formula>LEN(TRIM(M33))=0</formula>
    </cfRule>
  </conditionalFormatting>
  <dataValidations count="1">
    <dataValidation type="list" allowBlank="1" showInputMessage="1" showErrorMessage="1" sqref="I7:I23 I32:I48" xr:uid="{DCD8FF9A-DB1C-4990-B581-CCD05D53D9B5}">
      <formula1>会場形態</formula1>
    </dataValidation>
  </dataValidations>
  <printOptions horizontalCentered="1"/>
  <pageMargins left="0.39370078740157483" right="0.39370078740157483" top="0.55118110236220474" bottom="0.55118110236220474" header="0.31496062992125984" footer="0.31496062992125984"/>
  <pageSetup paperSize="8" scale="50" orientation="landscape" r:id="rId1"/>
  <headerFooter>
    <oddHeader>&amp;R&amp;G</oddHead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19B20-76FB-4EEC-9138-6D6345845D9A}">
  <sheetPr codeName="Sheet406">
    <tabColor rgb="FFFFFF66"/>
    <pageSetUpPr fitToPage="1"/>
  </sheetPr>
  <dimension ref="A1:AE43"/>
  <sheetViews>
    <sheetView topLeftCell="A32" zoomScale="55" zoomScaleNormal="55" workbookViewId="0">
      <selection activeCell="O30" sqref="O30"/>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6413</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I4" s="4657" t="s">
        <v>6425</v>
      </c>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c r="C8" s="4911"/>
      <c r="D8" s="4759"/>
      <c r="E8" s="4759"/>
      <c r="F8" s="4760"/>
      <c r="G8" s="4975"/>
      <c r="H8" s="4762"/>
      <c r="I8" s="4763"/>
      <c r="J8" s="4902"/>
      <c r="K8" s="4765"/>
      <c r="L8" s="4765"/>
      <c r="M8" s="4765"/>
      <c r="N8" s="4762"/>
      <c r="O8" s="4766">
        <f>N8*H8</f>
        <v>0</v>
      </c>
      <c r="P8" s="4857"/>
      <c r="Q8" s="4858"/>
      <c r="R8" s="4864"/>
      <c r="S8" s="4858"/>
      <c r="T8" s="4859"/>
      <c r="U8" s="4860"/>
    </row>
    <row r="9" spans="1:31" ht="33.75" customHeight="1">
      <c r="A9" s="4758">
        <v>2</v>
      </c>
      <c r="B9" s="4910"/>
      <c r="C9" s="4911"/>
      <c r="D9" s="4759"/>
      <c r="E9" s="4759"/>
      <c r="F9" s="4760"/>
      <c r="G9" s="4975"/>
      <c r="H9" s="4762"/>
      <c r="I9" s="4763"/>
      <c r="J9" s="4902"/>
      <c r="K9" s="4765"/>
      <c r="L9" s="4765"/>
      <c r="M9" s="4765"/>
      <c r="N9" s="4762"/>
      <c r="O9" s="4766">
        <f>N9*H9</f>
        <v>0</v>
      </c>
      <c r="P9" s="4857"/>
      <c r="Q9" s="4858"/>
      <c r="R9" s="4864"/>
      <c r="S9" s="4858"/>
      <c r="T9" s="4859"/>
      <c r="U9" s="4860"/>
      <c r="AC9" s="4657"/>
    </row>
    <row r="10" spans="1:31" ht="33.75" customHeight="1">
      <c r="A10" s="4758">
        <v>3</v>
      </c>
      <c r="B10" s="4910"/>
      <c r="C10" s="4911"/>
      <c r="D10" s="4759"/>
      <c r="E10" s="4759"/>
      <c r="F10" s="4760">
        <f t="shared" ref="F10" si="1">IF(OR(ISBLANK($B10), ISBLANK($C10)), 0, _xlfn.DAYS($C10, $B10) + 1)</f>
        <v>0</v>
      </c>
      <c r="G10" s="4761"/>
      <c r="H10" s="4762"/>
      <c r="I10" s="4763"/>
      <c r="J10" s="4764"/>
      <c r="K10" s="4765"/>
      <c r="L10" s="4765"/>
      <c r="M10" s="4765"/>
      <c r="N10" s="4762"/>
      <c r="O10" s="4766">
        <f t="shared" ref="O10:O16" si="2">F10*N10*H10</f>
        <v>0</v>
      </c>
      <c r="P10" s="4909"/>
      <c r="Q10" s="4858"/>
      <c r="R10" s="4864"/>
      <c r="S10" s="4858"/>
      <c r="T10" s="4859"/>
      <c r="U10" s="4860"/>
      <c r="AC10" s="4657"/>
    </row>
    <row r="11" spans="1:31" ht="33.75" customHeight="1">
      <c r="A11" s="4758">
        <v>4</v>
      </c>
      <c r="B11" s="4910"/>
      <c r="C11" s="4911"/>
      <c r="D11" s="4759"/>
      <c r="E11" s="4759"/>
      <c r="F11" s="4912"/>
      <c r="G11" s="4771"/>
      <c r="H11" s="4762"/>
      <c r="I11" s="4763"/>
      <c r="J11" s="4764"/>
      <c r="K11" s="4765"/>
      <c r="L11" s="4765"/>
      <c r="M11" s="4765"/>
      <c r="N11" s="4762"/>
      <c r="O11" s="4766">
        <f t="shared" si="2"/>
        <v>0</v>
      </c>
      <c r="P11" s="4857"/>
      <c r="Q11" s="4858"/>
      <c r="R11" s="4859"/>
      <c r="S11" s="4858"/>
      <c r="T11" s="4859"/>
      <c r="U11" s="4860"/>
      <c r="AC11" s="4657"/>
    </row>
    <row r="12" spans="1:31" ht="33.75" customHeight="1">
      <c r="A12" s="4758">
        <v>5</v>
      </c>
      <c r="B12" s="4910"/>
      <c r="C12" s="4911"/>
      <c r="D12" s="4759"/>
      <c r="E12" s="4759"/>
      <c r="F12" s="4912"/>
      <c r="G12" s="4771"/>
      <c r="H12" s="4762"/>
      <c r="I12" s="4763"/>
      <c r="J12" s="4764"/>
      <c r="K12" s="4765"/>
      <c r="L12" s="4765"/>
      <c r="M12" s="4765"/>
      <c r="N12" s="4762"/>
      <c r="O12" s="4766">
        <f t="shared" si="2"/>
        <v>0</v>
      </c>
      <c r="P12" s="4857"/>
      <c r="Q12" s="4858"/>
      <c r="R12" s="4859"/>
      <c r="S12" s="4858"/>
      <c r="T12" s="4859"/>
      <c r="U12" s="4860"/>
      <c r="AC12" s="4657"/>
    </row>
    <row r="13" spans="1:31" ht="33.75" customHeight="1">
      <c r="A13" s="4758">
        <v>6</v>
      </c>
      <c r="B13" s="4910"/>
      <c r="C13" s="4911"/>
      <c r="D13" s="4913"/>
      <c r="E13" s="4759"/>
      <c r="F13" s="4912"/>
      <c r="G13" s="4771"/>
      <c r="H13" s="4762"/>
      <c r="I13" s="4763"/>
      <c r="J13" s="4764"/>
      <c r="K13" s="4765"/>
      <c r="L13" s="4765"/>
      <c r="M13" s="4765"/>
      <c r="N13" s="4762"/>
      <c r="O13" s="4766">
        <f t="shared" si="2"/>
        <v>0</v>
      </c>
      <c r="P13" s="4857"/>
      <c r="Q13" s="4858"/>
      <c r="R13" s="4859"/>
      <c r="S13" s="4858"/>
      <c r="T13" s="4859"/>
      <c r="U13" s="4860"/>
      <c r="AC13" s="4657"/>
    </row>
    <row r="14" spans="1:31" ht="33.75" customHeight="1">
      <c r="A14" s="4758">
        <v>7</v>
      </c>
      <c r="B14" s="4910"/>
      <c r="C14" s="4911"/>
      <c r="D14" s="4913"/>
      <c r="E14" s="4759"/>
      <c r="F14" s="4912"/>
      <c r="G14" s="4771"/>
      <c r="H14" s="4762"/>
      <c r="I14" s="4763"/>
      <c r="J14" s="4764"/>
      <c r="K14" s="4765"/>
      <c r="L14" s="4765"/>
      <c r="M14" s="4765"/>
      <c r="N14" s="4762"/>
      <c r="O14" s="4766">
        <f t="shared" si="2"/>
        <v>0</v>
      </c>
      <c r="P14" s="4857"/>
      <c r="Q14" s="4858"/>
      <c r="R14" s="4859"/>
      <c r="S14" s="4858"/>
      <c r="T14" s="4859"/>
      <c r="U14" s="4860"/>
      <c r="AC14" s="4657"/>
    </row>
    <row r="15" spans="1:31" ht="33.75" customHeight="1">
      <c r="A15" s="4758">
        <v>8</v>
      </c>
      <c r="B15" s="4910"/>
      <c r="C15" s="4911"/>
      <c r="D15" s="4913"/>
      <c r="E15" s="4759"/>
      <c r="F15" s="4912"/>
      <c r="G15" s="4771"/>
      <c r="H15" s="4762"/>
      <c r="I15" s="4763"/>
      <c r="J15" s="4764"/>
      <c r="K15" s="4765"/>
      <c r="L15" s="4765"/>
      <c r="M15" s="4765"/>
      <c r="N15" s="4762"/>
      <c r="O15" s="4766">
        <f t="shared" si="2"/>
        <v>0</v>
      </c>
      <c r="P15" s="4857"/>
      <c r="Q15" s="4858"/>
      <c r="R15" s="4859"/>
      <c r="S15" s="4858"/>
      <c r="T15" s="4859"/>
      <c r="U15" s="4860"/>
      <c r="AC15" s="4657"/>
    </row>
    <row r="16" spans="1:31" ht="33.75" customHeight="1">
      <c r="A16" s="4758">
        <v>9</v>
      </c>
      <c r="B16" s="4910"/>
      <c r="C16" s="4911"/>
      <c r="D16" s="4913"/>
      <c r="E16" s="4759"/>
      <c r="F16" s="4912"/>
      <c r="G16" s="4771"/>
      <c r="H16" s="4762"/>
      <c r="I16" s="4763"/>
      <c r="J16" s="4764"/>
      <c r="K16" s="4765"/>
      <c r="L16" s="4765"/>
      <c r="M16" s="4765"/>
      <c r="N16" s="4762"/>
      <c r="O16" s="4766">
        <f t="shared" si="2"/>
        <v>0</v>
      </c>
      <c r="P16" s="4857"/>
      <c r="Q16" s="4858"/>
      <c r="R16" s="4859"/>
      <c r="S16" s="4858"/>
      <c r="T16" s="4859"/>
      <c r="U16" s="4860"/>
      <c r="AC16" s="4657"/>
    </row>
    <row r="17" spans="1:31" ht="33.75" customHeight="1" thickBot="1">
      <c r="A17" s="4772">
        <v>10</v>
      </c>
      <c r="B17" s="4910"/>
      <c r="C17" s="4911"/>
      <c r="D17" s="4914"/>
      <c r="E17" s="4915"/>
      <c r="F17" s="4916"/>
      <c r="G17" s="4773"/>
      <c r="H17" s="4917"/>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0</v>
      </c>
      <c r="G18" s="4779"/>
      <c r="H18" s="4781"/>
      <c r="I18" s="4782"/>
      <c r="J18" s="4783"/>
      <c r="K18" s="4784"/>
      <c r="L18" s="4784"/>
      <c r="M18" s="4784"/>
      <c r="N18" s="4785"/>
      <c r="O18" s="4922">
        <f>SUM(O8:O17)</f>
        <v>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0</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v>0</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6269</v>
      </c>
      <c r="B22" s="6907"/>
      <c r="C22" s="4925">
        <f>SUM(O8:O17)*1.1</f>
        <v>0</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23.15" customHeight="1" thickBot="1">
      <c r="A25" s="4737" t="s">
        <v>5849</v>
      </c>
      <c r="B25" s="4657"/>
      <c r="C25" s="4657"/>
      <c r="D25" s="4657"/>
      <c r="G25" s="4657"/>
      <c r="H25" s="4657"/>
      <c r="I25" s="4657" t="s">
        <v>6425</v>
      </c>
      <c r="O25" s="4656"/>
      <c r="P25" s="4656"/>
      <c r="Q25" s="4657"/>
      <c r="AC25" s="4657"/>
    </row>
    <row r="26" spans="1:31" s="4738" customFormat="1" ht="33.75" customHeight="1">
      <c r="A26" s="6893" t="s">
        <v>5713</v>
      </c>
      <c r="B26" s="6882" t="s">
        <v>5757</v>
      </c>
      <c r="C26" s="6882" t="s">
        <v>5758</v>
      </c>
      <c r="D26" s="6882" t="s">
        <v>5759</v>
      </c>
      <c r="E26" s="6882" t="s">
        <v>5760</v>
      </c>
      <c r="F26" s="6895" t="s">
        <v>5761</v>
      </c>
      <c r="G26" s="6882" t="s">
        <v>5762</v>
      </c>
      <c r="H26" s="6897" t="s">
        <v>5763</v>
      </c>
      <c r="I26" s="6882" t="s">
        <v>5764</v>
      </c>
      <c r="J26" s="6895" t="s">
        <v>5765</v>
      </c>
      <c r="K26" s="6888" t="s">
        <v>5766</v>
      </c>
      <c r="L26" s="6888" t="s">
        <v>5767</v>
      </c>
      <c r="M26" s="6888" t="s">
        <v>5768</v>
      </c>
      <c r="N26" s="6882" t="s">
        <v>5811</v>
      </c>
      <c r="O26" s="6884" t="s">
        <v>5812</v>
      </c>
      <c r="P26" s="6886" t="s">
        <v>5771</v>
      </c>
      <c r="Q26" s="6887"/>
      <c r="R26" s="6888" t="s">
        <v>5772</v>
      </c>
      <c r="S26" s="6889"/>
      <c r="T26" s="6889"/>
      <c r="U26" s="6890"/>
    </row>
    <row r="27" spans="1:31"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31" s="4666" customFormat="1" ht="33.75" customHeight="1">
      <c r="A28" s="4743" t="s">
        <v>5779</v>
      </c>
      <c r="B28" s="4744">
        <v>46280</v>
      </c>
      <c r="C28" s="4744">
        <v>46300</v>
      </c>
      <c r="D28" s="4745">
        <v>0.3125</v>
      </c>
      <c r="E28" s="4746">
        <v>0.89583333333333337</v>
      </c>
      <c r="F28" s="4747">
        <f>IF(OR(ISBLANK($B28), ISBLANK($C28)), 0, _xlfn.DAYS($C28, $B28) + 1)</f>
        <v>21</v>
      </c>
      <c r="G28" s="4748" t="s">
        <v>5780</v>
      </c>
      <c r="H28" s="4749">
        <v>3</v>
      </c>
      <c r="I28" s="4747" t="s">
        <v>5781</v>
      </c>
      <c r="J28" s="4750">
        <v>30</v>
      </c>
      <c r="K28" s="4751">
        <v>100</v>
      </c>
      <c r="L28" s="4751">
        <f>J28*K28</f>
        <v>3000</v>
      </c>
      <c r="M28" s="4752">
        <v>5</v>
      </c>
      <c r="N28" s="4753">
        <v>150000</v>
      </c>
      <c r="O28" s="4754">
        <f t="shared" ref="O28" si="3">F28*N28</f>
        <v>3150000</v>
      </c>
      <c r="P28" s="4755" t="s">
        <v>5782</v>
      </c>
      <c r="Q28" s="4756">
        <v>4</v>
      </c>
      <c r="R28" s="4756" t="s">
        <v>3804</v>
      </c>
      <c r="S28" s="4751" t="s">
        <v>246</v>
      </c>
      <c r="T28" s="4756" t="s">
        <v>2161</v>
      </c>
      <c r="U28" s="4757">
        <v>2000</v>
      </c>
    </row>
    <row r="29" spans="1:31" s="4666" customFormat="1" ht="33.75" customHeight="1">
      <c r="A29" s="4758">
        <v>1</v>
      </c>
      <c r="B29" s="4910">
        <v>46306</v>
      </c>
      <c r="C29" s="4911">
        <v>46321</v>
      </c>
      <c r="D29" s="4759"/>
      <c r="E29" s="4759"/>
      <c r="F29" s="4760">
        <f t="shared" ref="F29" si="4">IF(OR(ISBLANK($B29), ISBLANK($C29)), 0, _xlfn.DAYS($C29, $B29) + 1)</f>
        <v>16</v>
      </c>
      <c r="G29" s="4761" t="s">
        <v>6267</v>
      </c>
      <c r="H29" s="4762">
        <v>1</v>
      </c>
      <c r="I29" s="4763" t="s">
        <v>6426</v>
      </c>
      <c r="J29" s="4764"/>
      <c r="K29" s="4765"/>
      <c r="L29" s="4765"/>
      <c r="M29" s="4765"/>
      <c r="N29" s="4762">
        <v>120000</v>
      </c>
      <c r="O29" s="4766">
        <f>N29*F29</f>
        <v>1920000</v>
      </c>
      <c r="P29" s="4857"/>
      <c r="Q29" s="4858"/>
      <c r="R29" s="4864"/>
      <c r="S29" s="4858"/>
      <c r="T29" s="4859"/>
      <c r="U29" s="4860"/>
    </row>
    <row r="30" spans="1:31" ht="33.75" customHeight="1">
      <c r="A30" s="4758">
        <v>2</v>
      </c>
      <c r="B30" s="4910"/>
      <c r="C30" s="4911"/>
      <c r="D30" s="4759"/>
      <c r="E30" s="4759"/>
      <c r="F30" s="4760"/>
      <c r="G30" s="4975"/>
      <c r="H30" s="4762"/>
      <c r="I30" s="4763"/>
      <c r="J30" s="4902"/>
      <c r="K30" s="4765"/>
      <c r="L30" s="4765"/>
      <c r="M30" s="4765"/>
      <c r="N30" s="4762"/>
      <c r="O30" s="4766">
        <f>N30*H30</f>
        <v>0</v>
      </c>
      <c r="P30" s="4857"/>
      <c r="Q30" s="4858"/>
      <c r="R30" s="4864"/>
      <c r="S30" s="4858"/>
      <c r="T30" s="4859"/>
      <c r="U30" s="4860"/>
      <c r="AC30" s="4657"/>
    </row>
    <row r="31" spans="1:31" ht="33.75" customHeight="1">
      <c r="A31" s="4758">
        <v>3</v>
      </c>
      <c r="B31" s="4910"/>
      <c r="C31" s="4911"/>
      <c r="D31" s="4759"/>
      <c r="E31" s="4759"/>
      <c r="F31" s="4760"/>
      <c r="G31" s="4761"/>
      <c r="H31" s="4762"/>
      <c r="I31" s="4763"/>
      <c r="J31" s="4764"/>
      <c r="K31" s="4765"/>
      <c r="L31" s="4765"/>
      <c r="M31" s="4765"/>
      <c r="N31" s="4762"/>
      <c r="O31" s="4766">
        <f t="shared" ref="O31:O37" si="5">F31*N31*H31</f>
        <v>0</v>
      </c>
      <c r="P31" s="4909"/>
      <c r="Q31" s="4858"/>
      <c r="R31" s="4864"/>
      <c r="S31" s="4858"/>
      <c r="T31" s="4859"/>
      <c r="U31" s="4860"/>
      <c r="AC31" s="4657"/>
    </row>
    <row r="32" spans="1:31" ht="33.75" customHeight="1">
      <c r="A32" s="4758">
        <v>4</v>
      </c>
      <c r="B32" s="4910"/>
      <c r="C32" s="4911"/>
      <c r="D32" s="4759"/>
      <c r="E32" s="4759"/>
      <c r="F32" s="4912"/>
      <c r="G32" s="4771"/>
      <c r="H32" s="4762"/>
      <c r="I32" s="4763"/>
      <c r="J32" s="4764"/>
      <c r="K32" s="4765"/>
      <c r="L32" s="4765"/>
      <c r="M32" s="4765"/>
      <c r="N32" s="4762"/>
      <c r="O32" s="4766">
        <f t="shared" si="5"/>
        <v>0</v>
      </c>
      <c r="P32" s="4857"/>
      <c r="Q32" s="4858"/>
      <c r="R32" s="4859"/>
      <c r="S32" s="4858"/>
      <c r="T32" s="4859"/>
      <c r="U32" s="4860"/>
      <c r="AC32" s="4657"/>
    </row>
    <row r="33" spans="1:31" ht="33.75" customHeight="1">
      <c r="A33" s="4758">
        <v>5</v>
      </c>
      <c r="B33" s="4910"/>
      <c r="C33" s="4911"/>
      <c r="D33" s="4759"/>
      <c r="E33" s="4759"/>
      <c r="F33" s="4912"/>
      <c r="G33" s="4771"/>
      <c r="H33" s="4762"/>
      <c r="I33" s="4763"/>
      <c r="J33" s="4764"/>
      <c r="K33" s="4765"/>
      <c r="L33" s="4765"/>
      <c r="M33" s="4765"/>
      <c r="N33" s="4762"/>
      <c r="O33" s="4766">
        <f t="shared" si="5"/>
        <v>0</v>
      </c>
      <c r="P33" s="4857"/>
      <c r="Q33" s="4858"/>
      <c r="R33" s="4859"/>
      <c r="S33" s="4858"/>
      <c r="T33" s="4859"/>
      <c r="U33" s="4860"/>
      <c r="AC33" s="4657"/>
    </row>
    <row r="34" spans="1:31" ht="33.75" customHeight="1">
      <c r="A34" s="4758">
        <v>6</v>
      </c>
      <c r="B34" s="4910"/>
      <c r="C34" s="4911"/>
      <c r="D34" s="4913"/>
      <c r="E34" s="4759"/>
      <c r="F34" s="4912"/>
      <c r="G34" s="4771"/>
      <c r="H34" s="4762"/>
      <c r="I34" s="4763"/>
      <c r="J34" s="4764"/>
      <c r="K34" s="4765"/>
      <c r="L34" s="4765"/>
      <c r="M34" s="4765"/>
      <c r="N34" s="4762"/>
      <c r="O34" s="4766">
        <f t="shared" si="5"/>
        <v>0</v>
      </c>
      <c r="P34" s="4857"/>
      <c r="Q34" s="4858"/>
      <c r="R34" s="4859"/>
      <c r="S34" s="4858"/>
      <c r="T34" s="4859"/>
      <c r="U34" s="4860"/>
      <c r="AC34" s="4657"/>
    </row>
    <row r="35" spans="1:31" ht="33.75" customHeight="1">
      <c r="A35" s="4758">
        <v>7</v>
      </c>
      <c r="B35" s="4910"/>
      <c r="C35" s="4911"/>
      <c r="D35" s="4913"/>
      <c r="E35" s="4759"/>
      <c r="F35" s="4912"/>
      <c r="G35" s="4771"/>
      <c r="H35" s="4762"/>
      <c r="I35" s="4763"/>
      <c r="J35" s="4764"/>
      <c r="K35" s="4765"/>
      <c r="L35" s="4765"/>
      <c r="M35" s="4765"/>
      <c r="N35" s="4762"/>
      <c r="O35" s="4766">
        <f t="shared" si="5"/>
        <v>0</v>
      </c>
      <c r="P35" s="4857"/>
      <c r="Q35" s="4858"/>
      <c r="R35" s="4859"/>
      <c r="S35" s="4858"/>
      <c r="T35" s="4859"/>
      <c r="U35" s="4860"/>
      <c r="AC35" s="4657"/>
    </row>
    <row r="36" spans="1:31" ht="33.75" customHeight="1">
      <c r="A36" s="4758">
        <v>8</v>
      </c>
      <c r="B36" s="4910"/>
      <c r="C36" s="4911"/>
      <c r="D36" s="4913"/>
      <c r="E36" s="4759"/>
      <c r="F36" s="4912"/>
      <c r="G36" s="4771"/>
      <c r="H36" s="4762"/>
      <c r="I36" s="4763"/>
      <c r="J36" s="4764"/>
      <c r="K36" s="4765"/>
      <c r="L36" s="4765"/>
      <c r="M36" s="4765"/>
      <c r="N36" s="4762"/>
      <c r="O36" s="4766">
        <f t="shared" si="5"/>
        <v>0</v>
      </c>
      <c r="P36" s="4857"/>
      <c r="Q36" s="4858"/>
      <c r="R36" s="4859"/>
      <c r="S36" s="4858"/>
      <c r="T36" s="4859"/>
      <c r="U36" s="4860"/>
      <c r="AC36" s="4657"/>
    </row>
    <row r="37" spans="1:31" ht="33.75" customHeight="1">
      <c r="A37" s="4758">
        <v>9</v>
      </c>
      <c r="B37" s="4910"/>
      <c r="C37" s="4911"/>
      <c r="D37" s="4913"/>
      <c r="E37" s="4759"/>
      <c r="F37" s="4912"/>
      <c r="G37" s="4771"/>
      <c r="H37" s="4762"/>
      <c r="I37" s="4763"/>
      <c r="J37" s="4764"/>
      <c r="K37" s="4765"/>
      <c r="L37" s="4765"/>
      <c r="M37" s="4765"/>
      <c r="N37" s="4762"/>
      <c r="O37" s="4766">
        <f t="shared" si="5"/>
        <v>0</v>
      </c>
      <c r="P37" s="4857"/>
      <c r="Q37" s="4858"/>
      <c r="R37" s="4859"/>
      <c r="S37" s="4858"/>
      <c r="T37" s="4859"/>
      <c r="U37" s="4860"/>
      <c r="AC37" s="4657"/>
    </row>
    <row r="38" spans="1:31" ht="33.75" customHeight="1" thickBot="1">
      <c r="A38" s="4772">
        <v>10</v>
      </c>
      <c r="B38" s="4910"/>
      <c r="C38" s="4911"/>
      <c r="D38" s="4914"/>
      <c r="E38" s="4915"/>
      <c r="F38" s="4916"/>
      <c r="G38" s="4773"/>
      <c r="H38" s="4917"/>
      <c r="I38" s="4774"/>
      <c r="J38" s="4764"/>
      <c r="K38" s="4765"/>
      <c r="L38" s="4765"/>
      <c r="M38" s="4765"/>
      <c r="N38" s="4775"/>
      <c r="O38" s="4776">
        <f t="shared" ref="O38" si="6">F38*N38</f>
        <v>0</v>
      </c>
      <c r="P38" s="4918"/>
      <c r="Q38" s="4919"/>
      <c r="R38" s="4920"/>
      <c r="S38" s="4919"/>
      <c r="T38" s="4920"/>
      <c r="U38" s="4921"/>
      <c r="AC38" s="4657"/>
    </row>
    <row r="39" spans="1:31" ht="33.75" customHeight="1" thickTop="1" thickBot="1">
      <c r="A39" s="4778" t="s">
        <v>5845</v>
      </c>
      <c r="B39" s="4779"/>
      <c r="C39" s="4779"/>
      <c r="D39" s="4779"/>
      <c r="E39" s="4779"/>
      <c r="F39" s="4780">
        <f>SUM(F29:F38)</f>
        <v>16</v>
      </c>
      <c r="G39" s="4779"/>
      <c r="H39" s="4781"/>
      <c r="I39" s="4782"/>
      <c r="J39" s="4783"/>
      <c r="K39" s="4784"/>
      <c r="L39" s="4784"/>
      <c r="M39" s="4784"/>
      <c r="N39" s="4785"/>
      <c r="O39" s="4922">
        <f>SUM(O29:O38)</f>
        <v>1920000</v>
      </c>
      <c r="P39" s="4787"/>
      <c r="Q39" s="4787"/>
      <c r="R39" s="4788"/>
      <c r="S39" s="4789"/>
      <c r="T39" s="4788"/>
      <c r="U39" s="4790"/>
      <c r="AC39" s="4657"/>
    </row>
    <row r="40" spans="1:31" ht="33.75" customHeight="1" thickBot="1">
      <c r="A40" s="4876" t="s">
        <v>5792</v>
      </c>
      <c r="B40" s="4877"/>
      <c r="C40" s="4878"/>
      <c r="D40" s="4878"/>
      <c r="E40" s="4878"/>
      <c r="F40" s="4879"/>
      <c r="G40" s="4878"/>
      <c r="H40" s="4880"/>
      <c r="I40" s="4878"/>
      <c r="J40" s="4881"/>
      <c r="K40" s="4881"/>
      <c r="L40" s="4881"/>
      <c r="M40" s="4881"/>
      <c r="N40" s="4882"/>
      <c r="O40" s="4923">
        <f>O39*1.1</f>
        <v>2112000</v>
      </c>
      <c r="P40" s="4884"/>
      <c r="Q40" s="4885"/>
      <c r="R40" s="4886"/>
      <c r="S40" s="4887"/>
      <c r="T40" s="4886"/>
      <c r="U40" s="4888"/>
      <c r="AC40" s="4657"/>
    </row>
    <row r="41" spans="1:31" ht="33.75" customHeight="1" thickBot="1">
      <c r="A41" s="4656"/>
      <c r="B41" s="4660"/>
      <c r="C41" s="4660"/>
      <c r="D41" s="4660"/>
      <c r="G41" s="4660"/>
      <c r="H41" s="4660"/>
      <c r="O41" s="4656"/>
      <c r="P41" s="4657"/>
      <c r="Q41" s="4657"/>
      <c r="AC41" s="4657"/>
    </row>
    <row r="42" spans="1:31" ht="39.65" customHeight="1" thickBot="1">
      <c r="A42" s="6908" t="s">
        <v>5846</v>
      </c>
      <c r="B42" s="6909"/>
      <c r="C42" s="4924">
        <v>0</v>
      </c>
      <c r="D42" s="4658" t="s">
        <v>5916</v>
      </c>
      <c r="E42" s="4814"/>
      <c r="F42" s="4814"/>
      <c r="G42" s="4813"/>
      <c r="H42" s="4813"/>
      <c r="I42" s="4812"/>
      <c r="J42" s="4812"/>
      <c r="K42" s="4812"/>
      <c r="L42" s="4812"/>
      <c r="M42" s="4812"/>
      <c r="N42" s="4812"/>
      <c r="O42" s="4715"/>
      <c r="P42" s="4715"/>
      <c r="Q42" s="4715"/>
      <c r="R42" s="4656"/>
      <c r="S42" s="4812"/>
      <c r="T42" s="4656"/>
      <c r="U42" s="4812"/>
      <c r="W42" s="6905"/>
      <c r="X42" s="6905"/>
      <c r="Y42" s="6905"/>
      <c r="Z42" s="6905"/>
      <c r="AA42" s="6905"/>
      <c r="AB42" s="6891"/>
      <c r="AC42" s="6891"/>
      <c r="AD42" s="6891"/>
      <c r="AE42" s="6891"/>
    </row>
    <row r="43" spans="1:31" ht="36" customHeight="1" thickBot="1">
      <c r="A43" s="6906" t="s">
        <v>6269</v>
      </c>
      <c r="B43" s="6907"/>
      <c r="C43" s="4925">
        <f>SUM(O29:O38)*1.1</f>
        <v>2112000</v>
      </c>
    </row>
  </sheetData>
  <mergeCells count="44">
    <mergeCell ref="A2:B2"/>
    <mergeCell ref="C2:G2"/>
    <mergeCell ref="A5:A6"/>
    <mergeCell ref="B5:B6"/>
    <mergeCell ref="C5:C6"/>
    <mergeCell ref="D5:D6"/>
    <mergeCell ref="E5:E6"/>
    <mergeCell ref="F5:F6"/>
    <mergeCell ref="G5:G6"/>
    <mergeCell ref="N5:N6"/>
    <mergeCell ref="O5:O6"/>
    <mergeCell ref="P5:Q5"/>
    <mergeCell ref="R5:U5"/>
    <mergeCell ref="A21:B21"/>
    <mergeCell ref="H5:H6"/>
    <mergeCell ref="I5:I6"/>
    <mergeCell ref="J5:J6"/>
    <mergeCell ref="K5:K6"/>
    <mergeCell ref="L5:L6"/>
    <mergeCell ref="M5:M6"/>
    <mergeCell ref="AB21:AE21"/>
    <mergeCell ref="A22:B22"/>
    <mergeCell ref="A26:A27"/>
    <mergeCell ref="B26:B27"/>
    <mergeCell ref="C26:C27"/>
    <mergeCell ref="D26:D27"/>
    <mergeCell ref="E26:E27"/>
    <mergeCell ref="F26:F27"/>
    <mergeCell ref="G26:G27"/>
    <mergeCell ref="H26:H27"/>
    <mergeCell ref="W21:AA21"/>
    <mergeCell ref="W42:AA42"/>
    <mergeCell ref="AB42:AE42"/>
    <mergeCell ref="I26:I27"/>
    <mergeCell ref="J26:J27"/>
    <mergeCell ref="K26:K27"/>
    <mergeCell ref="L26:L27"/>
    <mergeCell ref="M26:M27"/>
    <mergeCell ref="N26:N27"/>
    <mergeCell ref="A43:B43"/>
    <mergeCell ref="O26:O27"/>
    <mergeCell ref="P26:Q26"/>
    <mergeCell ref="R26:U26"/>
    <mergeCell ref="A42:B42"/>
  </mergeCells>
  <phoneticPr fontId="2"/>
  <conditionalFormatting sqref="C2:D2">
    <cfRule type="containsBlanks" dxfId="147" priority="6">
      <formula>LEN(TRIM(C2))=0</formula>
    </cfRule>
  </conditionalFormatting>
  <conditionalFormatting sqref="D8:E17">
    <cfRule type="containsBlanks" dxfId="146" priority="8">
      <formula>LEN(TRIM(D8))=0</formula>
    </cfRule>
  </conditionalFormatting>
  <conditionalFormatting sqref="G8:N17">
    <cfRule type="containsBlanks" dxfId="145" priority="7">
      <formula>LEN(TRIM(G8))=0</formula>
    </cfRule>
  </conditionalFormatting>
  <conditionalFormatting sqref="P8:U17">
    <cfRule type="containsBlanks" dxfId="144" priority="9">
      <formula>LEN(TRIM(P8))=0</formula>
    </cfRule>
  </conditionalFormatting>
  <conditionalFormatting sqref="D30:E38">
    <cfRule type="containsBlanks" dxfId="143" priority="4">
      <formula>LEN(TRIM(D30))=0</formula>
    </cfRule>
  </conditionalFormatting>
  <conditionalFormatting sqref="G30:N38">
    <cfRule type="containsBlanks" dxfId="142" priority="3">
      <formula>LEN(TRIM(G30))=0</formula>
    </cfRule>
  </conditionalFormatting>
  <conditionalFormatting sqref="P29:U38">
    <cfRule type="containsBlanks" dxfId="141" priority="5">
      <formula>LEN(TRIM(P29))=0</formula>
    </cfRule>
  </conditionalFormatting>
  <conditionalFormatting sqref="D29:E29">
    <cfRule type="containsBlanks" dxfId="140" priority="2">
      <formula>LEN(TRIM(D29))=0</formula>
    </cfRule>
  </conditionalFormatting>
  <conditionalFormatting sqref="G29:N29">
    <cfRule type="containsBlanks" dxfId="139" priority="1">
      <formula>LEN(TRIM(G29))=0</formula>
    </cfRule>
  </conditionalFormatting>
  <dataValidations count="1">
    <dataValidation type="list" allowBlank="1" showInputMessage="1" showErrorMessage="1" sqref="I7:I17 I28:I38" xr:uid="{DC5620CB-F8F4-4308-9DAB-4D5731EF9E1A}">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legacy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F6BD-479F-418D-ACCD-F6413270F7FB}">
  <sheetPr codeName="Sheet388">
    <tabColor rgb="FFFFFF66"/>
    <pageSetUpPr fitToPage="1"/>
  </sheetPr>
  <dimension ref="A1:AF68"/>
  <sheetViews>
    <sheetView topLeftCell="A46" zoomScale="55" zoomScaleNormal="55" zoomScaleSheetLayoutView="70" workbookViewId="0">
      <selection activeCell="E47" sqref="E47"/>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816406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3091</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L4" s="7035" t="s">
        <v>6427</v>
      </c>
      <c r="M4" s="7036"/>
      <c r="N4" s="7036"/>
      <c r="O4" s="7036"/>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816">
        <v>46277</v>
      </c>
      <c r="C8" s="4816">
        <v>46279</v>
      </c>
      <c r="D8" s="4672">
        <f t="shared" ref="D8:D21" si="0">IF(_xlfn.DAYS(C8,B8)=0,"1",_xlfn.DAYS(C8,B8))</f>
        <v>2</v>
      </c>
      <c r="E8" s="4687">
        <v>46298</v>
      </c>
      <c r="F8" s="4698">
        <f t="shared" ref="F8:F21" si="1">IF(_xlfn.DAYS(E8,C8)=0,"1",_xlfn.DAYS(E8,C8))+1</f>
        <v>20</v>
      </c>
      <c r="G8" s="4687">
        <v>46300</v>
      </c>
      <c r="H8" s="4672">
        <f t="shared" ref="H8:H21" si="2">IF(_xlfn.DAYS(G8,E8)=0,"1",_xlfn.DAYS(G8,E8))-1</f>
        <v>1</v>
      </c>
      <c r="I8" s="4691" t="s">
        <v>4500</v>
      </c>
      <c r="J8" s="4692">
        <v>5</v>
      </c>
      <c r="K8" s="4693">
        <v>5</v>
      </c>
      <c r="L8" s="4692">
        <v>17250</v>
      </c>
      <c r="M8" s="4692">
        <v>21275</v>
      </c>
      <c r="N8" s="4971">
        <f t="shared" ref="N8:N24" si="3">M8*K8</f>
        <v>106375</v>
      </c>
      <c r="O8" s="4692">
        <v>17250</v>
      </c>
      <c r="P8" s="4678">
        <f>SUM(D8,F8,H8)*K8</f>
        <v>115</v>
      </c>
      <c r="Q8" s="4679">
        <f t="shared" ref="Q8:Q24" si="4">(D8*L8+F8*M8+H8*O8)*K8</f>
        <v>2386250</v>
      </c>
      <c r="R8" s="4692">
        <v>22</v>
      </c>
      <c r="S8" s="4680" t="s">
        <v>5742</v>
      </c>
      <c r="T8" s="4694">
        <v>22</v>
      </c>
      <c r="U8" s="4700">
        <v>1</v>
      </c>
      <c r="V8" s="4692">
        <v>138</v>
      </c>
      <c r="W8" s="4680" t="s">
        <v>4521</v>
      </c>
      <c r="X8" s="4695">
        <v>195</v>
      </c>
      <c r="Y8" s="4692">
        <v>1</v>
      </c>
      <c r="Z8" s="4692" t="s">
        <v>5743</v>
      </c>
      <c r="AA8" s="4683" t="s">
        <v>5035</v>
      </c>
      <c r="AB8" s="4692"/>
      <c r="AC8" s="4683" t="s">
        <v>5050</v>
      </c>
      <c r="AD8" s="4692" t="s">
        <v>2814</v>
      </c>
      <c r="AE8" s="4696"/>
      <c r="AF8" s="4685">
        <f>U8*K8</f>
        <v>5</v>
      </c>
    </row>
    <row r="9" spans="1:32" ht="33.75" customHeight="1">
      <c r="A9" s="4686">
        <v>2</v>
      </c>
      <c r="B9" s="4816">
        <v>46277</v>
      </c>
      <c r="C9" s="4816">
        <v>46279</v>
      </c>
      <c r="D9" s="4672">
        <f t="shared" si="0"/>
        <v>2</v>
      </c>
      <c r="E9" s="4687">
        <v>46298</v>
      </c>
      <c r="F9" s="4698">
        <f t="shared" si="1"/>
        <v>20</v>
      </c>
      <c r="G9" s="4687">
        <v>46300</v>
      </c>
      <c r="H9" s="4672">
        <f t="shared" si="2"/>
        <v>1</v>
      </c>
      <c r="I9" s="4691" t="s">
        <v>5181</v>
      </c>
      <c r="J9" s="4692">
        <v>38</v>
      </c>
      <c r="K9" s="4693">
        <v>38</v>
      </c>
      <c r="L9" s="4692">
        <v>27600</v>
      </c>
      <c r="M9" s="4692">
        <v>35650</v>
      </c>
      <c r="N9" s="4971">
        <f t="shared" si="3"/>
        <v>1354700</v>
      </c>
      <c r="O9" s="4692">
        <v>27600</v>
      </c>
      <c r="P9" s="4678">
        <f t="shared" ref="P9:P24" si="5">SUM(D9,F9,H9)*K9</f>
        <v>874</v>
      </c>
      <c r="Q9" s="4679">
        <f t="shared" si="4"/>
        <v>30240400</v>
      </c>
      <c r="R9" s="4692">
        <v>26</v>
      </c>
      <c r="S9" s="4680" t="s">
        <v>5742</v>
      </c>
      <c r="T9" s="4694">
        <v>26</v>
      </c>
      <c r="U9" s="4700">
        <v>2</v>
      </c>
      <c r="V9" s="4692">
        <v>110</v>
      </c>
      <c r="W9" s="4680" t="s">
        <v>4521</v>
      </c>
      <c r="X9" s="4695">
        <v>195</v>
      </c>
      <c r="Y9" s="4692">
        <v>2</v>
      </c>
      <c r="Z9" s="4692" t="s">
        <v>5743</v>
      </c>
      <c r="AA9" s="4683" t="s">
        <v>5035</v>
      </c>
      <c r="AB9" s="4692"/>
      <c r="AC9" s="4683" t="s">
        <v>5050</v>
      </c>
      <c r="AD9" s="4692" t="s">
        <v>2814</v>
      </c>
      <c r="AE9" s="4696"/>
      <c r="AF9" s="4685">
        <f t="shared" ref="AF9:AF24" si="6">U9*K9</f>
        <v>76</v>
      </c>
    </row>
    <row r="10" spans="1:32" ht="33.75" customHeight="1">
      <c r="A10" s="4686">
        <v>3</v>
      </c>
      <c r="B10" s="4816">
        <v>46277</v>
      </c>
      <c r="C10" s="4816">
        <v>46279</v>
      </c>
      <c r="D10" s="4672">
        <f t="shared" si="0"/>
        <v>2</v>
      </c>
      <c r="E10" s="4687">
        <v>46298</v>
      </c>
      <c r="F10" s="4698">
        <f t="shared" si="1"/>
        <v>20</v>
      </c>
      <c r="G10" s="4687">
        <v>46300</v>
      </c>
      <c r="H10" s="4672">
        <f t="shared" si="2"/>
        <v>1</v>
      </c>
      <c r="I10" s="4691" t="s">
        <v>5185</v>
      </c>
      <c r="J10" s="4692">
        <v>10</v>
      </c>
      <c r="K10" s="4693">
        <v>10</v>
      </c>
      <c r="L10" s="4692">
        <v>31050</v>
      </c>
      <c r="M10" s="4692">
        <v>39100</v>
      </c>
      <c r="N10" s="4971">
        <f t="shared" si="3"/>
        <v>391000</v>
      </c>
      <c r="O10" s="4692">
        <v>31050</v>
      </c>
      <c r="P10" s="4678">
        <f t="shared" si="5"/>
        <v>230</v>
      </c>
      <c r="Q10" s="4679">
        <f t="shared" si="4"/>
        <v>8751500</v>
      </c>
      <c r="R10" s="4692">
        <v>26</v>
      </c>
      <c r="S10" s="4680" t="s">
        <v>5742</v>
      </c>
      <c r="T10" s="4694">
        <v>26</v>
      </c>
      <c r="U10" s="4700">
        <v>2</v>
      </c>
      <c r="V10" s="4692">
        <v>110</v>
      </c>
      <c r="W10" s="4680" t="s">
        <v>4521</v>
      </c>
      <c r="X10" s="4695">
        <v>195</v>
      </c>
      <c r="Y10" s="4692">
        <v>2</v>
      </c>
      <c r="Z10" s="4692" t="s">
        <v>5743</v>
      </c>
      <c r="AA10" s="4683" t="s">
        <v>5035</v>
      </c>
      <c r="AB10" s="4692"/>
      <c r="AC10" s="4683" t="s">
        <v>5050</v>
      </c>
      <c r="AD10" s="4692" t="s">
        <v>2814</v>
      </c>
      <c r="AE10" s="4696"/>
      <c r="AF10" s="4685">
        <f t="shared" si="6"/>
        <v>20</v>
      </c>
    </row>
    <row r="11" spans="1:32" ht="33.75" customHeight="1">
      <c r="A11" s="4686">
        <v>4</v>
      </c>
      <c r="B11" s="4816">
        <v>46277</v>
      </c>
      <c r="C11" s="4816">
        <v>46279</v>
      </c>
      <c r="D11" s="4672">
        <f t="shared" si="0"/>
        <v>2</v>
      </c>
      <c r="E11" s="4687">
        <v>46298</v>
      </c>
      <c r="F11" s="4698">
        <f t="shared" si="1"/>
        <v>20</v>
      </c>
      <c r="G11" s="4687">
        <v>46300</v>
      </c>
      <c r="H11" s="4672">
        <f t="shared" si="2"/>
        <v>1</v>
      </c>
      <c r="I11" s="4691" t="s">
        <v>6428</v>
      </c>
      <c r="J11" s="4692">
        <v>22</v>
      </c>
      <c r="K11" s="4693">
        <v>22</v>
      </c>
      <c r="L11" s="4692">
        <v>44850</v>
      </c>
      <c r="M11" s="4692">
        <v>60950</v>
      </c>
      <c r="N11" s="4971">
        <f t="shared" si="3"/>
        <v>1340900</v>
      </c>
      <c r="O11" s="4692">
        <v>44850</v>
      </c>
      <c r="P11" s="4678">
        <f t="shared" si="5"/>
        <v>506</v>
      </c>
      <c r="Q11" s="4679">
        <f t="shared" si="4"/>
        <v>29778100</v>
      </c>
      <c r="R11" s="4692">
        <v>29</v>
      </c>
      <c r="S11" s="4680" t="s">
        <v>5742</v>
      </c>
      <c r="T11" s="4694">
        <v>29</v>
      </c>
      <c r="U11" s="4700">
        <v>2</v>
      </c>
      <c r="V11" s="4692">
        <v>119</v>
      </c>
      <c r="W11" s="4680" t="s">
        <v>4521</v>
      </c>
      <c r="X11" s="4695">
        <v>210</v>
      </c>
      <c r="Y11" s="4692">
        <v>2</v>
      </c>
      <c r="Z11" s="4692" t="s">
        <v>5743</v>
      </c>
      <c r="AA11" s="4683" t="s">
        <v>5035</v>
      </c>
      <c r="AB11" s="4692"/>
      <c r="AC11" s="4683" t="s">
        <v>5050</v>
      </c>
      <c r="AD11" s="4692" t="s">
        <v>2814</v>
      </c>
      <c r="AE11" s="4696"/>
      <c r="AF11" s="4685">
        <f t="shared" si="6"/>
        <v>44</v>
      </c>
    </row>
    <row r="12" spans="1:32" ht="33.75" customHeight="1">
      <c r="A12" s="4686">
        <v>5</v>
      </c>
      <c r="B12" s="4816">
        <v>46277</v>
      </c>
      <c r="C12" s="4816">
        <v>46279</v>
      </c>
      <c r="D12" s="4672">
        <f t="shared" si="0"/>
        <v>2</v>
      </c>
      <c r="E12" s="4687">
        <v>46298</v>
      </c>
      <c r="F12" s="4698">
        <f t="shared" si="1"/>
        <v>20</v>
      </c>
      <c r="G12" s="4687">
        <v>46300</v>
      </c>
      <c r="H12" s="4672">
        <f t="shared" si="2"/>
        <v>1</v>
      </c>
      <c r="I12" s="4691" t="s">
        <v>6429</v>
      </c>
      <c r="J12" s="4692">
        <v>16</v>
      </c>
      <c r="K12" s="4693">
        <v>16</v>
      </c>
      <c r="L12" s="4692">
        <v>40250</v>
      </c>
      <c r="M12" s="4692">
        <v>56350</v>
      </c>
      <c r="N12" s="4971">
        <f t="shared" si="3"/>
        <v>901600</v>
      </c>
      <c r="O12" s="4692">
        <v>40250</v>
      </c>
      <c r="P12" s="4678">
        <f t="shared" si="5"/>
        <v>368</v>
      </c>
      <c r="Q12" s="4679">
        <f t="shared" si="4"/>
        <v>19964000</v>
      </c>
      <c r="R12" s="4692">
        <v>45</v>
      </c>
      <c r="S12" s="4680" t="s">
        <v>5742</v>
      </c>
      <c r="T12" s="4694">
        <v>45</v>
      </c>
      <c r="U12" s="4700">
        <v>4</v>
      </c>
      <c r="V12" s="4692" t="s">
        <v>246</v>
      </c>
      <c r="W12" s="4680" t="s">
        <v>4521</v>
      </c>
      <c r="X12" s="4695" t="s">
        <v>246</v>
      </c>
      <c r="Y12" s="4692">
        <v>0</v>
      </c>
      <c r="Z12" s="4692" t="s">
        <v>5953</v>
      </c>
      <c r="AA12" s="4683" t="s">
        <v>5035</v>
      </c>
      <c r="AB12" s="4692"/>
      <c r="AC12" s="4683" t="s">
        <v>5050</v>
      </c>
      <c r="AD12" s="4692" t="s">
        <v>2814</v>
      </c>
      <c r="AE12" s="4696"/>
      <c r="AF12" s="4685">
        <f t="shared" si="6"/>
        <v>64</v>
      </c>
    </row>
    <row r="13" spans="1:32" ht="33.75" customHeight="1">
      <c r="A13" s="4686">
        <v>6</v>
      </c>
      <c r="B13" s="4816">
        <v>46277</v>
      </c>
      <c r="C13" s="4816">
        <v>46279</v>
      </c>
      <c r="D13" s="4672">
        <f t="shared" si="0"/>
        <v>2</v>
      </c>
      <c r="E13" s="4687">
        <v>46298</v>
      </c>
      <c r="F13" s="4698">
        <f t="shared" si="1"/>
        <v>20</v>
      </c>
      <c r="G13" s="4687">
        <v>46300</v>
      </c>
      <c r="H13" s="4672">
        <f t="shared" si="2"/>
        <v>1</v>
      </c>
      <c r="I13" s="4691" t="s">
        <v>6430</v>
      </c>
      <c r="J13" s="4692">
        <v>9</v>
      </c>
      <c r="K13" s="4693">
        <v>9</v>
      </c>
      <c r="L13" s="4692">
        <v>27600</v>
      </c>
      <c r="M13" s="4692">
        <v>35650</v>
      </c>
      <c r="N13" s="4971">
        <f t="shared" si="3"/>
        <v>320850</v>
      </c>
      <c r="O13" s="4692">
        <v>27600</v>
      </c>
      <c r="P13" s="4678">
        <f t="shared" si="5"/>
        <v>207</v>
      </c>
      <c r="Q13" s="4679">
        <f t="shared" si="4"/>
        <v>7162200</v>
      </c>
      <c r="R13" s="4692">
        <v>45</v>
      </c>
      <c r="S13" s="4680" t="s">
        <v>5742</v>
      </c>
      <c r="T13" s="4694">
        <v>45</v>
      </c>
      <c r="U13" s="4700">
        <v>4</v>
      </c>
      <c r="V13" s="4692" t="s">
        <v>246</v>
      </c>
      <c r="W13" s="4680" t="s">
        <v>4521</v>
      </c>
      <c r="X13" s="4695" t="s">
        <v>246</v>
      </c>
      <c r="Y13" s="4692">
        <v>0</v>
      </c>
      <c r="Z13" s="4692" t="s">
        <v>5953</v>
      </c>
      <c r="AA13" s="4683" t="s">
        <v>5035</v>
      </c>
      <c r="AB13" s="4692"/>
      <c r="AC13" s="4683" t="s">
        <v>5050</v>
      </c>
      <c r="AD13" s="4692" t="s">
        <v>2814</v>
      </c>
      <c r="AE13" s="4696"/>
      <c r="AF13" s="4685">
        <f t="shared" si="6"/>
        <v>36</v>
      </c>
    </row>
    <row r="14" spans="1:32" ht="33.75" customHeight="1">
      <c r="A14" s="4686">
        <v>7</v>
      </c>
      <c r="B14" s="4816">
        <v>46277</v>
      </c>
      <c r="C14" s="4816">
        <v>46279</v>
      </c>
      <c r="D14" s="4672">
        <f t="shared" si="0"/>
        <v>2</v>
      </c>
      <c r="E14" s="4687">
        <v>46298</v>
      </c>
      <c r="F14" s="4698">
        <f t="shared" si="1"/>
        <v>20</v>
      </c>
      <c r="G14" s="4687">
        <v>46300</v>
      </c>
      <c r="H14" s="4672">
        <f t="shared" si="2"/>
        <v>1</v>
      </c>
      <c r="I14" s="4691" t="s">
        <v>5092</v>
      </c>
      <c r="J14" s="4692">
        <v>3</v>
      </c>
      <c r="K14" s="4693">
        <v>3</v>
      </c>
      <c r="L14" s="4692">
        <v>40250</v>
      </c>
      <c r="M14" s="4692">
        <v>48300</v>
      </c>
      <c r="N14" s="4971">
        <f t="shared" si="3"/>
        <v>144900</v>
      </c>
      <c r="O14" s="4692">
        <v>40250</v>
      </c>
      <c r="P14" s="4678">
        <f t="shared" si="5"/>
        <v>69</v>
      </c>
      <c r="Q14" s="4679">
        <f t="shared" si="4"/>
        <v>3260250</v>
      </c>
      <c r="R14" s="4692">
        <v>45</v>
      </c>
      <c r="S14" s="4680" t="s">
        <v>5742</v>
      </c>
      <c r="T14" s="4694">
        <v>45</v>
      </c>
      <c r="U14" s="4700">
        <v>4</v>
      </c>
      <c r="V14" s="4692" t="s">
        <v>246</v>
      </c>
      <c r="W14" s="4680" t="s">
        <v>4521</v>
      </c>
      <c r="X14" s="4695" t="s">
        <v>246</v>
      </c>
      <c r="Y14" s="4692">
        <v>0</v>
      </c>
      <c r="Z14" s="4692" t="s">
        <v>5953</v>
      </c>
      <c r="AA14" s="4683" t="s">
        <v>5035</v>
      </c>
      <c r="AB14" s="4692"/>
      <c r="AC14" s="4683" t="s">
        <v>5050</v>
      </c>
      <c r="AD14" s="4692" t="s">
        <v>2814</v>
      </c>
      <c r="AE14" s="4696"/>
      <c r="AF14" s="4685">
        <f t="shared" si="6"/>
        <v>12</v>
      </c>
    </row>
    <row r="15" spans="1:32" ht="33.75" customHeight="1">
      <c r="A15" s="4686">
        <v>8</v>
      </c>
      <c r="B15" s="4816">
        <v>46277</v>
      </c>
      <c r="C15" s="4816">
        <v>46279</v>
      </c>
      <c r="D15" s="4672">
        <f t="shared" si="0"/>
        <v>2</v>
      </c>
      <c r="E15" s="4687">
        <v>46298</v>
      </c>
      <c r="F15" s="4698">
        <f t="shared" si="1"/>
        <v>20</v>
      </c>
      <c r="G15" s="4687">
        <v>46300</v>
      </c>
      <c r="H15" s="4672">
        <f t="shared" si="2"/>
        <v>1</v>
      </c>
      <c r="I15" s="4691" t="s">
        <v>5182</v>
      </c>
      <c r="J15" s="4692">
        <v>11</v>
      </c>
      <c r="K15" s="4693">
        <v>11</v>
      </c>
      <c r="L15" s="4692">
        <v>31050</v>
      </c>
      <c r="M15" s="4692">
        <v>39100</v>
      </c>
      <c r="N15" s="4971">
        <f t="shared" si="3"/>
        <v>430100</v>
      </c>
      <c r="O15" s="4692">
        <v>31050</v>
      </c>
      <c r="P15" s="4678">
        <f t="shared" si="5"/>
        <v>253</v>
      </c>
      <c r="Q15" s="4679">
        <f t="shared" si="4"/>
        <v>9626650</v>
      </c>
      <c r="R15" s="4692">
        <v>45</v>
      </c>
      <c r="S15" s="4680" t="s">
        <v>5742</v>
      </c>
      <c r="T15" s="4694">
        <v>45</v>
      </c>
      <c r="U15" s="4700">
        <v>4</v>
      </c>
      <c r="V15" s="4692" t="s">
        <v>246</v>
      </c>
      <c r="W15" s="4680" t="s">
        <v>4521</v>
      </c>
      <c r="X15" s="4695" t="s">
        <v>246</v>
      </c>
      <c r="Y15" s="4692">
        <v>0</v>
      </c>
      <c r="Z15" s="4692" t="s">
        <v>5953</v>
      </c>
      <c r="AA15" s="4683" t="s">
        <v>5035</v>
      </c>
      <c r="AB15" s="4692"/>
      <c r="AC15" s="4683" t="s">
        <v>5050</v>
      </c>
      <c r="AD15" s="4692" t="s">
        <v>2814</v>
      </c>
      <c r="AE15" s="4696"/>
      <c r="AF15" s="4685">
        <f t="shared" si="6"/>
        <v>44</v>
      </c>
    </row>
    <row r="16" spans="1:32" ht="33.75" customHeight="1">
      <c r="A16" s="4686">
        <v>9</v>
      </c>
      <c r="B16" s="4816">
        <v>46277</v>
      </c>
      <c r="C16" s="4816">
        <v>46279</v>
      </c>
      <c r="D16" s="4672">
        <f t="shared" si="0"/>
        <v>2</v>
      </c>
      <c r="E16" s="4687">
        <v>46298</v>
      </c>
      <c r="F16" s="4698">
        <f t="shared" si="1"/>
        <v>20</v>
      </c>
      <c r="G16" s="4687">
        <v>46300</v>
      </c>
      <c r="H16" s="4672">
        <f t="shared" si="2"/>
        <v>1</v>
      </c>
      <c r="I16" s="4691" t="s">
        <v>5107</v>
      </c>
      <c r="J16" s="4692">
        <v>2</v>
      </c>
      <c r="K16" s="4693">
        <v>2</v>
      </c>
      <c r="L16" s="4692">
        <v>64400</v>
      </c>
      <c r="M16" s="4692">
        <v>72450</v>
      </c>
      <c r="N16" s="4971">
        <f t="shared" si="3"/>
        <v>144900</v>
      </c>
      <c r="O16" s="4692">
        <v>64400</v>
      </c>
      <c r="P16" s="4678">
        <f t="shared" si="5"/>
        <v>46</v>
      </c>
      <c r="Q16" s="4679">
        <f t="shared" si="4"/>
        <v>3284400</v>
      </c>
      <c r="R16" s="4692">
        <v>30</v>
      </c>
      <c r="S16" s="4680" t="s">
        <v>5742</v>
      </c>
      <c r="T16" s="4694">
        <v>30</v>
      </c>
      <c r="U16" s="4700">
        <v>2</v>
      </c>
      <c r="V16" s="4692" t="s">
        <v>246</v>
      </c>
      <c r="W16" s="4680" t="s">
        <v>4521</v>
      </c>
      <c r="X16" s="4695" t="s">
        <v>246</v>
      </c>
      <c r="Y16" s="4692">
        <v>0</v>
      </c>
      <c r="Z16" s="4692" t="s">
        <v>5743</v>
      </c>
      <c r="AA16" s="4683" t="s">
        <v>5035</v>
      </c>
      <c r="AB16" s="4692"/>
      <c r="AC16" s="4683" t="s">
        <v>5050</v>
      </c>
      <c r="AD16" s="4692" t="s">
        <v>2814</v>
      </c>
      <c r="AE16" s="4696"/>
      <c r="AF16" s="4685">
        <f t="shared" si="6"/>
        <v>4</v>
      </c>
    </row>
    <row r="17" spans="1:32" ht="33.75" customHeight="1">
      <c r="A17" s="4686">
        <v>10</v>
      </c>
      <c r="B17" s="4816">
        <v>46277</v>
      </c>
      <c r="C17" s="4816">
        <v>46279</v>
      </c>
      <c r="D17" s="4672">
        <f t="shared" si="0"/>
        <v>2</v>
      </c>
      <c r="E17" s="4687">
        <v>46298</v>
      </c>
      <c r="F17" s="4698">
        <f t="shared" si="1"/>
        <v>20</v>
      </c>
      <c r="G17" s="4687">
        <v>46300</v>
      </c>
      <c r="H17" s="4672">
        <f t="shared" si="2"/>
        <v>1</v>
      </c>
      <c r="I17" s="4691" t="s">
        <v>4514</v>
      </c>
      <c r="J17" s="4692">
        <v>1</v>
      </c>
      <c r="K17" s="4693">
        <v>1</v>
      </c>
      <c r="L17" s="4692">
        <v>57500</v>
      </c>
      <c r="M17" s="4692">
        <v>65550</v>
      </c>
      <c r="N17" s="4971">
        <f t="shared" si="3"/>
        <v>65550</v>
      </c>
      <c r="O17" s="4692">
        <v>57500</v>
      </c>
      <c r="P17" s="4678">
        <f t="shared" si="5"/>
        <v>23</v>
      </c>
      <c r="Q17" s="4679">
        <f t="shared" si="4"/>
        <v>1483500</v>
      </c>
      <c r="R17" s="4692">
        <v>41</v>
      </c>
      <c r="S17" s="4680" t="s">
        <v>5742</v>
      </c>
      <c r="T17" s="4694">
        <v>41</v>
      </c>
      <c r="U17" s="4700">
        <v>2</v>
      </c>
      <c r="V17" s="4692">
        <v>120</v>
      </c>
      <c r="W17" s="4680" t="s">
        <v>4521</v>
      </c>
      <c r="X17" s="4695">
        <v>195</v>
      </c>
      <c r="Y17" s="4692">
        <v>2</v>
      </c>
      <c r="Z17" s="4692" t="s">
        <v>5743</v>
      </c>
      <c r="AA17" s="4683" t="s">
        <v>5035</v>
      </c>
      <c r="AB17" s="4692"/>
      <c r="AC17" s="4683" t="s">
        <v>5050</v>
      </c>
      <c r="AD17" s="4692" t="s">
        <v>2814</v>
      </c>
      <c r="AE17" s="4696"/>
      <c r="AF17" s="4685">
        <f t="shared" si="6"/>
        <v>2</v>
      </c>
    </row>
    <row r="18" spans="1:32" ht="33.75" customHeight="1">
      <c r="A18" s="4686">
        <v>11</v>
      </c>
      <c r="B18" s="4816">
        <v>46277</v>
      </c>
      <c r="C18" s="4816">
        <v>46279</v>
      </c>
      <c r="D18" s="4672">
        <f t="shared" si="0"/>
        <v>2</v>
      </c>
      <c r="E18" s="4687">
        <v>46298</v>
      </c>
      <c r="F18" s="4698">
        <f t="shared" si="1"/>
        <v>20</v>
      </c>
      <c r="G18" s="4687">
        <v>46300</v>
      </c>
      <c r="H18" s="4672">
        <f t="shared" si="2"/>
        <v>1</v>
      </c>
      <c r="I18" s="4691" t="s">
        <v>5122</v>
      </c>
      <c r="J18" s="4692">
        <v>1</v>
      </c>
      <c r="K18" s="4693">
        <v>1</v>
      </c>
      <c r="L18" s="4692">
        <v>207000</v>
      </c>
      <c r="M18" s="4692">
        <v>215050</v>
      </c>
      <c r="N18" s="4971">
        <f t="shared" si="3"/>
        <v>215050</v>
      </c>
      <c r="O18" s="4692">
        <v>207000</v>
      </c>
      <c r="P18" s="4678">
        <f t="shared" si="5"/>
        <v>23</v>
      </c>
      <c r="Q18" s="4679">
        <f t="shared" si="4"/>
        <v>4922000</v>
      </c>
      <c r="R18" s="4692">
        <v>28</v>
      </c>
      <c r="S18" s="4680" t="s">
        <v>5742</v>
      </c>
      <c r="T18" s="4694">
        <v>28</v>
      </c>
      <c r="U18" s="4700">
        <v>2</v>
      </c>
      <c r="V18" s="4692">
        <v>110</v>
      </c>
      <c r="W18" s="4680" t="s">
        <v>4521</v>
      </c>
      <c r="X18" s="4695">
        <v>195</v>
      </c>
      <c r="Y18" s="4692">
        <v>2</v>
      </c>
      <c r="Z18" s="4692" t="s">
        <v>5743</v>
      </c>
      <c r="AA18" s="4683" t="s">
        <v>5035</v>
      </c>
      <c r="AB18" s="4692"/>
      <c r="AC18" s="4683" t="s">
        <v>5050</v>
      </c>
      <c r="AD18" s="4692" t="s">
        <v>2814</v>
      </c>
      <c r="AE18" s="4696"/>
      <c r="AF18" s="4685">
        <f t="shared" si="6"/>
        <v>2</v>
      </c>
    </row>
    <row r="19" spans="1:32" ht="33.75" customHeight="1">
      <c r="A19" s="4686">
        <v>12</v>
      </c>
      <c r="B19" s="4816">
        <v>46277</v>
      </c>
      <c r="C19" s="4816">
        <v>46279</v>
      </c>
      <c r="D19" s="4672">
        <f t="shared" si="0"/>
        <v>2</v>
      </c>
      <c r="E19" s="4687">
        <v>46298</v>
      </c>
      <c r="F19" s="4698">
        <f t="shared" si="1"/>
        <v>20</v>
      </c>
      <c r="G19" s="4687">
        <v>46300</v>
      </c>
      <c r="H19" s="4672">
        <f t="shared" si="2"/>
        <v>1</v>
      </c>
      <c r="I19" s="4691" t="s">
        <v>5183</v>
      </c>
      <c r="J19" s="4692">
        <v>2</v>
      </c>
      <c r="K19" s="4693">
        <v>2</v>
      </c>
      <c r="L19" s="4692">
        <v>75900</v>
      </c>
      <c r="M19" s="4692">
        <v>92000</v>
      </c>
      <c r="N19" s="4971">
        <f t="shared" si="3"/>
        <v>184000</v>
      </c>
      <c r="O19" s="4692">
        <v>75900</v>
      </c>
      <c r="P19" s="4678">
        <f t="shared" si="5"/>
        <v>46</v>
      </c>
      <c r="Q19" s="4679">
        <f t="shared" si="4"/>
        <v>4135400</v>
      </c>
      <c r="R19" s="4692">
        <v>45</v>
      </c>
      <c r="S19" s="4680" t="s">
        <v>5742</v>
      </c>
      <c r="T19" s="4694">
        <v>45</v>
      </c>
      <c r="U19" s="4700">
        <v>2</v>
      </c>
      <c r="V19" s="4692">
        <v>120</v>
      </c>
      <c r="W19" s="4680" t="s">
        <v>4521</v>
      </c>
      <c r="X19" s="4695">
        <v>195</v>
      </c>
      <c r="Y19" s="4692">
        <v>2</v>
      </c>
      <c r="Z19" s="4692" t="s">
        <v>5953</v>
      </c>
      <c r="AA19" s="4683" t="s">
        <v>5035</v>
      </c>
      <c r="AB19" s="4692"/>
      <c r="AC19" s="4683" t="s">
        <v>5050</v>
      </c>
      <c r="AD19" s="4692" t="s">
        <v>2814</v>
      </c>
      <c r="AE19" s="4696"/>
      <c r="AF19" s="4685">
        <f t="shared" si="6"/>
        <v>4</v>
      </c>
    </row>
    <row r="20" spans="1:32" ht="33.75" customHeight="1">
      <c r="A20" s="4686">
        <v>13</v>
      </c>
      <c r="B20" s="4816">
        <v>46277</v>
      </c>
      <c r="C20" s="4816">
        <v>46279</v>
      </c>
      <c r="D20" s="4672">
        <f t="shared" si="0"/>
        <v>2</v>
      </c>
      <c r="E20" s="4687">
        <v>46298</v>
      </c>
      <c r="F20" s="4698">
        <f t="shared" si="1"/>
        <v>20</v>
      </c>
      <c r="G20" s="4687">
        <v>46300</v>
      </c>
      <c r="H20" s="4672">
        <f t="shared" si="2"/>
        <v>1</v>
      </c>
      <c r="I20" s="4691" t="s">
        <v>6431</v>
      </c>
      <c r="J20" s="4692">
        <v>5</v>
      </c>
      <c r="K20" s="4693">
        <v>5</v>
      </c>
      <c r="L20" s="4692">
        <v>50600</v>
      </c>
      <c r="M20" s="4692">
        <v>66700</v>
      </c>
      <c r="N20" s="4971">
        <f t="shared" si="3"/>
        <v>333500</v>
      </c>
      <c r="O20" s="4692">
        <v>50600</v>
      </c>
      <c r="P20" s="4678">
        <f t="shared" si="5"/>
        <v>115</v>
      </c>
      <c r="Q20" s="4679">
        <f t="shared" si="4"/>
        <v>7429000</v>
      </c>
      <c r="R20" s="4692">
        <v>60</v>
      </c>
      <c r="S20" s="4680" t="s">
        <v>5742</v>
      </c>
      <c r="T20" s="4694">
        <v>60</v>
      </c>
      <c r="U20" s="4700">
        <v>2</v>
      </c>
      <c r="V20" s="4692">
        <v>135</v>
      </c>
      <c r="W20" s="4680" t="s">
        <v>4521</v>
      </c>
      <c r="X20" s="4695">
        <v>210</v>
      </c>
      <c r="Y20" s="4692">
        <v>2</v>
      </c>
      <c r="Z20" s="4692" t="s">
        <v>5953</v>
      </c>
      <c r="AA20" s="4683" t="s">
        <v>5035</v>
      </c>
      <c r="AB20" s="4692"/>
      <c r="AC20" s="4683" t="s">
        <v>5050</v>
      </c>
      <c r="AD20" s="4692" t="s">
        <v>2814</v>
      </c>
      <c r="AE20" s="4696"/>
      <c r="AF20" s="4685">
        <f t="shared" si="6"/>
        <v>10</v>
      </c>
    </row>
    <row r="21" spans="1:32" ht="33.75" customHeight="1">
      <c r="A21" s="4686">
        <v>14</v>
      </c>
      <c r="B21" s="4816">
        <v>46277</v>
      </c>
      <c r="C21" s="4816">
        <v>46279</v>
      </c>
      <c r="D21" s="4672">
        <f t="shared" si="0"/>
        <v>2</v>
      </c>
      <c r="E21" s="4687">
        <v>46298</v>
      </c>
      <c r="F21" s="4698">
        <f t="shared" si="1"/>
        <v>20</v>
      </c>
      <c r="G21" s="4687">
        <v>46300</v>
      </c>
      <c r="H21" s="4672">
        <f t="shared" si="2"/>
        <v>1</v>
      </c>
      <c r="I21" s="4691" t="s">
        <v>5184</v>
      </c>
      <c r="J21" s="4692">
        <v>12</v>
      </c>
      <c r="K21" s="4693">
        <v>12</v>
      </c>
      <c r="L21" s="4692">
        <v>47150</v>
      </c>
      <c r="M21" s="4692">
        <v>63250</v>
      </c>
      <c r="N21" s="4971">
        <f t="shared" si="3"/>
        <v>759000</v>
      </c>
      <c r="O21" s="4692">
        <v>47150</v>
      </c>
      <c r="P21" s="4678">
        <f t="shared" si="5"/>
        <v>276</v>
      </c>
      <c r="Q21" s="4679">
        <f t="shared" si="4"/>
        <v>16877400</v>
      </c>
      <c r="R21" s="4692">
        <v>68</v>
      </c>
      <c r="S21" s="4680" t="s">
        <v>5742</v>
      </c>
      <c r="T21" s="4694">
        <v>68</v>
      </c>
      <c r="U21" s="4700">
        <v>2</v>
      </c>
      <c r="V21" s="4692">
        <v>210</v>
      </c>
      <c r="W21" s="4680" t="s">
        <v>4521</v>
      </c>
      <c r="X21" s="4695">
        <v>130</v>
      </c>
      <c r="Y21" s="4692">
        <v>2</v>
      </c>
      <c r="Z21" s="4692" t="s">
        <v>5953</v>
      </c>
      <c r="AA21" s="4683" t="s">
        <v>5035</v>
      </c>
      <c r="AB21" s="4692"/>
      <c r="AC21" s="4683" t="s">
        <v>5050</v>
      </c>
      <c r="AD21" s="4692" t="s">
        <v>2814</v>
      </c>
      <c r="AE21" s="4696"/>
      <c r="AF21" s="4685">
        <f t="shared" si="6"/>
        <v>24</v>
      </c>
    </row>
    <row r="22" spans="1:32" ht="33.75" customHeight="1">
      <c r="A22" s="4686">
        <v>15</v>
      </c>
      <c r="B22" s="5065"/>
      <c r="C22" s="5065"/>
      <c r="D22" s="4672"/>
      <c r="E22" s="4687"/>
      <c r="F22" s="4698"/>
      <c r="G22" s="4687"/>
      <c r="H22" s="4672"/>
      <c r="I22" s="4691"/>
      <c r="J22" s="4692"/>
      <c r="K22" s="4693"/>
      <c r="L22" s="4692"/>
      <c r="M22" s="4692"/>
      <c r="N22" s="4971">
        <f t="shared" si="3"/>
        <v>0</v>
      </c>
      <c r="O22" s="4692"/>
      <c r="P22" s="4678">
        <f t="shared" si="5"/>
        <v>0</v>
      </c>
      <c r="Q22" s="4679">
        <f t="shared" si="4"/>
        <v>0</v>
      </c>
      <c r="R22" s="4692">
        <v>45</v>
      </c>
      <c r="S22" s="4680" t="s">
        <v>5742</v>
      </c>
      <c r="T22" s="4694">
        <v>45</v>
      </c>
      <c r="U22" s="4700">
        <v>4</v>
      </c>
      <c r="V22" s="4692" t="s">
        <v>2602</v>
      </c>
      <c r="W22" s="4680" t="s">
        <v>2688</v>
      </c>
      <c r="X22" s="4695" t="s">
        <v>2602</v>
      </c>
      <c r="Y22" s="4692">
        <v>0</v>
      </c>
      <c r="Z22" s="4692" t="s">
        <v>5953</v>
      </c>
      <c r="AA22" s="4683" t="s">
        <v>5035</v>
      </c>
      <c r="AB22" s="4692"/>
      <c r="AC22" s="4683" t="s">
        <v>5050</v>
      </c>
      <c r="AD22" s="4692" t="s">
        <v>2814</v>
      </c>
      <c r="AE22" s="4696"/>
      <c r="AF22" s="4685">
        <f t="shared" si="6"/>
        <v>0</v>
      </c>
    </row>
    <row r="23" spans="1:32" ht="33.75" customHeight="1">
      <c r="A23" s="4686">
        <v>16</v>
      </c>
      <c r="B23" s="5065"/>
      <c r="C23" s="5065"/>
      <c r="D23" s="4672"/>
      <c r="E23" s="4687"/>
      <c r="F23" s="4698"/>
      <c r="G23" s="4687"/>
      <c r="H23" s="4672"/>
      <c r="I23" s="4691"/>
      <c r="J23" s="4692"/>
      <c r="K23" s="4693"/>
      <c r="L23" s="4692"/>
      <c r="M23" s="4692"/>
      <c r="N23" s="4971">
        <f t="shared" si="3"/>
        <v>0</v>
      </c>
      <c r="O23" s="4692"/>
      <c r="P23" s="4678">
        <f>SUM(D23,F23,H23)*K23</f>
        <v>0</v>
      </c>
      <c r="Q23" s="4679">
        <f t="shared" si="4"/>
        <v>0</v>
      </c>
      <c r="R23" s="4692">
        <v>68</v>
      </c>
      <c r="S23" s="4680" t="s">
        <v>5742</v>
      </c>
      <c r="T23" s="4694">
        <v>68</v>
      </c>
      <c r="U23" s="4700">
        <v>4</v>
      </c>
      <c r="V23" s="4692" t="s">
        <v>2602</v>
      </c>
      <c r="W23" s="4680" t="s">
        <v>2688</v>
      </c>
      <c r="X23" s="4695" t="s">
        <v>2602</v>
      </c>
      <c r="Y23" s="4692">
        <v>0</v>
      </c>
      <c r="Z23" s="4692" t="s">
        <v>5953</v>
      </c>
      <c r="AA23" s="4683" t="s">
        <v>5035</v>
      </c>
      <c r="AB23" s="4692"/>
      <c r="AC23" s="4683" t="s">
        <v>5050</v>
      </c>
      <c r="AD23" s="4692" t="s">
        <v>2814</v>
      </c>
      <c r="AE23" s="4696"/>
      <c r="AF23" s="4685">
        <f t="shared" si="6"/>
        <v>0</v>
      </c>
    </row>
    <row r="24" spans="1:32" ht="33.75" customHeight="1" thickBot="1">
      <c r="A24" s="4686">
        <v>17</v>
      </c>
      <c r="B24" s="5065"/>
      <c r="C24" s="5065"/>
      <c r="D24" s="4672"/>
      <c r="E24" s="4687"/>
      <c r="F24" s="4698"/>
      <c r="G24" s="4687"/>
      <c r="H24" s="4672"/>
      <c r="I24" s="4691"/>
      <c r="J24" s="4692"/>
      <c r="K24" s="4693"/>
      <c r="L24" s="4692"/>
      <c r="M24" s="4692"/>
      <c r="N24" s="4971">
        <f t="shared" si="3"/>
        <v>0</v>
      </c>
      <c r="O24" s="4692"/>
      <c r="P24" s="4678">
        <f t="shared" si="5"/>
        <v>0</v>
      </c>
      <c r="Q24" s="4679">
        <f t="shared" si="4"/>
        <v>0</v>
      </c>
      <c r="R24" s="4692">
        <v>45</v>
      </c>
      <c r="S24" s="4680" t="s">
        <v>5742</v>
      </c>
      <c r="T24" s="4694">
        <v>45</v>
      </c>
      <c r="U24" s="4700">
        <v>4</v>
      </c>
      <c r="V24" s="4692" t="s">
        <v>2602</v>
      </c>
      <c r="W24" s="4680" t="s">
        <v>2688</v>
      </c>
      <c r="X24" s="4695" t="s">
        <v>2602</v>
      </c>
      <c r="Y24" s="4692">
        <v>0</v>
      </c>
      <c r="Z24" s="4692" t="s">
        <v>5953</v>
      </c>
      <c r="AA24" s="4683" t="s">
        <v>5035</v>
      </c>
      <c r="AB24" s="4692"/>
      <c r="AC24" s="4683" t="s">
        <v>5050</v>
      </c>
      <c r="AD24" s="4692" t="s">
        <v>2814</v>
      </c>
      <c r="AE24" s="4696"/>
      <c r="AF24" s="4685">
        <f t="shared" si="6"/>
        <v>0</v>
      </c>
    </row>
    <row r="25" spans="1:32" ht="33.75" customHeight="1" thickTop="1" thickBot="1">
      <c r="A25" s="4701"/>
      <c r="B25" s="4702"/>
      <c r="C25" s="4702"/>
      <c r="D25" s="4702"/>
      <c r="E25" s="4702"/>
      <c r="F25" s="4703"/>
      <c r="G25" s="4704"/>
      <c r="H25" s="4702"/>
      <c r="I25" s="4705" t="s">
        <v>2432</v>
      </c>
      <c r="J25" s="4706">
        <f>SUM(J8:J24)</f>
        <v>137</v>
      </c>
      <c r="K25" s="4707">
        <f>SUM(K8:K24)</f>
        <v>137</v>
      </c>
      <c r="L25" s="4703"/>
      <c r="M25" s="4703"/>
      <c r="N25" s="4703"/>
      <c r="O25" s="4703"/>
      <c r="P25" s="4706">
        <f>SUM(P8:P24)</f>
        <v>3151</v>
      </c>
      <c r="Q25" s="4706">
        <f>SUM(Q8:Q24)</f>
        <v>149301050</v>
      </c>
      <c r="R25" s="6863"/>
      <c r="S25" s="6864"/>
      <c r="T25" s="6865"/>
      <c r="U25" s="4708"/>
      <c r="V25" s="6863"/>
      <c r="W25" s="6864"/>
      <c r="X25" s="6864"/>
      <c r="Y25" s="4708"/>
      <c r="Z25" s="4708"/>
      <c r="AA25" s="6866"/>
      <c r="AB25" s="6867"/>
      <c r="AC25" s="6866"/>
      <c r="AD25" s="6867"/>
      <c r="AE25" s="4709"/>
      <c r="AF25" s="4685">
        <f>SUM(AF8:AF24)</f>
        <v>347</v>
      </c>
    </row>
    <row r="26" spans="1:32" ht="33.75" customHeight="1" thickBot="1">
      <c r="C26" s="4710"/>
      <c r="D26" s="4710"/>
      <c r="E26" s="4710"/>
      <c r="F26" s="4710"/>
      <c r="G26" s="4710"/>
      <c r="H26" s="4710"/>
      <c r="I26" s="4711"/>
      <c r="J26" s="4712"/>
      <c r="K26" s="4710"/>
      <c r="L26" s="4713" t="s">
        <v>5748</v>
      </c>
      <c r="M26" s="4714">
        <f>SUM(N7:N24)</f>
        <v>6692425</v>
      </c>
      <c r="N26" s="4715"/>
      <c r="O26" s="4715"/>
      <c r="P26" s="4715"/>
      <c r="S26" s="4656"/>
      <c r="W26" s="4656"/>
    </row>
    <row r="27" spans="1:32" ht="33.75" customHeight="1">
      <c r="A27" s="6845" t="s">
        <v>5749</v>
      </c>
      <c r="B27" s="6846"/>
      <c r="C27" s="4716">
        <f>P25</f>
        <v>3151</v>
      </c>
      <c r="D27" s="4717"/>
      <c r="F27" s="4718"/>
      <c r="H27" s="4719"/>
      <c r="I27" s="4720"/>
      <c r="K27" s="4659"/>
      <c r="L27" s="4721" t="s">
        <v>5750</v>
      </c>
      <c r="M27" s="4722">
        <f>M26*1.1</f>
        <v>7361667.5000000009</v>
      </c>
      <c r="P27" s="4656"/>
    </row>
    <row r="28" spans="1:32" ht="33.75" customHeight="1">
      <c r="A28" s="6847" t="s">
        <v>5883</v>
      </c>
      <c r="B28" s="6848"/>
      <c r="C28" s="4723">
        <f>Q25</f>
        <v>149301050</v>
      </c>
      <c r="D28" s="4717"/>
      <c r="F28" s="4724"/>
      <c r="H28" s="4719"/>
      <c r="I28" s="4720"/>
      <c r="K28" s="4659"/>
      <c r="L28" s="5588"/>
      <c r="P28" s="4656"/>
    </row>
    <row r="29" spans="1:32" ht="33.75" customHeight="1" thickBot="1">
      <c r="A29" s="6913" t="s">
        <v>5751</v>
      </c>
      <c r="B29" s="6914"/>
      <c r="C29" s="4987">
        <f>ROUNDDOWN(C28*1.1,0)</f>
        <v>164231155</v>
      </c>
      <c r="D29" s="4719"/>
      <c r="F29" s="4724"/>
      <c r="H29" s="4719"/>
      <c r="I29" s="4720"/>
      <c r="K29" s="4659"/>
      <c r="P29" s="4656"/>
    </row>
    <row r="30" spans="1:32" ht="32.15" customHeight="1">
      <c r="A30" s="4726"/>
      <c r="B30" s="4726"/>
      <c r="C30" s="4726"/>
      <c r="D30" s="4726"/>
      <c r="E30" s="4726"/>
      <c r="F30" s="4726"/>
      <c r="G30" s="4726"/>
      <c r="H30" s="4726"/>
      <c r="I30" s="4727"/>
    </row>
    <row r="31" spans="1:32" ht="33.75" customHeight="1">
      <c r="A31" s="4940"/>
      <c r="B31" s="4940"/>
      <c r="C31" s="5402"/>
      <c r="D31" s="4719"/>
      <c r="F31" s="4724"/>
      <c r="H31" s="4719"/>
      <c r="I31" s="4720"/>
      <c r="K31" s="4659"/>
      <c r="P31" s="4656"/>
    </row>
    <row r="32" spans="1:32" ht="33.75" customHeight="1" thickBot="1">
      <c r="A32" s="4665" t="s">
        <v>6432</v>
      </c>
      <c r="B32" s="4665"/>
      <c r="S32" s="4656"/>
      <c r="W32" s="4656"/>
      <c r="Z32" s="4656"/>
      <c r="AA32" s="4656"/>
      <c r="AB32" s="4656"/>
      <c r="AC32" s="4656"/>
      <c r="AD32" s="4656"/>
      <c r="AF32" s="4656" t="s">
        <v>5712</v>
      </c>
    </row>
    <row r="33" spans="1:32" s="4666" customFormat="1" ht="33.75" customHeight="1">
      <c r="A33" s="6877" t="s">
        <v>5713</v>
      </c>
      <c r="B33" s="6879" t="s">
        <v>5714</v>
      </c>
      <c r="C33" s="6855" t="s">
        <v>5715</v>
      </c>
      <c r="D33" s="6855" t="s">
        <v>5716</v>
      </c>
      <c r="E33" s="6855" t="s">
        <v>5717</v>
      </c>
      <c r="F33" s="6868" t="s">
        <v>5718</v>
      </c>
      <c r="G33" s="6855" t="s">
        <v>5719</v>
      </c>
      <c r="H33" s="6855" t="s">
        <v>5720</v>
      </c>
      <c r="I33" s="6857" t="s">
        <v>5721</v>
      </c>
      <c r="J33" s="6851" t="s">
        <v>5722</v>
      </c>
      <c r="K33" s="6851" t="s">
        <v>5723</v>
      </c>
      <c r="L33" s="6855" t="s">
        <v>5796</v>
      </c>
      <c r="M33" s="6855" t="s">
        <v>5797</v>
      </c>
      <c r="N33" s="4967" t="s">
        <v>5726</v>
      </c>
      <c r="O33" s="6855" t="s">
        <v>5798</v>
      </c>
      <c r="P33" s="6851" t="s">
        <v>3766</v>
      </c>
      <c r="Q33" s="6853"/>
      <c r="R33" s="6868" t="s">
        <v>5728</v>
      </c>
      <c r="S33" s="6869"/>
      <c r="T33" s="6870"/>
      <c r="U33" s="6855" t="s">
        <v>5729</v>
      </c>
      <c r="V33" s="6869" t="s">
        <v>5730</v>
      </c>
      <c r="W33" s="6869"/>
      <c r="X33" s="6869"/>
      <c r="Y33" s="6868" t="s">
        <v>5731</v>
      </c>
      <c r="Z33" s="6851" t="s">
        <v>5732</v>
      </c>
      <c r="AA33" s="6851" t="s">
        <v>5733</v>
      </c>
      <c r="AB33" s="6853"/>
      <c r="AC33" s="6853"/>
      <c r="AD33" s="6853"/>
      <c r="AE33" s="6860" t="s">
        <v>2792</v>
      </c>
      <c r="AF33" s="6862" t="s">
        <v>5734</v>
      </c>
    </row>
    <row r="34" spans="1:32" s="4666" customFormat="1" ht="20">
      <c r="A34" s="6878"/>
      <c r="B34" s="6880"/>
      <c r="C34" s="6858"/>
      <c r="D34" s="6856"/>
      <c r="E34" s="6856"/>
      <c r="F34" s="6881"/>
      <c r="G34" s="6856"/>
      <c r="H34" s="6856"/>
      <c r="I34" s="6858"/>
      <c r="J34" s="6859"/>
      <c r="K34" s="6859"/>
      <c r="L34" s="6856"/>
      <c r="M34" s="6856"/>
      <c r="N34" s="4968"/>
      <c r="O34" s="6856"/>
      <c r="P34" s="4667" t="s">
        <v>5735</v>
      </c>
      <c r="Q34" s="4668" t="s">
        <v>5736</v>
      </c>
      <c r="R34" s="6871"/>
      <c r="S34" s="6872"/>
      <c r="T34" s="6873"/>
      <c r="U34" s="6856"/>
      <c r="V34" s="6872"/>
      <c r="W34" s="6872"/>
      <c r="X34" s="6872"/>
      <c r="Y34" s="6852"/>
      <c r="Z34" s="6852"/>
      <c r="AA34" s="6852"/>
      <c r="AB34" s="6854"/>
      <c r="AC34" s="6854"/>
      <c r="AD34" s="6854"/>
      <c r="AE34" s="6861"/>
      <c r="AF34" s="6862"/>
    </row>
    <row r="35" spans="1:32" ht="33.75" customHeight="1">
      <c r="A35" s="4669" t="s">
        <v>5737</v>
      </c>
      <c r="B35" s="4826">
        <v>46305</v>
      </c>
      <c r="C35" s="4827">
        <v>46307</v>
      </c>
      <c r="D35" s="4672">
        <f>IF(_xlfn.DAYS(C35,B35)=0,"1",_xlfn.DAYS(C35,B35))</f>
        <v>2</v>
      </c>
      <c r="E35" s="4827">
        <v>46319</v>
      </c>
      <c r="F35" s="4672">
        <f t="shared" ref="F35:F49" si="7">IF(_xlfn.DAYS(E35,C35)=0,"1",_xlfn.DAYS(E35,C35))+1</f>
        <v>13</v>
      </c>
      <c r="G35" s="4827">
        <v>46321</v>
      </c>
      <c r="H35" s="4672">
        <f>IF(_xlfn.DAYS(G35,E35)=0,"1",_xlfn.DAYS(G35,E35))-1</f>
        <v>1</v>
      </c>
      <c r="I35" s="4674" t="s">
        <v>5738</v>
      </c>
      <c r="J35" s="4677">
        <v>100</v>
      </c>
      <c r="K35" s="4676">
        <v>90</v>
      </c>
      <c r="L35" s="4677">
        <v>9000</v>
      </c>
      <c r="M35" s="4677">
        <v>10000</v>
      </c>
      <c r="N35" s="4971"/>
      <c r="O35" s="4677">
        <v>8000</v>
      </c>
      <c r="P35" s="4678">
        <f>SUM(D35,F35,H35)*K35</f>
        <v>1440</v>
      </c>
      <c r="Q35" s="4677">
        <f>(D35*L35+F35*M35+H35*O35)*K35</f>
        <v>14040000</v>
      </c>
      <c r="R35" s="4682">
        <v>21</v>
      </c>
      <c r="S35" s="4680" t="s">
        <v>5739</v>
      </c>
      <c r="T35" s="4682">
        <v>21</v>
      </c>
      <c r="U35" s="4815">
        <v>1</v>
      </c>
      <c r="V35" s="4675">
        <v>154</v>
      </c>
      <c r="W35" s="4680" t="s">
        <v>4521</v>
      </c>
      <c r="X35" s="4682">
        <v>203</v>
      </c>
      <c r="Y35" s="4675">
        <v>1</v>
      </c>
      <c r="Z35" s="4675" t="s">
        <v>5740</v>
      </c>
      <c r="AA35" s="4683" t="s">
        <v>5035</v>
      </c>
      <c r="AB35" s="4675" t="s">
        <v>2830</v>
      </c>
      <c r="AC35" s="4683" t="s">
        <v>5050</v>
      </c>
      <c r="AD35" s="4675" t="s">
        <v>5741</v>
      </c>
      <c r="AE35" s="4684"/>
      <c r="AF35" s="4685"/>
    </row>
    <row r="36" spans="1:32" ht="33.75" customHeight="1">
      <c r="A36" s="4828">
        <v>1</v>
      </c>
      <c r="B36" s="4829">
        <v>46304</v>
      </c>
      <c r="C36" s="4829">
        <v>46306</v>
      </c>
      <c r="D36" s="4672">
        <f t="shared" ref="D36:D49" si="8">IF(_xlfn.DAYS(C36,B36)=0,"1",_xlfn.DAYS(C36,B36))</f>
        <v>2</v>
      </c>
      <c r="E36" s="4829">
        <v>46320</v>
      </c>
      <c r="F36" s="4830">
        <f t="shared" si="7"/>
        <v>15</v>
      </c>
      <c r="G36" s="4699">
        <v>46322</v>
      </c>
      <c r="H36" s="4672">
        <f>IF(_xlfn.DAYS(G36,E36)=0,"1",_xlfn.DAYS(G36,E36))-1</f>
        <v>1</v>
      </c>
      <c r="I36" s="4831" t="s">
        <v>4500</v>
      </c>
      <c r="J36" s="4834">
        <v>5</v>
      </c>
      <c r="K36" s="4835">
        <v>5</v>
      </c>
      <c r="L36" s="4692">
        <v>17250</v>
      </c>
      <c r="M36" s="4692">
        <v>21275</v>
      </c>
      <c r="N36" s="4971">
        <f t="shared" ref="N36:N50" si="9">M36*K36</f>
        <v>106375</v>
      </c>
      <c r="O36" s="4692">
        <v>17250</v>
      </c>
      <c r="P36" s="4678">
        <f t="shared" ref="P36:P49" si="10">SUM(D36,F36,H36)*K36</f>
        <v>90</v>
      </c>
      <c r="Q36" s="4677">
        <f t="shared" ref="Q36:Q50" si="11">(D36*L36+F36*M36+H36*O36)*K36</f>
        <v>1854375</v>
      </c>
      <c r="R36" s="4836">
        <v>22</v>
      </c>
      <c r="S36" s="4837" t="s">
        <v>5742</v>
      </c>
      <c r="T36" s="4836">
        <v>22</v>
      </c>
      <c r="U36" s="4838">
        <v>1</v>
      </c>
      <c r="V36" s="4834">
        <v>138</v>
      </c>
      <c r="W36" s="4837" t="s">
        <v>2688</v>
      </c>
      <c r="X36" s="4836">
        <v>195</v>
      </c>
      <c r="Y36" s="4834">
        <v>1</v>
      </c>
      <c r="Z36" s="4834" t="s">
        <v>5743</v>
      </c>
      <c r="AA36" s="4839" t="s">
        <v>5035</v>
      </c>
      <c r="AB36" s="4834"/>
      <c r="AC36" s="4839" t="s">
        <v>5050</v>
      </c>
      <c r="AD36" s="4834" t="s">
        <v>2814</v>
      </c>
      <c r="AE36" s="4832"/>
      <c r="AF36" s="4685">
        <f t="shared" ref="AF36:AF50" si="12">U36*K36</f>
        <v>5</v>
      </c>
    </row>
    <row r="37" spans="1:32" ht="33.75" customHeight="1">
      <c r="A37" s="4828">
        <v>2</v>
      </c>
      <c r="B37" s="4829">
        <v>46304</v>
      </c>
      <c r="C37" s="4829">
        <v>46306</v>
      </c>
      <c r="D37" s="4672">
        <f t="shared" si="8"/>
        <v>2</v>
      </c>
      <c r="E37" s="4829">
        <v>46320</v>
      </c>
      <c r="F37" s="4830">
        <f>IF(_xlfn.DAYS(E37,C37)=0,"1",_xlfn.DAYS(E37,C37))+1</f>
        <v>15</v>
      </c>
      <c r="G37" s="4699">
        <v>46322</v>
      </c>
      <c r="H37" s="4672">
        <f t="shared" ref="H37:H50" si="13">IF(_xlfn.DAYS(G37,E37)=0,"1",_xlfn.DAYS(G37,E37))-1</f>
        <v>1</v>
      </c>
      <c r="I37" s="4831" t="s">
        <v>5181</v>
      </c>
      <c r="J37" s="4834">
        <v>38</v>
      </c>
      <c r="K37" s="4835">
        <v>31</v>
      </c>
      <c r="L37" s="4692">
        <v>27600</v>
      </c>
      <c r="M37" s="4692">
        <v>35650</v>
      </c>
      <c r="N37" s="4971">
        <f t="shared" si="9"/>
        <v>1105150</v>
      </c>
      <c r="O37" s="4692">
        <v>27600</v>
      </c>
      <c r="P37" s="4678">
        <f t="shared" si="10"/>
        <v>558</v>
      </c>
      <c r="Q37" s="4677">
        <f t="shared" si="11"/>
        <v>19144050</v>
      </c>
      <c r="R37" s="4836">
        <v>26</v>
      </c>
      <c r="S37" s="4837" t="s">
        <v>5742</v>
      </c>
      <c r="T37" s="4836">
        <v>26</v>
      </c>
      <c r="U37" s="4838">
        <v>2</v>
      </c>
      <c r="V37" s="4834">
        <v>110</v>
      </c>
      <c r="W37" s="4837" t="s">
        <v>2688</v>
      </c>
      <c r="X37" s="4836">
        <v>195</v>
      </c>
      <c r="Y37" s="4834">
        <v>2</v>
      </c>
      <c r="Z37" s="4834" t="s">
        <v>5743</v>
      </c>
      <c r="AA37" s="4839" t="s">
        <v>5035</v>
      </c>
      <c r="AB37" s="4834"/>
      <c r="AC37" s="4839" t="s">
        <v>5050</v>
      </c>
      <c r="AD37" s="4834" t="s">
        <v>2814</v>
      </c>
      <c r="AE37" s="4832"/>
      <c r="AF37" s="4685">
        <f t="shared" si="12"/>
        <v>62</v>
      </c>
    </row>
    <row r="38" spans="1:32" ht="33.75" customHeight="1">
      <c r="A38" s="4828">
        <v>3</v>
      </c>
      <c r="B38" s="4829">
        <v>46304</v>
      </c>
      <c r="C38" s="4829">
        <v>46306</v>
      </c>
      <c r="D38" s="4672">
        <f t="shared" si="8"/>
        <v>2</v>
      </c>
      <c r="E38" s="4829">
        <v>46320</v>
      </c>
      <c r="F38" s="4830">
        <f t="shared" ref="F38:F40" si="14">IF(_xlfn.DAYS(E38,C38)=0,"1",_xlfn.DAYS(E38,C38))+1</f>
        <v>15</v>
      </c>
      <c r="G38" s="4699">
        <v>46322</v>
      </c>
      <c r="H38" s="4672">
        <f t="shared" si="13"/>
        <v>1</v>
      </c>
      <c r="I38" s="4831" t="s">
        <v>5185</v>
      </c>
      <c r="J38" s="4834">
        <v>10</v>
      </c>
      <c r="K38" s="4835">
        <v>0</v>
      </c>
      <c r="L38" s="4692"/>
      <c r="M38" s="4692"/>
      <c r="N38" s="4971">
        <f t="shared" si="9"/>
        <v>0</v>
      </c>
      <c r="O38" s="4692"/>
      <c r="P38" s="4678">
        <f t="shared" si="10"/>
        <v>0</v>
      </c>
      <c r="Q38" s="4677">
        <f t="shared" si="11"/>
        <v>0</v>
      </c>
      <c r="R38" s="4836">
        <v>29</v>
      </c>
      <c r="S38" s="4837" t="s">
        <v>5742</v>
      </c>
      <c r="T38" s="4836">
        <v>29</v>
      </c>
      <c r="U38" s="4838">
        <v>2</v>
      </c>
      <c r="V38" s="4834">
        <v>119</v>
      </c>
      <c r="W38" s="4837" t="s">
        <v>2688</v>
      </c>
      <c r="X38" s="4836">
        <v>210</v>
      </c>
      <c r="Y38" s="4834">
        <v>2</v>
      </c>
      <c r="Z38" s="4834" t="s">
        <v>5743</v>
      </c>
      <c r="AA38" s="4839" t="s">
        <v>5035</v>
      </c>
      <c r="AB38" s="4834"/>
      <c r="AC38" s="4839" t="s">
        <v>5050</v>
      </c>
      <c r="AD38" s="4834" t="s">
        <v>2814</v>
      </c>
      <c r="AE38" s="4832"/>
      <c r="AF38" s="4685">
        <f t="shared" si="12"/>
        <v>0</v>
      </c>
    </row>
    <row r="39" spans="1:32" ht="33.75" customHeight="1">
      <c r="A39" s="4828">
        <v>4</v>
      </c>
      <c r="B39" s="4829">
        <v>46304</v>
      </c>
      <c r="C39" s="4829">
        <v>46306</v>
      </c>
      <c r="D39" s="4672">
        <f t="shared" si="8"/>
        <v>2</v>
      </c>
      <c r="E39" s="4829">
        <v>46320</v>
      </c>
      <c r="F39" s="4830">
        <f t="shared" si="14"/>
        <v>15</v>
      </c>
      <c r="G39" s="4699">
        <v>46322</v>
      </c>
      <c r="H39" s="4672">
        <f t="shared" si="13"/>
        <v>1</v>
      </c>
      <c r="I39" s="4831" t="s">
        <v>5139</v>
      </c>
      <c r="J39" s="4834">
        <v>22</v>
      </c>
      <c r="K39" s="4835">
        <v>0</v>
      </c>
      <c r="L39" s="4692"/>
      <c r="M39" s="4692"/>
      <c r="N39" s="4971">
        <f t="shared" si="9"/>
        <v>0</v>
      </c>
      <c r="O39" s="4692"/>
      <c r="P39" s="4678">
        <f t="shared" si="10"/>
        <v>0</v>
      </c>
      <c r="Q39" s="4677">
        <f t="shared" si="11"/>
        <v>0</v>
      </c>
      <c r="R39" s="4836">
        <v>45</v>
      </c>
      <c r="S39" s="4837" t="s">
        <v>5742</v>
      </c>
      <c r="T39" s="4836">
        <v>45</v>
      </c>
      <c r="U39" s="4838">
        <v>4</v>
      </c>
      <c r="V39" s="4834" t="s">
        <v>2602</v>
      </c>
      <c r="W39" s="4837" t="s">
        <v>2688</v>
      </c>
      <c r="X39" s="4836" t="s">
        <v>2602</v>
      </c>
      <c r="Y39" s="4834">
        <v>0</v>
      </c>
      <c r="Z39" s="4834" t="s">
        <v>5953</v>
      </c>
      <c r="AA39" s="4839" t="s">
        <v>5035</v>
      </c>
      <c r="AB39" s="4834"/>
      <c r="AC39" s="4839" t="s">
        <v>5050</v>
      </c>
      <c r="AD39" s="4834" t="s">
        <v>2814</v>
      </c>
      <c r="AE39" s="4832"/>
      <c r="AF39" s="4685">
        <f t="shared" si="12"/>
        <v>0</v>
      </c>
    </row>
    <row r="40" spans="1:32" ht="33.75" customHeight="1">
      <c r="A40" s="4828">
        <v>5</v>
      </c>
      <c r="B40" s="4829">
        <v>46304</v>
      </c>
      <c r="C40" s="4829">
        <v>46306</v>
      </c>
      <c r="D40" s="4672">
        <f t="shared" si="8"/>
        <v>2</v>
      </c>
      <c r="E40" s="4829">
        <v>46320</v>
      </c>
      <c r="F40" s="4830">
        <f t="shared" si="14"/>
        <v>15</v>
      </c>
      <c r="G40" s="4699">
        <v>46322</v>
      </c>
      <c r="H40" s="4672">
        <f t="shared" si="13"/>
        <v>1</v>
      </c>
      <c r="I40" s="4831" t="s">
        <v>6429</v>
      </c>
      <c r="J40" s="4834">
        <v>16</v>
      </c>
      <c r="K40" s="4835">
        <v>0</v>
      </c>
      <c r="L40" s="4692"/>
      <c r="M40" s="4692"/>
      <c r="N40" s="4971">
        <f t="shared" si="9"/>
        <v>0</v>
      </c>
      <c r="O40" s="4692"/>
      <c r="P40" s="4678">
        <f t="shared" si="10"/>
        <v>0</v>
      </c>
      <c r="Q40" s="4677">
        <f t="shared" si="11"/>
        <v>0</v>
      </c>
      <c r="R40" s="4836">
        <v>45</v>
      </c>
      <c r="S40" s="4837" t="s">
        <v>5742</v>
      </c>
      <c r="T40" s="4836">
        <v>45</v>
      </c>
      <c r="U40" s="4838">
        <v>4</v>
      </c>
      <c r="V40" s="4834" t="s">
        <v>2602</v>
      </c>
      <c r="W40" s="4837" t="s">
        <v>2688</v>
      </c>
      <c r="X40" s="4836" t="s">
        <v>2602</v>
      </c>
      <c r="Y40" s="4834">
        <v>0</v>
      </c>
      <c r="Z40" s="4834" t="s">
        <v>5953</v>
      </c>
      <c r="AA40" s="4839" t="s">
        <v>5035</v>
      </c>
      <c r="AB40" s="4834"/>
      <c r="AC40" s="4839" t="s">
        <v>5050</v>
      </c>
      <c r="AD40" s="4834" t="s">
        <v>2814</v>
      </c>
      <c r="AE40" s="4832"/>
      <c r="AF40" s="4685">
        <f t="shared" si="12"/>
        <v>0</v>
      </c>
    </row>
    <row r="41" spans="1:32" ht="33.75" customHeight="1">
      <c r="A41" s="4828">
        <v>6</v>
      </c>
      <c r="B41" s="4829">
        <v>46304</v>
      </c>
      <c r="C41" s="4829">
        <v>46306</v>
      </c>
      <c r="D41" s="4672">
        <f t="shared" si="8"/>
        <v>2</v>
      </c>
      <c r="E41" s="4829">
        <v>46320</v>
      </c>
      <c r="F41" s="4830">
        <f>IF(_xlfn.DAYS(E41,C41)=0,"1",_xlfn.DAYS(E41,C41))+1</f>
        <v>15</v>
      </c>
      <c r="G41" s="4699">
        <v>46322</v>
      </c>
      <c r="H41" s="4672">
        <f t="shared" si="13"/>
        <v>1</v>
      </c>
      <c r="I41" s="4831" t="s">
        <v>6430</v>
      </c>
      <c r="J41" s="4834">
        <v>10</v>
      </c>
      <c r="K41" s="4835">
        <v>6</v>
      </c>
      <c r="L41" s="4692">
        <v>27600</v>
      </c>
      <c r="M41" s="4692">
        <v>35650</v>
      </c>
      <c r="N41" s="4971">
        <f t="shared" si="9"/>
        <v>213900</v>
      </c>
      <c r="O41" s="4692">
        <v>27600</v>
      </c>
      <c r="P41" s="4678">
        <f t="shared" si="10"/>
        <v>108</v>
      </c>
      <c r="Q41" s="4677">
        <f t="shared" si="11"/>
        <v>3705300</v>
      </c>
      <c r="R41" s="4836">
        <v>30</v>
      </c>
      <c r="S41" s="4837" t="s">
        <v>5742</v>
      </c>
      <c r="T41" s="4836">
        <v>30</v>
      </c>
      <c r="U41" s="4838">
        <v>2</v>
      </c>
      <c r="V41" s="4834" t="s">
        <v>2602</v>
      </c>
      <c r="W41" s="4837" t="s">
        <v>2688</v>
      </c>
      <c r="X41" s="4836" t="s">
        <v>2602</v>
      </c>
      <c r="Y41" s="4834">
        <v>0</v>
      </c>
      <c r="Z41" s="4834" t="s">
        <v>5743</v>
      </c>
      <c r="AA41" s="4839" t="s">
        <v>5035</v>
      </c>
      <c r="AB41" s="4834"/>
      <c r="AC41" s="4839" t="s">
        <v>5050</v>
      </c>
      <c r="AD41" s="4834" t="s">
        <v>2814</v>
      </c>
      <c r="AE41" s="4832"/>
      <c r="AF41" s="4685">
        <f t="shared" si="12"/>
        <v>12</v>
      </c>
    </row>
    <row r="42" spans="1:32" ht="33.75" customHeight="1">
      <c r="A42" s="4828">
        <v>7</v>
      </c>
      <c r="B42" s="4829">
        <v>46304</v>
      </c>
      <c r="C42" s="4829">
        <v>46306</v>
      </c>
      <c r="D42" s="4672">
        <f t="shared" si="8"/>
        <v>2</v>
      </c>
      <c r="E42" s="4829">
        <v>46320</v>
      </c>
      <c r="F42" s="4830">
        <f t="shared" si="7"/>
        <v>15</v>
      </c>
      <c r="G42" s="4699">
        <v>46322</v>
      </c>
      <c r="H42" s="4672">
        <f t="shared" si="13"/>
        <v>1</v>
      </c>
      <c r="I42" s="4831" t="s">
        <v>5092</v>
      </c>
      <c r="J42" s="4834">
        <v>3</v>
      </c>
      <c r="K42" s="4835">
        <v>3</v>
      </c>
      <c r="L42" s="4692">
        <v>40250</v>
      </c>
      <c r="M42" s="4692">
        <v>48300</v>
      </c>
      <c r="N42" s="4971">
        <f t="shared" si="9"/>
        <v>144900</v>
      </c>
      <c r="O42" s="4692">
        <v>40250</v>
      </c>
      <c r="P42" s="4678">
        <f t="shared" si="10"/>
        <v>54</v>
      </c>
      <c r="Q42" s="4677">
        <f t="shared" si="11"/>
        <v>2535750</v>
      </c>
      <c r="R42" s="4836">
        <v>41</v>
      </c>
      <c r="S42" s="4837" t="s">
        <v>5742</v>
      </c>
      <c r="T42" s="4836">
        <v>41</v>
      </c>
      <c r="U42" s="4838">
        <v>2</v>
      </c>
      <c r="V42" s="4834">
        <v>120</v>
      </c>
      <c r="W42" s="4837" t="s">
        <v>2688</v>
      </c>
      <c r="X42" s="4836">
        <v>195</v>
      </c>
      <c r="Y42" s="4834">
        <v>2</v>
      </c>
      <c r="Z42" s="4834" t="s">
        <v>5743</v>
      </c>
      <c r="AA42" s="4839" t="s">
        <v>5035</v>
      </c>
      <c r="AB42" s="4834"/>
      <c r="AC42" s="4839" t="s">
        <v>5050</v>
      </c>
      <c r="AD42" s="4834" t="s">
        <v>2814</v>
      </c>
      <c r="AE42" s="4832"/>
      <c r="AF42" s="4685">
        <f t="shared" si="12"/>
        <v>6</v>
      </c>
    </row>
    <row r="43" spans="1:32" ht="33.75" customHeight="1">
      <c r="A43" s="4828">
        <v>8</v>
      </c>
      <c r="B43" s="4829">
        <v>46304</v>
      </c>
      <c r="C43" s="4829">
        <v>46306</v>
      </c>
      <c r="D43" s="4672">
        <f t="shared" si="8"/>
        <v>2</v>
      </c>
      <c r="E43" s="4829">
        <v>46320</v>
      </c>
      <c r="F43" s="4830">
        <f t="shared" si="7"/>
        <v>15</v>
      </c>
      <c r="G43" s="4699">
        <v>46322</v>
      </c>
      <c r="H43" s="4672">
        <f t="shared" si="13"/>
        <v>1</v>
      </c>
      <c r="I43" s="4831" t="s">
        <v>5182</v>
      </c>
      <c r="J43" s="4834">
        <v>11</v>
      </c>
      <c r="K43" s="4835">
        <v>11</v>
      </c>
      <c r="L43" s="4692">
        <v>31050</v>
      </c>
      <c r="M43" s="4692">
        <v>39100</v>
      </c>
      <c r="N43" s="4971">
        <f t="shared" si="9"/>
        <v>430100</v>
      </c>
      <c r="O43" s="4692">
        <v>31050</v>
      </c>
      <c r="P43" s="4678">
        <f t="shared" si="10"/>
        <v>198</v>
      </c>
      <c r="Q43" s="4677">
        <f t="shared" si="11"/>
        <v>7476150</v>
      </c>
      <c r="R43" s="4836">
        <v>28</v>
      </c>
      <c r="S43" s="4837" t="s">
        <v>5742</v>
      </c>
      <c r="T43" s="4836">
        <v>28</v>
      </c>
      <c r="U43" s="4838">
        <v>2</v>
      </c>
      <c r="V43" s="4834">
        <v>110</v>
      </c>
      <c r="W43" s="4837" t="s">
        <v>2688</v>
      </c>
      <c r="X43" s="4836">
        <v>195</v>
      </c>
      <c r="Y43" s="4834">
        <v>2</v>
      </c>
      <c r="Z43" s="4834" t="s">
        <v>5743</v>
      </c>
      <c r="AA43" s="4839" t="s">
        <v>5035</v>
      </c>
      <c r="AB43" s="4834"/>
      <c r="AC43" s="4839" t="s">
        <v>5050</v>
      </c>
      <c r="AD43" s="4834" t="s">
        <v>2814</v>
      </c>
      <c r="AE43" s="4832"/>
      <c r="AF43" s="4685">
        <f t="shared" si="12"/>
        <v>22</v>
      </c>
    </row>
    <row r="44" spans="1:32" ht="33.75" customHeight="1">
      <c r="A44" s="4828">
        <v>9</v>
      </c>
      <c r="B44" s="4829">
        <v>46304</v>
      </c>
      <c r="C44" s="4829">
        <v>46306</v>
      </c>
      <c r="D44" s="4672">
        <f t="shared" si="8"/>
        <v>2</v>
      </c>
      <c r="E44" s="4829">
        <v>46320</v>
      </c>
      <c r="F44" s="4830">
        <f t="shared" si="7"/>
        <v>15</v>
      </c>
      <c r="G44" s="4699">
        <v>46322</v>
      </c>
      <c r="H44" s="4672">
        <f t="shared" si="13"/>
        <v>1</v>
      </c>
      <c r="I44" s="4831" t="s">
        <v>5107</v>
      </c>
      <c r="J44" s="4834">
        <v>2</v>
      </c>
      <c r="K44" s="4835">
        <v>0</v>
      </c>
      <c r="L44" s="4692"/>
      <c r="M44" s="4692"/>
      <c r="N44" s="4971">
        <f t="shared" si="9"/>
        <v>0</v>
      </c>
      <c r="O44" s="4692"/>
      <c r="P44" s="4678">
        <f t="shared" si="10"/>
        <v>0</v>
      </c>
      <c r="Q44" s="4677">
        <f t="shared" si="11"/>
        <v>0</v>
      </c>
      <c r="R44" s="4836">
        <v>45</v>
      </c>
      <c r="S44" s="4837" t="s">
        <v>5742</v>
      </c>
      <c r="T44" s="4836">
        <v>45</v>
      </c>
      <c r="U44" s="4838">
        <v>2</v>
      </c>
      <c r="V44" s="4834">
        <v>120</v>
      </c>
      <c r="W44" s="4837" t="s">
        <v>2688</v>
      </c>
      <c r="X44" s="4836">
        <v>195</v>
      </c>
      <c r="Y44" s="4834">
        <v>2</v>
      </c>
      <c r="Z44" s="4834" t="s">
        <v>5953</v>
      </c>
      <c r="AA44" s="4839" t="s">
        <v>5035</v>
      </c>
      <c r="AB44" s="4834"/>
      <c r="AC44" s="4839" t="s">
        <v>5050</v>
      </c>
      <c r="AD44" s="4834" t="s">
        <v>2814</v>
      </c>
      <c r="AE44" s="4832"/>
      <c r="AF44" s="4685">
        <f t="shared" si="12"/>
        <v>0</v>
      </c>
    </row>
    <row r="45" spans="1:32" ht="33.75" customHeight="1">
      <c r="A45" s="4828">
        <v>10</v>
      </c>
      <c r="B45" s="4829">
        <v>46304</v>
      </c>
      <c r="C45" s="4829">
        <v>46306</v>
      </c>
      <c r="D45" s="4672">
        <f t="shared" si="8"/>
        <v>2</v>
      </c>
      <c r="E45" s="4829">
        <v>46320</v>
      </c>
      <c r="F45" s="4830">
        <f t="shared" si="7"/>
        <v>15</v>
      </c>
      <c r="G45" s="4699">
        <v>46322</v>
      </c>
      <c r="H45" s="4672">
        <f t="shared" si="13"/>
        <v>1</v>
      </c>
      <c r="I45" s="4831" t="s">
        <v>4514</v>
      </c>
      <c r="J45" s="4834">
        <v>1</v>
      </c>
      <c r="K45" s="4835">
        <v>0</v>
      </c>
      <c r="L45" s="4692"/>
      <c r="M45" s="4692"/>
      <c r="N45" s="4971">
        <f t="shared" si="9"/>
        <v>0</v>
      </c>
      <c r="O45" s="4692"/>
      <c r="P45" s="4678">
        <f t="shared" si="10"/>
        <v>0</v>
      </c>
      <c r="Q45" s="4677">
        <f t="shared" si="11"/>
        <v>0</v>
      </c>
      <c r="R45" s="4836">
        <v>60</v>
      </c>
      <c r="S45" s="4837" t="s">
        <v>5742</v>
      </c>
      <c r="T45" s="4836">
        <v>60</v>
      </c>
      <c r="U45" s="4838">
        <v>2</v>
      </c>
      <c r="V45" s="4834">
        <v>135</v>
      </c>
      <c r="W45" s="4837" t="s">
        <v>2688</v>
      </c>
      <c r="X45" s="4836">
        <v>210</v>
      </c>
      <c r="Y45" s="4834">
        <v>2</v>
      </c>
      <c r="Z45" s="4834" t="s">
        <v>5953</v>
      </c>
      <c r="AA45" s="4839" t="s">
        <v>5035</v>
      </c>
      <c r="AB45" s="4834"/>
      <c r="AC45" s="4839" t="s">
        <v>5050</v>
      </c>
      <c r="AD45" s="4834" t="s">
        <v>2814</v>
      </c>
      <c r="AE45" s="4832"/>
      <c r="AF45" s="4685">
        <f t="shared" si="12"/>
        <v>0</v>
      </c>
    </row>
    <row r="46" spans="1:32" ht="33.75" customHeight="1">
      <c r="A46" s="4828">
        <v>11</v>
      </c>
      <c r="B46" s="4829">
        <v>46304</v>
      </c>
      <c r="C46" s="4829">
        <v>46306</v>
      </c>
      <c r="D46" s="4672">
        <f t="shared" si="8"/>
        <v>2</v>
      </c>
      <c r="E46" s="4829">
        <v>46320</v>
      </c>
      <c r="F46" s="4830">
        <f t="shared" si="7"/>
        <v>15</v>
      </c>
      <c r="G46" s="4699">
        <v>46322</v>
      </c>
      <c r="H46" s="4672">
        <f t="shared" si="13"/>
        <v>1</v>
      </c>
      <c r="I46" s="4831" t="s">
        <v>5122</v>
      </c>
      <c r="J46" s="4834">
        <v>1</v>
      </c>
      <c r="K46" s="4835">
        <v>1</v>
      </c>
      <c r="L46" s="4692">
        <v>207000</v>
      </c>
      <c r="M46" s="4692">
        <v>215050</v>
      </c>
      <c r="N46" s="4971">
        <f t="shared" si="9"/>
        <v>215050</v>
      </c>
      <c r="O46" s="4692">
        <v>207000</v>
      </c>
      <c r="P46" s="4678">
        <f t="shared" si="10"/>
        <v>18</v>
      </c>
      <c r="Q46" s="4677">
        <f t="shared" si="11"/>
        <v>3846750</v>
      </c>
      <c r="R46" s="4836">
        <v>68</v>
      </c>
      <c r="S46" s="4837" t="s">
        <v>5742</v>
      </c>
      <c r="T46" s="4836">
        <v>68</v>
      </c>
      <c r="U46" s="4838">
        <v>2</v>
      </c>
      <c r="V46" s="4834">
        <v>210</v>
      </c>
      <c r="W46" s="4837" t="s">
        <v>2688</v>
      </c>
      <c r="X46" s="4836">
        <v>130</v>
      </c>
      <c r="Y46" s="4834">
        <v>2</v>
      </c>
      <c r="Z46" s="4834" t="s">
        <v>5953</v>
      </c>
      <c r="AA46" s="4839" t="s">
        <v>5035</v>
      </c>
      <c r="AB46" s="4834"/>
      <c r="AC46" s="4839" t="s">
        <v>5050</v>
      </c>
      <c r="AD46" s="4834" t="s">
        <v>2814</v>
      </c>
      <c r="AE46" s="4832"/>
      <c r="AF46" s="4685">
        <f t="shared" si="12"/>
        <v>2</v>
      </c>
    </row>
    <row r="47" spans="1:32" ht="33.75" customHeight="1">
      <c r="A47" s="4828">
        <v>12</v>
      </c>
      <c r="B47" s="4829">
        <v>46304</v>
      </c>
      <c r="C47" s="4829">
        <v>46306</v>
      </c>
      <c r="D47" s="4672">
        <f t="shared" si="8"/>
        <v>2</v>
      </c>
      <c r="E47" s="4829">
        <v>46320</v>
      </c>
      <c r="F47" s="4830">
        <f t="shared" si="7"/>
        <v>15</v>
      </c>
      <c r="G47" s="4699">
        <v>46322</v>
      </c>
      <c r="H47" s="4672">
        <f t="shared" si="13"/>
        <v>1</v>
      </c>
      <c r="I47" s="4831" t="s">
        <v>5183</v>
      </c>
      <c r="J47" s="4834">
        <v>2</v>
      </c>
      <c r="K47" s="4835">
        <v>0</v>
      </c>
      <c r="L47" s="4692"/>
      <c r="M47" s="4692"/>
      <c r="N47" s="4971">
        <f t="shared" si="9"/>
        <v>0</v>
      </c>
      <c r="O47" s="4692"/>
      <c r="P47" s="4678">
        <f t="shared" si="10"/>
        <v>0</v>
      </c>
      <c r="Q47" s="4677">
        <f t="shared" si="11"/>
        <v>0</v>
      </c>
      <c r="R47" s="4836">
        <v>45</v>
      </c>
      <c r="S47" s="4837" t="s">
        <v>5742</v>
      </c>
      <c r="T47" s="4836">
        <v>45</v>
      </c>
      <c r="U47" s="4838">
        <v>4</v>
      </c>
      <c r="V47" s="4834" t="s">
        <v>2602</v>
      </c>
      <c r="W47" s="4837" t="s">
        <v>2688</v>
      </c>
      <c r="X47" s="4836" t="s">
        <v>2602</v>
      </c>
      <c r="Y47" s="4834">
        <v>0</v>
      </c>
      <c r="Z47" s="4834" t="s">
        <v>5953</v>
      </c>
      <c r="AA47" s="4839" t="s">
        <v>5035</v>
      </c>
      <c r="AB47" s="4834"/>
      <c r="AC47" s="4839" t="s">
        <v>5050</v>
      </c>
      <c r="AD47" s="4834" t="s">
        <v>2814</v>
      </c>
      <c r="AE47" s="4832"/>
      <c r="AF47" s="4685">
        <f t="shared" si="12"/>
        <v>0</v>
      </c>
    </row>
    <row r="48" spans="1:32" ht="33.75" customHeight="1">
      <c r="A48" s="4828">
        <v>13</v>
      </c>
      <c r="B48" s="4829">
        <v>46304</v>
      </c>
      <c r="C48" s="4829">
        <v>46306</v>
      </c>
      <c r="D48" s="4672">
        <f t="shared" si="8"/>
        <v>2</v>
      </c>
      <c r="E48" s="4829">
        <v>46320</v>
      </c>
      <c r="F48" s="4830">
        <f t="shared" si="7"/>
        <v>15</v>
      </c>
      <c r="G48" s="4699">
        <v>46322</v>
      </c>
      <c r="H48" s="4672">
        <f t="shared" si="13"/>
        <v>1</v>
      </c>
      <c r="I48" s="4831" t="s">
        <v>6431</v>
      </c>
      <c r="J48" s="4834">
        <v>5</v>
      </c>
      <c r="K48" s="4835">
        <v>0</v>
      </c>
      <c r="L48" s="4692"/>
      <c r="M48" s="4692"/>
      <c r="N48" s="4971">
        <f t="shared" si="9"/>
        <v>0</v>
      </c>
      <c r="O48" s="4692"/>
      <c r="P48" s="4678">
        <f t="shared" si="10"/>
        <v>0</v>
      </c>
      <c r="Q48" s="4677">
        <f t="shared" si="11"/>
        <v>0</v>
      </c>
      <c r="R48" s="4836">
        <v>68</v>
      </c>
      <c r="S48" s="4837" t="s">
        <v>5742</v>
      </c>
      <c r="T48" s="4836">
        <v>68</v>
      </c>
      <c r="U48" s="4838">
        <v>4</v>
      </c>
      <c r="V48" s="4834" t="s">
        <v>2602</v>
      </c>
      <c r="W48" s="4837" t="s">
        <v>2688</v>
      </c>
      <c r="X48" s="4836" t="s">
        <v>2602</v>
      </c>
      <c r="Y48" s="4834">
        <v>0</v>
      </c>
      <c r="Z48" s="4834" t="s">
        <v>5953</v>
      </c>
      <c r="AA48" s="4839" t="s">
        <v>5035</v>
      </c>
      <c r="AB48" s="4834"/>
      <c r="AC48" s="4839" t="s">
        <v>5050</v>
      </c>
      <c r="AD48" s="4834" t="s">
        <v>2814</v>
      </c>
      <c r="AE48" s="4832"/>
      <c r="AF48" s="4685">
        <f t="shared" si="12"/>
        <v>0</v>
      </c>
    </row>
    <row r="49" spans="1:32" ht="33.75" customHeight="1">
      <c r="A49" s="4828">
        <v>14</v>
      </c>
      <c r="B49" s="4829">
        <v>46304</v>
      </c>
      <c r="C49" s="4829">
        <v>46306</v>
      </c>
      <c r="D49" s="4672">
        <f t="shared" si="8"/>
        <v>2</v>
      </c>
      <c r="E49" s="4829">
        <v>46320</v>
      </c>
      <c r="F49" s="4830">
        <f t="shared" si="7"/>
        <v>15</v>
      </c>
      <c r="G49" s="4699">
        <v>46322</v>
      </c>
      <c r="H49" s="4672">
        <f t="shared" si="13"/>
        <v>1</v>
      </c>
      <c r="I49" s="4831" t="s">
        <v>5184</v>
      </c>
      <c r="J49" s="4834">
        <v>8</v>
      </c>
      <c r="K49" s="4835">
        <v>0</v>
      </c>
      <c r="L49" s="4692"/>
      <c r="M49" s="4692"/>
      <c r="N49" s="4971">
        <f t="shared" si="9"/>
        <v>0</v>
      </c>
      <c r="O49" s="4692"/>
      <c r="P49" s="4678">
        <f t="shared" si="10"/>
        <v>0</v>
      </c>
      <c r="Q49" s="4677">
        <f t="shared" si="11"/>
        <v>0</v>
      </c>
      <c r="R49" s="4836">
        <v>45</v>
      </c>
      <c r="S49" s="4837" t="s">
        <v>5742</v>
      </c>
      <c r="T49" s="4836">
        <v>45</v>
      </c>
      <c r="U49" s="4838">
        <v>4</v>
      </c>
      <c r="V49" s="4834" t="s">
        <v>2602</v>
      </c>
      <c r="W49" s="4837" t="s">
        <v>2688</v>
      </c>
      <c r="X49" s="4836" t="s">
        <v>2602</v>
      </c>
      <c r="Y49" s="4834">
        <v>0</v>
      </c>
      <c r="Z49" s="4834" t="s">
        <v>5953</v>
      </c>
      <c r="AA49" s="4839" t="s">
        <v>5035</v>
      </c>
      <c r="AB49" s="4834"/>
      <c r="AC49" s="4839" t="s">
        <v>5050</v>
      </c>
      <c r="AD49" s="4834" t="s">
        <v>2814</v>
      </c>
      <c r="AE49" s="4832"/>
      <c r="AF49" s="4685">
        <f t="shared" si="12"/>
        <v>0</v>
      </c>
    </row>
    <row r="50" spans="1:32" ht="33.75" customHeight="1" thickBot="1">
      <c r="A50" s="4828">
        <v>15</v>
      </c>
      <c r="B50" s="4829"/>
      <c r="C50" s="4829"/>
      <c r="D50" s="4672" t="str">
        <f t="shared" ref="D50" si="15">IF(_xlfn.DAYS(C50,B50)=0,"1",_xlfn.DAYS(C50,B50))</f>
        <v>1</v>
      </c>
      <c r="E50" s="4829"/>
      <c r="F50" s="4672">
        <f t="shared" ref="F50" si="16">IF(_xlfn.DAYS(E50,C50)=0,"1",_xlfn.DAYS(E50,C50))+1</f>
        <v>2</v>
      </c>
      <c r="G50" s="4699"/>
      <c r="H50" s="4672">
        <f t="shared" si="13"/>
        <v>0</v>
      </c>
      <c r="I50" s="4831"/>
      <c r="J50" s="4834"/>
      <c r="K50" s="4835"/>
      <c r="L50" s="4834"/>
      <c r="M50" s="4834"/>
      <c r="N50" s="4971">
        <f t="shared" si="9"/>
        <v>0</v>
      </c>
      <c r="O50" s="4834"/>
      <c r="P50" s="4678">
        <f>SUM(D50,F50,H50)*K50</f>
        <v>0</v>
      </c>
      <c r="Q50" s="4677">
        <f t="shared" si="11"/>
        <v>0</v>
      </c>
      <c r="R50" s="4836"/>
      <c r="S50" s="4837" t="s">
        <v>5739</v>
      </c>
      <c r="T50" s="4836"/>
      <c r="U50" s="4838"/>
      <c r="V50" s="4834"/>
      <c r="W50" s="4837" t="s">
        <v>4521</v>
      </c>
      <c r="X50" s="4836"/>
      <c r="Y50" s="4834"/>
      <c r="Z50" s="4834"/>
      <c r="AA50" s="4839" t="s">
        <v>5035</v>
      </c>
      <c r="AB50" s="4834"/>
      <c r="AC50" s="4839" t="s">
        <v>5050</v>
      </c>
      <c r="AD50" s="4834"/>
      <c r="AE50" s="4832"/>
      <c r="AF50" s="4685">
        <f t="shared" si="12"/>
        <v>0</v>
      </c>
    </row>
    <row r="51" spans="1:32" ht="33.75" customHeight="1" thickTop="1" thickBot="1">
      <c r="A51" s="4840"/>
      <c r="B51" s="4841"/>
      <c r="C51" s="4841"/>
      <c r="D51" s="4841"/>
      <c r="E51" s="4841"/>
      <c r="F51" s="4842"/>
      <c r="G51" s="4843"/>
      <c r="H51" s="4841"/>
      <c r="I51" s="4844" t="s">
        <v>2432</v>
      </c>
      <c r="J51" s="4845">
        <f>SUM(J36:J50)</f>
        <v>134</v>
      </c>
      <c r="K51" s="4846">
        <f>SUM(K36:K50)</f>
        <v>57</v>
      </c>
      <c r="L51" s="4843"/>
      <c r="M51" s="4843"/>
      <c r="N51" s="4843"/>
      <c r="O51" s="4843"/>
      <c r="P51" s="4845">
        <f>SUM(P36:P50)</f>
        <v>1026</v>
      </c>
      <c r="Q51" s="4845">
        <f>SUM(Q36:Q50)</f>
        <v>38562375</v>
      </c>
      <c r="R51" s="6901"/>
      <c r="S51" s="6901"/>
      <c r="T51" s="6901"/>
      <c r="U51" s="4847"/>
      <c r="V51" s="6902"/>
      <c r="W51" s="6901"/>
      <c r="X51" s="6901"/>
      <c r="Y51" s="4847"/>
      <c r="Z51" s="4847"/>
      <c r="AA51" s="6903"/>
      <c r="AB51" s="6904"/>
      <c r="AC51" s="6903"/>
      <c r="AD51" s="6904"/>
      <c r="AE51" s="4848"/>
      <c r="AF51" s="4685">
        <f>SUM(AF36:AF50)</f>
        <v>109</v>
      </c>
    </row>
    <row r="52" spans="1:32" ht="32.15" customHeight="1" thickBot="1">
      <c r="C52" s="4710"/>
      <c r="D52" s="4710"/>
      <c r="E52" s="4710"/>
      <c r="F52" s="4710"/>
      <c r="G52" s="4710"/>
      <c r="H52" s="4710"/>
      <c r="I52" s="4711"/>
      <c r="J52" s="4712"/>
      <c r="K52" s="4710"/>
      <c r="L52" s="4713" t="s">
        <v>5748</v>
      </c>
      <c r="M52" s="4714">
        <f>SUM(N36:N50)</f>
        <v>2215475</v>
      </c>
      <c r="N52" s="4715"/>
      <c r="O52" s="4715"/>
      <c r="P52" s="4715"/>
      <c r="S52" s="4656"/>
      <c r="W52" s="4656"/>
      <c r="AF52" s="4849"/>
    </row>
    <row r="53" spans="1:32" ht="33.75" customHeight="1">
      <c r="A53" s="6845" t="s">
        <v>5749</v>
      </c>
      <c r="B53" s="6846"/>
      <c r="C53" s="4716">
        <f>P51</f>
        <v>1026</v>
      </c>
      <c r="D53" s="4717"/>
      <c r="F53" s="4718"/>
      <c r="G53" s="4850"/>
      <c r="H53" s="4719"/>
      <c r="I53" s="4720"/>
      <c r="L53" s="4721" t="s">
        <v>5750</v>
      </c>
      <c r="M53" s="4722">
        <f>M52*1.1</f>
        <v>2437022.5</v>
      </c>
      <c r="P53" s="4656"/>
      <c r="AF53" s="4851"/>
    </row>
    <row r="54" spans="1:32" ht="33.75" customHeight="1">
      <c r="A54" s="6910" t="s">
        <v>5883</v>
      </c>
      <c r="B54" s="6911"/>
      <c r="C54" s="4723">
        <f>Q51</f>
        <v>38562375</v>
      </c>
      <c r="D54" s="4717"/>
      <c r="F54" s="4724"/>
      <c r="G54" s="4852"/>
      <c r="H54" s="4719"/>
      <c r="I54" s="4720"/>
      <c r="P54" s="4656"/>
      <c r="AF54" s="4851"/>
    </row>
    <row r="55" spans="1:32" ht="33.75" customHeight="1" thickBot="1">
      <c r="A55" s="6913" t="s">
        <v>5751</v>
      </c>
      <c r="B55" s="6914"/>
      <c r="C55" s="4987">
        <f>ROUNDDOWN(C54*1.1,0)</f>
        <v>42418612</v>
      </c>
      <c r="D55" s="4940"/>
      <c r="E55" s="4941"/>
      <c r="F55" s="4942"/>
      <c r="G55" s="4943"/>
      <c r="H55" s="4940"/>
      <c r="I55" s="4944"/>
      <c r="J55" s="4943"/>
      <c r="K55" s="4861"/>
      <c r="L55" s="4861"/>
      <c r="M55" s="4861"/>
      <c r="N55" s="4861"/>
      <c r="O55" s="4861"/>
      <c r="P55" s="4943"/>
      <c r="Q55" s="4943"/>
      <c r="R55" s="4941"/>
      <c r="S55" s="4941"/>
      <c r="T55" s="4941"/>
      <c r="U55" s="4941"/>
      <c r="V55" s="4941"/>
      <c r="W55" s="4941"/>
      <c r="X55" s="4941"/>
      <c r="Y55" s="4941"/>
      <c r="Z55" s="4941"/>
      <c r="AA55" s="4941"/>
      <c r="AB55" s="4941"/>
      <c r="AC55" s="4941"/>
      <c r="AD55" s="4941"/>
      <c r="AE55" s="4941"/>
      <c r="AF55" s="4941"/>
    </row>
    <row r="56" spans="1:32" ht="33.75" customHeight="1">
      <c r="A56" s="4729"/>
      <c r="B56" s="4729"/>
      <c r="C56" s="4729"/>
      <c r="D56" s="4729"/>
      <c r="E56" s="4729"/>
      <c r="F56" s="4729"/>
      <c r="G56" s="4726"/>
      <c r="H56" s="4729"/>
      <c r="I56" s="4720"/>
      <c r="P56" s="4656"/>
    </row>
    <row r="57" spans="1:32" ht="33.75" customHeight="1">
      <c r="A57" s="4728" t="s">
        <v>5752</v>
      </c>
      <c r="B57" s="4728"/>
      <c r="C57" s="4729"/>
      <c r="D57" s="4729"/>
      <c r="E57" s="4729"/>
      <c r="F57" s="4729"/>
      <c r="G57" s="4726"/>
      <c r="H57" s="4729"/>
      <c r="I57" s="4720"/>
      <c r="P57" s="4656"/>
    </row>
    <row r="58" spans="1:32" ht="36" customHeight="1">
      <c r="A58" s="4728" t="s">
        <v>6433</v>
      </c>
      <c r="B58" s="4728"/>
    </row>
    <row r="59" spans="1:32" ht="36" customHeight="1">
      <c r="A59" s="4730" t="s">
        <v>5754</v>
      </c>
      <c r="B59" s="4730"/>
    </row>
    <row r="60" spans="1:32" s="5123" customFormat="1" ht="36" customHeight="1">
      <c r="A60" s="5589" t="s">
        <v>6434</v>
      </c>
      <c r="B60" s="5589"/>
      <c r="G60" s="5590"/>
      <c r="I60" s="5591"/>
      <c r="J60" s="5590"/>
      <c r="K60" s="5590"/>
      <c r="L60" s="5583"/>
      <c r="M60" s="5583"/>
      <c r="N60" s="5583"/>
      <c r="O60" s="5583"/>
      <c r="P60" s="5583"/>
      <c r="Q60" s="5590"/>
    </row>
    <row r="61" spans="1:32" s="5123" customFormat="1" ht="36" customHeight="1">
      <c r="A61" s="5592" t="s">
        <v>6435</v>
      </c>
      <c r="B61" s="5592"/>
      <c r="G61" s="5590"/>
      <c r="I61" s="5591"/>
      <c r="J61" s="5590"/>
      <c r="K61" s="5590"/>
      <c r="L61" s="5583"/>
      <c r="M61" s="5583"/>
      <c r="N61" s="5583"/>
      <c r="O61" s="5583"/>
      <c r="P61" s="5583"/>
      <c r="Q61" s="5590"/>
    </row>
    <row r="62" spans="1:32" s="5123" customFormat="1" ht="36" customHeight="1">
      <c r="A62" s="5592" t="s">
        <v>6436</v>
      </c>
      <c r="B62" s="5590"/>
      <c r="G62" s="5590"/>
      <c r="I62" s="5591"/>
      <c r="J62" s="5590"/>
      <c r="K62" s="5590"/>
      <c r="L62" s="5583"/>
      <c r="M62" s="5583"/>
      <c r="N62" s="5583"/>
      <c r="O62" s="5583"/>
      <c r="P62" s="5583"/>
      <c r="Q62" s="5590"/>
    </row>
    <row r="63" spans="1:32" s="5123" customFormat="1" ht="36" customHeight="1">
      <c r="A63" s="5592" t="s">
        <v>6437</v>
      </c>
      <c r="B63" s="5590"/>
      <c r="G63" s="5590"/>
      <c r="I63" s="5591"/>
      <c r="J63" s="5590"/>
      <c r="K63" s="5590"/>
      <c r="L63" s="5583"/>
      <c r="M63" s="5583"/>
      <c r="N63" s="5583"/>
      <c r="O63" s="5583"/>
      <c r="P63" s="5583"/>
      <c r="Q63" s="5590"/>
    </row>
    <row r="64" spans="1:32" ht="36" customHeight="1">
      <c r="A64" s="7034" t="s">
        <v>6438</v>
      </c>
      <c r="B64" s="7034"/>
      <c r="C64" s="7034"/>
      <c r="D64" s="7034"/>
      <c r="E64" s="7034"/>
      <c r="F64" s="7034"/>
      <c r="G64" s="7034"/>
      <c r="H64" s="7034"/>
      <c r="I64" s="7034"/>
      <c r="J64" s="7034"/>
      <c r="K64" s="7034"/>
    </row>
    <row r="65" spans="1:14" ht="36" customHeight="1">
      <c r="A65" s="5594" t="s">
        <v>6439</v>
      </c>
      <c r="B65" s="4657"/>
      <c r="G65" s="4657"/>
      <c r="I65" s="4657"/>
      <c r="J65" s="4657"/>
      <c r="K65" s="4657"/>
    </row>
    <row r="66" spans="1:14" ht="36" customHeight="1">
      <c r="A66" s="7034" t="s">
        <v>6440</v>
      </c>
      <c r="B66" s="7034"/>
      <c r="C66" s="7034"/>
      <c r="D66" s="7034"/>
      <c r="E66" s="7034"/>
      <c r="F66" s="7034"/>
      <c r="G66" s="7034"/>
      <c r="H66" s="7034"/>
      <c r="I66" s="7034"/>
      <c r="J66" s="7034"/>
      <c r="K66" s="7034"/>
      <c r="L66" s="7034"/>
      <c r="M66" s="7034"/>
      <c r="N66" s="5593"/>
    </row>
    <row r="67" spans="1:14" ht="36" customHeight="1"/>
    <row r="68" spans="1:14" ht="10.4" customHeight="1"/>
  </sheetData>
  <mergeCells count="65">
    <mergeCell ref="A2:B2"/>
    <mergeCell ref="C2:G2"/>
    <mergeCell ref="L4:O4"/>
    <mergeCell ref="A5:A6"/>
    <mergeCell ref="B5:B6"/>
    <mergeCell ref="C5:C6"/>
    <mergeCell ref="D5:D6"/>
    <mergeCell ref="E5:E6"/>
    <mergeCell ref="F5:F6"/>
    <mergeCell ref="G5:G6"/>
    <mergeCell ref="I5:I6"/>
    <mergeCell ref="J5:J6"/>
    <mergeCell ref="K5:K6"/>
    <mergeCell ref="L5:L6"/>
    <mergeCell ref="M5:M6"/>
    <mergeCell ref="C33:C34"/>
    <mergeCell ref="Z5:Z6"/>
    <mergeCell ref="AA5:AD6"/>
    <mergeCell ref="AE5:AE6"/>
    <mergeCell ref="AF5:AF6"/>
    <mergeCell ref="R25:T25"/>
    <mergeCell ref="V25:X25"/>
    <mergeCell ref="AA25:AB25"/>
    <mergeCell ref="AC25:AD25"/>
    <mergeCell ref="O5:O6"/>
    <mergeCell ref="P5:Q5"/>
    <mergeCell ref="R5:T6"/>
    <mergeCell ref="U5:U6"/>
    <mergeCell ref="V5:X6"/>
    <mergeCell ref="Y5:Y6"/>
    <mergeCell ref="H5:H6"/>
    <mergeCell ref="A27:B27"/>
    <mergeCell ref="A28:B28"/>
    <mergeCell ref="A29:B29"/>
    <mergeCell ref="A33:A34"/>
    <mergeCell ref="B33:B34"/>
    <mergeCell ref="P33:Q33"/>
    <mergeCell ref="D33:D34"/>
    <mergeCell ref="E33:E34"/>
    <mergeCell ref="F33:F34"/>
    <mergeCell ref="G33:G34"/>
    <mergeCell ref="H33:H34"/>
    <mergeCell ref="I33:I34"/>
    <mergeCell ref="J33:J34"/>
    <mergeCell ref="K33:K34"/>
    <mergeCell ref="L33:L34"/>
    <mergeCell ref="M33:M34"/>
    <mergeCell ref="O33:O34"/>
    <mergeCell ref="AE33:AE34"/>
    <mergeCell ref="AF33:AF34"/>
    <mergeCell ref="R51:T51"/>
    <mergeCell ref="V51:X51"/>
    <mergeCell ref="AA51:AB51"/>
    <mergeCell ref="AC51:AD51"/>
    <mergeCell ref="R33:T34"/>
    <mergeCell ref="U33:U34"/>
    <mergeCell ref="V33:X34"/>
    <mergeCell ref="Y33:Y34"/>
    <mergeCell ref="Z33:Z34"/>
    <mergeCell ref="AA33:AD34"/>
    <mergeCell ref="A53:B53"/>
    <mergeCell ref="A54:B54"/>
    <mergeCell ref="A55:B55"/>
    <mergeCell ref="A64:K64"/>
    <mergeCell ref="A66:M66"/>
  </mergeCells>
  <phoneticPr fontId="2"/>
  <conditionalFormatting sqref="B8:C24 E8:G24">
    <cfRule type="containsBlanks" dxfId="138" priority="3">
      <formula>LEN(TRIM(B8))=0</formula>
    </cfRule>
  </conditionalFormatting>
  <conditionalFormatting sqref="B36:C50 E36:E50">
    <cfRule type="containsBlanks" dxfId="137" priority="15">
      <formula>LEN(TRIM(B36))=0</formula>
    </cfRule>
  </conditionalFormatting>
  <conditionalFormatting sqref="C2:D2">
    <cfRule type="containsBlanks" dxfId="136" priority="9">
      <formula>LEN(TRIM(C2))=0</formula>
    </cfRule>
  </conditionalFormatting>
  <conditionalFormatting sqref="D7:D24">
    <cfRule type="containsBlanks" dxfId="135" priority="2">
      <formula>LEN(TRIM(D7))=0</formula>
    </cfRule>
  </conditionalFormatting>
  <conditionalFormatting sqref="D35:D50">
    <cfRule type="containsBlanks" dxfId="134" priority="14">
      <formula>LEN(TRIM(D35))=0</formula>
    </cfRule>
  </conditionalFormatting>
  <conditionalFormatting sqref="F7">
    <cfRule type="containsBlanks" dxfId="133" priority="11">
      <formula>LEN(TRIM(F7))=0</formula>
    </cfRule>
  </conditionalFormatting>
  <conditionalFormatting sqref="F35:F50">
    <cfRule type="containsBlanks" dxfId="132" priority="13">
      <formula>LEN(TRIM(F35))=0</formula>
    </cfRule>
  </conditionalFormatting>
  <conditionalFormatting sqref="G36:G50">
    <cfRule type="containsBlanks" dxfId="131" priority="10">
      <formula>LEN(TRIM(G36))=0</formula>
    </cfRule>
  </conditionalFormatting>
  <conditionalFormatting sqref="H7:O24">
    <cfRule type="containsBlanks" dxfId="130" priority="1">
      <formula>LEN(TRIM(H7))=0</formula>
    </cfRule>
  </conditionalFormatting>
  <conditionalFormatting sqref="H35:O50">
    <cfRule type="containsBlanks" dxfId="129" priority="4">
      <formula>LEN(TRIM(H35))=0</formula>
    </cfRule>
  </conditionalFormatting>
  <conditionalFormatting sqref="Q7:R24">
    <cfRule type="containsBlanks" dxfId="128" priority="8">
      <formula>LEN(TRIM(Q7))=0</formula>
    </cfRule>
  </conditionalFormatting>
  <conditionalFormatting sqref="Q35:R50">
    <cfRule type="containsBlanks" dxfId="127" priority="12">
      <formula>LEN(TRIM(Q35))=0</formula>
    </cfRule>
  </conditionalFormatting>
  <conditionalFormatting sqref="T7:V24">
    <cfRule type="containsBlanks" dxfId="126" priority="5">
      <formula>LEN(TRIM(T7))=0</formula>
    </cfRule>
  </conditionalFormatting>
  <conditionalFormatting sqref="T35:V50">
    <cfRule type="containsBlanks" dxfId="125" priority="19">
      <formula>LEN(TRIM(T35))=0</formula>
    </cfRule>
  </conditionalFormatting>
  <conditionalFormatting sqref="X7:Z24">
    <cfRule type="containsBlanks" dxfId="124" priority="6">
      <formula>LEN(TRIM(X7))=0</formula>
    </cfRule>
  </conditionalFormatting>
  <conditionalFormatting sqref="X35:Z50">
    <cfRule type="containsBlanks" dxfId="123" priority="18">
      <formula>LEN(TRIM(X35))=0</formula>
    </cfRule>
  </conditionalFormatting>
  <conditionalFormatting sqref="AB7:AB24 AD7:AE24">
    <cfRule type="containsBlanks" dxfId="122" priority="7">
      <formula>LEN(TRIM(AB7))=0</formula>
    </cfRule>
  </conditionalFormatting>
  <conditionalFormatting sqref="AB35:AB50">
    <cfRule type="containsBlanks" dxfId="121" priority="17">
      <formula>LEN(TRIM(AB35))=0</formula>
    </cfRule>
  </conditionalFormatting>
  <conditionalFormatting sqref="AD35:AE50">
    <cfRule type="containsBlanks" dxfId="120" priority="16">
      <formula>LEN(TRIM(AD35))=0</formula>
    </cfRule>
  </conditionalFormatting>
  <printOptions horizontalCentered="1"/>
  <pageMargins left="0.39370078740157483" right="0.39370078740157483" top="0.55118110236220474" bottom="0.55118110236220474" header="0.31496062992125984" footer="0.31496062992125984"/>
  <pageSetup paperSize="8" scale="42" fitToHeight="0" orientation="landscape" r:id="rId1"/>
  <headerFooter>
    <oddHeader>&amp;R&amp;G</oddHeader>
  </headerFooter>
  <legacy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3B36-51D0-4B7C-AD73-BB59DE1EE9CE}">
  <sheetPr codeName="Sheet389">
    <tabColor rgb="FFFFFF66"/>
    <pageSetUpPr fitToPage="1"/>
  </sheetPr>
  <dimension ref="A1:AE109"/>
  <sheetViews>
    <sheetView topLeftCell="A87" zoomScale="55" zoomScaleNormal="55" workbookViewId="0">
      <selection activeCell="J94" sqref="J94"/>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'[36]別紙1-1）客室提供条件'!C2</f>
        <v>岐阜グランドホテル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46" si="0">F7*N7</f>
        <v>3150000</v>
      </c>
      <c r="P7" s="4755" t="s">
        <v>5782</v>
      </c>
      <c r="Q7" s="4756">
        <v>4</v>
      </c>
      <c r="R7" s="4756" t="s">
        <v>3804</v>
      </c>
      <c r="S7" s="4751" t="s">
        <v>246</v>
      </c>
      <c r="T7" s="4756" t="s">
        <v>2161</v>
      </c>
      <c r="U7" s="4757">
        <v>2000</v>
      </c>
    </row>
    <row r="8" spans="1:31" s="5600" customFormat="1" ht="33.75" customHeight="1">
      <c r="A8" s="5449">
        <v>1</v>
      </c>
      <c r="B8" s="5450">
        <v>46277</v>
      </c>
      <c r="C8" s="5450">
        <v>46299</v>
      </c>
      <c r="D8" s="5451">
        <v>0</v>
      </c>
      <c r="E8" s="5451">
        <v>1</v>
      </c>
      <c r="F8" s="5595">
        <v>0</v>
      </c>
      <c r="G8" s="5453" t="s">
        <v>6441</v>
      </c>
      <c r="H8" s="5454" t="s">
        <v>6442</v>
      </c>
      <c r="I8" s="5455" t="s">
        <v>5190</v>
      </c>
      <c r="J8" s="5596">
        <v>60</v>
      </c>
      <c r="K8" s="5597">
        <v>23.7</v>
      </c>
      <c r="L8" s="5597">
        <v>1430</v>
      </c>
      <c r="M8" s="5597">
        <v>3.5</v>
      </c>
      <c r="N8" s="5454">
        <v>1500000</v>
      </c>
      <c r="O8" s="5598">
        <f t="shared" si="0"/>
        <v>0</v>
      </c>
      <c r="P8" s="5460" t="s">
        <v>6151</v>
      </c>
      <c r="Q8" s="5461">
        <v>4</v>
      </c>
      <c r="R8" s="5599" t="s">
        <v>6151</v>
      </c>
      <c r="S8" s="5461">
        <v>0</v>
      </c>
      <c r="T8" s="5462" t="s">
        <v>6151</v>
      </c>
      <c r="U8" s="5463">
        <v>0</v>
      </c>
    </row>
    <row r="9" spans="1:31" s="5601" customFormat="1" ht="33.75" customHeight="1">
      <c r="A9" s="5449">
        <v>2</v>
      </c>
      <c r="B9" s="5450">
        <v>46300</v>
      </c>
      <c r="C9" s="5450">
        <v>46300</v>
      </c>
      <c r="D9" s="5451">
        <v>0</v>
      </c>
      <c r="E9" s="5451">
        <v>0.5</v>
      </c>
      <c r="F9" s="5595">
        <v>0</v>
      </c>
      <c r="G9" s="5453" t="s">
        <v>6441</v>
      </c>
      <c r="H9" s="5454" t="s">
        <v>6442</v>
      </c>
      <c r="I9" s="5455" t="s">
        <v>5190</v>
      </c>
      <c r="J9" s="5596">
        <v>60</v>
      </c>
      <c r="K9" s="5597">
        <v>23.7</v>
      </c>
      <c r="L9" s="5597">
        <v>1430</v>
      </c>
      <c r="M9" s="5597">
        <v>3.5</v>
      </c>
      <c r="N9" s="5454"/>
      <c r="O9" s="5598">
        <f t="shared" si="0"/>
        <v>0</v>
      </c>
      <c r="P9" s="5460" t="s">
        <v>6151</v>
      </c>
      <c r="Q9" s="5461">
        <v>4</v>
      </c>
      <c r="R9" s="5599" t="s">
        <v>6151</v>
      </c>
      <c r="S9" s="5461">
        <v>0</v>
      </c>
      <c r="T9" s="5462" t="s">
        <v>6151</v>
      </c>
      <c r="U9" s="5463">
        <v>0</v>
      </c>
    </row>
    <row r="10" spans="1:31" s="5601" customFormat="1" ht="33.75" customHeight="1">
      <c r="A10" s="5449">
        <v>3</v>
      </c>
      <c r="B10" s="5450">
        <v>46277</v>
      </c>
      <c r="C10" s="5450">
        <v>46299</v>
      </c>
      <c r="D10" s="5451">
        <v>0</v>
      </c>
      <c r="E10" s="5451">
        <v>1</v>
      </c>
      <c r="F10" s="5602">
        <v>0</v>
      </c>
      <c r="G10" s="5453" t="s">
        <v>6443</v>
      </c>
      <c r="H10" s="5454" t="s">
        <v>6444</v>
      </c>
      <c r="I10" s="5455" t="s">
        <v>5190</v>
      </c>
      <c r="J10" s="5596">
        <v>34.799999999999997</v>
      </c>
      <c r="K10" s="5597">
        <v>24.5</v>
      </c>
      <c r="L10" s="5597">
        <v>832</v>
      </c>
      <c r="M10" s="5597">
        <v>5.3</v>
      </c>
      <c r="N10" s="5454">
        <v>860000</v>
      </c>
      <c r="O10" s="5598">
        <f t="shared" si="0"/>
        <v>0</v>
      </c>
      <c r="P10" s="5460" t="s">
        <v>2688</v>
      </c>
      <c r="Q10" s="5461" t="s">
        <v>5952</v>
      </c>
      <c r="R10" s="5599" t="s">
        <v>6151</v>
      </c>
      <c r="S10" s="5461">
        <v>0</v>
      </c>
      <c r="T10" s="5462" t="s">
        <v>6151</v>
      </c>
      <c r="U10" s="5463">
        <v>0</v>
      </c>
    </row>
    <row r="11" spans="1:31" s="5601" customFormat="1" ht="33.75" customHeight="1">
      <c r="A11" s="5449">
        <v>4</v>
      </c>
      <c r="B11" s="5450">
        <v>46300</v>
      </c>
      <c r="C11" s="5450">
        <v>46300</v>
      </c>
      <c r="D11" s="5451">
        <v>0</v>
      </c>
      <c r="E11" s="5451">
        <v>0.5</v>
      </c>
      <c r="F11" s="5595">
        <v>0</v>
      </c>
      <c r="G11" s="5453" t="s">
        <v>6443</v>
      </c>
      <c r="H11" s="5454" t="s">
        <v>6444</v>
      </c>
      <c r="I11" s="5455" t="s">
        <v>5190</v>
      </c>
      <c r="J11" s="5596">
        <v>34.799999999999997</v>
      </c>
      <c r="K11" s="5597">
        <v>24.5</v>
      </c>
      <c r="L11" s="5597">
        <v>832</v>
      </c>
      <c r="M11" s="5597">
        <v>5.3</v>
      </c>
      <c r="N11" s="5454"/>
      <c r="O11" s="5598">
        <f t="shared" si="0"/>
        <v>0</v>
      </c>
      <c r="P11" s="5460" t="s">
        <v>2688</v>
      </c>
      <c r="Q11" s="5461" t="s">
        <v>5952</v>
      </c>
      <c r="R11" s="5599" t="s">
        <v>6151</v>
      </c>
      <c r="S11" s="5461">
        <v>0</v>
      </c>
      <c r="T11" s="5462" t="s">
        <v>6151</v>
      </c>
      <c r="U11" s="5463">
        <v>0</v>
      </c>
    </row>
    <row r="12" spans="1:31" s="5604" customFormat="1" ht="33.75" customHeight="1">
      <c r="A12" s="5603">
        <v>5</v>
      </c>
      <c r="B12" s="4816">
        <v>46277</v>
      </c>
      <c r="C12" s="4816">
        <v>46299</v>
      </c>
      <c r="D12" s="4759">
        <v>0</v>
      </c>
      <c r="E12" s="4759">
        <v>1</v>
      </c>
      <c r="F12" s="4760">
        <f t="shared" ref="F12:F45" si="1">IF(OR(ISBLANK($B12), ISBLANK($C12)), 0, _xlfn.DAYS($C12, $B12) + 1)</f>
        <v>23</v>
      </c>
      <c r="G12" s="4761" t="s">
        <v>5051</v>
      </c>
      <c r="H12" s="4762" t="s">
        <v>6445</v>
      </c>
      <c r="I12" s="4763" t="s">
        <v>5957</v>
      </c>
      <c r="J12" s="4764">
        <v>13</v>
      </c>
      <c r="K12" s="4765">
        <v>22.8</v>
      </c>
      <c r="L12" s="4765">
        <v>298</v>
      </c>
      <c r="M12" s="4765">
        <v>3.1</v>
      </c>
      <c r="N12" s="4762">
        <v>948750</v>
      </c>
      <c r="O12" s="4766">
        <f t="shared" si="0"/>
        <v>21821250</v>
      </c>
      <c r="P12" s="4909" t="s">
        <v>6151</v>
      </c>
      <c r="Q12" s="4858">
        <v>2</v>
      </c>
      <c r="R12" s="4864" t="s">
        <v>6151</v>
      </c>
      <c r="S12" s="4858">
        <v>11000</v>
      </c>
      <c r="T12" s="4859" t="s">
        <v>6151</v>
      </c>
      <c r="U12" s="4860">
        <v>0</v>
      </c>
    </row>
    <row r="13" spans="1:31" s="5604" customFormat="1" ht="33.75" customHeight="1">
      <c r="A13" s="5603">
        <v>6</v>
      </c>
      <c r="B13" s="4816">
        <v>46300</v>
      </c>
      <c r="C13" s="4816">
        <v>46300</v>
      </c>
      <c r="D13" s="4759">
        <v>0</v>
      </c>
      <c r="E13" s="4759">
        <v>0.5</v>
      </c>
      <c r="F13" s="4760">
        <f t="shared" si="1"/>
        <v>1</v>
      </c>
      <c r="G13" s="4761" t="s">
        <v>5051</v>
      </c>
      <c r="H13" s="4762" t="s">
        <v>6445</v>
      </c>
      <c r="I13" s="4763" t="s">
        <v>5957</v>
      </c>
      <c r="J13" s="4764">
        <v>13</v>
      </c>
      <c r="K13" s="4765">
        <v>22.8</v>
      </c>
      <c r="L13" s="4765">
        <v>298</v>
      </c>
      <c r="M13" s="4765">
        <v>3.1</v>
      </c>
      <c r="N13" s="4762">
        <v>474375</v>
      </c>
      <c r="O13" s="4766">
        <f t="shared" si="0"/>
        <v>474375</v>
      </c>
      <c r="P13" s="4909" t="s">
        <v>6151</v>
      </c>
      <c r="Q13" s="4858">
        <v>2</v>
      </c>
      <c r="R13" s="4864" t="s">
        <v>6151</v>
      </c>
      <c r="S13" s="4858">
        <v>11000</v>
      </c>
      <c r="T13" s="4859" t="s">
        <v>6151</v>
      </c>
      <c r="U13" s="4860">
        <v>0</v>
      </c>
    </row>
    <row r="14" spans="1:31" s="5604" customFormat="1" ht="33.75" customHeight="1">
      <c r="A14" s="5603">
        <v>7</v>
      </c>
      <c r="B14" s="4816">
        <v>46277</v>
      </c>
      <c r="C14" s="4816">
        <v>46299</v>
      </c>
      <c r="D14" s="4759">
        <v>0</v>
      </c>
      <c r="E14" s="4759">
        <v>1</v>
      </c>
      <c r="F14" s="4760">
        <f t="shared" si="1"/>
        <v>23</v>
      </c>
      <c r="G14" s="4771" t="s">
        <v>6446</v>
      </c>
      <c r="H14" s="4762" t="s">
        <v>6447</v>
      </c>
      <c r="I14" s="4763" t="s">
        <v>5957</v>
      </c>
      <c r="J14" s="4764">
        <v>20.8</v>
      </c>
      <c r="K14" s="4765">
        <v>9</v>
      </c>
      <c r="L14" s="4765">
        <v>189</v>
      </c>
      <c r="M14" s="4765">
        <v>3</v>
      </c>
      <c r="N14" s="4762">
        <v>695750</v>
      </c>
      <c r="O14" s="4766">
        <f t="shared" si="0"/>
        <v>16002250</v>
      </c>
      <c r="P14" s="4857" t="s">
        <v>2688</v>
      </c>
      <c r="Q14" s="4858" t="s">
        <v>5952</v>
      </c>
      <c r="R14" s="4859" t="s">
        <v>6151</v>
      </c>
      <c r="S14" s="4858">
        <v>11000</v>
      </c>
      <c r="T14" s="4859" t="s">
        <v>6151</v>
      </c>
      <c r="U14" s="4860">
        <v>0</v>
      </c>
    </row>
    <row r="15" spans="1:31" s="5604" customFormat="1" ht="33.75" customHeight="1">
      <c r="A15" s="5603">
        <v>8</v>
      </c>
      <c r="B15" s="4816">
        <v>46300</v>
      </c>
      <c r="C15" s="4816">
        <v>46300</v>
      </c>
      <c r="D15" s="4759">
        <v>0</v>
      </c>
      <c r="E15" s="4759">
        <v>0.5</v>
      </c>
      <c r="F15" s="4760">
        <f t="shared" si="1"/>
        <v>1</v>
      </c>
      <c r="G15" s="4771" t="s">
        <v>6446</v>
      </c>
      <c r="H15" s="4762" t="s">
        <v>6447</v>
      </c>
      <c r="I15" s="4763" t="s">
        <v>5957</v>
      </c>
      <c r="J15" s="4764">
        <v>20.8</v>
      </c>
      <c r="K15" s="4765">
        <v>9</v>
      </c>
      <c r="L15" s="4765">
        <v>189</v>
      </c>
      <c r="M15" s="4765">
        <v>3</v>
      </c>
      <c r="N15" s="4762">
        <v>347875</v>
      </c>
      <c r="O15" s="4766">
        <f t="shared" si="0"/>
        <v>347875</v>
      </c>
      <c r="P15" s="4857" t="s">
        <v>2688</v>
      </c>
      <c r="Q15" s="4858" t="s">
        <v>5952</v>
      </c>
      <c r="R15" s="4859" t="s">
        <v>6151</v>
      </c>
      <c r="S15" s="4858">
        <v>11000</v>
      </c>
      <c r="T15" s="4859" t="s">
        <v>6151</v>
      </c>
      <c r="U15" s="4860">
        <v>0</v>
      </c>
    </row>
    <row r="16" spans="1:31" s="5601" customFormat="1" ht="33.75" customHeight="1">
      <c r="A16" s="5449">
        <v>9</v>
      </c>
      <c r="B16" s="5450">
        <v>46277</v>
      </c>
      <c r="C16" s="5450">
        <v>46299</v>
      </c>
      <c r="D16" s="5451">
        <v>0</v>
      </c>
      <c r="E16" s="5451">
        <v>1</v>
      </c>
      <c r="F16" s="5595">
        <v>0</v>
      </c>
      <c r="G16" s="5464" t="s">
        <v>6448</v>
      </c>
      <c r="H16" s="5454" t="s">
        <v>6442</v>
      </c>
      <c r="I16" s="5455" t="s">
        <v>5784</v>
      </c>
      <c r="J16" s="5596">
        <v>10</v>
      </c>
      <c r="K16" s="5597">
        <v>5.7</v>
      </c>
      <c r="L16" s="5597">
        <v>57</v>
      </c>
      <c r="M16" s="5597">
        <v>3</v>
      </c>
      <c r="N16" s="5454">
        <v>60000</v>
      </c>
      <c r="O16" s="5598">
        <f t="shared" si="0"/>
        <v>0</v>
      </c>
      <c r="P16" s="5460" t="s">
        <v>2688</v>
      </c>
      <c r="Q16" s="5461" t="s">
        <v>5952</v>
      </c>
      <c r="R16" s="5462" t="s">
        <v>6151</v>
      </c>
      <c r="S16" s="5461">
        <v>0</v>
      </c>
      <c r="T16" s="5462" t="s">
        <v>6151</v>
      </c>
      <c r="U16" s="5463">
        <v>0</v>
      </c>
    </row>
    <row r="17" spans="1:29" s="5601" customFormat="1" ht="33.75" customHeight="1">
      <c r="A17" s="5449">
        <v>10</v>
      </c>
      <c r="B17" s="5450">
        <v>46300</v>
      </c>
      <c r="C17" s="5450">
        <v>46300</v>
      </c>
      <c r="D17" s="5451">
        <v>0</v>
      </c>
      <c r="E17" s="5451">
        <v>0.5</v>
      </c>
      <c r="F17" s="5595">
        <v>0</v>
      </c>
      <c r="G17" s="5464" t="s">
        <v>6448</v>
      </c>
      <c r="H17" s="5454" t="s">
        <v>6442</v>
      </c>
      <c r="I17" s="5455" t="s">
        <v>5784</v>
      </c>
      <c r="J17" s="5596">
        <v>10</v>
      </c>
      <c r="K17" s="5597">
        <v>5.7</v>
      </c>
      <c r="L17" s="5597">
        <v>57</v>
      </c>
      <c r="M17" s="5597">
        <v>3</v>
      </c>
      <c r="N17" s="5454"/>
      <c r="O17" s="5598">
        <f t="shared" si="0"/>
        <v>0</v>
      </c>
      <c r="P17" s="5460" t="s">
        <v>2688</v>
      </c>
      <c r="Q17" s="5461" t="s">
        <v>5952</v>
      </c>
      <c r="R17" s="5462" t="s">
        <v>6151</v>
      </c>
      <c r="S17" s="5461">
        <v>0</v>
      </c>
      <c r="T17" s="5462" t="s">
        <v>6151</v>
      </c>
      <c r="U17" s="5463">
        <v>0</v>
      </c>
    </row>
    <row r="18" spans="1:29" s="5601" customFormat="1" ht="33.75" customHeight="1">
      <c r="A18" s="5449">
        <v>11</v>
      </c>
      <c r="B18" s="5450">
        <v>46277</v>
      </c>
      <c r="C18" s="5450">
        <v>46299</v>
      </c>
      <c r="D18" s="5451">
        <v>0</v>
      </c>
      <c r="E18" s="5451">
        <v>1</v>
      </c>
      <c r="F18" s="5595">
        <v>0</v>
      </c>
      <c r="G18" s="5464" t="s">
        <v>6449</v>
      </c>
      <c r="H18" s="5454" t="s">
        <v>6450</v>
      </c>
      <c r="I18" s="5455" t="s">
        <v>5878</v>
      </c>
      <c r="J18" s="5596">
        <v>12</v>
      </c>
      <c r="K18" s="5597">
        <v>6</v>
      </c>
      <c r="L18" s="5597">
        <v>75</v>
      </c>
      <c r="M18" s="5597">
        <v>3</v>
      </c>
      <c r="N18" s="5454"/>
      <c r="O18" s="5598">
        <f t="shared" si="0"/>
        <v>0</v>
      </c>
      <c r="P18" s="5460" t="s">
        <v>2688</v>
      </c>
      <c r="Q18" s="5461" t="s">
        <v>5952</v>
      </c>
      <c r="R18" s="5462" t="s">
        <v>2688</v>
      </c>
      <c r="S18" s="5461" t="s">
        <v>246</v>
      </c>
      <c r="T18" s="5462" t="s">
        <v>6151</v>
      </c>
      <c r="U18" s="5463">
        <v>0</v>
      </c>
    </row>
    <row r="19" spans="1:29" s="5601" customFormat="1" ht="33.75" customHeight="1">
      <c r="A19" s="5449">
        <v>12</v>
      </c>
      <c r="B19" s="5450">
        <v>46300</v>
      </c>
      <c r="C19" s="5450">
        <v>46300</v>
      </c>
      <c r="D19" s="5451">
        <v>0</v>
      </c>
      <c r="E19" s="5451">
        <v>0.5</v>
      </c>
      <c r="F19" s="5595">
        <v>0</v>
      </c>
      <c r="G19" s="5464" t="s">
        <v>6449</v>
      </c>
      <c r="H19" s="5454" t="s">
        <v>6450</v>
      </c>
      <c r="I19" s="5455" t="s">
        <v>5878</v>
      </c>
      <c r="J19" s="5596">
        <v>12</v>
      </c>
      <c r="K19" s="5597">
        <v>6</v>
      </c>
      <c r="L19" s="5597">
        <v>75</v>
      </c>
      <c r="M19" s="5597">
        <v>3</v>
      </c>
      <c r="N19" s="5454"/>
      <c r="O19" s="5598">
        <f t="shared" si="0"/>
        <v>0</v>
      </c>
      <c r="P19" s="5460" t="s">
        <v>2688</v>
      </c>
      <c r="Q19" s="5461" t="s">
        <v>5952</v>
      </c>
      <c r="R19" s="5462" t="s">
        <v>2688</v>
      </c>
      <c r="S19" s="5461" t="s">
        <v>246</v>
      </c>
      <c r="T19" s="5462" t="s">
        <v>6151</v>
      </c>
      <c r="U19" s="5463">
        <v>0</v>
      </c>
    </row>
    <row r="20" spans="1:29" s="5601" customFormat="1" ht="33.75" customHeight="1">
      <c r="A20" s="5449">
        <v>13</v>
      </c>
      <c r="B20" s="5450">
        <v>46277</v>
      </c>
      <c r="C20" s="5450">
        <v>46299</v>
      </c>
      <c r="D20" s="5451">
        <v>0</v>
      </c>
      <c r="E20" s="5451">
        <v>1</v>
      </c>
      <c r="F20" s="5595">
        <v>0</v>
      </c>
      <c r="G20" s="5464" t="s">
        <v>6451</v>
      </c>
      <c r="H20" s="5454" t="s">
        <v>6444</v>
      </c>
      <c r="I20" s="5455" t="s">
        <v>6452</v>
      </c>
      <c r="J20" s="5596">
        <v>24</v>
      </c>
      <c r="K20" s="5597">
        <v>12</v>
      </c>
      <c r="L20" s="5597">
        <v>92</v>
      </c>
      <c r="M20" s="5597">
        <v>2.7</v>
      </c>
      <c r="N20" s="5454"/>
      <c r="O20" s="5598">
        <f t="shared" si="0"/>
        <v>0</v>
      </c>
      <c r="P20" s="5460" t="s">
        <v>6151</v>
      </c>
      <c r="Q20" s="5461">
        <v>2</v>
      </c>
      <c r="R20" s="5462" t="s">
        <v>6151</v>
      </c>
      <c r="S20" s="5461">
        <v>0</v>
      </c>
      <c r="T20" s="5462" t="s">
        <v>6151</v>
      </c>
      <c r="U20" s="5463">
        <v>0</v>
      </c>
    </row>
    <row r="21" spans="1:29" s="5601" customFormat="1" ht="33.75" customHeight="1">
      <c r="A21" s="5449">
        <v>14</v>
      </c>
      <c r="B21" s="5450">
        <v>46300</v>
      </c>
      <c r="C21" s="5450">
        <v>46300</v>
      </c>
      <c r="D21" s="5451">
        <v>0</v>
      </c>
      <c r="E21" s="5451">
        <v>0.5</v>
      </c>
      <c r="F21" s="5595">
        <v>0</v>
      </c>
      <c r="G21" s="5464" t="s">
        <v>6451</v>
      </c>
      <c r="H21" s="5454" t="s">
        <v>6444</v>
      </c>
      <c r="I21" s="5455" t="s">
        <v>6452</v>
      </c>
      <c r="J21" s="5596">
        <v>24</v>
      </c>
      <c r="K21" s="5597">
        <v>12</v>
      </c>
      <c r="L21" s="5597">
        <v>92</v>
      </c>
      <c r="M21" s="5597">
        <v>2.7</v>
      </c>
      <c r="N21" s="5454"/>
      <c r="O21" s="5598">
        <f t="shared" si="0"/>
        <v>0</v>
      </c>
      <c r="P21" s="5460" t="s">
        <v>6151</v>
      </c>
      <c r="Q21" s="5461">
        <v>2</v>
      </c>
      <c r="R21" s="5462" t="s">
        <v>6151</v>
      </c>
      <c r="S21" s="5461">
        <v>0</v>
      </c>
      <c r="T21" s="5462" t="s">
        <v>6151</v>
      </c>
      <c r="U21" s="5463">
        <v>0</v>
      </c>
    </row>
    <row r="22" spans="1:29" s="5601" customFormat="1" ht="33.75" customHeight="1">
      <c r="A22" s="5449">
        <v>15</v>
      </c>
      <c r="B22" s="5450">
        <v>46277</v>
      </c>
      <c r="C22" s="5450">
        <v>46299</v>
      </c>
      <c r="D22" s="5451">
        <v>0</v>
      </c>
      <c r="E22" s="5451">
        <v>1</v>
      </c>
      <c r="F22" s="5595">
        <v>0</v>
      </c>
      <c r="G22" s="5464" t="s">
        <v>6453</v>
      </c>
      <c r="H22" s="5454" t="s">
        <v>6454</v>
      </c>
      <c r="I22" s="5455" t="s">
        <v>6452</v>
      </c>
      <c r="J22" s="5596">
        <v>6</v>
      </c>
      <c r="K22" s="5597">
        <v>6</v>
      </c>
      <c r="L22" s="5597">
        <v>38</v>
      </c>
      <c r="M22" s="5597">
        <v>2.4</v>
      </c>
      <c r="N22" s="5454">
        <v>60000</v>
      </c>
      <c r="O22" s="5598">
        <f t="shared" si="0"/>
        <v>0</v>
      </c>
      <c r="P22" s="5460" t="s">
        <v>2688</v>
      </c>
      <c r="Q22" s="5461" t="s">
        <v>5952</v>
      </c>
      <c r="R22" s="5462" t="s">
        <v>6151</v>
      </c>
      <c r="S22" s="5461">
        <v>0</v>
      </c>
      <c r="T22" s="5462" t="s">
        <v>6151</v>
      </c>
      <c r="U22" s="5463">
        <v>0</v>
      </c>
    </row>
    <row r="23" spans="1:29" s="5601" customFormat="1" ht="33.75" customHeight="1">
      <c r="A23" s="5449">
        <v>16</v>
      </c>
      <c r="B23" s="5450">
        <v>46300</v>
      </c>
      <c r="C23" s="5450">
        <v>46300</v>
      </c>
      <c r="D23" s="5451">
        <v>0</v>
      </c>
      <c r="E23" s="5451">
        <v>0.5</v>
      </c>
      <c r="F23" s="5595">
        <v>0</v>
      </c>
      <c r="G23" s="5464" t="s">
        <v>6453</v>
      </c>
      <c r="H23" s="5454" t="s">
        <v>6454</v>
      </c>
      <c r="I23" s="5455" t="s">
        <v>6452</v>
      </c>
      <c r="J23" s="5596">
        <v>6</v>
      </c>
      <c r="K23" s="5597">
        <v>6</v>
      </c>
      <c r="L23" s="5597">
        <v>38</v>
      </c>
      <c r="M23" s="5597">
        <v>2.4</v>
      </c>
      <c r="N23" s="5454"/>
      <c r="O23" s="5598">
        <f t="shared" si="0"/>
        <v>0</v>
      </c>
      <c r="P23" s="5460" t="s">
        <v>2688</v>
      </c>
      <c r="Q23" s="5461" t="s">
        <v>5952</v>
      </c>
      <c r="R23" s="5462" t="s">
        <v>6151</v>
      </c>
      <c r="S23" s="5461">
        <v>0</v>
      </c>
      <c r="T23" s="5462" t="s">
        <v>6151</v>
      </c>
      <c r="U23" s="5463">
        <v>0</v>
      </c>
    </row>
    <row r="24" spans="1:29" s="5607" customFormat="1" ht="33.75" customHeight="1">
      <c r="A24" s="5605">
        <v>17</v>
      </c>
      <c r="B24" s="4816">
        <v>46277</v>
      </c>
      <c r="C24" s="4816">
        <v>46299</v>
      </c>
      <c r="D24" s="5354">
        <v>0</v>
      </c>
      <c r="E24" s="5354">
        <v>1</v>
      </c>
      <c r="F24" s="5606">
        <f t="shared" si="1"/>
        <v>23</v>
      </c>
      <c r="G24" s="5355" t="s">
        <v>6455</v>
      </c>
      <c r="H24" s="4762" t="s">
        <v>6456</v>
      </c>
      <c r="I24" s="4763" t="s">
        <v>5190</v>
      </c>
      <c r="J24" s="4764">
        <v>30</v>
      </c>
      <c r="K24" s="4765">
        <v>9</v>
      </c>
      <c r="L24" s="4765">
        <v>260</v>
      </c>
      <c r="M24" s="4765">
        <v>3</v>
      </c>
      <c r="N24" s="4762">
        <v>822250</v>
      </c>
      <c r="O24" s="4766">
        <f t="shared" si="0"/>
        <v>18911750</v>
      </c>
      <c r="P24" s="4857" t="s">
        <v>6151</v>
      </c>
      <c r="Q24" s="4858">
        <v>3</v>
      </c>
      <c r="R24" s="4859" t="s">
        <v>6151</v>
      </c>
      <c r="S24" s="4858">
        <v>11000</v>
      </c>
      <c r="T24" s="4859" t="s">
        <v>6151</v>
      </c>
      <c r="U24" s="4860">
        <v>0</v>
      </c>
    </row>
    <row r="25" spans="1:29" s="5607" customFormat="1" ht="33.75" customHeight="1">
      <c r="A25" s="5605">
        <v>18</v>
      </c>
      <c r="B25" s="4816">
        <v>46300</v>
      </c>
      <c r="C25" s="4816">
        <v>46300</v>
      </c>
      <c r="D25" s="5354">
        <v>0</v>
      </c>
      <c r="E25" s="5354">
        <v>0.5</v>
      </c>
      <c r="F25" s="5608">
        <f t="shared" si="1"/>
        <v>1</v>
      </c>
      <c r="G25" s="5355" t="s">
        <v>6455</v>
      </c>
      <c r="H25" s="4762" t="s">
        <v>6456</v>
      </c>
      <c r="I25" s="4763" t="s">
        <v>5190</v>
      </c>
      <c r="J25" s="4764">
        <v>30</v>
      </c>
      <c r="K25" s="4765">
        <v>9</v>
      </c>
      <c r="L25" s="4765">
        <v>260</v>
      </c>
      <c r="M25" s="4765">
        <v>3</v>
      </c>
      <c r="N25" s="4762">
        <v>411125</v>
      </c>
      <c r="O25" s="4766">
        <f>F25*N25</f>
        <v>411125</v>
      </c>
      <c r="P25" s="4857" t="s">
        <v>6151</v>
      </c>
      <c r="Q25" s="4858">
        <v>3</v>
      </c>
      <c r="R25" s="4859" t="s">
        <v>6151</v>
      </c>
      <c r="S25" s="4858">
        <v>11000</v>
      </c>
      <c r="T25" s="4859" t="s">
        <v>6151</v>
      </c>
      <c r="U25" s="4860">
        <v>0</v>
      </c>
    </row>
    <row r="26" spans="1:29" s="5607" customFormat="1" ht="33.75" customHeight="1">
      <c r="A26" s="5605">
        <v>19</v>
      </c>
      <c r="B26" s="4816">
        <v>46277</v>
      </c>
      <c r="C26" s="4816">
        <v>46299</v>
      </c>
      <c r="D26" s="4759">
        <v>0</v>
      </c>
      <c r="E26" s="4759">
        <v>1</v>
      </c>
      <c r="F26" s="4760">
        <f t="shared" si="1"/>
        <v>23</v>
      </c>
      <c r="G26" s="4771" t="s">
        <v>6457</v>
      </c>
      <c r="H26" s="4762" t="s">
        <v>6445</v>
      </c>
      <c r="I26" s="4763" t="s">
        <v>5784</v>
      </c>
      <c r="J26" s="4764"/>
      <c r="K26" s="4765"/>
      <c r="L26" s="4765">
        <v>37</v>
      </c>
      <c r="M26" s="4765">
        <v>2.5</v>
      </c>
      <c r="N26" s="4762">
        <v>212520</v>
      </c>
      <c r="O26" s="4766">
        <f t="shared" si="0"/>
        <v>4887960</v>
      </c>
      <c r="P26" s="4857" t="s">
        <v>6151</v>
      </c>
      <c r="Q26" s="4858">
        <v>3</v>
      </c>
      <c r="R26" s="4859" t="s">
        <v>6151</v>
      </c>
      <c r="S26" s="4858">
        <v>11000</v>
      </c>
      <c r="T26" s="4859" t="s">
        <v>6151</v>
      </c>
      <c r="U26" s="4860">
        <v>0</v>
      </c>
    </row>
    <row r="27" spans="1:29" ht="33.75" customHeight="1">
      <c r="A27" s="5605">
        <v>20</v>
      </c>
      <c r="B27" s="4816">
        <v>46300</v>
      </c>
      <c r="C27" s="4816">
        <v>46300</v>
      </c>
      <c r="D27" s="4759">
        <v>0</v>
      </c>
      <c r="E27" s="4759">
        <v>0.5</v>
      </c>
      <c r="F27" s="4760">
        <f t="shared" si="1"/>
        <v>1</v>
      </c>
      <c r="G27" s="4771" t="s">
        <v>6457</v>
      </c>
      <c r="H27" s="4762" t="s">
        <v>6445</v>
      </c>
      <c r="I27" s="4763" t="s">
        <v>5784</v>
      </c>
      <c r="J27" s="4764"/>
      <c r="K27" s="4765"/>
      <c r="L27" s="4765">
        <v>37</v>
      </c>
      <c r="M27" s="4765">
        <v>3</v>
      </c>
      <c r="N27" s="4762">
        <v>106260</v>
      </c>
      <c r="O27" s="4766">
        <f t="shared" si="0"/>
        <v>106260</v>
      </c>
      <c r="P27" s="4857" t="s">
        <v>2688</v>
      </c>
      <c r="Q27" s="4858" t="s">
        <v>5952</v>
      </c>
      <c r="R27" s="4859" t="s">
        <v>6151</v>
      </c>
      <c r="S27" s="4858">
        <v>11000</v>
      </c>
      <c r="T27" s="4859" t="s">
        <v>6151</v>
      </c>
      <c r="U27" s="4860">
        <v>0</v>
      </c>
      <c r="AC27" s="4657"/>
    </row>
    <row r="28" spans="1:29" ht="33.75" customHeight="1">
      <c r="A28" s="5605">
        <v>21</v>
      </c>
      <c r="B28" s="4816">
        <v>46277</v>
      </c>
      <c r="C28" s="4816">
        <v>46299</v>
      </c>
      <c r="D28" s="4759">
        <v>0</v>
      </c>
      <c r="E28" s="4759">
        <v>1</v>
      </c>
      <c r="F28" s="4760">
        <f t="shared" si="1"/>
        <v>23</v>
      </c>
      <c r="G28" s="4771" t="s">
        <v>6458</v>
      </c>
      <c r="H28" s="4762" t="s">
        <v>6454</v>
      </c>
      <c r="I28" s="4763" t="s">
        <v>6452</v>
      </c>
      <c r="J28" s="4764"/>
      <c r="K28" s="4765"/>
      <c r="L28" s="4765">
        <v>28</v>
      </c>
      <c r="M28" s="4765">
        <v>2.2000000000000002</v>
      </c>
      <c r="N28" s="4762">
        <v>303600</v>
      </c>
      <c r="O28" s="4766">
        <f t="shared" si="0"/>
        <v>6982800</v>
      </c>
      <c r="P28" s="4857" t="s">
        <v>2688</v>
      </c>
      <c r="Q28" s="4858" t="s">
        <v>5952</v>
      </c>
      <c r="R28" s="4859" t="s">
        <v>6151</v>
      </c>
      <c r="S28" s="4858">
        <v>11000</v>
      </c>
      <c r="T28" s="4859" t="s">
        <v>6151</v>
      </c>
      <c r="U28" s="4860">
        <v>0</v>
      </c>
      <c r="AC28" s="4657"/>
    </row>
    <row r="29" spans="1:29" ht="33.75" customHeight="1">
      <c r="A29" s="5605">
        <v>22</v>
      </c>
      <c r="B29" s="4816">
        <v>46300</v>
      </c>
      <c r="C29" s="4816">
        <v>46300</v>
      </c>
      <c r="D29" s="4759">
        <v>0</v>
      </c>
      <c r="E29" s="4759">
        <v>0.5</v>
      </c>
      <c r="F29" s="4760">
        <f t="shared" si="1"/>
        <v>1</v>
      </c>
      <c r="G29" s="4771" t="s">
        <v>6458</v>
      </c>
      <c r="H29" s="4762" t="s">
        <v>6454</v>
      </c>
      <c r="I29" s="4763" t="s">
        <v>6452</v>
      </c>
      <c r="J29" s="4764"/>
      <c r="K29" s="4765"/>
      <c r="L29" s="4765">
        <v>28</v>
      </c>
      <c r="M29" s="4765">
        <v>2</v>
      </c>
      <c r="N29" s="4762">
        <v>151800</v>
      </c>
      <c r="O29" s="4766">
        <f t="shared" si="0"/>
        <v>151800</v>
      </c>
      <c r="P29" s="4857" t="s">
        <v>2688</v>
      </c>
      <c r="Q29" s="4858" t="s">
        <v>5952</v>
      </c>
      <c r="R29" s="4859" t="s">
        <v>6151</v>
      </c>
      <c r="S29" s="4858">
        <v>11000</v>
      </c>
      <c r="T29" s="4859" t="s">
        <v>6151</v>
      </c>
      <c r="U29" s="4860">
        <v>0</v>
      </c>
      <c r="AC29" s="4657"/>
    </row>
    <row r="30" spans="1:29" ht="33.75" customHeight="1">
      <c r="A30" s="5605">
        <v>23</v>
      </c>
      <c r="B30" s="4816">
        <v>46277</v>
      </c>
      <c r="C30" s="4816">
        <v>46299</v>
      </c>
      <c r="D30" s="4759">
        <v>0</v>
      </c>
      <c r="E30" s="4759">
        <v>1</v>
      </c>
      <c r="F30" s="4760">
        <f t="shared" si="1"/>
        <v>23</v>
      </c>
      <c r="G30" s="4771" t="s">
        <v>6459</v>
      </c>
      <c r="H30" s="4762" t="s">
        <v>6454</v>
      </c>
      <c r="I30" s="4763" t="s">
        <v>6452</v>
      </c>
      <c r="J30" s="4764"/>
      <c r="K30" s="4765"/>
      <c r="L30" s="4765">
        <v>28</v>
      </c>
      <c r="M30" s="4765">
        <v>2</v>
      </c>
      <c r="N30" s="4762">
        <v>303600</v>
      </c>
      <c r="O30" s="4766">
        <f t="shared" si="0"/>
        <v>6982800</v>
      </c>
      <c r="P30" s="4857" t="s">
        <v>2688</v>
      </c>
      <c r="Q30" s="4858" t="s">
        <v>5952</v>
      </c>
      <c r="R30" s="4859" t="s">
        <v>6151</v>
      </c>
      <c r="S30" s="4858">
        <v>11000</v>
      </c>
      <c r="T30" s="4859" t="s">
        <v>6151</v>
      </c>
      <c r="U30" s="4860">
        <v>0</v>
      </c>
      <c r="AC30" s="4657"/>
    </row>
    <row r="31" spans="1:29" ht="33.75" customHeight="1">
      <c r="A31" s="5605">
        <v>24</v>
      </c>
      <c r="B31" s="4816">
        <v>46300</v>
      </c>
      <c r="C31" s="4816">
        <v>46300</v>
      </c>
      <c r="D31" s="4759">
        <v>0</v>
      </c>
      <c r="E31" s="4759">
        <v>0.5</v>
      </c>
      <c r="F31" s="4760">
        <f t="shared" si="1"/>
        <v>1</v>
      </c>
      <c r="G31" s="4771" t="s">
        <v>6459</v>
      </c>
      <c r="H31" s="4762" t="s">
        <v>6454</v>
      </c>
      <c r="I31" s="4763" t="s">
        <v>6452</v>
      </c>
      <c r="J31" s="4764"/>
      <c r="K31" s="4765"/>
      <c r="L31" s="4765">
        <v>28</v>
      </c>
      <c r="M31" s="4765">
        <v>2</v>
      </c>
      <c r="N31" s="4762">
        <v>151800</v>
      </c>
      <c r="O31" s="4766">
        <f t="shared" si="0"/>
        <v>151800</v>
      </c>
      <c r="P31" s="4857" t="s">
        <v>2688</v>
      </c>
      <c r="Q31" s="4858" t="s">
        <v>5952</v>
      </c>
      <c r="R31" s="4859" t="s">
        <v>6151</v>
      </c>
      <c r="S31" s="4858">
        <v>11000</v>
      </c>
      <c r="T31" s="4859" t="s">
        <v>6151</v>
      </c>
      <c r="U31" s="4860">
        <v>0</v>
      </c>
      <c r="AC31" s="4657"/>
    </row>
    <row r="32" spans="1:29" ht="33.75" customHeight="1">
      <c r="A32" s="5605">
        <v>25</v>
      </c>
      <c r="B32" s="4816">
        <v>46277</v>
      </c>
      <c r="C32" s="4816">
        <v>46299</v>
      </c>
      <c r="D32" s="4759">
        <v>0</v>
      </c>
      <c r="E32" s="4759">
        <v>1</v>
      </c>
      <c r="F32" s="4760">
        <f t="shared" si="1"/>
        <v>23</v>
      </c>
      <c r="G32" s="4771" t="s">
        <v>6460</v>
      </c>
      <c r="H32" s="4762" t="s">
        <v>6454</v>
      </c>
      <c r="I32" s="4763" t="s">
        <v>6452</v>
      </c>
      <c r="J32" s="4764"/>
      <c r="K32" s="4765"/>
      <c r="L32" s="4765">
        <v>38</v>
      </c>
      <c r="M32" s="4765">
        <v>2.4</v>
      </c>
      <c r="N32" s="4762">
        <v>303600</v>
      </c>
      <c r="O32" s="4766">
        <f t="shared" si="0"/>
        <v>6982800</v>
      </c>
      <c r="P32" s="4857" t="s">
        <v>2688</v>
      </c>
      <c r="Q32" s="4858" t="s">
        <v>5952</v>
      </c>
      <c r="R32" s="4859" t="s">
        <v>6151</v>
      </c>
      <c r="S32" s="4858">
        <v>11000</v>
      </c>
      <c r="T32" s="4859" t="s">
        <v>6151</v>
      </c>
      <c r="U32" s="4860">
        <v>0</v>
      </c>
      <c r="AC32" s="4657"/>
    </row>
    <row r="33" spans="1:29" ht="33.75" customHeight="1">
      <c r="A33" s="5605">
        <v>26</v>
      </c>
      <c r="B33" s="4816">
        <v>46300</v>
      </c>
      <c r="C33" s="4816">
        <v>46300</v>
      </c>
      <c r="D33" s="4759">
        <v>0</v>
      </c>
      <c r="E33" s="4759">
        <v>0.5</v>
      </c>
      <c r="F33" s="4760">
        <f t="shared" si="1"/>
        <v>1</v>
      </c>
      <c r="G33" s="4771" t="s">
        <v>6460</v>
      </c>
      <c r="H33" s="4762" t="s">
        <v>6454</v>
      </c>
      <c r="I33" s="4763" t="s">
        <v>6452</v>
      </c>
      <c r="J33" s="4764"/>
      <c r="K33" s="4765"/>
      <c r="L33" s="4765">
        <v>38</v>
      </c>
      <c r="M33" s="4765">
        <v>2</v>
      </c>
      <c r="N33" s="4762">
        <v>151800</v>
      </c>
      <c r="O33" s="4766">
        <f t="shared" si="0"/>
        <v>151800</v>
      </c>
      <c r="P33" s="4857" t="s">
        <v>2688</v>
      </c>
      <c r="Q33" s="4858" t="s">
        <v>5952</v>
      </c>
      <c r="R33" s="4859" t="s">
        <v>6151</v>
      </c>
      <c r="S33" s="4858">
        <v>11000</v>
      </c>
      <c r="T33" s="4859" t="s">
        <v>6151</v>
      </c>
      <c r="U33" s="4860">
        <v>0</v>
      </c>
      <c r="AC33" s="4657"/>
    </row>
    <row r="34" spans="1:29" ht="33.75" customHeight="1">
      <c r="A34" s="5605">
        <v>27</v>
      </c>
      <c r="B34" s="4816">
        <v>46277</v>
      </c>
      <c r="C34" s="4816">
        <v>46299</v>
      </c>
      <c r="D34" s="4759">
        <v>0</v>
      </c>
      <c r="E34" s="4759">
        <v>1</v>
      </c>
      <c r="F34" s="4760">
        <f t="shared" si="1"/>
        <v>23</v>
      </c>
      <c r="G34" s="4771" t="s">
        <v>6461</v>
      </c>
      <c r="H34" s="4762" t="s">
        <v>6454</v>
      </c>
      <c r="I34" s="4763" t="s">
        <v>6452</v>
      </c>
      <c r="J34" s="4764"/>
      <c r="K34" s="4765"/>
      <c r="L34" s="4765">
        <v>38</v>
      </c>
      <c r="M34" s="4765">
        <v>2</v>
      </c>
      <c r="N34" s="4762">
        <v>303600</v>
      </c>
      <c r="O34" s="4766">
        <f t="shared" si="0"/>
        <v>6982800</v>
      </c>
      <c r="P34" s="4857" t="s">
        <v>2688</v>
      </c>
      <c r="Q34" s="4858" t="s">
        <v>5952</v>
      </c>
      <c r="R34" s="4859" t="s">
        <v>6151</v>
      </c>
      <c r="S34" s="4858">
        <v>11000</v>
      </c>
      <c r="T34" s="4859" t="s">
        <v>6151</v>
      </c>
      <c r="U34" s="4860">
        <v>0</v>
      </c>
      <c r="AC34" s="4657"/>
    </row>
    <row r="35" spans="1:29" ht="33.75" customHeight="1">
      <c r="A35" s="5605">
        <v>28</v>
      </c>
      <c r="B35" s="4816">
        <v>46300</v>
      </c>
      <c r="C35" s="4816">
        <v>46300</v>
      </c>
      <c r="D35" s="4759">
        <v>0</v>
      </c>
      <c r="E35" s="4759">
        <v>0.5</v>
      </c>
      <c r="F35" s="4760">
        <f t="shared" si="1"/>
        <v>1</v>
      </c>
      <c r="G35" s="4771" t="s">
        <v>6461</v>
      </c>
      <c r="H35" s="4762" t="s">
        <v>6454</v>
      </c>
      <c r="I35" s="4763" t="s">
        <v>6452</v>
      </c>
      <c r="J35" s="4764"/>
      <c r="K35" s="4765"/>
      <c r="L35" s="4765">
        <v>38</v>
      </c>
      <c r="M35" s="4765">
        <v>2</v>
      </c>
      <c r="N35" s="4762">
        <v>151800</v>
      </c>
      <c r="O35" s="4766">
        <f t="shared" si="0"/>
        <v>151800</v>
      </c>
      <c r="P35" s="4857" t="s">
        <v>2688</v>
      </c>
      <c r="Q35" s="4858" t="s">
        <v>5952</v>
      </c>
      <c r="R35" s="4859" t="s">
        <v>6151</v>
      </c>
      <c r="S35" s="4858">
        <v>11000</v>
      </c>
      <c r="T35" s="4859" t="s">
        <v>6151</v>
      </c>
      <c r="U35" s="4860">
        <v>0</v>
      </c>
      <c r="AC35" s="4657"/>
    </row>
    <row r="36" spans="1:29" ht="33.75" customHeight="1">
      <c r="A36" s="5605">
        <v>29</v>
      </c>
      <c r="B36" s="4816">
        <v>46277</v>
      </c>
      <c r="C36" s="4816">
        <v>46299</v>
      </c>
      <c r="D36" s="4759">
        <v>0</v>
      </c>
      <c r="E36" s="4759">
        <v>1</v>
      </c>
      <c r="F36" s="4760">
        <f t="shared" si="1"/>
        <v>23</v>
      </c>
      <c r="G36" s="4771" t="s">
        <v>6462</v>
      </c>
      <c r="H36" s="4762" t="s">
        <v>6454</v>
      </c>
      <c r="I36" s="4763" t="s">
        <v>6452</v>
      </c>
      <c r="J36" s="4764"/>
      <c r="K36" s="4765"/>
      <c r="L36" s="4765">
        <v>44</v>
      </c>
      <c r="M36" s="4765">
        <v>2</v>
      </c>
      <c r="N36" s="4762">
        <v>303600</v>
      </c>
      <c r="O36" s="4766">
        <f t="shared" si="0"/>
        <v>6982800</v>
      </c>
      <c r="P36" s="4857" t="s">
        <v>2688</v>
      </c>
      <c r="Q36" s="4858" t="s">
        <v>5952</v>
      </c>
      <c r="R36" s="4859" t="s">
        <v>6151</v>
      </c>
      <c r="S36" s="4858">
        <v>11000</v>
      </c>
      <c r="T36" s="4859" t="s">
        <v>6151</v>
      </c>
      <c r="U36" s="4860">
        <v>0</v>
      </c>
      <c r="AC36" s="4657"/>
    </row>
    <row r="37" spans="1:29" ht="33.75" customHeight="1">
      <c r="A37" s="5605">
        <v>30</v>
      </c>
      <c r="B37" s="4816">
        <v>46300</v>
      </c>
      <c r="C37" s="4816">
        <v>46300</v>
      </c>
      <c r="D37" s="4759">
        <v>0</v>
      </c>
      <c r="E37" s="4759">
        <v>0.5</v>
      </c>
      <c r="F37" s="4760">
        <f t="shared" si="1"/>
        <v>1</v>
      </c>
      <c r="G37" s="4771" t="s">
        <v>6462</v>
      </c>
      <c r="H37" s="4762" t="s">
        <v>6454</v>
      </c>
      <c r="I37" s="4763" t="s">
        <v>6452</v>
      </c>
      <c r="J37" s="4764"/>
      <c r="K37" s="4765"/>
      <c r="L37" s="4765">
        <v>44</v>
      </c>
      <c r="M37" s="4765">
        <v>2</v>
      </c>
      <c r="N37" s="4762">
        <v>151800</v>
      </c>
      <c r="O37" s="4766">
        <f t="shared" si="0"/>
        <v>151800</v>
      </c>
      <c r="P37" s="4857" t="s">
        <v>2688</v>
      </c>
      <c r="Q37" s="4858" t="s">
        <v>5952</v>
      </c>
      <c r="R37" s="4859" t="s">
        <v>6151</v>
      </c>
      <c r="S37" s="4858">
        <v>11000</v>
      </c>
      <c r="T37" s="4859" t="s">
        <v>6151</v>
      </c>
      <c r="U37" s="4860">
        <v>0</v>
      </c>
      <c r="AC37" s="4657"/>
    </row>
    <row r="38" spans="1:29" ht="33.75" customHeight="1">
      <c r="A38" s="5605">
        <v>31</v>
      </c>
      <c r="B38" s="4816">
        <v>46277</v>
      </c>
      <c r="C38" s="4816">
        <v>46299</v>
      </c>
      <c r="D38" s="4759">
        <v>0</v>
      </c>
      <c r="E38" s="4759">
        <v>1</v>
      </c>
      <c r="F38" s="4760">
        <f t="shared" si="1"/>
        <v>23</v>
      </c>
      <c r="G38" s="4771" t="s">
        <v>6463</v>
      </c>
      <c r="H38" s="4762" t="s">
        <v>6454</v>
      </c>
      <c r="I38" s="4763" t="s">
        <v>6452</v>
      </c>
      <c r="J38" s="4764"/>
      <c r="K38" s="4765"/>
      <c r="L38" s="4765">
        <v>44</v>
      </c>
      <c r="M38" s="4765">
        <v>2</v>
      </c>
      <c r="N38" s="4762">
        <v>303600</v>
      </c>
      <c r="O38" s="4766">
        <f t="shared" si="0"/>
        <v>6982800</v>
      </c>
      <c r="P38" s="4857" t="s">
        <v>2688</v>
      </c>
      <c r="Q38" s="4858" t="s">
        <v>5952</v>
      </c>
      <c r="R38" s="4859" t="s">
        <v>6151</v>
      </c>
      <c r="S38" s="4858">
        <v>11000</v>
      </c>
      <c r="T38" s="4859" t="s">
        <v>6151</v>
      </c>
      <c r="U38" s="4860">
        <v>0</v>
      </c>
      <c r="AC38" s="4657"/>
    </row>
    <row r="39" spans="1:29" ht="33.75" customHeight="1">
      <c r="A39" s="5605">
        <v>32</v>
      </c>
      <c r="B39" s="4816">
        <v>46300</v>
      </c>
      <c r="C39" s="4816">
        <v>46300</v>
      </c>
      <c r="D39" s="4759">
        <v>0</v>
      </c>
      <c r="E39" s="4759">
        <v>0.5</v>
      </c>
      <c r="F39" s="4760">
        <f t="shared" si="1"/>
        <v>1</v>
      </c>
      <c r="G39" s="4771" t="s">
        <v>6463</v>
      </c>
      <c r="H39" s="4762" t="s">
        <v>6454</v>
      </c>
      <c r="I39" s="4763" t="s">
        <v>6452</v>
      </c>
      <c r="J39" s="4764"/>
      <c r="K39" s="4765"/>
      <c r="L39" s="4765">
        <v>44</v>
      </c>
      <c r="M39" s="4765">
        <v>2</v>
      </c>
      <c r="N39" s="4762">
        <v>151800</v>
      </c>
      <c r="O39" s="4766">
        <f t="shared" si="0"/>
        <v>151800</v>
      </c>
      <c r="P39" s="4857" t="s">
        <v>2688</v>
      </c>
      <c r="Q39" s="4858" t="s">
        <v>5952</v>
      </c>
      <c r="R39" s="4859" t="s">
        <v>6151</v>
      </c>
      <c r="S39" s="4858">
        <v>11000</v>
      </c>
      <c r="T39" s="4859" t="s">
        <v>6151</v>
      </c>
      <c r="U39" s="4860">
        <v>0</v>
      </c>
      <c r="AC39" s="4657"/>
    </row>
    <row r="40" spans="1:29" ht="33.75" customHeight="1">
      <c r="A40" s="5605">
        <v>33</v>
      </c>
      <c r="B40" s="4816">
        <v>46277</v>
      </c>
      <c r="C40" s="4816">
        <v>46299</v>
      </c>
      <c r="D40" s="4759">
        <v>0</v>
      </c>
      <c r="E40" s="4759">
        <v>1</v>
      </c>
      <c r="F40" s="4760">
        <f t="shared" si="1"/>
        <v>23</v>
      </c>
      <c r="G40" s="4771" t="s">
        <v>6464</v>
      </c>
      <c r="H40" s="4762" t="s">
        <v>6447</v>
      </c>
      <c r="I40" s="4763" t="s">
        <v>5784</v>
      </c>
      <c r="J40" s="4764"/>
      <c r="K40" s="4765"/>
      <c r="L40" s="4765">
        <v>40</v>
      </c>
      <c r="M40" s="4765">
        <v>2</v>
      </c>
      <c r="N40" s="4762">
        <v>212520</v>
      </c>
      <c r="O40" s="4766">
        <f t="shared" si="0"/>
        <v>4887960</v>
      </c>
      <c r="P40" s="4857" t="s">
        <v>2688</v>
      </c>
      <c r="Q40" s="4858" t="s">
        <v>5952</v>
      </c>
      <c r="R40" s="4859" t="s">
        <v>6151</v>
      </c>
      <c r="S40" s="4858">
        <v>11000</v>
      </c>
      <c r="T40" s="4859" t="s">
        <v>6151</v>
      </c>
      <c r="U40" s="4860">
        <v>0</v>
      </c>
      <c r="AC40" s="4657"/>
    </row>
    <row r="41" spans="1:29" ht="33.75" customHeight="1">
      <c r="A41" s="5605">
        <v>34</v>
      </c>
      <c r="B41" s="4816">
        <v>46300</v>
      </c>
      <c r="C41" s="4816">
        <v>46300</v>
      </c>
      <c r="D41" s="4759">
        <v>0</v>
      </c>
      <c r="E41" s="4759">
        <v>0.5</v>
      </c>
      <c r="F41" s="4760">
        <f t="shared" si="1"/>
        <v>1</v>
      </c>
      <c r="G41" s="4771" t="s">
        <v>6464</v>
      </c>
      <c r="H41" s="4762" t="s">
        <v>6447</v>
      </c>
      <c r="I41" s="4763" t="s">
        <v>5784</v>
      </c>
      <c r="J41" s="4764"/>
      <c r="K41" s="4765"/>
      <c r="L41" s="4765">
        <v>40</v>
      </c>
      <c r="M41" s="4765">
        <v>2</v>
      </c>
      <c r="N41" s="4762">
        <v>106260</v>
      </c>
      <c r="O41" s="4766">
        <f t="shared" si="0"/>
        <v>106260</v>
      </c>
      <c r="P41" s="4857" t="s">
        <v>2688</v>
      </c>
      <c r="Q41" s="4858" t="s">
        <v>5952</v>
      </c>
      <c r="R41" s="4859" t="s">
        <v>6151</v>
      </c>
      <c r="S41" s="4858">
        <v>0</v>
      </c>
      <c r="T41" s="4859" t="s">
        <v>6151</v>
      </c>
      <c r="U41" s="4860">
        <v>0</v>
      </c>
      <c r="AC41" s="4657"/>
    </row>
    <row r="42" spans="1:29" ht="33.75" customHeight="1">
      <c r="A42" s="5605">
        <v>35</v>
      </c>
      <c r="B42" s="4816">
        <v>46277</v>
      </c>
      <c r="C42" s="4816">
        <v>46299</v>
      </c>
      <c r="D42" s="4759">
        <v>0</v>
      </c>
      <c r="E42" s="4759">
        <v>1</v>
      </c>
      <c r="F42" s="4760">
        <f t="shared" si="1"/>
        <v>23</v>
      </c>
      <c r="G42" s="4771" t="s">
        <v>6465</v>
      </c>
      <c r="H42" s="4762" t="s">
        <v>6456</v>
      </c>
      <c r="I42" s="4763" t="s">
        <v>5784</v>
      </c>
      <c r="J42" s="4764"/>
      <c r="K42" s="4765"/>
      <c r="L42" s="4765">
        <v>34</v>
      </c>
      <c r="M42" s="4765">
        <v>2</v>
      </c>
      <c r="N42" s="4762">
        <v>212520</v>
      </c>
      <c r="O42" s="4766">
        <f t="shared" si="0"/>
        <v>4887960</v>
      </c>
      <c r="P42" s="4857" t="s">
        <v>2688</v>
      </c>
      <c r="Q42" s="4858" t="s">
        <v>5952</v>
      </c>
      <c r="R42" s="4859" t="s">
        <v>6151</v>
      </c>
      <c r="S42" s="4858">
        <v>0</v>
      </c>
      <c r="T42" s="4859" t="s">
        <v>6151</v>
      </c>
      <c r="U42" s="4860">
        <v>0</v>
      </c>
      <c r="AC42" s="4657"/>
    </row>
    <row r="43" spans="1:29" ht="33.75" customHeight="1">
      <c r="A43" s="5605">
        <v>36</v>
      </c>
      <c r="B43" s="4816">
        <v>46300</v>
      </c>
      <c r="C43" s="4816">
        <v>46300</v>
      </c>
      <c r="D43" s="4759">
        <v>0</v>
      </c>
      <c r="E43" s="4759">
        <v>0.5</v>
      </c>
      <c r="F43" s="4760">
        <f t="shared" si="1"/>
        <v>1</v>
      </c>
      <c r="G43" s="4771" t="s">
        <v>6465</v>
      </c>
      <c r="H43" s="4762" t="s">
        <v>6456</v>
      </c>
      <c r="I43" s="4763" t="s">
        <v>5784</v>
      </c>
      <c r="J43" s="4764"/>
      <c r="K43" s="4765"/>
      <c r="L43" s="4765">
        <v>34</v>
      </c>
      <c r="M43" s="4765">
        <v>2</v>
      </c>
      <c r="N43" s="4762">
        <v>106260</v>
      </c>
      <c r="O43" s="4766">
        <f t="shared" si="0"/>
        <v>106260</v>
      </c>
      <c r="P43" s="4857" t="s">
        <v>2688</v>
      </c>
      <c r="Q43" s="4858" t="s">
        <v>5952</v>
      </c>
      <c r="R43" s="4859" t="s">
        <v>6151</v>
      </c>
      <c r="S43" s="4858">
        <v>0</v>
      </c>
      <c r="T43" s="4859" t="s">
        <v>6151</v>
      </c>
      <c r="U43" s="4860">
        <v>0</v>
      </c>
      <c r="AC43" s="4657"/>
    </row>
    <row r="44" spans="1:29" ht="33.75" customHeight="1">
      <c r="A44" s="5605">
        <v>37</v>
      </c>
      <c r="B44" s="4816">
        <v>46277</v>
      </c>
      <c r="C44" s="4816">
        <v>46299</v>
      </c>
      <c r="D44" s="4759">
        <v>0</v>
      </c>
      <c r="E44" s="4759">
        <v>1</v>
      </c>
      <c r="F44" s="4760">
        <f t="shared" si="1"/>
        <v>23</v>
      </c>
      <c r="G44" s="4771" t="s">
        <v>6466</v>
      </c>
      <c r="H44" s="4762" t="s">
        <v>6467</v>
      </c>
      <c r="I44" s="4763" t="s">
        <v>5878</v>
      </c>
      <c r="J44" s="4764"/>
      <c r="K44" s="4765"/>
      <c r="L44" s="4765">
        <v>134</v>
      </c>
      <c r="M44" s="4765">
        <v>3</v>
      </c>
      <c r="N44" s="4762">
        <v>280600</v>
      </c>
      <c r="O44" s="4766">
        <f t="shared" si="0"/>
        <v>6453800</v>
      </c>
      <c r="P44" s="4857" t="s">
        <v>2688</v>
      </c>
      <c r="Q44" s="4858" t="s">
        <v>5952</v>
      </c>
      <c r="R44" s="4859" t="s">
        <v>6151</v>
      </c>
      <c r="S44" s="4858">
        <v>0</v>
      </c>
      <c r="T44" s="4859" t="s">
        <v>6151</v>
      </c>
      <c r="U44" s="4860">
        <v>0</v>
      </c>
      <c r="AC44" s="4657"/>
    </row>
    <row r="45" spans="1:29" ht="33.75" customHeight="1">
      <c r="A45" s="5605">
        <v>38</v>
      </c>
      <c r="B45" s="4816">
        <v>46300</v>
      </c>
      <c r="C45" s="4816">
        <v>46300</v>
      </c>
      <c r="D45" s="4759">
        <v>0</v>
      </c>
      <c r="E45" s="4759">
        <v>0.5</v>
      </c>
      <c r="F45" s="4760">
        <f t="shared" si="1"/>
        <v>1</v>
      </c>
      <c r="G45" s="5058" t="s">
        <v>6466</v>
      </c>
      <c r="H45" s="4762" t="s">
        <v>6467</v>
      </c>
      <c r="I45" s="4763" t="s">
        <v>5878</v>
      </c>
      <c r="J45" s="4764"/>
      <c r="K45" s="4765"/>
      <c r="L45" s="4765">
        <v>134</v>
      </c>
      <c r="M45" s="4765">
        <v>3</v>
      </c>
      <c r="N45" s="4762">
        <v>140300</v>
      </c>
      <c r="O45" s="4766">
        <f t="shared" si="0"/>
        <v>140300</v>
      </c>
      <c r="P45" s="4857" t="s">
        <v>2688</v>
      </c>
      <c r="Q45" s="4858" t="s">
        <v>5952</v>
      </c>
      <c r="R45" s="4859" t="s">
        <v>6151</v>
      </c>
      <c r="S45" s="4858">
        <v>0</v>
      </c>
      <c r="T45" s="4859" t="s">
        <v>6151</v>
      </c>
      <c r="U45" s="4860">
        <v>0</v>
      </c>
      <c r="AC45" s="4657"/>
    </row>
    <row r="46" spans="1:29" ht="33.75" customHeight="1" thickBot="1">
      <c r="A46" s="4758">
        <v>39</v>
      </c>
      <c r="B46" s="4816">
        <v>45917</v>
      </c>
      <c r="C46" s="4816">
        <v>45917</v>
      </c>
      <c r="D46" s="4759">
        <v>0</v>
      </c>
      <c r="E46" s="4759">
        <v>1</v>
      </c>
      <c r="F46" s="4760">
        <v>1</v>
      </c>
      <c r="G46" s="4917" t="s">
        <v>6468</v>
      </c>
      <c r="H46" s="4762" t="s">
        <v>6469</v>
      </c>
      <c r="I46" s="4763" t="s">
        <v>5784</v>
      </c>
      <c r="J46" s="4764"/>
      <c r="K46" s="4765"/>
      <c r="L46" s="4765">
        <v>200</v>
      </c>
      <c r="M46" s="4765">
        <v>4</v>
      </c>
      <c r="N46" s="4762">
        <v>398475</v>
      </c>
      <c r="O46" s="4766">
        <f t="shared" si="0"/>
        <v>398475</v>
      </c>
      <c r="P46" s="4857" t="s">
        <v>2688</v>
      </c>
      <c r="Q46" s="4858" t="s">
        <v>5952</v>
      </c>
      <c r="R46" s="4859" t="s">
        <v>6151</v>
      </c>
      <c r="S46" s="4858">
        <v>0</v>
      </c>
      <c r="T46" s="4859" t="s">
        <v>6151</v>
      </c>
      <c r="U46" s="4860">
        <v>0</v>
      </c>
      <c r="AC46" s="4657"/>
    </row>
    <row r="47" spans="1:29" ht="33.75" customHeight="1" thickTop="1" thickBot="1">
      <c r="A47" s="4778" t="s">
        <v>5845</v>
      </c>
      <c r="B47" s="4779"/>
      <c r="C47" s="4779"/>
      <c r="D47" s="4779"/>
      <c r="E47" s="4779"/>
      <c r="F47" s="4780">
        <f>SUM(F8:F46)</f>
        <v>313</v>
      </c>
      <c r="G47" s="4779"/>
      <c r="H47" s="4781"/>
      <c r="I47" s="4782">
        <f>COUNTA(I12,I14,I25,I27,I29,I31,I33,I35,I37,I39,I41,I43,I45)</f>
        <v>13</v>
      </c>
      <c r="J47" s="4783"/>
      <c r="K47" s="4784"/>
      <c r="L47" s="4784"/>
      <c r="M47" s="4784"/>
      <c r="N47" s="4785"/>
      <c r="O47" s="4922">
        <f>SUM(O8:O46)</f>
        <v>122751460</v>
      </c>
      <c r="P47" s="4787"/>
      <c r="Q47" s="4787"/>
      <c r="R47" s="4788"/>
      <c r="S47" s="4789"/>
      <c r="T47" s="4788"/>
      <c r="U47" s="4790"/>
      <c r="AC47" s="4657"/>
    </row>
    <row r="48" spans="1:29" ht="33.75" customHeight="1" thickBot="1">
      <c r="A48" s="4876" t="s">
        <v>5792</v>
      </c>
      <c r="B48" s="4877"/>
      <c r="C48" s="4878"/>
      <c r="D48" s="4878"/>
      <c r="E48" s="4878"/>
      <c r="F48" s="4879"/>
      <c r="G48" s="4878"/>
      <c r="H48" s="4880"/>
      <c r="I48" s="4878"/>
      <c r="J48" s="4881"/>
      <c r="K48" s="4881"/>
      <c r="L48" s="4881"/>
      <c r="M48" s="4881"/>
      <c r="N48" s="4882"/>
      <c r="O48" s="4923">
        <f>O47*1.1</f>
        <v>135026606</v>
      </c>
      <c r="P48" s="4884"/>
      <c r="Q48" s="4885"/>
      <c r="R48" s="4886"/>
      <c r="S48" s="4887"/>
      <c r="T48" s="4886"/>
      <c r="U48" s="4888"/>
      <c r="AC48" s="4657"/>
    </row>
    <row r="49" spans="1:29" ht="33.75" customHeight="1">
      <c r="A49" s="4656"/>
      <c r="B49" s="4660"/>
      <c r="C49" s="4660"/>
      <c r="D49" s="4660"/>
      <c r="G49" s="4660"/>
      <c r="H49" s="4660"/>
      <c r="M49" s="4808" t="s">
        <v>5748</v>
      </c>
      <c r="N49" s="4809">
        <f>SUM(N12,N14,N25,N27,N29,N31,N33,N35,N37,N39,N41,N43,N45)</f>
        <v>3425505</v>
      </c>
      <c r="O49" s="4656"/>
      <c r="P49" s="4657"/>
      <c r="Q49" s="4657"/>
      <c r="AC49" s="4657"/>
    </row>
    <row r="50" spans="1:29" ht="33.75" customHeight="1">
      <c r="A50" s="4656"/>
      <c r="B50" s="4660"/>
      <c r="C50" s="4660"/>
      <c r="D50" s="4660"/>
      <c r="G50" s="4660"/>
      <c r="H50" s="4660"/>
      <c r="M50" s="4808" t="s">
        <v>5750</v>
      </c>
      <c r="N50" s="4809">
        <f>N49*1.1</f>
        <v>3768055.5000000005</v>
      </c>
      <c r="O50" s="4656"/>
      <c r="P50" s="4657"/>
      <c r="Q50" s="4657"/>
      <c r="AC50" s="4657"/>
    </row>
    <row r="51" spans="1:29" ht="33.75" customHeight="1">
      <c r="A51" s="4656"/>
      <c r="B51" s="4660"/>
      <c r="C51" s="4660"/>
      <c r="D51" s="4660"/>
      <c r="G51" s="4660"/>
      <c r="H51" s="4660"/>
      <c r="O51" s="4656"/>
      <c r="P51" s="4657"/>
      <c r="Q51" s="4657"/>
      <c r="AC51" s="4657"/>
    </row>
    <row r="52" spans="1:29" ht="33.75" customHeight="1" thickBot="1">
      <c r="A52" s="4737" t="s">
        <v>5836</v>
      </c>
      <c r="B52" s="4657"/>
      <c r="C52" s="4657"/>
      <c r="D52" s="4657"/>
      <c r="G52" s="4657"/>
      <c r="H52" s="4657"/>
      <c r="O52" s="4656"/>
      <c r="P52" s="4656"/>
      <c r="Q52" s="4657"/>
      <c r="AC52" s="4657"/>
    </row>
    <row r="53" spans="1:29" s="4738" customFormat="1" ht="33.75" customHeight="1">
      <c r="A53" s="6893" t="s">
        <v>5713</v>
      </c>
      <c r="B53" s="6882" t="s">
        <v>5757</v>
      </c>
      <c r="C53" s="6882" t="s">
        <v>5758</v>
      </c>
      <c r="D53" s="6882" t="s">
        <v>5759</v>
      </c>
      <c r="E53" s="6882" t="s">
        <v>5760</v>
      </c>
      <c r="F53" s="6895" t="s">
        <v>5761</v>
      </c>
      <c r="G53" s="6882" t="s">
        <v>5762</v>
      </c>
      <c r="H53" s="6897" t="s">
        <v>5763</v>
      </c>
      <c r="I53" s="6882" t="s">
        <v>5764</v>
      </c>
      <c r="J53" s="6895" t="s">
        <v>5765</v>
      </c>
      <c r="K53" s="6888" t="s">
        <v>5766</v>
      </c>
      <c r="L53" s="6888" t="s">
        <v>5767</v>
      </c>
      <c r="M53" s="6888" t="s">
        <v>5768</v>
      </c>
      <c r="N53" s="6882" t="s">
        <v>5811</v>
      </c>
      <c r="O53" s="6884" t="s">
        <v>5812</v>
      </c>
      <c r="P53" s="6886" t="s">
        <v>5771</v>
      </c>
      <c r="Q53" s="6887"/>
      <c r="R53" s="6888" t="s">
        <v>5772</v>
      </c>
      <c r="S53" s="6889"/>
      <c r="T53" s="6889"/>
      <c r="U53" s="6890"/>
    </row>
    <row r="54" spans="1:29" s="4738" customFormat="1" ht="33.75" customHeight="1" thickBot="1">
      <c r="A54" s="6894"/>
      <c r="B54" s="6883"/>
      <c r="C54" s="6883"/>
      <c r="D54" s="6883"/>
      <c r="E54" s="6883"/>
      <c r="F54" s="6896"/>
      <c r="G54" s="6883"/>
      <c r="H54" s="6898"/>
      <c r="I54" s="6883"/>
      <c r="J54" s="6896"/>
      <c r="K54" s="6892"/>
      <c r="L54" s="6892"/>
      <c r="M54" s="6892"/>
      <c r="N54" s="6883"/>
      <c r="O54" s="6885"/>
      <c r="P54" s="4739" t="s">
        <v>5773</v>
      </c>
      <c r="Q54" s="4740" t="s">
        <v>5774</v>
      </c>
      <c r="R54" s="4740" t="s">
        <v>5775</v>
      </c>
      <c r="S54" s="4741" t="s">
        <v>5776</v>
      </c>
      <c r="T54" s="4740" t="s">
        <v>5777</v>
      </c>
      <c r="U54" s="4742" t="s">
        <v>5778</v>
      </c>
    </row>
    <row r="55" spans="1:29" s="4666" customFormat="1" ht="33.75" customHeight="1">
      <c r="A55" s="4743" t="s">
        <v>5779</v>
      </c>
      <c r="B55" s="4744">
        <v>46280</v>
      </c>
      <c r="C55" s="4744">
        <v>46300</v>
      </c>
      <c r="D55" s="4745">
        <v>0.3125</v>
      </c>
      <c r="E55" s="4746">
        <v>0.89583333333333337</v>
      </c>
      <c r="F55" s="4747">
        <f>IF(OR(ISBLANK($B55), ISBLANK($C55)), 0, _xlfn.DAYS($C55, $B55) + 1)</f>
        <v>21</v>
      </c>
      <c r="G55" s="4890" t="s">
        <v>5780</v>
      </c>
      <c r="H55" s="4891">
        <v>3</v>
      </c>
      <c r="I55" s="4892" t="s">
        <v>5781</v>
      </c>
      <c r="J55" s="4893">
        <v>30</v>
      </c>
      <c r="K55" s="4894">
        <v>100</v>
      </c>
      <c r="L55" s="4894">
        <f>J55*K55</f>
        <v>3000</v>
      </c>
      <c r="M55" s="4895">
        <v>5</v>
      </c>
      <c r="N55" s="4896">
        <v>150000</v>
      </c>
      <c r="O55" s="4754">
        <f>F55*N55</f>
        <v>3150000</v>
      </c>
      <c r="P55" s="4897" t="s">
        <v>5782</v>
      </c>
      <c r="Q55" s="4898">
        <v>4</v>
      </c>
      <c r="R55" s="4898" t="s">
        <v>3804</v>
      </c>
      <c r="S55" s="4894" t="s">
        <v>246</v>
      </c>
      <c r="T55" s="4898" t="s">
        <v>2161</v>
      </c>
      <c r="U55" s="4899">
        <v>2000</v>
      </c>
    </row>
    <row r="56" spans="1:29" s="5600" customFormat="1" ht="33.75" customHeight="1">
      <c r="A56" s="5449">
        <v>1</v>
      </c>
      <c r="B56" s="5450">
        <v>46304</v>
      </c>
      <c r="C56" s="5450">
        <v>46321</v>
      </c>
      <c r="D56" s="5451">
        <v>0</v>
      </c>
      <c r="E56" s="5451">
        <v>1</v>
      </c>
      <c r="F56" s="5595">
        <v>0</v>
      </c>
      <c r="G56" s="5453" t="s">
        <v>6441</v>
      </c>
      <c r="H56" s="5454" t="s">
        <v>6442</v>
      </c>
      <c r="I56" s="5455" t="s">
        <v>5190</v>
      </c>
      <c r="J56" s="5596">
        <v>60</v>
      </c>
      <c r="K56" s="5597">
        <v>23.7</v>
      </c>
      <c r="L56" s="5597">
        <v>1430</v>
      </c>
      <c r="M56" s="5597">
        <v>3.5</v>
      </c>
      <c r="N56" s="5454">
        <v>1500000</v>
      </c>
      <c r="O56" s="5598">
        <f>F56*N56</f>
        <v>0</v>
      </c>
      <c r="P56" s="5460" t="s">
        <v>6151</v>
      </c>
      <c r="Q56" s="5461">
        <v>4</v>
      </c>
      <c r="R56" s="5599" t="s">
        <v>6151</v>
      </c>
      <c r="S56" s="5461">
        <v>0</v>
      </c>
      <c r="T56" s="5462" t="s">
        <v>6151</v>
      </c>
      <c r="U56" s="5463">
        <v>0</v>
      </c>
    </row>
    <row r="57" spans="1:29" s="5601" customFormat="1" ht="33.75" customHeight="1">
      <c r="A57" s="5449">
        <v>2</v>
      </c>
      <c r="B57" s="5450">
        <v>46322</v>
      </c>
      <c r="C57" s="5450">
        <v>46322</v>
      </c>
      <c r="D57" s="5451">
        <v>0</v>
      </c>
      <c r="E57" s="5451">
        <v>0.5</v>
      </c>
      <c r="F57" s="5595">
        <v>0</v>
      </c>
      <c r="G57" s="5453" t="s">
        <v>6441</v>
      </c>
      <c r="H57" s="5454" t="s">
        <v>6442</v>
      </c>
      <c r="I57" s="5455" t="s">
        <v>5190</v>
      </c>
      <c r="J57" s="5596">
        <v>60</v>
      </c>
      <c r="K57" s="5597">
        <v>23.7</v>
      </c>
      <c r="L57" s="5597">
        <v>1430</v>
      </c>
      <c r="M57" s="5597">
        <v>3.5</v>
      </c>
      <c r="N57" s="5454"/>
      <c r="O57" s="5598">
        <f t="shared" ref="O57:O93" si="2">F57*N57</f>
        <v>0</v>
      </c>
      <c r="P57" s="5460" t="s">
        <v>6151</v>
      </c>
      <c r="Q57" s="5461">
        <v>4</v>
      </c>
      <c r="R57" s="5599" t="s">
        <v>6151</v>
      </c>
      <c r="S57" s="5461">
        <v>0</v>
      </c>
      <c r="T57" s="5462" t="s">
        <v>6151</v>
      </c>
      <c r="U57" s="5463">
        <v>0</v>
      </c>
    </row>
    <row r="58" spans="1:29" s="5601" customFormat="1" ht="33.75" customHeight="1">
      <c r="A58" s="5449">
        <v>3</v>
      </c>
      <c r="B58" s="5450">
        <v>46304</v>
      </c>
      <c r="C58" s="5450">
        <v>46321</v>
      </c>
      <c r="D58" s="5451">
        <v>0</v>
      </c>
      <c r="E58" s="5451">
        <v>1</v>
      </c>
      <c r="F58" s="5602">
        <v>0</v>
      </c>
      <c r="G58" s="5453" t="s">
        <v>6443</v>
      </c>
      <c r="H58" s="5454" t="s">
        <v>6444</v>
      </c>
      <c r="I58" s="5455" t="s">
        <v>5190</v>
      </c>
      <c r="J58" s="5596">
        <v>34.799999999999997</v>
      </c>
      <c r="K58" s="5597">
        <v>24.5</v>
      </c>
      <c r="L58" s="5597">
        <v>832</v>
      </c>
      <c r="M58" s="5597">
        <v>5.3</v>
      </c>
      <c r="N58" s="5454">
        <v>860000</v>
      </c>
      <c r="O58" s="5598">
        <f t="shared" si="2"/>
        <v>0</v>
      </c>
      <c r="P58" s="5460" t="s">
        <v>2688</v>
      </c>
      <c r="Q58" s="5461" t="s">
        <v>5952</v>
      </c>
      <c r="R58" s="5599" t="s">
        <v>6151</v>
      </c>
      <c r="S58" s="5461">
        <v>0</v>
      </c>
      <c r="T58" s="5462" t="s">
        <v>6151</v>
      </c>
      <c r="U58" s="5463">
        <v>0</v>
      </c>
    </row>
    <row r="59" spans="1:29" s="5601" customFormat="1" ht="33.75" customHeight="1">
      <c r="A59" s="5449">
        <v>4</v>
      </c>
      <c r="B59" s="5450">
        <v>46322</v>
      </c>
      <c r="C59" s="5450">
        <v>46322</v>
      </c>
      <c r="D59" s="5451">
        <v>0</v>
      </c>
      <c r="E59" s="5451">
        <v>0.5</v>
      </c>
      <c r="F59" s="5595">
        <v>0</v>
      </c>
      <c r="G59" s="5453" t="s">
        <v>6443</v>
      </c>
      <c r="H59" s="5454" t="s">
        <v>6444</v>
      </c>
      <c r="I59" s="5455" t="s">
        <v>5190</v>
      </c>
      <c r="J59" s="5596">
        <v>34.799999999999997</v>
      </c>
      <c r="K59" s="5597">
        <v>24.5</v>
      </c>
      <c r="L59" s="5597">
        <v>832</v>
      </c>
      <c r="M59" s="5597">
        <v>5.3</v>
      </c>
      <c r="N59" s="5454"/>
      <c r="O59" s="5598">
        <f t="shared" si="2"/>
        <v>0</v>
      </c>
      <c r="P59" s="5460" t="s">
        <v>2688</v>
      </c>
      <c r="Q59" s="5461" t="s">
        <v>5952</v>
      </c>
      <c r="R59" s="5599" t="s">
        <v>6151</v>
      </c>
      <c r="S59" s="5461">
        <v>0</v>
      </c>
      <c r="T59" s="5462" t="s">
        <v>6151</v>
      </c>
      <c r="U59" s="5463">
        <v>0</v>
      </c>
    </row>
    <row r="60" spans="1:29" s="5601" customFormat="1" ht="33.75" customHeight="1">
      <c r="A60" s="5449">
        <v>5</v>
      </c>
      <c r="B60" s="5450">
        <v>46304</v>
      </c>
      <c r="C60" s="5450">
        <v>46321</v>
      </c>
      <c r="D60" s="5451">
        <v>0</v>
      </c>
      <c r="E60" s="5451">
        <v>1</v>
      </c>
      <c r="F60" s="5595">
        <v>0</v>
      </c>
      <c r="G60" s="5453" t="s">
        <v>5051</v>
      </c>
      <c r="H60" s="5454" t="s">
        <v>6445</v>
      </c>
      <c r="I60" s="5455" t="s">
        <v>5957</v>
      </c>
      <c r="J60" s="5596">
        <v>13</v>
      </c>
      <c r="K60" s="5597">
        <v>22.8</v>
      </c>
      <c r="L60" s="5597">
        <v>298</v>
      </c>
      <c r="M60" s="5597">
        <v>3.1</v>
      </c>
      <c r="N60" s="5454">
        <v>310000</v>
      </c>
      <c r="O60" s="5598">
        <f t="shared" si="2"/>
        <v>0</v>
      </c>
      <c r="P60" s="5609" t="s">
        <v>6151</v>
      </c>
      <c r="Q60" s="5461">
        <v>2</v>
      </c>
      <c r="R60" s="5599" t="s">
        <v>6151</v>
      </c>
      <c r="S60" s="5461">
        <v>0</v>
      </c>
      <c r="T60" s="5462" t="s">
        <v>6151</v>
      </c>
      <c r="U60" s="5463">
        <v>0</v>
      </c>
    </row>
    <row r="61" spans="1:29" s="5601" customFormat="1" ht="33.75" customHeight="1">
      <c r="A61" s="5449">
        <v>6</v>
      </c>
      <c r="B61" s="5450">
        <v>46322</v>
      </c>
      <c r="C61" s="5450">
        <v>46322</v>
      </c>
      <c r="D61" s="5451">
        <v>0</v>
      </c>
      <c r="E61" s="5451">
        <v>0.5</v>
      </c>
      <c r="F61" s="5595">
        <v>0</v>
      </c>
      <c r="G61" s="5453" t="s">
        <v>5051</v>
      </c>
      <c r="H61" s="5454" t="s">
        <v>6445</v>
      </c>
      <c r="I61" s="5455" t="s">
        <v>5957</v>
      </c>
      <c r="J61" s="5596">
        <v>13</v>
      </c>
      <c r="K61" s="5597">
        <v>22.8</v>
      </c>
      <c r="L61" s="5597">
        <v>298</v>
      </c>
      <c r="M61" s="5597">
        <v>3.1</v>
      </c>
      <c r="N61" s="5454"/>
      <c r="O61" s="5598">
        <f t="shared" si="2"/>
        <v>0</v>
      </c>
      <c r="P61" s="5609" t="s">
        <v>6151</v>
      </c>
      <c r="Q61" s="5461">
        <v>2</v>
      </c>
      <c r="R61" s="5599" t="s">
        <v>6151</v>
      </c>
      <c r="S61" s="5461">
        <v>0</v>
      </c>
      <c r="T61" s="5462" t="s">
        <v>6151</v>
      </c>
      <c r="U61" s="5463">
        <v>0</v>
      </c>
    </row>
    <row r="62" spans="1:29" s="5611" customFormat="1" ht="33.75" customHeight="1">
      <c r="A62" s="5605">
        <v>7</v>
      </c>
      <c r="B62" s="5610">
        <v>46304</v>
      </c>
      <c r="C62" s="5610">
        <v>46321</v>
      </c>
      <c r="D62" s="5354">
        <v>0</v>
      </c>
      <c r="E62" s="5354">
        <v>1</v>
      </c>
      <c r="F62" s="4949">
        <f t="shared" ref="F62:F93" si="3">IF(OR(ISBLANK($B62), ISBLANK($C62)), 0, _xlfn.DAYS($C62, $B62) + 1)</f>
        <v>18</v>
      </c>
      <c r="G62" s="5355" t="s">
        <v>6446</v>
      </c>
      <c r="H62" s="4762" t="s">
        <v>6447</v>
      </c>
      <c r="I62" s="4763" t="s">
        <v>5957</v>
      </c>
      <c r="J62" s="4764">
        <v>20.8</v>
      </c>
      <c r="K62" s="4765">
        <v>9</v>
      </c>
      <c r="L62" s="4765">
        <v>189</v>
      </c>
      <c r="M62" s="4765">
        <v>3</v>
      </c>
      <c r="N62" s="4762">
        <v>695750</v>
      </c>
      <c r="O62" s="4766">
        <f t="shared" si="2"/>
        <v>12523500</v>
      </c>
      <c r="P62" s="4857" t="s">
        <v>2688</v>
      </c>
      <c r="Q62" s="4858" t="s">
        <v>5952</v>
      </c>
      <c r="R62" s="4859" t="s">
        <v>6151</v>
      </c>
      <c r="S62" s="4858">
        <v>0</v>
      </c>
      <c r="T62" s="4859" t="s">
        <v>6151</v>
      </c>
      <c r="U62" s="4860">
        <v>0</v>
      </c>
    </row>
    <row r="63" spans="1:29" s="5611" customFormat="1" ht="33.75" customHeight="1">
      <c r="A63" s="5605">
        <v>8</v>
      </c>
      <c r="B63" s="5610">
        <v>46322</v>
      </c>
      <c r="C63" s="5610">
        <v>46322</v>
      </c>
      <c r="D63" s="5354">
        <v>0</v>
      </c>
      <c r="E63" s="5354">
        <v>0.5</v>
      </c>
      <c r="F63" s="4949">
        <f t="shared" si="3"/>
        <v>1</v>
      </c>
      <c r="G63" s="5355" t="s">
        <v>6446</v>
      </c>
      <c r="H63" s="4762" t="s">
        <v>6447</v>
      </c>
      <c r="I63" s="4763" t="s">
        <v>5957</v>
      </c>
      <c r="J63" s="4764">
        <v>20.8</v>
      </c>
      <c r="K63" s="4765">
        <v>9</v>
      </c>
      <c r="L63" s="4765">
        <v>189</v>
      </c>
      <c r="M63" s="4765">
        <v>3</v>
      </c>
      <c r="N63" s="4762">
        <v>347875</v>
      </c>
      <c r="O63" s="4766">
        <f t="shared" si="2"/>
        <v>347875</v>
      </c>
      <c r="P63" s="4857" t="s">
        <v>2688</v>
      </c>
      <c r="Q63" s="4858" t="s">
        <v>5952</v>
      </c>
      <c r="R63" s="4859" t="s">
        <v>6151</v>
      </c>
      <c r="S63" s="4858">
        <v>0</v>
      </c>
      <c r="T63" s="4859" t="s">
        <v>6151</v>
      </c>
      <c r="U63" s="4860">
        <v>0</v>
      </c>
    </row>
    <row r="64" spans="1:29" s="5601" customFormat="1" ht="33.75" customHeight="1">
      <c r="A64" s="5449">
        <v>9</v>
      </c>
      <c r="B64" s="5450">
        <v>46304</v>
      </c>
      <c r="C64" s="5450">
        <v>46321</v>
      </c>
      <c r="D64" s="5451">
        <v>0</v>
      </c>
      <c r="E64" s="5451">
        <v>1</v>
      </c>
      <c r="F64" s="5595">
        <v>0</v>
      </c>
      <c r="G64" s="5464" t="s">
        <v>6448</v>
      </c>
      <c r="H64" s="5454" t="s">
        <v>6442</v>
      </c>
      <c r="I64" s="5455" t="s">
        <v>5957</v>
      </c>
      <c r="J64" s="5596">
        <v>10</v>
      </c>
      <c r="K64" s="5597">
        <v>5.7</v>
      </c>
      <c r="L64" s="5597">
        <v>57</v>
      </c>
      <c r="M64" s="5597">
        <v>3</v>
      </c>
      <c r="N64" s="5454">
        <v>60000</v>
      </c>
      <c r="O64" s="5598">
        <f t="shared" si="2"/>
        <v>0</v>
      </c>
      <c r="P64" s="5460" t="s">
        <v>2688</v>
      </c>
      <c r="Q64" s="5461" t="s">
        <v>5952</v>
      </c>
      <c r="R64" s="5462" t="s">
        <v>6151</v>
      </c>
      <c r="S64" s="5461">
        <v>0</v>
      </c>
      <c r="T64" s="5462" t="s">
        <v>6151</v>
      </c>
      <c r="U64" s="5463">
        <v>0</v>
      </c>
    </row>
    <row r="65" spans="1:21" s="5601" customFormat="1" ht="33.75" customHeight="1">
      <c r="A65" s="5449">
        <v>10</v>
      </c>
      <c r="B65" s="5450">
        <v>46322</v>
      </c>
      <c r="C65" s="5450">
        <v>46322</v>
      </c>
      <c r="D65" s="5451">
        <v>0</v>
      </c>
      <c r="E65" s="5451">
        <v>0.5</v>
      </c>
      <c r="F65" s="5595">
        <v>0</v>
      </c>
      <c r="G65" s="5464" t="s">
        <v>6448</v>
      </c>
      <c r="H65" s="5454" t="s">
        <v>6442</v>
      </c>
      <c r="I65" s="5455" t="s">
        <v>5957</v>
      </c>
      <c r="J65" s="5596">
        <v>10</v>
      </c>
      <c r="K65" s="5597">
        <v>5.7</v>
      </c>
      <c r="L65" s="5597">
        <v>57</v>
      </c>
      <c r="M65" s="5597">
        <v>3</v>
      </c>
      <c r="N65" s="5454"/>
      <c r="O65" s="5598">
        <f t="shared" si="2"/>
        <v>0</v>
      </c>
      <c r="P65" s="5460" t="s">
        <v>2688</v>
      </c>
      <c r="Q65" s="5461" t="s">
        <v>5952</v>
      </c>
      <c r="R65" s="5462" t="s">
        <v>6151</v>
      </c>
      <c r="S65" s="5461">
        <v>0</v>
      </c>
      <c r="T65" s="5462" t="s">
        <v>6151</v>
      </c>
      <c r="U65" s="5463">
        <v>0</v>
      </c>
    </row>
    <row r="66" spans="1:21" s="5601" customFormat="1" ht="33.75" customHeight="1">
      <c r="A66" s="5449">
        <v>11</v>
      </c>
      <c r="B66" s="5450">
        <v>46304</v>
      </c>
      <c r="C66" s="5450">
        <v>46321</v>
      </c>
      <c r="D66" s="5451">
        <v>0</v>
      </c>
      <c r="E66" s="5451">
        <v>1</v>
      </c>
      <c r="F66" s="5595">
        <v>0</v>
      </c>
      <c r="G66" s="5464" t="s">
        <v>6449</v>
      </c>
      <c r="H66" s="5454" t="s">
        <v>6450</v>
      </c>
      <c r="I66" s="5455" t="s">
        <v>5957</v>
      </c>
      <c r="J66" s="5596">
        <v>12</v>
      </c>
      <c r="K66" s="5597">
        <v>6</v>
      </c>
      <c r="L66" s="5597">
        <v>75</v>
      </c>
      <c r="M66" s="5597">
        <v>3</v>
      </c>
      <c r="N66" s="5454"/>
      <c r="O66" s="5598">
        <f t="shared" si="2"/>
        <v>0</v>
      </c>
      <c r="P66" s="5460" t="s">
        <v>2688</v>
      </c>
      <c r="Q66" s="5461" t="s">
        <v>5952</v>
      </c>
      <c r="R66" s="5462" t="s">
        <v>2688</v>
      </c>
      <c r="S66" s="5461" t="s">
        <v>246</v>
      </c>
      <c r="T66" s="5462" t="s">
        <v>6151</v>
      </c>
      <c r="U66" s="5463">
        <v>0</v>
      </c>
    </row>
    <row r="67" spans="1:21" s="5601" customFormat="1" ht="33.75" customHeight="1">
      <c r="A67" s="5449">
        <v>12</v>
      </c>
      <c r="B67" s="5450">
        <v>46322</v>
      </c>
      <c r="C67" s="5450">
        <v>46322</v>
      </c>
      <c r="D67" s="5451">
        <v>0</v>
      </c>
      <c r="E67" s="5451">
        <v>0.5</v>
      </c>
      <c r="F67" s="5595">
        <v>0</v>
      </c>
      <c r="G67" s="5464" t="s">
        <v>6449</v>
      </c>
      <c r="H67" s="5454" t="s">
        <v>6450</v>
      </c>
      <c r="I67" s="5455" t="s">
        <v>5957</v>
      </c>
      <c r="J67" s="5596">
        <v>12</v>
      </c>
      <c r="K67" s="5597">
        <v>6</v>
      </c>
      <c r="L67" s="5597">
        <v>75</v>
      </c>
      <c r="M67" s="5597">
        <v>3</v>
      </c>
      <c r="N67" s="5454"/>
      <c r="O67" s="5598">
        <f t="shared" si="2"/>
        <v>0</v>
      </c>
      <c r="P67" s="5460" t="s">
        <v>2688</v>
      </c>
      <c r="Q67" s="5461" t="s">
        <v>5952</v>
      </c>
      <c r="R67" s="5462" t="s">
        <v>2688</v>
      </c>
      <c r="S67" s="5461" t="s">
        <v>246</v>
      </c>
      <c r="T67" s="5462" t="s">
        <v>6151</v>
      </c>
      <c r="U67" s="5463">
        <v>0</v>
      </c>
    </row>
    <row r="68" spans="1:21" s="5601" customFormat="1" ht="33.75" customHeight="1">
      <c r="A68" s="5449">
        <v>13</v>
      </c>
      <c r="B68" s="5450">
        <v>46304</v>
      </c>
      <c r="C68" s="5450">
        <v>46321</v>
      </c>
      <c r="D68" s="5451">
        <v>0</v>
      </c>
      <c r="E68" s="5451">
        <v>1</v>
      </c>
      <c r="F68" s="5595">
        <v>0</v>
      </c>
      <c r="G68" s="5464" t="s">
        <v>6451</v>
      </c>
      <c r="H68" s="5454" t="s">
        <v>6444</v>
      </c>
      <c r="I68" s="5455" t="s">
        <v>6452</v>
      </c>
      <c r="J68" s="5596">
        <v>24</v>
      </c>
      <c r="K68" s="5597">
        <v>12</v>
      </c>
      <c r="L68" s="5597">
        <v>92</v>
      </c>
      <c r="M68" s="5597">
        <v>2.7</v>
      </c>
      <c r="N68" s="5454"/>
      <c r="O68" s="5598">
        <f t="shared" si="2"/>
        <v>0</v>
      </c>
      <c r="P68" s="5460" t="s">
        <v>6151</v>
      </c>
      <c r="Q68" s="5461">
        <v>2</v>
      </c>
      <c r="R68" s="5462" t="s">
        <v>6151</v>
      </c>
      <c r="S68" s="5461">
        <v>0</v>
      </c>
      <c r="T68" s="5462" t="s">
        <v>6151</v>
      </c>
      <c r="U68" s="5463">
        <v>0</v>
      </c>
    </row>
    <row r="69" spans="1:21" s="5601" customFormat="1" ht="33.75" customHeight="1">
      <c r="A69" s="5449">
        <v>14</v>
      </c>
      <c r="B69" s="5450">
        <v>46322</v>
      </c>
      <c r="C69" s="5450">
        <v>46322</v>
      </c>
      <c r="D69" s="5451">
        <v>0</v>
      </c>
      <c r="E69" s="5451">
        <v>0.5</v>
      </c>
      <c r="F69" s="5595">
        <v>0</v>
      </c>
      <c r="G69" s="5464" t="s">
        <v>6451</v>
      </c>
      <c r="H69" s="5454" t="s">
        <v>6444</v>
      </c>
      <c r="I69" s="5455" t="s">
        <v>6452</v>
      </c>
      <c r="J69" s="5596">
        <v>24</v>
      </c>
      <c r="K69" s="5597">
        <v>12</v>
      </c>
      <c r="L69" s="5597">
        <v>92</v>
      </c>
      <c r="M69" s="5597">
        <v>2.7</v>
      </c>
      <c r="N69" s="5454"/>
      <c r="O69" s="5598">
        <f t="shared" si="2"/>
        <v>0</v>
      </c>
      <c r="P69" s="5460" t="s">
        <v>6151</v>
      </c>
      <c r="Q69" s="5461">
        <v>2</v>
      </c>
      <c r="R69" s="5462" t="s">
        <v>6151</v>
      </c>
      <c r="S69" s="5461">
        <v>0</v>
      </c>
      <c r="T69" s="5462" t="s">
        <v>6151</v>
      </c>
      <c r="U69" s="5463">
        <v>0</v>
      </c>
    </row>
    <row r="70" spans="1:21" s="5601" customFormat="1" ht="33.75" customHeight="1">
      <c r="A70" s="5449">
        <v>15</v>
      </c>
      <c r="B70" s="5450">
        <v>46304</v>
      </c>
      <c r="C70" s="5450">
        <v>46321</v>
      </c>
      <c r="D70" s="5451">
        <v>0</v>
      </c>
      <c r="E70" s="5451">
        <v>1</v>
      </c>
      <c r="F70" s="5595">
        <v>0</v>
      </c>
      <c r="G70" s="5464" t="s">
        <v>6453</v>
      </c>
      <c r="H70" s="5454" t="s">
        <v>6454</v>
      </c>
      <c r="I70" s="5455" t="s">
        <v>6452</v>
      </c>
      <c r="J70" s="5596">
        <v>6</v>
      </c>
      <c r="K70" s="5597">
        <v>6</v>
      </c>
      <c r="L70" s="5597">
        <v>38</v>
      </c>
      <c r="M70" s="5597">
        <v>2.4</v>
      </c>
      <c r="N70" s="5454">
        <v>60000</v>
      </c>
      <c r="O70" s="5598">
        <f t="shared" si="2"/>
        <v>0</v>
      </c>
      <c r="P70" s="5460" t="s">
        <v>2688</v>
      </c>
      <c r="Q70" s="5461" t="s">
        <v>5952</v>
      </c>
      <c r="R70" s="5462" t="s">
        <v>6151</v>
      </c>
      <c r="S70" s="5461">
        <v>0</v>
      </c>
      <c r="T70" s="5462" t="s">
        <v>6151</v>
      </c>
      <c r="U70" s="5463">
        <v>0</v>
      </c>
    </row>
    <row r="71" spans="1:21" s="5601" customFormat="1" ht="33.75" customHeight="1">
      <c r="A71" s="5449">
        <v>16</v>
      </c>
      <c r="B71" s="5450">
        <v>46322</v>
      </c>
      <c r="C71" s="5450">
        <v>46322</v>
      </c>
      <c r="D71" s="5451">
        <v>0</v>
      </c>
      <c r="E71" s="5451">
        <v>0.5</v>
      </c>
      <c r="F71" s="5595">
        <v>0</v>
      </c>
      <c r="G71" s="5464" t="s">
        <v>6453</v>
      </c>
      <c r="H71" s="5454" t="s">
        <v>6454</v>
      </c>
      <c r="I71" s="5455" t="s">
        <v>6452</v>
      </c>
      <c r="J71" s="5596">
        <v>6</v>
      </c>
      <c r="K71" s="5597">
        <v>6</v>
      </c>
      <c r="L71" s="5597">
        <v>38</v>
      </c>
      <c r="M71" s="5597">
        <v>2.4</v>
      </c>
      <c r="N71" s="5454"/>
      <c r="O71" s="5598">
        <f t="shared" si="2"/>
        <v>0</v>
      </c>
      <c r="P71" s="5460" t="s">
        <v>2688</v>
      </c>
      <c r="Q71" s="5461" t="s">
        <v>5952</v>
      </c>
      <c r="R71" s="5462" t="s">
        <v>6151</v>
      </c>
      <c r="S71" s="5461">
        <v>0</v>
      </c>
      <c r="T71" s="5462" t="s">
        <v>6151</v>
      </c>
      <c r="U71" s="5463">
        <v>0</v>
      </c>
    </row>
    <row r="72" spans="1:21" s="5611" customFormat="1" ht="33.75" customHeight="1">
      <c r="A72" s="5605">
        <v>17</v>
      </c>
      <c r="B72" s="5610">
        <v>46304</v>
      </c>
      <c r="C72" s="5610">
        <v>46321</v>
      </c>
      <c r="D72" s="5354">
        <v>0</v>
      </c>
      <c r="E72" s="5354">
        <v>1</v>
      </c>
      <c r="F72" s="4949">
        <f t="shared" si="3"/>
        <v>18</v>
      </c>
      <c r="G72" s="5355" t="s">
        <v>6455</v>
      </c>
      <c r="H72" s="4762" t="s">
        <v>6456</v>
      </c>
      <c r="I72" s="4763" t="s">
        <v>5190</v>
      </c>
      <c r="J72" s="4764">
        <v>30</v>
      </c>
      <c r="K72" s="4765">
        <v>9</v>
      </c>
      <c r="L72" s="4765">
        <v>260</v>
      </c>
      <c r="M72" s="4765">
        <v>3</v>
      </c>
      <c r="N72" s="4762">
        <v>822250</v>
      </c>
      <c r="O72" s="4766">
        <f t="shared" si="2"/>
        <v>14800500</v>
      </c>
      <c r="P72" s="4857" t="s">
        <v>6151</v>
      </c>
      <c r="Q72" s="4858">
        <v>3</v>
      </c>
      <c r="R72" s="4859" t="s">
        <v>6151</v>
      </c>
      <c r="S72" s="4858">
        <v>0</v>
      </c>
      <c r="T72" s="4859" t="s">
        <v>6151</v>
      </c>
      <c r="U72" s="4860">
        <v>0</v>
      </c>
    </row>
    <row r="73" spans="1:21" s="5611" customFormat="1" ht="33.75" customHeight="1">
      <c r="A73" s="5605">
        <v>18</v>
      </c>
      <c r="B73" s="5610">
        <v>46322</v>
      </c>
      <c r="C73" s="5610">
        <v>46322</v>
      </c>
      <c r="D73" s="5354">
        <v>0</v>
      </c>
      <c r="E73" s="5354">
        <v>0.5</v>
      </c>
      <c r="F73" s="4949">
        <f t="shared" si="3"/>
        <v>1</v>
      </c>
      <c r="G73" s="5355" t="s">
        <v>6455</v>
      </c>
      <c r="H73" s="4762" t="s">
        <v>6456</v>
      </c>
      <c r="I73" s="4763" t="s">
        <v>5190</v>
      </c>
      <c r="J73" s="4764">
        <v>30</v>
      </c>
      <c r="K73" s="4765">
        <v>9</v>
      </c>
      <c r="L73" s="4765">
        <v>260</v>
      </c>
      <c r="M73" s="4765">
        <v>3</v>
      </c>
      <c r="N73" s="4762">
        <v>411125</v>
      </c>
      <c r="O73" s="4766">
        <f t="shared" si="2"/>
        <v>411125</v>
      </c>
      <c r="P73" s="4857" t="s">
        <v>6151</v>
      </c>
      <c r="Q73" s="4858">
        <v>3</v>
      </c>
      <c r="R73" s="4859" t="s">
        <v>6151</v>
      </c>
      <c r="S73" s="4858">
        <v>0</v>
      </c>
      <c r="T73" s="4859" t="s">
        <v>6151</v>
      </c>
      <c r="U73" s="4860">
        <v>0</v>
      </c>
    </row>
    <row r="74" spans="1:21" s="5601" customFormat="1" ht="33.75" customHeight="1">
      <c r="A74" s="5449">
        <v>19</v>
      </c>
      <c r="B74" s="5450">
        <v>46304</v>
      </c>
      <c r="C74" s="5450">
        <v>46321</v>
      </c>
      <c r="D74" s="5451">
        <v>0</v>
      </c>
      <c r="E74" s="5451">
        <v>1</v>
      </c>
      <c r="F74" s="5595">
        <v>0</v>
      </c>
      <c r="G74" s="5464" t="s">
        <v>6457</v>
      </c>
      <c r="H74" s="5454" t="s">
        <v>6445</v>
      </c>
      <c r="I74" s="5455"/>
      <c r="J74" s="5596"/>
      <c r="K74" s="5597"/>
      <c r="L74" s="5597"/>
      <c r="M74" s="5597"/>
      <c r="N74" s="5454"/>
      <c r="O74" s="5598">
        <f t="shared" si="2"/>
        <v>0</v>
      </c>
      <c r="P74" s="5460"/>
      <c r="Q74" s="5461"/>
      <c r="R74" s="5462"/>
      <c r="S74" s="5461"/>
      <c r="T74" s="5462"/>
      <c r="U74" s="5463"/>
    </row>
    <row r="75" spans="1:21" s="5601" customFormat="1" ht="33.75" customHeight="1">
      <c r="A75" s="5449">
        <v>20</v>
      </c>
      <c r="B75" s="5450">
        <v>46322</v>
      </c>
      <c r="C75" s="5450">
        <v>46322</v>
      </c>
      <c r="D75" s="5451">
        <v>0</v>
      </c>
      <c r="E75" s="5451">
        <v>0.5</v>
      </c>
      <c r="F75" s="5595">
        <v>0</v>
      </c>
      <c r="G75" s="5464" t="s">
        <v>6457</v>
      </c>
      <c r="H75" s="5454" t="s">
        <v>6445</v>
      </c>
      <c r="I75" s="5455"/>
      <c r="J75" s="5596"/>
      <c r="K75" s="5597"/>
      <c r="L75" s="5597"/>
      <c r="M75" s="5597"/>
      <c r="N75" s="5454"/>
      <c r="O75" s="5598">
        <f t="shared" si="2"/>
        <v>0</v>
      </c>
      <c r="P75" s="5460"/>
      <c r="Q75" s="5461"/>
      <c r="R75" s="5462"/>
      <c r="S75" s="5461"/>
      <c r="T75" s="5462"/>
      <c r="U75" s="5463"/>
    </row>
    <row r="76" spans="1:21" s="5601" customFormat="1" ht="33.75" customHeight="1">
      <c r="A76" s="5449">
        <v>21</v>
      </c>
      <c r="B76" s="5450">
        <v>46304</v>
      </c>
      <c r="C76" s="5450">
        <v>46321</v>
      </c>
      <c r="D76" s="5451">
        <v>0</v>
      </c>
      <c r="E76" s="5451">
        <v>1</v>
      </c>
      <c r="F76" s="5595">
        <v>0</v>
      </c>
      <c r="G76" s="5464" t="s">
        <v>6458</v>
      </c>
      <c r="H76" s="5454" t="s">
        <v>6454</v>
      </c>
      <c r="I76" s="5455"/>
      <c r="J76" s="5596"/>
      <c r="K76" s="5597"/>
      <c r="L76" s="5597"/>
      <c r="M76" s="5597"/>
      <c r="N76" s="5454"/>
      <c r="O76" s="5598">
        <f t="shared" si="2"/>
        <v>0</v>
      </c>
      <c r="P76" s="5460"/>
      <c r="Q76" s="5461"/>
      <c r="R76" s="5462"/>
      <c r="S76" s="5461"/>
      <c r="T76" s="5462"/>
      <c r="U76" s="5463"/>
    </row>
    <row r="77" spans="1:21" s="5601" customFormat="1" ht="33.75" customHeight="1">
      <c r="A77" s="5449">
        <v>22</v>
      </c>
      <c r="B77" s="5450">
        <v>46322</v>
      </c>
      <c r="C77" s="5450">
        <v>46322</v>
      </c>
      <c r="D77" s="5451">
        <v>0</v>
      </c>
      <c r="E77" s="5451">
        <v>0.5</v>
      </c>
      <c r="F77" s="5595">
        <v>0</v>
      </c>
      <c r="G77" s="5464" t="s">
        <v>6458</v>
      </c>
      <c r="H77" s="5454" t="s">
        <v>6454</v>
      </c>
      <c r="I77" s="5455"/>
      <c r="J77" s="5596"/>
      <c r="K77" s="5597"/>
      <c r="L77" s="5597"/>
      <c r="M77" s="5597"/>
      <c r="N77" s="5454"/>
      <c r="O77" s="5598">
        <f t="shared" si="2"/>
        <v>0</v>
      </c>
      <c r="P77" s="5460"/>
      <c r="Q77" s="5461"/>
      <c r="R77" s="5462"/>
      <c r="S77" s="5461"/>
      <c r="T77" s="5462"/>
      <c r="U77" s="5463"/>
    </row>
    <row r="78" spans="1:21" s="5601" customFormat="1" ht="33.75" customHeight="1">
      <c r="A78" s="5449">
        <v>23</v>
      </c>
      <c r="B78" s="5450">
        <v>46304</v>
      </c>
      <c r="C78" s="5450">
        <v>46321</v>
      </c>
      <c r="D78" s="5451">
        <v>0</v>
      </c>
      <c r="E78" s="5451">
        <v>1</v>
      </c>
      <c r="F78" s="5595">
        <v>0</v>
      </c>
      <c r="G78" s="5464" t="s">
        <v>6459</v>
      </c>
      <c r="H78" s="5454" t="s">
        <v>6454</v>
      </c>
      <c r="I78" s="5455"/>
      <c r="J78" s="5596"/>
      <c r="K78" s="5597"/>
      <c r="L78" s="5597"/>
      <c r="M78" s="5597"/>
      <c r="N78" s="5454"/>
      <c r="O78" s="5598">
        <f t="shared" si="2"/>
        <v>0</v>
      </c>
      <c r="P78" s="5460"/>
      <c r="Q78" s="5461"/>
      <c r="R78" s="5462"/>
      <c r="S78" s="5461"/>
      <c r="T78" s="5462"/>
      <c r="U78" s="5463"/>
    </row>
    <row r="79" spans="1:21" s="5601" customFormat="1" ht="33.75" customHeight="1">
      <c r="A79" s="5449">
        <v>24</v>
      </c>
      <c r="B79" s="5450">
        <v>46322</v>
      </c>
      <c r="C79" s="5450">
        <v>46322</v>
      </c>
      <c r="D79" s="5451">
        <v>0</v>
      </c>
      <c r="E79" s="5451">
        <v>0.5</v>
      </c>
      <c r="F79" s="5595">
        <v>0</v>
      </c>
      <c r="G79" s="5464" t="s">
        <v>6459</v>
      </c>
      <c r="H79" s="5454" t="s">
        <v>6454</v>
      </c>
      <c r="I79" s="5455"/>
      <c r="J79" s="5596"/>
      <c r="K79" s="5597"/>
      <c r="L79" s="5597"/>
      <c r="M79" s="5597"/>
      <c r="N79" s="5454"/>
      <c r="O79" s="5598">
        <f t="shared" si="2"/>
        <v>0</v>
      </c>
      <c r="P79" s="5460"/>
      <c r="Q79" s="5461"/>
      <c r="R79" s="5462"/>
      <c r="S79" s="5461"/>
      <c r="T79" s="5462"/>
      <c r="U79" s="5463"/>
    </row>
    <row r="80" spans="1:21" s="5601" customFormat="1" ht="33.75" customHeight="1">
      <c r="A80" s="5449">
        <v>25</v>
      </c>
      <c r="B80" s="5450">
        <v>46304</v>
      </c>
      <c r="C80" s="5450">
        <v>46321</v>
      </c>
      <c r="D80" s="5451">
        <v>0</v>
      </c>
      <c r="E80" s="5451">
        <v>1</v>
      </c>
      <c r="F80" s="5595">
        <v>0</v>
      </c>
      <c r="G80" s="5464" t="s">
        <v>6460</v>
      </c>
      <c r="H80" s="5454" t="s">
        <v>6454</v>
      </c>
      <c r="I80" s="5455"/>
      <c r="J80" s="5596"/>
      <c r="K80" s="5597"/>
      <c r="L80" s="5597"/>
      <c r="M80" s="5597"/>
      <c r="N80" s="5454"/>
      <c r="O80" s="5598">
        <f t="shared" si="2"/>
        <v>0</v>
      </c>
      <c r="P80" s="5460"/>
      <c r="Q80" s="5461"/>
      <c r="R80" s="5462"/>
      <c r="S80" s="5461"/>
      <c r="T80" s="5462"/>
      <c r="U80" s="5463"/>
    </row>
    <row r="81" spans="1:31" s="5601" customFormat="1" ht="33.75" customHeight="1">
      <c r="A81" s="5449">
        <v>26</v>
      </c>
      <c r="B81" s="5450">
        <v>46322</v>
      </c>
      <c r="C81" s="5450">
        <v>46322</v>
      </c>
      <c r="D81" s="5451">
        <v>0</v>
      </c>
      <c r="E81" s="5451">
        <v>0.5</v>
      </c>
      <c r="F81" s="5595">
        <v>0</v>
      </c>
      <c r="G81" s="5464" t="s">
        <v>6460</v>
      </c>
      <c r="H81" s="5454" t="s">
        <v>6454</v>
      </c>
      <c r="I81" s="5455"/>
      <c r="J81" s="5596"/>
      <c r="K81" s="5597"/>
      <c r="L81" s="5597"/>
      <c r="M81" s="5597"/>
      <c r="N81" s="5454"/>
      <c r="O81" s="5598">
        <f t="shared" si="2"/>
        <v>0</v>
      </c>
      <c r="P81" s="5460"/>
      <c r="Q81" s="5461"/>
      <c r="R81" s="5462"/>
      <c r="S81" s="5461"/>
      <c r="T81" s="5462"/>
      <c r="U81" s="5463"/>
    </row>
    <row r="82" spans="1:31" s="5601" customFormat="1" ht="33.75" customHeight="1">
      <c r="A82" s="5449">
        <v>27</v>
      </c>
      <c r="B82" s="5450">
        <v>46304</v>
      </c>
      <c r="C82" s="5450">
        <v>46321</v>
      </c>
      <c r="D82" s="5451">
        <v>0</v>
      </c>
      <c r="E82" s="5451">
        <v>1</v>
      </c>
      <c r="F82" s="5595">
        <v>0</v>
      </c>
      <c r="G82" s="5464" t="s">
        <v>6461</v>
      </c>
      <c r="H82" s="5454" t="s">
        <v>6454</v>
      </c>
      <c r="I82" s="5455"/>
      <c r="J82" s="5596"/>
      <c r="K82" s="5597"/>
      <c r="L82" s="5597"/>
      <c r="M82" s="5597"/>
      <c r="N82" s="5454"/>
      <c r="O82" s="5598">
        <f t="shared" si="2"/>
        <v>0</v>
      </c>
      <c r="P82" s="5460"/>
      <c r="Q82" s="5461"/>
      <c r="R82" s="5462"/>
      <c r="S82" s="5461"/>
      <c r="T82" s="5462"/>
      <c r="U82" s="5463"/>
    </row>
    <row r="83" spans="1:31" s="5601" customFormat="1" ht="33.75" customHeight="1">
      <c r="A83" s="5449">
        <v>28</v>
      </c>
      <c r="B83" s="5450">
        <v>46322</v>
      </c>
      <c r="C83" s="5450">
        <v>46322</v>
      </c>
      <c r="D83" s="5451">
        <v>0</v>
      </c>
      <c r="E83" s="5451">
        <v>0.5</v>
      </c>
      <c r="F83" s="5595">
        <v>0</v>
      </c>
      <c r="G83" s="5464" t="s">
        <v>6461</v>
      </c>
      <c r="H83" s="5454" t="s">
        <v>6454</v>
      </c>
      <c r="I83" s="5455"/>
      <c r="J83" s="5596"/>
      <c r="K83" s="5597"/>
      <c r="L83" s="5597"/>
      <c r="M83" s="5597"/>
      <c r="N83" s="5454"/>
      <c r="O83" s="5598">
        <f t="shared" si="2"/>
        <v>0</v>
      </c>
      <c r="P83" s="5460"/>
      <c r="Q83" s="5461"/>
      <c r="R83" s="5462"/>
      <c r="S83" s="5461"/>
      <c r="T83" s="5462"/>
      <c r="U83" s="5463"/>
    </row>
    <row r="84" spans="1:31" s="5601" customFormat="1" ht="33.75" customHeight="1">
      <c r="A84" s="5449">
        <v>29</v>
      </c>
      <c r="B84" s="5450">
        <v>46304</v>
      </c>
      <c r="C84" s="5450">
        <v>46321</v>
      </c>
      <c r="D84" s="5451">
        <v>0</v>
      </c>
      <c r="E84" s="5451">
        <v>1</v>
      </c>
      <c r="F84" s="5595">
        <v>0</v>
      </c>
      <c r="G84" s="5464" t="s">
        <v>6462</v>
      </c>
      <c r="H84" s="5454" t="s">
        <v>6454</v>
      </c>
      <c r="I84" s="5455"/>
      <c r="J84" s="5596"/>
      <c r="K84" s="5597"/>
      <c r="L84" s="5597"/>
      <c r="M84" s="5597"/>
      <c r="N84" s="5454"/>
      <c r="O84" s="5598">
        <f t="shared" si="2"/>
        <v>0</v>
      </c>
      <c r="P84" s="5460"/>
      <c r="Q84" s="5461"/>
      <c r="R84" s="5462"/>
      <c r="S84" s="5461"/>
      <c r="T84" s="5462"/>
      <c r="U84" s="5463"/>
    </row>
    <row r="85" spans="1:31" s="5601" customFormat="1" ht="33.75" customHeight="1">
      <c r="A85" s="5449">
        <v>30</v>
      </c>
      <c r="B85" s="5450">
        <v>46322</v>
      </c>
      <c r="C85" s="5450">
        <v>46322</v>
      </c>
      <c r="D85" s="5451">
        <v>0</v>
      </c>
      <c r="E85" s="5451">
        <v>0.5</v>
      </c>
      <c r="F85" s="5595">
        <v>0</v>
      </c>
      <c r="G85" s="5464" t="s">
        <v>6462</v>
      </c>
      <c r="H85" s="5454" t="s">
        <v>6454</v>
      </c>
      <c r="I85" s="5455"/>
      <c r="J85" s="5596"/>
      <c r="K85" s="5597"/>
      <c r="L85" s="5597"/>
      <c r="M85" s="5597"/>
      <c r="N85" s="5454"/>
      <c r="O85" s="5598">
        <f t="shared" si="2"/>
        <v>0</v>
      </c>
      <c r="P85" s="5460"/>
      <c r="Q85" s="5461"/>
      <c r="R85" s="5462"/>
      <c r="S85" s="5461"/>
      <c r="T85" s="5462"/>
      <c r="U85" s="5463"/>
    </row>
    <row r="86" spans="1:31" s="5601" customFormat="1" ht="33.75" customHeight="1">
      <c r="A86" s="5449">
        <v>31</v>
      </c>
      <c r="B86" s="5450">
        <v>46304</v>
      </c>
      <c r="C86" s="5450">
        <v>46321</v>
      </c>
      <c r="D86" s="5451">
        <v>0</v>
      </c>
      <c r="E86" s="5451">
        <v>1</v>
      </c>
      <c r="F86" s="5595">
        <v>0</v>
      </c>
      <c r="G86" s="5464" t="s">
        <v>6463</v>
      </c>
      <c r="H86" s="5454" t="s">
        <v>6454</v>
      </c>
      <c r="I86" s="5455"/>
      <c r="J86" s="5596"/>
      <c r="K86" s="5597"/>
      <c r="L86" s="5597"/>
      <c r="M86" s="5597"/>
      <c r="N86" s="5454"/>
      <c r="O86" s="5598">
        <f t="shared" si="2"/>
        <v>0</v>
      </c>
      <c r="P86" s="5460"/>
      <c r="Q86" s="5461"/>
      <c r="R86" s="5462"/>
      <c r="S86" s="5461"/>
      <c r="T86" s="5462"/>
      <c r="U86" s="5463"/>
    </row>
    <row r="87" spans="1:31" s="5601" customFormat="1" ht="33.75" customHeight="1">
      <c r="A87" s="5449">
        <v>32</v>
      </c>
      <c r="B87" s="5450">
        <v>46322</v>
      </c>
      <c r="C87" s="5450">
        <v>46322</v>
      </c>
      <c r="D87" s="5451">
        <v>0</v>
      </c>
      <c r="E87" s="5451">
        <v>0.5</v>
      </c>
      <c r="F87" s="5595">
        <v>0</v>
      </c>
      <c r="G87" s="5464" t="s">
        <v>6463</v>
      </c>
      <c r="H87" s="5454" t="s">
        <v>6454</v>
      </c>
      <c r="I87" s="5455"/>
      <c r="J87" s="5596"/>
      <c r="K87" s="5597"/>
      <c r="L87" s="5597"/>
      <c r="M87" s="5597"/>
      <c r="N87" s="5454"/>
      <c r="O87" s="5598">
        <f t="shared" si="2"/>
        <v>0</v>
      </c>
      <c r="P87" s="5460"/>
      <c r="Q87" s="5461"/>
      <c r="R87" s="5462"/>
      <c r="S87" s="5461"/>
      <c r="T87" s="5462"/>
      <c r="U87" s="5463"/>
    </row>
    <row r="88" spans="1:31" ht="33.75" customHeight="1">
      <c r="A88" s="4758">
        <v>33</v>
      </c>
      <c r="B88" s="4816">
        <v>46304</v>
      </c>
      <c r="C88" s="4816">
        <v>46321</v>
      </c>
      <c r="D88" s="4759">
        <v>0</v>
      </c>
      <c r="E88" s="4759">
        <v>1</v>
      </c>
      <c r="F88" s="4949">
        <f t="shared" si="3"/>
        <v>18</v>
      </c>
      <c r="G88" s="4771" t="s">
        <v>6464</v>
      </c>
      <c r="H88" s="4762" t="s">
        <v>6447</v>
      </c>
      <c r="I88" s="4763" t="s">
        <v>5784</v>
      </c>
      <c r="J88" s="4764"/>
      <c r="K88" s="4765"/>
      <c r="L88" s="4765">
        <v>40</v>
      </c>
      <c r="M88" s="4765">
        <v>2</v>
      </c>
      <c r="N88" s="4762">
        <v>212520</v>
      </c>
      <c r="O88" s="4766">
        <f t="shared" si="2"/>
        <v>3825360</v>
      </c>
      <c r="P88" s="4857" t="s">
        <v>2688</v>
      </c>
      <c r="Q88" s="4858" t="s">
        <v>5952</v>
      </c>
      <c r="R88" s="4859" t="s">
        <v>6151</v>
      </c>
      <c r="S88" s="4858">
        <v>0</v>
      </c>
      <c r="T88" s="4859" t="s">
        <v>6151</v>
      </c>
      <c r="U88" s="4860">
        <v>0</v>
      </c>
      <c r="AC88" s="4657"/>
    </row>
    <row r="89" spans="1:31" ht="33.75" customHeight="1">
      <c r="A89" s="4758">
        <v>34</v>
      </c>
      <c r="B89" s="4816">
        <v>46322</v>
      </c>
      <c r="C89" s="4816">
        <v>46322</v>
      </c>
      <c r="D89" s="4759">
        <v>0</v>
      </c>
      <c r="E89" s="4759">
        <v>0.5</v>
      </c>
      <c r="F89" s="4949">
        <f t="shared" si="3"/>
        <v>1</v>
      </c>
      <c r="G89" s="4771" t="s">
        <v>6464</v>
      </c>
      <c r="H89" s="4762" t="s">
        <v>6447</v>
      </c>
      <c r="I89" s="4763" t="s">
        <v>5784</v>
      </c>
      <c r="J89" s="4764"/>
      <c r="K89" s="4765"/>
      <c r="L89" s="4765">
        <v>40</v>
      </c>
      <c r="M89" s="4765">
        <v>2</v>
      </c>
      <c r="N89" s="4762">
        <v>106260</v>
      </c>
      <c r="O89" s="4766">
        <f t="shared" si="2"/>
        <v>106260</v>
      </c>
      <c r="P89" s="4857" t="s">
        <v>2688</v>
      </c>
      <c r="Q89" s="4858" t="s">
        <v>5952</v>
      </c>
      <c r="R89" s="4859" t="s">
        <v>6151</v>
      </c>
      <c r="S89" s="4858">
        <v>0</v>
      </c>
      <c r="T89" s="4859" t="s">
        <v>6151</v>
      </c>
      <c r="U89" s="4860">
        <v>0</v>
      </c>
      <c r="AC89" s="4657"/>
    </row>
    <row r="90" spans="1:31" ht="33.75" customHeight="1">
      <c r="A90" s="4758">
        <v>35</v>
      </c>
      <c r="B90" s="4816">
        <v>46304</v>
      </c>
      <c r="C90" s="4816">
        <v>46321</v>
      </c>
      <c r="D90" s="4759">
        <v>0</v>
      </c>
      <c r="E90" s="4759">
        <v>1</v>
      </c>
      <c r="F90" s="4949">
        <f t="shared" si="3"/>
        <v>18</v>
      </c>
      <c r="G90" s="4771" t="s">
        <v>6465</v>
      </c>
      <c r="H90" s="4762" t="s">
        <v>6456</v>
      </c>
      <c r="I90" s="4763" t="s">
        <v>5784</v>
      </c>
      <c r="J90" s="4764"/>
      <c r="K90" s="4765"/>
      <c r="L90" s="4765">
        <v>34</v>
      </c>
      <c r="M90" s="4765">
        <v>2</v>
      </c>
      <c r="N90" s="4762">
        <v>212520</v>
      </c>
      <c r="O90" s="4766">
        <f t="shared" si="2"/>
        <v>3825360</v>
      </c>
      <c r="P90" s="4857" t="s">
        <v>2688</v>
      </c>
      <c r="Q90" s="4858" t="s">
        <v>5952</v>
      </c>
      <c r="R90" s="4859" t="s">
        <v>6151</v>
      </c>
      <c r="S90" s="4858">
        <v>0</v>
      </c>
      <c r="T90" s="4859" t="s">
        <v>6151</v>
      </c>
      <c r="U90" s="4860">
        <v>0</v>
      </c>
      <c r="AC90" s="4657"/>
    </row>
    <row r="91" spans="1:31" ht="33.75" customHeight="1">
      <c r="A91" s="4758">
        <v>36</v>
      </c>
      <c r="B91" s="4816">
        <v>46322</v>
      </c>
      <c r="C91" s="4816">
        <v>46322</v>
      </c>
      <c r="D91" s="4759">
        <v>0</v>
      </c>
      <c r="E91" s="4759">
        <v>0.5</v>
      </c>
      <c r="F91" s="4949">
        <f t="shared" si="3"/>
        <v>1</v>
      </c>
      <c r="G91" s="4771" t="s">
        <v>6465</v>
      </c>
      <c r="H91" s="4762" t="s">
        <v>6456</v>
      </c>
      <c r="I91" s="4763" t="s">
        <v>5784</v>
      </c>
      <c r="J91" s="4764"/>
      <c r="K91" s="4765"/>
      <c r="L91" s="4765">
        <v>34</v>
      </c>
      <c r="M91" s="4765">
        <v>2</v>
      </c>
      <c r="N91" s="4762">
        <v>106260</v>
      </c>
      <c r="O91" s="4766">
        <f t="shared" si="2"/>
        <v>106260</v>
      </c>
      <c r="P91" s="4857" t="s">
        <v>2688</v>
      </c>
      <c r="Q91" s="4858" t="s">
        <v>5952</v>
      </c>
      <c r="R91" s="4859" t="s">
        <v>6151</v>
      </c>
      <c r="S91" s="4858">
        <v>0</v>
      </c>
      <c r="T91" s="4859" t="s">
        <v>6151</v>
      </c>
      <c r="U91" s="4860">
        <v>0</v>
      </c>
      <c r="AC91" s="4657"/>
    </row>
    <row r="92" spans="1:31" ht="33.75" customHeight="1">
      <c r="A92" s="4758">
        <v>37</v>
      </c>
      <c r="B92" s="4816">
        <v>46304</v>
      </c>
      <c r="C92" s="4816">
        <v>46321</v>
      </c>
      <c r="D92" s="4759">
        <v>0</v>
      </c>
      <c r="E92" s="4759">
        <v>1</v>
      </c>
      <c r="F92" s="4949">
        <f t="shared" si="3"/>
        <v>18</v>
      </c>
      <c r="G92" s="4771" t="s">
        <v>6466</v>
      </c>
      <c r="H92" s="4762" t="s">
        <v>6467</v>
      </c>
      <c r="I92" s="4763" t="s">
        <v>5878</v>
      </c>
      <c r="J92" s="4764"/>
      <c r="K92" s="4765"/>
      <c r="L92" s="4765">
        <v>134</v>
      </c>
      <c r="M92" s="4765">
        <v>3</v>
      </c>
      <c r="N92" s="4762">
        <v>280600</v>
      </c>
      <c r="O92" s="4766">
        <f t="shared" si="2"/>
        <v>5050800</v>
      </c>
      <c r="P92" s="4857" t="s">
        <v>2688</v>
      </c>
      <c r="Q92" s="4858" t="s">
        <v>5952</v>
      </c>
      <c r="R92" s="4859" t="s">
        <v>6151</v>
      </c>
      <c r="S92" s="4858">
        <v>0</v>
      </c>
      <c r="T92" s="4859" t="s">
        <v>6151</v>
      </c>
      <c r="U92" s="4860">
        <v>0</v>
      </c>
      <c r="AC92" s="4657"/>
    </row>
    <row r="93" spans="1:31" ht="33.75" customHeight="1" thickBot="1">
      <c r="A93" s="4758">
        <v>38</v>
      </c>
      <c r="B93" s="4816">
        <v>46322</v>
      </c>
      <c r="C93" s="4816">
        <v>46322</v>
      </c>
      <c r="D93" s="4759">
        <v>0</v>
      </c>
      <c r="E93" s="4759">
        <v>0.5</v>
      </c>
      <c r="F93" s="4949">
        <f t="shared" si="3"/>
        <v>1</v>
      </c>
      <c r="G93" s="5058" t="s">
        <v>6466</v>
      </c>
      <c r="H93" s="4762" t="s">
        <v>6467</v>
      </c>
      <c r="I93" s="4763" t="s">
        <v>5878</v>
      </c>
      <c r="J93" s="4764"/>
      <c r="K93" s="4765"/>
      <c r="L93" s="4765">
        <v>134</v>
      </c>
      <c r="M93" s="4765">
        <v>3</v>
      </c>
      <c r="N93" s="4762">
        <v>140300</v>
      </c>
      <c r="O93" s="4766">
        <f t="shared" si="2"/>
        <v>140300</v>
      </c>
      <c r="P93" s="4857" t="s">
        <v>2688</v>
      </c>
      <c r="Q93" s="4858" t="s">
        <v>5952</v>
      </c>
      <c r="R93" s="4859" t="s">
        <v>6151</v>
      </c>
      <c r="S93" s="4858">
        <v>0</v>
      </c>
      <c r="T93" s="4859" t="s">
        <v>6151</v>
      </c>
      <c r="U93" s="4860">
        <v>0</v>
      </c>
      <c r="AC93" s="4657"/>
    </row>
    <row r="94" spans="1:31" ht="33.75" customHeight="1" thickTop="1" thickBot="1">
      <c r="A94" s="4865" t="s">
        <v>5939</v>
      </c>
      <c r="B94" s="4866"/>
      <c r="C94" s="4866"/>
      <c r="D94" s="4866"/>
      <c r="E94" s="4866"/>
      <c r="F94" s="4867">
        <f>SUM(F56:F93)</f>
        <v>95</v>
      </c>
      <c r="G94" s="4866"/>
      <c r="H94" s="4868"/>
      <c r="I94" s="4782">
        <f>COUNTA(I62,I72,I88,I90,I92)</f>
        <v>5</v>
      </c>
      <c r="J94" s="4870"/>
      <c r="K94" s="4870"/>
      <c r="L94" s="4870"/>
      <c r="M94" s="4870"/>
      <c r="N94" s="4903"/>
      <c r="O94" s="4871">
        <f>SUM(O56:O93)</f>
        <v>41137340</v>
      </c>
      <c r="P94" s="4904"/>
      <c r="Q94" s="4904"/>
      <c r="R94" s="4905"/>
      <c r="S94" s="4906"/>
      <c r="T94" s="4905"/>
      <c r="U94" s="4907"/>
      <c r="AC94" s="4657"/>
    </row>
    <row r="95" spans="1:31" ht="33.75" customHeight="1" thickBot="1">
      <c r="A95" s="4876" t="s">
        <v>5792</v>
      </c>
      <c r="B95" s="4957"/>
      <c r="C95" s="4958"/>
      <c r="D95" s="4958"/>
      <c r="E95" s="4958"/>
      <c r="F95" s="4959"/>
      <c r="G95" s="4958"/>
      <c r="H95" s="4960"/>
      <c r="I95" s="4958"/>
      <c r="J95" s="4961"/>
      <c r="K95" s="4961"/>
      <c r="L95" s="4961"/>
      <c r="M95" s="4961"/>
      <c r="N95" s="4962"/>
      <c r="O95" s="5010">
        <f>O94*1.1</f>
        <v>45251074</v>
      </c>
      <c r="P95" s="4963"/>
      <c r="Q95" s="4963"/>
      <c r="R95" s="4964"/>
      <c r="S95" s="4965"/>
      <c r="T95" s="4964"/>
      <c r="U95" s="4966"/>
      <c r="V95" s="4941"/>
      <c r="W95" s="4941"/>
      <c r="X95" s="4941"/>
      <c r="Y95" s="4941"/>
      <c r="Z95" s="4941"/>
      <c r="AA95" s="4941"/>
      <c r="AB95" s="4941"/>
      <c r="AC95" s="4941"/>
      <c r="AD95" s="4941"/>
      <c r="AE95" s="4941"/>
    </row>
    <row r="96" spans="1:31" ht="32.15" customHeight="1">
      <c r="A96" s="4656"/>
      <c r="B96" s="4660"/>
      <c r="C96" s="4660"/>
      <c r="D96" s="4660"/>
      <c r="G96" s="4660"/>
      <c r="H96" s="4660"/>
      <c r="M96" s="4808" t="s">
        <v>5748</v>
      </c>
      <c r="N96" s="4809">
        <f>SUM(N62,N72,N88,N90,N92)</f>
        <v>2223640</v>
      </c>
      <c r="O96" s="4656"/>
      <c r="P96" s="4657"/>
      <c r="Q96" s="4657"/>
      <c r="AC96" s="4657"/>
    </row>
    <row r="97" spans="1:31" ht="32.15" customHeight="1">
      <c r="B97" s="4657"/>
      <c r="C97" s="4657"/>
      <c r="D97" s="4657"/>
      <c r="E97" s="4810"/>
      <c r="F97" s="4811"/>
      <c r="G97" s="4657"/>
      <c r="H97" s="4657"/>
      <c r="M97" s="4808" t="s">
        <v>5750</v>
      </c>
      <c r="N97" s="4809">
        <f>N96*1.1</f>
        <v>2446004</v>
      </c>
      <c r="O97" s="4656"/>
      <c r="P97" s="4657"/>
      <c r="Q97" s="4657"/>
      <c r="AC97" s="4657"/>
    </row>
    <row r="98" spans="1:31" ht="32.15" customHeight="1">
      <c r="A98" s="4812"/>
      <c r="B98" s="4813"/>
      <c r="C98" s="4813"/>
      <c r="D98" s="4813"/>
      <c r="E98" s="4814"/>
      <c r="F98" s="4814"/>
      <c r="G98" s="4813"/>
      <c r="H98" s="4813"/>
      <c r="I98" s="4812"/>
      <c r="J98" s="4812"/>
      <c r="K98" s="4812"/>
      <c r="L98" s="4812"/>
      <c r="M98" s="4812"/>
      <c r="N98" s="4812"/>
      <c r="O98" s="4715"/>
      <c r="P98" s="4715"/>
      <c r="Q98" s="4715"/>
      <c r="R98" s="4656"/>
      <c r="S98" s="4812"/>
      <c r="T98" s="4656"/>
      <c r="U98" s="4812"/>
      <c r="W98" s="6905"/>
      <c r="X98" s="6905"/>
      <c r="Y98" s="6905"/>
      <c r="Z98" s="6905"/>
      <c r="AA98" s="6905"/>
      <c r="AB98" s="6891"/>
      <c r="AC98" s="6891"/>
      <c r="AD98" s="6891"/>
      <c r="AE98" s="6891"/>
    </row>
    <row r="99" spans="1:31" ht="36" customHeight="1"/>
    <row r="100" spans="1:31" ht="36" customHeight="1"/>
    <row r="101" spans="1:31" ht="36" customHeight="1"/>
    <row r="102" spans="1:31" ht="36" customHeight="1"/>
    <row r="103" spans="1:31" ht="36" customHeight="1"/>
    <row r="104" spans="1:31" ht="36" customHeight="1"/>
    <row r="105" spans="1:31" ht="36" customHeight="1"/>
    <row r="106" spans="1:31" ht="36" customHeight="1"/>
    <row r="107" spans="1:31" ht="36" customHeight="1"/>
    <row r="108" spans="1:31" ht="36" customHeight="1"/>
    <row r="109" spans="1:31" ht="10.4" customHeight="1">
      <c r="B109" s="4657"/>
      <c r="C109" s="4657"/>
      <c r="D109" s="4657"/>
      <c r="G109" s="4657"/>
      <c r="H109" s="4657"/>
      <c r="O109" s="4656"/>
      <c r="P109" s="4657"/>
      <c r="Q109" s="4657"/>
      <c r="AC109" s="4657"/>
    </row>
  </sheetData>
  <mergeCells count="38">
    <mergeCell ref="A2:B2"/>
    <mergeCell ref="C2:G2"/>
    <mergeCell ref="A5:A6"/>
    <mergeCell ref="B5:B6"/>
    <mergeCell ref="C5:C6"/>
    <mergeCell ref="D5:D6"/>
    <mergeCell ref="E5:E6"/>
    <mergeCell ref="F5:F6"/>
    <mergeCell ref="G5:G6"/>
    <mergeCell ref="F53:F54"/>
    <mergeCell ref="H5:H6"/>
    <mergeCell ref="I5:I6"/>
    <mergeCell ref="J5:J6"/>
    <mergeCell ref="K5:K6"/>
    <mergeCell ref="G53:G54"/>
    <mergeCell ref="H53:H54"/>
    <mergeCell ref="I53:I54"/>
    <mergeCell ref="J53:J54"/>
    <mergeCell ref="K53:K54"/>
    <mergeCell ref="A53:A54"/>
    <mergeCell ref="B53:B54"/>
    <mergeCell ref="C53:C54"/>
    <mergeCell ref="D53:D54"/>
    <mergeCell ref="E53:E54"/>
    <mergeCell ref="L53:L54"/>
    <mergeCell ref="N5:N6"/>
    <mergeCell ref="O5:O6"/>
    <mergeCell ref="P5:Q5"/>
    <mergeCell ref="R5:U5"/>
    <mergeCell ref="L5:L6"/>
    <mergeCell ref="M5:M6"/>
    <mergeCell ref="AB98:AE98"/>
    <mergeCell ref="M53:M54"/>
    <mergeCell ref="N53:N54"/>
    <mergeCell ref="O53:O54"/>
    <mergeCell ref="P53:Q53"/>
    <mergeCell ref="R53:U53"/>
    <mergeCell ref="W98:AA98"/>
  </mergeCells>
  <phoneticPr fontId="2"/>
  <conditionalFormatting sqref="B8:E46 G8:N46">
    <cfRule type="containsBlanks" dxfId="119" priority="1">
      <formula>LEN(TRIM(B8))=0</formula>
    </cfRule>
  </conditionalFormatting>
  <conditionalFormatting sqref="B56:E93 P56:U93">
    <cfRule type="containsBlanks" dxfId="118" priority="3">
      <formula>LEN(TRIM(B56))=0</formula>
    </cfRule>
  </conditionalFormatting>
  <conditionalFormatting sqref="C2:D2">
    <cfRule type="containsBlanks" dxfId="117" priority="5">
      <formula>LEN(TRIM(C2))=0</formula>
    </cfRule>
  </conditionalFormatting>
  <conditionalFormatting sqref="G56:N93">
    <cfRule type="containsBlanks" dxfId="116" priority="2">
      <formula>LEN(TRIM(G56))=0</formula>
    </cfRule>
  </conditionalFormatting>
  <conditionalFormatting sqref="P8:U46">
    <cfRule type="containsBlanks" dxfId="115" priority="4">
      <formula>LEN(TRIM(P8))=0</formula>
    </cfRule>
  </conditionalFormatting>
  <dataValidations count="1">
    <dataValidation type="list" allowBlank="1" showInputMessage="1" showErrorMessage="1" sqref="I55:I93 I7:I46" xr:uid="{132185C2-7AA2-4429-8182-9AF953ACEC73}">
      <formula1>会場形態</formula1>
    </dataValidation>
  </dataValidations>
  <printOptions horizontalCentered="1"/>
  <pageMargins left="0.39370078740157483" right="0.39370078740157483" top="0.55118110236220474" bottom="0.55118110236220474" header="0.31496062992125984" footer="0.31496062992125984"/>
  <pageSetup paperSize="8" scale="65" fitToHeight="0" orientation="landscape" r:id="rId1"/>
  <headerFooter>
    <oddHeader>&amp;R&amp;G</oddHead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55C0-A80E-4BEB-ABF3-B76FF47A7482}">
  <sheetPr codeName="Sheet390">
    <tabColor rgb="FFFFFF66"/>
    <pageSetUpPr fitToPage="1"/>
  </sheetPr>
  <dimension ref="A1:AF65"/>
  <sheetViews>
    <sheetView topLeftCell="A8" zoomScale="55" zoomScaleNormal="55" zoomScaleSheetLayoutView="70" workbookViewId="0">
      <selection activeCell="B8" sqref="B8"/>
    </sheetView>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4.726562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6470</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6471</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 t="shared" ref="D7:D22" si="0">IF(_xlfn.DAYS(C7,B7)=0,"1",_xlfn.DAYS(C7,B7))</f>
        <v>2</v>
      </c>
      <c r="E7" s="4671">
        <v>46280</v>
      </c>
      <c r="F7" s="4672">
        <f t="shared" ref="F7:F22" si="1">IF(_xlfn.DAYS(E7,C7)=0,"1",_xlfn.DAYS(E7,C7))+1</f>
        <v>13</v>
      </c>
      <c r="G7" s="4673">
        <v>46282</v>
      </c>
      <c r="H7" s="4672">
        <f t="shared" ref="H7:H22" si="2">IF(_xlfn.DAYS(G7,E7)=0,"1",_xlfn.DAYS(G7,E7))-1</f>
        <v>1</v>
      </c>
      <c r="I7" s="4674" t="s">
        <v>5738</v>
      </c>
      <c r="J7" s="4675">
        <v>100</v>
      </c>
      <c r="K7" s="4676">
        <v>90</v>
      </c>
      <c r="L7" s="4677">
        <v>9000</v>
      </c>
      <c r="M7" s="4677">
        <v>10000</v>
      </c>
      <c r="N7" s="4971"/>
      <c r="O7" s="4677">
        <v>8000</v>
      </c>
      <c r="P7" s="4678">
        <f t="shared" ref="P7:P22" si="3">SUM(D7,F7,H7)*K7</f>
        <v>1440</v>
      </c>
      <c r="Q7" s="4679">
        <f t="shared" ref="Q7:Q22" si="4">(D7*L7+F7*M7+H7*O7)*K7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5065">
        <v>46274</v>
      </c>
      <c r="C8" s="5065">
        <v>46276</v>
      </c>
      <c r="D8" s="4672">
        <f t="shared" si="0"/>
        <v>2</v>
      </c>
      <c r="E8" s="4687">
        <v>46298</v>
      </c>
      <c r="F8" s="4698">
        <f t="shared" si="1"/>
        <v>23</v>
      </c>
      <c r="G8" s="4699">
        <v>46300</v>
      </c>
      <c r="H8" s="4672">
        <f t="shared" si="2"/>
        <v>1</v>
      </c>
      <c r="I8" s="4691" t="s">
        <v>4500</v>
      </c>
      <c r="J8" s="4692">
        <v>26</v>
      </c>
      <c r="K8" s="4693">
        <v>19</v>
      </c>
      <c r="L8" s="4692">
        <v>21500</v>
      </c>
      <c r="M8" s="4692">
        <v>23500</v>
      </c>
      <c r="N8" s="4971">
        <f>M8*K8</f>
        <v>446500</v>
      </c>
      <c r="O8" s="4692">
        <v>21500</v>
      </c>
      <c r="P8" s="4678">
        <f t="shared" si="3"/>
        <v>494</v>
      </c>
      <c r="Q8" s="4679">
        <f t="shared" si="4"/>
        <v>11495000</v>
      </c>
      <c r="R8" s="4692">
        <v>24</v>
      </c>
      <c r="S8" s="4680" t="s">
        <v>5742</v>
      </c>
      <c r="T8" s="4694">
        <v>24</v>
      </c>
      <c r="U8" s="4692">
        <v>1</v>
      </c>
      <c r="V8" s="4692">
        <v>122</v>
      </c>
      <c r="W8" s="4680" t="s">
        <v>4521</v>
      </c>
      <c r="X8" s="4695">
        <v>195</v>
      </c>
      <c r="Y8" s="4692">
        <v>1</v>
      </c>
      <c r="Z8" s="4692" t="s">
        <v>5743</v>
      </c>
      <c r="AA8" s="4683" t="s">
        <v>5035</v>
      </c>
      <c r="AB8" s="4692" t="s">
        <v>2814</v>
      </c>
      <c r="AC8" s="4683" t="s">
        <v>5050</v>
      </c>
      <c r="AD8" s="4692" t="s">
        <v>2814</v>
      </c>
      <c r="AE8" s="4696"/>
      <c r="AF8" s="4685">
        <f t="shared" ref="AF8:AF22" si="5">U8*K8</f>
        <v>19</v>
      </c>
    </row>
    <row r="9" spans="1:32" ht="33.75" customHeight="1">
      <c r="A9" s="4686">
        <v>2</v>
      </c>
      <c r="B9" s="5065">
        <v>46274</v>
      </c>
      <c r="C9" s="5065">
        <v>46276</v>
      </c>
      <c r="D9" s="4672">
        <f t="shared" si="0"/>
        <v>2</v>
      </c>
      <c r="E9" s="4687">
        <v>46298</v>
      </c>
      <c r="F9" s="4698">
        <f t="shared" si="1"/>
        <v>23</v>
      </c>
      <c r="G9" s="4699">
        <v>46300</v>
      </c>
      <c r="H9" s="4672">
        <f t="shared" si="2"/>
        <v>1</v>
      </c>
      <c r="I9" s="4691" t="s">
        <v>5058</v>
      </c>
      <c r="J9" s="4692">
        <v>6</v>
      </c>
      <c r="K9" s="4693">
        <v>5</v>
      </c>
      <c r="L9" s="4692">
        <v>26000</v>
      </c>
      <c r="M9" s="4692">
        <v>28000</v>
      </c>
      <c r="N9" s="4971">
        <f t="shared" ref="N9:N20" si="6">M9*K9</f>
        <v>140000</v>
      </c>
      <c r="O9" s="4692">
        <v>26000</v>
      </c>
      <c r="P9" s="4678">
        <f t="shared" si="3"/>
        <v>130</v>
      </c>
      <c r="Q9" s="4679">
        <f t="shared" si="4"/>
        <v>3610000</v>
      </c>
      <c r="R9" s="4692">
        <v>30</v>
      </c>
      <c r="S9" s="4680" t="s">
        <v>5742</v>
      </c>
      <c r="T9" s="4694">
        <v>30</v>
      </c>
      <c r="U9" s="4692">
        <v>1</v>
      </c>
      <c r="V9" s="4692">
        <v>147</v>
      </c>
      <c r="W9" s="4680" t="s">
        <v>4521</v>
      </c>
      <c r="X9" s="4695">
        <v>195</v>
      </c>
      <c r="Y9" s="4692">
        <v>1</v>
      </c>
      <c r="Z9" s="4692" t="s">
        <v>5743</v>
      </c>
      <c r="AA9" s="4683" t="s">
        <v>5035</v>
      </c>
      <c r="AB9" s="4692" t="s">
        <v>2814</v>
      </c>
      <c r="AC9" s="4683" t="s">
        <v>5050</v>
      </c>
      <c r="AD9" s="4692" t="s">
        <v>2814</v>
      </c>
      <c r="AE9" s="4696"/>
      <c r="AF9" s="4685">
        <f t="shared" si="5"/>
        <v>5</v>
      </c>
    </row>
    <row r="10" spans="1:32" ht="33.75" customHeight="1">
      <c r="A10" s="4686">
        <v>3</v>
      </c>
      <c r="B10" s="5065">
        <v>46274</v>
      </c>
      <c r="C10" s="5065">
        <v>46276</v>
      </c>
      <c r="D10" s="4672">
        <f t="shared" si="0"/>
        <v>2</v>
      </c>
      <c r="E10" s="4687">
        <v>46298</v>
      </c>
      <c r="F10" s="4698">
        <f t="shared" si="1"/>
        <v>23</v>
      </c>
      <c r="G10" s="4699">
        <v>46300</v>
      </c>
      <c r="H10" s="4672">
        <f t="shared" si="2"/>
        <v>1</v>
      </c>
      <c r="I10" s="4691" t="s">
        <v>5069</v>
      </c>
      <c r="J10" s="4692">
        <v>48</v>
      </c>
      <c r="K10" s="4693">
        <v>37</v>
      </c>
      <c r="L10" s="4692">
        <v>36000</v>
      </c>
      <c r="M10" s="4692">
        <v>38000</v>
      </c>
      <c r="N10" s="4971">
        <f t="shared" si="6"/>
        <v>1406000</v>
      </c>
      <c r="O10" s="4692">
        <v>36000</v>
      </c>
      <c r="P10" s="4678">
        <f t="shared" si="3"/>
        <v>962</v>
      </c>
      <c r="Q10" s="4679">
        <f t="shared" si="4"/>
        <v>36334000</v>
      </c>
      <c r="R10" s="4692">
        <v>38</v>
      </c>
      <c r="S10" s="4680" t="s">
        <v>5742</v>
      </c>
      <c r="T10" s="4694">
        <v>38</v>
      </c>
      <c r="U10" s="4692">
        <v>2</v>
      </c>
      <c r="V10" s="4692">
        <v>122</v>
      </c>
      <c r="W10" s="4680" t="s">
        <v>4521</v>
      </c>
      <c r="X10" s="4695">
        <v>203</v>
      </c>
      <c r="Y10" s="4692">
        <v>2</v>
      </c>
      <c r="Z10" s="4692" t="s">
        <v>5743</v>
      </c>
      <c r="AA10" s="4683" t="s">
        <v>5035</v>
      </c>
      <c r="AB10" s="4692" t="s">
        <v>2814</v>
      </c>
      <c r="AC10" s="4683" t="s">
        <v>5050</v>
      </c>
      <c r="AD10" s="4692" t="s">
        <v>2814</v>
      </c>
      <c r="AE10" s="4696"/>
      <c r="AF10" s="4685">
        <f t="shared" si="5"/>
        <v>74</v>
      </c>
    </row>
    <row r="11" spans="1:32" ht="33.75" customHeight="1">
      <c r="A11" s="4686">
        <v>4</v>
      </c>
      <c r="B11" s="5065">
        <v>46274</v>
      </c>
      <c r="C11" s="5065">
        <v>46276</v>
      </c>
      <c r="D11" s="4672">
        <f t="shared" si="0"/>
        <v>2</v>
      </c>
      <c r="E11" s="4687">
        <v>46298</v>
      </c>
      <c r="F11" s="4698">
        <f t="shared" si="1"/>
        <v>23</v>
      </c>
      <c r="G11" s="4699">
        <v>46300</v>
      </c>
      <c r="H11" s="4672">
        <f t="shared" si="2"/>
        <v>1</v>
      </c>
      <c r="I11" s="4691" t="s">
        <v>6472</v>
      </c>
      <c r="J11" s="4692">
        <v>92</v>
      </c>
      <c r="K11" s="4693">
        <v>59</v>
      </c>
      <c r="L11" s="4692">
        <v>37000</v>
      </c>
      <c r="M11" s="4692">
        <v>39000</v>
      </c>
      <c r="N11" s="4971">
        <f t="shared" si="6"/>
        <v>2301000</v>
      </c>
      <c r="O11" s="4692">
        <v>37000</v>
      </c>
      <c r="P11" s="4678">
        <f t="shared" si="3"/>
        <v>1534</v>
      </c>
      <c r="Q11" s="4679">
        <f t="shared" si="4"/>
        <v>59472000</v>
      </c>
      <c r="R11" s="4692">
        <v>38</v>
      </c>
      <c r="S11" s="4680" t="s">
        <v>5742</v>
      </c>
      <c r="T11" s="4694">
        <v>38</v>
      </c>
      <c r="U11" s="4692">
        <v>2</v>
      </c>
      <c r="V11" s="4692">
        <v>122</v>
      </c>
      <c r="W11" s="4680" t="s">
        <v>4521</v>
      </c>
      <c r="X11" s="4695">
        <v>203</v>
      </c>
      <c r="Y11" s="4692">
        <v>2</v>
      </c>
      <c r="Z11" s="4692" t="s">
        <v>5743</v>
      </c>
      <c r="AA11" s="4683" t="s">
        <v>5035</v>
      </c>
      <c r="AB11" s="4692" t="s">
        <v>2814</v>
      </c>
      <c r="AC11" s="4683" t="s">
        <v>5050</v>
      </c>
      <c r="AD11" s="4692" t="s">
        <v>2814</v>
      </c>
      <c r="AE11" s="4696"/>
      <c r="AF11" s="4685">
        <f t="shared" si="5"/>
        <v>118</v>
      </c>
    </row>
    <row r="12" spans="1:32" ht="33.75" customHeight="1">
      <c r="A12" s="4686">
        <v>5</v>
      </c>
      <c r="B12" s="5065">
        <v>46274</v>
      </c>
      <c r="C12" s="5065">
        <v>46276</v>
      </c>
      <c r="D12" s="4672">
        <f t="shared" si="0"/>
        <v>2</v>
      </c>
      <c r="E12" s="4687">
        <v>46298</v>
      </c>
      <c r="F12" s="4698">
        <f t="shared" si="1"/>
        <v>23</v>
      </c>
      <c r="G12" s="4699">
        <v>46300</v>
      </c>
      <c r="H12" s="4672">
        <f t="shared" si="2"/>
        <v>1</v>
      </c>
      <c r="I12" s="4691" t="s">
        <v>5186</v>
      </c>
      <c r="J12" s="4692">
        <v>14</v>
      </c>
      <c r="K12" s="4693">
        <v>9</v>
      </c>
      <c r="L12" s="4692">
        <v>62000</v>
      </c>
      <c r="M12" s="4692">
        <v>66000</v>
      </c>
      <c r="N12" s="4971">
        <f t="shared" si="6"/>
        <v>594000</v>
      </c>
      <c r="O12" s="4692">
        <v>62000</v>
      </c>
      <c r="P12" s="4678">
        <f t="shared" si="3"/>
        <v>234</v>
      </c>
      <c r="Q12" s="4679">
        <f t="shared" si="4"/>
        <v>15336000</v>
      </c>
      <c r="R12" s="4692">
        <v>64</v>
      </c>
      <c r="S12" s="4680" t="s">
        <v>5742</v>
      </c>
      <c r="T12" s="4694">
        <v>64</v>
      </c>
      <c r="U12" s="4692">
        <v>2</v>
      </c>
      <c r="V12" s="4692">
        <v>122</v>
      </c>
      <c r="W12" s="4680" t="s">
        <v>4521</v>
      </c>
      <c r="X12" s="4695">
        <v>203</v>
      </c>
      <c r="Y12" s="4692">
        <v>2</v>
      </c>
      <c r="Z12" s="4692" t="s">
        <v>5743</v>
      </c>
      <c r="AA12" s="4683" t="s">
        <v>5035</v>
      </c>
      <c r="AB12" s="4692" t="s">
        <v>2814</v>
      </c>
      <c r="AC12" s="4683" t="s">
        <v>5050</v>
      </c>
      <c r="AD12" s="4692" t="s">
        <v>2814</v>
      </c>
      <c r="AE12" s="4696"/>
      <c r="AF12" s="4685">
        <f t="shared" si="5"/>
        <v>18</v>
      </c>
    </row>
    <row r="13" spans="1:32" ht="33.75" customHeight="1">
      <c r="A13" s="4686">
        <v>6</v>
      </c>
      <c r="B13" s="5065">
        <v>46274</v>
      </c>
      <c r="C13" s="5065">
        <v>46276</v>
      </c>
      <c r="D13" s="4672">
        <f t="shared" si="0"/>
        <v>2</v>
      </c>
      <c r="E13" s="4687">
        <v>46298</v>
      </c>
      <c r="F13" s="4698">
        <f t="shared" si="1"/>
        <v>23</v>
      </c>
      <c r="G13" s="4699">
        <v>46300</v>
      </c>
      <c r="H13" s="4672">
        <f t="shared" si="2"/>
        <v>1</v>
      </c>
      <c r="I13" s="4691" t="s">
        <v>5045</v>
      </c>
      <c r="J13" s="4692">
        <v>2</v>
      </c>
      <c r="K13" s="4693">
        <v>2</v>
      </c>
      <c r="L13" s="4692">
        <v>66000</v>
      </c>
      <c r="M13" s="4692">
        <v>70000</v>
      </c>
      <c r="N13" s="4971">
        <f t="shared" si="6"/>
        <v>140000</v>
      </c>
      <c r="O13" s="4692">
        <v>66000</v>
      </c>
      <c r="P13" s="4678">
        <f t="shared" si="3"/>
        <v>52</v>
      </c>
      <c r="Q13" s="4679">
        <f t="shared" si="4"/>
        <v>3616000</v>
      </c>
      <c r="R13" s="4692">
        <v>75</v>
      </c>
      <c r="S13" s="4680" t="s">
        <v>5742</v>
      </c>
      <c r="T13" s="4694">
        <v>75</v>
      </c>
      <c r="U13" s="4692">
        <v>2</v>
      </c>
      <c r="V13" s="4692"/>
      <c r="W13" s="4680" t="s">
        <v>4521</v>
      </c>
      <c r="X13" s="4695"/>
      <c r="Y13" s="4692">
        <v>0</v>
      </c>
      <c r="Z13" s="4692" t="s">
        <v>6473</v>
      </c>
      <c r="AA13" s="4683" t="s">
        <v>5035</v>
      </c>
      <c r="AB13" s="4692" t="s">
        <v>2814</v>
      </c>
      <c r="AC13" s="4683" t="s">
        <v>5050</v>
      </c>
      <c r="AD13" s="4692" t="s">
        <v>2814</v>
      </c>
      <c r="AE13" s="4696"/>
      <c r="AF13" s="4685">
        <f t="shared" si="5"/>
        <v>4</v>
      </c>
    </row>
    <row r="14" spans="1:32" ht="33.75" customHeight="1">
      <c r="A14" s="4686">
        <v>7</v>
      </c>
      <c r="B14" s="5065">
        <v>46274</v>
      </c>
      <c r="C14" s="5065">
        <v>46276</v>
      </c>
      <c r="D14" s="4672">
        <f t="shared" si="0"/>
        <v>2</v>
      </c>
      <c r="E14" s="4687">
        <v>46298</v>
      </c>
      <c r="F14" s="4698">
        <f t="shared" si="1"/>
        <v>23</v>
      </c>
      <c r="G14" s="4699">
        <v>46300</v>
      </c>
      <c r="H14" s="4672">
        <f t="shared" si="2"/>
        <v>1</v>
      </c>
      <c r="I14" s="4691" t="s">
        <v>5052</v>
      </c>
      <c r="J14" s="4692">
        <v>1</v>
      </c>
      <c r="K14" s="4693">
        <v>1</v>
      </c>
      <c r="L14" s="4692">
        <v>66000</v>
      </c>
      <c r="M14" s="4692">
        <v>70000</v>
      </c>
      <c r="N14" s="4971">
        <f>M14*K14</f>
        <v>70000</v>
      </c>
      <c r="O14" s="4692">
        <v>66000</v>
      </c>
      <c r="P14" s="4678">
        <f t="shared" si="3"/>
        <v>26</v>
      </c>
      <c r="Q14" s="4679">
        <f t="shared" si="4"/>
        <v>1808000</v>
      </c>
      <c r="R14" s="4692">
        <v>75</v>
      </c>
      <c r="S14" s="4680" t="s">
        <v>5742</v>
      </c>
      <c r="T14" s="4694">
        <v>75</v>
      </c>
      <c r="U14" s="4692">
        <v>2</v>
      </c>
      <c r="V14" s="4692">
        <v>122</v>
      </c>
      <c r="W14" s="4680" t="s">
        <v>4521</v>
      </c>
      <c r="X14" s="4695">
        <v>203</v>
      </c>
      <c r="Y14" s="4692">
        <v>2</v>
      </c>
      <c r="Z14" s="4692" t="s">
        <v>6473</v>
      </c>
      <c r="AA14" s="4683" t="s">
        <v>5035</v>
      </c>
      <c r="AB14" s="4692" t="s">
        <v>2814</v>
      </c>
      <c r="AC14" s="4683" t="s">
        <v>5050</v>
      </c>
      <c r="AD14" s="4692" t="s">
        <v>2814</v>
      </c>
      <c r="AE14" s="4696"/>
      <c r="AF14" s="4685">
        <f t="shared" si="5"/>
        <v>2</v>
      </c>
    </row>
    <row r="15" spans="1:32" ht="33.75" customHeight="1">
      <c r="A15" s="4686">
        <v>8</v>
      </c>
      <c r="B15" s="5065">
        <v>46274</v>
      </c>
      <c r="C15" s="5065">
        <v>46276</v>
      </c>
      <c r="D15" s="4672">
        <f t="shared" si="0"/>
        <v>2</v>
      </c>
      <c r="E15" s="4687">
        <v>46298</v>
      </c>
      <c r="F15" s="4698">
        <f t="shared" si="1"/>
        <v>23</v>
      </c>
      <c r="G15" s="4699">
        <v>46300</v>
      </c>
      <c r="H15" s="4672">
        <f t="shared" si="2"/>
        <v>1</v>
      </c>
      <c r="I15" s="4691" t="s">
        <v>5171</v>
      </c>
      <c r="J15" s="4692">
        <v>1</v>
      </c>
      <c r="K15" s="4693"/>
      <c r="L15" s="4692"/>
      <c r="M15" s="4692"/>
      <c r="N15" s="4971">
        <f t="shared" si="6"/>
        <v>0</v>
      </c>
      <c r="O15" s="4692"/>
      <c r="P15" s="4678">
        <f t="shared" si="3"/>
        <v>0</v>
      </c>
      <c r="Q15" s="4679">
        <f t="shared" si="4"/>
        <v>0</v>
      </c>
      <c r="R15" s="4692">
        <v>75</v>
      </c>
      <c r="S15" s="4680" t="s">
        <v>5742</v>
      </c>
      <c r="T15" s="4694">
        <v>75</v>
      </c>
      <c r="U15" s="4692">
        <v>2</v>
      </c>
      <c r="V15" s="4692">
        <v>122</v>
      </c>
      <c r="W15" s="4680" t="s">
        <v>4521</v>
      </c>
      <c r="X15" s="4695">
        <v>203</v>
      </c>
      <c r="Y15" s="4692">
        <v>2</v>
      </c>
      <c r="Z15" s="4692" t="s">
        <v>5743</v>
      </c>
      <c r="AA15" s="4683" t="s">
        <v>5035</v>
      </c>
      <c r="AB15" s="4692" t="s">
        <v>2814</v>
      </c>
      <c r="AC15" s="4683" t="s">
        <v>5050</v>
      </c>
      <c r="AD15" s="4692" t="s">
        <v>2814</v>
      </c>
      <c r="AE15" s="4696"/>
      <c r="AF15" s="4685">
        <f t="shared" si="5"/>
        <v>0</v>
      </c>
    </row>
    <row r="16" spans="1:32" ht="33.75" customHeight="1">
      <c r="A16" s="4686">
        <v>9</v>
      </c>
      <c r="B16" s="5065">
        <v>46274</v>
      </c>
      <c r="C16" s="5065">
        <v>46276</v>
      </c>
      <c r="D16" s="4672">
        <f t="shared" si="0"/>
        <v>2</v>
      </c>
      <c r="E16" s="4687">
        <v>46298</v>
      </c>
      <c r="F16" s="4698">
        <f t="shared" si="1"/>
        <v>23</v>
      </c>
      <c r="G16" s="4699">
        <v>46300</v>
      </c>
      <c r="H16" s="4672">
        <f t="shared" si="2"/>
        <v>1</v>
      </c>
      <c r="I16" s="4691" t="s">
        <v>5122</v>
      </c>
      <c r="J16" s="4692">
        <v>1</v>
      </c>
      <c r="K16" s="4693"/>
      <c r="L16" s="4692"/>
      <c r="M16" s="4692"/>
      <c r="N16" s="4971">
        <f t="shared" si="6"/>
        <v>0</v>
      </c>
      <c r="O16" s="4692"/>
      <c r="P16" s="4678">
        <f t="shared" si="3"/>
        <v>0</v>
      </c>
      <c r="Q16" s="4679">
        <f t="shared" si="4"/>
        <v>0</v>
      </c>
      <c r="R16" s="4692">
        <v>75</v>
      </c>
      <c r="S16" s="4680" t="s">
        <v>5742</v>
      </c>
      <c r="T16" s="4694">
        <v>75</v>
      </c>
      <c r="U16" s="4692">
        <v>2</v>
      </c>
      <c r="V16" s="4692">
        <v>122</v>
      </c>
      <c r="W16" s="4680" t="s">
        <v>4521</v>
      </c>
      <c r="X16" s="4695">
        <v>203</v>
      </c>
      <c r="Y16" s="4692">
        <v>2</v>
      </c>
      <c r="Z16" s="4692" t="s">
        <v>5743</v>
      </c>
      <c r="AA16" s="4683" t="s">
        <v>5035</v>
      </c>
      <c r="AB16" s="4692" t="s">
        <v>2814</v>
      </c>
      <c r="AC16" s="4683" t="s">
        <v>5050</v>
      </c>
      <c r="AD16" s="4692" t="s">
        <v>2814</v>
      </c>
      <c r="AE16" s="4696"/>
      <c r="AF16" s="4685">
        <f t="shared" si="5"/>
        <v>0</v>
      </c>
    </row>
    <row r="17" spans="1:32" ht="33.75" customHeight="1">
      <c r="A17" s="4686">
        <v>10</v>
      </c>
      <c r="B17" s="5065">
        <v>46274</v>
      </c>
      <c r="C17" s="5065">
        <v>46276</v>
      </c>
      <c r="D17" s="4672">
        <f t="shared" si="0"/>
        <v>2</v>
      </c>
      <c r="E17" s="4687">
        <v>46298</v>
      </c>
      <c r="F17" s="4698">
        <f t="shared" si="1"/>
        <v>23</v>
      </c>
      <c r="G17" s="4699">
        <v>46300</v>
      </c>
      <c r="H17" s="4672">
        <f t="shared" si="2"/>
        <v>1</v>
      </c>
      <c r="I17" s="4691" t="s">
        <v>5141</v>
      </c>
      <c r="J17" s="4692">
        <v>1</v>
      </c>
      <c r="K17" s="4693"/>
      <c r="L17" s="4692"/>
      <c r="M17" s="4692"/>
      <c r="N17" s="4971">
        <f t="shared" si="6"/>
        <v>0</v>
      </c>
      <c r="O17" s="4692"/>
      <c r="P17" s="4678">
        <f t="shared" si="3"/>
        <v>0</v>
      </c>
      <c r="Q17" s="4679">
        <f t="shared" si="4"/>
        <v>0</v>
      </c>
      <c r="R17" s="4692">
        <v>38</v>
      </c>
      <c r="S17" s="4680" t="s">
        <v>5742</v>
      </c>
      <c r="T17" s="4694">
        <v>38</v>
      </c>
      <c r="U17" s="4692">
        <v>2</v>
      </c>
      <c r="V17" s="4692">
        <v>122</v>
      </c>
      <c r="W17" s="4680" t="s">
        <v>4521</v>
      </c>
      <c r="X17" s="4695">
        <v>203</v>
      </c>
      <c r="Y17" s="4692">
        <v>2</v>
      </c>
      <c r="Z17" s="4692" t="s">
        <v>5743</v>
      </c>
      <c r="AA17" s="4683" t="s">
        <v>5035</v>
      </c>
      <c r="AB17" s="4692" t="s">
        <v>2814</v>
      </c>
      <c r="AC17" s="4683" t="s">
        <v>5050</v>
      </c>
      <c r="AD17" s="4692" t="s">
        <v>2814</v>
      </c>
      <c r="AE17" s="4696"/>
      <c r="AF17" s="4685">
        <f t="shared" si="5"/>
        <v>0</v>
      </c>
    </row>
    <row r="18" spans="1:32" ht="33.75" customHeight="1">
      <c r="A18" s="4686">
        <v>11</v>
      </c>
      <c r="B18" s="5065">
        <v>46274</v>
      </c>
      <c r="C18" s="5065">
        <v>46276</v>
      </c>
      <c r="D18" s="4672">
        <f t="shared" si="0"/>
        <v>2</v>
      </c>
      <c r="E18" s="4687">
        <v>46298</v>
      </c>
      <c r="F18" s="4698">
        <f t="shared" si="1"/>
        <v>23</v>
      </c>
      <c r="G18" s="4699">
        <v>46300</v>
      </c>
      <c r="H18" s="4672">
        <f t="shared" si="2"/>
        <v>1</v>
      </c>
      <c r="I18" s="4691" t="s">
        <v>6474</v>
      </c>
      <c r="J18" s="4692">
        <v>2</v>
      </c>
      <c r="K18" s="4693">
        <v>2</v>
      </c>
      <c r="L18" s="4692">
        <v>44000</v>
      </c>
      <c r="M18" s="4692">
        <v>48000</v>
      </c>
      <c r="N18" s="4971">
        <f t="shared" si="6"/>
        <v>96000</v>
      </c>
      <c r="O18" s="4692">
        <v>44000</v>
      </c>
      <c r="P18" s="4678">
        <f t="shared" si="3"/>
        <v>52</v>
      </c>
      <c r="Q18" s="4679">
        <f t="shared" si="4"/>
        <v>2472000</v>
      </c>
      <c r="R18" s="4692">
        <v>38</v>
      </c>
      <c r="S18" s="4680" t="s">
        <v>5742</v>
      </c>
      <c r="T18" s="4694">
        <v>38</v>
      </c>
      <c r="U18" s="4692">
        <v>2</v>
      </c>
      <c r="V18" s="4692">
        <v>122</v>
      </c>
      <c r="W18" s="4680" t="s">
        <v>4521</v>
      </c>
      <c r="X18" s="4695">
        <v>203</v>
      </c>
      <c r="Y18" s="4692">
        <v>2</v>
      </c>
      <c r="Z18" s="4692" t="s">
        <v>5743</v>
      </c>
      <c r="AA18" s="4683" t="s">
        <v>5035</v>
      </c>
      <c r="AB18" s="4692" t="s">
        <v>2814</v>
      </c>
      <c r="AC18" s="4683" t="s">
        <v>5050</v>
      </c>
      <c r="AD18" s="4692" t="s">
        <v>2814</v>
      </c>
      <c r="AE18" s="4696"/>
      <c r="AF18" s="4685">
        <f t="shared" si="5"/>
        <v>4</v>
      </c>
    </row>
    <row r="19" spans="1:32" ht="33.75" customHeight="1">
      <c r="A19" s="4686">
        <v>12</v>
      </c>
      <c r="B19" s="5065">
        <v>46274</v>
      </c>
      <c r="C19" s="5065">
        <v>46276</v>
      </c>
      <c r="D19" s="4672">
        <f t="shared" si="0"/>
        <v>2</v>
      </c>
      <c r="E19" s="4687">
        <v>46298</v>
      </c>
      <c r="F19" s="4698">
        <f t="shared" si="1"/>
        <v>23</v>
      </c>
      <c r="G19" s="4699">
        <v>46300</v>
      </c>
      <c r="H19" s="4672">
        <v>1</v>
      </c>
      <c r="I19" s="4691" t="s">
        <v>6475</v>
      </c>
      <c r="J19" s="4692">
        <v>3</v>
      </c>
      <c r="K19" s="4693">
        <v>3</v>
      </c>
      <c r="L19" s="4692">
        <v>45000</v>
      </c>
      <c r="M19" s="4692">
        <v>49000</v>
      </c>
      <c r="N19" s="4971">
        <f t="shared" si="6"/>
        <v>147000</v>
      </c>
      <c r="O19" s="4692">
        <v>45000</v>
      </c>
      <c r="P19" s="4678">
        <f t="shared" si="3"/>
        <v>78</v>
      </c>
      <c r="Q19" s="4679">
        <f t="shared" si="4"/>
        <v>3786000</v>
      </c>
      <c r="R19" s="4692">
        <v>38</v>
      </c>
      <c r="S19" s="4680" t="s">
        <v>5742</v>
      </c>
      <c r="T19" s="4694">
        <v>38</v>
      </c>
      <c r="U19" s="4692">
        <v>2</v>
      </c>
      <c r="V19" s="4692">
        <v>122</v>
      </c>
      <c r="W19" s="4680" t="s">
        <v>4521</v>
      </c>
      <c r="X19" s="4695">
        <v>203</v>
      </c>
      <c r="Y19" s="4692">
        <v>2</v>
      </c>
      <c r="Z19" s="4692" t="s">
        <v>5743</v>
      </c>
      <c r="AA19" s="4683" t="s">
        <v>5035</v>
      </c>
      <c r="AB19" s="4692" t="s">
        <v>2814</v>
      </c>
      <c r="AC19" s="4683" t="s">
        <v>5050</v>
      </c>
      <c r="AD19" s="4692" t="s">
        <v>2814</v>
      </c>
      <c r="AE19" s="4696"/>
      <c r="AF19" s="4685">
        <f t="shared" si="5"/>
        <v>6</v>
      </c>
    </row>
    <row r="20" spans="1:32" ht="33.75" customHeight="1">
      <c r="A20" s="4686">
        <v>13</v>
      </c>
      <c r="B20" s="5065">
        <v>46274</v>
      </c>
      <c r="C20" s="5065">
        <v>46276</v>
      </c>
      <c r="D20" s="4672">
        <f t="shared" si="0"/>
        <v>2</v>
      </c>
      <c r="E20" s="4687">
        <v>46298</v>
      </c>
      <c r="F20" s="4698">
        <f t="shared" si="1"/>
        <v>23</v>
      </c>
      <c r="G20" s="4699">
        <v>46300</v>
      </c>
      <c r="H20" s="4672">
        <v>1</v>
      </c>
      <c r="I20" s="4691" t="s">
        <v>6476</v>
      </c>
      <c r="J20" s="4692">
        <v>1</v>
      </c>
      <c r="K20" s="4693">
        <v>1</v>
      </c>
      <c r="L20" s="4692">
        <v>72000</v>
      </c>
      <c r="M20" s="4692">
        <v>76000</v>
      </c>
      <c r="N20" s="4971">
        <f t="shared" si="6"/>
        <v>76000</v>
      </c>
      <c r="O20" s="4692">
        <v>72000</v>
      </c>
      <c r="P20" s="4678">
        <f t="shared" si="3"/>
        <v>26</v>
      </c>
      <c r="Q20" s="4679">
        <f t="shared" si="4"/>
        <v>1964000</v>
      </c>
      <c r="R20" s="4692">
        <v>64</v>
      </c>
      <c r="S20" s="4680" t="s">
        <v>5742</v>
      </c>
      <c r="T20" s="4694">
        <v>64</v>
      </c>
      <c r="U20" s="4692">
        <v>2</v>
      </c>
      <c r="V20" s="4692">
        <v>122</v>
      </c>
      <c r="W20" s="4680" t="s">
        <v>4521</v>
      </c>
      <c r="X20" s="4695">
        <v>203</v>
      </c>
      <c r="Y20" s="4692">
        <v>2</v>
      </c>
      <c r="Z20" s="4692" t="s">
        <v>5743</v>
      </c>
      <c r="AA20" s="4683" t="s">
        <v>5035</v>
      </c>
      <c r="AB20" s="4692" t="s">
        <v>2814</v>
      </c>
      <c r="AC20" s="4683" t="s">
        <v>5050</v>
      </c>
      <c r="AD20" s="4692" t="s">
        <v>2814</v>
      </c>
      <c r="AE20" s="4696"/>
      <c r="AF20" s="4685">
        <f t="shared" si="5"/>
        <v>2</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3"/>
        <v>0</v>
      </c>
      <c r="Q21" s="4679">
        <f t="shared" si="4"/>
        <v>0</v>
      </c>
      <c r="R21" s="4692"/>
      <c r="S21" s="4680" t="s">
        <v>5742</v>
      </c>
      <c r="T21" s="4694"/>
      <c r="U21" s="4692"/>
      <c r="V21" s="4692"/>
      <c r="W21" s="4680" t="s">
        <v>4521</v>
      </c>
      <c r="X21" s="4695"/>
      <c r="Y21" s="4692"/>
      <c r="Z21" s="4692"/>
      <c r="AA21" s="4683" t="s">
        <v>5035</v>
      </c>
      <c r="AB21" s="4692"/>
      <c r="AC21" s="4683" t="s">
        <v>5050</v>
      </c>
      <c r="AD21" s="4692"/>
      <c r="AE21" s="4696"/>
      <c r="AF21" s="4685">
        <f t="shared" si="5"/>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3"/>
        <v>0</v>
      </c>
      <c r="Q22" s="4679">
        <f t="shared" si="4"/>
        <v>0</v>
      </c>
      <c r="R22" s="4692"/>
      <c r="S22" s="4680" t="s">
        <v>5739</v>
      </c>
      <c r="T22" s="4694"/>
      <c r="U22" s="4692"/>
      <c r="V22" s="4692"/>
      <c r="W22" s="4680" t="s">
        <v>4521</v>
      </c>
      <c r="X22" s="4695"/>
      <c r="Y22" s="4692"/>
      <c r="Z22" s="4692"/>
      <c r="AA22" s="4683" t="s">
        <v>5035</v>
      </c>
      <c r="AB22" s="4692"/>
      <c r="AC22" s="4683" t="s">
        <v>5050</v>
      </c>
      <c r="AD22" s="4692"/>
      <c r="AE22" s="4696"/>
      <c r="AF22" s="4685">
        <f t="shared" si="5"/>
        <v>0</v>
      </c>
    </row>
    <row r="23" spans="1:32" ht="33.75" customHeight="1" thickTop="1" thickBot="1">
      <c r="A23" s="4701"/>
      <c r="B23" s="4702"/>
      <c r="C23" s="4702"/>
      <c r="D23" s="4702"/>
      <c r="E23" s="4702"/>
      <c r="F23" s="4703"/>
      <c r="G23" s="4704"/>
      <c r="H23" s="4702"/>
      <c r="I23" s="4705" t="s">
        <v>2432</v>
      </c>
      <c r="J23" s="4706">
        <f>SUM(J8:J22)</f>
        <v>198</v>
      </c>
      <c r="K23" s="4707">
        <f>SUM(K8:K22)</f>
        <v>138</v>
      </c>
      <c r="L23" s="4703"/>
      <c r="M23" s="4703"/>
      <c r="N23" s="4703"/>
      <c r="O23" s="4703"/>
      <c r="P23" s="4706">
        <f>SUM(P8:P22)</f>
        <v>3588</v>
      </c>
      <c r="Q23" s="4706">
        <f>SUM(Q8:Q22)</f>
        <v>139893000</v>
      </c>
      <c r="R23" s="6863"/>
      <c r="S23" s="6864"/>
      <c r="T23" s="6865"/>
      <c r="U23" s="4708"/>
      <c r="V23" s="6863"/>
      <c r="W23" s="6864"/>
      <c r="X23" s="6864"/>
      <c r="Y23" s="4708"/>
      <c r="Z23" s="4708"/>
      <c r="AA23" s="6866"/>
      <c r="AB23" s="6867"/>
      <c r="AC23" s="6866"/>
      <c r="AD23" s="6867"/>
      <c r="AE23" s="4709"/>
      <c r="AF23" s="4685">
        <f>SUM(AF8:AF22)</f>
        <v>252</v>
      </c>
    </row>
    <row r="24" spans="1:32" ht="33.75" customHeight="1" thickBot="1">
      <c r="C24" s="4710"/>
      <c r="D24" s="4710"/>
      <c r="E24" s="4710"/>
      <c r="F24" s="4710"/>
      <c r="G24" s="4710"/>
      <c r="H24" s="4710"/>
      <c r="I24" s="4711"/>
      <c r="J24" s="4712"/>
      <c r="K24" s="4710"/>
      <c r="L24" s="4713" t="s">
        <v>5748</v>
      </c>
      <c r="M24" s="4714">
        <f>SUM(N8:N22)</f>
        <v>5416500</v>
      </c>
      <c r="N24" s="4715"/>
      <c r="O24" s="4715"/>
      <c r="P24" s="4715"/>
      <c r="S24" s="4656"/>
      <c r="W24" s="4656"/>
    </row>
    <row r="25" spans="1:32" ht="33.75" customHeight="1">
      <c r="A25" s="6845" t="s">
        <v>5749</v>
      </c>
      <c r="B25" s="6846"/>
      <c r="C25" s="4716">
        <f>P23</f>
        <v>3588</v>
      </c>
      <c r="D25" s="4717"/>
      <c r="F25" s="4718"/>
      <c r="H25" s="4719"/>
      <c r="I25" s="4720"/>
      <c r="K25" s="4659"/>
      <c r="L25" s="4721" t="s">
        <v>5750</v>
      </c>
      <c r="M25" s="4722">
        <f>M24*1.1</f>
        <v>5958150.0000000009</v>
      </c>
      <c r="P25" s="4656"/>
    </row>
    <row r="26" spans="1:32" ht="33.75" customHeight="1">
      <c r="A26" s="6847" t="s">
        <v>5883</v>
      </c>
      <c r="B26" s="6848"/>
      <c r="C26" s="4723">
        <f>Q23</f>
        <v>139893000</v>
      </c>
      <c r="D26" s="4717"/>
      <c r="F26" s="4724"/>
      <c r="H26" s="4719"/>
      <c r="I26" s="4720"/>
      <c r="K26" s="4659"/>
      <c r="P26" s="4656"/>
    </row>
    <row r="27" spans="1:32" ht="33.75" customHeight="1" thickBot="1">
      <c r="A27" s="6913" t="s">
        <v>5751</v>
      </c>
      <c r="B27" s="6914"/>
      <c r="C27" s="4987">
        <f>ROUNDDOWN(C26*1.1,0)</f>
        <v>153882300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thickBot="1">
      <c r="A29" s="4665" t="s">
        <v>5807</v>
      </c>
      <c r="B29" s="4665"/>
      <c r="S29" s="4656"/>
      <c r="W29" s="4656"/>
      <c r="Z29" s="4656"/>
      <c r="AA29" s="4656"/>
      <c r="AB29" s="4656"/>
      <c r="AC29" s="4656"/>
      <c r="AD29" s="4656"/>
      <c r="AF29" s="4656" t="s">
        <v>5712</v>
      </c>
    </row>
    <row r="30" spans="1:32" s="4666" customFormat="1" ht="33.75" customHeight="1">
      <c r="A30" s="6877" t="s">
        <v>5713</v>
      </c>
      <c r="B30" s="6879" t="s">
        <v>5714</v>
      </c>
      <c r="C30" s="6855" t="s">
        <v>5715</v>
      </c>
      <c r="D30" s="6855" t="s">
        <v>5716</v>
      </c>
      <c r="E30" s="6855" t="s">
        <v>5717</v>
      </c>
      <c r="F30" s="6868" t="s">
        <v>5718</v>
      </c>
      <c r="G30" s="6855" t="s">
        <v>5719</v>
      </c>
      <c r="H30" s="6855" t="s">
        <v>5720</v>
      </c>
      <c r="I30" s="6857" t="s">
        <v>5721</v>
      </c>
      <c r="J30" s="6851" t="s">
        <v>5722</v>
      </c>
      <c r="K30" s="6851" t="s">
        <v>5723</v>
      </c>
      <c r="L30" s="6855" t="s">
        <v>5796</v>
      </c>
      <c r="M30" s="6855" t="s">
        <v>5797</v>
      </c>
      <c r="N30" s="4967" t="s">
        <v>5726</v>
      </c>
      <c r="O30" s="6855" t="s">
        <v>5798</v>
      </c>
      <c r="P30" s="6851" t="s">
        <v>3766</v>
      </c>
      <c r="Q30" s="6853"/>
      <c r="R30" s="6868" t="s">
        <v>5728</v>
      </c>
      <c r="S30" s="6869"/>
      <c r="T30" s="6870"/>
      <c r="U30" s="6855" t="s">
        <v>5729</v>
      </c>
      <c r="V30" s="6869" t="s">
        <v>5730</v>
      </c>
      <c r="W30" s="6869"/>
      <c r="X30" s="6869"/>
      <c r="Y30" s="6868" t="s">
        <v>5731</v>
      </c>
      <c r="Z30" s="6851" t="s">
        <v>5732</v>
      </c>
      <c r="AA30" s="6851" t="s">
        <v>5733</v>
      </c>
      <c r="AB30" s="6853"/>
      <c r="AC30" s="6853"/>
      <c r="AD30" s="6853"/>
      <c r="AE30" s="6860" t="s">
        <v>2792</v>
      </c>
      <c r="AF30" s="6862" t="s">
        <v>5734</v>
      </c>
    </row>
    <row r="31" spans="1:32" s="4666" customFormat="1" ht="20">
      <c r="A31" s="6878"/>
      <c r="B31" s="6880"/>
      <c r="C31" s="6858"/>
      <c r="D31" s="6856"/>
      <c r="E31" s="6856"/>
      <c r="F31" s="6881"/>
      <c r="G31" s="6856"/>
      <c r="H31" s="6856"/>
      <c r="I31" s="6858"/>
      <c r="J31" s="6859"/>
      <c r="K31" s="6859"/>
      <c r="L31" s="6856"/>
      <c r="M31" s="6856"/>
      <c r="N31" s="4968"/>
      <c r="O31" s="6856"/>
      <c r="P31" s="4667" t="s">
        <v>5735</v>
      </c>
      <c r="Q31" s="4668" t="s">
        <v>5736</v>
      </c>
      <c r="R31" s="6871"/>
      <c r="S31" s="6872"/>
      <c r="T31" s="6873"/>
      <c r="U31" s="6856"/>
      <c r="V31" s="6872"/>
      <c r="W31" s="6872"/>
      <c r="X31" s="6872"/>
      <c r="Y31" s="6852"/>
      <c r="Z31" s="6852"/>
      <c r="AA31" s="6852"/>
      <c r="AB31" s="6854"/>
      <c r="AC31" s="6854"/>
      <c r="AD31" s="6854"/>
      <c r="AE31" s="6861"/>
      <c r="AF31" s="6862"/>
    </row>
    <row r="32" spans="1:32" ht="33.75" customHeight="1">
      <c r="A32" s="4669" t="s">
        <v>5737</v>
      </c>
      <c r="B32" s="4826">
        <v>46305</v>
      </c>
      <c r="C32" s="4827">
        <v>46307</v>
      </c>
      <c r="D32" s="4672">
        <f t="shared" ref="D32:D47" si="7">IF(_xlfn.DAYS(C32,B32)=0,"1",_xlfn.DAYS(C32,B32))</f>
        <v>2</v>
      </c>
      <c r="E32" s="4827">
        <v>46319</v>
      </c>
      <c r="F32" s="4672">
        <f t="shared" ref="F32:F47" si="8">IF(_xlfn.DAYS(E32,C32)=0,"1",_xlfn.DAYS(E32,C32))+1</f>
        <v>13</v>
      </c>
      <c r="G32" s="4827">
        <v>46321</v>
      </c>
      <c r="H32" s="4672">
        <f t="shared" ref="H32:H47" si="9">IF(_xlfn.DAYS(G32,E32)=0,"1",_xlfn.DAYS(G32,E32))-1</f>
        <v>1</v>
      </c>
      <c r="I32" s="4674" t="s">
        <v>5738</v>
      </c>
      <c r="J32" s="4677">
        <v>100</v>
      </c>
      <c r="K32" s="4676">
        <v>90</v>
      </c>
      <c r="L32" s="4677">
        <v>9000</v>
      </c>
      <c r="M32" s="4677">
        <v>10000</v>
      </c>
      <c r="N32" s="4971"/>
      <c r="O32" s="4677">
        <v>8000</v>
      </c>
      <c r="P32" s="4678">
        <f t="shared" ref="P32:P47" si="10">SUM(D32,F32,H32)*K32</f>
        <v>1440</v>
      </c>
      <c r="Q32" s="4677">
        <f t="shared" ref="Q32:Q47" si="11">(D32*L32+F32*M32+H32*O32)*K32</f>
        <v>14040000</v>
      </c>
      <c r="R32" s="4682">
        <v>21</v>
      </c>
      <c r="S32" s="4680" t="s">
        <v>5739</v>
      </c>
      <c r="T32" s="4682">
        <v>21</v>
      </c>
      <c r="U32" s="4675">
        <v>1</v>
      </c>
      <c r="V32" s="4675">
        <v>154</v>
      </c>
      <c r="W32" s="4680" t="s">
        <v>4521</v>
      </c>
      <c r="X32" s="4682">
        <v>203</v>
      </c>
      <c r="Y32" s="4675">
        <v>1</v>
      </c>
      <c r="Z32" s="4675" t="s">
        <v>5740</v>
      </c>
      <c r="AA32" s="4683" t="s">
        <v>5035</v>
      </c>
      <c r="AB32" s="4675" t="s">
        <v>2830</v>
      </c>
      <c r="AC32" s="4683" t="s">
        <v>5050</v>
      </c>
      <c r="AD32" s="4675" t="s">
        <v>5741</v>
      </c>
      <c r="AE32" s="4684"/>
      <c r="AF32" s="4685"/>
    </row>
    <row r="33" spans="1:32" ht="33.75" customHeight="1">
      <c r="A33" s="4828">
        <v>1</v>
      </c>
      <c r="B33" s="4687">
        <v>46304</v>
      </c>
      <c r="C33" s="4687">
        <v>46306</v>
      </c>
      <c r="D33" s="4672">
        <f t="shared" si="7"/>
        <v>2</v>
      </c>
      <c r="E33" s="4687">
        <v>46320</v>
      </c>
      <c r="F33" s="4830">
        <f t="shared" si="8"/>
        <v>15</v>
      </c>
      <c r="G33" s="4699">
        <v>46322</v>
      </c>
      <c r="H33" s="4672">
        <f t="shared" si="9"/>
        <v>1</v>
      </c>
      <c r="I33" s="4691" t="s">
        <v>4500</v>
      </c>
      <c r="J33" s="4692">
        <v>26</v>
      </c>
      <c r="K33" s="4693">
        <v>19</v>
      </c>
      <c r="L33" s="4692">
        <v>21500</v>
      </c>
      <c r="M33" s="4692">
        <v>23500</v>
      </c>
      <c r="N33" s="4971">
        <f>M33*K33</f>
        <v>446500</v>
      </c>
      <c r="O33" s="4692">
        <v>21500</v>
      </c>
      <c r="P33" s="4678">
        <f t="shared" si="10"/>
        <v>342</v>
      </c>
      <c r="Q33" s="4677">
        <f t="shared" si="11"/>
        <v>7923000</v>
      </c>
      <c r="R33" s="4836">
        <v>24</v>
      </c>
      <c r="S33" s="4837" t="s">
        <v>5742</v>
      </c>
      <c r="T33" s="4836">
        <v>24</v>
      </c>
      <c r="U33" s="4834">
        <v>1</v>
      </c>
      <c r="V33" s="4834">
        <v>122</v>
      </c>
      <c r="W33" s="4837" t="s">
        <v>2688</v>
      </c>
      <c r="X33" s="4836">
        <v>195</v>
      </c>
      <c r="Y33" s="4834">
        <v>1</v>
      </c>
      <c r="Z33" s="4692" t="s">
        <v>5743</v>
      </c>
      <c r="AA33" s="4683" t="s">
        <v>5035</v>
      </c>
      <c r="AB33" s="4692" t="s">
        <v>2814</v>
      </c>
      <c r="AC33" s="4683" t="s">
        <v>5050</v>
      </c>
      <c r="AD33" s="4692" t="s">
        <v>2814</v>
      </c>
      <c r="AE33" s="4832"/>
      <c r="AF33" s="4685">
        <f t="shared" ref="AF33:AF47" si="12">U33*K33</f>
        <v>19</v>
      </c>
    </row>
    <row r="34" spans="1:32" ht="33.75" customHeight="1">
      <c r="A34" s="4828">
        <v>2</v>
      </c>
      <c r="B34" s="4687">
        <v>46304</v>
      </c>
      <c r="C34" s="4687">
        <v>46306</v>
      </c>
      <c r="D34" s="4672">
        <f t="shared" si="7"/>
        <v>2</v>
      </c>
      <c r="E34" s="4687">
        <v>46320</v>
      </c>
      <c r="F34" s="4830">
        <f>IF(_xlfn.DAYS(E34,C34)=0,"1",_xlfn.DAYS(E34,C34))+1</f>
        <v>15</v>
      </c>
      <c r="G34" s="4699">
        <v>46322</v>
      </c>
      <c r="H34" s="4672">
        <f t="shared" si="9"/>
        <v>1</v>
      </c>
      <c r="I34" s="4691" t="s">
        <v>5058</v>
      </c>
      <c r="J34" s="4692">
        <v>6</v>
      </c>
      <c r="K34" s="4693">
        <v>5</v>
      </c>
      <c r="L34" s="4692">
        <v>26000</v>
      </c>
      <c r="M34" s="4692">
        <v>28000</v>
      </c>
      <c r="N34" s="4971">
        <f t="shared" ref="N34:N45" si="13">M34*K34</f>
        <v>140000</v>
      </c>
      <c r="O34" s="4692">
        <v>26000</v>
      </c>
      <c r="P34" s="4678">
        <f t="shared" si="10"/>
        <v>90</v>
      </c>
      <c r="Q34" s="4677">
        <f t="shared" si="11"/>
        <v>2490000</v>
      </c>
      <c r="R34" s="4836">
        <v>30</v>
      </c>
      <c r="S34" s="4837" t="s">
        <v>5742</v>
      </c>
      <c r="T34" s="4836">
        <v>30</v>
      </c>
      <c r="U34" s="4834">
        <v>1</v>
      </c>
      <c r="V34" s="4834">
        <v>147</v>
      </c>
      <c r="W34" s="4837" t="s">
        <v>2688</v>
      </c>
      <c r="X34" s="4836">
        <v>195</v>
      </c>
      <c r="Y34" s="4834">
        <v>1</v>
      </c>
      <c r="Z34" s="4692" t="s">
        <v>5743</v>
      </c>
      <c r="AA34" s="4683" t="s">
        <v>5035</v>
      </c>
      <c r="AB34" s="4692" t="s">
        <v>2814</v>
      </c>
      <c r="AC34" s="4683" t="s">
        <v>5050</v>
      </c>
      <c r="AD34" s="4692" t="s">
        <v>2814</v>
      </c>
      <c r="AE34" s="4832"/>
      <c r="AF34" s="4685">
        <f t="shared" si="12"/>
        <v>5</v>
      </c>
    </row>
    <row r="35" spans="1:32" ht="33.75" customHeight="1">
      <c r="A35" s="4828">
        <v>3</v>
      </c>
      <c r="B35" s="4687">
        <v>46304</v>
      </c>
      <c r="C35" s="4687">
        <v>46306</v>
      </c>
      <c r="D35" s="4672">
        <f t="shared" si="7"/>
        <v>2</v>
      </c>
      <c r="E35" s="4687">
        <v>46320</v>
      </c>
      <c r="F35" s="4830">
        <f t="shared" ref="F35:F37" si="14">IF(_xlfn.DAYS(E35,C35)=0,"1",_xlfn.DAYS(E35,C35))+1</f>
        <v>15</v>
      </c>
      <c r="G35" s="4699">
        <v>46322</v>
      </c>
      <c r="H35" s="4672">
        <f t="shared" si="9"/>
        <v>1</v>
      </c>
      <c r="I35" s="4691" t="s">
        <v>5069</v>
      </c>
      <c r="J35" s="4692">
        <v>48</v>
      </c>
      <c r="K35" s="4693">
        <v>37</v>
      </c>
      <c r="L35" s="4692">
        <v>36000</v>
      </c>
      <c r="M35" s="4692">
        <v>38000</v>
      </c>
      <c r="N35" s="4971">
        <f t="shared" si="13"/>
        <v>1406000</v>
      </c>
      <c r="O35" s="4692">
        <v>36000</v>
      </c>
      <c r="P35" s="4678">
        <f t="shared" si="10"/>
        <v>666</v>
      </c>
      <c r="Q35" s="4677">
        <f t="shared" si="11"/>
        <v>25086000</v>
      </c>
      <c r="R35" s="4836">
        <v>38</v>
      </c>
      <c r="S35" s="4837" t="s">
        <v>5742</v>
      </c>
      <c r="T35" s="4836">
        <v>38</v>
      </c>
      <c r="U35" s="4834">
        <v>2</v>
      </c>
      <c r="V35" s="4834">
        <v>122</v>
      </c>
      <c r="W35" s="4837" t="s">
        <v>2688</v>
      </c>
      <c r="X35" s="4836">
        <v>203</v>
      </c>
      <c r="Y35" s="4834">
        <v>2</v>
      </c>
      <c r="Z35" s="4692" t="s">
        <v>5743</v>
      </c>
      <c r="AA35" s="4683" t="s">
        <v>5035</v>
      </c>
      <c r="AB35" s="4692" t="s">
        <v>2814</v>
      </c>
      <c r="AC35" s="4683" t="s">
        <v>5050</v>
      </c>
      <c r="AD35" s="4692" t="s">
        <v>2814</v>
      </c>
      <c r="AE35" s="4832"/>
      <c r="AF35" s="4685">
        <f t="shared" si="12"/>
        <v>74</v>
      </c>
    </row>
    <row r="36" spans="1:32" ht="33.75" customHeight="1">
      <c r="A36" s="4828">
        <v>4</v>
      </c>
      <c r="B36" s="4687">
        <v>46304</v>
      </c>
      <c r="C36" s="4687">
        <v>46306</v>
      </c>
      <c r="D36" s="4672">
        <f t="shared" si="7"/>
        <v>2</v>
      </c>
      <c r="E36" s="4687">
        <v>46320</v>
      </c>
      <c r="F36" s="4830">
        <f t="shared" si="14"/>
        <v>15</v>
      </c>
      <c r="G36" s="4699">
        <v>46322</v>
      </c>
      <c r="H36" s="4672">
        <f t="shared" si="9"/>
        <v>1</v>
      </c>
      <c r="I36" s="4691" t="s">
        <v>6472</v>
      </c>
      <c r="J36" s="4692">
        <v>92</v>
      </c>
      <c r="K36" s="4693">
        <v>59</v>
      </c>
      <c r="L36" s="4692">
        <v>37000</v>
      </c>
      <c r="M36" s="4692">
        <v>39000</v>
      </c>
      <c r="N36" s="4971">
        <f t="shared" si="13"/>
        <v>2301000</v>
      </c>
      <c r="O36" s="4692">
        <v>37000</v>
      </c>
      <c r="P36" s="4678">
        <f t="shared" si="10"/>
        <v>1062</v>
      </c>
      <c r="Q36" s="4677">
        <f t="shared" si="11"/>
        <v>41064000</v>
      </c>
      <c r="R36" s="4836">
        <v>38</v>
      </c>
      <c r="S36" s="4837" t="s">
        <v>5742</v>
      </c>
      <c r="T36" s="4836">
        <v>38</v>
      </c>
      <c r="U36" s="4834">
        <v>2</v>
      </c>
      <c r="V36" s="4834">
        <v>122</v>
      </c>
      <c r="W36" s="4837" t="s">
        <v>2688</v>
      </c>
      <c r="X36" s="4836">
        <v>203</v>
      </c>
      <c r="Y36" s="4834">
        <v>2</v>
      </c>
      <c r="Z36" s="4692" t="s">
        <v>5743</v>
      </c>
      <c r="AA36" s="4683" t="s">
        <v>5035</v>
      </c>
      <c r="AB36" s="4692" t="s">
        <v>2814</v>
      </c>
      <c r="AC36" s="4683" t="s">
        <v>5050</v>
      </c>
      <c r="AD36" s="4692" t="s">
        <v>2814</v>
      </c>
      <c r="AE36" s="4832"/>
      <c r="AF36" s="4685">
        <f t="shared" si="12"/>
        <v>118</v>
      </c>
    </row>
    <row r="37" spans="1:32" ht="33.75" customHeight="1">
      <c r="A37" s="4828">
        <v>5</v>
      </c>
      <c r="B37" s="4687">
        <v>46304</v>
      </c>
      <c r="C37" s="4687">
        <v>46306</v>
      </c>
      <c r="D37" s="4672">
        <f t="shared" si="7"/>
        <v>2</v>
      </c>
      <c r="E37" s="4687">
        <v>46320</v>
      </c>
      <c r="F37" s="4830">
        <f t="shared" si="14"/>
        <v>15</v>
      </c>
      <c r="G37" s="4699">
        <v>46322</v>
      </c>
      <c r="H37" s="4672">
        <f t="shared" si="9"/>
        <v>1</v>
      </c>
      <c r="I37" s="4691" t="s">
        <v>5186</v>
      </c>
      <c r="J37" s="4692">
        <v>14</v>
      </c>
      <c r="K37" s="4693">
        <v>9</v>
      </c>
      <c r="L37" s="4692">
        <v>62000</v>
      </c>
      <c r="M37" s="4692">
        <v>66000</v>
      </c>
      <c r="N37" s="4971">
        <f t="shared" si="13"/>
        <v>594000</v>
      </c>
      <c r="O37" s="4692">
        <v>62000</v>
      </c>
      <c r="P37" s="4678">
        <f t="shared" si="10"/>
        <v>162</v>
      </c>
      <c r="Q37" s="4677">
        <f t="shared" si="11"/>
        <v>10584000</v>
      </c>
      <c r="R37" s="4836">
        <v>64</v>
      </c>
      <c r="S37" s="4837" t="s">
        <v>5742</v>
      </c>
      <c r="T37" s="4836">
        <v>64</v>
      </c>
      <c r="U37" s="4834">
        <v>2</v>
      </c>
      <c r="V37" s="4834">
        <v>122</v>
      </c>
      <c r="W37" s="4837" t="s">
        <v>2688</v>
      </c>
      <c r="X37" s="4836">
        <v>203</v>
      </c>
      <c r="Y37" s="4834">
        <v>2</v>
      </c>
      <c r="Z37" s="4692" t="s">
        <v>5743</v>
      </c>
      <c r="AA37" s="4683" t="s">
        <v>5035</v>
      </c>
      <c r="AB37" s="4692" t="s">
        <v>2814</v>
      </c>
      <c r="AC37" s="4683" t="s">
        <v>5050</v>
      </c>
      <c r="AD37" s="4692" t="s">
        <v>2814</v>
      </c>
      <c r="AE37" s="4832"/>
      <c r="AF37" s="4685">
        <f t="shared" si="12"/>
        <v>18</v>
      </c>
    </row>
    <row r="38" spans="1:32" ht="33.75" customHeight="1">
      <c r="A38" s="4828">
        <v>6</v>
      </c>
      <c r="B38" s="4687">
        <v>46304</v>
      </c>
      <c r="C38" s="4687">
        <v>46306</v>
      </c>
      <c r="D38" s="4672">
        <f t="shared" si="7"/>
        <v>2</v>
      </c>
      <c r="E38" s="4687">
        <v>46320</v>
      </c>
      <c r="F38" s="4830">
        <f>IF(_xlfn.DAYS(E38,C38)=0,"1",_xlfn.DAYS(E38,C38))+1</f>
        <v>15</v>
      </c>
      <c r="G38" s="4699">
        <v>46322</v>
      </c>
      <c r="H38" s="4672">
        <f t="shared" si="9"/>
        <v>1</v>
      </c>
      <c r="I38" s="4691" t="s">
        <v>5045</v>
      </c>
      <c r="J38" s="4692">
        <v>2</v>
      </c>
      <c r="K38" s="4693">
        <v>2</v>
      </c>
      <c r="L38" s="4692">
        <v>66000</v>
      </c>
      <c r="M38" s="4692">
        <v>70000</v>
      </c>
      <c r="N38" s="4971">
        <f t="shared" si="13"/>
        <v>140000</v>
      </c>
      <c r="O38" s="4692">
        <v>66000</v>
      </c>
      <c r="P38" s="4678">
        <f t="shared" si="10"/>
        <v>36</v>
      </c>
      <c r="Q38" s="4677">
        <f t="shared" si="11"/>
        <v>2496000</v>
      </c>
      <c r="R38" s="4836">
        <v>75</v>
      </c>
      <c r="S38" s="4837" t="s">
        <v>5742</v>
      </c>
      <c r="T38" s="4836">
        <v>75</v>
      </c>
      <c r="U38" s="4834">
        <v>2</v>
      </c>
      <c r="V38" s="4834"/>
      <c r="W38" s="4837" t="s">
        <v>2688</v>
      </c>
      <c r="X38" s="4836"/>
      <c r="Y38" s="4834">
        <v>0</v>
      </c>
      <c r="Z38" s="4692" t="s">
        <v>6473</v>
      </c>
      <c r="AA38" s="4683" t="s">
        <v>5035</v>
      </c>
      <c r="AB38" s="4692" t="s">
        <v>2814</v>
      </c>
      <c r="AC38" s="4683" t="s">
        <v>5050</v>
      </c>
      <c r="AD38" s="4692" t="s">
        <v>2814</v>
      </c>
      <c r="AE38" s="4832"/>
      <c r="AF38" s="4685">
        <f t="shared" si="12"/>
        <v>4</v>
      </c>
    </row>
    <row r="39" spans="1:32" ht="33.75" customHeight="1">
      <c r="A39" s="4828">
        <v>7</v>
      </c>
      <c r="B39" s="4687">
        <v>46304</v>
      </c>
      <c r="C39" s="4687">
        <v>46306</v>
      </c>
      <c r="D39" s="4672">
        <f t="shared" si="7"/>
        <v>2</v>
      </c>
      <c r="E39" s="4687">
        <v>46320</v>
      </c>
      <c r="F39" s="4830">
        <f t="shared" si="8"/>
        <v>15</v>
      </c>
      <c r="G39" s="4699">
        <v>46322</v>
      </c>
      <c r="H39" s="4672">
        <f t="shared" si="9"/>
        <v>1</v>
      </c>
      <c r="I39" s="4691" t="s">
        <v>5052</v>
      </c>
      <c r="J39" s="4692">
        <v>1</v>
      </c>
      <c r="K39" s="4693">
        <v>1</v>
      </c>
      <c r="L39" s="4692">
        <v>66000</v>
      </c>
      <c r="M39" s="4692">
        <v>70000</v>
      </c>
      <c r="N39" s="4971">
        <f>M39*K39</f>
        <v>70000</v>
      </c>
      <c r="O39" s="4692">
        <v>66000</v>
      </c>
      <c r="P39" s="4678">
        <f t="shared" si="10"/>
        <v>18</v>
      </c>
      <c r="Q39" s="4677">
        <f t="shared" si="11"/>
        <v>1248000</v>
      </c>
      <c r="R39" s="4836">
        <v>75</v>
      </c>
      <c r="S39" s="4837" t="s">
        <v>5742</v>
      </c>
      <c r="T39" s="4836">
        <v>75</v>
      </c>
      <c r="U39" s="4834">
        <v>2</v>
      </c>
      <c r="V39" s="4834">
        <v>122</v>
      </c>
      <c r="W39" s="4837" t="s">
        <v>2688</v>
      </c>
      <c r="X39" s="4836">
        <v>203</v>
      </c>
      <c r="Y39" s="4834">
        <v>2</v>
      </c>
      <c r="Z39" s="4692" t="s">
        <v>6473</v>
      </c>
      <c r="AA39" s="4683" t="s">
        <v>5035</v>
      </c>
      <c r="AB39" s="4692" t="s">
        <v>2814</v>
      </c>
      <c r="AC39" s="4683" t="s">
        <v>5050</v>
      </c>
      <c r="AD39" s="4692" t="s">
        <v>2814</v>
      </c>
      <c r="AE39" s="4832"/>
      <c r="AF39" s="4685">
        <f t="shared" si="12"/>
        <v>2</v>
      </c>
    </row>
    <row r="40" spans="1:32" ht="33.75" customHeight="1">
      <c r="A40" s="4828">
        <v>8</v>
      </c>
      <c r="B40" s="4687">
        <v>46304</v>
      </c>
      <c r="C40" s="4687">
        <v>46306</v>
      </c>
      <c r="D40" s="4672">
        <f t="shared" si="7"/>
        <v>2</v>
      </c>
      <c r="E40" s="4687">
        <v>46320</v>
      </c>
      <c r="F40" s="4830">
        <f t="shared" si="8"/>
        <v>15</v>
      </c>
      <c r="G40" s="4699">
        <v>46322</v>
      </c>
      <c r="H40" s="4672">
        <f t="shared" si="9"/>
        <v>1</v>
      </c>
      <c r="I40" s="4691" t="s">
        <v>5171</v>
      </c>
      <c r="J40" s="4692">
        <v>1</v>
      </c>
      <c r="K40" s="4835"/>
      <c r="L40" s="4834"/>
      <c r="M40" s="4834"/>
      <c r="N40" s="4971">
        <f t="shared" si="13"/>
        <v>0</v>
      </c>
      <c r="O40" s="4834"/>
      <c r="P40" s="4678">
        <f t="shared" si="10"/>
        <v>0</v>
      </c>
      <c r="Q40" s="4677">
        <f t="shared" si="11"/>
        <v>0</v>
      </c>
      <c r="R40" s="4836">
        <v>75</v>
      </c>
      <c r="S40" s="4837" t="s">
        <v>5742</v>
      </c>
      <c r="T40" s="4836">
        <v>75</v>
      </c>
      <c r="U40" s="4834">
        <v>2</v>
      </c>
      <c r="V40" s="4834">
        <v>122</v>
      </c>
      <c r="W40" s="4837" t="s">
        <v>2688</v>
      </c>
      <c r="X40" s="4836">
        <v>203</v>
      </c>
      <c r="Y40" s="4834">
        <v>2</v>
      </c>
      <c r="Z40" s="4692" t="s">
        <v>5743</v>
      </c>
      <c r="AA40" s="4683" t="s">
        <v>5035</v>
      </c>
      <c r="AB40" s="4692" t="s">
        <v>2814</v>
      </c>
      <c r="AC40" s="4683" t="s">
        <v>5050</v>
      </c>
      <c r="AD40" s="4692" t="s">
        <v>2814</v>
      </c>
      <c r="AE40" s="4832"/>
      <c r="AF40" s="4685">
        <f t="shared" si="12"/>
        <v>0</v>
      </c>
    </row>
    <row r="41" spans="1:32" ht="33.75" customHeight="1">
      <c r="A41" s="4828">
        <v>9</v>
      </c>
      <c r="B41" s="4687">
        <v>46304</v>
      </c>
      <c r="C41" s="4687">
        <v>46306</v>
      </c>
      <c r="D41" s="4672">
        <f t="shared" si="7"/>
        <v>2</v>
      </c>
      <c r="E41" s="4687">
        <v>46320</v>
      </c>
      <c r="F41" s="4830">
        <f t="shared" si="8"/>
        <v>15</v>
      </c>
      <c r="G41" s="4699">
        <v>46322</v>
      </c>
      <c r="H41" s="4672">
        <f t="shared" si="9"/>
        <v>1</v>
      </c>
      <c r="I41" s="4691" t="s">
        <v>5122</v>
      </c>
      <c r="J41" s="4692">
        <v>1</v>
      </c>
      <c r="K41" s="4835"/>
      <c r="L41" s="4834"/>
      <c r="M41" s="4834"/>
      <c r="N41" s="4971">
        <f t="shared" si="13"/>
        <v>0</v>
      </c>
      <c r="O41" s="4834"/>
      <c r="P41" s="4678">
        <f t="shared" si="10"/>
        <v>0</v>
      </c>
      <c r="Q41" s="4677">
        <f t="shared" si="11"/>
        <v>0</v>
      </c>
      <c r="R41" s="4836">
        <v>75</v>
      </c>
      <c r="S41" s="4837" t="s">
        <v>5742</v>
      </c>
      <c r="T41" s="4836">
        <v>75</v>
      </c>
      <c r="U41" s="4834">
        <v>2</v>
      </c>
      <c r="V41" s="4834">
        <v>122</v>
      </c>
      <c r="W41" s="4837" t="s">
        <v>2688</v>
      </c>
      <c r="X41" s="4836">
        <v>203</v>
      </c>
      <c r="Y41" s="4834">
        <v>2</v>
      </c>
      <c r="Z41" s="4692" t="s">
        <v>5743</v>
      </c>
      <c r="AA41" s="4683" t="s">
        <v>5035</v>
      </c>
      <c r="AB41" s="4692" t="s">
        <v>2814</v>
      </c>
      <c r="AC41" s="4683" t="s">
        <v>5050</v>
      </c>
      <c r="AD41" s="4692" t="s">
        <v>2814</v>
      </c>
      <c r="AE41" s="4832"/>
      <c r="AF41" s="4685">
        <f t="shared" si="12"/>
        <v>0</v>
      </c>
    </row>
    <row r="42" spans="1:32" ht="33.75" customHeight="1">
      <c r="A42" s="4828">
        <v>10</v>
      </c>
      <c r="B42" s="4687">
        <v>46304</v>
      </c>
      <c r="C42" s="4687">
        <v>46306</v>
      </c>
      <c r="D42" s="4672">
        <f t="shared" si="7"/>
        <v>2</v>
      </c>
      <c r="E42" s="4687">
        <v>46320</v>
      </c>
      <c r="F42" s="4830">
        <f t="shared" si="8"/>
        <v>15</v>
      </c>
      <c r="G42" s="4699">
        <v>46322</v>
      </c>
      <c r="H42" s="4672">
        <f t="shared" si="9"/>
        <v>1</v>
      </c>
      <c r="I42" s="4691" t="s">
        <v>5141</v>
      </c>
      <c r="J42" s="4692">
        <v>1</v>
      </c>
      <c r="K42" s="4835"/>
      <c r="L42" s="4834"/>
      <c r="M42" s="4834"/>
      <c r="N42" s="4971">
        <f t="shared" si="13"/>
        <v>0</v>
      </c>
      <c r="O42" s="4834"/>
      <c r="P42" s="4678">
        <f t="shared" si="10"/>
        <v>0</v>
      </c>
      <c r="Q42" s="4677">
        <f t="shared" si="11"/>
        <v>0</v>
      </c>
      <c r="R42" s="4836">
        <v>38</v>
      </c>
      <c r="S42" s="4837" t="s">
        <v>5742</v>
      </c>
      <c r="T42" s="4836">
        <v>38</v>
      </c>
      <c r="U42" s="4834">
        <v>2</v>
      </c>
      <c r="V42" s="4834">
        <v>122</v>
      </c>
      <c r="W42" s="4837" t="s">
        <v>2688</v>
      </c>
      <c r="X42" s="4836">
        <v>203</v>
      </c>
      <c r="Y42" s="4834">
        <v>2</v>
      </c>
      <c r="Z42" s="4692" t="s">
        <v>5743</v>
      </c>
      <c r="AA42" s="4683" t="s">
        <v>5035</v>
      </c>
      <c r="AB42" s="4692" t="s">
        <v>2814</v>
      </c>
      <c r="AC42" s="4683" t="s">
        <v>5050</v>
      </c>
      <c r="AD42" s="4692" t="s">
        <v>2814</v>
      </c>
      <c r="AE42" s="4832"/>
      <c r="AF42" s="4685">
        <f t="shared" si="12"/>
        <v>0</v>
      </c>
    </row>
    <row r="43" spans="1:32" ht="33.75" customHeight="1">
      <c r="A43" s="4828">
        <v>11</v>
      </c>
      <c r="B43" s="4687">
        <v>46304</v>
      </c>
      <c r="C43" s="4687">
        <v>46306</v>
      </c>
      <c r="D43" s="4672">
        <f t="shared" si="7"/>
        <v>2</v>
      </c>
      <c r="E43" s="4687">
        <v>46320</v>
      </c>
      <c r="F43" s="4830">
        <f t="shared" si="8"/>
        <v>15</v>
      </c>
      <c r="G43" s="4699">
        <v>46322</v>
      </c>
      <c r="H43" s="4672">
        <f t="shared" si="9"/>
        <v>1</v>
      </c>
      <c r="I43" s="4691" t="s">
        <v>6474</v>
      </c>
      <c r="J43" s="4692">
        <v>2</v>
      </c>
      <c r="K43" s="4693">
        <v>2</v>
      </c>
      <c r="L43" s="4692">
        <v>44000</v>
      </c>
      <c r="M43" s="4692">
        <v>48000</v>
      </c>
      <c r="N43" s="4971">
        <f t="shared" si="13"/>
        <v>96000</v>
      </c>
      <c r="O43" s="4692">
        <v>44000</v>
      </c>
      <c r="P43" s="4678">
        <f t="shared" si="10"/>
        <v>36</v>
      </c>
      <c r="Q43" s="4677">
        <f t="shared" si="11"/>
        <v>1704000</v>
      </c>
      <c r="R43" s="4692">
        <v>38</v>
      </c>
      <c r="S43" s="4680" t="s">
        <v>5742</v>
      </c>
      <c r="T43" s="4694">
        <v>38</v>
      </c>
      <c r="U43" s="4692">
        <v>2</v>
      </c>
      <c r="V43" s="4692">
        <v>122</v>
      </c>
      <c r="W43" s="4680" t="s">
        <v>4521</v>
      </c>
      <c r="X43" s="4695">
        <v>203</v>
      </c>
      <c r="Y43" s="4692">
        <v>2</v>
      </c>
      <c r="Z43" s="4692" t="s">
        <v>5743</v>
      </c>
      <c r="AA43" s="4683" t="s">
        <v>5035</v>
      </c>
      <c r="AB43" s="4692" t="s">
        <v>2814</v>
      </c>
      <c r="AC43" s="4683" t="s">
        <v>5050</v>
      </c>
      <c r="AD43" s="4692" t="s">
        <v>2814</v>
      </c>
      <c r="AE43" s="4832"/>
      <c r="AF43" s="4685">
        <f t="shared" si="12"/>
        <v>4</v>
      </c>
    </row>
    <row r="44" spans="1:32" ht="33.75" customHeight="1">
      <c r="A44" s="4828">
        <v>12</v>
      </c>
      <c r="B44" s="4687">
        <v>46304</v>
      </c>
      <c r="C44" s="4687">
        <v>46306</v>
      </c>
      <c r="D44" s="4672">
        <f t="shared" si="7"/>
        <v>2</v>
      </c>
      <c r="E44" s="4687">
        <v>46320</v>
      </c>
      <c r="F44" s="4830">
        <f t="shared" si="8"/>
        <v>15</v>
      </c>
      <c r="G44" s="4699">
        <v>46322</v>
      </c>
      <c r="H44" s="4672">
        <f t="shared" si="9"/>
        <v>1</v>
      </c>
      <c r="I44" s="4691" t="s">
        <v>6475</v>
      </c>
      <c r="J44" s="4692">
        <v>3</v>
      </c>
      <c r="K44" s="4693">
        <v>3</v>
      </c>
      <c r="L44" s="4692">
        <v>45000</v>
      </c>
      <c r="M44" s="4692">
        <v>49000</v>
      </c>
      <c r="N44" s="4971">
        <f t="shared" si="13"/>
        <v>147000</v>
      </c>
      <c r="O44" s="4692">
        <v>45000</v>
      </c>
      <c r="P44" s="4678">
        <f t="shared" si="10"/>
        <v>54</v>
      </c>
      <c r="Q44" s="4677">
        <f t="shared" si="11"/>
        <v>2610000</v>
      </c>
      <c r="R44" s="4692">
        <v>38</v>
      </c>
      <c r="S44" s="4680" t="s">
        <v>5742</v>
      </c>
      <c r="T44" s="4694">
        <v>38</v>
      </c>
      <c r="U44" s="4692">
        <v>2</v>
      </c>
      <c r="V44" s="4692">
        <v>122</v>
      </c>
      <c r="W44" s="4680" t="s">
        <v>4521</v>
      </c>
      <c r="X44" s="4695">
        <v>203</v>
      </c>
      <c r="Y44" s="4692">
        <v>2</v>
      </c>
      <c r="Z44" s="4692" t="s">
        <v>5743</v>
      </c>
      <c r="AA44" s="4683" t="s">
        <v>5035</v>
      </c>
      <c r="AB44" s="4692" t="s">
        <v>2814</v>
      </c>
      <c r="AC44" s="4683" t="s">
        <v>5050</v>
      </c>
      <c r="AD44" s="4692" t="s">
        <v>2814</v>
      </c>
      <c r="AE44" s="4832"/>
      <c r="AF44" s="4685">
        <f t="shared" si="12"/>
        <v>6</v>
      </c>
    </row>
    <row r="45" spans="1:32" ht="33.75" customHeight="1">
      <c r="A45" s="4828">
        <v>13</v>
      </c>
      <c r="B45" s="4687">
        <v>46304</v>
      </c>
      <c r="C45" s="4687">
        <v>46306</v>
      </c>
      <c r="D45" s="4672">
        <f t="shared" si="7"/>
        <v>2</v>
      </c>
      <c r="E45" s="4687">
        <v>46320</v>
      </c>
      <c r="F45" s="4830">
        <f t="shared" si="8"/>
        <v>15</v>
      </c>
      <c r="G45" s="4699">
        <v>46322</v>
      </c>
      <c r="H45" s="4672">
        <f t="shared" si="9"/>
        <v>1</v>
      </c>
      <c r="I45" s="4691" t="s">
        <v>6476</v>
      </c>
      <c r="J45" s="4692">
        <v>1</v>
      </c>
      <c r="K45" s="4693">
        <v>1</v>
      </c>
      <c r="L45" s="4692">
        <v>72000</v>
      </c>
      <c r="M45" s="4692">
        <v>76000</v>
      </c>
      <c r="N45" s="4971">
        <f t="shared" si="13"/>
        <v>76000</v>
      </c>
      <c r="O45" s="4692">
        <v>72000</v>
      </c>
      <c r="P45" s="4678">
        <f t="shared" si="10"/>
        <v>18</v>
      </c>
      <c r="Q45" s="4677">
        <f t="shared" si="11"/>
        <v>1356000</v>
      </c>
      <c r="R45" s="4692">
        <v>64</v>
      </c>
      <c r="S45" s="4680" t="s">
        <v>5742</v>
      </c>
      <c r="T45" s="4694">
        <v>64</v>
      </c>
      <c r="U45" s="4692">
        <v>2</v>
      </c>
      <c r="V45" s="4692">
        <v>122</v>
      </c>
      <c r="W45" s="4680" t="s">
        <v>4521</v>
      </c>
      <c r="X45" s="4695">
        <v>203</v>
      </c>
      <c r="Y45" s="4692">
        <v>2</v>
      </c>
      <c r="Z45" s="4692" t="s">
        <v>5743</v>
      </c>
      <c r="AA45" s="4683" t="s">
        <v>5035</v>
      </c>
      <c r="AB45" s="4692" t="s">
        <v>2814</v>
      </c>
      <c r="AC45" s="4683" t="s">
        <v>5050</v>
      </c>
      <c r="AD45" s="4692" t="s">
        <v>2814</v>
      </c>
      <c r="AE45" s="4832"/>
      <c r="AF45" s="4685">
        <f t="shared" si="12"/>
        <v>2</v>
      </c>
    </row>
    <row r="46" spans="1:32" ht="33.75" customHeight="1">
      <c r="A46" s="4828">
        <v>14</v>
      </c>
      <c r="B46" s="4833"/>
      <c r="C46" s="4829"/>
      <c r="D46" s="4672" t="str">
        <f t="shared" si="7"/>
        <v>1</v>
      </c>
      <c r="E46" s="4829"/>
      <c r="F46" s="4672">
        <f t="shared" si="8"/>
        <v>2</v>
      </c>
      <c r="G46" s="4699"/>
      <c r="H46" s="4672">
        <f t="shared" si="9"/>
        <v>0</v>
      </c>
      <c r="I46" s="4831"/>
      <c r="J46" s="4834"/>
      <c r="K46" s="4835"/>
      <c r="L46" s="4834"/>
      <c r="M46" s="4834"/>
      <c r="N46" s="4834"/>
      <c r="O46" s="4834"/>
      <c r="P46" s="4678">
        <f t="shared" si="10"/>
        <v>0</v>
      </c>
      <c r="Q46" s="4677">
        <f t="shared" si="11"/>
        <v>0</v>
      </c>
      <c r="R46" s="4836"/>
      <c r="S46" s="4837" t="s">
        <v>5742</v>
      </c>
      <c r="T46" s="4836"/>
      <c r="U46" s="4838"/>
      <c r="V46" s="4834"/>
      <c r="W46" s="4837" t="s">
        <v>4521</v>
      </c>
      <c r="X46" s="4836"/>
      <c r="Y46" s="4834"/>
      <c r="Z46" s="4834"/>
      <c r="AA46" s="4839" t="s">
        <v>5035</v>
      </c>
      <c r="AB46" s="4834"/>
      <c r="AC46" s="4839" t="s">
        <v>5050</v>
      </c>
      <c r="AD46" s="4834"/>
      <c r="AE46" s="4832"/>
      <c r="AF46" s="4685">
        <f t="shared" si="12"/>
        <v>0</v>
      </c>
    </row>
    <row r="47" spans="1:32" ht="33.75" customHeight="1" thickBot="1">
      <c r="A47" s="4828">
        <v>15</v>
      </c>
      <c r="B47" s="4833"/>
      <c r="C47" s="4829"/>
      <c r="D47" s="4672" t="str">
        <f t="shared" si="7"/>
        <v>1</v>
      </c>
      <c r="E47" s="4829"/>
      <c r="F47" s="4672">
        <f t="shared" si="8"/>
        <v>2</v>
      </c>
      <c r="G47" s="4699"/>
      <c r="H47" s="4672">
        <f t="shared" si="9"/>
        <v>0</v>
      </c>
      <c r="I47" s="4831"/>
      <c r="J47" s="4834"/>
      <c r="K47" s="4835"/>
      <c r="L47" s="4834"/>
      <c r="M47" s="4834"/>
      <c r="N47" s="4834"/>
      <c r="O47" s="4834"/>
      <c r="P47" s="4678">
        <f t="shared" si="10"/>
        <v>0</v>
      </c>
      <c r="Q47" s="4677">
        <f t="shared" si="11"/>
        <v>0</v>
      </c>
      <c r="R47" s="4836"/>
      <c r="S47" s="4837" t="s">
        <v>5739</v>
      </c>
      <c r="T47" s="4836"/>
      <c r="U47" s="4838"/>
      <c r="V47" s="4834"/>
      <c r="W47" s="4837" t="s">
        <v>4521</v>
      </c>
      <c r="X47" s="4836"/>
      <c r="Y47" s="4834"/>
      <c r="Z47" s="4834"/>
      <c r="AA47" s="4839" t="s">
        <v>5035</v>
      </c>
      <c r="AB47" s="4834"/>
      <c r="AC47" s="4839" t="s">
        <v>5050</v>
      </c>
      <c r="AD47" s="4834"/>
      <c r="AE47" s="4832"/>
      <c r="AF47" s="4685">
        <f t="shared" si="12"/>
        <v>0</v>
      </c>
    </row>
    <row r="48" spans="1:32" ht="33.75" customHeight="1" thickTop="1" thickBot="1">
      <c r="A48" s="4840"/>
      <c r="B48" s="4841"/>
      <c r="C48" s="4841"/>
      <c r="D48" s="4841"/>
      <c r="E48" s="4841"/>
      <c r="F48" s="4842"/>
      <c r="G48" s="4843"/>
      <c r="H48" s="4841"/>
      <c r="I48" s="4844" t="s">
        <v>2432</v>
      </c>
      <c r="J48" s="4845">
        <f>SUM(J33:J47)</f>
        <v>198</v>
      </c>
      <c r="K48" s="4846">
        <f>SUM(K33:K47)</f>
        <v>138</v>
      </c>
      <c r="L48" s="4843"/>
      <c r="M48" s="4843"/>
      <c r="N48" s="4843"/>
      <c r="O48" s="4843"/>
      <c r="P48" s="4845">
        <f>SUM(P33:P47)</f>
        <v>2484</v>
      </c>
      <c r="Q48" s="4845">
        <f>SUM(Q33:Q47)</f>
        <v>96561000</v>
      </c>
      <c r="R48" s="6901"/>
      <c r="S48" s="6901"/>
      <c r="T48" s="6901"/>
      <c r="U48" s="4847"/>
      <c r="V48" s="6902"/>
      <c r="W48" s="6901"/>
      <c r="X48" s="6901"/>
      <c r="Y48" s="4847"/>
      <c r="Z48" s="4847"/>
      <c r="AA48" s="6903"/>
      <c r="AB48" s="6904"/>
      <c r="AC48" s="6903"/>
      <c r="AD48" s="6904"/>
      <c r="AE48" s="4848"/>
      <c r="AF48" s="4685">
        <f>SUM(AF33:AF47)</f>
        <v>252</v>
      </c>
    </row>
    <row r="49" spans="1:32" ht="32.15" customHeight="1" thickBot="1">
      <c r="C49" s="4710"/>
      <c r="D49" s="4710"/>
      <c r="E49" s="4710"/>
      <c r="F49" s="4710"/>
      <c r="G49" s="4710"/>
      <c r="H49" s="4710"/>
      <c r="I49" s="4711"/>
      <c r="J49" s="4712"/>
      <c r="K49" s="4710"/>
      <c r="L49" s="4713" t="s">
        <v>5748</v>
      </c>
      <c r="M49" s="4714">
        <f>SUM(N33:N47)</f>
        <v>5416500</v>
      </c>
      <c r="N49" s="4715"/>
      <c r="O49" s="4715"/>
      <c r="P49" s="4715"/>
      <c r="S49" s="4656"/>
      <c r="W49" s="4656"/>
      <c r="AF49" s="4849"/>
    </row>
    <row r="50" spans="1:32" ht="33.75" customHeight="1">
      <c r="A50" s="6845" t="s">
        <v>5749</v>
      </c>
      <c r="B50" s="6846"/>
      <c r="C50" s="4716">
        <f>P48</f>
        <v>2484</v>
      </c>
      <c r="D50" s="4717"/>
      <c r="F50" s="4718"/>
      <c r="G50" s="4850"/>
      <c r="H50" s="4719"/>
      <c r="I50" s="4720"/>
      <c r="L50" s="4721" t="s">
        <v>5750</v>
      </c>
      <c r="M50" s="4722">
        <f>M49*1.1</f>
        <v>5958150.0000000009</v>
      </c>
      <c r="P50" s="4656"/>
      <c r="AF50" s="4851"/>
    </row>
    <row r="51" spans="1:32" ht="33.75" customHeight="1">
      <c r="A51" s="6910" t="s">
        <v>5883</v>
      </c>
      <c r="B51" s="6911"/>
      <c r="C51" s="4723">
        <f>Q48</f>
        <v>96561000</v>
      </c>
      <c r="D51" s="4717"/>
      <c r="F51" s="4724"/>
      <c r="G51" s="4852"/>
      <c r="H51" s="4719"/>
      <c r="I51" s="4720"/>
      <c r="P51" s="4656"/>
      <c r="AF51" s="4851"/>
    </row>
    <row r="52" spans="1:32" ht="33.75" customHeight="1" thickBot="1">
      <c r="A52" s="6913" t="s">
        <v>5751</v>
      </c>
      <c r="B52" s="6914"/>
      <c r="C52" s="4987">
        <f>ROUNDDOWN(C51*1.1,0)</f>
        <v>106217100</v>
      </c>
      <c r="D52" s="4940"/>
      <c r="E52" s="4941"/>
      <c r="F52" s="4942"/>
      <c r="G52" s="4943"/>
      <c r="H52" s="4940"/>
      <c r="I52" s="4944"/>
      <c r="J52" s="4943"/>
      <c r="K52" s="4861"/>
      <c r="L52" s="4861"/>
      <c r="M52" s="4861"/>
      <c r="N52" s="4861"/>
      <c r="O52" s="4861"/>
      <c r="P52" s="4943"/>
      <c r="Q52" s="4943"/>
      <c r="R52" s="4941"/>
      <c r="S52" s="4941"/>
      <c r="T52" s="4941"/>
      <c r="U52" s="4941"/>
      <c r="V52" s="4941"/>
      <c r="W52" s="4941"/>
      <c r="X52" s="4941"/>
      <c r="Y52" s="4941"/>
      <c r="Z52" s="4941"/>
      <c r="AA52" s="4941"/>
      <c r="AB52" s="4941"/>
      <c r="AC52" s="4941"/>
      <c r="AD52" s="4941"/>
      <c r="AE52" s="4941"/>
      <c r="AF52" s="4941"/>
    </row>
    <row r="53" spans="1:32" ht="33.75" customHeight="1">
      <c r="A53" s="4729"/>
      <c r="B53" s="4729"/>
      <c r="C53" s="4729"/>
      <c r="D53" s="4729"/>
      <c r="E53" s="4729"/>
      <c r="F53" s="4729"/>
      <c r="G53" s="4726"/>
      <c r="H53" s="4729"/>
      <c r="I53" s="4720"/>
      <c r="P53" s="4656"/>
    </row>
    <row r="54" spans="1:32" ht="33.75" customHeight="1">
      <c r="A54" s="4728" t="s">
        <v>5752</v>
      </c>
      <c r="B54" s="4728"/>
      <c r="C54" s="4729"/>
      <c r="D54" s="4729"/>
      <c r="E54" s="4729"/>
      <c r="F54" s="4729"/>
      <c r="G54" s="4726"/>
      <c r="H54" s="4729"/>
      <c r="I54" s="4720"/>
      <c r="P54" s="4656"/>
    </row>
    <row r="55" spans="1:32" ht="36" customHeight="1">
      <c r="A55" s="4728" t="s">
        <v>5753</v>
      </c>
      <c r="B55" s="4728"/>
    </row>
    <row r="56" spans="1:32" ht="36" customHeight="1">
      <c r="A56" s="4730" t="s">
        <v>5754</v>
      </c>
      <c r="B56" s="4730"/>
    </row>
    <row r="57" spans="1:32" ht="36" customHeight="1">
      <c r="A57" s="4728"/>
      <c r="B57" s="4728"/>
    </row>
    <row r="58" spans="1:32" ht="36" customHeight="1"/>
    <row r="59" spans="1:32" ht="36" customHeight="1"/>
    <row r="60" spans="1:32" ht="36" customHeight="1"/>
    <row r="61" spans="1:32" ht="36" customHeight="1"/>
    <row r="62" spans="1:32" ht="36" customHeight="1"/>
    <row r="63" spans="1:32" ht="36" customHeight="1"/>
    <row r="64" spans="1:32" ht="36" customHeight="1"/>
    <row r="65" ht="10.4" customHeight="1"/>
  </sheetData>
  <mergeCells count="62">
    <mergeCell ref="M5:M6"/>
    <mergeCell ref="A2:B2"/>
    <mergeCell ref="C2:G2"/>
    <mergeCell ref="A5:A6"/>
    <mergeCell ref="B5:B6"/>
    <mergeCell ref="C5:C6"/>
    <mergeCell ref="D5:D6"/>
    <mergeCell ref="E5:E6"/>
    <mergeCell ref="F5:F6"/>
    <mergeCell ref="G5:G6"/>
    <mergeCell ref="H5:H6"/>
    <mergeCell ref="I5:I6"/>
    <mergeCell ref="J5:J6"/>
    <mergeCell ref="K5:K6"/>
    <mergeCell ref="L5:L6"/>
    <mergeCell ref="O5:O6"/>
    <mergeCell ref="P5:Q5"/>
    <mergeCell ref="R5:T6"/>
    <mergeCell ref="U5:U6"/>
    <mergeCell ref="V5:X6"/>
    <mergeCell ref="Z5:Z6"/>
    <mergeCell ref="AA5:AD6"/>
    <mergeCell ref="AE5:AE6"/>
    <mergeCell ref="AF5:AF6"/>
    <mergeCell ref="R23:T23"/>
    <mergeCell ref="V23:X23"/>
    <mergeCell ref="AA23:AB23"/>
    <mergeCell ref="AC23:AD23"/>
    <mergeCell ref="Y5:Y6"/>
    <mergeCell ref="I30:I31"/>
    <mergeCell ref="A25:B25"/>
    <mergeCell ref="A26:B26"/>
    <mergeCell ref="A27:B27"/>
    <mergeCell ref="A30:A31"/>
    <mergeCell ref="B30:B31"/>
    <mergeCell ref="C30:C31"/>
    <mergeCell ref="D30:D31"/>
    <mergeCell ref="E30:E31"/>
    <mergeCell ref="F30:F31"/>
    <mergeCell ref="G30:G31"/>
    <mergeCell ref="H30:H31"/>
    <mergeCell ref="K30:K31"/>
    <mergeCell ref="L30:L31"/>
    <mergeCell ref="M30:M31"/>
    <mergeCell ref="O30:O31"/>
    <mergeCell ref="P30:Q30"/>
    <mergeCell ref="A50:B50"/>
    <mergeCell ref="A51:B51"/>
    <mergeCell ref="A52:B52"/>
    <mergeCell ref="AE30:AE31"/>
    <mergeCell ref="AF30:AF31"/>
    <mergeCell ref="R48:T48"/>
    <mergeCell ref="V48:X48"/>
    <mergeCell ref="AA48:AB48"/>
    <mergeCell ref="AC48:AD48"/>
    <mergeCell ref="R30:T31"/>
    <mergeCell ref="U30:U31"/>
    <mergeCell ref="V30:X31"/>
    <mergeCell ref="Y30:Y31"/>
    <mergeCell ref="Z30:Z31"/>
    <mergeCell ref="AA30:AD31"/>
    <mergeCell ref="J30:J31"/>
  </mergeCells>
  <phoneticPr fontId="2"/>
  <conditionalFormatting sqref="B8:C22">
    <cfRule type="containsBlanks" dxfId="114" priority="3">
      <formula>LEN(TRIM(B8))=0</formula>
    </cfRule>
  </conditionalFormatting>
  <conditionalFormatting sqref="B33:C47 E33:E47">
    <cfRule type="containsBlanks" dxfId="113" priority="15">
      <formula>LEN(TRIM(B33))=0</formula>
    </cfRule>
  </conditionalFormatting>
  <conditionalFormatting sqref="C2:D2">
    <cfRule type="containsBlanks" dxfId="112" priority="11">
      <formula>LEN(TRIM(C2))=0</formula>
    </cfRule>
  </conditionalFormatting>
  <conditionalFormatting sqref="D7:D22">
    <cfRule type="containsBlanks" dxfId="111" priority="2">
      <formula>LEN(TRIM(D7))=0</formula>
    </cfRule>
  </conditionalFormatting>
  <conditionalFormatting sqref="D32:D47">
    <cfRule type="containsBlanks" dxfId="110" priority="14">
      <formula>LEN(TRIM(D32))=0</formula>
    </cfRule>
  </conditionalFormatting>
  <conditionalFormatting sqref="E8:O22">
    <cfRule type="containsBlanks" dxfId="109" priority="1">
      <formula>LEN(TRIM(E8))=0</formula>
    </cfRule>
  </conditionalFormatting>
  <conditionalFormatting sqref="F7">
    <cfRule type="containsBlanks" dxfId="108" priority="12">
      <formula>LEN(TRIM(F7))=0</formula>
    </cfRule>
  </conditionalFormatting>
  <conditionalFormatting sqref="F32:F47">
    <cfRule type="containsBlanks" dxfId="107" priority="13">
      <formula>LEN(TRIM(F32))=0</formula>
    </cfRule>
  </conditionalFormatting>
  <conditionalFormatting sqref="G33:G47">
    <cfRule type="containsBlanks" dxfId="106" priority="10">
      <formula>LEN(TRIM(G33))=0</formula>
    </cfRule>
  </conditionalFormatting>
  <conditionalFormatting sqref="H7:O7">
    <cfRule type="containsBlanks" dxfId="105" priority="5">
      <formula>LEN(TRIM(H7))=0</formula>
    </cfRule>
  </conditionalFormatting>
  <conditionalFormatting sqref="H32:O47">
    <cfRule type="containsBlanks" dxfId="104" priority="4">
      <formula>LEN(TRIM(H32))=0</formula>
    </cfRule>
  </conditionalFormatting>
  <conditionalFormatting sqref="Q7:R22">
    <cfRule type="containsBlanks" dxfId="103" priority="19">
      <formula>LEN(TRIM(Q7))=0</formula>
    </cfRule>
  </conditionalFormatting>
  <conditionalFormatting sqref="Q32:R47">
    <cfRule type="containsBlanks" dxfId="102" priority="9">
      <formula>LEN(TRIM(Q32))=0</formula>
    </cfRule>
  </conditionalFormatting>
  <conditionalFormatting sqref="T7:V22">
    <cfRule type="containsBlanks" dxfId="101" priority="17">
      <formula>LEN(TRIM(T7))=0</formula>
    </cfRule>
  </conditionalFormatting>
  <conditionalFormatting sqref="T32:V47">
    <cfRule type="containsBlanks" dxfId="100" priority="8">
      <formula>LEN(TRIM(T32))=0</formula>
    </cfRule>
  </conditionalFormatting>
  <conditionalFormatting sqref="X7:Z22">
    <cfRule type="containsBlanks" dxfId="99" priority="16">
      <formula>LEN(TRIM(X7))=0</formula>
    </cfRule>
  </conditionalFormatting>
  <conditionalFormatting sqref="X32:Z47">
    <cfRule type="containsBlanks" dxfId="98" priority="7">
      <formula>LEN(TRIM(X32))=0</formula>
    </cfRule>
  </conditionalFormatting>
  <conditionalFormatting sqref="AB7:AB22 AD7:AE22">
    <cfRule type="containsBlanks" dxfId="97" priority="18">
      <formula>LEN(TRIM(AB7))=0</formula>
    </cfRule>
  </conditionalFormatting>
  <conditionalFormatting sqref="AB32:AB47 AD32:AE47">
    <cfRule type="containsBlanks" dxfId="96" priority="6">
      <formula>LEN(TRIM(AB32))=0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42AB-6AF7-4C6E-80F3-33D38E17263A}">
  <sheetPr codeName="Sheet391">
    <tabColor rgb="FFFFFF66"/>
    <pageSetUpPr fitToPage="1"/>
  </sheetPr>
  <dimension ref="A1:AE58"/>
  <sheetViews>
    <sheetView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'2027_岐阜都　別紙1-1'!C2</f>
        <v>都ホテル 岐阜長良川</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9" si="0">F7*N7</f>
        <v>3150000</v>
      </c>
      <c r="P7" s="4755" t="s">
        <v>5782</v>
      </c>
      <c r="Q7" s="4756">
        <v>4</v>
      </c>
      <c r="R7" s="4756" t="s">
        <v>3804</v>
      </c>
      <c r="S7" s="4751" t="s">
        <v>246</v>
      </c>
      <c r="T7" s="4756" t="s">
        <v>2161</v>
      </c>
      <c r="U7" s="4757">
        <v>2000</v>
      </c>
    </row>
    <row r="8" spans="1:31" s="4666" customFormat="1" ht="33.75" customHeight="1">
      <c r="A8" s="4758">
        <v>1</v>
      </c>
      <c r="B8" s="5065">
        <v>46274</v>
      </c>
      <c r="C8" s="4816">
        <v>46299</v>
      </c>
      <c r="D8" s="4759">
        <v>0</v>
      </c>
      <c r="E8" s="4759">
        <v>1</v>
      </c>
      <c r="F8" s="4760">
        <f t="shared" ref="F8:F19" si="1">IF(OR(ISBLANK($B8), ISBLANK($C8)), 0, _xlfn.DAYS($C8, $B8) + 1)</f>
        <v>26</v>
      </c>
      <c r="G8" s="4761" t="s">
        <v>6477</v>
      </c>
      <c r="H8" s="4762">
        <v>3</v>
      </c>
      <c r="I8" s="4763" t="s">
        <v>5784</v>
      </c>
      <c r="J8" s="4764">
        <v>8.1999999999999993</v>
      </c>
      <c r="K8" s="4765">
        <v>7.9</v>
      </c>
      <c r="L8" s="4765">
        <v>62</v>
      </c>
      <c r="M8" s="4765">
        <v>2.5</v>
      </c>
      <c r="N8" s="4762">
        <v>230000</v>
      </c>
      <c r="O8" s="4766">
        <f t="shared" si="0"/>
        <v>5980000</v>
      </c>
      <c r="P8" s="4857" t="s">
        <v>5815</v>
      </c>
      <c r="Q8" s="4858">
        <v>2</v>
      </c>
      <c r="R8" s="4976" t="s">
        <v>5815</v>
      </c>
      <c r="S8" s="4858">
        <v>30000</v>
      </c>
      <c r="T8" s="4859" t="s">
        <v>5815</v>
      </c>
      <c r="U8" s="4860">
        <v>0</v>
      </c>
    </row>
    <row r="9" spans="1:31" ht="33.75" customHeight="1">
      <c r="A9" s="4758">
        <v>2</v>
      </c>
      <c r="B9" s="4816">
        <v>46300</v>
      </c>
      <c r="C9" s="4816">
        <v>46300</v>
      </c>
      <c r="D9" s="4759">
        <v>0</v>
      </c>
      <c r="E9" s="4759">
        <v>0.5</v>
      </c>
      <c r="F9" s="4760">
        <f t="shared" si="1"/>
        <v>1</v>
      </c>
      <c r="G9" s="4761" t="s">
        <v>6477</v>
      </c>
      <c r="H9" s="4762">
        <v>3</v>
      </c>
      <c r="I9" s="4763" t="s">
        <v>5784</v>
      </c>
      <c r="J9" s="4764">
        <v>8.1999999999999993</v>
      </c>
      <c r="K9" s="4765">
        <v>7.9</v>
      </c>
      <c r="L9" s="4765">
        <v>62</v>
      </c>
      <c r="M9" s="4765">
        <v>2.5</v>
      </c>
      <c r="N9" s="4762">
        <v>115000</v>
      </c>
      <c r="O9" s="4766">
        <f t="shared" si="0"/>
        <v>115000</v>
      </c>
      <c r="P9" s="4857" t="s">
        <v>5815</v>
      </c>
      <c r="Q9" s="4858">
        <v>2</v>
      </c>
      <c r="R9" s="4976" t="s">
        <v>5815</v>
      </c>
      <c r="S9" s="4858">
        <v>30000</v>
      </c>
      <c r="T9" s="4859" t="s">
        <v>5815</v>
      </c>
      <c r="U9" s="4860">
        <v>0</v>
      </c>
      <c r="AC9" s="4657"/>
    </row>
    <row r="10" spans="1:31" ht="33.75" customHeight="1">
      <c r="A10" s="4758">
        <v>3</v>
      </c>
      <c r="B10" s="5065">
        <v>46274</v>
      </c>
      <c r="C10" s="4816">
        <v>46299</v>
      </c>
      <c r="D10" s="4759">
        <v>0</v>
      </c>
      <c r="E10" s="4759">
        <v>1</v>
      </c>
      <c r="F10" s="4770">
        <f t="shared" si="1"/>
        <v>26</v>
      </c>
      <c r="G10" s="4761" t="s">
        <v>6478</v>
      </c>
      <c r="H10" s="4762">
        <v>3</v>
      </c>
      <c r="I10" s="4763" t="s">
        <v>5784</v>
      </c>
      <c r="J10" s="4764">
        <v>8.1999999999999993</v>
      </c>
      <c r="K10" s="4765">
        <v>7.9</v>
      </c>
      <c r="L10" s="4765">
        <v>62</v>
      </c>
      <c r="M10" s="4765">
        <v>2.5</v>
      </c>
      <c r="N10" s="4762">
        <v>230000</v>
      </c>
      <c r="O10" s="4766">
        <f t="shared" si="0"/>
        <v>5980000</v>
      </c>
      <c r="P10" s="5492" t="s">
        <v>5815</v>
      </c>
      <c r="Q10" s="4858">
        <v>2</v>
      </c>
      <c r="R10" s="4976" t="s">
        <v>5815</v>
      </c>
      <c r="S10" s="4858">
        <v>30000</v>
      </c>
      <c r="T10" s="4859" t="s">
        <v>5815</v>
      </c>
      <c r="U10" s="4860">
        <v>0</v>
      </c>
      <c r="AC10" s="4657"/>
    </row>
    <row r="11" spans="1:31" ht="33.75" customHeight="1">
      <c r="A11" s="4758">
        <v>4</v>
      </c>
      <c r="B11" s="4816">
        <v>46300</v>
      </c>
      <c r="C11" s="4816">
        <v>46300</v>
      </c>
      <c r="D11" s="4759">
        <v>0</v>
      </c>
      <c r="E11" s="4759">
        <v>0.5</v>
      </c>
      <c r="F11" s="4760">
        <f t="shared" si="1"/>
        <v>1</v>
      </c>
      <c r="G11" s="4771" t="s">
        <v>6478</v>
      </c>
      <c r="H11" s="4762">
        <v>3</v>
      </c>
      <c r="I11" s="4763" t="s">
        <v>5784</v>
      </c>
      <c r="J11" s="4764">
        <v>8.1999999999999993</v>
      </c>
      <c r="K11" s="4765">
        <v>7.9</v>
      </c>
      <c r="L11" s="4765">
        <v>62</v>
      </c>
      <c r="M11" s="4765">
        <v>2.5</v>
      </c>
      <c r="N11" s="5612">
        <v>115000</v>
      </c>
      <c r="O11" s="4766">
        <f t="shared" si="0"/>
        <v>115000</v>
      </c>
      <c r="P11" s="4857" t="s">
        <v>5815</v>
      </c>
      <c r="Q11" s="4858">
        <v>2</v>
      </c>
      <c r="R11" s="4859" t="s">
        <v>5815</v>
      </c>
      <c r="S11" s="4858">
        <v>30000</v>
      </c>
      <c r="T11" s="4859" t="s">
        <v>5815</v>
      </c>
      <c r="U11" s="4860">
        <v>0</v>
      </c>
      <c r="AC11" s="4657"/>
    </row>
    <row r="12" spans="1:31" ht="33.75" customHeight="1">
      <c r="A12" s="4758">
        <v>5</v>
      </c>
      <c r="B12" s="5065">
        <v>46274</v>
      </c>
      <c r="C12" s="4816">
        <v>46299</v>
      </c>
      <c r="D12" s="4759">
        <v>0</v>
      </c>
      <c r="E12" s="4759">
        <v>1</v>
      </c>
      <c r="F12" s="4760">
        <f t="shared" si="1"/>
        <v>26</v>
      </c>
      <c r="G12" s="4771" t="s">
        <v>6479</v>
      </c>
      <c r="H12" s="4762">
        <v>2</v>
      </c>
      <c r="I12" s="4763" t="s">
        <v>5784</v>
      </c>
      <c r="J12" s="4764">
        <v>9.1</v>
      </c>
      <c r="K12" s="4765">
        <v>7.8</v>
      </c>
      <c r="L12" s="4765">
        <v>58</v>
      </c>
      <c r="M12" s="4765">
        <v>2.5</v>
      </c>
      <c r="N12" s="4762">
        <v>207000</v>
      </c>
      <c r="O12" s="4766">
        <f t="shared" si="0"/>
        <v>5382000</v>
      </c>
      <c r="P12" s="4857" t="s">
        <v>3804</v>
      </c>
      <c r="Q12" s="4858"/>
      <c r="R12" s="4859" t="s">
        <v>5815</v>
      </c>
      <c r="S12" s="4858">
        <v>30000</v>
      </c>
      <c r="T12" s="4859" t="s">
        <v>5815</v>
      </c>
      <c r="U12" s="4860">
        <v>0</v>
      </c>
      <c r="AC12" s="4657"/>
    </row>
    <row r="13" spans="1:31" ht="33.75" customHeight="1">
      <c r="A13" s="4758">
        <v>6</v>
      </c>
      <c r="B13" s="4816">
        <v>46300</v>
      </c>
      <c r="C13" s="4816">
        <v>46300</v>
      </c>
      <c r="D13" s="4759">
        <v>0</v>
      </c>
      <c r="E13" s="4759">
        <v>0.5</v>
      </c>
      <c r="F13" s="4760">
        <f t="shared" si="1"/>
        <v>1</v>
      </c>
      <c r="G13" s="4771" t="s">
        <v>6479</v>
      </c>
      <c r="H13" s="4762">
        <v>2</v>
      </c>
      <c r="I13" s="4763" t="s">
        <v>5784</v>
      </c>
      <c r="J13" s="4764">
        <v>9.1</v>
      </c>
      <c r="K13" s="4765">
        <v>7.8</v>
      </c>
      <c r="L13" s="4765">
        <v>58</v>
      </c>
      <c r="M13" s="4765">
        <v>2.5</v>
      </c>
      <c r="N13" s="4762">
        <v>103500</v>
      </c>
      <c r="O13" s="4766">
        <f t="shared" si="0"/>
        <v>103500</v>
      </c>
      <c r="P13" s="4857" t="s">
        <v>3804</v>
      </c>
      <c r="Q13" s="4858"/>
      <c r="R13" s="4859" t="s">
        <v>5815</v>
      </c>
      <c r="S13" s="4858">
        <v>30000</v>
      </c>
      <c r="T13" s="4859" t="s">
        <v>5815</v>
      </c>
      <c r="U13" s="4860">
        <v>0</v>
      </c>
      <c r="AC13" s="4657"/>
    </row>
    <row r="14" spans="1:31" ht="33.75" customHeight="1">
      <c r="A14" s="4758">
        <v>7</v>
      </c>
      <c r="B14" s="5065">
        <v>46274</v>
      </c>
      <c r="C14" s="4816">
        <v>46281</v>
      </c>
      <c r="D14" s="4913">
        <v>0</v>
      </c>
      <c r="E14" s="4759">
        <v>1</v>
      </c>
      <c r="F14" s="4760">
        <f t="shared" si="1"/>
        <v>8</v>
      </c>
      <c r="G14" s="4771" t="s">
        <v>6480</v>
      </c>
      <c r="H14" s="4762">
        <v>2</v>
      </c>
      <c r="I14" s="4763" t="s">
        <v>5190</v>
      </c>
      <c r="J14" s="4764">
        <v>17.2</v>
      </c>
      <c r="K14" s="4765">
        <v>22.8</v>
      </c>
      <c r="L14" s="4765">
        <v>392</v>
      </c>
      <c r="M14" s="4765">
        <v>3.4</v>
      </c>
      <c r="N14" s="4762">
        <v>1242000</v>
      </c>
      <c r="O14" s="4766">
        <f t="shared" si="0"/>
        <v>9936000</v>
      </c>
      <c r="P14" s="4857" t="s">
        <v>5815</v>
      </c>
      <c r="Q14" s="4858">
        <v>2</v>
      </c>
      <c r="R14" s="4859" t="s">
        <v>5815</v>
      </c>
      <c r="S14" s="4858">
        <v>30000</v>
      </c>
      <c r="T14" s="4859" t="s">
        <v>5815</v>
      </c>
      <c r="U14" s="4860">
        <v>0</v>
      </c>
      <c r="AC14" s="4657"/>
    </row>
    <row r="15" spans="1:31" ht="33.75" customHeight="1">
      <c r="A15" s="4758">
        <v>8</v>
      </c>
      <c r="B15" s="4816">
        <v>46284</v>
      </c>
      <c r="C15" s="4816">
        <v>46299</v>
      </c>
      <c r="D15" s="4913">
        <v>0</v>
      </c>
      <c r="E15" s="4759">
        <v>1</v>
      </c>
      <c r="F15" s="4760">
        <f t="shared" si="1"/>
        <v>16</v>
      </c>
      <c r="G15" s="4771" t="s">
        <v>6480</v>
      </c>
      <c r="H15" s="4762">
        <v>2</v>
      </c>
      <c r="I15" s="4763" t="s">
        <v>5190</v>
      </c>
      <c r="J15" s="4764">
        <v>17.2</v>
      </c>
      <c r="K15" s="4765">
        <v>22.8</v>
      </c>
      <c r="L15" s="4765">
        <v>392</v>
      </c>
      <c r="M15" s="4765">
        <v>3.4</v>
      </c>
      <c r="N15" s="4762">
        <v>1242000</v>
      </c>
      <c r="O15" s="4766">
        <f t="shared" si="0"/>
        <v>19872000</v>
      </c>
      <c r="P15" s="4857" t="s">
        <v>5815</v>
      </c>
      <c r="Q15" s="4858">
        <v>2</v>
      </c>
      <c r="R15" s="4859" t="s">
        <v>5815</v>
      </c>
      <c r="S15" s="4858">
        <v>30000</v>
      </c>
      <c r="T15" s="4859" t="s">
        <v>5815</v>
      </c>
      <c r="U15" s="4860">
        <v>0</v>
      </c>
      <c r="AC15" s="4657"/>
    </row>
    <row r="16" spans="1:31" ht="33.75" customHeight="1">
      <c r="A16" s="4758">
        <v>9</v>
      </c>
      <c r="B16" s="4816">
        <v>46300</v>
      </c>
      <c r="C16" s="4816">
        <v>46300</v>
      </c>
      <c r="D16" s="4913">
        <v>0</v>
      </c>
      <c r="E16" s="4759">
        <v>0.5</v>
      </c>
      <c r="F16" s="4760">
        <f t="shared" si="1"/>
        <v>1</v>
      </c>
      <c r="G16" s="4771" t="s">
        <v>6480</v>
      </c>
      <c r="H16" s="4762">
        <v>2</v>
      </c>
      <c r="I16" s="4763" t="s">
        <v>5190</v>
      </c>
      <c r="J16" s="4764">
        <v>17.2</v>
      </c>
      <c r="K16" s="4765">
        <v>22.8</v>
      </c>
      <c r="L16" s="4765">
        <v>392</v>
      </c>
      <c r="M16" s="4765">
        <v>3.4</v>
      </c>
      <c r="N16" s="4762">
        <v>621000</v>
      </c>
      <c r="O16" s="4766">
        <f t="shared" si="0"/>
        <v>621000</v>
      </c>
      <c r="P16" s="4857" t="s">
        <v>5815</v>
      </c>
      <c r="Q16" s="4858">
        <v>2</v>
      </c>
      <c r="R16" s="4859" t="s">
        <v>5815</v>
      </c>
      <c r="S16" s="4858">
        <v>30000</v>
      </c>
      <c r="T16" s="4859" t="s">
        <v>5815</v>
      </c>
      <c r="U16" s="4860">
        <v>0</v>
      </c>
      <c r="AC16" s="4657"/>
    </row>
    <row r="17" spans="1:29" ht="33.75" customHeight="1">
      <c r="A17" s="4758">
        <v>10</v>
      </c>
      <c r="B17" s="4816">
        <v>46282</v>
      </c>
      <c r="C17" s="4816">
        <v>46283</v>
      </c>
      <c r="D17" s="4913">
        <v>0</v>
      </c>
      <c r="E17" s="4759">
        <v>1</v>
      </c>
      <c r="F17" s="4760">
        <f t="shared" si="1"/>
        <v>2</v>
      </c>
      <c r="G17" s="4771" t="s">
        <v>6481</v>
      </c>
      <c r="H17" s="4762">
        <v>11</v>
      </c>
      <c r="I17" s="4763" t="s">
        <v>5190</v>
      </c>
      <c r="J17" s="4764">
        <v>19.5</v>
      </c>
      <c r="K17" s="4765">
        <v>15</v>
      </c>
      <c r="L17" s="4765">
        <v>250</v>
      </c>
      <c r="M17" s="4765">
        <v>2.9</v>
      </c>
      <c r="N17" s="4762">
        <v>379500</v>
      </c>
      <c r="O17" s="4766">
        <f t="shared" si="0"/>
        <v>759000</v>
      </c>
      <c r="P17" s="4918" t="s">
        <v>3804</v>
      </c>
      <c r="Q17" s="4919"/>
      <c r="R17" s="4920" t="s">
        <v>5815</v>
      </c>
      <c r="S17" s="4919">
        <v>30000</v>
      </c>
      <c r="T17" s="4920" t="s">
        <v>5815</v>
      </c>
      <c r="U17" s="4921">
        <v>0</v>
      </c>
      <c r="AC17" s="4657"/>
    </row>
    <row r="18" spans="1:29" ht="33.75" customHeight="1">
      <c r="A18" s="4758">
        <v>11</v>
      </c>
      <c r="B18" s="5613">
        <v>46277</v>
      </c>
      <c r="C18" s="5613">
        <v>46287</v>
      </c>
      <c r="D18" s="5614">
        <v>0</v>
      </c>
      <c r="E18" s="5615">
        <v>1</v>
      </c>
      <c r="F18" s="5616">
        <f t="shared" si="1"/>
        <v>11</v>
      </c>
      <c r="G18" s="5617" t="s">
        <v>6482</v>
      </c>
      <c r="H18" s="5618">
        <v>2</v>
      </c>
      <c r="I18" s="5619" t="s">
        <v>5190</v>
      </c>
      <c r="J18" s="5618">
        <v>9.9</v>
      </c>
      <c r="K18" s="5620">
        <v>17.600000000000001</v>
      </c>
      <c r="L18" s="5620">
        <v>174</v>
      </c>
      <c r="M18" s="5620">
        <v>3</v>
      </c>
      <c r="N18" s="5621">
        <v>598000</v>
      </c>
      <c r="O18" s="4766">
        <f t="shared" si="0"/>
        <v>6578000</v>
      </c>
      <c r="P18" s="5052"/>
      <c r="Q18" s="5053"/>
      <c r="R18" s="5081"/>
      <c r="S18" s="5055"/>
      <c r="T18" s="5081"/>
      <c r="U18" s="5056"/>
      <c r="AC18" s="4657"/>
    </row>
    <row r="19" spans="1:29" ht="33.75" customHeight="1" thickBot="1">
      <c r="A19" s="4758">
        <v>12</v>
      </c>
      <c r="B19" s="5622">
        <v>46288</v>
      </c>
      <c r="C19" s="5622">
        <v>46288</v>
      </c>
      <c r="D19" s="5614">
        <v>0</v>
      </c>
      <c r="E19" s="5615">
        <v>0.5</v>
      </c>
      <c r="F19" s="5623">
        <f t="shared" si="1"/>
        <v>1</v>
      </c>
      <c r="G19" s="5617" t="s">
        <v>6482</v>
      </c>
      <c r="H19" s="5624">
        <v>2</v>
      </c>
      <c r="I19" s="5625" t="s">
        <v>5190</v>
      </c>
      <c r="J19" s="5624">
        <v>9.9</v>
      </c>
      <c r="K19" s="5626">
        <v>17.600000000000001</v>
      </c>
      <c r="L19" s="5626">
        <v>147</v>
      </c>
      <c r="M19" s="5626">
        <v>3</v>
      </c>
      <c r="N19" s="5627">
        <v>299000</v>
      </c>
      <c r="O19" s="4766">
        <f t="shared" si="0"/>
        <v>299000</v>
      </c>
      <c r="P19" s="5052"/>
      <c r="Q19" s="5053"/>
      <c r="R19" s="5081"/>
      <c r="S19" s="5055"/>
      <c r="T19" s="5081"/>
      <c r="U19" s="5056"/>
      <c r="AC19" s="4657"/>
    </row>
    <row r="20" spans="1:29" ht="33.75" customHeight="1" thickTop="1" thickBot="1">
      <c r="A20" s="4778" t="s">
        <v>5845</v>
      </c>
      <c r="B20" s="4779"/>
      <c r="C20" s="4779"/>
      <c r="D20" s="4779"/>
      <c r="E20" s="4779"/>
      <c r="F20" s="4780">
        <f>SUM(F8:F17)</f>
        <v>108</v>
      </c>
      <c r="G20" s="4779"/>
      <c r="H20" s="4781"/>
      <c r="I20" s="4782">
        <f>COUNTA(G8,G10,G12,G14,G17,G18)</f>
        <v>6</v>
      </c>
      <c r="J20" s="4783"/>
      <c r="K20" s="4784"/>
      <c r="L20" s="4784"/>
      <c r="M20" s="4784"/>
      <c r="N20" s="4785"/>
      <c r="O20" s="4922">
        <f>SUM(O8:O19)</f>
        <v>55740500</v>
      </c>
      <c r="P20" s="4787"/>
      <c r="Q20" s="4787"/>
      <c r="R20" s="4788"/>
      <c r="S20" s="4789"/>
      <c r="T20" s="4788"/>
      <c r="U20" s="4790"/>
      <c r="AC20" s="4657"/>
    </row>
    <row r="21" spans="1:29" ht="33.75" customHeight="1" thickBot="1">
      <c r="A21" s="4876" t="s">
        <v>5792</v>
      </c>
      <c r="B21" s="4877"/>
      <c r="C21" s="4878"/>
      <c r="D21" s="4878"/>
      <c r="E21" s="4878"/>
      <c r="F21" s="4879"/>
      <c r="G21" s="4878"/>
      <c r="H21" s="4880"/>
      <c r="I21" s="4878"/>
      <c r="J21" s="4881"/>
      <c r="K21" s="4881"/>
      <c r="L21" s="4881"/>
      <c r="M21" s="4881"/>
      <c r="N21" s="4882"/>
      <c r="O21" s="4923">
        <f>O20*1.1</f>
        <v>61314550.000000007</v>
      </c>
      <c r="P21" s="4884"/>
      <c r="Q21" s="4885"/>
      <c r="R21" s="4886"/>
      <c r="S21" s="4887"/>
      <c r="T21" s="4886"/>
      <c r="U21" s="4888"/>
      <c r="AC21" s="4657"/>
    </row>
    <row r="22" spans="1:29" ht="33.75" customHeight="1">
      <c r="A22" s="4656"/>
      <c r="B22" s="4660"/>
      <c r="C22" s="4660"/>
      <c r="D22" s="4660"/>
      <c r="G22" s="4660"/>
      <c r="H22" s="4660"/>
      <c r="M22" s="4808" t="s">
        <v>5748</v>
      </c>
      <c r="N22" s="4809">
        <f>SUM(N8,N10,N12,N15,N17,N18)</f>
        <v>2886500</v>
      </c>
      <c r="O22" s="4656"/>
      <c r="P22" s="4657"/>
      <c r="Q22" s="4657"/>
      <c r="AC22" s="4657"/>
    </row>
    <row r="23" spans="1:29" ht="33.75" customHeight="1">
      <c r="A23" s="4656"/>
      <c r="B23" s="4660"/>
      <c r="C23" s="4660"/>
      <c r="D23" s="4660"/>
      <c r="G23" s="4660"/>
      <c r="H23" s="4660"/>
      <c r="M23" s="4808" t="s">
        <v>5750</v>
      </c>
      <c r="N23" s="4809">
        <f>N22*1.1</f>
        <v>3175150.0000000005</v>
      </c>
      <c r="O23" s="4656"/>
      <c r="P23" s="4657"/>
      <c r="Q23" s="4657"/>
      <c r="AC23" s="4657"/>
    </row>
    <row r="24" spans="1:29" ht="33.75" customHeight="1">
      <c r="A24" s="4656"/>
      <c r="B24" s="4660"/>
      <c r="C24" s="4660"/>
      <c r="D24" s="4660"/>
      <c r="G24" s="4660"/>
      <c r="H24" s="4660"/>
      <c r="O24" s="4656"/>
      <c r="P24" s="4657"/>
      <c r="Q24" s="4657"/>
      <c r="AC24" s="4657"/>
    </row>
    <row r="25" spans="1:29" ht="33.75" customHeight="1" thickBot="1">
      <c r="A25" s="4737" t="s">
        <v>5836</v>
      </c>
      <c r="B25" s="4657"/>
      <c r="C25" s="4657"/>
      <c r="D25" s="4657"/>
      <c r="G25" s="4657"/>
      <c r="H25" s="4657"/>
      <c r="O25" s="4656"/>
      <c r="P25" s="4656"/>
      <c r="Q25" s="4657"/>
      <c r="AC25" s="4657"/>
    </row>
    <row r="26" spans="1:29" s="4738" customFormat="1" ht="33.75" customHeight="1">
      <c r="A26" s="6893" t="s">
        <v>5713</v>
      </c>
      <c r="B26" s="6882" t="s">
        <v>5757</v>
      </c>
      <c r="C26" s="6882" t="s">
        <v>5758</v>
      </c>
      <c r="D26" s="6882" t="s">
        <v>5759</v>
      </c>
      <c r="E26" s="6882" t="s">
        <v>5760</v>
      </c>
      <c r="F26" s="6895" t="s">
        <v>5761</v>
      </c>
      <c r="G26" s="6882" t="s">
        <v>5762</v>
      </c>
      <c r="H26" s="6897" t="s">
        <v>5763</v>
      </c>
      <c r="I26" s="6882" t="s">
        <v>5764</v>
      </c>
      <c r="J26" s="6895" t="s">
        <v>5765</v>
      </c>
      <c r="K26" s="6888" t="s">
        <v>5766</v>
      </c>
      <c r="L26" s="6888" t="s">
        <v>5767</v>
      </c>
      <c r="M26" s="6888" t="s">
        <v>5768</v>
      </c>
      <c r="N26" s="6882" t="s">
        <v>5811</v>
      </c>
      <c r="O26" s="6884" t="s">
        <v>5812</v>
      </c>
      <c r="P26" s="6886" t="s">
        <v>5771</v>
      </c>
      <c r="Q26" s="6887"/>
      <c r="R26" s="6888" t="s">
        <v>5772</v>
      </c>
      <c r="S26" s="6889"/>
      <c r="T26" s="6889"/>
      <c r="U26" s="6890"/>
    </row>
    <row r="27" spans="1:29" s="4738" customFormat="1" ht="33.75" customHeight="1" thickBot="1">
      <c r="A27" s="6894"/>
      <c r="B27" s="6883"/>
      <c r="C27" s="6883"/>
      <c r="D27" s="6883"/>
      <c r="E27" s="6883"/>
      <c r="F27" s="6896"/>
      <c r="G27" s="6883"/>
      <c r="H27" s="6898"/>
      <c r="I27" s="6883"/>
      <c r="J27" s="6896"/>
      <c r="K27" s="6892"/>
      <c r="L27" s="6892"/>
      <c r="M27" s="6892"/>
      <c r="N27" s="6883"/>
      <c r="O27" s="6885"/>
      <c r="P27" s="4739" t="s">
        <v>5773</v>
      </c>
      <c r="Q27" s="4740" t="s">
        <v>5774</v>
      </c>
      <c r="R27" s="4740" t="s">
        <v>5775</v>
      </c>
      <c r="S27" s="4741" t="s">
        <v>5776</v>
      </c>
      <c r="T27" s="4740" t="s">
        <v>5777</v>
      </c>
      <c r="U27" s="4742" t="s">
        <v>5778</v>
      </c>
    </row>
    <row r="28" spans="1:29" s="4666" customFormat="1" ht="33.75" customHeight="1">
      <c r="A28" s="4743" t="s">
        <v>5779</v>
      </c>
      <c r="B28" s="4744">
        <v>46280</v>
      </c>
      <c r="C28" s="4744">
        <v>46300</v>
      </c>
      <c r="D28" s="4745">
        <v>0.3125</v>
      </c>
      <c r="E28" s="4746">
        <v>0.89583333333333337</v>
      </c>
      <c r="F28" s="4747">
        <f>IF(OR(ISBLANK($B28), ISBLANK($C28)), 0, _xlfn.DAYS($C28, $B28) + 1)</f>
        <v>21</v>
      </c>
      <c r="G28" s="4890" t="s">
        <v>5780</v>
      </c>
      <c r="H28" s="4891">
        <v>3</v>
      </c>
      <c r="I28" s="4892" t="s">
        <v>5781</v>
      </c>
      <c r="J28" s="4893">
        <v>30</v>
      </c>
      <c r="K28" s="4894">
        <v>100</v>
      </c>
      <c r="L28" s="4894">
        <f>J28*K28</f>
        <v>3000</v>
      </c>
      <c r="M28" s="4895">
        <v>5</v>
      </c>
      <c r="N28" s="4896">
        <v>150000</v>
      </c>
      <c r="O28" s="4754">
        <f t="shared" ref="O28:O42" si="2">F28*N28</f>
        <v>3150000</v>
      </c>
      <c r="P28" s="4897" t="s">
        <v>5782</v>
      </c>
      <c r="Q28" s="4898">
        <v>4</v>
      </c>
      <c r="R28" s="4898" t="s">
        <v>3804</v>
      </c>
      <c r="S28" s="4894" t="s">
        <v>246</v>
      </c>
      <c r="T28" s="4898" t="s">
        <v>2161</v>
      </c>
      <c r="U28" s="4899">
        <v>2000</v>
      </c>
    </row>
    <row r="29" spans="1:29" s="4666" customFormat="1" ht="33.75" customHeight="1">
      <c r="A29" s="4758">
        <v>1</v>
      </c>
      <c r="B29" s="4900">
        <v>46305</v>
      </c>
      <c r="C29" s="4900">
        <v>46309</v>
      </c>
      <c r="D29" s="4913">
        <v>0</v>
      </c>
      <c r="E29" s="4759">
        <v>1</v>
      </c>
      <c r="F29" s="4949">
        <f t="shared" ref="F29:F41" si="3">IF(OR(ISBLANK($B29), ISBLANK($C29)), 0, _xlfn.DAYS($C29, $B29) + 1)</f>
        <v>5</v>
      </c>
      <c r="G29" s="4771" t="s">
        <v>6477</v>
      </c>
      <c r="H29" s="4762">
        <v>3</v>
      </c>
      <c r="I29" s="4763" t="s">
        <v>5784</v>
      </c>
      <c r="J29" s="4902">
        <v>8.1999999999999993</v>
      </c>
      <c r="K29" s="4765">
        <v>7.9</v>
      </c>
      <c r="L29" s="4765">
        <v>62</v>
      </c>
      <c r="M29" s="4765">
        <v>2.5</v>
      </c>
      <c r="N29" s="4762">
        <v>230000</v>
      </c>
      <c r="O29" s="4766">
        <f t="shared" si="2"/>
        <v>1150000</v>
      </c>
      <c r="P29" s="4857" t="s">
        <v>5815</v>
      </c>
      <c r="Q29" s="4858">
        <v>2</v>
      </c>
      <c r="R29" s="4859" t="s">
        <v>5815</v>
      </c>
      <c r="S29" s="4858">
        <v>30000</v>
      </c>
      <c r="T29" s="4859" t="s">
        <v>5815</v>
      </c>
      <c r="U29" s="4860">
        <v>0</v>
      </c>
    </row>
    <row r="30" spans="1:29" ht="33.75" customHeight="1">
      <c r="A30" s="4758">
        <v>2</v>
      </c>
      <c r="B30" s="4900">
        <v>46312</v>
      </c>
      <c r="C30" s="4900">
        <v>46320</v>
      </c>
      <c r="D30" s="4913">
        <v>0</v>
      </c>
      <c r="E30" s="4759">
        <v>1</v>
      </c>
      <c r="F30" s="4949">
        <v>11</v>
      </c>
      <c r="G30" s="4771" t="s">
        <v>6477</v>
      </c>
      <c r="H30" s="4762">
        <v>3</v>
      </c>
      <c r="I30" s="4763" t="s">
        <v>5784</v>
      </c>
      <c r="J30" s="4902">
        <v>8.1999999999999993</v>
      </c>
      <c r="K30" s="4765">
        <v>7.9</v>
      </c>
      <c r="L30" s="4765">
        <v>62</v>
      </c>
      <c r="M30" s="4765">
        <v>2.5</v>
      </c>
      <c r="N30" s="4762">
        <v>230000</v>
      </c>
      <c r="O30" s="4766">
        <f t="shared" si="2"/>
        <v>2530000</v>
      </c>
      <c r="P30" s="4857" t="s">
        <v>5815</v>
      </c>
      <c r="Q30" s="4858">
        <v>2</v>
      </c>
      <c r="R30" s="4859" t="s">
        <v>5815</v>
      </c>
      <c r="S30" s="4858">
        <v>30000</v>
      </c>
      <c r="T30" s="4859" t="s">
        <v>5815</v>
      </c>
      <c r="U30" s="4860">
        <v>0</v>
      </c>
      <c r="AC30" s="4657"/>
    </row>
    <row r="31" spans="1:29" ht="33.75" customHeight="1">
      <c r="A31" s="4758">
        <v>3</v>
      </c>
      <c r="B31" s="4900">
        <v>46321</v>
      </c>
      <c r="C31" s="4900">
        <v>46321</v>
      </c>
      <c r="D31" s="4913">
        <v>0</v>
      </c>
      <c r="E31" s="4759">
        <v>0.5</v>
      </c>
      <c r="F31" s="4949">
        <f t="shared" si="3"/>
        <v>1</v>
      </c>
      <c r="G31" s="4771" t="s">
        <v>6477</v>
      </c>
      <c r="H31" s="4762">
        <v>3</v>
      </c>
      <c r="I31" s="4763" t="s">
        <v>5784</v>
      </c>
      <c r="J31" s="4902">
        <v>8.1999999999999993</v>
      </c>
      <c r="K31" s="4765">
        <v>7.9</v>
      </c>
      <c r="L31" s="4765">
        <v>62</v>
      </c>
      <c r="M31" s="4765">
        <v>2.5</v>
      </c>
      <c r="N31" s="4762">
        <v>115000</v>
      </c>
      <c r="O31" s="4766">
        <f t="shared" si="2"/>
        <v>115000</v>
      </c>
      <c r="P31" s="4857" t="s">
        <v>5815</v>
      </c>
      <c r="Q31" s="4858">
        <v>2</v>
      </c>
      <c r="R31" s="4859" t="s">
        <v>5815</v>
      </c>
      <c r="S31" s="4858">
        <v>30000</v>
      </c>
      <c r="T31" s="4859" t="s">
        <v>5815</v>
      </c>
      <c r="U31" s="4860">
        <v>0</v>
      </c>
      <c r="AC31" s="4657"/>
    </row>
    <row r="32" spans="1:29" ht="33.75" customHeight="1">
      <c r="A32" s="4758">
        <v>4</v>
      </c>
      <c r="B32" s="4900">
        <v>46305</v>
      </c>
      <c r="C32" s="4900">
        <v>46309</v>
      </c>
      <c r="D32" s="4913">
        <v>0</v>
      </c>
      <c r="E32" s="4759">
        <v>1</v>
      </c>
      <c r="F32" s="4949">
        <f t="shared" si="3"/>
        <v>5</v>
      </c>
      <c r="G32" s="4771" t="s">
        <v>6478</v>
      </c>
      <c r="H32" s="4762">
        <v>3</v>
      </c>
      <c r="I32" s="4763" t="s">
        <v>5784</v>
      </c>
      <c r="J32" s="4902">
        <v>8.1999999999999993</v>
      </c>
      <c r="K32" s="4765">
        <v>7.9</v>
      </c>
      <c r="L32" s="4765">
        <v>62</v>
      </c>
      <c r="M32" s="4765">
        <v>2.5</v>
      </c>
      <c r="N32" s="4762">
        <v>230000</v>
      </c>
      <c r="O32" s="4766">
        <f t="shared" si="2"/>
        <v>1150000</v>
      </c>
      <c r="P32" s="4857" t="s">
        <v>5815</v>
      </c>
      <c r="Q32" s="4858">
        <v>2</v>
      </c>
      <c r="R32" s="4859" t="s">
        <v>5815</v>
      </c>
      <c r="S32" s="4858">
        <v>30000</v>
      </c>
      <c r="T32" s="4859" t="s">
        <v>5815</v>
      </c>
      <c r="U32" s="4860">
        <v>0</v>
      </c>
      <c r="AC32" s="4657"/>
    </row>
    <row r="33" spans="1:31" ht="33.75" customHeight="1">
      <c r="A33" s="4758">
        <v>5</v>
      </c>
      <c r="B33" s="4900">
        <v>46312</v>
      </c>
      <c r="C33" s="4900">
        <v>46320</v>
      </c>
      <c r="D33" s="4913">
        <v>0</v>
      </c>
      <c r="E33" s="4759">
        <v>1</v>
      </c>
      <c r="F33" s="4949">
        <v>11</v>
      </c>
      <c r="G33" s="4771" t="s">
        <v>6478</v>
      </c>
      <c r="H33" s="4762">
        <v>3</v>
      </c>
      <c r="I33" s="4763" t="s">
        <v>5784</v>
      </c>
      <c r="J33" s="4902">
        <v>8.1999999999999993</v>
      </c>
      <c r="K33" s="4765">
        <v>7.9</v>
      </c>
      <c r="L33" s="4765">
        <v>62</v>
      </c>
      <c r="M33" s="4765">
        <v>2.5</v>
      </c>
      <c r="N33" s="4762">
        <v>230000</v>
      </c>
      <c r="O33" s="4766">
        <f t="shared" si="2"/>
        <v>2530000</v>
      </c>
      <c r="P33" s="4857" t="s">
        <v>5815</v>
      </c>
      <c r="Q33" s="4858">
        <v>2</v>
      </c>
      <c r="R33" s="4859" t="s">
        <v>5815</v>
      </c>
      <c r="S33" s="4858">
        <v>30000</v>
      </c>
      <c r="T33" s="4859" t="s">
        <v>5815</v>
      </c>
      <c r="U33" s="4860">
        <v>0</v>
      </c>
      <c r="AC33" s="4657"/>
    </row>
    <row r="34" spans="1:31" ht="33.75" customHeight="1">
      <c r="A34" s="4758">
        <v>6</v>
      </c>
      <c r="B34" s="4900">
        <v>46321</v>
      </c>
      <c r="C34" s="4900">
        <v>46321</v>
      </c>
      <c r="D34" s="4913">
        <v>0</v>
      </c>
      <c r="E34" s="4759">
        <v>0.5</v>
      </c>
      <c r="F34" s="4949">
        <f t="shared" si="3"/>
        <v>1</v>
      </c>
      <c r="G34" s="4771" t="s">
        <v>6478</v>
      </c>
      <c r="H34" s="4762">
        <v>3</v>
      </c>
      <c r="I34" s="4763" t="s">
        <v>5784</v>
      </c>
      <c r="J34" s="4902">
        <v>8.1999999999999993</v>
      </c>
      <c r="K34" s="4765">
        <v>7.9</v>
      </c>
      <c r="L34" s="4765">
        <v>62</v>
      </c>
      <c r="M34" s="4765">
        <v>2.5</v>
      </c>
      <c r="N34" s="4762">
        <v>115000</v>
      </c>
      <c r="O34" s="4766">
        <f t="shared" si="2"/>
        <v>115000</v>
      </c>
      <c r="P34" s="4857" t="s">
        <v>5815</v>
      </c>
      <c r="Q34" s="4858">
        <v>2</v>
      </c>
      <c r="R34" s="4859" t="s">
        <v>5815</v>
      </c>
      <c r="S34" s="4858">
        <v>30000</v>
      </c>
      <c r="T34" s="4859" t="s">
        <v>5815</v>
      </c>
      <c r="U34" s="4860">
        <v>0</v>
      </c>
      <c r="AC34" s="4657"/>
    </row>
    <row r="35" spans="1:31" ht="33.75" customHeight="1">
      <c r="A35" s="4758">
        <v>7</v>
      </c>
      <c r="B35" s="4900">
        <v>46305</v>
      </c>
      <c r="C35" s="4900">
        <v>46320</v>
      </c>
      <c r="D35" s="4913">
        <v>0</v>
      </c>
      <c r="E35" s="4759">
        <v>1</v>
      </c>
      <c r="F35" s="4949">
        <v>18</v>
      </c>
      <c r="G35" s="4771" t="s">
        <v>6479</v>
      </c>
      <c r="H35" s="4762">
        <v>2</v>
      </c>
      <c r="I35" s="4763" t="s">
        <v>5784</v>
      </c>
      <c r="J35" s="4902">
        <v>9.1</v>
      </c>
      <c r="K35" s="4765">
        <v>7.8</v>
      </c>
      <c r="L35" s="4765">
        <v>58</v>
      </c>
      <c r="M35" s="4765">
        <v>2.5</v>
      </c>
      <c r="N35" s="4762">
        <v>207000</v>
      </c>
      <c r="O35" s="4766">
        <f t="shared" si="2"/>
        <v>3726000</v>
      </c>
      <c r="P35" s="4857" t="s">
        <v>3804</v>
      </c>
      <c r="Q35" s="4858"/>
      <c r="R35" s="4859" t="s">
        <v>5815</v>
      </c>
      <c r="S35" s="4858">
        <v>30000</v>
      </c>
      <c r="T35" s="4859" t="s">
        <v>5815</v>
      </c>
      <c r="U35" s="4860">
        <v>0</v>
      </c>
      <c r="AC35" s="4657"/>
    </row>
    <row r="36" spans="1:31" ht="33.75" customHeight="1">
      <c r="A36" s="4758">
        <v>8</v>
      </c>
      <c r="B36" s="4900">
        <v>46321</v>
      </c>
      <c r="C36" s="4900">
        <v>46321</v>
      </c>
      <c r="D36" s="4913">
        <v>0</v>
      </c>
      <c r="E36" s="4759">
        <v>0.5</v>
      </c>
      <c r="F36" s="4949">
        <f t="shared" si="3"/>
        <v>1</v>
      </c>
      <c r="G36" s="4771" t="s">
        <v>6479</v>
      </c>
      <c r="H36" s="4762">
        <v>2</v>
      </c>
      <c r="I36" s="4763" t="s">
        <v>5784</v>
      </c>
      <c r="J36" s="4902">
        <v>9.1</v>
      </c>
      <c r="K36" s="4765">
        <v>7.8</v>
      </c>
      <c r="L36" s="4765">
        <v>58</v>
      </c>
      <c r="M36" s="4765">
        <v>2.5</v>
      </c>
      <c r="N36" s="4762">
        <v>103500</v>
      </c>
      <c r="O36" s="4766">
        <f t="shared" si="2"/>
        <v>103500</v>
      </c>
      <c r="P36" s="4857" t="s">
        <v>3804</v>
      </c>
      <c r="Q36" s="4858"/>
      <c r="R36" s="4859" t="s">
        <v>5815</v>
      </c>
      <c r="S36" s="4858">
        <v>30000</v>
      </c>
      <c r="T36" s="4859" t="s">
        <v>5815</v>
      </c>
      <c r="U36" s="4860">
        <v>0</v>
      </c>
      <c r="AC36" s="4657"/>
    </row>
    <row r="37" spans="1:31" ht="33.75" customHeight="1">
      <c r="A37" s="4758">
        <v>9</v>
      </c>
      <c r="B37" s="4900">
        <v>46310</v>
      </c>
      <c r="C37" s="4900">
        <v>46311</v>
      </c>
      <c r="D37" s="4913">
        <v>0</v>
      </c>
      <c r="E37" s="4759">
        <v>1</v>
      </c>
      <c r="F37" s="4949">
        <v>4</v>
      </c>
      <c r="G37" s="4771" t="s">
        <v>6483</v>
      </c>
      <c r="H37" s="4762">
        <v>11</v>
      </c>
      <c r="I37" s="4763" t="s">
        <v>5784</v>
      </c>
      <c r="J37" s="4902">
        <v>8.8000000000000007</v>
      </c>
      <c r="K37" s="4765">
        <v>7.7</v>
      </c>
      <c r="L37" s="4765">
        <v>50</v>
      </c>
      <c r="M37" s="4765">
        <v>2.7</v>
      </c>
      <c r="N37" s="4762">
        <v>180000</v>
      </c>
      <c r="O37" s="4766">
        <f t="shared" si="2"/>
        <v>720000</v>
      </c>
      <c r="P37" s="4857" t="s">
        <v>3804</v>
      </c>
      <c r="Q37" s="4858"/>
      <c r="R37" s="4859" t="s">
        <v>5815</v>
      </c>
      <c r="S37" s="4858">
        <v>30000</v>
      </c>
      <c r="T37" s="4859" t="s">
        <v>5815</v>
      </c>
      <c r="U37" s="4860">
        <v>0</v>
      </c>
      <c r="AC37" s="4657"/>
    </row>
    <row r="38" spans="1:31" ht="33.75" customHeight="1">
      <c r="A38" s="4758">
        <v>10</v>
      </c>
      <c r="B38" s="4900">
        <v>46310</v>
      </c>
      <c r="C38" s="4900">
        <v>46311</v>
      </c>
      <c r="D38" s="4913">
        <v>0</v>
      </c>
      <c r="E38" s="4759">
        <v>1</v>
      </c>
      <c r="F38" s="4949">
        <v>4</v>
      </c>
      <c r="G38" s="4771" t="s">
        <v>6484</v>
      </c>
      <c r="H38" s="4762">
        <v>3</v>
      </c>
      <c r="I38" s="4763" t="s">
        <v>5784</v>
      </c>
      <c r="J38" s="4902">
        <v>9.1</v>
      </c>
      <c r="K38" s="4765">
        <v>7.8</v>
      </c>
      <c r="L38" s="4765">
        <v>58</v>
      </c>
      <c r="M38" s="4765">
        <v>2.5</v>
      </c>
      <c r="N38" s="4762">
        <v>180000</v>
      </c>
      <c r="O38" s="4766">
        <f t="shared" si="2"/>
        <v>720000</v>
      </c>
      <c r="P38" s="4857" t="s">
        <v>3804</v>
      </c>
      <c r="Q38" s="4858"/>
      <c r="R38" s="4859" t="s">
        <v>5815</v>
      </c>
      <c r="S38" s="4858">
        <v>30000</v>
      </c>
      <c r="T38" s="4859" t="s">
        <v>5815</v>
      </c>
      <c r="U38" s="4860">
        <v>0</v>
      </c>
      <c r="AC38" s="4657"/>
    </row>
    <row r="39" spans="1:31" ht="33.75" customHeight="1">
      <c r="A39" s="4758">
        <v>11</v>
      </c>
      <c r="B39" s="5628">
        <v>46305</v>
      </c>
      <c r="C39" s="5628">
        <v>46308</v>
      </c>
      <c r="D39" s="5629">
        <v>0</v>
      </c>
      <c r="E39" s="5630">
        <v>1</v>
      </c>
      <c r="F39" s="4949">
        <f t="shared" si="3"/>
        <v>4</v>
      </c>
      <c r="G39" s="4771" t="s">
        <v>6480</v>
      </c>
      <c r="H39" s="4764">
        <v>2</v>
      </c>
      <c r="I39" s="4763" t="s">
        <v>5190</v>
      </c>
      <c r="J39" s="4902">
        <v>17.2</v>
      </c>
      <c r="K39" s="4765">
        <v>22.8</v>
      </c>
      <c r="L39" s="4765">
        <v>392</v>
      </c>
      <c r="M39" s="4765">
        <v>3.4</v>
      </c>
      <c r="N39" s="4762">
        <v>1242000</v>
      </c>
      <c r="O39" s="4766">
        <f t="shared" si="2"/>
        <v>4968000</v>
      </c>
      <c r="P39" s="4857" t="s">
        <v>5815</v>
      </c>
      <c r="Q39" s="5631">
        <v>2</v>
      </c>
      <c r="R39" s="4859" t="s">
        <v>5815</v>
      </c>
      <c r="S39" s="4858">
        <v>30000</v>
      </c>
      <c r="T39" s="4859" t="s">
        <v>5815</v>
      </c>
      <c r="U39" s="4860">
        <v>0</v>
      </c>
      <c r="AC39" s="4657"/>
    </row>
    <row r="40" spans="1:31" ht="33.75" customHeight="1">
      <c r="A40" s="4758">
        <v>12</v>
      </c>
      <c r="B40" s="4900">
        <v>46312</v>
      </c>
      <c r="C40" s="4900">
        <v>46320</v>
      </c>
      <c r="D40" s="4913">
        <v>0</v>
      </c>
      <c r="E40" s="4759">
        <v>1</v>
      </c>
      <c r="F40" s="4949">
        <v>11</v>
      </c>
      <c r="G40" s="4771" t="s">
        <v>6480</v>
      </c>
      <c r="H40" s="4764">
        <v>2</v>
      </c>
      <c r="I40" s="4763" t="s">
        <v>5190</v>
      </c>
      <c r="J40" s="4902">
        <v>17.2</v>
      </c>
      <c r="K40" s="4765">
        <v>22.8</v>
      </c>
      <c r="L40" s="4765">
        <v>392</v>
      </c>
      <c r="M40" s="4765">
        <v>3.4</v>
      </c>
      <c r="N40" s="4762">
        <v>1242000</v>
      </c>
      <c r="O40" s="4766">
        <f t="shared" si="2"/>
        <v>13662000</v>
      </c>
      <c r="P40" s="4857" t="s">
        <v>5815</v>
      </c>
      <c r="Q40" s="5631">
        <v>2</v>
      </c>
      <c r="R40" s="4859" t="s">
        <v>5815</v>
      </c>
      <c r="S40" s="4858">
        <v>30000</v>
      </c>
      <c r="T40" s="4859" t="s">
        <v>5815</v>
      </c>
      <c r="U40" s="4860">
        <v>0</v>
      </c>
      <c r="AC40" s="4657"/>
    </row>
    <row r="41" spans="1:31" ht="33.75" customHeight="1">
      <c r="A41" s="4758">
        <v>13</v>
      </c>
      <c r="B41" s="4900">
        <v>46321</v>
      </c>
      <c r="C41" s="4900">
        <v>46321</v>
      </c>
      <c r="D41" s="4913">
        <v>0</v>
      </c>
      <c r="E41" s="4759">
        <v>0.5</v>
      </c>
      <c r="F41" s="4949">
        <f t="shared" si="3"/>
        <v>1</v>
      </c>
      <c r="G41" s="4771" t="s">
        <v>6480</v>
      </c>
      <c r="H41" s="4764">
        <v>2</v>
      </c>
      <c r="I41" s="4763" t="s">
        <v>5190</v>
      </c>
      <c r="J41" s="4902">
        <v>17.2</v>
      </c>
      <c r="K41" s="4765">
        <v>22.8</v>
      </c>
      <c r="L41" s="4765">
        <v>392</v>
      </c>
      <c r="M41" s="4765">
        <v>3.4</v>
      </c>
      <c r="N41" s="4762">
        <v>621000</v>
      </c>
      <c r="O41" s="4766">
        <f t="shared" si="2"/>
        <v>621000</v>
      </c>
      <c r="P41" s="4857" t="s">
        <v>5815</v>
      </c>
      <c r="Q41" s="5631">
        <v>2</v>
      </c>
      <c r="R41" s="4859" t="s">
        <v>5815</v>
      </c>
      <c r="S41" s="4858">
        <v>30000</v>
      </c>
      <c r="T41" s="4859" t="s">
        <v>5815</v>
      </c>
      <c r="U41" s="4860">
        <v>0</v>
      </c>
      <c r="AC41" s="4657"/>
    </row>
    <row r="42" spans="1:31" ht="33.75" customHeight="1" thickBot="1">
      <c r="A42" s="4758">
        <v>14</v>
      </c>
      <c r="B42" s="4900">
        <v>46309</v>
      </c>
      <c r="C42" s="4900">
        <v>46311</v>
      </c>
      <c r="D42" s="4913">
        <v>0</v>
      </c>
      <c r="E42" s="4759">
        <v>1</v>
      </c>
      <c r="F42" s="4949">
        <v>5</v>
      </c>
      <c r="G42" s="5058" t="s">
        <v>6481</v>
      </c>
      <c r="H42" s="5060">
        <v>11</v>
      </c>
      <c r="I42" s="5632" t="s">
        <v>5190</v>
      </c>
      <c r="J42" s="5633">
        <v>19.5</v>
      </c>
      <c r="K42" s="5061">
        <v>15</v>
      </c>
      <c r="L42" s="5061">
        <v>250</v>
      </c>
      <c r="M42" s="5061">
        <v>2.9</v>
      </c>
      <c r="N42" s="5351">
        <v>379500</v>
      </c>
      <c r="O42" s="4766">
        <f t="shared" si="2"/>
        <v>1897500</v>
      </c>
      <c r="P42" s="5052" t="s">
        <v>3804</v>
      </c>
      <c r="Q42" s="5053"/>
      <c r="R42" s="5081" t="s">
        <v>5815</v>
      </c>
      <c r="S42" s="5055">
        <v>30000</v>
      </c>
      <c r="T42" s="5081" t="s">
        <v>5815</v>
      </c>
      <c r="U42" s="5056">
        <v>0</v>
      </c>
      <c r="AC42" s="4657"/>
    </row>
    <row r="43" spans="1:31" ht="33.75" customHeight="1" thickTop="1" thickBot="1">
      <c r="A43" s="4865" t="s">
        <v>5939</v>
      </c>
      <c r="B43" s="4866"/>
      <c r="C43" s="4866"/>
      <c r="D43" s="4866"/>
      <c r="E43" s="4866"/>
      <c r="F43" s="4867">
        <f>SUM(F29:F42)</f>
        <v>82</v>
      </c>
      <c r="G43" s="4866"/>
      <c r="H43" s="4868"/>
      <c r="I43" s="4782">
        <f>COUNTA(I30,I34,I36,I37,I39)</f>
        <v>5</v>
      </c>
      <c r="J43" s="4870"/>
      <c r="K43" s="4870"/>
      <c r="L43" s="4870"/>
      <c r="M43" s="4870"/>
      <c r="N43" s="4903"/>
      <c r="O43" s="4871">
        <f>SUM(O29:O42)</f>
        <v>34008000</v>
      </c>
      <c r="P43" s="4904"/>
      <c r="Q43" s="4904"/>
      <c r="R43" s="4905"/>
      <c r="S43" s="4906"/>
      <c r="T43" s="4905"/>
      <c r="U43" s="4907"/>
      <c r="AC43" s="4657"/>
    </row>
    <row r="44" spans="1:31" ht="33.75" customHeight="1" thickBot="1">
      <c r="A44" s="4876" t="s">
        <v>5792</v>
      </c>
      <c r="B44" s="4957"/>
      <c r="C44" s="4958"/>
      <c r="D44" s="4958"/>
      <c r="E44" s="4958"/>
      <c r="F44" s="4959"/>
      <c r="G44" s="4958"/>
      <c r="H44" s="4960"/>
      <c r="I44" s="4958"/>
      <c r="J44" s="4961"/>
      <c r="K44" s="4961"/>
      <c r="L44" s="4961"/>
      <c r="M44" s="4961"/>
      <c r="N44" s="4962"/>
      <c r="O44" s="5010">
        <f>O43*1.1</f>
        <v>37408800</v>
      </c>
      <c r="P44" s="4963"/>
      <c r="Q44" s="4963"/>
      <c r="R44" s="4964"/>
      <c r="S44" s="4965"/>
      <c r="T44" s="4964"/>
      <c r="U44" s="4966"/>
      <c r="V44" s="4941"/>
      <c r="W44" s="4941"/>
      <c r="X44" s="4941"/>
      <c r="Y44" s="4941"/>
      <c r="Z44" s="4941"/>
      <c r="AA44" s="4941"/>
      <c r="AB44" s="4941"/>
      <c r="AC44" s="4941"/>
      <c r="AD44" s="4941"/>
      <c r="AE44" s="4941"/>
    </row>
    <row r="45" spans="1:31" ht="32.15" customHeight="1">
      <c r="A45" s="4656"/>
      <c r="B45" s="4660"/>
      <c r="C45" s="4660"/>
      <c r="D45" s="4660"/>
      <c r="G45" s="4660"/>
      <c r="H45" s="4660"/>
      <c r="M45" s="4808" t="s">
        <v>5748</v>
      </c>
      <c r="N45" s="4809">
        <f>SUM(N30,N33,N35,N39,N42,N37,N38)</f>
        <v>2648500</v>
      </c>
      <c r="O45" s="4656"/>
      <c r="P45" s="4657"/>
      <c r="Q45" s="4657"/>
      <c r="AC45" s="4657"/>
    </row>
    <row r="46" spans="1:31" ht="32.15" customHeight="1">
      <c r="B46" s="4657"/>
      <c r="C46" s="4657"/>
      <c r="D46" s="4657"/>
      <c r="E46" s="4810"/>
      <c r="F46" s="4811"/>
      <c r="G46" s="4657"/>
      <c r="H46" s="4657"/>
      <c r="M46" s="4808" t="s">
        <v>5750</v>
      </c>
      <c r="N46" s="4809">
        <f>N45*1.1</f>
        <v>2913350.0000000005</v>
      </c>
      <c r="O46" s="4656"/>
      <c r="P46" s="4657"/>
      <c r="Q46" s="4657"/>
      <c r="AC46" s="4657"/>
    </row>
    <row r="47" spans="1:31" ht="32.15" customHeight="1">
      <c r="A47" s="4812"/>
      <c r="B47" s="4813"/>
      <c r="C47" s="4813"/>
      <c r="D47" s="4813"/>
      <c r="E47" s="4814"/>
      <c r="F47" s="4814"/>
      <c r="G47" s="4813"/>
      <c r="H47" s="4813"/>
      <c r="I47" s="4812"/>
      <c r="J47" s="4812"/>
      <c r="K47" s="4812"/>
      <c r="L47" s="4812"/>
      <c r="M47" s="4812"/>
      <c r="N47" s="4812"/>
      <c r="O47" s="4715"/>
      <c r="P47" s="4715"/>
      <c r="Q47" s="4715"/>
      <c r="R47" s="4656"/>
      <c r="S47" s="4812"/>
      <c r="T47" s="4656"/>
      <c r="U47" s="4812"/>
      <c r="W47" s="6905"/>
      <c r="X47" s="6905"/>
      <c r="Y47" s="6905"/>
      <c r="Z47" s="6905"/>
      <c r="AA47" s="6905"/>
      <c r="AB47" s="6891"/>
      <c r="AC47" s="6891"/>
      <c r="AD47" s="6891"/>
      <c r="AE47" s="6891"/>
    </row>
    <row r="48" spans="1:31" ht="36" customHeight="1"/>
    <row r="49" spans="2:29" ht="36" customHeight="1"/>
    <row r="50" spans="2:29" ht="36" customHeight="1"/>
    <row r="51" spans="2:29" ht="36" customHeight="1"/>
    <row r="52" spans="2:29" ht="36" customHeight="1"/>
    <row r="53" spans="2:29" ht="36" customHeight="1"/>
    <row r="54" spans="2:29" ht="36" customHeight="1"/>
    <row r="55" spans="2:29" ht="36" customHeight="1"/>
    <row r="56" spans="2:29" ht="36" customHeight="1"/>
    <row r="57" spans="2:29" ht="36" customHeight="1"/>
    <row r="58" spans="2:29" ht="10.4" customHeight="1">
      <c r="B58" s="4657"/>
      <c r="C58" s="4657"/>
      <c r="D58" s="4657"/>
      <c r="G58" s="4657"/>
      <c r="H58" s="4657"/>
      <c r="O58" s="4656"/>
      <c r="P58" s="4657"/>
      <c r="Q58" s="4657"/>
      <c r="AC58" s="4657"/>
    </row>
  </sheetData>
  <mergeCells count="38">
    <mergeCell ref="A2:B2"/>
    <mergeCell ref="C2:G2"/>
    <mergeCell ref="A5:A6"/>
    <mergeCell ref="B5:B6"/>
    <mergeCell ref="C5:C6"/>
    <mergeCell ref="D5:D6"/>
    <mergeCell ref="E5:E6"/>
    <mergeCell ref="F5:F6"/>
    <mergeCell ref="G5:G6"/>
    <mergeCell ref="F26:F27"/>
    <mergeCell ref="H5:H6"/>
    <mergeCell ref="I5:I6"/>
    <mergeCell ref="J5:J6"/>
    <mergeCell ref="K5:K6"/>
    <mergeCell ref="G26:G27"/>
    <mergeCell ref="H26:H27"/>
    <mergeCell ref="I26:I27"/>
    <mergeCell ref="J26:J27"/>
    <mergeCell ref="K26:K27"/>
    <mergeCell ref="A26:A27"/>
    <mergeCell ref="B26:B27"/>
    <mergeCell ref="C26:C27"/>
    <mergeCell ref="D26:D27"/>
    <mergeCell ref="E26:E27"/>
    <mergeCell ref="L26:L27"/>
    <mergeCell ref="N5:N6"/>
    <mergeCell ref="O5:O6"/>
    <mergeCell ref="P5:Q5"/>
    <mergeCell ref="R5:U5"/>
    <mergeCell ref="L5:L6"/>
    <mergeCell ref="M5:M6"/>
    <mergeCell ref="AB47:AE47"/>
    <mergeCell ref="M26:M27"/>
    <mergeCell ref="N26:N27"/>
    <mergeCell ref="O26:O27"/>
    <mergeCell ref="P26:Q26"/>
    <mergeCell ref="R26:U26"/>
    <mergeCell ref="W47:AA47"/>
  </mergeCells>
  <phoneticPr fontId="2"/>
  <conditionalFormatting sqref="B8:E19 G8:N19">
    <cfRule type="containsBlanks" dxfId="95" priority="1">
      <formula>LEN(TRIM(B8))=0</formula>
    </cfRule>
  </conditionalFormatting>
  <conditionalFormatting sqref="B29:E42 G29:K42">
    <cfRule type="containsBlanks" dxfId="94" priority="2">
      <formula>LEN(TRIM(B29))=0</formula>
    </cfRule>
  </conditionalFormatting>
  <conditionalFormatting sqref="C2:D2">
    <cfRule type="containsBlanks" dxfId="93" priority="4">
      <formula>LEN(TRIM(C2))=0</formula>
    </cfRule>
  </conditionalFormatting>
  <conditionalFormatting sqref="M29:N42">
    <cfRule type="containsBlanks" dxfId="92" priority="6">
      <formula>LEN(TRIM(M29))=0</formula>
    </cfRule>
  </conditionalFormatting>
  <conditionalFormatting sqref="P8:U19">
    <cfRule type="containsBlanks" dxfId="91" priority="3">
      <formula>LEN(TRIM(P8))=0</formula>
    </cfRule>
  </conditionalFormatting>
  <conditionalFormatting sqref="P29:U42">
    <cfRule type="containsBlanks" dxfId="90" priority="5">
      <formula>LEN(TRIM(P29))=0</formula>
    </cfRule>
  </conditionalFormatting>
  <dataValidations count="1">
    <dataValidation type="list" allowBlank="1" showInputMessage="1" showErrorMessage="1" sqref="I28:I42 I7:I19" xr:uid="{B829E28E-0AD7-42F7-909C-436360967361}">
      <formula1>会場形態</formula1>
    </dataValidation>
  </dataValidations>
  <printOptions horizontalCentered="1"/>
  <pageMargins left="0.39370078740157483" right="0.39370078740157483" top="0.55118110236220474" bottom="0.55118110236220474" header="0.31496062992125984" footer="0.31496062992125984"/>
  <pageSetup paperSize="8" scale="57" orientation="landscape" r:id="rId1"/>
  <headerFooter>
    <oddHeader>&amp;R&amp;G</oddHead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51A8-EB57-4DE5-9947-2D82D00ACB8A}">
  <sheetPr codeName="Sheet392">
    <tabColor rgb="FFFFFF66"/>
    <pageSetUpPr fitToPage="1"/>
  </sheetPr>
  <dimension ref="A1:AF40"/>
  <sheetViews>
    <sheetView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2386</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46277</v>
      </c>
      <c r="C8" s="4687">
        <v>46279</v>
      </c>
      <c r="D8" s="4672">
        <f t="shared" ref="D8:D22" si="0">IF(_xlfn.DAYS(C8,B8)=0,"1",_xlfn.DAYS(C8,B8))</f>
        <v>2</v>
      </c>
      <c r="E8" s="4687">
        <v>46298</v>
      </c>
      <c r="F8" s="4698">
        <f t="shared" ref="F8:F22" si="1">IF(_xlfn.DAYS(E8,C8)=0,"1",_xlfn.DAYS(E8,C8))+1</f>
        <v>20</v>
      </c>
      <c r="G8" s="4687">
        <v>46300</v>
      </c>
      <c r="H8" s="4672">
        <f t="shared" ref="H8:H22" si="2">IF(_xlfn.DAYS(G8,E8)=0,"1",_xlfn.DAYS(G8,E8))-1</f>
        <v>1</v>
      </c>
      <c r="I8" s="4691" t="s">
        <v>5046</v>
      </c>
      <c r="J8" s="4692">
        <v>24</v>
      </c>
      <c r="K8" s="4693">
        <v>20</v>
      </c>
      <c r="L8" s="4692">
        <v>10000</v>
      </c>
      <c r="M8" s="4692">
        <v>12000</v>
      </c>
      <c r="N8" s="4971">
        <f t="shared" ref="N8:N14" si="3">M8*K8</f>
        <v>240000</v>
      </c>
      <c r="O8" s="4692">
        <v>10000</v>
      </c>
      <c r="P8" s="4678">
        <f>SUM(D8,F8,H8)*K8</f>
        <v>460</v>
      </c>
      <c r="Q8" s="4679">
        <f t="shared" ref="Q8:Q22" si="4">(D8*L8+F8*M8+H8*O8)*K8</f>
        <v>5400000</v>
      </c>
      <c r="R8" s="4692">
        <v>21</v>
      </c>
      <c r="S8" s="4680" t="s">
        <v>5742</v>
      </c>
      <c r="T8" s="4694">
        <v>21</v>
      </c>
      <c r="U8" s="4692">
        <v>1</v>
      </c>
      <c r="V8" s="4692">
        <v>160</v>
      </c>
      <c r="W8" s="4680" t="s">
        <v>4521</v>
      </c>
      <c r="X8" s="4695">
        <v>195</v>
      </c>
      <c r="Y8" s="4692">
        <v>1</v>
      </c>
      <c r="Z8" s="4692" t="s">
        <v>5743</v>
      </c>
      <c r="AA8" s="4683" t="s">
        <v>5035</v>
      </c>
      <c r="AB8" s="4692" t="s">
        <v>6485</v>
      </c>
      <c r="AC8" s="4683" t="s">
        <v>5050</v>
      </c>
      <c r="AD8" s="4692" t="s">
        <v>2814</v>
      </c>
      <c r="AE8" s="4696"/>
      <c r="AF8" s="4685">
        <f>U8*K8</f>
        <v>20</v>
      </c>
    </row>
    <row r="9" spans="1:32" ht="33.75" customHeight="1">
      <c r="A9" s="4686">
        <v>2</v>
      </c>
      <c r="B9" s="4687">
        <v>46277</v>
      </c>
      <c r="C9" s="4687">
        <v>46279</v>
      </c>
      <c r="D9" s="4672">
        <f t="shared" si="0"/>
        <v>2</v>
      </c>
      <c r="E9" s="4687">
        <v>46298</v>
      </c>
      <c r="F9" s="4698">
        <f t="shared" si="1"/>
        <v>20</v>
      </c>
      <c r="G9" s="4687">
        <v>46300</v>
      </c>
      <c r="H9" s="4672">
        <f t="shared" si="2"/>
        <v>1</v>
      </c>
      <c r="I9" s="4691" t="s">
        <v>6486</v>
      </c>
      <c r="J9" s="4692"/>
      <c r="K9" s="4693"/>
      <c r="L9" s="4692"/>
      <c r="M9" s="4692"/>
      <c r="N9" s="4971">
        <f t="shared" si="3"/>
        <v>0</v>
      </c>
      <c r="O9" s="4692"/>
      <c r="P9" s="4678">
        <f t="shared" ref="P9:P22" si="5">SUM(D9,F9,H9)*K9</f>
        <v>0</v>
      </c>
      <c r="Q9" s="4679">
        <f>(D9*L9+F9*M10+H9*O9)*K9</f>
        <v>0</v>
      </c>
      <c r="R9" s="4692"/>
      <c r="S9" s="4680" t="s">
        <v>5742</v>
      </c>
      <c r="T9" s="4694"/>
      <c r="U9" s="4692">
        <v>1</v>
      </c>
      <c r="V9" s="4692"/>
      <c r="W9" s="4680" t="s">
        <v>4521</v>
      </c>
      <c r="X9" s="4695"/>
      <c r="Y9" s="4692">
        <v>1</v>
      </c>
      <c r="Z9" s="4692" t="s">
        <v>5743</v>
      </c>
      <c r="AA9" s="4683" t="s">
        <v>5035</v>
      </c>
      <c r="AB9" s="4692" t="s">
        <v>6485</v>
      </c>
      <c r="AC9" s="4683" t="s">
        <v>5050</v>
      </c>
      <c r="AD9" s="4692" t="s">
        <v>2814</v>
      </c>
      <c r="AE9" s="4696"/>
      <c r="AF9" s="4685">
        <f>U10*K9</f>
        <v>0</v>
      </c>
    </row>
    <row r="10" spans="1:32" ht="33.75" customHeight="1">
      <c r="A10" s="4686">
        <v>3</v>
      </c>
      <c r="B10" s="4687">
        <v>46277</v>
      </c>
      <c r="C10" s="4687">
        <v>46279</v>
      </c>
      <c r="D10" s="4672">
        <f t="shared" si="0"/>
        <v>2</v>
      </c>
      <c r="E10" s="4687">
        <v>46298</v>
      </c>
      <c r="F10" s="4698">
        <f t="shared" si="1"/>
        <v>20</v>
      </c>
      <c r="G10" s="4687">
        <v>46300</v>
      </c>
      <c r="H10" s="4672">
        <f t="shared" si="2"/>
        <v>1</v>
      </c>
      <c r="I10" s="4691" t="s">
        <v>5072</v>
      </c>
      <c r="J10" s="4692">
        <v>50</v>
      </c>
      <c r="K10" s="4693">
        <v>50</v>
      </c>
      <c r="L10" s="4692">
        <v>16500</v>
      </c>
      <c r="M10" s="4692">
        <v>20500</v>
      </c>
      <c r="N10" s="4971">
        <f t="shared" si="3"/>
        <v>1025000</v>
      </c>
      <c r="O10" s="4692">
        <v>16500</v>
      </c>
      <c r="P10" s="4678">
        <f t="shared" si="5"/>
        <v>1150</v>
      </c>
      <c r="Q10" s="4679">
        <f>(D10*L10+F10*M10+H10*O10)*K10</f>
        <v>22975000</v>
      </c>
      <c r="R10" s="5634">
        <v>24.5</v>
      </c>
      <c r="S10" s="4680" t="s">
        <v>5742</v>
      </c>
      <c r="T10" s="5635">
        <v>24.5</v>
      </c>
      <c r="U10" s="4692">
        <v>2</v>
      </c>
      <c r="V10" s="4692">
        <v>113</v>
      </c>
      <c r="W10" s="4680" t="s">
        <v>4521</v>
      </c>
      <c r="X10" s="4695">
        <v>195</v>
      </c>
      <c r="Y10" s="4692">
        <v>2</v>
      </c>
      <c r="Z10" s="4692" t="s">
        <v>5743</v>
      </c>
      <c r="AA10" s="4683" t="s">
        <v>5035</v>
      </c>
      <c r="AB10" s="4692" t="s">
        <v>6485</v>
      </c>
      <c r="AC10" s="4683" t="s">
        <v>5050</v>
      </c>
      <c r="AD10" s="4692" t="s">
        <v>2814</v>
      </c>
      <c r="AE10" s="4696"/>
      <c r="AF10" s="4685">
        <f>U11*K10</f>
        <v>100</v>
      </c>
    </row>
    <row r="11" spans="1:32" ht="33.75" customHeight="1">
      <c r="A11" s="4686">
        <v>4</v>
      </c>
      <c r="B11" s="4687">
        <v>46277</v>
      </c>
      <c r="C11" s="4687">
        <v>46279</v>
      </c>
      <c r="D11" s="4672">
        <f t="shared" si="0"/>
        <v>2</v>
      </c>
      <c r="E11" s="4687">
        <v>46298</v>
      </c>
      <c r="F11" s="4698">
        <f t="shared" si="1"/>
        <v>20</v>
      </c>
      <c r="G11" s="4687">
        <v>46300</v>
      </c>
      <c r="H11" s="4672">
        <f t="shared" si="2"/>
        <v>1</v>
      </c>
      <c r="I11" s="4691" t="s">
        <v>5092</v>
      </c>
      <c r="J11" s="4692">
        <v>2</v>
      </c>
      <c r="K11" s="4693">
        <v>0</v>
      </c>
      <c r="L11" s="4692"/>
      <c r="M11" s="4692"/>
      <c r="N11" s="4971">
        <f t="shared" si="3"/>
        <v>0</v>
      </c>
      <c r="O11" s="4692"/>
      <c r="P11" s="4678">
        <f t="shared" si="5"/>
        <v>0</v>
      </c>
      <c r="Q11" s="4679">
        <f>(D11*L11+F11*M11+H11*O11)*K11</f>
        <v>0</v>
      </c>
      <c r="R11" s="4692">
        <v>49</v>
      </c>
      <c r="S11" s="4680" t="s">
        <v>5742</v>
      </c>
      <c r="T11" s="4694">
        <v>49</v>
      </c>
      <c r="U11" s="4692">
        <v>2</v>
      </c>
      <c r="V11" s="4692">
        <v>113</v>
      </c>
      <c r="W11" s="4680" t="s">
        <v>4521</v>
      </c>
      <c r="X11" s="4695">
        <v>195</v>
      </c>
      <c r="Y11" s="4692">
        <v>2</v>
      </c>
      <c r="Z11" s="4692" t="s">
        <v>5743</v>
      </c>
      <c r="AA11" s="4683" t="s">
        <v>5035</v>
      </c>
      <c r="AB11" s="4692" t="s">
        <v>6485</v>
      </c>
      <c r="AC11" s="4683" t="s">
        <v>5050</v>
      </c>
      <c r="AD11" s="4692" t="s">
        <v>2814</v>
      </c>
      <c r="AE11" s="4696"/>
      <c r="AF11" s="4685">
        <f>U12*K11</f>
        <v>0</v>
      </c>
    </row>
    <row r="12" spans="1:32" ht="33.75" customHeight="1">
      <c r="A12" s="4686">
        <v>5</v>
      </c>
      <c r="B12" s="4687">
        <v>46277</v>
      </c>
      <c r="C12" s="4687">
        <v>46279</v>
      </c>
      <c r="D12" s="4672">
        <f t="shared" si="0"/>
        <v>2</v>
      </c>
      <c r="E12" s="4687">
        <v>46298</v>
      </c>
      <c r="F12" s="4698">
        <f t="shared" si="1"/>
        <v>20</v>
      </c>
      <c r="G12" s="4687">
        <v>46300</v>
      </c>
      <c r="H12" s="4672">
        <f t="shared" si="2"/>
        <v>1</v>
      </c>
      <c r="I12" s="4691" t="s">
        <v>4514</v>
      </c>
      <c r="J12" s="4692">
        <v>2</v>
      </c>
      <c r="K12" s="4693">
        <v>0</v>
      </c>
      <c r="L12" s="4692"/>
      <c r="M12" s="4692"/>
      <c r="N12" s="4971">
        <f t="shared" si="3"/>
        <v>0</v>
      </c>
      <c r="O12" s="4692"/>
      <c r="P12" s="4678">
        <f t="shared" si="5"/>
        <v>0</v>
      </c>
      <c r="Q12" s="4679">
        <f>(D12*L12+F12*M12+H12*O12)*K12</f>
        <v>0</v>
      </c>
      <c r="R12" s="4692">
        <v>73.5</v>
      </c>
      <c r="S12" s="4680" t="s">
        <v>5742</v>
      </c>
      <c r="T12" s="4694">
        <v>73.5</v>
      </c>
      <c r="U12" s="4692">
        <v>2</v>
      </c>
      <c r="V12" s="4692">
        <v>120</v>
      </c>
      <c r="W12" s="4680" t="s">
        <v>4521</v>
      </c>
      <c r="X12" s="4695">
        <v>195</v>
      </c>
      <c r="Y12" s="4692">
        <v>2</v>
      </c>
      <c r="Z12" s="4692" t="s">
        <v>5743</v>
      </c>
      <c r="AA12" s="4683" t="s">
        <v>5035</v>
      </c>
      <c r="AB12" s="4692" t="s">
        <v>6485</v>
      </c>
      <c r="AC12" s="4683" t="s">
        <v>5050</v>
      </c>
      <c r="AD12" s="4692" t="s">
        <v>2814</v>
      </c>
      <c r="AE12" s="4696"/>
      <c r="AF12" s="4685">
        <f t="shared" ref="AF12:AF22" si="6">U13*K12</f>
        <v>0</v>
      </c>
    </row>
    <row r="13" spans="1:32"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5"/>
        <v>0</v>
      </c>
      <c r="Q13" s="4679">
        <f>(D13*L13+F13*M13+H13*O13)*K13</f>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t="str">
        <f t="shared" si="0"/>
        <v>1</v>
      </c>
      <c r="E14" s="4687"/>
      <c r="F14" s="4698">
        <f t="shared" si="1"/>
        <v>2</v>
      </c>
      <c r="G14" s="4699"/>
      <c r="H14" s="4672">
        <f t="shared" si="2"/>
        <v>0</v>
      </c>
      <c r="I14" s="4691"/>
      <c r="J14" s="4692"/>
      <c r="K14" s="4693"/>
      <c r="L14" s="4692"/>
      <c r="M14" s="4692"/>
      <c r="N14" s="4971">
        <f t="shared" si="3"/>
        <v>0</v>
      </c>
      <c r="O14" s="4692"/>
      <c r="P14" s="4678">
        <f t="shared" si="5"/>
        <v>0</v>
      </c>
      <c r="Q14" s="4679">
        <f>(D14*L14+F14*M14+H14*O14)*K14</f>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4691"/>
      <c r="J15" s="4692"/>
      <c r="K15" s="4693"/>
      <c r="L15" s="4692"/>
      <c r="M15" s="4692"/>
      <c r="N15" s="4692"/>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4691"/>
      <c r="J16" s="4692"/>
      <c r="K16" s="4693"/>
      <c r="L16" s="4692"/>
      <c r="M16" s="4692"/>
      <c r="N16" s="4692"/>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78</v>
      </c>
      <c r="K23" s="4707">
        <f>SUM(K8:K22)</f>
        <v>70</v>
      </c>
      <c r="L23" s="4703"/>
      <c r="M23" s="4703"/>
      <c r="N23" s="4703"/>
      <c r="O23" s="4703"/>
      <c r="P23" s="4706">
        <f>SUM(P8:P22)</f>
        <v>1610</v>
      </c>
      <c r="Q23" s="4706">
        <f>SUM(Q8:Q22)</f>
        <v>28375000</v>
      </c>
      <c r="R23" s="6863"/>
      <c r="S23" s="6864"/>
      <c r="T23" s="6865"/>
      <c r="U23" s="4708"/>
      <c r="V23" s="6863"/>
      <c r="W23" s="6864"/>
      <c r="X23" s="6864"/>
      <c r="Y23" s="4708"/>
      <c r="Z23" s="4708"/>
      <c r="AA23" s="6866"/>
      <c r="AB23" s="6867"/>
      <c r="AC23" s="6866"/>
      <c r="AD23" s="6867"/>
      <c r="AE23" s="4709"/>
      <c r="AF23" s="4685">
        <f>SUM(AF8:AF22)</f>
        <v>120</v>
      </c>
    </row>
    <row r="24" spans="1:32" ht="33.75" customHeight="1" thickBot="1">
      <c r="C24" s="4710"/>
      <c r="D24" s="4710"/>
      <c r="E24" s="4710"/>
      <c r="F24" s="4710"/>
      <c r="G24" s="4710"/>
      <c r="H24" s="4710"/>
      <c r="I24" s="4711"/>
      <c r="J24" s="4712"/>
      <c r="K24" s="4710"/>
      <c r="L24" s="4713" t="s">
        <v>5748</v>
      </c>
      <c r="M24" s="4714">
        <f>SUM(N7:N22)</f>
        <v>1265000</v>
      </c>
      <c r="N24" s="4715"/>
      <c r="O24" s="4715"/>
      <c r="P24" s="4715"/>
      <c r="S24" s="4656"/>
      <c r="W24" s="4656"/>
    </row>
    <row r="25" spans="1:32" ht="33.75" customHeight="1">
      <c r="A25" s="6845" t="s">
        <v>5749</v>
      </c>
      <c r="B25" s="6846"/>
      <c r="C25" s="4716">
        <f>P23</f>
        <v>1610</v>
      </c>
      <c r="D25" s="4717"/>
      <c r="F25" s="4718"/>
      <c r="H25" s="4719"/>
      <c r="I25" s="4720"/>
      <c r="K25" s="4659"/>
      <c r="L25" s="4721" t="s">
        <v>5750</v>
      </c>
      <c r="M25" s="4722">
        <f>M24*1.1</f>
        <v>1391500</v>
      </c>
      <c r="P25" s="4656"/>
    </row>
    <row r="26" spans="1:32" ht="33.75" customHeight="1">
      <c r="A26" s="6847" t="s">
        <v>5883</v>
      </c>
      <c r="B26" s="6848"/>
      <c r="C26" s="4723">
        <f>Q23</f>
        <v>28375000</v>
      </c>
      <c r="D26" s="4717"/>
      <c r="F26" s="4724"/>
      <c r="H26" s="4719"/>
      <c r="I26" s="4720"/>
      <c r="K26" s="4659"/>
      <c r="P26" s="4656"/>
    </row>
    <row r="27" spans="1:32" ht="33.75" customHeight="1" thickBot="1">
      <c r="A27" s="6913" t="s">
        <v>5751</v>
      </c>
      <c r="B27" s="6914"/>
      <c r="C27" s="4987">
        <f>ROUNDDOWN(C26*1.1,0)</f>
        <v>31212500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C2:D2">
    <cfRule type="containsBlanks" dxfId="89" priority="2">
      <formula>LEN(TRIM(C2))=0</formula>
    </cfRule>
  </conditionalFormatting>
  <conditionalFormatting sqref="D7:D22">
    <cfRule type="containsBlanks" dxfId="88" priority="4">
      <formula>LEN(TRIM(D7))=0</formula>
    </cfRule>
  </conditionalFormatting>
  <conditionalFormatting sqref="F7">
    <cfRule type="containsBlanks" dxfId="87" priority="3">
      <formula>LEN(TRIM(F7))=0</formula>
    </cfRule>
  </conditionalFormatting>
  <conditionalFormatting sqref="H7:O22">
    <cfRule type="containsBlanks" dxfId="86" priority="1">
      <formula>LEN(TRIM(H7))=0</formula>
    </cfRule>
  </conditionalFormatting>
  <conditionalFormatting sqref="Q7:R22 T7:V22 X7:Z22 AB7:AB22 AD7:AE22 B8:C22 E8:G22">
    <cfRule type="containsBlanks" dxfId="85" priority="5">
      <formula>LEN(TRIM(B7))=0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9FC19-5DF9-4475-BD8E-49D42739B7D0}">
  <sheetPr codeName="Sheet393">
    <tabColor rgb="FFFFFF66"/>
    <pageSetUpPr fitToPage="1"/>
  </sheetPr>
  <dimension ref="A1:AE56"/>
  <sheetViews>
    <sheetView zoomScale="70" zoomScaleNormal="70" workbookViewId="0">
      <selection activeCell="C3" sqref="C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'[38]別紙1-1）客室提供条件'!C2</f>
        <v>大垣フォーラムホテル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854">
        <v>5</v>
      </c>
      <c r="N7" s="4855">
        <v>150000</v>
      </c>
      <c r="O7" s="4754">
        <f t="shared" ref="O7:O37" si="0">F7*N7</f>
        <v>3150000</v>
      </c>
      <c r="P7" s="4755" t="s">
        <v>5782</v>
      </c>
      <c r="Q7" s="4756">
        <v>4</v>
      </c>
      <c r="R7" s="4756" t="s">
        <v>3804</v>
      </c>
      <c r="S7" s="4751" t="s">
        <v>246</v>
      </c>
      <c r="T7" s="4756" t="s">
        <v>2161</v>
      </c>
      <c r="U7" s="4757">
        <v>2000</v>
      </c>
    </row>
    <row r="8" spans="1:31" s="4666" customFormat="1" ht="33.75" customHeight="1">
      <c r="A8" s="5636">
        <v>1</v>
      </c>
      <c r="B8" s="5637">
        <v>46277</v>
      </c>
      <c r="C8" s="5637">
        <v>46299</v>
      </c>
      <c r="D8" s="5638">
        <v>0</v>
      </c>
      <c r="E8" s="5638">
        <v>1</v>
      </c>
      <c r="F8" s="5639">
        <f t="shared" ref="F8:F39" si="1">IF(OR(ISBLANK($B8), ISBLANK($C8)), 0, _xlfn.DAYS($C8, $B8) + 1)</f>
        <v>23</v>
      </c>
      <c r="G8" s="5640" t="s">
        <v>6487</v>
      </c>
      <c r="H8" s="5641">
        <v>3</v>
      </c>
      <c r="I8" s="5642"/>
      <c r="J8" s="5643">
        <v>22</v>
      </c>
      <c r="K8" s="5644">
        <v>36</v>
      </c>
      <c r="L8" s="5644">
        <v>800</v>
      </c>
      <c r="M8" s="5645">
        <v>7</v>
      </c>
      <c r="N8" s="5646"/>
      <c r="O8" s="5647">
        <f>F8*N8</f>
        <v>0</v>
      </c>
      <c r="P8" s="5648" t="s">
        <v>6151</v>
      </c>
      <c r="Q8" s="5649">
        <v>2</v>
      </c>
      <c r="R8" s="5650" t="s">
        <v>2688</v>
      </c>
      <c r="S8" s="5649" t="s">
        <v>5952</v>
      </c>
      <c r="T8" s="5651" t="s">
        <v>6151</v>
      </c>
      <c r="U8" s="5652">
        <v>0</v>
      </c>
    </row>
    <row r="9" spans="1:31" s="4666" customFormat="1" ht="33.75" customHeight="1">
      <c r="A9" s="5636">
        <v>2</v>
      </c>
      <c r="B9" s="5637">
        <v>46300</v>
      </c>
      <c r="C9" s="5637">
        <v>46300</v>
      </c>
      <c r="D9" s="5638">
        <v>0</v>
      </c>
      <c r="E9" s="5638">
        <v>0.5</v>
      </c>
      <c r="F9" s="5639">
        <f t="shared" si="1"/>
        <v>1</v>
      </c>
      <c r="G9" s="5640" t="s">
        <v>6487</v>
      </c>
      <c r="H9" s="5641">
        <v>3</v>
      </c>
      <c r="I9" s="5642"/>
      <c r="J9" s="5643">
        <v>22</v>
      </c>
      <c r="K9" s="5644">
        <v>36</v>
      </c>
      <c r="L9" s="5644">
        <v>800</v>
      </c>
      <c r="M9" s="5645">
        <v>7</v>
      </c>
      <c r="N9" s="5646"/>
      <c r="O9" s="5647">
        <f>F9*N9</f>
        <v>0</v>
      </c>
      <c r="P9" s="5648" t="s">
        <v>6151</v>
      </c>
      <c r="Q9" s="5649">
        <v>2</v>
      </c>
      <c r="R9" s="5650" t="s">
        <v>2688</v>
      </c>
      <c r="S9" s="5649" t="s">
        <v>5952</v>
      </c>
      <c r="T9" s="5651" t="s">
        <v>6151</v>
      </c>
      <c r="U9" s="5652">
        <v>0</v>
      </c>
    </row>
    <row r="10" spans="1:31" s="4666" customFormat="1" ht="33.75" customHeight="1">
      <c r="A10" s="5636">
        <v>3</v>
      </c>
      <c r="B10" s="5637">
        <v>46277</v>
      </c>
      <c r="C10" s="5637">
        <v>46299</v>
      </c>
      <c r="D10" s="5638">
        <v>0</v>
      </c>
      <c r="E10" s="5638">
        <v>1</v>
      </c>
      <c r="F10" s="5639">
        <f t="shared" si="1"/>
        <v>23</v>
      </c>
      <c r="G10" s="5640" t="s">
        <v>6488</v>
      </c>
      <c r="H10" s="5641">
        <v>2</v>
      </c>
      <c r="I10" s="5642"/>
      <c r="J10" s="5643">
        <v>22</v>
      </c>
      <c r="K10" s="5644">
        <v>24</v>
      </c>
      <c r="L10" s="5644">
        <v>540</v>
      </c>
      <c r="M10" s="5645">
        <v>3.7</v>
      </c>
      <c r="N10" s="5646"/>
      <c r="O10" s="5647">
        <f t="shared" si="0"/>
        <v>0</v>
      </c>
      <c r="P10" s="5648" t="s">
        <v>6151</v>
      </c>
      <c r="Q10" s="5649">
        <v>2</v>
      </c>
      <c r="R10" s="5650" t="s">
        <v>2688</v>
      </c>
      <c r="S10" s="5649" t="s">
        <v>5952</v>
      </c>
      <c r="T10" s="5651" t="s">
        <v>6151</v>
      </c>
      <c r="U10" s="5652">
        <v>0</v>
      </c>
    </row>
    <row r="11" spans="1:31" s="4666" customFormat="1" ht="33.75" customHeight="1">
      <c r="A11" s="5636">
        <v>4</v>
      </c>
      <c r="B11" s="5637">
        <v>46300</v>
      </c>
      <c r="C11" s="5637">
        <v>46300</v>
      </c>
      <c r="D11" s="5638">
        <v>0</v>
      </c>
      <c r="E11" s="5638">
        <v>0.5</v>
      </c>
      <c r="F11" s="5639">
        <f t="shared" si="1"/>
        <v>1</v>
      </c>
      <c r="G11" s="5640" t="s">
        <v>6489</v>
      </c>
      <c r="H11" s="5641">
        <v>2</v>
      </c>
      <c r="I11" s="5642"/>
      <c r="J11" s="5643">
        <v>22</v>
      </c>
      <c r="K11" s="5644">
        <v>24</v>
      </c>
      <c r="L11" s="5644">
        <v>540</v>
      </c>
      <c r="M11" s="5645">
        <v>3.7</v>
      </c>
      <c r="N11" s="5646"/>
      <c r="O11" s="5647">
        <f t="shared" si="0"/>
        <v>0</v>
      </c>
      <c r="P11" s="5648" t="s">
        <v>6151</v>
      </c>
      <c r="Q11" s="5649">
        <v>2</v>
      </c>
      <c r="R11" s="5650" t="s">
        <v>2688</v>
      </c>
      <c r="S11" s="5649" t="s">
        <v>5952</v>
      </c>
      <c r="T11" s="5651" t="s">
        <v>6151</v>
      </c>
      <c r="U11" s="5652">
        <v>0</v>
      </c>
    </row>
    <row r="12" spans="1:31" s="4666" customFormat="1" ht="33.75" customHeight="1">
      <c r="A12" s="5636">
        <v>5</v>
      </c>
      <c r="B12" s="5637">
        <v>46277</v>
      </c>
      <c r="C12" s="5637">
        <v>46299</v>
      </c>
      <c r="D12" s="5638">
        <v>0</v>
      </c>
      <c r="E12" s="5638">
        <v>1</v>
      </c>
      <c r="F12" s="5639">
        <f t="shared" si="1"/>
        <v>23</v>
      </c>
      <c r="G12" s="5640" t="s">
        <v>6490</v>
      </c>
      <c r="H12" s="5641">
        <v>3</v>
      </c>
      <c r="I12" s="5642"/>
      <c r="J12" s="5643">
        <v>15.5</v>
      </c>
      <c r="K12" s="5644">
        <v>23</v>
      </c>
      <c r="L12" s="5644">
        <v>360</v>
      </c>
      <c r="M12" s="5645">
        <v>4.5</v>
      </c>
      <c r="N12" s="5646"/>
      <c r="O12" s="5647">
        <f t="shared" si="0"/>
        <v>0</v>
      </c>
      <c r="P12" s="5648" t="s">
        <v>2688</v>
      </c>
      <c r="Q12" s="5649" t="s">
        <v>5952</v>
      </c>
      <c r="R12" s="5650" t="s">
        <v>2688</v>
      </c>
      <c r="S12" s="5649" t="s">
        <v>5952</v>
      </c>
      <c r="T12" s="5651" t="s">
        <v>6151</v>
      </c>
      <c r="U12" s="5652">
        <v>0</v>
      </c>
    </row>
    <row r="13" spans="1:31" s="4666" customFormat="1" ht="33.75" customHeight="1">
      <c r="A13" s="5636">
        <v>6</v>
      </c>
      <c r="B13" s="5637">
        <v>46300</v>
      </c>
      <c r="C13" s="5637">
        <v>46300</v>
      </c>
      <c r="D13" s="5638">
        <v>0</v>
      </c>
      <c r="E13" s="5638">
        <v>0.5</v>
      </c>
      <c r="F13" s="5639">
        <f t="shared" si="1"/>
        <v>1</v>
      </c>
      <c r="G13" s="5640" t="s">
        <v>6490</v>
      </c>
      <c r="H13" s="5641">
        <v>3</v>
      </c>
      <c r="I13" s="5642"/>
      <c r="J13" s="5643">
        <v>15.5</v>
      </c>
      <c r="K13" s="5644">
        <v>23</v>
      </c>
      <c r="L13" s="5644">
        <v>360</v>
      </c>
      <c r="M13" s="5645">
        <v>4.5</v>
      </c>
      <c r="N13" s="5646"/>
      <c r="O13" s="5647">
        <f t="shared" si="0"/>
        <v>0</v>
      </c>
      <c r="P13" s="5648" t="s">
        <v>2688</v>
      </c>
      <c r="Q13" s="5649" t="s">
        <v>5952</v>
      </c>
      <c r="R13" s="5650" t="s">
        <v>2688</v>
      </c>
      <c r="S13" s="5649" t="s">
        <v>5952</v>
      </c>
      <c r="T13" s="5651" t="s">
        <v>6151</v>
      </c>
      <c r="U13" s="5652">
        <v>0</v>
      </c>
    </row>
    <row r="14" spans="1:31" s="4666" customFormat="1" ht="33.75" customHeight="1">
      <c r="A14" s="5636">
        <v>7</v>
      </c>
      <c r="B14" s="5637">
        <v>46277</v>
      </c>
      <c r="C14" s="5637">
        <v>46299</v>
      </c>
      <c r="D14" s="5638">
        <v>0</v>
      </c>
      <c r="E14" s="5638">
        <v>1</v>
      </c>
      <c r="F14" s="5639">
        <f t="shared" si="1"/>
        <v>23</v>
      </c>
      <c r="G14" s="5640" t="s">
        <v>6491</v>
      </c>
      <c r="H14" s="5641">
        <v>2</v>
      </c>
      <c r="I14" s="5642"/>
      <c r="J14" s="5643">
        <v>12</v>
      </c>
      <c r="K14" s="5644">
        <v>22</v>
      </c>
      <c r="L14" s="5644">
        <v>270</v>
      </c>
      <c r="M14" s="5645">
        <v>3.7</v>
      </c>
      <c r="N14" s="5646"/>
      <c r="O14" s="5647">
        <f t="shared" si="0"/>
        <v>0</v>
      </c>
      <c r="P14" s="5648" t="s">
        <v>2688</v>
      </c>
      <c r="Q14" s="5649" t="s">
        <v>5952</v>
      </c>
      <c r="R14" s="5650" t="s">
        <v>6151</v>
      </c>
      <c r="S14" s="5649">
        <v>11000</v>
      </c>
      <c r="T14" s="5651" t="s">
        <v>6151</v>
      </c>
      <c r="U14" s="5652">
        <v>0</v>
      </c>
    </row>
    <row r="15" spans="1:31" s="4666" customFormat="1" ht="33.75" customHeight="1">
      <c r="A15" s="5636">
        <v>8</v>
      </c>
      <c r="B15" s="5637">
        <v>46300</v>
      </c>
      <c r="C15" s="5637">
        <v>46300</v>
      </c>
      <c r="D15" s="5638">
        <v>0</v>
      </c>
      <c r="E15" s="5638">
        <v>0.5</v>
      </c>
      <c r="F15" s="5639">
        <f t="shared" si="1"/>
        <v>1</v>
      </c>
      <c r="G15" s="5640" t="s">
        <v>6491</v>
      </c>
      <c r="H15" s="5641">
        <v>2</v>
      </c>
      <c r="I15" s="5642"/>
      <c r="J15" s="5643">
        <v>12</v>
      </c>
      <c r="K15" s="5644">
        <v>22</v>
      </c>
      <c r="L15" s="5644">
        <v>270</v>
      </c>
      <c r="M15" s="5645">
        <v>3.7</v>
      </c>
      <c r="N15" s="5646"/>
      <c r="O15" s="5647">
        <f>F15*N15</f>
        <v>0</v>
      </c>
      <c r="P15" s="5648" t="s">
        <v>2688</v>
      </c>
      <c r="Q15" s="5649" t="s">
        <v>5952</v>
      </c>
      <c r="R15" s="5650" t="s">
        <v>6151</v>
      </c>
      <c r="S15" s="5649">
        <v>11000</v>
      </c>
      <c r="T15" s="5651" t="s">
        <v>6151</v>
      </c>
      <c r="U15" s="5652">
        <v>0</v>
      </c>
    </row>
    <row r="16" spans="1:31" s="4666" customFormat="1" ht="33.75" customHeight="1">
      <c r="A16" s="5636">
        <v>9</v>
      </c>
      <c r="B16" s="5637">
        <v>46277</v>
      </c>
      <c r="C16" s="5637">
        <v>46299</v>
      </c>
      <c r="D16" s="5638">
        <v>0</v>
      </c>
      <c r="E16" s="5638">
        <v>1</v>
      </c>
      <c r="F16" s="5639">
        <f t="shared" si="1"/>
        <v>23</v>
      </c>
      <c r="G16" s="5640" t="s">
        <v>6492</v>
      </c>
      <c r="H16" s="5641">
        <v>2</v>
      </c>
      <c r="I16" s="5642"/>
      <c r="J16" s="5643">
        <v>12</v>
      </c>
      <c r="K16" s="5644">
        <v>24</v>
      </c>
      <c r="L16" s="5644">
        <v>290</v>
      </c>
      <c r="M16" s="5645">
        <v>3</v>
      </c>
      <c r="N16" s="5646"/>
      <c r="O16" s="5647">
        <f t="shared" si="0"/>
        <v>0</v>
      </c>
      <c r="P16" s="5648" t="s">
        <v>6151</v>
      </c>
      <c r="Q16" s="5649">
        <v>2</v>
      </c>
      <c r="R16" s="5650" t="s">
        <v>6151</v>
      </c>
      <c r="S16" s="5649">
        <v>11000</v>
      </c>
      <c r="T16" s="5651" t="s">
        <v>6151</v>
      </c>
      <c r="U16" s="5652">
        <v>0</v>
      </c>
    </row>
    <row r="17" spans="1:29" s="4666" customFormat="1" ht="33.75" customHeight="1">
      <c r="A17" s="5636">
        <v>10</v>
      </c>
      <c r="B17" s="5637">
        <v>46300</v>
      </c>
      <c r="C17" s="5637">
        <v>46300</v>
      </c>
      <c r="D17" s="5638">
        <v>0</v>
      </c>
      <c r="E17" s="5638">
        <v>0.5</v>
      </c>
      <c r="F17" s="5639">
        <f t="shared" si="1"/>
        <v>1</v>
      </c>
      <c r="G17" s="5640" t="s">
        <v>6492</v>
      </c>
      <c r="H17" s="5641">
        <v>2</v>
      </c>
      <c r="I17" s="5642"/>
      <c r="J17" s="5643">
        <v>12</v>
      </c>
      <c r="K17" s="5644">
        <v>24</v>
      </c>
      <c r="L17" s="5644">
        <v>290</v>
      </c>
      <c r="M17" s="5645">
        <v>3</v>
      </c>
      <c r="N17" s="5646"/>
      <c r="O17" s="5647">
        <f t="shared" si="0"/>
        <v>0</v>
      </c>
      <c r="P17" s="5648" t="s">
        <v>6151</v>
      </c>
      <c r="Q17" s="5649">
        <v>2</v>
      </c>
      <c r="R17" s="5650" t="s">
        <v>6151</v>
      </c>
      <c r="S17" s="5649">
        <v>11000</v>
      </c>
      <c r="T17" s="5651" t="s">
        <v>6151</v>
      </c>
      <c r="U17" s="5652">
        <v>0</v>
      </c>
    </row>
    <row r="18" spans="1:29" s="4666" customFormat="1" ht="33.75" customHeight="1">
      <c r="A18" s="4758">
        <v>11</v>
      </c>
      <c r="B18" s="4816">
        <v>46277</v>
      </c>
      <c r="C18" s="4816">
        <v>46299</v>
      </c>
      <c r="D18" s="4759">
        <v>0</v>
      </c>
      <c r="E18" s="4759">
        <v>1</v>
      </c>
      <c r="F18" s="4760">
        <f t="shared" si="1"/>
        <v>23</v>
      </c>
      <c r="G18" s="4761" t="s">
        <v>6493</v>
      </c>
      <c r="H18" s="4762">
        <v>2</v>
      </c>
      <c r="I18" s="4763" t="s">
        <v>5190</v>
      </c>
      <c r="J18" s="4764">
        <v>9</v>
      </c>
      <c r="K18" s="4765">
        <v>14</v>
      </c>
      <c r="L18" s="4765">
        <v>130</v>
      </c>
      <c r="M18" s="4856">
        <v>3</v>
      </c>
      <c r="N18" s="4771">
        <v>489555</v>
      </c>
      <c r="O18" s="4766">
        <f t="shared" si="0"/>
        <v>11259765</v>
      </c>
      <c r="P18" s="4857" t="s">
        <v>2688</v>
      </c>
      <c r="Q18" s="4858" t="s">
        <v>5952</v>
      </c>
      <c r="R18" s="4864" t="s">
        <v>2688</v>
      </c>
      <c r="S18" s="4858" t="s">
        <v>5952</v>
      </c>
      <c r="T18" s="4859" t="s">
        <v>6151</v>
      </c>
      <c r="U18" s="4860">
        <v>0</v>
      </c>
    </row>
    <row r="19" spans="1:29" s="4666" customFormat="1" ht="33.75" customHeight="1">
      <c r="A19" s="4758">
        <v>12</v>
      </c>
      <c r="B19" s="4816">
        <v>46300</v>
      </c>
      <c r="C19" s="4816">
        <v>46300</v>
      </c>
      <c r="D19" s="4759">
        <v>0</v>
      </c>
      <c r="E19" s="4759">
        <v>0.5</v>
      </c>
      <c r="F19" s="4760">
        <f t="shared" si="1"/>
        <v>1</v>
      </c>
      <c r="G19" s="4761" t="s">
        <v>6493</v>
      </c>
      <c r="H19" s="4762">
        <v>2</v>
      </c>
      <c r="I19" s="4763" t="s">
        <v>5190</v>
      </c>
      <c r="J19" s="4764">
        <v>9</v>
      </c>
      <c r="K19" s="4765">
        <v>14</v>
      </c>
      <c r="L19" s="4765">
        <v>130</v>
      </c>
      <c r="M19" s="4856">
        <v>3</v>
      </c>
      <c r="N19" s="4771">
        <v>278616</v>
      </c>
      <c r="O19" s="4766">
        <f t="shared" si="0"/>
        <v>278616</v>
      </c>
      <c r="P19" s="4857" t="s">
        <v>2688</v>
      </c>
      <c r="Q19" s="4858" t="s">
        <v>5952</v>
      </c>
      <c r="R19" s="4864" t="s">
        <v>2688</v>
      </c>
      <c r="S19" s="4858" t="s">
        <v>5952</v>
      </c>
      <c r="T19" s="4859" t="s">
        <v>6151</v>
      </c>
      <c r="U19" s="4860">
        <v>0</v>
      </c>
    </row>
    <row r="20" spans="1:29" s="4666" customFormat="1" ht="33.75" customHeight="1">
      <c r="A20" s="4758">
        <v>13</v>
      </c>
      <c r="B20" s="4816">
        <v>46277</v>
      </c>
      <c r="C20" s="4816">
        <v>46299</v>
      </c>
      <c r="D20" s="4759">
        <v>0</v>
      </c>
      <c r="E20" s="4759">
        <v>1</v>
      </c>
      <c r="F20" s="4760">
        <f t="shared" si="1"/>
        <v>23</v>
      </c>
      <c r="G20" s="4761" t="s">
        <v>6494</v>
      </c>
      <c r="H20" s="4762">
        <v>2</v>
      </c>
      <c r="I20" s="4763" t="s">
        <v>5190</v>
      </c>
      <c r="J20" s="4764">
        <v>7</v>
      </c>
      <c r="K20" s="4765">
        <v>14</v>
      </c>
      <c r="L20" s="4765">
        <v>100</v>
      </c>
      <c r="M20" s="4856">
        <v>3</v>
      </c>
      <c r="N20" s="4771">
        <v>320045</v>
      </c>
      <c r="O20" s="4766">
        <f t="shared" si="0"/>
        <v>7361035</v>
      </c>
      <c r="P20" s="4857" t="s">
        <v>2688</v>
      </c>
      <c r="Q20" s="4858" t="s">
        <v>5952</v>
      </c>
      <c r="R20" s="4864" t="s">
        <v>2688</v>
      </c>
      <c r="S20" s="4858" t="s">
        <v>5952</v>
      </c>
      <c r="T20" s="4859" t="s">
        <v>6151</v>
      </c>
      <c r="U20" s="4860">
        <v>0</v>
      </c>
    </row>
    <row r="21" spans="1:29" s="4666" customFormat="1" ht="33.75" customHeight="1">
      <c r="A21" s="4758">
        <v>14</v>
      </c>
      <c r="B21" s="4816">
        <v>46300</v>
      </c>
      <c r="C21" s="4816">
        <v>46300</v>
      </c>
      <c r="D21" s="4759">
        <v>0</v>
      </c>
      <c r="E21" s="4759">
        <v>0.5</v>
      </c>
      <c r="F21" s="4760">
        <f t="shared" si="1"/>
        <v>1</v>
      </c>
      <c r="G21" s="4761" t="s">
        <v>6494</v>
      </c>
      <c r="H21" s="4762">
        <v>2</v>
      </c>
      <c r="I21" s="4763" t="s">
        <v>5190</v>
      </c>
      <c r="J21" s="4764">
        <v>7</v>
      </c>
      <c r="K21" s="4765">
        <v>14</v>
      </c>
      <c r="L21" s="4765">
        <v>100</v>
      </c>
      <c r="M21" s="4856">
        <v>3</v>
      </c>
      <c r="N21" s="4771">
        <v>194178</v>
      </c>
      <c r="O21" s="4766">
        <f t="shared" si="0"/>
        <v>194178</v>
      </c>
      <c r="P21" s="4857" t="s">
        <v>2688</v>
      </c>
      <c r="Q21" s="4858" t="s">
        <v>5952</v>
      </c>
      <c r="R21" s="4864" t="s">
        <v>2688</v>
      </c>
      <c r="S21" s="4858" t="s">
        <v>5952</v>
      </c>
      <c r="T21" s="4859" t="s">
        <v>6151</v>
      </c>
      <c r="U21" s="4860">
        <v>0</v>
      </c>
    </row>
    <row r="22" spans="1:29" s="4666" customFormat="1" ht="33.75" customHeight="1">
      <c r="A22" s="4758">
        <v>15</v>
      </c>
      <c r="B22" s="4816">
        <v>46277</v>
      </c>
      <c r="C22" s="4816">
        <v>46299</v>
      </c>
      <c r="D22" s="4759">
        <v>0</v>
      </c>
      <c r="E22" s="4759">
        <v>1</v>
      </c>
      <c r="F22" s="4760">
        <f t="shared" si="1"/>
        <v>23</v>
      </c>
      <c r="G22" s="4761" t="s">
        <v>6495</v>
      </c>
      <c r="H22" s="4762">
        <v>2</v>
      </c>
      <c r="I22" s="4763" t="s">
        <v>5190</v>
      </c>
      <c r="J22" s="4764">
        <v>9</v>
      </c>
      <c r="K22" s="4765">
        <v>8.5</v>
      </c>
      <c r="L22" s="4765">
        <v>80</v>
      </c>
      <c r="M22" s="4856">
        <v>3</v>
      </c>
      <c r="N22" s="4771">
        <v>307395</v>
      </c>
      <c r="O22" s="4766">
        <f t="shared" si="0"/>
        <v>7070085</v>
      </c>
      <c r="P22" s="4857" t="s">
        <v>2688</v>
      </c>
      <c r="Q22" s="4858" t="s">
        <v>5952</v>
      </c>
      <c r="R22" s="4864" t="s">
        <v>2688</v>
      </c>
      <c r="S22" s="4858" t="s">
        <v>5952</v>
      </c>
      <c r="T22" s="4859" t="s">
        <v>6151</v>
      </c>
      <c r="U22" s="4860">
        <v>0</v>
      </c>
    </row>
    <row r="23" spans="1:29" s="4666" customFormat="1" ht="33.75" customHeight="1">
      <c r="A23" s="4758">
        <v>16</v>
      </c>
      <c r="B23" s="4816">
        <v>46300</v>
      </c>
      <c r="C23" s="4816">
        <v>46300</v>
      </c>
      <c r="D23" s="4759">
        <v>0</v>
      </c>
      <c r="E23" s="4759">
        <v>0.5</v>
      </c>
      <c r="F23" s="4760">
        <f t="shared" si="1"/>
        <v>1</v>
      </c>
      <c r="G23" s="4761" t="s">
        <v>6495</v>
      </c>
      <c r="H23" s="4762">
        <v>2</v>
      </c>
      <c r="I23" s="4763" t="s">
        <v>5190</v>
      </c>
      <c r="J23" s="4764">
        <v>9</v>
      </c>
      <c r="K23" s="4765">
        <v>8.5</v>
      </c>
      <c r="L23" s="4765">
        <v>80</v>
      </c>
      <c r="M23" s="4856">
        <v>3</v>
      </c>
      <c r="N23" s="4771">
        <v>181527.5</v>
      </c>
      <c r="O23" s="4766">
        <f t="shared" si="0"/>
        <v>181527.5</v>
      </c>
      <c r="P23" s="4857" t="s">
        <v>2688</v>
      </c>
      <c r="Q23" s="4858" t="s">
        <v>5952</v>
      </c>
      <c r="R23" s="4864" t="s">
        <v>2688</v>
      </c>
      <c r="S23" s="4858" t="s">
        <v>5952</v>
      </c>
      <c r="T23" s="4859" t="s">
        <v>6151</v>
      </c>
      <c r="U23" s="4860">
        <v>0</v>
      </c>
    </row>
    <row r="24" spans="1:29" s="4666" customFormat="1" ht="33.75" customHeight="1">
      <c r="A24" s="4758">
        <v>17</v>
      </c>
      <c r="B24" s="4816">
        <v>46277</v>
      </c>
      <c r="C24" s="4816">
        <v>46299</v>
      </c>
      <c r="D24" s="4759">
        <v>0</v>
      </c>
      <c r="E24" s="4759">
        <v>1</v>
      </c>
      <c r="F24" s="4760">
        <f t="shared" si="1"/>
        <v>23</v>
      </c>
      <c r="G24" s="4761" t="s">
        <v>6496</v>
      </c>
      <c r="H24" s="4762">
        <v>2</v>
      </c>
      <c r="I24" s="4763" t="s">
        <v>5190</v>
      </c>
      <c r="J24" s="4764">
        <v>7</v>
      </c>
      <c r="K24" s="4765">
        <v>8.5</v>
      </c>
      <c r="L24" s="4765">
        <v>60</v>
      </c>
      <c r="M24" s="4856">
        <v>3</v>
      </c>
      <c r="N24" s="4771">
        <v>307395</v>
      </c>
      <c r="O24" s="4766">
        <f t="shared" si="0"/>
        <v>7070085</v>
      </c>
      <c r="P24" s="4857" t="s">
        <v>2688</v>
      </c>
      <c r="Q24" s="4858" t="s">
        <v>5952</v>
      </c>
      <c r="R24" s="4864" t="s">
        <v>2688</v>
      </c>
      <c r="S24" s="4858" t="s">
        <v>5952</v>
      </c>
      <c r="T24" s="4859" t="s">
        <v>6151</v>
      </c>
      <c r="U24" s="4860">
        <v>0</v>
      </c>
    </row>
    <row r="25" spans="1:29" ht="33.75" customHeight="1">
      <c r="A25" s="4758">
        <v>18</v>
      </c>
      <c r="B25" s="4816">
        <v>46300</v>
      </c>
      <c r="C25" s="4816">
        <v>46300</v>
      </c>
      <c r="D25" s="4759">
        <v>0</v>
      </c>
      <c r="E25" s="4759">
        <v>0.5</v>
      </c>
      <c r="F25" s="4760">
        <f t="shared" si="1"/>
        <v>1</v>
      </c>
      <c r="G25" s="4761" t="s">
        <v>6496</v>
      </c>
      <c r="H25" s="4762">
        <v>2</v>
      </c>
      <c r="I25" s="4763" t="s">
        <v>5190</v>
      </c>
      <c r="J25" s="4764">
        <v>7</v>
      </c>
      <c r="K25" s="4765">
        <v>8.5</v>
      </c>
      <c r="L25" s="4765">
        <v>60</v>
      </c>
      <c r="M25" s="4856">
        <v>3</v>
      </c>
      <c r="N25" s="4771">
        <v>181527.5</v>
      </c>
      <c r="O25" s="4766">
        <f t="shared" si="0"/>
        <v>181527.5</v>
      </c>
      <c r="P25" s="4857" t="s">
        <v>2688</v>
      </c>
      <c r="Q25" s="4858" t="s">
        <v>5952</v>
      </c>
      <c r="R25" s="4864" t="s">
        <v>3804</v>
      </c>
      <c r="S25" s="4858" t="s">
        <v>5952</v>
      </c>
      <c r="T25" s="4859" t="s">
        <v>6151</v>
      </c>
      <c r="U25" s="4860">
        <v>0</v>
      </c>
      <c r="AC25" s="4657"/>
    </row>
    <row r="26" spans="1:29" ht="33.75" customHeight="1">
      <c r="A26" s="4758">
        <v>19</v>
      </c>
      <c r="B26" s="4816">
        <v>46277</v>
      </c>
      <c r="C26" s="4816">
        <v>46299</v>
      </c>
      <c r="D26" s="4759">
        <v>0</v>
      </c>
      <c r="E26" s="4759">
        <v>1</v>
      </c>
      <c r="F26" s="4760">
        <f t="shared" si="1"/>
        <v>23</v>
      </c>
      <c r="G26" s="4761" t="s">
        <v>6497</v>
      </c>
      <c r="H26" s="4762">
        <v>9</v>
      </c>
      <c r="I26" s="4763" t="s">
        <v>5190</v>
      </c>
      <c r="J26" s="4764">
        <v>14</v>
      </c>
      <c r="K26" s="4765">
        <v>7</v>
      </c>
      <c r="L26" s="4765">
        <v>100</v>
      </c>
      <c r="M26" s="4856"/>
      <c r="N26" s="4771">
        <v>346495</v>
      </c>
      <c r="O26" s="4766">
        <f t="shared" si="0"/>
        <v>7969385</v>
      </c>
      <c r="P26" s="4857" t="s">
        <v>2688</v>
      </c>
      <c r="Q26" s="4858" t="s">
        <v>5952</v>
      </c>
      <c r="R26" s="4864" t="s">
        <v>6151</v>
      </c>
      <c r="S26" s="4858">
        <v>11000</v>
      </c>
      <c r="T26" s="4859" t="s">
        <v>6151</v>
      </c>
      <c r="U26" s="4860">
        <v>0</v>
      </c>
      <c r="AC26" s="4657"/>
    </row>
    <row r="27" spans="1:29" ht="33.75" customHeight="1">
      <c r="A27" s="4758">
        <v>20</v>
      </c>
      <c r="B27" s="4816">
        <v>46300</v>
      </c>
      <c r="C27" s="4816">
        <v>46300</v>
      </c>
      <c r="D27" s="4759">
        <v>0</v>
      </c>
      <c r="E27" s="4759">
        <v>0.5</v>
      </c>
      <c r="F27" s="4760">
        <f t="shared" si="1"/>
        <v>1</v>
      </c>
      <c r="G27" s="4761" t="s">
        <v>6497</v>
      </c>
      <c r="H27" s="4762">
        <v>9</v>
      </c>
      <c r="I27" s="4763" t="s">
        <v>5190</v>
      </c>
      <c r="J27" s="4764">
        <v>14</v>
      </c>
      <c r="K27" s="4765">
        <v>7</v>
      </c>
      <c r="L27" s="4765">
        <v>100</v>
      </c>
      <c r="M27" s="4856"/>
      <c r="N27" s="4771">
        <v>183827.5</v>
      </c>
      <c r="O27" s="4766">
        <f t="shared" si="0"/>
        <v>183827.5</v>
      </c>
      <c r="P27" s="4857" t="s">
        <v>2688</v>
      </c>
      <c r="Q27" s="4858" t="s">
        <v>5952</v>
      </c>
      <c r="R27" s="4864" t="s">
        <v>6151</v>
      </c>
      <c r="S27" s="4858">
        <v>11000</v>
      </c>
      <c r="T27" s="4859" t="s">
        <v>6151</v>
      </c>
      <c r="U27" s="4860">
        <v>0</v>
      </c>
      <c r="AC27" s="4657"/>
    </row>
    <row r="28" spans="1:29" ht="33.75" customHeight="1">
      <c r="A28" s="4758">
        <v>21</v>
      </c>
      <c r="B28" s="4816">
        <v>46277</v>
      </c>
      <c r="C28" s="4816">
        <v>46299</v>
      </c>
      <c r="D28" s="4759">
        <v>0</v>
      </c>
      <c r="E28" s="4759">
        <v>1</v>
      </c>
      <c r="F28" s="4760">
        <f t="shared" si="1"/>
        <v>23</v>
      </c>
      <c r="G28" s="4761" t="s">
        <v>6498</v>
      </c>
      <c r="H28" s="4762">
        <v>9</v>
      </c>
      <c r="I28" s="4763" t="s">
        <v>5190</v>
      </c>
      <c r="J28" s="4764">
        <v>14</v>
      </c>
      <c r="K28" s="4765">
        <v>7</v>
      </c>
      <c r="L28" s="4765">
        <v>100</v>
      </c>
      <c r="M28" s="4856"/>
      <c r="N28" s="4771">
        <v>346495</v>
      </c>
      <c r="O28" s="4766">
        <f t="shared" si="0"/>
        <v>7969385</v>
      </c>
      <c r="P28" s="4857" t="s">
        <v>2688</v>
      </c>
      <c r="Q28" s="4858" t="s">
        <v>5952</v>
      </c>
      <c r="R28" s="4864" t="s">
        <v>6151</v>
      </c>
      <c r="S28" s="4858">
        <v>11000</v>
      </c>
      <c r="T28" s="4859" t="s">
        <v>6151</v>
      </c>
      <c r="U28" s="4860">
        <v>0</v>
      </c>
      <c r="AC28" s="4657"/>
    </row>
    <row r="29" spans="1:29" ht="33.75" customHeight="1">
      <c r="A29" s="4758">
        <v>22</v>
      </c>
      <c r="B29" s="4816">
        <v>46300</v>
      </c>
      <c r="C29" s="4816">
        <v>46300</v>
      </c>
      <c r="D29" s="4759">
        <v>0</v>
      </c>
      <c r="E29" s="4759">
        <v>0.5</v>
      </c>
      <c r="F29" s="4760">
        <f t="shared" si="1"/>
        <v>1</v>
      </c>
      <c r="G29" s="4761" t="s">
        <v>6498</v>
      </c>
      <c r="H29" s="4762">
        <v>9</v>
      </c>
      <c r="I29" s="4763" t="s">
        <v>5190</v>
      </c>
      <c r="J29" s="4764">
        <v>14</v>
      </c>
      <c r="K29" s="4765">
        <v>7</v>
      </c>
      <c r="L29" s="4765">
        <v>100</v>
      </c>
      <c r="M29" s="4856"/>
      <c r="N29" s="4771">
        <v>183827.5</v>
      </c>
      <c r="O29" s="4766">
        <f>F29*N29</f>
        <v>183827.5</v>
      </c>
      <c r="P29" s="4857" t="s">
        <v>2688</v>
      </c>
      <c r="Q29" s="4858" t="s">
        <v>5952</v>
      </c>
      <c r="R29" s="4864" t="s">
        <v>6151</v>
      </c>
      <c r="S29" s="4858">
        <v>11000</v>
      </c>
      <c r="T29" s="4859" t="s">
        <v>6151</v>
      </c>
      <c r="U29" s="4860">
        <v>0</v>
      </c>
      <c r="AC29" s="4657"/>
    </row>
    <row r="30" spans="1:29" ht="33.75" customHeight="1">
      <c r="A30" s="4758">
        <v>23</v>
      </c>
      <c r="B30" s="4816">
        <v>46277</v>
      </c>
      <c r="C30" s="4816">
        <v>46299</v>
      </c>
      <c r="D30" s="4759">
        <v>0</v>
      </c>
      <c r="E30" s="4759">
        <v>1</v>
      </c>
      <c r="F30" s="4760">
        <f t="shared" si="1"/>
        <v>23</v>
      </c>
      <c r="G30" s="4761" t="s">
        <v>6499</v>
      </c>
      <c r="H30" s="4762">
        <v>9</v>
      </c>
      <c r="I30" s="4763" t="s">
        <v>5190</v>
      </c>
      <c r="J30" s="4764">
        <v>7</v>
      </c>
      <c r="K30" s="4765">
        <v>7</v>
      </c>
      <c r="L30" s="4765">
        <v>50</v>
      </c>
      <c r="M30" s="4856"/>
      <c r="N30" s="4771">
        <v>193084.99999999997</v>
      </c>
      <c r="O30" s="4766">
        <f t="shared" si="0"/>
        <v>4440954.9999999991</v>
      </c>
      <c r="P30" s="4857" t="s">
        <v>2688</v>
      </c>
      <c r="Q30" s="4858" t="s">
        <v>5952</v>
      </c>
      <c r="R30" s="4864" t="s">
        <v>6151</v>
      </c>
      <c r="S30" s="4858">
        <v>11000</v>
      </c>
      <c r="T30" s="4859" t="s">
        <v>6151</v>
      </c>
      <c r="U30" s="4860">
        <v>0</v>
      </c>
      <c r="AC30" s="4657"/>
    </row>
    <row r="31" spans="1:29" ht="33.75" customHeight="1">
      <c r="A31" s="4758">
        <v>24</v>
      </c>
      <c r="B31" s="4816">
        <v>46300</v>
      </c>
      <c r="C31" s="4816">
        <v>46300</v>
      </c>
      <c r="D31" s="4759">
        <v>0</v>
      </c>
      <c r="E31" s="4759">
        <v>0.5</v>
      </c>
      <c r="F31" s="4760">
        <f t="shared" si="1"/>
        <v>1</v>
      </c>
      <c r="G31" s="4761" t="s">
        <v>6499</v>
      </c>
      <c r="H31" s="4762">
        <v>9</v>
      </c>
      <c r="I31" s="4763" t="s">
        <v>5190</v>
      </c>
      <c r="J31" s="4764">
        <v>7</v>
      </c>
      <c r="K31" s="4765">
        <v>7</v>
      </c>
      <c r="L31" s="4765">
        <v>50</v>
      </c>
      <c r="M31" s="4856"/>
      <c r="N31" s="4771">
        <v>111751.24999999999</v>
      </c>
      <c r="O31" s="4766">
        <f t="shared" si="0"/>
        <v>111751.24999999999</v>
      </c>
      <c r="P31" s="4857" t="s">
        <v>2688</v>
      </c>
      <c r="Q31" s="4858" t="s">
        <v>5952</v>
      </c>
      <c r="R31" s="4864" t="s">
        <v>6151</v>
      </c>
      <c r="S31" s="4858">
        <v>11000</v>
      </c>
      <c r="T31" s="4859" t="s">
        <v>6151</v>
      </c>
      <c r="U31" s="4860">
        <v>0</v>
      </c>
      <c r="AC31" s="4657"/>
    </row>
    <row r="32" spans="1:29" ht="33.75" customHeight="1">
      <c r="A32" s="4758">
        <v>25</v>
      </c>
      <c r="B32" s="4816">
        <v>46277</v>
      </c>
      <c r="C32" s="4816">
        <v>46299</v>
      </c>
      <c r="D32" s="4759">
        <v>0</v>
      </c>
      <c r="E32" s="4759">
        <v>1</v>
      </c>
      <c r="F32" s="4760">
        <f t="shared" si="1"/>
        <v>23</v>
      </c>
      <c r="G32" s="4761" t="s">
        <v>6500</v>
      </c>
      <c r="H32" s="4762">
        <v>2</v>
      </c>
      <c r="I32" s="4763" t="s">
        <v>5878</v>
      </c>
      <c r="J32" s="4764"/>
      <c r="K32" s="4765"/>
      <c r="L32" s="4765"/>
      <c r="M32" s="4856"/>
      <c r="N32" s="4771">
        <v>121000</v>
      </c>
      <c r="O32" s="4766">
        <f t="shared" si="0"/>
        <v>2783000</v>
      </c>
      <c r="P32" s="4857" t="s">
        <v>2688</v>
      </c>
      <c r="Q32" s="4858" t="s">
        <v>5952</v>
      </c>
      <c r="R32" s="4864" t="s">
        <v>3804</v>
      </c>
      <c r="S32" s="4858" t="s">
        <v>5952</v>
      </c>
      <c r="T32" s="4859" t="s">
        <v>6151</v>
      </c>
      <c r="U32" s="4860">
        <v>0</v>
      </c>
      <c r="AC32" s="4657"/>
    </row>
    <row r="33" spans="1:31" ht="33.75" customHeight="1">
      <c r="A33" s="4758">
        <v>26</v>
      </c>
      <c r="B33" s="4816">
        <v>46300</v>
      </c>
      <c r="C33" s="4816">
        <v>46300</v>
      </c>
      <c r="D33" s="4759">
        <v>0</v>
      </c>
      <c r="E33" s="4759">
        <v>0.5</v>
      </c>
      <c r="F33" s="4760">
        <f t="shared" si="1"/>
        <v>1</v>
      </c>
      <c r="G33" s="4761" t="s">
        <v>6500</v>
      </c>
      <c r="H33" s="4762">
        <v>2</v>
      </c>
      <c r="I33" s="4763" t="s">
        <v>5878</v>
      </c>
      <c r="J33" s="4764"/>
      <c r="K33" s="4765"/>
      <c r="L33" s="4765"/>
      <c r="M33" s="4856"/>
      <c r="N33" s="4771">
        <v>83490</v>
      </c>
      <c r="O33" s="4766">
        <f t="shared" si="0"/>
        <v>83490</v>
      </c>
      <c r="P33" s="4857" t="s">
        <v>2688</v>
      </c>
      <c r="Q33" s="4858" t="s">
        <v>5952</v>
      </c>
      <c r="R33" s="4864" t="s">
        <v>3804</v>
      </c>
      <c r="S33" s="4858" t="s">
        <v>5952</v>
      </c>
      <c r="T33" s="4859" t="s">
        <v>6151</v>
      </c>
      <c r="U33" s="4860">
        <v>0</v>
      </c>
      <c r="AC33" s="4657"/>
    </row>
    <row r="34" spans="1:31" ht="33.75" customHeight="1">
      <c r="A34" s="5636">
        <v>27</v>
      </c>
      <c r="B34" s="5637">
        <v>46277</v>
      </c>
      <c r="C34" s="5637">
        <v>46299</v>
      </c>
      <c r="D34" s="5638">
        <v>0</v>
      </c>
      <c r="E34" s="5638">
        <v>1</v>
      </c>
      <c r="F34" s="5639">
        <f t="shared" si="1"/>
        <v>23</v>
      </c>
      <c r="G34" s="5640" t="s">
        <v>5096</v>
      </c>
      <c r="H34" s="5641">
        <v>1</v>
      </c>
      <c r="I34" s="5642" t="s">
        <v>5957</v>
      </c>
      <c r="J34" s="5643">
        <v>9</v>
      </c>
      <c r="K34" s="5644">
        <v>15.2</v>
      </c>
      <c r="L34" s="5644">
        <v>137</v>
      </c>
      <c r="M34" s="5645"/>
      <c r="N34" s="5646"/>
      <c r="O34" s="5647">
        <f>F34*N34</f>
        <v>0</v>
      </c>
      <c r="P34" s="5648" t="s">
        <v>6151</v>
      </c>
      <c r="Q34" s="5649">
        <v>3</v>
      </c>
      <c r="R34" s="5650" t="s">
        <v>2688</v>
      </c>
      <c r="S34" s="5649" t="s">
        <v>5952</v>
      </c>
      <c r="T34" s="5651" t="s">
        <v>2688</v>
      </c>
      <c r="U34" s="5652" t="s">
        <v>5952</v>
      </c>
      <c r="AC34" s="4657"/>
    </row>
    <row r="35" spans="1:31" ht="33.75" customHeight="1">
      <c r="A35" s="5636">
        <v>28</v>
      </c>
      <c r="B35" s="5637">
        <v>46300</v>
      </c>
      <c r="C35" s="5637">
        <v>46300</v>
      </c>
      <c r="D35" s="5638">
        <v>0</v>
      </c>
      <c r="E35" s="5638">
        <v>0.5</v>
      </c>
      <c r="F35" s="5639">
        <f t="shared" si="1"/>
        <v>1</v>
      </c>
      <c r="G35" s="5640" t="s">
        <v>5096</v>
      </c>
      <c r="H35" s="5641">
        <v>1</v>
      </c>
      <c r="I35" s="5642" t="s">
        <v>5957</v>
      </c>
      <c r="J35" s="5643">
        <v>9</v>
      </c>
      <c r="K35" s="5644">
        <v>15.2</v>
      </c>
      <c r="L35" s="5644">
        <v>137</v>
      </c>
      <c r="M35" s="5645"/>
      <c r="N35" s="5646"/>
      <c r="O35" s="5647">
        <f>F35*N35</f>
        <v>0</v>
      </c>
      <c r="P35" s="5648" t="s">
        <v>6151</v>
      </c>
      <c r="Q35" s="5649">
        <v>3</v>
      </c>
      <c r="R35" s="5650" t="s">
        <v>2688</v>
      </c>
      <c r="S35" s="5649" t="s">
        <v>5952</v>
      </c>
      <c r="T35" s="5651" t="s">
        <v>2688</v>
      </c>
      <c r="U35" s="5652" t="s">
        <v>5952</v>
      </c>
      <c r="AC35" s="4657"/>
    </row>
    <row r="36" spans="1:31" ht="33.75" customHeight="1">
      <c r="A36" s="5636">
        <v>29</v>
      </c>
      <c r="B36" s="5637">
        <v>46277</v>
      </c>
      <c r="C36" s="5637">
        <v>46299</v>
      </c>
      <c r="D36" s="5638">
        <v>0</v>
      </c>
      <c r="E36" s="5638">
        <v>1</v>
      </c>
      <c r="F36" s="5639">
        <f t="shared" si="1"/>
        <v>23</v>
      </c>
      <c r="G36" s="5640" t="s">
        <v>6501</v>
      </c>
      <c r="H36" s="5641">
        <v>1</v>
      </c>
      <c r="I36" s="5642" t="s">
        <v>5957</v>
      </c>
      <c r="J36" s="5643">
        <v>4</v>
      </c>
      <c r="K36" s="5644">
        <v>2.5</v>
      </c>
      <c r="L36" s="5644">
        <v>16</v>
      </c>
      <c r="M36" s="5645"/>
      <c r="N36" s="5646"/>
      <c r="O36" s="5647">
        <f>F36*N36</f>
        <v>0</v>
      </c>
      <c r="P36" s="5648" t="s">
        <v>2688</v>
      </c>
      <c r="Q36" s="5649" t="s">
        <v>5952</v>
      </c>
      <c r="R36" s="5650" t="s">
        <v>2688</v>
      </c>
      <c r="S36" s="5649" t="s">
        <v>5952</v>
      </c>
      <c r="T36" s="5651" t="s">
        <v>2688</v>
      </c>
      <c r="U36" s="5652" t="s">
        <v>5952</v>
      </c>
      <c r="AC36" s="4657"/>
    </row>
    <row r="37" spans="1:31" ht="33.75" customHeight="1">
      <c r="A37" s="5636">
        <v>30</v>
      </c>
      <c r="B37" s="5637">
        <v>46300</v>
      </c>
      <c r="C37" s="5637">
        <v>46300</v>
      </c>
      <c r="D37" s="5638">
        <v>0</v>
      </c>
      <c r="E37" s="5638">
        <v>0.5</v>
      </c>
      <c r="F37" s="5639">
        <f t="shared" si="1"/>
        <v>1</v>
      </c>
      <c r="G37" s="5640" t="s">
        <v>6501</v>
      </c>
      <c r="H37" s="5641">
        <v>1</v>
      </c>
      <c r="I37" s="5642" t="s">
        <v>5957</v>
      </c>
      <c r="J37" s="5643">
        <v>4</v>
      </c>
      <c r="K37" s="5644">
        <v>2.5</v>
      </c>
      <c r="L37" s="5644">
        <v>16</v>
      </c>
      <c r="M37" s="5645"/>
      <c r="N37" s="5646"/>
      <c r="O37" s="5647">
        <f t="shared" si="0"/>
        <v>0</v>
      </c>
      <c r="P37" s="5648" t="s">
        <v>2688</v>
      </c>
      <c r="Q37" s="5649" t="s">
        <v>5952</v>
      </c>
      <c r="R37" s="5650" t="s">
        <v>2688</v>
      </c>
      <c r="S37" s="5649" t="s">
        <v>5952</v>
      </c>
      <c r="T37" s="5651" t="s">
        <v>2688</v>
      </c>
      <c r="U37" s="5652" t="s">
        <v>5952</v>
      </c>
      <c r="AC37" s="4657"/>
    </row>
    <row r="38" spans="1:31" ht="33.75" customHeight="1">
      <c r="A38" s="5636">
        <v>31</v>
      </c>
      <c r="B38" s="5637">
        <v>46277</v>
      </c>
      <c r="C38" s="5637">
        <v>46299</v>
      </c>
      <c r="D38" s="5638">
        <v>0</v>
      </c>
      <c r="E38" s="5638">
        <v>1</v>
      </c>
      <c r="F38" s="5639">
        <f t="shared" si="1"/>
        <v>23</v>
      </c>
      <c r="G38" s="5640" t="s">
        <v>6502</v>
      </c>
      <c r="H38" s="5641">
        <v>1</v>
      </c>
      <c r="I38" s="5642" t="s">
        <v>5957</v>
      </c>
      <c r="J38" s="5643">
        <v>4</v>
      </c>
      <c r="K38" s="5644">
        <v>2.5</v>
      </c>
      <c r="L38" s="5644">
        <v>16</v>
      </c>
      <c r="M38" s="5645"/>
      <c r="N38" s="5646"/>
      <c r="O38" s="5647">
        <f>F38*N38</f>
        <v>0</v>
      </c>
      <c r="P38" s="5648" t="s">
        <v>2688</v>
      </c>
      <c r="Q38" s="5649" t="s">
        <v>5952</v>
      </c>
      <c r="R38" s="5650" t="s">
        <v>2688</v>
      </c>
      <c r="S38" s="5649" t="s">
        <v>5952</v>
      </c>
      <c r="T38" s="5651" t="s">
        <v>2688</v>
      </c>
      <c r="U38" s="5652" t="s">
        <v>5952</v>
      </c>
      <c r="AC38" s="4657"/>
    </row>
    <row r="39" spans="1:31" ht="33.75" customHeight="1" thickBot="1">
      <c r="A39" s="5636">
        <v>32</v>
      </c>
      <c r="B39" s="5637">
        <v>46300</v>
      </c>
      <c r="C39" s="5637">
        <v>46300</v>
      </c>
      <c r="D39" s="5638">
        <v>0</v>
      </c>
      <c r="E39" s="5638">
        <v>0.5</v>
      </c>
      <c r="F39" s="5639">
        <f t="shared" si="1"/>
        <v>1</v>
      </c>
      <c r="G39" s="5640" t="s">
        <v>6502</v>
      </c>
      <c r="H39" s="5641">
        <v>1</v>
      </c>
      <c r="I39" s="5642" t="s">
        <v>5957</v>
      </c>
      <c r="J39" s="5643">
        <v>4</v>
      </c>
      <c r="K39" s="5644">
        <v>2.5</v>
      </c>
      <c r="L39" s="5644">
        <v>16</v>
      </c>
      <c r="M39" s="5645"/>
      <c r="N39" s="5646"/>
      <c r="O39" s="5647">
        <f>F39*N39</f>
        <v>0</v>
      </c>
      <c r="P39" s="5648" t="s">
        <v>2688</v>
      </c>
      <c r="Q39" s="5649" t="s">
        <v>5952</v>
      </c>
      <c r="R39" s="5650" t="s">
        <v>2688</v>
      </c>
      <c r="S39" s="5649" t="s">
        <v>5952</v>
      </c>
      <c r="T39" s="5651" t="s">
        <v>2688</v>
      </c>
      <c r="U39" s="5652" t="s">
        <v>5952</v>
      </c>
      <c r="AC39" s="4657"/>
    </row>
    <row r="40" spans="1:31" ht="33.75" customHeight="1" thickTop="1" thickBot="1">
      <c r="A40" s="4778" t="s">
        <v>5845</v>
      </c>
      <c r="B40" s="4779"/>
      <c r="C40" s="4779"/>
      <c r="D40" s="4779"/>
      <c r="E40" s="4779"/>
      <c r="F40" s="4780">
        <f>SUM(F7:F39)</f>
        <v>405</v>
      </c>
      <c r="G40" s="4779"/>
      <c r="H40" s="4781"/>
      <c r="I40" s="4782">
        <f>COUNTA(G18,G20,G22,G24,G26,G28,G30,G32)</f>
        <v>8</v>
      </c>
      <c r="J40" s="4783"/>
      <c r="K40" s="4784"/>
      <c r="L40" s="4784"/>
      <c r="M40" s="4784"/>
      <c r="N40" s="4785"/>
      <c r="O40" s="4922">
        <f>SUM(O8:O39)</f>
        <v>57322440.25</v>
      </c>
      <c r="P40" s="4787"/>
      <c r="Q40" s="4787"/>
      <c r="R40" s="4788"/>
      <c r="S40" s="4789"/>
      <c r="T40" s="4788"/>
      <c r="U40" s="4790"/>
      <c r="AC40" s="4657"/>
    </row>
    <row r="41" spans="1:31" ht="33.75" customHeight="1" thickBot="1">
      <c r="A41" s="4876" t="s">
        <v>5792</v>
      </c>
      <c r="B41" s="4877"/>
      <c r="C41" s="4878"/>
      <c r="D41" s="4878"/>
      <c r="E41" s="4878"/>
      <c r="F41" s="4879"/>
      <c r="G41" s="4878"/>
      <c r="H41" s="4880"/>
      <c r="I41" s="4878"/>
      <c r="J41" s="4881"/>
      <c r="K41" s="4881"/>
      <c r="L41" s="4881"/>
      <c r="M41" s="4881"/>
      <c r="N41" s="4882"/>
      <c r="O41" s="4923">
        <f>O40*1.1</f>
        <v>63054684.275000006</v>
      </c>
      <c r="P41" s="4884"/>
      <c r="Q41" s="4885"/>
      <c r="R41" s="4886"/>
      <c r="S41" s="4887"/>
      <c r="T41" s="4886"/>
      <c r="U41" s="4888"/>
      <c r="AC41" s="4657"/>
    </row>
    <row r="42" spans="1:31" ht="33.75" customHeight="1">
      <c r="A42" s="4656"/>
      <c r="B42" s="4660"/>
      <c r="C42" s="4660"/>
      <c r="D42" s="4660"/>
      <c r="G42" s="4660"/>
      <c r="H42" s="4660"/>
      <c r="M42" s="4808" t="s">
        <v>5748</v>
      </c>
      <c r="N42" s="4809">
        <f>SUM(N18,N20,N22,N24,N26,N28,N30,N32)</f>
        <v>2431465</v>
      </c>
      <c r="O42" s="4656"/>
      <c r="P42" s="4657"/>
      <c r="Q42" s="4657"/>
      <c r="AC42" s="4657"/>
    </row>
    <row r="43" spans="1:31" ht="32.15" customHeight="1">
      <c r="A43" s="4656"/>
      <c r="B43" s="4660"/>
      <c r="C43" s="4660"/>
      <c r="D43" s="4660"/>
      <c r="G43" s="4660"/>
      <c r="H43" s="4660"/>
      <c r="M43" s="4808" t="s">
        <v>5750</v>
      </c>
      <c r="N43" s="4809">
        <f>N42*1.1</f>
        <v>2674611.5</v>
      </c>
      <c r="O43" s="4656"/>
      <c r="P43" s="4657"/>
      <c r="Q43" s="4657"/>
      <c r="AC43" s="4657"/>
    </row>
    <row r="44" spans="1:31" ht="32.15" customHeight="1">
      <c r="B44" s="4657"/>
      <c r="C44" s="4657"/>
      <c r="D44" s="4657"/>
      <c r="E44" s="4810"/>
      <c r="F44" s="4811"/>
      <c r="G44" s="4657"/>
      <c r="H44" s="4657"/>
      <c r="O44" s="4656"/>
      <c r="P44" s="4657"/>
      <c r="Q44" s="4657"/>
      <c r="AC44" s="4657"/>
    </row>
    <row r="45" spans="1:31" ht="32.15" customHeight="1">
      <c r="A45" s="4812"/>
      <c r="B45" s="4813"/>
      <c r="C45" s="4813"/>
      <c r="D45" s="4813"/>
      <c r="E45" s="4814"/>
      <c r="F45" s="4814"/>
      <c r="G45" s="4813"/>
      <c r="H45" s="4813"/>
      <c r="I45" s="4812"/>
      <c r="J45" s="4812"/>
      <c r="K45" s="4812"/>
      <c r="L45" s="4812"/>
      <c r="M45" s="4812"/>
      <c r="N45" s="4812"/>
      <c r="O45" s="4715"/>
      <c r="P45" s="4715"/>
      <c r="Q45" s="4715"/>
      <c r="R45" s="4656"/>
      <c r="S45" s="4812"/>
      <c r="T45" s="4656"/>
      <c r="U45" s="4812"/>
      <c r="W45" s="6905"/>
      <c r="X45" s="6905"/>
      <c r="Y45" s="6905"/>
      <c r="Z45" s="6905"/>
      <c r="AA45" s="6905"/>
      <c r="AB45" s="6891"/>
      <c r="AC45" s="6891"/>
      <c r="AD45" s="6891"/>
      <c r="AE45" s="6891"/>
    </row>
    <row r="46" spans="1:31" ht="36" customHeight="1"/>
    <row r="47" spans="1:31" ht="36" customHeight="1"/>
    <row r="48" spans="1:31" ht="36" customHeight="1"/>
    <row r="49" spans="2:29" ht="36" customHeight="1"/>
    <row r="50" spans="2:29" ht="36" customHeight="1"/>
    <row r="51" spans="2:29" ht="36" customHeight="1"/>
    <row r="52" spans="2:29" ht="36" customHeight="1"/>
    <row r="53" spans="2:29" ht="36" customHeight="1"/>
    <row r="54" spans="2:29" ht="36" customHeight="1"/>
    <row r="55" spans="2:29" ht="36" customHeight="1"/>
    <row r="56" spans="2:29" ht="10.4" customHeight="1">
      <c r="B56" s="4657"/>
      <c r="C56" s="4657"/>
      <c r="D56" s="4657"/>
      <c r="G56" s="4657"/>
      <c r="H56" s="4657"/>
      <c r="O56" s="4656"/>
      <c r="P56" s="4657"/>
      <c r="Q56" s="4657"/>
      <c r="AC56" s="4657"/>
    </row>
  </sheetData>
  <mergeCells count="21">
    <mergeCell ref="A2:B2"/>
    <mergeCell ref="C2:G2"/>
    <mergeCell ref="A5:A6"/>
    <mergeCell ref="B5:B6"/>
    <mergeCell ref="C5:C6"/>
    <mergeCell ref="D5:D6"/>
    <mergeCell ref="E5:E6"/>
    <mergeCell ref="F5:F6"/>
    <mergeCell ref="G5:G6"/>
    <mergeCell ref="AB45:AE45"/>
    <mergeCell ref="H5:H6"/>
    <mergeCell ref="I5:I6"/>
    <mergeCell ref="J5:J6"/>
    <mergeCell ref="K5:K6"/>
    <mergeCell ref="L5:L6"/>
    <mergeCell ref="M5:M6"/>
    <mergeCell ref="N5:N6"/>
    <mergeCell ref="O5:O6"/>
    <mergeCell ref="P5:Q5"/>
    <mergeCell ref="R5:U5"/>
    <mergeCell ref="W45:AA45"/>
  </mergeCells>
  <phoneticPr fontId="2"/>
  <conditionalFormatting sqref="B8:E39 G8:N39 P8:U39">
    <cfRule type="containsBlanks" dxfId="84" priority="1">
      <formula>LEN(TRIM(B8))=0</formula>
    </cfRule>
  </conditionalFormatting>
  <conditionalFormatting sqref="C2:D2">
    <cfRule type="containsBlanks" dxfId="83" priority="2">
      <formula>LEN(TRIM(C2))=0</formula>
    </cfRule>
  </conditionalFormatting>
  <dataValidations count="1">
    <dataValidation type="list" allowBlank="1" showInputMessage="1" showErrorMessage="1" sqref="I7:I39" xr:uid="{EF22700D-945E-4078-9D5B-B02AD2F70C9B}">
      <formula1>会場形態</formula1>
    </dataValidation>
  </dataValidations>
  <printOptions horizontalCentered="1"/>
  <pageMargins left="0.39370078740157483" right="0.39370078740157483" top="0.55118110236220474" bottom="0.55118110236220474" header="0.31496062992125984" footer="0.31496062992125984"/>
  <pageSetup paperSize="8" scale="58" orientation="landscape" r:id="rId1"/>
  <headerFooter>
    <oddHeader>&amp;R&amp;G</oddHead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0BA6-0761-4C55-BE23-0200A1BF50DF}">
  <sheetPr codeName="Sheet394">
    <tabColor rgb="FFFFFF66"/>
    <pageSetUpPr fitToPage="1"/>
  </sheetPr>
  <dimension ref="A1:AF63"/>
  <sheetViews>
    <sheetView topLeftCell="A11" zoomScale="40" zoomScaleNormal="40" zoomScaleSheetLayoutView="70" workbookViewId="0"/>
  </sheetViews>
  <sheetFormatPr defaultColWidth="9.81640625" defaultRowHeight="18"/>
  <cols>
    <col min="1" max="1" width="7.453125" style="5653" customWidth="1"/>
    <col min="2" max="2" width="24.54296875" style="5653" customWidth="1"/>
    <col min="3" max="3" width="25.81640625" style="5654" customWidth="1"/>
    <col min="4" max="4" width="7.54296875" style="5654" customWidth="1"/>
    <col min="5" max="5" width="25.81640625" style="5654" customWidth="1"/>
    <col min="6" max="6" width="7.54296875" style="5654" customWidth="1"/>
    <col min="7" max="7" width="23.26953125" style="5653" customWidth="1"/>
    <col min="8" max="8" width="7.54296875" style="5654" customWidth="1"/>
    <col min="9" max="9" width="30.26953125" style="5655" bestFit="1" customWidth="1"/>
    <col min="10" max="11" width="11.1796875" style="5653" customWidth="1"/>
    <col min="12" max="13" width="25.453125" style="5656" customWidth="1"/>
    <col min="14" max="14" width="6.453125" style="5656" customWidth="1"/>
    <col min="15" max="15" width="25.453125" style="5656" customWidth="1"/>
    <col min="16" max="16" width="16.453125" style="5656" bestFit="1" customWidth="1"/>
    <col min="17" max="17" width="20.453125" style="5653" customWidth="1"/>
    <col min="18" max="18" width="11.1796875" style="5654" customWidth="1"/>
    <col min="19" max="19" width="9.54296875" style="5654" customWidth="1"/>
    <col min="20" max="20" width="11.1796875" style="5654" customWidth="1"/>
    <col min="21" max="21" width="12.453125" style="5654" customWidth="1"/>
    <col min="22" max="22" width="11.1796875" style="5654" customWidth="1"/>
    <col min="23" max="23" width="9.54296875" style="5654" customWidth="1"/>
    <col min="24" max="25" width="11.1796875" style="5654" customWidth="1"/>
    <col min="26" max="26" width="24" style="5654" customWidth="1"/>
    <col min="27" max="27" width="9.81640625" style="5654"/>
    <col min="28" max="28" width="7.81640625" style="5654" customWidth="1"/>
    <col min="29" max="29" width="9.81640625" style="5654"/>
    <col min="30" max="30" width="7.81640625" style="5654" customWidth="1"/>
    <col min="31" max="31" width="40.1796875" style="5654" customWidth="1"/>
    <col min="32" max="32" width="22.1796875" style="5654" customWidth="1"/>
    <col min="33" max="16384" width="9.81640625" style="5654"/>
  </cols>
  <sheetData>
    <row r="1" spans="1:32" ht="21" customHeight="1">
      <c r="S1" s="5653"/>
      <c r="U1" s="5657"/>
      <c r="W1" s="5653"/>
    </row>
    <row r="2" spans="1:32" ht="44.25" customHeight="1">
      <c r="A2" s="5658" t="s">
        <v>6503</v>
      </c>
      <c r="B2" s="5659"/>
      <c r="D2" s="5660"/>
      <c r="E2" s="5660"/>
      <c r="F2" s="5660"/>
      <c r="G2" s="5660"/>
      <c r="I2" s="5151"/>
      <c r="J2" s="4733"/>
      <c r="L2" s="4733"/>
      <c r="M2" s="4733"/>
      <c r="N2" s="4733"/>
      <c r="O2" s="4733"/>
      <c r="S2" s="5653"/>
      <c r="U2" s="5657"/>
      <c r="W2" s="5653"/>
      <c r="AE2" s="5661" t="s">
        <v>5710</v>
      </c>
    </row>
    <row r="3" spans="1:32" ht="10.15" customHeight="1">
      <c r="S3" s="5653"/>
      <c r="U3" s="5657"/>
      <c r="W3" s="5653"/>
    </row>
    <row r="4" spans="1:32" ht="33.75" customHeight="1" thickBot="1">
      <c r="A4" s="4737" t="s">
        <v>5711</v>
      </c>
      <c r="B4" s="4737"/>
      <c r="S4" s="5653"/>
      <c r="W4" s="5653"/>
      <c r="Z4" s="5653"/>
      <c r="AA4" s="5653"/>
      <c r="AB4" s="5653"/>
      <c r="AC4" s="5653"/>
      <c r="AD4" s="5653"/>
      <c r="AF4" s="5653" t="s">
        <v>6504</v>
      </c>
    </row>
    <row r="5" spans="1:32" s="5197" customFormat="1" ht="33.75" customHeight="1">
      <c r="A5" s="6944" t="s">
        <v>5713</v>
      </c>
      <c r="B5" s="7000" t="s">
        <v>5714</v>
      </c>
      <c r="C5" s="6946" t="s">
        <v>5715</v>
      </c>
      <c r="D5" s="6946" t="s">
        <v>5716</v>
      </c>
      <c r="E5" s="6946" t="s">
        <v>5717</v>
      </c>
      <c r="F5" s="6956" t="s">
        <v>5718</v>
      </c>
      <c r="G5" s="6946" t="s">
        <v>5719</v>
      </c>
      <c r="H5" s="6946" t="s">
        <v>5720</v>
      </c>
      <c r="I5" s="6958" t="s">
        <v>5721</v>
      </c>
      <c r="J5" s="6939" t="s">
        <v>5722</v>
      </c>
      <c r="K5" s="6939" t="s">
        <v>5723</v>
      </c>
      <c r="L5" s="6946" t="s">
        <v>6219</v>
      </c>
      <c r="M5" s="6946" t="s">
        <v>6220</v>
      </c>
      <c r="N5" s="4967" t="s">
        <v>5726</v>
      </c>
      <c r="O5" s="6946" t="s">
        <v>6221</v>
      </c>
      <c r="P5" s="6939" t="s">
        <v>3766</v>
      </c>
      <c r="Q5" s="6954"/>
      <c r="R5" s="6956" t="s">
        <v>5728</v>
      </c>
      <c r="S5" s="6960"/>
      <c r="T5" s="6961"/>
      <c r="U5" s="6946" t="s">
        <v>6505</v>
      </c>
      <c r="V5" s="6960" t="s">
        <v>5730</v>
      </c>
      <c r="W5" s="6960"/>
      <c r="X5" s="6960"/>
      <c r="Y5" s="6956" t="s">
        <v>5731</v>
      </c>
      <c r="Z5" s="6939" t="s">
        <v>5732</v>
      </c>
      <c r="AA5" s="6939" t="s">
        <v>5733</v>
      </c>
      <c r="AB5" s="6954"/>
      <c r="AC5" s="6954"/>
      <c r="AD5" s="6954"/>
      <c r="AE5" s="6941" t="s">
        <v>2792</v>
      </c>
      <c r="AF5" s="6943" t="s">
        <v>5734</v>
      </c>
    </row>
    <row r="6" spans="1:32" s="5197" customFormat="1" ht="20">
      <c r="A6" s="6945"/>
      <c r="B6" s="7001"/>
      <c r="C6" s="6947"/>
      <c r="D6" s="6948"/>
      <c r="E6" s="6948"/>
      <c r="F6" s="6957"/>
      <c r="G6" s="6948"/>
      <c r="H6" s="6948"/>
      <c r="I6" s="6947"/>
      <c r="J6" s="6959"/>
      <c r="K6" s="6959"/>
      <c r="L6" s="6948"/>
      <c r="M6" s="6948"/>
      <c r="N6" s="4968"/>
      <c r="O6" s="6948"/>
      <c r="P6" s="5199" t="s">
        <v>5735</v>
      </c>
      <c r="Q6" s="5200" t="s">
        <v>5736</v>
      </c>
      <c r="R6" s="6962"/>
      <c r="S6" s="6963"/>
      <c r="T6" s="6964"/>
      <c r="U6" s="6948"/>
      <c r="V6" s="6963"/>
      <c r="W6" s="6963"/>
      <c r="X6" s="6963"/>
      <c r="Y6" s="6940"/>
      <c r="Z6" s="6940"/>
      <c r="AA6" s="6940"/>
      <c r="AB6" s="6955"/>
      <c r="AC6" s="6955"/>
      <c r="AD6" s="6955"/>
      <c r="AE6" s="6942"/>
      <c r="AF6" s="6943"/>
    </row>
    <row r="7" spans="1:32" ht="33.75" customHeight="1">
      <c r="A7" s="5662" t="s">
        <v>5737</v>
      </c>
      <c r="B7" s="5663">
        <v>46266</v>
      </c>
      <c r="C7" s="5664">
        <v>46268</v>
      </c>
      <c r="D7" s="4817">
        <f>IF(_xlfn.DAYS(C7,B7)=0,"1",_xlfn.DAYS(C7,B7))</f>
        <v>2</v>
      </c>
      <c r="E7" s="5664">
        <v>46280</v>
      </c>
      <c r="F7" s="4817">
        <f>IF(_xlfn.DAYS(E7,C7)=0,"1",_xlfn.DAYS(E7,C7))+1</f>
        <v>13</v>
      </c>
      <c r="G7" s="5665">
        <v>46282</v>
      </c>
      <c r="H7" s="4817">
        <f>IF(_xlfn.DAYS(G7,E7)=0,"1",_xlfn.DAYS(G7,E7))-1</f>
        <v>1</v>
      </c>
      <c r="I7" s="5666" t="s">
        <v>5738</v>
      </c>
      <c r="J7" s="5667">
        <v>100</v>
      </c>
      <c r="K7" s="5668">
        <v>90</v>
      </c>
      <c r="L7" s="5669">
        <v>9000</v>
      </c>
      <c r="M7" s="5669">
        <v>10000</v>
      </c>
      <c r="N7" s="4971"/>
      <c r="O7" s="5669">
        <v>8000</v>
      </c>
      <c r="P7" s="5670">
        <f>SUM(D7,F7,H7)*K7</f>
        <v>1440</v>
      </c>
      <c r="Q7" s="5671">
        <f>(D7*L7+F7*M7+H7*O7)*K7</f>
        <v>14040000</v>
      </c>
      <c r="R7" s="5667">
        <v>21</v>
      </c>
      <c r="S7" s="5209" t="s">
        <v>5739</v>
      </c>
      <c r="T7" s="5672">
        <v>21</v>
      </c>
      <c r="U7" s="5667">
        <v>1</v>
      </c>
      <c r="V7" s="5667">
        <v>154</v>
      </c>
      <c r="W7" s="5209" t="s">
        <v>4521</v>
      </c>
      <c r="X7" s="5673">
        <v>203</v>
      </c>
      <c r="Y7" s="5667">
        <v>1</v>
      </c>
      <c r="Z7" s="5667" t="s">
        <v>5740</v>
      </c>
      <c r="AA7" s="5212" t="s">
        <v>5035</v>
      </c>
      <c r="AB7" s="5667" t="s">
        <v>2830</v>
      </c>
      <c r="AC7" s="5212" t="s">
        <v>5050</v>
      </c>
      <c r="AD7" s="5667" t="s">
        <v>5741</v>
      </c>
      <c r="AE7" s="5213"/>
      <c r="AF7" s="5214">
        <f>U7*K7</f>
        <v>90</v>
      </c>
    </row>
    <row r="8" spans="1:32" ht="33.75" customHeight="1">
      <c r="A8" s="5674">
        <v>1</v>
      </c>
      <c r="B8" s="4816">
        <v>46286</v>
      </c>
      <c r="C8" s="4816">
        <v>46288</v>
      </c>
      <c r="D8" s="4817">
        <f t="shared" ref="D8:D22" si="0">IF(_xlfn.DAYS(C8,B8)=0,"1",_xlfn.DAYS(C8,B8))</f>
        <v>2</v>
      </c>
      <c r="E8" s="4816">
        <v>46293</v>
      </c>
      <c r="F8" s="4818">
        <f t="shared" ref="F8:F22" si="1">IF(_xlfn.DAYS(E8,C8)=0,"1",_xlfn.DAYS(E8,C8))+1</f>
        <v>6</v>
      </c>
      <c r="G8" s="5146">
        <v>46295</v>
      </c>
      <c r="H8" s="4817">
        <f t="shared" ref="H8:H22" si="2">IF(_xlfn.DAYS(G8,E8)=0,"1",_xlfn.DAYS(G8,E8))-1</f>
        <v>1</v>
      </c>
      <c r="I8" s="4819" t="s">
        <v>6506</v>
      </c>
      <c r="J8" s="4820">
        <v>108</v>
      </c>
      <c r="K8" s="4821">
        <v>58</v>
      </c>
      <c r="L8" s="4820">
        <v>9000</v>
      </c>
      <c r="M8" s="4820">
        <v>11000</v>
      </c>
      <c r="N8" s="4971">
        <f>M8*K8</f>
        <v>638000</v>
      </c>
      <c r="O8" s="4820">
        <v>9000</v>
      </c>
      <c r="P8" s="5670">
        <f>SUM(D8,F8,H8)*K8</f>
        <v>522</v>
      </c>
      <c r="Q8" s="5671">
        <f t="shared" ref="Q8:Q22" si="3">(D8*L8+F8*M8+H8*O8)*K8</f>
        <v>5394000</v>
      </c>
      <c r="R8" s="4820">
        <v>16</v>
      </c>
      <c r="S8" s="5209" t="s">
        <v>5742</v>
      </c>
      <c r="T8" s="5217">
        <v>16</v>
      </c>
      <c r="U8" s="4820">
        <v>1</v>
      </c>
      <c r="V8" s="4820">
        <v>110</v>
      </c>
      <c r="W8" s="5209" t="s">
        <v>4521</v>
      </c>
      <c r="X8" s="5219">
        <v>195</v>
      </c>
      <c r="Y8" s="4820">
        <v>1</v>
      </c>
      <c r="Z8" s="4820" t="s">
        <v>5740</v>
      </c>
      <c r="AA8" s="5212" t="s">
        <v>5035</v>
      </c>
      <c r="AB8" s="4820"/>
      <c r="AC8" s="5212" t="s">
        <v>5050</v>
      </c>
      <c r="AD8" s="4820" t="s">
        <v>5741</v>
      </c>
      <c r="AE8" s="5220"/>
      <c r="AF8" s="5214">
        <f>U8*K8</f>
        <v>58</v>
      </c>
    </row>
    <row r="9" spans="1:32" ht="33.75" customHeight="1">
      <c r="A9" s="5674">
        <v>2</v>
      </c>
      <c r="B9" s="4816">
        <v>46286</v>
      </c>
      <c r="C9" s="4816">
        <v>46288</v>
      </c>
      <c r="D9" s="4817">
        <f t="shared" si="0"/>
        <v>2</v>
      </c>
      <c r="E9" s="4816">
        <v>46293</v>
      </c>
      <c r="F9" s="4818">
        <f t="shared" si="1"/>
        <v>6</v>
      </c>
      <c r="G9" s="5146">
        <v>46295</v>
      </c>
      <c r="H9" s="4817">
        <f t="shared" si="2"/>
        <v>1</v>
      </c>
      <c r="I9" s="4819" t="s">
        <v>6486</v>
      </c>
      <c r="J9" s="4820">
        <v>3</v>
      </c>
      <c r="K9" s="4821">
        <v>0</v>
      </c>
      <c r="L9" s="4820"/>
      <c r="M9" s="4820"/>
      <c r="N9" s="4971">
        <f t="shared" ref="N9:N19" si="4">M9*K9</f>
        <v>0</v>
      </c>
      <c r="O9" s="4820"/>
      <c r="P9" s="5670">
        <f t="shared" ref="P9:P22" si="5">SUM(D9,F9,H9)*K9</f>
        <v>0</v>
      </c>
      <c r="Q9" s="5671">
        <f t="shared" si="3"/>
        <v>0</v>
      </c>
      <c r="R9" s="4820">
        <v>19</v>
      </c>
      <c r="S9" s="5209" t="s">
        <v>5742</v>
      </c>
      <c r="T9" s="5217">
        <v>19</v>
      </c>
      <c r="U9" s="4820">
        <v>1</v>
      </c>
      <c r="V9" s="4820">
        <v>220</v>
      </c>
      <c r="W9" s="5209" t="s">
        <v>4521</v>
      </c>
      <c r="X9" s="5219">
        <v>195</v>
      </c>
      <c r="Y9" s="4820">
        <v>1</v>
      </c>
      <c r="Z9" s="4820" t="s">
        <v>5740</v>
      </c>
      <c r="AA9" s="5212" t="s">
        <v>5035</v>
      </c>
      <c r="AB9" s="4820"/>
      <c r="AC9" s="5212" t="s">
        <v>5050</v>
      </c>
      <c r="AD9" s="4820" t="s">
        <v>5741</v>
      </c>
      <c r="AE9" s="5220"/>
      <c r="AF9" s="5214">
        <f t="shared" ref="AF9:AF22" si="6">U9*K9</f>
        <v>0</v>
      </c>
    </row>
    <row r="10" spans="1:32" ht="33.75" customHeight="1">
      <c r="A10" s="5674">
        <v>3</v>
      </c>
      <c r="B10" s="4816">
        <v>46286</v>
      </c>
      <c r="C10" s="4816">
        <v>46288</v>
      </c>
      <c r="D10" s="4817">
        <f t="shared" si="0"/>
        <v>2</v>
      </c>
      <c r="E10" s="4816">
        <v>46293</v>
      </c>
      <c r="F10" s="4818">
        <f t="shared" si="1"/>
        <v>6</v>
      </c>
      <c r="G10" s="5146">
        <v>46295</v>
      </c>
      <c r="H10" s="4817">
        <f t="shared" si="2"/>
        <v>1</v>
      </c>
      <c r="I10" s="4819" t="s">
        <v>6507</v>
      </c>
      <c r="J10" s="4820">
        <v>44</v>
      </c>
      <c r="K10" s="4821">
        <v>24</v>
      </c>
      <c r="L10" s="4820">
        <v>20000</v>
      </c>
      <c r="M10" s="4820">
        <v>22000</v>
      </c>
      <c r="N10" s="4971">
        <f t="shared" si="4"/>
        <v>528000</v>
      </c>
      <c r="O10" s="4820">
        <v>20000</v>
      </c>
      <c r="P10" s="5670">
        <f t="shared" si="5"/>
        <v>216</v>
      </c>
      <c r="Q10" s="5671">
        <f t="shared" si="3"/>
        <v>4608000</v>
      </c>
      <c r="R10" s="4820">
        <v>23</v>
      </c>
      <c r="S10" s="5209" t="s">
        <v>5742</v>
      </c>
      <c r="T10" s="5217">
        <v>23</v>
      </c>
      <c r="U10" s="4820">
        <v>2</v>
      </c>
      <c r="V10" s="4820">
        <v>110</v>
      </c>
      <c r="W10" s="5209" t="s">
        <v>4521</v>
      </c>
      <c r="X10" s="5219">
        <v>195</v>
      </c>
      <c r="Y10" s="4820">
        <v>2</v>
      </c>
      <c r="Z10" s="4820" t="s">
        <v>5740</v>
      </c>
      <c r="AA10" s="5212" t="s">
        <v>5035</v>
      </c>
      <c r="AB10" s="4820"/>
      <c r="AC10" s="5212" t="s">
        <v>5050</v>
      </c>
      <c r="AD10" s="4820" t="s">
        <v>5741</v>
      </c>
      <c r="AE10" s="5220"/>
      <c r="AF10" s="5214">
        <f t="shared" si="6"/>
        <v>48</v>
      </c>
    </row>
    <row r="11" spans="1:32" ht="33.75" customHeight="1">
      <c r="A11" s="5674">
        <v>4</v>
      </c>
      <c r="B11" s="4816">
        <v>46286</v>
      </c>
      <c r="C11" s="4816">
        <v>46288</v>
      </c>
      <c r="D11" s="4817">
        <f t="shared" si="0"/>
        <v>2</v>
      </c>
      <c r="E11" s="4816">
        <v>46293</v>
      </c>
      <c r="F11" s="4818">
        <f t="shared" si="1"/>
        <v>6</v>
      </c>
      <c r="G11" s="5146">
        <v>46295</v>
      </c>
      <c r="H11" s="4817">
        <f t="shared" si="2"/>
        <v>1</v>
      </c>
      <c r="I11" s="4819" t="s">
        <v>6508</v>
      </c>
      <c r="J11" s="4820">
        <v>47</v>
      </c>
      <c r="K11" s="4821">
        <v>24</v>
      </c>
      <c r="L11" s="4820">
        <v>14000</v>
      </c>
      <c r="M11" s="4820">
        <v>16000</v>
      </c>
      <c r="N11" s="4971">
        <f t="shared" si="4"/>
        <v>384000</v>
      </c>
      <c r="O11" s="4820">
        <v>14000</v>
      </c>
      <c r="P11" s="5670">
        <f t="shared" si="5"/>
        <v>216</v>
      </c>
      <c r="Q11" s="5671">
        <f t="shared" si="3"/>
        <v>3312000</v>
      </c>
      <c r="R11" s="4820">
        <v>17</v>
      </c>
      <c r="S11" s="5209" t="s">
        <v>5742</v>
      </c>
      <c r="T11" s="5217">
        <v>17</v>
      </c>
      <c r="U11" s="4820">
        <v>2</v>
      </c>
      <c r="V11" s="4820">
        <v>95</v>
      </c>
      <c r="W11" s="5209" t="s">
        <v>4521</v>
      </c>
      <c r="X11" s="5219">
        <v>195</v>
      </c>
      <c r="Y11" s="4820">
        <v>2</v>
      </c>
      <c r="Z11" s="4820" t="s">
        <v>5740</v>
      </c>
      <c r="AA11" s="5212" t="s">
        <v>5035</v>
      </c>
      <c r="AB11" s="4820"/>
      <c r="AC11" s="5212" t="s">
        <v>5050</v>
      </c>
      <c r="AD11" s="4820" t="s">
        <v>5741</v>
      </c>
      <c r="AE11" s="5220"/>
      <c r="AF11" s="5214">
        <f t="shared" si="6"/>
        <v>48</v>
      </c>
    </row>
    <row r="12" spans="1:32" ht="33.75" customHeight="1">
      <c r="A12" s="5674">
        <v>5</v>
      </c>
      <c r="B12" s="4816">
        <v>46286</v>
      </c>
      <c r="C12" s="4816">
        <v>46288</v>
      </c>
      <c r="D12" s="4817">
        <f t="shared" si="0"/>
        <v>2</v>
      </c>
      <c r="E12" s="4816">
        <v>46293</v>
      </c>
      <c r="F12" s="4818">
        <f t="shared" si="1"/>
        <v>6</v>
      </c>
      <c r="G12" s="5146">
        <v>46295</v>
      </c>
      <c r="H12" s="4817">
        <f t="shared" si="2"/>
        <v>1</v>
      </c>
      <c r="I12" s="4819" t="s">
        <v>5063</v>
      </c>
      <c r="J12" s="4820">
        <v>4</v>
      </c>
      <c r="K12" s="4821">
        <v>0</v>
      </c>
      <c r="L12" s="4820"/>
      <c r="M12" s="4820"/>
      <c r="N12" s="4971">
        <f t="shared" si="4"/>
        <v>0</v>
      </c>
      <c r="O12" s="4820"/>
      <c r="P12" s="5670">
        <f t="shared" si="5"/>
        <v>0</v>
      </c>
      <c r="Q12" s="5671">
        <f t="shared" si="3"/>
        <v>0</v>
      </c>
      <c r="R12" s="4820">
        <v>32</v>
      </c>
      <c r="S12" s="5209" t="s">
        <v>5742</v>
      </c>
      <c r="T12" s="5217">
        <v>32</v>
      </c>
      <c r="U12" s="4820">
        <v>2</v>
      </c>
      <c r="V12" s="4820">
        <v>120</v>
      </c>
      <c r="W12" s="5209" t="s">
        <v>4521</v>
      </c>
      <c r="X12" s="5219">
        <v>195</v>
      </c>
      <c r="Y12" s="4820">
        <v>2</v>
      </c>
      <c r="Z12" s="4820" t="s">
        <v>5740</v>
      </c>
      <c r="AA12" s="5212" t="s">
        <v>5035</v>
      </c>
      <c r="AB12" s="4820"/>
      <c r="AC12" s="5212" t="s">
        <v>5050</v>
      </c>
      <c r="AD12" s="4820" t="s">
        <v>5741</v>
      </c>
      <c r="AE12" s="5220"/>
      <c r="AF12" s="5214">
        <f t="shared" si="6"/>
        <v>0</v>
      </c>
    </row>
    <row r="13" spans="1:32" ht="33.75" customHeight="1">
      <c r="A13" s="5674">
        <v>6</v>
      </c>
      <c r="B13" s="4816">
        <v>46286</v>
      </c>
      <c r="C13" s="4816">
        <v>46288</v>
      </c>
      <c r="D13" s="4817">
        <f t="shared" si="0"/>
        <v>2</v>
      </c>
      <c r="E13" s="4816">
        <v>46293</v>
      </c>
      <c r="F13" s="4818">
        <f t="shared" si="1"/>
        <v>6</v>
      </c>
      <c r="G13" s="5146">
        <v>46295</v>
      </c>
      <c r="H13" s="4817">
        <f t="shared" si="2"/>
        <v>1</v>
      </c>
      <c r="I13" s="4819" t="s">
        <v>6509</v>
      </c>
      <c r="J13" s="4820">
        <v>25</v>
      </c>
      <c r="K13" s="4821">
        <v>12</v>
      </c>
      <c r="L13" s="4820">
        <v>28000</v>
      </c>
      <c r="M13" s="4820">
        <v>30000</v>
      </c>
      <c r="N13" s="4971">
        <f t="shared" si="4"/>
        <v>360000</v>
      </c>
      <c r="O13" s="4820">
        <v>28000</v>
      </c>
      <c r="P13" s="5670">
        <f t="shared" si="5"/>
        <v>108</v>
      </c>
      <c r="Q13" s="5671">
        <f t="shared" si="3"/>
        <v>3168000</v>
      </c>
      <c r="R13" s="4820">
        <v>24</v>
      </c>
      <c r="S13" s="5209" t="s">
        <v>5742</v>
      </c>
      <c r="T13" s="5217">
        <v>24</v>
      </c>
      <c r="U13" s="4820">
        <v>3</v>
      </c>
      <c r="V13" s="4820">
        <v>110</v>
      </c>
      <c r="W13" s="5209" t="s">
        <v>4521</v>
      </c>
      <c r="X13" s="5219">
        <v>195</v>
      </c>
      <c r="Y13" s="4820">
        <v>3</v>
      </c>
      <c r="Z13" s="4820" t="s">
        <v>5740</v>
      </c>
      <c r="AA13" s="5212" t="s">
        <v>5035</v>
      </c>
      <c r="AB13" s="4820"/>
      <c r="AC13" s="5212" t="s">
        <v>5050</v>
      </c>
      <c r="AD13" s="4820" t="s">
        <v>5741</v>
      </c>
      <c r="AE13" s="5220"/>
      <c r="AF13" s="5214">
        <f t="shared" si="6"/>
        <v>36</v>
      </c>
    </row>
    <row r="14" spans="1:32" ht="33.75" customHeight="1">
      <c r="A14" s="5674">
        <v>7</v>
      </c>
      <c r="B14" s="4816">
        <v>46286</v>
      </c>
      <c r="C14" s="4816">
        <v>46288</v>
      </c>
      <c r="D14" s="4817">
        <f t="shared" si="0"/>
        <v>2</v>
      </c>
      <c r="E14" s="4816">
        <v>46293</v>
      </c>
      <c r="F14" s="4818">
        <f t="shared" si="1"/>
        <v>6</v>
      </c>
      <c r="G14" s="5146">
        <v>46295</v>
      </c>
      <c r="H14" s="4817">
        <f t="shared" si="2"/>
        <v>1</v>
      </c>
      <c r="I14" s="4819" t="s">
        <v>6510</v>
      </c>
      <c r="J14" s="4820">
        <v>1</v>
      </c>
      <c r="K14" s="4821">
        <v>0</v>
      </c>
      <c r="L14" s="4820"/>
      <c r="M14" s="4820"/>
      <c r="N14" s="4971">
        <f>M14*K14</f>
        <v>0</v>
      </c>
      <c r="O14" s="4820"/>
      <c r="P14" s="5670">
        <f t="shared" si="5"/>
        <v>0</v>
      </c>
      <c r="Q14" s="5671">
        <f t="shared" si="3"/>
        <v>0</v>
      </c>
      <c r="R14" s="4820">
        <v>89</v>
      </c>
      <c r="S14" s="5209" t="s">
        <v>5742</v>
      </c>
      <c r="T14" s="5217">
        <v>89</v>
      </c>
      <c r="U14" s="4820">
        <v>2</v>
      </c>
      <c r="V14" s="4820">
        <v>120</v>
      </c>
      <c r="W14" s="5209" t="s">
        <v>4521</v>
      </c>
      <c r="X14" s="5219">
        <v>195</v>
      </c>
      <c r="Y14" s="4820"/>
      <c r="Z14" s="4820" t="s">
        <v>5740</v>
      </c>
      <c r="AA14" s="5212" t="s">
        <v>5035</v>
      </c>
      <c r="AB14" s="4820"/>
      <c r="AC14" s="5212" t="s">
        <v>5050</v>
      </c>
      <c r="AD14" s="4820" t="s">
        <v>5741</v>
      </c>
      <c r="AE14" s="5220"/>
      <c r="AF14" s="5214">
        <f t="shared" si="6"/>
        <v>0</v>
      </c>
    </row>
    <row r="15" spans="1:32" ht="33.75" customHeight="1">
      <c r="A15" s="5674">
        <v>8</v>
      </c>
      <c r="B15" s="4816"/>
      <c r="C15" s="4816"/>
      <c r="D15" s="4817" t="str">
        <f t="shared" si="0"/>
        <v>1</v>
      </c>
      <c r="E15" s="4816"/>
      <c r="F15" s="4818">
        <f t="shared" si="1"/>
        <v>2</v>
      </c>
      <c r="G15" s="5146"/>
      <c r="H15" s="4817">
        <f t="shared" si="2"/>
        <v>0</v>
      </c>
      <c r="I15" s="4819"/>
      <c r="J15" s="4820"/>
      <c r="K15" s="4821"/>
      <c r="L15" s="4820"/>
      <c r="M15" s="4820"/>
      <c r="N15" s="4971">
        <f t="shared" si="4"/>
        <v>0</v>
      </c>
      <c r="O15" s="4820"/>
      <c r="P15" s="5670">
        <f t="shared" si="5"/>
        <v>0</v>
      </c>
      <c r="Q15" s="5671">
        <f t="shared" si="3"/>
        <v>0</v>
      </c>
      <c r="R15" s="4820"/>
      <c r="S15" s="5209" t="s">
        <v>5742</v>
      </c>
      <c r="T15" s="5217"/>
      <c r="U15" s="4820"/>
      <c r="V15" s="4820"/>
      <c r="W15" s="5209" t="s">
        <v>4521</v>
      </c>
      <c r="X15" s="5219"/>
      <c r="Y15" s="4820"/>
      <c r="Z15" s="4820"/>
      <c r="AA15" s="5212" t="s">
        <v>5035</v>
      </c>
      <c r="AB15" s="4820"/>
      <c r="AC15" s="5212" t="s">
        <v>5050</v>
      </c>
      <c r="AD15" s="4820"/>
      <c r="AE15" s="5220"/>
      <c r="AF15" s="5214">
        <f t="shared" si="6"/>
        <v>0</v>
      </c>
    </row>
    <row r="16" spans="1:32" ht="33.75" customHeight="1">
      <c r="A16" s="5674">
        <v>9</v>
      </c>
      <c r="B16" s="4816"/>
      <c r="C16" s="4816"/>
      <c r="D16" s="4817" t="str">
        <f t="shared" si="0"/>
        <v>1</v>
      </c>
      <c r="E16" s="4816"/>
      <c r="F16" s="4818">
        <f t="shared" si="1"/>
        <v>2</v>
      </c>
      <c r="G16" s="5146"/>
      <c r="H16" s="4817">
        <f t="shared" si="2"/>
        <v>0</v>
      </c>
      <c r="I16" s="4819"/>
      <c r="J16" s="4820"/>
      <c r="K16" s="4821"/>
      <c r="L16" s="4820"/>
      <c r="M16" s="4820"/>
      <c r="N16" s="4971">
        <f t="shared" si="4"/>
        <v>0</v>
      </c>
      <c r="O16" s="4820"/>
      <c r="P16" s="5670">
        <f t="shared" si="5"/>
        <v>0</v>
      </c>
      <c r="Q16" s="5671">
        <f t="shared" si="3"/>
        <v>0</v>
      </c>
      <c r="R16" s="4820"/>
      <c r="S16" s="5209" t="s">
        <v>5742</v>
      </c>
      <c r="T16" s="5217"/>
      <c r="U16" s="4820"/>
      <c r="V16" s="4820"/>
      <c r="W16" s="5209" t="s">
        <v>4521</v>
      </c>
      <c r="X16" s="5219"/>
      <c r="Y16" s="4820"/>
      <c r="Z16" s="4820"/>
      <c r="AA16" s="5212" t="s">
        <v>5035</v>
      </c>
      <c r="AB16" s="4820"/>
      <c r="AC16" s="5212" t="s">
        <v>5050</v>
      </c>
      <c r="AD16" s="4820"/>
      <c r="AE16" s="5220"/>
      <c r="AF16" s="5214">
        <f t="shared" si="6"/>
        <v>0</v>
      </c>
    </row>
    <row r="17" spans="1:32" ht="33.75" customHeight="1">
      <c r="A17" s="5674">
        <v>10</v>
      </c>
      <c r="B17" s="4816"/>
      <c r="C17" s="4816"/>
      <c r="D17" s="4817" t="str">
        <f t="shared" si="0"/>
        <v>1</v>
      </c>
      <c r="E17" s="4816"/>
      <c r="F17" s="4818">
        <f t="shared" si="1"/>
        <v>2</v>
      </c>
      <c r="G17" s="5146"/>
      <c r="H17" s="4817">
        <f t="shared" si="2"/>
        <v>0</v>
      </c>
      <c r="I17" s="4819"/>
      <c r="J17" s="4820"/>
      <c r="K17" s="4821"/>
      <c r="L17" s="4820"/>
      <c r="M17" s="4820"/>
      <c r="N17" s="4971">
        <f t="shared" si="4"/>
        <v>0</v>
      </c>
      <c r="O17" s="4820"/>
      <c r="P17" s="5670">
        <f t="shared" si="5"/>
        <v>0</v>
      </c>
      <c r="Q17" s="5671">
        <f t="shared" si="3"/>
        <v>0</v>
      </c>
      <c r="R17" s="4820"/>
      <c r="S17" s="5209" t="s">
        <v>5742</v>
      </c>
      <c r="T17" s="5217"/>
      <c r="U17" s="4820"/>
      <c r="V17" s="4820"/>
      <c r="W17" s="5209" t="s">
        <v>4521</v>
      </c>
      <c r="X17" s="5219"/>
      <c r="Y17" s="4820"/>
      <c r="Z17" s="4820"/>
      <c r="AA17" s="5212" t="s">
        <v>5035</v>
      </c>
      <c r="AB17" s="4820"/>
      <c r="AC17" s="5212" t="s">
        <v>5050</v>
      </c>
      <c r="AD17" s="4820"/>
      <c r="AE17" s="5220"/>
      <c r="AF17" s="5214">
        <f t="shared" si="6"/>
        <v>0</v>
      </c>
    </row>
    <row r="18" spans="1:32" ht="33.75" customHeight="1">
      <c r="A18" s="5674">
        <v>11</v>
      </c>
      <c r="B18" s="4816"/>
      <c r="C18" s="4816"/>
      <c r="D18" s="4817" t="str">
        <f t="shared" si="0"/>
        <v>1</v>
      </c>
      <c r="E18" s="4816"/>
      <c r="F18" s="4818">
        <f t="shared" si="1"/>
        <v>2</v>
      </c>
      <c r="G18" s="5146"/>
      <c r="H18" s="4817">
        <f t="shared" si="2"/>
        <v>0</v>
      </c>
      <c r="I18" s="4819"/>
      <c r="J18" s="4820"/>
      <c r="K18" s="4821"/>
      <c r="L18" s="4820"/>
      <c r="M18" s="4820"/>
      <c r="N18" s="4971">
        <f t="shared" si="4"/>
        <v>0</v>
      </c>
      <c r="O18" s="4820"/>
      <c r="P18" s="5670">
        <f t="shared" si="5"/>
        <v>0</v>
      </c>
      <c r="Q18" s="5671">
        <f t="shared" si="3"/>
        <v>0</v>
      </c>
      <c r="R18" s="4820"/>
      <c r="S18" s="5209" t="s">
        <v>5742</v>
      </c>
      <c r="T18" s="5217"/>
      <c r="U18" s="4820"/>
      <c r="V18" s="4820"/>
      <c r="W18" s="5209" t="s">
        <v>4521</v>
      </c>
      <c r="X18" s="5219"/>
      <c r="Y18" s="4820"/>
      <c r="Z18" s="4820"/>
      <c r="AA18" s="5212" t="s">
        <v>5035</v>
      </c>
      <c r="AB18" s="4820"/>
      <c r="AC18" s="5212" t="s">
        <v>5050</v>
      </c>
      <c r="AD18" s="4820"/>
      <c r="AE18" s="5220"/>
      <c r="AF18" s="5214">
        <f t="shared" si="6"/>
        <v>0</v>
      </c>
    </row>
    <row r="19" spans="1:32" ht="33.75" customHeight="1">
      <c r="A19" s="5674">
        <v>12</v>
      </c>
      <c r="B19" s="4816"/>
      <c r="C19" s="4816"/>
      <c r="D19" s="4817" t="str">
        <f t="shared" si="0"/>
        <v>1</v>
      </c>
      <c r="E19" s="4816"/>
      <c r="F19" s="4818">
        <f t="shared" si="1"/>
        <v>2</v>
      </c>
      <c r="G19" s="5146"/>
      <c r="H19" s="4817">
        <f t="shared" si="2"/>
        <v>0</v>
      </c>
      <c r="I19" s="4819"/>
      <c r="J19" s="4820"/>
      <c r="K19" s="4821"/>
      <c r="L19" s="4820"/>
      <c r="M19" s="4820"/>
      <c r="N19" s="4971">
        <f t="shared" si="4"/>
        <v>0</v>
      </c>
      <c r="O19" s="4820"/>
      <c r="P19" s="5670">
        <f t="shared" si="5"/>
        <v>0</v>
      </c>
      <c r="Q19" s="5671">
        <f t="shared" si="3"/>
        <v>0</v>
      </c>
      <c r="R19" s="4820"/>
      <c r="S19" s="5209" t="s">
        <v>5742</v>
      </c>
      <c r="T19" s="5217"/>
      <c r="U19" s="4820"/>
      <c r="V19" s="4820"/>
      <c r="W19" s="5209" t="s">
        <v>4521</v>
      </c>
      <c r="X19" s="5219"/>
      <c r="Y19" s="4820"/>
      <c r="Z19" s="4820"/>
      <c r="AA19" s="5212" t="s">
        <v>5035</v>
      </c>
      <c r="AB19" s="4820"/>
      <c r="AC19" s="5212" t="s">
        <v>5050</v>
      </c>
      <c r="AD19" s="4820"/>
      <c r="AE19" s="5220"/>
      <c r="AF19" s="5214">
        <f t="shared" si="6"/>
        <v>0</v>
      </c>
    </row>
    <row r="20" spans="1:32" ht="33.75" customHeight="1">
      <c r="A20" s="5674">
        <v>13</v>
      </c>
      <c r="B20" s="4816"/>
      <c r="C20" s="4816"/>
      <c r="D20" s="4817" t="str">
        <f t="shared" si="0"/>
        <v>1</v>
      </c>
      <c r="E20" s="4816"/>
      <c r="F20" s="4818">
        <f t="shared" si="1"/>
        <v>2</v>
      </c>
      <c r="G20" s="5146"/>
      <c r="H20" s="4817">
        <f t="shared" si="2"/>
        <v>0</v>
      </c>
      <c r="I20" s="4819"/>
      <c r="J20" s="4820"/>
      <c r="K20" s="4821"/>
      <c r="L20" s="4820"/>
      <c r="M20" s="4820"/>
      <c r="N20" s="4820"/>
      <c r="O20" s="4820"/>
      <c r="P20" s="5670">
        <f>SUM(D20,F20,H20)*K20</f>
        <v>0</v>
      </c>
      <c r="Q20" s="5671">
        <f t="shared" si="3"/>
        <v>0</v>
      </c>
      <c r="R20" s="4820"/>
      <c r="S20" s="5209" t="s">
        <v>5742</v>
      </c>
      <c r="T20" s="5217"/>
      <c r="U20" s="4820"/>
      <c r="V20" s="4820"/>
      <c r="W20" s="5209" t="s">
        <v>4521</v>
      </c>
      <c r="X20" s="5219"/>
      <c r="Y20" s="4820"/>
      <c r="Z20" s="4820"/>
      <c r="AA20" s="5212" t="s">
        <v>5035</v>
      </c>
      <c r="AB20" s="4820"/>
      <c r="AC20" s="5212" t="s">
        <v>5050</v>
      </c>
      <c r="AD20" s="4820"/>
      <c r="AE20" s="5220"/>
      <c r="AF20" s="5214">
        <f t="shared" si="6"/>
        <v>0</v>
      </c>
    </row>
    <row r="21" spans="1:32" ht="33.75" customHeight="1">
      <c r="A21" s="5674">
        <v>14</v>
      </c>
      <c r="B21" s="4816"/>
      <c r="C21" s="4816"/>
      <c r="D21" s="4817" t="str">
        <f t="shared" si="0"/>
        <v>1</v>
      </c>
      <c r="E21" s="4816"/>
      <c r="F21" s="4818">
        <f t="shared" si="1"/>
        <v>2</v>
      </c>
      <c r="G21" s="5146"/>
      <c r="H21" s="4817">
        <f t="shared" si="2"/>
        <v>0</v>
      </c>
      <c r="I21" s="4819"/>
      <c r="J21" s="4820"/>
      <c r="K21" s="4821"/>
      <c r="L21" s="4820"/>
      <c r="M21" s="4820"/>
      <c r="N21" s="4820"/>
      <c r="O21" s="4820"/>
      <c r="P21" s="5670">
        <f t="shared" si="5"/>
        <v>0</v>
      </c>
      <c r="Q21" s="5671">
        <f t="shared" si="3"/>
        <v>0</v>
      </c>
      <c r="R21" s="4820"/>
      <c r="S21" s="5209" t="s">
        <v>5742</v>
      </c>
      <c r="T21" s="5217"/>
      <c r="U21" s="4820"/>
      <c r="V21" s="4820"/>
      <c r="W21" s="5209" t="s">
        <v>4521</v>
      </c>
      <c r="X21" s="5219"/>
      <c r="Y21" s="4820"/>
      <c r="Z21" s="4820"/>
      <c r="AA21" s="5212" t="s">
        <v>5035</v>
      </c>
      <c r="AB21" s="4820"/>
      <c r="AC21" s="5212" t="s">
        <v>5050</v>
      </c>
      <c r="AD21" s="4820"/>
      <c r="AE21" s="5220"/>
      <c r="AF21" s="5214">
        <f t="shared" si="6"/>
        <v>0</v>
      </c>
    </row>
    <row r="22" spans="1:32" ht="33.75" customHeight="1" thickBot="1">
      <c r="A22" s="5674">
        <v>15</v>
      </c>
      <c r="B22" s="4816"/>
      <c r="C22" s="4816"/>
      <c r="D22" s="4817" t="str">
        <f t="shared" si="0"/>
        <v>1</v>
      </c>
      <c r="E22" s="4816"/>
      <c r="F22" s="4818">
        <f t="shared" si="1"/>
        <v>2</v>
      </c>
      <c r="G22" s="5146"/>
      <c r="H22" s="4817">
        <f t="shared" si="2"/>
        <v>0</v>
      </c>
      <c r="I22" s="4819"/>
      <c r="J22" s="4820"/>
      <c r="K22" s="4821"/>
      <c r="L22" s="4820"/>
      <c r="M22" s="4820"/>
      <c r="N22" s="4820"/>
      <c r="O22" s="4820"/>
      <c r="P22" s="5670">
        <f t="shared" si="5"/>
        <v>0</v>
      </c>
      <c r="Q22" s="5671">
        <f t="shared" si="3"/>
        <v>0</v>
      </c>
      <c r="R22" s="4820"/>
      <c r="S22" s="5209" t="s">
        <v>5739</v>
      </c>
      <c r="T22" s="5217"/>
      <c r="U22" s="4820"/>
      <c r="V22" s="4820"/>
      <c r="W22" s="5209" t="s">
        <v>4521</v>
      </c>
      <c r="X22" s="5219"/>
      <c r="Y22" s="4820"/>
      <c r="Z22" s="4820"/>
      <c r="AA22" s="5212" t="s">
        <v>5035</v>
      </c>
      <c r="AB22" s="4820"/>
      <c r="AC22" s="5212" t="s">
        <v>5050</v>
      </c>
      <c r="AD22" s="4820"/>
      <c r="AE22" s="5220"/>
      <c r="AF22" s="5214">
        <f t="shared" si="6"/>
        <v>0</v>
      </c>
    </row>
    <row r="23" spans="1:32" ht="33.75" customHeight="1" thickTop="1" thickBot="1">
      <c r="A23" s="5675"/>
      <c r="B23" s="5676"/>
      <c r="C23" s="5676"/>
      <c r="D23" s="5676"/>
      <c r="E23" s="5676"/>
      <c r="F23" s="5221"/>
      <c r="G23" s="5677"/>
      <c r="H23" s="5676"/>
      <c r="I23" s="5222" t="s">
        <v>2432</v>
      </c>
      <c r="J23" s="5223">
        <f>SUM(J8:J22)</f>
        <v>232</v>
      </c>
      <c r="K23" s="5224">
        <f>SUM(K8:K22)</f>
        <v>118</v>
      </c>
      <c r="L23" s="5221"/>
      <c r="M23" s="5221"/>
      <c r="N23" s="5221"/>
      <c r="O23" s="5221" t="s">
        <v>6511</v>
      </c>
      <c r="P23" s="5223">
        <f>SUM(P8:P22)</f>
        <v>1062</v>
      </c>
      <c r="Q23" s="5223">
        <f>SUM(Q8:Q22)*1.1</f>
        <v>18130200</v>
      </c>
      <c r="R23" s="6949"/>
      <c r="S23" s="6950"/>
      <c r="T23" s="6951"/>
      <c r="U23" s="5225"/>
      <c r="V23" s="6949"/>
      <c r="W23" s="6950"/>
      <c r="X23" s="6950"/>
      <c r="Y23" s="5225"/>
      <c r="Z23" s="5225"/>
      <c r="AA23" s="6952"/>
      <c r="AB23" s="6953"/>
      <c r="AC23" s="6952"/>
      <c r="AD23" s="6953"/>
      <c r="AE23" s="5226"/>
      <c r="AF23" s="5214">
        <f>SUM(AF8:AF22)</f>
        <v>190</v>
      </c>
    </row>
    <row r="24" spans="1:32" ht="33.75" customHeight="1" thickBot="1">
      <c r="C24" s="4812"/>
      <c r="D24" s="4812"/>
      <c r="E24" s="4812"/>
      <c r="F24" s="4812"/>
      <c r="G24" s="4812"/>
      <c r="H24" s="4812"/>
      <c r="I24" s="4813"/>
      <c r="J24" s="4814"/>
      <c r="K24" s="4812"/>
      <c r="L24" s="4713" t="s">
        <v>5748</v>
      </c>
      <c r="M24" s="4714">
        <f>SUM(N7:N22)</f>
        <v>1910000</v>
      </c>
      <c r="N24" s="5678"/>
      <c r="O24" s="5678"/>
      <c r="P24" s="5678"/>
      <c r="S24" s="5653"/>
      <c r="W24" s="5653"/>
    </row>
    <row r="25" spans="1:32" ht="33.75" customHeight="1">
      <c r="A25" s="6929" t="s">
        <v>5749</v>
      </c>
      <c r="B25" s="6998"/>
      <c r="C25" s="5227">
        <f>P23</f>
        <v>1062</v>
      </c>
      <c r="D25" s="5436"/>
      <c r="F25" s="5437"/>
      <c r="H25" s="5438"/>
      <c r="I25" s="5229"/>
      <c r="K25" s="5656"/>
      <c r="L25" s="4721" t="s">
        <v>5750</v>
      </c>
      <c r="M25" s="4722">
        <f>M24*1.1</f>
        <v>2101000</v>
      </c>
      <c r="P25" s="5653"/>
    </row>
    <row r="26" spans="1:32" ht="33.75" customHeight="1" thickBot="1">
      <c r="A26" s="7037" t="s">
        <v>5806</v>
      </c>
      <c r="B26" s="7038"/>
      <c r="C26" s="5231">
        <f>Q23</f>
        <v>18130200</v>
      </c>
      <c r="D26" s="5436"/>
      <c r="F26" s="5440"/>
      <c r="H26" s="5438"/>
      <c r="I26" s="5229"/>
      <c r="K26" s="5656"/>
      <c r="P26" s="5653"/>
    </row>
    <row r="27" spans="1:32" ht="32.15" customHeight="1">
      <c r="A27" s="5679"/>
      <c r="B27" s="5679"/>
      <c r="C27" s="5679"/>
      <c r="D27" s="5679"/>
      <c r="E27" s="5679"/>
      <c r="F27" s="5679"/>
      <c r="G27" s="5679"/>
      <c r="H27" s="5679"/>
      <c r="I27" s="5232"/>
    </row>
    <row r="28" spans="1:32" ht="33.75" customHeight="1" thickBot="1">
      <c r="A28" s="4737" t="s">
        <v>5807</v>
      </c>
      <c r="B28" s="4737"/>
      <c r="S28" s="5653"/>
      <c r="W28" s="5653"/>
      <c r="Z28" s="5653"/>
      <c r="AA28" s="5653"/>
      <c r="AB28" s="5653"/>
      <c r="AC28" s="5653"/>
      <c r="AD28" s="5653"/>
      <c r="AF28" s="5653" t="s">
        <v>6504</v>
      </c>
    </row>
    <row r="29" spans="1:32" s="5197" customFormat="1" ht="33.75" customHeight="1">
      <c r="A29" s="6944" t="s">
        <v>5713</v>
      </c>
      <c r="B29" s="7000" t="s">
        <v>5714</v>
      </c>
      <c r="C29" s="6946" t="s">
        <v>5715</v>
      </c>
      <c r="D29" s="6946" t="s">
        <v>5716</v>
      </c>
      <c r="E29" s="6946" t="s">
        <v>5717</v>
      </c>
      <c r="F29" s="6956" t="s">
        <v>5718</v>
      </c>
      <c r="G29" s="6946" t="s">
        <v>5719</v>
      </c>
      <c r="H29" s="6946" t="s">
        <v>5720</v>
      </c>
      <c r="I29" s="6958" t="s">
        <v>5721</v>
      </c>
      <c r="J29" s="6939" t="s">
        <v>5722</v>
      </c>
      <c r="K29" s="6939" t="s">
        <v>5723</v>
      </c>
      <c r="L29" s="6946" t="s">
        <v>6219</v>
      </c>
      <c r="M29" s="6946" t="s">
        <v>6220</v>
      </c>
      <c r="N29" s="4967" t="s">
        <v>5726</v>
      </c>
      <c r="O29" s="6946" t="s">
        <v>6221</v>
      </c>
      <c r="P29" s="6939" t="s">
        <v>3766</v>
      </c>
      <c r="Q29" s="6954"/>
      <c r="R29" s="6956" t="s">
        <v>5728</v>
      </c>
      <c r="S29" s="6960"/>
      <c r="T29" s="6961"/>
      <c r="U29" s="6946" t="s">
        <v>6505</v>
      </c>
      <c r="V29" s="6960" t="s">
        <v>5730</v>
      </c>
      <c r="W29" s="6960"/>
      <c r="X29" s="6960"/>
      <c r="Y29" s="6956" t="s">
        <v>5731</v>
      </c>
      <c r="Z29" s="6939" t="s">
        <v>5732</v>
      </c>
      <c r="AA29" s="6939" t="s">
        <v>5733</v>
      </c>
      <c r="AB29" s="6954"/>
      <c r="AC29" s="6954"/>
      <c r="AD29" s="6954"/>
      <c r="AE29" s="6941" t="s">
        <v>2792</v>
      </c>
      <c r="AF29" s="6943" t="s">
        <v>5734</v>
      </c>
    </row>
    <row r="30" spans="1:32" s="5197" customFormat="1" ht="20">
      <c r="A30" s="6945"/>
      <c r="B30" s="7001"/>
      <c r="C30" s="6947"/>
      <c r="D30" s="6948"/>
      <c r="E30" s="6948"/>
      <c r="F30" s="6957"/>
      <c r="G30" s="6948"/>
      <c r="H30" s="6948"/>
      <c r="I30" s="6947"/>
      <c r="J30" s="6959"/>
      <c r="K30" s="6959"/>
      <c r="L30" s="6948"/>
      <c r="M30" s="6948"/>
      <c r="N30" s="4968"/>
      <c r="O30" s="6948"/>
      <c r="P30" s="5199" t="s">
        <v>5735</v>
      </c>
      <c r="Q30" s="5200" t="s">
        <v>5736</v>
      </c>
      <c r="R30" s="6962"/>
      <c r="S30" s="6963"/>
      <c r="T30" s="6964"/>
      <c r="U30" s="6948"/>
      <c r="V30" s="6963"/>
      <c r="W30" s="6963"/>
      <c r="X30" s="6963"/>
      <c r="Y30" s="6940"/>
      <c r="Z30" s="6940"/>
      <c r="AA30" s="6940"/>
      <c r="AB30" s="6955"/>
      <c r="AC30" s="6955"/>
      <c r="AD30" s="6955"/>
      <c r="AE30" s="6942"/>
      <c r="AF30" s="6943"/>
    </row>
    <row r="31" spans="1:32" ht="33.75" customHeight="1">
      <c r="A31" s="5662" t="s">
        <v>5737</v>
      </c>
      <c r="B31" s="5680">
        <v>46305</v>
      </c>
      <c r="C31" s="5681">
        <v>46307</v>
      </c>
      <c r="D31" s="4817">
        <f>IF(_xlfn.DAYS(C31,B31)=0,"1",_xlfn.DAYS(C31,B31))</f>
        <v>2</v>
      </c>
      <c r="E31" s="5681">
        <v>46319</v>
      </c>
      <c r="F31" s="4817">
        <f>IF(_xlfn.DAYS(E31,C31)=0,"1",_xlfn.DAYS(E31,C31))+1</f>
        <v>13</v>
      </c>
      <c r="G31" s="5681">
        <v>46321</v>
      </c>
      <c r="H31" s="4817">
        <f>IF(_xlfn.DAYS(G31,E31)=0,"1",_xlfn.DAYS(G31,E31))-1</f>
        <v>1</v>
      </c>
      <c r="I31" s="5666" t="s">
        <v>5738</v>
      </c>
      <c r="J31" s="5669">
        <v>100</v>
      </c>
      <c r="K31" s="5668">
        <v>90</v>
      </c>
      <c r="L31" s="5669">
        <v>9000</v>
      </c>
      <c r="M31" s="5669">
        <v>10000</v>
      </c>
      <c r="N31" s="4971"/>
      <c r="O31" s="5669">
        <v>8000</v>
      </c>
      <c r="P31" s="5670">
        <f>SUM(D31,F31,H31)*K31</f>
        <v>1440</v>
      </c>
      <c r="Q31" s="5669">
        <f>(D31*L31+F31*M31+H31*O31)*K31</f>
        <v>14040000</v>
      </c>
      <c r="R31" s="5673">
        <v>21</v>
      </c>
      <c r="S31" s="5209" t="s">
        <v>5739</v>
      </c>
      <c r="T31" s="5673">
        <v>21</v>
      </c>
      <c r="U31" s="5682">
        <v>1</v>
      </c>
      <c r="V31" s="5667">
        <v>154</v>
      </c>
      <c r="W31" s="5209" t="s">
        <v>4521</v>
      </c>
      <c r="X31" s="5673">
        <v>203</v>
      </c>
      <c r="Y31" s="5667">
        <v>1</v>
      </c>
      <c r="Z31" s="5667" t="s">
        <v>5740</v>
      </c>
      <c r="AA31" s="5212" t="s">
        <v>5035</v>
      </c>
      <c r="AB31" s="5667" t="s">
        <v>2830</v>
      </c>
      <c r="AC31" s="5212" t="s">
        <v>5050</v>
      </c>
      <c r="AD31" s="5667" t="s">
        <v>5741</v>
      </c>
      <c r="AE31" s="5213"/>
      <c r="AF31" s="5214">
        <f>U31*K31</f>
        <v>90</v>
      </c>
    </row>
    <row r="32" spans="1:32" ht="33.75" customHeight="1">
      <c r="A32" s="5683">
        <v>1</v>
      </c>
      <c r="B32" s="5494"/>
      <c r="C32" s="4926"/>
      <c r="D32" s="4817" t="str">
        <f t="shared" ref="D32:D46" si="7">IF(_xlfn.DAYS(C32,B32)=0,"1",_xlfn.DAYS(C32,B32))</f>
        <v>1</v>
      </c>
      <c r="E32" s="4926"/>
      <c r="F32" s="4817">
        <f t="shared" ref="F32:F46" si="8">IF(_xlfn.DAYS(E32,C32)=0,"1",_xlfn.DAYS(E32,C32))+1</f>
        <v>2</v>
      </c>
      <c r="G32" s="5146"/>
      <c r="H32" s="4817">
        <f t="shared" ref="H32:H46" si="9">IF(_xlfn.DAYS(G32,E32)=0,"1",_xlfn.DAYS(G32,E32))-1</f>
        <v>0</v>
      </c>
      <c r="I32" s="4972"/>
      <c r="J32" s="5097"/>
      <c r="K32" s="5246"/>
      <c r="L32" s="5097"/>
      <c r="M32" s="5097"/>
      <c r="N32" s="4971">
        <f>M32*K32</f>
        <v>0</v>
      </c>
      <c r="O32" s="5097"/>
      <c r="P32" s="5670">
        <f t="shared" ref="P32:P45" si="10">SUM(D32,F32,H32)*K32</f>
        <v>0</v>
      </c>
      <c r="Q32" s="5669">
        <f t="shared" ref="Q32:Q46" si="11">(D32*L32+F32*M32+H32*O32)*K32</f>
        <v>0</v>
      </c>
      <c r="R32" s="5249"/>
      <c r="S32" s="5241" t="s">
        <v>5742</v>
      </c>
      <c r="T32" s="5249"/>
      <c r="U32" s="5250"/>
      <c r="V32" s="5097"/>
      <c r="W32" s="5241" t="s">
        <v>4521</v>
      </c>
      <c r="X32" s="5249"/>
      <c r="Y32" s="5097"/>
      <c r="Z32" s="5097"/>
      <c r="AA32" s="5243" t="s">
        <v>5035</v>
      </c>
      <c r="AB32" s="5097"/>
      <c r="AC32" s="5243" t="s">
        <v>5050</v>
      </c>
      <c r="AD32" s="5097"/>
      <c r="AE32" s="5251"/>
      <c r="AF32" s="5214">
        <f t="shared" ref="AF32:AF46" si="12">U32*K32</f>
        <v>0</v>
      </c>
    </row>
    <row r="33" spans="1:32" ht="33.75" customHeight="1">
      <c r="A33" s="5683">
        <v>2</v>
      </c>
      <c r="B33" s="5494"/>
      <c r="C33" s="4926"/>
      <c r="D33" s="4817" t="str">
        <f t="shared" si="7"/>
        <v>1</v>
      </c>
      <c r="E33" s="4926"/>
      <c r="F33" s="4817">
        <f>IF(_xlfn.DAYS(E33,C33)=0,"1",_xlfn.DAYS(E33,C33))+1</f>
        <v>2</v>
      </c>
      <c r="G33" s="5146"/>
      <c r="H33" s="4817">
        <f t="shared" si="9"/>
        <v>0</v>
      </c>
      <c r="I33" s="4972"/>
      <c r="J33" s="5097"/>
      <c r="K33" s="5246"/>
      <c r="L33" s="5097"/>
      <c r="M33" s="5097"/>
      <c r="N33" s="4971">
        <f t="shared" ref="N33:N43" si="13">M33*K33</f>
        <v>0</v>
      </c>
      <c r="O33" s="5097"/>
      <c r="P33" s="5670">
        <f t="shared" si="10"/>
        <v>0</v>
      </c>
      <c r="Q33" s="5669">
        <f t="shared" si="11"/>
        <v>0</v>
      </c>
      <c r="R33" s="5249"/>
      <c r="S33" s="5241" t="s">
        <v>5742</v>
      </c>
      <c r="T33" s="5249"/>
      <c r="U33" s="5250"/>
      <c r="V33" s="5097"/>
      <c r="W33" s="5241" t="s">
        <v>4521</v>
      </c>
      <c r="X33" s="5249"/>
      <c r="Y33" s="5097"/>
      <c r="Z33" s="5097"/>
      <c r="AA33" s="5243" t="s">
        <v>5035</v>
      </c>
      <c r="AB33" s="5097"/>
      <c r="AC33" s="5243" t="s">
        <v>5050</v>
      </c>
      <c r="AD33" s="5097"/>
      <c r="AE33" s="5251"/>
      <c r="AF33" s="5214">
        <f t="shared" si="12"/>
        <v>0</v>
      </c>
    </row>
    <row r="34" spans="1:32" ht="33.75" customHeight="1">
      <c r="A34" s="5683">
        <v>3</v>
      </c>
      <c r="B34" s="5494"/>
      <c r="C34" s="4926"/>
      <c r="D34" s="4817" t="str">
        <f t="shared" si="7"/>
        <v>1</v>
      </c>
      <c r="E34" s="4926"/>
      <c r="F34" s="4817">
        <f>IF(_xlfn.DAYS(E34,C34)=0,"1",_xlfn.DAYS(E34,C34))+1</f>
        <v>2</v>
      </c>
      <c r="G34" s="5146"/>
      <c r="H34" s="4817">
        <f t="shared" si="9"/>
        <v>0</v>
      </c>
      <c r="I34" s="4972"/>
      <c r="J34" s="5097"/>
      <c r="K34" s="5246"/>
      <c r="L34" s="5097"/>
      <c r="M34" s="5097"/>
      <c r="N34" s="4971">
        <f t="shared" si="13"/>
        <v>0</v>
      </c>
      <c r="O34" s="5097"/>
      <c r="P34" s="5670">
        <f t="shared" si="10"/>
        <v>0</v>
      </c>
      <c r="Q34" s="5669">
        <f t="shared" si="11"/>
        <v>0</v>
      </c>
      <c r="R34" s="5249"/>
      <c r="S34" s="5241" t="s">
        <v>5742</v>
      </c>
      <c r="T34" s="5249"/>
      <c r="U34" s="5250"/>
      <c r="V34" s="5097"/>
      <c r="W34" s="5241" t="s">
        <v>4521</v>
      </c>
      <c r="X34" s="5249"/>
      <c r="Y34" s="5097"/>
      <c r="Z34" s="5097"/>
      <c r="AA34" s="5243" t="s">
        <v>5035</v>
      </c>
      <c r="AB34" s="5097"/>
      <c r="AC34" s="5243" t="s">
        <v>5050</v>
      </c>
      <c r="AD34" s="5097"/>
      <c r="AE34" s="5251"/>
      <c r="AF34" s="5214">
        <f t="shared" si="12"/>
        <v>0</v>
      </c>
    </row>
    <row r="35" spans="1:32" ht="33.75" customHeight="1">
      <c r="A35" s="5683">
        <v>4</v>
      </c>
      <c r="B35" s="5494"/>
      <c r="C35" s="4926"/>
      <c r="D35" s="4817" t="str">
        <f t="shared" si="7"/>
        <v>1</v>
      </c>
      <c r="E35" s="4926"/>
      <c r="F35" s="4817">
        <f>IF(_xlfn.DAYS(E35,C35)=0,"1",_xlfn.DAYS(E35,C35))+1</f>
        <v>2</v>
      </c>
      <c r="G35" s="5146"/>
      <c r="H35" s="4817">
        <f t="shared" si="9"/>
        <v>0</v>
      </c>
      <c r="I35" s="4972"/>
      <c r="J35" s="5097"/>
      <c r="K35" s="5246"/>
      <c r="L35" s="5097"/>
      <c r="M35" s="5097"/>
      <c r="N35" s="4971">
        <f t="shared" si="13"/>
        <v>0</v>
      </c>
      <c r="O35" s="5097"/>
      <c r="P35" s="5670">
        <f t="shared" si="10"/>
        <v>0</v>
      </c>
      <c r="Q35" s="5669">
        <f t="shared" si="11"/>
        <v>0</v>
      </c>
      <c r="R35" s="5249"/>
      <c r="S35" s="5241" t="s">
        <v>5742</v>
      </c>
      <c r="T35" s="5249"/>
      <c r="U35" s="5250"/>
      <c r="V35" s="5097"/>
      <c r="W35" s="5241" t="s">
        <v>4521</v>
      </c>
      <c r="X35" s="5249"/>
      <c r="Y35" s="5097"/>
      <c r="Z35" s="5097"/>
      <c r="AA35" s="5243" t="s">
        <v>5035</v>
      </c>
      <c r="AB35" s="5097"/>
      <c r="AC35" s="5243" t="s">
        <v>5050</v>
      </c>
      <c r="AD35" s="5097"/>
      <c r="AE35" s="5251"/>
      <c r="AF35" s="5214">
        <f t="shared" si="12"/>
        <v>0</v>
      </c>
    </row>
    <row r="36" spans="1:32" ht="33.75" customHeight="1">
      <c r="A36" s="5683">
        <v>5</v>
      </c>
      <c r="B36" s="5494"/>
      <c r="C36" s="4926"/>
      <c r="D36" s="4817" t="str">
        <f t="shared" si="7"/>
        <v>1</v>
      </c>
      <c r="E36" s="4926"/>
      <c r="F36" s="4817">
        <f>IF(_xlfn.DAYS(E36,C36)=0,"1",_xlfn.DAYS(E36,C36))+1</f>
        <v>2</v>
      </c>
      <c r="G36" s="5146"/>
      <c r="H36" s="4817">
        <f t="shared" si="9"/>
        <v>0</v>
      </c>
      <c r="I36" s="4972"/>
      <c r="J36" s="5097"/>
      <c r="K36" s="5246"/>
      <c r="L36" s="5097"/>
      <c r="M36" s="5097"/>
      <c r="N36" s="4971">
        <f t="shared" si="13"/>
        <v>0</v>
      </c>
      <c r="O36" s="5097"/>
      <c r="P36" s="5670">
        <f t="shared" si="10"/>
        <v>0</v>
      </c>
      <c r="Q36" s="5669">
        <f t="shared" si="11"/>
        <v>0</v>
      </c>
      <c r="R36" s="5249"/>
      <c r="S36" s="5241" t="s">
        <v>5742</v>
      </c>
      <c r="T36" s="5249"/>
      <c r="U36" s="5250"/>
      <c r="V36" s="5097"/>
      <c r="W36" s="5241" t="s">
        <v>4521</v>
      </c>
      <c r="X36" s="5249"/>
      <c r="Y36" s="5097"/>
      <c r="Z36" s="5097"/>
      <c r="AA36" s="5243" t="s">
        <v>5035</v>
      </c>
      <c r="AB36" s="5097"/>
      <c r="AC36" s="5243" t="s">
        <v>5050</v>
      </c>
      <c r="AD36" s="5097"/>
      <c r="AE36" s="5251"/>
      <c r="AF36" s="5214">
        <f t="shared" si="12"/>
        <v>0</v>
      </c>
    </row>
    <row r="37" spans="1:32" ht="33.75" customHeight="1">
      <c r="A37" s="5683">
        <v>6</v>
      </c>
      <c r="B37" s="5494"/>
      <c r="C37" s="4926"/>
      <c r="D37" s="4817" t="str">
        <f t="shared" si="7"/>
        <v>1</v>
      </c>
      <c r="E37" s="4926"/>
      <c r="F37" s="4817">
        <f>IF(_xlfn.DAYS(E37,C37)=0,"1",_xlfn.DAYS(E37,C37))+1</f>
        <v>2</v>
      </c>
      <c r="G37" s="5146"/>
      <c r="H37" s="4817">
        <f t="shared" si="9"/>
        <v>0</v>
      </c>
      <c r="I37" s="4972"/>
      <c r="J37" s="5097"/>
      <c r="K37" s="5246"/>
      <c r="L37" s="5097"/>
      <c r="M37" s="5097"/>
      <c r="N37" s="4971">
        <f t="shared" si="13"/>
        <v>0</v>
      </c>
      <c r="O37" s="5097"/>
      <c r="P37" s="5670">
        <f t="shared" si="10"/>
        <v>0</v>
      </c>
      <c r="Q37" s="5669">
        <f t="shared" si="11"/>
        <v>0</v>
      </c>
      <c r="R37" s="5249"/>
      <c r="S37" s="5241" t="s">
        <v>5742</v>
      </c>
      <c r="T37" s="5249"/>
      <c r="U37" s="5250"/>
      <c r="V37" s="5097"/>
      <c r="W37" s="5241" t="s">
        <v>4521</v>
      </c>
      <c r="X37" s="5249"/>
      <c r="Y37" s="5097"/>
      <c r="Z37" s="5097"/>
      <c r="AA37" s="5243" t="s">
        <v>5035</v>
      </c>
      <c r="AB37" s="5097"/>
      <c r="AC37" s="5243" t="s">
        <v>5050</v>
      </c>
      <c r="AD37" s="5097"/>
      <c r="AE37" s="5251"/>
      <c r="AF37" s="5214">
        <f t="shared" si="12"/>
        <v>0</v>
      </c>
    </row>
    <row r="38" spans="1:32" ht="33.75" customHeight="1">
      <c r="A38" s="5683">
        <v>7</v>
      </c>
      <c r="B38" s="5494"/>
      <c r="C38" s="4926"/>
      <c r="D38" s="4817" t="str">
        <f t="shared" si="7"/>
        <v>1</v>
      </c>
      <c r="E38" s="4926"/>
      <c r="F38" s="4817">
        <f t="shared" si="8"/>
        <v>2</v>
      </c>
      <c r="G38" s="5146"/>
      <c r="H38" s="4817">
        <f t="shared" si="9"/>
        <v>0</v>
      </c>
      <c r="I38" s="4972"/>
      <c r="J38" s="5097"/>
      <c r="K38" s="5246"/>
      <c r="L38" s="5097"/>
      <c r="M38" s="5097"/>
      <c r="N38" s="4971">
        <f>M38*K38</f>
        <v>0</v>
      </c>
      <c r="O38" s="5097"/>
      <c r="P38" s="5670">
        <f t="shared" si="10"/>
        <v>0</v>
      </c>
      <c r="Q38" s="5669">
        <f t="shared" si="11"/>
        <v>0</v>
      </c>
      <c r="R38" s="5249"/>
      <c r="S38" s="5241" t="s">
        <v>5742</v>
      </c>
      <c r="T38" s="5249"/>
      <c r="U38" s="5250"/>
      <c r="V38" s="5097"/>
      <c r="W38" s="5241" t="s">
        <v>4521</v>
      </c>
      <c r="X38" s="5249"/>
      <c r="Y38" s="5097"/>
      <c r="Z38" s="5097"/>
      <c r="AA38" s="5243" t="s">
        <v>5035</v>
      </c>
      <c r="AB38" s="5097"/>
      <c r="AC38" s="5243" t="s">
        <v>5050</v>
      </c>
      <c r="AD38" s="5097"/>
      <c r="AE38" s="5251"/>
      <c r="AF38" s="5214">
        <f t="shared" si="12"/>
        <v>0</v>
      </c>
    </row>
    <row r="39" spans="1:32" ht="33.75" customHeight="1">
      <c r="A39" s="5683">
        <v>8</v>
      </c>
      <c r="B39" s="5494"/>
      <c r="C39" s="4926"/>
      <c r="D39" s="4817" t="str">
        <f t="shared" si="7"/>
        <v>1</v>
      </c>
      <c r="E39" s="4926"/>
      <c r="F39" s="4817">
        <f t="shared" si="8"/>
        <v>2</v>
      </c>
      <c r="G39" s="5146"/>
      <c r="H39" s="4817">
        <f t="shared" si="9"/>
        <v>0</v>
      </c>
      <c r="I39" s="4972"/>
      <c r="J39" s="5097"/>
      <c r="K39" s="5246"/>
      <c r="L39" s="5097"/>
      <c r="M39" s="5097"/>
      <c r="N39" s="4971">
        <f t="shared" si="13"/>
        <v>0</v>
      </c>
      <c r="O39" s="5097"/>
      <c r="P39" s="5670">
        <f t="shared" si="10"/>
        <v>0</v>
      </c>
      <c r="Q39" s="5669">
        <f t="shared" si="11"/>
        <v>0</v>
      </c>
      <c r="R39" s="5249"/>
      <c r="S39" s="5241" t="s">
        <v>5742</v>
      </c>
      <c r="T39" s="5249"/>
      <c r="U39" s="5250"/>
      <c r="V39" s="5097"/>
      <c r="W39" s="5241" t="s">
        <v>4521</v>
      </c>
      <c r="X39" s="5249"/>
      <c r="Y39" s="5097"/>
      <c r="Z39" s="5097"/>
      <c r="AA39" s="5243" t="s">
        <v>5035</v>
      </c>
      <c r="AB39" s="5097"/>
      <c r="AC39" s="5243" t="s">
        <v>5050</v>
      </c>
      <c r="AD39" s="5097"/>
      <c r="AE39" s="5251"/>
      <c r="AF39" s="5214">
        <f t="shared" si="12"/>
        <v>0</v>
      </c>
    </row>
    <row r="40" spans="1:32" ht="33.75" customHeight="1">
      <c r="A40" s="5683">
        <v>9</v>
      </c>
      <c r="B40" s="5494"/>
      <c r="C40" s="4926"/>
      <c r="D40" s="4817" t="str">
        <f t="shared" si="7"/>
        <v>1</v>
      </c>
      <c r="E40" s="4926"/>
      <c r="F40" s="4817">
        <f t="shared" si="8"/>
        <v>2</v>
      </c>
      <c r="G40" s="5146"/>
      <c r="H40" s="4817">
        <f t="shared" si="9"/>
        <v>0</v>
      </c>
      <c r="I40" s="4972"/>
      <c r="J40" s="5097"/>
      <c r="K40" s="5246"/>
      <c r="L40" s="5097"/>
      <c r="M40" s="5097"/>
      <c r="N40" s="4971">
        <f t="shared" si="13"/>
        <v>0</v>
      </c>
      <c r="O40" s="5097"/>
      <c r="P40" s="5670">
        <f t="shared" si="10"/>
        <v>0</v>
      </c>
      <c r="Q40" s="5669">
        <f t="shared" si="11"/>
        <v>0</v>
      </c>
      <c r="R40" s="5249"/>
      <c r="S40" s="5241" t="s">
        <v>5742</v>
      </c>
      <c r="T40" s="5249"/>
      <c r="U40" s="5250"/>
      <c r="V40" s="5097"/>
      <c r="W40" s="5241" t="s">
        <v>4521</v>
      </c>
      <c r="X40" s="5249"/>
      <c r="Y40" s="5097"/>
      <c r="Z40" s="5097"/>
      <c r="AA40" s="5243" t="s">
        <v>5035</v>
      </c>
      <c r="AB40" s="5097"/>
      <c r="AC40" s="5243" t="s">
        <v>5050</v>
      </c>
      <c r="AD40" s="5097"/>
      <c r="AE40" s="5251"/>
      <c r="AF40" s="5214">
        <f t="shared" si="12"/>
        <v>0</v>
      </c>
    </row>
    <row r="41" spans="1:32" ht="33.75" customHeight="1">
      <c r="A41" s="5683">
        <v>10</v>
      </c>
      <c r="B41" s="5494"/>
      <c r="C41" s="4926"/>
      <c r="D41" s="4817" t="str">
        <f t="shared" si="7"/>
        <v>1</v>
      </c>
      <c r="E41" s="4926"/>
      <c r="F41" s="4817">
        <f t="shared" si="8"/>
        <v>2</v>
      </c>
      <c r="G41" s="5146"/>
      <c r="H41" s="4817">
        <f t="shared" si="9"/>
        <v>0</v>
      </c>
      <c r="I41" s="4972"/>
      <c r="J41" s="5097"/>
      <c r="K41" s="5246"/>
      <c r="L41" s="5097"/>
      <c r="M41" s="5097"/>
      <c r="N41" s="4971">
        <f t="shared" si="13"/>
        <v>0</v>
      </c>
      <c r="O41" s="5097"/>
      <c r="P41" s="5670">
        <f t="shared" si="10"/>
        <v>0</v>
      </c>
      <c r="Q41" s="5669">
        <f t="shared" si="11"/>
        <v>0</v>
      </c>
      <c r="R41" s="5249"/>
      <c r="S41" s="5241" t="s">
        <v>5742</v>
      </c>
      <c r="T41" s="5249"/>
      <c r="U41" s="5250"/>
      <c r="V41" s="5097"/>
      <c r="W41" s="5241" t="s">
        <v>4521</v>
      </c>
      <c r="X41" s="5249"/>
      <c r="Y41" s="5097"/>
      <c r="Z41" s="5097"/>
      <c r="AA41" s="5243" t="s">
        <v>5035</v>
      </c>
      <c r="AB41" s="5097"/>
      <c r="AC41" s="5243" t="s">
        <v>5050</v>
      </c>
      <c r="AD41" s="5097"/>
      <c r="AE41" s="5251"/>
      <c r="AF41" s="5214">
        <f t="shared" si="12"/>
        <v>0</v>
      </c>
    </row>
    <row r="42" spans="1:32" ht="33.75" customHeight="1">
      <c r="A42" s="5683">
        <v>11</v>
      </c>
      <c r="B42" s="5494"/>
      <c r="C42" s="4926"/>
      <c r="D42" s="4817" t="str">
        <f t="shared" si="7"/>
        <v>1</v>
      </c>
      <c r="E42" s="4926"/>
      <c r="F42" s="4817">
        <f t="shared" si="8"/>
        <v>2</v>
      </c>
      <c r="G42" s="5146"/>
      <c r="H42" s="4817">
        <f t="shared" si="9"/>
        <v>0</v>
      </c>
      <c r="I42" s="4972"/>
      <c r="J42" s="5097"/>
      <c r="K42" s="5246"/>
      <c r="L42" s="5097"/>
      <c r="M42" s="5097"/>
      <c r="N42" s="4971">
        <f t="shared" si="13"/>
        <v>0</v>
      </c>
      <c r="O42" s="5097"/>
      <c r="P42" s="5670">
        <f t="shared" si="10"/>
        <v>0</v>
      </c>
      <c r="Q42" s="5669">
        <f t="shared" si="11"/>
        <v>0</v>
      </c>
      <c r="R42" s="5249"/>
      <c r="S42" s="5241" t="s">
        <v>5742</v>
      </c>
      <c r="T42" s="5249"/>
      <c r="U42" s="5250"/>
      <c r="V42" s="5097"/>
      <c r="W42" s="5241" t="s">
        <v>4521</v>
      </c>
      <c r="X42" s="5249"/>
      <c r="Y42" s="5097"/>
      <c r="Z42" s="5097"/>
      <c r="AA42" s="5243" t="s">
        <v>5035</v>
      </c>
      <c r="AB42" s="5097"/>
      <c r="AC42" s="5243" t="s">
        <v>5050</v>
      </c>
      <c r="AD42" s="5097"/>
      <c r="AE42" s="5251"/>
      <c r="AF42" s="5214">
        <f t="shared" si="12"/>
        <v>0</v>
      </c>
    </row>
    <row r="43" spans="1:32" ht="33.75" customHeight="1">
      <c r="A43" s="5683">
        <v>12</v>
      </c>
      <c r="B43" s="5494"/>
      <c r="C43" s="4926"/>
      <c r="D43" s="4817" t="str">
        <f t="shared" si="7"/>
        <v>1</v>
      </c>
      <c r="E43" s="4926"/>
      <c r="F43" s="4817">
        <f t="shared" si="8"/>
        <v>2</v>
      </c>
      <c r="G43" s="5146"/>
      <c r="H43" s="4817">
        <f t="shared" si="9"/>
        <v>0</v>
      </c>
      <c r="I43" s="4972"/>
      <c r="J43" s="5097"/>
      <c r="K43" s="5246"/>
      <c r="L43" s="5097"/>
      <c r="M43" s="5097"/>
      <c r="N43" s="4971">
        <f t="shared" si="13"/>
        <v>0</v>
      </c>
      <c r="O43" s="5097"/>
      <c r="P43" s="5670">
        <f t="shared" si="10"/>
        <v>0</v>
      </c>
      <c r="Q43" s="5669">
        <f t="shared" si="11"/>
        <v>0</v>
      </c>
      <c r="R43" s="5249"/>
      <c r="S43" s="5241" t="s">
        <v>5742</v>
      </c>
      <c r="T43" s="5249"/>
      <c r="U43" s="5250"/>
      <c r="V43" s="5097"/>
      <c r="W43" s="5241" t="s">
        <v>4521</v>
      </c>
      <c r="X43" s="5249"/>
      <c r="Y43" s="5097"/>
      <c r="Z43" s="5097"/>
      <c r="AA43" s="5243" t="s">
        <v>5035</v>
      </c>
      <c r="AB43" s="5097"/>
      <c r="AC43" s="5243" t="s">
        <v>5050</v>
      </c>
      <c r="AD43" s="5097"/>
      <c r="AE43" s="5251"/>
      <c r="AF43" s="5214">
        <f t="shared" si="12"/>
        <v>0</v>
      </c>
    </row>
    <row r="44" spans="1:32" ht="33.75" customHeight="1">
      <c r="A44" s="5683">
        <v>13</v>
      </c>
      <c r="B44" s="5494"/>
      <c r="C44" s="4926"/>
      <c r="D44" s="4817" t="str">
        <f t="shared" si="7"/>
        <v>1</v>
      </c>
      <c r="E44" s="4926"/>
      <c r="F44" s="4817">
        <f t="shared" si="8"/>
        <v>2</v>
      </c>
      <c r="G44" s="5146"/>
      <c r="H44" s="4817">
        <f t="shared" si="9"/>
        <v>0</v>
      </c>
      <c r="I44" s="4972"/>
      <c r="J44" s="5097"/>
      <c r="K44" s="5246"/>
      <c r="L44" s="5097"/>
      <c r="M44" s="5097"/>
      <c r="N44" s="5097"/>
      <c r="O44" s="5097"/>
      <c r="P44" s="5670">
        <f t="shared" si="10"/>
        <v>0</v>
      </c>
      <c r="Q44" s="5669">
        <f t="shared" si="11"/>
        <v>0</v>
      </c>
      <c r="R44" s="5249"/>
      <c r="S44" s="5241" t="s">
        <v>5742</v>
      </c>
      <c r="T44" s="5249"/>
      <c r="U44" s="5250"/>
      <c r="V44" s="5097"/>
      <c r="W44" s="5241" t="s">
        <v>4521</v>
      </c>
      <c r="X44" s="5249"/>
      <c r="Y44" s="5097"/>
      <c r="Z44" s="5097"/>
      <c r="AA44" s="5243" t="s">
        <v>5035</v>
      </c>
      <c r="AB44" s="5097"/>
      <c r="AC44" s="5243" t="s">
        <v>5050</v>
      </c>
      <c r="AD44" s="5097"/>
      <c r="AE44" s="5251"/>
      <c r="AF44" s="5214">
        <f t="shared" si="12"/>
        <v>0</v>
      </c>
    </row>
    <row r="45" spans="1:32" ht="33.75" customHeight="1">
      <c r="A45" s="5683">
        <v>14</v>
      </c>
      <c r="B45" s="5494"/>
      <c r="C45" s="4926"/>
      <c r="D45" s="4817" t="str">
        <f t="shared" si="7"/>
        <v>1</v>
      </c>
      <c r="E45" s="4926"/>
      <c r="F45" s="4817">
        <f t="shared" si="8"/>
        <v>2</v>
      </c>
      <c r="G45" s="5146"/>
      <c r="H45" s="4817">
        <f t="shared" si="9"/>
        <v>0</v>
      </c>
      <c r="I45" s="4972"/>
      <c r="J45" s="5097"/>
      <c r="K45" s="5246"/>
      <c r="L45" s="5097"/>
      <c r="M45" s="5097"/>
      <c r="N45" s="5097"/>
      <c r="O45" s="5097"/>
      <c r="P45" s="5670">
        <f t="shared" si="10"/>
        <v>0</v>
      </c>
      <c r="Q45" s="5669">
        <f t="shared" si="11"/>
        <v>0</v>
      </c>
      <c r="R45" s="5249"/>
      <c r="S45" s="5241" t="s">
        <v>5742</v>
      </c>
      <c r="T45" s="5249"/>
      <c r="U45" s="5250"/>
      <c r="V45" s="5097"/>
      <c r="W45" s="5241" t="s">
        <v>4521</v>
      </c>
      <c r="X45" s="5249"/>
      <c r="Y45" s="5097"/>
      <c r="Z45" s="5097"/>
      <c r="AA45" s="5243" t="s">
        <v>5035</v>
      </c>
      <c r="AB45" s="5097"/>
      <c r="AC45" s="5243" t="s">
        <v>5050</v>
      </c>
      <c r="AD45" s="5097"/>
      <c r="AE45" s="5251"/>
      <c r="AF45" s="5214">
        <f t="shared" si="12"/>
        <v>0</v>
      </c>
    </row>
    <row r="46" spans="1:32" ht="33.75" customHeight="1" thickBot="1">
      <c r="A46" s="5683">
        <v>15</v>
      </c>
      <c r="B46" s="5494"/>
      <c r="C46" s="4926"/>
      <c r="D46" s="4817" t="str">
        <f t="shared" si="7"/>
        <v>1</v>
      </c>
      <c r="E46" s="4926"/>
      <c r="F46" s="4817">
        <f t="shared" si="8"/>
        <v>2</v>
      </c>
      <c r="G46" s="5146"/>
      <c r="H46" s="4817">
        <f t="shared" si="9"/>
        <v>0</v>
      </c>
      <c r="I46" s="4972"/>
      <c r="J46" s="5097"/>
      <c r="K46" s="5246"/>
      <c r="L46" s="5097"/>
      <c r="M46" s="5097"/>
      <c r="N46" s="5097"/>
      <c r="O46" s="5097"/>
      <c r="P46" s="5670">
        <f>SUM(D46,F46,H46)*K46</f>
        <v>0</v>
      </c>
      <c r="Q46" s="5669">
        <f t="shared" si="11"/>
        <v>0</v>
      </c>
      <c r="R46" s="5249"/>
      <c r="S46" s="5241" t="s">
        <v>5739</v>
      </c>
      <c r="T46" s="5249"/>
      <c r="U46" s="5250"/>
      <c r="V46" s="5097"/>
      <c r="W46" s="5241" t="s">
        <v>4521</v>
      </c>
      <c r="X46" s="5249"/>
      <c r="Y46" s="5097"/>
      <c r="Z46" s="5097"/>
      <c r="AA46" s="5243" t="s">
        <v>5035</v>
      </c>
      <c r="AB46" s="5097"/>
      <c r="AC46" s="5243" t="s">
        <v>5050</v>
      </c>
      <c r="AD46" s="5097"/>
      <c r="AE46" s="5251"/>
      <c r="AF46" s="5214">
        <f t="shared" si="12"/>
        <v>0</v>
      </c>
    </row>
    <row r="47" spans="1:32" ht="33.75" customHeight="1" thickTop="1" thickBot="1">
      <c r="A47" s="5684"/>
      <c r="B47" s="5685"/>
      <c r="C47" s="5685"/>
      <c r="D47" s="5685"/>
      <c r="E47" s="5685"/>
      <c r="F47" s="5686"/>
      <c r="G47" s="5255"/>
      <c r="H47" s="5685"/>
      <c r="I47" s="5252" t="s">
        <v>2432</v>
      </c>
      <c r="J47" s="5253">
        <f>SUM(J32:J46)</f>
        <v>0</v>
      </c>
      <c r="K47" s="5254">
        <f>SUM(K32:K46)</f>
        <v>0</v>
      </c>
      <c r="L47" s="5255"/>
      <c r="M47" s="5255"/>
      <c r="N47" s="5255"/>
      <c r="O47" s="5255"/>
      <c r="P47" s="5253">
        <f>SUM(P32:P46)</f>
        <v>0</v>
      </c>
      <c r="Q47" s="5253">
        <f>SUM(Q32:Q46)</f>
        <v>0</v>
      </c>
      <c r="R47" s="6935"/>
      <c r="S47" s="6935"/>
      <c r="T47" s="6935"/>
      <c r="U47" s="5256"/>
      <c r="V47" s="6936"/>
      <c r="W47" s="6935"/>
      <c r="X47" s="6935"/>
      <c r="Y47" s="5256"/>
      <c r="Z47" s="5256"/>
      <c r="AA47" s="6937"/>
      <c r="AB47" s="6938"/>
      <c r="AC47" s="6937"/>
      <c r="AD47" s="6938"/>
      <c r="AE47" s="5257"/>
      <c r="AF47" s="5214"/>
    </row>
    <row r="48" spans="1:32" ht="32.15" customHeight="1" thickBot="1">
      <c r="C48" s="4812"/>
      <c r="D48" s="4812"/>
      <c r="E48" s="4812"/>
      <c r="F48" s="4812"/>
      <c r="G48" s="4812"/>
      <c r="H48" s="4812"/>
      <c r="I48" s="4813"/>
      <c r="J48" s="4814"/>
      <c r="K48" s="4812"/>
      <c r="L48" s="5678"/>
      <c r="M48" s="5678"/>
      <c r="N48" s="5678"/>
      <c r="O48" s="5678"/>
      <c r="P48" s="5678"/>
      <c r="S48" s="5653"/>
      <c r="W48" s="5653"/>
      <c r="AF48" s="5258"/>
    </row>
    <row r="49" spans="1:32" ht="33.75" customHeight="1">
      <c r="A49" s="6929" t="s">
        <v>5749</v>
      </c>
      <c r="B49" s="6998"/>
      <c r="C49" s="5227">
        <f>P47</f>
        <v>0</v>
      </c>
      <c r="D49" s="5436"/>
      <c r="F49" s="5437"/>
      <c r="G49" s="5687"/>
      <c r="H49" s="5438"/>
      <c r="I49" s="5229"/>
      <c r="P49" s="5653"/>
      <c r="AF49" s="5260"/>
    </row>
    <row r="50" spans="1:32" ht="33.75" customHeight="1" thickBot="1">
      <c r="A50" s="7037" t="s">
        <v>5805</v>
      </c>
      <c r="B50" s="7038"/>
      <c r="C50" s="5688">
        <f>Q47</f>
        <v>0</v>
      </c>
      <c r="D50" s="5436"/>
      <c r="F50" s="5440"/>
      <c r="G50" s="5689"/>
      <c r="H50" s="5438"/>
      <c r="I50" s="5229"/>
      <c r="P50" s="5653"/>
      <c r="AF50" s="5260"/>
    </row>
    <row r="51" spans="1:32" ht="33.75" customHeight="1">
      <c r="A51" s="5690"/>
      <c r="B51" s="5690"/>
      <c r="C51" s="5690"/>
      <c r="D51" s="5690"/>
      <c r="E51" s="5690"/>
      <c r="F51" s="5690"/>
      <c r="G51" s="5679"/>
      <c r="H51" s="5690"/>
      <c r="I51" s="5229"/>
      <c r="P51" s="5653"/>
    </row>
    <row r="52" spans="1:32" ht="33.75" customHeight="1">
      <c r="A52" s="5262" t="s">
        <v>5752</v>
      </c>
      <c r="B52" s="5262"/>
      <c r="C52" s="5690"/>
      <c r="D52" s="5690"/>
      <c r="E52" s="5690"/>
      <c r="F52" s="5690"/>
      <c r="G52" s="5679"/>
      <c r="H52" s="5690"/>
      <c r="I52" s="5229"/>
      <c r="P52" s="5653"/>
    </row>
    <row r="53" spans="1:32" ht="36" customHeight="1">
      <c r="A53" s="5262" t="s">
        <v>6512</v>
      </c>
      <c r="B53" s="5262"/>
    </row>
    <row r="54" spans="1:32" ht="36" customHeight="1">
      <c r="A54" s="4810" t="s">
        <v>5754</v>
      </c>
      <c r="B54" s="4810"/>
    </row>
    <row r="55" spans="1:32" ht="36" customHeight="1">
      <c r="A55" s="5262"/>
      <c r="B55" s="5262"/>
    </row>
    <row r="56" spans="1:32" ht="36" customHeight="1"/>
    <row r="57" spans="1:32" ht="36" customHeight="1"/>
    <row r="58" spans="1:32" ht="36" customHeight="1"/>
    <row r="59" spans="1:32" ht="36" customHeight="1"/>
    <row r="60" spans="1:32" ht="36" customHeight="1"/>
    <row r="61" spans="1:32" ht="36" customHeight="1"/>
    <row r="62" spans="1:32" ht="36" customHeight="1"/>
    <row r="63" spans="1:32" ht="10.15" customHeight="1"/>
  </sheetData>
  <mergeCells count="58">
    <mergeCell ref="A5:A6"/>
    <mergeCell ref="B5:B6"/>
    <mergeCell ref="C5:C6"/>
    <mergeCell ref="D5:D6"/>
    <mergeCell ref="E5:E6"/>
    <mergeCell ref="AF5:AF6"/>
    <mergeCell ref="R23:T23"/>
    <mergeCell ref="V23:X23"/>
    <mergeCell ref="AA23:AB23"/>
    <mergeCell ref="AC23:AD23"/>
    <mergeCell ref="R5:T6"/>
    <mergeCell ref="U5:U6"/>
    <mergeCell ref="V5:X6"/>
    <mergeCell ref="D29:D30"/>
    <mergeCell ref="Y5:Y6"/>
    <mergeCell ref="Z5:Z6"/>
    <mergeCell ref="AA5:AD6"/>
    <mergeCell ref="AE5:AE6"/>
    <mergeCell ref="M5:M6"/>
    <mergeCell ref="O5:O6"/>
    <mergeCell ref="P5:Q5"/>
    <mergeCell ref="G5:G6"/>
    <mergeCell ref="H5:H6"/>
    <mergeCell ref="I5:I6"/>
    <mergeCell ref="J5:J6"/>
    <mergeCell ref="K5:K6"/>
    <mergeCell ref="L5:L6"/>
    <mergeCell ref="F5:F6"/>
    <mergeCell ref="O29:O30"/>
    <mergeCell ref="A25:B25"/>
    <mergeCell ref="A26:B26"/>
    <mergeCell ref="A29:A30"/>
    <mergeCell ref="B29:B30"/>
    <mergeCell ref="C29:C30"/>
    <mergeCell ref="P29:Q29"/>
    <mergeCell ref="R29:T30"/>
    <mergeCell ref="E29:E30"/>
    <mergeCell ref="F29:F30"/>
    <mergeCell ref="G29:G30"/>
    <mergeCell ref="H29:H30"/>
    <mergeCell ref="I29:I30"/>
    <mergeCell ref="J29:J30"/>
    <mergeCell ref="A50:B50"/>
    <mergeCell ref="AF29:AF30"/>
    <mergeCell ref="R47:T47"/>
    <mergeCell ref="V47:X47"/>
    <mergeCell ref="AA47:AB47"/>
    <mergeCell ref="AC47:AD47"/>
    <mergeCell ref="A49:B49"/>
    <mergeCell ref="U29:U30"/>
    <mergeCell ref="V29:X30"/>
    <mergeCell ref="Y29:Y30"/>
    <mergeCell ref="Z29:Z30"/>
    <mergeCell ref="AA29:AD30"/>
    <mergeCell ref="AE29:AE30"/>
    <mergeCell ref="K29:K30"/>
    <mergeCell ref="L29:L30"/>
    <mergeCell ref="M29:M30"/>
  </mergeCells>
  <phoneticPr fontId="2"/>
  <conditionalFormatting sqref="A2 B8:C22 E8:G22 B32:C46 E32:E46">
    <cfRule type="containsBlanks" dxfId="82" priority="9">
      <formula>LEN(TRIM(A2))=0</formula>
    </cfRule>
  </conditionalFormatting>
  <conditionalFormatting sqref="D7:D22">
    <cfRule type="containsBlanks" dxfId="81" priority="8">
      <formula>LEN(TRIM(D7))=0</formula>
    </cfRule>
  </conditionalFormatting>
  <conditionalFormatting sqref="D31:D46">
    <cfRule type="containsBlanks" dxfId="80" priority="7">
      <formula>LEN(TRIM(D31))=0</formula>
    </cfRule>
  </conditionalFormatting>
  <conditionalFormatting sqref="F7">
    <cfRule type="containsBlanks" dxfId="79" priority="4">
      <formula>LEN(TRIM(F7))=0</formula>
    </cfRule>
  </conditionalFormatting>
  <conditionalFormatting sqref="F31:F46">
    <cfRule type="containsBlanks" dxfId="78" priority="6">
      <formula>LEN(TRIM(F31))=0</formula>
    </cfRule>
  </conditionalFormatting>
  <conditionalFormatting sqref="G32:G46">
    <cfRule type="containsBlanks" dxfId="77" priority="3">
      <formula>LEN(TRIM(G32))=0</formula>
    </cfRule>
  </conditionalFormatting>
  <conditionalFormatting sqref="H7:O22">
    <cfRule type="containsBlanks" dxfId="76" priority="2">
      <formula>LEN(TRIM(H7))=0</formula>
    </cfRule>
  </conditionalFormatting>
  <conditionalFormatting sqref="H31:O46">
    <cfRule type="containsBlanks" dxfId="75" priority="1">
      <formula>LEN(TRIM(H31))=0</formula>
    </cfRule>
  </conditionalFormatting>
  <conditionalFormatting sqref="Q7:R22">
    <cfRule type="containsBlanks" dxfId="74" priority="17">
      <formula>LEN(TRIM(Q7))=0</formula>
    </cfRule>
  </conditionalFormatting>
  <conditionalFormatting sqref="Q31:R46">
    <cfRule type="containsBlanks" dxfId="73" priority="5">
      <formula>LEN(TRIM(Q31))=0</formula>
    </cfRule>
  </conditionalFormatting>
  <conditionalFormatting sqref="T7:V22">
    <cfRule type="containsBlanks" dxfId="72" priority="15">
      <formula>LEN(TRIM(T7))=0</formula>
    </cfRule>
  </conditionalFormatting>
  <conditionalFormatting sqref="T31:V46">
    <cfRule type="containsBlanks" dxfId="71" priority="13">
      <formula>LEN(TRIM(T31))=0</formula>
    </cfRule>
  </conditionalFormatting>
  <conditionalFormatting sqref="X7:Z22">
    <cfRule type="containsBlanks" dxfId="70" priority="14">
      <formula>LEN(TRIM(X7))=0</formula>
    </cfRule>
  </conditionalFormatting>
  <conditionalFormatting sqref="X31:Z46">
    <cfRule type="containsBlanks" dxfId="69" priority="12">
      <formula>LEN(TRIM(X31))=0</formula>
    </cfRule>
  </conditionalFormatting>
  <conditionalFormatting sqref="AB7:AB22 AD7:AE22">
    <cfRule type="containsBlanks" dxfId="68" priority="16">
      <formula>LEN(TRIM(AB7))=0</formula>
    </cfRule>
  </conditionalFormatting>
  <conditionalFormatting sqref="AB31:AB46">
    <cfRule type="containsBlanks" dxfId="67" priority="11">
      <formula>LEN(TRIM(AB31))=0</formula>
    </cfRule>
  </conditionalFormatting>
  <conditionalFormatting sqref="AD31:AE46">
    <cfRule type="containsBlanks" dxfId="66" priority="10">
      <formula>LEN(TRIM(AD31))=0</formula>
    </cfRule>
  </conditionalFormatting>
  <printOptions horizontalCentered="1"/>
  <pageMargins left="0.39370078740157483" right="0.39370078740157483" top="0.55118110236220474" bottom="0.55118110236220474" header="0.31496062992125984" footer="0.31496062992125984"/>
  <pageSetup paperSize="9" scale="29" orientation="landscape" r:id="rId1"/>
  <headerFooter>
    <oddHeader>&amp;R&amp;G</oddHeader>
  </headerFooter>
  <legacy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F030F-9F68-44B0-B068-AD1D6BA089B6}">
  <sheetPr codeName="Sheet395">
    <tabColor rgb="FFFFFF66"/>
    <pageSetUpPr fitToPage="1"/>
  </sheetPr>
  <dimension ref="A1:AE50"/>
  <sheetViews>
    <sheetView topLeftCell="C1" zoomScale="70" zoomScaleNormal="70" workbookViewId="0">
      <selection activeCell="BJ123" sqref="BJ123"/>
    </sheetView>
  </sheetViews>
  <sheetFormatPr defaultColWidth="9.81640625" defaultRowHeight="26.5"/>
  <cols>
    <col min="1" max="1" width="7.453125" style="5654" customWidth="1"/>
    <col min="2" max="2" width="25.1796875" style="5655" customWidth="1"/>
    <col min="3" max="3" width="24.54296875" style="5655" bestFit="1" customWidth="1"/>
    <col min="4" max="4" width="17.26953125" style="5655" customWidth="1"/>
    <col min="5" max="5" width="17.26953125" style="5654" customWidth="1"/>
    <col min="6" max="6" width="6.81640625" style="5653" customWidth="1"/>
    <col min="7" max="7" width="31.81640625" style="5655" bestFit="1" customWidth="1"/>
    <col min="8" max="8" width="9.26953125" style="5655" customWidth="1"/>
    <col min="9" max="9" width="21.54296875" style="5654" customWidth="1"/>
    <col min="10" max="13" width="9.26953125" style="5653" customWidth="1"/>
    <col min="14" max="14" width="21.81640625" style="5653" customWidth="1"/>
    <col min="15" max="15" width="21.81640625" style="5656" customWidth="1"/>
    <col min="16" max="16" width="9.81640625" style="5655"/>
    <col min="17" max="17" width="9.54296875" style="5655" customWidth="1"/>
    <col min="18" max="18" width="9.54296875" style="5654" customWidth="1"/>
    <col min="19" max="19" width="17.7265625" style="5654" customWidth="1"/>
    <col min="20" max="20" width="12.26953125" style="5654" customWidth="1"/>
    <col min="21" max="21" width="17.7265625" style="5654" customWidth="1"/>
    <col min="22" max="28" width="9.81640625" style="5654"/>
    <col min="29" max="29" width="9.81640625" style="5691"/>
    <col min="30" max="16384" width="9.81640625" style="5654"/>
  </cols>
  <sheetData>
    <row r="1" spans="1:31" ht="21" customHeight="1" thickBot="1">
      <c r="T1" s="5653"/>
    </row>
    <row r="2" spans="1:31" ht="55.15" customHeight="1" thickBot="1">
      <c r="A2" s="7039" t="s">
        <v>5707</v>
      </c>
      <c r="B2" s="7040"/>
      <c r="C2" s="6876" t="s">
        <v>6503</v>
      </c>
      <c r="D2" s="6876"/>
      <c r="E2" s="6876"/>
      <c r="F2" s="6876"/>
      <c r="G2" s="6876"/>
      <c r="H2" s="5692" t="s">
        <v>5709</v>
      </c>
      <c r="I2" s="5693"/>
      <c r="J2" s="4733"/>
      <c r="K2" s="4733"/>
      <c r="T2" s="5653"/>
      <c r="U2" s="5694" t="s">
        <v>5755</v>
      </c>
      <c r="W2" s="4853"/>
      <c r="X2" s="4853"/>
      <c r="Y2" s="4853"/>
      <c r="Z2" s="4853"/>
      <c r="AA2" s="4853"/>
      <c r="AB2" s="4735"/>
      <c r="AC2" s="4735"/>
      <c r="AD2" s="4735"/>
      <c r="AE2" s="4735"/>
    </row>
    <row r="3" spans="1:31" ht="23.15" customHeight="1">
      <c r="A3" s="5695"/>
      <c r="B3" s="4733"/>
      <c r="C3" s="4733"/>
      <c r="D3" s="4733"/>
      <c r="E3" s="4733"/>
      <c r="F3" s="4733"/>
      <c r="G3" s="4733"/>
      <c r="H3" s="4733"/>
      <c r="I3" s="4733"/>
      <c r="J3" s="4733"/>
      <c r="K3" s="4733"/>
      <c r="T3" s="5653"/>
      <c r="W3" s="4853"/>
      <c r="X3" s="4853"/>
      <c r="Y3" s="4853"/>
      <c r="Z3" s="4853"/>
      <c r="AA3" s="4853"/>
      <c r="AB3" s="4735"/>
      <c r="AC3" s="4735"/>
      <c r="AD3" s="4735"/>
      <c r="AE3" s="4735"/>
    </row>
    <row r="4" spans="1:31" ht="23.15" customHeight="1" thickBot="1">
      <c r="A4" s="4737" t="s">
        <v>5756</v>
      </c>
      <c r="B4" s="5654"/>
      <c r="C4" s="5654"/>
      <c r="D4" s="5654"/>
      <c r="G4" s="5654"/>
      <c r="H4" s="5654"/>
      <c r="O4" s="5653"/>
      <c r="P4" s="5653"/>
      <c r="Q4" s="5654"/>
      <c r="AC4" s="5654"/>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5197" customFormat="1" ht="33.75" customHeight="1">
      <c r="A7" s="5696" t="s">
        <v>5779</v>
      </c>
      <c r="B7" s="5664">
        <v>46280</v>
      </c>
      <c r="C7" s="5664">
        <v>46300</v>
      </c>
      <c r="D7" s="5697">
        <v>0.3125</v>
      </c>
      <c r="E7" s="5698">
        <v>0.89583333333333337</v>
      </c>
      <c r="F7" s="5699">
        <f>IF(OR(ISBLANK($B7), ISBLANK($C7)), 0, _xlfn.DAYS($C7, $B7) + 1)</f>
        <v>21</v>
      </c>
      <c r="G7" s="5700" t="s">
        <v>5780</v>
      </c>
      <c r="H7" s="5701">
        <v>3</v>
      </c>
      <c r="I7" s="5699" t="s">
        <v>5781</v>
      </c>
      <c r="J7" s="5702">
        <v>30</v>
      </c>
      <c r="K7" s="5703">
        <v>100</v>
      </c>
      <c r="L7" s="5703">
        <f>J7*K7</f>
        <v>3000</v>
      </c>
      <c r="M7" s="5704">
        <v>5</v>
      </c>
      <c r="N7" s="5705">
        <v>150000</v>
      </c>
      <c r="O7" s="5706">
        <f t="shared" ref="O7:O17" si="0">F7*N7</f>
        <v>3150000</v>
      </c>
      <c r="P7" s="5707" t="s">
        <v>5782</v>
      </c>
      <c r="Q7" s="5708">
        <v>4</v>
      </c>
      <c r="R7" s="5708" t="s">
        <v>3804</v>
      </c>
      <c r="S7" s="5703" t="s">
        <v>246</v>
      </c>
      <c r="T7" s="5708" t="s">
        <v>2161</v>
      </c>
      <c r="U7" s="5709">
        <v>2000</v>
      </c>
    </row>
    <row r="8" spans="1:31" s="5197" customFormat="1" ht="33.75" customHeight="1">
      <c r="A8" s="5603">
        <v>1</v>
      </c>
      <c r="B8" s="4816">
        <v>46286</v>
      </c>
      <c r="C8" s="4816">
        <v>46295</v>
      </c>
      <c r="D8" s="4759"/>
      <c r="E8" s="4759"/>
      <c r="F8" s="4760">
        <f t="shared" ref="F8:F17" si="1">IF(OR(ISBLANK($B8), ISBLANK($C8)), 0, _xlfn.DAYS($C8, $B8) + 1)</f>
        <v>10</v>
      </c>
      <c r="G8" s="4975" t="s">
        <v>6513</v>
      </c>
      <c r="H8" s="4762"/>
      <c r="I8" s="4763"/>
      <c r="J8" s="5160"/>
      <c r="K8" s="5161"/>
      <c r="L8" s="5161"/>
      <c r="M8" s="5161"/>
      <c r="N8" s="5162"/>
      <c r="O8" s="4766">
        <f t="shared" si="0"/>
        <v>0</v>
      </c>
      <c r="P8" s="4864" t="s">
        <v>5992</v>
      </c>
      <c r="Q8" s="4858"/>
      <c r="R8" s="4859"/>
      <c r="S8" s="4858"/>
      <c r="T8" s="4859"/>
      <c r="U8" s="4860"/>
    </row>
    <row r="9" spans="1:31" ht="33.75" customHeight="1">
      <c r="A9" s="5603">
        <v>2</v>
      </c>
      <c r="B9" s="4816">
        <v>46286</v>
      </c>
      <c r="C9" s="4816">
        <v>46295</v>
      </c>
      <c r="D9" s="4759"/>
      <c r="E9" s="4759"/>
      <c r="F9" s="4760">
        <f t="shared" si="1"/>
        <v>10</v>
      </c>
      <c r="G9" s="4975" t="s">
        <v>6514</v>
      </c>
      <c r="H9" s="4762">
        <v>3</v>
      </c>
      <c r="I9" s="4763" t="s">
        <v>5784</v>
      </c>
      <c r="J9" s="5160">
        <v>13.4</v>
      </c>
      <c r="K9" s="5161">
        <v>28.8</v>
      </c>
      <c r="L9" s="5161">
        <v>386</v>
      </c>
      <c r="M9" s="5161">
        <v>3.9</v>
      </c>
      <c r="N9" s="5162">
        <v>759600</v>
      </c>
      <c r="O9" s="4766">
        <f t="shared" si="0"/>
        <v>7596000</v>
      </c>
      <c r="P9" s="4857" t="s">
        <v>5815</v>
      </c>
      <c r="Q9" s="4858">
        <v>3</v>
      </c>
      <c r="R9" s="4864" t="s">
        <v>5992</v>
      </c>
      <c r="S9" s="4858"/>
      <c r="T9" s="4859" t="s">
        <v>5815</v>
      </c>
      <c r="U9" s="4860"/>
      <c r="AC9" s="5654"/>
    </row>
    <row r="10" spans="1:31" ht="33.75" customHeight="1">
      <c r="A10" s="5603">
        <v>3</v>
      </c>
      <c r="B10" s="4816">
        <v>46286</v>
      </c>
      <c r="C10" s="4816">
        <v>46295</v>
      </c>
      <c r="D10" s="4759"/>
      <c r="E10" s="4759"/>
      <c r="F10" s="4770">
        <f t="shared" si="1"/>
        <v>10</v>
      </c>
      <c r="G10" s="4975" t="s">
        <v>6515</v>
      </c>
      <c r="H10" s="4762">
        <v>3</v>
      </c>
      <c r="I10" s="4763" t="s">
        <v>5784</v>
      </c>
      <c r="J10" s="5160">
        <v>16.7</v>
      </c>
      <c r="K10" s="5161">
        <v>16.600000000000001</v>
      </c>
      <c r="L10" s="5161">
        <v>138</v>
      </c>
      <c r="M10" s="5161">
        <v>2.6</v>
      </c>
      <c r="N10" s="5162">
        <v>384600</v>
      </c>
      <c r="O10" s="4766">
        <f t="shared" si="0"/>
        <v>3846000</v>
      </c>
      <c r="P10" s="4857" t="s">
        <v>5815</v>
      </c>
      <c r="Q10" s="4858">
        <v>2</v>
      </c>
      <c r="R10" s="4864" t="s">
        <v>5992</v>
      </c>
      <c r="S10" s="4858"/>
      <c r="T10" s="4859" t="s">
        <v>5815</v>
      </c>
      <c r="U10" s="4860"/>
      <c r="AC10" s="5654"/>
    </row>
    <row r="11" spans="1:31" ht="33.75" customHeight="1">
      <c r="A11" s="5603">
        <v>4</v>
      </c>
      <c r="B11" s="4816">
        <v>46286</v>
      </c>
      <c r="C11" s="4816">
        <v>46295</v>
      </c>
      <c r="D11" s="4759"/>
      <c r="E11" s="4759"/>
      <c r="F11" s="4760">
        <f t="shared" si="1"/>
        <v>10</v>
      </c>
      <c r="G11" s="5373" t="s">
        <v>6516</v>
      </c>
      <c r="H11" s="4762"/>
      <c r="I11" s="4763"/>
      <c r="J11" s="5160"/>
      <c r="K11" s="5161"/>
      <c r="L11" s="5161"/>
      <c r="M11" s="5161"/>
      <c r="N11" s="5162"/>
      <c r="O11" s="4766">
        <f t="shared" si="0"/>
        <v>0</v>
      </c>
      <c r="P11" s="4864" t="s">
        <v>5992</v>
      </c>
      <c r="Q11" s="4858"/>
      <c r="R11" s="4859"/>
      <c r="S11" s="4858"/>
      <c r="T11" s="4859"/>
      <c r="U11" s="4860"/>
      <c r="AC11" s="5654"/>
    </row>
    <row r="12" spans="1:31" ht="33.75" customHeight="1">
      <c r="A12" s="5603">
        <v>5</v>
      </c>
      <c r="B12" s="4816">
        <v>46286</v>
      </c>
      <c r="C12" s="4816">
        <v>46295</v>
      </c>
      <c r="D12" s="4759"/>
      <c r="E12" s="4759"/>
      <c r="F12" s="4760">
        <f t="shared" si="1"/>
        <v>10</v>
      </c>
      <c r="G12" s="5373" t="s">
        <v>6517</v>
      </c>
      <c r="H12" s="4762">
        <v>3</v>
      </c>
      <c r="I12" s="4763" t="s">
        <v>5784</v>
      </c>
      <c r="J12" s="5160">
        <v>8.8000000000000007</v>
      </c>
      <c r="K12" s="5161">
        <v>12</v>
      </c>
      <c r="L12" s="5161">
        <v>103</v>
      </c>
      <c r="M12" s="5161">
        <v>2.5</v>
      </c>
      <c r="N12" s="5162">
        <v>241500</v>
      </c>
      <c r="O12" s="4766">
        <f t="shared" si="0"/>
        <v>2415000</v>
      </c>
      <c r="P12" s="4864" t="s">
        <v>5992</v>
      </c>
      <c r="Q12" s="4858"/>
      <c r="R12" s="4864" t="s">
        <v>5992</v>
      </c>
      <c r="S12" s="4858"/>
      <c r="T12" s="4859" t="s">
        <v>5815</v>
      </c>
      <c r="U12" s="4860"/>
      <c r="AC12" s="5654"/>
    </row>
    <row r="13" spans="1:31" ht="33.75" customHeight="1">
      <c r="A13" s="5603">
        <v>6</v>
      </c>
      <c r="B13" s="4816">
        <v>46286</v>
      </c>
      <c r="C13" s="4816">
        <v>46295</v>
      </c>
      <c r="D13" s="4913"/>
      <c r="E13" s="4759"/>
      <c r="F13" s="4760">
        <f t="shared" si="1"/>
        <v>10</v>
      </c>
      <c r="G13" s="4950" t="s">
        <v>6518</v>
      </c>
      <c r="H13" s="4762">
        <v>3</v>
      </c>
      <c r="I13" s="4763" t="s">
        <v>5784</v>
      </c>
      <c r="J13" s="5160">
        <v>8.07</v>
      </c>
      <c r="K13" s="5161">
        <v>3.9</v>
      </c>
      <c r="L13" s="5161">
        <v>30</v>
      </c>
      <c r="M13" s="5161">
        <v>2.6</v>
      </c>
      <c r="N13" s="5162">
        <v>86000</v>
      </c>
      <c r="O13" s="4766">
        <f t="shared" si="0"/>
        <v>860000</v>
      </c>
      <c r="P13" s="4864" t="s">
        <v>5992</v>
      </c>
      <c r="Q13" s="4858"/>
      <c r="R13" s="4864" t="s">
        <v>5992</v>
      </c>
      <c r="S13" s="4858"/>
      <c r="T13" s="4859" t="s">
        <v>5815</v>
      </c>
      <c r="U13" s="4860"/>
      <c r="AC13" s="5654"/>
    </row>
    <row r="14" spans="1:31" ht="33.75" customHeight="1">
      <c r="A14" s="5603">
        <v>7</v>
      </c>
      <c r="B14" s="4816">
        <v>46286</v>
      </c>
      <c r="C14" s="4816">
        <v>46295</v>
      </c>
      <c r="D14" s="4913"/>
      <c r="E14" s="4759"/>
      <c r="F14" s="4760">
        <f t="shared" si="1"/>
        <v>10</v>
      </c>
      <c r="G14" s="4950" t="s">
        <v>6519</v>
      </c>
      <c r="H14" s="4762">
        <v>3</v>
      </c>
      <c r="I14" s="4763" t="s">
        <v>5784</v>
      </c>
      <c r="J14" s="5160">
        <v>6.1</v>
      </c>
      <c r="K14" s="5161">
        <v>3.75</v>
      </c>
      <c r="L14" s="5161">
        <v>23</v>
      </c>
      <c r="M14" s="5161">
        <v>2.6</v>
      </c>
      <c r="N14" s="5162">
        <v>75900</v>
      </c>
      <c r="O14" s="4766">
        <f t="shared" si="0"/>
        <v>759000</v>
      </c>
      <c r="P14" s="4864" t="s">
        <v>5992</v>
      </c>
      <c r="Q14" s="4858"/>
      <c r="R14" s="4864" t="s">
        <v>5992</v>
      </c>
      <c r="S14" s="4858"/>
      <c r="T14" s="4859" t="s">
        <v>5815</v>
      </c>
      <c r="U14" s="4860"/>
      <c r="AC14" s="5654"/>
    </row>
    <row r="15" spans="1:31" ht="33.75" customHeight="1">
      <c r="A15" s="5603">
        <v>8</v>
      </c>
      <c r="B15" s="4816">
        <v>46286</v>
      </c>
      <c r="C15" s="4816">
        <v>46295</v>
      </c>
      <c r="D15" s="4913"/>
      <c r="E15" s="4759"/>
      <c r="F15" s="4760">
        <f t="shared" si="1"/>
        <v>10</v>
      </c>
      <c r="G15" s="4950" t="s">
        <v>6520</v>
      </c>
      <c r="H15" s="4762">
        <v>3</v>
      </c>
      <c r="I15" s="4763" t="s">
        <v>5784</v>
      </c>
      <c r="J15" s="5160">
        <v>6.1</v>
      </c>
      <c r="K15" s="5161">
        <v>3.8</v>
      </c>
      <c r="L15" s="5161">
        <v>23</v>
      </c>
      <c r="M15" s="5161">
        <v>2.6</v>
      </c>
      <c r="N15" s="5162">
        <v>75900</v>
      </c>
      <c r="O15" s="4766">
        <f t="shared" si="0"/>
        <v>759000</v>
      </c>
      <c r="P15" s="4864" t="s">
        <v>5992</v>
      </c>
      <c r="Q15" s="4858"/>
      <c r="R15" s="4864" t="s">
        <v>5992</v>
      </c>
      <c r="S15" s="4858"/>
      <c r="T15" s="4859" t="s">
        <v>5815</v>
      </c>
      <c r="U15" s="4860"/>
      <c r="AC15" s="5654"/>
    </row>
    <row r="16" spans="1:31" ht="33.75" customHeight="1">
      <c r="A16" s="5603">
        <v>9</v>
      </c>
      <c r="B16" s="4816">
        <v>46286</v>
      </c>
      <c r="C16" s="4816">
        <v>46295</v>
      </c>
      <c r="D16" s="4913"/>
      <c r="E16" s="4759"/>
      <c r="F16" s="4760">
        <f t="shared" si="1"/>
        <v>10</v>
      </c>
      <c r="G16" s="4950" t="s">
        <v>6521</v>
      </c>
      <c r="H16" s="4952"/>
      <c r="I16" s="4763"/>
      <c r="J16" s="5160"/>
      <c r="K16" s="5161"/>
      <c r="L16" s="5161"/>
      <c r="M16" s="5161"/>
      <c r="N16" s="5162"/>
      <c r="O16" s="4766">
        <f t="shared" si="0"/>
        <v>0</v>
      </c>
      <c r="P16" s="4864" t="s">
        <v>5992</v>
      </c>
      <c r="Q16" s="4858"/>
      <c r="R16" s="4859"/>
      <c r="S16" s="4858"/>
      <c r="T16" s="4859"/>
      <c r="U16" s="4860"/>
      <c r="AC16" s="5654"/>
    </row>
    <row r="17" spans="1:29" ht="33.75" customHeight="1" thickBot="1">
      <c r="A17" s="5710">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5654"/>
    </row>
    <row r="18" spans="1:29" ht="33.75" customHeight="1" thickTop="1" thickBot="1">
      <c r="A18" s="5711" t="s">
        <v>127</v>
      </c>
      <c r="B18" s="5712"/>
      <c r="C18" s="5712"/>
      <c r="D18" s="5712"/>
      <c r="E18" s="5712"/>
      <c r="F18" s="4867">
        <f>SUM(F8:F17)</f>
        <v>90</v>
      </c>
      <c r="G18" s="5712"/>
      <c r="H18" s="5713"/>
      <c r="I18" s="4782">
        <f>COUNTA(I9,I10,I12,I13,I14,I15)</f>
        <v>6</v>
      </c>
      <c r="J18" s="5714"/>
      <c r="K18" s="5715"/>
      <c r="L18" s="5715"/>
      <c r="M18" s="5715"/>
      <c r="N18" s="5716" t="s">
        <v>6511</v>
      </c>
      <c r="O18" s="4871">
        <f>SUM(O8:O17)*1.1</f>
        <v>17858500</v>
      </c>
      <c r="P18" s="5717"/>
      <c r="Q18" s="5717"/>
      <c r="R18" s="5718"/>
      <c r="S18" s="5719"/>
      <c r="T18" s="5718"/>
      <c r="U18" s="5720"/>
      <c r="AC18" s="5654"/>
    </row>
    <row r="19" spans="1:29" ht="33.75" customHeight="1">
      <c r="A19" s="5653"/>
      <c r="B19" s="5657"/>
      <c r="C19" s="5657"/>
      <c r="D19" s="5657"/>
      <c r="G19" s="5657"/>
      <c r="H19" s="5657"/>
      <c r="M19" s="4808" t="s">
        <v>5748</v>
      </c>
      <c r="N19" s="4809">
        <f>SUM(N9,N12,N14,N13,N15,N10)</f>
        <v>1623500</v>
      </c>
      <c r="O19" s="5653"/>
      <c r="P19" s="5654"/>
      <c r="Q19" s="5654"/>
      <c r="AC19" s="5654"/>
    </row>
    <row r="20" spans="1:29" ht="33.75" customHeight="1">
      <c r="A20" s="5653"/>
      <c r="B20" s="5657"/>
      <c r="C20" s="5657"/>
      <c r="D20" s="5657"/>
      <c r="G20" s="5657"/>
      <c r="H20" s="5657"/>
      <c r="M20" s="4808" t="s">
        <v>5750</v>
      </c>
      <c r="N20" s="4809">
        <f>N19*1.1</f>
        <v>1785850.0000000002</v>
      </c>
      <c r="O20" s="5653"/>
      <c r="P20" s="5654"/>
      <c r="Q20" s="5654"/>
      <c r="AC20" s="5654"/>
    </row>
    <row r="21" spans="1:29" ht="33.75" customHeight="1">
      <c r="A21" s="5653"/>
      <c r="B21" s="5657"/>
      <c r="C21" s="5657"/>
      <c r="D21" s="5657"/>
      <c r="G21" s="5657"/>
      <c r="H21" s="5657"/>
      <c r="O21" s="5653"/>
      <c r="P21" s="5654"/>
      <c r="Q21" s="5654"/>
      <c r="AC21" s="5654"/>
    </row>
    <row r="22" spans="1:29" ht="33.75" customHeight="1" thickBot="1">
      <c r="A22" s="4737" t="s">
        <v>5836</v>
      </c>
      <c r="B22" s="5654"/>
      <c r="C22" s="5654"/>
      <c r="D22" s="5654"/>
      <c r="G22" s="5654"/>
      <c r="H22" s="5654"/>
      <c r="O22" s="5653"/>
      <c r="P22" s="5653"/>
      <c r="Q22" s="5654"/>
      <c r="AC22" s="5654"/>
    </row>
    <row r="23" spans="1:29" s="4738" customFormat="1" ht="33.75" customHeight="1">
      <c r="A23" s="6893" t="s">
        <v>5713</v>
      </c>
      <c r="B23" s="6882" t="s">
        <v>5757</v>
      </c>
      <c r="C23" s="6882" t="s">
        <v>5758</v>
      </c>
      <c r="D23" s="6882" t="s">
        <v>5759</v>
      </c>
      <c r="E23" s="6882" t="s">
        <v>5760</v>
      </c>
      <c r="F23" s="6895" t="s">
        <v>5761</v>
      </c>
      <c r="G23" s="6882" t="s">
        <v>5762</v>
      </c>
      <c r="H23" s="6897" t="s">
        <v>5763</v>
      </c>
      <c r="I23" s="6882" t="s">
        <v>5764</v>
      </c>
      <c r="J23" s="6895" t="s">
        <v>5765</v>
      </c>
      <c r="K23" s="6888" t="s">
        <v>5766</v>
      </c>
      <c r="L23" s="6888" t="s">
        <v>5767</v>
      </c>
      <c r="M23" s="6888" t="s">
        <v>5768</v>
      </c>
      <c r="N23" s="6882" t="s">
        <v>5811</v>
      </c>
      <c r="O23" s="6884" t="s">
        <v>5812</v>
      </c>
      <c r="P23" s="6886" t="s">
        <v>5771</v>
      </c>
      <c r="Q23" s="6887"/>
      <c r="R23" s="6888" t="s">
        <v>5772</v>
      </c>
      <c r="S23" s="6889"/>
      <c r="T23" s="6889"/>
      <c r="U23" s="6890"/>
    </row>
    <row r="24" spans="1:29" s="4738" customFormat="1" ht="33.75" customHeight="1" thickBot="1">
      <c r="A24" s="6894"/>
      <c r="B24" s="6883"/>
      <c r="C24" s="6883"/>
      <c r="D24" s="6883"/>
      <c r="E24" s="6883"/>
      <c r="F24" s="6896"/>
      <c r="G24" s="6883"/>
      <c r="H24" s="6898"/>
      <c r="I24" s="6883"/>
      <c r="J24" s="6896"/>
      <c r="K24" s="6892"/>
      <c r="L24" s="6892"/>
      <c r="M24" s="6892"/>
      <c r="N24" s="6883"/>
      <c r="O24" s="6885"/>
      <c r="P24" s="4739" t="s">
        <v>5773</v>
      </c>
      <c r="Q24" s="4740" t="s">
        <v>5774</v>
      </c>
      <c r="R24" s="4740" t="s">
        <v>5775</v>
      </c>
      <c r="S24" s="4741" t="s">
        <v>5776</v>
      </c>
      <c r="T24" s="4740" t="s">
        <v>5777</v>
      </c>
      <c r="U24" s="4742" t="s">
        <v>5778</v>
      </c>
    </row>
    <row r="25" spans="1:29" s="5197" customFormat="1" ht="33.75" customHeight="1">
      <c r="A25" s="5696" t="s">
        <v>5779</v>
      </c>
      <c r="B25" s="5664">
        <v>46280</v>
      </c>
      <c r="C25" s="5664">
        <v>46300</v>
      </c>
      <c r="D25" s="5697">
        <v>0.3125</v>
      </c>
      <c r="E25" s="5698">
        <v>0.89583333333333337</v>
      </c>
      <c r="F25" s="5699">
        <f>IF(OR(ISBLANK($B25), ISBLANK($C25)), 0, _xlfn.DAYS($C25, $B25) + 1)</f>
        <v>21</v>
      </c>
      <c r="G25" s="5721" t="s">
        <v>5780</v>
      </c>
      <c r="H25" s="5722">
        <v>3</v>
      </c>
      <c r="I25" s="5723" t="s">
        <v>5781</v>
      </c>
      <c r="J25" s="5724">
        <v>30</v>
      </c>
      <c r="K25" s="5725">
        <v>100</v>
      </c>
      <c r="L25" s="5725">
        <f>J25*K25</f>
        <v>3000</v>
      </c>
      <c r="M25" s="5726">
        <v>5</v>
      </c>
      <c r="N25" s="5727">
        <v>150000</v>
      </c>
      <c r="O25" s="5706">
        <f t="shared" ref="O25:O35" si="2">F25*N25</f>
        <v>3150000</v>
      </c>
      <c r="P25" s="5728" t="s">
        <v>5782</v>
      </c>
      <c r="Q25" s="5729">
        <v>4</v>
      </c>
      <c r="R25" s="5729" t="s">
        <v>3804</v>
      </c>
      <c r="S25" s="5725" t="s">
        <v>246</v>
      </c>
      <c r="T25" s="5729" t="s">
        <v>2161</v>
      </c>
      <c r="U25" s="5730">
        <v>2000</v>
      </c>
    </row>
    <row r="26" spans="1:29" s="5197" customFormat="1" ht="33.75" customHeight="1">
      <c r="A26" s="5603">
        <v>1</v>
      </c>
      <c r="B26" s="4900"/>
      <c r="C26" s="4900"/>
      <c r="D26" s="4913"/>
      <c r="E26" s="4759"/>
      <c r="F26" s="4760">
        <f t="shared" ref="F26:F35" si="3">IF(OR(ISBLANK($B26), ISBLANK($C26)), 0, _xlfn.DAYS($C26, $B26) + 1)</f>
        <v>0</v>
      </c>
      <c r="G26" s="4771"/>
      <c r="H26" s="4762"/>
      <c r="I26" s="4763"/>
      <c r="J26" s="4902"/>
      <c r="K26" s="4765"/>
      <c r="L26" s="4765"/>
      <c r="M26" s="4765"/>
      <c r="N26" s="4762"/>
      <c r="O26" s="4766">
        <f t="shared" si="2"/>
        <v>0</v>
      </c>
      <c r="P26" s="4857"/>
      <c r="Q26" s="4858"/>
      <c r="R26" s="4859"/>
      <c r="S26" s="4858"/>
      <c r="T26" s="4859"/>
      <c r="U26" s="4860"/>
    </row>
    <row r="27" spans="1:29" ht="33.75" customHeight="1">
      <c r="A27" s="5603">
        <v>2</v>
      </c>
      <c r="B27" s="4900"/>
      <c r="C27" s="4900"/>
      <c r="D27" s="4913"/>
      <c r="E27" s="4759"/>
      <c r="F27" s="4760">
        <f t="shared" si="3"/>
        <v>0</v>
      </c>
      <c r="G27" s="4771"/>
      <c r="H27" s="4762"/>
      <c r="I27" s="4763"/>
      <c r="J27" s="4902"/>
      <c r="K27" s="4765"/>
      <c r="L27" s="4765"/>
      <c r="M27" s="4765"/>
      <c r="N27" s="4762"/>
      <c r="O27" s="4766">
        <f t="shared" si="2"/>
        <v>0</v>
      </c>
      <c r="P27" s="4857"/>
      <c r="Q27" s="4858"/>
      <c r="R27" s="4859"/>
      <c r="S27" s="4858"/>
      <c r="T27" s="4859"/>
      <c r="U27" s="4860"/>
      <c r="AC27" s="5654"/>
    </row>
    <row r="28" spans="1:29" ht="33.75" customHeight="1">
      <c r="A28" s="5603">
        <v>3</v>
      </c>
      <c r="B28" s="4900"/>
      <c r="C28" s="4900"/>
      <c r="D28" s="4913"/>
      <c r="E28" s="4759"/>
      <c r="F28" s="4760">
        <f t="shared" si="3"/>
        <v>0</v>
      </c>
      <c r="G28" s="4771"/>
      <c r="H28" s="4762"/>
      <c r="I28" s="4763"/>
      <c r="J28" s="4902"/>
      <c r="K28" s="4765"/>
      <c r="L28" s="4765"/>
      <c r="M28" s="4765"/>
      <c r="N28" s="4762"/>
      <c r="O28" s="4766">
        <f t="shared" si="2"/>
        <v>0</v>
      </c>
      <c r="P28" s="4857"/>
      <c r="Q28" s="4858"/>
      <c r="R28" s="4859"/>
      <c r="S28" s="4858"/>
      <c r="T28" s="4859"/>
      <c r="U28" s="4860"/>
      <c r="AC28" s="5654"/>
    </row>
    <row r="29" spans="1:29" ht="33.75" customHeight="1">
      <c r="A29" s="5603">
        <v>4</v>
      </c>
      <c r="B29" s="4900"/>
      <c r="C29" s="4900"/>
      <c r="D29" s="4913"/>
      <c r="E29" s="4759"/>
      <c r="F29" s="4760">
        <f t="shared" si="3"/>
        <v>0</v>
      </c>
      <c r="G29" s="4771"/>
      <c r="H29" s="4762"/>
      <c r="I29" s="4763"/>
      <c r="J29" s="4902"/>
      <c r="K29" s="4765"/>
      <c r="L29" s="4765"/>
      <c r="M29" s="4765"/>
      <c r="N29" s="4762"/>
      <c r="O29" s="4766">
        <f t="shared" si="2"/>
        <v>0</v>
      </c>
      <c r="P29" s="4857"/>
      <c r="Q29" s="4858"/>
      <c r="R29" s="4859"/>
      <c r="S29" s="4858"/>
      <c r="T29" s="4859"/>
      <c r="U29" s="4860"/>
      <c r="AC29" s="5654"/>
    </row>
    <row r="30" spans="1:29" ht="33.75" customHeight="1">
      <c r="A30" s="5603">
        <v>5</v>
      </c>
      <c r="B30" s="4900"/>
      <c r="C30" s="4900"/>
      <c r="D30" s="4913"/>
      <c r="E30" s="4759"/>
      <c r="F30" s="4760">
        <f t="shared" si="3"/>
        <v>0</v>
      </c>
      <c r="G30" s="4771"/>
      <c r="H30" s="4762"/>
      <c r="I30" s="4763"/>
      <c r="J30" s="4902"/>
      <c r="K30" s="4765"/>
      <c r="L30" s="4765"/>
      <c r="M30" s="4765"/>
      <c r="N30" s="4762"/>
      <c r="O30" s="4766">
        <f t="shared" si="2"/>
        <v>0</v>
      </c>
      <c r="P30" s="4857"/>
      <c r="Q30" s="4858"/>
      <c r="R30" s="4859"/>
      <c r="S30" s="4858"/>
      <c r="T30" s="4859"/>
      <c r="U30" s="4860"/>
      <c r="AC30" s="5654"/>
    </row>
    <row r="31" spans="1:29" ht="33.75" customHeight="1">
      <c r="A31" s="5603">
        <v>6</v>
      </c>
      <c r="B31" s="4950"/>
      <c r="C31" s="4950"/>
      <c r="D31" s="4951"/>
      <c r="E31" s="4759"/>
      <c r="F31" s="4760">
        <f t="shared" si="3"/>
        <v>0</v>
      </c>
      <c r="G31" s="4950"/>
      <c r="H31" s="4952"/>
      <c r="I31" s="4763"/>
      <c r="J31" s="4902"/>
      <c r="K31" s="4765"/>
      <c r="L31" s="4765"/>
      <c r="M31" s="4765"/>
      <c r="N31" s="4762"/>
      <c r="O31" s="4766">
        <f t="shared" si="2"/>
        <v>0</v>
      </c>
      <c r="P31" s="4857"/>
      <c r="Q31" s="4858"/>
      <c r="R31" s="4859"/>
      <c r="S31" s="4858"/>
      <c r="T31" s="4859"/>
      <c r="U31" s="4860"/>
      <c r="AC31" s="5654"/>
    </row>
    <row r="32" spans="1:29" ht="33.75" customHeight="1">
      <c r="A32" s="5603">
        <v>7</v>
      </c>
      <c r="B32" s="4950"/>
      <c r="C32" s="4950"/>
      <c r="D32" s="4951"/>
      <c r="E32" s="4759"/>
      <c r="F32" s="4760">
        <f t="shared" si="3"/>
        <v>0</v>
      </c>
      <c r="G32" s="4950"/>
      <c r="H32" s="4952"/>
      <c r="I32" s="4763"/>
      <c r="J32" s="4902"/>
      <c r="K32" s="4765"/>
      <c r="L32" s="4765"/>
      <c r="M32" s="4765"/>
      <c r="N32" s="4762"/>
      <c r="O32" s="4766">
        <f t="shared" si="2"/>
        <v>0</v>
      </c>
      <c r="P32" s="4857"/>
      <c r="Q32" s="4858"/>
      <c r="R32" s="4859"/>
      <c r="S32" s="4858"/>
      <c r="T32" s="4859"/>
      <c r="U32" s="4860"/>
      <c r="AC32" s="5654"/>
    </row>
    <row r="33" spans="1:31" ht="33.75" customHeight="1">
      <c r="A33" s="5603">
        <v>8</v>
      </c>
      <c r="B33" s="4950"/>
      <c r="C33" s="4950"/>
      <c r="D33" s="4951"/>
      <c r="E33" s="4759"/>
      <c r="F33" s="4760">
        <f t="shared" si="3"/>
        <v>0</v>
      </c>
      <c r="G33" s="4950"/>
      <c r="H33" s="4952"/>
      <c r="I33" s="4763"/>
      <c r="J33" s="4902"/>
      <c r="K33" s="4765"/>
      <c r="L33" s="4765"/>
      <c r="M33" s="4765"/>
      <c r="N33" s="4762"/>
      <c r="O33" s="4766">
        <f t="shared" si="2"/>
        <v>0</v>
      </c>
      <c r="P33" s="4857"/>
      <c r="Q33" s="4858"/>
      <c r="R33" s="4859"/>
      <c r="S33" s="4858"/>
      <c r="T33" s="4859"/>
      <c r="U33" s="4860"/>
      <c r="AC33" s="5654"/>
    </row>
    <row r="34" spans="1:31" ht="33.75" customHeight="1">
      <c r="A34" s="5603">
        <v>9</v>
      </c>
      <c r="B34" s="4950"/>
      <c r="C34" s="4950"/>
      <c r="D34" s="4951"/>
      <c r="E34" s="4759"/>
      <c r="F34" s="4760">
        <f t="shared" si="3"/>
        <v>0</v>
      </c>
      <c r="G34" s="4950"/>
      <c r="H34" s="4952"/>
      <c r="I34" s="4763"/>
      <c r="J34" s="4902"/>
      <c r="K34" s="4765"/>
      <c r="L34" s="4765"/>
      <c r="M34" s="4765"/>
      <c r="N34" s="4762"/>
      <c r="O34" s="4766">
        <f t="shared" si="2"/>
        <v>0</v>
      </c>
      <c r="P34" s="4857"/>
      <c r="Q34" s="4858"/>
      <c r="R34" s="4859"/>
      <c r="S34" s="4858"/>
      <c r="T34" s="4859"/>
      <c r="U34" s="4860"/>
      <c r="AC34" s="5654"/>
    </row>
    <row r="35" spans="1:31" ht="33.75" customHeight="1" thickBot="1">
      <c r="A35" s="5710">
        <v>10</v>
      </c>
      <c r="B35" s="4953"/>
      <c r="C35" s="4953"/>
      <c r="D35" s="4954"/>
      <c r="E35" s="4915"/>
      <c r="F35" s="4770">
        <f t="shared" si="3"/>
        <v>0</v>
      </c>
      <c r="G35" s="4953"/>
      <c r="H35" s="4955"/>
      <c r="I35" s="4774"/>
      <c r="J35" s="4902"/>
      <c r="K35" s="4765"/>
      <c r="L35" s="5009"/>
      <c r="M35" s="4765"/>
      <c r="N35" s="4775"/>
      <c r="O35" s="4776">
        <f t="shared" si="2"/>
        <v>0</v>
      </c>
      <c r="P35" s="4918"/>
      <c r="Q35" s="4919"/>
      <c r="R35" s="4920"/>
      <c r="S35" s="4919"/>
      <c r="T35" s="4920"/>
      <c r="U35" s="4921"/>
      <c r="AC35" s="5654"/>
    </row>
    <row r="36" spans="1:31" ht="33.75" customHeight="1" thickTop="1" thickBot="1">
      <c r="A36" s="5711" t="s">
        <v>127</v>
      </c>
      <c r="B36" s="5712"/>
      <c r="C36" s="5712"/>
      <c r="D36" s="5712"/>
      <c r="E36" s="5712"/>
      <c r="F36" s="4867">
        <f>SUM(F26:F35)</f>
        <v>0</v>
      </c>
      <c r="G36" s="5712"/>
      <c r="H36" s="5713"/>
      <c r="I36" s="5712"/>
      <c r="J36" s="5715"/>
      <c r="K36" s="5715"/>
      <c r="L36" s="5715"/>
      <c r="M36" s="5715"/>
      <c r="N36" s="5731"/>
      <c r="O36" s="4871">
        <f>SUM(O26:O35)</f>
        <v>0</v>
      </c>
      <c r="P36" s="5732"/>
      <c r="Q36" s="5732"/>
      <c r="R36" s="5733"/>
      <c r="S36" s="5734"/>
      <c r="T36" s="5733"/>
      <c r="U36" s="5735"/>
      <c r="AC36" s="5654"/>
    </row>
    <row r="37" spans="1:31" ht="32.15" customHeight="1">
      <c r="A37" s="5653"/>
      <c r="B37" s="5657"/>
      <c r="C37" s="5657"/>
      <c r="D37" s="5657"/>
      <c r="G37" s="5657"/>
      <c r="H37" s="5657"/>
      <c r="O37" s="5653"/>
      <c r="P37" s="5654"/>
      <c r="Q37" s="5654"/>
      <c r="AC37" s="5654"/>
    </row>
    <row r="38" spans="1:31" ht="32.15" customHeight="1">
      <c r="B38" s="5654"/>
      <c r="C38" s="5654"/>
      <c r="D38" s="5654"/>
      <c r="E38" s="4810"/>
      <c r="F38" s="4811"/>
      <c r="G38" s="5654"/>
      <c r="H38" s="5654"/>
      <c r="O38" s="5653"/>
      <c r="P38" s="5654"/>
      <c r="Q38" s="5654"/>
      <c r="AC38" s="5654"/>
    </row>
    <row r="39" spans="1:31" ht="32.15" customHeight="1">
      <c r="A39" s="4812"/>
      <c r="B39" s="4813"/>
      <c r="C39" s="4813"/>
      <c r="D39" s="4813"/>
      <c r="E39" s="4814"/>
      <c r="F39" s="4814"/>
      <c r="G39" s="4813"/>
      <c r="H39" s="4813"/>
      <c r="I39" s="4812"/>
      <c r="J39" s="4812"/>
      <c r="K39" s="4812"/>
      <c r="L39" s="4812"/>
      <c r="M39" s="4812"/>
      <c r="N39" s="4812"/>
      <c r="O39" s="5678"/>
      <c r="P39" s="5678"/>
      <c r="Q39" s="5678"/>
      <c r="R39" s="5653"/>
      <c r="S39" s="4812"/>
      <c r="T39" s="5653"/>
      <c r="U39" s="4812"/>
      <c r="W39" s="6905"/>
      <c r="X39" s="6905"/>
      <c r="Y39" s="6905"/>
      <c r="Z39" s="6905"/>
      <c r="AA39" s="6905"/>
      <c r="AB39" s="6891"/>
      <c r="AC39" s="6891"/>
      <c r="AD39" s="6891"/>
      <c r="AE39" s="6891"/>
    </row>
    <row r="40" spans="1:31" ht="36" customHeight="1"/>
    <row r="41" spans="1:31" ht="36" customHeight="1"/>
    <row r="42" spans="1:31" ht="36" customHeight="1"/>
    <row r="43" spans="1:31" ht="36" customHeight="1"/>
    <row r="44" spans="1:31" ht="36" customHeight="1"/>
    <row r="45" spans="1:31" ht="36" customHeight="1"/>
    <row r="46" spans="1:31" ht="36" customHeight="1"/>
    <row r="47" spans="1:31" ht="36" customHeight="1"/>
    <row r="48" spans="1:31" ht="36" customHeight="1"/>
    <row r="49" spans="2:29" ht="36" customHeight="1"/>
    <row r="50" spans="2:29" ht="10.15" customHeight="1">
      <c r="B50" s="5654"/>
      <c r="C50" s="5654"/>
      <c r="D50" s="5654"/>
      <c r="G50" s="5654"/>
      <c r="H50" s="5654"/>
      <c r="O50" s="5653"/>
      <c r="P50" s="5654"/>
      <c r="Q50" s="5654"/>
      <c r="AC50" s="5654"/>
    </row>
  </sheetData>
  <mergeCells count="38">
    <mergeCell ref="A2:B2"/>
    <mergeCell ref="C2:G2"/>
    <mergeCell ref="A5:A6"/>
    <mergeCell ref="B5:B6"/>
    <mergeCell ref="C5:C6"/>
    <mergeCell ref="D5:D6"/>
    <mergeCell ref="E5:E6"/>
    <mergeCell ref="F5:F6"/>
    <mergeCell ref="G5:G6"/>
    <mergeCell ref="F23:F24"/>
    <mergeCell ref="H5:H6"/>
    <mergeCell ref="I5:I6"/>
    <mergeCell ref="J5:J6"/>
    <mergeCell ref="K5:K6"/>
    <mergeCell ref="G23:G24"/>
    <mergeCell ref="H23:H24"/>
    <mergeCell ref="I23:I24"/>
    <mergeCell ref="J23:J24"/>
    <mergeCell ref="K23:K24"/>
    <mergeCell ref="A23:A24"/>
    <mergeCell ref="B23:B24"/>
    <mergeCell ref="C23:C24"/>
    <mergeCell ref="D23:D24"/>
    <mergeCell ref="E23:E24"/>
    <mergeCell ref="L23:L24"/>
    <mergeCell ref="N5:N6"/>
    <mergeCell ref="O5:O6"/>
    <mergeCell ref="P5:Q5"/>
    <mergeCell ref="R5:U5"/>
    <mergeCell ref="L5:L6"/>
    <mergeCell ref="M5:M6"/>
    <mergeCell ref="AB39:AE39"/>
    <mergeCell ref="M23:M24"/>
    <mergeCell ref="N23:N24"/>
    <mergeCell ref="O23:O24"/>
    <mergeCell ref="P23:Q23"/>
    <mergeCell ref="R23:U23"/>
    <mergeCell ref="W39:AA39"/>
  </mergeCells>
  <phoneticPr fontId="2"/>
  <conditionalFormatting sqref="B8:E17">
    <cfRule type="containsBlanks" dxfId="65" priority="4">
      <formula>LEN(TRIM(B8))=0</formula>
    </cfRule>
  </conditionalFormatting>
  <conditionalFormatting sqref="B26:E35 G26:K35">
    <cfRule type="containsBlanks" dxfId="64" priority="3">
      <formula>LEN(TRIM(B26))=0</formula>
    </cfRule>
  </conditionalFormatting>
  <conditionalFormatting sqref="C2:D2">
    <cfRule type="containsBlanks" dxfId="63" priority="5">
      <formula>LEN(TRIM(C2))=0</formula>
    </cfRule>
  </conditionalFormatting>
  <conditionalFormatting sqref="G8:N17">
    <cfRule type="containsBlanks" dxfId="62" priority="2">
      <formula>LEN(TRIM(G8))=0</formula>
    </cfRule>
  </conditionalFormatting>
  <conditionalFormatting sqref="M26:N35">
    <cfRule type="containsBlanks" dxfId="61" priority="7">
      <formula>LEN(TRIM(M26))=0</formula>
    </cfRule>
  </conditionalFormatting>
  <conditionalFormatting sqref="P8:U17">
    <cfRule type="containsBlanks" dxfId="60" priority="1">
      <formula>LEN(TRIM(P8))=0</formula>
    </cfRule>
  </conditionalFormatting>
  <conditionalFormatting sqref="P26:U35">
    <cfRule type="containsBlanks" dxfId="59" priority="6">
      <formula>LEN(TRIM(P26))=0</formula>
    </cfRule>
  </conditionalFormatting>
  <dataValidations count="1">
    <dataValidation type="list" allowBlank="1" showInputMessage="1" showErrorMessage="1" sqref="I25:I35 I7:I17" xr:uid="{03C9AD04-85AA-4226-AB5C-5A4D43099F81}">
      <formula1>会場形態</formula1>
    </dataValidation>
  </dataValidations>
  <printOptions horizontalCentered="1"/>
  <pageMargins left="0.39370078740157483" right="0.39370078740157483" top="0.55118110236220474" bottom="0.55118110236220474" header="0.31496062992125984" footer="0.31496062992125984"/>
  <pageSetup paperSize="9" scale="44" orientation="landscape" r:id="rId1"/>
  <headerFooter>
    <oddHeader>&amp;R&amp;G</oddHead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7B7C-A811-429A-A092-382BB50DA9EF}">
  <sheetPr codeName="Sheet396">
    <tabColor rgb="FFFFFF66"/>
    <pageSetUpPr fitToPage="1"/>
  </sheetPr>
  <dimension ref="A1:AF40"/>
  <sheetViews>
    <sheetView zoomScale="70" zoomScaleNormal="70"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3.81640625" style="4658" bestFit="1" customWidth="1"/>
    <col min="10" max="11" width="11" style="4656" customWidth="1"/>
    <col min="12" max="13" width="25.1796875" style="4659" customWidth="1"/>
    <col min="14" max="14" width="3.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6522</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5739</v>
      </c>
      <c r="T7" s="4681">
        <v>21</v>
      </c>
      <c r="U7" s="467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46277</v>
      </c>
      <c r="C8" s="4687">
        <v>46279</v>
      </c>
      <c r="D8" s="4672">
        <f t="shared" ref="D8:D22" si="0">IF(_xlfn.DAYS(C8,B8)=0,"1",_xlfn.DAYS(C8,B8))</f>
        <v>2</v>
      </c>
      <c r="E8" s="4687">
        <v>46298</v>
      </c>
      <c r="F8" s="4698">
        <f t="shared" ref="F8:F22" si="1">IF(_xlfn.DAYS(E8,C8)=0,"1",_xlfn.DAYS(E8,C8))+1</f>
        <v>20</v>
      </c>
      <c r="G8" s="4687">
        <v>46300</v>
      </c>
      <c r="H8" s="4672">
        <f t="shared" ref="H8:H22" si="2">IF(_xlfn.DAYS(G8,E8)=0,"1",_xlfn.DAYS(G8,E8))-1</f>
        <v>1</v>
      </c>
      <c r="I8" s="4691" t="s">
        <v>5046</v>
      </c>
      <c r="J8" s="4692">
        <v>70</v>
      </c>
      <c r="K8" s="4693">
        <v>70</v>
      </c>
      <c r="L8" s="4692">
        <v>8000</v>
      </c>
      <c r="M8" s="4692">
        <v>10000</v>
      </c>
      <c r="N8" s="4971">
        <f t="shared" ref="N8:N14" si="3">M8*K8</f>
        <v>700000</v>
      </c>
      <c r="O8" s="4692">
        <v>8000</v>
      </c>
      <c r="P8" s="4678">
        <f>SUM(D8,F8,H8)*K8</f>
        <v>1610</v>
      </c>
      <c r="Q8" s="4679">
        <f t="shared" ref="Q8:Q22" si="4">(D8*L8+F8*M8+H8*O8)*K8</f>
        <v>15680000</v>
      </c>
      <c r="R8" s="4692">
        <v>19</v>
      </c>
      <c r="S8" s="4680" t="s">
        <v>5742</v>
      </c>
      <c r="T8" s="4694">
        <v>19</v>
      </c>
      <c r="U8" s="4692">
        <v>1</v>
      </c>
      <c r="V8" s="4692">
        <v>140</v>
      </c>
      <c r="W8" s="4680" t="s">
        <v>4521</v>
      </c>
      <c r="X8" s="4695">
        <v>200</v>
      </c>
      <c r="Y8" s="4692">
        <v>1</v>
      </c>
      <c r="Z8" s="4692" t="s">
        <v>5743</v>
      </c>
      <c r="AA8" s="4683" t="s">
        <v>5035</v>
      </c>
      <c r="AB8" s="4692"/>
      <c r="AC8" s="4683" t="s">
        <v>5050</v>
      </c>
      <c r="AD8" s="4692" t="s">
        <v>2814</v>
      </c>
      <c r="AE8" s="4696"/>
      <c r="AF8" s="4685">
        <f>U8*K8</f>
        <v>70</v>
      </c>
    </row>
    <row r="9" spans="1:32" ht="33.75" customHeight="1">
      <c r="A9" s="4686">
        <v>2</v>
      </c>
      <c r="B9" s="4687">
        <v>46277</v>
      </c>
      <c r="C9" s="4687">
        <v>46279</v>
      </c>
      <c r="D9" s="4672">
        <f t="shared" si="0"/>
        <v>2</v>
      </c>
      <c r="E9" s="4687">
        <v>46298</v>
      </c>
      <c r="F9" s="4698">
        <f t="shared" si="1"/>
        <v>20</v>
      </c>
      <c r="G9" s="4687">
        <v>46300</v>
      </c>
      <c r="H9" s="4672">
        <f t="shared" si="2"/>
        <v>1</v>
      </c>
      <c r="I9" s="5736" t="s">
        <v>5136</v>
      </c>
      <c r="J9" s="4692">
        <v>7</v>
      </c>
      <c r="K9" s="4693">
        <v>7</v>
      </c>
      <c r="L9" s="4692">
        <v>12000</v>
      </c>
      <c r="M9" s="4692">
        <v>16000</v>
      </c>
      <c r="N9" s="4971">
        <f t="shared" si="3"/>
        <v>112000</v>
      </c>
      <c r="O9" s="4692">
        <v>12000</v>
      </c>
      <c r="P9" s="4678">
        <f t="shared" ref="P9:P22" si="5">SUM(D9,F9,H9)*K9</f>
        <v>161</v>
      </c>
      <c r="Q9" s="4679">
        <f t="shared" si="4"/>
        <v>2492000</v>
      </c>
      <c r="R9" s="4692">
        <v>21</v>
      </c>
      <c r="S9" s="4680" t="s">
        <v>5742</v>
      </c>
      <c r="T9" s="4694">
        <v>21</v>
      </c>
      <c r="U9" s="4692">
        <v>2</v>
      </c>
      <c r="V9" s="4692">
        <v>240</v>
      </c>
      <c r="W9" s="4680" t="s">
        <v>4521</v>
      </c>
      <c r="X9" s="4695">
        <v>200</v>
      </c>
      <c r="Y9" s="4692">
        <v>1</v>
      </c>
      <c r="Z9" s="4692" t="s">
        <v>5743</v>
      </c>
      <c r="AA9" s="4683" t="s">
        <v>5035</v>
      </c>
      <c r="AB9" s="4692"/>
      <c r="AC9" s="4683" t="s">
        <v>5050</v>
      </c>
      <c r="AD9" s="4692" t="s">
        <v>2814</v>
      </c>
      <c r="AE9" s="4696"/>
      <c r="AF9" s="4685">
        <f t="shared" ref="AF9:AF22" si="6">U9*K9</f>
        <v>14</v>
      </c>
    </row>
    <row r="10" spans="1:32" ht="33.75" customHeight="1">
      <c r="A10" s="4686">
        <v>3</v>
      </c>
      <c r="B10" s="4687">
        <v>46277</v>
      </c>
      <c r="C10" s="4687">
        <v>46279</v>
      </c>
      <c r="D10" s="4672">
        <f t="shared" si="0"/>
        <v>2</v>
      </c>
      <c r="E10" s="4687">
        <v>46298</v>
      </c>
      <c r="F10" s="4698">
        <f t="shared" si="1"/>
        <v>20</v>
      </c>
      <c r="G10" s="4687">
        <v>46300</v>
      </c>
      <c r="H10" s="4672">
        <f t="shared" si="2"/>
        <v>1</v>
      </c>
      <c r="I10" s="4691" t="s">
        <v>5039</v>
      </c>
      <c r="J10" s="4692">
        <v>18</v>
      </c>
      <c r="K10" s="4693">
        <v>18</v>
      </c>
      <c r="L10" s="4692">
        <v>15000</v>
      </c>
      <c r="M10" s="4692">
        <v>19000</v>
      </c>
      <c r="N10" s="4971">
        <f t="shared" si="3"/>
        <v>342000</v>
      </c>
      <c r="O10" s="4692">
        <v>15000</v>
      </c>
      <c r="P10" s="4678">
        <f t="shared" si="5"/>
        <v>414</v>
      </c>
      <c r="Q10" s="4679">
        <f t="shared" si="4"/>
        <v>7650000</v>
      </c>
      <c r="R10" s="4692">
        <v>21</v>
      </c>
      <c r="S10" s="4680" t="s">
        <v>5742</v>
      </c>
      <c r="T10" s="4694">
        <v>21</v>
      </c>
      <c r="U10" s="4692">
        <v>2</v>
      </c>
      <c r="V10" s="4692">
        <v>120</v>
      </c>
      <c r="W10" s="4680" t="s">
        <v>4521</v>
      </c>
      <c r="X10" s="4695">
        <v>200</v>
      </c>
      <c r="Y10" s="4692">
        <v>2</v>
      </c>
      <c r="Z10" s="4692" t="s">
        <v>5743</v>
      </c>
      <c r="AA10" s="4683" t="s">
        <v>5035</v>
      </c>
      <c r="AB10" s="4692"/>
      <c r="AC10" s="4683" t="s">
        <v>5050</v>
      </c>
      <c r="AD10" s="4692" t="s">
        <v>2814</v>
      </c>
      <c r="AE10" s="4696"/>
      <c r="AF10" s="4685">
        <f t="shared" si="6"/>
        <v>36</v>
      </c>
    </row>
    <row r="11" spans="1:32" ht="33.75" customHeight="1">
      <c r="A11" s="4686">
        <v>4</v>
      </c>
      <c r="B11" s="4687">
        <v>46277</v>
      </c>
      <c r="C11" s="4687">
        <v>46279</v>
      </c>
      <c r="D11" s="4672">
        <f t="shared" si="0"/>
        <v>2</v>
      </c>
      <c r="E11" s="4687">
        <v>46298</v>
      </c>
      <c r="F11" s="4698">
        <f t="shared" si="1"/>
        <v>20</v>
      </c>
      <c r="G11" s="4687">
        <v>46300</v>
      </c>
      <c r="H11" s="4672">
        <f t="shared" si="2"/>
        <v>1</v>
      </c>
      <c r="I11" s="4691" t="s">
        <v>4514</v>
      </c>
      <c r="J11" s="4692">
        <v>3</v>
      </c>
      <c r="K11" s="4693">
        <v>3</v>
      </c>
      <c r="L11" s="4692">
        <v>18000</v>
      </c>
      <c r="M11" s="4692">
        <v>22000</v>
      </c>
      <c r="N11" s="4971">
        <f t="shared" si="3"/>
        <v>66000</v>
      </c>
      <c r="O11" s="4692">
        <v>18000</v>
      </c>
      <c r="P11" s="4678">
        <f t="shared" si="5"/>
        <v>69</v>
      </c>
      <c r="Q11" s="4679">
        <f t="shared" si="4"/>
        <v>1482000</v>
      </c>
      <c r="R11" s="4692">
        <v>55</v>
      </c>
      <c r="S11" s="4680" t="s">
        <v>5742</v>
      </c>
      <c r="T11" s="4694">
        <v>55</v>
      </c>
      <c r="U11" s="4692"/>
      <c r="V11" s="4692">
        <v>110</v>
      </c>
      <c r="W11" s="4680" t="s">
        <v>4521</v>
      </c>
      <c r="X11" s="4695">
        <v>200</v>
      </c>
      <c r="Y11" s="4692">
        <v>2</v>
      </c>
      <c r="Z11" s="4692" t="s">
        <v>5953</v>
      </c>
      <c r="AA11" s="4683" t="s">
        <v>5035</v>
      </c>
      <c r="AB11" s="4692"/>
      <c r="AC11" s="4683" t="s">
        <v>5050</v>
      </c>
      <c r="AD11" s="4692" t="s">
        <v>2814</v>
      </c>
      <c r="AE11" s="4696"/>
      <c r="AF11" s="4685">
        <f t="shared" si="6"/>
        <v>0</v>
      </c>
    </row>
    <row r="12" spans="1:32" ht="33.75" customHeight="1">
      <c r="A12" s="4686">
        <v>5</v>
      </c>
      <c r="B12" s="4687"/>
      <c r="C12" s="4687"/>
      <c r="D12" s="4672" t="str">
        <f t="shared" si="0"/>
        <v>1</v>
      </c>
      <c r="E12" s="4687"/>
      <c r="F12" s="4698">
        <f t="shared" si="1"/>
        <v>2</v>
      </c>
      <c r="G12" s="4699"/>
      <c r="H12" s="4672">
        <f t="shared" si="2"/>
        <v>0</v>
      </c>
      <c r="I12" s="4691"/>
      <c r="J12" s="4692"/>
      <c r="K12" s="4693"/>
      <c r="L12" s="4692"/>
      <c r="M12" s="4692"/>
      <c r="N12" s="4971">
        <f t="shared" si="3"/>
        <v>0</v>
      </c>
      <c r="O12" s="4692"/>
      <c r="P12" s="4678">
        <f t="shared" si="5"/>
        <v>0</v>
      </c>
      <c r="Q12" s="4679">
        <f t="shared" si="4"/>
        <v>0</v>
      </c>
      <c r="R12" s="4692"/>
      <c r="S12" s="4680" t="s">
        <v>5742</v>
      </c>
      <c r="T12" s="4694"/>
      <c r="U12" s="4700"/>
      <c r="V12" s="4692"/>
      <c r="W12" s="4680" t="s">
        <v>4521</v>
      </c>
      <c r="X12" s="4695"/>
      <c r="Y12" s="4692"/>
      <c r="Z12" s="4692"/>
      <c r="AA12" s="4683" t="s">
        <v>5035</v>
      </c>
      <c r="AB12" s="4692"/>
      <c r="AC12" s="4683" t="s">
        <v>5050</v>
      </c>
      <c r="AD12" s="4692"/>
      <c r="AE12" s="4696"/>
      <c r="AF12" s="4685">
        <f t="shared" si="6"/>
        <v>0</v>
      </c>
    </row>
    <row r="13" spans="1:32"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5"/>
        <v>0</v>
      </c>
      <c r="Q13" s="4679">
        <f t="shared" si="4"/>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t="str">
        <f t="shared" si="0"/>
        <v>1</v>
      </c>
      <c r="E14" s="4687"/>
      <c r="F14" s="4698">
        <f t="shared" si="1"/>
        <v>2</v>
      </c>
      <c r="G14" s="4699"/>
      <c r="H14" s="4672">
        <f t="shared" si="2"/>
        <v>0</v>
      </c>
      <c r="I14" s="4691"/>
      <c r="J14" s="4692"/>
      <c r="K14" s="4693"/>
      <c r="L14" s="4692"/>
      <c r="M14" s="4692"/>
      <c r="N14" s="4971">
        <f t="shared" si="3"/>
        <v>0</v>
      </c>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4691"/>
      <c r="J15" s="4692"/>
      <c r="K15" s="4693"/>
      <c r="L15" s="4692"/>
      <c r="M15" s="4692"/>
      <c r="N15" s="4692"/>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4691"/>
      <c r="J16" s="4692"/>
      <c r="K16" s="4693"/>
      <c r="L16" s="4692"/>
      <c r="M16" s="4692"/>
      <c r="N16" s="4692"/>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98</v>
      </c>
      <c r="K23" s="4707">
        <f>SUM(K8:K22)</f>
        <v>98</v>
      </c>
      <c r="L23" s="4703"/>
      <c r="M23" s="4703"/>
      <c r="N23" s="4703"/>
      <c r="O23" s="4703"/>
      <c r="P23" s="4706">
        <f>SUM(P8:P22)</f>
        <v>2254</v>
      </c>
      <c r="Q23" s="4706">
        <f>SUM(Q8:Q22)</f>
        <v>27304000</v>
      </c>
      <c r="R23" s="6863"/>
      <c r="S23" s="6864"/>
      <c r="T23" s="6865"/>
      <c r="U23" s="4708"/>
      <c r="V23" s="6863"/>
      <c r="W23" s="6864"/>
      <c r="X23" s="6864"/>
      <c r="Y23" s="4708"/>
      <c r="Z23" s="4708"/>
      <c r="AA23" s="6866"/>
      <c r="AB23" s="6867"/>
      <c r="AC23" s="6866"/>
      <c r="AD23" s="6867"/>
      <c r="AE23" s="4709"/>
      <c r="AF23" s="4685">
        <f>SUM(AF8:AF22)</f>
        <v>120</v>
      </c>
    </row>
    <row r="24" spans="1:32" ht="33.75" customHeight="1" thickBot="1">
      <c r="C24" s="4710"/>
      <c r="D24" s="4710"/>
      <c r="E24" s="4710"/>
      <c r="F24" s="4710"/>
      <c r="G24" s="4710"/>
      <c r="H24" s="4710"/>
      <c r="I24" s="4711"/>
      <c r="J24" s="4712"/>
      <c r="K24" s="4710"/>
      <c r="L24" s="4713" t="s">
        <v>5748</v>
      </c>
      <c r="M24" s="4714">
        <f>SUM(N7:N22)</f>
        <v>1220000</v>
      </c>
      <c r="N24" s="4715"/>
      <c r="O24" s="4715"/>
      <c r="P24" s="4715"/>
      <c r="S24" s="4656"/>
      <c r="W24" s="4656"/>
    </row>
    <row r="25" spans="1:32" ht="33.75" customHeight="1">
      <c r="A25" s="6845" t="s">
        <v>5749</v>
      </c>
      <c r="B25" s="6846"/>
      <c r="C25" s="4716">
        <f>P23</f>
        <v>2254</v>
      </c>
      <c r="D25" s="4717"/>
      <c r="F25" s="4718"/>
      <c r="H25" s="4719"/>
      <c r="I25" s="4720"/>
      <c r="K25" s="4659"/>
      <c r="L25" s="4721" t="s">
        <v>5750</v>
      </c>
      <c r="M25" s="4722">
        <f>M24*1.1</f>
        <v>1342000</v>
      </c>
      <c r="P25" s="4656"/>
    </row>
    <row r="26" spans="1:32" ht="33.75" customHeight="1">
      <c r="A26" s="6847" t="s">
        <v>5883</v>
      </c>
      <c r="B26" s="6848"/>
      <c r="C26" s="4723">
        <f>Q23</f>
        <v>27304000</v>
      </c>
      <c r="D26" s="4717"/>
      <c r="F26" s="4724"/>
      <c r="H26" s="4719"/>
      <c r="I26" s="4720"/>
      <c r="K26" s="4659"/>
      <c r="P26" s="4656"/>
    </row>
    <row r="27" spans="1:32" ht="33.75" customHeight="1" thickBot="1">
      <c r="A27" s="6913" t="s">
        <v>5751</v>
      </c>
      <c r="B27" s="6914"/>
      <c r="C27" s="4987">
        <f>ROUNDDOWN(C26*1.1,0)</f>
        <v>30034400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8:C22 E8:G22">
    <cfRule type="containsBlanks" dxfId="58" priority="5">
      <formula>LEN(TRIM(B8))=0</formula>
    </cfRule>
  </conditionalFormatting>
  <conditionalFormatting sqref="C2:D2">
    <cfRule type="containsBlanks" dxfId="57" priority="2">
      <formula>LEN(TRIM(C2))=0</formula>
    </cfRule>
  </conditionalFormatting>
  <conditionalFormatting sqref="D7:D22">
    <cfRule type="containsBlanks" dxfId="56" priority="4">
      <formula>LEN(TRIM(D7))=0</formula>
    </cfRule>
  </conditionalFormatting>
  <conditionalFormatting sqref="F7">
    <cfRule type="containsBlanks" dxfId="55" priority="3">
      <formula>LEN(TRIM(F7))=0</formula>
    </cfRule>
  </conditionalFormatting>
  <conditionalFormatting sqref="H7:O22">
    <cfRule type="containsBlanks" dxfId="54" priority="1">
      <formula>LEN(TRIM(H7))=0</formula>
    </cfRule>
  </conditionalFormatting>
  <conditionalFormatting sqref="Q7:R22">
    <cfRule type="containsBlanks" dxfId="53" priority="9">
      <formula>LEN(TRIM(Q7))=0</formula>
    </cfRule>
  </conditionalFormatting>
  <conditionalFormatting sqref="T7:V22">
    <cfRule type="containsBlanks" dxfId="52" priority="7">
      <formula>LEN(TRIM(T7))=0</formula>
    </cfRule>
  </conditionalFormatting>
  <conditionalFormatting sqref="X7:Z22">
    <cfRule type="containsBlanks" dxfId="51" priority="6">
      <formula>LEN(TRIM(X7))=0</formula>
    </cfRule>
  </conditionalFormatting>
  <conditionalFormatting sqref="AB7:AB22 AD7:AE22">
    <cfRule type="containsBlanks" dxfId="50" priority="8">
      <formula>LEN(TRIM(AB7))=0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F1585-8D88-4453-AA7D-FB08C8A7C55C}">
  <sheetPr codeName="Sheet397">
    <tabColor rgb="FFFFFF66"/>
    <pageSetUpPr fitToPage="1"/>
  </sheetPr>
  <dimension ref="A1:AE38"/>
  <sheetViews>
    <sheetView zoomScale="55" zoomScaleNormal="55" workbookViewId="0">
      <selection activeCell="F3" sqref="F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'[40]別紙1-1）客室提供条件'!C2</f>
        <v>クインテッサホテル　大垣</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854">
        <v>5</v>
      </c>
      <c r="N7" s="4855">
        <v>150000</v>
      </c>
      <c r="O7" s="4754">
        <f t="shared" ref="O7:O21" si="0">F7*N7</f>
        <v>3150000</v>
      </c>
      <c r="P7" s="4755" t="s">
        <v>5782</v>
      </c>
      <c r="Q7" s="4756">
        <v>4</v>
      </c>
      <c r="R7" s="4756" t="s">
        <v>3804</v>
      </c>
      <c r="S7" s="4751" t="s">
        <v>246</v>
      </c>
      <c r="T7" s="4756" t="s">
        <v>2161</v>
      </c>
      <c r="U7" s="4757">
        <v>2000</v>
      </c>
    </row>
    <row r="8" spans="1:31" s="4666" customFormat="1" ht="33.75" customHeight="1">
      <c r="A8" s="4758">
        <v>1</v>
      </c>
      <c r="B8" s="4816">
        <v>46277</v>
      </c>
      <c r="C8" s="4816">
        <v>46299</v>
      </c>
      <c r="D8" s="4759">
        <v>0</v>
      </c>
      <c r="E8" s="4759">
        <v>1</v>
      </c>
      <c r="F8" s="4760">
        <f t="shared" ref="F8:F21" si="1">IF(OR(ISBLANK($B8), ISBLANK($C8)), 0, _xlfn.DAYS($C8, $B8) + 1)</f>
        <v>23</v>
      </c>
      <c r="G8" s="4761" t="s">
        <v>6523</v>
      </c>
      <c r="H8" s="4762">
        <v>2</v>
      </c>
      <c r="I8" s="4763" t="s">
        <v>6452</v>
      </c>
      <c r="J8" s="4764">
        <v>6</v>
      </c>
      <c r="K8" s="4765">
        <v>8</v>
      </c>
      <c r="L8" s="4765">
        <v>54.72</v>
      </c>
      <c r="M8" s="4856">
        <v>3.5</v>
      </c>
      <c r="N8" s="4771">
        <v>150000</v>
      </c>
      <c r="O8" s="4766">
        <f t="shared" si="0"/>
        <v>3450000</v>
      </c>
      <c r="P8" s="4857" t="s">
        <v>2688</v>
      </c>
      <c r="Q8" s="4858" t="s">
        <v>5952</v>
      </c>
      <c r="R8" s="4864" t="s">
        <v>2688</v>
      </c>
      <c r="S8" s="4858" t="s">
        <v>5952</v>
      </c>
      <c r="T8" s="4859" t="s">
        <v>6151</v>
      </c>
      <c r="U8" s="4860">
        <v>0</v>
      </c>
    </row>
    <row r="9" spans="1:31" ht="33.75" customHeight="1">
      <c r="A9" s="4758">
        <v>2</v>
      </c>
      <c r="B9" s="4816">
        <v>46300</v>
      </c>
      <c r="C9" s="4816">
        <v>46300</v>
      </c>
      <c r="D9" s="4759">
        <v>0</v>
      </c>
      <c r="E9" s="4759">
        <v>0.5</v>
      </c>
      <c r="F9" s="4760">
        <f t="shared" si="1"/>
        <v>1</v>
      </c>
      <c r="G9" s="4761" t="s">
        <v>6523</v>
      </c>
      <c r="H9" s="4762">
        <v>2</v>
      </c>
      <c r="I9" s="4763" t="s">
        <v>6452</v>
      </c>
      <c r="J9" s="4764">
        <v>6</v>
      </c>
      <c r="K9" s="4765">
        <v>8</v>
      </c>
      <c r="L9" s="4765">
        <v>54.72</v>
      </c>
      <c r="M9" s="4856">
        <v>3.5</v>
      </c>
      <c r="N9" s="4775">
        <v>150000</v>
      </c>
      <c r="O9" s="4766">
        <f t="shared" si="0"/>
        <v>150000</v>
      </c>
      <c r="P9" s="4857" t="s">
        <v>2688</v>
      </c>
      <c r="Q9" s="4858" t="s">
        <v>5952</v>
      </c>
      <c r="R9" s="4864" t="s">
        <v>2688</v>
      </c>
      <c r="S9" s="4858" t="s">
        <v>5952</v>
      </c>
      <c r="T9" s="4859" t="s">
        <v>6151</v>
      </c>
      <c r="U9" s="4860">
        <v>0</v>
      </c>
      <c r="AC9" s="4657"/>
    </row>
    <row r="10" spans="1:31" ht="33.75" customHeight="1">
      <c r="A10" s="4758">
        <v>3</v>
      </c>
      <c r="B10" s="4816">
        <v>46277</v>
      </c>
      <c r="C10" s="4816">
        <v>46299</v>
      </c>
      <c r="D10" s="4759">
        <v>0</v>
      </c>
      <c r="E10" s="4759">
        <v>1</v>
      </c>
      <c r="F10" s="4770">
        <f t="shared" si="1"/>
        <v>23</v>
      </c>
      <c r="G10" s="4761" t="s">
        <v>6524</v>
      </c>
      <c r="H10" s="4762">
        <v>2</v>
      </c>
      <c r="I10" s="4763" t="s">
        <v>5818</v>
      </c>
      <c r="J10" s="4764">
        <v>7</v>
      </c>
      <c r="K10" s="4765">
        <v>8</v>
      </c>
      <c r="L10" s="4765">
        <v>54</v>
      </c>
      <c r="M10" s="4856">
        <v>75</v>
      </c>
      <c r="N10" s="4771">
        <v>150000</v>
      </c>
      <c r="O10" s="4766">
        <f t="shared" si="0"/>
        <v>3450000</v>
      </c>
      <c r="P10" s="4857" t="s">
        <v>6151</v>
      </c>
      <c r="Q10" s="4858">
        <v>2</v>
      </c>
      <c r="R10" s="4864" t="s">
        <v>6151</v>
      </c>
      <c r="S10" s="4858">
        <v>0</v>
      </c>
      <c r="T10" s="4859" t="s">
        <v>6151</v>
      </c>
      <c r="U10" s="4860">
        <v>0</v>
      </c>
      <c r="AC10" s="4657"/>
    </row>
    <row r="11" spans="1:31" ht="33.75" customHeight="1">
      <c r="A11" s="4758">
        <v>4</v>
      </c>
      <c r="B11" s="4816">
        <v>46300</v>
      </c>
      <c r="C11" s="4816">
        <v>46300</v>
      </c>
      <c r="D11" s="4759">
        <v>0</v>
      </c>
      <c r="E11" s="4759">
        <v>0.5</v>
      </c>
      <c r="F11" s="4760">
        <f t="shared" si="1"/>
        <v>1</v>
      </c>
      <c r="G11" s="4761" t="s">
        <v>6524</v>
      </c>
      <c r="H11" s="4762">
        <v>2</v>
      </c>
      <c r="I11" s="4763" t="s">
        <v>5818</v>
      </c>
      <c r="J11" s="4764">
        <v>7</v>
      </c>
      <c r="K11" s="4765">
        <v>8</v>
      </c>
      <c r="L11" s="4765">
        <v>54</v>
      </c>
      <c r="M11" s="4856">
        <v>75</v>
      </c>
      <c r="N11" s="4775">
        <v>150000</v>
      </c>
      <c r="O11" s="4766">
        <f t="shared" si="0"/>
        <v>150000</v>
      </c>
      <c r="P11" s="4857" t="s">
        <v>6151</v>
      </c>
      <c r="Q11" s="4858">
        <v>2</v>
      </c>
      <c r="R11" s="4864" t="s">
        <v>6151</v>
      </c>
      <c r="S11" s="4858">
        <v>0</v>
      </c>
      <c r="T11" s="4859" t="s">
        <v>6151</v>
      </c>
      <c r="U11" s="4860">
        <v>0</v>
      </c>
      <c r="AC11" s="4657"/>
    </row>
    <row r="12" spans="1:31" ht="33.75" customHeight="1">
      <c r="A12" s="4758">
        <v>5</v>
      </c>
      <c r="B12" s="4816">
        <v>46277</v>
      </c>
      <c r="C12" s="4816">
        <v>46299</v>
      </c>
      <c r="D12" s="4759">
        <v>0</v>
      </c>
      <c r="E12" s="4759">
        <v>1</v>
      </c>
      <c r="F12" s="4760">
        <f t="shared" si="1"/>
        <v>23</v>
      </c>
      <c r="G12" s="4761" t="s">
        <v>6525</v>
      </c>
      <c r="H12" s="4762">
        <v>2</v>
      </c>
      <c r="I12" s="4763" t="s">
        <v>5818</v>
      </c>
      <c r="J12" s="4764">
        <v>10</v>
      </c>
      <c r="K12" s="4765">
        <v>10</v>
      </c>
      <c r="L12" s="4765">
        <v>105</v>
      </c>
      <c r="M12" s="4856">
        <v>5</v>
      </c>
      <c r="N12" s="4771">
        <v>200000</v>
      </c>
      <c r="O12" s="4766">
        <f t="shared" si="0"/>
        <v>4600000</v>
      </c>
      <c r="P12" s="4909" t="s">
        <v>2688</v>
      </c>
      <c r="Q12" s="4858" t="s">
        <v>5952</v>
      </c>
      <c r="R12" s="4864" t="s">
        <v>6151</v>
      </c>
      <c r="S12" s="4858">
        <v>0</v>
      </c>
      <c r="T12" s="4859" t="s">
        <v>6151</v>
      </c>
      <c r="U12" s="4860">
        <v>0</v>
      </c>
      <c r="AC12" s="4657"/>
    </row>
    <row r="13" spans="1:31" ht="33.75" customHeight="1">
      <c r="A13" s="4758">
        <v>6</v>
      </c>
      <c r="B13" s="4816">
        <v>46300</v>
      </c>
      <c r="C13" s="4816">
        <v>46300</v>
      </c>
      <c r="D13" s="4759">
        <v>0</v>
      </c>
      <c r="E13" s="4759">
        <v>0.5</v>
      </c>
      <c r="F13" s="4760">
        <f t="shared" si="1"/>
        <v>1</v>
      </c>
      <c r="G13" s="4761" t="s">
        <v>6525</v>
      </c>
      <c r="H13" s="4762">
        <v>2</v>
      </c>
      <c r="I13" s="4763" t="s">
        <v>5818</v>
      </c>
      <c r="J13" s="4764">
        <v>10</v>
      </c>
      <c r="K13" s="4765">
        <v>10</v>
      </c>
      <c r="L13" s="4765">
        <v>105</v>
      </c>
      <c r="M13" s="4856">
        <v>5</v>
      </c>
      <c r="N13" s="4775">
        <v>200000</v>
      </c>
      <c r="O13" s="4766">
        <f t="shared" si="0"/>
        <v>200000</v>
      </c>
      <c r="P13" s="4909" t="s">
        <v>2688</v>
      </c>
      <c r="Q13" s="4858" t="s">
        <v>5952</v>
      </c>
      <c r="R13" s="4864" t="s">
        <v>6151</v>
      </c>
      <c r="S13" s="4858">
        <v>0</v>
      </c>
      <c r="T13" s="4859" t="s">
        <v>6151</v>
      </c>
      <c r="U13" s="4860">
        <v>0</v>
      </c>
      <c r="AC13" s="4657"/>
    </row>
    <row r="14" spans="1:31" ht="33.75" customHeight="1">
      <c r="A14" s="4758">
        <v>7</v>
      </c>
      <c r="B14" s="4816">
        <v>46277</v>
      </c>
      <c r="C14" s="4816">
        <v>46299</v>
      </c>
      <c r="D14" s="4759">
        <v>0</v>
      </c>
      <c r="E14" s="4759">
        <v>1</v>
      </c>
      <c r="F14" s="4760">
        <f t="shared" si="1"/>
        <v>23</v>
      </c>
      <c r="G14" s="4771" t="s">
        <v>6526</v>
      </c>
      <c r="H14" s="4762">
        <v>2</v>
      </c>
      <c r="I14" s="4763" t="s">
        <v>5818</v>
      </c>
      <c r="J14" s="4764">
        <v>12</v>
      </c>
      <c r="K14" s="4765">
        <v>11</v>
      </c>
      <c r="L14" s="4765">
        <v>140</v>
      </c>
      <c r="M14" s="4856">
        <v>5</v>
      </c>
      <c r="N14" s="4771">
        <v>200000</v>
      </c>
      <c r="O14" s="4766">
        <f t="shared" si="0"/>
        <v>4600000</v>
      </c>
      <c r="P14" s="4857" t="s">
        <v>2688</v>
      </c>
      <c r="Q14" s="4858" t="s">
        <v>5952</v>
      </c>
      <c r="R14" s="4859" t="s">
        <v>6151</v>
      </c>
      <c r="S14" s="4858">
        <v>0</v>
      </c>
      <c r="T14" s="4859" t="s">
        <v>6151</v>
      </c>
      <c r="U14" s="4860">
        <v>0</v>
      </c>
      <c r="AC14" s="4657"/>
    </row>
    <row r="15" spans="1:31" ht="33.75" customHeight="1">
      <c r="A15" s="4758">
        <v>8</v>
      </c>
      <c r="B15" s="4816">
        <v>46300</v>
      </c>
      <c r="C15" s="4816">
        <v>46300</v>
      </c>
      <c r="D15" s="4759">
        <v>0</v>
      </c>
      <c r="E15" s="4759">
        <v>0.5</v>
      </c>
      <c r="F15" s="4760">
        <f t="shared" si="1"/>
        <v>1</v>
      </c>
      <c r="G15" s="4771" t="s">
        <v>6526</v>
      </c>
      <c r="H15" s="4762">
        <v>2</v>
      </c>
      <c r="I15" s="4763" t="s">
        <v>5818</v>
      </c>
      <c r="J15" s="4764">
        <v>12</v>
      </c>
      <c r="K15" s="4765">
        <v>11</v>
      </c>
      <c r="L15" s="4765">
        <v>140</v>
      </c>
      <c r="M15" s="4856">
        <v>5</v>
      </c>
      <c r="N15" s="4775">
        <v>200000</v>
      </c>
      <c r="O15" s="4766">
        <f t="shared" si="0"/>
        <v>200000</v>
      </c>
      <c r="P15" s="4857" t="s">
        <v>2688</v>
      </c>
      <c r="Q15" s="4858" t="s">
        <v>5952</v>
      </c>
      <c r="R15" s="4859" t="s">
        <v>6151</v>
      </c>
      <c r="S15" s="4858">
        <v>0</v>
      </c>
      <c r="T15" s="4859" t="s">
        <v>6151</v>
      </c>
      <c r="U15" s="4860">
        <v>0</v>
      </c>
      <c r="AC15" s="4657"/>
    </row>
    <row r="16" spans="1:31" ht="33.75" customHeight="1">
      <c r="A16" s="4758">
        <v>9</v>
      </c>
      <c r="B16" s="4816">
        <v>46277</v>
      </c>
      <c r="C16" s="4816">
        <v>46299</v>
      </c>
      <c r="D16" s="4759">
        <v>0</v>
      </c>
      <c r="E16" s="4759">
        <v>1</v>
      </c>
      <c r="F16" s="4760">
        <f t="shared" si="1"/>
        <v>23</v>
      </c>
      <c r="G16" s="4771" t="s">
        <v>6383</v>
      </c>
      <c r="H16" s="4762">
        <v>2</v>
      </c>
      <c r="I16" s="4763"/>
      <c r="J16" s="4764"/>
      <c r="K16" s="4765"/>
      <c r="L16" s="4765"/>
      <c r="M16" s="4856"/>
      <c r="N16" s="5077">
        <v>0</v>
      </c>
      <c r="O16" s="4766">
        <f t="shared" si="0"/>
        <v>0</v>
      </c>
      <c r="P16" s="4857"/>
      <c r="Q16" s="4858"/>
      <c r="R16" s="4859"/>
      <c r="S16" s="4858"/>
      <c r="T16" s="4859"/>
      <c r="U16" s="4860"/>
      <c r="AC16" s="4657"/>
    </row>
    <row r="17" spans="1:31" ht="33.75" customHeight="1">
      <c r="A17" s="4758">
        <v>10</v>
      </c>
      <c r="B17" s="4816">
        <v>46300</v>
      </c>
      <c r="C17" s="4816">
        <v>46300</v>
      </c>
      <c r="D17" s="4759">
        <v>0</v>
      </c>
      <c r="E17" s="4759">
        <v>0.5</v>
      </c>
      <c r="F17" s="4760">
        <f t="shared" si="1"/>
        <v>1</v>
      </c>
      <c r="G17" s="4771" t="s">
        <v>6383</v>
      </c>
      <c r="H17" s="4762">
        <v>2</v>
      </c>
      <c r="I17" s="4763"/>
      <c r="J17" s="4764"/>
      <c r="K17" s="4765"/>
      <c r="L17" s="4765"/>
      <c r="M17" s="4856"/>
      <c r="N17" s="5077">
        <v>0</v>
      </c>
      <c r="O17" s="4766">
        <f t="shared" si="0"/>
        <v>0</v>
      </c>
      <c r="P17" s="4857"/>
      <c r="Q17" s="4858"/>
      <c r="R17" s="4859"/>
      <c r="S17" s="4858"/>
      <c r="T17" s="4859"/>
      <c r="U17" s="4860"/>
      <c r="AC17" s="4657"/>
    </row>
    <row r="18" spans="1:31" ht="33.75" customHeight="1">
      <c r="A18" s="4758">
        <v>11</v>
      </c>
      <c r="B18" s="4816">
        <v>46277</v>
      </c>
      <c r="C18" s="4816">
        <v>46299</v>
      </c>
      <c r="D18" s="4759">
        <v>0</v>
      </c>
      <c r="E18" s="4759">
        <v>1</v>
      </c>
      <c r="F18" s="4760">
        <f t="shared" si="1"/>
        <v>23</v>
      </c>
      <c r="G18" s="4771" t="s">
        <v>6527</v>
      </c>
      <c r="H18" s="4762">
        <v>2</v>
      </c>
      <c r="I18" s="4763"/>
      <c r="J18" s="4764"/>
      <c r="K18" s="4765"/>
      <c r="L18" s="4765"/>
      <c r="M18" s="4856"/>
      <c r="N18" s="5077">
        <v>0</v>
      </c>
      <c r="O18" s="4766">
        <f t="shared" si="0"/>
        <v>0</v>
      </c>
      <c r="P18" s="4857"/>
      <c r="Q18" s="4858"/>
      <c r="R18" s="4859"/>
      <c r="S18" s="4858"/>
      <c r="T18" s="4859"/>
      <c r="U18" s="4860"/>
      <c r="AC18" s="4657"/>
    </row>
    <row r="19" spans="1:31" ht="33.75" customHeight="1">
      <c r="A19" s="4758">
        <v>12</v>
      </c>
      <c r="B19" s="4816">
        <v>46300</v>
      </c>
      <c r="C19" s="4816">
        <v>46300</v>
      </c>
      <c r="D19" s="4759">
        <v>0</v>
      </c>
      <c r="E19" s="4759">
        <v>0.5</v>
      </c>
      <c r="F19" s="4760">
        <f t="shared" si="1"/>
        <v>1</v>
      </c>
      <c r="G19" s="4771" t="s">
        <v>6527</v>
      </c>
      <c r="H19" s="4762">
        <v>2</v>
      </c>
      <c r="I19" s="4763"/>
      <c r="J19" s="4764"/>
      <c r="K19" s="4765"/>
      <c r="L19" s="4765"/>
      <c r="M19" s="4856"/>
      <c r="N19" s="5077">
        <v>0</v>
      </c>
      <c r="O19" s="4766">
        <f t="shared" si="0"/>
        <v>0</v>
      </c>
      <c r="P19" s="4857"/>
      <c r="Q19" s="4858"/>
      <c r="R19" s="4859"/>
      <c r="S19" s="4858"/>
      <c r="T19" s="4859"/>
      <c r="U19" s="4860"/>
      <c r="AC19" s="4657"/>
    </row>
    <row r="20" spans="1:31" ht="33.75" customHeight="1">
      <c r="A20" s="4758">
        <v>13</v>
      </c>
      <c r="B20" s="5737">
        <v>46277</v>
      </c>
      <c r="C20" s="5737">
        <v>46300</v>
      </c>
      <c r="D20" s="5738">
        <v>0</v>
      </c>
      <c r="E20" s="5738">
        <v>1</v>
      </c>
      <c r="F20" s="5739">
        <f t="shared" si="1"/>
        <v>24</v>
      </c>
      <c r="G20" s="5740" t="s">
        <v>6528</v>
      </c>
      <c r="H20" s="5741">
        <v>3</v>
      </c>
      <c r="I20" s="5742" t="s">
        <v>5818</v>
      </c>
      <c r="J20" s="5743">
        <v>21</v>
      </c>
      <c r="K20" s="5744">
        <v>29</v>
      </c>
      <c r="L20" s="5744">
        <v>610</v>
      </c>
      <c r="M20" s="5745">
        <v>5</v>
      </c>
      <c r="N20" s="5740"/>
      <c r="O20" s="5746">
        <f t="shared" si="0"/>
        <v>0</v>
      </c>
      <c r="P20" s="5747" t="s">
        <v>6151</v>
      </c>
      <c r="Q20" s="5748">
        <v>2</v>
      </c>
      <c r="R20" s="5749" t="s">
        <v>6151</v>
      </c>
      <c r="S20" s="5748">
        <v>0</v>
      </c>
      <c r="T20" s="5749" t="s">
        <v>6151</v>
      </c>
      <c r="U20" s="5750">
        <v>0</v>
      </c>
      <c r="AC20" s="4657"/>
    </row>
    <row r="21" spans="1:31" ht="33.75" customHeight="1" thickBot="1">
      <c r="A21" s="4758">
        <v>14</v>
      </c>
      <c r="B21" s="5737">
        <v>46301</v>
      </c>
      <c r="C21" s="5737">
        <v>46301</v>
      </c>
      <c r="D21" s="5738">
        <v>0</v>
      </c>
      <c r="E21" s="5738">
        <v>0.5</v>
      </c>
      <c r="F21" s="5739">
        <f t="shared" si="1"/>
        <v>1</v>
      </c>
      <c r="G21" s="5740" t="s">
        <v>6528</v>
      </c>
      <c r="H21" s="5741">
        <v>3</v>
      </c>
      <c r="I21" s="5742" t="s">
        <v>5818</v>
      </c>
      <c r="J21" s="5743">
        <v>21</v>
      </c>
      <c r="K21" s="5744">
        <v>29</v>
      </c>
      <c r="L21" s="5744">
        <v>610</v>
      </c>
      <c r="M21" s="5745">
        <v>5</v>
      </c>
      <c r="N21" s="5751"/>
      <c r="O21" s="5746">
        <f t="shared" si="0"/>
        <v>0</v>
      </c>
      <c r="P21" s="5747" t="s">
        <v>6151</v>
      </c>
      <c r="Q21" s="5748">
        <v>2</v>
      </c>
      <c r="R21" s="5749" t="s">
        <v>6151</v>
      </c>
      <c r="S21" s="5748">
        <v>0</v>
      </c>
      <c r="T21" s="5749" t="s">
        <v>6151</v>
      </c>
      <c r="U21" s="5750">
        <v>0</v>
      </c>
      <c r="AC21" s="4657"/>
    </row>
    <row r="22" spans="1:31" ht="33.75" customHeight="1" thickTop="1" thickBot="1">
      <c r="A22" s="4778" t="s">
        <v>5845</v>
      </c>
      <c r="B22" s="4779"/>
      <c r="C22" s="4779"/>
      <c r="D22" s="4779"/>
      <c r="E22" s="4779"/>
      <c r="F22" s="4780">
        <f>SUM(F8:F21)</f>
        <v>169</v>
      </c>
      <c r="G22" s="4779"/>
      <c r="H22" s="4781"/>
      <c r="I22" s="4782">
        <f>COUNTA(I8,I10,I12,I14)</f>
        <v>4</v>
      </c>
      <c r="J22" s="4783"/>
      <c r="K22" s="4784"/>
      <c r="L22" s="4784"/>
      <c r="M22" s="4784"/>
      <c r="N22" s="4785"/>
      <c r="O22" s="4922">
        <f>SUM(O8:O21)</f>
        <v>16800000</v>
      </c>
      <c r="P22" s="4787"/>
      <c r="Q22" s="4787"/>
      <c r="R22" s="4788"/>
      <c r="S22" s="4789"/>
      <c r="T22" s="4788"/>
      <c r="U22" s="4790"/>
      <c r="AC22" s="4657"/>
    </row>
    <row r="23" spans="1:31" ht="33.75" customHeight="1" thickBot="1">
      <c r="A23" s="4876" t="s">
        <v>5792</v>
      </c>
      <c r="B23" s="4877"/>
      <c r="C23" s="4878"/>
      <c r="D23" s="4878"/>
      <c r="E23" s="4878"/>
      <c r="F23" s="4879"/>
      <c r="G23" s="4878"/>
      <c r="H23" s="4880"/>
      <c r="I23" s="4878"/>
      <c r="J23" s="4881"/>
      <c r="K23" s="4881"/>
      <c r="L23" s="4881"/>
      <c r="M23" s="4881"/>
      <c r="N23" s="4882"/>
      <c r="O23" s="4923">
        <f>O22*1.1</f>
        <v>18480000</v>
      </c>
      <c r="P23" s="4884"/>
      <c r="Q23" s="4885"/>
      <c r="R23" s="4886"/>
      <c r="S23" s="4887"/>
      <c r="T23" s="4886"/>
      <c r="U23" s="4888"/>
      <c r="AC23" s="4657"/>
    </row>
    <row r="24" spans="1:31" ht="33.75" customHeight="1">
      <c r="A24" s="4656"/>
      <c r="B24" s="4660"/>
      <c r="C24" s="4660"/>
      <c r="D24" s="4660"/>
      <c r="G24" s="4660"/>
      <c r="H24" s="4660"/>
      <c r="M24" s="4808" t="s">
        <v>5748</v>
      </c>
      <c r="N24" s="4809">
        <f>SUM(N8,N10,N12,N14)</f>
        <v>700000</v>
      </c>
      <c r="O24" s="4656"/>
      <c r="P24" s="4657"/>
      <c r="Q24" s="4657"/>
      <c r="AC24" s="4657"/>
    </row>
    <row r="25" spans="1:31" ht="32.15" customHeight="1">
      <c r="A25" s="4656"/>
      <c r="B25" s="4660"/>
      <c r="C25" s="4660"/>
      <c r="D25" s="4660"/>
      <c r="G25" s="4660"/>
      <c r="H25" s="4660"/>
      <c r="M25" s="4808" t="s">
        <v>5750</v>
      </c>
      <c r="N25" s="4809">
        <f>N24*1.1</f>
        <v>770000.00000000012</v>
      </c>
      <c r="O25" s="4656"/>
      <c r="P25" s="4657"/>
      <c r="Q25" s="4657"/>
      <c r="AC25" s="4657"/>
    </row>
    <row r="26" spans="1:31" ht="32.15" customHeight="1">
      <c r="B26" s="4657"/>
      <c r="C26" s="4657"/>
      <c r="D26" s="4657"/>
      <c r="E26" s="4810"/>
      <c r="F26" s="4811"/>
      <c r="G26" s="4657"/>
      <c r="H26" s="4657"/>
      <c r="O26" s="4656"/>
      <c r="P26" s="4657"/>
      <c r="Q26" s="4657"/>
      <c r="AC26" s="4657"/>
    </row>
    <row r="27" spans="1:31" ht="32.15" customHeight="1">
      <c r="A27" s="4812"/>
      <c r="B27" s="4813"/>
      <c r="C27" s="4813"/>
      <c r="D27" s="4813"/>
      <c r="E27" s="4814"/>
      <c r="F27" s="4814"/>
      <c r="G27" s="4813"/>
      <c r="H27" s="4813"/>
      <c r="I27" s="4812"/>
      <c r="J27" s="4812"/>
      <c r="K27" s="4812"/>
      <c r="L27" s="4812"/>
      <c r="M27" s="4812"/>
      <c r="N27" s="4812"/>
      <c r="O27" s="4715"/>
      <c r="P27" s="4715"/>
      <c r="Q27" s="4715"/>
      <c r="R27" s="4656"/>
      <c r="S27" s="4812"/>
      <c r="T27" s="4656"/>
      <c r="U27" s="4812"/>
      <c r="W27" s="6905"/>
      <c r="X27" s="6905"/>
      <c r="Y27" s="6905"/>
      <c r="Z27" s="6905"/>
      <c r="AA27" s="6905"/>
      <c r="AB27" s="6891"/>
      <c r="AC27" s="6891"/>
      <c r="AD27" s="6891"/>
      <c r="AE27" s="6891"/>
    </row>
    <row r="28" spans="1:31" ht="36" customHeight="1"/>
    <row r="29" spans="1:31" ht="36" customHeight="1"/>
    <row r="30" spans="1:31" ht="36" customHeight="1"/>
    <row r="31" spans="1:31" ht="36" customHeight="1"/>
    <row r="32" spans="1:31" ht="36" customHeight="1"/>
    <row r="33" spans="2:29" ht="36" customHeight="1"/>
    <row r="34" spans="2:29" ht="36" customHeight="1"/>
    <row r="35" spans="2:29" ht="36" customHeight="1"/>
    <row r="36" spans="2:29" ht="36" customHeight="1"/>
    <row r="37" spans="2:29" ht="36" customHeight="1"/>
    <row r="38" spans="2:29" ht="10.4" customHeight="1">
      <c r="B38" s="4657"/>
      <c r="C38" s="4657"/>
      <c r="D38" s="4657"/>
      <c r="G38" s="4657"/>
      <c r="H38" s="4657"/>
      <c r="O38" s="4656"/>
      <c r="P38" s="4657"/>
      <c r="Q38" s="4657"/>
      <c r="AC38" s="4657"/>
    </row>
  </sheetData>
  <mergeCells count="21">
    <mergeCell ref="A2:B2"/>
    <mergeCell ref="C2:G2"/>
    <mergeCell ref="A5:A6"/>
    <mergeCell ref="B5:B6"/>
    <mergeCell ref="C5:C6"/>
    <mergeCell ref="D5:D6"/>
    <mergeCell ref="E5:E6"/>
    <mergeCell ref="F5:F6"/>
    <mergeCell ref="G5:G6"/>
    <mergeCell ref="AB27:AE27"/>
    <mergeCell ref="H5:H6"/>
    <mergeCell ref="I5:I6"/>
    <mergeCell ref="J5:J6"/>
    <mergeCell ref="K5:K6"/>
    <mergeCell ref="L5:L6"/>
    <mergeCell ref="M5:M6"/>
    <mergeCell ref="N5:N6"/>
    <mergeCell ref="O5:O6"/>
    <mergeCell ref="P5:Q5"/>
    <mergeCell ref="R5:U5"/>
    <mergeCell ref="W27:AA27"/>
  </mergeCells>
  <phoneticPr fontId="2"/>
  <conditionalFormatting sqref="B8:E21 G8:N21 P8:U21">
    <cfRule type="containsBlanks" dxfId="49" priority="1">
      <formula>LEN(TRIM(B8))=0</formula>
    </cfRule>
  </conditionalFormatting>
  <conditionalFormatting sqref="C2:D2">
    <cfRule type="containsBlanks" dxfId="48" priority="2">
      <formula>LEN(TRIM(C2))=0</formula>
    </cfRule>
  </conditionalFormatting>
  <dataValidations count="1">
    <dataValidation type="list" allowBlank="1" showInputMessage="1" showErrorMessage="1" sqref="I7:I21" xr:uid="{1D2742F8-305B-4C63-A9B7-44D99B2FF183}">
      <formula1>会場形態</formula1>
    </dataValidation>
  </dataValidations>
  <printOptions horizontalCentered="1"/>
  <pageMargins left="0.39370078740157483" right="0.39370078740157483" top="0.55118110236220474" bottom="0.55118110236220474" header="0.31496062992125984" footer="0.31496062992125984"/>
  <pageSetup paperSize="9" scale="45" orientation="landscape" r:id="rId1"/>
  <headerFooter>
    <oddHeader>&amp;R&amp;G</oddHead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DB5CB-66F1-454B-88A8-1F97C0697A92}">
  <sheetPr codeName="Sheet398">
    <tabColor rgb="FFFFFF66"/>
    <pageSetUpPr fitToPage="1"/>
  </sheetPr>
  <dimension ref="A1:AF40"/>
  <sheetViews>
    <sheetView topLeftCell="A16" zoomScale="55" zoomScaleNormal="55" zoomScaleSheetLayoutView="70" workbookViewId="0"/>
  </sheetViews>
  <sheetFormatPr defaultColWidth="9.81640625" defaultRowHeight="18"/>
  <cols>
    <col min="1" max="1" width="7.453125" style="4656" customWidth="1"/>
    <col min="2" max="2" width="24.54296875" style="4656" customWidth="1"/>
    <col min="3" max="3" width="25.7265625" style="4657" customWidth="1"/>
    <col min="4" max="4" width="7.54296875" style="4657" customWidth="1"/>
    <col min="5" max="5" width="25.7265625" style="4657" customWidth="1"/>
    <col min="6" max="6" width="7.54296875" style="4657" customWidth="1"/>
    <col min="7" max="7" width="23.26953125" style="4656" customWidth="1"/>
    <col min="8" max="8" width="7.54296875" style="4657" customWidth="1"/>
    <col min="9" max="9" width="30.1796875" style="4658" bestFit="1" customWidth="1"/>
    <col min="10" max="11" width="11" style="4656" customWidth="1"/>
    <col min="12" max="13" width="25.1796875" style="4659" customWidth="1"/>
    <col min="14" max="14" width="3.54296875" style="4659" customWidth="1"/>
    <col min="15" max="15" width="25.1796875" style="4659" customWidth="1"/>
    <col min="16" max="16" width="16.453125" style="4659" bestFit="1" customWidth="1"/>
    <col min="17" max="17" width="20.26953125" style="4656" customWidth="1"/>
    <col min="18" max="18" width="11" style="4657" customWidth="1"/>
    <col min="19" max="19" width="9.453125" style="4657" customWidth="1"/>
    <col min="20" max="20" width="11" style="4657" customWidth="1"/>
    <col min="21" max="21" width="12.453125" style="4657" customWidth="1"/>
    <col min="22" max="22" width="11" style="4657" customWidth="1"/>
    <col min="23" max="23" width="9.453125" style="4657" customWidth="1"/>
    <col min="24" max="25" width="11" style="4657" customWidth="1"/>
    <col min="26" max="26" width="24" style="4657" customWidth="1"/>
    <col min="27" max="27" width="9.81640625" style="4657"/>
    <col min="28" max="28" width="7.7265625" style="4657" customWidth="1"/>
    <col min="29" max="29" width="9.81640625" style="4657"/>
    <col min="30" max="30" width="7.7265625" style="4657" customWidth="1"/>
    <col min="31" max="31" width="40.1796875" style="4657" customWidth="1"/>
    <col min="32" max="32" width="22.1796875" style="4657" customWidth="1"/>
    <col min="33" max="16384" width="9.81640625" style="4657"/>
  </cols>
  <sheetData>
    <row r="1" spans="1:32" ht="21" customHeight="1" thickBot="1">
      <c r="S1" s="4656"/>
      <c r="U1" s="4660"/>
      <c r="W1" s="4656"/>
    </row>
    <row r="2" spans="1:32" ht="44.25" customHeight="1" thickBot="1">
      <c r="A2" s="6874" t="s">
        <v>5707</v>
      </c>
      <c r="B2" s="6875"/>
      <c r="C2" s="6876" t="s">
        <v>2885</v>
      </c>
      <c r="D2" s="6876"/>
      <c r="E2" s="6876"/>
      <c r="F2" s="6876"/>
      <c r="G2" s="6876"/>
      <c r="H2" s="4661" t="s">
        <v>5709</v>
      </c>
      <c r="I2" s="4662"/>
      <c r="J2" s="4663"/>
      <c r="L2" s="4663"/>
      <c r="M2" s="4663"/>
      <c r="N2" s="4663"/>
      <c r="O2" s="4663"/>
      <c r="S2" s="4656"/>
      <c r="U2" s="4660"/>
      <c r="W2" s="4656"/>
      <c r="AE2" s="4664" t="s">
        <v>5710</v>
      </c>
    </row>
    <row r="3" spans="1:32" ht="10.4" customHeight="1">
      <c r="S3" s="4656"/>
      <c r="U3" s="4660"/>
      <c r="W3" s="4656"/>
    </row>
    <row r="4" spans="1:32" ht="33.75" customHeight="1" thickBot="1">
      <c r="A4" s="4665" t="s">
        <v>5711</v>
      </c>
      <c r="B4" s="4665"/>
      <c r="S4" s="4656"/>
      <c r="W4" s="4656"/>
      <c r="Z4" s="4656"/>
      <c r="AA4" s="4656"/>
      <c r="AB4" s="4656"/>
      <c r="AC4" s="4656"/>
      <c r="AD4" s="4656"/>
      <c r="AF4" s="4656" t="s">
        <v>5712</v>
      </c>
    </row>
    <row r="5" spans="1:32"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6855" t="s">
        <v>5798</v>
      </c>
      <c r="P5" s="6851" t="s">
        <v>3766</v>
      </c>
      <c r="Q5" s="6853"/>
      <c r="R5" s="6868" t="s">
        <v>5728</v>
      </c>
      <c r="S5" s="6869"/>
      <c r="T5" s="6870"/>
      <c r="U5" s="6855" t="s">
        <v>5729</v>
      </c>
      <c r="V5" s="6869" t="s">
        <v>5730</v>
      </c>
      <c r="W5" s="6869"/>
      <c r="X5" s="6869"/>
      <c r="Y5" s="6868" t="s">
        <v>5731</v>
      </c>
      <c r="Z5" s="6851" t="s">
        <v>5732</v>
      </c>
      <c r="AA5" s="6851" t="s">
        <v>5733</v>
      </c>
      <c r="AB5" s="6853"/>
      <c r="AC5" s="6853"/>
      <c r="AD5" s="6853"/>
      <c r="AE5" s="6860" t="s">
        <v>2792</v>
      </c>
      <c r="AF5" s="6862" t="s">
        <v>5734</v>
      </c>
    </row>
    <row r="6" spans="1:32" s="4666" customFormat="1" ht="20">
      <c r="A6" s="6878"/>
      <c r="B6" s="6880"/>
      <c r="C6" s="6858"/>
      <c r="D6" s="6856"/>
      <c r="E6" s="6856"/>
      <c r="F6" s="6881"/>
      <c r="G6" s="6856"/>
      <c r="H6" s="6856"/>
      <c r="I6" s="6858"/>
      <c r="J6" s="6859"/>
      <c r="K6" s="6859"/>
      <c r="L6" s="6856"/>
      <c r="M6" s="6856"/>
      <c r="N6" s="4968"/>
      <c r="O6" s="6856"/>
      <c r="P6" s="4667" t="s">
        <v>5735</v>
      </c>
      <c r="Q6" s="4668" t="s">
        <v>5736</v>
      </c>
      <c r="R6" s="6871"/>
      <c r="S6" s="6872"/>
      <c r="T6" s="6873"/>
      <c r="U6" s="6856"/>
      <c r="V6" s="6872"/>
      <c r="W6" s="6872"/>
      <c r="X6" s="6872"/>
      <c r="Y6" s="6852"/>
      <c r="Z6" s="6852"/>
      <c r="AA6" s="6852"/>
      <c r="AB6" s="6854"/>
      <c r="AC6" s="6854"/>
      <c r="AD6" s="6854"/>
      <c r="AE6" s="6861"/>
      <c r="AF6" s="6862"/>
    </row>
    <row r="7" spans="1:32"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v>8000</v>
      </c>
      <c r="P7" s="4678">
        <f>SUM(D7,F7,H7)*K7</f>
        <v>1440</v>
      </c>
      <c r="Q7" s="4679">
        <f>(D7*L7+F7*M7+H7*O7)*K7</f>
        <v>14040000</v>
      </c>
      <c r="R7" s="4675">
        <v>21</v>
      </c>
      <c r="S7" s="4680" t="s">
        <v>5742</v>
      </c>
      <c r="T7" s="4681">
        <v>21</v>
      </c>
      <c r="U7" s="4815">
        <v>1</v>
      </c>
      <c r="V7" s="4675">
        <v>154</v>
      </c>
      <c r="W7" s="4680" t="s">
        <v>4521</v>
      </c>
      <c r="X7" s="4682">
        <v>203</v>
      </c>
      <c r="Y7" s="4675">
        <v>1</v>
      </c>
      <c r="Z7" s="4675" t="s">
        <v>5740</v>
      </c>
      <c r="AA7" s="4683" t="s">
        <v>5035</v>
      </c>
      <c r="AB7" s="4675" t="s">
        <v>2830</v>
      </c>
      <c r="AC7" s="4683" t="s">
        <v>5050</v>
      </c>
      <c r="AD7" s="4675" t="s">
        <v>5741</v>
      </c>
      <c r="AE7" s="4684"/>
      <c r="AF7" s="4685"/>
    </row>
    <row r="8" spans="1:32" ht="33.75" customHeight="1">
      <c r="A8" s="4686">
        <v>1</v>
      </c>
      <c r="B8" s="4687">
        <v>46277</v>
      </c>
      <c r="C8" s="4687">
        <v>46279</v>
      </c>
      <c r="D8" s="4672">
        <f t="shared" ref="D8:D22" si="0">IF(_xlfn.DAYS(C8,B8)=0,"1",_xlfn.DAYS(C8,B8))</f>
        <v>2</v>
      </c>
      <c r="E8" s="4687">
        <v>46297</v>
      </c>
      <c r="F8" s="4698">
        <f t="shared" ref="F8:F22" si="1">IF(_xlfn.DAYS(E8,C8)=0,"1",_xlfn.DAYS(E8,C8))+1</f>
        <v>19</v>
      </c>
      <c r="G8" s="4699">
        <v>46299</v>
      </c>
      <c r="H8" s="4672">
        <f t="shared" ref="H8:H22" si="2">IF(_xlfn.DAYS(G8,E8)=0,"1",_xlfn.DAYS(G8,E8))-1</f>
        <v>1</v>
      </c>
      <c r="I8" s="4691" t="s">
        <v>6529</v>
      </c>
      <c r="J8" s="4692"/>
      <c r="K8" s="4692">
        <v>69</v>
      </c>
      <c r="L8" s="4692">
        <v>20000</v>
      </c>
      <c r="M8" s="4692">
        <v>22500</v>
      </c>
      <c r="N8" s="4971">
        <f t="shared" ref="N8:N13" si="3">M8*K8</f>
        <v>1552500</v>
      </c>
      <c r="O8" s="4692">
        <v>20000</v>
      </c>
      <c r="P8" s="4678">
        <f>SUM(D8,F8,H8)*K8</f>
        <v>1518</v>
      </c>
      <c r="Q8" s="4679">
        <f t="shared" ref="Q8:Q22" si="4">(D8*L8+F8*M8+H8*O8)*K8</f>
        <v>33637500</v>
      </c>
      <c r="R8" s="4692">
        <v>18</v>
      </c>
      <c r="S8" s="5752" t="s">
        <v>5742</v>
      </c>
      <c r="T8" s="4695">
        <v>18</v>
      </c>
      <c r="U8" s="4700">
        <v>1</v>
      </c>
      <c r="V8" s="4692"/>
      <c r="W8" s="4680" t="s">
        <v>4521</v>
      </c>
      <c r="X8" s="4695"/>
      <c r="Y8" s="4692">
        <v>1</v>
      </c>
      <c r="Z8" s="4692"/>
      <c r="AA8" s="4683" t="s">
        <v>5035</v>
      </c>
      <c r="AB8" s="4692"/>
      <c r="AC8" s="4683" t="s">
        <v>5050</v>
      </c>
      <c r="AD8" s="4692"/>
      <c r="AE8" s="4696"/>
      <c r="AF8" s="4685">
        <f>U8*K8</f>
        <v>69</v>
      </c>
    </row>
    <row r="9" spans="1:32" ht="33.75" customHeight="1">
      <c r="A9" s="4686">
        <v>2</v>
      </c>
      <c r="B9" s="4687">
        <v>46277</v>
      </c>
      <c r="C9" s="4687">
        <v>46279</v>
      </c>
      <c r="D9" s="4672">
        <f t="shared" si="0"/>
        <v>2</v>
      </c>
      <c r="E9" s="4687">
        <v>46297</v>
      </c>
      <c r="F9" s="4698">
        <f t="shared" si="1"/>
        <v>19</v>
      </c>
      <c r="G9" s="4699">
        <v>46299</v>
      </c>
      <c r="H9" s="4672">
        <f t="shared" si="2"/>
        <v>1</v>
      </c>
      <c r="I9" s="4691" t="s">
        <v>6530</v>
      </c>
      <c r="J9" s="4692"/>
      <c r="K9" s="4692">
        <v>2</v>
      </c>
      <c r="L9" s="4692">
        <v>32000</v>
      </c>
      <c r="M9" s="4692">
        <v>34500</v>
      </c>
      <c r="N9" s="4971">
        <f t="shared" si="3"/>
        <v>69000</v>
      </c>
      <c r="O9" s="4692">
        <v>32000</v>
      </c>
      <c r="P9" s="4678">
        <f t="shared" ref="P9:P22" si="5">SUM(D9,F9,H9)*K9</f>
        <v>44</v>
      </c>
      <c r="Q9" s="4679">
        <f t="shared" si="4"/>
        <v>1503000</v>
      </c>
      <c r="R9" s="4692">
        <v>27</v>
      </c>
      <c r="S9" s="5752" t="s">
        <v>5742</v>
      </c>
      <c r="T9" s="4695">
        <v>27</v>
      </c>
      <c r="U9" s="4700">
        <v>1</v>
      </c>
      <c r="V9" s="4692"/>
      <c r="W9" s="4680" t="s">
        <v>4521</v>
      </c>
      <c r="X9" s="4695"/>
      <c r="Y9" s="4692">
        <v>1</v>
      </c>
      <c r="Z9" s="4692"/>
      <c r="AA9" s="4683" t="s">
        <v>5035</v>
      </c>
      <c r="AB9" s="4692"/>
      <c r="AC9" s="4683" t="s">
        <v>5050</v>
      </c>
      <c r="AD9" s="4692"/>
      <c r="AE9" s="4696"/>
      <c r="AF9" s="4685">
        <f t="shared" ref="AF9:AF22" si="6">U9*K9</f>
        <v>2</v>
      </c>
    </row>
    <row r="10" spans="1:32" ht="33.75" customHeight="1">
      <c r="A10" s="4686">
        <v>3</v>
      </c>
      <c r="B10" s="4687">
        <v>46277</v>
      </c>
      <c r="C10" s="4687">
        <v>46279</v>
      </c>
      <c r="D10" s="4672">
        <f t="shared" si="0"/>
        <v>2</v>
      </c>
      <c r="E10" s="4687">
        <v>46297</v>
      </c>
      <c r="F10" s="4698">
        <f t="shared" si="1"/>
        <v>19</v>
      </c>
      <c r="G10" s="4699">
        <v>46299</v>
      </c>
      <c r="H10" s="4672">
        <f t="shared" si="2"/>
        <v>1</v>
      </c>
      <c r="I10" s="4691" t="s">
        <v>6531</v>
      </c>
      <c r="J10" s="4692"/>
      <c r="K10" s="4692">
        <v>46</v>
      </c>
      <c r="L10" s="4692">
        <v>32000</v>
      </c>
      <c r="M10" s="4692">
        <v>37000</v>
      </c>
      <c r="N10" s="4971">
        <f t="shared" si="3"/>
        <v>1702000</v>
      </c>
      <c r="O10" s="4692">
        <v>32000</v>
      </c>
      <c r="P10" s="4678">
        <f t="shared" si="5"/>
        <v>1012</v>
      </c>
      <c r="Q10" s="4679">
        <f t="shared" si="4"/>
        <v>36754000</v>
      </c>
      <c r="R10" s="4692">
        <v>27</v>
      </c>
      <c r="S10" s="5752" t="s">
        <v>5742</v>
      </c>
      <c r="T10" s="4695">
        <v>27</v>
      </c>
      <c r="U10" s="4700">
        <v>2</v>
      </c>
      <c r="V10" s="4692"/>
      <c r="W10" s="4680" t="s">
        <v>4521</v>
      </c>
      <c r="X10" s="4695"/>
      <c r="Y10" s="4692">
        <v>2</v>
      </c>
      <c r="Z10" s="4692"/>
      <c r="AA10" s="4683" t="s">
        <v>5035</v>
      </c>
      <c r="AB10" s="4692"/>
      <c r="AC10" s="4683" t="s">
        <v>5050</v>
      </c>
      <c r="AD10" s="4692"/>
      <c r="AE10" s="4696"/>
      <c r="AF10" s="4685">
        <f t="shared" si="6"/>
        <v>92</v>
      </c>
    </row>
    <row r="11" spans="1:32" ht="33.75" customHeight="1">
      <c r="A11" s="4686">
        <v>4</v>
      </c>
      <c r="B11" s="4687">
        <v>46277</v>
      </c>
      <c r="C11" s="4687">
        <v>46279</v>
      </c>
      <c r="D11" s="4672">
        <f t="shared" ref="D11:D12" si="7">IF(_xlfn.DAYS(C11,B11)=0,"1",_xlfn.DAYS(C11,B11))</f>
        <v>2</v>
      </c>
      <c r="E11" s="4687">
        <v>46297</v>
      </c>
      <c r="F11" s="4698">
        <f t="shared" ref="F11:F12" si="8">IF(_xlfn.DAYS(E11,C11)=0,"1",_xlfn.DAYS(E11,C11))+1</f>
        <v>19</v>
      </c>
      <c r="G11" s="4699">
        <v>46299</v>
      </c>
      <c r="H11" s="4672">
        <f t="shared" si="2"/>
        <v>1</v>
      </c>
      <c r="I11" s="4691" t="s">
        <v>6532</v>
      </c>
      <c r="J11" s="4692"/>
      <c r="K11" s="4693">
        <v>23</v>
      </c>
      <c r="L11" s="4692">
        <v>20000</v>
      </c>
      <c r="M11" s="4692">
        <v>22500</v>
      </c>
      <c r="N11" s="4971">
        <f t="shared" si="3"/>
        <v>517500</v>
      </c>
      <c r="O11" s="4692">
        <v>20000</v>
      </c>
      <c r="P11" s="4678">
        <f t="shared" si="5"/>
        <v>506</v>
      </c>
      <c r="Q11" s="4679">
        <f t="shared" si="4"/>
        <v>11212500</v>
      </c>
      <c r="R11" s="4692"/>
      <c r="S11" s="5752" t="s">
        <v>5742</v>
      </c>
      <c r="T11" s="4694"/>
      <c r="U11" s="4700">
        <v>1</v>
      </c>
      <c r="V11" s="4692"/>
      <c r="W11" s="4680" t="s">
        <v>4521</v>
      </c>
      <c r="X11" s="4695"/>
      <c r="Y11" s="4692">
        <v>1</v>
      </c>
      <c r="Z11" s="4692"/>
      <c r="AA11" s="4683" t="s">
        <v>5035</v>
      </c>
      <c r="AB11" s="4692"/>
      <c r="AC11" s="4683" t="s">
        <v>5050</v>
      </c>
      <c r="AD11" s="4692"/>
      <c r="AE11" s="4696"/>
      <c r="AF11" s="4685">
        <f t="shared" si="6"/>
        <v>23</v>
      </c>
    </row>
    <row r="12" spans="1:32" ht="33.75" customHeight="1">
      <c r="A12" s="4686">
        <v>5</v>
      </c>
      <c r="B12" s="4687">
        <v>46277</v>
      </c>
      <c r="C12" s="4687">
        <v>46279</v>
      </c>
      <c r="D12" s="4672">
        <f t="shared" si="7"/>
        <v>2</v>
      </c>
      <c r="E12" s="4687">
        <v>46297</v>
      </c>
      <c r="F12" s="4698">
        <f t="shared" si="8"/>
        <v>19</v>
      </c>
      <c r="G12" s="4699">
        <v>46299</v>
      </c>
      <c r="H12" s="4672">
        <f t="shared" si="2"/>
        <v>1</v>
      </c>
      <c r="I12" s="4691" t="s">
        <v>6533</v>
      </c>
      <c r="J12" s="4692"/>
      <c r="K12" s="4693">
        <v>16</v>
      </c>
      <c r="L12" s="4692">
        <v>32000</v>
      </c>
      <c r="M12" s="4692">
        <v>37000</v>
      </c>
      <c r="N12" s="4971">
        <f t="shared" si="3"/>
        <v>592000</v>
      </c>
      <c r="O12" s="4692">
        <v>32000</v>
      </c>
      <c r="P12" s="4678">
        <f t="shared" si="5"/>
        <v>352</v>
      </c>
      <c r="Q12" s="4679">
        <f t="shared" si="4"/>
        <v>12784000</v>
      </c>
      <c r="R12" s="4692"/>
      <c r="S12" s="4680" t="s">
        <v>5742</v>
      </c>
      <c r="T12" s="4694"/>
      <c r="U12" s="4700">
        <v>2</v>
      </c>
      <c r="V12" s="4692"/>
      <c r="W12" s="4680" t="s">
        <v>4521</v>
      </c>
      <c r="X12" s="4695"/>
      <c r="Y12" s="4692">
        <v>2</v>
      </c>
      <c r="Z12" s="4692"/>
      <c r="AA12" s="4683" t="s">
        <v>5035</v>
      </c>
      <c r="AB12" s="4692"/>
      <c r="AC12" s="4683" t="s">
        <v>5050</v>
      </c>
      <c r="AD12" s="4692"/>
      <c r="AE12" s="4696"/>
      <c r="AF12" s="4685">
        <f t="shared" si="6"/>
        <v>32</v>
      </c>
    </row>
    <row r="13" spans="1:32" ht="33.75" customHeight="1">
      <c r="A13" s="4686">
        <v>6</v>
      </c>
      <c r="B13" s="4687"/>
      <c r="C13" s="4687"/>
      <c r="D13" s="4672" t="str">
        <f t="shared" si="0"/>
        <v>1</v>
      </c>
      <c r="E13" s="4687"/>
      <c r="F13" s="4698">
        <f t="shared" si="1"/>
        <v>2</v>
      </c>
      <c r="G13" s="4699"/>
      <c r="H13" s="4672">
        <f t="shared" si="2"/>
        <v>0</v>
      </c>
      <c r="I13" s="4691"/>
      <c r="J13" s="4692"/>
      <c r="K13" s="4693"/>
      <c r="L13" s="4692"/>
      <c r="M13" s="4692"/>
      <c r="N13" s="4971">
        <f t="shared" si="3"/>
        <v>0</v>
      </c>
      <c r="O13" s="4692"/>
      <c r="P13" s="4678">
        <f t="shared" si="5"/>
        <v>0</v>
      </c>
      <c r="Q13" s="4679">
        <f t="shared" si="4"/>
        <v>0</v>
      </c>
      <c r="R13" s="4692"/>
      <c r="S13" s="4680" t="s">
        <v>5742</v>
      </c>
      <c r="T13" s="4694"/>
      <c r="U13" s="4700"/>
      <c r="V13" s="4692"/>
      <c r="W13" s="4680" t="s">
        <v>4521</v>
      </c>
      <c r="X13" s="4695"/>
      <c r="Y13" s="4692"/>
      <c r="Z13" s="4692"/>
      <c r="AA13" s="4683" t="s">
        <v>5035</v>
      </c>
      <c r="AB13" s="4692"/>
      <c r="AC13" s="4683" t="s">
        <v>5050</v>
      </c>
      <c r="AD13" s="4692"/>
      <c r="AE13" s="4696"/>
      <c r="AF13" s="4685">
        <f t="shared" si="6"/>
        <v>0</v>
      </c>
    </row>
    <row r="14" spans="1:32" ht="33.75" customHeight="1">
      <c r="A14" s="4686">
        <v>7</v>
      </c>
      <c r="B14" s="4687"/>
      <c r="C14" s="4687"/>
      <c r="D14" s="4672" t="str">
        <f t="shared" si="0"/>
        <v>1</v>
      </c>
      <c r="E14" s="4687"/>
      <c r="F14" s="4698">
        <f t="shared" si="1"/>
        <v>2</v>
      </c>
      <c r="G14" s="4699"/>
      <c r="H14" s="4672">
        <f t="shared" si="2"/>
        <v>0</v>
      </c>
      <c r="I14" s="4691"/>
      <c r="J14" s="4692"/>
      <c r="K14" s="4693"/>
      <c r="L14" s="4692"/>
      <c r="M14" s="4692"/>
      <c r="N14" s="4692"/>
      <c r="O14" s="4692"/>
      <c r="P14" s="4678">
        <f t="shared" si="5"/>
        <v>0</v>
      </c>
      <c r="Q14" s="4679">
        <f t="shared" si="4"/>
        <v>0</v>
      </c>
      <c r="R14" s="4692"/>
      <c r="S14" s="4680" t="s">
        <v>5742</v>
      </c>
      <c r="T14" s="4694"/>
      <c r="U14" s="4700"/>
      <c r="V14" s="4692"/>
      <c r="W14" s="4680" t="s">
        <v>4521</v>
      </c>
      <c r="X14" s="4695"/>
      <c r="Y14" s="4692"/>
      <c r="Z14" s="4692"/>
      <c r="AA14" s="4683" t="s">
        <v>5035</v>
      </c>
      <c r="AB14" s="4692"/>
      <c r="AC14" s="4683" t="s">
        <v>5050</v>
      </c>
      <c r="AD14" s="4692"/>
      <c r="AE14" s="4696"/>
      <c r="AF14" s="4685">
        <f t="shared" si="6"/>
        <v>0</v>
      </c>
    </row>
    <row r="15" spans="1:32" ht="33.75" customHeight="1">
      <c r="A15" s="4686">
        <v>8</v>
      </c>
      <c r="B15" s="4687"/>
      <c r="C15" s="4687"/>
      <c r="D15" s="4672" t="str">
        <f t="shared" si="0"/>
        <v>1</v>
      </c>
      <c r="E15" s="4687"/>
      <c r="F15" s="4698">
        <f t="shared" si="1"/>
        <v>2</v>
      </c>
      <c r="G15" s="4699"/>
      <c r="H15" s="4672">
        <f t="shared" si="2"/>
        <v>0</v>
      </c>
      <c r="I15" s="4691"/>
      <c r="J15" s="4692"/>
      <c r="K15" s="4693"/>
      <c r="L15" s="4692"/>
      <c r="M15" s="4692"/>
      <c r="N15" s="4692"/>
      <c r="O15" s="4692"/>
      <c r="P15" s="4678">
        <f t="shared" si="5"/>
        <v>0</v>
      </c>
      <c r="Q15" s="4679">
        <f t="shared" si="4"/>
        <v>0</v>
      </c>
      <c r="R15" s="4692"/>
      <c r="S15" s="4680" t="s">
        <v>5742</v>
      </c>
      <c r="T15" s="4694"/>
      <c r="U15" s="4700"/>
      <c r="V15" s="4692"/>
      <c r="W15" s="4680" t="s">
        <v>4521</v>
      </c>
      <c r="X15" s="4695"/>
      <c r="Y15" s="4692"/>
      <c r="Z15" s="4692"/>
      <c r="AA15" s="4683" t="s">
        <v>5035</v>
      </c>
      <c r="AB15" s="4692"/>
      <c r="AC15" s="4683" t="s">
        <v>5050</v>
      </c>
      <c r="AD15" s="4692"/>
      <c r="AE15" s="4696"/>
      <c r="AF15" s="4685">
        <f t="shared" si="6"/>
        <v>0</v>
      </c>
    </row>
    <row r="16" spans="1:32" ht="33.75" customHeight="1">
      <c r="A16" s="4686">
        <v>9</v>
      </c>
      <c r="B16" s="4687"/>
      <c r="C16" s="4687"/>
      <c r="D16" s="4672" t="str">
        <f t="shared" si="0"/>
        <v>1</v>
      </c>
      <c r="E16" s="4687"/>
      <c r="F16" s="4698">
        <f t="shared" si="1"/>
        <v>2</v>
      </c>
      <c r="G16" s="4699"/>
      <c r="H16" s="4672">
        <f t="shared" si="2"/>
        <v>0</v>
      </c>
      <c r="I16" s="4691"/>
      <c r="J16" s="4692"/>
      <c r="K16" s="4693"/>
      <c r="L16" s="4692"/>
      <c r="M16" s="4692"/>
      <c r="N16" s="4692"/>
      <c r="O16" s="4692"/>
      <c r="P16" s="4678">
        <f t="shared" si="5"/>
        <v>0</v>
      </c>
      <c r="Q16" s="4679">
        <f t="shared" si="4"/>
        <v>0</v>
      </c>
      <c r="R16" s="4692"/>
      <c r="S16" s="4680" t="s">
        <v>5742</v>
      </c>
      <c r="T16" s="4694"/>
      <c r="U16" s="4700"/>
      <c r="V16" s="4692"/>
      <c r="W16" s="4680" t="s">
        <v>4521</v>
      </c>
      <c r="X16" s="4695"/>
      <c r="Y16" s="4692"/>
      <c r="Z16" s="4692"/>
      <c r="AA16" s="4683" t="s">
        <v>5035</v>
      </c>
      <c r="AB16" s="4692"/>
      <c r="AC16" s="4683" t="s">
        <v>5050</v>
      </c>
      <c r="AD16" s="4692"/>
      <c r="AE16" s="4696"/>
      <c r="AF16" s="4685">
        <f t="shared" si="6"/>
        <v>0</v>
      </c>
    </row>
    <row r="17" spans="1:32" ht="33.75" customHeight="1">
      <c r="A17" s="4686">
        <v>10</v>
      </c>
      <c r="B17" s="4687"/>
      <c r="C17" s="4687"/>
      <c r="D17" s="4672" t="str">
        <f t="shared" si="0"/>
        <v>1</v>
      </c>
      <c r="E17" s="4687"/>
      <c r="F17" s="4698">
        <f t="shared" si="1"/>
        <v>2</v>
      </c>
      <c r="G17" s="4699"/>
      <c r="H17" s="4672">
        <f t="shared" si="2"/>
        <v>0</v>
      </c>
      <c r="I17" s="4691"/>
      <c r="J17" s="4692"/>
      <c r="K17" s="4693"/>
      <c r="L17" s="4692"/>
      <c r="M17" s="4692"/>
      <c r="N17" s="4692"/>
      <c r="O17" s="4692"/>
      <c r="P17" s="4678">
        <f t="shared" si="5"/>
        <v>0</v>
      </c>
      <c r="Q17" s="4679">
        <f t="shared" si="4"/>
        <v>0</v>
      </c>
      <c r="R17" s="4692"/>
      <c r="S17" s="4680" t="s">
        <v>5742</v>
      </c>
      <c r="T17" s="4694"/>
      <c r="U17" s="4700"/>
      <c r="V17" s="4692"/>
      <c r="W17" s="4680" t="s">
        <v>4521</v>
      </c>
      <c r="X17" s="4695"/>
      <c r="Y17" s="4692"/>
      <c r="Z17" s="4692"/>
      <c r="AA17" s="4683" t="s">
        <v>5035</v>
      </c>
      <c r="AB17" s="4692"/>
      <c r="AC17" s="4683" t="s">
        <v>5050</v>
      </c>
      <c r="AD17" s="4692"/>
      <c r="AE17" s="4696"/>
      <c r="AF17" s="4685">
        <f t="shared" si="6"/>
        <v>0</v>
      </c>
    </row>
    <row r="18" spans="1:32" ht="33.75" customHeight="1">
      <c r="A18" s="4686">
        <v>11</v>
      </c>
      <c r="B18" s="4687"/>
      <c r="C18" s="4687"/>
      <c r="D18" s="4672" t="str">
        <f t="shared" si="0"/>
        <v>1</v>
      </c>
      <c r="E18" s="4687"/>
      <c r="F18" s="4698">
        <f t="shared" si="1"/>
        <v>2</v>
      </c>
      <c r="G18" s="4699"/>
      <c r="H18" s="4672">
        <f t="shared" si="2"/>
        <v>0</v>
      </c>
      <c r="I18" s="4691"/>
      <c r="J18" s="4692"/>
      <c r="K18" s="4693"/>
      <c r="L18" s="4692"/>
      <c r="M18" s="4692"/>
      <c r="N18" s="4692"/>
      <c r="O18" s="4692"/>
      <c r="P18" s="4678">
        <f t="shared" si="5"/>
        <v>0</v>
      </c>
      <c r="Q18" s="4679">
        <f t="shared" si="4"/>
        <v>0</v>
      </c>
      <c r="R18" s="4692"/>
      <c r="S18" s="4680" t="s">
        <v>5742</v>
      </c>
      <c r="T18" s="4694"/>
      <c r="U18" s="4700"/>
      <c r="V18" s="4692"/>
      <c r="W18" s="4680" t="s">
        <v>4521</v>
      </c>
      <c r="X18" s="4695"/>
      <c r="Y18" s="4692"/>
      <c r="Z18" s="4692"/>
      <c r="AA18" s="4683" t="s">
        <v>5035</v>
      </c>
      <c r="AB18" s="4692"/>
      <c r="AC18" s="4683" t="s">
        <v>5050</v>
      </c>
      <c r="AD18" s="4692"/>
      <c r="AE18" s="4696"/>
      <c r="AF18" s="4685">
        <f t="shared" si="6"/>
        <v>0</v>
      </c>
    </row>
    <row r="19" spans="1:32" ht="33.75" customHeight="1">
      <c r="A19" s="4686">
        <v>12</v>
      </c>
      <c r="B19" s="4687"/>
      <c r="C19" s="4687"/>
      <c r="D19" s="4672" t="str">
        <f t="shared" si="0"/>
        <v>1</v>
      </c>
      <c r="E19" s="4687"/>
      <c r="F19" s="4698">
        <f t="shared" si="1"/>
        <v>2</v>
      </c>
      <c r="G19" s="4699"/>
      <c r="H19" s="4672">
        <f t="shared" si="2"/>
        <v>0</v>
      </c>
      <c r="I19" s="4691"/>
      <c r="J19" s="4692"/>
      <c r="K19" s="4693"/>
      <c r="L19" s="4692"/>
      <c r="M19" s="4692"/>
      <c r="N19" s="4692"/>
      <c r="O19" s="4692"/>
      <c r="P19" s="4678">
        <f t="shared" si="5"/>
        <v>0</v>
      </c>
      <c r="Q19" s="4679">
        <f t="shared" si="4"/>
        <v>0</v>
      </c>
      <c r="R19" s="4692"/>
      <c r="S19" s="4680" t="s">
        <v>5742</v>
      </c>
      <c r="T19" s="4694"/>
      <c r="U19" s="4700"/>
      <c r="V19" s="4692"/>
      <c r="W19" s="4680" t="s">
        <v>4521</v>
      </c>
      <c r="X19" s="4695"/>
      <c r="Y19" s="4692"/>
      <c r="Z19" s="4692"/>
      <c r="AA19" s="4683" t="s">
        <v>5035</v>
      </c>
      <c r="AB19" s="4692"/>
      <c r="AC19" s="4683" t="s">
        <v>5050</v>
      </c>
      <c r="AD19" s="4692"/>
      <c r="AE19" s="4696"/>
      <c r="AF19" s="4685">
        <f t="shared" si="6"/>
        <v>0</v>
      </c>
    </row>
    <row r="20" spans="1:32" ht="33.75" customHeight="1">
      <c r="A20" s="4686">
        <v>13</v>
      </c>
      <c r="B20" s="4687"/>
      <c r="C20" s="4687"/>
      <c r="D20" s="4672" t="str">
        <f t="shared" si="0"/>
        <v>1</v>
      </c>
      <c r="E20" s="4687"/>
      <c r="F20" s="4698">
        <f t="shared" si="1"/>
        <v>2</v>
      </c>
      <c r="G20" s="4699"/>
      <c r="H20" s="4672">
        <f t="shared" si="2"/>
        <v>0</v>
      </c>
      <c r="I20" s="4691"/>
      <c r="J20" s="4692"/>
      <c r="K20" s="4693"/>
      <c r="L20" s="4692"/>
      <c r="M20" s="4692"/>
      <c r="N20" s="4692"/>
      <c r="O20" s="4692"/>
      <c r="P20" s="4678">
        <f>SUM(D20,F20,H20)*K20</f>
        <v>0</v>
      </c>
      <c r="Q20" s="4679">
        <f t="shared" si="4"/>
        <v>0</v>
      </c>
      <c r="R20" s="4692"/>
      <c r="S20" s="4680" t="s">
        <v>5742</v>
      </c>
      <c r="T20" s="4694"/>
      <c r="U20" s="4700"/>
      <c r="V20" s="4692"/>
      <c r="W20" s="4680" t="s">
        <v>4521</v>
      </c>
      <c r="X20" s="4695"/>
      <c r="Y20" s="4692"/>
      <c r="Z20" s="4692"/>
      <c r="AA20" s="4683" t="s">
        <v>5035</v>
      </c>
      <c r="AB20" s="4692"/>
      <c r="AC20" s="4683" t="s">
        <v>5050</v>
      </c>
      <c r="AD20" s="4692"/>
      <c r="AE20" s="4696"/>
      <c r="AF20" s="4685">
        <f t="shared" si="6"/>
        <v>0</v>
      </c>
    </row>
    <row r="21" spans="1:32" ht="33.75" customHeight="1">
      <c r="A21" s="4686">
        <v>14</v>
      </c>
      <c r="B21" s="4687"/>
      <c r="C21" s="4687"/>
      <c r="D21" s="4672" t="str">
        <f t="shared" si="0"/>
        <v>1</v>
      </c>
      <c r="E21" s="4687"/>
      <c r="F21" s="4698">
        <f t="shared" si="1"/>
        <v>2</v>
      </c>
      <c r="G21" s="4699"/>
      <c r="H21" s="4672">
        <f t="shared" si="2"/>
        <v>0</v>
      </c>
      <c r="I21" s="4691"/>
      <c r="J21" s="4692"/>
      <c r="K21" s="4693"/>
      <c r="L21" s="4692"/>
      <c r="M21" s="4692"/>
      <c r="N21" s="4692"/>
      <c r="O21" s="4692"/>
      <c r="P21" s="4678">
        <f t="shared" si="5"/>
        <v>0</v>
      </c>
      <c r="Q21" s="4679">
        <f t="shared" si="4"/>
        <v>0</v>
      </c>
      <c r="R21" s="4692"/>
      <c r="S21" s="4680" t="s">
        <v>5742</v>
      </c>
      <c r="T21" s="4694"/>
      <c r="U21" s="4700"/>
      <c r="V21" s="4692"/>
      <c r="W21" s="4680" t="s">
        <v>4521</v>
      </c>
      <c r="X21" s="4695"/>
      <c r="Y21" s="4692"/>
      <c r="Z21" s="4692"/>
      <c r="AA21" s="4683" t="s">
        <v>5035</v>
      </c>
      <c r="AB21" s="4692"/>
      <c r="AC21" s="4683" t="s">
        <v>5050</v>
      </c>
      <c r="AD21" s="4692"/>
      <c r="AE21" s="4696"/>
      <c r="AF21" s="4685">
        <f t="shared" si="6"/>
        <v>0</v>
      </c>
    </row>
    <row r="22" spans="1:32" ht="33.75" customHeight="1" thickBot="1">
      <c r="A22" s="4686">
        <v>15</v>
      </c>
      <c r="B22" s="4687"/>
      <c r="C22" s="4687"/>
      <c r="D22" s="4672" t="str">
        <f t="shared" si="0"/>
        <v>1</v>
      </c>
      <c r="E22" s="4687"/>
      <c r="F22" s="4698">
        <f t="shared" si="1"/>
        <v>2</v>
      </c>
      <c r="G22" s="4699"/>
      <c r="H22" s="4672">
        <f t="shared" si="2"/>
        <v>0</v>
      </c>
      <c r="I22" s="4691"/>
      <c r="J22" s="4692"/>
      <c r="K22" s="4693"/>
      <c r="L22" s="4692"/>
      <c r="M22" s="4692"/>
      <c r="N22" s="4692"/>
      <c r="O22" s="4692"/>
      <c r="P22" s="4678">
        <f t="shared" si="5"/>
        <v>0</v>
      </c>
      <c r="Q22" s="4679">
        <f t="shared" si="4"/>
        <v>0</v>
      </c>
      <c r="R22" s="4692"/>
      <c r="S22" s="4680" t="s">
        <v>5739</v>
      </c>
      <c r="T22" s="4694"/>
      <c r="U22" s="4700"/>
      <c r="V22" s="4692"/>
      <c r="W22" s="4680" t="s">
        <v>4521</v>
      </c>
      <c r="X22" s="4695"/>
      <c r="Y22" s="4692"/>
      <c r="Z22" s="4692"/>
      <c r="AA22" s="4683" t="s">
        <v>5035</v>
      </c>
      <c r="AB22" s="4692"/>
      <c r="AC22" s="4683" t="s">
        <v>5050</v>
      </c>
      <c r="AD22" s="4692"/>
      <c r="AE22" s="4696"/>
      <c r="AF22" s="4685">
        <f t="shared" si="6"/>
        <v>0</v>
      </c>
    </row>
    <row r="23" spans="1:32" ht="33.75" customHeight="1" thickTop="1" thickBot="1">
      <c r="A23" s="4701"/>
      <c r="B23" s="4702"/>
      <c r="C23" s="4702"/>
      <c r="D23" s="4702"/>
      <c r="E23" s="4702"/>
      <c r="F23" s="4703"/>
      <c r="G23" s="4704"/>
      <c r="H23" s="4702"/>
      <c r="I23" s="4705" t="s">
        <v>2432</v>
      </c>
      <c r="J23" s="4706">
        <f>SUM(J8:J22)</f>
        <v>0</v>
      </c>
      <c r="K23" s="4707">
        <f>SUM(K8:K22)</f>
        <v>156</v>
      </c>
      <c r="L23" s="4703"/>
      <c r="M23" s="4703"/>
      <c r="N23" s="4703"/>
      <c r="O23" s="4703"/>
      <c r="P23" s="4706">
        <f>SUM(P8:P22)</f>
        <v>3432</v>
      </c>
      <c r="Q23" s="4706">
        <f>SUM(Q8:Q22)</f>
        <v>95891000</v>
      </c>
      <c r="R23" s="6863"/>
      <c r="S23" s="6864"/>
      <c r="T23" s="6865"/>
      <c r="U23" s="4708"/>
      <c r="V23" s="6863"/>
      <c r="W23" s="6864"/>
      <c r="X23" s="6864"/>
      <c r="Y23" s="4708"/>
      <c r="Z23" s="4708"/>
      <c r="AA23" s="6866"/>
      <c r="AB23" s="6867"/>
      <c r="AC23" s="6866"/>
      <c r="AD23" s="6867"/>
      <c r="AE23" s="4709"/>
      <c r="AF23" s="4685">
        <f>SUM(AF8:AF22)</f>
        <v>218</v>
      </c>
    </row>
    <row r="24" spans="1:32" ht="33.75" customHeight="1" thickBot="1">
      <c r="C24" s="4710"/>
      <c r="D24" s="4710"/>
      <c r="E24" s="4710"/>
      <c r="F24" s="4710"/>
      <c r="G24" s="4710"/>
      <c r="H24" s="4710"/>
      <c r="I24" s="4711"/>
      <c r="J24" s="4712"/>
      <c r="K24" s="4710"/>
      <c r="L24" s="4713" t="s">
        <v>5748</v>
      </c>
      <c r="M24" s="4714">
        <f>SUM(N7:N22)</f>
        <v>4433000</v>
      </c>
      <c r="N24" s="4715"/>
      <c r="O24" s="4715"/>
      <c r="P24" s="4715"/>
      <c r="S24" s="4656"/>
      <c r="W24" s="4656"/>
    </row>
    <row r="25" spans="1:32" ht="33.75" customHeight="1">
      <c r="A25" s="6845" t="s">
        <v>5749</v>
      </c>
      <c r="B25" s="6846"/>
      <c r="C25" s="4716">
        <f>P23</f>
        <v>3432</v>
      </c>
      <c r="D25" s="4717"/>
      <c r="F25" s="4718"/>
      <c r="H25" s="4719"/>
      <c r="I25" s="4720"/>
      <c r="K25" s="4659"/>
      <c r="L25" s="4721" t="s">
        <v>5750</v>
      </c>
      <c r="M25" s="4722">
        <f>M24*1.1</f>
        <v>4876300</v>
      </c>
      <c r="P25" s="4656"/>
    </row>
    <row r="26" spans="1:32" ht="33.75" customHeight="1">
      <c r="A26" s="6847" t="s">
        <v>5883</v>
      </c>
      <c r="B26" s="6848"/>
      <c r="C26" s="4723">
        <f>Q23</f>
        <v>95891000</v>
      </c>
      <c r="D26" s="4717"/>
      <c r="F26" s="4724"/>
      <c r="H26" s="4719"/>
      <c r="I26" s="4720"/>
      <c r="K26" s="4659"/>
      <c r="P26" s="4656"/>
    </row>
    <row r="27" spans="1:32" ht="33.75" customHeight="1" thickBot="1">
      <c r="A27" s="6913" t="s">
        <v>5751</v>
      </c>
      <c r="B27" s="6914"/>
      <c r="C27" s="4987">
        <f>ROUNDDOWN(C26*1.1,0)</f>
        <v>105480100</v>
      </c>
      <c r="D27" s="4719"/>
      <c r="F27" s="4724"/>
      <c r="H27" s="4719"/>
      <c r="I27" s="4720"/>
      <c r="K27" s="4659"/>
      <c r="P27" s="4656"/>
    </row>
    <row r="28" spans="1:32" ht="32.15" customHeight="1">
      <c r="A28" s="4726"/>
      <c r="B28" s="4726"/>
      <c r="C28" s="4726"/>
      <c r="D28" s="4726"/>
      <c r="E28" s="4726"/>
      <c r="F28" s="4726"/>
      <c r="G28" s="4726"/>
      <c r="H28" s="4726"/>
      <c r="I28" s="4727"/>
    </row>
    <row r="29" spans="1:32" ht="33.75" customHeight="1">
      <c r="A29" s="4728" t="s">
        <v>5752</v>
      </c>
      <c r="B29" s="4728"/>
      <c r="C29" s="4729"/>
      <c r="D29" s="4729"/>
      <c r="E29" s="4729"/>
      <c r="F29" s="4729"/>
      <c r="G29" s="4726"/>
      <c r="H29" s="4729"/>
      <c r="I29" s="4720"/>
      <c r="P29" s="4656"/>
    </row>
    <row r="30" spans="1:32" ht="36" customHeight="1">
      <c r="A30" s="4728" t="s">
        <v>5753</v>
      </c>
      <c r="B30" s="4728"/>
    </row>
    <row r="31" spans="1:32" ht="36" customHeight="1">
      <c r="A31" s="4730" t="s">
        <v>5754</v>
      </c>
      <c r="B31" s="4730"/>
    </row>
    <row r="32" spans="1:32" ht="36" customHeight="1">
      <c r="A32" s="4728"/>
      <c r="B32" s="4728"/>
    </row>
    <row r="33" ht="36" customHeight="1"/>
    <row r="34" ht="36" customHeight="1"/>
    <row r="35" ht="36" customHeight="1"/>
    <row r="36" ht="36" customHeight="1"/>
    <row r="37" ht="36" customHeight="1"/>
    <row r="38" ht="36" customHeight="1"/>
    <row r="39" ht="36" customHeight="1"/>
    <row r="40" ht="10.4" customHeight="1"/>
  </sheetData>
  <mergeCells count="32">
    <mergeCell ref="A2:B2"/>
    <mergeCell ref="C2:G2"/>
    <mergeCell ref="A5:A6"/>
    <mergeCell ref="B5:B6"/>
    <mergeCell ref="C5:C6"/>
    <mergeCell ref="D5:D6"/>
    <mergeCell ref="E5:E6"/>
    <mergeCell ref="F5:F6"/>
    <mergeCell ref="G5:G6"/>
    <mergeCell ref="AE5:AE6"/>
    <mergeCell ref="AF5:AF6"/>
    <mergeCell ref="R23:T23"/>
    <mergeCell ref="V23:X23"/>
    <mergeCell ref="AA23:AB23"/>
    <mergeCell ref="AC23:AD23"/>
    <mergeCell ref="R5:T6"/>
    <mergeCell ref="U5:U6"/>
    <mergeCell ref="V5:X6"/>
    <mergeCell ref="Y5:Y6"/>
    <mergeCell ref="A25:B25"/>
    <mergeCell ref="A26:B26"/>
    <mergeCell ref="A27:B27"/>
    <mergeCell ref="Z5:Z6"/>
    <mergeCell ref="AA5:AD6"/>
    <mergeCell ref="O5:O6"/>
    <mergeCell ref="P5:Q5"/>
    <mergeCell ref="H5:H6"/>
    <mergeCell ref="I5:I6"/>
    <mergeCell ref="J5:J6"/>
    <mergeCell ref="K5:K6"/>
    <mergeCell ref="L5:L6"/>
    <mergeCell ref="M5:M6"/>
  </mergeCells>
  <phoneticPr fontId="2"/>
  <conditionalFormatting sqref="B8:C22 E8:G22">
    <cfRule type="containsBlanks" dxfId="47" priority="6">
      <formula>LEN(TRIM(B8))=0</formula>
    </cfRule>
  </conditionalFormatting>
  <conditionalFormatting sqref="C2:D2">
    <cfRule type="containsBlanks" dxfId="46" priority="3">
      <formula>LEN(TRIM(C2))=0</formula>
    </cfRule>
  </conditionalFormatting>
  <conditionalFormatting sqref="D7:D22">
    <cfRule type="containsBlanks" dxfId="45" priority="5">
      <formula>LEN(TRIM(D7))=0</formula>
    </cfRule>
  </conditionalFormatting>
  <conditionalFormatting sqref="F7">
    <cfRule type="containsBlanks" dxfId="44" priority="4">
      <formula>LEN(TRIM(F7))=0</formula>
    </cfRule>
  </conditionalFormatting>
  <conditionalFormatting sqref="H7:O22">
    <cfRule type="containsBlanks" dxfId="43" priority="1">
      <formula>LEN(TRIM(H7))=0</formula>
    </cfRule>
  </conditionalFormatting>
  <conditionalFormatting sqref="Q7:R22">
    <cfRule type="containsBlanks" dxfId="42" priority="9">
      <formula>LEN(TRIM(Q7))=0</formula>
    </cfRule>
  </conditionalFormatting>
  <conditionalFormatting sqref="T7:V22">
    <cfRule type="containsBlanks" dxfId="41" priority="2">
      <formula>LEN(TRIM(T7))=0</formula>
    </cfRule>
  </conditionalFormatting>
  <conditionalFormatting sqref="X7:Z22">
    <cfRule type="containsBlanks" dxfId="40" priority="7">
      <formula>LEN(TRIM(X7))=0</formula>
    </cfRule>
  </conditionalFormatting>
  <conditionalFormatting sqref="AB7:AB22 AD7:AE22">
    <cfRule type="containsBlanks" dxfId="39" priority="8">
      <formula>LEN(TRIM(AB7))=0</formula>
    </cfRule>
  </conditionalFormatting>
  <printOptions horizontalCentered="1"/>
  <pageMargins left="0.39370078740157483" right="0.39370078740157483" top="0.55118110236220474" bottom="0.55118110236220474" header="0.31496062992125984" footer="0.31496062992125984"/>
  <pageSetup paperSize="8" scale="42" orientation="landscape" r:id="rId1"/>
  <headerFooter>
    <oddHeader>&amp;R&amp;G</oddHeader>
  </headerFooter>
  <legacyDrawing r:id="rId2"/>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C6B2-DDDE-4D7B-8616-675D061C6EDA}">
  <sheetPr codeName="Sheet399">
    <tabColor rgb="FFFFFF66"/>
    <pageSetUpPr fitToPage="1"/>
  </sheetPr>
  <dimension ref="A1:AE40"/>
  <sheetViews>
    <sheetView topLeftCell="A17" zoomScale="70" zoomScaleNormal="70" workbookViewId="0">
      <selection activeCell="D5" sqref="D5:D6"/>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31.54296875" style="4658" bestFit="1"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tr">
        <f>'[41]別紙1-1）客室提供条件'!C2</f>
        <v>日本青年館ホテル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23" si="0">F7*N7</f>
        <v>3150000</v>
      </c>
      <c r="P7" s="4755" t="s">
        <v>5782</v>
      </c>
      <c r="Q7" s="4756">
        <v>4</v>
      </c>
      <c r="R7" s="4756" t="s">
        <v>3804</v>
      </c>
      <c r="S7" s="4751" t="s">
        <v>246</v>
      </c>
      <c r="T7" s="4756" t="s">
        <v>2161</v>
      </c>
      <c r="U7" s="4757">
        <v>2000</v>
      </c>
    </row>
    <row r="8" spans="1:31" s="4666" customFormat="1" ht="33.75" customHeight="1">
      <c r="A8" s="4758">
        <v>1</v>
      </c>
      <c r="B8" s="4816">
        <v>46278</v>
      </c>
      <c r="C8" s="4816">
        <v>46300</v>
      </c>
      <c r="D8" s="4759">
        <v>0</v>
      </c>
      <c r="E8" s="4759">
        <v>1</v>
      </c>
      <c r="F8" s="4760">
        <f t="shared" ref="F8:F23" si="1">IF(OR(ISBLANK($B8), ISBLANK($C8)), 0, _xlfn.DAYS($C8, $B8) + 1)</f>
        <v>23</v>
      </c>
      <c r="G8" s="4761" t="s">
        <v>6534</v>
      </c>
      <c r="H8" s="4762">
        <v>12</v>
      </c>
      <c r="I8" s="4763" t="s">
        <v>5784</v>
      </c>
      <c r="J8" s="4764"/>
      <c r="K8" s="4765"/>
      <c r="L8" s="4765"/>
      <c r="M8" s="4765"/>
      <c r="N8" s="4762">
        <v>122100</v>
      </c>
      <c r="O8" s="4766">
        <f t="shared" si="0"/>
        <v>2808300</v>
      </c>
      <c r="P8" s="4857"/>
      <c r="Q8" s="4858"/>
      <c r="R8" s="4864"/>
      <c r="S8" s="4858"/>
      <c r="T8" s="4859"/>
      <c r="U8" s="4860"/>
      <c r="V8" s="4666" t="s">
        <v>6949</v>
      </c>
    </row>
    <row r="9" spans="1:31" ht="33.75" customHeight="1">
      <c r="A9" s="4758">
        <v>2</v>
      </c>
      <c r="B9" s="4816">
        <v>46301</v>
      </c>
      <c r="C9" s="4816">
        <v>46301</v>
      </c>
      <c r="D9" s="4759">
        <v>0</v>
      </c>
      <c r="E9" s="4759">
        <v>0.5</v>
      </c>
      <c r="F9" s="4760">
        <f t="shared" si="1"/>
        <v>1</v>
      </c>
      <c r="G9" s="4761" t="s">
        <v>6534</v>
      </c>
      <c r="H9" s="4762">
        <v>12</v>
      </c>
      <c r="I9" s="4763" t="s">
        <v>5784</v>
      </c>
      <c r="J9" s="4764"/>
      <c r="K9" s="4765"/>
      <c r="L9" s="4765"/>
      <c r="M9" s="4765"/>
      <c r="N9" s="4762">
        <v>69300</v>
      </c>
      <c r="O9" s="4766">
        <f t="shared" si="0"/>
        <v>69300</v>
      </c>
      <c r="P9" s="4857"/>
      <c r="Q9" s="4858"/>
      <c r="R9" s="4864"/>
      <c r="S9" s="4858"/>
      <c r="T9" s="4859"/>
      <c r="U9" s="4860"/>
      <c r="V9" s="4657" t="s">
        <v>6951</v>
      </c>
      <c r="AC9" s="4657"/>
    </row>
    <row r="10" spans="1:31" ht="33.75" customHeight="1">
      <c r="A10" s="4758">
        <v>3</v>
      </c>
      <c r="B10" s="4816">
        <v>46278</v>
      </c>
      <c r="C10" s="4816">
        <v>46300</v>
      </c>
      <c r="D10" s="4759">
        <v>0</v>
      </c>
      <c r="E10" s="4759">
        <v>1</v>
      </c>
      <c r="F10" s="4770">
        <f t="shared" si="1"/>
        <v>23</v>
      </c>
      <c r="G10" s="4761" t="s">
        <v>6535</v>
      </c>
      <c r="H10" s="4762">
        <v>13</v>
      </c>
      <c r="I10" s="4763" t="s">
        <v>5784</v>
      </c>
      <c r="J10" s="4764"/>
      <c r="K10" s="4765"/>
      <c r="L10" s="4765"/>
      <c r="M10" s="4765"/>
      <c r="N10" s="4762">
        <v>122100</v>
      </c>
      <c r="O10" s="4766">
        <f t="shared" si="0"/>
        <v>2808300</v>
      </c>
      <c r="P10" s="4909"/>
      <c r="Q10" s="4858"/>
      <c r="R10" s="4864"/>
      <c r="S10" s="4858"/>
      <c r="T10" s="4859"/>
      <c r="U10" s="4860"/>
      <c r="V10" s="4657" t="s">
        <v>6949</v>
      </c>
      <c r="AC10" s="4657"/>
    </row>
    <row r="11" spans="1:31" ht="33.75" customHeight="1">
      <c r="A11" s="4758">
        <v>4</v>
      </c>
      <c r="B11" s="4816">
        <v>46301</v>
      </c>
      <c r="C11" s="4816">
        <v>46301</v>
      </c>
      <c r="D11" s="4759">
        <v>0</v>
      </c>
      <c r="E11" s="4759">
        <v>0.5</v>
      </c>
      <c r="F11" s="4760">
        <f t="shared" si="1"/>
        <v>1</v>
      </c>
      <c r="G11" s="4761" t="s">
        <v>6535</v>
      </c>
      <c r="H11" s="4762">
        <v>13</v>
      </c>
      <c r="I11" s="4763" t="s">
        <v>5784</v>
      </c>
      <c r="J11" s="4764"/>
      <c r="K11" s="4765"/>
      <c r="L11" s="4765"/>
      <c r="M11" s="4765"/>
      <c r="N11" s="4762">
        <v>69300</v>
      </c>
      <c r="O11" s="4766">
        <f t="shared" si="0"/>
        <v>69300</v>
      </c>
      <c r="P11" s="4857"/>
      <c r="Q11" s="4858"/>
      <c r="R11" s="4859"/>
      <c r="S11" s="4858"/>
      <c r="T11" s="4859"/>
      <c r="U11" s="4860"/>
      <c r="V11" s="4657" t="s">
        <v>6951</v>
      </c>
      <c r="AC11" s="4657"/>
    </row>
    <row r="12" spans="1:31" ht="33.75" customHeight="1">
      <c r="A12" s="4758">
        <v>5</v>
      </c>
      <c r="B12" s="4816">
        <v>46278</v>
      </c>
      <c r="C12" s="4816">
        <v>46300</v>
      </c>
      <c r="D12" s="4759">
        <v>0</v>
      </c>
      <c r="E12" s="4759">
        <v>1</v>
      </c>
      <c r="F12" s="4760">
        <f t="shared" si="1"/>
        <v>23</v>
      </c>
      <c r="G12" s="4761" t="s">
        <v>6536</v>
      </c>
      <c r="H12" s="4762">
        <v>14</v>
      </c>
      <c r="I12" s="4763" t="s">
        <v>5784</v>
      </c>
      <c r="J12" s="4764"/>
      <c r="K12" s="4765"/>
      <c r="L12" s="4765"/>
      <c r="M12" s="4765"/>
      <c r="N12" s="4762">
        <v>122100</v>
      </c>
      <c r="O12" s="4766">
        <f t="shared" si="0"/>
        <v>2808300</v>
      </c>
      <c r="P12" s="4857"/>
      <c r="Q12" s="4858"/>
      <c r="R12" s="4859"/>
      <c r="S12" s="4858"/>
      <c r="T12" s="4859"/>
      <c r="U12" s="4860"/>
      <c r="V12" s="4657" t="s">
        <v>6949</v>
      </c>
      <c r="AC12" s="4657"/>
    </row>
    <row r="13" spans="1:31" ht="33.75" customHeight="1">
      <c r="A13" s="4758">
        <v>6</v>
      </c>
      <c r="B13" s="4816">
        <v>46301</v>
      </c>
      <c r="C13" s="4816">
        <v>46301</v>
      </c>
      <c r="D13" s="4759">
        <v>0</v>
      </c>
      <c r="E13" s="4759">
        <v>0.5</v>
      </c>
      <c r="F13" s="4760">
        <f t="shared" si="1"/>
        <v>1</v>
      </c>
      <c r="G13" s="4761" t="s">
        <v>6536</v>
      </c>
      <c r="H13" s="4762">
        <v>14</v>
      </c>
      <c r="I13" s="4763" t="s">
        <v>5784</v>
      </c>
      <c r="J13" s="4764"/>
      <c r="K13" s="4765"/>
      <c r="L13" s="4765"/>
      <c r="M13" s="4765"/>
      <c r="N13" s="4762">
        <v>69300</v>
      </c>
      <c r="O13" s="4766">
        <f t="shared" si="0"/>
        <v>69300</v>
      </c>
      <c r="P13" s="4857"/>
      <c r="Q13" s="4858"/>
      <c r="R13" s="4859"/>
      <c r="S13" s="4858"/>
      <c r="T13" s="4859"/>
      <c r="U13" s="4860"/>
      <c r="V13" s="4657" t="s">
        <v>6951</v>
      </c>
      <c r="AC13" s="4657"/>
    </row>
    <row r="14" spans="1:31" ht="33.75" customHeight="1">
      <c r="A14" s="4758">
        <v>7</v>
      </c>
      <c r="B14" s="4816">
        <v>46277</v>
      </c>
      <c r="C14" s="4816">
        <v>46300</v>
      </c>
      <c r="D14" s="4759">
        <v>0</v>
      </c>
      <c r="E14" s="4759">
        <v>1</v>
      </c>
      <c r="F14" s="4760">
        <f t="shared" si="1"/>
        <v>24</v>
      </c>
      <c r="G14" s="4771" t="s">
        <v>6537</v>
      </c>
      <c r="H14" s="4762">
        <v>9</v>
      </c>
      <c r="I14" s="4763" t="s">
        <v>5190</v>
      </c>
      <c r="J14" s="4764"/>
      <c r="K14" s="4765"/>
      <c r="L14" s="4765"/>
      <c r="M14" s="4765"/>
      <c r="N14" s="4762">
        <v>720000</v>
      </c>
      <c r="O14" s="4766">
        <f t="shared" si="0"/>
        <v>17280000</v>
      </c>
      <c r="P14" s="4857"/>
      <c r="Q14" s="4858"/>
      <c r="R14" s="4859"/>
      <c r="S14" s="4858"/>
      <c r="T14" s="4859"/>
      <c r="U14" s="4860"/>
      <c r="V14" s="4657" t="s">
        <v>6950</v>
      </c>
      <c r="AC14" s="4657"/>
    </row>
    <row r="15" spans="1:31" ht="33.75" customHeight="1">
      <c r="A15" s="4758">
        <v>8</v>
      </c>
      <c r="B15" s="4816">
        <v>46301</v>
      </c>
      <c r="C15" s="4816">
        <v>46301</v>
      </c>
      <c r="D15" s="4759">
        <v>0</v>
      </c>
      <c r="E15" s="4759">
        <v>0.5</v>
      </c>
      <c r="F15" s="4760">
        <f t="shared" si="1"/>
        <v>1</v>
      </c>
      <c r="G15" s="4771" t="s">
        <v>6537</v>
      </c>
      <c r="H15" s="4762">
        <v>9</v>
      </c>
      <c r="I15" s="4763" t="s">
        <v>5190</v>
      </c>
      <c r="J15" s="4764"/>
      <c r="K15" s="4765"/>
      <c r="L15" s="4765"/>
      <c r="M15" s="4765"/>
      <c r="N15" s="4762">
        <v>600000</v>
      </c>
      <c r="O15" s="4766">
        <f t="shared" si="0"/>
        <v>600000</v>
      </c>
      <c r="P15" s="4857"/>
      <c r="Q15" s="4858"/>
      <c r="R15" s="4859"/>
      <c r="S15" s="4858"/>
      <c r="T15" s="4859"/>
      <c r="U15" s="4860"/>
      <c r="V15" s="4657" t="s">
        <v>6951</v>
      </c>
      <c r="AC15" s="4657"/>
    </row>
    <row r="16" spans="1:31" ht="33.75" customHeight="1">
      <c r="A16" s="4758">
        <v>9</v>
      </c>
      <c r="B16" s="4816">
        <v>46278</v>
      </c>
      <c r="C16" s="4816">
        <v>46300</v>
      </c>
      <c r="D16" s="4759">
        <v>0</v>
      </c>
      <c r="E16" s="4759">
        <v>1</v>
      </c>
      <c r="F16" s="4760">
        <f t="shared" si="1"/>
        <v>23</v>
      </c>
      <c r="G16" s="4761" t="s">
        <v>6538</v>
      </c>
      <c r="H16" s="4762">
        <v>8</v>
      </c>
      <c r="I16" s="4763" t="s">
        <v>5784</v>
      </c>
      <c r="J16" s="4764"/>
      <c r="K16" s="4765"/>
      <c r="L16" s="4765"/>
      <c r="M16" s="4765"/>
      <c r="N16" s="4762">
        <v>598950</v>
      </c>
      <c r="O16" s="4766">
        <f t="shared" si="0"/>
        <v>13775850</v>
      </c>
      <c r="P16" s="4857"/>
      <c r="Q16" s="4858"/>
      <c r="R16" s="4859"/>
      <c r="S16" s="4858"/>
      <c r="T16" s="4859"/>
      <c r="U16" s="4860"/>
      <c r="V16" s="4657" t="s">
        <v>6949</v>
      </c>
      <c r="AC16" s="4657"/>
    </row>
    <row r="17" spans="1:31" ht="33.75" customHeight="1">
      <c r="A17" s="4758">
        <v>10</v>
      </c>
      <c r="B17" s="4816">
        <v>46301</v>
      </c>
      <c r="C17" s="4816">
        <v>46301</v>
      </c>
      <c r="D17" s="4759">
        <v>0</v>
      </c>
      <c r="E17" s="4759">
        <v>0.5</v>
      </c>
      <c r="F17" s="4760">
        <f t="shared" si="1"/>
        <v>1</v>
      </c>
      <c r="G17" s="4761" t="s">
        <v>6538</v>
      </c>
      <c r="H17" s="4762">
        <v>8</v>
      </c>
      <c r="I17" s="4763" t="s">
        <v>5784</v>
      </c>
      <c r="J17" s="4764"/>
      <c r="K17" s="4765"/>
      <c r="L17" s="4765"/>
      <c r="M17" s="4765"/>
      <c r="N17" s="4762">
        <v>341550</v>
      </c>
      <c r="O17" s="4766">
        <f t="shared" si="0"/>
        <v>341550</v>
      </c>
      <c r="P17" s="4857"/>
      <c r="Q17" s="4858"/>
      <c r="R17" s="4859"/>
      <c r="S17" s="4858"/>
      <c r="T17" s="4859"/>
      <c r="U17" s="4860"/>
      <c r="V17" s="4657" t="s">
        <v>6951</v>
      </c>
      <c r="AC17" s="4657"/>
    </row>
    <row r="18" spans="1:31" ht="33.75" customHeight="1">
      <c r="A18" s="4758">
        <v>11</v>
      </c>
      <c r="B18" s="4816">
        <v>46278</v>
      </c>
      <c r="C18" s="4816">
        <v>46300</v>
      </c>
      <c r="D18" s="4759">
        <v>0</v>
      </c>
      <c r="E18" s="4759">
        <v>1</v>
      </c>
      <c r="F18" s="4760">
        <f t="shared" si="1"/>
        <v>23</v>
      </c>
      <c r="G18" s="4761" t="s">
        <v>6539</v>
      </c>
      <c r="H18" s="4762">
        <v>8</v>
      </c>
      <c r="I18" s="4763" t="s">
        <v>5784</v>
      </c>
      <c r="J18" s="4764"/>
      <c r="K18" s="4765"/>
      <c r="L18" s="4765"/>
      <c r="M18" s="4765"/>
      <c r="N18" s="4762">
        <v>122100</v>
      </c>
      <c r="O18" s="4766">
        <f t="shared" si="0"/>
        <v>2808300</v>
      </c>
      <c r="P18" s="4857"/>
      <c r="Q18" s="4858"/>
      <c r="R18" s="4859"/>
      <c r="S18" s="4858"/>
      <c r="T18" s="4859"/>
      <c r="U18" s="4860"/>
      <c r="V18" s="4657" t="s">
        <v>6949</v>
      </c>
      <c r="AC18" s="4657"/>
    </row>
    <row r="19" spans="1:31" ht="33.75" customHeight="1">
      <c r="A19" s="4758">
        <v>12</v>
      </c>
      <c r="B19" s="4816">
        <v>46301</v>
      </c>
      <c r="C19" s="4816">
        <v>46301</v>
      </c>
      <c r="D19" s="4759">
        <v>0</v>
      </c>
      <c r="E19" s="4759">
        <v>0.5</v>
      </c>
      <c r="F19" s="4760">
        <f t="shared" si="1"/>
        <v>1</v>
      </c>
      <c r="G19" s="4761" t="s">
        <v>6539</v>
      </c>
      <c r="H19" s="4762">
        <v>8</v>
      </c>
      <c r="I19" s="4763" t="s">
        <v>5784</v>
      </c>
      <c r="J19" s="4764"/>
      <c r="K19" s="4765"/>
      <c r="L19" s="4765"/>
      <c r="M19" s="4765"/>
      <c r="N19" s="4762">
        <v>69300</v>
      </c>
      <c r="O19" s="4766">
        <f t="shared" si="0"/>
        <v>69300</v>
      </c>
      <c r="P19" s="4857"/>
      <c r="Q19" s="4858"/>
      <c r="R19" s="4859"/>
      <c r="S19" s="4858"/>
      <c r="T19" s="4859"/>
      <c r="U19" s="4860"/>
      <c r="V19" s="4657" t="s">
        <v>6951</v>
      </c>
      <c r="AC19" s="4657"/>
    </row>
    <row r="20" spans="1:31" ht="33.75" customHeight="1">
      <c r="A20" s="4758">
        <v>13</v>
      </c>
      <c r="B20" s="4816">
        <v>46278</v>
      </c>
      <c r="C20" s="4816">
        <v>46300</v>
      </c>
      <c r="D20" s="4759">
        <v>0</v>
      </c>
      <c r="E20" s="4759">
        <v>1</v>
      </c>
      <c r="F20" s="4760">
        <f t="shared" si="1"/>
        <v>23</v>
      </c>
      <c r="G20" s="4761" t="s">
        <v>6540</v>
      </c>
      <c r="H20" s="4762">
        <v>8</v>
      </c>
      <c r="I20" s="4763" t="s">
        <v>5784</v>
      </c>
      <c r="J20" s="4764"/>
      <c r="K20" s="4765"/>
      <c r="L20" s="4765"/>
      <c r="M20" s="4765"/>
      <c r="N20" s="4762">
        <v>197450</v>
      </c>
      <c r="O20" s="4766">
        <f t="shared" si="0"/>
        <v>4541350</v>
      </c>
      <c r="P20" s="4857"/>
      <c r="Q20" s="4858"/>
      <c r="R20" s="4859"/>
      <c r="S20" s="4858"/>
      <c r="T20" s="4859"/>
      <c r="U20" s="4860"/>
      <c r="V20" s="4657" t="s">
        <v>6949</v>
      </c>
      <c r="AC20" s="4657"/>
    </row>
    <row r="21" spans="1:31" ht="33.75" customHeight="1">
      <c r="A21" s="4758">
        <v>14</v>
      </c>
      <c r="B21" s="4816">
        <v>46301</v>
      </c>
      <c r="C21" s="4816">
        <v>46301</v>
      </c>
      <c r="D21" s="4759">
        <v>0</v>
      </c>
      <c r="E21" s="4759">
        <v>0.5</v>
      </c>
      <c r="F21" s="4760">
        <f t="shared" si="1"/>
        <v>1</v>
      </c>
      <c r="G21" s="4761" t="s">
        <v>6540</v>
      </c>
      <c r="H21" s="4762">
        <v>8</v>
      </c>
      <c r="I21" s="4763" t="s">
        <v>5784</v>
      </c>
      <c r="J21" s="4764"/>
      <c r="K21" s="4765"/>
      <c r="L21" s="4765"/>
      <c r="M21" s="4765"/>
      <c r="N21" s="4762">
        <v>111650</v>
      </c>
      <c r="O21" s="4766">
        <f t="shared" si="0"/>
        <v>111650</v>
      </c>
      <c r="P21" s="4857"/>
      <c r="Q21" s="4858"/>
      <c r="R21" s="4859"/>
      <c r="S21" s="4858"/>
      <c r="T21" s="4859"/>
      <c r="U21" s="4860"/>
      <c r="V21" s="4657" t="s">
        <v>6951</v>
      </c>
      <c r="AC21" s="4657"/>
    </row>
    <row r="22" spans="1:31" ht="33.75" customHeight="1">
      <c r="A22" s="4758">
        <v>15</v>
      </c>
      <c r="B22" s="4816">
        <v>46278</v>
      </c>
      <c r="C22" s="4816">
        <v>46300</v>
      </c>
      <c r="D22" s="4759">
        <v>0</v>
      </c>
      <c r="E22" s="4759">
        <v>1</v>
      </c>
      <c r="F22" s="4760">
        <f t="shared" si="1"/>
        <v>23</v>
      </c>
      <c r="G22" s="4771" t="s">
        <v>6541</v>
      </c>
      <c r="H22" s="4762">
        <v>8</v>
      </c>
      <c r="I22" s="4763" t="s">
        <v>5784</v>
      </c>
      <c r="J22" s="4764"/>
      <c r="K22" s="4765"/>
      <c r="L22" s="4765"/>
      <c r="M22" s="4765"/>
      <c r="N22" s="4762">
        <v>405350</v>
      </c>
      <c r="O22" s="4766">
        <f t="shared" si="0"/>
        <v>9323050</v>
      </c>
      <c r="P22" s="4857"/>
      <c r="Q22" s="4858"/>
      <c r="R22" s="4859"/>
      <c r="S22" s="4858"/>
      <c r="T22" s="4859"/>
      <c r="U22" s="4860"/>
      <c r="V22" s="4657" t="s">
        <v>6949</v>
      </c>
      <c r="AC22" s="4657"/>
    </row>
    <row r="23" spans="1:31" ht="33.75" customHeight="1" thickBot="1">
      <c r="A23" s="4758">
        <v>16</v>
      </c>
      <c r="B23" s="4816">
        <v>46301</v>
      </c>
      <c r="C23" s="4816">
        <v>46301</v>
      </c>
      <c r="D23" s="4759">
        <v>0</v>
      </c>
      <c r="E23" s="4759">
        <v>0.5</v>
      </c>
      <c r="F23" s="4760">
        <f t="shared" si="1"/>
        <v>1</v>
      </c>
      <c r="G23" s="4771" t="s">
        <v>6541</v>
      </c>
      <c r="H23" s="4762">
        <v>8</v>
      </c>
      <c r="I23" s="4763" t="s">
        <v>5784</v>
      </c>
      <c r="J23" s="4764"/>
      <c r="K23" s="4765"/>
      <c r="L23" s="4765"/>
      <c r="M23" s="4765"/>
      <c r="N23" s="4762">
        <v>227150</v>
      </c>
      <c r="O23" s="4766">
        <f t="shared" si="0"/>
        <v>227150</v>
      </c>
      <c r="P23" s="4857"/>
      <c r="Q23" s="4858"/>
      <c r="R23" s="4859"/>
      <c r="S23" s="4858"/>
      <c r="T23" s="4859"/>
      <c r="U23" s="4860"/>
      <c r="V23" s="4657" t="s">
        <v>6951</v>
      </c>
      <c r="AC23" s="4657"/>
    </row>
    <row r="24" spans="1:31" ht="33.75" customHeight="1" thickTop="1" thickBot="1">
      <c r="A24" s="4778" t="s">
        <v>5845</v>
      </c>
      <c r="B24" s="4779"/>
      <c r="C24" s="4779"/>
      <c r="D24" s="4779"/>
      <c r="E24" s="4779"/>
      <c r="F24" s="4780">
        <f>SUM(F8:F15)</f>
        <v>97</v>
      </c>
      <c r="G24" s="4782">
        <f>COUNTA(G8,G10,G12,G14,G16,G18,G20,G22)</f>
        <v>8</v>
      </c>
      <c r="H24" s="4781"/>
      <c r="I24" s="4779"/>
      <c r="J24" s="4783"/>
      <c r="K24" s="4784"/>
      <c r="L24" s="4784"/>
      <c r="M24" s="4784"/>
      <c r="N24" s="4785"/>
      <c r="O24" s="4922">
        <f>SUM(O8:O23)</f>
        <v>57711000</v>
      </c>
      <c r="P24" s="4787"/>
      <c r="Q24" s="4787"/>
      <c r="R24" s="4788"/>
      <c r="S24" s="4789"/>
      <c r="T24" s="4788"/>
      <c r="U24" s="4790"/>
      <c r="AC24" s="4657"/>
    </row>
    <row r="25" spans="1:31" ht="33.75" customHeight="1" thickBot="1">
      <c r="A25" s="4876" t="s">
        <v>5792</v>
      </c>
      <c r="B25" s="4877"/>
      <c r="C25" s="4878"/>
      <c r="D25" s="4878"/>
      <c r="E25" s="4878"/>
      <c r="F25" s="4879"/>
      <c r="G25" s="4878"/>
      <c r="H25" s="4880"/>
      <c r="I25" s="4878"/>
      <c r="J25" s="4881"/>
      <c r="K25" s="4881"/>
      <c r="L25" s="4881"/>
      <c r="M25" s="4881"/>
      <c r="N25" s="4882"/>
      <c r="O25" s="4923">
        <f>O24*1.1</f>
        <v>63482100.000000007</v>
      </c>
      <c r="P25" s="4884"/>
      <c r="Q25" s="4885"/>
      <c r="R25" s="4886"/>
      <c r="S25" s="4887"/>
      <c r="T25" s="4886"/>
      <c r="U25" s="4888"/>
      <c r="AC25" s="4657"/>
    </row>
    <row r="26" spans="1:31" ht="33.75" customHeight="1">
      <c r="A26" s="4656"/>
      <c r="B26" s="4660"/>
      <c r="C26" s="4660"/>
      <c r="D26" s="4660"/>
      <c r="G26" s="4660"/>
      <c r="H26" s="4660"/>
      <c r="M26" s="4808" t="s">
        <v>5748</v>
      </c>
      <c r="N26" s="4809">
        <f>SUM(N8,N10,N12,N14,N16,N18,N20,N22)</f>
        <v>2410150</v>
      </c>
      <c r="O26" s="4656"/>
      <c r="P26" s="4657"/>
      <c r="Q26" s="4657"/>
      <c r="AC26" s="4657"/>
    </row>
    <row r="27" spans="1:31" ht="32.15" customHeight="1">
      <c r="A27" s="4656"/>
      <c r="B27" s="4660"/>
      <c r="C27" s="4660"/>
      <c r="D27" s="4660"/>
      <c r="G27" s="4660"/>
      <c r="H27" s="4660"/>
      <c r="M27" s="4808" t="s">
        <v>5750</v>
      </c>
      <c r="N27" s="4809">
        <f>N26*1.1</f>
        <v>2651165</v>
      </c>
      <c r="O27" s="4656"/>
      <c r="P27" s="4657"/>
      <c r="Q27" s="4657"/>
      <c r="AC27" s="4657"/>
    </row>
    <row r="28" spans="1:31" ht="32.15" customHeight="1">
      <c r="B28" s="4657"/>
      <c r="C28" s="4657"/>
      <c r="D28" s="4657"/>
      <c r="E28" s="4810"/>
      <c r="F28" s="4811"/>
      <c r="G28" s="4657"/>
      <c r="H28" s="4657"/>
      <c r="O28" s="4656"/>
      <c r="P28" s="4657"/>
      <c r="Q28" s="4657"/>
      <c r="AC28" s="4657"/>
    </row>
    <row r="29" spans="1:31" ht="32.15" customHeight="1">
      <c r="A29" s="4812"/>
      <c r="B29" s="4813"/>
      <c r="C29" s="4813"/>
      <c r="D29" s="4813"/>
      <c r="E29" s="4814"/>
      <c r="F29" s="4814"/>
      <c r="G29" s="4813"/>
      <c r="H29" s="4813"/>
      <c r="I29" s="4812"/>
      <c r="J29" s="4812"/>
      <c r="K29" s="4812"/>
      <c r="L29" s="4812"/>
      <c r="M29" s="4812"/>
      <c r="N29" s="4812"/>
      <c r="O29" s="4715"/>
      <c r="P29" s="4715"/>
      <c r="Q29" s="4715"/>
      <c r="R29" s="4656"/>
      <c r="S29" s="4812"/>
      <c r="T29" s="4656"/>
      <c r="U29" s="4812"/>
      <c r="W29" s="6905"/>
      <c r="X29" s="6905"/>
      <c r="Y29" s="6905"/>
      <c r="Z29" s="6905"/>
      <c r="AA29" s="6905"/>
      <c r="AB29" s="6891"/>
      <c r="AC29" s="6891"/>
      <c r="AD29" s="6891"/>
      <c r="AE29" s="6891"/>
    </row>
    <row r="30" spans="1:31" ht="36" customHeight="1"/>
    <row r="31" spans="1:31" ht="36" customHeight="1"/>
    <row r="32" spans="1:31" ht="36" customHeight="1"/>
    <row r="33" spans="2:29" ht="36" customHeight="1"/>
    <row r="34" spans="2:29" ht="36" customHeight="1"/>
    <row r="35" spans="2:29" ht="36" customHeight="1"/>
    <row r="36" spans="2:29" ht="36" customHeight="1"/>
    <row r="37" spans="2:29" ht="36" customHeight="1"/>
    <row r="38" spans="2:29" ht="36" customHeight="1"/>
    <row r="39" spans="2:29" ht="36" customHeight="1"/>
    <row r="40" spans="2:29" ht="10.4" customHeight="1">
      <c r="B40" s="4657"/>
      <c r="C40" s="4657"/>
      <c r="D40" s="4657"/>
      <c r="G40" s="4657"/>
      <c r="H40" s="4657"/>
      <c r="O40" s="4656"/>
      <c r="P40" s="4657"/>
      <c r="Q40" s="4657"/>
      <c r="AC40" s="4657"/>
    </row>
  </sheetData>
  <mergeCells count="21">
    <mergeCell ref="A2:B2"/>
    <mergeCell ref="C2:G2"/>
    <mergeCell ref="A5:A6"/>
    <mergeCell ref="B5:B6"/>
    <mergeCell ref="C5:C6"/>
    <mergeCell ref="D5:D6"/>
    <mergeCell ref="E5:E6"/>
    <mergeCell ref="F5:F6"/>
    <mergeCell ref="G5:G6"/>
    <mergeCell ref="AB29:AE29"/>
    <mergeCell ref="H5:H6"/>
    <mergeCell ref="I5:I6"/>
    <mergeCell ref="J5:J6"/>
    <mergeCell ref="K5:K6"/>
    <mergeCell ref="L5:L6"/>
    <mergeCell ref="M5:M6"/>
    <mergeCell ref="N5:N6"/>
    <mergeCell ref="O5:O6"/>
    <mergeCell ref="P5:Q5"/>
    <mergeCell ref="R5:U5"/>
    <mergeCell ref="W29:AA29"/>
  </mergeCells>
  <phoneticPr fontId="2"/>
  <conditionalFormatting sqref="C2:D2">
    <cfRule type="containsBlanks" dxfId="38" priority="5">
      <formula>LEN(TRIM(C2))=0</formula>
    </cfRule>
  </conditionalFormatting>
  <conditionalFormatting sqref="P8:U23">
    <cfRule type="containsBlanks" dxfId="37" priority="4">
      <formula>LEN(TRIM(P8))=0</formula>
    </cfRule>
  </conditionalFormatting>
  <conditionalFormatting sqref="B8:E23">
    <cfRule type="containsBlanks" dxfId="36" priority="1">
      <formula>LEN(TRIM(B8))=0</formula>
    </cfRule>
  </conditionalFormatting>
  <conditionalFormatting sqref="G8:N23">
    <cfRule type="containsBlanks" dxfId="35" priority="2">
      <formula>LEN(TRIM(G8))=0</formula>
    </cfRule>
  </conditionalFormatting>
  <dataValidations count="1">
    <dataValidation type="list" allowBlank="1" showInputMessage="1" showErrorMessage="1" sqref="I7:I23" xr:uid="{438E3908-C77D-4A42-9C6F-5F4997F5BA51}">
      <formula1>会場形態</formula1>
    </dataValidation>
  </dataValidations>
  <printOptions horizontalCentered="1"/>
  <pageMargins left="0.39370078740157483" right="0.39370078740157483" top="0.55118110236220474" bottom="0.55118110236220474" header="0.31496062992125984" footer="0.31496062992125984"/>
  <pageSetup paperSize="9" scale="44" orientation="landscape" r:id="rId1"/>
  <headerFooter>
    <oddHeader>&amp;R&amp;G</oddHead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CF98-7257-4A95-B6DF-B77FEDA11312}">
  <sheetPr codeName="Sheet400">
    <tabColor rgb="FFFFFF66"/>
    <pageSetUpPr fitToPage="1"/>
  </sheetPr>
  <dimension ref="A1:AI40"/>
  <sheetViews>
    <sheetView topLeftCell="A15" zoomScale="55" zoomScaleNormal="55" zoomScaleSheetLayoutView="70" workbookViewId="0"/>
  </sheetViews>
  <sheetFormatPr defaultColWidth="9.81640625" defaultRowHeight="18"/>
  <cols>
    <col min="1" max="1" width="7.453125" style="4656" customWidth="1"/>
    <col min="2" max="2" width="24.54296875" style="4656" customWidth="1"/>
    <col min="3" max="3" width="25.81640625" style="4657" customWidth="1"/>
    <col min="4" max="4" width="7.54296875" style="4657" customWidth="1"/>
    <col min="5" max="5" width="25.81640625" style="4657" customWidth="1"/>
    <col min="6" max="6" width="7.54296875" style="4657" customWidth="1"/>
    <col min="7" max="7" width="23.26953125" style="4656" customWidth="1"/>
    <col min="8" max="8" width="7.54296875" style="4657" customWidth="1"/>
    <col min="9" max="9" width="30.26953125" style="4658" bestFit="1" customWidth="1"/>
    <col min="10" max="11" width="11.1796875" style="4656" customWidth="1"/>
    <col min="12" max="13" width="25.453125" style="4659" customWidth="1"/>
    <col min="14" max="15" width="5.1796875" style="4659" customWidth="1"/>
    <col min="16" max="16" width="25.453125" style="4659" customWidth="1"/>
    <col min="17" max="17" width="16.453125" style="4659" bestFit="1" customWidth="1"/>
    <col min="18" max="18" width="20.453125" style="4656" customWidth="1"/>
    <col min="19" max="19" width="11.1796875" style="4657" customWidth="1"/>
    <col min="20" max="20" width="9.54296875" style="4657" customWidth="1"/>
    <col min="21" max="21" width="11.1796875" style="4657" customWidth="1"/>
    <col min="22" max="22" width="12.453125" style="4657" customWidth="1"/>
    <col min="23" max="23" width="11.1796875" style="4657" customWidth="1"/>
    <col min="24" max="24" width="9.54296875" style="4657" customWidth="1"/>
    <col min="25" max="26" width="11.1796875" style="4657" customWidth="1"/>
    <col min="27" max="27" width="24" style="4657" customWidth="1"/>
    <col min="28" max="28" width="9.81640625" style="4657"/>
    <col min="29" max="29" width="7.81640625" style="4657" customWidth="1"/>
    <col min="30" max="30" width="9.81640625" style="4657"/>
    <col min="31" max="31" width="7.81640625" style="4657" customWidth="1"/>
    <col min="32" max="32" width="40.1796875" style="4657" customWidth="1"/>
    <col min="33" max="34" width="17" style="4657" customWidth="1"/>
    <col min="35" max="16384" width="9.81640625" style="4657"/>
  </cols>
  <sheetData>
    <row r="1" spans="1:34" ht="21" customHeight="1" thickBot="1">
      <c r="T1" s="4656"/>
      <c r="V1" s="4660"/>
      <c r="X1" s="4656"/>
    </row>
    <row r="2" spans="1:34" ht="44.25" customHeight="1" thickBot="1">
      <c r="A2" s="6874" t="s">
        <v>5707</v>
      </c>
      <c r="B2" s="6875"/>
      <c r="C2" s="6876" t="s">
        <v>2420</v>
      </c>
      <c r="D2" s="6876"/>
      <c r="E2" s="6876"/>
      <c r="F2" s="6876"/>
      <c r="G2" s="6876"/>
      <c r="H2" s="4661" t="s">
        <v>5709</v>
      </c>
      <c r="I2" s="4662"/>
      <c r="J2" s="7041" t="s">
        <v>6542</v>
      </c>
      <c r="K2" s="7041"/>
      <c r="L2" s="7041"/>
      <c r="M2" s="7041"/>
      <c r="N2" s="7041"/>
      <c r="O2" s="7041"/>
      <c r="P2" s="7041"/>
      <c r="Q2" s="7041"/>
      <c r="T2" s="4656"/>
      <c r="V2" s="4660"/>
      <c r="X2" s="4656"/>
      <c r="AF2" s="4664" t="s">
        <v>5710</v>
      </c>
    </row>
    <row r="3" spans="1:34" ht="10.15" customHeight="1">
      <c r="T3" s="4656"/>
      <c r="V3" s="4660"/>
      <c r="X3" s="4656"/>
    </row>
    <row r="4" spans="1:34" ht="33.75" customHeight="1" thickBot="1">
      <c r="A4" s="4665" t="s">
        <v>5711</v>
      </c>
      <c r="B4" s="4665"/>
      <c r="T4" s="4656"/>
      <c r="X4" s="4656"/>
      <c r="AA4" s="4656"/>
      <c r="AB4" s="4656"/>
      <c r="AC4" s="4656"/>
      <c r="AD4" s="4656"/>
      <c r="AE4" s="4656"/>
      <c r="AG4" s="4656" t="s">
        <v>5712</v>
      </c>
    </row>
    <row r="5" spans="1:34" s="4666" customFormat="1" ht="33.75" customHeight="1">
      <c r="A5" s="6877" t="s">
        <v>5713</v>
      </c>
      <c r="B5" s="6879" t="s">
        <v>5714</v>
      </c>
      <c r="C5" s="6855" t="s">
        <v>5715</v>
      </c>
      <c r="D5" s="6855" t="s">
        <v>5716</v>
      </c>
      <c r="E5" s="6855" t="s">
        <v>5717</v>
      </c>
      <c r="F5" s="6868" t="s">
        <v>5718</v>
      </c>
      <c r="G5" s="6855" t="s">
        <v>5719</v>
      </c>
      <c r="H5" s="6855" t="s">
        <v>5720</v>
      </c>
      <c r="I5" s="6857" t="s">
        <v>5721</v>
      </c>
      <c r="J5" s="6851" t="s">
        <v>5722</v>
      </c>
      <c r="K5" s="6851" t="s">
        <v>5723</v>
      </c>
      <c r="L5" s="6855" t="s">
        <v>5796</v>
      </c>
      <c r="M5" s="6855" t="s">
        <v>5797</v>
      </c>
      <c r="N5" s="4967" t="s">
        <v>5726</v>
      </c>
      <c r="O5" s="4967" t="s">
        <v>5726</v>
      </c>
      <c r="P5" s="6855" t="s">
        <v>5798</v>
      </c>
      <c r="Q5" s="6851" t="s">
        <v>3766</v>
      </c>
      <c r="R5" s="6853"/>
      <c r="S5" s="6868" t="s">
        <v>5728</v>
      </c>
      <c r="T5" s="6869"/>
      <c r="U5" s="6870"/>
      <c r="V5" s="6855" t="s">
        <v>5729</v>
      </c>
      <c r="W5" s="6869" t="s">
        <v>5730</v>
      </c>
      <c r="X5" s="6869"/>
      <c r="Y5" s="6869"/>
      <c r="Z5" s="6868" t="s">
        <v>5731</v>
      </c>
      <c r="AA5" s="6851" t="s">
        <v>5732</v>
      </c>
      <c r="AB5" s="6851" t="s">
        <v>5733</v>
      </c>
      <c r="AC5" s="6853"/>
      <c r="AD5" s="6853"/>
      <c r="AE5" s="6853"/>
      <c r="AF5" s="6860" t="s">
        <v>2792</v>
      </c>
      <c r="AG5" s="6862" t="s">
        <v>5734</v>
      </c>
      <c r="AH5" s="6862" t="s">
        <v>5734</v>
      </c>
    </row>
    <row r="6" spans="1:34" s="4666" customFormat="1" ht="20">
      <c r="A6" s="6878"/>
      <c r="B6" s="6880"/>
      <c r="C6" s="6858"/>
      <c r="D6" s="6856"/>
      <c r="E6" s="6856"/>
      <c r="F6" s="6881"/>
      <c r="G6" s="6856"/>
      <c r="H6" s="6856"/>
      <c r="I6" s="6858"/>
      <c r="J6" s="6859"/>
      <c r="K6" s="6859"/>
      <c r="L6" s="6856"/>
      <c r="M6" s="6856"/>
      <c r="N6" s="4968"/>
      <c r="O6" s="4968"/>
      <c r="P6" s="6856"/>
      <c r="Q6" s="4667" t="s">
        <v>5735</v>
      </c>
      <c r="R6" s="4668" t="s">
        <v>5736</v>
      </c>
      <c r="S6" s="6871"/>
      <c r="T6" s="6872"/>
      <c r="U6" s="6873"/>
      <c r="V6" s="6856"/>
      <c r="W6" s="6872"/>
      <c r="X6" s="6872"/>
      <c r="Y6" s="6872"/>
      <c r="Z6" s="6852"/>
      <c r="AA6" s="6852"/>
      <c r="AB6" s="6852"/>
      <c r="AC6" s="6854"/>
      <c r="AD6" s="6854"/>
      <c r="AE6" s="6854"/>
      <c r="AF6" s="6861"/>
      <c r="AG6" s="6862"/>
      <c r="AH6" s="6862"/>
    </row>
    <row r="7" spans="1:34" ht="33.75" customHeight="1">
      <c r="A7" s="4669" t="s">
        <v>5737</v>
      </c>
      <c r="B7" s="4670">
        <v>46266</v>
      </c>
      <c r="C7" s="4671">
        <v>46268</v>
      </c>
      <c r="D7" s="4672">
        <f>IF(_xlfn.DAYS(C7,B7)=0,"1",_xlfn.DAYS(C7,B7))</f>
        <v>2</v>
      </c>
      <c r="E7" s="4671">
        <v>46280</v>
      </c>
      <c r="F7" s="4672">
        <f>IF(_xlfn.DAYS(E7,C7)=0,"1",_xlfn.DAYS(E7,C7))+1</f>
        <v>13</v>
      </c>
      <c r="G7" s="4673">
        <v>46282</v>
      </c>
      <c r="H7" s="4672">
        <f>IF(_xlfn.DAYS(G7,E7)=0,"1",_xlfn.DAYS(G7,E7))-1</f>
        <v>1</v>
      </c>
      <c r="I7" s="4674" t="s">
        <v>5738</v>
      </c>
      <c r="J7" s="4675">
        <v>100</v>
      </c>
      <c r="K7" s="4676">
        <v>90</v>
      </c>
      <c r="L7" s="4677">
        <v>9000</v>
      </c>
      <c r="M7" s="4677">
        <v>10000</v>
      </c>
      <c r="N7" s="4971"/>
      <c r="O7" s="4677"/>
      <c r="P7" s="4677">
        <v>8000</v>
      </c>
      <c r="Q7" s="4678">
        <f>SUM(D7,F7,H7)*K7</f>
        <v>1440</v>
      </c>
      <c r="R7" s="4679">
        <f t="shared" ref="R7:R22" si="0">(D7*L7+F7*M7+H7*P7)*K7</f>
        <v>14040000</v>
      </c>
      <c r="S7" s="4675">
        <v>21</v>
      </c>
      <c r="T7" s="4680" t="s">
        <v>5739</v>
      </c>
      <c r="U7" s="4681">
        <v>21</v>
      </c>
      <c r="V7" s="4815">
        <v>1</v>
      </c>
      <c r="W7" s="4675">
        <v>154</v>
      </c>
      <c r="X7" s="4680" t="s">
        <v>4521</v>
      </c>
      <c r="Y7" s="4682">
        <v>203</v>
      </c>
      <c r="Z7" s="4675">
        <v>1</v>
      </c>
      <c r="AA7" s="4675" t="s">
        <v>5740</v>
      </c>
      <c r="AB7" s="4683" t="s">
        <v>5035</v>
      </c>
      <c r="AC7" s="4675" t="s">
        <v>2830</v>
      </c>
      <c r="AD7" s="4683" t="s">
        <v>5050</v>
      </c>
      <c r="AE7" s="4675" t="s">
        <v>5741</v>
      </c>
      <c r="AF7" s="4684"/>
      <c r="AG7" s="4685"/>
      <c r="AH7" s="5753"/>
    </row>
    <row r="8" spans="1:34" ht="33.75" customHeight="1">
      <c r="A8" s="4686">
        <v>1</v>
      </c>
      <c r="B8" s="4687">
        <v>46279</v>
      </c>
      <c r="C8" s="4687">
        <v>46281</v>
      </c>
      <c r="D8" s="4672">
        <f t="shared" ref="D8:D16" si="1">IF(_xlfn.DAYS(C8,B8)=0,"1",_xlfn.DAYS(C8,B8))</f>
        <v>2</v>
      </c>
      <c r="E8" s="4687">
        <v>46290</v>
      </c>
      <c r="F8" s="4698">
        <f t="shared" ref="F8:F16" si="2">IF(_xlfn.DAYS(E8,C8)=0,"1",_xlfn.DAYS(E8,C8))+1</f>
        <v>10</v>
      </c>
      <c r="G8" s="4687">
        <v>46292</v>
      </c>
      <c r="H8" s="4672">
        <f t="shared" ref="H8:H16" si="3">IF(_xlfn.DAYS(G8,E8)=0,"1",_xlfn.DAYS(G8,E8))-1</f>
        <v>1</v>
      </c>
      <c r="I8" s="4691" t="s">
        <v>6543</v>
      </c>
      <c r="J8" s="4692">
        <v>72</v>
      </c>
      <c r="K8" s="4692">
        <v>72</v>
      </c>
      <c r="L8" s="4692">
        <v>33900</v>
      </c>
      <c r="M8" s="4692">
        <v>41900</v>
      </c>
      <c r="N8" s="4971">
        <f>M8*K8</f>
        <v>3016800</v>
      </c>
      <c r="O8" s="4971"/>
      <c r="P8" s="4692">
        <v>33900</v>
      </c>
      <c r="Q8" s="4678">
        <f>SUM(D8,F8,H8)*K8</f>
        <v>936</v>
      </c>
      <c r="R8" s="4679">
        <f t="shared" si="0"/>
        <v>37490400</v>
      </c>
      <c r="S8" s="4692">
        <v>29.7</v>
      </c>
      <c r="T8" s="4680" t="s">
        <v>5742</v>
      </c>
      <c r="U8" s="4694">
        <v>42.9</v>
      </c>
      <c r="V8" s="4700">
        <v>2</v>
      </c>
      <c r="W8" s="4692">
        <v>110</v>
      </c>
      <c r="X8" s="4680" t="s">
        <v>4521</v>
      </c>
      <c r="Y8" s="4695">
        <v>206</v>
      </c>
      <c r="Z8" s="4692">
        <v>2</v>
      </c>
      <c r="AA8" s="4692" t="s">
        <v>5984</v>
      </c>
      <c r="AB8" s="4683" t="s">
        <v>5035</v>
      </c>
      <c r="AC8" s="4692"/>
      <c r="AD8" s="4683" t="s">
        <v>5050</v>
      </c>
      <c r="AE8" s="4692" t="s">
        <v>2814</v>
      </c>
      <c r="AF8" s="4696"/>
      <c r="AG8" s="4685">
        <f>V8*K8</f>
        <v>144</v>
      </c>
      <c r="AH8" s="4685"/>
    </row>
    <row r="9" spans="1:34" ht="33.75" customHeight="1">
      <c r="A9" s="4686">
        <v>2</v>
      </c>
      <c r="B9" s="4687">
        <v>46279</v>
      </c>
      <c r="C9" s="4687">
        <v>46281</v>
      </c>
      <c r="D9" s="4672">
        <f t="shared" si="1"/>
        <v>2</v>
      </c>
      <c r="E9" s="4687">
        <v>46290</v>
      </c>
      <c r="F9" s="4698">
        <f t="shared" si="2"/>
        <v>10</v>
      </c>
      <c r="G9" s="4687">
        <v>46292</v>
      </c>
      <c r="H9" s="4672">
        <f t="shared" si="3"/>
        <v>1</v>
      </c>
      <c r="I9" s="4691" t="s">
        <v>6544</v>
      </c>
      <c r="J9" s="4692">
        <v>70</v>
      </c>
      <c r="K9" s="4692">
        <v>70</v>
      </c>
      <c r="L9" s="4692">
        <v>33900</v>
      </c>
      <c r="M9" s="4692">
        <v>41900</v>
      </c>
      <c r="N9" s="4971">
        <f t="shared" ref="N9:N15" si="4">M9*K9</f>
        <v>2933000</v>
      </c>
      <c r="O9" s="4971"/>
      <c r="P9" s="4692">
        <v>33900</v>
      </c>
      <c r="Q9" s="4678">
        <f t="shared" ref="Q9:Q22" si="5">SUM(D9,F9,H9)*K9</f>
        <v>910</v>
      </c>
      <c r="R9" s="4679">
        <f t="shared" si="0"/>
        <v>36449000</v>
      </c>
      <c r="S9" s="4692">
        <v>29.7</v>
      </c>
      <c r="T9" s="4680" t="s">
        <v>5742</v>
      </c>
      <c r="U9" s="4694">
        <v>42.9</v>
      </c>
      <c r="V9" s="4700">
        <v>2</v>
      </c>
      <c r="W9" s="4692">
        <v>110</v>
      </c>
      <c r="X9" s="4680" t="s">
        <v>4521</v>
      </c>
      <c r="Y9" s="4695">
        <v>206</v>
      </c>
      <c r="Z9" s="4692">
        <v>2</v>
      </c>
      <c r="AA9" s="4692" t="s">
        <v>5984</v>
      </c>
      <c r="AB9" s="4683" t="s">
        <v>5035</v>
      </c>
      <c r="AC9" s="4692"/>
      <c r="AD9" s="4683" t="s">
        <v>5050</v>
      </c>
      <c r="AE9" s="4692" t="s">
        <v>2814</v>
      </c>
      <c r="AF9" s="4696"/>
      <c r="AG9" s="4685">
        <f t="shared" ref="AG9:AG22" si="6">V9*K9</f>
        <v>140</v>
      </c>
      <c r="AH9" s="4685"/>
    </row>
    <row r="10" spans="1:34" ht="33.75" customHeight="1">
      <c r="A10" s="4686">
        <v>3</v>
      </c>
      <c r="B10" s="4687">
        <v>46279</v>
      </c>
      <c r="C10" s="4687">
        <v>46281</v>
      </c>
      <c r="D10" s="4672">
        <f t="shared" si="1"/>
        <v>2</v>
      </c>
      <c r="E10" s="4687">
        <v>46290</v>
      </c>
      <c r="F10" s="4698">
        <f>IF(_xlfn.DAYS(E10,C10)=0,"1",_xlfn.DAYS(E10,C10))+1</f>
        <v>10</v>
      </c>
      <c r="G10" s="4687">
        <v>46292</v>
      </c>
      <c r="H10" s="4672">
        <f t="shared" si="3"/>
        <v>1</v>
      </c>
      <c r="I10" s="4691" t="s">
        <v>6545</v>
      </c>
      <c r="J10" s="4692">
        <v>70</v>
      </c>
      <c r="K10" s="4692">
        <v>70</v>
      </c>
      <c r="L10" s="4692">
        <v>33900</v>
      </c>
      <c r="M10" s="4692">
        <v>41900</v>
      </c>
      <c r="N10" s="4971">
        <f t="shared" si="4"/>
        <v>2933000</v>
      </c>
      <c r="O10" s="4971"/>
      <c r="P10" s="4692">
        <v>33900</v>
      </c>
      <c r="Q10" s="4678">
        <f t="shared" si="5"/>
        <v>910</v>
      </c>
      <c r="R10" s="4679">
        <f t="shared" si="0"/>
        <v>36449000</v>
      </c>
      <c r="S10" s="4692">
        <v>29.7</v>
      </c>
      <c r="T10" s="4680" t="s">
        <v>5742</v>
      </c>
      <c r="U10" s="4694">
        <v>42.9</v>
      </c>
      <c r="V10" s="4700">
        <v>2</v>
      </c>
      <c r="W10" s="4692">
        <v>110</v>
      </c>
      <c r="X10" s="4680" t="s">
        <v>4521</v>
      </c>
      <c r="Y10" s="4695">
        <v>206</v>
      </c>
      <c r="Z10" s="4692">
        <v>2</v>
      </c>
      <c r="AA10" s="4692" t="s">
        <v>5984</v>
      </c>
      <c r="AB10" s="4683" t="s">
        <v>5035</v>
      </c>
      <c r="AC10" s="4692"/>
      <c r="AD10" s="4683" t="s">
        <v>5050</v>
      </c>
      <c r="AE10" s="4692" t="s">
        <v>2814</v>
      </c>
      <c r="AF10" s="4696"/>
      <c r="AG10" s="4685">
        <f t="shared" si="6"/>
        <v>140</v>
      </c>
      <c r="AH10" s="4685"/>
    </row>
    <row r="11" spans="1:34" ht="33.75" customHeight="1">
      <c r="A11" s="4686">
        <v>4</v>
      </c>
      <c r="B11" s="4687">
        <v>46279</v>
      </c>
      <c r="C11" s="4687">
        <v>46281</v>
      </c>
      <c r="D11" s="4672">
        <f t="shared" si="1"/>
        <v>2</v>
      </c>
      <c r="E11" s="4687">
        <v>46290</v>
      </c>
      <c r="F11" s="4698">
        <f t="shared" si="2"/>
        <v>10</v>
      </c>
      <c r="G11" s="4687">
        <v>46292</v>
      </c>
      <c r="H11" s="4672">
        <f t="shared" si="3"/>
        <v>1</v>
      </c>
      <c r="I11" s="4691" t="s">
        <v>6546</v>
      </c>
      <c r="J11" s="4692">
        <v>40</v>
      </c>
      <c r="K11" s="4692">
        <v>40</v>
      </c>
      <c r="L11" s="4692">
        <v>33900</v>
      </c>
      <c r="M11" s="4692">
        <v>41900</v>
      </c>
      <c r="N11" s="4971">
        <f t="shared" si="4"/>
        <v>1676000</v>
      </c>
      <c r="O11" s="4971"/>
      <c r="P11" s="4692">
        <v>33900</v>
      </c>
      <c r="Q11" s="4678">
        <f t="shared" si="5"/>
        <v>520</v>
      </c>
      <c r="R11" s="4679">
        <f t="shared" si="0"/>
        <v>20828000</v>
      </c>
      <c r="S11" s="4692">
        <v>29.7</v>
      </c>
      <c r="T11" s="4680" t="s">
        <v>5742</v>
      </c>
      <c r="U11" s="4694">
        <v>42.9</v>
      </c>
      <c r="V11" s="4700">
        <v>2</v>
      </c>
      <c r="W11" s="4692">
        <v>110</v>
      </c>
      <c r="X11" s="4680" t="s">
        <v>4521</v>
      </c>
      <c r="Y11" s="4695">
        <v>206</v>
      </c>
      <c r="Z11" s="4692">
        <v>2</v>
      </c>
      <c r="AA11" s="4692" t="s">
        <v>5984</v>
      </c>
      <c r="AB11" s="4683" t="s">
        <v>5035</v>
      </c>
      <c r="AC11" s="4692"/>
      <c r="AD11" s="4683" t="s">
        <v>5050</v>
      </c>
      <c r="AE11" s="4692" t="s">
        <v>2814</v>
      </c>
      <c r="AF11" s="4696"/>
      <c r="AG11" s="4685">
        <f t="shared" si="6"/>
        <v>80</v>
      </c>
      <c r="AH11" s="4685"/>
    </row>
    <row r="12" spans="1:34" ht="33.75" customHeight="1">
      <c r="A12" s="4686">
        <v>5</v>
      </c>
      <c r="B12" s="4687">
        <v>46285</v>
      </c>
      <c r="C12" s="4687">
        <v>46287</v>
      </c>
      <c r="D12" s="4672">
        <f t="shared" si="1"/>
        <v>2</v>
      </c>
      <c r="E12" s="4687">
        <v>46295</v>
      </c>
      <c r="F12" s="4698">
        <f t="shared" si="2"/>
        <v>9</v>
      </c>
      <c r="G12" s="4687">
        <v>46297</v>
      </c>
      <c r="H12" s="4672">
        <f t="shared" si="3"/>
        <v>1</v>
      </c>
      <c r="I12" s="4691" t="s">
        <v>6547</v>
      </c>
      <c r="J12" s="4692">
        <v>44</v>
      </c>
      <c r="K12" s="4692">
        <v>44</v>
      </c>
      <c r="L12" s="4692">
        <v>33900</v>
      </c>
      <c r="M12" s="4692">
        <v>41900</v>
      </c>
      <c r="N12" s="4971"/>
      <c r="O12" s="4971">
        <f>M12*K12</f>
        <v>1843600</v>
      </c>
      <c r="P12" s="4692">
        <v>33900</v>
      </c>
      <c r="Q12" s="4678">
        <f t="shared" si="5"/>
        <v>528</v>
      </c>
      <c r="R12" s="4679">
        <f t="shared" si="0"/>
        <v>21067200</v>
      </c>
      <c r="S12" s="4692">
        <v>29.7</v>
      </c>
      <c r="T12" s="4680" t="s">
        <v>5742</v>
      </c>
      <c r="U12" s="4694">
        <v>42.9</v>
      </c>
      <c r="V12" s="4700">
        <v>2</v>
      </c>
      <c r="W12" s="4692">
        <v>110</v>
      </c>
      <c r="X12" s="4680" t="s">
        <v>4521</v>
      </c>
      <c r="Y12" s="4695">
        <v>206</v>
      </c>
      <c r="Z12" s="4692">
        <v>2</v>
      </c>
      <c r="AA12" s="4692" t="s">
        <v>5984</v>
      </c>
      <c r="AB12" s="4683" t="s">
        <v>5035</v>
      </c>
      <c r="AC12" s="4692"/>
      <c r="AD12" s="4683" t="s">
        <v>5050</v>
      </c>
      <c r="AE12" s="4692" t="s">
        <v>2814</v>
      </c>
      <c r="AF12" s="4696"/>
      <c r="AG12" s="4685"/>
      <c r="AH12" s="4685">
        <f t="shared" ref="AH12:AH22" si="7">V12*K12</f>
        <v>88</v>
      </c>
    </row>
    <row r="13" spans="1:34" ht="33.75" customHeight="1">
      <c r="A13" s="4686">
        <v>6</v>
      </c>
      <c r="B13" s="4687">
        <v>46279</v>
      </c>
      <c r="C13" s="4687">
        <v>46281</v>
      </c>
      <c r="D13" s="4672">
        <f t="shared" si="1"/>
        <v>2</v>
      </c>
      <c r="E13" s="4687">
        <v>46290</v>
      </c>
      <c r="F13" s="4698">
        <f t="shared" si="2"/>
        <v>10</v>
      </c>
      <c r="G13" s="4687">
        <v>46292</v>
      </c>
      <c r="H13" s="4672">
        <f t="shared" si="3"/>
        <v>1</v>
      </c>
      <c r="I13" s="4691" t="s">
        <v>6548</v>
      </c>
      <c r="J13" s="4692">
        <v>5</v>
      </c>
      <c r="K13" s="4692">
        <v>5</v>
      </c>
      <c r="L13" s="4692">
        <v>33900</v>
      </c>
      <c r="M13" s="4692">
        <v>41900</v>
      </c>
      <c r="N13" s="4971">
        <f t="shared" si="4"/>
        <v>209500</v>
      </c>
      <c r="O13" s="4971"/>
      <c r="P13" s="4692">
        <v>33900</v>
      </c>
      <c r="Q13" s="4678">
        <f t="shared" si="5"/>
        <v>65</v>
      </c>
      <c r="R13" s="4679">
        <f t="shared" si="0"/>
        <v>2603500</v>
      </c>
      <c r="S13" s="4692">
        <v>29.7</v>
      </c>
      <c r="T13" s="4680" t="s">
        <v>5742</v>
      </c>
      <c r="U13" s="4694">
        <v>42.9</v>
      </c>
      <c r="V13" s="4700">
        <v>2</v>
      </c>
      <c r="W13" s="4692">
        <v>110</v>
      </c>
      <c r="X13" s="4680" t="s">
        <v>4521</v>
      </c>
      <c r="Y13" s="4695">
        <v>206</v>
      </c>
      <c r="Z13" s="4692"/>
      <c r="AA13" s="4692" t="s">
        <v>5984</v>
      </c>
      <c r="AB13" s="4683" t="s">
        <v>5035</v>
      </c>
      <c r="AC13" s="4692"/>
      <c r="AD13" s="4683" t="s">
        <v>5050</v>
      </c>
      <c r="AE13" s="4692" t="s">
        <v>2814</v>
      </c>
      <c r="AF13" s="4696"/>
      <c r="AG13" s="4685">
        <f t="shared" si="6"/>
        <v>10</v>
      </c>
      <c r="AH13" s="4685"/>
    </row>
    <row r="14" spans="1:34" ht="33.75" customHeight="1">
      <c r="A14" s="4686">
        <v>7</v>
      </c>
      <c r="B14" s="4687">
        <v>46285</v>
      </c>
      <c r="C14" s="4687">
        <v>46287</v>
      </c>
      <c r="D14" s="4672">
        <f t="shared" si="1"/>
        <v>2</v>
      </c>
      <c r="E14" s="4687">
        <v>46295</v>
      </c>
      <c r="F14" s="4698">
        <f t="shared" si="2"/>
        <v>9</v>
      </c>
      <c r="G14" s="4699">
        <v>46297</v>
      </c>
      <c r="H14" s="4672">
        <f t="shared" si="3"/>
        <v>1</v>
      </c>
      <c r="I14" s="4691" t="s">
        <v>6549</v>
      </c>
      <c r="J14" s="4692">
        <v>5</v>
      </c>
      <c r="K14" s="4692">
        <v>5</v>
      </c>
      <c r="L14" s="4692">
        <v>33900</v>
      </c>
      <c r="M14" s="4692">
        <v>41900</v>
      </c>
      <c r="N14" s="4971"/>
      <c r="O14" s="4971">
        <f>M14*K14</f>
        <v>209500</v>
      </c>
      <c r="P14" s="4692">
        <v>33900</v>
      </c>
      <c r="Q14" s="4678">
        <f t="shared" si="5"/>
        <v>60</v>
      </c>
      <c r="R14" s="4679">
        <f t="shared" si="0"/>
        <v>2394000</v>
      </c>
      <c r="S14" s="4692">
        <v>29.7</v>
      </c>
      <c r="T14" s="4680" t="s">
        <v>5742</v>
      </c>
      <c r="U14" s="4694">
        <v>42.9</v>
      </c>
      <c r="V14" s="4700">
        <v>2</v>
      </c>
      <c r="W14" s="4692">
        <v>110</v>
      </c>
      <c r="X14" s="4680" t="s">
        <v>4521</v>
      </c>
      <c r="Y14" s="4695">
        <v>206</v>
      </c>
      <c r="Z14" s="4692"/>
      <c r="AA14" s="4692" t="s">
        <v>5984</v>
      </c>
      <c r="AB14" s="4683" t="s">
        <v>5035</v>
      </c>
      <c r="AC14" s="4692"/>
      <c r="AD14" s="4683" t="s">
        <v>5050</v>
      </c>
      <c r="AE14" s="4692" t="s">
        <v>2814</v>
      </c>
      <c r="AF14" s="4696"/>
      <c r="AG14" s="4685"/>
      <c r="AH14" s="4685">
        <f t="shared" si="7"/>
        <v>10</v>
      </c>
    </row>
    <row r="15" spans="1:34" ht="33.75" customHeight="1">
      <c r="A15" s="4686">
        <v>8</v>
      </c>
      <c r="B15" s="4687">
        <v>46279</v>
      </c>
      <c r="C15" s="4687">
        <v>46281</v>
      </c>
      <c r="D15" s="4672">
        <f t="shared" si="1"/>
        <v>2</v>
      </c>
      <c r="E15" s="4687">
        <v>46290</v>
      </c>
      <c r="F15" s="4698">
        <f t="shared" si="2"/>
        <v>10</v>
      </c>
      <c r="G15" s="4699">
        <v>46292</v>
      </c>
      <c r="H15" s="4672">
        <f t="shared" si="3"/>
        <v>1</v>
      </c>
      <c r="I15" s="4691" t="s">
        <v>6546</v>
      </c>
      <c r="J15" s="4692">
        <v>11</v>
      </c>
      <c r="K15" s="4693">
        <v>11</v>
      </c>
      <c r="L15" s="4692">
        <v>33900</v>
      </c>
      <c r="M15" s="4692">
        <v>41900</v>
      </c>
      <c r="N15" s="4971">
        <f t="shared" si="4"/>
        <v>460900</v>
      </c>
      <c r="O15" s="4971"/>
      <c r="P15" s="4692">
        <v>33900</v>
      </c>
      <c r="Q15" s="4678">
        <f t="shared" si="5"/>
        <v>143</v>
      </c>
      <c r="R15" s="4679">
        <f t="shared" si="0"/>
        <v>5727700</v>
      </c>
      <c r="S15" s="4692">
        <v>30</v>
      </c>
      <c r="T15" s="4680" t="s">
        <v>5742</v>
      </c>
      <c r="U15" s="4694">
        <v>43</v>
      </c>
      <c r="V15" s="4700">
        <v>2</v>
      </c>
      <c r="W15" s="4692">
        <v>110</v>
      </c>
      <c r="X15" s="4680" t="s">
        <v>4521</v>
      </c>
      <c r="Y15" s="4695">
        <v>204</v>
      </c>
      <c r="Z15" s="4692"/>
      <c r="AA15" s="4692" t="s">
        <v>5984</v>
      </c>
      <c r="AB15" s="4683" t="s">
        <v>5035</v>
      </c>
      <c r="AC15" s="4692"/>
      <c r="AD15" s="4683" t="s">
        <v>5050</v>
      </c>
      <c r="AE15" s="4692" t="s">
        <v>2814</v>
      </c>
      <c r="AF15" s="4696"/>
      <c r="AG15" s="4685">
        <f t="shared" si="6"/>
        <v>22</v>
      </c>
      <c r="AH15" s="4685"/>
    </row>
    <row r="16" spans="1:34" ht="33.75" customHeight="1">
      <c r="A16" s="4686">
        <v>9</v>
      </c>
      <c r="B16" s="4687">
        <v>46285</v>
      </c>
      <c r="C16" s="4687">
        <v>46287</v>
      </c>
      <c r="D16" s="4672">
        <f t="shared" si="1"/>
        <v>2</v>
      </c>
      <c r="E16" s="4687">
        <v>46295</v>
      </c>
      <c r="F16" s="4698">
        <f t="shared" si="2"/>
        <v>9</v>
      </c>
      <c r="G16" s="4699">
        <v>46297</v>
      </c>
      <c r="H16" s="4672">
        <f t="shared" si="3"/>
        <v>1</v>
      </c>
      <c r="I16" s="4691" t="s">
        <v>6547</v>
      </c>
      <c r="J16" s="4692">
        <v>10</v>
      </c>
      <c r="K16" s="4693">
        <v>10</v>
      </c>
      <c r="L16" s="4692">
        <v>33900</v>
      </c>
      <c r="M16" s="4692">
        <v>41900</v>
      </c>
      <c r="N16" s="4971"/>
      <c r="O16" s="4971">
        <f>M16*K16</f>
        <v>419000</v>
      </c>
      <c r="P16" s="4692">
        <v>33900</v>
      </c>
      <c r="Q16" s="4678">
        <f t="shared" si="5"/>
        <v>120</v>
      </c>
      <c r="R16" s="4679">
        <f t="shared" si="0"/>
        <v>4788000</v>
      </c>
      <c r="S16" s="4692">
        <v>30</v>
      </c>
      <c r="T16" s="4680" t="s">
        <v>5742</v>
      </c>
      <c r="U16" s="4694">
        <v>43</v>
      </c>
      <c r="V16" s="4700">
        <v>2</v>
      </c>
      <c r="W16" s="4692">
        <v>110</v>
      </c>
      <c r="X16" s="4680" t="s">
        <v>4521</v>
      </c>
      <c r="Y16" s="4695">
        <v>204</v>
      </c>
      <c r="Z16" s="4692"/>
      <c r="AA16" s="4692" t="s">
        <v>5984</v>
      </c>
      <c r="AB16" s="4683" t="s">
        <v>5035</v>
      </c>
      <c r="AC16" s="4692"/>
      <c r="AD16" s="4683" t="s">
        <v>5050</v>
      </c>
      <c r="AE16" s="4692" t="s">
        <v>2814</v>
      </c>
      <c r="AF16" s="4696"/>
      <c r="AG16" s="4685"/>
      <c r="AH16" s="4685">
        <f t="shared" si="7"/>
        <v>20</v>
      </c>
    </row>
    <row r="17" spans="1:35" ht="33.75" customHeight="1">
      <c r="A17" s="4686">
        <v>10</v>
      </c>
      <c r="B17" s="4687">
        <v>46293</v>
      </c>
      <c r="C17" s="4687">
        <v>46293</v>
      </c>
      <c r="D17" s="4996">
        <v>5</v>
      </c>
      <c r="E17" s="5754">
        <v>46295</v>
      </c>
      <c r="F17" s="4997">
        <v>0</v>
      </c>
      <c r="G17" s="5754">
        <v>46297</v>
      </c>
      <c r="H17" s="4996">
        <v>0</v>
      </c>
      <c r="I17" s="5755" t="s">
        <v>6546</v>
      </c>
      <c r="J17" s="4692"/>
      <c r="K17" s="4693">
        <v>40</v>
      </c>
      <c r="L17" s="4692">
        <v>33900</v>
      </c>
      <c r="M17" s="4692">
        <v>0</v>
      </c>
      <c r="N17" s="4692"/>
      <c r="O17" s="4692"/>
      <c r="P17" s="4692">
        <v>33900</v>
      </c>
      <c r="Q17" s="4678">
        <f>SUM(D17,F17,H17)*K17</f>
        <v>200</v>
      </c>
      <c r="R17" s="4679">
        <f t="shared" si="0"/>
        <v>6780000</v>
      </c>
      <c r="S17" s="4692"/>
      <c r="T17" s="4680" t="s">
        <v>5742</v>
      </c>
      <c r="U17" s="4694"/>
      <c r="V17" s="4700"/>
      <c r="W17" s="4692"/>
      <c r="X17" s="4680" t="s">
        <v>4521</v>
      </c>
      <c r="Y17" s="4695"/>
      <c r="Z17" s="4692"/>
      <c r="AA17" s="4692"/>
      <c r="AB17" s="4683" t="s">
        <v>5035</v>
      </c>
      <c r="AC17" s="4692"/>
      <c r="AD17" s="4683" t="s">
        <v>5050</v>
      </c>
      <c r="AE17" s="4692"/>
      <c r="AF17" s="4696"/>
      <c r="AG17" s="4685">
        <f t="shared" si="6"/>
        <v>0</v>
      </c>
      <c r="AH17" s="4685">
        <f t="shared" si="7"/>
        <v>0</v>
      </c>
      <c r="AI17" s="4657" t="s">
        <v>6550</v>
      </c>
    </row>
    <row r="18" spans="1:35" ht="33.75" customHeight="1">
      <c r="A18" s="4686">
        <v>11</v>
      </c>
      <c r="B18" s="4687">
        <v>46293</v>
      </c>
      <c r="C18" s="4687">
        <v>46293</v>
      </c>
      <c r="D18" s="4996">
        <v>5</v>
      </c>
      <c r="E18" s="5754">
        <v>46295</v>
      </c>
      <c r="F18" s="4997">
        <v>0</v>
      </c>
      <c r="G18" s="5754">
        <v>46297</v>
      </c>
      <c r="H18" s="4996">
        <v>0</v>
      </c>
      <c r="I18" s="5755" t="s">
        <v>6548</v>
      </c>
      <c r="J18" s="4692"/>
      <c r="K18" s="4693">
        <v>5</v>
      </c>
      <c r="L18" s="4692">
        <v>33900</v>
      </c>
      <c r="M18" s="4692">
        <v>0</v>
      </c>
      <c r="N18" s="4692"/>
      <c r="O18" s="4692"/>
      <c r="P18" s="4692">
        <v>33900</v>
      </c>
      <c r="Q18" s="4678">
        <f t="shared" ref="Q18" si="8">SUM(D18,F18,H18)*K18</f>
        <v>25</v>
      </c>
      <c r="R18" s="4679">
        <f t="shared" si="0"/>
        <v>847500</v>
      </c>
      <c r="S18" s="4692"/>
      <c r="T18" s="4680" t="s">
        <v>5742</v>
      </c>
      <c r="U18" s="4694"/>
      <c r="V18" s="4700"/>
      <c r="W18" s="4692"/>
      <c r="X18" s="4680" t="s">
        <v>4521</v>
      </c>
      <c r="Y18" s="4695"/>
      <c r="Z18" s="4692"/>
      <c r="AA18" s="4692"/>
      <c r="AB18" s="4683" t="s">
        <v>5035</v>
      </c>
      <c r="AC18" s="4692"/>
      <c r="AD18" s="4683" t="s">
        <v>5050</v>
      </c>
      <c r="AE18" s="4692"/>
      <c r="AF18" s="4696"/>
      <c r="AG18" s="4685">
        <f t="shared" si="6"/>
        <v>0</v>
      </c>
      <c r="AH18" s="4685">
        <f t="shared" si="7"/>
        <v>0</v>
      </c>
    </row>
    <row r="19" spans="1:35" ht="33.75" customHeight="1">
      <c r="A19" s="4686">
        <v>12</v>
      </c>
      <c r="B19" s="4687">
        <v>46293</v>
      </c>
      <c r="C19" s="4687">
        <v>46293</v>
      </c>
      <c r="D19" s="4996">
        <v>5</v>
      </c>
      <c r="E19" s="5754">
        <v>46295</v>
      </c>
      <c r="F19" s="4997">
        <v>0</v>
      </c>
      <c r="G19" s="5754">
        <v>46297</v>
      </c>
      <c r="H19" s="4996">
        <v>0</v>
      </c>
      <c r="I19" s="5755" t="s">
        <v>6546</v>
      </c>
      <c r="J19" s="4692"/>
      <c r="K19" s="4693">
        <v>11</v>
      </c>
      <c r="L19" s="4692">
        <v>33900</v>
      </c>
      <c r="M19" s="4692">
        <v>0</v>
      </c>
      <c r="N19" s="4692"/>
      <c r="O19" s="4692"/>
      <c r="P19" s="4692">
        <v>33900</v>
      </c>
      <c r="Q19" s="4678">
        <f>SUM(D19,F19,H19)*K19</f>
        <v>55</v>
      </c>
      <c r="R19" s="4679">
        <f t="shared" si="0"/>
        <v>1864500</v>
      </c>
      <c r="S19" s="4692"/>
      <c r="T19" s="4680" t="s">
        <v>5742</v>
      </c>
      <c r="U19" s="4694"/>
      <c r="V19" s="4700"/>
      <c r="W19" s="4692"/>
      <c r="X19" s="4680" t="s">
        <v>4521</v>
      </c>
      <c r="Y19" s="4695"/>
      <c r="Z19" s="4692"/>
      <c r="AA19" s="4692"/>
      <c r="AB19" s="4683" t="s">
        <v>5035</v>
      </c>
      <c r="AC19" s="4692"/>
      <c r="AD19" s="4683" t="s">
        <v>5050</v>
      </c>
      <c r="AE19" s="4692"/>
      <c r="AF19" s="4696"/>
      <c r="AG19" s="4685">
        <f t="shared" si="6"/>
        <v>0</v>
      </c>
      <c r="AH19" s="4685">
        <f t="shared" si="7"/>
        <v>0</v>
      </c>
    </row>
    <row r="20" spans="1:35" ht="33.75" customHeight="1">
      <c r="A20" s="4686">
        <v>13</v>
      </c>
      <c r="B20" s="4687"/>
      <c r="C20" s="4687"/>
      <c r="D20" s="4672" t="str">
        <f t="shared" ref="D20:D22" si="9">IF(_xlfn.DAYS(C20,B20)=0,"1",_xlfn.DAYS(C20,B20))</f>
        <v>1</v>
      </c>
      <c r="E20" s="4687"/>
      <c r="F20" s="4698">
        <f t="shared" ref="F20:F22" si="10">IF(_xlfn.DAYS(E20,C20)=0,"1",_xlfn.DAYS(E20,C20))+1</f>
        <v>2</v>
      </c>
      <c r="G20" s="4699"/>
      <c r="H20" s="4672">
        <f t="shared" ref="H20:H22" si="11">IF(_xlfn.DAYS(G20,E20)=0,"1",_xlfn.DAYS(G20,E20))-1</f>
        <v>0</v>
      </c>
      <c r="I20" s="4691"/>
      <c r="J20" s="4692"/>
      <c r="K20" s="4693"/>
      <c r="L20" s="4692"/>
      <c r="M20" s="4692"/>
      <c r="N20" s="4692"/>
      <c r="O20" s="4692"/>
      <c r="P20" s="4692"/>
      <c r="Q20" s="4678">
        <f>SUM(D20,F20,H20)*K20</f>
        <v>0</v>
      </c>
      <c r="R20" s="4679">
        <f t="shared" si="0"/>
        <v>0</v>
      </c>
      <c r="S20" s="4692"/>
      <c r="T20" s="4680" t="s">
        <v>5742</v>
      </c>
      <c r="U20" s="4694"/>
      <c r="V20" s="4700"/>
      <c r="W20" s="4692"/>
      <c r="X20" s="4680" t="s">
        <v>4521</v>
      </c>
      <c r="Y20" s="4695"/>
      <c r="Z20" s="4692"/>
      <c r="AA20" s="4692"/>
      <c r="AB20" s="4683" t="s">
        <v>5035</v>
      </c>
      <c r="AC20" s="4692"/>
      <c r="AD20" s="4683" t="s">
        <v>5050</v>
      </c>
      <c r="AE20" s="4692"/>
      <c r="AF20" s="4696"/>
      <c r="AG20" s="4685">
        <f t="shared" si="6"/>
        <v>0</v>
      </c>
      <c r="AH20" s="4685">
        <f t="shared" si="7"/>
        <v>0</v>
      </c>
    </row>
    <row r="21" spans="1:35" ht="33.75" customHeight="1">
      <c r="A21" s="4686">
        <v>14</v>
      </c>
      <c r="B21" s="4687"/>
      <c r="C21" s="4687"/>
      <c r="D21" s="4672" t="str">
        <f t="shared" si="9"/>
        <v>1</v>
      </c>
      <c r="E21" s="4687"/>
      <c r="F21" s="4698">
        <f t="shared" si="10"/>
        <v>2</v>
      </c>
      <c r="G21" s="4699"/>
      <c r="H21" s="4672">
        <f t="shared" si="11"/>
        <v>0</v>
      </c>
      <c r="I21" s="4691"/>
      <c r="J21" s="4692"/>
      <c r="K21" s="4693"/>
      <c r="L21" s="4692"/>
      <c r="M21" s="4692"/>
      <c r="N21" s="4692"/>
      <c r="O21" s="4692"/>
      <c r="P21" s="4692"/>
      <c r="Q21" s="4678">
        <f t="shared" si="5"/>
        <v>0</v>
      </c>
      <c r="R21" s="4679">
        <f t="shared" si="0"/>
        <v>0</v>
      </c>
      <c r="S21" s="4692"/>
      <c r="T21" s="4680" t="s">
        <v>5742</v>
      </c>
      <c r="U21" s="4694"/>
      <c r="V21" s="4700"/>
      <c r="W21" s="4692"/>
      <c r="X21" s="4680" t="s">
        <v>4521</v>
      </c>
      <c r="Y21" s="4695"/>
      <c r="Z21" s="4692"/>
      <c r="AA21" s="4692"/>
      <c r="AB21" s="4683" t="s">
        <v>5035</v>
      </c>
      <c r="AC21" s="4692"/>
      <c r="AD21" s="4683" t="s">
        <v>5050</v>
      </c>
      <c r="AE21" s="4692"/>
      <c r="AF21" s="4696"/>
      <c r="AG21" s="4685">
        <f t="shared" si="6"/>
        <v>0</v>
      </c>
      <c r="AH21" s="4685">
        <f t="shared" si="7"/>
        <v>0</v>
      </c>
    </row>
    <row r="22" spans="1:35" ht="33.75" customHeight="1" thickBot="1">
      <c r="A22" s="4686">
        <v>15</v>
      </c>
      <c r="B22" s="4687"/>
      <c r="C22" s="4687"/>
      <c r="D22" s="4672" t="str">
        <f t="shared" si="9"/>
        <v>1</v>
      </c>
      <c r="E22" s="4687"/>
      <c r="F22" s="4698">
        <f t="shared" si="10"/>
        <v>2</v>
      </c>
      <c r="G22" s="4699"/>
      <c r="H22" s="4672">
        <f t="shared" si="11"/>
        <v>0</v>
      </c>
      <c r="I22" s="4691"/>
      <c r="J22" s="4692"/>
      <c r="K22" s="4693"/>
      <c r="L22" s="4692"/>
      <c r="M22" s="4692"/>
      <c r="N22" s="4692"/>
      <c r="O22" s="4692"/>
      <c r="P22" s="4692"/>
      <c r="Q22" s="4678">
        <f t="shared" si="5"/>
        <v>0</v>
      </c>
      <c r="R22" s="4679">
        <f t="shared" si="0"/>
        <v>0</v>
      </c>
      <c r="S22" s="4692"/>
      <c r="T22" s="4680" t="s">
        <v>5739</v>
      </c>
      <c r="U22" s="4694"/>
      <c r="V22" s="4700"/>
      <c r="W22" s="4692"/>
      <c r="X22" s="4680" t="s">
        <v>4521</v>
      </c>
      <c r="Y22" s="4695"/>
      <c r="Z22" s="4692"/>
      <c r="AA22" s="4692"/>
      <c r="AB22" s="4683" t="s">
        <v>5035</v>
      </c>
      <c r="AC22" s="4692"/>
      <c r="AD22" s="4683" t="s">
        <v>5050</v>
      </c>
      <c r="AE22" s="4692"/>
      <c r="AF22" s="4696"/>
      <c r="AG22" s="4685">
        <f t="shared" si="6"/>
        <v>0</v>
      </c>
      <c r="AH22" s="4685">
        <f t="shared" si="7"/>
        <v>0</v>
      </c>
    </row>
    <row r="23" spans="1:35" ht="33.75" customHeight="1" thickTop="1" thickBot="1">
      <c r="A23" s="4701"/>
      <c r="B23" s="4702"/>
      <c r="C23" s="4702"/>
      <c r="D23" s="4702"/>
      <c r="E23" s="4702"/>
      <c r="F23" s="4703"/>
      <c r="G23" s="4704"/>
      <c r="H23" s="4702"/>
      <c r="I23" s="4705" t="s">
        <v>2432</v>
      </c>
      <c r="J23" s="4706">
        <f>SUM(J8:J22)</f>
        <v>327</v>
      </c>
      <c r="K23" s="4707">
        <f>SUM(K8:K22)</f>
        <v>383</v>
      </c>
      <c r="L23" s="4703"/>
      <c r="M23" s="4703"/>
      <c r="N23" s="4703"/>
      <c r="O23" s="4703"/>
      <c r="P23" s="4703"/>
      <c r="Q23" s="4706">
        <f>SUM(Q8:Q22)</f>
        <v>4472</v>
      </c>
      <c r="R23" s="4706">
        <f>SUM(R8:R22)</f>
        <v>177288800</v>
      </c>
      <c r="S23" s="6863"/>
      <c r="T23" s="6864"/>
      <c r="U23" s="6865"/>
      <c r="V23" s="4708"/>
      <c r="W23" s="6863"/>
      <c r="X23" s="6864"/>
      <c r="Y23" s="6864"/>
      <c r="Z23" s="4708"/>
      <c r="AA23" s="4708"/>
      <c r="AB23" s="6866"/>
      <c r="AC23" s="6867"/>
      <c r="AD23" s="6866"/>
      <c r="AE23" s="6867"/>
      <c r="AF23" s="4709"/>
      <c r="AG23" s="4685">
        <f>SUM(AG8:AG22)</f>
        <v>536</v>
      </c>
      <c r="AH23" s="4685">
        <f>SUM(AH8:AH22)</f>
        <v>118</v>
      </c>
      <c r="AI23" s="5756">
        <f>AG23++AH23</f>
        <v>654</v>
      </c>
    </row>
    <row r="24" spans="1:35" ht="33.75" customHeight="1" thickBot="1">
      <c r="C24" s="4710"/>
      <c r="D24" s="4710"/>
      <c r="E24" s="4710"/>
      <c r="F24" s="4710"/>
      <c r="G24" s="4710"/>
      <c r="H24" s="4710"/>
      <c r="I24" s="4711"/>
      <c r="J24" s="4712"/>
      <c r="K24" s="4710"/>
      <c r="L24" s="4713" t="s">
        <v>6551</v>
      </c>
      <c r="M24" s="4714">
        <f>SUM(N8:N22)</f>
        <v>11229200</v>
      </c>
      <c r="N24" s="4715"/>
      <c r="O24" s="4715"/>
      <c r="P24" s="4715"/>
      <c r="Q24" s="4715"/>
      <c r="T24" s="4656"/>
      <c r="X24" s="4656"/>
      <c r="AG24" s="4656" t="s">
        <v>6552</v>
      </c>
      <c r="AH24" s="4656" t="s">
        <v>6553</v>
      </c>
    </row>
    <row r="25" spans="1:35" ht="33.75" customHeight="1">
      <c r="A25" s="6845" t="s">
        <v>5749</v>
      </c>
      <c r="B25" s="6846"/>
      <c r="C25" s="4716">
        <f>Q23</f>
        <v>4472</v>
      </c>
      <c r="D25" s="4717"/>
      <c r="F25" s="4718"/>
      <c r="H25" s="4719"/>
      <c r="I25" s="4720"/>
      <c r="K25" s="4659"/>
      <c r="L25" s="4721" t="s">
        <v>5750</v>
      </c>
      <c r="M25" s="4722">
        <f>M24*1.1</f>
        <v>12352120.000000002</v>
      </c>
      <c r="Q25" s="4656"/>
    </row>
    <row r="26" spans="1:35" ht="33.75" customHeight="1">
      <c r="A26" s="6847" t="s">
        <v>5805</v>
      </c>
      <c r="B26" s="6848"/>
      <c r="C26" s="4723">
        <f>R23</f>
        <v>177288800</v>
      </c>
      <c r="D26" s="4717"/>
      <c r="F26" s="4724"/>
      <c r="H26" s="4719"/>
      <c r="I26" s="4720"/>
      <c r="K26" s="4659"/>
      <c r="L26" s="4713" t="s">
        <v>6554</v>
      </c>
      <c r="M26" s="4714">
        <f>SUM(O8:O22)</f>
        <v>2472100</v>
      </c>
      <c r="Q26" s="4656"/>
    </row>
    <row r="27" spans="1:35" ht="32.15" customHeight="1" thickBot="1">
      <c r="A27" s="6899" t="s">
        <v>5806</v>
      </c>
      <c r="B27" s="6900"/>
      <c r="C27" s="4823">
        <f>C26*1.1</f>
        <v>195017680.00000003</v>
      </c>
      <c r="D27" s="4726"/>
      <c r="E27" s="4726"/>
      <c r="F27" s="4726"/>
      <c r="G27" s="4726"/>
      <c r="H27" s="4726"/>
      <c r="I27" s="4727"/>
      <c r="L27" s="4721" t="s">
        <v>5750</v>
      </c>
      <c r="M27" s="4722">
        <f>M26*1.1</f>
        <v>2719310</v>
      </c>
    </row>
    <row r="28" spans="1:35" ht="33.75" customHeight="1">
      <c r="A28" s="4729"/>
      <c r="B28" s="4729"/>
      <c r="C28" s="4729"/>
      <c r="D28" s="4729"/>
      <c r="E28" s="4729"/>
      <c r="F28" s="4729"/>
      <c r="G28" s="4726"/>
      <c r="H28" s="4729"/>
      <c r="I28" s="4720"/>
      <c r="Q28" s="4656"/>
    </row>
    <row r="29" spans="1:35" ht="33.75" customHeight="1">
      <c r="A29" s="4728" t="s">
        <v>5752</v>
      </c>
      <c r="B29" s="4728"/>
      <c r="C29" s="4729"/>
      <c r="D29" s="4729"/>
      <c r="E29" s="4729"/>
      <c r="F29" s="4729"/>
      <c r="G29" s="4726"/>
      <c r="H29" s="4729"/>
      <c r="I29" s="4720"/>
      <c r="Q29" s="4656"/>
    </row>
    <row r="30" spans="1:35" ht="36" customHeight="1">
      <c r="A30" s="4728" t="s">
        <v>5809</v>
      </c>
      <c r="B30" s="4728"/>
    </row>
    <row r="31" spans="1:35" ht="36" customHeight="1">
      <c r="A31" s="4730" t="s">
        <v>5754</v>
      </c>
      <c r="B31" s="4730"/>
    </row>
    <row r="32" spans="1:35" ht="36" customHeight="1">
      <c r="A32" s="4728"/>
      <c r="B32" s="4728"/>
    </row>
    <row r="33" ht="36" customHeight="1"/>
    <row r="34" ht="36" customHeight="1"/>
    <row r="35" ht="36" customHeight="1"/>
    <row r="36" ht="36" customHeight="1"/>
    <row r="37" ht="36" customHeight="1"/>
    <row r="38" ht="36" customHeight="1"/>
    <row r="39" ht="36" customHeight="1"/>
    <row r="40" ht="10.15" customHeight="1"/>
  </sheetData>
  <mergeCells count="34">
    <mergeCell ref="A2:B2"/>
    <mergeCell ref="C2:G2"/>
    <mergeCell ref="J2:Q2"/>
    <mergeCell ref="A5:A6"/>
    <mergeCell ref="B5:B6"/>
    <mergeCell ref="C5:C6"/>
    <mergeCell ref="D5:D6"/>
    <mergeCell ref="E5:E6"/>
    <mergeCell ref="F5:F6"/>
    <mergeCell ref="G5:G6"/>
    <mergeCell ref="AF5:AF6"/>
    <mergeCell ref="AG5:AG6"/>
    <mergeCell ref="AH5:AH6"/>
    <mergeCell ref="S23:U23"/>
    <mergeCell ref="W23:Y23"/>
    <mergeCell ref="AB23:AC23"/>
    <mergeCell ref="AD23:AE23"/>
    <mergeCell ref="S5:U6"/>
    <mergeCell ref="V5:V6"/>
    <mergeCell ref="W5:Y6"/>
    <mergeCell ref="Z5:Z6"/>
    <mergeCell ref="A25:B25"/>
    <mergeCell ref="A26:B26"/>
    <mergeCell ref="A27:B27"/>
    <mergeCell ref="AA5:AA6"/>
    <mergeCell ref="AB5:AE6"/>
    <mergeCell ref="P5:P6"/>
    <mergeCell ref="Q5:R5"/>
    <mergeCell ref="H5:H6"/>
    <mergeCell ref="I5:I6"/>
    <mergeCell ref="J5:J6"/>
    <mergeCell ref="K5:K6"/>
    <mergeCell ref="L5:L6"/>
    <mergeCell ref="M5:M6"/>
  </mergeCells>
  <phoneticPr fontId="2"/>
  <conditionalFormatting sqref="B8:C22 E8:G22">
    <cfRule type="containsBlanks" dxfId="34" priority="3">
      <formula>LEN(TRIM(B8))=0</formula>
    </cfRule>
  </conditionalFormatting>
  <conditionalFormatting sqref="C2:D2">
    <cfRule type="containsBlanks" dxfId="33" priority="4">
      <formula>LEN(TRIM(C2))=0</formula>
    </cfRule>
  </conditionalFormatting>
  <conditionalFormatting sqref="D7:D22">
    <cfRule type="containsBlanks" dxfId="32" priority="2">
      <formula>LEN(TRIM(D7))=0</formula>
    </cfRule>
  </conditionalFormatting>
  <conditionalFormatting sqref="F7">
    <cfRule type="containsBlanks" dxfId="31" priority="5">
      <formula>LEN(TRIM(F7))=0</formula>
    </cfRule>
  </conditionalFormatting>
  <conditionalFormatting sqref="H7:P22">
    <cfRule type="containsBlanks" dxfId="30" priority="1">
      <formula>LEN(TRIM(H7))=0</formula>
    </cfRule>
  </conditionalFormatting>
  <conditionalFormatting sqref="R7:S22">
    <cfRule type="containsBlanks" dxfId="29" priority="9">
      <formula>LEN(TRIM(R7))=0</formula>
    </cfRule>
  </conditionalFormatting>
  <conditionalFormatting sqref="U7:W22">
    <cfRule type="containsBlanks" dxfId="28" priority="7">
      <formula>LEN(TRIM(U7))=0</formula>
    </cfRule>
  </conditionalFormatting>
  <conditionalFormatting sqref="Y7:AA22">
    <cfRule type="containsBlanks" dxfId="27" priority="6">
      <formula>LEN(TRIM(Y7))=0</formula>
    </cfRule>
  </conditionalFormatting>
  <conditionalFormatting sqref="AC7:AC22 AE7:AF22">
    <cfRule type="containsBlanks" dxfId="26" priority="8">
      <formula>LEN(TRIM(AC7))=0</formula>
    </cfRule>
  </conditionalFormatting>
  <printOptions horizontalCentered="1"/>
  <pageMargins left="0.39370078740157483" right="0.39370078740157483" top="0.55118110236220474" bottom="0.55118110236220474" header="0.31496062992125984" footer="0.31496062992125984"/>
  <pageSetup paperSize="8" scale="41" orientation="landscape" r:id="rId1"/>
  <headerFooter>
    <oddHeader>&amp;R&amp;G</oddHeader>
  </headerFooter>
  <legacy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5FFF-19CC-47DC-B3A2-631CA62A626E}">
  <sheetPr codeName="Sheet401">
    <tabColor rgb="FFFFFF66"/>
    <pageSetUpPr fitToPage="1"/>
  </sheetPr>
  <dimension ref="A1:AE35"/>
  <sheetViews>
    <sheetView topLeftCell="A13" zoomScale="55" zoomScaleNormal="55" workbookViewId="0">
      <selection activeCell="BJ123" sqref="BJ123"/>
    </sheetView>
  </sheetViews>
  <sheetFormatPr defaultColWidth="9.81640625" defaultRowHeight="26.5"/>
  <cols>
    <col min="1" max="1" width="7.453125"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54296875" style="4658" customWidth="1"/>
    <col min="8" max="8" width="9.26953125" style="4658" customWidth="1"/>
    <col min="9" max="9" width="21.54296875" style="4657" customWidth="1"/>
    <col min="10" max="13" width="9.26953125" style="4656" customWidth="1"/>
    <col min="14" max="14" width="21.81640625" style="4656" customWidth="1"/>
    <col min="15" max="15" width="21.81640625" style="4659" customWidth="1"/>
    <col min="16" max="16" width="9.81640625" style="4658"/>
    <col min="17" max="17" width="9.54296875" style="4658" customWidth="1"/>
    <col min="18" max="18" width="9.54296875" style="4657" customWidth="1"/>
    <col min="19" max="19" width="17.7265625" style="4657" customWidth="1"/>
    <col min="20" max="20" width="12.26953125" style="4657" customWidth="1"/>
    <col min="21" max="21" width="17.7265625" style="4657" customWidth="1"/>
    <col min="22" max="28" width="9.81640625" style="4657"/>
    <col min="29" max="29" width="9.81640625" style="4731"/>
    <col min="30" max="16384" width="9.81640625" style="4657"/>
  </cols>
  <sheetData>
    <row r="1" spans="1:31" ht="21" customHeight="1" thickBot="1">
      <c r="T1" s="4656"/>
    </row>
    <row r="2" spans="1:31" ht="55.15" customHeight="1" thickBot="1">
      <c r="A2" s="6874" t="s">
        <v>5707</v>
      </c>
      <c r="B2" s="6875"/>
      <c r="C2" s="6876" t="str">
        <f>'[42]別紙1-1）客室提供条件'!C2</f>
        <v>東京ベイ潮見プリンスホテル</v>
      </c>
      <c r="D2" s="6876"/>
      <c r="E2" s="6876"/>
      <c r="F2" s="6876"/>
      <c r="G2" s="6876"/>
      <c r="H2" s="4661" t="s">
        <v>5709</v>
      </c>
      <c r="I2" s="4732"/>
      <c r="J2" s="4733"/>
      <c r="K2" s="4733"/>
      <c r="T2" s="4656"/>
      <c r="U2" s="4734" t="s">
        <v>5755</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5756</v>
      </c>
      <c r="B4" s="4657"/>
      <c r="C4" s="4657"/>
      <c r="D4" s="4657"/>
      <c r="G4" s="4657"/>
      <c r="H4" s="4657"/>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5763</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816">
        <v>46279</v>
      </c>
      <c r="C8" s="4816">
        <v>46296</v>
      </c>
      <c r="D8" s="4759">
        <v>0</v>
      </c>
      <c r="E8" s="4759">
        <v>1</v>
      </c>
      <c r="F8" s="4760">
        <f t="shared" ref="F8:F17" si="1">IF(OR(ISBLANK($B8), ISBLANK($C8)), 0, _xlfn.DAYS($C8, $B8) + 1)</f>
        <v>18</v>
      </c>
      <c r="G8" s="4975" t="s">
        <v>6555</v>
      </c>
      <c r="H8" s="4762">
        <v>1</v>
      </c>
      <c r="I8" s="4763" t="s">
        <v>5784</v>
      </c>
      <c r="J8" s="4764">
        <v>8</v>
      </c>
      <c r="K8" s="4765">
        <v>4</v>
      </c>
      <c r="L8" s="4765">
        <v>32</v>
      </c>
      <c r="M8" s="5002">
        <v>2.6</v>
      </c>
      <c r="N8" s="4762">
        <v>90400</v>
      </c>
      <c r="O8" s="4766">
        <f t="shared" si="0"/>
        <v>1627200</v>
      </c>
      <c r="P8" s="4857" t="s">
        <v>3804</v>
      </c>
      <c r="Q8" s="4858"/>
      <c r="R8" s="4976" t="s">
        <v>3804</v>
      </c>
      <c r="S8" s="4858"/>
      <c r="T8" s="4859" t="s">
        <v>5815</v>
      </c>
      <c r="U8" s="4860">
        <v>0</v>
      </c>
    </row>
    <row r="9" spans="1:31" ht="33.75" customHeight="1">
      <c r="A9" s="4758">
        <v>2</v>
      </c>
      <c r="B9" s="4816">
        <v>46297</v>
      </c>
      <c r="C9" s="4816">
        <v>46297</v>
      </c>
      <c r="D9" s="4759">
        <v>0</v>
      </c>
      <c r="E9" s="4759">
        <v>0.5</v>
      </c>
      <c r="F9" s="4760">
        <f t="shared" si="1"/>
        <v>1</v>
      </c>
      <c r="G9" s="4975" t="s">
        <v>6555</v>
      </c>
      <c r="H9" s="4762">
        <v>1</v>
      </c>
      <c r="I9" s="4763" t="s">
        <v>5784</v>
      </c>
      <c r="J9" s="4764">
        <v>8</v>
      </c>
      <c r="K9" s="4765">
        <v>4</v>
      </c>
      <c r="L9" s="4765">
        <v>32</v>
      </c>
      <c r="M9" s="5002">
        <v>2.6</v>
      </c>
      <c r="N9" s="4762">
        <v>56500</v>
      </c>
      <c r="O9" s="4766">
        <f t="shared" si="0"/>
        <v>56500</v>
      </c>
      <c r="P9" s="4857" t="s">
        <v>3804</v>
      </c>
      <c r="Q9" s="4858"/>
      <c r="R9" s="4976" t="s">
        <v>3804</v>
      </c>
      <c r="S9" s="4858"/>
      <c r="T9" s="4859" t="s">
        <v>5815</v>
      </c>
      <c r="U9" s="4860">
        <v>0</v>
      </c>
      <c r="AC9" s="4657"/>
    </row>
    <row r="10" spans="1:31" ht="33.75" customHeight="1">
      <c r="A10" s="4758">
        <v>3</v>
      </c>
      <c r="B10" s="4816"/>
      <c r="C10" s="4816"/>
      <c r="D10" s="4759"/>
      <c r="E10" s="4759"/>
      <c r="F10" s="4770">
        <f t="shared" si="1"/>
        <v>0</v>
      </c>
      <c r="G10" s="4975"/>
      <c r="H10" s="4762"/>
      <c r="I10" s="4763"/>
      <c r="J10" s="4764"/>
      <c r="K10" s="4765"/>
      <c r="L10" s="4765"/>
      <c r="M10" s="4765"/>
      <c r="N10" s="4762"/>
      <c r="O10" s="4766">
        <f t="shared" si="0"/>
        <v>0</v>
      </c>
      <c r="P10" s="4909"/>
      <c r="Q10" s="4858"/>
      <c r="R10" s="4864"/>
      <c r="S10" s="4858"/>
      <c r="T10" s="4859"/>
      <c r="U10" s="4860"/>
      <c r="AC10" s="4657"/>
    </row>
    <row r="11" spans="1:31" ht="33.75" customHeight="1">
      <c r="A11" s="4758">
        <v>4</v>
      </c>
      <c r="B11" s="4816"/>
      <c r="C11" s="4816"/>
      <c r="D11" s="4759"/>
      <c r="E11" s="4759"/>
      <c r="F11" s="4760">
        <f t="shared" si="1"/>
        <v>0</v>
      </c>
      <c r="G11" s="4771"/>
      <c r="H11" s="4762"/>
      <c r="I11" s="4763"/>
      <c r="J11" s="4764"/>
      <c r="K11" s="4765"/>
      <c r="L11" s="4765"/>
      <c r="M11" s="4765"/>
      <c r="N11" s="4762"/>
      <c r="O11" s="4766">
        <f t="shared" si="0"/>
        <v>0</v>
      </c>
      <c r="P11" s="4857"/>
      <c r="Q11" s="4858"/>
      <c r="R11" s="4859"/>
      <c r="S11" s="4858"/>
      <c r="T11" s="4859"/>
      <c r="U11" s="4860"/>
      <c r="AC11" s="4657"/>
    </row>
    <row r="12" spans="1:31" ht="33.75" customHeight="1">
      <c r="A12" s="4758">
        <v>5</v>
      </c>
      <c r="B12" s="4816"/>
      <c r="C12" s="4816"/>
      <c r="D12" s="4759"/>
      <c r="E12" s="4759"/>
      <c r="F12" s="4760">
        <f t="shared" si="1"/>
        <v>0</v>
      </c>
      <c r="G12" s="4771"/>
      <c r="H12" s="4762"/>
      <c r="I12" s="4763"/>
      <c r="J12" s="4764"/>
      <c r="K12" s="4765"/>
      <c r="L12" s="4765"/>
      <c r="M12" s="4765"/>
      <c r="N12" s="4762"/>
      <c r="O12" s="4766">
        <f t="shared" si="0"/>
        <v>0</v>
      </c>
      <c r="P12" s="4857"/>
      <c r="Q12" s="4858"/>
      <c r="R12" s="4859"/>
      <c r="S12" s="4858"/>
      <c r="T12" s="4859"/>
      <c r="U12" s="4860"/>
      <c r="AC12" s="4657"/>
    </row>
    <row r="13" spans="1:31" ht="33.75" customHeight="1">
      <c r="A13" s="4758">
        <v>6</v>
      </c>
      <c r="B13" s="4950"/>
      <c r="C13" s="4950"/>
      <c r="D13" s="4913"/>
      <c r="E13" s="4759"/>
      <c r="F13" s="4760">
        <f t="shared" si="1"/>
        <v>0</v>
      </c>
      <c r="G13" s="4950"/>
      <c r="H13" s="4952"/>
      <c r="I13" s="4763"/>
      <c r="J13" s="4764"/>
      <c r="K13" s="4765"/>
      <c r="L13" s="4765"/>
      <c r="M13" s="4765"/>
      <c r="N13" s="4762"/>
      <c r="O13" s="4766">
        <f t="shared" si="0"/>
        <v>0</v>
      </c>
      <c r="P13" s="4857"/>
      <c r="Q13" s="4858"/>
      <c r="R13" s="4859"/>
      <c r="S13" s="4858"/>
      <c r="T13" s="4859"/>
      <c r="U13" s="4860"/>
      <c r="AC13" s="4657"/>
    </row>
    <row r="14" spans="1:31" ht="33.75" customHeight="1">
      <c r="A14" s="4758">
        <v>7</v>
      </c>
      <c r="B14" s="4950"/>
      <c r="C14" s="4950"/>
      <c r="D14" s="4913"/>
      <c r="E14" s="4759"/>
      <c r="F14" s="4760">
        <f t="shared" si="1"/>
        <v>0</v>
      </c>
      <c r="G14" s="4950"/>
      <c r="H14" s="4952"/>
      <c r="I14" s="4763"/>
      <c r="J14" s="4764"/>
      <c r="K14" s="4765"/>
      <c r="L14" s="4765"/>
      <c r="M14" s="4765"/>
      <c r="N14" s="4762"/>
      <c r="O14" s="4766">
        <f t="shared" si="0"/>
        <v>0</v>
      </c>
      <c r="P14" s="4857"/>
      <c r="Q14" s="4858"/>
      <c r="R14" s="4859"/>
      <c r="S14" s="4858"/>
      <c r="T14" s="4859"/>
      <c r="U14" s="4860"/>
      <c r="AC14" s="4657"/>
    </row>
    <row r="15" spans="1:31" ht="33.75" customHeight="1">
      <c r="A15" s="4758">
        <v>8</v>
      </c>
      <c r="B15" s="4950"/>
      <c r="C15" s="4950"/>
      <c r="D15" s="4913"/>
      <c r="E15" s="4759"/>
      <c r="F15" s="4760">
        <f t="shared" si="1"/>
        <v>0</v>
      </c>
      <c r="G15" s="4950"/>
      <c r="H15" s="4952"/>
      <c r="I15" s="4763"/>
      <c r="J15" s="4764"/>
      <c r="K15" s="4765"/>
      <c r="L15" s="4765"/>
      <c r="M15" s="4765"/>
      <c r="N15" s="4762"/>
      <c r="O15" s="4766">
        <f t="shared" si="0"/>
        <v>0</v>
      </c>
      <c r="P15" s="4857"/>
      <c r="Q15" s="4858"/>
      <c r="R15" s="4859"/>
      <c r="S15" s="4858"/>
      <c r="T15" s="4859"/>
      <c r="U15" s="4860"/>
      <c r="AC15" s="4657"/>
    </row>
    <row r="16" spans="1:31" ht="33.75" customHeight="1">
      <c r="A16" s="4758">
        <v>9</v>
      </c>
      <c r="B16" s="4950"/>
      <c r="C16" s="4950"/>
      <c r="D16" s="4913"/>
      <c r="E16" s="4759"/>
      <c r="F16" s="4760">
        <f t="shared" si="1"/>
        <v>0</v>
      </c>
      <c r="G16" s="4950"/>
      <c r="H16" s="4952"/>
      <c r="I16" s="4763"/>
      <c r="J16" s="4764"/>
      <c r="K16" s="4765"/>
      <c r="L16" s="4765"/>
      <c r="M16" s="4765"/>
      <c r="N16" s="4762"/>
      <c r="O16" s="4766">
        <f t="shared" si="0"/>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865" t="s">
        <v>127</v>
      </c>
      <c r="B18" s="4866"/>
      <c r="C18" s="4866"/>
      <c r="D18" s="4866"/>
      <c r="E18" s="4866"/>
      <c r="F18" s="4867">
        <f>SUM(F8:F17)</f>
        <v>19</v>
      </c>
      <c r="G18" s="4866"/>
      <c r="H18" s="4868"/>
      <c r="I18" s="4782">
        <f>COUNTA(G8)</f>
        <v>1</v>
      </c>
      <c r="J18" s="4869"/>
      <c r="K18" s="4870"/>
      <c r="L18" s="4870"/>
      <c r="M18" s="4870"/>
      <c r="N18" s="5062"/>
      <c r="O18" s="4871">
        <f>SUM(O8:O17)</f>
        <v>1683700</v>
      </c>
      <c r="P18" s="4872"/>
      <c r="Q18" s="4872"/>
      <c r="R18" s="4873"/>
      <c r="S18" s="4874"/>
      <c r="T18" s="4873"/>
      <c r="U18" s="4875"/>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1852070.0000000002</v>
      </c>
      <c r="P19" s="4884"/>
      <c r="Q19" s="4885"/>
      <c r="R19" s="4886"/>
      <c r="S19" s="4887"/>
      <c r="T19" s="4886"/>
      <c r="U19" s="4888"/>
      <c r="AC19" s="4657"/>
    </row>
    <row r="20" spans="1:31" ht="33.75" customHeight="1">
      <c r="A20" s="4656"/>
      <c r="B20" s="4660"/>
      <c r="C20" s="4660"/>
      <c r="D20" s="4660"/>
      <c r="G20" s="4660"/>
      <c r="H20" s="4660"/>
      <c r="M20" s="4808" t="s">
        <v>5748</v>
      </c>
      <c r="N20" s="4809">
        <f>SUM(N8)</f>
        <v>90400</v>
      </c>
      <c r="O20" s="4656"/>
      <c r="P20" s="4657"/>
      <c r="Q20" s="4657"/>
      <c r="AC20" s="4657"/>
    </row>
    <row r="21" spans="1:31" ht="33.75" customHeight="1">
      <c r="A21" s="4737"/>
      <c r="B21" s="4657"/>
      <c r="C21" s="4657"/>
      <c r="D21" s="4657"/>
      <c r="G21" s="4657"/>
      <c r="H21" s="4657"/>
      <c r="M21" s="4808" t="s">
        <v>5750</v>
      </c>
      <c r="N21" s="4809">
        <f>N20*1.1</f>
        <v>99440.000000000015</v>
      </c>
      <c r="O21" s="4656"/>
      <c r="P21" s="4656"/>
      <c r="Q21" s="4657"/>
      <c r="AC21" s="4657"/>
    </row>
    <row r="22" spans="1:31" ht="32.15" customHeight="1">
      <c r="A22" s="4656"/>
      <c r="B22" s="4660"/>
      <c r="C22" s="4660"/>
      <c r="D22" s="4660"/>
      <c r="G22" s="4660"/>
      <c r="H22" s="4660"/>
      <c r="O22" s="4656"/>
      <c r="P22" s="4657"/>
      <c r="Q22" s="4657"/>
      <c r="AC22" s="4657"/>
    </row>
    <row r="23" spans="1:31" ht="32.15" customHeight="1">
      <c r="B23" s="4657"/>
      <c r="C23" s="4657"/>
      <c r="D23" s="4657"/>
      <c r="E23" s="4810"/>
      <c r="F23" s="4811"/>
      <c r="G23" s="4657"/>
      <c r="H23" s="4657"/>
      <c r="O23" s="4656"/>
      <c r="P23" s="4657"/>
      <c r="Q23" s="4657"/>
      <c r="AC23" s="4657"/>
    </row>
    <row r="24" spans="1:31" ht="32.15" customHeight="1">
      <c r="A24" s="4812"/>
      <c r="B24" s="4813"/>
      <c r="C24" s="4813"/>
      <c r="D24" s="4813"/>
      <c r="E24" s="4814"/>
      <c r="F24" s="4814"/>
      <c r="G24" s="4813"/>
      <c r="H24" s="4813"/>
      <c r="I24" s="4812"/>
      <c r="J24" s="4812"/>
      <c r="K24" s="4812"/>
      <c r="L24" s="4812"/>
      <c r="M24" s="4812"/>
      <c r="N24" s="4812"/>
      <c r="O24" s="4715"/>
      <c r="P24" s="4715"/>
      <c r="Q24" s="4715"/>
      <c r="R24" s="4656"/>
      <c r="S24" s="4812"/>
      <c r="T24" s="4656"/>
      <c r="U24" s="4812"/>
      <c r="W24" s="6905"/>
      <c r="X24" s="6905"/>
      <c r="Y24" s="6905"/>
      <c r="Z24" s="6905"/>
      <c r="AA24" s="6905"/>
      <c r="AB24" s="6891"/>
      <c r="AC24" s="6891"/>
      <c r="AD24" s="6891"/>
      <c r="AE24" s="6891"/>
    </row>
    <row r="25" spans="1:31" ht="36" customHeight="1"/>
    <row r="26" spans="1:31" ht="36" customHeight="1"/>
    <row r="27" spans="1:31" ht="36" customHeight="1"/>
    <row r="28" spans="1:31" ht="36" customHeight="1"/>
    <row r="29" spans="1:31" ht="36" customHeight="1"/>
    <row r="30" spans="1:31" ht="36" customHeight="1"/>
    <row r="31" spans="1:31" ht="36" customHeight="1"/>
    <row r="32" spans="1:31" ht="36" customHeight="1"/>
    <row r="33" spans="2:29" ht="36" customHeight="1"/>
    <row r="34" spans="2:29" ht="36" customHeight="1"/>
    <row r="35" spans="2:29" ht="10.15" customHeight="1">
      <c r="B35" s="4657"/>
      <c r="C35" s="4657"/>
      <c r="D35" s="4657"/>
      <c r="G35" s="4657"/>
      <c r="H35" s="4657"/>
      <c r="O35" s="4656"/>
      <c r="P35" s="4657"/>
      <c r="Q35" s="4657"/>
      <c r="AC35" s="4657"/>
    </row>
  </sheetData>
  <mergeCells count="21">
    <mergeCell ref="A2:B2"/>
    <mergeCell ref="C2:G2"/>
    <mergeCell ref="A5:A6"/>
    <mergeCell ref="B5:B6"/>
    <mergeCell ref="C5:C6"/>
    <mergeCell ref="D5:D6"/>
    <mergeCell ref="E5:E6"/>
    <mergeCell ref="F5:F6"/>
    <mergeCell ref="G5:G6"/>
    <mergeCell ref="AB24:AE24"/>
    <mergeCell ref="H5:H6"/>
    <mergeCell ref="I5:I6"/>
    <mergeCell ref="J5:J6"/>
    <mergeCell ref="K5:K6"/>
    <mergeCell ref="L5:L6"/>
    <mergeCell ref="M5:M6"/>
    <mergeCell ref="N5:N6"/>
    <mergeCell ref="O5:O6"/>
    <mergeCell ref="P5:Q5"/>
    <mergeCell ref="R5:U5"/>
    <mergeCell ref="W24:AA24"/>
  </mergeCells>
  <phoneticPr fontId="2"/>
  <conditionalFormatting sqref="B8:E17">
    <cfRule type="containsBlanks" dxfId="25" priority="1">
      <formula>LEN(TRIM(B8))=0</formula>
    </cfRule>
  </conditionalFormatting>
  <conditionalFormatting sqref="C2:D2">
    <cfRule type="containsBlanks" dxfId="24" priority="3">
      <formula>LEN(TRIM(C2))=0</formula>
    </cfRule>
  </conditionalFormatting>
  <conditionalFormatting sqref="G8:N17">
    <cfRule type="containsBlanks" dxfId="23" priority="2">
      <formula>LEN(TRIM(G8))=0</formula>
    </cfRule>
  </conditionalFormatting>
  <conditionalFormatting sqref="P8:U17">
    <cfRule type="containsBlanks" dxfId="22" priority="4">
      <formula>LEN(TRIM(P8))=0</formula>
    </cfRule>
  </conditionalFormatting>
  <dataValidations count="1">
    <dataValidation type="list" allowBlank="1" showInputMessage="1" showErrorMessage="1" sqref="I7" xr:uid="{853B5379-B6AE-4846-89C8-E44AEAE39DE4}">
      <formula1>会場形態</formula1>
    </dataValidation>
  </dataValidations>
  <printOptions horizontalCentered="1"/>
  <pageMargins left="0.59055118110236227" right="0.59055118110236227" top="0.74803149606299213" bottom="0.74803149606299213" header="0.31496062992125984" footer="0.31496062992125984"/>
  <pageSetup paperSize="8" scale="64" orientation="landscape" r:id="rId1"/>
  <headerFooter>
    <oddHeader>&amp;R&amp;G</oddHead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571B-45DA-4F99-91DD-08284423FADC}">
  <sheetPr codeName="Sheet402">
    <tabColor rgb="FFFFFF66"/>
    <pageSetUpPr fitToPage="1"/>
  </sheetPr>
  <dimension ref="A1:AH56"/>
  <sheetViews>
    <sheetView view="pageBreakPreview" topLeftCell="A12" zoomScale="70" zoomScaleNormal="100" zoomScaleSheetLayoutView="70" workbookViewId="0">
      <selection activeCell="BJ123" sqref="BJ123"/>
    </sheetView>
  </sheetViews>
  <sheetFormatPr defaultColWidth="9.81640625" defaultRowHeight="18"/>
  <cols>
    <col min="1" max="1" width="7.453125" style="4656" customWidth="1"/>
    <col min="2" max="3" width="25.81640625" style="4657" customWidth="1"/>
    <col min="4" max="4" width="9.54296875" style="4656" customWidth="1"/>
    <col min="5" max="5" width="30.26953125" style="4658" bestFit="1" customWidth="1"/>
    <col min="6" max="7" width="11.1796875" style="4656" customWidth="1"/>
    <col min="8" max="8" width="25.453125" style="4659" customWidth="1"/>
    <col min="9" max="9" width="6.54296875" style="4659" customWidth="1"/>
    <col min="10" max="10" width="16.453125" style="4659" bestFit="1" customWidth="1"/>
    <col min="11" max="11" width="20.453125" style="4656" customWidth="1"/>
    <col min="12" max="12" width="11.1796875" style="4657" customWidth="1"/>
    <col min="13" max="13" width="9.54296875" style="4657" customWidth="1"/>
    <col min="14" max="14" width="11.1796875" style="4657" customWidth="1"/>
    <col min="15" max="15" width="12.453125" style="4657" customWidth="1"/>
    <col min="16" max="16" width="11.1796875" style="4657" customWidth="1"/>
    <col min="17" max="17" width="9.54296875" style="4657" customWidth="1"/>
    <col min="18" max="19" width="11.1796875" style="4657" customWidth="1"/>
    <col min="20" max="20" width="24" style="4657" customWidth="1"/>
    <col min="21" max="21" width="9.81640625" style="4657"/>
    <col min="22" max="22" width="7.81640625" style="4657" customWidth="1"/>
    <col min="23" max="23" width="9.81640625" style="4657"/>
    <col min="24" max="24" width="7.81640625" style="4657" customWidth="1"/>
    <col min="25" max="25" width="40.1796875" style="4657" customWidth="1"/>
    <col min="26" max="26" width="22.1796875" style="4657" customWidth="1"/>
    <col min="27" max="16384" width="9.81640625" style="4657"/>
  </cols>
  <sheetData>
    <row r="1" spans="1:34" ht="21" customHeight="1" thickBot="1">
      <c r="M1" s="4656"/>
      <c r="O1" s="4660"/>
      <c r="Q1" s="4656"/>
    </row>
    <row r="2" spans="1:34" ht="44.25" customHeight="1" thickBot="1">
      <c r="A2" s="6874" t="s">
        <v>5707</v>
      </c>
      <c r="B2" s="6875"/>
      <c r="C2" s="6876" t="s">
        <v>6556</v>
      </c>
      <c r="D2" s="6876"/>
      <c r="E2" s="6876"/>
      <c r="F2" s="6876"/>
      <c r="G2" s="4661" t="s">
        <v>5709</v>
      </c>
      <c r="H2" s="4733"/>
      <c r="I2" s="4733"/>
      <c r="M2" s="4656"/>
      <c r="O2" s="4660"/>
      <c r="Q2" s="4656"/>
      <c r="Y2" s="4664" t="s">
        <v>5710</v>
      </c>
    </row>
    <row r="3" spans="1:34" ht="10.15" customHeight="1">
      <c r="M3" s="4656"/>
      <c r="O3" s="4660"/>
      <c r="Q3" s="4656"/>
    </row>
    <row r="4" spans="1:34" ht="33.75" customHeight="1" thickBot="1">
      <c r="A4" s="4737" t="s">
        <v>5711</v>
      </c>
      <c r="M4" s="4656"/>
      <c r="Q4" s="4656"/>
      <c r="T4" s="4656"/>
      <c r="U4" s="4656"/>
      <c r="V4" s="4656"/>
      <c r="W4" s="4656"/>
      <c r="X4" s="4656"/>
      <c r="Z4" s="4656" t="s">
        <v>5712</v>
      </c>
    </row>
    <row r="5" spans="1:34" s="5197" customFormat="1" ht="33.75" customHeight="1">
      <c r="A5" s="6944" t="s">
        <v>5713</v>
      </c>
      <c r="B5" s="6946" t="s">
        <v>6045</v>
      </c>
      <c r="C5" s="6946" t="s">
        <v>6046</v>
      </c>
      <c r="D5" s="6956" t="s">
        <v>2551</v>
      </c>
      <c r="E5" s="6958" t="s">
        <v>5721</v>
      </c>
      <c r="F5" s="6939" t="s">
        <v>5722</v>
      </c>
      <c r="G5" s="6939" t="s">
        <v>5723</v>
      </c>
      <c r="H5" s="6946" t="s">
        <v>6557</v>
      </c>
      <c r="I5" s="4967" t="s">
        <v>5726</v>
      </c>
      <c r="J5" s="6939" t="s">
        <v>3766</v>
      </c>
      <c r="K5" s="6954"/>
      <c r="L5" s="6956" t="s">
        <v>5728</v>
      </c>
      <c r="M5" s="6960"/>
      <c r="N5" s="6961"/>
      <c r="O5" s="6946" t="s">
        <v>6048</v>
      </c>
      <c r="P5" s="6960" t="s">
        <v>5730</v>
      </c>
      <c r="Q5" s="6960"/>
      <c r="R5" s="6960"/>
      <c r="S5" s="6956" t="s">
        <v>5731</v>
      </c>
      <c r="T5" s="6939" t="s">
        <v>5732</v>
      </c>
      <c r="U5" s="6939" t="s">
        <v>5733</v>
      </c>
      <c r="V5" s="6954"/>
      <c r="W5" s="6954"/>
      <c r="X5" s="6954"/>
      <c r="Y5" s="6941" t="s">
        <v>2792</v>
      </c>
      <c r="Z5" s="6943" t="s">
        <v>5734</v>
      </c>
      <c r="AA5" s="4853"/>
      <c r="AB5" s="4853"/>
      <c r="AC5" s="4853"/>
      <c r="AD5" s="4853"/>
      <c r="AE5" s="4735"/>
      <c r="AF5" s="4735"/>
      <c r="AG5" s="4735"/>
      <c r="AH5" s="4735"/>
    </row>
    <row r="6" spans="1:34" s="5197" customFormat="1" ht="23.5">
      <c r="A6" s="6945"/>
      <c r="B6" s="6947"/>
      <c r="C6" s="6948"/>
      <c r="D6" s="6957"/>
      <c r="E6" s="6947"/>
      <c r="F6" s="6959"/>
      <c r="G6" s="6959"/>
      <c r="H6" s="6948"/>
      <c r="I6" s="4968"/>
      <c r="J6" s="5199" t="s">
        <v>5735</v>
      </c>
      <c r="K6" s="5200" t="s">
        <v>5736</v>
      </c>
      <c r="L6" s="6962"/>
      <c r="M6" s="6963"/>
      <c r="N6" s="6964"/>
      <c r="O6" s="6948"/>
      <c r="P6" s="6963"/>
      <c r="Q6" s="6963"/>
      <c r="R6" s="6963"/>
      <c r="S6" s="6940"/>
      <c r="T6" s="6940"/>
      <c r="U6" s="6940"/>
      <c r="V6" s="6955"/>
      <c r="W6" s="6955"/>
      <c r="X6" s="6955"/>
      <c r="Y6" s="6942"/>
      <c r="Z6" s="6943"/>
      <c r="AA6" s="6905"/>
      <c r="AB6" s="6905"/>
      <c r="AC6" s="6905"/>
      <c r="AD6" s="6905"/>
      <c r="AE6" s="6891"/>
      <c r="AF6" s="6891"/>
      <c r="AG6" s="6891"/>
      <c r="AH6" s="6891"/>
    </row>
    <row r="7" spans="1:34" ht="33.75" customHeight="1">
      <c r="A7" s="5757" t="s">
        <v>5737</v>
      </c>
      <c r="B7" s="5758">
        <v>46280</v>
      </c>
      <c r="C7" s="5758">
        <v>46300</v>
      </c>
      <c r="D7" s="5759">
        <f>IF(_xlfn.DAYS(C7,B7)=0,"1",_xlfn.DAYS(C7,B7))</f>
        <v>20</v>
      </c>
      <c r="E7" s="5760" t="s">
        <v>5738</v>
      </c>
      <c r="F7" s="5761">
        <v>100</v>
      </c>
      <c r="G7" s="5762">
        <v>90</v>
      </c>
      <c r="H7" s="5763">
        <v>10000</v>
      </c>
      <c r="I7" s="4971"/>
      <c r="J7" s="5764">
        <f t="shared" ref="J7:J17" si="0">G7*D7</f>
        <v>1800</v>
      </c>
      <c r="K7" s="5765">
        <f>G7*H7</f>
        <v>900000</v>
      </c>
      <c r="L7" s="5761">
        <v>21</v>
      </c>
      <c r="M7" s="5482" t="s">
        <v>5739</v>
      </c>
      <c r="N7" s="5766">
        <v>21</v>
      </c>
      <c r="O7" s="5761">
        <v>1</v>
      </c>
      <c r="P7" s="5761">
        <v>154</v>
      </c>
      <c r="Q7" s="5482" t="s">
        <v>4521</v>
      </c>
      <c r="R7" s="5763">
        <v>203</v>
      </c>
      <c r="S7" s="5761">
        <v>1</v>
      </c>
      <c r="T7" s="5761" t="s">
        <v>5740</v>
      </c>
      <c r="U7" s="5767" t="s">
        <v>5035</v>
      </c>
      <c r="V7" s="5761" t="s">
        <v>2830</v>
      </c>
      <c r="W7" s="5767" t="s">
        <v>5050</v>
      </c>
      <c r="X7" s="5761" t="s">
        <v>5741</v>
      </c>
      <c r="Y7" s="5768"/>
      <c r="Z7" s="5214"/>
      <c r="AA7" s="6905"/>
      <c r="AB7" s="6905"/>
      <c r="AC7" s="6905"/>
      <c r="AD7" s="6905"/>
      <c r="AE7" s="6891"/>
      <c r="AF7" s="6891"/>
      <c r="AG7" s="6891"/>
      <c r="AH7" s="6891"/>
    </row>
    <row r="8" spans="1:34" ht="33.75" customHeight="1">
      <c r="A8" s="4686">
        <v>1</v>
      </c>
      <c r="B8" s="4687">
        <v>46283</v>
      </c>
      <c r="C8" s="4687">
        <v>46284</v>
      </c>
      <c r="D8" s="4818">
        <f t="shared" ref="D8:D17" si="1">IF(_xlfn.DAYS(C8,B8)=0,"1",_xlfn.DAYS(C8,B8))</f>
        <v>1</v>
      </c>
      <c r="E8" s="4691" t="s">
        <v>6558</v>
      </c>
      <c r="F8" s="4820"/>
      <c r="G8" s="4821">
        <v>90</v>
      </c>
      <c r="H8" s="4692">
        <v>66000</v>
      </c>
      <c r="I8" s="4971">
        <f>H8*G8</f>
        <v>5940000</v>
      </c>
      <c r="J8" s="5215">
        <f t="shared" si="0"/>
        <v>90</v>
      </c>
      <c r="K8" s="5216">
        <f>G8*H8*D8</f>
        <v>5940000</v>
      </c>
      <c r="L8" s="4820"/>
      <c r="M8" s="5209" t="s">
        <v>5742</v>
      </c>
      <c r="N8" s="5217"/>
      <c r="O8" s="4697"/>
      <c r="P8" s="4820"/>
      <c r="Q8" s="5209" t="s">
        <v>4521</v>
      </c>
      <c r="R8" s="5219"/>
      <c r="S8" s="4820"/>
      <c r="T8" s="4820"/>
      <c r="U8" s="5212" t="s">
        <v>5035</v>
      </c>
      <c r="V8" s="4820"/>
      <c r="W8" s="5212" t="s">
        <v>5050</v>
      </c>
      <c r="X8" s="4820"/>
      <c r="Y8" s="5220"/>
      <c r="Z8" s="5214">
        <f>G8</f>
        <v>90</v>
      </c>
      <c r="AA8" s="6905"/>
      <c r="AB8" s="6905"/>
      <c r="AC8" s="6905"/>
      <c r="AD8" s="6905"/>
      <c r="AE8" s="6891"/>
      <c r="AF8" s="6891"/>
      <c r="AG8" s="6891"/>
      <c r="AH8" s="6891"/>
    </row>
    <row r="9" spans="1:34" ht="33.75" customHeight="1">
      <c r="A9" s="4686">
        <v>2</v>
      </c>
      <c r="B9" s="4687">
        <v>46284</v>
      </c>
      <c r="C9" s="4687">
        <v>46288</v>
      </c>
      <c r="D9" s="4818">
        <f t="shared" si="1"/>
        <v>4</v>
      </c>
      <c r="E9" s="4691" t="s">
        <v>6558</v>
      </c>
      <c r="F9" s="4820"/>
      <c r="G9" s="4821">
        <v>90</v>
      </c>
      <c r="H9" s="4692">
        <v>76000</v>
      </c>
      <c r="I9" s="4971">
        <f t="shared" ref="I9:I13" si="2">H9*G9</f>
        <v>6840000</v>
      </c>
      <c r="J9" s="5215">
        <f t="shared" si="0"/>
        <v>360</v>
      </c>
      <c r="K9" s="5216">
        <f t="shared" ref="K9:K16" si="3">G9*H9*D9</f>
        <v>27360000</v>
      </c>
      <c r="L9" s="4820"/>
      <c r="M9" s="5209" t="s">
        <v>5742</v>
      </c>
      <c r="N9" s="5217"/>
      <c r="O9" s="4697"/>
      <c r="P9" s="4820"/>
      <c r="Q9" s="5209" t="s">
        <v>4521</v>
      </c>
      <c r="R9" s="5219"/>
      <c r="S9" s="4820"/>
      <c r="T9" s="4820"/>
      <c r="U9" s="5212" t="s">
        <v>5035</v>
      </c>
      <c r="V9" s="4820"/>
      <c r="W9" s="5212" t="s">
        <v>5050</v>
      </c>
      <c r="X9" s="4820"/>
      <c r="Y9" s="5220"/>
      <c r="Z9" s="5214">
        <f t="shared" ref="Z9:Z17" si="4">G9</f>
        <v>90</v>
      </c>
      <c r="AA9" s="6905"/>
      <c r="AB9" s="6905"/>
      <c r="AC9" s="6905"/>
      <c r="AD9" s="6905"/>
      <c r="AE9" s="6891"/>
      <c r="AF9" s="6891"/>
      <c r="AG9" s="6891"/>
      <c r="AH9" s="6891"/>
    </row>
    <row r="10" spans="1:34" ht="33.75" customHeight="1">
      <c r="A10" s="4686">
        <v>3</v>
      </c>
      <c r="B10" s="4687">
        <v>46288</v>
      </c>
      <c r="C10" s="4687">
        <v>46290</v>
      </c>
      <c r="D10" s="4818">
        <f t="shared" si="1"/>
        <v>2</v>
      </c>
      <c r="E10" s="4691" t="s">
        <v>6558</v>
      </c>
      <c r="F10" s="4820"/>
      <c r="G10" s="4821">
        <v>90</v>
      </c>
      <c r="H10" s="4692">
        <v>60000</v>
      </c>
      <c r="I10" s="4971">
        <f t="shared" si="2"/>
        <v>5400000</v>
      </c>
      <c r="J10" s="5215">
        <f t="shared" si="0"/>
        <v>180</v>
      </c>
      <c r="K10" s="5216">
        <f t="shared" si="3"/>
        <v>10800000</v>
      </c>
      <c r="L10" s="4820"/>
      <c r="M10" s="5209" t="s">
        <v>5742</v>
      </c>
      <c r="N10" s="5217"/>
      <c r="O10" s="4697"/>
      <c r="P10" s="4820"/>
      <c r="Q10" s="5209" t="s">
        <v>4521</v>
      </c>
      <c r="R10" s="5219"/>
      <c r="S10" s="4820"/>
      <c r="T10" s="4820"/>
      <c r="U10" s="5212" t="s">
        <v>5035</v>
      </c>
      <c r="V10" s="4820"/>
      <c r="W10" s="5212" t="s">
        <v>5050</v>
      </c>
      <c r="X10" s="4820"/>
      <c r="Y10" s="5220"/>
      <c r="Z10" s="5214">
        <f t="shared" si="4"/>
        <v>90</v>
      </c>
      <c r="AA10" s="6905"/>
      <c r="AB10" s="6905"/>
      <c r="AC10" s="6905"/>
      <c r="AD10" s="6905"/>
      <c r="AE10" s="6891"/>
      <c r="AF10" s="6891"/>
      <c r="AG10" s="6891"/>
      <c r="AH10" s="6891"/>
    </row>
    <row r="11" spans="1:34" ht="33.75" customHeight="1">
      <c r="A11" s="4686">
        <v>4</v>
      </c>
      <c r="B11" s="4687">
        <v>46290</v>
      </c>
      <c r="C11" s="4687">
        <v>46291</v>
      </c>
      <c r="D11" s="4818">
        <f t="shared" si="1"/>
        <v>1</v>
      </c>
      <c r="E11" s="4691" t="s">
        <v>6558</v>
      </c>
      <c r="F11" s="4820"/>
      <c r="G11" s="4821">
        <v>90</v>
      </c>
      <c r="H11" s="4692">
        <v>66000</v>
      </c>
      <c r="I11" s="4971">
        <f t="shared" si="2"/>
        <v>5940000</v>
      </c>
      <c r="J11" s="5215">
        <f t="shared" si="0"/>
        <v>90</v>
      </c>
      <c r="K11" s="5216">
        <f t="shared" si="3"/>
        <v>5940000</v>
      </c>
      <c r="L11" s="4820"/>
      <c r="M11" s="5209" t="s">
        <v>5742</v>
      </c>
      <c r="N11" s="5217"/>
      <c r="O11" s="4697"/>
      <c r="P11" s="4820"/>
      <c r="Q11" s="5209" t="s">
        <v>4521</v>
      </c>
      <c r="R11" s="5219"/>
      <c r="S11" s="4820"/>
      <c r="T11" s="4820"/>
      <c r="U11" s="5212" t="s">
        <v>5035</v>
      </c>
      <c r="V11" s="4820"/>
      <c r="W11" s="5212" t="s">
        <v>5050</v>
      </c>
      <c r="X11" s="4820"/>
      <c r="Y11" s="5220"/>
      <c r="Z11" s="5214">
        <f t="shared" si="4"/>
        <v>90</v>
      </c>
      <c r="AA11" s="6905"/>
      <c r="AB11" s="6905"/>
      <c r="AC11" s="6905"/>
      <c r="AD11" s="6905"/>
      <c r="AE11" s="6891"/>
      <c r="AF11" s="6891"/>
      <c r="AG11" s="6891"/>
      <c r="AH11" s="6891"/>
    </row>
    <row r="12" spans="1:34" ht="33.75" customHeight="1">
      <c r="A12" s="4686">
        <v>5</v>
      </c>
      <c r="B12" s="4687">
        <v>46291</v>
      </c>
      <c r="C12" s="4687">
        <v>46292</v>
      </c>
      <c r="D12" s="4818">
        <f t="shared" si="1"/>
        <v>1</v>
      </c>
      <c r="E12" s="4691" t="s">
        <v>6558</v>
      </c>
      <c r="F12" s="4820"/>
      <c r="G12" s="4821">
        <v>45</v>
      </c>
      <c r="H12" s="4692">
        <v>70000</v>
      </c>
      <c r="I12" s="4971">
        <f t="shared" si="2"/>
        <v>3150000</v>
      </c>
      <c r="J12" s="5215">
        <f t="shared" si="0"/>
        <v>45</v>
      </c>
      <c r="K12" s="5216">
        <f t="shared" si="3"/>
        <v>3150000</v>
      </c>
      <c r="L12" s="4820"/>
      <c r="M12" s="5209" t="s">
        <v>5742</v>
      </c>
      <c r="N12" s="5217"/>
      <c r="O12" s="4697"/>
      <c r="P12" s="4820"/>
      <c r="Q12" s="5209" t="s">
        <v>4521</v>
      </c>
      <c r="R12" s="5219"/>
      <c r="S12" s="4820"/>
      <c r="T12" s="4820"/>
      <c r="U12" s="5212" t="s">
        <v>5035</v>
      </c>
      <c r="V12" s="4820"/>
      <c r="W12" s="5212" t="s">
        <v>5050</v>
      </c>
      <c r="X12" s="4820"/>
      <c r="Y12" s="5220"/>
      <c r="Z12" s="5214">
        <f t="shared" si="4"/>
        <v>45</v>
      </c>
      <c r="AA12" s="6928"/>
      <c r="AB12" s="6928"/>
      <c r="AC12" s="6928"/>
      <c r="AD12" s="6928"/>
      <c r="AE12" s="6891"/>
      <c r="AF12" s="6891"/>
      <c r="AG12" s="6891"/>
      <c r="AH12" s="6891"/>
    </row>
    <row r="13" spans="1:34" ht="33.75" customHeight="1">
      <c r="A13" s="4686">
        <v>6</v>
      </c>
      <c r="B13" s="4687">
        <v>46292</v>
      </c>
      <c r="C13" s="4687">
        <v>46296</v>
      </c>
      <c r="D13" s="4818">
        <f t="shared" si="1"/>
        <v>4</v>
      </c>
      <c r="E13" s="4691" t="s">
        <v>6558</v>
      </c>
      <c r="F13" s="4820"/>
      <c r="G13" s="4821">
        <v>45</v>
      </c>
      <c r="H13" s="4692">
        <v>60000</v>
      </c>
      <c r="I13" s="4971">
        <f t="shared" si="2"/>
        <v>2700000</v>
      </c>
      <c r="J13" s="5215">
        <f t="shared" si="0"/>
        <v>180</v>
      </c>
      <c r="K13" s="5216">
        <f t="shared" si="3"/>
        <v>10800000</v>
      </c>
      <c r="L13" s="4820"/>
      <c r="M13" s="5209" t="s">
        <v>5742</v>
      </c>
      <c r="N13" s="5217"/>
      <c r="O13" s="4697"/>
      <c r="P13" s="4820"/>
      <c r="Q13" s="5209" t="s">
        <v>4521</v>
      </c>
      <c r="R13" s="5219"/>
      <c r="S13" s="4820"/>
      <c r="T13" s="4820"/>
      <c r="U13" s="5212" t="s">
        <v>5035</v>
      </c>
      <c r="V13" s="4820"/>
      <c r="W13" s="5212" t="s">
        <v>5050</v>
      </c>
      <c r="X13" s="4820"/>
      <c r="Y13" s="5220"/>
      <c r="Z13" s="5214">
        <f t="shared" si="4"/>
        <v>45</v>
      </c>
      <c r="AA13" s="6928"/>
      <c r="AB13" s="6928"/>
      <c r="AC13" s="6928"/>
      <c r="AD13" s="6928"/>
      <c r="AE13" s="6891"/>
      <c r="AF13" s="6891"/>
      <c r="AG13" s="6891"/>
      <c r="AH13" s="6891"/>
    </row>
    <row r="14" spans="1:34" ht="33.75" customHeight="1">
      <c r="A14" s="4686">
        <v>7</v>
      </c>
      <c r="B14" s="4816"/>
      <c r="C14" s="4816"/>
      <c r="D14" s="4818" t="str">
        <f t="shared" si="1"/>
        <v>1</v>
      </c>
      <c r="E14" s="4819"/>
      <c r="F14" s="4820"/>
      <c r="G14" s="4821"/>
      <c r="H14" s="4820"/>
      <c r="I14" s="5769"/>
      <c r="J14" s="5215">
        <f t="shared" si="0"/>
        <v>0</v>
      </c>
      <c r="K14" s="5216">
        <f t="shared" si="3"/>
        <v>0</v>
      </c>
      <c r="L14" s="4820"/>
      <c r="M14" s="5209" t="s">
        <v>5742</v>
      </c>
      <c r="N14" s="5217"/>
      <c r="O14" s="4697"/>
      <c r="P14" s="4820"/>
      <c r="Q14" s="5209" t="s">
        <v>4521</v>
      </c>
      <c r="R14" s="5219"/>
      <c r="S14" s="4820"/>
      <c r="T14" s="4820"/>
      <c r="U14" s="5212" t="s">
        <v>5035</v>
      </c>
      <c r="V14" s="4820"/>
      <c r="W14" s="5212" t="s">
        <v>5050</v>
      </c>
      <c r="X14" s="4820"/>
      <c r="Y14" s="5220"/>
      <c r="Z14" s="5214">
        <f t="shared" si="4"/>
        <v>0</v>
      </c>
      <c r="AA14" s="6928"/>
      <c r="AB14" s="6928"/>
      <c r="AC14" s="6928"/>
      <c r="AD14" s="6928"/>
      <c r="AE14" s="6891"/>
      <c r="AF14" s="6891"/>
      <c r="AG14" s="6891"/>
      <c r="AH14" s="6891"/>
    </row>
    <row r="15" spans="1:34" ht="33.75" customHeight="1">
      <c r="A15" s="4686">
        <v>8</v>
      </c>
      <c r="B15" s="4816"/>
      <c r="C15" s="4816"/>
      <c r="D15" s="4818" t="str">
        <f t="shared" si="1"/>
        <v>1</v>
      </c>
      <c r="E15" s="4819"/>
      <c r="F15" s="4820"/>
      <c r="G15" s="4821"/>
      <c r="H15" s="4820"/>
      <c r="I15" s="5769"/>
      <c r="J15" s="5215">
        <f t="shared" si="0"/>
        <v>0</v>
      </c>
      <c r="K15" s="5216">
        <f t="shared" si="3"/>
        <v>0</v>
      </c>
      <c r="L15" s="4820"/>
      <c r="M15" s="5209" t="s">
        <v>5742</v>
      </c>
      <c r="N15" s="5217"/>
      <c r="O15" s="4697"/>
      <c r="P15" s="4820"/>
      <c r="Q15" s="5209" t="s">
        <v>4521</v>
      </c>
      <c r="R15" s="5219"/>
      <c r="S15" s="4820"/>
      <c r="T15" s="4820"/>
      <c r="U15" s="5212" t="s">
        <v>5035</v>
      </c>
      <c r="V15" s="4820"/>
      <c r="W15" s="5212" t="s">
        <v>5050</v>
      </c>
      <c r="X15" s="4820"/>
      <c r="Y15" s="5220"/>
      <c r="Z15" s="5214">
        <f t="shared" si="4"/>
        <v>0</v>
      </c>
      <c r="AA15" s="6928"/>
      <c r="AB15" s="6928"/>
      <c r="AC15" s="6928"/>
      <c r="AD15" s="6928"/>
      <c r="AE15" s="6891"/>
      <c r="AF15" s="6891"/>
      <c r="AG15" s="6891"/>
      <c r="AH15" s="6891"/>
    </row>
    <row r="16" spans="1:34" ht="33.75" customHeight="1">
      <c r="A16" s="4686">
        <v>9</v>
      </c>
      <c r="B16" s="4816"/>
      <c r="C16" s="4816"/>
      <c r="D16" s="4818" t="str">
        <f t="shared" si="1"/>
        <v>1</v>
      </c>
      <c r="E16" s="4819"/>
      <c r="F16" s="4820"/>
      <c r="G16" s="4821"/>
      <c r="H16" s="4820"/>
      <c r="I16" s="5769"/>
      <c r="J16" s="5215">
        <f t="shared" si="0"/>
        <v>0</v>
      </c>
      <c r="K16" s="5216">
        <f t="shared" si="3"/>
        <v>0</v>
      </c>
      <c r="L16" s="4820"/>
      <c r="M16" s="5209" t="s">
        <v>5742</v>
      </c>
      <c r="N16" s="5217"/>
      <c r="O16" s="4697"/>
      <c r="P16" s="4820"/>
      <c r="Q16" s="5209" t="s">
        <v>4521</v>
      </c>
      <c r="R16" s="5219"/>
      <c r="S16" s="4820"/>
      <c r="T16" s="4820"/>
      <c r="U16" s="5212" t="s">
        <v>5035</v>
      </c>
      <c r="V16" s="4820"/>
      <c r="W16" s="5212" t="s">
        <v>5050</v>
      </c>
      <c r="X16" s="4820"/>
      <c r="Y16" s="5220"/>
      <c r="Z16" s="5214">
        <f t="shared" si="4"/>
        <v>0</v>
      </c>
      <c r="AA16" s="6905"/>
      <c r="AB16" s="6905"/>
      <c r="AC16" s="6905"/>
      <c r="AD16" s="6905"/>
      <c r="AE16" s="6891"/>
      <c r="AF16" s="6891"/>
      <c r="AG16" s="6891"/>
      <c r="AH16" s="6891"/>
    </row>
    <row r="17" spans="1:34" ht="33.75" customHeight="1" thickBot="1">
      <c r="A17" s="4686">
        <v>10</v>
      </c>
      <c r="B17" s="4816"/>
      <c r="C17" s="4816"/>
      <c r="D17" s="4818" t="str">
        <f t="shared" si="1"/>
        <v>1</v>
      </c>
      <c r="E17" s="4819"/>
      <c r="F17" s="4820"/>
      <c r="G17" s="4821"/>
      <c r="H17" s="4820"/>
      <c r="I17" s="5769"/>
      <c r="J17" s="5215">
        <f t="shared" si="0"/>
        <v>0</v>
      </c>
      <c r="K17" s="5216">
        <f>G17*H17*D17</f>
        <v>0</v>
      </c>
      <c r="L17" s="4820"/>
      <c r="M17" s="5209" t="s">
        <v>5739</v>
      </c>
      <c r="N17" s="5217"/>
      <c r="O17" s="4820"/>
      <c r="P17" s="4820"/>
      <c r="Q17" s="5209" t="s">
        <v>4521</v>
      </c>
      <c r="R17" s="5219"/>
      <c r="S17" s="4820"/>
      <c r="T17" s="4820"/>
      <c r="U17" s="5212" t="s">
        <v>5035</v>
      </c>
      <c r="V17" s="4820"/>
      <c r="W17" s="5212" t="s">
        <v>5050</v>
      </c>
      <c r="X17" s="4820"/>
      <c r="Y17" s="5220"/>
      <c r="Z17" s="5214">
        <f t="shared" si="4"/>
        <v>0</v>
      </c>
      <c r="AA17" s="6905"/>
      <c r="AB17" s="6905"/>
      <c r="AC17" s="6905"/>
      <c r="AD17" s="6905"/>
      <c r="AE17" s="6891"/>
      <c r="AF17" s="6891"/>
      <c r="AG17" s="6891"/>
      <c r="AH17" s="6891"/>
    </row>
    <row r="18" spans="1:34" ht="33.75" customHeight="1" thickTop="1" thickBot="1">
      <c r="A18" s="4701"/>
      <c r="B18" s="4702"/>
      <c r="C18" s="4702"/>
      <c r="D18" s="5221"/>
      <c r="E18" s="5222" t="s">
        <v>2432</v>
      </c>
      <c r="F18" s="5223">
        <f>SUM(F8:F17)</f>
        <v>0</v>
      </c>
      <c r="G18" s="5224">
        <f>SUM(G8:G17)</f>
        <v>450</v>
      </c>
      <c r="H18" s="5221"/>
      <c r="I18" s="5221"/>
      <c r="J18" s="5223">
        <f>SUM(J8:J17)</f>
        <v>945</v>
      </c>
      <c r="K18" s="5223">
        <f>SUM(K8:K17)</f>
        <v>63990000</v>
      </c>
      <c r="L18" s="6949"/>
      <c r="M18" s="6950"/>
      <c r="N18" s="6951"/>
      <c r="O18" s="5225"/>
      <c r="P18" s="6949"/>
      <c r="Q18" s="6950"/>
      <c r="R18" s="6950"/>
      <c r="S18" s="5225"/>
      <c r="T18" s="5225"/>
      <c r="U18" s="6952"/>
      <c r="V18" s="6953"/>
      <c r="W18" s="6952"/>
      <c r="X18" s="6953"/>
      <c r="Y18" s="5226"/>
      <c r="Z18" s="5214">
        <f>SUM(Z8:Z17)</f>
        <v>450</v>
      </c>
      <c r="AA18" s="6905"/>
      <c r="AB18" s="6905"/>
      <c r="AC18" s="6905"/>
      <c r="AD18" s="6905"/>
      <c r="AE18" s="6891"/>
      <c r="AF18" s="6891"/>
      <c r="AG18" s="6891"/>
      <c r="AH18" s="6891"/>
    </row>
    <row r="19" spans="1:34" ht="33.75" customHeight="1" thickBot="1">
      <c r="B19" s="4812"/>
      <c r="C19" s="4812"/>
      <c r="D19" s="4812"/>
      <c r="E19" s="4813"/>
      <c r="F19" s="4814"/>
      <c r="G19" s="4713" t="s">
        <v>5748</v>
      </c>
      <c r="H19" s="4714">
        <f>SUM(I9)</f>
        <v>6840000</v>
      </c>
      <c r="I19" s="4715"/>
      <c r="J19" s="4715"/>
      <c r="M19" s="4656"/>
      <c r="Q19" s="4656"/>
    </row>
    <row r="20" spans="1:34" ht="33.75" customHeight="1">
      <c r="A20" s="6929" t="s">
        <v>5749</v>
      </c>
      <c r="B20" s="6930"/>
      <c r="C20" s="5227">
        <f>J18</f>
        <v>945</v>
      </c>
      <c r="D20" s="5228"/>
      <c r="E20" s="5229"/>
      <c r="G20" s="4721" t="s">
        <v>5750</v>
      </c>
      <c r="H20" s="4722">
        <f>H19*1.1</f>
        <v>7524000.0000000009</v>
      </c>
      <c r="J20" s="4656"/>
    </row>
    <row r="21" spans="1:34" ht="33.75" customHeight="1">
      <c r="A21" s="6847" t="s">
        <v>5883</v>
      </c>
      <c r="B21" s="6848"/>
      <c r="C21" s="4723">
        <f>K18</f>
        <v>63990000</v>
      </c>
      <c r="D21" s="5228"/>
      <c r="E21" s="5229"/>
      <c r="G21" s="4659"/>
      <c r="J21" s="4656"/>
    </row>
    <row r="22" spans="1:34" ht="32.15" customHeight="1" thickBot="1">
      <c r="A22" s="6913" t="s">
        <v>5751</v>
      </c>
      <c r="B22" s="6914"/>
      <c r="C22" s="4987">
        <f>ROUNDDOWN(C21*1.1,0)</f>
        <v>70389000</v>
      </c>
      <c r="D22" s="4726"/>
      <c r="E22" s="5232"/>
    </row>
    <row r="23" spans="1:34" ht="32.15" customHeight="1" thickBot="1">
      <c r="A23" s="7042" t="s">
        <v>6559</v>
      </c>
      <c r="B23" s="7043"/>
      <c r="C23" s="4987">
        <v>70578000</v>
      </c>
      <c r="D23" s="4726"/>
      <c r="E23" s="5232"/>
    </row>
    <row r="24" spans="1:34" ht="32.15" customHeight="1">
      <c r="A24" s="4940"/>
      <c r="B24" s="4940"/>
      <c r="C24" s="5402"/>
      <c r="D24" s="4726"/>
      <c r="E24" s="5232"/>
    </row>
    <row r="25" spans="1:34" ht="33.75" customHeight="1" thickBot="1">
      <c r="A25" s="4737" t="s">
        <v>5807</v>
      </c>
      <c r="M25" s="4656"/>
      <c r="Q25" s="4656"/>
      <c r="T25" s="4656"/>
      <c r="U25" s="4656"/>
      <c r="V25" s="4656"/>
      <c r="W25" s="4656"/>
      <c r="X25" s="4656"/>
      <c r="Z25" s="4656" t="s">
        <v>5712</v>
      </c>
    </row>
    <row r="26" spans="1:34" s="5197" customFormat="1" ht="33.75" customHeight="1">
      <c r="A26" s="6944" t="s">
        <v>5713</v>
      </c>
      <c r="B26" s="6946" t="s">
        <v>6045</v>
      </c>
      <c r="C26" s="6946" t="s">
        <v>6046</v>
      </c>
      <c r="D26" s="6956" t="s">
        <v>2551</v>
      </c>
      <c r="E26" s="6958" t="s">
        <v>5721</v>
      </c>
      <c r="F26" s="6939" t="s">
        <v>5722</v>
      </c>
      <c r="G26" s="6939" t="s">
        <v>5723</v>
      </c>
      <c r="H26" s="6946" t="s">
        <v>6557</v>
      </c>
      <c r="I26" s="5196"/>
      <c r="J26" s="6939" t="s">
        <v>3766</v>
      </c>
      <c r="K26" s="6954"/>
      <c r="L26" s="6956" t="s">
        <v>5728</v>
      </c>
      <c r="M26" s="6960"/>
      <c r="N26" s="6961"/>
      <c r="O26" s="6946" t="s">
        <v>6048</v>
      </c>
      <c r="P26" s="6960" t="s">
        <v>5730</v>
      </c>
      <c r="Q26" s="6960"/>
      <c r="R26" s="6960"/>
      <c r="S26" s="6956" t="s">
        <v>5731</v>
      </c>
      <c r="T26" s="6939" t="s">
        <v>5732</v>
      </c>
      <c r="U26" s="6939" t="s">
        <v>5733</v>
      </c>
      <c r="V26" s="6954"/>
      <c r="W26" s="6954"/>
      <c r="X26" s="6954"/>
      <c r="Y26" s="6941" t="s">
        <v>2792</v>
      </c>
      <c r="Z26" s="6943" t="s">
        <v>5734</v>
      </c>
      <c r="AA26" s="4853"/>
      <c r="AB26" s="4853"/>
      <c r="AC26" s="4853"/>
      <c r="AD26" s="4853"/>
      <c r="AE26" s="4735"/>
      <c r="AF26" s="4735"/>
      <c r="AG26" s="4735"/>
      <c r="AH26" s="4735"/>
    </row>
    <row r="27" spans="1:34" s="5197" customFormat="1" ht="23.5">
      <c r="A27" s="6945"/>
      <c r="B27" s="6947"/>
      <c r="C27" s="6948"/>
      <c r="D27" s="6957"/>
      <c r="E27" s="6947"/>
      <c r="F27" s="6959"/>
      <c r="G27" s="6959"/>
      <c r="H27" s="6948"/>
      <c r="I27" s="5198"/>
      <c r="J27" s="5199" t="s">
        <v>5735</v>
      </c>
      <c r="K27" s="5200" t="s">
        <v>5736</v>
      </c>
      <c r="L27" s="6962"/>
      <c r="M27" s="6963"/>
      <c r="N27" s="6964"/>
      <c r="O27" s="6948"/>
      <c r="P27" s="6963"/>
      <c r="Q27" s="6963"/>
      <c r="R27" s="6963"/>
      <c r="S27" s="6940"/>
      <c r="T27" s="6940"/>
      <c r="U27" s="6940"/>
      <c r="V27" s="6955"/>
      <c r="W27" s="6955"/>
      <c r="X27" s="6955"/>
      <c r="Y27" s="6942"/>
      <c r="Z27" s="6943"/>
      <c r="AA27" s="6905"/>
      <c r="AB27" s="6905"/>
      <c r="AC27" s="6905"/>
      <c r="AD27" s="6905"/>
      <c r="AE27" s="6891"/>
      <c r="AF27" s="6891"/>
      <c r="AG27" s="6891"/>
      <c r="AH27" s="6891"/>
    </row>
    <row r="28" spans="1:34" ht="33.75" customHeight="1">
      <c r="A28" s="5233" t="s">
        <v>5737</v>
      </c>
      <c r="B28" s="5234">
        <v>46280</v>
      </c>
      <c r="C28" s="5234">
        <v>46300</v>
      </c>
      <c r="D28" s="5202">
        <f>IF(_xlfn.DAYS(C28,B28)=0,"1",_xlfn.DAYS(C28,B28))</f>
        <v>20</v>
      </c>
      <c r="E28" s="5235" t="s">
        <v>5738</v>
      </c>
      <c r="F28" s="5236">
        <v>100</v>
      </c>
      <c r="G28" s="5237">
        <v>90</v>
      </c>
      <c r="H28" s="5238">
        <v>10000</v>
      </c>
      <c r="I28" s="5770"/>
      <c r="J28" s="5239">
        <f t="shared" ref="J28:J38" si="5">G28*D28</f>
        <v>1800</v>
      </c>
      <c r="K28" s="5240">
        <f t="shared" ref="K28" si="6">G28*H28</f>
        <v>900000</v>
      </c>
      <c r="L28" s="5238">
        <v>21</v>
      </c>
      <c r="M28" s="5241" t="s">
        <v>5739</v>
      </c>
      <c r="N28" s="5238">
        <v>21</v>
      </c>
      <c r="O28" s="5236">
        <v>1</v>
      </c>
      <c r="P28" s="5236">
        <v>154</v>
      </c>
      <c r="Q28" s="5241" t="s">
        <v>4521</v>
      </c>
      <c r="R28" s="5238">
        <v>203</v>
      </c>
      <c r="S28" s="5236">
        <v>1</v>
      </c>
      <c r="T28" s="5236" t="s">
        <v>5740</v>
      </c>
      <c r="U28" s="5243" t="s">
        <v>5035</v>
      </c>
      <c r="V28" s="5236" t="s">
        <v>2830</v>
      </c>
      <c r="W28" s="5243" t="s">
        <v>5050</v>
      </c>
      <c r="X28" s="5236" t="s">
        <v>5741</v>
      </c>
      <c r="Y28" s="5244"/>
      <c r="Z28" s="5214">
        <f>O28*G28</f>
        <v>90</v>
      </c>
      <c r="AA28" s="6905"/>
      <c r="AB28" s="6905"/>
      <c r="AC28" s="6905"/>
      <c r="AD28" s="6905"/>
      <c r="AE28" s="6891"/>
      <c r="AF28" s="6891"/>
      <c r="AG28" s="6891"/>
      <c r="AH28" s="6891"/>
    </row>
    <row r="29" spans="1:34" ht="33.75" customHeight="1">
      <c r="A29" s="4828">
        <v>1</v>
      </c>
      <c r="B29" s="4926"/>
      <c r="C29" s="4926"/>
      <c r="D29" s="4818" t="str">
        <f t="shared" ref="D29:D38" si="7">IF(_xlfn.DAYS(C29,B29)=0,"1",_xlfn.DAYS(C29,B29))</f>
        <v>1</v>
      </c>
      <c r="E29" s="4972"/>
      <c r="F29" s="5097"/>
      <c r="G29" s="5246"/>
      <c r="H29" s="5097"/>
      <c r="I29" s="5771"/>
      <c r="J29" s="5247">
        <f t="shared" si="5"/>
        <v>0</v>
      </c>
      <c r="K29" s="5248">
        <f>G29*H29*D29</f>
        <v>0</v>
      </c>
      <c r="L29" s="5249"/>
      <c r="M29" s="5241" t="s">
        <v>5742</v>
      </c>
      <c r="N29" s="5249"/>
      <c r="O29" s="5097"/>
      <c r="P29" s="5097"/>
      <c r="Q29" s="5241" t="s">
        <v>4521</v>
      </c>
      <c r="R29" s="5249"/>
      <c r="S29" s="5097"/>
      <c r="T29" s="5097"/>
      <c r="U29" s="5243" t="s">
        <v>5035</v>
      </c>
      <c r="V29" s="5097"/>
      <c r="W29" s="5243" t="s">
        <v>5050</v>
      </c>
      <c r="X29" s="5097"/>
      <c r="Y29" s="5251"/>
      <c r="Z29" s="5214">
        <f t="shared" ref="Z29:Z38" si="8">O29*G29</f>
        <v>0</v>
      </c>
      <c r="AA29" s="6905"/>
      <c r="AB29" s="6905"/>
      <c r="AC29" s="6905"/>
      <c r="AD29" s="6905"/>
      <c r="AE29" s="6891"/>
      <c r="AF29" s="6891"/>
      <c r="AG29" s="6891"/>
      <c r="AH29" s="6891"/>
    </row>
    <row r="30" spans="1:34" ht="33.75" customHeight="1">
      <c r="A30" s="4828">
        <v>2</v>
      </c>
      <c r="B30" s="4926"/>
      <c r="C30" s="4926"/>
      <c r="D30" s="4818" t="str">
        <f t="shared" si="7"/>
        <v>1</v>
      </c>
      <c r="E30" s="4972"/>
      <c r="F30" s="5097"/>
      <c r="G30" s="5246"/>
      <c r="H30" s="5097"/>
      <c r="I30" s="5771"/>
      <c r="J30" s="5247">
        <f t="shared" si="5"/>
        <v>0</v>
      </c>
      <c r="K30" s="5248">
        <f t="shared" ref="K30:K37" si="9">G30*H30*D30</f>
        <v>0</v>
      </c>
      <c r="L30" s="5249"/>
      <c r="M30" s="5241" t="s">
        <v>5742</v>
      </c>
      <c r="N30" s="5249"/>
      <c r="O30" s="5097"/>
      <c r="P30" s="5097"/>
      <c r="Q30" s="5241" t="s">
        <v>4521</v>
      </c>
      <c r="R30" s="5249"/>
      <c r="S30" s="5097"/>
      <c r="T30" s="5097"/>
      <c r="U30" s="5243" t="s">
        <v>5035</v>
      </c>
      <c r="V30" s="5097"/>
      <c r="W30" s="5243" t="s">
        <v>5050</v>
      </c>
      <c r="X30" s="5097"/>
      <c r="Y30" s="5251"/>
      <c r="Z30" s="5214">
        <f t="shared" si="8"/>
        <v>0</v>
      </c>
      <c r="AA30" s="6905"/>
      <c r="AB30" s="6905"/>
      <c r="AC30" s="6905"/>
      <c r="AD30" s="6905"/>
      <c r="AE30" s="6891"/>
      <c r="AF30" s="6891"/>
      <c r="AG30" s="6891"/>
      <c r="AH30" s="6891"/>
    </row>
    <row r="31" spans="1:34" ht="33.75" customHeight="1">
      <c r="A31" s="4828">
        <v>3</v>
      </c>
      <c r="B31" s="4926"/>
      <c r="C31" s="4926"/>
      <c r="D31" s="4818" t="str">
        <f t="shared" si="7"/>
        <v>1</v>
      </c>
      <c r="E31" s="4972"/>
      <c r="F31" s="5097"/>
      <c r="G31" s="5246"/>
      <c r="H31" s="5097"/>
      <c r="I31" s="5771"/>
      <c r="J31" s="5247">
        <f t="shared" si="5"/>
        <v>0</v>
      </c>
      <c r="K31" s="5248">
        <f t="shared" si="9"/>
        <v>0</v>
      </c>
      <c r="L31" s="5249"/>
      <c r="M31" s="5241" t="s">
        <v>5742</v>
      </c>
      <c r="N31" s="5249"/>
      <c r="O31" s="5097"/>
      <c r="P31" s="5097"/>
      <c r="Q31" s="5241" t="s">
        <v>4521</v>
      </c>
      <c r="R31" s="5249"/>
      <c r="S31" s="5097"/>
      <c r="T31" s="5097"/>
      <c r="U31" s="5243" t="s">
        <v>5035</v>
      </c>
      <c r="V31" s="5097"/>
      <c r="W31" s="5243" t="s">
        <v>5050</v>
      </c>
      <c r="X31" s="5097"/>
      <c r="Y31" s="5251"/>
      <c r="Z31" s="5214">
        <f t="shared" si="8"/>
        <v>0</v>
      </c>
      <c r="AA31" s="6905"/>
      <c r="AB31" s="6905"/>
      <c r="AC31" s="6905"/>
      <c r="AD31" s="6905"/>
      <c r="AE31" s="6891"/>
      <c r="AF31" s="6891"/>
      <c r="AG31" s="6891"/>
      <c r="AH31" s="6891"/>
    </row>
    <row r="32" spans="1:34" ht="33.75" customHeight="1">
      <c r="A32" s="4828">
        <v>4</v>
      </c>
      <c r="B32" s="4926"/>
      <c r="C32" s="4926"/>
      <c r="D32" s="4818" t="str">
        <f t="shared" si="7"/>
        <v>1</v>
      </c>
      <c r="E32" s="4972"/>
      <c r="F32" s="5097"/>
      <c r="G32" s="5246"/>
      <c r="H32" s="5097"/>
      <c r="I32" s="5771"/>
      <c r="J32" s="5247">
        <f t="shared" si="5"/>
        <v>0</v>
      </c>
      <c r="K32" s="5248">
        <f t="shared" si="9"/>
        <v>0</v>
      </c>
      <c r="L32" s="5249"/>
      <c r="M32" s="5241" t="s">
        <v>5742</v>
      </c>
      <c r="N32" s="5249"/>
      <c r="O32" s="5097"/>
      <c r="P32" s="5097"/>
      <c r="Q32" s="5241" t="s">
        <v>4521</v>
      </c>
      <c r="R32" s="5249"/>
      <c r="S32" s="5097"/>
      <c r="T32" s="5097"/>
      <c r="U32" s="5243" t="s">
        <v>5035</v>
      </c>
      <c r="V32" s="5097"/>
      <c r="W32" s="5243" t="s">
        <v>5050</v>
      </c>
      <c r="X32" s="5097"/>
      <c r="Y32" s="5251"/>
      <c r="Z32" s="5214">
        <f t="shared" si="8"/>
        <v>0</v>
      </c>
      <c r="AA32" s="6905"/>
      <c r="AB32" s="6905"/>
      <c r="AC32" s="6905"/>
      <c r="AD32" s="6905"/>
      <c r="AE32" s="6891"/>
      <c r="AF32" s="6891"/>
      <c r="AG32" s="6891"/>
      <c r="AH32" s="6891"/>
    </row>
    <row r="33" spans="1:34" ht="33.75" customHeight="1">
      <c r="A33" s="4828">
        <v>5</v>
      </c>
      <c r="B33" s="4926"/>
      <c r="C33" s="4926"/>
      <c r="D33" s="4818" t="str">
        <f t="shared" si="7"/>
        <v>1</v>
      </c>
      <c r="E33" s="4972"/>
      <c r="F33" s="5097"/>
      <c r="G33" s="5246"/>
      <c r="H33" s="5097"/>
      <c r="I33" s="5771"/>
      <c r="J33" s="5247">
        <f t="shared" si="5"/>
        <v>0</v>
      </c>
      <c r="K33" s="5248">
        <f t="shared" si="9"/>
        <v>0</v>
      </c>
      <c r="L33" s="5249"/>
      <c r="M33" s="5241" t="s">
        <v>5742</v>
      </c>
      <c r="N33" s="5249"/>
      <c r="O33" s="5097"/>
      <c r="P33" s="5097"/>
      <c r="Q33" s="5241" t="s">
        <v>4521</v>
      </c>
      <c r="R33" s="5249"/>
      <c r="S33" s="5097"/>
      <c r="T33" s="5097"/>
      <c r="U33" s="5243" t="s">
        <v>5035</v>
      </c>
      <c r="V33" s="5097"/>
      <c r="W33" s="5243" t="s">
        <v>5050</v>
      </c>
      <c r="X33" s="5097"/>
      <c r="Y33" s="5251"/>
      <c r="Z33" s="5214">
        <f t="shared" si="8"/>
        <v>0</v>
      </c>
      <c r="AA33" s="6928"/>
      <c r="AB33" s="6928"/>
      <c r="AC33" s="6928"/>
      <c r="AD33" s="6928"/>
      <c r="AE33" s="6891"/>
      <c r="AF33" s="6891"/>
      <c r="AG33" s="6891"/>
      <c r="AH33" s="6891"/>
    </row>
    <row r="34" spans="1:34" ht="33.75" customHeight="1">
      <c r="A34" s="4828">
        <v>6</v>
      </c>
      <c r="B34" s="4926"/>
      <c r="C34" s="4926"/>
      <c r="D34" s="4818" t="str">
        <f t="shared" si="7"/>
        <v>1</v>
      </c>
      <c r="E34" s="4972"/>
      <c r="F34" s="5097"/>
      <c r="G34" s="5246"/>
      <c r="H34" s="5097"/>
      <c r="I34" s="5771"/>
      <c r="J34" s="5247">
        <f t="shared" si="5"/>
        <v>0</v>
      </c>
      <c r="K34" s="5248">
        <f t="shared" si="9"/>
        <v>0</v>
      </c>
      <c r="L34" s="5249"/>
      <c r="M34" s="5241" t="s">
        <v>5742</v>
      </c>
      <c r="N34" s="5249"/>
      <c r="O34" s="5097"/>
      <c r="P34" s="5097"/>
      <c r="Q34" s="5241" t="s">
        <v>4521</v>
      </c>
      <c r="R34" s="5249"/>
      <c r="S34" s="5097"/>
      <c r="T34" s="5097"/>
      <c r="U34" s="5243" t="s">
        <v>5035</v>
      </c>
      <c r="V34" s="5097"/>
      <c r="W34" s="5243" t="s">
        <v>5050</v>
      </c>
      <c r="X34" s="5097"/>
      <c r="Y34" s="5251"/>
      <c r="Z34" s="5214">
        <f t="shared" si="8"/>
        <v>0</v>
      </c>
      <c r="AA34" s="6928"/>
      <c r="AB34" s="6928"/>
      <c r="AC34" s="6928"/>
      <c r="AD34" s="6928"/>
      <c r="AE34" s="6891"/>
      <c r="AF34" s="6891"/>
      <c r="AG34" s="6891"/>
      <c r="AH34" s="6891"/>
    </row>
    <row r="35" spans="1:34" ht="33.75" customHeight="1">
      <c r="A35" s="4828">
        <v>7</v>
      </c>
      <c r="B35" s="4926"/>
      <c r="C35" s="4926"/>
      <c r="D35" s="4818" t="str">
        <f t="shared" si="7"/>
        <v>1</v>
      </c>
      <c r="E35" s="4972"/>
      <c r="F35" s="5097"/>
      <c r="G35" s="5246"/>
      <c r="H35" s="5097"/>
      <c r="I35" s="5771"/>
      <c r="J35" s="5247">
        <f t="shared" si="5"/>
        <v>0</v>
      </c>
      <c r="K35" s="5248">
        <f t="shared" si="9"/>
        <v>0</v>
      </c>
      <c r="L35" s="5249"/>
      <c r="M35" s="5241" t="s">
        <v>5742</v>
      </c>
      <c r="N35" s="5249"/>
      <c r="O35" s="5097"/>
      <c r="P35" s="5097"/>
      <c r="Q35" s="5241" t="s">
        <v>4521</v>
      </c>
      <c r="R35" s="5249"/>
      <c r="S35" s="5097"/>
      <c r="T35" s="5097"/>
      <c r="U35" s="5243" t="s">
        <v>5035</v>
      </c>
      <c r="V35" s="5097"/>
      <c r="W35" s="5243" t="s">
        <v>5050</v>
      </c>
      <c r="X35" s="5097"/>
      <c r="Y35" s="5251"/>
      <c r="Z35" s="5214">
        <f t="shared" si="8"/>
        <v>0</v>
      </c>
      <c r="AA35" s="6928"/>
      <c r="AB35" s="6928"/>
      <c r="AC35" s="6928"/>
      <c r="AD35" s="6928"/>
      <c r="AE35" s="6891"/>
      <c r="AF35" s="6891"/>
      <c r="AG35" s="6891"/>
      <c r="AH35" s="6891"/>
    </row>
    <row r="36" spans="1:34" ht="33.75" customHeight="1">
      <c r="A36" s="4828">
        <v>8</v>
      </c>
      <c r="B36" s="4926"/>
      <c r="C36" s="4926"/>
      <c r="D36" s="4818" t="str">
        <f t="shared" si="7"/>
        <v>1</v>
      </c>
      <c r="E36" s="4972"/>
      <c r="F36" s="5097"/>
      <c r="G36" s="5246"/>
      <c r="H36" s="5097"/>
      <c r="I36" s="5771"/>
      <c r="J36" s="5247">
        <f t="shared" si="5"/>
        <v>0</v>
      </c>
      <c r="K36" s="5248">
        <f t="shared" si="9"/>
        <v>0</v>
      </c>
      <c r="L36" s="5249"/>
      <c r="M36" s="5241" t="s">
        <v>5742</v>
      </c>
      <c r="N36" s="5249"/>
      <c r="O36" s="5097"/>
      <c r="P36" s="5097"/>
      <c r="Q36" s="5241" t="s">
        <v>4521</v>
      </c>
      <c r="R36" s="5249"/>
      <c r="S36" s="5097"/>
      <c r="T36" s="5097"/>
      <c r="U36" s="5243" t="s">
        <v>5035</v>
      </c>
      <c r="V36" s="5097"/>
      <c r="W36" s="5243" t="s">
        <v>5050</v>
      </c>
      <c r="X36" s="5097"/>
      <c r="Y36" s="5251"/>
      <c r="Z36" s="5214">
        <f t="shared" si="8"/>
        <v>0</v>
      </c>
      <c r="AA36" s="6928"/>
      <c r="AB36" s="6928"/>
      <c r="AC36" s="6928"/>
      <c r="AD36" s="6928"/>
      <c r="AE36" s="6891"/>
      <c r="AF36" s="6891"/>
      <c r="AG36" s="6891"/>
      <c r="AH36" s="6891"/>
    </row>
    <row r="37" spans="1:34" ht="33.75" customHeight="1">
      <c r="A37" s="4828">
        <v>9</v>
      </c>
      <c r="B37" s="4926"/>
      <c r="C37" s="4926"/>
      <c r="D37" s="4818" t="str">
        <f t="shared" si="7"/>
        <v>1</v>
      </c>
      <c r="E37" s="4972"/>
      <c r="F37" s="5097"/>
      <c r="G37" s="5246"/>
      <c r="H37" s="5097"/>
      <c r="I37" s="5771"/>
      <c r="J37" s="5247">
        <f t="shared" si="5"/>
        <v>0</v>
      </c>
      <c r="K37" s="5248">
        <f t="shared" si="9"/>
        <v>0</v>
      </c>
      <c r="L37" s="5249"/>
      <c r="M37" s="5241" t="s">
        <v>5742</v>
      </c>
      <c r="N37" s="5249"/>
      <c r="O37" s="5097"/>
      <c r="P37" s="5097"/>
      <c r="Q37" s="5241" t="s">
        <v>4521</v>
      </c>
      <c r="R37" s="5249"/>
      <c r="S37" s="5097"/>
      <c r="T37" s="5097"/>
      <c r="U37" s="5243" t="s">
        <v>5035</v>
      </c>
      <c r="V37" s="5097"/>
      <c r="W37" s="5243" t="s">
        <v>5050</v>
      </c>
      <c r="X37" s="5097"/>
      <c r="Y37" s="5251"/>
      <c r="Z37" s="5214">
        <f t="shared" si="8"/>
        <v>0</v>
      </c>
      <c r="AA37" s="6905"/>
      <c r="AB37" s="6905"/>
      <c r="AC37" s="6905"/>
      <c r="AD37" s="6905"/>
      <c r="AE37" s="6891"/>
      <c r="AF37" s="6891"/>
      <c r="AG37" s="6891"/>
      <c r="AH37" s="6891"/>
    </row>
    <row r="38" spans="1:34" ht="33.75" customHeight="1" thickBot="1">
      <c r="A38" s="4828">
        <v>10</v>
      </c>
      <c r="B38" s="4926"/>
      <c r="C38" s="4926"/>
      <c r="D38" s="4818" t="str">
        <f t="shared" si="7"/>
        <v>1</v>
      </c>
      <c r="E38" s="4972"/>
      <c r="F38" s="5097"/>
      <c r="G38" s="5246"/>
      <c r="H38" s="5097"/>
      <c r="I38" s="5771"/>
      <c r="J38" s="5247">
        <f t="shared" si="5"/>
        <v>0</v>
      </c>
      <c r="K38" s="5248">
        <f>G38*H38*D38</f>
        <v>0</v>
      </c>
      <c r="L38" s="5249"/>
      <c r="M38" s="5241" t="s">
        <v>5739</v>
      </c>
      <c r="N38" s="5249"/>
      <c r="O38" s="5097"/>
      <c r="P38" s="5097"/>
      <c r="Q38" s="5241" t="s">
        <v>4521</v>
      </c>
      <c r="R38" s="5249"/>
      <c r="S38" s="5097"/>
      <c r="T38" s="5097"/>
      <c r="U38" s="5243" t="s">
        <v>5035</v>
      </c>
      <c r="V38" s="5097"/>
      <c r="W38" s="5243" t="s">
        <v>5050</v>
      </c>
      <c r="X38" s="5097"/>
      <c r="Y38" s="5251"/>
      <c r="Z38" s="5214">
        <f t="shared" si="8"/>
        <v>0</v>
      </c>
      <c r="AA38" s="6905"/>
      <c r="AB38" s="6905"/>
      <c r="AC38" s="6905"/>
      <c r="AD38" s="6905"/>
      <c r="AE38" s="6891"/>
      <c r="AF38" s="6891"/>
      <c r="AG38" s="6891"/>
      <c r="AH38" s="6891"/>
    </row>
    <row r="39" spans="1:34" ht="33.75" customHeight="1" thickTop="1" thickBot="1">
      <c r="A39" s="4840"/>
      <c r="B39" s="4841"/>
      <c r="C39" s="4841"/>
      <c r="D39" s="4843"/>
      <c r="E39" s="5252" t="s">
        <v>2432</v>
      </c>
      <c r="F39" s="5253">
        <f>SUM(F29:F38)</f>
        <v>0</v>
      </c>
      <c r="G39" s="5254">
        <f>SUM(G29:G38)</f>
        <v>0</v>
      </c>
      <c r="H39" s="5255"/>
      <c r="I39" s="5255"/>
      <c r="J39" s="5253">
        <f>SUM(J29:J38)</f>
        <v>0</v>
      </c>
      <c r="K39" s="5253">
        <f>SUM(K29:K38)</f>
        <v>0</v>
      </c>
      <c r="L39" s="6935"/>
      <c r="M39" s="6935"/>
      <c r="N39" s="6935"/>
      <c r="O39" s="5256"/>
      <c r="P39" s="6936"/>
      <c r="Q39" s="6935"/>
      <c r="R39" s="6935"/>
      <c r="S39" s="5256"/>
      <c r="T39" s="5256"/>
      <c r="U39" s="6937"/>
      <c r="V39" s="6938"/>
      <c r="W39" s="6937"/>
      <c r="X39" s="6938"/>
      <c r="Y39" s="5257"/>
      <c r="Z39" s="5214"/>
      <c r="AA39" s="6905"/>
      <c r="AB39" s="6905"/>
      <c r="AC39" s="6905"/>
      <c r="AD39" s="6905"/>
      <c r="AE39" s="6891"/>
      <c r="AF39" s="6891"/>
      <c r="AG39" s="6891"/>
      <c r="AH39" s="6891"/>
    </row>
    <row r="40" spans="1:34" ht="32.15" customHeight="1" thickBot="1">
      <c r="B40" s="4812"/>
      <c r="C40" s="4812"/>
      <c r="D40" s="4812"/>
      <c r="E40" s="4813"/>
      <c r="F40" s="4814"/>
      <c r="G40" s="4812"/>
      <c r="H40" s="4715"/>
      <c r="I40" s="4715"/>
      <c r="J40" s="4715"/>
      <c r="M40" s="4656"/>
      <c r="Q40" s="4656"/>
      <c r="Z40" s="5258"/>
    </row>
    <row r="41" spans="1:34" ht="33.75" customHeight="1">
      <c r="A41" s="6929" t="s">
        <v>5749</v>
      </c>
      <c r="B41" s="6930"/>
      <c r="C41" s="5227">
        <f>J39</f>
        <v>0</v>
      </c>
      <c r="D41" s="5259"/>
      <c r="E41" s="5229"/>
      <c r="J41" s="4656"/>
      <c r="Z41" s="5260"/>
    </row>
    <row r="42" spans="1:34" ht="33.75" customHeight="1">
      <c r="A42" s="6910" t="s">
        <v>5883</v>
      </c>
      <c r="B42" s="6911"/>
      <c r="C42" s="4723">
        <f>K39</f>
        <v>0</v>
      </c>
      <c r="D42" s="5261"/>
      <c r="E42" s="5229"/>
      <c r="J42" s="4656"/>
      <c r="Z42" s="5260"/>
    </row>
    <row r="43" spans="1:34" ht="33.75" customHeight="1" thickBot="1">
      <c r="A43" s="6913" t="s">
        <v>5751</v>
      </c>
      <c r="B43" s="6914"/>
      <c r="C43" s="4987">
        <f>ROUNDDOWN(C42*1.1,0)</f>
        <v>0</v>
      </c>
      <c r="D43" s="4852"/>
      <c r="E43" s="5229"/>
      <c r="J43" s="4656"/>
      <c r="Z43" s="5260"/>
    </row>
    <row r="44" spans="1:34" ht="33.75" customHeight="1">
      <c r="A44" s="4729"/>
      <c r="B44" s="4729"/>
      <c r="C44" s="4729"/>
      <c r="D44" s="4726"/>
      <c r="E44" s="5229"/>
      <c r="J44" s="4656"/>
    </row>
    <row r="45" spans="1:34" ht="33.75" customHeight="1">
      <c r="A45" s="5262" t="s">
        <v>5752</v>
      </c>
      <c r="B45" s="4729"/>
      <c r="C45" s="4729"/>
      <c r="D45" s="4726"/>
      <c r="E45" s="5229"/>
      <c r="J45" s="4656"/>
    </row>
    <row r="46" spans="1:34" ht="36" customHeight="1">
      <c r="A46" s="5262" t="s">
        <v>6512</v>
      </c>
    </row>
    <row r="47" spans="1:34" ht="36" customHeight="1">
      <c r="A47" s="4810" t="s">
        <v>5754</v>
      </c>
    </row>
    <row r="48" spans="1:34" ht="36" customHeight="1">
      <c r="A48" s="5262"/>
    </row>
    <row r="49" ht="36" customHeight="1"/>
    <row r="50" ht="36" customHeight="1"/>
    <row r="51" ht="36" customHeight="1"/>
    <row r="52" ht="36" customHeight="1"/>
    <row r="53" ht="36" customHeight="1"/>
    <row r="54" ht="36" customHeight="1"/>
    <row r="55" ht="36" customHeight="1"/>
    <row r="56" ht="10.15" customHeight="1"/>
  </sheetData>
  <mergeCells count="83">
    <mergeCell ref="P5:R6"/>
    <mergeCell ref="A2:B2"/>
    <mergeCell ref="C2:F2"/>
    <mergeCell ref="A5:A6"/>
    <mergeCell ref="B5:B6"/>
    <mergeCell ref="C5:C6"/>
    <mergeCell ref="D5:D6"/>
    <mergeCell ref="E5:E6"/>
    <mergeCell ref="F5:F6"/>
    <mergeCell ref="G5:G6"/>
    <mergeCell ref="H5:H6"/>
    <mergeCell ref="J5:K5"/>
    <mergeCell ref="L5:N6"/>
    <mergeCell ref="O5:O6"/>
    <mergeCell ref="AA10:AD11"/>
    <mergeCell ref="AE10:AH11"/>
    <mergeCell ref="S5:S6"/>
    <mergeCell ref="T5:T6"/>
    <mergeCell ref="U5:X6"/>
    <mergeCell ref="Y5:Y6"/>
    <mergeCell ref="Z5:Z6"/>
    <mergeCell ref="AA6:AD6"/>
    <mergeCell ref="AE6:AH6"/>
    <mergeCell ref="AA7:AD7"/>
    <mergeCell ref="AE7:AH7"/>
    <mergeCell ref="AA8:AD9"/>
    <mergeCell ref="AE8:AH9"/>
    <mergeCell ref="AE18:AH18"/>
    <mergeCell ref="AA12:AD13"/>
    <mergeCell ref="AE12:AH13"/>
    <mergeCell ref="AA14:AD15"/>
    <mergeCell ref="AE14:AH15"/>
    <mergeCell ref="AA16:AD17"/>
    <mergeCell ref="AE16:AH17"/>
    <mergeCell ref="L18:N18"/>
    <mergeCell ref="P18:R18"/>
    <mergeCell ref="U18:V18"/>
    <mergeCell ref="W18:X18"/>
    <mergeCell ref="AA18:AD18"/>
    <mergeCell ref="H26:H27"/>
    <mergeCell ref="A20:B20"/>
    <mergeCell ref="A21:B21"/>
    <mergeCell ref="A22:B22"/>
    <mergeCell ref="A23:B23"/>
    <mergeCell ref="A26:A27"/>
    <mergeCell ref="B26:B27"/>
    <mergeCell ref="C26:C27"/>
    <mergeCell ref="D26:D27"/>
    <mergeCell ref="E26:E27"/>
    <mergeCell ref="F26:F27"/>
    <mergeCell ref="G26:G27"/>
    <mergeCell ref="AA28:AD28"/>
    <mergeCell ref="AE28:AH28"/>
    <mergeCell ref="J26:K26"/>
    <mergeCell ref="L26:N27"/>
    <mergeCell ref="O26:O27"/>
    <mergeCell ref="P26:R27"/>
    <mergeCell ref="S26:S27"/>
    <mergeCell ref="T26:T27"/>
    <mergeCell ref="U26:X27"/>
    <mergeCell ref="Y26:Y27"/>
    <mergeCell ref="Z26:Z27"/>
    <mergeCell ref="AA27:AD27"/>
    <mergeCell ref="AE27:AH27"/>
    <mergeCell ref="AA29:AD30"/>
    <mergeCell ref="AE29:AH30"/>
    <mergeCell ref="AA31:AD32"/>
    <mergeCell ref="AE31:AH32"/>
    <mergeCell ref="AA33:AD34"/>
    <mergeCell ref="AE33:AH34"/>
    <mergeCell ref="A41:B41"/>
    <mergeCell ref="A42:B42"/>
    <mergeCell ref="A43:B43"/>
    <mergeCell ref="AA35:AD36"/>
    <mergeCell ref="AE35:AH36"/>
    <mergeCell ref="AA37:AD38"/>
    <mergeCell ref="AE37:AH38"/>
    <mergeCell ref="L39:N39"/>
    <mergeCell ref="P39:R39"/>
    <mergeCell ref="U39:V39"/>
    <mergeCell ref="W39:X39"/>
    <mergeCell ref="AA39:AD39"/>
    <mergeCell ref="AE39:AH39"/>
  </mergeCells>
  <phoneticPr fontId="2"/>
  <conditionalFormatting sqref="B8:C13">
    <cfRule type="containsBlanks" dxfId="21" priority="2">
      <formula>LEN(TRIM(B8))=0</formula>
    </cfRule>
  </conditionalFormatting>
  <conditionalFormatting sqref="B29:C38">
    <cfRule type="containsBlanks" dxfId="20" priority="4">
      <formula>LEN(TRIM(B29))=0</formula>
    </cfRule>
  </conditionalFormatting>
  <conditionalFormatting sqref="C2:D2 B14:I17">
    <cfRule type="containsBlanks" dxfId="19" priority="10">
      <formula>LEN(TRIM(B2))=0</formula>
    </cfRule>
  </conditionalFormatting>
  <conditionalFormatting sqref="D7:I13">
    <cfRule type="containsBlanks" dxfId="18" priority="1">
      <formula>LEN(TRIM(D7))=0</formula>
    </cfRule>
  </conditionalFormatting>
  <conditionalFormatting sqref="D28:I38">
    <cfRule type="containsBlanks" dxfId="17" priority="3">
      <formula>LEN(TRIM(D28))=0</formula>
    </cfRule>
  </conditionalFormatting>
  <conditionalFormatting sqref="K7:L17">
    <cfRule type="containsBlanks" dxfId="16" priority="14">
      <formula>LEN(TRIM(K7))=0</formula>
    </cfRule>
  </conditionalFormatting>
  <conditionalFormatting sqref="K28:L38">
    <cfRule type="containsBlanks" dxfId="15" priority="9">
      <formula>LEN(TRIM(K28))=0</formula>
    </cfRule>
  </conditionalFormatting>
  <conditionalFormatting sqref="N7:P17">
    <cfRule type="containsBlanks" dxfId="14" priority="12">
      <formula>LEN(TRIM(N7))=0</formula>
    </cfRule>
  </conditionalFormatting>
  <conditionalFormatting sqref="N28:P38">
    <cfRule type="containsBlanks" dxfId="13" priority="8">
      <formula>LEN(TRIM(N28))=0</formula>
    </cfRule>
  </conditionalFormatting>
  <conditionalFormatting sqref="R7:T17">
    <cfRule type="containsBlanks" dxfId="12" priority="11">
      <formula>LEN(TRIM(R7))=0</formula>
    </cfRule>
  </conditionalFormatting>
  <conditionalFormatting sqref="R28:T38">
    <cfRule type="containsBlanks" dxfId="11" priority="7">
      <formula>LEN(TRIM(R28))=0</formula>
    </cfRule>
  </conditionalFormatting>
  <conditionalFormatting sqref="V7:V17 X7:Y17">
    <cfRule type="containsBlanks" dxfId="10" priority="13">
      <formula>LEN(TRIM(V7))=0</formula>
    </cfRule>
  </conditionalFormatting>
  <conditionalFormatting sqref="V28:V38">
    <cfRule type="containsBlanks" dxfId="9" priority="6">
      <formula>LEN(TRIM(V28))=0</formula>
    </cfRule>
  </conditionalFormatting>
  <conditionalFormatting sqref="X28:Y38">
    <cfRule type="containsBlanks" dxfId="8" priority="5">
      <formula>LEN(TRIM(X28))=0</formula>
    </cfRule>
  </conditionalFormatting>
  <conditionalFormatting sqref="AA10:AH11 AA31:AH32">
    <cfRule type="containsBlanks" dxfId="7" priority="15">
      <formula>LEN(TRIM(AA10))=0</formula>
    </cfRule>
  </conditionalFormatting>
  <printOptions horizontalCentered="1"/>
  <pageMargins left="0.39370078740157483" right="0.39370078740157483" top="0.35433070866141736" bottom="0.35433070866141736" header="0.31496062992125984" footer="0.31496062992125984"/>
  <pageSetup paperSize="8" scale="54" orientation="landscape" r:id="rId1"/>
  <headerFooter>
    <oddHeader>&amp;R&amp;G</oddHeader>
  </headerFooter>
  <legacyDrawing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72C46-1A12-4FC4-A0B0-CF3553AC44DD}">
  <sheetPr codeName="Sheet403">
    <tabColor rgb="FFFFFF66"/>
    <pageSetUpPr fitToPage="1"/>
  </sheetPr>
  <dimension ref="A1:AE32"/>
  <sheetViews>
    <sheetView zoomScale="55" zoomScaleNormal="55" workbookViewId="0">
      <selection activeCell="BJ123" sqref="BJ123"/>
    </sheetView>
  </sheetViews>
  <sheetFormatPr defaultColWidth="9.81640625" defaultRowHeight="26.5"/>
  <cols>
    <col min="1" max="1" width="12" style="4657" customWidth="1"/>
    <col min="2" max="2" width="25.1796875" style="4658" customWidth="1"/>
    <col min="3" max="3" width="24.54296875" style="4658" bestFit="1" customWidth="1"/>
    <col min="4" max="4" width="17.26953125" style="4658" customWidth="1"/>
    <col min="5" max="5" width="17.26953125" style="4657" customWidth="1"/>
    <col min="6" max="6" width="6.81640625" style="4656" customWidth="1"/>
    <col min="7" max="7" width="21.453125" style="4658" customWidth="1"/>
    <col min="8" max="8" width="9.26953125" style="4658" customWidth="1"/>
    <col min="9" max="9" width="21.453125" style="4657" customWidth="1"/>
    <col min="10" max="13" width="9.26953125" style="4656" customWidth="1"/>
    <col min="14" max="14" width="21.81640625" style="4656" customWidth="1"/>
    <col min="15" max="15" width="21.81640625" style="4659" customWidth="1"/>
    <col min="16" max="16" width="9.81640625" style="4658"/>
    <col min="17" max="17" width="9.453125" style="4658" customWidth="1"/>
    <col min="18" max="18" width="9.453125" style="4657" customWidth="1"/>
    <col min="19" max="19" width="17.54296875" style="4657" customWidth="1"/>
    <col min="20" max="20" width="12.1796875" style="4657" customWidth="1"/>
    <col min="21" max="21" width="17.54296875" style="4657" customWidth="1"/>
    <col min="22" max="28" width="9.81640625" style="4657"/>
    <col min="29" max="29" width="9.81640625" style="4731"/>
    <col min="30" max="16384" width="9.81640625" style="4657"/>
  </cols>
  <sheetData>
    <row r="1" spans="1:31" ht="21" customHeight="1" thickBot="1">
      <c r="T1" s="4656"/>
    </row>
    <row r="2" spans="1:31" ht="55.4" customHeight="1" thickBot="1">
      <c r="A2" s="6874" t="s">
        <v>5707</v>
      </c>
      <c r="B2" s="6875"/>
      <c r="C2" s="6876" t="s">
        <v>6560</v>
      </c>
      <c r="D2" s="6876"/>
      <c r="E2" s="6876"/>
      <c r="F2" s="6876"/>
      <c r="G2" s="6876"/>
      <c r="H2" s="4661" t="s">
        <v>5709</v>
      </c>
      <c r="I2" s="4732"/>
      <c r="J2" s="4733"/>
      <c r="K2" s="4733"/>
      <c r="T2" s="4656"/>
      <c r="U2" s="4734" t="s">
        <v>5837</v>
      </c>
      <c r="W2" s="4853"/>
      <c r="X2" s="4853"/>
      <c r="Y2" s="4853"/>
      <c r="Z2" s="4853"/>
      <c r="AA2" s="4853"/>
      <c r="AB2" s="4735"/>
      <c r="AC2" s="4735"/>
      <c r="AD2" s="4735"/>
      <c r="AE2" s="4735"/>
    </row>
    <row r="3" spans="1:31" ht="23.15" customHeight="1">
      <c r="A3" s="4736"/>
      <c r="B3" s="4733"/>
      <c r="C3" s="4733"/>
      <c r="D3" s="4733"/>
      <c r="E3" s="4733"/>
      <c r="F3" s="4733"/>
      <c r="G3" s="4733"/>
      <c r="H3" s="4733"/>
      <c r="I3" s="4733"/>
      <c r="J3" s="4733"/>
      <c r="K3" s="4733"/>
      <c r="T3" s="4656"/>
      <c r="W3" s="4853"/>
      <c r="X3" s="4853"/>
      <c r="Y3" s="4853"/>
      <c r="Z3" s="4853"/>
      <c r="AA3" s="4853"/>
      <c r="AB3" s="4735"/>
      <c r="AC3" s="4735"/>
      <c r="AD3" s="4735"/>
      <c r="AE3" s="4735"/>
    </row>
    <row r="4" spans="1:31" ht="23.15" customHeight="1" thickBot="1">
      <c r="A4" s="4737" t="s">
        <v>5838</v>
      </c>
      <c r="B4" s="4657"/>
      <c r="C4" s="4657"/>
      <c r="D4" s="4657"/>
      <c r="G4" s="4657"/>
      <c r="H4" s="4657"/>
      <c r="N4" s="4656" t="s">
        <v>6373</v>
      </c>
      <c r="O4" s="4656"/>
      <c r="P4" s="4656"/>
      <c r="Q4" s="4657"/>
      <c r="AC4" s="4657"/>
    </row>
    <row r="5" spans="1:31" s="4738" customFormat="1" ht="33.75" customHeight="1">
      <c r="A5" s="6893" t="s">
        <v>5713</v>
      </c>
      <c r="B5" s="6882" t="s">
        <v>5757</v>
      </c>
      <c r="C5" s="6882" t="s">
        <v>5758</v>
      </c>
      <c r="D5" s="6882" t="s">
        <v>5759</v>
      </c>
      <c r="E5" s="6882" t="s">
        <v>5760</v>
      </c>
      <c r="F5" s="6895" t="s">
        <v>5761</v>
      </c>
      <c r="G5" s="6882" t="s">
        <v>5762</v>
      </c>
      <c r="H5" s="6897" t="s">
        <v>3148</v>
      </c>
      <c r="I5" s="6882" t="s">
        <v>5764</v>
      </c>
      <c r="J5" s="6895" t="s">
        <v>5765</v>
      </c>
      <c r="K5" s="6888" t="s">
        <v>5766</v>
      </c>
      <c r="L5" s="6888" t="s">
        <v>5767</v>
      </c>
      <c r="M5" s="6888" t="s">
        <v>5768</v>
      </c>
      <c r="N5" s="6882" t="s">
        <v>5811</v>
      </c>
      <c r="O5" s="6884" t="s">
        <v>5812</v>
      </c>
      <c r="P5" s="6886" t="s">
        <v>5771</v>
      </c>
      <c r="Q5" s="6887"/>
      <c r="R5" s="6888" t="s">
        <v>5772</v>
      </c>
      <c r="S5" s="6889"/>
      <c r="T5" s="6889"/>
      <c r="U5" s="6890"/>
    </row>
    <row r="6" spans="1:31" s="4738" customFormat="1" ht="33.75" customHeight="1" thickBot="1">
      <c r="A6" s="6894"/>
      <c r="B6" s="6883"/>
      <c r="C6" s="6883"/>
      <c r="D6" s="6883"/>
      <c r="E6" s="6883"/>
      <c r="F6" s="6896"/>
      <c r="G6" s="6883"/>
      <c r="H6" s="6898"/>
      <c r="I6" s="6883"/>
      <c r="J6" s="6896"/>
      <c r="K6" s="6892"/>
      <c r="L6" s="6892"/>
      <c r="M6" s="6892"/>
      <c r="N6" s="6883"/>
      <c r="O6" s="6885"/>
      <c r="P6" s="4739" t="s">
        <v>5773</v>
      </c>
      <c r="Q6" s="4740" t="s">
        <v>5774</v>
      </c>
      <c r="R6" s="4740" t="s">
        <v>5775</v>
      </c>
      <c r="S6" s="4741" t="s">
        <v>5776</v>
      </c>
      <c r="T6" s="4740" t="s">
        <v>5777</v>
      </c>
      <c r="U6" s="4742" t="s">
        <v>5778</v>
      </c>
    </row>
    <row r="7" spans="1:31" s="4666" customFormat="1" ht="33.75" customHeight="1">
      <c r="A7" s="4743" t="s">
        <v>5779</v>
      </c>
      <c r="B7" s="4744">
        <v>46280</v>
      </c>
      <c r="C7" s="4744">
        <v>46300</v>
      </c>
      <c r="D7" s="4745">
        <v>0.3125</v>
      </c>
      <c r="E7" s="4746">
        <v>0.89583333333333337</v>
      </c>
      <c r="F7" s="4747">
        <f>IF(OR(ISBLANK($B7), ISBLANK($C7)), 0, _xlfn.DAYS($C7, $B7) + 1)</f>
        <v>21</v>
      </c>
      <c r="G7" s="4748" t="s">
        <v>5780</v>
      </c>
      <c r="H7" s="4749">
        <v>3</v>
      </c>
      <c r="I7" s="4747" t="s">
        <v>5781</v>
      </c>
      <c r="J7" s="4750">
        <v>30</v>
      </c>
      <c r="K7" s="4751">
        <v>100</v>
      </c>
      <c r="L7" s="4751">
        <f>J7*K7</f>
        <v>3000</v>
      </c>
      <c r="M7" s="4752">
        <v>5</v>
      </c>
      <c r="N7" s="4753">
        <v>150000</v>
      </c>
      <c r="O7" s="4754">
        <f t="shared" ref="O7:O17" si="0">F7*N7</f>
        <v>3150000</v>
      </c>
      <c r="P7" s="4755" t="s">
        <v>5782</v>
      </c>
      <c r="Q7" s="4756">
        <v>4</v>
      </c>
      <c r="R7" s="4756" t="s">
        <v>3804</v>
      </c>
      <c r="S7" s="4751" t="s">
        <v>246</v>
      </c>
      <c r="T7" s="4756" t="s">
        <v>2161</v>
      </c>
      <c r="U7" s="4757">
        <v>2000</v>
      </c>
    </row>
    <row r="8" spans="1:31" s="4666" customFormat="1" ht="33.75" customHeight="1">
      <c r="A8" s="4758">
        <v>1</v>
      </c>
      <c r="B8" s="4910">
        <v>46283</v>
      </c>
      <c r="C8" s="4911">
        <v>46296</v>
      </c>
      <c r="D8" s="4759"/>
      <c r="E8" s="4759"/>
      <c r="F8" s="4760">
        <f t="shared" ref="F8:F17" si="1">IF(OR(ISBLANK($B8), ISBLANK($C8)), 0, _xlfn.DAYS($C8, $B8) + 1)</f>
        <v>14</v>
      </c>
      <c r="G8" s="4975"/>
      <c r="H8" s="4762">
        <v>945</v>
      </c>
      <c r="I8" s="4763" t="s">
        <v>4248</v>
      </c>
      <c r="J8" s="4902"/>
      <c r="K8" s="4765"/>
      <c r="L8" s="4765"/>
      <c r="M8" s="4765"/>
      <c r="N8" s="4762">
        <f>8000*1.13</f>
        <v>9040</v>
      </c>
      <c r="O8" s="4766">
        <f>N8*H8</f>
        <v>8542800</v>
      </c>
      <c r="P8" s="4857"/>
      <c r="Q8" s="4858"/>
      <c r="R8" s="4864"/>
      <c r="S8" s="4858"/>
      <c r="T8" s="4859"/>
      <c r="U8" s="4860"/>
    </row>
    <row r="9" spans="1:31" ht="33.75" customHeight="1">
      <c r="A9" s="4758">
        <v>2</v>
      </c>
      <c r="B9" s="4910">
        <v>46283</v>
      </c>
      <c r="C9" s="4911">
        <v>46296</v>
      </c>
      <c r="D9" s="4759"/>
      <c r="E9" s="4759"/>
      <c r="F9" s="4760">
        <f t="shared" si="1"/>
        <v>14</v>
      </c>
      <c r="G9" s="4975"/>
      <c r="H9" s="4762">
        <v>945</v>
      </c>
      <c r="I9" s="4763" t="s">
        <v>4249</v>
      </c>
      <c r="J9" s="4902"/>
      <c r="K9" s="4765"/>
      <c r="L9" s="4765"/>
      <c r="M9" s="4765"/>
      <c r="N9" s="4762">
        <f>10000*1.13</f>
        <v>11299.999999999998</v>
      </c>
      <c r="O9" s="4766">
        <f>N9*H9</f>
        <v>10678499.999999998</v>
      </c>
      <c r="P9" s="4857"/>
      <c r="Q9" s="4858"/>
      <c r="R9" s="4864"/>
      <c r="S9" s="4858"/>
      <c r="T9" s="4859"/>
      <c r="U9" s="4860"/>
      <c r="AC9" s="4657"/>
    </row>
    <row r="10" spans="1:31" ht="33.75" customHeight="1">
      <c r="A10" s="4758">
        <v>3</v>
      </c>
      <c r="B10" s="4910"/>
      <c r="C10" s="4911"/>
      <c r="D10" s="4759"/>
      <c r="E10" s="4759"/>
      <c r="F10" s="4912"/>
      <c r="G10" s="4975"/>
      <c r="H10" s="4762"/>
      <c r="I10" s="4763"/>
      <c r="J10" s="4764"/>
      <c r="K10" s="4765"/>
      <c r="L10" s="4765"/>
      <c r="M10" s="4765"/>
      <c r="N10" s="4762"/>
      <c r="O10" s="4766">
        <f t="shared" ref="O10:O16" si="2">F10*N10*H10</f>
        <v>0</v>
      </c>
      <c r="P10" s="4909"/>
      <c r="Q10" s="4858"/>
      <c r="R10" s="4864"/>
      <c r="S10" s="4858"/>
      <c r="T10" s="4859"/>
      <c r="U10" s="4860"/>
      <c r="AC10" s="4657"/>
    </row>
    <row r="11" spans="1:31" ht="33.75" customHeight="1">
      <c r="A11" s="4758">
        <v>4</v>
      </c>
      <c r="B11" s="4910"/>
      <c r="C11" s="4911"/>
      <c r="D11" s="4759"/>
      <c r="E11" s="4759"/>
      <c r="F11" s="4912"/>
      <c r="G11" s="4771"/>
      <c r="H11" s="4762"/>
      <c r="I11" s="4763"/>
      <c r="J11" s="4764"/>
      <c r="K11" s="4765"/>
      <c r="L11" s="4765"/>
      <c r="M11" s="4765"/>
      <c r="N11" s="4762"/>
      <c r="O11" s="4766">
        <f t="shared" si="2"/>
        <v>0</v>
      </c>
      <c r="P11" s="4857"/>
      <c r="Q11" s="4858"/>
      <c r="R11" s="4859"/>
      <c r="S11" s="4858"/>
      <c r="T11" s="4859"/>
      <c r="U11" s="4860"/>
      <c r="AC11" s="4657"/>
    </row>
    <row r="12" spans="1:31" ht="33.75" customHeight="1">
      <c r="A12" s="4758">
        <v>5</v>
      </c>
      <c r="B12" s="4910"/>
      <c r="C12" s="4911"/>
      <c r="D12" s="4759"/>
      <c r="E12" s="4759"/>
      <c r="F12" s="4912"/>
      <c r="G12" s="4771"/>
      <c r="H12" s="4762"/>
      <c r="I12" s="4763"/>
      <c r="J12" s="4764"/>
      <c r="K12" s="4765"/>
      <c r="L12" s="4765"/>
      <c r="M12" s="4765"/>
      <c r="N12" s="4762"/>
      <c r="O12" s="4766">
        <f t="shared" si="2"/>
        <v>0</v>
      </c>
      <c r="P12" s="4857"/>
      <c r="Q12" s="4858"/>
      <c r="R12" s="4859"/>
      <c r="S12" s="4858"/>
      <c r="T12" s="4859"/>
      <c r="U12" s="4860"/>
      <c r="AC12" s="4657"/>
    </row>
    <row r="13" spans="1:31" ht="33.75" customHeight="1">
      <c r="A13" s="4758">
        <v>6</v>
      </c>
      <c r="B13" s="4910"/>
      <c r="C13" s="4911"/>
      <c r="D13" s="4913"/>
      <c r="E13" s="4759"/>
      <c r="F13" s="4912"/>
      <c r="G13" s="4771"/>
      <c r="H13" s="4762"/>
      <c r="I13" s="4763"/>
      <c r="J13" s="4764"/>
      <c r="K13" s="4765"/>
      <c r="L13" s="4765"/>
      <c r="M13" s="4765"/>
      <c r="N13" s="4762"/>
      <c r="O13" s="4766">
        <f t="shared" si="2"/>
        <v>0</v>
      </c>
      <c r="P13" s="4857"/>
      <c r="Q13" s="4858"/>
      <c r="R13" s="4859"/>
      <c r="S13" s="4858"/>
      <c r="T13" s="4859"/>
      <c r="U13" s="4860"/>
      <c r="AC13" s="4657"/>
    </row>
    <row r="14" spans="1:31" ht="33.75" customHeight="1">
      <c r="A14" s="4758">
        <v>7</v>
      </c>
      <c r="B14" s="4910"/>
      <c r="C14" s="4911"/>
      <c r="D14" s="4913"/>
      <c r="E14" s="4759"/>
      <c r="F14" s="4912"/>
      <c r="G14" s="4771"/>
      <c r="H14" s="4762"/>
      <c r="I14" s="4763"/>
      <c r="J14" s="4764"/>
      <c r="K14" s="4765"/>
      <c r="L14" s="4765"/>
      <c r="M14" s="4765"/>
      <c r="N14" s="4762"/>
      <c r="O14" s="4766">
        <f t="shared" si="2"/>
        <v>0</v>
      </c>
      <c r="P14" s="4857"/>
      <c r="Q14" s="4858"/>
      <c r="R14" s="4859"/>
      <c r="S14" s="4858"/>
      <c r="T14" s="4859"/>
      <c r="U14" s="4860"/>
      <c r="AC14" s="4657"/>
    </row>
    <row r="15" spans="1:31" ht="33.75" customHeight="1">
      <c r="A15" s="4758">
        <v>8</v>
      </c>
      <c r="B15" s="4910"/>
      <c r="C15" s="4911"/>
      <c r="D15" s="4913"/>
      <c r="E15" s="4759"/>
      <c r="F15" s="4912"/>
      <c r="G15" s="4771"/>
      <c r="H15" s="4762"/>
      <c r="I15" s="4763"/>
      <c r="J15" s="4764"/>
      <c r="K15" s="4765"/>
      <c r="L15" s="4765"/>
      <c r="M15" s="4765"/>
      <c r="N15" s="4762"/>
      <c r="O15" s="4766">
        <f t="shared" si="2"/>
        <v>0</v>
      </c>
      <c r="P15" s="4857"/>
      <c r="Q15" s="4858"/>
      <c r="R15" s="4859"/>
      <c r="S15" s="4858"/>
      <c r="T15" s="4859"/>
      <c r="U15" s="4860"/>
      <c r="AC15" s="4657"/>
    </row>
    <row r="16" spans="1:31" ht="33.75" customHeight="1">
      <c r="A16" s="4758">
        <v>9</v>
      </c>
      <c r="B16" s="4910"/>
      <c r="C16" s="4911"/>
      <c r="D16" s="4913"/>
      <c r="E16" s="4759"/>
      <c r="F16" s="4912"/>
      <c r="G16" s="4771"/>
      <c r="H16" s="4762"/>
      <c r="I16" s="4763"/>
      <c r="J16" s="4764"/>
      <c r="K16" s="4765"/>
      <c r="L16" s="4765"/>
      <c r="M16" s="4765"/>
      <c r="N16" s="4762"/>
      <c r="O16" s="4766">
        <f t="shared" si="2"/>
        <v>0</v>
      </c>
      <c r="P16" s="4857"/>
      <c r="Q16" s="4858"/>
      <c r="R16" s="4859"/>
      <c r="S16" s="4858"/>
      <c r="T16" s="4859"/>
      <c r="U16" s="4860"/>
      <c r="AC16" s="4657"/>
    </row>
    <row r="17" spans="1:31" ht="33.75" customHeight="1" thickBot="1">
      <c r="A17" s="4772">
        <v>10</v>
      </c>
      <c r="B17" s="4953"/>
      <c r="C17" s="4953"/>
      <c r="D17" s="4914"/>
      <c r="E17" s="4915"/>
      <c r="F17" s="4770">
        <f t="shared" si="1"/>
        <v>0</v>
      </c>
      <c r="G17" s="4953"/>
      <c r="H17" s="4955"/>
      <c r="I17" s="4774"/>
      <c r="J17" s="4764"/>
      <c r="K17" s="4765"/>
      <c r="L17" s="4765"/>
      <c r="M17" s="4765"/>
      <c r="N17" s="4775"/>
      <c r="O17" s="4776">
        <f t="shared" si="0"/>
        <v>0</v>
      </c>
      <c r="P17" s="4918"/>
      <c r="Q17" s="4919"/>
      <c r="R17" s="4920"/>
      <c r="S17" s="4919"/>
      <c r="T17" s="4920"/>
      <c r="U17" s="4921"/>
      <c r="AC17" s="4657"/>
    </row>
    <row r="18" spans="1:31" ht="33.75" customHeight="1" thickTop="1" thickBot="1">
      <c r="A18" s="4778" t="s">
        <v>5845</v>
      </c>
      <c r="B18" s="4779"/>
      <c r="C18" s="4779"/>
      <c r="D18" s="4779"/>
      <c r="E18" s="4779"/>
      <c r="F18" s="4780">
        <f>SUM(F8:F17)</f>
        <v>28</v>
      </c>
      <c r="G18" s="4779"/>
      <c r="H18" s="4781"/>
      <c r="I18" s="4782"/>
      <c r="J18" s="4783"/>
      <c r="K18" s="4784"/>
      <c r="L18" s="4784"/>
      <c r="M18" s="4784"/>
      <c r="N18" s="4785"/>
      <c r="O18" s="4922">
        <f>SUM(O8:O17)</f>
        <v>19221300</v>
      </c>
      <c r="P18" s="4787"/>
      <c r="Q18" s="4787"/>
      <c r="R18" s="4788"/>
      <c r="S18" s="4789"/>
      <c r="T18" s="4788"/>
      <c r="U18" s="4790"/>
      <c r="AC18" s="4657"/>
    </row>
    <row r="19" spans="1:31" ht="33.75" customHeight="1" thickBot="1">
      <c r="A19" s="4876" t="s">
        <v>5792</v>
      </c>
      <c r="B19" s="4877"/>
      <c r="C19" s="4878"/>
      <c r="D19" s="4878"/>
      <c r="E19" s="4878"/>
      <c r="F19" s="4879"/>
      <c r="G19" s="4878"/>
      <c r="H19" s="4880"/>
      <c r="I19" s="4878"/>
      <c r="J19" s="4881"/>
      <c r="K19" s="4881"/>
      <c r="L19" s="4881"/>
      <c r="M19" s="4881"/>
      <c r="N19" s="4882"/>
      <c r="O19" s="4923">
        <f>O18*1.1</f>
        <v>21143430</v>
      </c>
      <c r="P19" s="4884"/>
      <c r="Q19" s="4885"/>
      <c r="R19" s="4886"/>
      <c r="S19" s="4887"/>
      <c r="T19" s="4886"/>
      <c r="U19" s="4888"/>
      <c r="AC19" s="4657"/>
    </row>
    <row r="20" spans="1:31" ht="33.75" customHeight="1" thickBot="1">
      <c r="A20" s="4656"/>
      <c r="B20" s="4660"/>
      <c r="C20" s="4660"/>
      <c r="D20" s="4660"/>
      <c r="G20" s="4660"/>
      <c r="H20" s="4660"/>
      <c r="O20" s="4656"/>
      <c r="P20" s="4657"/>
      <c r="Q20" s="4657"/>
      <c r="AC20" s="4657"/>
    </row>
    <row r="21" spans="1:31" ht="39.65" customHeight="1" thickBot="1">
      <c r="A21" s="6908" t="s">
        <v>5846</v>
      </c>
      <c r="B21" s="6909"/>
      <c r="C21" s="4924">
        <f>1.1*SUM(O8:O9)</f>
        <v>21143430</v>
      </c>
      <c r="D21" s="4658" t="s">
        <v>5916</v>
      </c>
      <c r="E21" s="4814"/>
      <c r="F21" s="4814"/>
      <c r="G21" s="4813"/>
      <c r="H21" s="4813"/>
      <c r="I21" s="4812"/>
      <c r="J21" s="4812"/>
      <c r="K21" s="4812"/>
      <c r="L21" s="4812"/>
      <c r="M21" s="4812"/>
      <c r="N21" s="4812"/>
      <c r="O21" s="4715"/>
      <c r="P21" s="4715"/>
      <c r="Q21" s="4715"/>
      <c r="R21" s="4656"/>
      <c r="S21" s="4812"/>
      <c r="T21" s="4656"/>
      <c r="U21" s="4812"/>
      <c r="W21" s="6905"/>
      <c r="X21" s="6905"/>
      <c r="Y21" s="6905"/>
      <c r="Z21" s="6905"/>
      <c r="AA21" s="6905"/>
      <c r="AB21" s="6891"/>
      <c r="AC21" s="6891"/>
      <c r="AD21" s="6891"/>
      <c r="AE21" s="6891"/>
    </row>
    <row r="22" spans="1:31" ht="36" customHeight="1" thickBot="1">
      <c r="A22" s="6906" t="s">
        <v>5848</v>
      </c>
      <c r="B22" s="6907"/>
      <c r="C22" s="4925">
        <f>SUM(O10:O16)</f>
        <v>0</v>
      </c>
    </row>
    <row r="23" spans="1:31" ht="33.75" customHeight="1">
      <c r="A23" s="4656"/>
      <c r="B23" s="4660"/>
      <c r="C23" s="4660"/>
      <c r="D23" s="4660"/>
      <c r="G23" s="4660"/>
      <c r="H23" s="4660"/>
      <c r="O23" s="4656"/>
      <c r="P23" s="4657"/>
      <c r="Q23" s="4657"/>
      <c r="AC23" s="4657"/>
    </row>
    <row r="24" spans="1:31" ht="33.75" customHeight="1">
      <c r="A24" s="4656"/>
      <c r="B24" s="4660"/>
      <c r="C24" s="4660"/>
      <c r="D24" s="4660"/>
      <c r="G24" s="4660"/>
      <c r="H24" s="4660"/>
      <c r="O24" s="4656"/>
      <c r="P24" s="4657"/>
      <c r="Q24" s="4657"/>
      <c r="AC24" s="4657"/>
    </row>
    <row r="25" spans="1:31" ht="36" customHeight="1"/>
    <row r="26" spans="1:31" ht="36" customHeight="1"/>
    <row r="27" spans="1:31" ht="36" customHeight="1"/>
    <row r="28" spans="1:31" ht="36" customHeight="1"/>
    <row r="29" spans="1:31" ht="36" customHeight="1"/>
    <row r="30" spans="1:31" ht="36" customHeight="1"/>
    <row r="31" spans="1:31" ht="36" customHeight="1"/>
    <row r="32" spans="1:31" ht="10.4" customHeight="1">
      <c r="B32" s="4657"/>
      <c r="C32" s="4657"/>
      <c r="D32" s="4657"/>
      <c r="G32" s="4657"/>
      <c r="H32" s="4657"/>
      <c r="O32" s="4656"/>
      <c r="P32" s="4657"/>
      <c r="Q32" s="4657"/>
      <c r="AC32" s="4657"/>
    </row>
  </sheetData>
  <mergeCells count="23">
    <mergeCell ref="A2:B2"/>
    <mergeCell ref="C2:G2"/>
    <mergeCell ref="A5:A6"/>
    <mergeCell ref="B5:B6"/>
    <mergeCell ref="C5:C6"/>
    <mergeCell ref="D5:D6"/>
    <mergeCell ref="E5:E6"/>
    <mergeCell ref="F5:F6"/>
    <mergeCell ref="G5:G6"/>
    <mergeCell ref="AB21:AE21"/>
    <mergeCell ref="A22:B22"/>
    <mergeCell ref="N5:N6"/>
    <mergeCell ref="O5:O6"/>
    <mergeCell ref="P5:Q5"/>
    <mergeCell ref="R5:U5"/>
    <mergeCell ref="A21:B21"/>
    <mergeCell ref="W21:AA21"/>
    <mergeCell ref="H5:H6"/>
    <mergeCell ref="I5:I6"/>
    <mergeCell ref="J5:J6"/>
    <mergeCell ref="K5:K6"/>
    <mergeCell ref="L5:L6"/>
    <mergeCell ref="M5:M6"/>
  </mergeCells>
  <phoneticPr fontId="2"/>
  <conditionalFormatting sqref="C2:D2">
    <cfRule type="containsBlanks" dxfId="6" priority="1">
      <formula>LEN(TRIM(C2))=0</formula>
    </cfRule>
  </conditionalFormatting>
  <conditionalFormatting sqref="D8:E16">
    <cfRule type="containsBlanks" dxfId="5" priority="4">
      <formula>LEN(TRIM(D8))=0</formula>
    </cfRule>
  </conditionalFormatting>
  <conditionalFormatting sqref="G8:K9">
    <cfRule type="containsBlanks" dxfId="4" priority="3">
      <formula>LEN(TRIM(G8))=0</formula>
    </cfRule>
  </conditionalFormatting>
  <conditionalFormatting sqref="G10:N17 B17:E17">
    <cfRule type="containsBlanks" dxfId="3" priority="5">
      <formula>LEN(TRIM(B10))=0</formula>
    </cfRule>
  </conditionalFormatting>
  <conditionalFormatting sqref="M8:N9">
    <cfRule type="containsBlanks" dxfId="2" priority="2">
      <formula>LEN(TRIM(M8))=0</formula>
    </cfRule>
  </conditionalFormatting>
  <conditionalFormatting sqref="P8:U17">
    <cfRule type="containsBlanks" dxfId="1" priority="6">
      <formula>LEN(TRIM(P8))=0</formula>
    </cfRule>
  </conditionalFormatting>
  <dataValidations count="1">
    <dataValidation type="list" allowBlank="1" showInputMessage="1" showErrorMessage="1" sqref="I7:I17" xr:uid="{3415B1C3-5BB4-4B39-9934-ED6D41841326}">
      <formula1>会場形態</formula1>
    </dataValidation>
  </dataValidations>
  <printOptions horizontalCentered="1"/>
  <pageMargins left="0.39370078740157483" right="0.39370078740157483" top="0.55118110236220474" bottom="0.55118110236220474" header="0.31496062992125984" footer="0.31496062992125984"/>
  <pageSetup paperSize="8" scale="65" orientation="landscape" r:id="rId1"/>
  <headerFooter>
    <oddHeader>&amp;R&amp;G</oddHead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BBB0-CFB4-47ED-AE89-E1CB48558F56}">
  <sheetPr codeName="Sheet404" filterMode="1">
    <tabColor rgb="FFFF0000"/>
    <pageSetUpPr fitToPage="1"/>
  </sheetPr>
  <dimension ref="A1:EC260"/>
  <sheetViews>
    <sheetView topLeftCell="AB138" zoomScale="55" zoomScaleNormal="55" workbookViewId="0">
      <selection activeCell="BJ123" sqref="BJ123"/>
    </sheetView>
  </sheetViews>
  <sheetFormatPr defaultRowHeight="13.5" customHeight="1"/>
  <cols>
    <col min="1" max="1" width="7.81640625" bestFit="1" customWidth="1"/>
    <col min="2" max="2" width="52.453125" customWidth="1"/>
    <col min="3" max="7" width="20.453125" style="864" customWidth="1"/>
    <col min="8" max="8" width="18.81640625" style="864" customWidth="1"/>
    <col min="9" max="9" width="15.81640625" style="864" customWidth="1"/>
    <col min="10" max="11" width="15.81640625" style="864" hidden="1" customWidth="1"/>
    <col min="12" max="15" width="15.81640625" style="1959" hidden="1" customWidth="1"/>
    <col min="16" max="16" width="10.54296875" style="1959" hidden="1" customWidth="1"/>
    <col min="17" max="17" width="15.81640625" style="2476" hidden="1" customWidth="1"/>
    <col min="18" max="18" width="15.81640625" style="1959" customWidth="1"/>
    <col min="19" max="19" width="15.81640625" style="1959" hidden="1" customWidth="1"/>
    <col min="20" max="20" width="17.26953125" style="1959" customWidth="1"/>
    <col min="21" max="21" width="17.26953125" style="1959" hidden="1" customWidth="1"/>
    <col min="22" max="22" width="17.7265625" style="863" hidden="1" customWidth="1"/>
    <col min="23" max="23" width="17.7265625" style="863" customWidth="1"/>
    <col min="24" max="24" width="17.7265625" style="863" hidden="1" customWidth="1"/>
    <col min="25" max="28" width="15.54296875" style="863" customWidth="1"/>
    <col min="29" max="29" width="14.81640625" style="863" customWidth="1"/>
    <col min="30" max="30" width="15.54296875" style="863" customWidth="1"/>
    <col min="31" max="31" width="11.26953125" customWidth="1"/>
    <col min="32" max="32" width="12.26953125" customWidth="1"/>
    <col min="33" max="33" width="12.26953125" hidden="1" customWidth="1"/>
    <col min="34" max="34" width="11.54296875" style="2814" customWidth="1"/>
    <col min="35" max="35" width="12.453125" customWidth="1"/>
    <col min="36" max="36" width="12.1796875" customWidth="1"/>
    <col min="37" max="37" width="11.26953125" customWidth="1"/>
    <col min="38" max="38" width="14.26953125" hidden="1" customWidth="1"/>
    <col min="39" max="39" width="13.7265625" hidden="1" customWidth="1"/>
    <col min="40" max="40" width="17" hidden="1" customWidth="1"/>
    <col min="41" max="42" width="15.453125" hidden="1" customWidth="1"/>
    <col min="43" max="43" width="17" hidden="1" customWidth="1"/>
    <col min="44" max="44" width="15.453125" hidden="1" customWidth="1"/>
    <col min="45" max="45" width="14.54296875" hidden="1" customWidth="1"/>
    <col min="46" max="46" width="13.453125" hidden="1" customWidth="1"/>
    <col min="47" max="47" width="14.54296875" hidden="1" customWidth="1"/>
    <col min="48" max="48" width="12.453125" customWidth="1"/>
    <col min="49" max="49" width="9.54296875" hidden="1" customWidth="1"/>
    <col min="50" max="51" width="10.1796875" customWidth="1"/>
    <col min="52" max="52" width="13.54296875" customWidth="1"/>
    <col min="53" max="54" width="12.1796875" customWidth="1"/>
    <col min="55" max="55" width="12.1796875" hidden="1" customWidth="1"/>
    <col min="56" max="59" width="13.1796875" hidden="1" customWidth="1"/>
    <col min="60" max="60" width="14.26953125" style="1958" customWidth="1"/>
    <col min="61" max="61" width="15.453125" style="1958" hidden="1" customWidth="1"/>
    <col min="62" max="62" width="15.1796875" style="1958" customWidth="1"/>
    <col min="63" max="63" width="14.26953125" style="1958" customWidth="1"/>
    <col min="64" max="67" width="12.81640625" style="1958" customWidth="1"/>
    <col min="68" max="69" width="15.453125" style="1958" hidden="1" customWidth="1"/>
    <col min="70" max="70" width="12.81640625" style="1958" hidden="1" customWidth="1"/>
    <col min="71" max="71" width="14.26953125" style="1958" hidden="1" customWidth="1"/>
    <col min="72" max="75" width="12.81640625" style="1958" hidden="1" customWidth="1"/>
    <col min="76" max="76" width="12.81640625" style="1958" customWidth="1"/>
    <col min="77" max="77" width="12.81640625" style="1958" hidden="1" customWidth="1"/>
    <col min="78" max="79" width="12.81640625" style="1958" customWidth="1"/>
    <col min="80" max="85" width="12.81640625" style="1958" hidden="1" customWidth="1"/>
    <col min="86" max="86" width="66.453125" style="864" bestFit="1" customWidth="1"/>
  </cols>
  <sheetData>
    <row r="1" spans="1:86" ht="47.5" customHeight="1">
      <c r="A1" t="s">
        <v>3163</v>
      </c>
      <c r="B1" t="s">
        <v>2842</v>
      </c>
      <c r="C1" s="2691" t="s">
        <v>5006</v>
      </c>
      <c r="D1" s="2691" t="s">
        <v>5007</v>
      </c>
      <c r="E1" s="2691" t="s">
        <v>5008</v>
      </c>
      <c r="F1" s="2701" t="s">
        <v>5009</v>
      </c>
      <c r="G1" s="2701" t="s">
        <v>5010</v>
      </c>
      <c r="H1" s="2751" t="s">
        <v>3170</v>
      </c>
      <c r="I1" s="5772" t="s">
        <v>3172</v>
      </c>
      <c r="J1" s="2971" t="s">
        <v>3173</v>
      </c>
      <c r="K1" s="2752" t="s">
        <v>3174</v>
      </c>
      <c r="L1" s="2975" t="s">
        <v>3175</v>
      </c>
      <c r="M1" s="2975" t="s">
        <v>3176</v>
      </c>
      <c r="N1" s="2976" t="s">
        <v>3177</v>
      </c>
      <c r="O1" s="2975" t="s">
        <v>3178</v>
      </c>
      <c r="P1" s="2975" t="s">
        <v>3179</v>
      </c>
      <c r="Q1" s="2977" t="s">
        <v>3180</v>
      </c>
      <c r="R1" s="2642" t="s">
        <v>3181</v>
      </c>
      <c r="S1" s="2970" t="s">
        <v>3182</v>
      </c>
      <c r="T1" s="2754" t="s">
        <v>3183</v>
      </c>
      <c r="U1" s="2754"/>
      <c r="V1" s="5773" t="s">
        <v>3184</v>
      </c>
      <c r="W1" s="5773" t="s">
        <v>3185</v>
      </c>
      <c r="X1" s="5774" t="s">
        <v>3186</v>
      </c>
      <c r="Y1" s="5773" t="s">
        <v>3187</v>
      </c>
      <c r="Z1" s="5773" t="s">
        <v>3188</v>
      </c>
      <c r="AA1" s="5773" t="s">
        <v>3189</v>
      </c>
      <c r="AB1" s="5775" t="s">
        <v>3190</v>
      </c>
      <c r="AC1" s="5776" t="s">
        <v>3191</v>
      </c>
      <c r="AD1" s="5777" t="s">
        <v>3192</v>
      </c>
      <c r="AE1" s="191" t="s">
        <v>6561</v>
      </c>
      <c r="AF1" s="3962" t="s">
        <v>3194</v>
      </c>
      <c r="AG1" s="2971" t="s">
        <v>3195</v>
      </c>
      <c r="AH1" s="2814" t="s">
        <v>3779</v>
      </c>
      <c r="AI1" s="2702" t="s">
        <v>6562</v>
      </c>
      <c r="AJ1" s="2702" t="s">
        <v>6563</v>
      </c>
      <c r="AK1" s="2702" t="s">
        <v>6564</v>
      </c>
      <c r="AL1" s="3951" t="s">
        <v>6565</v>
      </c>
      <c r="AM1" s="3951" t="s">
        <v>6566</v>
      </c>
      <c r="AN1" s="2702" t="s">
        <v>3203</v>
      </c>
      <c r="AO1" s="2702" t="s">
        <v>3204</v>
      </c>
      <c r="AP1" s="2702" t="s">
        <v>3205</v>
      </c>
      <c r="AQ1" s="3951" t="s">
        <v>3206</v>
      </c>
      <c r="AR1" s="3951" t="s">
        <v>3207</v>
      </c>
      <c r="AS1" s="5778" t="s">
        <v>4691</v>
      </c>
      <c r="AT1" s="5778" t="s">
        <v>4692</v>
      </c>
      <c r="AU1" s="3993" t="s">
        <v>4693</v>
      </c>
      <c r="AV1" s="2691" t="s">
        <v>6567</v>
      </c>
      <c r="AW1" s="2691" t="s">
        <v>6568</v>
      </c>
      <c r="AX1" s="2691" t="s">
        <v>6569</v>
      </c>
      <c r="AY1" s="2691" t="s">
        <v>6570</v>
      </c>
      <c r="AZ1" s="2691" t="s">
        <v>3210</v>
      </c>
      <c r="BA1" s="2691" t="s">
        <v>6571</v>
      </c>
      <c r="BB1" s="2691" t="s">
        <v>6572</v>
      </c>
      <c r="BC1" s="3944" t="s">
        <v>6573</v>
      </c>
      <c r="BD1" s="3944" t="s">
        <v>6574</v>
      </c>
      <c r="BE1" s="3944" t="s">
        <v>3213</v>
      </c>
      <c r="BF1" s="3944" t="s">
        <v>6575</v>
      </c>
      <c r="BG1" s="3944" t="s">
        <v>6576</v>
      </c>
      <c r="BH1" s="882" t="s">
        <v>6577</v>
      </c>
      <c r="BI1" s="882" t="s">
        <v>6578</v>
      </c>
      <c r="BJ1" s="882" t="s">
        <v>6579</v>
      </c>
      <c r="BK1" s="882" t="s">
        <v>3216</v>
      </c>
      <c r="BL1" s="882" t="s">
        <v>3215</v>
      </c>
      <c r="BM1" s="882" t="s">
        <v>6580</v>
      </c>
      <c r="BN1" s="882" t="s">
        <v>6581</v>
      </c>
      <c r="BO1" s="882" t="s">
        <v>6582</v>
      </c>
      <c r="BP1" s="5779" t="s">
        <v>6583</v>
      </c>
      <c r="BQ1" s="5779" t="s">
        <v>6584</v>
      </c>
      <c r="BR1" s="5779" t="s">
        <v>6585</v>
      </c>
      <c r="BS1" s="5779" t="s">
        <v>6586</v>
      </c>
      <c r="BT1" s="5779" t="s">
        <v>3219</v>
      </c>
      <c r="BU1" s="5779" t="s">
        <v>3218</v>
      </c>
      <c r="BV1" s="5779" t="s">
        <v>3217</v>
      </c>
      <c r="BW1" s="5779" t="s">
        <v>6587</v>
      </c>
      <c r="BX1" s="5780" t="s">
        <v>6588</v>
      </c>
      <c r="BY1" s="5780" t="s">
        <v>6589</v>
      </c>
      <c r="BZ1" s="5780" t="s">
        <v>6590</v>
      </c>
      <c r="CA1" s="5780" t="s">
        <v>6591</v>
      </c>
      <c r="CB1" s="5780" t="s">
        <v>6592</v>
      </c>
      <c r="CC1" s="5781" t="s">
        <v>6593</v>
      </c>
      <c r="CD1" s="5781" t="s">
        <v>6594</v>
      </c>
      <c r="CE1" s="5781" t="s">
        <v>6595</v>
      </c>
      <c r="CF1" s="5781" t="s">
        <v>6596</v>
      </c>
      <c r="CG1" s="5781" t="s">
        <v>6597</v>
      </c>
      <c r="CH1" s="864" t="s">
        <v>3229</v>
      </c>
    </row>
    <row r="2" spans="1:86" s="5782" customFormat="1" ht="13" hidden="1">
      <c r="A2" s="5782">
        <v>1</v>
      </c>
      <c r="B2" s="5783" t="s">
        <v>3230</v>
      </c>
      <c r="C2" s="5784" t="s">
        <v>2129</v>
      </c>
      <c r="D2" s="5784" t="s">
        <v>2129</v>
      </c>
      <c r="E2" s="5784" t="s">
        <v>2129</v>
      </c>
      <c r="F2" s="5784" t="s">
        <v>2129</v>
      </c>
      <c r="G2" s="5784" t="s">
        <v>2129</v>
      </c>
      <c r="H2" s="5784">
        <v>2</v>
      </c>
      <c r="I2" s="5784">
        <v>1</v>
      </c>
      <c r="J2" s="5785" t="b">
        <v>1</v>
      </c>
      <c r="K2" s="5785" t="s">
        <v>2129</v>
      </c>
      <c r="L2" s="5786">
        <v>211765</v>
      </c>
      <c r="M2" s="5786">
        <v>3530</v>
      </c>
      <c r="N2" s="5786">
        <v>0</v>
      </c>
      <c r="O2" s="5786">
        <v>0</v>
      </c>
      <c r="P2" s="5786">
        <v>0</v>
      </c>
      <c r="Q2" s="2476">
        <v>236824.50000000003</v>
      </c>
      <c r="R2" s="5787">
        <v>236824</v>
      </c>
      <c r="S2" s="5786" t="b">
        <v>1</v>
      </c>
      <c r="T2" s="5787">
        <v>236824</v>
      </c>
      <c r="U2" s="5787">
        <v>0</v>
      </c>
      <c r="V2" s="5788">
        <v>1449448</v>
      </c>
      <c r="W2" s="5788">
        <v>1449448</v>
      </c>
      <c r="X2" s="5788" t="b">
        <v>1</v>
      </c>
      <c r="Y2" s="5788">
        <v>19325.973333333332</v>
      </c>
      <c r="Z2" s="5788"/>
      <c r="AA2" s="5788"/>
      <c r="AB2" s="5788" t="s">
        <v>2129</v>
      </c>
      <c r="AC2" s="5788"/>
      <c r="AD2" s="5788"/>
      <c r="AE2" s="5782">
        <v>75</v>
      </c>
      <c r="AF2" s="5789">
        <v>75</v>
      </c>
      <c r="AG2" s="5788" t="b">
        <v>1</v>
      </c>
      <c r="AH2" s="5782">
        <v>87</v>
      </c>
      <c r="AI2" s="5782" t="s">
        <v>2129</v>
      </c>
      <c r="AJ2" s="5782" t="s">
        <v>2129</v>
      </c>
      <c r="AK2" s="5782" t="s">
        <v>2129</v>
      </c>
      <c r="AL2" s="5782" t="s">
        <v>2129</v>
      </c>
      <c r="AM2" s="5782" t="s">
        <v>2129</v>
      </c>
      <c r="AN2" s="5782" t="s">
        <v>2129</v>
      </c>
      <c r="AO2" s="5782" t="s">
        <v>2129</v>
      </c>
      <c r="AQ2" s="5782" t="s">
        <v>2129</v>
      </c>
      <c r="AV2" s="5782" t="s">
        <v>2129</v>
      </c>
      <c r="AW2" s="5782" t="s">
        <v>2129</v>
      </c>
      <c r="AX2" s="5782" t="s">
        <v>2129</v>
      </c>
      <c r="AY2" s="5782" t="s">
        <v>2129</v>
      </c>
      <c r="AZ2" s="5782" t="s">
        <v>2129</v>
      </c>
      <c r="BA2" s="5782" t="s">
        <v>2129</v>
      </c>
      <c r="BB2" s="5782" t="s">
        <v>2129</v>
      </c>
      <c r="BC2" s="5782" t="s">
        <v>2129</v>
      </c>
      <c r="BD2" s="5782" t="s">
        <v>2129</v>
      </c>
      <c r="BE2" s="5782" t="s">
        <v>2129</v>
      </c>
      <c r="BF2" s="5782" t="s">
        <v>2129</v>
      </c>
      <c r="BG2" s="5782" t="s">
        <v>2129</v>
      </c>
      <c r="BH2" s="5788" t="s">
        <v>2129</v>
      </c>
      <c r="BJ2" s="5788" t="s">
        <v>2129</v>
      </c>
      <c r="BK2" s="5788" t="s">
        <v>2129</v>
      </c>
      <c r="BL2" s="5788" t="s">
        <v>2129</v>
      </c>
      <c r="BM2" s="5788" t="s">
        <v>2129</v>
      </c>
      <c r="BN2" s="5788" t="s">
        <v>2129</v>
      </c>
      <c r="BO2" s="5788" t="s">
        <v>2129</v>
      </c>
      <c r="BP2" s="5788" t="s">
        <v>2129</v>
      </c>
      <c r="BQ2" s="5788" t="s">
        <v>2129</v>
      </c>
      <c r="BR2" s="5788" t="s">
        <v>2129</v>
      </c>
      <c r="BS2" s="5788" t="s">
        <v>2129</v>
      </c>
      <c r="BT2" s="5788" t="s">
        <v>2129</v>
      </c>
      <c r="BU2" s="5788" t="s">
        <v>2129</v>
      </c>
      <c r="BV2" s="5788" t="s">
        <v>2129</v>
      </c>
      <c r="BW2" s="5788" t="s">
        <v>2129</v>
      </c>
      <c r="BX2" s="5788" t="s">
        <v>2129</v>
      </c>
      <c r="BY2" s="5788" t="s">
        <v>2129</v>
      </c>
      <c r="BZ2" s="5788" t="s">
        <v>2129</v>
      </c>
      <c r="CA2" s="5788" t="s">
        <v>2129</v>
      </c>
      <c r="CB2" s="5788"/>
      <c r="CC2" s="5788" t="s">
        <v>2129</v>
      </c>
      <c r="CD2" s="5788" t="s">
        <v>2129</v>
      </c>
      <c r="CE2" s="5788" t="s">
        <v>2129</v>
      </c>
      <c r="CF2" s="5788" t="s">
        <v>2129</v>
      </c>
      <c r="CG2" s="5788"/>
      <c r="CH2" s="5784"/>
    </row>
    <row r="3" spans="1:86" s="5782" customFormat="1" ht="13" hidden="1">
      <c r="A3" s="5782">
        <v>2</v>
      </c>
      <c r="B3" s="5783" t="s">
        <v>3231</v>
      </c>
      <c r="C3" s="5784" t="s">
        <v>2129</v>
      </c>
      <c r="D3" s="5784" t="s">
        <v>2129</v>
      </c>
      <c r="E3" s="5784" t="s">
        <v>2129</v>
      </c>
      <c r="F3" s="5784" t="s">
        <v>2129</v>
      </c>
      <c r="G3" s="5784" t="s">
        <v>2129</v>
      </c>
      <c r="H3" s="5784">
        <v>0</v>
      </c>
      <c r="I3" s="5784">
        <v>0</v>
      </c>
      <c r="J3" s="5785" t="b">
        <v>1</v>
      </c>
      <c r="K3" s="5785" t="s">
        <v>2129</v>
      </c>
      <c r="L3" s="5786">
        <v>0</v>
      </c>
      <c r="M3" s="5786">
        <v>0</v>
      </c>
      <c r="N3" s="5786">
        <v>0</v>
      </c>
      <c r="O3" s="5786">
        <v>0</v>
      </c>
      <c r="P3" s="5786">
        <v>0</v>
      </c>
      <c r="Q3" s="2476">
        <v>0</v>
      </c>
      <c r="R3" s="5787">
        <v>0</v>
      </c>
      <c r="S3" s="2477" t="b">
        <v>1</v>
      </c>
      <c r="T3" s="5787" t="s">
        <v>2129</v>
      </c>
      <c r="U3" s="5787">
        <v>0</v>
      </c>
      <c r="V3" s="5788">
        <v>886127</v>
      </c>
      <c r="W3" s="5788">
        <v>886127</v>
      </c>
      <c r="X3" s="5788" t="b">
        <v>1</v>
      </c>
      <c r="Y3" s="5788">
        <v>7639.0258620689656</v>
      </c>
      <c r="Z3" s="5788"/>
      <c r="AA3" s="5788"/>
      <c r="AB3" s="5788" t="s">
        <v>2129</v>
      </c>
      <c r="AC3" s="5788"/>
      <c r="AD3" s="5788"/>
      <c r="AE3" s="5782">
        <v>116</v>
      </c>
      <c r="AF3" s="5789">
        <v>116</v>
      </c>
      <c r="AG3" s="5789" t="b">
        <v>1</v>
      </c>
      <c r="AH3" s="5782">
        <v>116</v>
      </c>
      <c r="AI3" s="5782" t="s">
        <v>2129</v>
      </c>
      <c r="AJ3" s="5782" t="s">
        <v>2129</v>
      </c>
      <c r="AK3" s="5782" t="s">
        <v>2129</v>
      </c>
      <c r="AL3" s="5782" t="s">
        <v>2129</v>
      </c>
      <c r="AM3" s="5782" t="s">
        <v>2129</v>
      </c>
      <c r="AN3" s="5782" t="s">
        <v>2129</v>
      </c>
      <c r="AO3" s="5782" t="s">
        <v>2129</v>
      </c>
      <c r="AQ3" s="5782" t="s">
        <v>2129</v>
      </c>
      <c r="AV3" s="5782" t="s">
        <v>2129</v>
      </c>
      <c r="AW3" s="5782" t="s">
        <v>2129</v>
      </c>
      <c r="AX3" s="5782" t="s">
        <v>2129</v>
      </c>
      <c r="AY3" s="5782" t="s">
        <v>2129</v>
      </c>
      <c r="AZ3" s="5782" t="s">
        <v>2129</v>
      </c>
      <c r="BA3" s="5782" t="s">
        <v>2129</v>
      </c>
      <c r="BB3" s="5782" t="s">
        <v>2129</v>
      </c>
      <c r="BC3" s="5782" t="s">
        <v>2129</v>
      </c>
      <c r="BD3" s="5782" t="s">
        <v>2129</v>
      </c>
      <c r="BE3" s="5782" t="s">
        <v>2129</v>
      </c>
      <c r="BF3" s="5782" t="s">
        <v>2129</v>
      </c>
      <c r="BG3" s="5782" t="s">
        <v>2129</v>
      </c>
      <c r="BH3" s="5788" t="s">
        <v>2129</v>
      </c>
      <c r="BJ3" s="5788" t="s">
        <v>2129</v>
      </c>
      <c r="BK3" s="5788" t="s">
        <v>2129</v>
      </c>
      <c r="BL3" s="5788" t="s">
        <v>2129</v>
      </c>
      <c r="BM3" s="5788" t="s">
        <v>2129</v>
      </c>
      <c r="BN3" s="5788" t="s">
        <v>2129</v>
      </c>
      <c r="BO3" s="5788" t="s">
        <v>2129</v>
      </c>
      <c r="BP3" s="5788" t="s">
        <v>2129</v>
      </c>
      <c r="BQ3" s="5788" t="s">
        <v>2129</v>
      </c>
      <c r="BR3" s="5788" t="s">
        <v>2129</v>
      </c>
      <c r="BS3" s="5788" t="s">
        <v>2129</v>
      </c>
      <c r="BT3" s="5788" t="s">
        <v>2129</v>
      </c>
      <c r="BU3" s="5788" t="s">
        <v>2129</v>
      </c>
      <c r="BV3" s="5788" t="s">
        <v>2129</v>
      </c>
      <c r="BW3" s="5788" t="s">
        <v>2129</v>
      </c>
      <c r="BX3" s="5788" t="s">
        <v>2129</v>
      </c>
      <c r="BY3" s="5788" t="s">
        <v>2129</v>
      </c>
      <c r="BZ3" s="5788" t="s">
        <v>2129</v>
      </c>
      <c r="CA3" s="5788" t="s">
        <v>2129</v>
      </c>
      <c r="CB3" s="5788"/>
      <c r="CC3" s="5788" t="s">
        <v>2129</v>
      </c>
      <c r="CD3" s="5788" t="s">
        <v>2129</v>
      </c>
      <c r="CE3" s="5788" t="s">
        <v>2129</v>
      </c>
      <c r="CF3" s="5788" t="s">
        <v>2129</v>
      </c>
      <c r="CG3" s="5788"/>
      <c r="CH3" s="5784"/>
    </row>
    <row r="4" spans="1:86" s="5782" customFormat="1" ht="13" hidden="1">
      <c r="A4" s="5782">
        <v>4</v>
      </c>
      <c r="B4" s="5783" t="s">
        <v>3232</v>
      </c>
      <c r="C4" s="5784" t="s">
        <v>2129</v>
      </c>
      <c r="D4" s="5784" t="s">
        <v>2129</v>
      </c>
      <c r="E4" s="5784" t="s">
        <v>2129</v>
      </c>
      <c r="F4" s="5784" t="s">
        <v>2129</v>
      </c>
      <c r="G4" s="5784" t="s">
        <v>2129</v>
      </c>
      <c r="H4" s="5784">
        <v>0</v>
      </c>
      <c r="I4" s="5784">
        <v>0</v>
      </c>
      <c r="J4" s="5785" t="b">
        <v>1</v>
      </c>
      <c r="K4" s="5785" t="s">
        <v>2129</v>
      </c>
      <c r="L4" s="5786">
        <v>0</v>
      </c>
      <c r="M4" s="5786">
        <v>0</v>
      </c>
      <c r="N4" s="5786">
        <v>0</v>
      </c>
      <c r="O4" s="5786">
        <v>0</v>
      </c>
      <c r="P4" s="5786">
        <v>0</v>
      </c>
      <c r="Q4" s="2476">
        <v>0</v>
      </c>
      <c r="R4" s="5787">
        <v>0</v>
      </c>
      <c r="S4" s="2477" t="b">
        <v>1</v>
      </c>
      <c r="T4" s="5787" t="s">
        <v>2129</v>
      </c>
      <c r="U4" s="5787">
        <v>0</v>
      </c>
      <c r="V4" s="5788">
        <v>1267612</v>
      </c>
      <c r="W4" s="5788">
        <v>1267612</v>
      </c>
      <c r="X4" s="5788" t="b">
        <v>1</v>
      </c>
      <c r="Y4" s="5788">
        <v>16251.435897435897</v>
      </c>
      <c r="Z4" s="5788"/>
      <c r="AA4" s="5788"/>
      <c r="AB4" s="5788" t="s">
        <v>2129</v>
      </c>
      <c r="AC4" s="5788"/>
      <c r="AD4" s="5788"/>
      <c r="AE4" s="5782">
        <v>149</v>
      </c>
      <c r="AF4" s="5789">
        <v>78</v>
      </c>
      <c r="AG4" s="5789" t="b">
        <v>1</v>
      </c>
      <c r="AH4" s="5782">
        <v>149</v>
      </c>
      <c r="AI4" s="5782" t="s">
        <v>2129</v>
      </c>
      <c r="AJ4" s="5782" t="s">
        <v>2129</v>
      </c>
      <c r="AK4" s="5782" t="s">
        <v>2129</v>
      </c>
      <c r="AL4" s="5782" t="s">
        <v>2129</v>
      </c>
      <c r="AM4" s="5782" t="s">
        <v>2129</v>
      </c>
      <c r="AN4" s="5782" t="s">
        <v>2129</v>
      </c>
      <c r="AO4" s="5782" t="s">
        <v>2129</v>
      </c>
      <c r="AQ4" s="5782" t="s">
        <v>2129</v>
      </c>
      <c r="AV4" s="5782" t="s">
        <v>2129</v>
      </c>
      <c r="AW4" s="5782" t="s">
        <v>2129</v>
      </c>
      <c r="AX4" s="5782" t="s">
        <v>2129</v>
      </c>
      <c r="AY4" s="5782" t="s">
        <v>2129</v>
      </c>
      <c r="AZ4" s="5782" t="s">
        <v>2129</v>
      </c>
      <c r="BA4" s="5782" t="s">
        <v>2129</v>
      </c>
      <c r="BB4" s="5782" t="s">
        <v>2129</v>
      </c>
      <c r="BC4" s="5782" t="s">
        <v>2129</v>
      </c>
      <c r="BD4" s="5782" t="s">
        <v>2129</v>
      </c>
      <c r="BE4" s="5782" t="s">
        <v>2129</v>
      </c>
      <c r="BF4" s="5782" t="s">
        <v>2129</v>
      </c>
      <c r="BG4" s="5782" t="s">
        <v>2129</v>
      </c>
      <c r="BH4" s="5788" t="s">
        <v>2129</v>
      </c>
      <c r="BJ4" s="5788" t="s">
        <v>2129</v>
      </c>
      <c r="BK4" s="5788" t="s">
        <v>2129</v>
      </c>
      <c r="BL4" s="5788" t="s">
        <v>2129</v>
      </c>
      <c r="BM4" s="5788" t="s">
        <v>2129</v>
      </c>
      <c r="BN4" s="5788" t="s">
        <v>2129</v>
      </c>
      <c r="BO4" s="5788" t="s">
        <v>2129</v>
      </c>
      <c r="BP4" s="5788" t="s">
        <v>2129</v>
      </c>
      <c r="BQ4" s="5788" t="s">
        <v>2129</v>
      </c>
      <c r="BR4" s="5788" t="s">
        <v>2129</v>
      </c>
      <c r="BS4" s="5788" t="s">
        <v>2129</v>
      </c>
      <c r="BT4" s="5788" t="s">
        <v>2129</v>
      </c>
      <c r="BU4" s="5788" t="s">
        <v>2129</v>
      </c>
      <c r="BV4" s="5788" t="s">
        <v>2129</v>
      </c>
      <c r="BW4" s="5788" t="s">
        <v>2129</v>
      </c>
      <c r="BX4" s="5788" t="s">
        <v>2129</v>
      </c>
      <c r="BY4" s="5788" t="s">
        <v>2129</v>
      </c>
      <c r="BZ4" s="5788" t="s">
        <v>2129</v>
      </c>
      <c r="CA4" s="5788" t="s">
        <v>2129</v>
      </c>
      <c r="CB4" s="5788"/>
      <c r="CC4" s="5788" t="s">
        <v>2129</v>
      </c>
      <c r="CD4" s="5788" t="s">
        <v>2129</v>
      </c>
      <c r="CE4" s="5788" t="s">
        <v>2129</v>
      </c>
      <c r="CF4" s="5788" t="s">
        <v>2129</v>
      </c>
      <c r="CG4" s="5788"/>
      <c r="CH4" s="5784"/>
    </row>
    <row r="5" spans="1:86" s="5782" customFormat="1" ht="13" hidden="1">
      <c r="A5" s="5782">
        <v>7</v>
      </c>
      <c r="B5" s="5783" t="s">
        <v>3233</v>
      </c>
      <c r="C5" s="5784" t="s">
        <v>2129</v>
      </c>
      <c r="D5" s="5784" t="s">
        <v>2129</v>
      </c>
      <c r="E5" s="5784" t="s">
        <v>2129</v>
      </c>
      <c r="F5" s="5784" t="s">
        <v>2129</v>
      </c>
      <c r="G5" s="5784" t="s">
        <v>2129</v>
      </c>
      <c r="H5" s="5784">
        <v>1</v>
      </c>
      <c r="I5" s="5784">
        <v>1</v>
      </c>
      <c r="J5" s="5785" t="b">
        <v>1</v>
      </c>
      <c r="K5" s="5785" t="s">
        <v>2129</v>
      </c>
      <c r="L5" s="5786">
        <v>35295</v>
      </c>
      <c r="M5" s="5786">
        <v>0</v>
      </c>
      <c r="N5" s="5786">
        <v>0</v>
      </c>
      <c r="O5" s="5786">
        <v>0</v>
      </c>
      <c r="P5" s="5786">
        <v>0</v>
      </c>
      <c r="Q5" s="2476">
        <v>38824.5</v>
      </c>
      <c r="R5" s="5787">
        <v>38824</v>
      </c>
      <c r="S5" s="2477" t="b">
        <v>1</v>
      </c>
      <c r="T5" s="5787">
        <v>38824</v>
      </c>
      <c r="U5" s="5787">
        <v>0</v>
      </c>
      <c r="V5" s="5788">
        <v>565434</v>
      </c>
      <c r="W5" s="5788">
        <v>565434</v>
      </c>
      <c r="X5" s="5788" t="b">
        <v>1</v>
      </c>
      <c r="Y5" s="5788">
        <v>12850.772727272728</v>
      </c>
      <c r="Z5" s="5788"/>
      <c r="AA5" s="5788"/>
      <c r="AB5" s="5788" t="s">
        <v>2129</v>
      </c>
      <c r="AC5" s="5788"/>
      <c r="AD5" s="5788"/>
      <c r="AE5" s="5782">
        <v>44</v>
      </c>
      <c r="AF5" s="5789">
        <v>44</v>
      </c>
      <c r="AG5" s="5789" t="b">
        <v>1</v>
      </c>
      <c r="AH5" s="5782">
        <v>44</v>
      </c>
      <c r="AI5" s="5782" t="s">
        <v>2129</v>
      </c>
      <c r="AJ5" s="5782" t="s">
        <v>2129</v>
      </c>
      <c r="AK5" s="5782" t="s">
        <v>2129</v>
      </c>
      <c r="AL5" s="5782" t="s">
        <v>2129</v>
      </c>
      <c r="AM5" s="5782" t="s">
        <v>2129</v>
      </c>
      <c r="AN5" s="5782" t="s">
        <v>2129</v>
      </c>
      <c r="AO5" s="5782" t="s">
        <v>2129</v>
      </c>
      <c r="AQ5" s="5782" t="s">
        <v>2129</v>
      </c>
      <c r="AV5" s="5782" t="s">
        <v>2129</v>
      </c>
      <c r="AW5" s="5782" t="s">
        <v>2129</v>
      </c>
      <c r="AX5" s="5782" t="s">
        <v>2129</v>
      </c>
      <c r="AY5" s="5782" t="s">
        <v>2129</v>
      </c>
      <c r="AZ5" s="5782" t="s">
        <v>2129</v>
      </c>
      <c r="BA5" s="5782" t="s">
        <v>2129</v>
      </c>
      <c r="BB5" s="5782" t="s">
        <v>2129</v>
      </c>
      <c r="BC5" s="5782" t="s">
        <v>2129</v>
      </c>
      <c r="BD5" s="5782" t="s">
        <v>2129</v>
      </c>
      <c r="BE5" s="5782" t="s">
        <v>2129</v>
      </c>
      <c r="BF5" s="5782" t="s">
        <v>2129</v>
      </c>
      <c r="BG5" s="5782" t="s">
        <v>2129</v>
      </c>
      <c r="BH5" s="5788" t="s">
        <v>2129</v>
      </c>
      <c r="BJ5" s="5788" t="s">
        <v>2129</v>
      </c>
      <c r="BK5" s="5788" t="s">
        <v>2129</v>
      </c>
      <c r="BL5" s="5788" t="s">
        <v>2129</v>
      </c>
      <c r="BM5" s="5788" t="s">
        <v>2129</v>
      </c>
      <c r="BN5" s="5788" t="s">
        <v>2129</v>
      </c>
      <c r="BO5" s="5788" t="s">
        <v>2129</v>
      </c>
      <c r="BP5" s="5788" t="s">
        <v>2129</v>
      </c>
      <c r="BQ5" s="5788" t="s">
        <v>2129</v>
      </c>
      <c r="BR5" s="5788" t="s">
        <v>2129</v>
      </c>
      <c r="BS5" s="5788" t="s">
        <v>2129</v>
      </c>
      <c r="BT5" s="5788" t="s">
        <v>2129</v>
      </c>
      <c r="BU5" s="5788" t="s">
        <v>2129</v>
      </c>
      <c r="BV5" s="5788" t="s">
        <v>2129</v>
      </c>
      <c r="BW5" s="5788" t="s">
        <v>2129</v>
      </c>
      <c r="BX5" s="5788" t="s">
        <v>2129</v>
      </c>
      <c r="BY5" s="5788" t="s">
        <v>2129</v>
      </c>
      <c r="BZ5" s="5788" t="s">
        <v>2129</v>
      </c>
      <c r="CA5" s="5788" t="s">
        <v>2129</v>
      </c>
      <c r="CB5" s="5788"/>
      <c r="CC5" s="5788" t="s">
        <v>2129</v>
      </c>
      <c r="CD5" s="5788" t="s">
        <v>2129</v>
      </c>
      <c r="CE5" s="5788" t="s">
        <v>2129</v>
      </c>
      <c r="CF5" s="5788" t="s">
        <v>2129</v>
      </c>
      <c r="CG5" s="5788"/>
      <c r="CH5" s="5784"/>
    </row>
    <row r="6" spans="1:86" ht="13" hidden="1">
      <c r="A6">
        <v>8</v>
      </c>
      <c r="B6" s="196" t="s">
        <v>3234</v>
      </c>
      <c r="C6" s="5785" t="s">
        <v>2129</v>
      </c>
      <c r="D6" s="5785" t="s">
        <v>3791</v>
      </c>
      <c r="E6" s="5785" t="s">
        <v>2129</v>
      </c>
      <c r="F6" s="5785" t="s">
        <v>3791</v>
      </c>
      <c r="G6" s="5785" t="s">
        <v>2129</v>
      </c>
      <c r="H6" s="5785">
        <v>10</v>
      </c>
      <c r="I6" s="5785">
        <v>7</v>
      </c>
      <c r="J6" s="5785" t="b">
        <v>1</v>
      </c>
      <c r="K6" s="5785" t="s">
        <v>2129</v>
      </c>
      <c r="L6" s="5786">
        <v>1714708</v>
      </c>
      <c r="M6" s="5786">
        <v>82355</v>
      </c>
      <c r="N6" s="5786">
        <v>0</v>
      </c>
      <c r="O6" s="5786">
        <v>0</v>
      </c>
      <c r="P6" s="5786">
        <v>0</v>
      </c>
      <c r="Q6" s="2476">
        <v>1976769.3</v>
      </c>
      <c r="R6" s="2477">
        <v>1976769</v>
      </c>
      <c r="S6" s="2477" t="b">
        <v>1</v>
      </c>
      <c r="T6" s="5786">
        <v>282395.57142857142</v>
      </c>
      <c r="U6" s="5786">
        <v>0</v>
      </c>
      <c r="V6" s="863">
        <v>1014292</v>
      </c>
      <c r="W6" s="863">
        <v>1014292</v>
      </c>
      <c r="X6" s="863" t="b">
        <v>1</v>
      </c>
      <c r="Y6" s="863">
        <v>15368.060606060606</v>
      </c>
      <c r="AB6" s="863" t="s">
        <v>2129</v>
      </c>
      <c r="AE6">
        <v>90</v>
      </c>
      <c r="AF6" s="3965">
        <v>66</v>
      </c>
      <c r="AG6" s="3965" t="b">
        <v>1</v>
      </c>
      <c r="AH6">
        <v>102</v>
      </c>
      <c r="AI6" t="s">
        <v>2129</v>
      </c>
      <c r="AJ6">
        <v>51</v>
      </c>
      <c r="AK6" t="s">
        <v>2129</v>
      </c>
      <c r="AL6">
        <v>44</v>
      </c>
      <c r="AM6" t="s">
        <v>2129</v>
      </c>
      <c r="AN6" t="s">
        <v>2129</v>
      </c>
      <c r="AO6">
        <v>-15</v>
      </c>
      <c r="AQ6">
        <v>-22</v>
      </c>
      <c r="AV6" t="s">
        <v>2129</v>
      </c>
      <c r="AW6" t="s">
        <v>2129</v>
      </c>
      <c r="AX6" t="s">
        <v>2129</v>
      </c>
      <c r="AY6" t="s">
        <v>2129</v>
      </c>
      <c r="AZ6" t="s">
        <v>2129</v>
      </c>
      <c r="BA6">
        <v>11</v>
      </c>
      <c r="BB6" t="s">
        <v>2129</v>
      </c>
      <c r="BC6" t="s">
        <v>2129</v>
      </c>
      <c r="BD6" t="s">
        <v>2129</v>
      </c>
      <c r="BE6" t="s">
        <v>2129</v>
      </c>
      <c r="BF6">
        <v>10</v>
      </c>
      <c r="BG6" t="s">
        <v>2129</v>
      </c>
      <c r="BH6" s="1958" t="s">
        <v>2129</v>
      </c>
      <c r="BI6"/>
      <c r="BJ6" s="863" t="s">
        <v>2129</v>
      </c>
      <c r="BK6" s="863" t="s">
        <v>2129</v>
      </c>
      <c r="BL6" s="863" t="s">
        <v>2129</v>
      </c>
      <c r="BM6" s="863" t="s">
        <v>2129</v>
      </c>
      <c r="BN6" s="863">
        <v>8621482</v>
      </c>
      <c r="BO6" s="863" t="s">
        <v>2129</v>
      </c>
      <c r="BP6" s="863" t="s">
        <v>2129</v>
      </c>
      <c r="BQ6" s="863" t="s">
        <v>2129</v>
      </c>
      <c r="BR6" s="863" t="s">
        <v>2129</v>
      </c>
      <c r="BS6" s="863" t="s">
        <v>2129</v>
      </c>
      <c r="BT6" s="863" t="s">
        <v>2129</v>
      </c>
      <c r="BU6" s="863" t="s">
        <v>2129</v>
      </c>
      <c r="BV6" s="863">
        <v>6761946.666666666</v>
      </c>
      <c r="BW6" s="863" t="s">
        <v>2129</v>
      </c>
      <c r="BX6" s="863" t="s">
        <v>2129</v>
      </c>
      <c r="BY6" s="863" t="s">
        <v>2129</v>
      </c>
      <c r="BZ6" s="863" t="s">
        <v>2129</v>
      </c>
      <c r="CA6" s="863" t="s">
        <v>2129</v>
      </c>
      <c r="CB6" s="863"/>
      <c r="CC6" s="863" t="s">
        <v>2129</v>
      </c>
      <c r="CD6" s="863" t="s">
        <v>2129</v>
      </c>
      <c r="CE6" s="863" t="s">
        <v>2129</v>
      </c>
      <c r="CF6" s="863" t="s">
        <v>2129</v>
      </c>
      <c r="CG6" s="863"/>
      <c r="CH6" s="5785"/>
    </row>
    <row r="7" spans="1:86" s="5782" customFormat="1" ht="13" hidden="1">
      <c r="A7" s="5782">
        <v>10</v>
      </c>
      <c r="B7" s="5783" t="s">
        <v>3235</v>
      </c>
      <c r="C7" s="5784" t="s">
        <v>2129</v>
      </c>
      <c r="D7" s="5784" t="s">
        <v>2129</v>
      </c>
      <c r="E7" s="5784" t="s">
        <v>2129</v>
      </c>
      <c r="F7" s="5784" t="s">
        <v>2129</v>
      </c>
      <c r="G7" s="5784" t="s">
        <v>2129</v>
      </c>
      <c r="H7" s="5784">
        <v>0</v>
      </c>
      <c r="I7" s="5784">
        <v>0</v>
      </c>
      <c r="J7" s="5785" t="b">
        <v>1</v>
      </c>
      <c r="K7" s="5785" t="s">
        <v>2129</v>
      </c>
      <c r="L7" s="5786">
        <v>0</v>
      </c>
      <c r="M7" s="5786">
        <v>0</v>
      </c>
      <c r="N7" s="5786">
        <v>0</v>
      </c>
      <c r="O7" s="5786">
        <v>0</v>
      </c>
      <c r="P7" s="5786">
        <v>0</v>
      </c>
      <c r="Q7" s="2476">
        <v>0</v>
      </c>
      <c r="R7" s="5787">
        <v>0</v>
      </c>
      <c r="S7" s="2477" t="b">
        <v>1</v>
      </c>
      <c r="T7" s="5787" t="s">
        <v>2129</v>
      </c>
      <c r="U7" s="5787">
        <v>0</v>
      </c>
      <c r="V7" s="5788">
        <v>882362</v>
      </c>
      <c r="W7" s="5788">
        <v>882362</v>
      </c>
      <c r="X7" s="5788" t="b">
        <v>1</v>
      </c>
      <c r="Y7" s="5788">
        <v>16648.33962264151</v>
      </c>
      <c r="Z7" s="5788"/>
      <c r="AA7" s="5788"/>
      <c r="AB7" s="5788" t="s">
        <v>2129</v>
      </c>
      <c r="AC7" s="5788"/>
      <c r="AD7" s="5788"/>
      <c r="AE7" s="5782">
        <v>77</v>
      </c>
      <c r="AF7" s="5789">
        <v>53</v>
      </c>
      <c r="AG7" s="5789" t="b">
        <v>1</v>
      </c>
      <c r="AH7" s="5782">
        <v>89</v>
      </c>
      <c r="AI7" s="5782" t="s">
        <v>2129</v>
      </c>
      <c r="AJ7" s="5782" t="s">
        <v>2129</v>
      </c>
      <c r="AK7" s="5782" t="s">
        <v>2129</v>
      </c>
      <c r="AL7" s="5782" t="s">
        <v>2129</v>
      </c>
      <c r="AM7" s="5782" t="s">
        <v>2129</v>
      </c>
      <c r="AN7" s="5782" t="s">
        <v>2129</v>
      </c>
      <c r="AO7" s="5782" t="s">
        <v>2129</v>
      </c>
      <c r="AQ7" s="5782" t="s">
        <v>2129</v>
      </c>
      <c r="AV7" s="5782" t="s">
        <v>2129</v>
      </c>
      <c r="AW7" s="5782" t="s">
        <v>2129</v>
      </c>
      <c r="AX7" s="5782" t="s">
        <v>2129</v>
      </c>
      <c r="AY7" s="5782" t="s">
        <v>2129</v>
      </c>
      <c r="AZ7" s="5782" t="s">
        <v>2129</v>
      </c>
      <c r="BA7" s="5782" t="s">
        <v>2129</v>
      </c>
      <c r="BB7" s="5782" t="s">
        <v>2129</v>
      </c>
      <c r="BC7" s="5782" t="s">
        <v>2129</v>
      </c>
      <c r="BD7" s="5782" t="s">
        <v>2129</v>
      </c>
      <c r="BE7" s="5782" t="s">
        <v>2129</v>
      </c>
      <c r="BF7" s="5782" t="s">
        <v>2129</v>
      </c>
      <c r="BG7" s="5782" t="s">
        <v>2129</v>
      </c>
      <c r="BH7" s="5788" t="s">
        <v>2129</v>
      </c>
      <c r="BJ7" s="5788" t="s">
        <v>2129</v>
      </c>
      <c r="BK7" s="5788" t="s">
        <v>2129</v>
      </c>
      <c r="BL7" s="5788" t="s">
        <v>2129</v>
      </c>
      <c r="BM7" s="5788" t="s">
        <v>2129</v>
      </c>
      <c r="BN7" s="5788" t="s">
        <v>2129</v>
      </c>
      <c r="BO7" s="5788" t="s">
        <v>2129</v>
      </c>
      <c r="BP7" s="5788" t="s">
        <v>2129</v>
      </c>
      <c r="BQ7" s="5788" t="s">
        <v>2129</v>
      </c>
      <c r="BR7" s="5788" t="s">
        <v>2129</v>
      </c>
      <c r="BS7" s="5788" t="s">
        <v>2129</v>
      </c>
      <c r="BT7" s="5788" t="s">
        <v>2129</v>
      </c>
      <c r="BU7" s="5788" t="s">
        <v>2129</v>
      </c>
      <c r="BV7" s="5788" t="s">
        <v>2129</v>
      </c>
      <c r="BW7" s="5788" t="s">
        <v>2129</v>
      </c>
      <c r="BX7" s="5788" t="s">
        <v>2129</v>
      </c>
      <c r="BY7" s="5788" t="s">
        <v>2129</v>
      </c>
      <c r="BZ7" s="5788" t="s">
        <v>2129</v>
      </c>
      <c r="CA7" s="5788" t="s">
        <v>2129</v>
      </c>
      <c r="CB7" s="5788"/>
      <c r="CC7" s="5788" t="s">
        <v>2129</v>
      </c>
      <c r="CD7" s="5788" t="s">
        <v>2129</v>
      </c>
      <c r="CE7" s="5788" t="s">
        <v>2129</v>
      </c>
      <c r="CF7" s="5788" t="s">
        <v>2129</v>
      </c>
      <c r="CG7" s="5788"/>
      <c r="CH7" s="5784"/>
    </row>
    <row r="8" spans="1:86" ht="13">
      <c r="A8">
        <v>12</v>
      </c>
      <c r="B8" s="196" t="s">
        <v>3236</v>
      </c>
      <c r="C8" s="5790" t="s">
        <v>6598</v>
      </c>
      <c r="D8" s="5790" t="s">
        <v>6599</v>
      </c>
      <c r="E8" s="5790" t="s">
        <v>2129</v>
      </c>
      <c r="F8" s="5785" t="s">
        <v>2129</v>
      </c>
      <c r="G8" s="5785" t="s">
        <v>2129</v>
      </c>
      <c r="H8" s="5785">
        <v>9</v>
      </c>
      <c r="I8" s="5785">
        <v>4</v>
      </c>
      <c r="J8" s="5785" t="b">
        <v>1</v>
      </c>
      <c r="K8" s="5785" t="s">
        <v>2129</v>
      </c>
      <c r="L8" s="5786">
        <v>1384711</v>
      </c>
      <c r="M8" s="5786">
        <v>0</v>
      </c>
      <c r="N8" s="5786">
        <v>0</v>
      </c>
      <c r="O8" s="5786">
        <v>0</v>
      </c>
      <c r="P8" s="5786">
        <v>0</v>
      </c>
      <c r="Q8" s="2476">
        <v>1523182.1</v>
      </c>
      <c r="R8" s="2477">
        <v>1138826</v>
      </c>
      <c r="S8" s="2477" t="b">
        <v>1</v>
      </c>
      <c r="T8" s="5786">
        <v>284706.5</v>
      </c>
      <c r="U8" s="5786">
        <v>741534</v>
      </c>
      <c r="V8" s="863">
        <v>2650925</v>
      </c>
      <c r="W8" s="863">
        <v>1909391</v>
      </c>
      <c r="X8" s="863" t="b">
        <v>1</v>
      </c>
      <c r="Y8" s="863">
        <v>13078.020547945205</v>
      </c>
      <c r="Z8" s="863">
        <v>8353</v>
      </c>
      <c r="AA8" s="863">
        <v>20706</v>
      </c>
      <c r="AB8" s="863">
        <v>8878.8235294117658</v>
      </c>
      <c r="AC8" s="863">
        <v>1100</v>
      </c>
      <c r="AE8">
        <v>224</v>
      </c>
      <c r="AF8" s="3965">
        <v>146</v>
      </c>
      <c r="AG8" s="3965" t="b">
        <v>1</v>
      </c>
      <c r="AH8" s="2814">
        <v>241</v>
      </c>
      <c r="AI8">
        <v>187</v>
      </c>
      <c r="AJ8" t="s">
        <v>2129</v>
      </c>
      <c r="AK8" t="s">
        <v>2129</v>
      </c>
      <c r="AL8" t="s">
        <v>2129</v>
      </c>
      <c r="AM8" t="s">
        <v>2129</v>
      </c>
      <c r="AN8">
        <v>41</v>
      </c>
      <c r="AQ8" t="s">
        <v>2129</v>
      </c>
      <c r="AV8">
        <v>23</v>
      </c>
      <c r="AW8">
        <v>29</v>
      </c>
      <c r="AX8" t="s">
        <v>2129</v>
      </c>
      <c r="AY8" t="s">
        <v>2129</v>
      </c>
      <c r="AZ8" t="s">
        <v>2129</v>
      </c>
      <c r="BA8" t="s">
        <v>2129</v>
      </c>
      <c r="BB8" t="s">
        <v>2129</v>
      </c>
      <c r="BC8" t="s">
        <v>2129</v>
      </c>
      <c r="BD8" t="s">
        <v>2129</v>
      </c>
      <c r="BE8" t="s">
        <v>2129</v>
      </c>
      <c r="BF8" t="s">
        <v>2129</v>
      </c>
      <c r="BG8" t="s">
        <v>2129</v>
      </c>
      <c r="BH8" s="1958">
        <v>43915993</v>
      </c>
      <c r="BI8" s="1958">
        <v>55372339</v>
      </c>
      <c r="BJ8" s="1958" t="s">
        <v>2129</v>
      </c>
      <c r="BK8" s="1958" t="s">
        <v>2129</v>
      </c>
      <c r="BL8" s="1958" t="s">
        <v>2129</v>
      </c>
      <c r="BM8" s="1958" t="s">
        <v>2129</v>
      </c>
      <c r="BN8" s="1958" t="s">
        <v>2129</v>
      </c>
      <c r="BO8" s="1958" t="s">
        <v>2129</v>
      </c>
      <c r="BP8" s="1958" t="s">
        <v>2129</v>
      </c>
      <c r="BQ8" s="863" t="s">
        <v>2129</v>
      </c>
      <c r="BR8" s="863" t="s">
        <v>2129</v>
      </c>
      <c r="BS8" s="1958" t="s">
        <v>2129</v>
      </c>
      <c r="BT8" s="1958" t="s">
        <v>2129</v>
      </c>
      <c r="BU8" s="1958" t="s">
        <v>2129</v>
      </c>
      <c r="BV8" s="1958" t="s">
        <v>2129</v>
      </c>
      <c r="BW8" s="1958" t="s">
        <v>2129</v>
      </c>
      <c r="BX8" s="1958">
        <v>26192998</v>
      </c>
      <c r="BY8" s="1958">
        <v>33025954</v>
      </c>
      <c r="BZ8" s="1958" t="s">
        <v>2129</v>
      </c>
      <c r="CA8" s="1958" t="s">
        <v>2129</v>
      </c>
      <c r="CC8" s="1958" t="s">
        <v>2129</v>
      </c>
      <c r="CD8" s="1958" t="s">
        <v>2129</v>
      </c>
      <c r="CE8" s="1958" t="s">
        <v>2129</v>
      </c>
      <c r="CF8" s="1958" t="s">
        <v>2129</v>
      </c>
      <c r="CH8" s="5785"/>
    </row>
    <row r="9" spans="1:86" ht="13" hidden="1">
      <c r="A9">
        <v>15</v>
      </c>
      <c r="B9" s="5791" t="s">
        <v>3237</v>
      </c>
      <c r="C9" s="2694" t="s">
        <v>2129</v>
      </c>
      <c r="D9" s="2694" t="s">
        <v>3791</v>
      </c>
      <c r="E9" s="2694" t="s">
        <v>2129</v>
      </c>
      <c r="F9" s="5785" t="s">
        <v>2129</v>
      </c>
      <c r="G9" s="5785" t="s">
        <v>2129</v>
      </c>
      <c r="H9" s="5785">
        <v>7</v>
      </c>
      <c r="I9" s="5785">
        <v>4</v>
      </c>
      <c r="J9" s="5785" t="b">
        <v>1</v>
      </c>
      <c r="K9" s="5785" t="s">
        <v>2129</v>
      </c>
      <c r="L9" s="5786">
        <v>2249182</v>
      </c>
      <c r="M9" s="5786">
        <v>94120</v>
      </c>
      <c r="N9" s="5786">
        <v>0</v>
      </c>
      <c r="O9" s="5786">
        <v>0</v>
      </c>
      <c r="P9" s="5786">
        <v>0</v>
      </c>
      <c r="Q9" s="2476">
        <v>2577632.2000000002</v>
      </c>
      <c r="R9" s="2477">
        <v>1808923</v>
      </c>
      <c r="S9" s="2477" t="b">
        <v>0</v>
      </c>
      <c r="T9" s="5786">
        <v>452230.75</v>
      </c>
      <c r="U9" s="5786">
        <v>0</v>
      </c>
      <c r="V9" s="863">
        <v>1151291</v>
      </c>
      <c r="W9" s="863">
        <v>1151291</v>
      </c>
      <c r="X9" s="863" t="b">
        <v>1</v>
      </c>
      <c r="Y9" s="863">
        <v>16447.014285714286</v>
      </c>
      <c r="AB9" s="863" t="s">
        <v>2129</v>
      </c>
      <c r="AC9" s="863">
        <v>2200</v>
      </c>
      <c r="AE9">
        <v>73</v>
      </c>
      <c r="AF9" s="3965">
        <v>70</v>
      </c>
      <c r="AG9" s="3965" t="b">
        <v>1</v>
      </c>
      <c r="AH9">
        <v>90</v>
      </c>
      <c r="AI9" t="s">
        <v>2129</v>
      </c>
      <c r="AJ9">
        <v>64</v>
      </c>
      <c r="AK9" t="s">
        <v>2129</v>
      </c>
      <c r="AL9" t="s">
        <v>2129</v>
      </c>
      <c r="AM9" t="s">
        <v>2129</v>
      </c>
      <c r="AN9" t="s">
        <v>2129</v>
      </c>
      <c r="AQ9" t="s">
        <v>2129</v>
      </c>
      <c r="AV9" s="191" t="s">
        <v>2129</v>
      </c>
      <c r="AW9" t="s">
        <v>2129</v>
      </c>
      <c r="AX9" t="s">
        <v>2129</v>
      </c>
      <c r="AY9" t="s">
        <v>2129</v>
      </c>
      <c r="AZ9" t="s">
        <v>2129</v>
      </c>
      <c r="BA9">
        <v>11</v>
      </c>
      <c r="BB9" t="s">
        <v>2129</v>
      </c>
      <c r="BC9" t="s">
        <v>2129</v>
      </c>
      <c r="BD9" t="s">
        <v>2129</v>
      </c>
      <c r="BE9" t="s">
        <v>2129</v>
      </c>
      <c r="BF9" t="s">
        <v>2129</v>
      </c>
      <c r="BG9" t="s">
        <v>2129</v>
      </c>
      <c r="BH9" s="1958" t="s">
        <v>2129</v>
      </c>
      <c r="BI9" s="1958" t="s">
        <v>2129</v>
      </c>
      <c r="BJ9" s="1958" t="s">
        <v>2129</v>
      </c>
      <c r="BK9" s="1958" t="s">
        <v>2129</v>
      </c>
      <c r="BL9" s="1958" t="s">
        <v>2129</v>
      </c>
      <c r="BM9" s="1958" t="s">
        <v>2129</v>
      </c>
      <c r="BN9" s="1958">
        <v>11578698.057142857</v>
      </c>
      <c r="BO9" s="1958" t="s">
        <v>2129</v>
      </c>
      <c r="BP9" s="1958" t="s">
        <v>2129</v>
      </c>
      <c r="BQ9" s="863" t="s">
        <v>2129</v>
      </c>
      <c r="BR9" s="863" t="s">
        <v>2129</v>
      </c>
      <c r="BS9" s="1958" t="s">
        <v>2129</v>
      </c>
      <c r="BT9" s="1958" t="s">
        <v>2129</v>
      </c>
      <c r="BU9" s="1958" t="s">
        <v>2129</v>
      </c>
      <c r="BV9" s="1958" t="s">
        <v>2129</v>
      </c>
      <c r="BW9" s="1958" t="s">
        <v>2129</v>
      </c>
      <c r="BX9" s="1958" t="s">
        <v>2129</v>
      </c>
      <c r="BY9" s="1958" t="s">
        <v>2129</v>
      </c>
      <c r="BZ9" s="1958" t="s">
        <v>2129</v>
      </c>
      <c r="CA9" s="1958" t="s">
        <v>2129</v>
      </c>
      <c r="CC9" s="1958" t="s">
        <v>2129</v>
      </c>
      <c r="CD9" s="1958" t="s">
        <v>2129</v>
      </c>
      <c r="CE9" s="1958" t="s">
        <v>2129</v>
      </c>
      <c r="CF9" s="1958" t="s">
        <v>2129</v>
      </c>
      <c r="CH9" s="5785"/>
    </row>
    <row r="10" spans="1:86" s="5782" customFormat="1" ht="13" hidden="1">
      <c r="A10" s="5782">
        <v>20</v>
      </c>
      <c r="B10" s="5783" t="s">
        <v>3238</v>
      </c>
      <c r="C10" s="5784" t="s">
        <v>2129</v>
      </c>
      <c r="D10" s="5784" t="s">
        <v>2129</v>
      </c>
      <c r="E10" s="5784" t="s">
        <v>2129</v>
      </c>
      <c r="F10" s="5784" t="s">
        <v>2129</v>
      </c>
      <c r="G10" s="5784" t="s">
        <v>2129</v>
      </c>
      <c r="H10" s="5784">
        <v>11</v>
      </c>
      <c r="I10" s="5784">
        <v>7</v>
      </c>
      <c r="J10" s="5785" t="b">
        <v>0</v>
      </c>
      <c r="K10" s="5785" t="s">
        <v>2129</v>
      </c>
      <c r="L10" s="5786">
        <v>427062</v>
      </c>
      <c r="M10" s="5786">
        <v>0</v>
      </c>
      <c r="N10" s="5786">
        <v>0</v>
      </c>
      <c r="O10" s="5786">
        <v>0</v>
      </c>
      <c r="P10" s="5786">
        <v>0</v>
      </c>
      <c r="Q10" s="2476">
        <v>469768.2</v>
      </c>
      <c r="R10" s="5787">
        <v>469768</v>
      </c>
      <c r="S10" s="2477" t="b">
        <v>0</v>
      </c>
      <c r="T10" s="5787">
        <v>67109.71428571429</v>
      </c>
      <c r="U10" s="5787">
        <v>0</v>
      </c>
      <c r="V10" s="5788">
        <v>571235</v>
      </c>
      <c r="W10" s="5788">
        <v>571235</v>
      </c>
      <c r="X10" s="5788" t="b">
        <v>1</v>
      </c>
      <c r="Y10" s="5788">
        <v>9067.2222222222226</v>
      </c>
      <c r="Z10" s="5788"/>
      <c r="AA10" s="5788"/>
      <c r="AB10" s="5788" t="s">
        <v>2129</v>
      </c>
      <c r="AC10" s="5788"/>
      <c r="AD10" s="5788"/>
      <c r="AE10" s="5782">
        <v>63</v>
      </c>
      <c r="AF10" s="5789">
        <v>63</v>
      </c>
      <c r="AG10" s="5789" t="b">
        <v>1</v>
      </c>
      <c r="AH10" s="5782">
        <v>80</v>
      </c>
      <c r="AI10" s="5782" t="s">
        <v>2129</v>
      </c>
      <c r="AJ10" s="5782" t="s">
        <v>2129</v>
      </c>
      <c r="AK10" s="5782" t="s">
        <v>2129</v>
      </c>
      <c r="AL10" s="5782" t="s">
        <v>2129</v>
      </c>
      <c r="AM10" s="5782" t="s">
        <v>2129</v>
      </c>
      <c r="AN10" s="5782" t="s">
        <v>2129</v>
      </c>
      <c r="AQ10" s="5782" t="s">
        <v>2129</v>
      </c>
      <c r="AV10" s="5782" t="s">
        <v>2129</v>
      </c>
      <c r="AW10" s="5782" t="s">
        <v>2129</v>
      </c>
      <c r="AX10" s="5782" t="s">
        <v>2129</v>
      </c>
      <c r="AY10" s="5782" t="s">
        <v>2129</v>
      </c>
      <c r="AZ10" s="5782" t="s">
        <v>2129</v>
      </c>
      <c r="BA10" s="5782" t="s">
        <v>2129</v>
      </c>
      <c r="BB10" s="5782" t="s">
        <v>2129</v>
      </c>
      <c r="BC10" s="5782" t="s">
        <v>2129</v>
      </c>
      <c r="BD10" s="5782" t="s">
        <v>2129</v>
      </c>
      <c r="BE10" s="5782" t="s">
        <v>2129</v>
      </c>
      <c r="BF10" s="5782" t="s">
        <v>2129</v>
      </c>
      <c r="BG10" s="5782" t="s">
        <v>2129</v>
      </c>
      <c r="BH10" s="5788" t="s">
        <v>2129</v>
      </c>
      <c r="BJ10" s="5788" t="s">
        <v>2129</v>
      </c>
      <c r="BK10" s="5788" t="s">
        <v>2129</v>
      </c>
      <c r="BL10" s="5788" t="s">
        <v>2129</v>
      </c>
      <c r="BM10" s="5788" t="s">
        <v>2129</v>
      </c>
      <c r="BN10" s="5788" t="s">
        <v>2129</v>
      </c>
      <c r="BO10" s="5788" t="s">
        <v>2129</v>
      </c>
      <c r="BP10" s="5788" t="s">
        <v>2129</v>
      </c>
      <c r="BQ10" s="5788" t="s">
        <v>2129</v>
      </c>
      <c r="BR10" s="5788" t="s">
        <v>2129</v>
      </c>
      <c r="BS10" s="5788" t="s">
        <v>2129</v>
      </c>
      <c r="BT10" s="5788" t="s">
        <v>2129</v>
      </c>
      <c r="BU10" s="5788" t="s">
        <v>2129</v>
      </c>
      <c r="BV10" s="5788" t="s">
        <v>2129</v>
      </c>
      <c r="BW10" s="5788" t="s">
        <v>2129</v>
      </c>
      <c r="BX10" s="5788" t="s">
        <v>2129</v>
      </c>
      <c r="BY10" s="5788" t="s">
        <v>2129</v>
      </c>
      <c r="BZ10" s="5788" t="s">
        <v>2129</v>
      </c>
      <c r="CA10" s="5788" t="s">
        <v>2129</v>
      </c>
      <c r="CB10" s="5788"/>
      <c r="CC10" s="5788" t="s">
        <v>2129</v>
      </c>
      <c r="CD10" s="5788" t="s">
        <v>2129</v>
      </c>
      <c r="CE10" s="5788" t="s">
        <v>2129</v>
      </c>
      <c r="CF10" s="5788" t="s">
        <v>2129</v>
      </c>
      <c r="CG10" s="5788"/>
      <c r="CH10" s="5784"/>
    </row>
    <row r="11" spans="1:86" ht="13" hidden="1">
      <c r="A11">
        <v>21</v>
      </c>
      <c r="B11" s="196" t="s">
        <v>3239</v>
      </c>
      <c r="C11" s="5785" t="s">
        <v>2129</v>
      </c>
      <c r="D11" s="5785" t="s">
        <v>2129</v>
      </c>
      <c r="E11" s="5785" t="s">
        <v>2129</v>
      </c>
      <c r="F11" s="5785" t="s">
        <v>3791</v>
      </c>
      <c r="G11" s="5785" t="s">
        <v>2129</v>
      </c>
      <c r="H11" s="5785">
        <v>15</v>
      </c>
      <c r="I11" s="5785">
        <v>13</v>
      </c>
      <c r="J11" s="5785" t="b">
        <v>0</v>
      </c>
      <c r="K11" s="5785" t="s">
        <v>2129</v>
      </c>
      <c r="L11" s="5786">
        <v>2083772</v>
      </c>
      <c r="M11" s="5786">
        <v>0</v>
      </c>
      <c r="N11" s="5786">
        <v>0</v>
      </c>
      <c r="O11" s="5786">
        <v>0</v>
      </c>
      <c r="P11" s="5786">
        <v>0</v>
      </c>
      <c r="Q11" s="2476">
        <v>2292149.2000000002</v>
      </c>
      <c r="R11" s="2477">
        <v>2292149</v>
      </c>
      <c r="S11" s="2477" t="b">
        <v>0</v>
      </c>
      <c r="T11" s="5786">
        <v>176319.15384615384</v>
      </c>
      <c r="U11" s="5786">
        <v>0</v>
      </c>
      <c r="V11" s="863">
        <v>1527110</v>
      </c>
      <c r="W11" s="863">
        <v>1527110</v>
      </c>
      <c r="X11" s="863" t="b">
        <v>1</v>
      </c>
      <c r="Y11" s="863">
        <v>27269.821428571428</v>
      </c>
      <c r="AB11" s="863" t="s">
        <v>2129</v>
      </c>
      <c r="AE11">
        <v>56</v>
      </c>
      <c r="AF11" s="3965">
        <v>56</v>
      </c>
      <c r="AG11" s="3965" t="b">
        <v>1</v>
      </c>
      <c r="AH11">
        <v>74</v>
      </c>
      <c r="AI11" t="s">
        <v>2129</v>
      </c>
      <c r="AJ11" t="s">
        <v>2129</v>
      </c>
      <c r="AK11" t="s">
        <v>2129</v>
      </c>
      <c r="AL11">
        <v>8</v>
      </c>
      <c r="AM11" t="s">
        <v>2129</v>
      </c>
      <c r="AN11" t="s">
        <v>2129</v>
      </c>
      <c r="AQ11">
        <v>-48</v>
      </c>
      <c r="AV11" t="s">
        <v>2129</v>
      </c>
      <c r="AW11" t="s">
        <v>2129</v>
      </c>
      <c r="AX11" t="s">
        <v>2129</v>
      </c>
      <c r="AY11" t="s">
        <v>2129</v>
      </c>
      <c r="AZ11" t="s">
        <v>2129</v>
      </c>
      <c r="BA11" t="s">
        <v>2129</v>
      </c>
      <c r="BB11" t="s">
        <v>2129</v>
      </c>
      <c r="BC11" t="s">
        <v>2129</v>
      </c>
      <c r="BD11" t="s">
        <v>2129</v>
      </c>
      <c r="BE11" t="s">
        <v>2129</v>
      </c>
      <c r="BF11">
        <v>10</v>
      </c>
      <c r="BG11" t="s">
        <v>2129</v>
      </c>
      <c r="BH11" s="1958" t="s">
        <v>2129</v>
      </c>
      <c r="BI11"/>
      <c r="BJ11" s="863" t="s">
        <v>2129</v>
      </c>
      <c r="BK11" s="863" t="s">
        <v>2129</v>
      </c>
      <c r="BL11" s="863" t="s">
        <v>2129</v>
      </c>
      <c r="BM11" s="863" t="s">
        <v>2129</v>
      </c>
      <c r="BN11" s="863" t="s">
        <v>2129</v>
      </c>
      <c r="BO11" s="863" t="s">
        <v>2129</v>
      </c>
      <c r="BP11" s="863" t="s">
        <v>2129</v>
      </c>
      <c r="BQ11" s="863" t="s">
        <v>2129</v>
      </c>
      <c r="BR11" s="863" t="s">
        <v>2129</v>
      </c>
      <c r="BS11" s="863" t="s">
        <v>2129</v>
      </c>
      <c r="BT11" s="863" t="s">
        <v>2129</v>
      </c>
      <c r="BU11" s="863" t="s">
        <v>2129</v>
      </c>
      <c r="BV11" s="863">
        <v>2181585.7142857141</v>
      </c>
      <c r="BW11" s="863" t="s">
        <v>2129</v>
      </c>
      <c r="BX11" s="863" t="s">
        <v>2129</v>
      </c>
      <c r="BY11" s="863" t="s">
        <v>2129</v>
      </c>
      <c r="BZ11" s="863" t="s">
        <v>2129</v>
      </c>
      <c r="CA11" s="863" t="s">
        <v>2129</v>
      </c>
      <c r="CB11" s="863"/>
      <c r="CC11" s="863" t="s">
        <v>2129</v>
      </c>
      <c r="CD11" s="863" t="s">
        <v>2129</v>
      </c>
      <c r="CE11" s="863" t="s">
        <v>2129</v>
      </c>
      <c r="CF11" s="863" t="s">
        <v>2129</v>
      </c>
      <c r="CG11" s="863"/>
      <c r="CH11" s="5785"/>
    </row>
    <row r="12" spans="1:86" ht="13" hidden="1">
      <c r="A12">
        <v>22</v>
      </c>
      <c r="B12" s="196" t="s">
        <v>3240</v>
      </c>
      <c r="C12" s="5785" t="s">
        <v>2129</v>
      </c>
      <c r="D12" s="2694" t="s">
        <v>3791</v>
      </c>
      <c r="E12" s="2694" t="s">
        <v>2129</v>
      </c>
      <c r="F12" s="5785" t="s">
        <v>2129</v>
      </c>
      <c r="G12" s="5785" t="s">
        <v>2129</v>
      </c>
      <c r="H12" s="5785">
        <v>0</v>
      </c>
      <c r="I12" s="5785">
        <v>0</v>
      </c>
      <c r="J12" s="5785" t="b">
        <v>0</v>
      </c>
      <c r="K12" s="5785" t="s">
        <v>2129</v>
      </c>
      <c r="L12" s="5786">
        <v>0</v>
      </c>
      <c r="M12" s="5786">
        <v>0</v>
      </c>
      <c r="N12" s="5786">
        <v>0</v>
      </c>
      <c r="O12" s="5786">
        <v>0</v>
      </c>
      <c r="P12" s="5786">
        <v>0</v>
      </c>
      <c r="Q12" s="2476">
        <v>0</v>
      </c>
      <c r="R12" s="2477">
        <v>0</v>
      </c>
      <c r="S12" s="2477" t="b">
        <v>1</v>
      </c>
      <c r="T12" s="5786" t="s">
        <v>2129</v>
      </c>
      <c r="U12" s="5786">
        <v>0</v>
      </c>
      <c r="V12" s="863">
        <v>5113662</v>
      </c>
      <c r="W12" s="863">
        <v>5113662</v>
      </c>
      <c r="X12" s="863" t="b">
        <v>1</v>
      </c>
      <c r="Y12" s="863">
        <v>19517.793893129772</v>
      </c>
      <c r="AB12" s="863" t="s">
        <v>2129</v>
      </c>
      <c r="AE12">
        <v>262</v>
      </c>
      <c r="AF12" s="3965">
        <v>262</v>
      </c>
      <c r="AG12" s="3965" t="b">
        <v>1</v>
      </c>
      <c r="AH12">
        <v>262</v>
      </c>
      <c r="AI12" t="s">
        <v>2129</v>
      </c>
      <c r="AJ12">
        <v>216</v>
      </c>
      <c r="AK12" t="s">
        <v>2129</v>
      </c>
      <c r="AL12" t="s">
        <v>2129</v>
      </c>
      <c r="AM12" t="s">
        <v>2129</v>
      </c>
      <c r="AN12" t="s">
        <v>2129</v>
      </c>
      <c r="AQ12" t="s">
        <v>2129</v>
      </c>
      <c r="AV12" t="s">
        <v>2129</v>
      </c>
      <c r="AW12" t="s">
        <v>2129</v>
      </c>
      <c r="AX12" t="s">
        <v>2129</v>
      </c>
      <c r="AY12" t="s">
        <v>2129</v>
      </c>
      <c r="AZ12" t="s">
        <v>2129</v>
      </c>
      <c r="BA12">
        <v>11</v>
      </c>
      <c r="BB12" t="s">
        <v>2129</v>
      </c>
      <c r="BC12" t="s">
        <v>2129</v>
      </c>
      <c r="BD12" t="s">
        <v>2129</v>
      </c>
      <c r="BE12" t="s">
        <v>2129</v>
      </c>
      <c r="BF12" t="s">
        <v>2129</v>
      </c>
      <c r="BG12" t="s">
        <v>2129</v>
      </c>
      <c r="BH12" s="1958" t="s">
        <v>2129</v>
      </c>
      <c r="BI12"/>
      <c r="BJ12" s="863" t="s">
        <v>2129</v>
      </c>
      <c r="BK12" s="863" t="s">
        <v>2129</v>
      </c>
      <c r="BL12" s="863" t="s">
        <v>2129</v>
      </c>
      <c r="BM12" s="863" t="s">
        <v>2129</v>
      </c>
      <c r="BN12" s="863">
        <v>46374278.290076338</v>
      </c>
      <c r="BO12" s="863" t="s">
        <v>2129</v>
      </c>
      <c r="BP12" s="863" t="s">
        <v>2129</v>
      </c>
      <c r="BQ12" s="863" t="s">
        <v>2129</v>
      </c>
      <c r="BR12" s="863" t="s">
        <v>2129</v>
      </c>
      <c r="BS12" s="863" t="s">
        <v>2129</v>
      </c>
      <c r="BT12" s="863" t="s">
        <v>2129</v>
      </c>
      <c r="BU12" s="863" t="s">
        <v>2129</v>
      </c>
      <c r="BV12" s="863" t="s">
        <v>2129</v>
      </c>
      <c r="BW12" s="863" t="s">
        <v>2129</v>
      </c>
      <c r="BX12" s="863" t="s">
        <v>2129</v>
      </c>
      <c r="BY12" s="863" t="s">
        <v>2129</v>
      </c>
      <c r="BZ12" s="863" t="s">
        <v>2129</v>
      </c>
      <c r="CA12" s="863" t="s">
        <v>2129</v>
      </c>
      <c r="CB12" s="863"/>
      <c r="CC12" s="863" t="s">
        <v>2129</v>
      </c>
      <c r="CD12" s="863" t="s">
        <v>2129</v>
      </c>
      <c r="CE12" s="863" t="s">
        <v>2129</v>
      </c>
      <c r="CF12" s="863" t="s">
        <v>2129</v>
      </c>
      <c r="CG12" s="863"/>
      <c r="CH12" s="5785"/>
    </row>
    <row r="13" spans="1:86" ht="13">
      <c r="A13">
        <v>24</v>
      </c>
      <c r="B13" s="196" t="s">
        <v>2831</v>
      </c>
      <c r="C13" s="5790" t="s">
        <v>6598</v>
      </c>
      <c r="D13" s="5790" t="s">
        <v>6599</v>
      </c>
      <c r="E13" s="5790" t="s">
        <v>2129</v>
      </c>
      <c r="F13" s="5792" t="s">
        <v>5205</v>
      </c>
      <c r="G13" s="5792" t="s">
        <v>2129</v>
      </c>
      <c r="H13" s="5785">
        <v>16</v>
      </c>
      <c r="I13" s="5785">
        <v>4</v>
      </c>
      <c r="J13" s="5785" t="b">
        <v>1</v>
      </c>
      <c r="K13" s="5785">
        <v>12</v>
      </c>
      <c r="L13" s="5786">
        <v>7455886</v>
      </c>
      <c r="M13" s="5786">
        <v>550005</v>
      </c>
      <c r="N13" s="5786">
        <v>0</v>
      </c>
      <c r="O13" s="5786">
        <v>0</v>
      </c>
      <c r="P13" s="5786">
        <v>0</v>
      </c>
      <c r="Q13" s="2476">
        <v>8806480.1000000015</v>
      </c>
      <c r="R13" s="2477">
        <v>3568661</v>
      </c>
      <c r="S13" s="2477" t="b">
        <v>1</v>
      </c>
      <c r="T13" s="5786">
        <v>892165.25</v>
      </c>
      <c r="U13" s="5786">
        <v>965797</v>
      </c>
      <c r="V13" s="863">
        <v>4070943</v>
      </c>
      <c r="W13" s="863">
        <v>3105146</v>
      </c>
      <c r="X13" s="863" t="b">
        <v>1</v>
      </c>
      <c r="Y13" s="863">
        <v>23172.731343283584</v>
      </c>
      <c r="Z13" s="863">
        <v>14236</v>
      </c>
      <c r="AA13" s="863">
        <v>30000</v>
      </c>
      <c r="AB13" s="863">
        <v>16265.825039287587</v>
      </c>
      <c r="AC13" s="863">
        <v>2200</v>
      </c>
      <c r="AE13">
        <v>243</v>
      </c>
      <c r="AF13" s="3965">
        <v>134</v>
      </c>
      <c r="AG13" s="3965" t="b">
        <v>1</v>
      </c>
      <c r="AH13" s="2814">
        <v>322</v>
      </c>
      <c r="AI13">
        <v>166</v>
      </c>
      <c r="AJ13" t="s">
        <v>2129</v>
      </c>
      <c r="AK13" t="s">
        <v>2129</v>
      </c>
      <c r="AL13">
        <v>243</v>
      </c>
      <c r="AM13" t="s">
        <v>2129</v>
      </c>
      <c r="AN13">
        <v>32</v>
      </c>
      <c r="AQ13">
        <v>109</v>
      </c>
      <c r="AV13">
        <v>21</v>
      </c>
      <c r="AW13">
        <v>26</v>
      </c>
      <c r="AX13" t="s">
        <v>2129</v>
      </c>
      <c r="AY13" t="s">
        <v>2129</v>
      </c>
      <c r="AZ13" t="s">
        <v>2129</v>
      </c>
      <c r="BA13" t="s">
        <v>2129</v>
      </c>
      <c r="BB13" t="s">
        <v>2129</v>
      </c>
      <c r="BC13">
        <v>18</v>
      </c>
      <c r="BD13" t="s">
        <v>2129</v>
      </c>
      <c r="BE13" t="s">
        <v>2129</v>
      </c>
      <c r="BF13" t="s">
        <v>2129</v>
      </c>
      <c r="BG13" t="s">
        <v>2129</v>
      </c>
      <c r="BH13" s="1958">
        <v>65208066</v>
      </c>
      <c r="BI13" s="1958">
        <v>80733796</v>
      </c>
      <c r="BJ13" s="1958" t="s">
        <v>2129</v>
      </c>
      <c r="BK13" s="1958" t="s">
        <v>2129</v>
      </c>
      <c r="BL13" s="1958" t="s">
        <v>2129</v>
      </c>
      <c r="BM13" s="1958" t="s">
        <v>2129</v>
      </c>
      <c r="BN13" s="1958" t="s">
        <v>2129</v>
      </c>
      <c r="BO13" s="1958" t="s">
        <v>2129</v>
      </c>
      <c r="BP13" s="1958">
        <v>101357526.89552239</v>
      </c>
      <c r="BQ13" s="863">
        <v>101357526.89552239</v>
      </c>
      <c r="BR13" s="863" t="s">
        <v>2129</v>
      </c>
      <c r="BS13" s="1958" t="s">
        <v>2129</v>
      </c>
      <c r="BT13" s="1958" t="s">
        <v>2129</v>
      </c>
      <c r="BU13" s="1958" t="s">
        <v>2129</v>
      </c>
      <c r="BV13" s="1958" t="s">
        <v>2129</v>
      </c>
      <c r="BW13" s="1958" t="s">
        <v>2129</v>
      </c>
      <c r="BX13" s="1958">
        <v>74941881</v>
      </c>
      <c r="BY13" s="1958">
        <v>92785186</v>
      </c>
      <c r="BZ13" s="1958" t="s">
        <v>2129</v>
      </c>
      <c r="CA13" s="1958" t="s">
        <v>2129</v>
      </c>
      <c r="CC13" s="863">
        <v>64235898</v>
      </c>
      <c r="CD13" s="1958">
        <v>64235898</v>
      </c>
      <c r="CE13" s="1958" t="s">
        <v>2129</v>
      </c>
      <c r="CF13" s="1958" t="s">
        <v>2129</v>
      </c>
      <c r="CH13" s="5785"/>
    </row>
    <row r="14" spans="1:86" ht="13" hidden="1">
      <c r="A14">
        <v>26</v>
      </c>
      <c r="B14" s="196" t="s">
        <v>3242</v>
      </c>
      <c r="C14" s="5785" t="s">
        <v>2129</v>
      </c>
      <c r="D14" s="5785" t="s">
        <v>3791</v>
      </c>
      <c r="E14" s="5785" t="s">
        <v>2129</v>
      </c>
      <c r="F14" s="5785" t="s">
        <v>3694</v>
      </c>
      <c r="G14" s="5785" t="s">
        <v>2129</v>
      </c>
      <c r="H14" s="5785">
        <v>0</v>
      </c>
      <c r="I14" s="5785">
        <v>0</v>
      </c>
      <c r="J14" s="5785" t="b">
        <v>0</v>
      </c>
      <c r="K14" s="5785" t="s">
        <v>2129</v>
      </c>
      <c r="L14" s="5786">
        <v>0</v>
      </c>
      <c r="M14" s="5786">
        <v>0</v>
      </c>
      <c r="N14" s="5786">
        <v>0</v>
      </c>
      <c r="O14" s="5786">
        <v>0</v>
      </c>
      <c r="P14" s="5786">
        <v>0</v>
      </c>
      <c r="Q14" s="2476">
        <v>0</v>
      </c>
      <c r="R14" s="2477">
        <v>0</v>
      </c>
      <c r="S14" s="2477" t="b">
        <v>1</v>
      </c>
      <c r="T14" s="5786" t="s">
        <v>2129</v>
      </c>
      <c r="U14" s="5786">
        <v>0</v>
      </c>
      <c r="V14" s="1958">
        <v>1190618</v>
      </c>
      <c r="W14" s="1958">
        <v>1190618</v>
      </c>
      <c r="X14" s="5793" t="b">
        <v>1</v>
      </c>
      <c r="Y14" s="863">
        <v>12941.5</v>
      </c>
      <c r="AB14" s="863" t="s">
        <v>2129</v>
      </c>
      <c r="AE14">
        <v>285</v>
      </c>
      <c r="AF14">
        <v>92</v>
      </c>
      <c r="AG14" t="b">
        <v>1</v>
      </c>
      <c r="AH14">
        <v>292</v>
      </c>
      <c r="AI14" t="s">
        <v>2129</v>
      </c>
      <c r="AJ14">
        <v>179</v>
      </c>
      <c r="AK14" t="s">
        <v>2129</v>
      </c>
      <c r="AL14">
        <v>48</v>
      </c>
      <c r="AM14" t="s">
        <v>2129</v>
      </c>
      <c r="AN14">
        <v>87</v>
      </c>
      <c r="AO14">
        <v>87</v>
      </c>
      <c r="AQ14">
        <v>-44</v>
      </c>
      <c r="AR14" t="s">
        <v>2129</v>
      </c>
      <c r="AV14" t="s">
        <v>2129</v>
      </c>
      <c r="AW14" t="s">
        <v>2129</v>
      </c>
      <c r="AX14" t="s">
        <v>2129</v>
      </c>
      <c r="AY14" t="s">
        <v>2129</v>
      </c>
      <c r="AZ14" t="s">
        <v>2129</v>
      </c>
      <c r="BA14">
        <v>11</v>
      </c>
      <c r="BB14" t="s">
        <v>2129</v>
      </c>
      <c r="BC14" t="s">
        <v>2129</v>
      </c>
      <c r="BD14" t="s">
        <v>2129</v>
      </c>
      <c r="BE14">
        <v>16</v>
      </c>
      <c r="BF14" t="s">
        <v>2129</v>
      </c>
      <c r="BG14" t="s">
        <v>2129</v>
      </c>
      <c r="BH14" s="1958" t="s">
        <v>2129</v>
      </c>
      <c r="BI14"/>
      <c r="BJ14" s="863" t="s">
        <v>2129</v>
      </c>
      <c r="BK14" s="863" t="s">
        <v>2129</v>
      </c>
      <c r="BL14" s="863" t="s">
        <v>2129</v>
      </c>
      <c r="BM14" s="863" t="s">
        <v>2129</v>
      </c>
      <c r="BN14" s="863">
        <v>25481813.5</v>
      </c>
      <c r="BO14" s="863" t="s">
        <v>2129</v>
      </c>
      <c r="BP14" s="863" t="s">
        <v>2129</v>
      </c>
      <c r="BQ14" s="863" t="s">
        <v>2129</v>
      </c>
      <c r="BR14" s="863" t="s">
        <v>2129</v>
      </c>
      <c r="BS14" s="863" t="s">
        <v>2129</v>
      </c>
      <c r="BT14" s="863">
        <v>9939072</v>
      </c>
      <c r="BU14" s="863" t="s">
        <v>2129</v>
      </c>
      <c r="BV14" s="863" t="s">
        <v>2129</v>
      </c>
      <c r="BW14" s="863" t="s">
        <v>2129</v>
      </c>
      <c r="BX14" s="863" t="s">
        <v>2129</v>
      </c>
      <c r="BY14" s="863" t="s">
        <v>2129</v>
      </c>
      <c r="BZ14" s="863" t="s">
        <v>2129</v>
      </c>
      <c r="CA14" s="863" t="s">
        <v>2129</v>
      </c>
      <c r="CB14" s="863"/>
      <c r="CC14" s="863" t="s">
        <v>2129</v>
      </c>
      <c r="CD14" s="863" t="s">
        <v>2129</v>
      </c>
      <c r="CE14" s="863" t="s">
        <v>2129</v>
      </c>
      <c r="CF14" s="863" t="s">
        <v>2129</v>
      </c>
      <c r="CG14" s="863"/>
      <c r="CH14" s="5785"/>
    </row>
    <row r="15" spans="1:86" ht="13" hidden="1">
      <c r="A15">
        <v>27</v>
      </c>
      <c r="B15" s="196" t="s">
        <v>3243</v>
      </c>
      <c r="C15" s="5785" t="s">
        <v>2129</v>
      </c>
      <c r="D15" s="5785" t="s">
        <v>2129</v>
      </c>
      <c r="E15" s="5785" t="s">
        <v>2129</v>
      </c>
      <c r="F15" s="5785" t="s">
        <v>3694</v>
      </c>
      <c r="G15" s="5785" t="s">
        <v>2129</v>
      </c>
      <c r="H15" s="5785">
        <v>0</v>
      </c>
      <c r="I15" s="5785">
        <v>0</v>
      </c>
      <c r="J15" s="5785" t="b">
        <v>0</v>
      </c>
      <c r="K15" s="5785" t="s">
        <v>2129</v>
      </c>
      <c r="L15" s="5786">
        <v>0</v>
      </c>
      <c r="M15" s="5786">
        <v>0</v>
      </c>
      <c r="N15" s="5786">
        <v>0</v>
      </c>
      <c r="O15" s="5786">
        <v>0</v>
      </c>
      <c r="P15" s="5786">
        <v>0</v>
      </c>
      <c r="Q15" s="2476">
        <v>0</v>
      </c>
      <c r="R15" s="2477">
        <v>0</v>
      </c>
      <c r="S15" s="2477" t="b">
        <v>1</v>
      </c>
      <c r="T15" s="5786" t="s">
        <v>2129</v>
      </c>
      <c r="U15" s="5786">
        <v>0</v>
      </c>
      <c r="V15" s="863">
        <v>1980088</v>
      </c>
      <c r="W15" s="863">
        <v>1980088</v>
      </c>
      <c r="X15" s="863" t="b">
        <v>0</v>
      </c>
      <c r="Y15" s="863">
        <v>21064.765957446809</v>
      </c>
      <c r="AB15" s="863" t="s">
        <v>2129</v>
      </c>
      <c r="AE15">
        <v>94</v>
      </c>
      <c r="AF15">
        <v>94</v>
      </c>
      <c r="AG15" t="b">
        <v>0</v>
      </c>
      <c r="AH15">
        <v>94</v>
      </c>
      <c r="AI15" t="s">
        <v>2129</v>
      </c>
      <c r="AJ15" t="s">
        <v>2129</v>
      </c>
      <c r="AK15" t="s">
        <v>2129</v>
      </c>
      <c r="AL15">
        <v>65</v>
      </c>
      <c r="AM15" t="s">
        <v>2129</v>
      </c>
      <c r="AN15" t="s">
        <v>2129</v>
      </c>
      <c r="AQ15">
        <v>-29</v>
      </c>
      <c r="AV15" t="s">
        <v>2129</v>
      </c>
      <c r="AW15" t="s">
        <v>2129</v>
      </c>
      <c r="AX15" t="s">
        <v>2129</v>
      </c>
      <c r="AY15" t="s">
        <v>2129</v>
      </c>
      <c r="AZ15" t="s">
        <v>2129</v>
      </c>
      <c r="BA15" t="s">
        <v>2129</v>
      </c>
      <c r="BB15" t="s">
        <v>2129</v>
      </c>
      <c r="BC15" t="s">
        <v>2129</v>
      </c>
      <c r="BD15" t="s">
        <v>2129</v>
      </c>
      <c r="BE15">
        <v>16</v>
      </c>
      <c r="BF15" t="s">
        <v>2129</v>
      </c>
      <c r="BG15" t="s">
        <v>2129</v>
      </c>
      <c r="BH15" s="1958" t="s">
        <v>2129</v>
      </c>
      <c r="BI15"/>
      <c r="BJ15" s="863" t="s">
        <v>2129</v>
      </c>
      <c r="BK15" s="863" t="s">
        <v>2129</v>
      </c>
      <c r="BL15" s="863" t="s">
        <v>2129</v>
      </c>
      <c r="BM15" s="863" t="s">
        <v>2129</v>
      </c>
      <c r="BN15" s="863" t="s">
        <v>2129</v>
      </c>
      <c r="BO15" s="863" t="s">
        <v>2129</v>
      </c>
      <c r="BP15" s="863" t="s">
        <v>2129</v>
      </c>
      <c r="BQ15" s="863" t="s">
        <v>2129</v>
      </c>
      <c r="BR15" s="863" t="s">
        <v>2129</v>
      </c>
      <c r="BS15" s="863" t="s">
        <v>2129</v>
      </c>
      <c r="BT15" s="863">
        <v>21907356.595744681</v>
      </c>
      <c r="BU15" s="863" t="s">
        <v>2129</v>
      </c>
      <c r="BV15" s="863" t="s">
        <v>2129</v>
      </c>
      <c r="BW15" s="863" t="s">
        <v>2129</v>
      </c>
      <c r="BX15" s="863" t="s">
        <v>2129</v>
      </c>
      <c r="BY15" s="863" t="s">
        <v>2129</v>
      </c>
      <c r="BZ15" s="863" t="s">
        <v>2129</v>
      </c>
      <c r="CA15" s="863" t="s">
        <v>2129</v>
      </c>
      <c r="CB15" s="863"/>
      <c r="CC15" s="863" t="s">
        <v>2129</v>
      </c>
      <c r="CD15" s="863" t="s">
        <v>2129</v>
      </c>
      <c r="CE15" s="863" t="s">
        <v>2129</v>
      </c>
      <c r="CF15" s="863" t="s">
        <v>2129</v>
      </c>
      <c r="CG15" s="863"/>
      <c r="CH15" s="5785"/>
    </row>
    <row r="16" spans="1:86" ht="13" hidden="1">
      <c r="A16">
        <v>28</v>
      </c>
      <c r="B16" s="5794" t="s">
        <v>3244</v>
      </c>
      <c r="C16" s="5785" t="s">
        <v>3694</v>
      </c>
      <c r="D16" s="5785" t="s">
        <v>2129</v>
      </c>
      <c r="E16" s="5785" t="s">
        <v>2129</v>
      </c>
      <c r="F16" s="5785" t="s">
        <v>2129</v>
      </c>
      <c r="G16" s="5785" t="s">
        <v>2129</v>
      </c>
      <c r="H16" s="5785">
        <v>0</v>
      </c>
      <c r="I16" s="5785">
        <v>0</v>
      </c>
      <c r="J16" s="5785" t="b">
        <v>0</v>
      </c>
      <c r="K16" s="5785" t="s">
        <v>2129</v>
      </c>
      <c r="L16" s="5786">
        <v>0</v>
      </c>
      <c r="M16" s="5786">
        <v>0</v>
      </c>
      <c r="N16" s="5786">
        <v>0</v>
      </c>
      <c r="O16" s="5786">
        <v>0</v>
      </c>
      <c r="P16" s="5786">
        <v>0</v>
      </c>
      <c r="Q16" s="2476">
        <v>0</v>
      </c>
      <c r="R16" s="2477">
        <v>0</v>
      </c>
      <c r="S16" s="2477" t="b">
        <v>1</v>
      </c>
      <c r="T16" s="5786" t="s">
        <v>2129</v>
      </c>
      <c r="U16" s="5786">
        <v>-949049</v>
      </c>
      <c r="W16" s="863">
        <v>949049</v>
      </c>
      <c r="X16" s="863" t="b">
        <v>0</v>
      </c>
      <c r="Y16" s="863">
        <v>12824.986486486487</v>
      </c>
      <c r="AB16" s="863">
        <v>9377.954545454546</v>
      </c>
      <c r="AF16">
        <v>74</v>
      </c>
      <c r="AG16" t="b">
        <v>0</v>
      </c>
      <c r="AH16"/>
      <c r="AI16">
        <v>88</v>
      </c>
      <c r="AJ16" t="s">
        <v>2129</v>
      </c>
      <c r="AK16" t="s">
        <v>2129</v>
      </c>
      <c r="AL16" t="s">
        <v>2129</v>
      </c>
      <c r="AM16" t="s">
        <v>2129</v>
      </c>
      <c r="AN16">
        <v>14</v>
      </c>
      <c r="AQ16" t="s">
        <v>2129</v>
      </c>
      <c r="AV16" t="s">
        <v>2129</v>
      </c>
      <c r="AW16" t="s">
        <v>2129</v>
      </c>
      <c r="AX16" t="s">
        <v>2129</v>
      </c>
      <c r="AY16" t="s">
        <v>2129</v>
      </c>
      <c r="AZ16">
        <v>32</v>
      </c>
      <c r="BA16" t="s">
        <v>2129</v>
      </c>
      <c r="BB16" t="s">
        <v>2129</v>
      </c>
      <c r="BC16" t="s">
        <v>2129</v>
      </c>
      <c r="BD16" t="s">
        <v>2129</v>
      </c>
      <c r="BE16" t="s">
        <v>2129</v>
      </c>
      <c r="BF16" t="s">
        <v>2129</v>
      </c>
      <c r="BG16" t="s">
        <v>2129</v>
      </c>
      <c r="BH16" s="1958" t="s">
        <v>2129</v>
      </c>
      <c r="BI16"/>
      <c r="BJ16" s="863" t="s">
        <v>2129</v>
      </c>
      <c r="BK16" s="863">
        <v>36115161.945945948</v>
      </c>
      <c r="BL16" s="863" t="s">
        <v>2129</v>
      </c>
      <c r="BM16" s="863" t="s">
        <v>2129</v>
      </c>
      <c r="BN16" s="863" t="s">
        <v>2129</v>
      </c>
      <c r="BO16" s="863" t="s">
        <v>2129</v>
      </c>
      <c r="BP16" s="863" t="s">
        <v>2129</v>
      </c>
      <c r="BQ16" s="863" t="s">
        <v>2129</v>
      </c>
      <c r="BR16" s="863" t="s">
        <v>2129</v>
      </c>
      <c r="BS16" s="863" t="s">
        <v>2129</v>
      </c>
      <c r="BT16" s="863" t="s">
        <v>2129</v>
      </c>
      <c r="BU16" s="863" t="s">
        <v>2129</v>
      </c>
      <c r="BV16" s="863" t="s">
        <v>2129</v>
      </c>
      <c r="BW16" s="863" t="s">
        <v>2129</v>
      </c>
      <c r="BX16" s="863" t="s">
        <v>2129</v>
      </c>
      <c r="BY16" s="863" t="s">
        <v>2129</v>
      </c>
      <c r="BZ16" s="863" t="s">
        <v>2129</v>
      </c>
      <c r="CA16" s="863" t="s">
        <v>2129</v>
      </c>
      <c r="CB16" s="863"/>
      <c r="CC16" s="863" t="s">
        <v>2129</v>
      </c>
      <c r="CD16" s="863" t="s">
        <v>2129</v>
      </c>
      <c r="CE16" s="863" t="s">
        <v>2129</v>
      </c>
      <c r="CF16" s="863" t="s">
        <v>2129</v>
      </c>
      <c r="CG16" s="863"/>
      <c r="CH16" s="5785"/>
    </row>
    <row r="17" spans="1:86" ht="13" hidden="1">
      <c r="A17">
        <v>34</v>
      </c>
      <c r="B17" s="5791" t="s">
        <v>3245</v>
      </c>
      <c r="C17" s="5790" t="s">
        <v>2129</v>
      </c>
      <c r="D17" s="5790" t="s">
        <v>6599</v>
      </c>
      <c r="E17" s="5790" t="s">
        <v>2129</v>
      </c>
      <c r="F17" s="5785" t="s">
        <v>2695</v>
      </c>
      <c r="G17" s="5785" t="s">
        <v>2129</v>
      </c>
      <c r="H17" s="5785">
        <v>8</v>
      </c>
      <c r="I17" s="5785">
        <v>8</v>
      </c>
      <c r="J17" s="5785" t="b">
        <v>1</v>
      </c>
      <c r="K17" s="5785" t="s">
        <v>2129</v>
      </c>
      <c r="L17" s="5786">
        <v>3383345</v>
      </c>
      <c r="M17" s="5786">
        <v>0</v>
      </c>
      <c r="N17" s="5786">
        <v>0</v>
      </c>
      <c r="O17" s="5786">
        <v>0</v>
      </c>
      <c r="P17" s="5786">
        <v>0</v>
      </c>
      <c r="Q17" s="2476">
        <v>3721679.5000000005</v>
      </c>
      <c r="R17" s="2477">
        <v>3721679</v>
      </c>
      <c r="S17" s="2477" t="b">
        <v>1</v>
      </c>
      <c r="T17" s="5786">
        <v>465209.875</v>
      </c>
      <c r="U17" s="5786">
        <v>0</v>
      </c>
      <c r="V17" s="863">
        <v>4818721</v>
      </c>
      <c r="W17" s="863">
        <v>4818721</v>
      </c>
      <c r="X17" s="863" t="b">
        <v>1</v>
      </c>
      <c r="Y17" s="863">
        <v>17781.258302583024</v>
      </c>
      <c r="AB17" s="863" t="s">
        <v>2129</v>
      </c>
      <c r="AC17" s="863">
        <v>1350</v>
      </c>
      <c r="AE17">
        <v>271</v>
      </c>
      <c r="AF17">
        <v>271</v>
      </c>
      <c r="AG17" t="b">
        <v>1</v>
      </c>
      <c r="AH17">
        <v>309</v>
      </c>
      <c r="AI17" t="s">
        <v>2129</v>
      </c>
      <c r="AJ17" t="s">
        <v>2129</v>
      </c>
      <c r="AK17" t="s">
        <v>2129</v>
      </c>
      <c r="AL17">
        <v>233</v>
      </c>
      <c r="AM17" t="s">
        <v>2129</v>
      </c>
      <c r="AN17" t="s">
        <v>2129</v>
      </c>
      <c r="AQ17">
        <v>-38</v>
      </c>
      <c r="AV17" s="191" t="s">
        <v>2129</v>
      </c>
      <c r="AW17">
        <v>24</v>
      </c>
      <c r="AX17" t="s">
        <v>2129</v>
      </c>
      <c r="AY17" t="s">
        <v>2129</v>
      </c>
      <c r="AZ17" t="s">
        <v>2129</v>
      </c>
      <c r="BA17" t="s">
        <v>2129</v>
      </c>
      <c r="BB17" t="s">
        <v>2129</v>
      </c>
      <c r="BC17" t="s">
        <v>2129</v>
      </c>
      <c r="BD17">
        <v>9</v>
      </c>
      <c r="BE17" t="s">
        <v>2129</v>
      </c>
      <c r="BF17" t="s">
        <v>2129</v>
      </c>
      <c r="BG17" t="s">
        <v>2129</v>
      </c>
      <c r="BH17" s="1958" t="s">
        <v>2129</v>
      </c>
      <c r="BI17" s="1958">
        <v>115649304</v>
      </c>
      <c r="BJ17" s="1958" t="s">
        <v>2129</v>
      </c>
      <c r="BK17" s="1958" t="s">
        <v>2129</v>
      </c>
      <c r="BL17" s="1958" t="s">
        <v>2129</v>
      </c>
      <c r="BM17" s="1958" t="s">
        <v>2129</v>
      </c>
      <c r="BN17" s="1958" t="s">
        <v>2129</v>
      </c>
      <c r="BO17" s="1958" t="s">
        <v>2129</v>
      </c>
      <c r="BP17" s="1958" t="s">
        <v>2129</v>
      </c>
      <c r="BQ17" s="863" t="s">
        <v>2129</v>
      </c>
      <c r="BR17" s="863" t="s">
        <v>2129</v>
      </c>
      <c r="BS17" s="1958" t="s">
        <v>2129</v>
      </c>
      <c r="BT17" s="1958" t="s">
        <v>2129</v>
      </c>
      <c r="BU17" s="1958">
        <v>37287298.660516605</v>
      </c>
      <c r="BV17" s="1958" t="s">
        <v>2129</v>
      </c>
      <c r="BW17" s="1958" t="s">
        <v>2129</v>
      </c>
      <c r="BX17" s="1958" t="s">
        <v>2129</v>
      </c>
      <c r="BY17" s="1958">
        <v>89320296</v>
      </c>
      <c r="BZ17" s="1958" t="s">
        <v>2129</v>
      </c>
      <c r="CA17" s="1958" t="s">
        <v>2129</v>
      </c>
      <c r="CC17" s="1958" t="s">
        <v>2129</v>
      </c>
      <c r="CD17" s="1958" t="s">
        <v>2129</v>
      </c>
      <c r="CE17" s="1958" t="s">
        <v>2129</v>
      </c>
      <c r="CF17" s="1958" t="s">
        <v>2129</v>
      </c>
      <c r="CH17" s="5785"/>
    </row>
    <row r="18" spans="1:86" ht="13" hidden="1">
      <c r="A18">
        <v>38</v>
      </c>
      <c r="B18" s="196" t="s">
        <v>3246</v>
      </c>
      <c r="C18" s="5785" t="s">
        <v>2129</v>
      </c>
      <c r="D18" s="5785" t="s">
        <v>2129</v>
      </c>
      <c r="E18" s="5785" t="s">
        <v>2129</v>
      </c>
      <c r="F18" s="5785" t="s">
        <v>3694</v>
      </c>
      <c r="G18" s="5785" t="s">
        <v>2129</v>
      </c>
      <c r="H18" s="5785">
        <v>0</v>
      </c>
      <c r="I18" s="5785">
        <v>0</v>
      </c>
      <c r="J18" s="5785" t="b">
        <v>1</v>
      </c>
      <c r="K18" s="5785" t="s">
        <v>2129</v>
      </c>
      <c r="L18" s="5786">
        <v>0</v>
      </c>
      <c r="M18" s="5786">
        <v>0</v>
      </c>
      <c r="N18" s="5786">
        <v>0</v>
      </c>
      <c r="O18" s="5786">
        <v>0</v>
      </c>
      <c r="P18" s="5786">
        <v>0</v>
      </c>
      <c r="Q18" s="2476">
        <v>0</v>
      </c>
      <c r="R18" s="2477">
        <v>0</v>
      </c>
      <c r="S18" s="2477" t="b">
        <v>1</v>
      </c>
      <c r="T18" s="5786" t="s">
        <v>2129</v>
      </c>
      <c r="U18" s="5786">
        <v>0</v>
      </c>
      <c r="V18" s="863">
        <v>722163</v>
      </c>
      <c r="W18" s="863">
        <v>722163</v>
      </c>
      <c r="X18" s="863" t="b">
        <v>1</v>
      </c>
      <c r="Y18" s="863">
        <v>9628.84</v>
      </c>
      <c r="AB18" s="863" t="s">
        <v>2129</v>
      </c>
      <c r="AE18">
        <v>102</v>
      </c>
      <c r="AF18">
        <v>75</v>
      </c>
      <c r="AG18" t="b">
        <v>1</v>
      </c>
      <c r="AH18">
        <v>102</v>
      </c>
      <c r="AI18" t="s">
        <v>2129</v>
      </c>
      <c r="AJ18" t="s">
        <v>2129</v>
      </c>
      <c r="AK18" t="s">
        <v>2129</v>
      </c>
      <c r="AL18">
        <v>34</v>
      </c>
      <c r="AM18" t="s">
        <v>2129</v>
      </c>
      <c r="AN18" t="s">
        <v>2129</v>
      </c>
      <c r="AQ18">
        <v>-41</v>
      </c>
      <c r="AV18" t="s">
        <v>2129</v>
      </c>
      <c r="AW18" t="s">
        <v>2129</v>
      </c>
      <c r="AX18" t="s">
        <v>2129</v>
      </c>
      <c r="AY18" t="s">
        <v>2129</v>
      </c>
      <c r="AZ18" t="s">
        <v>2129</v>
      </c>
      <c r="BA18" t="s">
        <v>2129</v>
      </c>
      <c r="BB18" t="s">
        <v>2129</v>
      </c>
      <c r="BC18" t="s">
        <v>2129</v>
      </c>
      <c r="BD18" t="s">
        <v>2129</v>
      </c>
      <c r="BE18">
        <v>16</v>
      </c>
      <c r="BF18" t="s">
        <v>2129</v>
      </c>
      <c r="BG18" t="s">
        <v>2129</v>
      </c>
      <c r="BH18" s="1958" t="s">
        <v>2129</v>
      </c>
      <c r="BI18"/>
      <c r="BJ18" s="863" t="s">
        <v>2129</v>
      </c>
      <c r="BK18" s="863" t="s">
        <v>2129</v>
      </c>
      <c r="BL18" s="863" t="s">
        <v>2129</v>
      </c>
      <c r="BM18" s="863" t="s">
        <v>2129</v>
      </c>
      <c r="BN18" s="863" t="s">
        <v>2129</v>
      </c>
      <c r="BO18" s="863" t="s">
        <v>2129</v>
      </c>
      <c r="BP18" s="863" t="s">
        <v>2129</v>
      </c>
      <c r="BQ18" s="863" t="s">
        <v>2129</v>
      </c>
      <c r="BR18" s="863" t="s">
        <v>2129</v>
      </c>
      <c r="BS18" s="863" t="s">
        <v>2129</v>
      </c>
      <c r="BT18" s="863">
        <v>5238088.96</v>
      </c>
      <c r="BU18" s="863" t="s">
        <v>2129</v>
      </c>
      <c r="BV18" s="863" t="s">
        <v>2129</v>
      </c>
      <c r="BW18" s="863" t="s">
        <v>2129</v>
      </c>
      <c r="BX18" s="863" t="s">
        <v>2129</v>
      </c>
      <c r="BY18" s="863" t="s">
        <v>2129</v>
      </c>
      <c r="BZ18" s="863" t="s">
        <v>2129</v>
      </c>
      <c r="CA18" s="863" t="s">
        <v>2129</v>
      </c>
      <c r="CB18" s="863"/>
      <c r="CC18" s="863" t="s">
        <v>2129</v>
      </c>
      <c r="CD18" s="863" t="s">
        <v>2129</v>
      </c>
      <c r="CE18" s="863" t="s">
        <v>2129</v>
      </c>
      <c r="CF18" s="863" t="s">
        <v>2129</v>
      </c>
      <c r="CG18" s="863"/>
      <c r="CH18" s="5785"/>
    </row>
    <row r="19" spans="1:86" ht="13" hidden="1">
      <c r="A19">
        <v>39</v>
      </c>
      <c r="B19" s="5791" t="s">
        <v>3247</v>
      </c>
      <c r="C19" s="5790" t="s">
        <v>2695</v>
      </c>
      <c r="D19" s="5790" t="s">
        <v>6599</v>
      </c>
      <c r="E19" s="5790" t="s">
        <v>2129</v>
      </c>
      <c r="F19" s="5785" t="s">
        <v>2129</v>
      </c>
      <c r="G19" s="5785" t="s">
        <v>2129</v>
      </c>
      <c r="H19" s="5785">
        <v>3</v>
      </c>
      <c r="I19" s="5785">
        <v>2</v>
      </c>
      <c r="J19" s="5785" t="b">
        <v>1</v>
      </c>
      <c r="K19" s="5785" t="s">
        <v>2129</v>
      </c>
      <c r="L19" s="5786">
        <v>3168000</v>
      </c>
      <c r="M19" s="5786">
        <v>0</v>
      </c>
      <c r="N19" s="5786">
        <v>0</v>
      </c>
      <c r="O19" s="5786">
        <v>0</v>
      </c>
      <c r="P19" s="5786">
        <v>0</v>
      </c>
      <c r="Q19" s="2476">
        <v>3484800.0000000005</v>
      </c>
      <c r="R19" s="2477">
        <v>2428800</v>
      </c>
      <c r="S19" s="2477" t="b">
        <v>1</v>
      </c>
      <c r="T19" s="5786">
        <v>1214400</v>
      </c>
      <c r="U19" s="5786">
        <v>0</v>
      </c>
      <c r="V19" s="863">
        <v>3565639</v>
      </c>
      <c r="W19" s="863">
        <v>3565639</v>
      </c>
      <c r="X19" s="863" t="b">
        <v>1</v>
      </c>
      <c r="Y19" s="863">
        <v>31005.55652173913</v>
      </c>
      <c r="AB19" s="863">
        <v>26961.353497164462</v>
      </c>
      <c r="AC19" s="863">
        <v>2475</v>
      </c>
      <c r="AE19">
        <v>115</v>
      </c>
      <c r="AF19" s="3965">
        <v>115</v>
      </c>
      <c r="AG19" s="3965" t="b">
        <v>1</v>
      </c>
      <c r="AH19">
        <v>154</v>
      </c>
      <c r="AI19">
        <v>115</v>
      </c>
      <c r="AJ19" t="s">
        <v>2129</v>
      </c>
      <c r="AK19" t="s">
        <v>2129</v>
      </c>
      <c r="AL19" t="s">
        <v>2129</v>
      </c>
      <c r="AM19" t="s">
        <v>2129</v>
      </c>
      <c r="AN19">
        <v>0</v>
      </c>
      <c r="AQ19" t="s">
        <v>2129</v>
      </c>
      <c r="AV19" s="191" t="s">
        <v>2129</v>
      </c>
      <c r="AW19">
        <v>24</v>
      </c>
      <c r="AX19">
        <v>18</v>
      </c>
      <c r="AY19" t="s">
        <v>2129</v>
      </c>
      <c r="AZ19" t="s">
        <v>2129</v>
      </c>
      <c r="BA19" t="s">
        <v>2129</v>
      </c>
      <c r="BB19" t="s">
        <v>2129</v>
      </c>
      <c r="BC19" t="s">
        <v>2129</v>
      </c>
      <c r="BD19" t="s">
        <v>2129</v>
      </c>
      <c r="BE19" t="s">
        <v>2129</v>
      </c>
      <c r="BF19" t="s">
        <v>2129</v>
      </c>
      <c r="BG19" t="s">
        <v>2129</v>
      </c>
      <c r="BH19" s="1958" t="s">
        <v>2129</v>
      </c>
      <c r="BI19" s="1958">
        <v>85575336</v>
      </c>
      <c r="BJ19" s="1958" t="s">
        <v>2129</v>
      </c>
      <c r="BK19" s="1958" t="s">
        <v>2129</v>
      </c>
      <c r="BL19" s="1958">
        <v>64181502</v>
      </c>
      <c r="BM19" s="1958" t="s">
        <v>2129</v>
      </c>
      <c r="BN19" s="1958" t="s">
        <v>2129</v>
      </c>
      <c r="BO19" s="1958" t="s">
        <v>2129</v>
      </c>
      <c r="BP19" s="1958" t="s">
        <v>2129</v>
      </c>
      <c r="BQ19" s="863" t="s">
        <v>2129</v>
      </c>
      <c r="BR19" s="863" t="s">
        <v>2129</v>
      </c>
      <c r="BS19" s="1958" t="s">
        <v>2129</v>
      </c>
      <c r="BT19" s="1958" t="s">
        <v>2129</v>
      </c>
      <c r="BU19" s="1958" t="s">
        <v>2129</v>
      </c>
      <c r="BV19" s="1958" t="s">
        <v>2129</v>
      </c>
      <c r="BW19" s="1958" t="s">
        <v>2129</v>
      </c>
      <c r="BX19" s="1958" t="s">
        <v>2129</v>
      </c>
      <c r="BY19" s="1958">
        <v>58291200</v>
      </c>
      <c r="BZ19" s="1958" t="s">
        <v>2129</v>
      </c>
      <c r="CA19" s="1958" t="s">
        <v>2129</v>
      </c>
      <c r="CC19" s="1958" t="s">
        <v>2129</v>
      </c>
      <c r="CD19" s="1958" t="s">
        <v>2129</v>
      </c>
      <c r="CE19" s="1958" t="s">
        <v>2129</v>
      </c>
      <c r="CF19" s="1958" t="s">
        <v>2129</v>
      </c>
      <c r="CH19" s="5785"/>
    </row>
    <row r="20" spans="1:86" ht="13" hidden="1">
      <c r="A20">
        <v>40</v>
      </c>
      <c r="B20" s="196" t="s">
        <v>3248</v>
      </c>
      <c r="C20" s="5785" t="s">
        <v>2695</v>
      </c>
      <c r="D20" s="5785" t="s">
        <v>5293</v>
      </c>
      <c r="E20" s="5785" t="s">
        <v>2129</v>
      </c>
      <c r="F20" s="5792" t="s">
        <v>5205</v>
      </c>
      <c r="G20" s="5792" t="s">
        <v>2129</v>
      </c>
      <c r="H20" s="5785">
        <v>25</v>
      </c>
      <c r="I20" s="5785">
        <v>25</v>
      </c>
      <c r="J20" s="5785" t="b">
        <v>1</v>
      </c>
      <c r="K20" s="5785">
        <v>0</v>
      </c>
      <c r="L20" s="5786">
        <v>27221978</v>
      </c>
      <c r="M20" s="5786">
        <v>588828</v>
      </c>
      <c r="N20" s="5786">
        <v>463641</v>
      </c>
      <c r="O20" s="5786">
        <v>0</v>
      </c>
      <c r="P20" s="5786">
        <v>0</v>
      </c>
      <c r="Q20" s="2476">
        <v>31101891.700000003</v>
      </c>
      <c r="R20" s="2477">
        <v>31101891</v>
      </c>
      <c r="S20" s="2477" t="b">
        <v>1</v>
      </c>
      <c r="T20" s="5786">
        <v>1244075.6399999999</v>
      </c>
      <c r="U20" s="5786">
        <v>0</v>
      </c>
      <c r="V20" s="863">
        <v>44878992</v>
      </c>
      <c r="W20" s="863">
        <v>44878992</v>
      </c>
      <c r="X20" s="863" t="b">
        <v>1</v>
      </c>
      <c r="Y20" s="863">
        <v>89757.983999999997</v>
      </c>
      <c r="AB20" s="863">
        <v>111500.60124223604</v>
      </c>
      <c r="AE20">
        <v>774</v>
      </c>
      <c r="AF20">
        <v>500</v>
      </c>
      <c r="AG20" t="b">
        <v>1</v>
      </c>
      <c r="AH20">
        <v>1123</v>
      </c>
      <c r="AI20">
        <v>350</v>
      </c>
      <c r="AJ20">
        <v>400</v>
      </c>
      <c r="AK20" t="s">
        <v>2129</v>
      </c>
      <c r="AL20">
        <v>460</v>
      </c>
      <c r="AM20" t="s">
        <v>2129</v>
      </c>
      <c r="AN20">
        <v>-150</v>
      </c>
      <c r="AQ20">
        <v>-40</v>
      </c>
      <c r="AV20" t="s">
        <v>2129</v>
      </c>
      <c r="AW20" t="s">
        <v>2129</v>
      </c>
      <c r="AX20">
        <v>18</v>
      </c>
      <c r="AY20">
        <v>20</v>
      </c>
      <c r="AZ20" t="s">
        <v>2129</v>
      </c>
      <c r="BA20" t="s">
        <v>2129</v>
      </c>
      <c r="BB20" t="s">
        <v>2129</v>
      </c>
      <c r="BC20">
        <v>18</v>
      </c>
      <c r="BD20" t="s">
        <v>2129</v>
      </c>
      <c r="BE20" t="s">
        <v>2129</v>
      </c>
      <c r="BF20" t="s">
        <v>2129</v>
      </c>
      <c r="BG20" t="s">
        <v>2129</v>
      </c>
      <c r="BH20" s="1958" t="s">
        <v>2129</v>
      </c>
      <c r="BI20"/>
      <c r="BJ20" s="863">
        <v>718063872</v>
      </c>
      <c r="BK20" s="863" t="s">
        <v>2129</v>
      </c>
      <c r="BL20" s="863">
        <v>565475299.19999993</v>
      </c>
      <c r="BM20" s="863" t="s">
        <v>2129</v>
      </c>
      <c r="BN20" s="863" t="s">
        <v>2129</v>
      </c>
      <c r="BO20" s="863" t="s">
        <v>2129</v>
      </c>
      <c r="BP20" s="863">
        <v>743196107.51999998</v>
      </c>
      <c r="BQ20" s="863">
        <v>743196107.51999998</v>
      </c>
      <c r="BR20" s="863" t="s">
        <v>2129</v>
      </c>
      <c r="BS20" s="863" t="s">
        <v>2129</v>
      </c>
      <c r="BT20" s="863" t="s">
        <v>2129</v>
      </c>
      <c r="BU20" s="863" t="s">
        <v>2129</v>
      </c>
      <c r="BV20" s="863" t="s">
        <v>2129</v>
      </c>
      <c r="BW20" s="863" t="s">
        <v>2129</v>
      </c>
      <c r="BX20" s="863" t="s">
        <v>2129</v>
      </c>
      <c r="BY20" s="863" t="s">
        <v>2129</v>
      </c>
      <c r="BZ20" s="863">
        <v>622037819.99999988</v>
      </c>
      <c r="CA20" s="863" t="s">
        <v>2129</v>
      </c>
      <c r="CB20" s="863"/>
      <c r="CC20" s="863">
        <v>559834037.99999988</v>
      </c>
      <c r="CD20" s="863">
        <v>559834037.99999988</v>
      </c>
      <c r="CE20" s="863" t="s">
        <v>2129</v>
      </c>
      <c r="CF20" s="863" t="s">
        <v>2129</v>
      </c>
      <c r="CG20" s="863"/>
      <c r="CH20" s="5785"/>
    </row>
    <row r="21" spans="1:86" ht="13" hidden="1">
      <c r="A21">
        <v>41</v>
      </c>
      <c r="B21" s="196" t="s">
        <v>3249</v>
      </c>
      <c r="C21" s="5785" t="s">
        <v>3694</v>
      </c>
      <c r="D21" s="5785" t="s">
        <v>2129</v>
      </c>
      <c r="E21" s="5785" t="s">
        <v>2129</v>
      </c>
      <c r="F21" s="5785" t="s">
        <v>3694</v>
      </c>
      <c r="G21" s="5785" t="s">
        <v>2129</v>
      </c>
      <c r="H21" s="5785">
        <v>0</v>
      </c>
      <c r="I21" s="5785">
        <v>0</v>
      </c>
      <c r="J21" s="5785" t="b">
        <v>0</v>
      </c>
      <c r="K21" s="5785" t="s">
        <v>2129</v>
      </c>
      <c r="L21" s="5786">
        <v>0</v>
      </c>
      <c r="M21" s="5786">
        <v>0</v>
      </c>
      <c r="N21" s="5786">
        <v>0</v>
      </c>
      <c r="O21" s="5786">
        <v>0</v>
      </c>
      <c r="P21" s="5786">
        <v>0</v>
      </c>
      <c r="Q21" s="2476">
        <v>0</v>
      </c>
      <c r="R21" s="2477">
        <v>0</v>
      </c>
      <c r="S21" s="2477" t="b">
        <v>1</v>
      </c>
      <c r="T21" s="5786" t="s">
        <v>2129</v>
      </c>
      <c r="U21" s="5786">
        <v>0</v>
      </c>
      <c r="V21" s="863">
        <v>3061982</v>
      </c>
      <c r="W21" s="863">
        <v>3061982</v>
      </c>
      <c r="X21" s="863" t="b">
        <v>1</v>
      </c>
      <c r="Y21" s="863">
        <v>21871.3</v>
      </c>
      <c r="AB21" s="863">
        <v>27735.344202898552</v>
      </c>
      <c r="AE21">
        <v>195</v>
      </c>
      <c r="AF21">
        <v>140</v>
      </c>
      <c r="AG21" t="b">
        <v>1</v>
      </c>
      <c r="AH21">
        <v>201</v>
      </c>
      <c r="AI21">
        <v>96</v>
      </c>
      <c r="AJ21" t="s">
        <v>2129</v>
      </c>
      <c r="AK21" t="s">
        <v>2129</v>
      </c>
      <c r="AL21">
        <v>48</v>
      </c>
      <c r="AM21" t="s">
        <v>2129</v>
      </c>
      <c r="AN21">
        <v>-44</v>
      </c>
      <c r="AQ21">
        <v>-92</v>
      </c>
      <c r="AV21" t="s">
        <v>2129</v>
      </c>
      <c r="AW21" t="s">
        <v>2129</v>
      </c>
      <c r="AX21" t="s">
        <v>2129</v>
      </c>
      <c r="AY21" t="s">
        <v>2129</v>
      </c>
      <c r="AZ21">
        <v>32</v>
      </c>
      <c r="BA21" t="s">
        <v>2129</v>
      </c>
      <c r="BB21" t="s">
        <v>2129</v>
      </c>
      <c r="BC21" t="s">
        <v>2129</v>
      </c>
      <c r="BD21" t="s">
        <v>2129</v>
      </c>
      <c r="BE21">
        <v>16</v>
      </c>
      <c r="BF21" t="s">
        <v>2129</v>
      </c>
      <c r="BG21" t="s">
        <v>2129</v>
      </c>
      <c r="BH21" s="1958" t="s">
        <v>2129</v>
      </c>
      <c r="BI21"/>
      <c r="BJ21" s="863" t="s">
        <v>2129</v>
      </c>
      <c r="BK21" s="863">
        <v>67188633.599999994</v>
      </c>
      <c r="BL21" s="863" t="s">
        <v>2129</v>
      </c>
      <c r="BM21" s="863" t="s">
        <v>2129</v>
      </c>
      <c r="BN21" s="863" t="s">
        <v>2129</v>
      </c>
      <c r="BO21" s="863" t="s">
        <v>2129</v>
      </c>
      <c r="BP21" s="863" t="s">
        <v>2129</v>
      </c>
      <c r="BQ21" s="863" t="s">
        <v>2129</v>
      </c>
      <c r="BR21" s="863" t="s">
        <v>2129</v>
      </c>
      <c r="BS21" s="863" t="s">
        <v>2129</v>
      </c>
      <c r="BT21" s="863">
        <v>16797158.399999999</v>
      </c>
      <c r="BU21" s="863" t="s">
        <v>2129</v>
      </c>
      <c r="BV21" s="863" t="s">
        <v>2129</v>
      </c>
      <c r="BW21" s="863" t="s">
        <v>2129</v>
      </c>
      <c r="BX21" s="863" t="s">
        <v>2129</v>
      </c>
      <c r="BY21" s="863" t="s">
        <v>2129</v>
      </c>
      <c r="BZ21" s="863" t="s">
        <v>2129</v>
      </c>
      <c r="CA21" s="863" t="s">
        <v>2129</v>
      </c>
      <c r="CB21" s="863"/>
      <c r="CC21" s="863" t="s">
        <v>2129</v>
      </c>
      <c r="CD21" s="863" t="s">
        <v>2129</v>
      </c>
      <c r="CE21" s="863" t="s">
        <v>2129</v>
      </c>
      <c r="CF21" s="863" t="s">
        <v>2129</v>
      </c>
      <c r="CG21" s="863"/>
      <c r="CH21" s="5785"/>
    </row>
    <row r="22" spans="1:86" ht="13" hidden="1">
      <c r="A22">
        <v>42</v>
      </c>
      <c r="B22" s="196" t="s">
        <v>3250</v>
      </c>
      <c r="C22" s="5785" t="s">
        <v>3694</v>
      </c>
      <c r="D22" s="5785" t="s">
        <v>2129</v>
      </c>
      <c r="E22" s="5785" t="s">
        <v>2129</v>
      </c>
      <c r="F22" s="5785" t="s">
        <v>3694</v>
      </c>
      <c r="G22" s="5785" t="s">
        <v>2129</v>
      </c>
      <c r="H22" s="5785">
        <v>0</v>
      </c>
      <c r="I22" s="5785">
        <v>0</v>
      </c>
      <c r="J22" s="5785" t="b">
        <v>0</v>
      </c>
      <c r="K22" s="5785" t="s">
        <v>2129</v>
      </c>
      <c r="L22" s="5786">
        <v>0</v>
      </c>
      <c r="M22" s="5786">
        <v>0</v>
      </c>
      <c r="N22" s="5786">
        <v>0</v>
      </c>
      <c r="O22" s="5786">
        <v>0</v>
      </c>
      <c r="P22" s="5786">
        <v>0</v>
      </c>
      <c r="Q22" s="2476">
        <v>0</v>
      </c>
      <c r="R22" s="2477">
        <v>0</v>
      </c>
      <c r="S22" s="2477" t="b">
        <v>1</v>
      </c>
      <c r="T22" s="5786" t="s">
        <v>2129</v>
      </c>
      <c r="U22" s="5786">
        <v>0</v>
      </c>
      <c r="V22" s="863">
        <v>1193846</v>
      </c>
      <c r="W22" s="863">
        <v>1193846</v>
      </c>
      <c r="X22" s="863" t="b">
        <v>1</v>
      </c>
      <c r="Y22" s="863">
        <v>11938.46</v>
      </c>
      <c r="AB22" s="863">
        <v>15266.572890025578</v>
      </c>
      <c r="AE22">
        <v>139</v>
      </c>
      <c r="AF22">
        <v>100</v>
      </c>
      <c r="AG22" t="b">
        <v>1</v>
      </c>
      <c r="AH22">
        <v>139</v>
      </c>
      <c r="AI22">
        <v>68</v>
      </c>
      <c r="AJ22" t="s">
        <v>2129</v>
      </c>
      <c r="AK22" t="s">
        <v>2129</v>
      </c>
      <c r="AL22">
        <v>66</v>
      </c>
      <c r="AM22" t="s">
        <v>2129</v>
      </c>
      <c r="AN22">
        <v>-32</v>
      </c>
      <c r="AQ22">
        <v>-34</v>
      </c>
      <c r="AV22" t="s">
        <v>2129</v>
      </c>
      <c r="AW22" t="s">
        <v>2129</v>
      </c>
      <c r="AX22" t="s">
        <v>2129</v>
      </c>
      <c r="AY22" t="s">
        <v>2129</v>
      </c>
      <c r="AZ22">
        <v>32</v>
      </c>
      <c r="BA22" t="s">
        <v>2129</v>
      </c>
      <c r="BB22" t="s">
        <v>2129</v>
      </c>
      <c r="BC22" t="s">
        <v>2129</v>
      </c>
      <c r="BD22" t="s">
        <v>2129</v>
      </c>
      <c r="BE22">
        <v>16</v>
      </c>
      <c r="BF22" t="s">
        <v>2129</v>
      </c>
      <c r="BG22" t="s">
        <v>2129</v>
      </c>
      <c r="BH22" s="1958" t="s">
        <v>2129</v>
      </c>
      <c r="BI22"/>
      <c r="BJ22" s="863" t="s">
        <v>2129</v>
      </c>
      <c r="BK22" s="863">
        <v>25978088.959999997</v>
      </c>
      <c r="BL22" s="863" t="s">
        <v>2129</v>
      </c>
      <c r="BM22" s="863" t="s">
        <v>2129</v>
      </c>
      <c r="BN22" s="863" t="s">
        <v>2129</v>
      </c>
      <c r="BO22" s="863" t="s">
        <v>2129</v>
      </c>
      <c r="BP22" s="863" t="s">
        <v>2129</v>
      </c>
      <c r="BQ22" s="863" t="s">
        <v>2129</v>
      </c>
      <c r="BR22" s="863" t="s">
        <v>2129</v>
      </c>
      <c r="BS22" s="863" t="s">
        <v>2129</v>
      </c>
      <c r="BT22" s="863">
        <v>12607013.76</v>
      </c>
      <c r="BU22" s="863" t="s">
        <v>2129</v>
      </c>
      <c r="BV22" s="863" t="s">
        <v>2129</v>
      </c>
      <c r="BW22" s="863" t="s">
        <v>2129</v>
      </c>
      <c r="BX22" s="863" t="s">
        <v>2129</v>
      </c>
      <c r="BY22" s="863" t="s">
        <v>2129</v>
      </c>
      <c r="BZ22" s="863" t="s">
        <v>2129</v>
      </c>
      <c r="CA22" s="863" t="s">
        <v>2129</v>
      </c>
      <c r="CB22" s="863"/>
      <c r="CC22" s="863" t="s">
        <v>2129</v>
      </c>
      <c r="CD22" s="863" t="s">
        <v>2129</v>
      </c>
      <c r="CE22" s="863" t="s">
        <v>2129</v>
      </c>
      <c r="CF22" s="863" t="s">
        <v>2129</v>
      </c>
      <c r="CG22" s="863"/>
      <c r="CH22" s="5785"/>
    </row>
    <row r="23" spans="1:86" ht="13" hidden="1">
      <c r="A23">
        <v>43</v>
      </c>
      <c r="B23" s="196" t="s">
        <v>3251</v>
      </c>
      <c r="C23" s="5785" t="s">
        <v>3694</v>
      </c>
      <c r="D23" s="5785" t="s">
        <v>2129</v>
      </c>
      <c r="E23" s="5785" t="s">
        <v>2129</v>
      </c>
      <c r="F23" s="5785" t="s">
        <v>3694</v>
      </c>
      <c r="G23" s="5785" t="s">
        <v>2129</v>
      </c>
      <c r="H23" s="5785">
        <v>2</v>
      </c>
      <c r="I23" s="5785">
        <v>2</v>
      </c>
      <c r="J23" s="5785" t="b">
        <v>0</v>
      </c>
      <c r="K23" s="5785" t="s">
        <v>2129</v>
      </c>
      <c r="L23" s="5786">
        <v>141177</v>
      </c>
      <c r="M23" s="5786">
        <v>0</v>
      </c>
      <c r="N23" s="5786">
        <v>0</v>
      </c>
      <c r="O23" s="5786">
        <v>0</v>
      </c>
      <c r="P23" s="5786">
        <v>0</v>
      </c>
      <c r="Q23" s="2476">
        <v>155294.70000000001</v>
      </c>
      <c r="R23" s="2477">
        <v>155294</v>
      </c>
      <c r="S23" s="2477" t="b">
        <v>0</v>
      </c>
      <c r="T23" s="5786">
        <v>77647</v>
      </c>
      <c r="U23" s="5786">
        <v>0</v>
      </c>
      <c r="V23" s="863">
        <v>3473577</v>
      </c>
      <c r="W23" s="863">
        <v>3473577</v>
      </c>
      <c r="X23" s="863" t="b">
        <v>1</v>
      </c>
      <c r="Y23" s="863">
        <v>12865.1</v>
      </c>
      <c r="AB23" s="863">
        <v>16415.770321361058</v>
      </c>
      <c r="AE23">
        <v>375</v>
      </c>
      <c r="AF23">
        <v>270</v>
      </c>
      <c r="AG23" t="b">
        <v>1</v>
      </c>
      <c r="AH23">
        <v>375</v>
      </c>
      <c r="AI23">
        <v>184</v>
      </c>
      <c r="AJ23" t="s">
        <v>2129</v>
      </c>
      <c r="AK23" t="s">
        <v>2129</v>
      </c>
      <c r="AL23">
        <v>146</v>
      </c>
      <c r="AM23" t="s">
        <v>2129</v>
      </c>
      <c r="AN23">
        <v>-86</v>
      </c>
      <c r="AQ23">
        <v>-124</v>
      </c>
      <c r="AV23" t="s">
        <v>2129</v>
      </c>
      <c r="AW23" t="s">
        <v>2129</v>
      </c>
      <c r="AX23" t="s">
        <v>2129</v>
      </c>
      <c r="AY23" t="s">
        <v>2129</v>
      </c>
      <c r="AZ23">
        <v>32</v>
      </c>
      <c r="BA23" t="s">
        <v>2129</v>
      </c>
      <c r="BB23" t="s">
        <v>2129</v>
      </c>
      <c r="BC23" t="s">
        <v>2129</v>
      </c>
      <c r="BD23" t="s">
        <v>2129</v>
      </c>
      <c r="BE23">
        <v>16</v>
      </c>
      <c r="BF23" t="s">
        <v>2129</v>
      </c>
      <c r="BG23" t="s">
        <v>2129</v>
      </c>
      <c r="BH23" s="1958" t="s">
        <v>2129</v>
      </c>
      <c r="BI23"/>
      <c r="BJ23" s="863" t="s">
        <v>2129</v>
      </c>
      <c r="BK23" s="863">
        <v>75749708.799999997</v>
      </c>
      <c r="BL23" s="863" t="s">
        <v>2129</v>
      </c>
      <c r="BM23" s="863" t="s">
        <v>2129</v>
      </c>
      <c r="BN23" s="863" t="s">
        <v>2129</v>
      </c>
      <c r="BO23" s="863" t="s">
        <v>2129</v>
      </c>
      <c r="BP23" s="863" t="s">
        <v>2129</v>
      </c>
      <c r="BQ23" s="863" t="s">
        <v>2129</v>
      </c>
      <c r="BR23" s="863" t="s">
        <v>2129</v>
      </c>
      <c r="BS23" s="863" t="s">
        <v>2129</v>
      </c>
      <c r="BT23" s="863">
        <v>30052873.600000001</v>
      </c>
      <c r="BU23" s="863" t="s">
        <v>2129</v>
      </c>
      <c r="BV23" s="863" t="s">
        <v>2129</v>
      </c>
      <c r="BW23" s="863" t="s">
        <v>2129</v>
      </c>
      <c r="BX23" s="863" t="s">
        <v>2129</v>
      </c>
      <c r="BY23" s="863" t="s">
        <v>2129</v>
      </c>
      <c r="BZ23" s="863" t="s">
        <v>2129</v>
      </c>
      <c r="CA23" s="863" t="s">
        <v>2129</v>
      </c>
      <c r="CB23" s="863"/>
      <c r="CC23" s="863" t="s">
        <v>2129</v>
      </c>
      <c r="CD23" s="863" t="s">
        <v>2129</v>
      </c>
      <c r="CE23" s="863" t="s">
        <v>2129</v>
      </c>
      <c r="CF23" s="863" t="s">
        <v>2129</v>
      </c>
      <c r="CG23" s="863"/>
      <c r="CH23" s="5785"/>
    </row>
    <row r="24" spans="1:86" ht="13" hidden="1">
      <c r="A24">
        <v>44</v>
      </c>
      <c r="B24" s="196" t="s">
        <v>3252</v>
      </c>
      <c r="C24" s="5785" t="s">
        <v>3694</v>
      </c>
      <c r="D24" s="5785" t="s">
        <v>2129</v>
      </c>
      <c r="E24" s="5785" t="s">
        <v>2129</v>
      </c>
      <c r="F24" s="5785" t="s">
        <v>2129</v>
      </c>
      <c r="G24" s="5785" t="s">
        <v>2129</v>
      </c>
      <c r="H24" s="5785">
        <v>1</v>
      </c>
      <c r="I24" s="5785">
        <v>1</v>
      </c>
      <c r="J24" s="5785" t="b">
        <v>0</v>
      </c>
      <c r="K24" s="5785" t="s">
        <v>2129</v>
      </c>
      <c r="L24" s="5786">
        <v>70589</v>
      </c>
      <c r="M24" s="5786">
        <v>0</v>
      </c>
      <c r="N24" s="5786">
        <v>0</v>
      </c>
      <c r="O24" s="5786">
        <v>0</v>
      </c>
      <c r="P24" s="5786">
        <v>0</v>
      </c>
      <c r="Q24" s="2476">
        <v>77647.900000000009</v>
      </c>
      <c r="R24" s="2477">
        <v>77647</v>
      </c>
      <c r="S24" s="2477" t="b">
        <v>0</v>
      </c>
      <c r="T24" s="5786">
        <v>77647</v>
      </c>
      <c r="U24" s="5786">
        <v>0</v>
      </c>
      <c r="V24" s="863">
        <v>926728</v>
      </c>
      <c r="W24" s="863">
        <v>926728</v>
      </c>
      <c r="X24" s="863" t="b">
        <v>1</v>
      </c>
      <c r="Y24" s="863">
        <v>12356.373333333333</v>
      </c>
      <c r="AB24" s="863">
        <v>16445.927240461402</v>
      </c>
      <c r="AE24">
        <v>100</v>
      </c>
      <c r="AF24">
        <v>75</v>
      </c>
      <c r="AG24" t="b">
        <v>1</v>
      </c>
      <c r="AH24">
        <v>99</v>
      </c>
      <c r="AI24">
        <v>49</v>
      </c>
      <c r="AJ24" t="s">
        <v>2129</v>
      </c>
      <c r="AK24" t="s">
        <v>2129</v>
      </c>
      <c r="AL24" t="s">
        <v>2129</v>
      </c>
      <c r="AM24" t="s">
        <v>2129</v>
      </c>
      <c r="AN24">
        <v>-26</v>
      </c>
      <c r="AQ24" t="s">
        <v>2129</v>
      </c>
      <c r="AV24" t="s">
        <v>2129</v>
      </c>
      <c r="AW24" t="s">
        <v>2129</v>
      </c>
      <c r="AX24" t="s">
        <v>2129</v>
      </c>
      <c r="AY24" t="s">
        <v>2129</v>
      </c>
      <c r="AZ24">
        <v>32</v>
      </c>
      <c r="BA24" t="s">
        <v>2129</v>
      </c>
      <c r="BB24" t="s">
        <v>2129</v>
      </c>
      <c r="BC24" t="s">
        <v>2129</v>
      </c>
      <c r="BD24" t="s">
        <v>2129</v>
      </c>
      <c r="BE24" t="s">
        <v>2129</v>
      </c>
      <c r="BF24" t="s">
        <v>2129</v>
      </c>
      <c r="BG24" t="s">
        <v>2129</v>
      </c>
      <c r="BH24" s="1958" t="s">
        <v>2129</v>
      </c>
      <c r="BI24"/>
      <c r="BJ24" s="863" t="s">
        <v>2129</v>
      </c>
      <c r="BK24" s="863">
        <v>19374793.386666667</v>
      </c>
      <c r="BL24" s="863" t="s">
        <v>2129</v>
      </c>
      <c r="BM24" s="863" t="s">
        <v>2129</v>
      </c>
      <c r="BN24" s="863" t="s">
        <v>2129</v>
      </c>
      <c r="BO24" s="863" t="s">
        <v>2129</v>
      </c>
      <c r="BP24" s="863" t="s">
        <v>2129</v>
      </c>
      <c r="BQ24" s="863" t="s">
        <v>2129</v>
      </c>
      <c r="BR24" s="863" t="s">
        <v>2129</v>
      </c>
      <c r="BS24" s="863" t="s">
        <v>2129</v>
      </c>
      <c r="BT24" s="863" t="s">
        <v>2129</v>
      </c>
      <c r="BU24" s="863" t="s">
        <v>2129</v>
      </c>
      <c r="BV24" s="863" t="s">
        <v>2129</v>
      </c>
      <c r="BW24" s="863" t="s">
        <v>2129</v>
      </c>
      <c r="BX24" s="863" t="s">
        <v>2129</v>
      </c>
      <c r="BY24" s="863" t="s">
        <v>2129</v>
      </c>
      <c r="BZ24" s="863" t="s">
        <v>2129</v>
      </c>
      <c r="CA24" s="863" t="s">
        <v>2129</v>
      </c>
      <c r="CB24" s="863"/>
      <c r="CC24" s="863" t="s">
        <v>2129</v>
      </c>
      <c r="CD24" s="863" t="s">
        <v>2129</v>
      </c>
      <c r="CE24" s="863" t="s">
        <v>2129</v>
      </c>
      <c r="CF24" s="863" t="s">
        <v>2129</v>
      </c>
      <c r="CG24" s="863"/>
      <c r="CH24" s="5785"/>
    </row>
    <row r="25" spans="1:86" ht="13" hidden="1">
      <c r="A25">
        <v>45</v>
      </c>
      <c r="B25" s="5794" t="s">
        <v>3253</v>
      </c>
      <c r="C25" s="5785" t="s">
        <v>3694</v>
      </c>
      <c r="D25" s="5785" t="s">
        <v>2129</v>
      </c>
      <c r="E25" s="5785" t="s">
        <v>2129</v>
      </c>
      <c r="F25" s="5785" t="s">
        <v>2129</v>
      </c>
      <c r="G25" s="5785" t="s">
        <v>2129</v>
      </c>
      <c r="H25" s="5785">
        <v>0</v>
      </c>
      <c r="I25" s="5785">
        <v>0</v>
      </c>
      <c r="J25" s="5785" t="b">
        <v>0</v>
      </c>
      <c r="K25" s="5785" t="s">
        <v>2129</v>
      </c>
      <c r="L25" s="5786">
        <v>70589</v>
      </c>
      <c r="M25" s="5786">
        <v>0</v>
      </c>
      <c r="N25" s="5786">
        <v>0</v>
      </c>
      <c r="O25" s="5786">
        <v>0</v>
      </c>
      <c r="P25" s="5786">
        <v>0</v>
      </c>
      <c r="Q25" s="2476">
        <v>77647.900000000009</v>
      </c>
      <c r="R25" s="2477">
        <v>0</v>
      </c>
      <c r="S25" s="2477" t="b">
        <v>0</v>
      </c>
      <c r="T25" s="5786" t="s">
        <v>2129</v>
      </c>
      <c r="U25" s="5786">
        <v>-724724</v>
      </c>
      <c r="W25" s="863">
        <v>724724</v>
      </c>
      <c r="X25" s="863" t="b">
        <v>1</v>
      </c>
      <c r="Y25" s="863">
        <v>10353.200000000001</v>
      </c>
      <c r="AB25" s="863">
        <v>9002.782608695652</v>
      </c>
      <c r="AF25">
        <v>70</v>
      </c>
      <c r="AG25" t="b">
        <v>1</v>
      </c>
      <c r="AH25"/>
      <c r="AI25">
        <v>70</v>
      </c>
      <c r="AJ25" t="s">
        <v>2129</v>
      </c>
      <c r="AK25" t="s">
        <v>2129</v>
      </c>
      <c r="AL25" t="s">
        <v>2129</v>
      </c>
      <c r="AM25" t="s">
        <v>2129</v>
      </c>
      <c r="AN25">
        <v>0</v>
      </c>
      <c r="AQ25" t="s">
        <v>2129</v>
      </c>
      <c r="AV25" t="s">
        <v>2129</v>
      </c>
      <c r="AW25" t="s">
        <v>2129</v>
      </c>
      <c r="AX25" t="s">
        <v>2129</v>
      </c>
      <c r="AY25" t="s">
        <v>2129</v>
      </c>
      <c r="AZ25">
        <v>32</v>
      </c>
      <c r="BA25" t="s">
        <v>2129</v>
      </c>
      <c r="BB25" t="s">
        <v>2129</v>
      </c>
      <c r="BC25" t="s">
        <v>2129</v>
      </c>
      <c r="BD25" t="s">
        <v>2129</v>
      </c>
      <c r="BE25" t="s">
        <v>2129</v>
      </c>
      <c r="BF25" t="s">
        <v>2129</v>
      </c>
      <c r="BG25" t="s">
        <v>2129</v>
      </c>
      <c r="BH25" s="1958" t="s">
        <v>2129</v>
      </c>
      <c r="BI25"/>
      <c r="BJ25" s="863" t="s">
        <v>2129</v>
      </c>
      <c r="BK25" s="863">
        <v>23191168</v>
      </c>
      <c r="BL25" s="863" t="s">
        <v>2129</v>
      </c>
      <c r="BM25" s="863" t="s">
        <v>2129</v>
      </c>
      <c r="BN25" s="863" t="s">
        <v>2129</v>
      </c>
      <c r="BO25" s="863" t="s">
        <v>2129</v>
      </c>
      <c r="BP25" s="863" t="s">
        <v>2129</v>
      </c>
      <c r="BQ25" s="863" t="s">
        <v>2129</v>
      </c>
      <c r="BR25" s="863" t="s">
        <v>2129</v>
      </c>
      <c r="BS25" s="863" t="s">
        <v>2129</v>
      </c>
      <c r="BT25" s="863" t="s">
        <v>2129</v>
      </c>
      <c r="BU25" s="863" t="s">
        <v>2129</v>
      </c>
      <c r="BV25" s="863" t="s">
        <v>2129</v>
      </c>
      <c r="BW25" s="863" t="s">
        <v>2129</v>
      </c>
      <c r="BX25" s="863" t="s">
        <v>2129</v>
      </c>
      <c r="BY25" s="863" t="s">
        <v>2129</v>
      </c>
      <c r="BZ25" s="863" t="s">
        <v>2129</v>
      </c>
      <c r="CA25" s="863" t="s">
        <v>2129</v>
      </c>
      <c r="CB25" s="863"/>
      <c r="CC25" s="863" t="s">
        <v>2129</v>
      </c>
      <c r="CD25" s="863" t="s">
        <v>2129</v>
      </c>
      <c r="CE25" s="863" t="s">
        <v>2129</v>
      </c>
      <c r="CF25" s="863" t="s">
        <v>2129</v>
      </c>
      <c r="CG25" s="863"/>
      <c r="CH25" s="5785"/>
    </row>
    <row r="26" spans="1:86" ht="13" hidden="1">
      <c r="A26">
        <v>46</v>
      </c>
      <c r="B26" s="5794" t="s">
        <v>3254</v>
      </c>
      <c r="C26" s="5785" t="s">
        <v>3694</v>
      </c>
      <c r="D26" s="5785" t="s">
        <v>2129</v>
      </c>
      <c r="E26" s="5785" t="s">
        <v>2129</v>
      </c>
      <c r="F26" s="5785" t="s">
        <v>2129</v>
      </c>
      <c r="G26" s="5785" t="s">
        <v>2129</v>
      </c>
      <c r="H26" s="5785">
        <v>0</v>
      </c>
      <c r="I26" s="5785">
        <v>0</v>
      </c>
      <c r="J26" s="5785" t="b">
        <v>0</v>
      </c>
      <c r="K26" s="5785" t="s">
        <v>2129</v>
      </c>
      <c r="L26" s="5786">
        <v>70589</v>
      </c>
      <c r="M26" s="5786">
        <v>0</v>
      </c>
      <c r="N26" s="5786">
        <v>0</v>
      </c>
      <c r="O26" s="5786">
        <v>0</v>
      </c>
      <c r="P26" s="5786">
        <v>0</v>
      </c>
      <c r="Q26" s="2476">
        <v>77647.900000000009</v>
      </c>
      <c r="R26" s="2477">
        <v>0</v>
      </c>
      <c r="S26" s="2477" t="b">
        <v>0</v>
      </c>
      <c r="T26" s="5786" t="s">
        <v>2129</v>
      </c>
      <c r="U26" s="5786">
        <v>-797196</v>
      </c>
      <c r="W26" s="863">
        <v>797196</v>
      </c>
      <c r="X26" s="863" t="b">
        <v>1</v>
      </c>
      <c r="Y26" s="863">
        <v>10353.194805194806</v>
      </c>
      <c r="AB26" s="863">
        <v>18242.47139588101</v>
      </c>
      <c r="AF26">
        <v>77</v>
      </c>
      <c r="AG26" t="b">
        <v>1</v>
      </c>
      <c r="AH26"/>
      <c r="AI26">
        <v>38</v>
      </c>
      <c r="AJ26" t="s">
        <v>2129</v>
      </c>
      <c r="AK26" t="s">
        <v>2129</v>
      </c>
      <c r="AL26" t="s">
        <v>2129</v>
      </c>
      <c r="AM26" t="s">
        <v>2129</v>
      </c>
      <c r="AN26">
        <v>-39</v>
      </c>
      <c r="AQ26" t="s">
        <v>2129</v>
      </c>
      <c r="AV26" t="s">
        <v>2129</v>
      </c>
      <c r="AW26" t="s">
        <v>2129</v>
      </c>
      <c r="AX26" t="s">
        <v>2129</v>
      </c>
      <c r="AY26" t="s">
        <v>2129</v>
      </c>
      <c r="AZ26">
        <v>32</v>
      </c>
      <c r="BA26" t="s">
        <v>2129</v>
      </c>
      <c r="BB26" t="s">
        <v>2129</v>
      </c>
      <c r="BC26" t="s">
        <v>2129</v>
      </c>
      <c r="BD26" t="s">
        <v>2129</v>
      </c>
      <c r="BE26" t="s">
        <v>2129</v>
      </c>
      <c r="BF26" t="s">
        <v>2129</v>
      </c>
      <c r="BG26" t="s">
        <v>2129</v>
      </c>
      <c r="BH26" s="1958" t="s">
        <v>2129</v>
      </c>
      <c r="BI26"/>
      <c r="BJ26" s="863" t="s">
        <v>2129</v>
      </c>
      <c r="BK26" s="863">
        <v>12589484.883116884</v>
      </c>
      <c r="BL26" s="863" t="s">
        <v>2129</v>
      </c>
      <c r="BM26" s="863" t="s">
        <v>2129</v>
      </c>
      <c r="BN26" s="863" t="s">
        <v>2129</v>
      </c>
      <c r="BO26" s="863" t="s">
        <v>2129</v>
      </c>
      <c r="BP26" s="863" t="s">
        <v>2129</v>
      </c>
      <c r="BQ26" s="863" t="s">
        <v>2129</v>
      </c>
      <c r="BR26" s="863" t="s">
        <v>2129</v>
      </c>
      <c r="BS26" s="863" t="s">
        <v>2129</v>
      </c>
      <c r="BT26" s="863" t="s">
        <v>2129</v>
      </c>
      <c r="BU26" s="863" t="s">
        <v>2129</v>
      </c>
      <c r="BV26" s="863" t="s">
        <v>2129</v>
      </c>
      <c r="BW26" s="863" t="s">
        <v>2129</v>
      </c>
      <c r="BX26" s="863" t="s">
        <v>2129</v>
      </c>
      <c r="BY26" s="863" t="s">
        <v>2129</v>
      </c>
      <c r="BZ26" s="863" t="s">
        <v>2129</v>
      </c>
      <c r="CA26" s="863" t="s">
        <v>2129</v>
      </c>
      <c r="CB26" s="863"/>
      <c r="CC26" s="863" t="s">
        <v>2129</v>
      </c>
      <c r="CD26" s="863" t="s">
        <v>2129</v>
      </c>
      <c r="CE26" s="863" t="s">
        <v>2129</v>
      </c>
      <c r="CF26" s="863" t="s">
        <v>2129</v>
      </c>
      <c r="CG26" s="863"/>
      <c r="CH26" s="5785"/>
    </row>
    <row r="27" spans="1:86" ht="13" hidden="1">
      <c r="A27">
        <v>47</v>
      </c>
      <c r="B27" s="196" t="s">
        <v>3255</v>
      </c>
      <c r="C27" s="5785" t="s">
        <v>3694</v>
      </c>
      <c r="D27" s="5785" t="s">
        <v>2129</v>
      </c>
      <c r="E27" s="5785" t="s">
        <v>2129</v>
      </c>
      <c r="F27" s="5785" t="s">
        <v>3694</v>
      </c>
      <c r="G27" s="5785" t="s">
        <v>2129</v>
      </c>
      <c r="H27" s="5785">
        <v>0</v>
      </c>
      <c r="I27" s="5785">
        <v>0</v>
      </c>
      <c r="J27" s="5785" t="b">
        <v>0</v>
      </c>
      <c r="K27" s="5785" t="s">
        <v>2129</v>
      </c>
      <c r="L27" s="5786">
        <v>0</v>
      </c>
      <c r="M27" s="5786">
        <v>0</v>
      </c>
      <c r="N27" s="5786">
        <v>0</v>
      </c>
      <c r="O27" s="5786">
        <v>0</v>
      </c>
      <c r="P27" s="5786">
        <v>0</v>
      </c>
      <c r="Q27" s="2476">
        <v>0</v>
      </c>
      <c r="R27" s="2477">
        <v>0</v>
      </c>
      <c r="S27" s="2477" t="b">
        <v>1</v>
      </c>
      <c r="T27" s="5786" t="s">
        <v>2129</v>
      </c>
      <c r="U27" s="5786">
        <v>0</v>
      </c>
      <c r="V27" s="863">
        <v>1699002</v>
      </c>
      <c r="W27" s="863">
        <v>1699002</v>
      </c>
      <c r="X27" s="863" t="b">
        <v>1</v>
      </c>
      <c r="Y27" s="863">
        <v>10552.80745341615</v>
      </c>
      <c r="AB27" s="863">
        <v>18701.177765547607</v>
      </c>
      <c r="AE27">
        <v>161</v>
      </c>
      <c r="AF27">
        <v>161</v>
      </c>
      <c r="AG27" t="b">
        <v>1</v>
      </c>
      <c r="AH27">
        <v>162</v>
      </c>
      <c r="AI27">
        <v>79</v>
      </c>
      <c r="AJ27" t="s">
        <v>2129</v>
      </c>
      <c r="AK27" t="s">
        <v>2129</v>
      </c>
      <c r="AL27">
        <v>112</v>
      </c>
      <c r="AM27" t="s">
        <v>2129</v>
      </c>
      <c r="AN27">
        <v>-82</v>
      </c>
      <c r="AQ27">
        <v>-49</v>
      </c>
      <c r="AV27" t="s">
        <v>2129</v>
      </c>
      <c r="AW27" t="s">
        <v>2129</v>
      </c>
      <c r="AX27" t="s">
        <v>2129</v>
      </c>
      <c r="AY27" t="s">
        <v>2129</v>
      </c>
      <c r="AZ27">
        <v>32</v>
      </c>
      <c r="BA27" t="s">
        <v>2129</v>
      </c>
      <c r="BB27" t="s">
        <v>2129</v>
      </c>
      <c r="BC27" t="s">
        <v>2129</v>
      </c>
      <c r="BD27" t="s">
        <v>2129</v>
      </c>
      <c r="BE27">
        <v>16</v>
      </c>
      <c r="BF27" t="s">
        <v>2129</v>
      </c>
      <c r="BG27" t="s">
        <v>2129</v>
      </c>
      <c r="BH27" s="1958" t="s">
        <v>2129</v>
      </c>
      <c r="BI27"/>
      <c r="BJ27" s="863" t="s">
        <v>2129</v>
      </c>
      <c r="BK27" s="863">
        <v>26677497.242236026</v>
      </c>
      <c r="BL27" s="863" t="s">
        <v>2129</v>
      </c>
      <c r="BM27" s="863" t="s">
        <v>2129</v>
      </c>
      <c r="BN27" s="863" t="s">
        <v>2129</v>
      </c>
      <c r="BO27" s="863" t="s">
        <v>2129</v>
      </c>
      <c r="BP27" s="863" t="s">
        <v>2129</v>
      </c>
      <c r="BQ27" s="863" t="s">
        <v>2129</v>
      </c>
      <c r="BR27" s="863" t="s">
        <v>2129</v>
      </c>
      <c r="BS27" s="863" t="s">
        <v>2129</v>
      </c>
      <c r="BT27" s="863">
        <v>18910630.956521742</v>
      </c>
      <c r="BU27" s="863" t="s">
        <v>2129</v>
      </c>
      <c r="BV27" s="863" t="s">
        <v>2129</v>
      </c>
      <c r="BW27" s="863" t="s">
        <v>2129</v>
      </c>
      <c r="BX27" s="863" t="s">
        <v>2129</v>
      </c>
      <c r="BY27" s="863" t="s">
        <v>2129</v>
      </c>
      <c r="BZ27" s="863" t="s">
        <v>2129</v>
      </c>
      <c r="CA27" s="863" t="s">
        <v>2129</v>
      </c>
      <c r="CB27" s="863"/>
      <c r="CC27" s="863" t="s">
        <v>2129</v>
      </c>
      <c r="CD27" s="863" t="s">
        <v>2129</v>
      </c>
      <c r="CE27" s="863" t="s">
        <v>2129</v>
      </c>
      <c r="CF27" s="863" t="s">
        <v>2129</v>
      </c>
      <c r="CG27" s="863"/>
      <c r="CH27" s="5785"/>
    </row>
    <row r="28" spans="1:86" s="5782" customFormat="1" ht="13" hidden="1">
      <c r="A28" s="5782">
        <v>49</v>
      </c>
      <c r="B28" s="5783" t="s">
        <v>3256</v>
      </c>
      <c r="C28" s="5784" t="s">
        <v>2129</v>
      </c>
      <c r="D28" s="5784" t="s">
        <v>2129</v>
      </c>
      <c r="E28" s="5784" t="s">
        <v>2129</v>
      </c>
      <c r="F28" s="5784" t="s">
        <v>2129</v>
      </c>
      <c r="G28" s="5784" t="s">
        <v>2129</v>
      </c>
      <c r="H28" s="5784">
        <v>11</v>
      </c>
      <c r="I28" s="5784">
        <v>7</v>
      </c>
      <c r="J28" s="5785" t="b">
        <v>0</v>
      </c>
      <c r="K28" s="5785" t="s">
        <v>2129</v>
      </c>
      <c r="L28" s="5786">
        <v>12235815</v>
      </c>
      <c r="M28" s="5786">
        <v>294120</v>
      </c>
      <c r="N28" s="5786">
        <v>0</v>
      </c>
      <c r="O28" s="5786">
        <v>0</v>
      </c>
      <c r="P28" s="5786">
        <v>0</v>
      </c>
      <c r="Q28" s="2476">
        <v>13782928.500000002</v>
      </c>
      <c r="R28" s="5787">
        <v>13782928</v>
      </c>
      <c r="S28" s="2477" t="b">
        <v>0</v>
      </c>
      <c r="T28" s="5787">
        <v>1968989.7142857143</v>
      </c>
      <c r="U28" s="5787">
        <v>0</v>
      </c>
      <c r="V28" s="5788">
        <v>7092669</v>
      </c>
      <c r="W28" s="5788">
        <v>7092669</v>
      </c>
      <c r="X28" s="5788" t="b">
        <v>1</v>
      </c>
      <c r="Y28" s="5788">
        <v>29430.16182572614</v>
      </c>
      <c r="Z28" s="5788"/>
      <c r="AA28" s="5788"/>
      <c r="AB28" s="5788" t="s">
        <v>2129</v>
      </c>
      <c r="AC28" s="5788"/>
      <c r="AD28" s="5788"/>
      <c r="AE28" s="5782">
        <v>241</v>
      </c>
      <c r="AF28" s="5789">
        <v>241</v>
      </c>
      <c r="AG28" s="5789" t="b">
        <v>1</v>
      </c>
      <c r="AH28" s="5782">
        <v>301</v>
      </c>
      <c r="AI28" s="5782" t="s">
        <v>2129</v>
      </c>
      <c r="AJ28" s="5782" t="s">
        <v>2129</v>
      </c>
      <c r="AK28" s="5782" t="s">
        <v>2129</v>
      </c>
      <c r="AL28" s="5782" t="s">
        <v>2129</v>
      </c>
      <c r="AM28" s="5782" t="s">
        <v>2129</v>
      </c>
      <c r="AN28" s="5782" t="s">
        <v>2129</v>
      </c>
      <c r="AQ28" s="5782" t="s">
        <v>2129</v>
      </c>
      <c r="AV28" s="5782" t="s">
        <v>2129</v>
      </c>
      <c r="AW28" s="5782" t="s">
        <v>2129</v>
      </c>
      <c r="AX28" s="5782" t="s">
        <v>2129</v>
      </c>
      <c r="AY28" s="5782" t="s">
        <v>2129</v>
      </c>
      <c r="AZ28" s="5782" t="s">
        <v>2129</v>
      </c>
      <c r="BA28" s="5782" t="s">
        <v>2129</v>
      </c>
      <c r="BB28" s="5782" t="s">
        <v>2129</v>
      </c>
      <c r="BC28" s="5782" t="s">
        <v>2129</v>
      </c>
      <c r="BD28" s="5782" t="s">
        <v>2129</v>
      </c>
      <c r="BE28" s="5782" t="s">
        <v>2129</v>
      </c>
      <c r="BF28" s="5782" t="s">
        <v>2129</v>
      </c>
      <c r="BG28" s="5782" t="s">
        <v>2129</v>
      </c>
      <c r="BH28" s="5788" t="s">
        <v>2129</v>
      </c>
      <c r="BJ28" s="5788" t="s">
        <v>2129</v>
      </c>
      <c r="BK28" s="5788" t="s">
        <v>2129</v>
      </c>
      <c r="BL28" s="5788" t="s">
        <v>2129</v>
      </c>
      <c r="BM28" s="5788" t="s">
        <v>2129</v>
      </c>
      <c r="BN28" s="5788" t="s">
        <v>2129</v>
      </c>
      <c r="BO28" s="5788" t="s">
        <v>2129</v>
      </c>
      <c r="BP28" s="5788" t="s">
        <v>2129</v>
      </c>
      <c r="BQ28" s="5788" t="s">
        <v>2129</v>
      </c>
      <c r="BR28" s="5788" t="s">
        <v>2129</v>
      </c>
      <c r="BS28" s="5788" t="s">
        <v>2129</v>
      </c>
      <c r="BT28" s="5788" t="s">
        <v>2129</v>
      </c>
      <c r="BU28" s="5788" t="s">
        <v>2129</v>
      </c>
      <c r="BV28" s="5788" t="s">
        <v>2129</v>
      </c>
      <c r="BW28" s="5788" t="s">
        <v>2129</v>
      </c>
      <c r="BX28" s="5788" t="s">
        <v>2129</v>
      </c>
      <c r="BY28" s="5788" t="s">
        <v>2129</v>
      </c>
      <c r="BZ28" s="5788" t="s">
        <v>2129</v>
      </c>
      <c r="CA28" s="5788" t="s">
        <v>2129</v>
      </c>
      <c r="CB28" s="5788"/>
      <c r="CC28" s="5788" t="s">
        <v>2129</v>
      </c>
      <c r="CD28" s="5788" t="s">
        <v>2129</v>
      </c>
      <c r="CE28" s="5788" t="s">
        <v>2129</v>
      </c>
      <c r="CF28" s="5788" t="s">
        <v>2129</v>
      </c>
      <c r="CG28" s="5788"/>
      <c r="CH28" s="5784"/>
    </row>
    <row r="29" spans="1:86" s="5782" customFormat="1" ht="13" hidden="1">
      <c r="A29" s="5782">
        <v>50</v>
      </c>
      <c r="B29" s="5783" t="s">
        <v>3257</v>
      </c>
      <c r="C29" s="5784" t="s">
        <v>2129</v>
      </c>
      <c r="D29" s="5784" t="s">
        <v>2129</v>
      </c>
      <c r="E29" s="5784" t="s">
        <v>2129</v>
      </c>
      <c r="F29" s="5784" t="s">
        <v>2129</v>
      </c>
      <c r="G29" s="5784" t="s">
        <v>2129</v>
      </c>
      <c r="H29" s="5784">
        <v>0</v>
      </c>
      <c r="I29" s="5784">
        <v>0</v>
      </c>
      <c r="J29" s="5785" t="b">
        <v>0</v>
      </c>
      <c r="K29" s="5785" t="s">
        <v>2129</v>
      </c>
      <c r="L29" s="5786">
        <v>0</v>
      </c>
      <c r="M29" s="5786">
        <v>0</v>
      </c>
      <c r="N29" s="5786">
        <v>0</v>
      </c>
      <c r="O29" s="5786">
        <v>0</v>
      </c>
      <c r="P29" s="5786">
        <v>0</v>
      </c>
      <c r="Q29" s="2476">
        <v>0</v>
      </c>
      <c r="R29" s="5787">
        <v>0</v>
      </c>
      <c r="S29" s="2477" t="b">
        <v>1</v>
      </c>
      <c r="T29" s="5787" t="s">
        <v>2129</v>
      </c>
      <c r="U29" s="5787">
        <v>0</v>
      </c>
      <c r="V29" s="5788">
        <v>2090429</v>
      </c>
      <c r="W29" s="5788">
        <v>2090429</v>
      </c>
      <c r="X29" s="5788" t="b">
        <v>1</v>
      </c>
      <c r="Y29" s="5788">
        <v>26130.362499999999</v>
      </c>
      <c r="Z29" s="5788"/>
      <c r="AA29" s="5788"/>
      <c r="AB29" s="5788" t="s">
        <v>2129</v>
      </c>
      <c r="AC29" s="5788"/>
      <c r="AD29" s="5788"/>
      <c r="AE29" s="5782">
        <v>188</v>
      </c>
      <c r="AF29" s="5782">
        <v>80</v>
      </c>
      <c r="AG29" s="5782" t="b">
        <v>1</v>
      </c>
      <c r="AH29" s="5782">
        <v>210</v>
      </c>
      <c r="AI29" s="5782" t="s">
        <v>2129</v>
      </c>
      <c r="AJ29" s="5782" t="s">
        <v>2129</v>
      </c>
      <c r="AK29" s="5782" t="s">
        <v>2129</v>
      </c>
      <c r="AL29" s="5782" t="s">
        <v>2129</v>
      </c>
      <c r="AM29" s="5782" t="s">
        <v>2129</v>
      </c>
      <c r="AN29" s="5782" t="s">
        <v>2129</v>
      </c>
      <c r="AQ29" s="5782" t="s">
        <v>2129</v>
      </c>
      <c r="AV29" s="5782" t="s">
        <v>2129</v>
      </c>
      <c r="AW29" s="5782" t="s">
        <v>2129</v>
      </c>
      <c r="AX29" s="5782" t="s">
        <v>2129</v>
      </c>
      <c r="AY29" s="5782" t="s">
        <v>2129</v>
      </c>
      <c r="AZ29" s="5782" t="s">
        <v>2129</v>
      </c>
      <c r="BA29" s="5782" t="s">
        <v>2129</v>
      </c>
      <c r="BB29" s="5782" t="s">
        <v>2129</v>
      </c>
      <c r="BC29" s="5782" t="s">
        <v>2129</v>
      </c>
      <c r="BD29" s="5782" t="s">
        <v>2129</v>
      </c>
      <c r="BE29" s="5782" t="s">
        <v>2129</v>
      </c>
      <c r="BF29" s="5782" t="s">
        <v>2129</v>
      </c>
      <c r="BG29" s="5782" t="s">
        <v>2129</v>
      </c>
      <c r="BH29" s="5788" t="s">
        <v>2129</v>
      </c>
      <c r="BJ29" s="5788" t="s">
        <v>2129</v>
      </c>
      <c r="BK29" s="5788" t="s">
        <v>2129</v>
      </c>
      <c r="BL29" s="5788" t="s">
        <v>2129</v>
      </c>
      <c r="BM29" s="5788" t="s">
        <v>2129</v>
      </c>
      <c r="BN29" s="5788" t="s">
        <v>2129</v>
      </c>
      <c r="BO29" s="5788" t="s">
        <v>2129</v>
      </c>
      <c r="BP29" s="5788" t="s">
        <v>2129</v>
      </c>
      <c r="BQ29" s="5788" t="s">
        <v>2129</v>
      </c>
      <c r="BR29" s="5788" t="s">
        <v>2129</v>
      </c>
      <c r="BS29" s="5788" t="s">
        <v>2129</v>
      </c>
      <c r="BT29" s="5788" t="s">
        <v>2129</v>
      </c>
      <c r="BU29" s="5788" t="s">
        <v>2129</v>
      </c>
      <c r="BV29" s="5788" t="s">
        <v>2129</v>
      </c>
      <c r="BW29" s="5788" t="s">
        <v>2129</v>
      </c>
      <c r="BX29" s="5788" t="s">
        <v>2129</v>
      </c>
      <c r="BY29" s="5788" t="s">
        <v>2129</v>
      </c>
      <c r="BZ29" s="5788" t="s">
        <v>2129</v>
      </c>
      <c r="CA29" s="5788" t="s">
        <v>2129</v>
      </c>
      <c r="CB29" s="5788"/>
      <c r="CC29" s="5788" t="s">
        <v>2129</v>
      </c>
      <c r="CD29" s="5788" t="s">
        <v>2129</v>
      </c>
      <c r="CE29" s="5788" t="s">
        <v>2129</v>
      </c>
      <c r="CF29" s="5788" t="s">
        <v>2129</v>
      </c>
      <c r="CG29" s="5788"/>
      <c r="CH29" s="5784"/>
    </row>
    <row r="30" spans="1:86" ht="13" hidden="1">
      <c r="A30">
        <v>51</v>
      </c>
      <c r="B30" s="196" t="s">
        <v>3258</v>
      </c>
      <c r="C30" s="5785" t="s">
        <v>2129</v>
      </c>
      <c r="D30" s="5785" t="s">
        <v>2129</v>
      </c>
      <c r="E30" s="5785" t="s">
        <v>2129</v>
      </c>
      <c r="F30" s="5785" t="s">
        <v>3694</v>
      </c>
      <c r="G30" s="5785" t="s">
        <v>2129</v>
      </c>
      <c r="H30" s="5785">
        <v>1</v>
      </c>
      <c r="I30" s="5785">
        <v>1</v>
      </c>
      <c r="J30" s="5785" t="b">
        <v>0</v>
      </c>
      <c r="K30" s="5785" t="s">
        <v>2129</v>
      </c>
      <c r="L30" s="5786">
        <v>137648</v>
      </c>
      <c r="M30" s="5786">
        <v>0</v>
      </c>
      <c r="N30" s="5786">
        <v>0</v>
      </c>
      <c r="O30" s="5786">
        <v>0</v>
      </c>
      <c r="P30" s="5786">
        <v>0</v>
      </c>
      <c r="Q30" s="2476">
        <v>151412.80000000002</v>
      </c>
      <c r="R30" s="2477">
        <v>151412</v>
      </c>
      <c r="S30" s="2477" t="b">
        <v>0</v>
      </c>
      <c r="T30" s="5786">
        <v>151412</v>
      </c>
      <c r="U30" s="5786">
        <v>0</v>
      </c>
      <c r="V30" s="863">
        <v>1821022</v>
      </c>
      <c r="W30" s="863">
        <v>1821022</v>
      </c>
      <c r="X30" s="863" t="b">
        <v>1</v>
      </c>
      <c r="Y30" s="863">
        <v>24280.293333333335</v>
      </c>
      <c r="AB30" s="863" t="s">
        <v>2129</v>
      </c>
      <c r="AE30">
        <v>165</v>
      </c>
      <c r="AF30">
        <v>75</v>
      </c>
      <c r="AG30" t="b">
        <v>1</v>
      </c>
      <c r="AH30">
        <v>207</v>
      </c>
      <c r="AI30" t="s">
        <v>2129</v>
      </c>
      <c r="AJ30" t="s">
        <v>2129</v>
      </c>
      <c r="AK30" t="s">
        <v>2129</v>
      </c>
      <c r="AL30">
        <v>62</v>
      </c>
      <c r="AM30" t="s">
        <v>2129</v>
      </c>
      <c r="AN30" t="s">
        <v>2129</v>
      </c>
      <c r="AQ30">
        <v>-13</v>
      </c>
      <c r="AV30" t="s">
        <v>2129</v>
      </c>
      <c r="AW30" t="s">
        <v>2129</v>
      </c>
      <c r="AX30" t="s">
        <v>2129</v>
      </c>
      <c r="AY30" t="s">
        <v>2129</v>
      </c>
      <c r="AZ30" t="s">
        <v>2129</v>
      </c>
      <c r="BA30" t="s">
        <v>2129</v>
      </c>
      <c r="BB30" t="s">
        <v>2129</v>
      </c>
      <c r="BC30" t="s">
        <v>2129</v>
      </c>
      <c r="BD30" t="s">
        <v>2129</v>
      </c>
      <c r="BE30">
        <v>16</v>
      </c>
      <c r="BF30" t="s">
        <v>2129</v>
      </c>
      <c r="BG30" t="s">
        <v>2129</v>
      </c>
      <c r="BH30" s="1958" t="s">
        <v>2129</v>
      </c>
      <c r="BI30"/>
      <c r="BJ30" s="863" t="s">
        <v>2129</v>
      </c>
      <c r="BK30" s="863" t="s">
        <v>2129</v>
      </c>
      <c r="BL30" s="863" t="s">
        <v>2129</v>
      </c>
      <c r="BM30" s="863" t="s">
        <v>2129</v>
      </c>
      <c r="BN30" s="863" t="s">
        <v>2129</v>
      </c>
      <c r="BO30" s="863" t="s">
        <v>2129</v>
      </c>
      <c r="BP30" s="863" t="s">
        <v>2129</v>
      </c>
      <c r="BQ30" s="863" t="s">
        <v>2129</v>
      </c>
      <c r="BR30" s="863" t="s">
        <v>2129</v>
      </c>
      <c r="BS30" s="863" t="s">
        <v>2129</v>
      </c>
      <c r="BT30" s="863">
        <v>24086050.986666668</v>
      </c>
      <c r="BU30" s="863" t="s">
        <v>2129</v>
      </c>
      <c r="BV30" s="863" t="s">
        <v>2129</v>
      </c>
      <c r="BW30" s="863" t="s">
        <v>2129</v>
      </c>
      <c r="BX30" s="863" t="s">
        <v>2129</v>
      </c>
      <c r="BY30" s="863" t="s">
        <v>2129</v>
      </c>
      <c r="BZ30" s="863" t="s">
        <v>2129</v>
      </c>
      <c r="CA30" s="863" t="s">
        <v>2129</v>
      </c>
      <c r="CB30" s="863"/>
      <c r="CC30" s="863" t="s">
        <v>2129</v>
      </c>
      <c r="CD30" s="863" t="s">
        <v>2129</v>
      </c>
      <c r="CE30" s="863" t="s">
        <v>2129</v>
      </c>
      <c r="CF30" s="863" t="s">
        <v>2129</v>
      </c>
      <c r="CG30" s="863"/>
      <c r="CH30" s="5785"/>
    </row>
    <row r="31" spans="1:86" ht="13" hidden="1">
      <c r="A31">
        <v>52</v>
      </c>
      <c r="B31" s="196" t="s">
        <v>3259</v>
      </c>
      <c r="C31" s="5785" t="s">
        <v>2129</v>
      </c>
      <c r="D31" s="5785" t="s">
        <v>2129</v>
      </c>
      <c r="E31" s="5785" t="s">
        <v>2129</v>
      </c>
      <c r="F31" s="5785" t="s">
        <v>3694</v>
      </c>
      <c r="G31" s="5785" t="s">
        <v>2129</v>
      </c>
      <c r="H31" s="5785">
        <v>0</v>
      </c>
      <c r="I31" s="5785">
        <v>0</v>
      </c>
      <c r="J31" s="5785" t="b">
        <v>0</v>
      </c>
      <c r="K31" s="5785" t="s">
        <v>2129</v>
      </c>
      <c r="L31" s="5786">
        <v>0</v>
      </c>
      <c r="M31" s="5786">
        <v>0</v>
      </c>
      <c r="N31" s="5786">
        <v>0</v>
      </c>
      <c r="O31" s="5786">
        <v>0</v>
      </c>
      <c r="P31" s="5786">
        <v>0</v>
      </c>
      <c r="Q31" s="2476">
        <v>0</v>
      </c>
      <c r="R31" s="2477">
        <v>0</v>
      </c>
      <c r="S31" s="2477" t="b">
        <v>1</v>
      </c>
      <c r="T31" s="5786" t="s">
        <v>2129</v>
      </c>
      <c r="U31" s="5786">
        <v>0</v>
      </c>
      <c r="V31" s="863">
        <v>972149</v>
      </c>
      <c r="W31" s="863">
        <v>972149</v>
      </c>
      <c r="X31" s="863" t="b">
        <v>1</v>
      </c>
      <c r="Y31" s="863">
        <v>13887.842857142858</v>
      </c>
      <c r="AB31" s="863" t="s">
        <v>2129</v>
      </c>
      <c r="AE31">
        <v>98</v>
      </c>
      <c r="AF31">
        <v>70</v>
      </c>
      <c r="AG31" t="b">
        <v>1</v>
      </c>
      <c r="AH31">
        <v>99</v>
      </c>
      <c r="AI31" t="s">
        <v>2129</v>
      </c>
      <c r="AJ31" t="s">
        <v>2129</v>
      </c>
      <c r="AK31" t="s">
        <v>2129</v>
      </c>
      <c r="AL31">
        <v>10</v>
      </c>
      <c r="AM31" t="s">
        <v>2129</v>
      </c>
      <c r="AN31" t="s">
        <v>2129</v>
      </c>
      <c r="AQ31">
        <v>-60</v>
      </c>
      <c r="AV31" t="s">
        <v>2129</v>
      </c>
      <c r="AW31" t="s">
        <v>2129</v>
      </c>
      <c r="AX31" t="s">
        <v>2129</v>
      </c>
      <c r="AY31" t="s">
        <v>2129</v>
      </c>
      <c r="AZ31" t="s">
        <v>2129</v>
      </c>
      <c r="BA31" t="s">
        <v>2129</v>
      </c>
      <c r="BB31" t="s">
        <v>2129</v>
      </c>
      <c r="BC31" t="s">
        <v>2129</v>
      </c>
      <c r="BD31" t="s">
        <v>2129</v>
      </c>
      <c r="BE31">
        <v>16</v>
      </c>
      <c r="BF31" t="s">
        <v>2129</v>
      </c>
      <c r="BG31" t="s">
        <v>2129</v>
      </c>
      <c r="BH31" s="1958" t="s">
        <v>2129</v>
      </c>
      <c r="BI31"/>
      <c r="BJ31" s="863" t="s">
        <v>2129</v>
      </c>
      <c r="BK31" s="863" t="s">
        <v>2129</v>
      </c>
      <c r="BL31" s="863" t="s">
        <v>2129</v>
      </c>
      <c r="BM31" s="863" t="s">
        <v>2129</v>
      </c>
      <c r="BN31" s="863" t="s">
        <v>2129</v>
      </c>
      <c r="BO31" s="863" t="s">
        <v>2129</v>
      </c>
      <c r="BP31" s="863" t="s">
        <v>2129</v>
      </c>
      <c r="BQ31" s="863" t="s">
        <v>2129</v>
      </c>
      <c r="BR31" s="863" t="s">
        <v>2129</v>
      </c>
      <c r="BS31" s="863" t="s">
        <v>2129</v>
      </c>
      <c r="BT31" s="863">
        <v>2222054.8571428573</v>
      </c>
      <c r="BU31" s="863" t="s">
        <v>2129</v>
      </c>
      <c r="BV31" s="863" t="s">
        <v>2129</v>
      </c>
      <c r="BW31" s="863" t="s">
        <v>2129</v>
      </c>
      <c r="BX31" s="863" t="s">
        <v>2129</v>
      </c>
      <c r="BY31" s="863" t="s">
        <v>2129</v>
      </c>
      <c r="BZ31" s="863" t="s">
        <v>2129</v>
      </c>
      <c r="CA31" s="863" t="s">
        <v>2129</v>
      </c>
      <c r="CB31" s="863"/>
      <c r="CC31" s="863" t="s">
        <v>2129</v>
      </c>
      <c r="CD31" s="863" t="s">
        <v>2129</v>
      </c>
      <c r="CE31" s="863" t="s">
        <v>2129</v>
      </c>
      <c r="CF31" s="863" t="s">
        <v>2129</v>
      </c>
      <c r="CG31" s="863"/>
      <c r="CH31" s="5785"/>
    </row>
    <row r="32" spans="1:86" ht="13" hidden="1">
      <c r="A32">
        <v>53</v>
      </c>
      <c r="B32" s="196" t="s">
        <v>3260</v>
      </c>
      <c r="C32" s="5785" t="s">
        <v>3694</v>
      </c>
      <c r="D32" s="5785" t="s">
        <v>2129</v>
      </c>
      <c r="E32" s="5785" t="s">
        <v>2129</v>
      </c>
      <c r="F32" s="5785" t="s">
        <v>2129</v>
      </c>
      <c r="G32" s="5785" t="s">
        <v>2129</v>
      </c>
      <c r="H32" s="5785">
        <v>0</v>
      </c>
      <c r="I32" s="5785">
        <v>0</v>
      </c>
      <c r="J32" s="5785" t="b">
        <v>0</v>
      </c>
      <c r="K32" s="5785" t="s">
        <v>2129</v>
      </c>
      <c r="L32" s="5786">
        <v>0</v>
      </c>
      <c r="M32" s="5786">
        <v>0</v>
      </c>
      <c r="N32" s="5786">
        <v>0</v>
      </c>
      <c r="O32" s="5786">
        <v>0</v>
      </c>
      <c r="P32" s="5786">
        <v>0</v>
      </c>
      <c r="Q32" s="2476">
        <v>0</v>
      </c>
      <c r="R32" s="2477">
        <v>0</v>
      </c>
      <c r="S32" s="2477" t="b">
        <v>1</v>
      </c>
      <c r="T32" s="5786" t="s">
        <v>2129</v>
      </c>
      <c r="U32" s="5786">
        <v>0</v>
      </c>
      <c r="V32" s="863">
        <v>5821217</v>
      </c>
      <c r="W32" s="863">
        <v>5821217</v>
      </c>
      <c r="X32" s="863" t="b">
        <v>1</v>
      </c>
      <c r="Y32" s="863">
        <v>24458.894957983193</v>
      </c>
      <c r="AB32" s="863">
        <v>43264.340393905615</v>
      </c>
      <c r="AE32">
        <v>238</v>
      </c>
      <c r="AF32">
        <v>238</v>
      </c>
      <c r="AG32" t="b">
        <v>1</v>
      </c>
      <c r="AH32">
        <v>240</v>
      </c>
      <c r="AI32">
        <v>117</v>
      </c>
      <c r="AJ32" t="s">
        <v>2129</v>
      </c>
      <c r="AK32" t="s">
        <v>2129</v>
      </c>
      <c r="AL32" t="s">
        <v>2129</v>
      </c>
      <c r="AM32" t="s">
        <v>2129</v>
      </c>
      <c r="AN32">
        <v>-121</v>
      </c>
      <c r="AQ32" t="s">
        <v>2129</v>
      </c>
      <c r="AV32" t="s">
        <v>2129</v>
      </c>
      <c r="AW32" t="s">
        <v>2129</v>
      </c>
      <c r="AX32" t="s">
        <v>2129</v>
      </c>
      <c r="AY32" t="s">
        <v>2129</v>
      </c>
      <c r="AZ32">
        <v>32</v>
      </c>
      <c r="BA32" t="s">
        <v>2129</v>
      </c>
      <c r="BB32" t="s">
        <v>2129</v>
      </c>
      <c r="BC32" t="s">
        <v>2129</v>
      </c>
      <c r="BD32" t="s">
        <v>2129</v>
      </c>
      <c r="BE32" t="s">
        <v>2129</v>
      </c>
      <c r="BF32" t="s">
        <v>2129</v>
      </c>
      <c r="BG32" t="s">
        <v>2129</v>
      </c>
      <c r="BH32" s="1958" t="s">
        <v>2129</v>
      </c>
      <c r="BI32"/>
      <c r="BJ32" s="863" t="s">
        <v>2129</v>
      </c>
      <c r="BK32" s="863">
        <v>91574102.722689077</v>
      </c>
      <c r="BL32" s="863" t="s">
        <v>2129</v>
      </c>
      <c r="BM32" s="863" t="s">
        <v>2129</v>
      </c>
      <c r="BN32" s="863" t="s">
        <v>2129</v>
      </c>
      <c r="BO32" s="863" t="s">
        <v>2129</v>
      </c>
      <c r="BP32" s="863" t="s">
        <v>2129</v>
      </c>
      <c r="BQ32" s="863" t="s">
        <v>2129</v>
      </c>
      <c r="BR32" s="863" t="s">
        <v>2129</v>
      </c>
      <c r="BS32" s="863" t="s">
        <v>2129</v>
      </c>
      <c r="BT32" s="863" t="s">
        <v>2129</v>
      </c>
      <c r="BU32" s="863" t="s">
        <v>2129</v>
      </c>
      <c r="BV32" s="863" t="s">
        <v>2129</v>
      </c>
      <c r="BW32" s="863" t="s">
        <v>2129</v>
      </c>
      <c r="BX32" s="863" t="s">
        <v>2129</v>
      </c>
      <c r="BY32" s="863" t="s">
        <v>2129</v>
      </c>
      <c r="BZ32" s="863" t="s">
        <v>2129</v>
      </c>
      <c r="CA32" s="863" t="s">
        <v>2129</v>
      </c>
      <c r="CB32" s="863"/>
      <c r="CC32" s="863" t="s">
        <v>2129</v>
      </c>
      <c r="CD32" s="863" t="s">
        <v>2129</v>
      </c>
      <c r="CE32" s="863" t="s">
        <v>2129</v>
      </c>
      <c r="CF32" s="863" t="s">
        <v>2129</v>
      </c>
      <c r="CG32" s="863"/>
      <c r="CH32" s="5785"/>
    </row>
    <row r="33" spans="1:133" ht="13" hidden="1">
      <c r="A33">
        <v>54</v>
      </c>
      <c r="B33" s="196" t="s">
        <v>3261</v>
      </c>
      <c r="C33" s="5785" t="s">
        <v>2695</v>
      </c>
      <c r="D33" s="5785" t="s">
        <v>2129</v>
      </c>
      <c r="E33" s="5785" t="s">
        <v>2129</v>
      </c>
      <c r="F33" s="5785" t="s">
        <v>2129</v>
      </c>
      <c r="G33" s="5785" t="s">
        <v>2129</v>
      </c>
      <c r="H33" s="5785">
        <v>0</v>
      </c>
      <c r="I33" s="5785">
        <v>0</v>
      </c>
      <c r="J33" s="5785" t="b">
        <v>0</v>
      </c>
      <c r="K33" s="5785" t="s">
        <v>2129</v>
      </c>
      <c r="L33" s="5786">
        <v>0</v>
      </c>
      <c r="M33" s="5786">
        <v>0</v>
      </c>
      <c r="N33" s="5786">
        <v>0</v>
      </c>
      <c r="O33" s="5786">
        <v>0</v>
      </c>
      <c r="P33" s="5786">
        <v>0</v>
      </c>
      <c r="Q33" s="2476">
        <v>0</v>
      </c>
      <c r="R33" s="2477">
        <v>0</v>
      </c>
      <c r="S33" s="2477" t="b">
        <v>1</v>
      </c>
      <c r="T33" s="5786" t="s">
        <v>2129</v>
      </c>
      <c r="U33" s="5786">
        <v>0</v>
      </c>
      <c r="V33" s="863">
        <v>9504102</v>
      </c>
      <c r="W33" s="863">
        <v>9504102</v>
      </c>
      <c r="X33" s="863" t="b">
        <v>1</v>
      </c>
      <c r="Y33" s="863">
        <v>62118.313725490196</v>
      </c>
      <c r="AB33" s="863">
        <v>54015.92497868713</v>
      </c>
      <c r="AE33">
        <v>153</v>
      </c>
      <c r="AF33" s="3965">
        <v>153</v>
      </c>
      <c r="AG33" s="3965" t="b">
        <v>1</v>
      </c>
      <c r="AH33">
        <v>179</v>
      </c>
      <c r="AI33">
        <v>153</v>
      </c>
      <c r="AJ33" t="s">
        <v>2129</v>
      </c>
      <c r="AK33" t="s">
        <v>2129</v>
      </c>
      <c r="AL33" t="s">
        <v>2129</v>
      </c>
      <c r="AM33" t="s">
        <v>2129</v>
      </c>
      <c r="AN33">
        <v>0</v>
      </c>
      <c r="AQ33" t="s">
        <v>2129</v>
      </c>
      <c r="AV33" t="s">
        <v>2129</v>
      </c>
      <c r="AW33" t="s">
        <v>2129</v>
      </c>
      <c r="AX33">
        <v>18</v>
      </c>
      <c r="AY33" t="s">
        <v>2129</v>
      </c>
      <c r="AZ33" t="s">
        <v>2129</v>
      </c>
      <c r="BA33" t="s">
        <v>2129</v>
      </c>
      <c r="BB33" t="s">
        <v>2129</v>
      </c>
      <c r="BC33" t="s">
        <v>2129</v>
      </c>
      <c r="BD33" t="s">
        <v>2129</v>
      </c>
      <c r="BE33" t="s">
        <v>2129</v>
      </c>
      <c r="BF33" t="s">
        <v>2129</v>
      </c>
      <c r="BG33" t="s">
        <v>2129</v>
      </c>
      <c r="BH33" s="1958" t="s">
        <v>2129</v>
      </c>
      <c r="BI33"/>
      <c r="BJ33" s="863" t="s">
        <v>2129</v>
      </c>
      <c r="BK33" s="863" t="s">
        <v>2129</v>
      </c>
      <c r="BL33" s="863">
        <v>171073836</v>
      </c>
      <c r="BM33" s="863" t="s">
        <v>2129</v>
      </c>
      <c r="BN33" s="863" t="s">
        <v>2129</v>
      </c>
      <c r="BO33" s="863" t="s">
        <v>2129</v>
      </c>
      <c r="BP33" s="863" t="s">
        <v>2129</v>
      </c>
      <c r="BQ33" s="863" t="s">
        <v>2129</v>
      </c>
      <c r="BR33" s="863" t="s">
        <v>2129</v>
      </c>
      <c r="BS33" s="863" t="s">
        <v>2129</v>
      </c>
      <c r="BT33" s="863" t="s">
        <v>2129</v>
      </c>
      <c r="BU33" s="863" t="s">
        <v>2129</v>
      </c>
      <c r="BV33" s="863" t="s">
        <v>2129</v>
      </c>
      <c r="BW33" s="863" t="s">
        <v>2129</v>
      </c>
      <c r="BX33" s="863" t="s">
        <v>2129</v>
      </c>
      <c r="BY33" s="863" t="s">
        <v>2129</v>
      </c>
      <c r="BZ33" s="863" t="s">
        <v>2129</v>
      </c>
      <c r="CA33" s="863" t="s">
        <v>2129</v>
      </c>
      <c r="CB33" s="863"/>
      <c r="CC33" s="863" t="s">
        <v>2129</v>
      </c>
      <c r="CD33" s="863" t="s">
        <v>2129</v>
      </c>
      <c r="CE33" s="863" t="s">
        <v>2129</v>
      </c>
      <c r="CF33" s="863" t="s">
        <v>2129</v>
      </c>
      <c r="CG33" s="863"/>
      <c r="CH33" s="5785"/>
    </row>
    <row r="34" spans="1:133" s="5782" customFormat="1" ht="13" hidden="1">
      <c r="A34" s="5782">
        <v>55</v>
      </c>
      <c r="B34" s="5783" t="s">
        <v>3262</v>
      </c>
      <c r="C34" s="5784" t="s">
        <v>2129</v>
      </c>
      <c r="D34" s="5784" t="s">
        <v>2129</v>
      </c>
      <c r="E34" s="5784" t="s">
        <v>2129</v>
      </c>
      <c r="F34" s="5784" t="s">
        <v>2129</v>
      </c>
      <c r="G34" s="5784" t="s">
        <v>2129</v>
      </c>
      <c r="H34" s="5784">
        <v>2</v>
      </c>
      <c r="I34" s="5784">
        <v>1</v>
      </c>
      <c r="J34" s="5785" t="b">
        <v>0</v>
      </c>
      <c r="K34" s="5785" t="s">
        <v>2129</v>
      </c>
      <c r="L34" s="5786">
        <v>85412</v>
      </c>
      <c r="M34" s="5786">
        <v>0</v>
      </c>
      <c r="N34" s="5786">
        <v>0</v>
      </c>
      <c r="O34" s="5786">
        <v>0</v>
      </c>
      <c r="P34" s="5786">
        <v>0</v>
      </c>
      <c r="Q34" s="2476">
        <v>93953.200000000012</v>
      </c>
      <c r="R34" s="5787">
        <v>93953</v>
      </c>
      <c r="S34" s="2477" t="b">
        <v>0</v>
      </c>
      <c r="T34" s="5787">
        <v>93953</v>
      </c>
      <c r="U34" s="5787">
        <v>0</v>
      </c>
      <c r="V34" s="5788">
        <v>388256</v>
      </c>
      <c r="W34" s="5788">
        <v>388256</v>
      </c>
      <c r="X34" s="5788" t="b">
        <v>1</v>
      </c>
      <c r="Y34" s="5788">
        <v>19412.8</v>
      </c>
      <c r="Z34" s="5788"/>
      <c r="AA34" s="5788"/>
      <c r="AB34" s="5788" t="s">
        <v>2129</v>
      </c>
      <c r="AC34" s="5788"/>
      <c r="AD34" s="5788"/>
      <c r="AE34" s="5782">
        <v>101</v>
      </c>
      <c r="AF34" s="5782">
        <v>20</v>
      </c>
      <c r="AG34" s="5782" t="b">
        <v>1</v>
      </c>
      <c r="AH34" s="5782">
        <v>101</v>
      </c>
      <c r="AI34" s="5782" t="s">
        <v>2129</v>
      </c>
      <c r="AJ34" s="5782" t="s">
        <v>2129</v>
      </c>
      <c r="AK34" s="5782" t="s">
        <v>2129</v>
      </c>
      <c r="AL34" s="5782" t="s">
        <v>2129</v>
      </c>
      <c r="AM34" s="5782" t="s">
        <v>2129</v>
      </c>
      <c r="AN34" s="5782" t="s">
        <v>2129</v>
      </c>
      <c r="AQ34" s="5782" t="s">
        <v>2129</v>
      </c>
      <c r="AV34" s="5782" t="s">
        <v>2129</v>
      </c>
      <c r="AW34" s="5782" t="s">
        <v>2129</v>
      </c>
      <c r="AX34" s="5782" t="s">
        <v>2129</v>
      </c>
      <c r="AY34" s="5782" t="s">
        <v>2129</v>
      </c>
      <c r="AZ34" s="5782" t="s">
        <v>2129</v>
      </c>
      <c r="BA34" s="5782" t="s">
        <v>2129</v>
      </c>
      <c r="BB34" s="5782" t="s">
        <v>2129</v>
      </c>
      <c r="BC34" s="5782" t="s">
        <v>2129</v>
      </c>
      <c r="BD34" s="5782" t="s">
        <v>2129</v>
      </c>
      <c r="BE34" s="5782" t="s">
        <v>2129</v>
      </c>
      <c r="BF34" s="5782" t="s">
        <v>2129</v>
      </c>
      <c r="BG34" s="5782" t="s">
        <v>2129</v>
      </c>
      <c r="BH34" s="5788" t="s">
        <v>2129</v>
      </c>
      <c r="BJ34" s="5788" t="s">
        <v>2129</v>
      </c>
      <c r="BK34" s="5788" t="s">
        <v>2129</v>
      </c>
      <c r="BL34" s="5788" t="s">
        <v>2129</v>
      </c>
      <c r="BM34" s="5788" t="s">
        <v>2129</v>
      </c>
      <c r="BN34" s="5788" t="s">
        <v>2129</v>
      </c>
      <c r="BO34" s="5788" t="s">
        <v>2129</v>
      </c>
      <c r="BP34" s="5788" t="s">
        <v>2129</v>
      </c>
      <c r="BQ34" s="5788" t="s">
        <v>2129</v>
      </c>
      <c r="BR34" s="5788" t="s">
        <v>2129</v>
      </c>
      <c r="BS34" s="5788" t="s">
        <v>2129</v>
      </c>
      <c r="BT34" s="5788" t="s">
        <v>2129</v>
      </c>
      <c r="BU34" s="5788" t="s">
        <v>2129</v>
      </c>
      <c r="BV34" s="5788" t="s">
        <v>2129</v>
      </c>
      <c r="BW34" s="5788" t="s">
        <v>2129</v>
      </c>
      <c r="BX34" s="5788" t="s">
        <v>2129</v>
      </c>
      <c r="BY34" s="5788" t="s">
        <v>2129</v>
      </c>
      <c r="BZ34" s="5788" t="s">
        <v>2129</v>
      </c>
      <c r="CA34" s="5788" t="s">
        <v>2129</v>
      </c>
      <c r="CB34" s="5788"/>
      <c r="CC34" s="5788" t="s">
        <v>2129</v>
      </c>
      <c r="CD34" s="5788" t="s">
        <v>2129</v>
      </c>
      <c r="CE34" s="5788" t="s">
        <v>2129</v>
      </c>
      <c r="CF34" s="5788" t="s">
        <v>2129</v>
      </c>
      <c r="CG34" s="5788"/>
      <c r="CH34" s="5784"/>
    </row>
    <row r="35" spans="1:133" ht="13" hidden="1">
      <c r="A35">
        <v>56</v>
      </c>
      <c r="B35" s="196" t="s">
        <v>3263</v>
      </c>
      <c r="C35" s="5785" t="s">
        <v>5248</v>
      </c>
      <c r="D35" s="5785" t="s">
        <v>2129</v>
      </c>
      <c r="E35" s="5785" t="s">
        <v>2129</v>
      </c>
      <c r="F35" s="2694" t="s">
        <v>5248</v>
      </c>
      <c r="G35" s="5785" t="s">
        <v>2129</v>
      </c>
      <c r="H35" s="5785">
        <v>7</v>
      </c>
      <c r="I35" s="5785">
        <v>1</v>
      </c>
      <c r="J35" s="5785" t="b">
        <v>1</v>
      </c>
      <c r="K35" s="5785">
        <v>6</v>
      </c>
      <c r="L35" s="5786">
        <v>6117648</v>
      </c>
      <c r="M35" s="5786">
        <v>370601</v>
      </c>
      <c r="N35" s="5786">
        <v>109140</v>
      </c>
      <c r="O35" s="5786">
        <v>0</v>
      </c>
      <c r="P35" s="5786">
        <v>0</v>
      </c>
      <c r="Q35" s="2476">
        <v>7257127.9000000004</v>
      </c>
      <c r="R35" s="2477">
        <v>1051818</v>
      </c>
      <c r="S35" s="2477" t="b">
        <v>1</v>
      </c>
      <c r="T35" s="5786">
        <v>1051818</v>
      </c>
      <c r="U35" s="5786">
        <v>0</v>
      </c>
      <c r="V35" s="863">
        <v>6262685</v>
      </c>
      <c r="W35" s="863">
        <v>6262685</v>
      </c>
      <c r="X35" s="863" t="b">
        <v>1</v>
      </c>
      <c r="Y35" s="863">
        <v>53988.663793103449</v>
      </c>
      <c r="AB35" s="863">
        <v>46946.664167916053</v>
      </c>
      <c r="AE35">
        <v>126</v>
      </c>
      <c r="AF35">
        <v>116</v>
      </c>
      <c r="AG35" t="b">
        <v>1</v>
      </c>
      <c r="AH35">
        <v>199</v>
      </c>
      <c r="AI35">
        <v>116</v>
      </c>
      <c r="AJ35" t="s">
        <v>2129</v>
      </c>
      <c r="AK35" t="s">
        <v>2129</v>
      </c>
      <c r="AL35">
        <v>116</v>
      </c>
      <c r="AM35" t="s">
        <v>2129</v>
      </c>
      <c r="AN35">
        <v>0</v>
      </c>
      <c r="AQ35">
        <v>0</v>
      </c>
      <c r="AV35" t="s">
        <v>2129</v>
      </c>
      <c r="AW35" t="s">
        <v>2129</v>
      </c>
      <c r="AX35">
        <v>36</v>
      </c>
      <c r="AY35" t="s">
        <v>2129</v>
      </c>
      <c r="AZ35" t="s">
        <v>2129</v>
      </c>
      <c r="BA35" t="s">
        <v>2129</v>
      </c>
      <c r="BB35" t="s">
        <v>2129</v>
      </c>
      <c r="BC35" t="s">
        <v>2129</v>
      </c>
      <c r="BD35">
        <v>19</v>
      </c>
      <c r="BE35" t="s">
        <v>2129</v>
      </c>
      <c r="BF35" t="s">
        <v>2129</v>
      </c>
      <c r="BG35" t="s">
        <v>2129</v>
      </c>
      <c r="BH35" s="1958" t="s">
        <v>2129</v>
      </c>
      <c r="BI35"/>
      <c r="BJ35" s="863" t="s">
        <v>2129</v>
      </c>
      <c r="BK35" s="863" t="s">
        <v>2129</v>
      </c>
      <c r="BL35" s="863" t="s">
        <v>2129</v>
      </c>
      <c r="BM35" s="863">
        <v>225456660</v>
      </c>
      <c r="BN35" s="863" t="s">
        <v>2129</v>
      </c>
      <c r="BO35" s="863" t="s">
        <v>2129</v>
      </c>
      <c r="BP35" s="863" t="s">
        <v>2129</v>
      </c>
      <c r="BQ35" s="863" t="s">
        <v>2129</v>
      </c>
      <c r="BR35" s="863" t="s">
        <v>2129</v>
      </c>
      <c r="BS35" s="1958">
        <v>118991015</v>
      </c>
      <c r="BT35" s="863" t="s">
        <v>2129</v>
      </c>
      <c r="BU35" s="863" t="s">
        <v>2129</v>
      </c>
      <c r="BV35" s="863" t="s">
        <v>2129</v>
      </c>
      <c r="BW35" s="863" t="s">
        <v>2129</v>
      </c>
      <c r="BX35" s="863" t="s">
        <v>2129</v>
      </c>
      <c r="BY35" s="863" t="s">
        <v>2129</v>
      </c>
      <c r="BZ35" s="863" t="s">
        <v>2129</v>
      </c>
      <c r="CA35" s="863">
        <v>37865448</v>
      </c>
      <c r="CB35" s="863"/>
      <c r="CC35" s="863" t="s">
        <v>2129</v>
      </c>
      <c r="CD35" s="863" t="s">
        <v>2129</v>
      </c>
      <c r="CE35" s="863" t="s">
        <v>2129</v>
      </c>
      <c r="CF35" s="863">
        <v>19984542</v>
      </c>
      <c r="CG35" s="863"/>
      <c r="CH35" s="5785" t="s">
        <v>6600</v>
      </c>
    </row>
    <row r="36" spans="1:133" s="5782" customFormat="1" ht="13" hidden="1">
      <c r="A36">
        <v>57</v>
      </c>
      <c r="B36" s="5795" t="s">
        <v>3264</v>
      </c>
      <c r="C36" s="2694" t="s">
        <v>3694</v>
      </c>
      <c r="D36" s="2694" t="s">
        <v>2129</v>
      </c>
      <c r="E36" s="2694" t="s">
        <v>2129</v>
      </c>
      <c r="F36" s="2694" t="s">
        <v>2129</v>
      </c>
      <c r="G36" s="2694" t="s">
        <v>2129</v>
      </c>
      <c r="H36" s="5785">
        <v>0</v>
      </c>
      <c r="I36" s="5785">
        <v>0</v>
      </c>
      <c r="J36" s="5785" t="b">
        <v>1</v>
      </c>
      <c r="K36" s="5785" t="s">
        <v>2129</v>
      </c>
      <c r="L36" s="5786">
        <v>0</v>
      </c>
      <c r="M36" s="5786">
        <v>0</v>
      </c>
      <c r="N36" s="5786">
        <v>0</v>
      </c>
      <c r="O36" s="5786">
        <v>0</v>
      </c>
      <c r="P36" s="5786">
        <v>0</v>
      </c>
      <c r="Q36" s="2476">
        <v>0</v>
      </c>
      <c r="R36" s="2477">
        <v>0</v>
      </c>
      <c r="S36" s="2477" t="b">
        <v>1</v>
      </c>
      <c r="T36" s="5786" t="s">
        <v>2129</v>
      </c>
      <c r="U36" s="5786">
        <v>0</v>
      </c>
      <c r="V36" s="5788">
        <v>4584386</v>
      </c>
      <c r="W36" s="1958">
        <v>4584386</v>
      </c>
      <c r="X36" s="1958" t="b">
        <v>1</v>
      </c>
      <c r="Y36" s="1958">
        <v>30562.573333333334</v>
      </c>
      <c r="Z36" s="1958"/>
      <c r="AA36" s="1958"/>
      <c r="AB36" s="1958">
        <v>53870.575793184493</v>
      </c>
      <c r="AC36" s="1958"/>
      <c r="AD36" s="1958"/>
      <c r="AE36">
        <v>150</v>
      </c>
      <c r="AF36">
        <v>150</v>
      </c>
      <c r="AG36" t="b">
        <v>1</v>
      </c>
      <c r="AH36">
        <v>159</v>
      </c>
      <c r="AI36">
        <v>74</v>
      </c>
      <c r="AJ36" t="s">
        <v>2129</v>
      </c>
      <c r="AK36" t="s">
        <v>2129</v>
      </c>
      <c r="AL36" t="s">
        <v>2129</v>
      </c>
      <c r="AM36" t="s">
        <v>2129</v>
      </c>
      <c r="AN36">
        <v>-76</v>
      </c>
      <c r="AO36"/>
      <c r="AP36"/>
      <c r="AQ36" t="s">
        <v>2129</v>
      </c>
      <c r="AR36"/>
      <c r="AS36"/>
      <c r="AT36"/>
      <c r="AU36"/>
      <c r="AV36" t="s">
        <v>2129</v>
      </c>
      <c r="AW36" t="s">
        <v>2129</v>
      </c>
      <c r="AX36" t="s">
        <v>2129</v>
      </c>
      <c r="AY36" t="s">
        <v>2129</v>
      </c>
      <c r="AZ36">
        <v>32</v>
      </c>
      <c r="BA36" t="s">
        <v>2129</v>
      </c>
      <c r="BB36" t="s">
        <v>2129</v>
      </c>
      <c r="BC36" t="s">
        <v>2129</v>
      </c>
      <c r="BD36" t="s">
        <v>2129</v>
      </c>
      <c r="BE36" t="s">
        <v>2129</v>
      </c>
      <c r="BF36" t="s">
        <v>2129</v>
      </c>
      <c r="BG36" t="s">
        <v>2129</v>
      </c>
      <c r="BH36" s="1958" t="s">
        <v>2129</v>
      </c>
      <c r="BI36"/>
      <c r="BJ36" s="1958" t="s">
        <v>2129</v>
      </c>
      <c r="BK36" s="1958">
        <v>72372173.653333336</v>
      </c>
      <c r="BL36" s="1958" t="s">
        <v>2129</v>
      </c>
      <c r="BM36" s="1958" t="s">
        <v>2129</v>
      </c>
      <c r="BN36" s="1958" t="s">
        <v>2129</v>
      </c>
      <c r="BO36" s="1958" t="s">
        <v>2129</v>
      </c>
      <c r="BP36" s="1958" t="s">
        <v>2129</v>
      </c>
      <c r="BQ36" s="1958" t="s">
        <v>2129</v>
      </c>
      <c r="BR36" s="1958" t="s">
        <v>2129</v>
      </c>
      <c r="BS36" s="1958" t="s">
        <v>2129</v>
      </c>
      <c r="BT36" s="1958" t="s">
        <v>2129</v>
      </c>
      <c r="BU36" s="1958" t="s">
        <v>2129</v>
      </c>
      <c r="BV36" s="1958" t="s">
        <v>2129</v>
      </c>
      <c r="BW36" s="1958" t="s">
        <v>2129</v>
      </c>
      <c r="BX36" s="1958" t="s">
        <v>2129</v>
      </c>
      <c r="BY36" s="1958" t="s">
        <v>2129</v>
      </c>
      <c r="BZ36" s="1958" t="s">
        <v>2129</v>
      </c>
      <c r="CA36" s="1958" t="s">
        <v>2129</v>
      </c>
      <c r="CB36" s="1958"/>
      <c r="CC36" s="1958" t="s">
        <v>2129</v>
      </c>
      <c r="CD36" s="1958" t="s">
        <v>2129</v>
      </c>
      <c r="CE36" s="1958" t="s">
        <v>2129</v>
      </c>
      <c r="CF36" s="1958" t="s">
        <v>2129</v>
      </c>
      <c r="CG36" s="1958"/>
      <c r="CH36" s="2694"/>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row>
    <row r="37" spans="1:133" ht="13" hidden="1">
      <c r="A37">
        <v>58</v>
      </c>
      <c r="B37" s="5796" t="s">
        <v>3265</v>
      </c>
      <c r="C37" s="5785" t="s">
        <v>3694</v>
      </c>
      <c r="D37" s="5785" t="s">
        <v>2129</v>
      </c>
      <c r="E37" s="5785" t="s">
        <v>2129</v>
      </c>
      <c r="F37" s="2694" t="s">
        <v>2129</v>
      </c>
      <c r="G37" s="5785" t="s">
        <v>2129</v>
      </c>
      <c r="H37" s="5785">
        <v>7</v>
      </c>
      <c r="I37" s="5785">
        <v>0</v>
      </c>
      <c r="J37" s="5785" t="b">
        <v>1</v>
      </c>
      <c r="K37" s="5785" t="s">
        <v>2129</v>
      </c>
      <c r="L37" s="5786">
        <v>6117648</v>
      </c>
      <c r="M37" s="5786">
        <v>370601</v>
      </c>
      <c r="N37" s="5786">
        <v>109140</v>
      </c>
      <c r="O37" s="5786">
        <v>0</v>
      </c>
      <c r="P37" s="5786">
        <v>0</v>
      </c>
      <c r="Q37" s="2476">
        <v>7257127.9000000004</v>
      </c>
      <c r="R37" s="2477">
        <v>0</v>
      </c>
      <c r="S37" s="2477" t="b">
        <v>1</v>
      </c>
      <c r="T37" s="5786" t="s">
        <v>2129</v>
      </c>
      <c r="U37" s="5786">
        <v>-380472</v>
      </c>
      <c r="V37" s="5788"/>
      <c r="W37" s="863">
        <v>380472</v>
      </c>
      <c r="X37" s="863" t="b">
        <v>1</v>
      </c>
      <c r="Y37" s="863">
        <v>13588.285714285714</v>
      </c>
      <c r="AB37" s="863">
        <v>11815.900621118013</v>
      </c>
      <c r="AF37">
        <v>28</v>
      </c>
      <c r="AG37" t="b">
        <v>1</v>
      </c>
      <c r="AH37">
        <v>199</v>
      </c>
      <c r="AI37">
        <v>28</v>
      </c>
      <c r="AJ37" t="s">
        <v>2129</v>
      </c>
      <c r="AK37" t="s">
        <v>2129</v>
      </c>
      <c r="AL37" t="s">
        <v>2129</v>
      </c>
      <c r="AM37" t="s">
        <v>2129</v>
      </c>
      <c r="AN37">
        <v>0</v>
      </c>
      <c r="AQ37" t="s">
        <v>2129</v>
      </c>
      <c r="AV37" t="s">
        <v>2129</v>
      </c>
      <c r="AW37" t="s">
        <v>2129</v>
      </c>
      <c r="AX37" t="s">
        <v>2129</v>
      </c>
      <c r="AY37" t="s">
        <v>2129</v>
      </c>
      <c r="AZ37">
        <v>32</v>
      </c>
      <c r="BA37" t="s">
        <v>2129</v>
      </c>
      <c r="BB37" t="s">
        <v>2129</v>
      </c>
      <c r="BC37" t="s">
        <v>2129</v>
      </c>
      <c r="BD37" t="s">
        <v>2129</v>
      </c>
      <c r="BE37" t="s">
        <v>2129</v>
      </c>
      <c r="BF37" t="s">
        <v>2129</v>
      </c>
      <c r="BG37" t="s">
        <v>2129</v>
      </c>
      <c r="BH37" s="1958" t="s">
        <v>2129</v>
      </c>
      <c r="BI37"/>
      <c r="BJ37" s="863" t="s">
        <v>2129</v>
      </c>
      <c r="BK37" s="863">
        <v>12175104</v>
      </c>
      <c r="BL37" s="863" t="s">
        <v>2129</v>
      </c>
      <c r="BM37" s="863" t="s">
        <v>2129</v>
      </c>
      <c r="BN37" s="863" t="s">
        <v>2129</v>
      </c>
      <c r="BO37" s="863" t="s">
        <v>2129</v>
      </c>
      <c r="BP37" s="863" t="s">
        <v>2129</v>
      </c>
      <c r="BQ37" s="863" t="s">
        <v>2129</v>
      </c>
      <c r="BR37" s="863" t="s">
        <v>2129</v>
      </c>
      <c r="BS37" s="1958" t="s">
        <v>2129</v>
      </c>
      <c r="BT37" s="863" t="s">
        <v>2129</v>
      </c>
      <c r="BU37" s="863" t="s">
        <v>2129</v>
      </c>
      <c r="BV37" s="863" t="s">
        <v>2129</v>
      </c>
      <c r="BW37" s="863" t="s">
        <v>2129</v>
      </c>
      <c r="BX37" s="863" t="s">
        <v>2129</v>
      </c>
      <c r="BY37" s="863" t="s">
        <v>2129</v>
      </c>
      <c r="BZ37" s="863" t="s">
        <v>2129</v>
      </c>
      <c r="CA37" s="863" t="s">
        <v>2129</v>
      </c>
      <c r="CB37" s="863"/>
      <c r="CC37" s="863" t="s">
        <v>2129</v>
      </c>
      <c r="CD37" s="863" t="s">
        <v>2129</v>
      </c>
      <c r="CE37" s="863" t="s">
        <v>2129</v>
      </c>
      <c r="CF37" s="863" t="s">
        <v>2129</v>
      </c>
      <c r="CG37" s="863"/>
      <c r="CH37" s="5785" t="s">
        <v>6600</v>
      </c>
    </row>
    <row r="38" spans="1:133" ht="13" hidden="1">
      <c r="A38">
        <v>59</v>
      </c>
      <c r="B38" s="196" t="s">
        <v>3266</v>
      </c>
      <c r="C38" s="5785" t="s">
        <v>2695</v>
      </c>
      <c r="D38" s="5785" t="s">
        <v>2129</v>
      </c>
      <c r="E38" s="5785" t="s">
        <v>2129</v>
      </c>
      <c r="F38" s="5785" t="s">
        <v>2695</v>
      </c>
      <c r="G38" s="5785" t="s">
        <v>2129</v>
      </c>
      <c r="H38" s="5785">
        <v>0</v>
      </c>
      <c r="I38" s="5785">
        <v>0</v>
      </c>
      <c r="J38" s="5785" t="b">
        <v>1</v>
      </c>
      <c r="K38" s="5785" t="s">
        <v>2129</v>
      </c>
      <c r="L38" s="5786">
        <v>0</v>
      </c>
      <c r="M38" s="5786">
        <v>0</v>
      </c>
      <c r="N38" s="5786">
        <v>0</v>
      </c>
      <c r="O38" s="5786">
        <v>0</v>
      </c>
      <c r="P38" s="5786">
        <v>0</v>
      </c>
      <c r="Q38" s="2476">
        <v>0</v>
      </c>
      <c r="R38" s="2477">
        <v>0</v>
      </c>
      <c r="S38" s="2477" t="b">
        <v>1</v>
      </c>
      <c r="T38" s="5786" t="s">
        <v>2129</v>
      </c>
      <c r="U38" s="5786">
        <v>0</v>
      </c>
      <c r="V38" s="1958">
        <v>13971529</v>
      </c>
      <c r="W38" s="1958">
        <v>13971529</v>
      </c>
      <c r="X38" s="5793" t="b">
        <v>1</v>
      </c>
      <c r="Y38" s="863">
        <v>47361.115254237287</v>
      </c>
      <c r="AB38" s="863">
        <v>39703.123046319983</v>
      </c>
      <c r="AE38">
        <v>306</v>
      </c>
      <c r="AF38">
        <v>295</v>
      </c>
      <c r="AG38" t="b">
        <v>1</v>
      </c>
      <c r="AH38">
        <v>386</v>
      </c>
      <c r="AI38">
        <v>306</v>
      </c>
      <c r="AJ38" t="s">
        <v>2129</v>
      </c>
      <c r="AK38" t="s">
        <v>2129</v>
      </c>
      <c r="AL38">
        <v>130</v>
      </c>
      <c r="AM38" t="s">
        <v>2129</v>
      </c>
      <c r="AN38">
        <v>11</v>
      </c>
      <c r="AQ38">
        <v>-165</v>
      </c>
      <c r="AV38" t="s">
        <v>2129</v>
      </c>
      <c r="AW38" t="s">
        <v>2129</v>
      </c>
      <c r="AX38">
        <v>18</v>
      </c>
      <c r="AY38" t="s">
        <v>2129</v>
      </c>
      <c r="AZ38" t="s">
        <v>2129</v>
      </c>
      <c r="BA38" t="s">
        <v>2129</v>
      </c>
      <c r="BB38" t="s">
        <v>2129</v>
      </c>
      <c r="BC38" t="s">
        <v>2129</v>
      </c>
      <c r="BD38">
        <v>9</v>
      </c>
      <c r="BE38" t="s">
        <v>2129</v>
      </c>
      <c r="BF38" t="s">
        <v>2129</v>
      </c>
      <c r="BG38" t="s">
        <v>2129</v>
      </c>
      <c r="BH38" s="1958" t="s">
        <v>2129</v>
      </c>
      <c r="BI38"/>
      <c r="BJ38" s="863" t="s">
        <v>2129</v>
      </c>
      <c r="BK38" s="863" t="s">
        <v>2129</v>
      </c>
      <c r="BL38" s="863">
        <v>260865022.82033896</v>
      </c>
      <c r="BM38" s="863" t="s">
        <v>2129</v>
      </c>
      <c r="BN38" s="863" t="s">
        <v>2129</v>
      </c>
      <c r="BO38" s="863" t="s">
        <v>2129</v>
      </c>
      <c r="BP38" s="863" t="s">
        <v>2129</v>
      </c>
      <c r="BQ38" s="863" t="s">
        <v>2129</v>
      </c>
      <c r="BR38" s="863" t="s">
        <v>2129</v>
      </c>
      <c r="BS38" s="863" t="s">
        <v>2129</v>
      </c>
      <c r="BT38" s="863" t="s">
        <v>2129</v>
      </c>
      <c r="BU38" s="863">
        <v>55412504.847457625</v>
      </c>
      <c r="BV38" s="863" t="s">
        <v>2129</v>
      </c>
      <c r="BW38" s="863" t="s">
        <v>2129</v>
      </c>
      <c r="BX38" s="863" t="s">
        <v>2129</v>
      </c>
      <c r="BY38" s="863" t="s">
        <v>2129</v>
      </c>
      <c r="BZ38" s="863" t="s">
        <v>2129</v>
      </c>
      <c r="CA38" s="863" t="s">
        <v>2129</v>
      </c>
      <c r="CB38" s="863"/>
      <c r="CC38" s="863" t="s">
        <v>2129</v>
      </c>
      <c r="CD38" s="863" t="s">
        <v>2129</v>
      </c>
      <c r="CE38" s="863" t="s">
        <v>2129</v>
      </c>
      <c r="CF38" s="863" t="s">
        <v>2129</v>
      </c>
      <c r="CG38" s="863"/>
      <c r="CH38" s="5785"/>
    </row>
    <row r="39" spans="1:133" ht="13" hidden="1">
      <c r="A39">
        <v>60</v>
      </c>
      <c r="B39" s="196" t="s">
        <v>3267</v>
      </c>
      <c r="C39" s="5785" t="s">
        <v>3694</v>
      </c>
      <c r="D39" s="5785" t="s">
        <v>2129</v>
      </c>
      <c r="E39" s="5785" t="s">
        <v>2129</v>
      </c>
      <c r="F39" s="5785" t="s">
        <v>3694</v>
      </c>
      <c r="G39" s="5785" t="s">
        <v>2129</v>
      </c>
      <c r="H39" s="5785">
        <v>0</v>
      </c>
      <c r="I39" s="5785">
        <v>0</v>
      </c>
      <c r="J39" s="5785" t="b">
        <v>1</v>
      </c>
      <c r="K39" s="5785" t="s">
        <v>2129</v>
      </c>
      <c r="L39" s="5786">
        <v>0</v>
      </c>
      <c r="M39" s="5786">
        <v>0</v>
      </c>
      <c r="N39" s="5786">
        <v>0</v>
      </c>
      <c r="O39" s="5786">
        <v>0</v>
      </c>
      <c r="P39" s="5786">
        <v>0</v>
      </c>
      <c r="Q39" s="2476">
        <v>0</v>
      </c>
      <c r="R39" s="2477">
        <v>0</v>
      </c>
      <c r="S39" s="2477" t="b">
        <v>1</v>
      </c>
      <c r="T39" s="5786" t="s">
        <v>2129</v>
      </c>
      <c r="U39" s="5786">
        <v>0</v>
      </c>
      <c r="V39" s="863">
        <v>4477869</v>
      </c>
      <c r="W39" s="863">
        <v>4477869</v>
      </c>
      <c r="X39" s="863" t="b">
        <v>1</v>
      </c>
      <c r="Y39" s="863">
        <v>34445.146153846152</v>
      </c>
      <c r="AB39" s="863">
        <v>29276.685191238968</v>
      </c>
      <c r="AE39">
        <v>272</v>
      </c>
      <c r="AF39">
        <v>130</v>
      </c>
      <c r="AG39" t="b">
        <v>1</v>
      </c>
      <c r="AH39">
        <v>342</v>
      </c>
      <c r="AI39">
        <v>133</v>
      </c>
      <c r="AJ39" t="s">
        <v>2129</v>
      </c>
      <c r="AK39" t="s">
        <v>2129</v>
      </c>
      <c r="AL39">
        <v>104</v>
      </c>
      <c r="AM39" t="s">
        <v>2129</v>
      </c>
      <c r="AN39">
        <v>3</v>
      </c>
      <c r="AQ39">
        <v>-26</v>
      </c>
      <c r="AV39" t="s">
        <v>2129</v>
      </c>
      <c r="AW39" t="s">
        <v>2129</v>
      </c>
      <c r="AX39" t="s">
        <v>2129</v>
      </c>
      <c r="AY39" t="s">
        <v>2129</v>
      </c>
      <c r="AZ39">
        <v>32</v>
      </c>
      <c r="BA39" t="s">
        <v>2129</v>
      </c>
      <c r="BB39" t="s">
        <v>2129</v>
      </c>
      <c r="BC39" t="s">
        <v>2129</v>
      </c>
      <c r="BD39" t="s">
        <v>2129</v>
      </c>
      <c r="BE39">
        <v>16</v>
      </c>
      <c r="BF39" t="s">
        <v>2129</v>
      </c>
      <c r="BG39" t="s">
        <v>2129</v>
      </c>
      <c r="BH39" s="1958" t="s">
        <v>2129</v>
      </c>
      <c r="BI39"/>
      <c r="BJ39" s="863" t="s">
        <v>2129</v>
      </c>
      <c r="BK39" s="863">
        <v>146598542.03076923</v>
      </c>
      <c r="BL39" s="863" t="s">
        <v>2129</v>
      </c>
      <c r="BM39" s="863" t="s">
        <v>2129</v>
      </c>
      <c r="BN39" s="863" t="s">
        <v>2129</v>
      </c>
      <c r="BO39" s="863" t="s">
        <v>2129</v>
      </c>
      <c r="BP39" s="863" t="s">
        <v>2129</v>
      </c>
      <c r="BQ39" s="863" t="s">
        <v>2129</v>
      </c>
      <c r="BR39" s="863" t="s">
        <v>2129</v>
      </c>
      <c r="BS39" s="863" t="s">
        <v>2129</v>
      </c>
      <c r="BT39" s="863">
        <v>57316723.199999996</v>
      </c>
      <c r="BU39" s="863" t="s">
        <v>2129</v>
      </c>
      <c r="BV39" s="863" t="s">
        <v>2129</v>
      </c>
      <c r="BW39" s="863" t="s">
        <v>2129</v>
      </c>
      <c r="BX39" s="863" t="s">
        <v>2129</v>
      </c>
      <c r="BY39" s="863" t="s">
        <v>2129</v>
      </c>
      <c r="BZ39" s="863" t="s">
        <v>2129</v>
      </c>
      <c r="CA39" s="863" t="s">
        <v>2129</v>
      </c>
      <c r="CB39" s="863"/>
      <c r="CC39" s="863" t="s">
        <v>2129</v>
      </c>
      <c r="CD39" s="863" t="s">
        <v>2129</v>
      </c>
      <c r="CE39" s="863" t="s">
        <v>2129</v>
      </c>
      <c r="CF39" s="863" t="s">
        <v>2129</v>
      </c>
      <c r="CG39" s="863"/>
      <c r="CH39" s="5785"/>
    </row>
    <row r="40" spans="1:133" ht="13" hidden="1">
      <c r="A40">
        <v>61</v>
      </c>
      <c r="B40" s="196" t="s">
        <v>3268</v>
      </c>
      <c r="C40" s="5785" t="s">
        <v>3694</v>
      </c>
      <c r="D40" s="5785" t="s">
        <v>2129</v>
      </c>
      <c r="E40" s="5785" t="s">
        <v>2129</v>
      </c>
      <c r="F40" s="5785" t="s">
        <v>3694</v>
      </c>
      <c r="G40" s="5785" t="s">
        <v>2129</v>
      </c>
      <c r="H40" s="5785">
        <v>0</v>
      </c>
      <c r="I40" s="5785">
        <v>0</v>
      </c>
      <c r="J40" s="5785" t="b">
        <v>1</v>
      </c>
      <c r="K40" s="5785" t="s">
        <v>2129</v>
      </c>
      <c r="L40" s="5786">
        <v>0</v>
      </c>
      <c r="M40" s="5786">
        <v>0</v>
      </c>
      <c r="N40" s="5786">
        <v>0</v>
      </c>
      <c r="O40" s="5786">
        <v>0</v>
      </c>
      <c r="P40" s="5786">
        <v>0</v>
      </c>
      <c r="Q40" s="2476">
        <v>0</v>
      </c>
      <c r="R40" s="2477">
        <v>0</v>
      </c>
      <c r="S40" s="2477" t="b">
        <v>1</v>
      </c>
      <c r="T40" s="5786" t="s">
        <v>2129</v>
      </c>
      <c r="U40" s="5786">
        <v>0</v>
      </c>
      <c r="V40" s="863">
        <v>1469094</v>
      </c>
      <c r="W40" s="863">
        <v>1469094</v>
      </c>
      <c r="X40" s="863" t="b">
        <v>1</v>
      </c>
      <c r="Y40" s="863">
        <v>24484.9</v>
      </c>
      <c r="AB40" s="863">
        <v>8349.4970161977835</v>
      </c>
      <c r="AE40">
        <v>313</v>
      </c>
      <c r="AF40">
        <v>60</v>
      </c>
      <c r="AG40" t="b">
        <v>1</v>
      </c>
      <c r="AH40">
        <v>333</v>
      </c>
      <c r="AI40">
        <v>153</v>
      </c>
      <c r="AJ40" t="s">
        <v>2129</v>
      </c>
      <c r="AK40" t="s">
        <v>2129</v>
      </c>
      <c r="AL40">
        <v>41</v>
      </c>
      <c r="AM40" t="s">
        <v>2129</v>
      </c>
      <c r="AN40">
        <v>93</v>
      </c>
      <c r="AQ40">
        <v>-19</v>
      </c>
      <c r="AV40" t="s">
        <v>2129</v>
      </c>
      <c r="AW40" t="s">
        <v>2129</v>
      </c>
      <c r="AX40" t="s">
        <v>2129</v>
      </c>
      <c r="AY40" t="s">
        <v>2129</v>
      </c>
      <c r="AZ40">
        <v>32</v>
      </c>
      <c r="BA40" t="s">
        <v>2129</v>
      </c>
      <c r="BB40" t="s">
        <v>2129</v>
      </c>
      <c r="BC40" t="s">
        <v>2129</v>
      </c>
      <c r="BD40" t="s">
        <v>2129</v>
      </c>
      <c r="BE40">
        <v>16</v>
      </c>
      <c r="BF40" t="s">
        <v>2129</v>
      </c>
      <c r="BG40" t="s">
        <v>2129</v>
      </c>
      <c r="BH40" s="1958" t="s">
        <v>2129</v>
      </c>
      <c r="BI40"/>
      <c r="BJ40" s="863" t="s">
        <v>2129</v>
      </c>
      <c r="BK40" s="863">
        <v>119878070.40000001</v>
      </c>
      <c r="BL40" s="863" t="s">
        <v>2129</v>
      </c>
      <c r="BM40" s="863" t="s">
        <v>2129</v>
      </c>
      <c r="BN40" s="863" t="s">
        <v>2129</v>
      </c>
      <c r="BO40" s="863" t="s">
        <v>2129</v>
      </c>
      <c r="BP40" s="863" t="s">
        <v>2129</v>
      </c>
      <c r="BQ40" s="863" t="s">
        <v>2129</v>
      </c>
      <c r="BR40" s="863" t="s">
        <v>2129</v>
      </c>
      <c r="BS40" s="863" t="s">
        <v>2129</v>
      </c>
      <c r="BT40" s="863">
        <v>16062094.4</v>
      </c>
      <c r="BU40" s="863" t="s">
        <v>2129</v>
      </c>
      <c r="BV40" s="863" t="s">
        <v>2129</v>
      </c>
      <c r="BW40" s="863" t="s">
        <v>2129</v>
      </c>
      <c r="BX40" s="863" t="s">
        <v>2129</v>
      </c>
      <c r="BY40" s="863" t="s">
        <v>2129</v>
      </c>
      <c r="BZ40" s="863" t="s">
        <v>2129</v>
      </c>
      <c r="CA40" s="863" t="s">
        <v>2129</v>
      </c>
      <c r="CB40" s="863"/>
      <c r="CC40" s="863" t="s">
        <v>2129</v>
      </c>
      <c r="CD40" s="863" t="s">
        <v>2129</v>
      </c>
      <c r="CE40" s="863" t="s">
        <v>2129</v>
      </c>
      <c r="CF40" s="863" t="s">
        <v>2129</v>
      </c>
      <c r="CG40" s="863"/>
      <c r="CH40" s="5785"/>
    </row>
    <row r="41" spans="1:133" ht="13" hidden="1">
      <c r="A41">
        <v>62</v>
      </c>
      <c r="B41" s="196" t="s">
        <v>3269</v>
      </c>
      <c r="C41" s="5785" t="s">
        <v>2695</v>
      </c>
      <c r="D41" s="5785" t="s">
        <v>2129</v>
      </c>
      <c r="E41" s="5785" t="s">
        <v>2129</v>
      </c>
      <c r="F41" s="5785" t="s">
        <v>2695</v>
      </c>
      <c r="G41" s="5785" t="s">
        <v>2129</v>
      </c>
      <c r="H41" s="5785">
        <v>12</v>
      </c>
      <c r="I41" s="5785">
        <v>2</v>
      </c>
      <c r="J41" s="5785" t="b">
        <v>1</v>
      </c>
      <c r="K41" s="5785" t="s">
        <v>2129</v>
      </c>
      <c r="L41" s="5786">
        <v>1015295</v>
      </c>
      <c r="M41" s="5786">
        <v>0</v>
      </c>
      <c r="N41" s="5786">
        <v>0</v>
      </c>
      <c r="O41" s="5786">
        <v>0</v>
      </c>
      <c r="P41" s="5786">
        <v>0</v>
      </c>
      <c r="Q41" s="2476">
        <v>1116824.5</v>
      </c>
      <c r="R41" s="2477">
        <v>1116824</v>
      </c>
      <c r="S41" s="2477" t="b">
        <v>1</v>
      </c>
      <c r="T41" s="5786">
        <v>558412</v>
      </c>
      <c r="U41" s="5786">
        <v>0</v>
      </c>
      <c r="V41" s="863">
        <v>20998492</v>
      </c>
      <c r="W41" s="863">
        <v>20998492</v>
      </c>
      <c r="X41" s="863" t="b">
        <v>1</v>
      </c>
      <c r="Y41" s="863">
        <v>59995.69142857143</v>
      </c>
      <c r="AB41" s="863">
        <v>52170.166459627333</v>
      </c>
      <c r="AE41">
        <v>350</v>
      </c>
      <c r="AF41">
        <v>350</v>
      </c>
      <c r="AG41" t="b">
        <v>1</v>
      </c>
      <c r="AH41">
        <v>490</v>
      </c>
      <c r="AI41">
        <v>350</v>
      </c>
      <c r="AJ41" t="s">
        <v>2129</v>
      </c>
      <c r="AK41" t="s">
        <v>2129</v>
      </c>
      <c r="AL41">
        <v>350</v>
      </c>
      <c r="AM41" t="s">
        <v>2129</v>
      </c>
      <c r="AN41">
        <v>0</v>
      </c>
      <c r="AQ41">
        <v>0</v>
      </c>
      <c r="AV41" t="s">
        <v>2129</v>
      </c>
      <c r="AW41" t="s">
        <v>2129</v>
      </c>
      <c r="AX41">
        <v>18</v>
      </c>
      <c r="AY41" t="s">
        <v>2129</v>
      </c>
      <c r="AZ41" t="s">
        <v>2129</v>
      </c>
      <c r="BA41" t="s">
        <v>2129</v>
      </c>
      <c r="BB41" t="s">
        <v>2129</v>
      </c>
      <c r="BC41" t="s">
        <v>2129</v>
      </c>
      <c r="BD41">
        <v>9</v>
      </c>
      <c r="BE41" t="s">
        <v>2129</v>
      </c>
      <c r="BF41" t="s">
        <v>2129</v>
      </c>
      <c r="BG41" t="s">
        <v>2129</v>
      </c>
      <c r="BH41" s="1958" t="s">
        <v>2129</v>
      </c>
      <c r="BI41"/>
      <c r="BJ41" s="863" t="s">
        <v>2129</v>
      </c>
      <c r="BK41" s="863" t="s">
        <v>2129</v>
      </c>
      <c r="BL41" s="863">
        <v>377972856</v>
      </c>
      <c r="BM41" s="863" t="s">
        <v>2129</v>
      </c>
      <c r="BN41" s="863" t="s">
        <v>2129</v>
      </c>
      <c r="BO41" s="863" t="s">
        <v>2129</v>
      </c>
      <c r="BP41" s="863" t="s">
        <v>2129</v>
      </c>
      <c r="BQ41" s="863" t="s">
        <v>2129</v>
      </c>
      <c r="BR41" s="863" t="s">
        <v>2129</v>
      </c>
      <c r="BS41" s="863" t="s">
        <v>2129</v>
      </c>
      <c r="BT41" s="863" t="s">
        <v>2129</v>
      </c>
      <c r="BU41" s="863">
        <v>188986428</v>
      </c>
      <c r="BV41" s="863" t="s">
        <v>2129</v>
      </c>
      <c r="BW41" s="863" t="s">
        <v>2129</v>
      </c>
      <c r="BX41" s="863" t="s">
        <v>2129</v>
      </c>
      <c r="BY41" s="863" t="s">
        <v>2129</v>
      </c>
      <c r="BZ41" s="863" t="s">
        <v>2129</v>
      </c>
      <c r="CA41" s="863" t="s">
        <v>2129</v>
      </c>
      <c r="CB41" s="863"/>
      <c r="CC41" s="863" t="s">
        <v>2129</v>
      </c>
      <c r="CD41" s="863" t="s">
        <v>2129</v>
      </c>
      <c r="CE41" s="863" t="s">
        <v>2129</v>
      </c>
      <c r="CF41" s="863" t="s">
        <v>2129</v>
      </c>
      <c r="CG41" s="863"/>
      <c r="CH41" s="5785"/>
    </row>
    <row r="42" spans="1:133" ht="13" hidden="1">
      <c r="A42">
        <v>63</v>
      </c>
      <c r="B42" s="196" t="s">
        <v>3270</v>
      </c>
      <c r="C42" s="5785" t="s">
        <v>2129</v>
      </c>
      <c r="D42" s="5785" t="s">
        <v>2129</v>
      </c>
      <c r="E42" s="5785" t="s">
        <v>2129</v>
      </c>
      <c r="F42" s="5785" t="s">
        <v>3694</v>
      </c>
      <c r="G42" s="5785" t="s">
        <v>2129</v>
      </c>
      <c r="H42" s="5785">
        <v>0</v>
      </c>
      <c r="I42" s="5785">
        <v>0</v>
      </c>
      <c r="J42" s="5785" t="b">
        <v>1</v>
      </c>
      <c r="K42" s="5785" t="s">
        <v>2129</v>
      </c>
      <c r="L42" s="5786">
        <v>0</v>
      </c>
      <c r="M42" s="5786">
        <v>0</v>
      </c>
      <c r="N42" s="5786">
        <v>0</v>
      </c>
      <c r="O42" s="5786">
        <v>0</v>
      </c>
      <c r="P42" s="5786">
        <v>0</v>
      </c>
      <c r="Q42" s="2476">
        <v>0</v>
      </c>
      <c r="R42" s="2477">
        <v>0</v>
      </c>
      <c r="S42" s="2477" t="b">
        <v>1</v>
      </c>
      <c r="T42" s="5786" t="s">
        <v>2129</v>
      </c>
      <c r="U42" s="5786">
        <v>0</v>
      </c>
      <c r="V42" s="863">
        <v>1087116</v>
      </c>
      <c r="W42" s="863">
        <v>1087116</v>
      </c>
      <c r="X42" s="863" t="b">
        <v>1</v>
      </c>
      <c r="Y42" s="863">
        <v>19412.785714285714</v>
      </c>
      <c r="AB42" s="863" t="s">
        <v>2129</v>
      </c>
      <c r="AE42">
        <v>56</v>
      </c>
      <c r="AF42">
        <v>56</v>
      </c>
      <c r="AG42" t="b">
        <v>1</v>
      </c>
      <c r="AH42">
        <v>56</v>
      </c>
      <c r="AI42" t="s">
        <v>2129</v>
      </c>
      <c r="AJ42" t="s">
        <v>2129</v>
      </c>
      <c r="AK42" t="s">
        <v>2129</v>
      </c>
      <c r="AL42">
        <v>39</v>
      </c>
      <c r="AM42" t="s">
        <v>2129</v>
      </c>
      <c r="AN42" t="s">
        <v>2129</v>
      </c>
      <c r="AQ42">
        <v>-17</v>
      </c>
      <c r="AV42" t="s">
        <v>2129</v>
      </c>
      <c r="AW42" t="s">
        <v>2129</v>
      </c>
      <c r="AX42" t="s">
        <v>2129</v>
      </c>
      <c r="AY42" t="s">
        <v>2129</v>
      </c>
      <c r="AZ42" t="s">
        <v>2129</v>
      </c>
      <c r="BA42" t="s">
        <v>2129</v>
      </c>
      <c r="BB42" t="s">
        <v>2129</v>
      </c>
      <c r="BC42" t="s">
        <v>2129</v>
      </c>
      <c r="BD42" t="s">
        <v>2129</v>
      </c>
      <c r="BE42">
        <v>16</v>
      </c>
      <c r="BF42" t="s">
        <v>2129</v>
      </c>
      <c r="BG42" t="s">
        <v>2129</v>
      </c>
      <c r="BH42" s="1958" t="s">
        <v>2129</v>
      </c>
      <c r="BI42"/>
      <c r="BJ42" s="863" t="s">
        <v>2129</v>
      </c>
      <c r="BK42" s="863" t="s">
        <v>2129</v>
      </c>
      <c r="BL42" s="863" t="s">
        <v>2129</v>
      </c>
      <c r="BM42" s="863" t="s">
        <v>2129</v>
      </c>
      <c r="BN42" s="863" t="s">
        <v>2129</v>
      </c>
      <c r="BO42" s="863" t="s">
        <v>2129</v>
      </c>
      <c r="BP42" s="863" t="s">
        <v>2129</v>
      </c>
      <c r="BQ42" s="863" t="s">
        <v>2129</v>
      </c>
      <c r="BR42" s="863" t="s">
        <v>2129</v>
      </c>
      <c r="BS42" s="863" t="s">
        <v>2129</v>
      </c>
      <c r="BT42" s="863">
        <v>12113578.285714285</v>
      </c>
      <c r="BU42" s="863" t="s">
        <v>2129</v>
      </c>
      <c r="BV42" s="863" t="s">
        <v>2129</v>
      </c>
      <c r="BW42" s="863" t="s">
        <v>2129</v>
      </c>
      <c r="BX42" s="863" t="s">
        <v>2129</v>
      </c>
      <c r="BY42" s="863" t="s">
        <v>2129</v>
      </c>
      <c r="BZ42" s="863" t="s">
        <v>2129</v>
      </c>
      <c r="CA42" s="863" t="s">
        <v>2129</v>
      </c>
      <c r="CB42" s="863"/>
      <c r="CC42" s="863" t="s">
        <v>2129</v>
      </c>
      <c r="CD42" s="863" t="s">
        <v>2129</v>
      </c>
      <c r="CE42" s="863" t="s">
        <v>2129</v>
      </c>
      <c r="CF42" s="863" t="s">
        <v>2129</v>
      </c>
      <c r="CG42" s="863"/>
      <c r="CH42" s="5785"/>
    </row>
    <row r="43" spans="1:133" ht="13" hidden="1">
      <c r="A43">
        <v>64</v>
      </c>
      <c r="B43" s="196" t="s">
        <v>3271</v>
      </c>
      <c r="C43" s="5785" t="s">
        <v>5248</v>
      </c>
      <c r="D43" s="5785" t="s">
        <v>2129</v>
      </c>
      <c r="E43" s="5785" t="s">
        <v>2129</v>
      </c>
      <c r="F43" s="5792" t="s">
        <v>5205</v>
      </c>
      <c r="G43" s="5792" t="s">
        <v>2129</v>
      </c>
      <c r="H43" s="5785">
        <v>60</v>
      </c>
      <c r="I43" s="5785">
        <v>30</v>
      </c>
      <c r="J43" s="5785" t="b">
        <v>1</v>
      </c>
      <c r="K43" s="5785">
        <v>30</v>
      </c>
      <c r="L43" s="5786">
        <v>9593062</v>
      </c>
      <c r="M43" s="5786">
        <v>3114240</v>
      </c>
      <c r="N43" s="5786">
        <v>0</v>
      </c>
      <c r="O43" s="5786">
        <v>0</v>
      </c>
      <c r="P43" s="5786">
        <v>0</v>
      </c>
      <c r="Q43" s="2476">
        <v>13978032.200000001</v>
      </c>
      <c r="R43" s="2477">
        <v>10552355</v>
      </c>
      <c r="S43" s="2477" t="b">
        <v>1</v>
      </c>
      <c r="T43" s="5786">
        <v>351745.16666666669</v>
      </c>
      <c r="U43" s="5786">
        <v>0</v>
      </c>
      <c r="V43" s="863">
        <v>13735852</v>
      </c>
      <c r="W43" s="863">
        <v>13735852</v>
      </c>
      <c r="X43" s="863" t="b">
        <v>1</v>
      </c>
      <c r="Y43" s="863">
        <v>80799.129411764705</v>
      </c>
      <c r="AB43" s="863">
        <v>70260.112531969324</v>
      </c>
      <c r="AE43">
        <v>170</v>
      </c>
      <c r="AF43">
        <v>170</v>
      </c>
      <c r="AG43" t="b">
        <v>1</v>
      </c>
      <c r="AH43">
        <v>265</v>
      </c>
      <c r="AI43">
        <v>170</v>
      </c>
      <c r="AJ43" t="s">
        <v>2129</v>
      </c>
      <c r="AK43" t="s">
        <v>2129</v>
      </c>
      <c r="AL43">
        <v>170</v>
      </c>
      <c r="AM43" t="s">
        <v>2129</v>
      </c>
      <c r="AN43">
        <v>0</v>
      </c>
      <c r="AQ43">
        <v>0</v>
      </c>
      <c r="AV43" t="s">
        <v>2129</v>
      </c>
      <c r="AW43" t="s">
        <v>2129</v>
      </c>
      <c r="AX43">
        <v>36</v>
      </c>
      <c r="AY43" t="s">
        <v>2129</v>
      </c>
      <c r="AZ43" t="s">
        <v>2129</v>
      </c>
      <c r="BA43" t="s">
        <v>2129</v>
      </c>
      <c r="BB43" t="s">
        <v>2129</v>
      </c>
      <c r="BC43">
        <v>18</v>
      </c>
      <c r="BD43" t="s">
        <v>2129</v>
      </c>
      <c r="BE43" t="s">
        <v>2129</v>
      </c>
      <c r="BF43" t="s">
        <v>2129</v>
      </c>
      <c r="BG43" t="s">
        <v>2129</v>
      </c>
      <c r="BH43" s="1958" t="s">
        <v>2129</v>
      </c>
      <c r="BI43"/>
      <c r="BJ43" s="863" t="s">
        <v>2129</v>
      </c>
      <c r="BK43" s="863" t="s">
        <v>2129</v>
      </c>
      <c r="BL43" s="863" t="s">
        <v>2129</v>
      </c>
      <c r="BM43" s="863">
        <v>494490672</v>
      </c>
      <c r="BN43" s="863" t="s">
        <v>2129</v>
      </c>
      <c r="BO43" s="863" t="s">
        <v>2129</v>
      </c>
      <c r="BP43" s="863">
        <v>247245336</v>
      </c>
      <c r="BQ43" s="863">
        <v>247245336</v>
      </c>
      <c r="BR43" s="863" t="s">
        <v>2129</v>
      </c>
      <c r="BS43" s="863" t="s">
        <v>2129</v>
      </c>
      <c r="BT43" s="863" t="s">
        <v>2129</v>
      </c>
      <c r="BU43" s="863" t="s">
        <v>2129</v>
      </c>
      <c r="BV43" s="863" t="s">
        <v>2129</v>
      </c>
      <c r="BW43" s="863" t="s">
        <v>2129</v>
      </c>
      <c r="BX43" s="863" t="s">
        <v>2129</v>
      </c>
      <c r="BY43" s="863" t="s">
        <v>2129</v>
      </c>
      <c r="BZ43" s="863" t="s">
        <v>2129</v>
      </c>
      <c r="CA43" s="863">
        <v>379884780</v>
      </c>
      <c r="CB43" s="863"/>
      <c r="CC43" s="863">
        <v>189942390</v>
      </c>
      <c r="CD43" s="863">
        <v>189942390</v>
      </c>
      <c r="CE43" s="863" t="s">
        <v>2129</v>
      </c>
      <c r="CF43" s="863" t="s">
        <v>2129</v>
      </c>
      <c r="CG43" s="863"/>
      <c r="CH43" s="5785" t="s">
        <v>2673</v>
      </c>
    </row>
    <row r="44" spans="1:133" s="5782" customFormat="1" ht="13" hidden="1">
      <c r="A44" s="5782">
        <v>65</v>
      </c>
      <c r="B44" s="5783" t="s">
        <v>3272</v>
      </c>
      <c r="C44" s="5784" t="s">
        <v>2129</v>
      </c>
      <c r="D44" s="5784" t="s">
        <v>2129</v>
      </c>
      <c r="E44" s="5784" t="s">
        <v>2129</v>
      </c>
      <c r="F44" s="5784" t="s">
        <v>2129</v>
      </c>
      <c r="G44" s="5784" t="s">
        <v>2129</v>
      </c>
      <c r="H44" s="5784">
        <v>0</v>
      </c>
      <c r="I44" s="5784">
        <v>0</v>
      </c>
      <c r="J44" s="5785" t="b">
        <v>1</v>
      </c>
      <c r="K44" s="5785" t="s">
        <v>2129</v>
      </c>
      <c r="L44" s="5786">
        <v>0</v>
      </c>
      <c r="M44" s="5786">
        <v>0</v>
      </c>
      <c r="N44" s="5786">
        <v>0</v>
      </c>
      <c r="O44" s="5786">
        <v>0</v>
      </c>
      <c r="P44" s="5786">
        <v>0</v>
      </c>
      <c r="Q44" s="2476">
        <v>0</v>
      </c>
      <c r="R44" s="5787">
        <v>0</v>
      </c>
      <c r="S44" s="2477" t="b">
        <v>1</v>
      </c>
      <c r="T44" s="5787" t="s">
        <v>2129</v>
      </c>
      <c r="U44" s="5787">
        <v>0</v>
      </c>
      <c r="V44" s="5788">
        <v>815353</v>
      </c>
      <c r="W44" s="5788">
        <v>815353</v>
      </c>
      <c r="X44" s="5788" t="b">
        <v>1</v>
      </c>
      <c r="Y44" s="5788">
        <v>11647.9</v>
      </c>
      <c r="Z44" s="5788"/>
      <c r="AA44" s="5788"/>
      <c r="AB44" s="5788" t="s">
        <v>2129</v>
      </c>
      <c r="AC44" s="5788"/>
      <c r="AD44" s="5788"/>
      <c r="AE44" s="5782">
        <v>166</v>
      </c>
      <c r="AF44" s="5782">
        <v>70</v>
      </c>
      <c r="AG44" s="5782" t="b">
        <v>1</v>
      </c>
      <c r="AH44" s="5782">
        <v>191</v>
      </c>
      <c r="AI44" s="5782" t="s">
        <v>2129</v>
      </c>
      <c r="AJ44" s="5782" t="s">
        <v>2129</v>
      </c>
      <c r="AK44" s="5782" t="s">
        <v>2129</v>
      </c>
      <c r="AL44" s="5782" t="s">
        <v>2129</v>
      </c>
      <c r="AM44" s="5782" t="s">
        <v>2129</v>
      </c>
      <c r="AN44" s="5782" t="s">
        <v>2129</v>
      </c>
      <c r="AQ44" s="5782" t="s">
        <v>2129</v>
      </c>
      <c r="AV44" s="5782" t="s">
        <v>2129</v>
      </c>
      <c r="AW44" s="5782" t="s">
        <v>2129</v>
      </c>
      <c r="AX44" s="5782" t="s">
        <v>2129</v>
      </c>
      <c r="AY44" s="5782" t="s">
        <v>2129</v>
      </c>
      <c r="AZ44" s="5782" t="s">
        <v>2129</v>
      </c>
      <c r="BA44" s="5782" t="s">
        <v>2129</v>
      </c>
      <c r="BB44" s="5782" t="s">
        <v>2129</v>
      </c>
      <c r="BC44" s="5782" t="s">
        <v>2129</v>
      </c>
      <c r="BD44" s="5782" t="s">
        <v>2129</v>
      </c>
      <c r="BE44" s="5782" t="s">
        <v>2129</v>
      </c>
      <c r="BF44" s="5782" t="s">
        <v>2129</v>
      </c>
      <c r="BG44" s="5782" t="s">
        <v>2129</v>
      </c>
      <c r="BH44" s="5788" t="s">
        <v>2129</v>
      </c>
      <c r="BJ44" s="5788" t="s">
        <v>2129</v>
      </c>
      <c r="BK44" s="5788" t="s">
        <v>2129</v>
      </c>
      <c r="BL44" s="5788" t="s">
        <v>2129</v>
      </c>
      <c r="BM44" s="5788" t="s">
        <v>2129</v>
      </c>
      <c r="BN44" s="5788" t="s">
        <v>2129</v>
      </c>
      <c r="BO44" s="5788" t="s">
        <v>2129</v>
      </c>
      <c r="BP44" s="5788" t="s">
        <v>2129</v>
      </c>
      <c r="BQ44" s="5788" t="s">
        <v>2129</v>
      </c>
      <c r="BR44" s="5788" t="s">
        <v>2129</v>
      </c>
      <c r="BS44" s="5788" t="s">
        <v>2129</v>
      </c>
      <c r="BT44" s="5788" t="s">
        <v>2129</v>
      </c>
      <c r="BU44" s="5788" t="s">
        <v>2129</v>
      </c>
      <c r="BV44" s="5788" t="s">
        <v>2129</v>
      </c>
      <c r="BW44" s="5788" t="s">
        <v>2129</v>
      </c>
      <c r="BX44" s="5788" t="s">
        <v>2129</v>
      </c>
      <c r="BY44" s="5788" t="s">
        <v>2129</v>
      </c>
      <c r="BZ44" s="5788" t="s">
        <v>2129</v>
      </c>
      <c r="CA44" s="5788" t="s">
        <v>2129</v>
      </c>
      <c r="CB44" s="5788"/>
      <c r="CC44" s="5788" t="s">
        <v>2129</v>
      </c>
      <c r="CD44" s="5788" t="s">
        <v>2129</v>
      </c>
      <c r="CE44" s="5788" t="s">
        <v>2129</v>
      </c>
      <c r="CF44" s="5788" t="s">
        <v>2129</v>
      </c>
      <c r="CG44" s="5788"/>
      <c r="CH44" s="5784"/>
    </row>
    <row r="45" spans="1:133" ht="13" hidden="1">
      <c r="A45">
        <v>66</v>
      </c>
      <c r="B45" s="196" t="s">
        <v>3273</v>
      </c>
      <c r="C45" s="5785" t="s">
        <v>2129</v>
      </c>
      <c r="D45" s="5785" t="s">
        <v>2129</v>
      </c>
      <c r="E45" s="5785" t="s">
        <v>2129</v>
      </c>
      <c r="F45" s="5785" t="s">
        <v>3694</v>
      </c>
      <c r="G45" s="5785" t="s">
        <v>2129</v>
      </c>
      <c r="H45" s="5785">
        <v>0</v>
      </c>
      <c r="I45" s="5785">
        <v>0</v>
      </c>
      <c r="J45" s="5785" t="b">
        <v>1</v>
      </c>
      <c r="K45" s="5785" t="s">
        <v>2129</v>
      </c>
      <c r="L45" s="5786">
        <v>0</v>
      </c>
      <c r="M45" s="5786">
        <v>0</v>
      </c>
      <c r="N45" s="5786">
        <v>0</v>
      </c>
      <c r="O45" s="5786">
        <v>0</v>
      </c>
      <c r="P45" s="5786">
        <v>0</v>
      </c>
      <c r="Q45" s="2476">
        <v>0</v>
      </c>
      <c r="R45" s="2477">
        <v>0</v>
      </c>
      <c r="S45" s="2477" t="b">
        <v>1</v>
      </c>
      <c r="T45" s="5786" t="s">
        <v>2129</v>
      </c>
      <c r="U45" s="5786">
        <v>0</v>
      </c>
      <c r="V45" s="863">
        <v>890384</v>
      </c>
      <c r="W45" s="863">
        <v>890384</v>
      </c>
      <c r="X45" s="863" t="b">
        <v>1</v>
      </c>
      <c r="Y45" s="863">
        <v>22259.599999999999</v>
      </c>
      <c r="AB45" s="863" t="s">
        <v>2129</v>
      </c>
      <c r="AE45">
        <v>118</v>
      </c>
      <c r="AF45">
        <v>40</v>
      </c>
      <c r="AG45" t="b">
        <v>1</v>
      </c>
      <c r="AH45">
        <v>119</v>
      </c>
      <c r="AI45" t="s">
        <v>2129</v>
      </c>
      <c r="AJ45" t="s">
        <v>2129</v>
      </c>
      <c r="AK45" t="s">
        <v>2129</v>
      </c>
      <c r="AL45">
        <v>28</v>
      </c>
      <c r="AM45" t="s">
        <v>2129</v>
      </c>
      <c r="AN45" t="s">
        <v>2129</v>
      </c>
      <c r="AQ45">
        <v>-12</v>
      </c>
      <c r="AV45" t="s">
        <v>2129</v>
      </c>
      <c r="AW45" t="s">
        <v>2129</v>
      </c>
      <c r="AX45" t="s">
        <v>2129</v>
      </c>
      <c r="AY45" t="s">
        <v>2129</v>
      </c>
      <c r="AZ45" t="s">
        <v>2129</v>
      </c>
      <c r="BA45" t="s">
        <v>2129</v>
      </c>
      <c r="BB45" t="s">
        <v>2129</v>
      </c>
      <c r="BC45" t="s">
        <v>2129</v>
      </c>
      <c r="BD45" t="s">
        <v>2129</v>
      </c>
      <c r="BE45">
        <v>16</v>
      </c>
      <c r="BF45" t="s">
        <v>2129</v>
      </c>
      <c r="BG45" t="s">
        <v>2129</v>
      </c>
      <c r="BH45" s="1958" t="s">
        <v>2129</v>
      </c>
      <c r="BI45"/>
      <c r="BJ45" s="863" t="s">
        <v>2129</v>
      </c>
      <c r="BK45" s="863" t="s">
        <v>2129</v>
      </c>
      <c r="BL45" s="863" t="s">
        <v>2129</v>
      </c>
      <c r="BM45" s="863" t="s">
        <v>2129</v>
      </c>
      <c r="BN45" s="863" t="s">
        <v>2129</v>
      </c>
      <c r="BO45" s="863" t="s">
        <v>2129</v>
      </c>
      <c r="BP45" s="863" t="s">
        <v>2129</v>
      </c>
      <c r="BQ45" s="863" t="s">
        <v>2129</v>
      </c>
      <c r="BR45" s="863" t="s">
        <v>2129</v>
      </c>
      <c r="BS45" s="863" t="s">
        <v>2129</v>
      </c>
      <c r="BT45" s="863">
        <v>9972300.7999999989</v>
      </c>
      <c r="BU45" s="863" t="s">
        <v>2129</v>
      </c>
      <c r="BV45" s="863" t="s">
        <v>2129</v>
      </c>
      <c r="BW45" s="863" t="s">
        <v>2129</v>
      </c>
      <c r="BX45" s="863" t="s">
        <v>2129</v>
      </c>
      <c r="BY45" s="863" t="s">
        <v>2129</v>
      </c>
      <c r="BZ45" s="863" t="s">
        <v>2129</v>
      </c>
      <c r="CA45" s="863" t="s">
        <v>2129</v>
      </c>
      <c r="CB45" s="863"/>
      <c r="CC45" s="863" t="s">
        <v>2129</v>
      </c>
      <c r="CD45" s="863" t="s">
        <v>2129</v>
      </c>
      <c r="CE45" s="863" t="s">
        <v>2129</v>
      </c>
      <c r="CF45" s="863" t="s">
        <v>2129</v>
      </c>
      <c r="CG45" s="863"/>
      <c r="CH45" s="5785"/>
    </row>
    <row r="46" spans="1:133" ht="13" hidden="1">
      <c r="A46">
        <v>67</v>
      </c>
      <c r="B46" s="196" t="s">
        <v>3274</v>
      </c>
      <c r="C46" s="5785" t="s">
        <v>2129</v>
      </c>
      <c r="D46" s="2694" t="s">
        <v>3791</v>
      </c>
      <c r="E46" s="2694" t="s">
        <v>4095</v>
      </c>
      <c r="F46" s="5785" t="s">
        <v>2129</v>
      </c>
      <c r="G46" s="5785" t="s">
        <v>2129</v>
      </c>
      <c r="H46" s="5785">
        <v>1</v>
      </c>
      <c r="I46" s="5785">
        <v>1</v>
      </c>
      <c r="J46" s="5785" t="b">
        <v>1</v>
      </c>
      <c r="K46" s="5785" t="s">
        <v>2129</v>
      </c>
      <c r="L46" s="5786">
        <v>23530</v>
      </c>
      <c r="M46" s="5786">
        <v>0</v>
      </c>
      <c r="N46" s="5786">
        <v>0</v>
      </c>
      <c r="O46" s="5786">
        <v>0</v>
      </c>
      <c r="P46" s="5786">
        <v>0</v>
      </c>
      <c r="Q46" s="2476">
        <v>25883.000000000004</v>
      </c>
      <c r="R46" s="2477">
        <v>25883</v>
      </c>
      <c r="S46" s="2477" t="b">
        <v>1</v>
      </c>
      <c r="T46" s="5786">
        <v>25883</v>
      </c>
      <c r="U46" s="5786">
        <v>0</v>
      </c>
      <c r="V46" s="863">
        <v>9264304</v>
      </c>
      <c r="W46" s="863">
        <v>9264304</v>
      </c>
      <c r="X46" s="863" t="b">
        <v>1</v>
      </c>
      <c r="Y46" s="863">
        <v>11508.452173913043</v>
      </c>
      <c r="AB46" s="863" t="s">
        <v>2129</v>
      </c>
      <c r="AE46">
        <v>805</v>
      </c>
      <c r="AF46" s="3965">
        <v>805</v>
      </c>
      <c r="AG46" s="3965" t="b">
        <v>1</v>
      </c>
      <c r="AH46">
        <v>806</v>
      </c>
      <c r="AI46" t="s">
        <v>2129</v>
      </c>
      <c r="AJ46">
        <v>407</v>
      </c>
      <c r="AK46">
        <v>170</v>
      </c>
      <c r="AL46" t="s">
        <v>2129</v>
      </c>
      <c r="AM46" t="s">
        <v>2129</v>
      </c>
      <c r="AN46" t="s">
        <v>2129</v>
      </c>
      <c r="AQ46" t="s">
        <v>2129</v>
      </c>
      <c r="AV46" t="s">
        <v>2129</v>
      </c>
      <c r="AW46" t="s">
        <v>2129</v>
      </c>
      <c r="AX46" t="s">
        <v>2129</v>
      </c>
      <c r="AY46" t="s">
        <v>2129</v>
      </c>
      <c r="AZ46" t="s">
        <v>2129</v>
      </c>
      <c r="BA46">
        <v>11</v>
      </c>
      <c r="BB46">
        <v>32</v>
      </c>
      <c r="BC46" t="s">
        <v>2129</v>
      </c>
      <c r="BD46" t="s">
        <v>2129</v>
      </c>
      <c r="BE46" t="s">
        <v>2129</v>
      </c>
      <c r="BF46" t="s">
        <v>2129</v>
      </c>
      <c r="BG46" t="s">
        <v>2129</v>
      </c>
      <c r="BH46" s="1958" t="s">
        <v>2129</v>
      </c>
      <c r="BI46"/>
      <c r="BJ46" s="863" t="s">
        <v>2129</v>
      </c>
      <c r="BK46" s="863" t="s">
        <v>2129</v>
      </c>
      <c r="BL46" s="863" t="s">
        <v>2129</v>
      </c>
      <c r="BM46" s="863" t="s">
        <v>2129</v>
      </c>
      <c r="BN46" s="863">
        <v>51523340.382608697</v>
      </c>
      <c r="BO46" s="863">
        <v>62605979.826086953</v>
      </c>
      <c r="BP46" s="863" t="s">
        <v>2129</v>
      </c>
      <c r="BQ46" s="863" t="s">
        <v>2129</v>
      </c>
      <c r="BR46" s="863" t="s">
        <v>2129</v>
      </c>
      <c r="BS46" s="863" t="s">
        <v>2129</v>
      </c>
      <c r="BT46" s="863" t="s">
        <v>2129</v>
      </c>
      <c r="BU46" s="863" t="s">
        <v>2129</v>
      </c>
      <c r="BV46" s="863" t="s">
        <v>2129</v>
      </c>
      <c r="BW46" s="863" t="s">
        <v>2129</v>
      </c>
      <c r="BX46" s="863" t="s">
        <v>2129</v>
      </c>
      <c r="BY46" s="863" t="s">
        <v>2129</v>
      </c>
      <c r="BZ46" s="863" t="s">
        <v>2129</v>
      </c>
      <c r="CA46" s="863" t="s">
        <v>2129</v>
      </c>
      <c r="CB46" s="863"/>
      <c r="CC46" s="863" t="s">
        <v>2129</v>
      </c>
      <c r="CD46" s="863" t="s">
        <v>2129</v>
      </c>
      <c r="CE46" s="863" t="s">
        <v>2129</v>
      </c>
      <c r="CF46" s="863" t="s">
        <v>2129</v>
      </c>
      <c r="CG46" s="863"/>
      <c r="CH46" s="5785"/>
    </row>
    <row r="47" spans="1:133" ht="13" hidden="1">
      <c r="A47">
        <v>68</v>
      </c>
      <c r="B47" s="196" t="s">
        <v>3275</v>
      </c>
      <c r="C47" s="5785" t="s">
        <v>2129</v>
      </c>
      <c r="D47" s="5785" t="s">
        <v>2129</v>
      </c>
      <c r="E47" s="5785" t="s">
        <v>2129</v>
      </c>
      <c r="F47" s="5785" t="s">
        <v>3694</v>
      </c>
      <c r="G47" s="5785" t="s">
        <v>2129</v>
      </c>
      <c r="H47" s="5785">
        <v>0</v>
      </c>
      <c r="I47" s="5785">
        <v>0</v>
      </c>
      <c r="J47" s="5785" t="b">
        <v>1</v>
      </c>
      <c r="K47" s="5785" t="s">
        <v>2129</v>
      </c>
      <c r="L47" s="5786">
        <v>0</v>
      </c>
      <c r="M47" s="5786">
        <v>0</v>
      </c>
      <c r="N47" s="5786">
        <v>0</v>
      </c>
      <c r="O47" s="5786">
        <v>0</v>
      </c>
      <c r="P47" s="5786">
        <v>0</v>
      </c>
      <c r="Q47" s="2476">
        <v>0</v>
      </c>
      <c r="R47" s="2477">
        <v>0</v>
      </c>
      <c r="S47" s="2477" t="b">
        <v>1</v>
      </c>
      <c r="T47" s="5786" t="s">
        <v>2129</v>
      </c>
      <c r="U47" s="5786">
        <v>0</v>
      </c>
      <c r="V47" s="863">
        <v>1087086</v>
      </c>
      <c r="W47" s="863">
        <v>1087086</v>
      </c>
      <c r="X47" s="863" t="b">
        <v>1</v>
      </c>
      <c r="Y47" s="863">
        <v>27177.15</v>
      </c>
      <c r="AB47" s="863" t="s">
        <v>2129</v>
      </c>
      <c r="AE47">
        <v>40</v>
      </c>
      <c r="AF47">
        <v>40</v>
      </c>
      <c r="AG47" t="b">
        <v>1</v>
      </c>
      <c r="AH47">
        <v>50</v>
      </c>
      <c r="AI47" t="s">
        <v>2129</v>
      </c>
      <c r="AJ47" t="s">
        <v>2129</v>
      </c>
      <c r="AK47" t="s">
        <v>2129</v>
      </c>
      <c r="AL47">
        <v>34</v>
      </c>
      <c r="AM47" t="s">
        <v>2129</v>
      </c>
      <c r="AN47" t="s">
        <v>2129</v>
      </c>
      <c r="AQ47">
        <v>-6</v>
      </c>
      <c r="AV47" t="s">
        <v>2129</v>
      </c>
      <c r="AW47" t="s">
        <v>2129</v>
      </c>
      <c r="AX47" t="s">
        <v>2129</v>
      </c>
      <c r="AY47" t="s">
        <v>2129</v>
      </c>
      <c r="AZ47" t="s">
        <v>2129</v>
      </c>
      <c r="BA47" t="s">
        <v>2129</v>
      </c>
      <c r="BB47" t="s">
        <v>2129</v>
      </c>
      <c r="BC47" t="s">
        <v>2129</v>
      </c>
      <c r="BD47" t="s">
        <v>2129</v>
      </c>
      <c r="BE47">
        <v>16</v>
      </c>
      <c r="BF47" t="s">
        <v>2129</v>
      </c>
      <c r="BG47" t="s">
        <v>2129</v>
      </c>
      <c r="BH47" s="1958" t="s">
        <v>2129</v>
      </c>
      <c r="BI47"/>
      <c r="BJ47" s="863" t="s">
        <v>2129</v>
      </c>
      <c r="BK47" s="863" t="s">
        <v>2129</v>
      </c>
      <c r="BL47" s="863" t="s">
        <v>2129</v>
      </c>
      <c r="BM47" s="863" t="s">
        <v>2129</v>
      </c>
      <c r="BN47" s="863" t="s">
        <v>2129</v>
      </c>
      <c r="BO47" s="863" t="s">
        <v>2129</v>
      </c>
      <c r="BP47" s="863" t="s">
        <v>2129</v>
      </c>
      <c r="BQ47" s="863" t="s">
        <v>2129</v>
      </c>
      <c r="BR47" s="863" t="s">
        <v>2129</v>
      </c>
      <c r="BS47" s="863" t="s">
        <v>2129</v>
      </c>
      <c r="BT47" s="863">
        <v>14784369.600000001</v>
      </c>
      <c r="BU47" s="863" t="s">
        <v>2129</v>
      </c>
      <c r="BV47" s="863" t="s">
        <v>2129</v>
      </c>
      <c r="BW47" s="863" t="s">
        <v>2129</v>
      </c>
      <c r="BX47" s="863" t="s">
        <v>2129</v>
      </c>
      <c r="BY47" s="863" t="s">
        <v>2129</v>
      </c>
      <c r="BZ47" s="863" t="s">
        <v>2129</v>
      </c>
      <c r="CA47" s="863" t="s">
        <v>2129</v>
      </c>
      <c r="CB47" s="863"/>
      <c r="CC47" s="863" t="s">
        <v>2129</v>
      </c>
      <c r="CD47" s="863" t="s">
        <v>2129</v>
      </c>
      <c r="CE47" s="863" t="s">
        <v>2129</v>
      </c>
      <c r="CF47" s="863" t="s">
        <v>2129</v>
      </c>
      <c r="CG47" s="863"/>
      <c r="CH47" s="5785"/>
    </row>
    <row r="48" spans="1:133" ht="13" hidden="1">
      <c r="A48">
        <v>69</v>
      </c>
      <c r="B48" s="196" t="s">
        <v>3276</v>
      </c>
      <c r="C48" s="5785" t="s">
        <v>3694</v>
      </c>
      <c r="D48" s="5785" t="s">
        <v>2129</v>
      </c>
      <c r="E48" s="5785" t="s">
        <v>2129</v>
      </c>
      <c r="F48" s="5785" t="s">
        <v>2129</v>
      </c>
      <c r="G48" s="5785" t="s">
        <v>2129</v>
      </c>
      <c r="H48" s="5785">
        <v>0</v>
      </c>
      <c r="I48" s="5785">
        <v>0</v>
      </c>
      <c r="J48" s="5785" t="b">
        <v>1</v>
      </c>
      <c r="K48" s="5785" t="s">
        <v>2129</v>
      </c>
      <c r="L48" s="5786">
        <v>0</v>
      </c>
      <c r="M48" s="5786">
        <v>0</v>
      </c>
      <c r="N48" s="5786">
        <v>0</v>
      </c>
      <c r="O48" s="5786">
        <v>0</v>
      </c>
      <c r="P48" s="5786">
        <v>0</v>
      </c>
      <c r="Q48" s="2476">
        <v>0</v>
      </c>
      <c r="R48" s="2477">
        <v>0</v>
      </c>
      <c r="S48" s="2477" t="b">
        <v>1</v>
      </c>
      <c r="T48" s="5786" t="s">
        <v>2129</v>
      </c>
      <c r="U48" s="5786">
        <v>0</v>
      </c>
      <c r="V48" s="863">
        <v>6830859</v>
      </c>
      <c r="W48" s="863">
        <v>6830859</v>
      </c>
      <c r="X48" s="863" t="b">
        <v>1</v>
      </c>
      <c r="Y48" s="863">
        <v>27433.168674698794</v>
      </c>
      <c r="AB48" s="863">
        <v>48687.519600855318</v>
      </c>
      <c r="AE48">
        <v>249</v>
      </c>
      <c r="AF48">
        <v>249</v>
      </c>
      <c r="AG48" t="b">
        <v>1</v>
      </c>
      <c r="AH48">
        <v>250</v>
      </c>
      <c r="AI48">
        <v>122</v>
      </c>
      <c r="AJ48" t="s">
        <v>2129</v>
      </c>
      <c r="AK48" t="s">
        <v>2129</v>
      </c>
      <c r="AL48" t="s">
        <v>2129</v>
      </c>
      <c r="AM48" t="s">
        <v>2129</v>
      </c>
      <c r="AN48">
        <v>-127</v>
      </c>
      <c r="AQ48" t="s">
        <v>2129</v>
      </c>
      <c r="AV48" t="s">
        <v>2129</v>
      </c>
      <c r="AW48" t="s">
        <v>2129</v>
      </c>
      <c r="AX48" t="s">
        <v>2129</v>
      </c>
      <c r="AY48" t="s">
        <v>2129</v>
      </c>
      <c r="AZ48">
        <v>32</v>
      </c>
      <c r="BA48" t="s">
        <v>2129</v>
      </c>
      <c r="BB48" t="s">
        <v>2129</v>
      </c>
      <c r="BC48" t="s">
        <v>2129</v>
      </c>
      <c r="BD48" t="s">
        <v>2129</v>
      </c>
      <c r="BE48" t="s">
        <v>2129</v>
      </c>
      <c r="BF48" t="s">
        <v>2129</v>
      </c>
      <c r="BG48" t="s">
        <v>2129</v>
      </c>
      <c r="BH48" s="1958" t="s">
        <v>2129</v>
      </c>
      <c r="BI48"/>
      <c r="BJ48" s="863" t="s">
        <v>2129</v>
      </c>
      <c r="BK48" s="863">
        <v>107099090.50602409</v>
      </c>
      <c r="BL48" s="863" t="s">
        <v>2129</v>
      </c>
      <c r="BM48" s="863" t="s">
        <v>2129</v>
      </c>
      <c r="BN48" s="863" t="s">
        <v>2129</v>
      </c>
      <c r="BO48" s="863" t="s">
        <v>2129</v>
      </c>
      <c r="BP48" s="863" t="s">
        <v>2129</v>
      </c>
      <c r="BQ48" s="863" t="s">
        <v>2129</v>
      </c>
      <c r="BR48" s="863" t="s">
        <v>2129</v>
      </c>
      <c r="BS48" s="863" t="s">
        <v>2129</v>
      </c>
      <c r="BT48" s="863" t="s">
        <v>2129</v>
      </c>
      <c r="BU48" s="863" t="s">
        <v>2129</v>
      </c>
      <c r="BV48" s="863" t="s">
        <v>2129</v>
      </c>
      <c r="BW48" s="863" t="s">
        <v>2129</v>
      </c>
      <c r="BX48" s="863" t="s">
        <v>2129</v>
      </c>
      <c r="BY48" s="863" t="s">
        <v>2129</v>
      </c>
      <c r="BZ48" s="863" t="s">
        <v>2129</v>
      </c>
      <c r="CA48" s="863" t="s">
        <v>2129</v>
      </c>
      <c r="CB48" s="863"/>
      <c r="CC48" s="863" t="s">
        <v>2129</v>
      </c>
      <c r="CD48" s="863" t="s">
        <v>2129</v>
      </c>
      <c r="CE48" s="863" t="s">
        <v>2129</v>
      </c>
      <c r="CF48" s="863" t="s">
        <v>2129</v>
      </c>
      <c r="CG48" s="863"/>
      <c r="CH48" s="5785"/>
    </row>
    <row r="49" spans="1:86" ht="13" hidden="1">
      <c r="A49">
        <v>70</v>
      </c>
      <c r="B49" s="196" t="s">
        <v>3277</v>
      </c>
      <c r="C49" s="5790" t="s">
        <v>2129</v>
      </c>
      <c r="D49" s="5790" t="s">
        <v>6599</v>
      </c>
      <c r="E49" s="5790" t="s">
        <v>2129</v>
      </c>
      <c r="F49" s="5785" t="s">
        <v>2695</v>
      </c>
      <c r="G49" s="5785" t="s">
        <v>2129</v>
      </c>
      <c r="H49" s="5785">
        <v>0</v>
      </c>
      <c r="I49" s="5785">
        <v>0</v>
      </c>
      <c r="J49" s="5785" t="b">
        <v>1</v>
      </c>
      <c r="K49" s="5785" t="s">
        <v>2129</v>
      </c>
      <c r="L49" s="5786">
        <v>0</v>
      </c>
      <c r="M49" s="5786">
        <v>0</v>
      </c>
      <c r="N49" s="5786">
        <v>0</v>
      </c>
      <c r="O49" s="5786">
        <v>0</v>
      </c>
      <c r="P49" s="5786">
        <v>0</v>
      </c>
      <c r="Q49" s="2476">
        <v>0</v>
      </c>
      <c r="R49" s="2477">
        <v>0</v>
      </c>
      <c r="S49" s="2477" t="b">
        <v>1</v>
      </c>
      <c r="T49" s="5786" t="s">
        <v>2129</v>
      </c>
      <c r="U49" s="5786">
        <v>19413</v>
      </c>
      <c r="V49" s="863">
        <v>4396273</v>
      </c>
      <c r="W49" s="863">
        <v>4376860</v>
      </c>
      <c r="X49" s="863" t="b">
        <v>1</v>
      </c>
      <c r="Y49" s="863">
        <v>18865.775862068964</v>
      </c>
      <c r="AB49" s="863" t="s">
        <v>2129</v>
      </c>
      <c r="AC49" s="863">
        <v>1700</v>
      </c>
      <c r="AE49">
        <v>233</v>
      </c>
      <c r="AF49">
        <v>232</v>
      </c>
      <c r="AG49" t="b">
        <v>1</v>
      </c>
      <c r="AH49" s="2814">
        <v>343</v>
      </c>
      <c r="AI49" t="s">
        <v>2129</v>
      </c>
      <c r="AJ49" t="s">
        <v>2129</v>
      </c>
      <c r="AK49" t="s">
        <v>2129</v>
      </c>
      <c r="AL49">
        <v>63</v>
      </c>
      <c r="AM49" t="s">
        <v>2129</v>
      </c>
      <c r="AN49" t="s">
        <v>2129</v>
      </c>
      <c r="AQ49">
        <v>-169</v>
      </c>
      <c r="AV49" t="s">
        <v>2129</v>
      </c>
      <c r="AW49">
        <v>20</v>
      </c>
      <c r="AX49" t="s">
        <v>2129</v>
      </c>
      <c r="AY49" t="s">
        <v>2129</v>
      </c>
      <c r="AZ49" t="s">
        <v>2129</v>
      </c>
      <c r="BA49" t="s">
        <v>2129</v>
      </c>
      <c r="BB49" t="s">
        <v>2129</v>
      </c>
      <c r="BC49" t="s">
        <v>2129</v>
      </c>
      <c r="BD49">
        <v>9</v>
      </c>
      <c r="BE49" t="s">
        <v>2129</v>
      </c>
      <c r="BF49" t="s">
        <v>2129</v>
      </c>
      <c r="BG49" t="s">
        <v>2129</v>
      </c>
      <c r="BH49" s="1958" t="s">
        <v>2129</v>
      </c>
      <c r="BI49" s="1958">
        <v>87537200</v>
      </c>
      <c r="BJ49" s="1958" t="s">
        <v>2129</v>
      </c>
      <c r="BK49" s="1958" t="s">
        <v>2129</v>
      </c>
      <c r="BL49" s="1958" t="s">
        <v>2129</v>
      </c>
      <c r="BM49" s="1958" t="s">
        <v>2129</v>
      </c>
      <c r="BN49" s="1958" t="s">
        <v>2129</v>
      </c>
      <c r="BO49" s="1958" t="s">
        <v>2129</v>
      </c>
      <c r="BP49" s="1958" t="s">
        <v>2129</v>
      </c>
      <c r="BQ49" s="863" t="s">
        <v>2129</v>
      </c>
      <c r="BR49" s="863" t="s">
        <v>2129</v>
      </c>
      <c r="BS49" s="1958" t="s">
        <v>2129</v>
      </c>
      <c r="BT49" s="1958" t="s">
        <v>2129</v>
      </c>
      <c r="BU49" s="1958">
        <v>10696894.913793104</v>
      </c>
      <c r="BV49" s="1958" t="s">
        <v>2129</v>
      </c>
      <c r="BW49" s="1958" t="s">
        <v>2129</v>
      </c>
      <c r="BX49" s="1958" t="s">
        <v>2129</v>
      </c>
      <c r="BY49" s="1958" t="s">
        <v>2129</v>
      </c>
      <c r="BZ49" s="1958" t="s">
        <v>2129</v>
      </c>
      <c r="CA49" s="1958" t="s">
        <v>2129</v>
      </c>
      <c r="CC49" s="1958" t="s">
        <v>2129</v>
      </c>
      <c r="CD49" s="1958" t="s">
        <v>2129</v>
      </c>
      <c r="CE49" s="1958" t="s">
        <v>2129</v>
      </c>
      <c r="CF49" s="1958" t="s">
        <v>2129</v>
      </c>
      <c r="CH49" s="5785"/>
    </row>
    <row r="50" spans="1:86" ht="13" hidden="1">
      <c r="A50">
        <v>71</v>
      </c>
      <c r="B50" s="196" t="s">
        <v>3278</v>
      </c>
      <c r="C50" s="5785" t="s">
        <v>2129</v>
      </c>
      <c r="D50" s="5785" t="s">
        <v>2129</v>
      </c>
      <c r="E50" s="5785" t="s">
        <v>2129</v>
      </c>
      <c r="F50" s="5785" t="s">
        <v>3694</v>
      </c>
      <c r="G50" s="5785" t="s">
        <v>2129</v>
      </c>
      <c r="H50" s="5785">
        <v>0</v>
      </c>
      <c r="I50" s="5785">
        <v>0</v>
      </c>
      <c r="J50" s="5785" t="b">
        <v>1</v>
      </c>
      <c r="K50" s="5785" t="s">
        <v>2129</v>
      </c>
      <c r="L50" s="5786">
        <v>0</v>
      </c>
      <c r="M50" s="5786">
        <v>0</v>
      </c>
      <c r="N50" s="5786">
        <v>0</v>
      </c>
      <c r="O50" s="5786">
        <v>0</v>
      </c>
      <c r="P50" s="5786">
        <v>0</v>
      </c>
      <c r="Q50" s="2476">
        <v>0</v>
      </c>
      <c r="R50" s="2477">
        <v>0</v>
      </c>
      <c r="S50" s="2477" t="b">
        <v>1</v>
      </c>
      <c r="T50" s="5786" t="s">
        <v>2129</v>
      </c>
      <c r="U50" s="5786">
        <v>0</v>
      </c>
      <c r="V50" s="863">
        <v>1608491</v>
      </c>
      <c r="W50" s="863">
        <v>1608491</v>
      </c>
      <c r="X50" s="863" t="b">
        <v>1</v>
      </c>
      <c r="Y50" s="863">
        <v>13516.731092436974</v>
      </c>
      <c r="AB50" s="863" t="s">
        <v>2129</v>
      </c>
      <c r="AE50">
        <v>119</v>
      </c>
      <c r="AF50">
        <v>119</v>
      </c>
      <c r="AG50" t="b">
        <v>1</v>
      </c>
      <c r="AH50">
        <v>112</v>
      </c>
      <c r="AI50" t="s">
        <v>2129</v>
      </c>
      <c r="AJ50" t="s">
        <v>2129</v>
      </c>
      <c r="AK50" t="s">
        <v>2129</v>
      </c>
      <c r="AL50">
        <v>77</v>
      </c>
      <c r="AM50" t="s">
        <v>2129</v>
      </c>
      <c r="AN50" t="s">
        <v>2129</v>
      </c>
      <c r="AQ50">
        <v>-42</v>
      </c>
      <c r="AV50" t="s">
        <v>2129</v>
      </c>
      <c r="AW50" t="s">
        <v>2129</v>
      </c>
      <c r="AX50" t="s">
        <v>2129</v>
      </c>
      <c r="AY50" t="s">
        <v>2129</v>
      </c>
      <c r="AZ50" t="s">
        <v>2129</v>
      </c>
      <c r="BA50" t="s">
        <v>2129</v>
      </c>
      <c r="BB50" t="s">
        <v>2129</v>
      </c>
      <c r="BC50" t="s">
        <v>2129</v>
      </c>
      <c r="BD50" t="s">
        <v>2129</v>
      </c>
      <c r="BE50">
        <v>16</v>
      </c>
      <c r="BF50" t="s">
        <v>2129</v>
      </c>
      <c r="BG50" t="s">
        <v>2129</v>
      </c>
      <c r="BH50" s="1958" t="s">
        <v>2129</v>
      </c>
      <c r="BI50"/>
      <c r="BJ50" s="863" t="s">
        <v>2129</v>
      </c>
      <c r="BK50" s="863" t="s">
        <v>2129</v>
      </c>
      <c r="BL50" s="863" t="s">
        <v>2129</v>
      </c>
      <c r="BM50" s="863" t="s">
        <v>2129</v>
      </c>
      <c r="BN50" s="863" t="s">
        <v>2129</v>
      </c>
      <c r="BO50" s="863" t="s">
        <v>2129</v>
      </c>
      <c r="BP50" s="863" t="s">
        <v>2129</v>
      </c>
      <c r="BQ50" s="863" t="s">
        <v>2129</v>
      </c>
      <c r="BR50" s="863" t="s">
        <v>2129</v>
      </c>
      <c r="BS50" s="863" t="s">
        <v>2129</v>
      </c>
      <c r="BT50" s="863">
        <v>16652612.705882352</v>
      </c>
      <c r="BU50" s="863" t="s">
        <v>2129</v>
      </c>
      <c r="BV50" s="863" t="s">
        <v>2129</v>
      </c>
      <c r="BW50" s="863" t="s">
        <v>2129</v>
      </c>
      <c r="BX50" s="863" t="s">
        <v>2129</v>
      </c>
      <c r="BY50" s="863" t="s">
        <v>2129</v>
      </c>
      <c r="BZ50" s="863" t="s">
        <v>2129</v>
      </c>
      <c r="CA50" s="863" t="s">
        <v>2129</v>
      </c>
      <c r="CB50" s="863"/>
      <c r="CC50" s="863" t="s">
        <v>2129</v>
      </c>
      <c r="CD50" s="863" t="s">
        <v>2129</v>
      </c>
      <c r="CE50" s="863" t="s">
        <v>2129</v>
      </c>
      <c r="CF50" s="863" t="s">
        <v>2129</v>
      </c>
      <c r="CG50" s="863"/>
      <c r="CH50" s="5785"/>
    </row>
    <row r="51" spans="1:86" ht="13" hidden="1">
      <c r="A51">
        <v>73</v>
      </c>
      <c r="B51" s="196" t="s">
        <v>3279</v>
      </c>
      <c r="C51" s="5785" t="s">
        <v>2129</v>
      </c>
      <c r="D51" s="5785" t="s">
        <v>2129</v>
      </c>
      <c r="E51" s="5785" t="s">
        <v>2129</v>
      </c>
      <c r="F51" s="5785" t="s">
        <v>3694</v>
      </c>
      <c r="G51" s="5785" t="s">
        <v>2129</v>
      </c>
      <c r="H51" s="5785">
        <v>0</v>
      </c>
      <c r="I51" s="5785">
        <v>0</v>
      </c>
      <c r="J51" s="5785" t="b">
        <v>1</v>
      </c>
      <c r="K51" s="5785" t="s">
        <v>2129</v>
      </c>
      <c r="L51" s="5786">
        <v>0</v>
      </c>
      <c r="M51" s="5786">
        <v>0</v>
      </c>
      <c r="N51" s="5786">
        <v>0</v>
      </c>
      <c r="O51" s="5786">
        <v>0</v>
      </c>
      <c r="P51" s="5786">
        <v>0</v>
      </c>
      <c r="Q51" s="2476">
        <v>0</v>
      </c>
      <c r="R51" s="2477">
        <v>0</v>
      </c>
      <c r="S51" s="2477" t="b">
        <v>1</v>
      </c>
      <c r="T51" s="5786" t="s">
        <v>2129</v>
      </c>
      <c r="U51" s="5786">
        <v>0</v>
      </c>
      <c r="V51" s="863">
        <v>931788</v>
      </c>
      <c r="W51" s="863">
        <v>931788</v>
      </c>
      <c r="X51" s="863" t="b">
        <v>1</v>
      </c>
      <c r="Y51" s="863">
        <v>11647.35</v>
      </c>
      <c r="AB51" s="863" t="s">
        <v>2129</v>
      </c>
      <c r="AE51">
        <v>96</v>
      </c>
      <c r="AF51">
        <v>80</v>
      </c>
      <c r="AG51" t="b">
        <v>1</v>
      </c>
      <c r="AH51">
        <v>84</v>
      </c>
      <c r="AI51" t="s">
        <v>2129</v>
      </c>
      <c r="AJ51" t="s">
        <v>2129</v>
      </c>
      <c r="AK51" t="s">
        <v>2129</v>
      </c>
      <c r="AL51">
        <v>48</v>
      </c>
      <c r="AM51" t="s">
        <v>2129</v>
      </c>
      <c r="AN51" t="s">
        <v>2129</v>
      </c>
      <c r="AQ51">
        <v>-32</v>
      </c>
      <c r="AV51" t="s">
        <v>2129</v>
      </c>
      <c r="AW51" t="s">
        <v>2129</v>
      </c>
      <c r="AX51" t="s">
        <v>2129</v>
      </c>
      <c r="AY51" t="s">
        <v>2129</v>
      </c>
      <c r="AZ51" t="s">
        <v>2129</v>
      </c>
      <c r="BA51" t="s">
        <v>2129</v>
      </c>
      <c r="BB51" t="s">
        <v>2129</v>
      </c>
      <c r="BC51" t="s">
        <v>2129</v>
      </c>
      <c r="BD51" t="s">
        <v>2129</v>
      </c>
      <c r="BE51">
        <v>16</v>
      </c>
      <c r="BF51" t="s">
        <v>2129</v>
      </c>
      <c r="BG51" t="s">
        <v>2129</v>
      </c>
      <c r="BH51" s="1958" t="s">
        <v>2129</v>
      </c>
      <c r="BI51"/>
      <c r="BJ51" s="863" t="s">
        <v>2129</v>
      </c>
      <c r="BK51" s="863" t="s">
        <v>2129</v>
      </c>
      <c r="BL51" s="863" t="s">
        <v>2129</v>
      </c>
      <c r="BM51" s="863" t="s">
        <v>2129</v>
      </c>
      <c r="BN51" s="863" t="s">
        <v>2129</v>
      </c>
      <c r="BO51" s="863" t="s">
        <v>2129</v>
      </c>
      <c r="BP51" s="863" t="s">
        <v>2129</v>
      </c>
      <c r="BQ51" s="863" t="s">
        <v>2129</v>
      </c>
      <c r="BR51" s="863" t="s">
        <v>2129</v>
      </c>
      <c r="BS51" s="863" t="s">
        <v>2129</v>
      </c>
      <c r="BT51" s="863">
        <v>8945164.8000000007</v>
      </c>
      <c r="BU51" s="863" t="s">
        <v>2129</v>
      </c>
      <c r="BV51" s="863" t="s">
        <v>2129</v>
      </c>
      <c r="BW51" s="863" t="s">
        <v>2129</v>
      </c>
      <c r="BX51" s="863" t="s">
        <v>2129</v>
      </c>
      <c r="BY51" s="863" t="s">
        <v>2129</v>
      </c>
      <c r="BZ51" s="863" t="s">
        <v>2129</v>
      </c>
      <c r="CA51" s="863" t="s">
        <v>2129</v>
      </c>
      <c r="CB51" s="863"/>
      <c r="CC51" s="863" t="s">
        <v>2129</v>
      </c>
      <c r="CD51" s="863" t="s">
        <v>2129</v>
      </c>
      <c r="CE51" s="863" t="s">
        <v>2129</v>
      </c>
      <c r="CF51" s="863" t="s">
        <v>2129</v>
      </c>
      <c r="CG51" s="863"/>
      <c r="CH51" s="5785"/>
    </row>
    <row r="52" spans="1:86" ht="13" hidden="1">
      <c r="A52">
        <v>74</v>
      </c>
      <c r="B52" s="196" t="s">
        <v>3280</v>
      </c>
      <c r="C52" s="5785" t="s">
        <v>3694</v>
      </c>
      <c r="D52" s="5785" t="s">
        <v>2129</v>
      </c>
      <c r="E52" s="5785" t="s">
        <v>2129</v>
      </c>
      <c r="F52" s="5785" t="s">
        <v>3694</v>
      </c>
      <c r="G52" s="5785" t="s">
        <v>2129</v>
      </c>
      <c r="H52" s="5785">
        <v>0</v>
      </c>
      <c r="I52" s="5785">
        <v>0</v>
      </c>
      <c r="J52" s="5785" t="b">
        <v>1</v>
      </c>
      <c r="K52" s="5785" t="s">
        <v>2129</v>
      </c>
      <c r="L52" s="5786">
        <v>0</v>
      </c>
      <c r="M52" s="5786">
        <v>0</v>
      </c>
      <c r="N52" s="5786">
        <v>0</v>
      </c>
      <c r="O52" s="5786">
        <v>0</v>
      </c>
      <c r="P52" s="5786">
        <v>0</v>
      </c>
      <c r="Q52" s="2476">
        <v>0</v>
      </c>
      <c r="R52" s="2477">
        <v>0</v>
      </c>
      <c r="S52" s="2477" t="b">
        <v>1</v>
      </c>
      <c r="T52" s="5786" t="s">
        <v>2129</v>
      </c>
      <c r="U52" s="5786">
        <v>0</v>
      </c>
      <c r="V52" s="863">
        <v>880022</v>
      </c>
      <c r="W52" s="863">
        <v>880022</v>
      </c>
      <c r="X52" s="863" t="b">
        <v>1</v>
      </c>
      <c r="Y52" s="863">
        <v>10353.200000000001</v>
      </c>
      <c r="AB52" s="863">
        <v>13425.20213577422</v>
      </c>
      <c r="AE52">
        <v>117</v>
      </c>
      <c r="AF52">
        <v>85</v>
      </c>
      <c r="AG52" t="b">
        <v>1</v>
      </c>
      <c r="AH52">
        <v>117</v>
      </c>
      <c r="AI52">
        <v>57</v>
      </c>
      <c r="AJ52" t="s">
        <v>2129</v>
      </c>
      <c r="AK52" t="s">
        <v>2129</v>
      </c>
      <c r="AL52">
        <v>14</v>
      </c>
      <c r="AM52" t="s">
        <v>2129</v>
      </c>
      <c r="AN52">
        <v>-28</v>
      </c>
      <c r="AQ52">
        <v>-71</v>
      </c>
      <c r="AV52" t="s">
        <v>2129</v>
      </c>
      <c r="AW52" t="s">
        <v>2129</v>
      </c>
      <c r="AX52" t="s">
        <v>2129</v>
      </c>
      <c r="AY52" t="s">
        <v>2129</v>
      </c>
      <c r="AZ52">
        <v>32</v>
      </c>
      <c r="BA52" t="s">
        <v>2129</v>
      </c>
      <c r="BB52" t="s">
        <v>2129</v>
      </c>
      <c r="BC52" t="s">
        <v>2129</v>
      </c>
      <c r="BD52" t="s">
        <v>2129</v>
      </c>
      <c r="BE52">
        <v>16</v>
      </c>
      <c r="BF52" t="s">
        <v>2129</v>
      </c>
      <c r="BG52" t="s">
        <v>2129</v>
      </c>
      <c r="BH52" s="1958" t="s">
        <v>2129</v>
      </c>
      <c r="BI52"/>
      <c r="BJ52" s="863" t="s">
        <v>2129</v>
      </c>
      <c r="BK52" s="863">
        <v>18884236.800000001</v>
      </c>
      <c r="BL52" s="863" t="s">
        <v>2129</v>
      </c>
      <c r="BM52" s="863" t="s">
        <v>2129</v>
      </c>
      <c r="BN52" s="863" t="s">
        <v>2129</v>
      </c>
      <c r="BO52" s="863" t="s">
        <v>2129</v>
      </c>
      <c r="BP52" s="863" t="s">
        <v>2129</v>
      </c>
      <c r="BQ52" s="863" t="s">
        <v>2129</v>
      </c>
      <c r="BR52" s="863" t="s">
        <v>2129</v>
      </c>
      <c r="BS52" s="863" t="s">
        <v>2129</v>
      </c>
      <c r="BT52" s="863">
        <v>2319116.8000000003</v>
      </c>
      <c r="BU52" s="863" t="s">
        <v>2129</v>
      </c>
      <c r="BV52" s="863" t="s">
        <v>2129</v>
      </c>
      <c r="BW52" s="863" t="s">
        <v>2129</v>
      </c>
      <c r="BX52" s="863" t="s">
        <v>2129</v>
      </c>
      <c r="BY52" s="863" t="s">
        <v>2129</v>
      </c>
      <c r="BZ52" s="863" t="s">
        <v>2129</v>
      </c>
      <c r="CA52" s="863" t="s">
        <v>2129</v>
      </c>
      <c r="CB52" s="863"/>
      <c r="CC52" s="863" t="s">
        <v>2129</v>
      </c>
      <c r="CD52" s="863" t="s">
        <v>2129</v>
      </c>
      <c r="CE52" s="863" t="s">
        <v>2129</v>
      </c>
      <c r="CF52" s="863" t="s">
        <v>2129</v>
      </c>
      <c r="CG52" s="863"/>
      <c r="CH52" s="5785"/>
    </row>
    <row r="53" spans="1:86" ht="13" hidden="1">
      <c r="A53">
        <v>75</v>
      </c>
      <c r="B53" s="196" t="s">
        <v>3281</v>
      </c>
      <c r="C53" s="5785" t="s">
        <v>3694</v>
      </c>
      <c r="D53" s="5785" t="s">
        <v>2129</v>
      </c>
      <c r="E53" s="5785" t="s">
        <v>2129</v>
      </c>
      <c r="F53" s="5785" t="s">
        <v>3694</v>
      </c>
      <c r="G53" s="5785" t="s">
        <v>2129</v>
      </c>
      <c r="H53" s="5785">
        <v>0</v>
      </c>
      <c r="I53" s="5785">
        <v>0</v>
      </c>
      <c r="J53" s="5785" t="b">
        <v>1</v>
      </c>
      <c r="K53" s="5785" t="s">
        <v>2129</v>
      </c>
      <c r="L53" s="5786">
        <v>0</v>
      </c>
      <c r="M53" s="5786">
        <v>0</v>
      </c>
      <c r="N53" s="5786">
        <v>0</v>
      </c>
      <c r="O53" s="5786">
        <v>0</v>
      </c>
      <c r="P53" s="5786">
        <v>0</v>
      </c>
      <c r="Q53" s="2476">
        <v>0</v>
      </c>
      <c r="R53" s="2477">
        <v>0</v>
      </c>
      <c r="S53" s="2477" t="b">
        <v>1</v>
      </c>
      <c r="T53" s="5786" t="s">
        <v>2129</v>
      </c>
      <c r="U53" s="5786">
        <v>0</v>
      </c>
      <c r="V53" s="863">
        <v>2213101</v>
      </c>
      <c r="W53" s="863">
        <v>2213101</v>
      </c>
      <c r="X53" s="863" t="b">
        <v>1</v>
      </c>
      <c r="Y53" s="863">
        <v>11647.9</v>
      </c>
      <c r="AB53" s="863">
        <v>15034.653532608696</v>
      </c>
      <c r="AE53">
        <v>262</v>
      </c>
      <c r="AF53">
        <v>190</v>
      </c>
      <c r="AG53" t="b">
        <v>1</v>
      </c>
      <c r="AH53">
        <v>262</v>
      </c>
      <c r="AI53">
        <v>128</v>
      </c>
      <c r="AJ53" t="s">
        <v>2129</v>
      </c>
      <c r="AK53" t="s">
        <v>2129</v>
      </c>
      <c r="AL53">
        <v>55</v>
      </c>
      <c r="AM53" t="s">
        <v>2129</v>
      </c>
      <c r="AN53">
        <v>-62</v>
      </c>
      <c r="AQ53">
        <v>-135</v>
      </c>
      <c r="AV53" t="s">
        <v>2129</v>
      </c>
      <c r="AW53" t="s">
        <v>2129</v>
      </c>
      <c r="AX53" t="s">
        <v>2129</v>
      </c>
      <c r="AY53" t="s">
        <v>2129</v>
      </c>
      <c r="AZ53">
        <v>32</v>
      </c>
      <c r="BA53" t="s">
        <v>2129</v>
      </c>
      <c r="BB53" t="s">
        <v>2129</v>
      </c>
      <c r="BC53" t="s">
        <v>2129</v>
      </c>
      <c r="BD53" t="s">
        <v>2129</v>
      </c>
      <c r="BE53">
        <v>16</v>
      </c>
      <c r="BF53" t="s">
        <v>2129</v>
      </c>
      <c r="BG53" t="s">
        <v>2129</v>
      </c>
      <c r="BH53" s="1958" t="s">
        <v>2129</v>
      </c>
      <c r="BI53"/>
      <c r="BJ53" s="863" t="s">
        <v>2129</v>
      </c>
      <c r="BK53" s="863">
        <v>47709798.399999999</v>
      </c>
      <c r="BL53" s="863" t="s">
        <v>2129</v>
      </c>
      <c r="BM53" s="863" t="s">
        <v>2129</v>
      </c>
      <c r="BN53" s="863" t="s">
        <v>2129</v>
      </c>
      <c r="BO53" s="863" t="s">
        <v>2129</v>
      </c>
      <c r="BP53" s="863" t="s">
        <v>2129</v>
      </c>
      <c r="BQ53" s="863" t="s">
        <v>2129</v>
      </c>
      <c r="BR53" s="863" t="s">
        <v>2129</v>
      </c>
      <c r="BS53" s="863" t="s">
        <v>2129</v>
      </c>
      <c r="BT53" s="863">
        <v>10250152</v>
      </c>
      <c r="BU53" s="863" t="s">
        <v>2129</v>
      </c>
      <c r="BV53" s="863" t="s">
        <v>2129</v>
      </c>
      <c r="BW53" s="863" t="s">
        <v>2129</v>
      </c>
      <c r="BX53" s="863" t="s">
        <v>2129</v>
      </c>
      <c r="BY53" s="863" t="s">
        <v>2129</v>
      </c>
      <c r="BZ53" s="863" t="s">
        <v>2129</v>
      </c>
      <c r="CA53" s="863" t="s">
        <v>2129</v>
      </c>
      <c r="CB53" s="863"/>
      <c r="CC53" s="863" t="s">
        <v>2129</v>
      </c>
      <c r="CD53" s="863" t="s">
        <v>2129</v>
      </c>
      <c r="CE53" s="863" t="s">
        <v>2129</v>
      </c>
      <c r="CF53" s="863" t="s">
        <v>2129</v>
      </c>
      <c r="CG53" s="863"/>
      <c r="CH53" s="5785"/>
    </row>
    <row r="54" spans="1:86" ht="13" hidden="1">
      <c r="A54">
        <v>76</v>
      </c>
      <c r="B54" s="196" t="s">
        <v>3282</v>
      </c>
      <c r="C54" s="5785" t="s">
        <v>3694</v>
      </c>
      <c r="D54" s="5785" t="s">
        <v>2129</v>
      </c>
      <c r="E54" s="5785" t="s">
        <v>2129</v>
      </c>
      <c r="F54" s="5785" t="s">
        <v>3694</v>
      </c>
      <c r="G54" s="5785" t="s">
        <v>2129</v>
      </c>
      <c r="H54" s="5785">
        <v>0</v>
      </c>
      <c r="I54" s="5785">
        <v>0</v>
      </c>
      <c r="J54" s="5785" t="b">
        <v>1</v>
      </c>
      <c r="K54" s="5785" t="s">
        <v>2129</v>
      </c>
      <c r="L54" s="5786">
        <v>0</v>
      </c>
      <c r="M54" s="5786">
        <v>0</v>
      </c>
      <c r="N54" s="5786">
        <v>0</v>
      </c>
      <c r="O54" s="5786">
        <v>0</v>
      </c>
      <c r="P54" s="5786">
        <v>0</v>
      </c>
      <c r="Q54" s="2476">
        <v>0</v>
      </c>
      <c r="R54" s="2477">
        <v>0</v>
      </c>
      <c r="S54" s="2477" t="b">
        <v>1</v>
      </c>
      <c r="T54" s="5786" t="s">
        <v>2129</v>
      </c>
      <c r="U54" s="5786">
        <v>0</v>
      </c>
      <c r="V54" s="863">
        <v>4351380</v>
      </c>
      <c r="W54" s="863">
        <v>4351380</v>
      </c>
      <c r="X54" s="863" t="b">
        <v>0</v>
      </c>
      <c r="Y54" s="863">
        <v>27893.461538461539</v>
      </c>
      <c r="AB54" s="863">
        <v>49786.956521739135</v>
      </c>
      <c r="AE54">
        <v>156</v>
      </c>
      <c r="AF54">
        <v>156</v>
      </c>
      <c r="AG54" t="b">
        <v>0</v>
      </c>
      <c r="AH54">
        <v>186</v>
      </c>
      <c r="AI54">
        <v>76</v>
      </c>
      <c r="AJ54" t="s">
        <v>2129</v>
      </c>
      <c r="AK54" t="s">
        <v>2129</v>
      </c>
      <c r="AL54">
        <v>35</v>
      </c>
      <c r="AM54" t="s">
        <v>2129</v>
      </c>
      <c r="AN54">
        <v>-80</v>
      </c>
      <c r="AQ54">
        <v>-121</v>
      </c>
      <c r="AV54" t="s">
        <v>2129</v>
      </c>
      <c r="AW54" t="s">
        <v>2129</v>
      </c>
      <c r="AX54" t="s">
        <v>2129</v>
      </c>
      <c r="AY54" t="s">
        <v>2129</v>
      </c>
      <c r="AZ54">
        <v>32</v>
      </c>
      <c r="BA54" t="s">
        <v>2129</v>
      </c>
      <c r="BB54" t="s">
        <v>2129</v>
      </c>
      <c r="BC54" t="s">
        <v>2129</v>
      </c>
      <c r="BD54" t="s">
        <v>2129</v>
      </c>
      <c r="BE54">
        <v>16</v>
      </c>
      <c r="BF54" t="s">
        <v>2129</v>
      </c>
      <c r="BG54" t="s">
        <v>2129</v>
      </c>
      <c r="BH54" s="1958" t="s">
        <v>2129</v>
      </c>
      <c r="BI54"/>
      <c r="BJ54" s="863" t="s">
        <v>2129</v>
      </c>
      <c r="BK54" s="863">
        <v>67836898.461538464</v>
      </c>
      <c r="BL54" s="863" t="s">
        <v>2129</v>
      </c>
      <c r="BM54" s="863" t="s">
        <v>2129</v>
      </c>
      <c r="BN54" s="863" t="s">
        <v>2129</v>
      </c>
      <c r="BO54" s="863" t="s">
        <v>2129</v>
      </c>
      <c r="BP54" s="863" t="s">
        <v>2129</v>
      </c>
      <c r="BQ54" s="863" t="s">
        <v>2129</v>
      </c>
      <c r="BR54" s="863" t="s">
        <v>2129</v>
      </c>
      <c r="BS54" s="863" t="s">
        <v>2129</v>
      </c>
      <c r="BT54" s="863">
        <v>15620338.461538462</v>
      </c>
      <c r="BU54" s="863" t="s">
        <v>2129</v>
      </c>
      <c r="BV54" s="863" t="s">
        <v>2129</v>
      </c>
      <c r="BW54" s="863" t="s">
        <v>2129</v>
      </c>
      <c r="BX54" s="863" t="s">
        <v>2129</v>
      </c>
      <c r="BY54" s="863" t="s">
        <v>2129</v>
      </c>
      <c r="BZ54" s="863" t="s">
        <v>2129</v>
      </c>
      <c r="CA54" s="863" t="s">
        <v>2129</v>
      </c>
      <c r="CB54" s="863"/>
      <c r="CC54" s="863" t="s">
        <v>2129</v>
      </c>
      <c r="CD54" s="863" t="s">
        <v>2129</v>
      </c>
      <c r="CE54" s="863" t="s">
        <v>2129</v>
      </c>
      <c r="CF54" s="863" t="s">
        <v>2129</v>
      </c>
      <c r="CG54" s="863"/>
      <c r="CH54" s="5785"/>
    </row>
    <row r="55" spans="1:86" ht="13" hidden="1">
      <c r="A55">
        <v>77</v>
      </c>
      <c r="B55" s="196" t="s">
        <v>3283</v>
      </c>
      <c r="C55" s="5785" t="s">
        <v>2129</v>
      </c>
      <c r="D55" s="5785" t="s">
        <v>2129</v>
      </c>
      <c r="E55" s="5785" t="s">
        <v>2129</v>
      </c>
      <c r="F55" s="5785" t="s">
        <v>3694</v>
      </c>
      <c r="G55" s="5785" t="s">
        <v>2129</v>
      </c>
      <c r="H55" s="5785">
        <v>0</v>
      </c>
      <c r="I55" s="5785">
        <v>0</v>
      </c>
      <c r="J55" s="5785" t="b">
        <v>1</v>
      </c>
      <c r="K55" s="5785" t="s">
        <v>2129</v>
      </c>
      <c r="L55" s="5786">
        <v>0</v>
      </c>
      <c r="M55" s="5786">
        <v>0</v>
      </c>
      <c r="N55" s="5786">
        <v>0</v>
      </c>
      <c r="O55" s="5786">
        <v>0</v>
      </c>
      <c r="P55" s="5786">
        <v>0</v>
      </c>
      <c r="Q55" s="2476">
        <v>0</v>
      </c>
      <c r="R55" s="2477">
        <v>0</v>
      </c>
      <c r="S55" s="2477" t="b">
        <v>1</v>
      </c>
      <c r="T55" s="5786" t="s">
        <v>2129</v>
      </c>
      <c r="U55" s="5786">
        <v>0</v>
      </c>
      <c r="V55" s="863">
        <v>7830714</v>
      </c>
      <c r="W55" s="863">
        <v>7830714</v>
      </c>
      <c r="X55" s="863" t="b">
        <v>1</v>
      </c>
      <c r="Y55" s="863">
        <v>37289.114285714284</v>
      </c>
      <c r="AB55" s="863" t="s">
        <v>2129</v>
      </c>
      <c r="AE55">
        <v>250</v>
      </c>
      <c r="AF55">
        <v>210</v>
      </c>
      <c r="AG55" t="b">
        <v>1</v>
      </c>
      <c r="AH55">
        <v>251</v>
      </c>
      <c r="AI55" t="s">
        <v>2129</v>
      </c>
      <c r="AJ55" t="s">
        <v>2129</v>
      </c>
      <c r="AK55" t="s">
        <v>2129</v>
      </c>
      <c r="AL55">
        <v>69</v>
      </c>
      <c r="AM55" t="s">
        <v>2129</v>
      </c>
      <c r="AN55" t="s">
        <v>2129</v>
      </c>
      <c r="AQ55">
        <v>-141</v>
      </c>
      <c r="AV55" t="s">
        <v>2129</v>
      </c>
      <c r="AW55" t="s">
        <v>2129</v>
      </c>
      <c r="AX55" t="s">
        <v>2129</v>
      </c>
      <c r="AY55" t="s">
        <v>2129</v>
      </c>
      <c r="AZ55" t="s">
        <v>2129</v>
      </c>
      <c r="BA55" t="s">
        <v>2129</v>
      </c>
      <c r="BB55" t="s">
        <v>2129</v>
      </c>
      <c r="BC55" t="s">
        <v>2129</v>
      </c>
      <c r="BD55" t="s">
        <v>2129</v>
      </c>
      <c r="BE55">
        <v>16</v>
      </c>
      <c r="BF55" t="s">
        <v>2129</v>
      </c>
      <c r="BG55" t="s">
        <v>2129</v>
      </c>
      <c r="BH55" s="1958" t="s">
        <v>2129</v>
      </c>
      <c r="BI55"/>
      <c r="BJ55" s="863" t="s">
        <v>2129</v>
      </c>
      <c r="BK55" s="863" t="s">
        <v>2129</v>
      </c>
      <c r="BL55" s="863" t="s">
        <v>2129</v>
      </c>
      <c r="BM55" s="863" t="s">
        <v>2129</v>
      </c>
      <c r="BN55" s="863" t="s">
        <v>2129</v>
      </c>
      <c r="BO55" s="863" t="s">
        <v>2129</v>
      </c>
      <c r="BP55" s="863" t="s">
        <v>2129</v>
      </c>
      <c r="BQ55" s="863" t="s">
        <v>2129</v>
      </c>
      <c r="BR55" s="863" t="s">
        <v>2129</v>
      </c>
      <c r="BS55" s="863" t="s">
        <v>2129</v>
      </c>
      <c r="BT55" s="863">
        <v>41167182.171428569</v>
      </c>
      <c r="BU55" s="863" t="s">
        <v>2129</v>
      </c>
      <c r="BV55" s="863" t="s">
        <v>2129</v>
      </c>
      <c r="BW55" s="863" t="s">
        <v>2129</v>
      </c>
      <c r="BX55" s="863" t="s">
        <v>2129</v>
      </c>
      <c r="BY55" s="863" t="s">
        <v>2129</v>
      </c>
      <c r="BZ55" s="863" t="s">
        <v>2129</v>
      </c>
      <c r="CA55" s="863" t="s">
        <v>2129</v>
      </c>
      <c r="CB55" s="863"/>
      <c r="CC55" s="863" t="s">
        <v>2129</v>
      </c>
      <c r="CD55" s="863" t="s">
        <v>2129</v>
      </c>
      <c r="CE55" s="863" t="s">
        <v>2129</v>
      </c>
      <c r="CF55" s="863" t="s">
        <v>2129</v>
      </c>
      <c r="CG55" s="863"/>
      <c r="CH55" s="5785"/>
    </row>
    <row r="56" spans="1:86" s="5782" customFormat="1" ht="13" hidden="1">
      <c r="A56" s="5782">
        <v>78</v>
      </c>
      <c r="B56" s="5783" t="s">
        <v>3284</v>
      </c>
      <c r="C56" s="5784" t="s">
        <v>2129</v>
      </c>
      <c r="D56" s="5784" t="s">
        <v>2129</v>
      </c>
      <c r="E56" s="5784" t="s">
        <v>2129</v>
      </c>
      <c r="F56" s="5784" t="s">
        <v>2129</v>
      </c>
      <c r="G56" s="5784" t="s">
        <v>2129</v>
      </c>
      <c r="H56" s="5784">
        <v>0</v>
      </c>
      <c r="I56" s="5784">
        <v>0</v>
      </c>
      <c r="J56" s="5785" t="b">
        <v>1</v>
      </c>
      <c r="K56" s="5785" t="s">
        <v>2129</v>
      </c>
      <c r="L56" s="5786">
        <v>0</v>
      </c>
      <c r="M56" s="5786">
        <v>0</v>
      </c>
      <c r="N56" s="5786">
        <v>0</v>
      </c>
      <c r="O56" s="5786">
        <v>0</v>
      </c>
      <c r="P56" s="5786">
        <v>0</v>
      </c>
      <c r="Q56" s="2476">
        <v>0</v>
      </c>
      <c r="R56" s="5787">
        <v>0</v>
      </c>
      <c r="S56" s="2477" t="b">
        <v>1</v>
      </c>
      <c r="T56" s="5787" t="s">
        <v>2129</v>
      </c>
      <c r="U56" s="5787">
        <v>0</v>
      </c>
      <c r="V56" s="863">
        <v>1647085</v>
      </c>
      <c r="W56" s="5788">
        <v>1647085</v>
      </c>
      <c r="X56" s="863" t="b">
        <v>1</v>
      </c>
      <c r="Y56" s="5788">
        <v>32941.699999999997</v>
      </c>
      <c r="Z56" s="5788"/>
      <c r="AA56" s="5788"/>
      <c r="AB56" s="5788" t="s">
        <v>2129</v>
      </c>
      <c r="AC56" s="863"/>
      <c r="AD56" s="863"/>
      <c r="AE56" s="5782">
        <v>128</v>
      </c>
      <c r="AF56" s="5782">
        <v>50</v>
      </c>
      <c r="AG56" t="b">
        <v>1</v>
      </c>
      <c r="AH56" s="5782">
        <v>136</v>
      </c>
      <c r="AI56" s="5782" t="s">
        <v>2129</v>
      </c>
      <c r="AJ56" s="5782" t="s">
        <v>2129</v>
      </c>
      <c r="AK56" s="5782" t="s">
        <v>2129</v>
      </c>
      <c r="AL56" t="s">
        <v>2129</v>
      </c>
      <c r="AM56" t="s">
        <v>2129</v>
      </c>
      <c r="AN56" t="s">
        <v>2129</v>
      </c>
      <c r="AO56"/>
      <c r="AP56"/>
      <c r="AQ56" t="s">
        <v>2129</v>
      </c>
      <c r="AR56"/>
      <c r="AS56"/>
      <c r="AT56"/>
      <c r="AU56"/>
      <c r="AV56" s="5782" t="s">
        <v>2129</v>
      </c>
      <c r="AW56" t="s">
        <v>2129</v>
      </c>
      <c r="AX56" s="5782" t="s">
        <v>2129</v>
      </c>
      <c r="AY56" s="5782" t="s">
        <v>2129</v>
      </c>
      <c r="AZ56" s="5782" t="s">
        <v>2129</v>
      </c>
      <c r="BA56" s="5782" t="s">
        <v>2129</v>
      </c>
      <c r="BB56" s="5782" t="s">
        <v>2129</v>
      </c>
      <c r="BC56" t="s">
        <v>2129</v>
      </c>
      <c r="BD56" t="s">
        <v>2129</v>
      </c>
      <c r="BE56" t="s">
        <v>2129</v>
      </c>
      <c r="BF56" t="s">
        <v>2129</v>
      </c>
      <c r="BG56" t="s">
        <v>2129</v>
      </c>
      <c r="BH56" s="5788" t="s">
        <v>2129</v>
      </c>
      <c r="BI56"/>
      <c r="BJ56" s="5788" t="s">
        <v>2129</v>
      </c>
      <c r="BK56" s="5788" t="s">
        <v>2129</v>
      </c>
      <c r="BL56" s="5788" t="s">
        <v>2129</v>
      </c>
      <c r="BM56" s="5788" t="s">
        <v>2129</v>
      </c>
      <c r="BN56" s="5788" t="s">
        <v>2129</v>
      </c>
      <c r="BO56" s="5788" t="s">
        <v>2129</v>
      </c>
      <c r="BP56" s="863" t="s">
        <v>2129</v>
      </c>
      <c r="BQ56" s="863" t="s">
        <v>2129</v>
      </c>
      <c r="BR56" s="863" t="s">
        <v>2129</v>
      </c>
      <c r="BS56" s="863" t="s">
        <v>2129</v>
      </c>
      <c r="BT56" s="863" t="s">
        <v>2129</v>
      </c>
      <c r="BU56" s="863" t="s">
        <v>2129</v>
      </c>
      <c r="BV56" s="863" t="s">
        <v>2129</v>
      </c>
      <c r="BW56" s="863" t="s">
        <v>2129</v>
      </c>
      <c r="BX56" s="5788" t="s">
        <v>2129</v>
      </c>
      <c r="BY56" s="863" t="s">
        <v>2129</v>
      </c>
      <c r="BZ56" s="5788" t="s">
        <v>2129</v>
      </c>
      <c r="CA56" s="5788" t="s">
        <v>2129</v>
      </c>
      <c r="CB56" s="863"/>
      <c r="CC56" s="1958" t="s">
        <v>2129</v>
      </c>
      <c r="CD56" s="1958" t="s">
        <v>2129</v>
      </c>
      <c r="CE56" s="863" t="s">
        <v>2129</v>
      </c>
      <c r="CF56" s="863" t="s">
        <v>2129</v>
      </c>
      <c r="CG56" s="863"/>
      <c r="CH56" s="5784"/>
    </row>
    <row r="57" spans="1:86" ht="13" hidden="1">
      <c r="A57">
        <v>79</v>
      </c>
      <c r="B57" s="5791" t="s">
        <v>3285</v>
      </c>
      <c r="C57" s="5790" t="s">
        <v>2129</v>
      </c>
      <c r="D57" s="5790" t="s">
        <v>6599</v>
      </c>
      <c r="E57" s="5790" t="s">
        <v>2129</v>
      </c>
      <c r="F57" s="5792" t="s">
        <v>5205</v>
      </c>
      <c r="G57" s="5792" t="s">
        <v>2129</v>
      </c>
      <c r="H57" s="5785">
        <v>0</v>
      </c>
      <c r="I57" s="5785">
        <v>0</v>
      </c>
      <c r="J57" s="5785" t="b">
        <v>1</v>
      </c>
      <c r="K57" s="5785">
        <v>0</v>
      </c>
      <c r="L57" s="5786">
        <v>0</v>
      </c>
      <c r="M57" s="5786">
        <v>0</v>
      </c>
      <c r="N57" s="5786">
        <v>0</v>
      </c>
      <c r="O57" s="5786">
        <v>0</v>
      </c>
      <c r="P57" s="5786">
        <v>0</v>
      </c>
      <c r="Q57" s="2476">
        <v>0</v>
      </c>
      <c r="R57" s="2477">
        <v>0</v>
      </c>
      <c r="S57" s="2477" t="b">
        <v>1</v>
      </c>
      <c r="T57" s="5786" t="s">
        <v>2129</v>
      </c>
      <c r="U57" s="5786">
        <v>0</v>
      </c>
      <c r="V57" s="863">
        <v>13848126</v>
      </c>
      <c r="W57" s="863">
        <v>13848126</v>
      </c>
      <c r="X57" s="863" t="b">
        <v>1</v>
      </c>
      <c r="Y57" s="863">
        <v>72503.277486911</v>
      </c>
      <c r="AB57" s="863" t="s">
        <v>2129</v>
      </c>
      <c r="AC57" s="863">
        <v>3400</v>
      </c>
      <c r="AE57">
        <v>191</v>
      </c>
      <c r="AF57" s="3965">
        <v>191</v>
      </c>
      <c r="AG57" s="3965" t="b">
        <v>1</v>
      </c>
      <c r="AH57">
        <v>292</v>
      </c>
      <c r="AI57" t="s">
        <v>2129</v>
      </c>
      <c r="AJ57" t="s">
        <v>2129</v>
      </c>
      <c r="AK57" t="s">
        <v>2129</v>
      </c>
      <c r="AL57">
        <v>191</v>
      </c>
      <c r="AM57" t="s">
        <v>2129</v>
      </c>
      <c r="AN57" t="s">
        <v>2129</v>
      </c>
      <c r="AQ57">
        <v>0</v>
      </c>
      <c r="AV57" s="191" t="s">
        <v>2129</v>
      </c>
      <c r="AW57">
        <v>17</v>
      </c>
      <c r="AX57" t="s">
        <v>2129</v>
      </c>
      <c r="AY57" t="s">
        <v>2129</v>
      </c>
      <c r="AZ57" t="s">
        <v>2129</v>
      </c>
      <c r="BA57" t="s">
        <v>2129</v>
      </c>
      <c r="BB57" t="s">
        <v>2129</v>
      </c>
      <c r="BC57">
        <v>18</v>
      </c>
      <c r="BD57" t="s">
        <v>2129</v>
      </c>
      <c r="BE57" t="s">
        <v>2129</v>
      </c>
      <c r="BF57" t="s">
        <v>2129</v>
      </c>
      <c r="BG57" t="s">
        <v>2129</v>
      </c>
      <c r="BH57" s="1958" t="s">
        <v>2129</v>
      </c>
      <c r="BI57" s="1958">
        <v>235418142</v>
      </c>
      <c r="BJ57" s="1958" t="s">
        <v>2129</v>
      </c>
      <c r="BK57" s="1958" t="s">
        <v>2129</v>
      </c>
      <c r="BL57" s="1958" t="s">
        <v>2129</v>
      </c>
      <c r="BM57" s="1958" t="s">
        <v>2129</v>
      </c>
      <c r="BN57" s="1958" t="s">
        <v>2129</v>
      </c>
      <c r="BO57" s="1958" t="s">
        <v>2129</v>
      </c>
      <c r="BP57" s="1958">
        <v>249266268.00000003</v>
      </c>
      <c r="BQ57" s="863">
        <v>249266268.00000003</v>
      </c>
      <c r="BR57" s="863" t="s">
        <v>2129</v>
      </c>
      <c r="BS57" s="1958" t="s">
        <v>2129</v>
      </c>
      <c r="BT57" s="1958" t="s">
        <v>2129</v>
      </c>
      <c r="BU57" s="1958" t="s">
        <v>2129</v>
      </c>
      <c r="BV57" s="1958" t="s">
        <v>2129</v>
      </c>
      <c r="BW57" s="1958" t="s">
        <v>2129</v>
      </c>
      <c r="BX57" s="1958" t="s">
        <v>2129</v>
      </c>
      <c r="BY57" s="1958" t="s">
        <v>2129</v>
      </c>
      <c r="BZ57" s="1958" t="s">
        <v>2129</v>
      </c>
      <c r="CA57" s="1958" t="s">
        <v>2129</v>
      </c>
      <c r="CC57" s="1958" t="s">
        <v>2129</v>
      </c>
      <c r="CD57" s="1958" t="s">
        <v>2129</v>
      </c>
      <c r="CE57" s="1958" t="s">
        <v>2129</v>
      </c>
      <c r="CF57" s="1958" t="s">
        <v>2129</v>
      </c>
      <c r="CH57" s="5785"/>
    </row>
    <row r="58" spans="1:86" ht="13" hidden="1">
      <c r="A58">
        <v>80</v>
      </c>
      <c r="B58" s="196" t="s">
        <v>3286</v>
      </c>
      <c r="C58" s="5785" t="s">
        <v>3694</v>
      </c>
      <c r="D58" s="5785" t="s">
        <v>2129</v>
      </c>
      <c r="E58" s="5785" t="s">
        <v>2129</v>
      </c>
      <c r="F58" s="5785" t="s">
        <v>3694</v>
      </c>
      <c r="G58" s="5785" t="s">
        <v>2129</v>
      </c>
      <c r="H58" s="5785">
        <v>0</v>
      </c>
      <c r="I58" s="5785">
        <v>0</v>
      </c>
      <c r="J58" s="5785" t="b">
        <v>1</v>
      </c>
      <c r="K58" s="5785" t="s">
        <v>2129</v>
      </c>
      <c r="L58" s="5786">
        <v>0</v>
      </c>
      <c r="M58" s="5786">
        <v>0</v>
      </c>
      <c r="N58" s="5786">
        <v>0</v>
      </c>
      <c r="O58" s="5786">
        <v>0</v>
      </c>
      <c r="P58" s="5786">
        <v>0</v>
      </c>
      <c r="Q58" s="2476">
        <v>0</v>
      </c>
      <c r="R58" s="2477">
        <v>0</v>
      </c>
      <c r="S58" s="2477" t="b">
        <v>1</v>
      </c>
      <c r="T58" s="5786" t="s">
        <v>2129</v>
      </c>
      <c r="U58" s="5786">
        <v>0</v>
      </c>
      <c r="V58" s="863">
        <v>3860282</v>
      </c>
      <c r="W58" s="863">
        <v>3860282</v>
      </c>
      <c r="X58" s="863" t="b">
        <v>1</v>
      </c>
      <c r="Y58" s="863">
        <v>27185.084507042255</v>
      </c>
      <c r="AB58" s="863">
        <v>23806.857847671912</v>
      </c>
      <c r="AE58">
        <v>288</v>
      </c>
      <c r="AF58">
        <v>142</v>
      </c>
      <c r="AG58" t="b">
        <v>1</v>
      </c>
      <c r="AH58">
        <v>288</v>
      </c>
      <c r="AI58">
        <v>141</v>
      </c>
      <c r="AJ58" t="s">
        <v>2129</v>
      </c>
      <c r="AK58" t="s">
        <v>2129</v>
      </c>
      <c r="AL58">
        <v>98</v>
      </c>
      <c r="AM58" t="s">
        <v>2129</v>
      </c>
      <c r="AN58">
        <v>-1</v>
      </c>
      <c r="AQ58">
        <v>-44</v>
      </c>
      <c r="AV58" t="s">
        <v>2129</v>
      </c>
      <c r="AW58" t="s">
        <v>2129</v>
      </c>
      <c r="AX58" t="s">
        <v>2129</v>
      </c>
      <c r="AY58" t="s">
        <v>2129</v>
      </c>
      <c r="AZ58">
        <v>32</v>
      </c>
      <c r="BA58" t="s">
        <v>2129</v>
      </c>
      <c r="BB58" t="s">
        <v>2129</v>
      </c>
      <c r="BC58" t="s">
        <v>2129</v>
      </c>
      <c r="BD58" t="s">
        <v>2129</v>
      </c>
      <c r="BE58">
        <v>16</v>
      </c>
      <c r="BF58" t="s">
        <v>2129</v>
      </c>
      <c r="BG58" t="s">
        <v>2129</v>
      </c>
      <c r="BH58" s="1958" t="s">
        <v>2129</v>
      </c>
      <c r="BI58"/>
      <c r="BJ58" s="863" t="s">
        <v>2129</v>
      </c>
      <c r="BK58" s="863">
        <v>122659101.29577465</v>
      </c>
      <c r="BL58" s="863" t="s">
        <v>2129</v>
      </c>
      <c r="BM58" s="863" t="s">
        <v>2129</v>
      </c>
      <c r="BN58" s="863" t="s">
        <v>2129</v>
      </c>
      <c r="BO58" s="863" t="s">
        <v>2129</v>
      </c>
      <c r="BP58" s="863" t="s">
        <v>2129</v>
      </c>
      <c r="BQ58" s="863" t="s">
        <v>2129</v>
      </c>
      <c r="BR58" s="863" t="s">
        <v>2129</v>
      </c>
      <c r="BS58" s="863" t="s">
        <v>2129</v>
      </c>
      <c r="BT58" s="863">
        <v>42626212.507042259</v>
      </c>
      <c r="BU58" s="863" t="s">
        <v>2129</v>
      </c>
      <c r="BV58" s="863" t="s">
        <v>2129</v>
      </c>
      <c r="BW58" s="863" t="s">
        <v>2129</v>
      </c>
      <c r="BX58" s="863" t="s">
        <v>2129</v>
      </c>
      <c r="BY58" s="1958" t="s">
        <v>2129</v>
      </c>
      <c r="BZ58" s="863" t="s">
        <v>2129</v>
      </c>
      <c r="CA58" s="863" t="s">
        <v>2129</v>
      </c>
      <c r="CB58" s="863"/>
      <c r="CC58" s="863" t="s">
        <v>2129</v>
      </c>
      <c r="CD58" s="863" t="s">
        <v>2129</v>
      </c>
      <c r="CE58" s="863" t="s">
        <v>2129</v>
      </c>
      <c r="CF58" s="863" t="s">
        <v>2129</v>
      </c>
      <c r="CG58" s="863"/>
      <c r="CH58" s="5785"/>
    </row>
    <row r="59" spans="1:86" ht="13" hidden="1">
      <c r="A59">
        <v>81</v>
      </c>
      <c r="B59" s="5791" t="s">
        <v>3287</v>
      </c>
      <c r="C59" s="5790" t="s">
        <v>2695</v>
      </c>
      <c r="D59" s="5790" t="s">
        <v>6599</v>
      </c>
      <c r="E59" s="5790" t="s">
        <v>2129</v>
      </c>
      <c r="F59" s="5785" t="s">
        <v>2129</v>
      </c>
      <c r="G59" s="5785" t="s">
        <v>2129</v>
      </c>
      <c r="H59" s="5785">
        <v>1</v>
      </c>
      <c r="I59" s="5785">
        <v>1</v>
      </c>
      <c r="J59" s="5785" t="b">
        <v>1</v>
      </c>
      <c r="K59" s="5785" t="s">
        <v>2129</v>
      </c>
      <c r="L59" s="5786">
        <v>352942</v>
      </c>
      <c r="M59" s="5786">
        <v>0</v>
      </c>
      <c r="N59" s="5786">
        <v>0</v>
      </c>
      <c r="O59" s="5786">
        <v>0</v>
      </c>
      <c r="P59" s="5786">
        <v>0</v>
      </c>
      <c r="Q59" s="2476">
        <v>388236.2</v>
      </c>
      <c r="R59" s="2477">
        <v>388236</v>
      </c>
      <c r="S59" s="2477" t="b">
        <v>1</v>
      </c>
      <c r="T59" s="5786">
        <v>388236</v>
      </c>
      <c r="U59" s="5786">
        <v>0</v>
      </c>
      <c r="V59" s="863">
        <v>11026158</v>
      </c>
      <c r="W59" s="863">
        <v>11026158</v>
      </c>
      <c r="X59" s="863" t="b">
        <v>1</v>
      </c>
      <c r="Y59" s="863">
        <v>38824.5</v>
      </c>
      <c r="AB59" s="863">
        <v>33760.434782608696</v>
      </c>
      <c r="AC59" s="863">
        <v>2200</v>
      </c>
      <c r="AE59">
        <v>284</v>
      </c>
      <c r="AF59" s="3965">
        <v>284</v>
      </c>
      <c r="AG59" s="3965" t="b">
        <v>1</v>
      </c>
      <c r="AH59">
        <v>476</v>
      </c>
      <c r="AI59">
        <v>284</v>
      </c>
      <c r="AJ59" t="s">
        <v>2129</v>
      </c>
      <c r="AK59" t="s">
        <v>2129</v>
      </c>
      <c r="AL59" t="s">
        <v>2129</v>
      </c>
      <c r="AM59" t="s">
        <v>2129</v>
      </c>
      <c r="AN59">
        <v>0</v>
      </c>
      <c r="AQ59" t="s">
        <v>2129</v>
      </c>
      <c r="AV59" s="191" t="s">
        <v>2129</v>
      </c>
      <c r="AW59">
        <v>24</v>
      </c>
      <c r="AX59">
        <v>18</v>
      </c>
      <c r="AY59" t="s">
        <v>2129</v>
      </c>
      <c r="AZ59" t="s">
        <v>2129</v>
      </c>
      <c r="BA59" t="s">
        <v>2129</v>
      </c>
      <c r="BB59" t="s">
        <v>2129</v>
      </c>
      <c r="BC59" t="s">
        <v>2129</v>
      </c>
      <c r="BD59" t="s">
        <v>2129</v>
      </c>
      <c r="BE59" t="s">
        <v>2129</v>
      </c>
      <c r="BF59" t="s">
        <v>2129</v>
      </c>
      <c r="BG59" t="s">
        <v>2129</v>
      </c>
      <c r="BH59" s="1958" t="s">
        <v>2129</v>
      </c>
      <c r="BI59" s="1958">
        <v>264627792</v>
      </c>
      <c r="BJ59" s="1958" t="s">
        <v>2129</v>
      </c>
      <c r="BK59" s="1958" t="s">
        <v>2129</v>
      </c>
      <c r="BL59" s="1958">
        <v>198470844</v>
      </c>
      <c r="BM59" s="1958" t="s">
        <v>2129</v>
      </c>
      <c r="BN59" s="1958" t="s">
        <v>2129</v>
      </c>
      <c r="BO59" s="1958" t="s">
        <v>2129</v>
      </c>
      <c r="BP59" s="1958" t="s">
        <v>2129</v>
      </c>
      <c r="BQ59" s="863" t="s">
        <v>2129</v>
      </c>
      <c r="BR59" s="863" t="s">
        <v>2129</v>
      </c>
      <c r="BS59" s="1958" t="s">
        <v>2129</v>
      </c>
      <c r="BT59" s="1958" t="s">
        <v>2129</v>
      </c>
      <c r="BU59" s="1958" t="s">
        <v>2129</v>
      </c>
      <c r="BV59" s="1958" t="s">
        <v>2129</v>
      </c>
      <c r="BW59" s="1958" t="s">
        <v>2129</v>
      </c>
      <c r="BX59" s="1958" t="s">
        <v>2129</v>
      </c>
      <c r="BY59" s="1958">
        <v>9317664</v>
      </c>
      <c r="BZ59" s="1958" t="s">
        <v>2129</v>
      </c>
      <c r="CA59" s="1958" t="s">
        <v>2129</v>
      </c>
      <c r="CC59" s="1958" t="s">
        <v>2129</v>
      </c>
      <c r="CD59" s="1958" t="s">
        <v>2129</v>
      </c>
      <c r="CE59" s="1958" t="s">
        <v>2129</v>
      </c>
      <c r="CF59" s="1958" t="s">
        <v>2129</v>
      </c>
      <c r="CH59" s="5785"/>
    </row>
    <row r="60" spans="1:86" ht="13" hidden="1">
      <c r="A60">
        <v>82</v>
      </c>
      <c r="B60" s="196" t="s">
        <v>3288</v>
      </c>
      <c r="C60" s="5785" t="s">
        <v>3694</v>
      </c>
      <c r="D60" s="5785" t="s">
        <v>2129</v>
      </c>
      <c r="E60" s="5785" t="s">
        <v>2129</v>
      </c>
      <c r="F60" s="5785" t="s">
        <v>3694</v>
      </c>
      <c r="G60" s="5785" t="s">
        <v>2129</v>
      </c>
      <c r="H60" s="5785">
        <v>0</v>
      </c>
      <c r="I60" s="5785">
        <v>0</v>
      </c>
      <c r="J60" s="5785" t="b">
        <v>1</v>
      </c>
      <c r="K60" s="5785" t="s">
        <v>2129</v>
      </c>
      <c r="L60" s="5786">
        <v>0</v>
      </c>
      <c r="M60" s="5786">
        <v>0</v>
      </c>
      <c r="N60" s="5786">
        <v>0</v>
      </c>
      <c r="O60" s="5786">
        <v>0</v>
      </c>
      <c r="P60" s="5786">
        <v>0</v>
      </c>
      <c r="Q60" s="2476">
        <v>0</v>
      </c>
      <c r="R60" s="2477">
        <v>0</v>
      </c>
      <c r="S60" s="2477" t="b">
        <v>1</v>
      </c>
      <c r="T60" s="5786" t="s">
        <v>2129</v>
      </c>
      <c r="U60" s="5786">
        <v>0</v>
      </c>
      <c r="V60" s="863">
        <v>2372777</v>
      </c>
      <c r="W60" s="863">
        <v>2372777</v>
      </c>
      <c r="X60" s="863" t="b">
        <v>1</v>
      </c>
      <c r="Y60" s="863">
        <v>24976.6</v>
      </c>
      <c r="AB60" s="863">
        <v>21949.833487511565</v>
      </c>
      <c r="AE60">
        <v>191</v>
      </c>
      <c r="AF60">
        <v>95</v>
      </c>
      <c r="AG60" t="b">
        <v>1</v>
      </c>
      <c r="AH60">
        <v>191</v>
      </c>
      <c r="AI60">
        <v>94</v>
      </c>
      <c r="AJ60" t="s">
        <v>2129</v>
      </c>
      <c r="AK60" t="s">
        <v>2129</v>
      </c>
      <c r="AL60">
        <v>66</v>
      </c>
      <c r="AM60" t="s">
        <v>2129</v>
      </c>
      <c r="AN60">
        <v>-1</v>
      </c>
      <c r="AQ60">
        <v>-29</v>
      </c>
      <c r="AV60" t="s">
        <v>2129</v>
      </c>
      <c r="AW60" t="s">
        <v>2129</v>
      </c>
      <c r="AX60" t="s">
        <v>2129</v>
      </c>
      <c r="AY60" t="s">
        <v>2129</v>
      </c>
      <c r="AZ60">
        <v>32</v>
      </c>
      <c r="BA60" t="s">
        <v>2129</v>
      </c>
      <c r="BB60" t="s">
        <v>2129</v>
      </c>
      <c r="BC60" t="s">
        <v>2129</v>
      </c>
      <c r="BD60" t="s">
        <v>2129</v>
      </c>
      <c r="BE60">
        <v>16</v>
      </c>
      <c r="BF60" t="s">
        <v>2129</v>
      </c>
      <c r="BG60" t="s">
        <v>2129</v>
      </c>
      <c r="BH60" s="1958" t="s">
        <v>2129</v>
      </c>
      <c r="BI60"/>
      <c r="BJ60" s="863" t="s">
        <v>2129</v>
      </c>
      <c r="BK60" s="863">
        <v>75129612.799999997</v>
      </c>
      <c r="BL60" s="863" t="s">
        <v>2129</v>
      </c>
      <c r="BM60" s="863" t="s">
        <v>2129</v>
      </c>
      <c r="BN60" s="863" t="s">
        <v>2129</v>
      </c>
      <c r="BO60" s="863" t="s">
        <v>2129</v>
      </c>
      <c r="BP60" s="863" t="s">
        <v>2129</v>
      </c>
      <c r="BQ60" s="863" t="s">
        <v>2129</v>
      </c>
      <c r="BR60" s="863" t="s">
        <v>2129</v>
      </c>
      <c r="BS60" s="863" t="s">
        <v>2129</v>
      </c>
      <c r="BT60" s="863">
        <v>26375289.599999998</v>
      </c>
      <c r="BU60" s="863" t="s">
        <v>2129</v>
      </c>
      <c r="BV60" s="863" t="s">
        <v>2129</v>
      </c>
      <c r="BW60" s="863" t="s">
        <v>2129</v>
      </c>
      <c r="BX60" s="863" t="s">
        <v>2129</v>
      </c>
      <c r="BY60" s="863" t="s">
        <v>2129</v>
      </c>
      <c r="BZ60" s="863" t="s">
        <v>2129</v>
      </c>
      <c r="CA60" s="863" t="s">
        <v>2129</v>
      </c>
      <c r="CB60" s="863"/>
      <c r="CC60" s="863" t="s">
        <v>2129</v>
      </c>
      <c r="CD60" s="863" t="s">
        <v>2129</v>
      </c>
      <c r="CE60" s="863" t="s">
        <v>2129</v>
      </c>
      <c r="CF60" s="863" t="s">
        <v>2129</v>
      </c>
      <c r="CG60" s="863"/>
      <c r="CH60" s="5785"/>
    </row>
    <row r="61" spans="1:86" ht="13" hidden="1">
      <c r="A61">
        <v>83</v>
      </c>
      <c r="B61" s="196" t="s">
        <v>3289</v>
      </c>
      <c r="C61" s="5785" t="s">
        <v>2129</v>
      </c>
      <c r="D61" s="5785" t="s">
        <v>2129</v>
      </c>
      <c r="E61" s="5785" t="s">
        <v>2129</v>
      </c>
      <c r="F61" s="5785" t="s">
        <v>3694</v>
      </c>
      <c r="G61" s="5785" t="s">
        <v>2129</v>
      </c>
      <c r="H61" s="5785">
        <v>0</v>
      </c>
      <c r="I61" s="5785">
        <v>0</v>
      </c>
      <c r="J61" s="5785" t="b">
        <v>1</v>
      </c>
      <c r="K61" s="5785" t="s">
        <v>2129</v>
      </c>
      <c r="L61" s="5786">
        <v>0</v>
      </c>
      <c r="M61" s="5786">
        <v>0</v>
      </c>
      <c r="N61" s="5786">
        <v>0</v>
      </c>
      <c r="O61" s="5786">
        <v>0</v>
      </c>
      <c r="P61" s="5786">
        <v>0</v>
      </c>
      <c r="Q61" s="2476">
        <v>0</v>
      </c>
      <c r="R61" s="2477">
        <v>0</v>
      </c>
      <c r="S61" s="2477" t="b">
        <v>1</v>
      </c>
      <c r="T61" s="5786" t="s">
        <v>2129</v>
      </c>
      <c r="U61" s="5786">
        <v>0</v>
      </c>
      <c r="V61" s="863">
        <v>1980143</v>
      </c>
      <c r="W61" s="863">
        <v>1980143</v>
      </c>
      <c r="X61" s="863" t="b">
        <v>1</v>
      </c>
      <c r="Y61" s="863">
        <v>11647.9</v>
      </c>
      <c r="AB61" s="863" t="s">
        <v>2129</v>
      </c>
      <c r="AE61">
        <v>237</v>
      </c>
      <c r="AF61">
        <v>170</v>
      </c>
      <c r="AG61" t="b">
        <v>1</v>
      </c>
      <c r="AH61">
        <v>237</v>
      </c>
      <c r="AI61" t="s">
        <v>2129</v>
      </c>
      <c r="AJ61" t="s">
        <v>2129</v>
      </c>
      <c r="AK61" t="s">
        <v>2129</v>
      </c>
      <c r="AL61">
        <v>48</v>
      </c>
      <c r="AM61" t="s">
        <v>2129</v>
      </c>
      <c r="AN61" t="s">
        <v>2129</v>
      </c>
      <c r="AQ61">
        <v>-122</v>
      </c>
      <c r="AV61" t="s">
        <v>2129</v>
      </c>
      <c r="AW61" t="s">
        <v>2129</v>
      </c>
      <c r="AX61" t="s">
        <v>2129</v>
      </c>
      <c r="AY61" t="s">
        <v>2129</v>
      </c>
      <c r="AZ61" t="s">
        <v>2129</v>
      </c>
      <c r="BA61" t="s">
        <v>2129</v>
      </c>
      <c r="BB61" t="s">
        <v>2129</v>
      </c>
      <c r="BC61" t="s">
        <v>2129</v>
      </c>
      <c r="BD61" t="s">
        <v>2129</v>
      </c>
      <c r="BE61">
        <v>16</v>
      </c>
      <c r="BF61" t="s">
        <v>2129</v>
      </c>
      <c r="BG61" t="s">
        <v>2129</v>
      </c>
      <c r="BH61" s="1958" t="s">
        <v>2129</v>
      </c>
      <c r="BI61"/>
      <c r="BJ61" s="863" t="s">
        <v>2129</v>
      </c>
      <c r="BK61" s="863" t="s">
        <v>2129</v>
      </c>
      <c r="BL61" s="863" t="s">
        <v>2129</v>
      </c>
      <c r="BM61" s="863" t="s">
        <v>2129</v>
      </c>
      <c r="BN61" s="863" t="s">
        <v>2129</v>
      </c>
      <c r="BO61" s="863" t="s">
        <v>2129</v>
      </c>
      <c r="BP61" s="863" t="s">
        <v>2129</v>
      </c>
      <c r="BQ61" s="863" t="s">
        <v>2129</v>
      </c>
      <c r="BR61" s="863" t="s">
        <v>2129</v>
      </c>
      <c r="BS61" s="863" t="s">
        <v>2129</v>
      </c>
      <c r="BT61" s="863">
        <v>8945587.1999999993</v>
      </c>
      <c r="BU61" s="863" t="s">
        <v>2129</v>
      </c>
      <c r="BV61" s="863" t="s">
        <v>2129</v>
      </c>
      <c r="BW61" s="863" t="s">
        <v>2129</v>
      </c>
      <c r="BX61" s="863" t="s">
        <v>2129</v>
      </c>
      <c r="BY61" s="863" t="s">
        <v>2129</v>
      </c>
      <c r="BZ61" s="863" t="s">
        <v>2129</v>
      </c>
      <c r="CA61" s="863" t="s">
        <v>2129</v>
      </c>
      <c r="CB61" s="863"/>
      <c r="CC61" s="863" t="s">
        <v>2129</v>
      </c>
      <c r="CD61" s="863" t="s">
        <v>2129</v>
      </c>
      <c r="CE61" s="863" t="s">
        <v>2129</v>
      </c>
      <c r="CF61" s="863" t="s">
        <v>2129</v>
      </c>
      <c r="CG61" s="863"/>
      <c r="CH61" s="5785"/>
    </row>
    <row r="62" spans="1:86" ht="13" hidden="1">
      <c r="A62">
        <v>84</v>
      </c>
      <c r="B62" s="196" t="s">
        <v>3290</v>
      </c>
      <c r="C62" s="5785" t="s">
        <v>2129</v>
      </c>
      <c r="D62" s="5785" t="s">
        <v>2129</v>
      </c>
      <c r="E62" s="5785" t="s">
        <v>2129</v>
      </c>
      <c r="F62" s="5785" t="s">
        <v>3694</v>
      </c>
      <c r="G62" s="5785" t="s">
        <v>2129</v>
      </c>
      <c r="H62" s="5785">
        <v>0</v>
      </c>
      <c r="I62" s="5785">
        <v>0</v>
      </c>
      <c r="J62" s="5785" t="b">
        <v>1</v>
      </c>
      <c r="K62" s="5785" t="s">
        <v>2129</v>
      </c>
      <c r="L62" s="5786">
        <v>0</v>
      </c>
      <c r="M62" s="5786">
        <v>0</v>
      </c>
      <c r="N62" s="5786">
        <v>0</v>
      </c>
      <c r="O62" s="5786">
        <v>0</v>
      </c>
      <c r="P62" s="5786">
        <v>0</v>
      </c>
      <c r="Q62" s="2476">
        <v>0</v>
      </c>
      <c r="R62" s="2477">
        <v>0</v>
      </c>
      <c r="S62" s="2477" t="b">
        <v>1</v>
      </c>
      <c r="T62" s="5786" t="s">
        <v>2129</v>
      </c>
      <c r="U62" s="5786">
        <v>0</v>
      </c>
      <c r="V62" s="863">
        <v>4840055</v>
      </c>
      <c r="W62" s="863">
        <v>4840055</v>
      </c>
      <c r="X62" s="863" t="b">
        <v>1</v>
      </c>
      <c r="Y62" s="863">
        <v>32267.033333333333</v>
      </c>
      <c r="AB62" s="863" t="s">
        <v>2129</v>
      </c>
      <c r="AE62">
        <v>178</v>
      </c>
      <c r="AF62">
        <v>150</v>
      </c>
      <c r="AG62" t="b">
        <v>1</v>
      </c>
      <c r="AH62">
        <v>230</v>
      </c>
      <c r="AI62" t="s">
        <v>2129</v>
      </c>
      <c r="AJ62" t="s">
        <v>2129</v>
      </c>
      <c r="AK62" t="s">
        <v>2129</v>
      </c>
      <c r="AL62">
        <v>34</v>
      </c>
      <c r="AM62" t="s">
        <v>2129</v>
      </c>
      <c r="AN62" t="s">
        <v>2129</v>
      </c>
      <c r="AQ62">
        <v>-116</v>
      </c>
      <c r="AV62" t="s">
        <v>2129</v>
      </c>
      <c r="AW62" t="s">
        <v>2129</v>
      </c>
      <c r="AX62" t="s">
        <v>2129</v>
      </c>
      <c r="AY62" t="s">
        <v>2129</v>
      </c>
      <c r="AZ62" t="s">
        <v>2129</v>
      </c>
      <c r="BA62" t="s">
        <v>2129</v>
      </c>
      <c r="BB62" t="s">
        <v>2129</v>
      </c>
      <c r="BC62" t="s">
        <v>2129</v>
      </c>
      <c r="BD62" t="s">
        <v>2129</v>
      </c>
      <c r="BE62">
        <v>16</v>
      </c>
      <c r="BF62" t="s">
        <v>2129</v>
      </c>
      <c r="BG62" t="s">
        <v>2129</v>
      </c>
      <c r="BH62" s="1958" t="s">
        <v>2129</v>
      </c>
      <c r="BI62"/>
      <c r="BJ62" s="863" t="s">
        <v>2129</v>
      </c>
      <c r="BK62" s="863" t="s">
        <v>2129</v>
      </c>
      <c r="BL62" s="863" t="s">
        <v>2129</v>
      </c>
      <c r="BM62" s="863" t="s">
        <v>2129</v>
      </c>
      <c r="BN62" s="863" t="s">
        <v>2129</v>
      </c>
      <c r="BO62" s="863" t="s">
        <v>2129</v>
      </c>
      <c r="BP62" s="863" t="s">
        <v>2129</v>
      </c>
      <c r="BQ62" s="863" t="s">
        <v>2129</v>
      </c>
      <c r="BR62" s="863" t="s">
        <v>2129</v>
      </c>
      <c r="BS62" s="863" t="s">
        <v>2129</v>
      </c>
      <c r="BT62" s="863">
        <v>17553266.133333333</v>
      </c>
      <c r="BU62" s="863" t="s">
        <v>2129</v>
      </c>
      <c r="BV62" s="863" t="s">
        <v>2129</v>
      </c>
      <c r="BW62" s="863" t="s">
        <v>2129</v>
      </c>
      <c r="BX62" s="863" t="s">
        <v>2129</v>
      </c>
      <c r="BY62" s="863" t="s">
        <v>2129</v>
      </c>
      <c r="BZ62" s="863" t="s">
        <v>2129</v>
      </c>
      <c r="CA62" s="863" t="s">
        <v>2129</v>
      </c>
      <c r="CB62" s="863"/>
      <c r="CC62" s="863" t="s">
        <v>2129</v>
      </c>
      <c r="CD62" s="863" t="s">
        <v>2129</v>
      </c>
      <c r="CE62" s="863" t="s">
        <v>2129</v>
      </c>
      <c r="CF62" s="863" t="s">
        <v>2129</v>
      </c>
      <c r="CG62" s="863"/>
      <c r="CH62" s="5785"/>
    </row>
    <row r="63" spans="1:86" ht="13" hidden="1">
      <c r="A63">
        <v>90</v>
      </c>
      <c r="B63" s="196" t="s">
        <v>3291</v>
      </c>
      <c r="C63" s="5785" t="s">
        <v>2129</v>
      </c>
      <c r="D63" s="5785" t="s">
        <v>5293</v>
      </c>
      <c r="E63" s="5785" t="s">
        <v>2129</v>
      </c>
      <c r="F63" s="5785" t="s">
        <v>2695</v>
      </c>
      <c r="G63" s="5785" t="s">
        <v>2129</v>
      </c>
      <c r="H63" s="5785">
        <v>22</v>
      </c>
      <c r="I63" s="5785">
        <v>16</v>
      </c>
      <c r="J63" s="5785" t="b">
        <v>1</v>
      </c>
      <c r="K63" s="5785">
        <v>6</v>
      </c>
      <c r="L63" s="5786">
        <v>28712948</v>
      </c>
      <c r="M63" s="5786">
        <v>941184</v>
      </c>
      <c r="N63" s="5786">
        <v>0</v>
      </c>
      <c r="O63" s="5786">
        <v>0</v>
      </c>
      <c r="P63" s="5786">
        <v>0</v>
      </c>
      <c r="Q63" s="2476">
        <v>32619545.200000003</v>
      </c>
      <c r="R63" s="2477">
        <v>32619545</v>
      </c>
      <c r="S63" s="2477" t="b">
        <v>1</v>
      </c>
      <c r="T63" s="5786">
        <v>2038721.5625</v>
      </c>
      <c r="U63" s="5786">
        <v>0</v>
      </c>
      <c r="V63" s="1958">
        <v>11968122</v>
      </c>
      <c r="W63" s="1958">
        <v>11968122</v>
      </c>
      <c r="X63" s="863" t="b">
        <v>1</v>
      </c>
      <c r="Y63" s="863">
        <v>52035.313043478258</v>
      </c>
      <c r="AB63" s="863" t="s">
        <v>2129</v>
      </c>
      <c r="AE63">
        <v>233</v>
      </c>
      <c r="AF63">
        <v>230</v>
      </c>
      <c r="AG63" t="b">
        <v>1</v>
      </c>
      <c r="AH63">
        <v>339</v>
      </c>
      <c r="AI63" t="s">
        <v>2129</v>
      </c>
      <c r="AJ63">
        <v>170</v>
      </c>
      <c r="AK63" t="s">
        <v>2129</v>
      </c>
      <c r="AL63">
        <v>117</v>
      </c>
      <c r="AM63" t="s">
        <v>2129</v>
      </c>
      <c r="AN63" t="s">
        <v>2129</v>
      </c>
      <c r="AQ63">
        <v>-113</v>
      </c>
      <c r="AV63" t="s">
        <v>2129</v>
      </c>
      <c r="AW63" t="s">
        <v>2129</v>
      </c>
      <c r="AX63" t="s">
        <v>2129</v>
      </c>
      <c r="AY63">
        <v>20</v>
      </c>
      <c r="AZ63" t="s">
        <v>2129</v>
      </c>
      <c r="BA63" t="s">
        <v>2129</v>
      </c>
      <c r="BB63" t="s">
        <v>2129</v>
      </c>
      <c r="BC63" t="s">
        <v>2129</v>
      </c>
      <c r="BD63">
        <v>9</v>
      </c>
      <c r="BE63" t="s">
        <v>2129</v>
      </c>
      <c r="BF63" t="s">
        <v>2129</v>
      </c>
      <c r="BG63" t="s">
        <v>2129</v>
      </c>
      <c r="BH63" s="1958" t="s">
        <v>2129</v>
      </c>
      <c r="BI63"/>
      <c r="BJ63" s="863">
        <v>176920064.34782609</v>
      </c>
      <c r="BK63" s="863" t="s">
        <v>2129</v>
      </c>
      <c r="BL63" s="863" t="s">
        <v>2129</v>
      </c>
      <c r="BM63" s="863" t="s">
        <v>2129</v>
      </c>
      <c r="BN63" s="863" t="s">
        <v>2129</v>
      </c>
      <c r="BO63" s="863" t="s">
        <v>2129</v>
      </c>
      <c r="BP63" s="863" t="s">
        <v>2129</v>
      </c>
      <c r="BQ63" s="863" t="s">
        <v>2129</v>
      </c>
      <c r="BR63" s="863" t="s">
        <v>2129</v>
      </c>
      <c r="BS63" s="863" t="s">
        <v>2129</v>
      </c>
      <c r="BT63" s="863" t="s">
        <v>2129</v>
      </c>
      <c r="BU63" s="863">
        <v>54793184.634782605</v>
      </c>
      <c r="BV63" s="863" t="s">
        <v>2129</v>
      </c>
      <c r="BW63" s="863" t="s">
        <v>2129</v>
      </c>
      <c r="BX63" s="863" t="s">
        <v>2129</v>
      </c>
      <c r="BY63" s="863" t="s">
        <v>2129</v>
      </c>
      <c r="BZ63" s="863">
        <v>652390900</v>
      </c>
      <c r="CA63" s="863" t="s">
        <v>2129</v>
      </c>
      <c r="CB63" s="863"/>
      <c r="CC63" s="863" t="s">
        <v>2129</v>
      </c>
      <c r="CD63" s="863" t="s">
        <v>2129</v>
      </c>
      <c r="CE63" s="863" t="s">
        <v>2129</v>
      </c>
      <c r="CF63" s="863" t="s">
        <v>2129</v>
      </c>
      <c r="CG63" s="863"/>
      <c r="CH63" s="5785"/>
    </row>
    <row r="64" spans="1:86" ht="13" hidden="1">
      <c r="A64">
        <v>92</v>
      </c>
      <c r="B64" s="196" t="s">
        <v>3292</v>
      </c>
      <c r="C64" s="5785" t="s">
        <v>2129</v>
      </c>
      <c r="D64" s="5785" t="s">
        <v>2129</v>
      </c>
      <c r="E64" s="5785" t="s">
        <v>2129</v>
      </c>
      <c r="F64" s="5785" t="s">
        <v>3791</v>
      </c>
      <c r="G64" s="5785" t="s">
        <v>2129</v>
      </c>
      <c r="H64" s="5785">
        <v>8</v>
      </c>
      <c r="I64" s="5785">
        <v>7</v>
      </c>
      <c r="J64" s="5785" t="b">
        <v>1</v>
      </c>
      <c r="K64" s="5785" t="s">
        <v>2129</v>
      </c>
      <c r="L64" s="5786">
        <v>4023531</v>
      </c>
      <c r="M64" s="5786">
        <v>0</v>
      </c>
      <c r="N64" s="5786">
        <v>0</v>
      </c>
      <c r="O64" s="5786">
        <v>0</v>
      </c>
      <c r="P64" s="5786">
        <v>0</v>
      </c>
      <c r="Q64" s="2476">
        <v>4425884.1000000006</v>
      </c>
      <c r="R64" s="2477">
        <v>4425884</v>
      </c>
      <c r="S64" s="2477" t="b">
        <v>1</v>
      </c>
      <c r="T64" s="5786">
        <v>632269.14285714284</v>
      </c>
      <c r="U64" s="5786">
        <v>0</v>
      </c>
      <c r="V64" s="1958">
        <v>1493012</v>
      </c>
      <c r="W64" s="1958">
        <v>1493012</v>
      </c>
      <c r="X64" s="863" t="b">
        <v>1</v>
      </c>
      <c r="Y64" s="863">
        <v>14085.018867924528</v>
      </c>
      <c r="AB64" s="863" t="s">
        <v>2129</v>
      </c>
      <c r="AE64">
        <v>106</v>
      </c>
      <c r="AF64" s="3965">
        <v>106</v>
      </c>
      <c r="AG64" s="3965" t="b">
        <v>1</v>
      </c>
      <c r="AH64">
        <v>146</v>
      </c>
      <c r="AI64" t="s">
        <v>2129</v>
      </c>
      <c r="AJ64" t="s">
        <v>2129</v>
      </c>
      <c r="AK64" t="s">
        <v>2129</v>
      </c>
      <c r="AL64">
        <v>104</v>
      </c>
      <c r="AM64" t="s">
        <v>2129</v>
      </c>
      <c r="AN64" t="s">
        <v>2129</v>
      </c>
      <c r="AQ64">
        <v>-2</v>
      </c>
      <c r="AV64" t="s">
        <v>2129</v>
      </c>
      <c r="AW64" t="s">
        <v>2129</v>
      </c>
      <c r="AX64" t="s">
        <v>2129</v>
      </c>
      <c r="AY64" t="s">
        <v>2129</v>
      </c>
      <c r="AZ64" t="s">
        <v>2129</v>
      </c>
      <c r="BA64" t="s">
        <v>2129</v>
      </c>
      <c r="BB64" t="s">
        <v>2129</v>
      </c>
      <c r="BC64" t="s">
        <v>2129</v>
      </c>
      <c r="BD64" t="s">
        <v>2129</v>
      </c>
      <c r="BE64" t="s">
        <v>2129</v>
      </c>
      <c r="BF64">
        <v>10</v>
      </c>
      <c r="BG64" t="s">
        <v>2129</v>
      </c>
      <c r="BH64" s="1958" t="s">
        <v>2129</v>
      </c>
      <c r="BI64"/>
      <c r="BJ64" s="863" t="s">
        <v>2129</v>
      </c>
      <c r="BK64" s="863" t="s">
        <v>2129</v>
      </c>
      <c r="BL64" s="863" t="s">
        <v>2129</v>
      </c>
      <c r="BM64" s="863" t="s">
        <v>2129</v>
      </c>
      <c r="BN64" s="863" t="s">
        <v>2129</v>
      </c>
      <c r="BO64" s="863" t="s">
        <v>2129</v>
      </c>
      <c r="BP64" s="863" t="s">
        <v>2129</v>
      </c>
      <c r="BQ64" s="863" t="s">
        <v>2129</v>
      </c>
      <c r="BR64" s="863" t="s">
        <v>2129</v>
      </c>
      <c r="BS64" s="863" t="s">
        <v>2129</v>
      </c>
      <c r="BT64" s="863" t="s">
        <v>2129</v>
      </c>
      <c r="BU64" s="863" t="s">
        <v>2129</v>
      </c>
      <c r="BV64" s="863">
        <v>14648419.622641508</v>
      </c>
      <c r="BW64" s="863" t="s">
        <v>2129</v>
      </c>
      <c r="BX64" s="863" t="s">
        <v>2129</v>
      </c>
      <c r="BY64" s="863" t="s">
        <v>2129</v>
      </c>
      <c r="BZ64" s="863" t="s">
        <v>2129</v>
      </c>
      <c r="CA64" s="863" t="s">
        <v>2129</v>
      </c>
      <c r="CB64" s="863"/>
      <c r="CC64" s="863" t="s">
        <v>2129</v>
      </c>
      <c r="CD64" s="863" t="s">
        <v>2129</v>
      </c>
      <c r="CE64" s="863" t="s">
        <v>2129</v>
      </c>
      <c r="CF64" s="863" t="s">
        <v>2129</v>
      </c>
      <c r="CG64" s="863"/>
      <c r="CH64" s="5785"/>
    </row>
    <row r="65" spans="1:86" ht="13" hidden="1">
      <c r="A65">
        <v>93</v>
      </c>
      <c r="B65" s="196" t="s">
        <v>3293</v>
      </c>
      <c r="C65" s="5790" t="s">
        <v>2129</v>
      </c>
      <c r="D65" s="5790" t="s">
        <v>6599</v>
      </c>
      <c r="E65" s="5790" t="s">
        <v>2129</v>
      </c>
      <c r="F65" s="5785" t="s">
        <v>3791</v>
      </c>
      <c r="G65" s="5785" t="s">
        <v>4095</v>
      </c>
      <c r="H65" s="5785">
        <v>19</v>
      </c>
      <c r="I65" s="5785">
        <v>5</v>
      </c>
      <c r="J65" s="5785" t="b">
        <v>1</v>
      </c>
      <c r="K65" s="5785" t="s">
        <v>2129</v>
      </c>
      <c r="L65" s="5786">
        <v>2819064</v>
      </c>
      <c r="M65" s="5786">
        <v>0</v>
      </c>
      <c r="N65" s="5786">
        <v>0</v>
      </c>
      <c r="O65" s="5786">
        <v>0</v>
      </c>
      <c r="P65" s="5786">
        <v>0</v>
      </c>
      <c r="Q65" s="2476">
        <v>3100970.4000000004</v>
      </c>
      <c r="R65" s="2477">
        <v>2289038</v>
      </c>
      <c r="S65" s="2477" t="b">
        <v>1</v>
      </c>
      <c r="T65" s="5786">
        <v>457807.6</v>
      </c>
      <c r="U65" s="5786">
        <v>-22292</v>
      </c>
      <c r="V65" s="1958">
        <v>7374020</v>
      </c>
      <c r="W65" s="1958">
        <v>7396312</v>
      </c>
      <c r="X65" s="863" t="b">
        <v>1</v>
      </c>
      <c r="Y65" s="863">
        <v>20098.67391304348</v>
      </c>
      <c r="AB65" s="863" t="s">
        <v>2129</v>
      </c>
      <c r="AC65" s="863">
        <v>1100</v>
      </c>
      <c r="AE65">
        <v>592</v>
      </c>
      <c r="AF65">
        <v>368</v>
      </c>
      <c r="AG65" t="b">
        <v>1</v>
      </c>
      <c r="AH65" s="2814">
        <v>693</v>
      </c>
      <c r="AI65" t="s">
        <v>2129</v>
      </c>
      <c r="AJ65" t="s">
        <v>2129</v>
      </c>
      <c r="AK65" t="s">
        <v>2129</v>
      </c>
      <c r="AL65">
        <v>153</v>
      </c>
      <c r="AM65">
        <v>89</v>
      </c>
      <c r="AN65" t="s">
        <v>2129</v>
      </c>
      <c r="AQ65">
        <v>-215</v>
      </c>
      <c r="AV65" t="s">
        <v>2129</v>
      </c>
      <c r="AW65">
        <v>25</v>
      </c>
      <c r="AX65" t="s">
        <v>2129</v>
      </c>
      <c r="AY65" t="s">
        <v>2129</v>
      </c>
      <c r="AZ65" t="s">
        <v>2129</v>
      </c>
      <c r="BA65" t="s">
        <v>2129</v>
      </c>
      <c r="BB65" t="s">
        <v>2129</v>
      </c>
      <c r="BC65" t="s">
        <v>2129</v>
      </c>
      <c r="BD65" t="s">
        <v>2129</v>
      </c>
      <c r="BE65" t="s">
        <v>2129</v>
      </c>
      <c r="BF65">
        <v>10</v>
      </c>
      <c r="BG65">
        <v>15</v>
      </c>
      <c r="BH65" s="1958" t="s">
        <v>2129</v>
      </c>
      <c r="BI65" s="1958">
        <v>184907800</v>
      </c>
      <c r="BJ65" s="1958" t="s">
        <v>2129</v>
      </c>
      <c r="BK65" s="1958" t="s">
        <v>2129</v>
      </c>
      <c r="BL65" s="1958" t="s">
        <v>2129</v>
      </c>
      <c r="BM65" s="1958" t="s">
        <v>2129</v>
      </c>
      <c r="BN65" s="1958" t="s">
        <v>2129</v>
      </c>
      <c r="BO65" s="1958" t="s">
        <v>2129</v>
      </c>
      <c r="BP65" s="1958" t="s">
        <v>2129</v>
      </c>
      <c r="BQ65" s="863" t="s">
        <v>2129</v>
      </c>
      <c r="BR65" s="863" t="s">
        <v>2129</v>
      </c>
      <c r="BS65" s="1958" t="s">
        <v>2129</v>
      </c>
      <c r="BT65" s="1958" t="s">
        <v>2129</v>
      </c>
      <c r="BU65" s="1958" t="s">
        <v>2129</v>
      </c>
      <c r="BV65" s="1958">
        <v>30750971.086956523</v>
      </c>
      <c r="BW65" s="1958">
        <v>26831729.673913043</v>
      </c>
      <c r="BX65" s="1958" t="s">
        <v>2129</v>
      </c>
      <c r="BY65" s="1958">
        <v>57225950</v>
      </c>
      <c r="BZ65" s="1958" t="s">
        <v>2129</v>
      </c>
      <c r="CA65" s="1958" t="s">
        <v>2129</v>
      </c>
      <c r="CC65" s="1958" t="s">
        <v>2129</v>
      </c>
      <c r="CD65" s="1958" t="s">
        <v>2129</v>
      </c>
      <c r="CE65" s="1958" t="s">
        <v>2129</v>
      </c>
      <c r="CF65" s="1958" t="s">
        <v>2129</v>
      </c>
      <c r="CH65" s="5785"/>
    </row>
    <row r="66" spans="1:86" ht="13" hidden="1">
      <c r="A66">
        <v>94</v>
      </c>
      <c r="B66" s="196" t="s">
        <v>3294</v>
      </c>
      <c r="C66" s="5785" t="s">
        <v>2129</v>
      </c>
      <c r="D66" s="5785" t="s">
        <v>5293</v>
      </c>
      <c r="E66" s="5785" t="s">
        <v>2129</v>
      </c>
      <c r="F66" s="2694" t="s">
        <v>5293</v>
      </c>
      <c r="G66" s="5785" t="s">
        <v>2129</v>
      </c>
      <c r="H66" s="5785">
        <v>16</v>
      </c>
      <c r="I66" s="5785">
        <v>16</v>
      </c>
      <c r="J66" s="5797" t="b">
        <v>1</v>
      </c>
      <c r="K66" s="5785">
        <v>0</v>
      </c>
      <c r="L66" s="5786">
        <v>25294125</v>
      </c>
      <c r="M66" s="5786">
        <v>0</v>
      </c>
      <c r="N66" s="5786">
        <v>0</v>
      </c>
      <c r="O66" s="5786">
        <v>0</v>
      </c>
      <c r="P66" s="5786">
        <v>0</v>
      </c>
      <c r="Q66" s="2476">
        <v>27823537.500000004</v>
      </c>
      <c r="R66" s="2477">
        <v>40470597</v>
      </c>
      <c r="S66" s="5798" t="b">
        <v>1</v>
      </c>
      <c r="T66" s="5786">
        <v>2529412.3125</v>
      </c>
      <c r="U66" s="5786">
        <v>0</v>
      </c>
      <c r="V66" s="1958">
        <v>71600908</v>
      </c>
      <c r="W66" s="1958">
        <v>71600908</v>
      </c>
      <c r="X66" s="2700" t="b">
        <v>1</v>
      </c>
      <c r="Y66" s="863">
        <v>163100.01822323463</v>
      </c>
      <c r="AB66" s="863" t="s">
        <v>2129</v>
      </c>
      <c r="AE66">
        <v>460</v>
      </c>
      <c r="AF66">
        <v>439</v>
      </c>
      <c r="AG66" t="b">
        <v>1</v>
      </c>
      <c r="AH66">
        <v>678</v>
      </c>
      <c r="AI66" t="s">
        <v>2129</v>
      </c>
      <c r="AJ66">
        <v>370</v>
      </c>
      <c r="AK66" t="s">
        <v>2129</v>
      </c>
      <c r="AL66">
        <v>370</v>
      </c>
      <c r="AM66" t="s">
        <v>2129</v>
      </c>
      <c r="AN66" t="s">
        <v>2129</v>
      </c>
      <c r="AQ66">
        <v>-69</v>
      </c>
      <c r="AV66" t="s">
        <v>2129</v>
      </c>
      <c r="AW66" t="s">
        <v>2129</v>
      </c>
      <c r="AX66" t="s">
        <v>2129</v>
      </c>
      <c r="AY66">
        <v>23</v>
      </c>
      <c r="AZ66" t="s">
        <v>2129</v>
      </c>
      <c r="BA66" t="s">
        <v>2129</v>
      </c>
      <c r="BB66" t="s">
        <v>2129</v>
      </c>
      <c r="BC66" t="s">
        <v>2129</v>
      </c>
      <c r="BD66">
        <v>13</v>
      </c>
      <c r="BE66" t="s">
        <v>2129</v>
      </c>
      <c r="BF66" t="s">
        <v>2129</v>
      </c>
      <c r="BG66" t="s">
        <v>2129</v>
      </c>
      <c r="BH66" s="1958" t="s">
        <v>2129</v>
      </c>
      <c r="BI66"/>
      <c r="BJ66" s="863">
        <v>1387981155.0797267</v>
      </c>
      <c r="BK66" s="863" t="s">
        <v>2129</v>
      </c>
      <c r="BL66" s="863" t="s">
        <v>2129</v>
      </c>
      <c r="BM66" s="863" t="s">
        <v>2129</v>
      </c>
      <c r="BN66" s="863" t="s">
        <v>2129</v>
      </c>
      <c r="BO66" s="863" t="s">
        <v>2129</v>
      </c>
      <c r="BP66" s="863" t="s">
        <v>2129</v>
      </c>
      <c r="BQ66" s="863" t="s">
        <v>2129</v>
      </c>
      <c r="BR66" s="863">
        <v>784511087.65375853</v>
      </c>
      <c r="BS66" s="863" t="s">
        <v>2129</v>
      </c>
      <c r="BT66" s="863" t="s">
        <v>2129</v>
      </c>
      <c r="BU66" s="863" t="s">
        <v>2129</v>
      </c>
      <c r="BV66" s="863" t="s">
        <v>2129</v>
      </c>
      <c r="BW66" s="863" t="s">
        <v>2129</v>
      </c>
      <c r="BX66" s="863" t="s">
        <v>2129</v>
      </c>
      <c r="BY66" s="863" t="s">
        <v>2129</v>
      </c>
      <c r="BZ66" s="863">
        <v>930823731</v>
      </c>
      <c r="CA66" s="863" t="s">
        <v>2129</v>
      </c>
      <c r="CB66" s="863"/>
      <c r="CC66" s="863" t="s">
        <v>2129</v>
      </c>
      <c r="CD66" s="863" t="s">
        <v>2129</v>
      </c>
      <c r="CE66" s="863">
        <v>526117761</v>
      </c>
      <c r="CF66" s="863" t="s">
        <v>2129</v>
      </c>
      <c r="CG66" s="863"/>
      <c r="CH66" s="5785" t="s">
        <v>6601</v>
      </c>
    </row>
    <row r="67" spans="1:86" ht="13" hidden="1">
      <c r="A67">
        <v>96</v>
      </c>
      <c r="B67" s="196" t="s">
        <v>3295</v>
      </c>
      <c r="C67" s="5785" t="s">
        <v>2129</v>
      </c>
      <c r="D67" s="5785" t="s">
        <v>2129</v>
      </c>
      <c r="E67" s="5785" t="s">
        <v>2129</v>
      </c>
      <c r="F67" s="5785" t="s">
        <v>3791</v>
      </c>
      <c r="G67" s="5785" t="s">
        <v>2129</v>
      </c>
      <c r="H67" s="5785">
        <v>17</v>
      </c>
      <c r="I67" s="5785">
        <v>8</v>
      </c>
      <c r="J67" s="5785" t="b">
        <v>0</v>
      </c>
      <c r="K67" s="5785" t="s">
        <v>2129</v>
      </c>
      <c r="L67" s="5786">
        <v>2023063</v>
      </c>
      <c r="M67" s="5786">
        <v>0</v>
      </c>
      <c r="N67" s="5786">
        <v>0</v>
      </c>
      <c r="O67" s="5786">
        <v>0</v>
      </c>
      <c r="P67" s="5786">
        <v>0</v>
      </c>
      <c r="Q67" s="2476">
        <v>2225369.3000000003</v>
      </c>
      <c r="R67" s="2477">
        <v>2225369</v>
      </c>
      <c r="S67" s="2477" t="b">
        <v>0</v>
      </c>
      <c r="T67" s="5786">
        <v>278171.125</v>
      </c>
      <c r="U67" s="5786">
        <v>0</v>
      </c>
      <c r="V67" s="1958">
        <v>977498</v>
      </c>
      <c r="W67" s="1958">
        <v>977498</v>
      </c>
      <c r="X67" s="863" t="b">
        <v>0</v>
      </c>
      <c r="Y67" s="863">
        <v>13576.361111111111</v>
      </c>
      <c r="AB67" s="863" t="s">
        <v>2129</v>
      </c>
      <c r="AE67">
        <v>72</v>
      </c>
      <c r="AF67">
        <v>72</v>
      </c>
      <c r="AG67" t="b">
        <v>0</v>
      </c>
      <c r="AH67">
        <v>72</v>
      </c>
      <c r="AI67" t="s">
        <v>2129</v>
      </c>
      <c r="AJ67" t="s">
        <v>2129</v>
      </c>
      <c r="AK67" t="s">
        <v>2129</v>
      </c>
      <c r="AL67">
        <v>31</v>
      </c>
      <c r="AM67" t="s">
        <v>2129</v>
      </c>
      <c r="AN67" t="s">
        <v>2129</v>
      </c>
      <c r="AQ67">
        <v>-41</v>
      </c>
      <c r="AV67" t="s">
        <v>2129</v>
      </c>
      <c r="AW67" t="s">
        <v>2129</v>
      </c>
      <c r="AX67" t="s">
        <v>2129</v>
      </c>
      <c r="AY67" t="s">
        <v>2129</v>
      </c>
      <c r="AZ67" t="s">
        <v>2129</v>
      </c>
      <c r="BA67" t="s">
        <v>2129</v>
      </c>
      <c r="BB67" t="s">
        <v>2129</v>
      </c>
      <c r="BC67" t="s">
        <v>2129</v>
      </c>
      <c r="BD67" t="s">
        <v>2129</v>
      </c>
      <c r="BE67" t="s">
        <v>2129</v>
      </c>
      <c r="BF67">
        <v>10</v>
      </c>
      <c r="BG67" t="s">
        <v>2129</v>
      </c>
      <c r="BH67" s="1958" t="s">
        <v>2129</v>
      </c>
      <c r="BI67"/>
      <c r="BJ67" s="863" t="s">
        <v>2129</v>
      </c>
      <c r="BK67" s="863" t="s">
        <v>2129</v>
      </c>
      <c r="BL67" s="863" t="s">
        <v>2129</v>
      </c>
      <c r="BM67" s="863" t="s">
        <v>2129</v>
      </c>
      <c r="BN67" s="863" t="s">
        <v>2129</v>
      </c>
      <c r="BO67" s="863" t="s">
        <v>2129</v>
      </c>
      <c r="BP67" s="863" t="s">
        <v>2129</v>
      </c>
      <c r="BQ67" s="863" t="s">
        <v>2129</v>
      </c>
      <c r="BR67" s="863" t="s">
        <v>2129</v>
      </c>
      <c r="BS67" s="863" t="s">
        <v>2129</v>
      </c>
      <c r="BT67" s="863" t="s">
        <v>2129</v>
      </c>
      <c r="BU67" s="863" t="s">
        <v>2129</v>
      </c>
      <c r="BV67" s="863">
        <v>4208671.944444444</v>
      </c>
      <c r="BW67" s="863" t="s">
        <v>2129</v>
      </c>
      <c r="BX67" s="863" t="s">
        <v>2129</v>
      </c>
      <c r="BY67" s="863" t="s">
        <v>2129</v>
      </c>
      <c r="BZ67" s="863" t="s">
        <v>2129</v>
      </c>
      <c r="CA67" s="863" t="s">
        <v>2129</v>
      </c>
      <c r="CB67" s="863"/>
      <c r="CC67" s="863" t="s">
        <v>2129</v>
      </c>
      <c r="CD67" s="863" t="s">
        <v>2129</v>
      </c>
      <c r="CE67" s="863" t="s">
        <v>2129</v>
      </c>
      <c r="CF67" s="863" t="s">
        <v>2129</v>
      </c>
      <c r="CG67" s="863"/>
      <c r="CH67" s="5785"/>
    </row>
    <row r="68" spans="1:86" ht="13" hidden="1">
      <c r="A68">
        <v>99</v>
      </c>
      <c r="B68" s="196" t="s">
        <v>3296</v>
      </c>
      <c r="C68" s="5785" t="s">
        <v>2695</v>
      </c>
      <c r="D68" s="5785" t="s">
        <v>2129</v>
      </c>
      <c r="E68" s="5785" t="s">
        <v>2129</v>
      </c>
      <c r="F68" s="5785" t="s">
        <v>2129</v>
      </c>
      <c r="G68" s="5785" t="s">
        <v>2129</v>
      </c>
      <c r="H68" s="5785">
        <v>10</v>
      </c>
      <c r="I68" s="5785">
        <v>2</v>
      </c>
      <c r="J68" s="5785" t="b">
        <v>0</v>
      </c>
      <c r="K68" s="5785" t="s">
        <v>2129</v>
      </c>
      <c r="L68" s="5786">
        <v>3324065</v>
      </c>
      <c r="M68" s="5786">
        <v>0</v>
      </c>
      <c r="N68" s="5786">
        <v>0</v>
      </c>
      <c r="O68" s="5786">
        <v>0</v>
      </c>
      <c r="P68" s="5786">
        <v>0</v>
      </c>
      <c r="Q68" s="2476">
        <v>3656471.5000000005</v>
      </c>
      <c r="R68" s="2477">
        <v>3656471</v>
      </c>
      <c r="S68" s="2477" t="b">
        <v>0</v>
      </c>
      <c r="T68" s="5786">
        <v>1828235.5</v>
      </c>
      <c r="U68" s="5786">
        <v>0</v>
      </c>
      <c r="V68" s="1958">
        <v>1067704</v>
      </c>
      <c r="W68" s="1958">
        <v>1067704</v>
      </c>
      <c r="X68" s="863" t="b">
        <v>1</v>
      </c>
      <c r="Y68" s="863">
        <v>19412.8</v>
      </c>
      <c r="AB68" s="863">
        <v>18568.765217391308</v>
      </c>
      <c r="AE68">
        <v>170</v>
      </c>
      <c r="AF68" s="3965">
        <v>55</v>
      </c>
      <c r="AG68" s="3965" t="b">
        <v>1</v>
      </c>
      <c r="AH68">
        <v>196</v>
      </c>
      <c r="AI68">
        <v>50</v>
      </c>
      <c r="AJ68" t="s">
        <v>2129</v>
      </c>
      <c r="AK68" t="s">
        <v>2129</v>
      </c>
      <c r="AL68" t="s">
        <v>2129</v>
      </c>
      <c r="AM68" t="s">
        <v>2129</v>
      </c>
      <c r="AN68">
        <v>-5</v>
      </c>
      <c r="AQ68" t="s">
        <v>2129</v>
      </c>
      <c r="AV68" t="s">
        <v>2129</v>
      </c>
      <c r="AW68" t="s">
        <v>2129</v>
      </c>
      <c r="AX68">
        <v>18</v>
      </c>
      <c r="AY68" t="s">
        <v>2129</v>
      </c>
      <c r="AZ68" t="s">
        <v>2129</v>
      </c>
      <c r="BA68" t="s">
        <v>2129</v>
      </c>
      <c r="BB68" t="s">
        <v>2129</v>
      </c>
      <c r="BC68" t="s">
        <v>2129</v>
      </c>
      <c r="BD68" t="s">
        <v>2129</v>
      </c>
      <c r="BE68" t="s">
        <v>2129</v>
      </c>
      <c r="BF68" t="s">
        <v>2129</v>
      </c>
      <c r="BG68" t="s">
        <v>2129</v>
      </c>
      <c r="BH68" s="1958" t="s">
        <v>2129</v>
      </c>
      <c r="BI68"/>
      <c r="BJ68" s="863" t="s">
        <v>2129</v>
      </c>
      <c r="BK68" s="863" t="s">
        <v>2129</v>
      </c>
      <c r="BL68" s="863">
        <v>17471520</v>
      </c>
      <c r="BM68" s="863" t="s">
        <v>2129</v>
      </c>
      <c r="BN68" s="863" t="s">
        <v>2129</v>
      </c>
      <c r="BO68" s="863" t="s">
        <v>2129</v>
      </c>
      <c r="BP68" s="863" t="s">
        <v>2129</v>
      </c>
      <c r="BQ68" s="863" t="s">
        <v>2129</v>
      </c>
      <c r="BR68" s="863" t="s">
        <v>2129</v>
      </c>
      <c r="BS68" s="863" t="s">
        <v>2129</v>
      </c>
      <c r="BT68" s="863" t="s">
        <v>2129</v>
      </c>
      <c r="BU68" s="863" t="s">
        <v>2129</v>
      </c>
      <c r="BV68" s="863" t="s">
        <v>2129</v>
      </c>
      <c r="BW68" s="863" t="s">
        <v>2129</v>
      </c>
      <c r="BX68" s="863" t="s">
        <v>2129</v>
      </c>
      <c r="BY68" s="863" t="s">
        <v>2129</v>
      </c>
      <c r="BZ68" s="863" t="s">
        <v>2129</v>
      </c>
      <c r="CA68" s="863" t="s">
        <v>2129</v>
      </c>
      <c r="CB68" s="863"/>
      <c r="CC68" s="863" t="s">
        <v>2129</v>
      </c>
      <c r="CD68" s="863" t="s">
        <v>2129</v>
      </c>
      <c r="CE68" s="863" t="s">
        <v>2129</v>
      </c>
      <c r="CF68" s="863" t="s">
        <v>2129</v>
      </c>
      <c r="CG68" s="863"/>
      <c r="CH68" s="5785"/>
    </row>
    <row r="69" spans="1:86" ht="13" hidden="1">
      <c r="A69">
        <v>101</v>
      </c>
      <c r="B69" s="196" t="s">
        <v>3297</v>
      </c>
      <c r="C69" s="5785" t="s">
        <v>2695</v>
      </c>
      <c r="D69" s="5785" t="s">
        <v>2129</v>
      </c>
      <c r="E69" s="5785" t="s">
        <v>2129</v>
      </c>
      <c r="F69" s="5785" t="s">
        <v>2129</v>
      </c>
      <c r="G69" s="5785" t="s">
        <v>2129</v>
      </c>
      <c r="H69" s="5785">
        <v>6</v>
      </c>
      <c r="I69" s="5785">
        <v>5</v>
      </c>
      <c r="J69" s="5785" t="b">
        <v>0</v>
      </c>
      <c r="K69" s="5785" t="s">
        <v>2129</v>
      </c>
      <c r="L69" s="5786">
        <v>3234003</v>
      </c>
      <c r="M69" s="5786">
        <v>38826</v>
      </c>
      <c r="N69" s="5786">
        <v>0</v>
      </c>
      <c r="O69" s="5786">
        <v>0</v>
      </c>
      <c r="P69" s="5786">
        <v>0</v>
      </c>
      <c r="Q69" s="2476">
        <v>3600111.9000000004</v>
      </c>
      <c r="R69" s="2477">
        <v>3600111</v>
      </c>
      <c r="S69" s="2477" t="b">
        <v>0</v>
      </c>
      <c r="T69" s="5786">
        <v>720022.2</v>
      </c>
      <c r="U69" s="5786">
        <v>0</v>
      </c>
      <c r="V69" s="1958">
        <v>1659891</v>
      </c>
      <c r="W69" s="1958">
        <v>1659891</v>
      </c>
      <c r="X69" s="863" t="b">
        <v>1</v>
      </c>
      <c r="Y69" s="863">
        <v>15513</v>
      </c>
      <c r="AB69" s="863">
        <v>21543.036988968204</v>
      </c>
      <c r="AE69">
        <v>233</v>
      </c>
      <c r="AF69">
        <v>107</v>
      </c>
      <c r="AG69" t="b">
        <v>1</v>
      </c>
      <c r="AH69">
        <v>274</v>
      </c>
      <c r="AI69">
        <v>67</v>
      </c>
      <c r="AJ69" t="s">
        <v>2129</v>
      </c>
      <c r="AK69" t="s">
        <v>2129</v>
      </c>
      <c r="AL69" t="s">
        <v>2129</v>
      </c>
      <c r="AM69" t="s">
        <v>2129</v>
      </c>
      <c r="AN69">
        <v>-40</v>
      </c>
      <c r="AQ69" t="s">
        <v>2129</v>
      </c>
      <c r="AV69" t="s">
        <v>2129</v>
      </c>
      <c r="AW69" t="s">
        <v>2129</v>
      </c>
      <c r="AX69">
        <v>18</v>
      </c>
      <c r="AY69" t="s">
        <v>2129</v>
      </c>
      <c r="AZ69" t="s">
        <v>2129</v>
      </c>
      <c r="BA69" t="s">
        <v>2129</v>
      </c>
      <c r="BB69" t="s">
        <v>2129</v>
      </c>
      <c r="BC69" t="s">
        <v>2129</v>
      </c>
      <c r="BD69" t="s">
        <v>2129</v>
      </c>
      <c r="BE69" t="s">
        <v>2129</v>
      </c>
      <c r="BF69" t="s">
        <v>2129</v>
      </c>
      <c r="BG69" t="s">
        <v>2129</v>
      </c>
      <c r="BH69" s="1958" t="s">
        <v>2129</v>
      </c>
      <c r="BI69"/>
      <c r="BJ69" s="863" t="s">
        <v>2129</v>
      </c>
      <c r="BK69" s="863" t="s">
        <v>2129</v>
      </c>
      <c r="BL69" s="863">
        <v>18708678</v>
      </c>
      <c r="BM69" s="863" t="s">
        <v>2129</v>
      </c>
      <c r="BN69" s="863" t="s">
        <v>2129</v>
      </c>
      <c r="BO69" s="863" t="s">
        <v>2129</v>
      </c>
      <c r="BP69" s="863" t="s">
        <v>2129</v>
      </c>
      <c r="BQ69" s="863" t="s">
        <v>2129</v>
      </c>
      <c r="BR69" s="863" t="s">
        <v>2129</v>
      </c>
      <c r="BS69" s="863" t="s">
        <v>2129</v>
      </c>
      <c r="BT69" s="863" t="s">
        <v>2129</v>
      </c>
      <c r="BU69" s="863" t="s">
        <v>2129</v>
      </c>
      <c r="BV69" s="863" t="s">
        <v>2129</v>
      </c>
      <c r="BW69" s="863" t="s">
        <v>2129</v>
      </c>
      <c r="BX69" s="863" t="s">
        <v>2129</v>
      </c>
      <c r="BY69" s="863" t="s">
        <v>2129</v>
      </c>
      <c r="BZ69" s="863" t="s">
        <v>2129</v>
      </c>
      <c r="CA69" s="863" t="s">
        <v>2129</v>
      </c>
      <c r="CB69" s="863"/>
      <c r="CC69" s="863" t="s">
        <v>2129</v>
      </c>
      <c r="CD69" s="863" t="s">
        <v>2129</v>
      </c>
      <c r="CE69" s="863" t="s">
        <v>2129</v>
      </c>
      <c r="CF69" s="863" t="s">
        <v>2129</v>
      </c>
      <c r="CG69" s="863"/>
      <c r="CH69" s="5785"/>
    </row>
    <row r="70" spans="1:86" ht="13" hidden="1">
      <c r="A70">
        <v>105</v>
      </c>
      <c r="B70" s="196" t="s">
        <v>3298</v>
      </c>
      <c r="C70" s="5790" t="s">
        <v>2129</v>
      </c>
      <c r="D70" s="5790" t="s">
        <v>6599</v>
      </c>
      <c r="E70" s="5790" t="s">
        <v>2129</v>
      </c>
      <c r="F70" s="5792" t="s">
        <v>5205</v>
      </c>
      <c r="G70" s="5792" t="s">
        <v>2129</v>
      </c>
      <c r="H70" s="5785">
        <v>19</v>
      </c>
      <c r="I70" s="5785">
        <v>7</v>
      </c>
      <c r="J70" s="5785" t="b">
        <v>1</v>
      </c>
      <c r="K70" s="5785">
        <v>12</v>
      </c>
      <c r="L70" s="5786">
        <v>6716477</v>
      </c>
      <c r="M70" s="5786">
        <v>1588243</v>
      </c>
      <c r="N70" s="5786">
        <v>0</v>
      </c>
      <c r="O70" s="5786">
        <v>0</v>
      </c>
      <c r="P70" s="5786">
        <v>0</v>
      </c>
      <c r="Q70" s="2476">
        <v>9135192</v>
      </c>
      <c r="R70" s="2477">
        <v>5925775</v>
      </c>
      <c r="S70" s="2477" t="b">
        <v>1</v>
      </c>
      <c r="T70" s="5786">
        <v>846539.28571428568</v>
      </c>
      <c r="U70" s="5786">
        <v>2737069</v>
      </c>
      <c r="V70" s="1958">
        <v>14280708</v>
      </c>
      <c r="W70" s="1958">
        <v>11543639</v>
      </c>
      <c r="X70" s="2700" t="b">
        <v>1</v>
      </c>
      <c r="Y70" s="863">
        <v>52471.086363636365</v>
      </c>
      <c r="AB70" s="863" t="s">
        <v>2129</v>
      </c>
      <c r="AC70" s="863">
        <v>2300</v>
      </c>
      <c r="AE70">
        <v>245</v>
      </c>
      <c r="AF70">
        <v>220</v>
      </c>
      <c r="AG70" t="b">
        <v>1</v>
      </c>
      <c r="AH70" s="2814">
        <v>358</v>
      </c>
      <c r="AI70" t="s">
        <v>2129</v>
      </c>
      <c r="AJ70" t="s">
        <v>2129</v>
      </c>
      <c r="AK70" t="s">
        <v>2129</v>
      </c>
      <c r="AL70">
        <v>245</v>
      </c>
      <c r="AM70" t="s">
        <v>2129</v>
      </c>
      <c r="AN70" t="s">
        <v>2129</v>
      </c>
      <c r="AQ70">
        <v>25</v>
      </c>
      <c r="AV70" t="s">
        <v>2129</v>
      </c>
      <c r="AW70">
        <v>25</v>
      </c>
      <c r="AX70" t="s">
        <v>2129</v>
      </c>
      <c r="AY70" t="s">
        <v>2129</v>
      </c>
      <c r="AZ70" t="s">
        <v>2129</v>
      </c>
      <c r="BA70" t="s">
        <v>2129</v>
      </c>
      <c r="BB70" t="s">
        <v>2129</v>
      </c>
      <c r="BC70">
        <v>18</v>
      </c>
      <c r="BD70" t="s">
        <v>2129</v>
      </c>
      <c r="BE70" t="s">
        <v>2129</v>
      </c>
      <c r="BF70" t="s">
        <v>2129</v>
      </c>
      <c r="BG70" t="s">
        <v>2129</v>
      </c>
      <c r="BH70" s="1958" t="s">
        <v>2129</v>
      </c>
      <c r="BI70" s="1958">
        <v>288590975</v>
      </c>
      <c r="BJ70" s="1958" t="s">
        <v>2129</v>
      </c>
      <c r="BK70" s="1958" t="s">
        <v>2129</v>
      </c>
      <c r="BL70" s="1958" t="s">
        <v>2129</v>
      </c>
      <c r="BM70" s="1958" t="s">
        <v>2129</v>
      </c>
      <c r="BN70" s="1958" t="s">
        <v>2129</v>
      </c>
      <c r="BO70" s="1958" t="s">
        <v>2129</v>
      </c>
      <c r="BP70" s="1958">
        <v>231397490.86363637</v>
      </c>
      <c r="BQ70" s="863">
        <v>231397490.86363637</v>
      </c>
      <c r="BR70" s="863" t="s">
        <v>2129</v>
      </c>
      <c r="BS70" s="1958" t="s">
        <v>2129</v>
      </c>
      <c r="BT70" s="1958" t="s">
        <v>2129</v>
      </c>
      <c r="BU70" s="1958" t="s">
        <v>2129</v>
      </c>
      <c r="BV70" s="1958" t="s">
        <v>2129</v>
      </c>
      <c r="BW70" s="1958" t="s">
        <v>2129</v>
      </c>
      <c r="BX70" s="1958" t="s">
        <v>2129</v>
      </c>
      <c r="BY70" s="1958">
        <v>148144375</v>
      </c>
      <c r="BZ70" s="1958" t="s">
        <v>2129</v>
      </c>
      <c r="CA70" s="1958" t="s">
        <v>2129</v>
      </c>
      <c r="CC70" s="1958">
        <v>106663950</v>
      </c>
      <c r="CD70" s="1958">
        <v>106663950</v>
      </c>
      <c r="CE70" s="1958" t="s">
        <v>2129</v>
      </c>
      <c r="CF70" s="1958" t="s">
        <v>2129</v>
      </c>
      <c r="CH70" s="5785"/>
    </row>
    <row r="71" spans="1:86" ht="13" hidden="1">
      <c r="A71">
        <v>111</v>
      </c>
      <c r="B71" s="196" t="s">
        <v>3299</v>
      </c>
      <c r="C71" s="5799" t="s">
        <v>2129</v>
      </c>
      <c r="D71" s="5799" t="s">
        <v>2129</v>
      </c>
      <c r="E71" s="5799" t="s">
        <v>2129</v>
      </c>
      <c r="F71" s="5785" t="s">
        <v>2129</v>
      </c>
      <c r="G71" s="5785" t="s">
        <v>2129</v>
      </c>
      <c r="H71" s="5785">
        <v>4</v>
      </c>
      <c r="I71" s="2694">
        <v>2</v>
      </c>
      <c r="J71" s="2694" t="b">
        <v>1</v>
      </c>
      <c r="K71" s="5785" t="s">
        <v>2129</v>
      </c>
      <c r="L71" s="5786">
        <v>460000</v>
      </c>
      <c r="M71" s="5786">
        <v>0</v>
      </c>
      <c r="N71" s="5786">
        <v>0</v>
      </c>
      <c r="O71" s="5786">
        <v>0</v>
      </c>
      <c r="P71" s="5786">
        <v>0</v>
      </c>
      <c r="Q71" s="2476">
        <v>506000.00000000006</v>
      </c>
      <c r="R71" s="2477">
        <v>253000</v>
      </c>
      <c r="S71" s="2477" t="b">
        <v>1</v>
      </c>
      <c r="T71" s="5786">
        <v>126500</v>
      </c>
      <c r="U71" s="5786">
        <v>-349423.79999999981</v>
      </c>
      <c r="V71" s="1958">
        <v>6331982.7999999998</v>
      </c>
      <c r="W71" s="1958">
        <v>6681406.5999999996</v>
      </c>
      <c r="X71" s="863" t="b">
        <v>1</v>
      </c>
      <c r="Y71" s="863">
        <v>27382.813934426227</v>
      </c>
      <c r="AB71" s="863" t="s">
        <v>2129</v>
      </c>
      <c r="AC71" s="863">
        <v>2000</v>
      </c>
      <c r="AE71">
        <v>245</v>
      </c>
      <c r="AF71">
        <v>244</v>
      </c>
      <c r="AG71" t="b">
        <v>1</v>
      </c>
      <c r="AH71" s="2814">
        <v>358</v>
      </c>
      <c r="AI71" t="s">
        <v>2129</v>
      </c>
      <c r="AJ71" t="s">
        <v>2129</v>
      </c>
      <c r="AK71" t="s">
        <v>2129</v>
      </c>
      <c r="AL71" t="s">
        <v>2129</v>
      </c>
      <c r="AM71" t="s">
        <v>2129</v>
      </c>
      <c r="AN71" t="s">
        <v>2129</v>
      </c>
      <c r="AQ71" t="s">
        <v>2129</v>
      </c>
      <c r="AV71" t="s">
        <v>2129</v>
      </c>
      <c r="AW71" t="s">
        <v>2129</v>
      </c>
      <c r="AX71" t="s">
        <v>2129</v>
      </c>
      <c r="AY71" t="s">
        <v>2129</v>
      </c>
      <c r="AZ71" t="s">
        <v>2129</v>
      </c>
      <c r="BA71" t="s">
        <v>2129</v>
      </c>
      <c r="BB71" t="s">
        <v>2129</v>
      </c>
      <c r="BC71" t="s">
        <v>2129</v>
      </c>
      <c r="BD71" t="s">
        <v>2129</v>
      </c>
      <c r="BE71" t="s">
        <v>2129</v>
      </c>
      <c r="BF71" t="s">
        <v>2129</v>
      </c>
      <c r="BG71" t="s">
        <v>2129</v>
      </c>
      <c r="BH71" s="1958" t="s">
        <v>2129</v>
      </c>
      <c r="BI71" s="1958" t="s">
        <v>2129</v>
      </c>
      <c r="BJ71" s="1958" t="s">
        <v>2129</v>
      </c>
      <c r="BK71" s="1958" t="s">
        <v>2129</v>
      </c>
      <c r="BL71" s="1958" t="s">
        <v>2129</v>
      </c>
      <c r="BM71" s="1958" t="s">
        <v>2129</v>
      </c>
      <c r="BN71" s="1958" t="s">
        <v>2129</v>
      </c>
      <c r="BO71" s="1958" t="s">
        <v>2129</v>
      </c>
      <c r="BP71" s="1958" t="s">
        <v>2129</v>
      </c>
      <c r="BQ71" s="863" t="s">
        <v>2129</v>
      </c>
      <c r="BR71" s="863" t="s">
        <v>2129</v>
      </c>
      <c r="BS71" s="1958" t="s">
        <v>2129</v>
      </c>
      <c r="BT71" s="1958" t="s">
        <v>2129</v>
      </c>
      <c r="BU71" s="1958" t="s">
        <v>2129</v>
      </c>
      <c r="BV71" s="1958" t="s">
        <v>2129</v>
      </c>
      <c r="BW71" s="1958" t="s">
        <v>2129</v>
      </c>
      <c r="BX71" s="1958" t="s">
        <v>2129</v>
      </c>
      <c r="BY71" s="1958" t="s">
        <v>2129</v>
      </c>
      <c r="BZ71" s="1958" t="s">
        <v>2129</v>
      </c>
      <c r="CA71" s="1958" t="s">
        <v>2129</v>
      </c>
      <c r="CC71" s="1958" t="s">
        <v>2129</v>
      </c>
      <c r="CD71" s="1958" t="s">
        <v>2129</v>
      </c>
      <c r="CE71" s="1958" t="s">
        <v>2129</v>
      </c>
      <c r="CF71" s="1958" t="s">
        <v>2129</v>
      </c>
      <c r="CH71" s="5785"/>
    </row>
    <row r="72" spans="1:86" ht="13" hidden="1">
      <c r="A72">
        <v>114</v>
      </c>
      <c r="B72" s="196" t="s">
        <v>3300</v>
      </c>
      <c r="C72" s="5785" t="s">
        <v>2695</v>
      </c>
      <c r="D72" s="5785" t="s">
        <v>2129</v>
      </c>
      <c r="E72" s="5785" t="s">
        <v>2129</v>
      </c>
      <c r="F72" s="5785" t="s">
        <v>2129</v>
      </c>
      <c r="G72" s="5785" t="s">
        <v>2129</v>
      </c>
      <c r="H72" s="5785">
        <v>0</v>
      </c>
      <c r="I72" s="5785">
        <v>0</v>
      </c>
      <c r="J72" s="5785" t="b">
        <v>0</v>
      </c>
      <c r="K72" s="5785" t="s">
        <v>2129</v>
      </c>
      <c r="L72" s="5786">
        <v>0</v>
      </c>
      <c r="M72" s="5786">
        <v>0</v>
      </c>
      <c r="N72" s="5786">
        <v>0</v>
      </c>
      <c r="O72" s="5786">
        <v>0</v>
      </c>
      <c r="P72" s="5786">
        <v>0</v>
      </c>
      <c r="Q72" s="2476">
        <v>0</v>
      </c>
      <c r="R72" s="2477">
        <v>0</v>
      </c>
      <c r="S72" s="2477" t="b">
        <v>1</v>
      </c>
      <c r="T72" s="5786" t="s">
        <v>2129</v>
      </c>
      <c r="U72" s="5786">
        <v>0</v>
      </c>
      <c r="V72" s="1958">
        <v>6385365</v>
      </c>
      <c r="W72" s="1958">
        <v>6385365</v>
      </c>
      <c r="X72" s="863" t="b">
        <v>1</v>
      </c>
      <c r="Y72" s="863">
        <v>26829.264705882353</v>
      </c>
      <c r="AB72" s="863">
        <v>23329.795396419438</v>
      </c>
      <c r="AE72">
        <v>238</v>
      </c>
      <c r="AF72" s="3965">
        <v>238</v>
      </c>
      <c r="AG72" s="3965" t="b">
        <v>1</v>
      </c>
      <c r="AH72">
        <v>261</v>
      </c>
      <c r="AI72">
        <v>238</v>
      </c>
      <c r="AJ72" t="s">
        <v>2129</v>
      </c>
      <c r="AK72" t="s">
        <v>2129</v>
      </c>
      <c r="AL72" t="s">
        <v>2129</v>
      </c>
      <c r="AM72" t="s">
        <v>2129</v>
      </c>
      <c r="AN72">
        <v>0</v>
      </c>
      <c r="AQ72" t="s">
        <v>2129</v>
      </c>
      <c r="AV72" t="s">
        <v>2129</v>
      </c>
      <c r="AW72" t="s">
        <v>2129</v>
      </c>
      <c r="AX72">
        <v>18</v>
      </c>
      <c r="AY72" t="s">
        <v>2129</v>
      </c>
      <c r="AZ72" t="s">
        <v>2129</v>
      </c>
      <c r="BA72" t="s">
        <v>2129</v>
      </c>
      <c r="BB72" t="s">
        <v>2129</v>
      </c>
      <c r="BC72" t="s">
        <v>2129</v>
      </c>
      <c r="BD72" t="s">
        <v>2129</v>
      </c>
      <c r="BE72" t="s">
        <v>2129</v>
      </c>
      <c r="BF72" t="s">
        <v>2129</v>
      </c>
      <c r="BG72" t="s">
        <v>2129</v>
      </c>
      <c r="BH72" s="1958" t="s">
        <v>2129</v>
      </c>
      <c r="BI72"/>
      <c r="BJ72" s="863" t="s">
        <v>2129</v>
      </c>
      <c r="BK72" s="863" t="s">
        <v>2129</v>
      </c>
      <c r="BL72" s="863">
        <v>114936570</v>
      </c>
      <c r="BM72" s="863" t="s">
        <v>2129</v>
      </c>
      <c r="BN72" s="863" t="s">
        <v>2129</v>
      </c>
      <c r="BO72" s="863" t="s">
        <v>2129</v>
      </c>
      <c r="BP72" s="863" t="s">
        <v>2129</v>
      </c>
      <c r="BQ72" s="863" t="s">
        <v>2129</v>
      </c>
      <c r="BR72" s="863" t="s">
        <v>2129</v>
      </c>
      <c r="BS72" s="863" t="s">
        <v>2129</v>
      </c>
      <c r="BT72" s="863" t="s">
        <v>2129</v>
      </c>
      <c r="BU72" s="863" t="s">
        <v>2129</v>
      </c>
      <c r="BV72" s="863" t="s">
        <v>2129</v>
      </c>
      <c r="BW72" s="863" t="s">
        <v>2129</v>
      </c>
      <c r="BX72" s="863" t="s">
        <v>2129</v>
      </c>
      <c r="BY72" s="863" t="s">
        <v>2129</v>
      </c>
      <c r="BZ72" s="863" t="s">
        <v>2129</v>
      </c>
      <c r="CA72" s="863" t="s">
        <v>2129</v>
      </c>
      <c r="CB72" s="863"/>
      <c r="CC72" s="863" t="s">
        <v>2129</v>
      </c>
      <c r="CD72" s="863" t="s">
        <v>2129</v>
      </c>
      <c r="CE72" s="863" t="s">
        <v>2129</v>
      </c>
      <c r="CF72" s="863" t="s">
        <v>2129</v>
      </c>
      <c r="CG72" s="863"/>
      <c r="CH72" s="5785"/>
    </row>
    <row r="73" spans="1:86" s="5782" customFormat="1" ht="13" hidden="1">
      <c r="A73" s="5782">
        <v>115</v>
      </c>
      <c r="B73" s="5783" t="s">
        <v>3301</v>
      </c>
      <c r="C73" s="5784" t="s">
        <v>2129</v>
      </c>
      <c r="D73" s="5784" t="s">
        <v>2129</v>
      </c>
      <c r="E73" s="5784" t="s">
        <v>2129</v>
      </c>
      <c r="F73" s="5784" t="s">
        <v>2129</v>
      </c>
      <c r="G73" s="5784" t="s">
        <v>2129</v>
      </c>
      <c r="H73" s="5784">
        <v>3</v>
      </c>
      <c r="I73" s="5784">
        <v>3</v>
      </c>
      <c r="J73" s="5785" t="b">
        <v>0</v>
      </c>
      <c r="K73" s="5785" t="s">
        <v>2129</v>
      </c>
      <c r="L73" s="5786">
        <v>341060</v>
      </c>
      <c r="M73" s="5786">
        <v>0</v>
      </c>
      <c r="N73" s="5786">
        <v>0</v>
      </c>
      <c r="O73" s="5786">
        <v>0</v>
      </c>
      <c r="P73" s="5786">
        <v>0</v>
      </c>
      <c r="Q73" s="2476">
        <v>375166.00000000006</v>
      </c>
      <c r="R73" s="5787">
        <v>375166</v>
      </c>
      <c r="S73" s="2477" t="b">
        <v>0</v>
      </c>
      <c r="T73" s="5787">
        <v>125055.33333333333</v>
      </c>
      <c r="U73" s="5787">
        <v>0</v>
      </c>
      <c r="V73" s="5788">
        <v>3254823</v>
      </c>
      <c r="W73" s="5788">
        <v>3254823</v>
      </c>
      <c r="X73" s="5788" t="b">
        <v>1</v>
      </c>
      <c r="Y73" s="5788">
        <v>14862.205479452055</v>
      </c>
      <c r="Z73" s="5788"/>
      <c r="AA73" s="5788"/>
      <c r="AB73" s="5788" t="s">
        <v>2129</v>
      </c>
      <c r="AC73" s="5788"/>
      <c r="AD73" s="5788"/>
      <c r="AE73" s="5782">
        <v>219</v>
      </c>
      <c r="AF73" s="5789">
        <v>219</v>
      </c>
      <c r="AG73" s="5789" t="b">
        <v>1</v>
      </c>
      <c r="AH73" s="5782">
        <v>219</v>
      </c>
      <c r="AI73" s="5782" t="s">
        <v>2129</v>
      </c>
      <c r="AJ73" s="5782" t="s">
        <v>2129</v>
      </c>
      <c r="AK73" s="5782" t="s">
        <v>2129</v>
      </c>
      <c r="AL73" s="5782" t="s">
        <v>2129</v>
      </c>
      <c r="AM73" s="5782" t="s">
        <v>2129</v>
      </c>
      <c r="AN73" s="5782" t="s">
        <v>2129</v>
      </c>
      <c r="AQ73" s="5782" t="s">
        <v>2129</v>
      </c>
      <c r="AV73" s="5782" t="s">
        <v>2129</v>
      </c>
      <c r="AW73" s="5782" t="s">
        <v>2129</v>
      </c>
      <c r="AX73" s="5782" t="s">
        <v>2129</v>
      </c>
      <c r="AY73" s="5782" t="s">
        <v>2129</v>
      </c>
      <c r="AZ73" s="5782" t="s">
        <v>2129</v>
      </c>
      <c r="BA73" s="5782" t="s">
        <v>2129</v>
      </c>
      <c r="BB73" s="5782" t="s">
        <v>2129</v>
      </c>
      <c r="BC73" s="5782" t="s">
        <v>2129</v>
      </c>
      <c r="BD73" s="5782" t="s">
        <v>2129</v>
      </c>
      <c r="BE73" s="5782" t="s">
        <v>2129</v>
      </c>
      <c r="BF73" s="5782" t="s">
        <v>2129</v>
      </c>
      <c r="BG73" s="5782" t="s">
        <v>2129</v>
      </c>
      <c r="BH73" s="5788" t="s">
        <v>2129</v>
      </c>
      <c r="BJ73" s="5788" t="s">
        <v>2129</v>
      </c>
      <c r="BK73" s="5788" t="s">
        <v>2129</v>
      </c>
      <c r="BL73" s="5788" t="s">
        <v>2129</v>
      </c>
      <c r="BM73" s="5788" t="s">
        <v>2129</v>
      </c>
      <c r="BN73" s="5788" t="s">
        <v>2129</v>
      </c>
      <c r="BO73" s="5788" t="s">
        <v>2129</v>
      </c>
      <c r="BP73" s="5788" t="s">
        <v>2129</v>
      </c>
      <c r="BQ73" s="5788" t="s">
        <v>2129</v>
      </c>
      <c r="BR73" s="5788" t="s">
        <v>2129</v>
      </c>
      <c r="BS73" s="5788" t="s">
        <v>2129</v>
      </c>
      <c r="BT73" s="5788" t="s">
        <v>2129</v>
      </c>
      <c r="BU73" s="5788" t="s">
        <v>2129</v>
      </c>
      <c r="BV73" s="5788" t="s">
        <v>2129</v>
      </c>
      <c r="BW73" s="5788" t="s">
        <v>2129</v>
      </c>
      <c r="BX73" s="5788" t="s">
        <v>2129</v>
      </c>
      <c r="BY73" s="5788" t="s">
        <v>2129</v>
      </c>
      <c r="BZ73" s="5788" t="s">
        <v>2129</v>
      </c>
      <c r="CA73" s="5788" t="s">
        <v>2129</v>
      </c>
      <c r="CB73" s="5788"/>
      <c r="CC73" s="5788" t="s">
        <v>2129</v>
      </c>
      <c r="CD73" s="5788" t="s">
        <v>2129</v>
      </c>
      <c r="CE73" s="5788" t="s">
        <v>2129</v>
      </c>
      <c r="CF73" s="5788" t="s">
        <v>2129</v>
      </c>
      <c r="CG73" s="5788"/>
      <c r="CH73" s="5784"/>
    </row>
    <row r="74" spans="1:86" s="5782" customFormat="1" ht="13" hidden="1">
      <c r="A74" s="5782">
        <v>117</v>
      </c>
      <c r="B74" s="5783" t="s">
        <v>3302</v>
      </c>
      <c r="C74" s="5784" t="s">
        <v>2129</v>
      </c>
      <c r="D74" s="5784" t="s">
        <v>2129</v>
      </c>
      <c r="E74" s="5784" t="s">
        <v>2129</v>
      </c>
      <c r="F74" s="5784" t="s">
        <v>2129</v>
      </c>
      <c r="G74" s="5784" t="s">
        <v>2129</v>
      </c>
      <c r="H74" s="5784">
        <v>4</v>
      </c>
      <c r="I74" s="5784">
        <v>2</v>
      </c>
      <c r="J74" s="5785" t="b">
        <v>0</v>
      </c>
      <c r="K74" s="5785" t="s">
        <v>2129</v>
      </c>
      <c r="L74" s="5786">
        <v>310589</v>
      </c>
      <c r="M74" s="5786">
        <v>0</v>
      </c>
      <c r="N74" s="5786">
        <v>0</v>
      </c>
      <c r="O74" s="5786">
        <v>0</v>
      </c>
      <c r="P74" s="5786">
        <v>0</v>
      </c>
      <c r="Q74" s="2476">
        <v>341647.9</v>
      </c>
      <c r="R74" s="5787">
        <v>341647</v>
      </c>
      <c r="S74" s="2477" t="b">
        <v>0</v>
      </c>
      <c r="T74" s="5787">
        <v>170823.5</v>
      </c>
      <c r="U74" s="5787">
        <v>0</v>
      </c>
      <c r="V74" s="5788">
        <v>2897543</v>
      </c>
      <c r="W74" s="5788">
        <v>2897543</v>
      </c>
      <c r="X74" s="5788" t="b">
        <v>1</v>
      </c>
      <c r="Y74" s="5788">
        <v>29268.111111111109</v>
      </c>
      <c r="Z74" s="5788"/>
      <c r="AA74" s="5788"/>
      <c r="AB74" s="5788" t="s">
        <v>2129</v>
      </c>
      <c r="AC74" s="5788"/>
      <c r="AD74" s="5788"/>
      <c r="AE74" s="5782">
        <v>224</v>
      </c>
      <c r="AF74" s="5789">
        <v>99</v>
      </c>
      <c r="AG74" s="5782" t="b">
        <v>1</v>
      </c>
      <c r="AH74" s="5782">
        <v>231</v>
      </c>
      <c r="AI74" s="5782" t="s">
        <v>2129</v>
      </c>
      <c r="AJ74" s="5782" t="s">
        <v>2129</v>
      </c>
      <c r="AK74" s="5782" t="s">
        <v>2129</v>
      </c>
      <c r="AL74" s="5782" t="s">
        <v>2129</v>
      </c>
      <c r="AM74" s="5782" t="s">
        <v>2129</v>
      </c>
      <c r="AN74" s="5782" t="s">
        <v>2129</v>
      </c>
      <c r="AQ74" s="5782" t="s">
        <v>2129</v>
      </c>
      <c r="AV74" s="5782" t="s">
        <v>2129</v>
      </c>
      <c r="AW74" s="5782" t="s">
        <v>2129</v>
      </c>
      <c r="AX74" s="5782" t="s">
        <v>2129</v>
      </c>
      <c r="AY74" s="5782" t="s">
        <v>2129</v>
      </c>
      <c r="AZ74" s="5782" t="s">
        <v>2129</v>
      </c>
      <c r="BA74" s="5782" t="s">
        <v>2129</v>
      </c>
      <c r="BB74" s="5782" t="s">
        <v>2129</v>
      </c>
      <c r="BC74" s="5782" t="s">
        <v>2129</v>
      </c>
      <c r="BD74" s="5782" t="s">
        <v>2129</v>
      </c>
      <c r="BE74" s="5782" t="s">
        <v>2129</v>
      </c>
      <c r="BF74" s="5782" t="s">
        <v>2129</v>
      </c>
      <c r="BG74" s="5782" t="s">
        <v>2129</v>
      </c>
      <c r="BH74" s="5788" t="s">
        <v>2129</v>
      </c>
      <c r="BJ74" s="5788" t="s">
        <v>2129</v>
      </c>
      <c r="BK74" s="5788" t="s">
        <v>2129</v>
      </c>
      <c r="BL74" s="5788" t="s">
        <v>2129</v>
      </c>
      <c r="BM74" s="5788" t="s">
        <v>2129</v>
      </c>
      <c r="BN74" s="5788" t="s">
        <v>2129</v>
      </c>
      <c r="BO74" s="5788" t="s">
        <v>2129</v>
      </c>
      <c r="BP74" s="5788" t="s">
        <v>2129</v>
      </c>
      <c r="BQ74" s="5788" t="s">
        <v>2129</v>
      </c>
      <c r="BR74" s="5788" t="s">
        <v>2129</v>
      </c>
      <c r="BS74" s="5788" t="s">
        <v>2129</v>
      </c>
      <c r="BT74" s="5788" t="s">
        <v>2129</v>
      </c>
      <c r="BU74" s="5788" t="s">
        <v>2129</v>
      </c>
      <c r="BV74" s="5788" t="s">
        <v>2129</v>
      </c>
      <c r="BW74" s="5788" t="s">
        <v>2129</v>
      </c>
      <c r="BX74" s="5788" t="s">
        <v>2129</v>
      </c>
      <c r="BY74" s="5788" t="s">
        <v>2129</v>
      </c>
      <c r="BZ74" s="5788" t="s">
        <v>2129</v>
      </c>
      <c r="CA74" s="5788" t="s">
        <v>2129</v>
      </c>
      <c r="CB74" s="5788"/>
      <c r="CC74" s="5788" t="s">
        <v>2129</v>
      </c>
      <c r="CD74" s="5788" t="s">
        <v>2129</v>
      </c>
      <c r="CE74" s="5788" t="s">
        <v>2129</v>
      </c>
      <c r="CF74" s="5788" t="s">
        <v>2129</v>
      </c>
      <c r="CG74" s="5788"/>
      <c r="CH74" s="5784"/>
    </row>
    <row r="75" spans="1:86" ht="13" hidden="1">
      <c r="A75">
        <v>121</v>
      </c>
      <c r="B75" s="196" t="s">
        <v>2825</v>
      </c>
      <c r="C75" s="5790" t="s">
        <v>2129</v>
      </c>
      <c r="D75" s="5790" t="s">
        <v>6599</v>
      </c>
      <c r="E75" s="5790" t="s">
        <v>2129</v>
      </c>
      <c r="F75" s="5792" t="s">
        <v>5205</v>
      </c>
      <c r="G75" s="5792" t="s">
        <v>2129</v>
      </c>
      <c r="H75" s="5785">
        <v>15</v>
      </c>
      <c r="I75" s="5785">
        <v>7</v>
      </c>
      <c r="J75" s="5785" t="b">
        <v>1</v>
      </c>
      <c r="K75" s="5785">
        <v>8</v>
      </c>
      <c r="L75" s="5786">
        <v>3856475</v>
      </c>
      <c r="M75" s="5786">
        <v>388245</v>
      </c>
      <c r="N75" s="5786">
        <v>104736</v>
      </c>
      <c r="O75" s="5786">
        <v>0</v>
      </c>
      <c r="P75" s="5786">
        <v>0</v>
      </c>
      <c r="Q75" s="2476">
        <v>4784401.6000000006</v>
      </c>
      <c r="R75" s="2477">
        <v>3860396</v>
      </c>
      <c r="S75" s="5800" t="b">
        <v>1</v>
      </c>
      <c r="T75" s="5786">
        <v>551485.14285714284</v>
      </c>
      <c r="U75" s="5786">
        <v>-2948031</v>
      </c>
      <c r="V75" s="863">
        <v>16971798</v>
      </c>
      <c r="W75" s="863">
        <v>19919829</v>
      </c>
      <c r="X75" s="863" t="b">
        <v>1</v>
      </c>
      <c r="Y75" s="863">
        <v>43116.512987012989</v>
      </c>
      <c r="AB75" s="863" t="s">
        <v>2129</v>
      </c>
      <c r="AC75" s="863">
        <v>3000</v>
      </c>
      <c r="AE75">
        <v>565</v>
      </c>
      <c r="AF75" s="3965">
        <v>462</v>
      </c>
      <c r="AG75" s="3965" t="b">
        <v>1</v>
      </c>
      <c r="AH75" s="2814">
        <v>776</v>
      </c>
      <c r="AI75" t="s">
        <v>2129</v>
      </c>
      <c r="AJ75" t="s">
        <v>2129</v>
      </c>
      <c r="AK75" t="s">
        <v>2129</v>
      </c>
      <c r="AL75">
        <v>565</v>
      </c>
      <c r="AM75" t="s">
        <v>2129</v>
      </c>
      <c r="AN75" t="s">
        <v>2129</v>
      </c>
      <c r="AQ75">
        <v>103</v>
      </c>
      <c r="AV75" t="s">
        <v>2129</v>
      </c>
      <c r="AW75">
        <v>31</v>
      </c>
      <c r="AX75" t="s">
        <v>2129</v>
      </c>
      <c r="AY75" t="s">
        <v>2129</v>
      </c>
      <c r="AZ75" t="s">
        <v>2129</v>
      </c>
      <c r="BA75" t="s">
        <v>2129</v>
      </c>
      <c r="BB75" t="s">
        <v>2129</v>
      </c>
      <c r="BC75">
        <v>18</v>
      </c>
      <c r="BD75" t="s">
        <v>2129</v>
      </c>
      <c r="BE75" t="s">
        <v>2129</v>
      </c>
      <c r="BF75" t="s">
        <v>2129</v>
      </c>
      <c r="BG75" t="s">
        <v>2129</v>
      </c>
      <c r="BH75" s="1958" t="s">
        <v>2129</v>
      </c>
      <c r="BI75" s="1958">
        <v>617514699</v>
      </c>
      <c r="BJ75" s="1958" t="s">
        <v>2129</v>
      </c>
      <c r="BK75" s="1958" t="s">
        <v>2129</v>
      </c>
      <c r="BL75" s="1958" t="s">
        <v>2129</v>
      </c>
      <c r="BM75" s="1958" t="s">
        <v>2129</v>
      </c>
      <c r="BN75" s="1958" t="s">
        <v>2129</v>
      </c>
      <c r="BO75" s="1958" t="s">
        <v>2129</v>
      </c>
      <c r="BP75" s="1958">
        <v>438494937.07792211</v>
      </c>
      <c r="BQ75" s="863">
        <v>438494937.07792211</v>
      </c>
      <c r="BR75" s="863" t="s">
        <v>2129</v>
      </c>
      <c r="BS75" s="1958" t="s">
        <v>2129</v>
      </c>
      <c r="BT75" s="1958" t="s">
        <v>2129</v>
      </c>
      <c r="BU75" s="1958" t="s">
        <v>2129</v>
      </c>
      <c r="BV75" s="1958" t="s">
        <v>2129</v>
      </c>
      <c r="BW75" s="1958" t="s">
        <v>2129</v>
      </c>
      <c r="BX75" s="1958" t="s">
        <v>2129</v>
      </c>
      <c r="BY75" s="1958">
        <v>119672276</v>
      </c>
      <c r="BZ75" s="1958" t="s">
        <v>2129</v>
      </c>
      <c r="CA75" s="1958" t="s">
        <v>2129</v>
      </c>
      <c r="CC75" s="1958">
        <v>69487128</v>
      </c>
      <c r="CD75" s="1958">
        <v>69487128</v>
      </c>
      <c r="CE75" s="1958" t="s">
        <v>2129</v>
      </c>
      <c r="CF75" s="1958" t="s">
        <v>2129</v>
      </c>
      <c r="CH75" s="5785"/>
    </row>
    <row r="76" spans="1:86" ht="13" hidden="1">
      <c r="A76">
        <v>127</v>
      </c>
      <c r="B76" s="196" t="s">
        <v>3303</v>
      </c>
      <c r="C76" s="5785" t="s">
        <v>2695</v>
      </c>
      <c r="D76" s="5785" t="s">
        <v>2129</v>
      </c>
      <c r="E76" s="5785" t="s">
        <v>2129</v>
      </c>
      <c r="F76" s="5785" t="s">
        <v>2695</v>
      </c>
      <c r="G76" s="5785" t="s">
        <v>2129</v>
      </c>
      <c r="H76" s="5785">
        <v>6</v>
      </c>
      <c r="I76" s="5785">
        <v>0</v>
      </c>
      <c r="J76" s="5785" t="b">
        <v>0</v>
      </c>
      <c r="K76" s="5785" t="s">
        <v>2129</v>
      </c>
      <c r="L76" s="5786">
        <v>0</v>
      </c>
      <c r="M76" s="5786">
        <v>0</v>
      </c>
      <c r="N76" s="5786">
        <v>0</v>
      </c>
      <c r="O76" s="5786">
        <v>0</v>
      </c>
      <c r="P76" s="5786">
        <v>0</v>
      </c>
      <c r="Q76" s="2476">
        <v>0</v>
      </c>
      <c r="R76" s="2477">
        <v>0</v>
      </c>
      <c r="S76" s="2477" t="b">
        <v>1</v>
      </c>
      <c r="T76" s="5786" t="s">
        <v>2129</v>
      </c>
      <c r="U76" s="5786">
        <v>0</v>
      </c>
      <c r="V76" s="863">
        <v>1294910</v>
      </c>
      <c r="W76" s="863">
        <v>1294910</v>
      </c>
      <c r="X76" s="863" t="b">
        <v>1</v>
      </c>
      <c r="Y76" s="863">
        <v>20554.126984126986</v>
      </c>
      <c r="AB76" s="863">
        <v>18459.158945117608</v>
      </c>
      <c r="AE76">
        <v>63</v>
      </c>
      <c r="AF76" s="3965">
        <v>63</v>
      </c>
      <c r="AG76" s="3965" t="b">
        <v>1</v>
      </c>
      <c r="AH76">
        <v>76</v>
      </c>
      <c r="AI76">
        <v>61</v>
      </c>
      <c r="AJ76" t="s">
        <v>2129</v>
      </c>
      <c r="AK76" t="s">
        <v>2129</v>
      </c>
      <c r="AL76">
        <v>120</v>
      </c>
      <c r="AM76" t="s">
        <v>2129</v>
      </c>
      <c r="AN76">
        <v>-2</v>
      </c>
      <c r="AQ76">
        <v>57</v>
      </c>
      <c r="AV76" t="s">
        <v>2129</v>
      </c>
      <c r="AW76" t="s">
        <v>2129</v>
      </c>
      <c r="AX76">
        <v>18</v>
      </c>
      <c r="AY76" t="s">
        <v>2129</v>
      </c>
      <c r="AZ76" t="s">
        <v>2129</v>
      </c>
      <c r="BA76" t="s">
        <v>2129</v>
      </c>
      <c r="BB76" t="s">
        <v>2129</v>
      </c>
      <c r="BC76" t="s">
        <v>2129</v>
      </c>
      <c r="BD76">
        <v>9</v>
      </c>
      <c r="BE76" t="s">
        <v>2129</v>
      </c>
      <c r="BF76" t="s">
        <v>2129</v>
      </c>
      <c r="BG76" t="s">
        <v>2129</v>
      </c>
      <c r="BH76" s="1958" t="s">
        <v>2129</v>
      </c>
      <c r="BI76"/>
      <c r="BJ76" s="863" t="s">
        <v>2129</v>
      </c>
      <c r="BK76" s="863" t="s">
        <v>2129</v>
      </c>
      <c r="BL76" s="863">
        <v>22568431.428571429</v>
      </c>
      <c r="BM76" s="863" t="s">
        <v>2129</v>
      </c>
      <c r="BN76" s="863" t="s">
        <v>2129</v>
      </c>
      <c r="BO76" s="863" t="s">
        <v>2129</v>
      </c>
      <c r="BP76" s="863" t="s">
        <v>2129</v>
      </c>
      <c r="BQ76" s="863" t="s">
        <v>2129</v>
      </c>
      <c r="BR76" s="863" t="s">
        <v>2129</v>
      </c>
      <c r="BS76" s="863" t="s">
        <v>2129</v>
      </c>
      <c r="BT76" s="863" t="s">
        <v>2129</v>
      </c>
      <c r="BU76" s="863">
        <v>22198457.142857146</v>
      </c>
      <c r="BV76" s="863" t="s">
        <v>2129</v>
      </c>
      <c r="BW76" s="863" t="s">
        <v>2129</v>
      </c>
      <c r="BX76" s="863" t="s">
        <v>2129</v>
      </c>
      <c r="BY76" s="863" t="s">
        <v>2129</v>
      </c>
      <c r="BZ76" s="863" t="s">
        <v>2129</v>
      </c>
      <c r="CA76" s="863" t="s">
        <v>2129</v>
      </c>
      <c r="CB76" s="863"/>
      <c r="CC76" s="863" t="s">
        <v>2129</v>
      </c>
      <c r="CD76" s="863" t="s">
        <v>2129</v>
      </c>
      <c r="CE76" s="863" t="s">
        <v>2129</v>
      </c>
      <c r="CF76" s="863" t="s">
        <v>2129</v>
      </c>
      <c r="CG76" s="863"/>
      <c r="CH76" s="5785"/>
    </row>
    <row r="77" spans="1:86" s="5782" customFormat="1" ht="13" hidden="1">
      <c r="A77" s="5782">
        <v>130</v>
      </c>
      <c r="B77" s="5783" t="s">
        <v>3304</v>
      </c>
      <c r="C77" s="5784" t="s">
        <v>2129</v>
      </c>
      <c r="D77" s="5784" t="s">
        <v>2129</v>
      </c>
      <c r="E77" s="5784" t="s">
        <v>2129</v>
      </c>
      <c r="F77" s="5784" t="s">
        <v>2129</v>
      </c>
      <c r="G77" s="5784" t="s">
        <v>2129</v>
      </c>
      <c r="H77" s="5784">
        <v>2</v>
      </c>
      <c r="I77" s="5784">
        <v>2</v>
      </c>
      <c r="J77" s="5785" t="b">
        <v>0</v>
      </c>
      <c r="K77" s="5785" t="s">
        <v>2129</v>
      </c>
      <c r="L77" s="5786">
        <v>101178</v>
      </c>
      <c r="M77" s="5786">
        <v>0</v>
      </c>
      <c r="N77" s="5786">
        <v>0</v>
      </c>
      <c r="O77" s="5786">
        <v>0</v>
      </c>
      <c r="P77" s="5786">
        <v>0</v>
      </c>
      <c r="Q77" s="2476">
        <v>111295.8</v>
      </c>
      <c r="R77" s="5787">
        <v>111295</v>
      </c>
      <c r="S77" s="2477" t="b">
        <v>0</v>
      </c>
      <c r="T77" s="5787">
        <v>55647.5</v>
      </c>
      <c r="U77" s="5787">
        <v>0</v>
      </c>
      <c r="V77" s="5788">
        <v>1475331</v>
      </c>
      <c r="W77" s="5788">
        <v>1475331</v>
      </c>
      <c r="X77" s="5788" t="b">
        <v>1</v>
      </c>
      <c r="Y77" s="5788">
        <v>14753.31</v>
      </c>
      <c r="Z77" s="5788"/>
      <c r="AA77" s="5788"/>
      <c r="AB77" s="5788" t="s">
        <v>2129</v>
      </c>
      <c r="AC77" s="5788"/>
      <c r="AD77" s="5788"/>
      <c r="AE77" s="5782">
        <v>208</v>
      </c>
      <c r="AF77" s="5789">
        <v>100</v>
      </c>
      <c r="AG77" s="5789" t="b">
        <v>1</v>
      </c>
      <c r="AH77" s="5782">
        <v>211</v>
      </c>
      <c r="AI77" s="5782" t="s">
        <v>2129</v>
      </c>
      <c r="AJ77" s="5782" t="s">
        <v>2129</v>
      </c>
      <c r="AK77" s="5782" t="s">
        <v>2129</v>
      </c>
      <c r="AL77" s="5782" t="s">
        <v>2129</v>
      </c>
      <c r="AM77" s="5782" t="s">
        <v>2129</v>
      </c>
      <c r="AN77" s="5782" t="s">
        <v>2129</v>
      </c>
      <c r="AQ77" s="5782" t="s">
        <v>2129</v>
      </c>
      <c r="AV77" s="5782" t="s">
        <v>2129</v>
      </c>
      <c r="AW77" s="5782" t="s">
        <v>2129</v>
      </c>
      <c r="AX77" s="5782" t="s">
        <v>2129</v>
      </c>
      <c r="AY77" s="5782" t="s">
        <v>2129</v>
      </c>
      <c r="AZ77" s="5782" t="s">
        <v>2129</v>
      </c>
      <c r="BA77" s="5782" t="s">
        <v>2129</v>
      </c>
      <c r="BB77" s="5782" t="s">
        <v>2129</v>
      </c>
      <c r="BC77" s="5782" t="s">
        <v>2129</v>
      </c>
      <c r="BD77" s="5782" t="s">
        <v>2129</v>
      </c>
      <c r="BE77" s="5782" t="s">
        <v>2129</v>
      </c>
      <c r="BF77" s="5782" t="s">
        <v>2129</v>
      </c>
      <c r="BG77" s="5782" t="s">
        <v>2129</v>
      </c>
      <c r="BH77" s="5788" t="s">
        <v>2129</v>
      </c>
      <c r="BJ77" s="5788" t="s">
        <v>2129</v>
      </c>
      <c r="BK77" s="5788" t="s">
        <v>2129</v>
      </c>
      <c r="BL77" s="5788" t="s">
        <v>2129</v>
      </c>
      <c r="BM77" s="5788" t="s">
        <v>2129</v>
      </c>
      <c r="BN77" s="5788" t="s">
        <v>2129</v>
      </c>
      <c r="BO77" s="5788" t="s">
        <v>2129</v>
      </c>
      <c r="BP77" s="5788" t="s">
        <v>2129</v>
      </c>
      <c r="BQ77" s="5788" t="s">
        <v>2129</v>
      </c>
      <c r="BR77" s="5788" t="s">
        <v>2129</v>
      </c>
      <c r="BS77" s="5788" t="s">
        <v>2129</v>
      </c>
      <c r="BT77" s="5788" t="s">
        <v>2129</v>
      </c>
      <c r="BU77" s="5788" t="s">
        <v>2129</v>
      </c>
      <c r="BV77" s="5788" t="s">
        <v>2129</v>
      </c>
      <c r="BW77" s="5788" t="s">
        <v>2129</v>
      </c>
      <c r="BX77" s="5788" t="s">
        <v>2129</v>
      </c>
      <c r="BY77" s="5788" t="s">
        <v>2129</v>
      </c>
      <c r="BZ77" s="5788" t="s">
        <v>2129</v>
      </c>
      <c r="CA77" s="5788" t="s">
        <v>2129</v>
      </c>
      <c r="CB77" s="5788"/>
      <c r="CC77" s="5788" t="s">
        <v>2129</v>
      </c>
      <c r="CD77" s="5788" t="s">
        <v>2129</v>
      </c>
      <c r="CE77" s="5788" t="s">
        <v>2129</v>
      </c>
      <c r="CF77" s="5788" t="s">
        <v>2129</v>
      </c>
      <c r="CG77" s="5788"/>
      <c r="CH77" s="5784"/>
    </row>
    <row r="78" spans="1:86" s="5782" customFormat="1" ht="13" hidden="1">
      <c r="A78" s="5782">
        <v>133</v>
      </c>
      <c r="B78" s="5783" t="s">
        <v>3305</v>
      </c>
      <c r="C78" s="5784" t="s">
        <v>2129</v>
      </c>
      <c r="D78" s="5784" t="s">
        <v>2129</v>
      </c>
      <c r="E78" s="5784" t="s">
        <v>2129</v>
      </c>
      <c r="F78" s="5784" t="s">
        <v>2129</v>
      </c>
      <c r="G78" s="5784" t="s">
        <v>2129</v>
      </c>
      <c r="H78" s="5784">
        <v>0</v>
      </c>
      <c r="I78" s="5784">
        <v>0</v>
      </c>
      <c r="J78" s="5785" t="b">
        <v>0</v>
      </c>
      <c r="K78" s="5785" t="s">
        <v>2129</v>
      </c>
      <c r="L78" s="5786">
        <v>0</v>
      </c>
      <c r="M78" s="5786">
        <v>0</v>
      </c>
      <c r="N78" s="5786">
        <v>0</v>
      </c>
      <c r="O78" s="5786">
        <v>0</v>
      </c>
      <c r="P78" s="5786">
        <v>0</v>
      </c>
      <c r="Q78" s="2476">
        <v>0</v>
      </c>
      <c r="R78" s="5787">
        <v>0</v>
      </c>
      <c r="S78" s="2477" t="b">
        <v>1</v>
      </c>
      <c r="T78" s="5787" t="s">
        <v>2129</v>
      </c>
      <c r="U78" s="5787">
        <v>0</v>
      </c>
      <c r="V78" s="5788">
        <v>10948390</v>
      </c>
      <c r="W78" s="5788">
        <v>10948390</v>
      </c>
      <c r="X78" s="5788" t="b">
        <v>1</v>
      </c>
      <c r="Y78" s="5788">
        <v>27370.974999999999</v>
      </c>
      <c r="Z78" s="5788"/>
      <c r="AA78" s="5788"/>
      <c r="AB78" s="5788" t="s">
        <v>2129</v>
      </c>
      <c r="AC78" s="5788"/>
      <c r="AD78" s="5788"/>
      <c r="AE78" s="5782">
        <v>400</v>
      </c>
      <c r="AF78" s="5789">
        <v>400</v>
      </c>
      <c r="AG78" s="5789" t="b">
        <v>1</v>
      </c>
      <c r="AH78" s="5782">
        <v>401</v>
      </c>
      <c r="AI78" s="5782" t="s">
        <v>2129</v>
      </c>
      <c r="AJ78" s="5782" t="s">
        <v>2129</v>
      </c>
      <c r="AK78" s="5782" t="s">
        <v>2129</v>
      </c>
      <c r="AL78" s="5782" t="s">
        <v>2129</v>
      </c>
      <c r="AM78" s="5782" t="s">
        <v>2129</v>
      </c>
      <c r="AN78" s="5782" t="s">
        <v>2129</v>
      </c>
      <c r="AQ78" s="5782" t="s">
        <v>2129</v>
      </c>
      <c r="AV78" s="5782" t="s">
        <v>2129</v>
      </c>
      <c r="AW78" s="5782" t="s">
        <v>2129</v>
      </c>
      <c r="AX78" s="5782" t="s">
        <v>2129</v>
      </c>
      <c r="AY78" s="5782" t="s">
        <v>2129</v>
      </c>
      <c r="AZ78" s="5782" t="s">
        <v>2129</v>
      </c>
      <c r="BA78" s="5782" t="s">
        <v>2129</v>
      </c>
      <c r="BB78" s="5782" t="s">
        <v>2129</v>
      </c>
      <c r="BC78" s="5782" t="s">
        <v>2129</v>
      </c>
      <c r="BD78" s="5782" t="s">
        <v>2129</v>
      </c>
      <c r="BE78" s="5782" t="s">
        <v>2129</v>
      </c>
      <c r="BF78" s="5782" t="s">
        <v>2129</v>
      </c>
      <c r="BG78" s="5782" t="s">
        <v>2129</v>
      </c>
      <c r="BH78" s="5788" t="s">
        <v>2129</v>
      </c>
      <c r="BJ78" s="5788" t="s">
        <v>2129</v>
      </c>
      <c r="BK78" s="5788" t="s">
        <v>2129</v>
      </c>
      <c r="BL78" s="5788" t="s">
        <v>2129</v>
      </c>
      <c r="BM78" s="5788" t="s">
        <v>2129</v>
      </c>
      <c r="BN78" s="5788" t="s">
        <v>2129</v>
      </c>
      <c r="BO78" s="5788" t="s">
        <v>2129</v>
      </c>
      <c r="BP78" s="5788" t="s">
        <v>2129</v>
      </c>
      <c r="BQ78" s="5788" t="s">
        <v>2129</v>
      </c>
      <c r="BR78" s="5788" t="s">
        <v>2129</v>
      </c>
      <c r="BS78" s="5788" t="s">
        <v>2129</v>
      </c>
      <c r="BT78" s="5788" t="s">
        <v>2129</v>
      </c>
      <c r="BU78" s="5788" t="s">
        <v>2129</v>
      </c>
      <c r="BV78" s="5788" t="s">
        <v>2129</v>
      </c>
      <c r="BW78" s="5788" t="s">
        <v>2129</v>
      </c>
      <c r="BX78" s="5788" t="s">
        <v>2129</v>
      </c>
      <c r="BY78" s="5788" t="s">
        <v>2129</v>
      </c>
      <c r="BZ78" s="5788" t="s">
        <v>2129</v>
      </c>
      <c r="CA78" s="5788" t="s">
        <v>2129</v>
      </c>
      <c r="CB78" s="5788"/>
      <c r="CC78" s="5788" t="s">
        <v>2129</v>
      </c>
      <c r="CD78" s="5788" t="s">
        <v>2129</v>
      </c>
      <c r="CE78" s="5788" t="s">
        <v>2129</v>
      </c>
      <c r="CF78" s="5788" t="s">
        <v>2129</v>
      </c>
      <c r="CG78" s="5788"/>
      <c r="CH78" s="5784"/>
    </row>
    <row r="79" spans="1:86" s="5782" customFormat="1" ht="13" hidden="1">
      <c r="A79" s="5782">
        <v>139</v>
      </c>
      <c r="B79" s="5783" t="s">
        <v>3306</v>
      </c>
      <c r="C79" s="5784" t="s">
        <v>2129</v>
      </c>
      <c r="D79" s="5784" t="s">
        <v>2129</v>
      </c>
      <c r="E79" s="5784" t="s">
        <v>2129</v>
      </c>
      <c r="F79" s="5784" t="s">
        <v>2129</v>
      </c>
      <c r="G79" s="5784" t="s">
        <v>2129</v>
      </c>
      <c r="H79" s="5784">
        <v>0</v>
      </c>
      <c r="I79" s="5784">
        <v>1</v>
      </c>
      <c r="J79" s="5785" t="b">
        <v>0</v>
      </c>
      <c r="K79" s="5785" t="s">
        <v>2129</v>
      </c>
      <c r="L79" s="5786">
        <v>35295</v>
      </c>
      <c r="M79" s="5786">
        <v>0</v>
      </c>
      <c r="N79" s="5786">
        <v>0</v>
      </c>
      <c r="O79" s="5786">
        <v>0</v>
      </c>
      <c r="P79" s="5786">
        <v>0</v>
      </c>
      <c r="Q79" s="2476">
        <v>38824.5</v>
      </c>
      <c r="R79" s="5787">
        <v>38824</v>
      </c>
      <c r="S79" s="2477" t="b">
        <v>0</v>
      </c>
      <c r="T79" s="5787">
        <v>38824</v>
      </c>
      <c r="U79" s="5787">
        <v>0</v>
      </c>
      <c r="V79" s="1958">
        <v>12317498</v>
      </c>
      <c r="W79" s="5788">
        <v>12317498</v>
      </c>
      <c r="X79" s="5793" t="b">
        <v>1</v>
      </c>
      <c r="Y79" s="5788">
        <v>58101.405660377357</v>
      </c>
      <c r="Z79" s="5788"/>
      <c r="AA79" s="5788"/>
      <c r="AB79" s="5788" t="s">
        <v>2129</v>
      </c>
      <c r="AC79" s="863"/>
      <c r="AD79" s="863"/>
      <c r="AE79" s="5782">
        <v>218</v>
      </c>
      <c r="AF79" s="5789">
        <v>212</v>
      </c>
      <c r="AG79" s="5801" t="b">
        <v>1</v>
      </c>
      <c r="AH79" s="5782">
        <v>246</v>
      </c>
      <c r="AI79" s="5782" t="s">
        <v>2129</v>
      </c>
      <c r="AJ79" s="5782" t="s">
        <v>2129</v>
      </c>
      <c r="AK79" s="5782" t="s">
        <v>2129</v>
      </c>
      <c r="AL79" t="s">
        <v>2129</v>
      </c>
      <c r="AM79" t="s">
        <v>2129</v>
      </c>
      <c r="AN79" t="s">
        <v>2129</v>
      </c>
      <c r="AO79"/>
      <c r="AP79"/>
      <c r="AQ79" t="s">
        <v>2129</v>
      </c>
      <c r="AR79"/>
      <c r="AS79"/>
      <c r="AT79"/>
      <c r="AU79"/>
      <c r="AV79" s="5782" t="s">
        <v>2129</v>
      </c>
      <c r="AW79" t="s">
        <v>2129</v>
      </c>
      <c r="AX79" s="5782" t="s">
        <v>2129</v>
      </c>
      <c r="AY79" s="5782" t="s">
        <v>2129</v>
      </c>
      <c r="AZ79" s="5782" t="s">
        <v>2129</v>
      </c>
      <c r="BA79" s="5782" t="s">
        <v>2129</v>
      </c>
      <c r="BB79" s="5782" t="s">
        <v>2129</v>
      </c>
      <c r="BC79" t="s">
        <v>2129</v>
      </c>
      <c r="BD79" t="s">
        <v>2129</v>
      </c>
      <c r="BE79" t="s">
        <v>2129</v>
      </c>
      <c r="BF79" t="s">
        <v>2129</v>
      </c>
      <c r="BG79" t="s">
        <v>2129</v>
      </c>
      <c r="BH79" s="5788" t="s">
        <v>2129</v>
      </c>
      <c r="BI79"/>
      <c r="BJ79" s="5788" t="s">
        <v>2129</v>
      </c>
      <c r="BK79" s="5788" t="s">
        <v>2129</v>
      </c>
      <c r="BL79" s="5788" t="s">
        <v>2129</v>
      </c>
      <c r="BM79" s="5788" t="s">
        <v>2129</v>
      </c>
      <c r="BN79" s="5788" t="s">
        <v>2129</v>
      </c>
      <c r="BO79" s="5788" t="s">
        <v>2129</v>
      </c>
      <c r="BP79" s="863" t="s">
        <v>2129</v>
      </c>
      <c r="BQ79" s="863" t="s">
        <v>2129</v>
      </c>
      <c r="BR79" s="863" t="s">
        <v>2129</v>
      </c>
      <c r="BS79" s="863" t="s">
        <v>2129</v>
      </c>
      <c r="BT79" s="863" t="s">
        <v>2129</v>
      </c>
      <c r="BU79" s="863" t="s">
        <v>2129</v>
      </c>
      <c r="BV79" s="863" t="s">
        <v>2129</v>
      </c>
      <c r="BW79" s="863" t="s">
        <v>2129</v>
      </c>
      <c r="BX79" s="5788" t="s">
        <v>2129</v>
      </c>
      <c r="BY79" s="863" t="s">
        <v>2129</v>
      </c>
      <c r="BZ79" s="5788" t="s">
        <v>2129</v>
      </c>
      <c r="CA79" s="5788" t="s">
        <v>2129</v>
      </c>
      <c r="CB79" s="863"/>
      <c r="CC79" s="863" t="s">
        <v>2129</v>
      </c>
      <c r="CD79" s="863" t="s">
        <v>2129</v>
      </c>
      <c r="CE79" s="863" t="s">
        <v>2129</v>
      </c>
      <c r="CF79" s="863" t="s">
        <v>2129</v>
      </c>
      <c r="CG79" s="863"/>
      <c r="CH79" s="5784"/>
    </row>
    <row r="80" spans="1:86" ht="13" hidden="1">
      <c r="A80">
        <v>140</v>
      </c>
      <c r="B80" s="5796" t="s">
        <v>3307</v>
      </c>
      <c r="C80" s="5785" t="s">
        <v>2695</v>
      </c>
      <c r="D80" s="2694" t="s">
        <v>2129</v>
      </c>
      <c r="E80" s="2694" t="s">
        <v>2129</v>
      </c>
      <c r="F80" s="5785" t="s">
        <v>2129</v>
      </c>
      <c r="G80" s="2694" t="s">
        <v>2129</v>
      </c>
      <c r="H80" s="5785">
        <v>7</v>
      </c>
      <c r="I80" s="2694">
        <v>2</v>
      </c>
      <c r="J80" s="2694" t="b">
        <v>0</v>
      </c>
      <c r="K80" s="2694" t="s">
        <v>2129</v>
      </c>
      <c r="L80" s="2477">
        <v>776472</v>
      </c>
      <c r="M80" s="2477"/>
      <c r="N80" s="2477"/>
      <c r="O80" s="2477"/>
      <c r="P80" s="2477"/>
      <c r="Q80" s="2695"/>
      <c r="R80" s="2477">
        <v>854119</v>
      </c>
      <c r="S80" s="2477" t="b">
        <v>0</v>
      </c>
      <c r="T80" s="5786">
        <v>427059.5</v>
      </c>
      <c r="U80" s="5786">
        <v>0</v>
      </c>
      <c r="V80" s="1958">
        <v>1373454</v>
      </c>
      <c r="W80" s="1958">
        <v>1373454</v>
      </c>
      <c r="X80" s="1958" t="b">
        <v>1</v>
      </c>
      <c r="Y80" s="863">
        <v>14159.319587628866</v>
      </c>
      <c r="AB80" s="863">
        <v>12312.451815329448</v>
      </c>
      <c r="AE80" t="s">
        <v>3308</v>
      </c>
      <c r="AF80" s="3965">
        <v>97</v>
      </c>
      <c r="AG80" s="3965" t="b">
        <v>1</v>
      </c>
      <c r="AH80" t="s">
        <v>3308</v>
      </c>
      <c r="AI80">
        <v>97</v>
      </c>
      <c r="AJ80" t="s">
        <v>2129</v>
      </c>
      <c r="AK80" t="s">
        <v>2129</v>
      </c>
      <c r="AL80" t="s">
        <v>2129</v>
      </c>
      <c r="AM80" t="s">
        <v>2129</v>
      </c>
      <c r="AN80">
        <v>0</v>
      </c>
      <c r="AV80" t="s">
        <v>2129</v>
      </c>
      <c r="AW80" t="s">
        <v>2129</v>
      </c>
      <c r="AX80">
        <v>18</v>
      </c>
      <c r="AY80" t="s">
        <v>2129</v>
      </c>
      <c r="AZ80" t="s">
        <v>2129</v>
      </c>
      <c r="BA80" t="s">
        <v>2129</v>
      </c>
      <c r="BB80" t="s">
        <v>2129</v>
      </c>
      <c r="BC80" t="s">
        <v>2129</v>
      </c>
      <c r="BD80" t="s">
        <v>2129</v>
      </c>
      <c r="BE80" t="s">
        <v>2129</v>
      </c>
      <c r="BF80" t="s">
        <v>2129</v>
      </c>
      <c r="BG80" t="s">
        <v>2129</v>
      </c>
      <c r="BH80" s="1958" t="s">
        <v>2129</v>
      </c>
      <c r="BI80"/>
      <c r="BJ80" s="863" t="s">
        <v>2129</v>
      </c>
      <c r="BK80" s="863" t="s">
        <v>2129</v>
      </c>
      <c r="BL80" s="863">
        <v>24722172</v>
      </c>
      <c r="BM80" s="863" t="s">
        <v>2129</v>
      </c>
      <c r="BN80" s="863" t="s">
        <v>2129</v>
      </c>
      <c r="BO80" s="863" t="s">
        <v>2129</v>
      </c>
      <c r="BP80" s="863" t="s">
        <v>2129</v>
      </c>
      <c r="BQ80" s="863" t="s">
        <v>2129</v>
      </c>
      <c r="BR80" s="863" t="s">
        <v>2129</v>
      </c>
      <c r="BS80" s="863" t="s">
        <v>2129</v>
      </c>
      <c r="BT80" s="863" t="s">
        <v>2129</v>
      </c>
      <c r="BU80" s="863" t="s">
        <v>2129</v>
      </c>
      <c r="BV80" s="863" t="s">
        <v>2129</v>
      </c>
      <c r="BW80" s="863" t="s">
        <v>2129</v>
      </c>
      <c r="BX80" s="863" t="s">
        <v>2129</v>
      </c>
      <c r="BY80" s="863" t="s">
        <v>2129</v>
      </c>
      <c r="BZ80" s="863" t="s">
        <v>2129</v>
      </c>
      <c r="CA80" s="863" t="s">
        <v>2129</v>
      </c>
      <c r="CB80" s="863"/>
      <c r="CC80" s="863" t="s">
        <v>2129</v>
      </c>
      <c r="CD80" s="863" t="s">
        <v>2129</v>
      </c>
      <c r="CE80" s="863" t="s">
        <v>2129</v>
      </c>
      <c r="CF80" s="863" t="s">
        <v>2129</v>
      </c>
      <c r="CG80" s="863"/>
      <c r="CH80" s="5785"/>
    </row>
    <row r="81" spans="1:86" s="5782" customFormat="1" ht="13" hidden="1">
      <c r="A81" s="5782">
        <v>141</v>
      </c>
      <c r="B81" s="5783" t="s">
        <v>3309</v>
      </c>
      <c r="C81" s="5784" t="s">
        <v>2129</v>
      </c>
      <c r="D81" s="5784" t="s">
        <v>2129</v>
      </c>
      <c r="E81" s="5784" t="s">
        <v>2129</v>
      </c>
      <c r="F81" s="5784" t="s">
        <v>2129</v>
      </c>
      <c r="G81" s="5784" t="s">
        <v>2129</v>
      </c>
      <c r="H81" s="5784">
        <v>6</v>
      </c>
      <c r="I81" s="5784">
        <v>3</v>
      </c>
      <c r="J81" s="2694" t="b">
        <v>0</v>
      </c>
      <c r="K81" s="2694" t="s">
        <v>2129</v>
      </c>
      <c r="L81" s="2477">
        <v>329414</v>
      </c>
      <c r="M81" s="2477">
        <v>0</v>
      </c>
      <c r="N81" s="2477">
        <v>0</v>
      </c>
      <c r="O81" s="2477">
        <v>0</v>
      </c>
      <c r="P81" s="2477">
        <v>0</v>
      </c>
      <c r="Q81" s="2695">
        <v>362355.4</v>
      </c>
      <c r="R81" s="5787">
        <v>362355</v>
      </c>
      <c r="S81" s="2477" t="b">
        <v>0</v>
      </c>
      <c r="T81" s="5787">
        <v>120785</v>
      </c>
      <c r="U81" s="5787">
        <v>0</v>
      </c>
      <c r="V81" s="5788">
        <v>2705243</v>
      </c>
      <c r="W81" s="5788">
        <v>2705243</v>
      </c>
      <c r="X81" s="5788" t="b">
        <v>1</v>
      </c>
      <c r="Y81" s="5788">
        <v>27325.686868686869</v>
      </c>
      <c r="Z81" s="5788"/>
      <c r="AA81" s="5788"/>
      <c r="AB81" s="5788" t="s">
        <v>2129</v>
      </c>
      <c r="AC81" s="5788"/>
      <c r="AD81" s="5788"/>
      <c r="AE81" s="5782" t="s">
        <v>3308</v>
      </c>
      <c r="AF81" s="5789">
        <v>99</v>
      </c>
      <c r="AG81" s="5782" t="b">
        <v>1</v>
      </c>
      <c r="AH81" s="5782" t="s">
        <v>3308</v>
      </c>
      <c r="AI81" s="5782" t="s">
        <v>2129</v>
      </c>
      <c r="AJ81" s="5782" t="s">
        <v>2129</v>
      </c>
      <c r="AK81" s="5782" t="s">
        <v>2129</v>
      </c>
      <c r="AL81" s="5782" t="s">
        <v>2129</v>
      </c>
      <c r="AM81" s="5782" t="s">
        <v>2129</v>
      </c>
      <c r="AN81" s="5782" t="s">
        <v>2129</v>
      </c>
      <c r="AQ81" s="5782" t="s">
        <v>2129</v>
      </c>
      <c r="AV81" s="5782" t="s">
        <v>2129</v>
      </c>
      <c r="AW81" s="5782" t="s">
        <v>2129</v>
      </c>
      <c r="AX81" s="5782" t="s">
        <v>2129</v>
      </c>
      <c r="AY81" s="5782" t="s">
        <v>2129</v>
      </c>
      <c r="AZ81" s="5782" t="s">
        <v>2129</v>
      </c>
      <c r="BA81" s="5782" t="s">
        <v>2129</v>
      </c>
      <c r="BB81" s="5782" t="s">
        <v>2129</v>
      </c>
      <c r="BC81" s="5782" t="s">
        <v>2129</v>
      </c>
      <c r="BD81" s="5782" t="s">
        <v>2129</v>
      </c>
      <c r="BE81" s="5782" t="s">
        <v>2129</v>
      </c>
      <c r="BF81" s="5782" t="s">
        <v>2129</v>
      </c>
      <c r="BG81" s="5782" t="s">
        <v>2129</v>
      </c>
      <c r="BH81" s="5788" t="s">
        <v>2129</v>
      </c>
      <c r="BJ81" s="5788" t="s">
        <v>2129</v>
      </c>
      <c r="BK81" s="5788" t="s">
        <v>2129</v>
      </c>
      <c r="BL81" s="5788" t="s">
        <v>2129</v>
      </c>
      <c r="BM81" s="5788" t="s">
        <v>2129</v>
      </c>
      <c r="BN81" s="5788" t="s">
        <v>2129</v>
      </c>
      <c r="BO81" s="5788" t="s">
        <v>2129</v>
      </c>
      <c r="BP81" s="5788" t="s">
        <v>2129</v>
      </c>
      <c r="BQ81" s="5788" t="s">
        <v>2129</v>
      </c>
      <c r="BR81" s="5788" t="s">
        <v>2129</v>
      </c>
      <c r="BS81" s="5788" t="s">
        <v>2129</v>
      </c>
      <c r="BT81" s="5788" t="s">
        <v>2129</v>
      </c>
      <c r="BU81" s="5788" t="s">
        <v>2129</v>
      </c>
      <c r="BV81" s="5788" t="s">
        <v>2129</v>
      </c>
      <c r="BW81" s="5788" t="s">
        <v>2129</v>
      </c>
      <c r="BX81" s="5788" t="s">
        <v>2129</v>
      </c>
      <c r="BY81" s="5788" t="s">
        <v>2129</v>
      </c>
      <c r="BZ81" s="5788" t="s">
        <v>2129</v>
      </c>
      <c r="CA81" s="5788" t="s">
        <v>2129</v>
      </c>
      <c r="CB81" s="5788"/>
      <c r="CC81" s="5788" t="s">
        <v>2129</v>
      </c>
      <c r="CD81" s="5788" t="s">
        <v>2129</v>
      </c>
      <c r="CE81" s="5788" t="s">
        <v>2129</v>
      </c>
      <c r="CF81" s="5788" t="s">
        <v>2129</v>
      </c>
      <c r="CG81" s="5788"/>
      <c r="CH81" s="5784"/>
    </row>
    <row r="82" spans="1:86" s="5782" customFormat="1" ht="13" hidden="1">
      <c r="A82" s="5782">
        <v>146</v>
      </c>
      <c r="B82" s="5783" t="s">
        <v>3310</v>
      </c>
      <c r="C82" s="5784" t="s">
        <v>2129</v>
      </c>
      <c r="D82" s="5784" t="s">
        <v>2129</v>
      </c>
      <c r="E82" s="5784" t="s">
        <v>2129</v>
      </c>
      <c r="F82" s="5784" t="s">
        <v>2129</v>
      </c>
      <c r="G82" s="5784" t="s">
        <v>2129</v>
      </c>
      <c r="H82" s="5784">
        <v>0</v>
      </c>
      <c r="I82" s="5784">
        <v>0</v>
      </c>
      <c r="J82" s="2694" t="b">
        <v>1</v>
      </c>
      <c r="K82" s="2694" t="s">
        <v>2129</v>
      </c>
      <c r="L82" s="2477">
        <v>0</v>
      </c>
      <c r="M82" s="2477">
        <v>0</v>
      </c>
      <c r="N82" s="2477">
        <v>0</v>
      </c>
      <c r="O82" s="2477">
        <v>0</v>
      </c>
      <c r="P82" s="2477">
        <v>0</v>
      </c>
      <c r="Q82" s="2695">
        <v>0</v>
      </c>
      <c r="R82" s="5787">
        <v>0</v>
      </c>
      <c r="S82" s="2477" t="b">
        <v>1</v>
      </c>
      <c r="T82" s="5787" t="s">
        <v>2129</v>
      </c>
      <c r="U82" s="5787">
        <v>0</v>
      </c>
      <c r="V82" s="5788">
        <v>1801162</v>
      </c>
      <c r="W82" s="5788">
        <v>1801162</v>
      </c>
      <c r="X82" s="5788" t="b">
        <v>1</v>
      </c>
      <c r="Y82" s="5788">
        <v>30019.366666666665</v>
      </c>
      <c r="Z82" s="5788"/>
      <c r="AA82" s="5788"/>
      <c r="AB82" s="5788" t="s">
        <v>2129</v>
      </c>
      <c r="AC82" s="5788"/>
      <c r="AD82" s="5788"/>
      <c r="AE82" s="5782">
        <v>143</v>
      </c>
      <c r="AF82" s="5789">
        <v>60</v>
      </c>
      <c r="AG82" s="5789" t="b">
        <v>1</v>
      </c>
      <c r="AH82" s="5782">
        <v>175</v>
      </c>
      <c r="AI82" s="5782" t="s">
        <v>2129</v>
      </c>
      <c r="AJ82" s="5782" t="s">
        <v>2129</v>
      </c>
      <c r="AK82" s="5782" t="s">
        <v>2129</v>
      </c>
      <c r="AL82" s="5782" t="s">
        <v>2129</v>
      </c>
      <c r="AM82" s="5782" t="s">
        <v>2129</v>
      </c>
      <c r="AN82" s="5782" t="s">
        <v>2129</v>
      </c>
      <c r="AQ82" s="5782" t="s">
        <v>2129</v>
      </c>
      <c r="AV82" s="5782" t="s">
        <v>2129</v>
      </c>
      <c r="AW82" s="5782" t="s">
        <v>2129</v>
      </c>
      <c r="AX82" s="5782" t="s">
        <v>2129</v>
      </c>
      <c r="AY82" s="5782" t="s">
        <v>2129</v>
      </c>
      <c r="AZ82" s="5782" t="s">
        <v>2129</v>
      </c>
      <c r="BA82" s="5782" t="s">
        <v>2129</v>
      </c>
      <c r="BB82" s="5782" t="s">
        <v>2129</v>
      </c>
      <c r="BC82" s="5782" t="s">
        <v>2129</v>
      </c>
      <c r="BD82" s="5782" t="s">
        <v>2129</v>
      </c>
      <c r="BE82" s="5782" t="s">
        <v>2129</v>
      </c>
      <c r="BF82" s="5782" t="s">
        <v>2129</v>
      </c>
      <c r="BG82" s="5782" t="s">
        <v>2129</v>
      </c>
      <c r="BH82" s="5788" t="s">
        <v>2129</v>
      </c>
      <c r="BJ82" s="5788" t="s">
        <v>2129</v>
      </c>
      <c r="BK82" s="5788" t="s">
        <v>2129</v>
      </c>
      <c r="BL82" s="5788" t="s">
        <v>2129</v>
      </c>
      <c r="BM82" s="5788" t="s">
        <v>2129</v>
      </c>
      <c r="BN82" s="5788" t="s">
        <v>2129</v>
      </c>
      <c r="BO82" s="5788" t="s">
        <v>2129</v>
      </c>
      <c r="BP82" s="5788" t="s">
        <v>2129</v>
      </c>
      <c r="BQ82" s="5788" t="s">
        <v>2129</v>
      </c>
      <c r="BR82" s="5788" t="s">
        <v>2129</v>
      </c>
      <c r="BS82" s="5788" t="s">
        <v>2129</v>
      </c>
      <c r="BT82" s="5788" t="s">
        <v>2129</v>
      </c>
      <c r="BU82" s="5788" t="s">
        <v>2129</v>
      </c>
      <c r="BV82" s="5788" t="s">
        <v>2129</v>
      </c>
      <c r="BW82" s="5788" t="s">
        <v>2129</v>
      </c>
      <c r="BX82" s="5788" t="s">
        <v>2129</v>
      </c>
      <c r="BY82" s="5788" t="s">
        <v>2129</v>
      </c>
      <c r="BZ82" s="5788" t="s">
        <v>2129</v>
      </c>
      <c r="CA82" s="5788" t="s">
        <v>2129</v>
      </c>
      <c r="CB82" s="5788"/>
      <c r="CC82" s="5788" t="s">
        <v>2129</v>
      </c>
      <c r="CD82" s="5788" t="s">
        <v>2129</v>
      </c>
      <c r="CE82" s="5788" t="s">
        <v>2129</v>
      </c>
      <c r="CF82" s="5788" t="s">
        <v>2129</v>
      </c>
      <c r="CG82" s="5788"/>
      <c r="CH82" s="5784"/>
    </row>
    <row r="83" spans="1:86" s="5782" customFormat="1" ht="13" hidden="1">
      <c r="A83" s="5782">
        <v>154</v>
      </c>
      <c r="B83" s="5783" t="s">
        <v>3311</v>
      </c>
      <c r="C83" s="5784" t="s">
        <v>2129</v>
      </c>
      <c r="D83" s="5784" t="s">
        <v>2129</v>
      </c>
      <c r="E83" s="5784" t="s">
        <v>2129</v>
      </c>
      <c r="F83" s="5784" t="s">
        <v>2129</v>
      </c>
      <c r="G83" s="5784" t="s">
        <v>2129</v>
      </c>
      <c r="H83" s="5784">
        <v>0</v>
      </c>
      <c r="I83" s="5784">
        <v>0</v>
      </c>
      <c r="J83" s="2694" t="b">
        <v>0</v>
      </c>
      <c r="K83" s="2694" t="s">
        <v>2129</v>
      </c>
      <c r="L83" s="2477">
        <v>0</v>
      </c>
      <c r="M83" s="2477">
        <v>0</v>
      </c>
      <c r="N83" s="2477">
        <v>0</v>
      </c>
      <c r="O83" s="2477">
        <v>0</v>
      </c>
      <c r="P83" s="2477">
        <v>0</v>
      </c>
      <c r="Q83" s="2695">
        <v>0</v>
      </c>
      <c r="R83" s="5787">
        <v>0</v>
      </c>
      <c r="S83" s="2477" t="b">
        <v>1</v>
      </c>
      <c r="T83" s="5787" t="s">
        <v>2129</v>
      </c>
      <c r="U83" s="5787">
        <v>0</v>
      </c>
      <c r="V83" s="1958">
        <v>2788236</v>
      </c>
      <c r="W83" s="5788">
        <v>2788236</v>
      </c>
      <c r="X83" s="1958" t="b">
        <v>1</v>
      </c>
      <c r="Y83" s="5788">
        <v>34852.949999999997</v>
      </c>
      <c r="Z83" s="5788"/>
      <c r="AA83" s="5788"/>
      <c r="AB83" s="5788" t="s">
        <v>2129</v>
      </c>
      <c r="AC83" s="863"/>
      <c r="AD83" s="863"/>
      <c r="AE83" s="5782">
        <v>246</v>
      </c>
      <c r="AF83" s="5789">
        <v>80</v>
      </c>
      <c r="AG83" s="3965" t="b">
        <v>1</v>
      </c>
      <c r="AH83" s="5782">
        <v>342</v>
      </c>
      <c r="AI83" s="5782" t="s">
        <v>2129</v>
      </c>
      <c r="AJ83" s="5782" t="s">
        <v>2129</v>
      </c>
      <c r="AK83" s="5782" t="s">
        <v>2129</v>
      </c>
      <c r="AL83" t="s">
        <v>2129</v>
      </c>
      <c r="AM83" t="s">
        <v>2129</v>
      </c>
      <c r="AN83" t="s">
        <v>2129</v>
      </c>
      <c r="AO83"/>
      <c r="AP83"/>
      <c r="AQ83" t="s">
        <v>2129</v>
      </c>
      <c r="AR83"/>
      <c r="AS83"/>
      <c r="AT83"/>
      <c r="AU83"/>
      <c r="AV83" s="5782" t="s">
        <v>2129</v>
      </c>
      <c r="AW83" t="s">
        <v>2129</v>
      </c>
      <c r="AX83" s="5782" t="s">
        <v>2129</v>
      </c>
      <c r="AY83" s="5782" t="s">
        <v>2129</v>
      </c>
      <c r="AZ83" s="5782" t="s">
        <v>2129</v>
      </c>
      <c r="BA83" s="5782" t="s">
        <v>2129</v>
      </c>
      <c r="BB83" s="5782" t="s">
        <v>2129</v>
      </c>
      <c r="BC83" t="s">
        <v>2129</v>
      </c>
      <c r="BD83" t="s">
        <v>2129</v>
      </c>
      <c r="BE83" t="s">
        <v>2129</v>
      </c>
      <c r="BF83" t="s">
        <v>2129</v>
      </c>
      <c r="BG83" t="s">
        <v>2129</v>
      </c>
      <c r="BH83" s="5788" t="s">
        <v>2129</v>
      </c>
      <c r="BI83"/>
      <c r="BJ83" s="5788" t="s">
        <v>2129</v>
      </c>
      <c r="BK83" s="5788" t="s">
        <v>2129</v>
      </c>
      <c r="BL83" s="5788" t="s">
        <v>2129</v>
      </c>
      <c r="BM83" s="5788" t="s">
        <v>2129</v>
      </c>
      <c r="BN83" s="5788" t="s">
        <v>2129</v>
      </c>
      <c r="BO83" s="5788" t="s">
        <v>2129</v>
      </c>
      <c r="BP83" s="863" t="s">
        <v>2129</v>
      </c>
      <c r="BQ83" s="863" t="s">
        <v>2129</v>
      </c>
      <c r="BR83" s="863" t="s">
        <v>2129</v>
      </c>
      <c r="BS83" s="863" t="s">
        <v>2129</v>
      </c>
      <c r="BT83" s="863" t="s">
        <v>2129</v>
      </c>
      <c r="BU83" s="863" t="s">
        <v>2129</v>
      </c>
      <c r="BV83" s="863" t="s">
        <v>2129</v>
      </c>
      <c r="BW83" s="863" t="s">
        <v>2129</v>
      </c>
      <c r="BX83" s="5788" t="s">
        <v>2129</v>
      </c>
      <c r="BY83" s="863" t="s">
        <v>2129</v>
      </c>
      <c r="BZ83" s="5788" t="s">
        <v>2129</v>
      </c>
      <c r="CA83" s="5788" t="s">
        <v>2129</v>
      </c>
      <c r="CB83" s="863"/>
      <c r="CC83" s="863" t="s">
        <v>2129</v>
      </c>
      <c r="CD83" s="863" t="s">
        <v>2129</v>
      </c>
      <c r="CE83" s="863" t="s">
        <v>2129</v>
      </c>
      <c r="CF83" s="863" t="s">
        <v>2129</v>
      </c>
      <c r="CG83" s="863"/>
      <c r="CH83" s="5784"/>
    </row>
    <row r="84" spans="1:86" ht="13" hidden="1">
      <c r="A84">
        <v>158</v>
      </c>
      <c r="B84" s="5795" t="s">
        <v>3313</v>
      </c>
      <c r="C84" s="5785" t="s">
        <v>2695</v>
      </c>
      <c r="D84" s="2694" t="s">
        <v>2129</v>
      </c>
      <c r="E84" s="2694" t="s">
        <v>2129</v>
      </c>
      <c r="F84" s="5785" t="s">
        <v>2129</v>
      </c>
      <c r="G84" s="2694" t="s">
        <v>2129</v>
      </c>
      <c r="H84" s="5785">
        <v>0</v>
      </c>
      <c r="I84" s="2694">
        <v>0</v>
      </c>
      <c r="J84" s="2694" t="b">
        <v>0</v>
      </c>
      <c r="K84" s="2694" t="s">
        <v>2129</v>
      </c>
      <c r="L84" s="2477">
        <v>0</v>
      </c>
      <c r="M84" s="2477">
        <v>0</v>
      </c>
      <c r="N84" s="2477">
        <v>0</v>
      </c>
      <c r="O84" s="2477">
        <v>0</v>
      </c>
      <c r="P84" s="2477">
        <v>0</v>
      </c>
      <c r="Q84" s="2695">
        <v>0</v>
      </c>
      <c r="R84" s="2477">
        <v>0</v>
      </c>
      <c r="S84" s="2477" t="b">
        <v>1</v>
      </c>
      <c r="T84" s="5786" t="s">
        <v>2129</v>
      </c>
      <c r="U84" s="5786">
        <v>0</v>
      </c>
      <c r="V84" s="1958">
        <v>2929250</v>
      </c>
      <c r="W84" s="1958">
        <v>2929250</v>
      </c>
      <c r="X84" s="1958" t="b">
        <v>1</v>
      </c>
      <c r="Y84" s="863">
        <v>13018.888888888889</v>
      </c>
      <c r="AB84" s="863">
        <v>11320.772946859903</v>
      </c>
      <c r="AE84">
        <v>225</v>
      </c>
      <c r="AF84" s="3965">
        <v>225</v>
      </c>
      <c r="AG84" s="3965" t="b">
        <v>1</v>
      </c>
      <c r="AH84">
        <v>237</v>
      </c>
      <c r="AI84">
        <v>225</v>
      </c>
      <c r="AJ84" t="s">
        <v>2129</v>
      </c>
      <c r="AK84" t="s">
        <v>2129</v>
      </c>
      <c r="AL84" t="s">
        <v>2129</v>
      </c>
      <c r="AM84" t="s">
        <v>2129</v>
      </c>
      <c r="AN84">
        <v>0</v>
      </c>
      <c r="AQ84" t="s">
        <v>2129</v>
      </c>
      <c r="AV84" t="s">
        <v>2129</v>
      </c>
      <c r="AW84" t="s">
        <v>2129</v>
      </c>
      <c r="AX84">
        <v>18</v>
      </c>
      <c r="AY84" t="s">
        <v>2129</v>
      </c>
      <c r="AZ84" t="s">
        <v>2129</v>
      </c>
      <c r="BA84" t="s">
        <v>2129</v>
      </c>
      <c r="BB84" t="s">
        <v>2129</v>
      </c>
      <c r="BC84" t="s">
        <v>2129</v>
      </c>
      <c r="BD84" t="s">
        <v>2129</v>
      </c>
      <c r="BE84" t="s">
        <v>2129</v>
      </c>
      <c r="BF84" t="s">
        <v>2129</v>
      </c>
      <c r="BG84" t="s">
        <v>2129</v>
      </c>
      <c r="BH84" s="1958" t="s">
        <v>2129</v>
      </c>
      <c r="BI84"/>
      <c r="BJ84" s="863" t="s">
        <v>2129</v>
      </c>
      <c r="BK84" s="863" t="s">
        <v>2129</v>
      </c>
      <c r="BL84" s="863">
        <v>52726500</v>
      </c>
      <c r="BM84" s="863" t="s">
        <v>2129</v>
      </c>
      <c r="BN84" s="863" t="s">
        <v>2129</v>
      </c>
      <c r="BO84" s="863" t="s">
        <v>2129</v>
      </c>
      <c r="BP84" s="863" t="s">
        <v>2129</v>
      </c>
      <c r="BQ84" s="863" t="s">
        <v>2129</v>
      </c>
      <c r="BR84" s="863" t="s">
        <v>2129</v>
      </c>
      <c r="BS84" s="863" t="s">
        <v>2129</v>
      </c>
      <c r="BT84" s="863" t="s">
        <v>2129</v>
      </c>
      <c r="BU84" s="863" t="s">
        <v>2129</v>
      </c>
      <c r="BV84" s="863" t="s">
        <v>2129</v>
      </c>
      <c r="BW84" s="863" t="s">
        <v>2129</v>
      </c>
      <c r="BX84" s="863" t="s">
        <v>2129</v>
      </c>
      <c r="BY84" s="863" t="s">
        <v>2129</v>
      </c>
      <c r="BZ84" s="863" t="s">
        <v>2129</v>
      </c>
      <c r="CA84" s="863" t="s">
        <v>2129</v>
      </c>
      <c r="CB84" s="863"/>
      <c r="CC84" s="863" t="s">
        <v>2129</v>
      </c>
      <c r="CD84" s="863" t="s">
        <v>2129</v>
      </c>
      <c r="CE84" s="863" t="s">
        <v>2129</v>
      </c>
      <c r="CF84" s="863" t="s">
        <v>2129</v>
      </c>
      <c r="CG84" s="863"/>
      <c r="CH84" s="5785"/>
    </row>
    <row r="85" spans="1:86" ht="13" hidden="1">
      <c r="A85">
        <v>159</v>
      </c>
      <c r="B85" s="5795" t="s">
        <v>3314</v>
      </c>
      <c r="C85" s="5785" t="s">
        <v>2129</v>
      </c>
      <c r="D85" s="2694" t="s">
        <v>2129</v>
      </c>
      <c r="E85" s="2694" t="s">
        <v>2129</v>
      </c>
      <c r="F85" s="5792" t="s">
        <v>5205</v>
      </c>
      <c r="G85" s="5792" t="s">
        <v>2129</v>
      </c>
      <c r="H85" s="5785">
        <v>8</v>
      </c>
      <c r="I85" s="2694">
        <v>0</v>
      </c>
      <c r="J85" s="2694" t="b">
        <v>0</v>
      </c>
      <c r="K85" s="2827">
        <v>8</v>
      </c>
      <c r="L85" s="2477">
        <v>0</v>
      </c>
      <c r="M85" s="2477">
        <v>0</v>
      </c>
      <c r="N85" s="2477">
        <v>0</v>
      </c>
      <c r="O85" s="2477">
        <v>0</v>
      </c>
      <c r="P85" s="2477">
        <v>0</v>
      </c>
      <c r="Q85" s="2695">
        <v>0</v>
      </c>
      <c r="R85" s="2477">
        <v>0</v>
      </c>
      <c r="S85" s="2477" t="b">
        <v>1</v>
      </c>
      <c r="T85" s="5786" t="s">
        <v>2129</v>
      </c>
      <c r="U85" s="5786">
        <v>0</v>
      </c>
      <c r="V85" s="1958">
        <v>10029767</v>
      </c>
      <c r="W85" s="1958">
        <v>10029767</v>
      </c>
      <c r="X85" s="1958" t="b">
        <v>1</v>
      </c>
      <c r="Y85" s="863">
        <v>46434.106481481482</v>
      </c>
      <c r="AB85" s="863" t="s">
        <v>2129</v>
      </c>
      <c r="AE85">
        <v>216</v>
      </c>
      <c r="AF85" s="3965">
        <v>216</v>
      </c>
      <c r="AG85" s="3965" t="b">
        <v>1</v>
      </c>
      <c r="AH85">
        <v>333</v>
      </c>
      <c r="AI85" t="s">
        <v>2129</v>
      </c>
      <c r="AJ85" t="s">
        <v>2129</v>
      </c>
      <c r="AK85" t="s">
        <v>2129</v>
      </c>
      <c r="AL85">
        <v>216</v>
      </c>
      <c r="AM85" t="s">
        <v>2129</v>
      </c>
      <c r="AN85" t="s">
        <v>2129</v>
      </c>
      <c r="AQ85">
        <v>0</v>
      </c>
      <c r="AV85" t="s">
        <v>2129</v>
      </c>
      <c r="AW85" t="s">
        <v>2129</v>
      </c>
      <c r="AX85" t="s">
        <v>2129</v>
      </c>
      <c r="AY85" t="s">
        <v>2129</v>
      </c>
      <c r="AZ85" t="s">
        <v>2129</v>
      </c>
      <c r="BA85" t="s">
        <v>2129</v>
      </c>
      <c r="BB85" t="s">
        <v>2129</v>
      </c>
      <c r="BC85">
        <v>18</v>
      </c>
      <c r="BD85" t="s">
        <v>2129</v>
      </c>
      <c r="BE85" t="s">
        <v>2129</v>
      </c>
      <c r="BF85" t="s">
        <v>2129</v>
      </c>
      <c r="BG85" t="s">
        <v>2129</v>
      </c>
      <c r="BH85" s="1958" t="s">
        <v>2129</v>
      </c>
      <c r="BI85"/>
      <c r="BJ85" s="863" t="s">
        <v>2129</v>
      </c>
      <c r="BK85" s="863" t="s">
        <v>2129</v>
      </c>
      <c r="BL85" s="863" t="s">
        <v>2129</v>
      </c>
      <c r="BM85" s="863" t="s">
        <v>2129</v>
      </c>
      <c r="BN85" s="863" t="s">
        <v>2129</v>
      </c>
      <c r="BO85" s="863" t="s">
        <v>2129</v>
      </c>
      <c r="BP85" s="863">
        <v>180535806</v>
      </c>
      <c r="BQ85" s="863">
        <v>180535806</v>
      </c>
      <c r="BR85" s="863" t="s">
        <v>2129</v>
      </c>
      <c r="BS85" s="863" t="s">
        <v>2129</v>
      </c>
      <c r="BT85" s="863" t="s">
        <v>2129</v>
      </c>
      <c r="BU85" s="863" t="s">
        <v>2129</v>
      </c>
      <c r="BV85" s="863" t="s">
        <v>2129</v>
      </c>
      <c r="BW85" s="863" t="s">
        <v>2129</v>
      </c>
      <c r="BX85" s="863" t="s">
        <v>2129</v>
      </c>
      <c r="BY85" s="863" t="s">
        <v>2129</v>
      </c>
      <c r="BZ85" s="863" t="s">
        <v>2129</v>
      </c>
      <c r="CA85" s="863" t="s">
        <v>2129</v>
      </c>
      <c r="CB85" s="863"/>
      <c r="CC85" s="1958" t="s">
        <v>2129</v>
      </c>
      <c r="CD85" s="1958" t="s">
        <v>2129</v>
      </c>
      <c r="CE85" s="863" t="s">
        <v>2129</v>
      </c>
      <c r="CF85" s="863" t="s">
        <v>2129</v>
      </c>
      <c r="CG85" s="863"/>
      <c r="CH85" s="5785"/>
    </row>
    <row r="86" spans="1:86" ht="13" hidden="1">
      <c r="A86">
        <v>160</v>
      </c>
      <c r="B86" s="5795" t="s">
        <v>3315</v>
      </c>
      <c r="C86" s="5790" t="s">
        <v>2129</v>
      </c>
      <c r="D86" s="5790" t="s">
        <v>6599</v>
      </c>
      <c r="E86" s="5790" t="s">
        <v>2129</v>
      </c>
      <c r="F86" s="5785" t="s">
        <v>2129</v>
      </c>
      <c r="G86" s="2694" t="s">
        <v>2129</v>
      </c>
      <c r="H86" s="5785">
        <v>0</v>
      </c>
      <c r="I86" s="2694">
        <v>0</v>
      </c>
      <c r="J86" s="2694" t="b">
        <v>1</v>
      </c>
      <c r="K86" s="5785" t="s">
        <v>2129</v>
      </c>
      <c r="L86" s="2477">
        <v>0</v>
      </c>
      <c r="M86" s="2477">
        <v>0</v>
      </c>
      <c r="N86" s="2477">
        <v>0</v>
      </c>
      <c r="O86" s="2477">
        <v>0</v>
      </c>
      <c r="P86" s="2477">
        <v>0</v>
      </c>
      <c r="Q86" s="2695">
        <v>0</v>
      </c>
      <c r="R86" s="2477">
        <v>0</v>
      </c>
      <c r="S86" s="2477" t="b">
        <v>1</v>
      </c>
      <c r="T86" s="5786" t="s">
        <v>2129</v>
      </c>
      <c r="U86" s="5786">
        <v>0</v>
      </c>
      <c r="V86" s="1958">
        <v>9987678</v>
      </c>
      <c r="W86" s="1958">
        <v>9987678</v>
      </c>
      <c r="X86" s="1958" t="b">
        <v>1</v>
      </c>
      <c r="Y86" s="863">
        <v>41271.396694214876</v>
      </c>
      <c r="AB86" s="863" t="s">
        <v>2129</v>
      </c>
      <c r="AC86" s="863">
        <v>1800</v>
      </c>
      <c r="AE86">
        <v>242</v>
      </c>
      <c r="AF86" s="3965">
        <v>242</v>
      </c>
      <c r="AG86" t="b">
        <v>1</v>
      </c>
      <c r="AH86" s="2814">
        <v>286</v>
      </c>
      <c r="AI86" t="s">
        <v>2129</v>
      </c>
      <c r="AJ86" t="s">
        <v>2129</v>
      </c>
      <c r="AK86" t="s">
        <v>2129</v>
      </c>
      <c r="AL86" t="s">
        <v>2129</v>
      </c>
      <c r="AM86" t="s">
        <v>2129</v>
      </c>
      <c r="AN86" t="s">
        <v>2129</v>
      </c>
      <c r="AQ86" t="s">
        <v>2129</v>
      </c>
      <c r="AV86" t="s">
        <v>2129</v>
      </c>
      <c r="AW86">
        <v>24</v>
      </c>
      <c r="AX86" t="s">
        <v>2129</v>
      </c>
      <c r="AY86" t="s">
        <v>2129</v>
      </c>
      <c r="AZ86" t="s">
        <v>2129</v>
      </c>
      <c r="BA86" t="s">
        <v>2129</v>
      </c>
      <c r="BB86" t="s">
        <v>2129</v>
      </c>
      <c r="BC86" t="s">
        <v>2129</v>
      </c>
      <c r="BD86" t="s">
        <v>2129</v>
      </c>
      <c r="BE86" t="s">
        <v>2129</v>
      </c>
      <c r="BF86" t="s">
        <v>2129</v>
      </c>
      <c r="BG86" t="s">
        <v>2129</v>
      </c>
      <c r="BH86" s="1958" t="s">
        <v>2129</v>
      </c>
      <c r="BI86" s="1958">
        <v>239704272</v>
      </c>
      <c r="BJ86" s="1958" t="s">
        <v>2129</v>
      </c>
      <c r="BK86" s="1958" t="s">
        <v>2129</v>
      </c>
      <c r="BL86" s="1958" t="s">
        <v>2129</v>
      </c>
      <c r="BM86" s="1958" t="s">
        <v>2129</v>
      </c>
      <c r="BN86" s="1958" t="s">
        <v>2129</v>
      </c>
      <c r="BO86" s="1958" t="s">
        <v>2129</v>
      </c>
      <c r="BP86" s="1958" t="s">
        <v>2129</v>
      </c>
      <c r="BQ86" s="863" t="s">
        <v>2129</v>
      </c>
      <c r="BR86" s="863" t="s">
        <v>2129</v>
      </c>
      <c r="BS86" s="1958" t="s">
        <v>2129</v>
      </c>
      <c r="BT86" s="1958" t="s">
        <v>2129</v>
      </c>
      <c r="BU86" s="1958" t="s">
        <v>2129</v>
      </c>
      <c r="BV86" s="1958" t="s">
        <v>2129</v>
      </c>
      <c r="BW86" s="1958" t="s">
        <v>2129</v>
      </c>
      <c r="BX86" s="1958" t="s">
        <v>2129</v>
      </c>
      <c r="BY86" s="1958" t="s">
        <v>2129</v>
      </c>
      <c r="BZ86" s="1958" t="s">
        <v>2129</v>
      </c>
      <c r="CA86" s="1958" t="s">
        <v>2129</v>
      </c>
      <c r="CC86" s="1958" t="s">
        <v>2129</v>
      </c>
      <c r="CD86" s="1958" t="s">
        <v>2129</v>
      </c>
      <c r="CE86" s="1958" t="s">
        <v>2129</v>
      </c>
      <c r="CF86" s="1958" t="s">
        <v>2129</v>
      </c>
      <c r="CH86" s="5785"/>
    </row>
    <row r="87" spans="1:86" s="5782" customFormat="1" ht="13" hidden="1">
      <c r="A87" s="5782">
        <v>161</v>
      </c>
      <c r="B87" s="5783" t="s">
        <v>3316</v>
      </c>
      <c r="C87" s="5784" t="s">
        <v>2129</v>
      </c>
      <c r="D87" s="5784" t="s">
        <v>2129</v>
      </c>
      <c r="E87" s="5784" t="s">
        <v>2129</v>
      </c>
      <c r="F87" s="5784" t="s">
        <v>2129</v>
      </c>
      <c r="G87" s="5784" t="s">
        <v>2129</v>
      </c>
      <c r="H87" s="5784">
        <v>0</v>
      </c>
      <c r="I87" s="5784">
        <v>0</v>
      </c>
      <c r="J87" s="2694" t="b">
        <v>1</v>
      </c>
      <c r="K87" s="2694" t="s">
        <v>2129</v>
      </c>
      <c r="L87" s="2477">
        <v>0</v>
      </c>
      <c r="M87" s="2477">
        <v>0</v>
      </c>
      <c r="N87" s="2477">
        <v>0</v>
      </c>
      <c r="O87" s="2477">
        <v>0</v>
      </c>
      <c r="P87" s="2477">
        <v>0</v>
      </c>
      <c r="Q87" s="2695">
        <v>0</v>
      </c>
      <c r="R87" s="5787">
        <v>0</v>
      </c>
      <c r="S87" s="2477" t="b">
        <v>1</v>
      </c>
      <c r="T87" s="5787" t="s">
        <v>2129</v>
      </c>
      <c r="U87" s="5787">
        <v>0</v>
      </c>
      <c r="V87" s="1958">
        <v>2150874</v>
      </c>
      <c r="W87" s="5788">
        <v>2150874</v>
      </c>
      <c r="X87" s="1958" t="b">
        <v>1</v>
      </c>
      <c r="Y87" s="5788">
        <v>33090.369230769233</v>
      </c>
      <c r="Z87" s="5788"/>
      <c r="AA87" s="5788"/>
      <c r="AB87" s="5788" t="s">
        <v>2129</v>
      </c>
      <c r="AC87" s="863"/>
      <c r="AD87" s="863"/>
      <c r="AE87" s="5782">
        <v>233</v>
      </c>
      <c r="AF87" s="5789">
        <v>65</v>
      </c>
      <c r="AG87" s="3965" t="b">
        <v>1</v>
      </c>
      <c r="AH87" s="5782">
        <v>303</v>
      </c>
      <c r="AI87" s="5782" t="s">
        <v>2129</v>
      </c>
      <c r="AJ87" s="5782" t="s">
        <v>2129</v>
      </c>
      <c r="AK87" s="5782" t="s">
        <v>2129</v>
      </c>
      <c r="AL87" t="s">
        <v>2129</v>
      </c>
      <c r="AM87" t="s">
        <v>2129</v>
      </c>
      <c r="AN87" t="s">
        <v>2129</v>
      </c>
      <c r="AO87"/>
      <c r="AP87"/>
      <c r="AQ87" t="s">
        <v>2129</v>
      </c>
      <c r="AR87"/>
      <c r="AS87"/>
      <c r="AT87"/>
      <c r="AU87"/>
      <c r="AV87" s="5782" t="s">
        <v>2129</v>
      </c>
      <c r="AW87" t="s">
        <v>2129</v>
      </c>
      <c r="AX87" s="5782" t="s">
        <v>2129</v>
      </c>
      <c r="AY87" s="5782" t="s">
        <v>2129</v>
      </c>
      <c r="AZ87" s="5782" t="s">
        <v>2129</v>
      </c>
      <c r="BA87" s="5782" t="s">
        <v>2129</v>
      </c>
      <c r="BB87" s="5782" t="s">
        <v>2129</v>
      </c>
      <c r="BC87" t="s">
        <v>2129</v>
      </c>
      <c r="BD87" t="s">
        <v>2129</v>
      </c>
      <c r="BE87" t="s">
        <v>2129</v>
      </c>
      <c r="BF87" t="s">
        <v>2129</v>
      </c>
      <c r="BG87" t="s">
        <v>2129</v>
      </c>
      <c r="BH87" s="5788" t="s">
        <v>2129</v>
      </c>
      <c r="BI87"/>
      <c r="BJ87" s="5788" t="s">
        <v>2129</v>
      </c>
      <c r="BK87" s="5788" t="s">
        <v>2129</v>
      </c>
      <c r="BL87" s="5788" t="s">
        <v>2129</v>
      </c>
      <c r="BM87" s="5788" t="s">
        <v>2129</v>
      </c>
      <c r="BN87" s="5788" t="s">
        <v>2129</v>
      </c>
      <c r="BO87" s="5788" t="s">
        <v>2129</v>
      </c>
      <c r="BP87" s="863" t="s">
        <v>2129</v>
      </c>
      <c r="BQ87" s="863" t="s">
        <v>2129</v>
      </c>
      <c r="BR87" s="863" t="s">
        <v>2129</v>
      </c>
      <c r="BS87" s="863" t="s">
        <v>2129</v>
      </c>
      <c r="BT87" s="863" t="s">
        <v>2129</v>
      </c>
      <c r="BU87" s="863" t="s">
        <v>2129</v>
      </c>
      <c r="BV87" s="863" t="s">
        <v>2129</v>
      </c>
      <c r="BW87" s="863" t="s">
        <v>2129</v>
      </c>
      <c r="BX87" s="5788" t="s">
        <v>2129</v>
      </c>
      <c r="BY87" s="863" t="s">
        <v>2129</v>
      </c>
      <c r="BZ87" s="5788" t="s">
        <v>2129</v>
      </c>
      <c r="CA87" s="5788" t="s">
        <v>2129</v>
      </c>
      <c r="CB87" s="863"/>
      <c r="CC87" s="863" t="s">
        <v>2129</v>
      </c>
      <c r="CD87" s="863" t="s">
        <v>2129</v>
      </c>
      <c r="CE87" s="863" t="s">
        <v>2129</v>
      </c>
      <c r="CF87" s="863" t="s">
        <v>2129</v>
      </c>
      <c r="CG87" s="863"/>
      <c r="CH87" s="5784"/>
    </row>
    <row r="88" spans="1:86" s="5782" customFormat="1" ht="13" hidden="1">
      <c r="A88" s="5782">
        <v>167</v>
      </c>
      <c r="B88" s="5783" t="s">
        <v>3317</v>
      </c>
      <c r="C88" s="5784" t="s">
        <v>2129</v>
      </c>
      <c r="D88" s="5784" t="s">
        <v>2129</v>
      </c>
      <c r="E88" s="5784" t="s">
        <v>2129</v>
      </c>
      <c r="F88" s="5784" t="s">
        <v>2129</v>
      </c>
      <c r="G88" s="5784" t="s">
        <v>2129</v>
      </c>
      <c r="H88" s="5784">
        <v>0</v>
      </c>
      <c r="I88" s="5784">
        <v>0</v>
      </c>
      <c r="J88" s="2694" t="b">
        <v>1</v>
      </c>
      <c r="K88" s="2694" t="s">
        <v>2129</v>
      </c>
      <c r="L88" s="2477">
        <v>0</v>
      </c>
      <c r="M88" s="2477">
        <v>0</v>
      </c>
      <c r="N88" s="2477">
        <v>0</v>
      </c>
      <c r="O88" s="2477">
        <v>0</v>
      </c>
      <c r="P88" s="2477">
        <v>0</v>
      </c>
      <c r="Q88" s="2695">
        <v>0</v>
      </c>
      <c r="R88" s="5787">
        <v>0</v>
      </c>
      <c r="S88" s="2477" t="b">
        <v>1</v>
      </c>
      <c r="T88" s="5787" t="s">
        <v>2129</v>
      </c>
      <c r="U88" s="5787">
        <v>0</v>
      </c>
      <c r="V88" s="5788">
        <v>2143112</v>
      </c>
      <c r="W88" s="5788">
        <v>2143112</v>
      </c>
      <c r="X88" s="5788" t="b">
        <v>0</v>
      </c>
      <c r="Y88" s="5788">
        <v>15874.903703703703</v>
      </c>
      <c r="Z88" s="5788"/>
      <c r="AA88" s="5788"/>
      <c r="AB88" s="5788" t="s">
        <v>2129</v>
      </c>
      <c r="AC88" s="5788"/>
      <c r="AD88" s="5788"/>
      <c r="AE88" s="5782">
        <v>135</v>
      </c>
      <c r="AF88" s="5789">
        <v>135</v>
      </c>
      <c r="AG88" s="5789" t="b">
        <v>0</v>
      </c>
      <c r="AH88" s="5782">
        <v>153</v>
      </c>
      <c r="AI88" s="5782" t="s">
        <v>2129</v>
      </c>
      <c r="AJ88" s="5782" t="s">
        <v>2129</v>
      </c>
      <c r="AK88" s="5782" t="s">
        <v>2129</v>
      </c>
      <c r="AL88" s="5782" t="s">
        <v>2129</v>
      </c>
      <c r="AM88" s="5782" t="s">
        <v>2129</v>
      </c>
      <c r="AN88" s="5782" t="s">
        <v>2129</v>
      </c>
      <c r="AQ88" s="5782" t="s">
        <v>2129</v>
      </c>
      <c r="AV88" s="5782" t="s">
        <v>2129</v>
      </c>
      <c r="AW88" s="5782" t="s">
        <v>2129</v>
      </c>
      <c r="AX88" s="5782" t="s">
        <v>2129</v>
      </c>
      <c r="AY88" s="5782" t="s">
        <v>2129</v>
      </c>
      <c r="AZ88" s="5782" t="s">
        <v>2129</v>
      </c>
      <c r="BA88" s="5782" t="s">
        <v>2129</v>
      </c>
      <c r="BB88" s="5782" t="s">
        <v>2129</v>
      </c>
      <c r="BC88" s="5782" t="s">
        <v>2129</v>
      </c>
      <c r="BD88" s="5782" t="s">
        <v>2129</v>
      </c>
      <c r="BE88" s="5782" t="s">
        <v>2129</v>
      </c>
      <c r="BF88" s="5782" t="s">
        <v>2129</v>
      </c>
      <c r="BG88" s="5782" t="s">
        <v>2129</v>
      </c>
      <c r="BH88" s="5788" t="s">
        <v>2129</v>
      </c>
      <c r="BJ88" s="5788" t="s">
        <v>2129</v>
      </c>
      <c r="BK88" s="5788" t="s">
        <v>2129</v>
      </c>
      <c r="BL88" s="5788" t="s">
        <v>2129</v>
      </c>
      <c r="BM88" s="5788" t="s">
        <v>2129</v>
      </c>
      <c r="BN88" s="5788" t="s">
        <v>2129</v>
      </c>
      <c r="BO88" s="5788" t="s">
        <v>2129</v>
      </c>
      <c r="BP88" s="5788" t="s">
        <v>2129</v>
      </c>
      <c r="BQ88" s="5788" t="s">
        <v>2129</v>
      </c>
      <c r="BR88" s="5788" t="s">
        <v>2129</v>
      </c>
      <c r="BS88" s="5788" t="s">
        <v>2129</v>
      </c>
      <c r="BT88" s="5788" t="s">
        <v>2129</v>
      </c>
      <c r="BU88" s="5788" t="s">
        <v>2129</v>
      </c>
      <c r="BV88" s="5788" t="s">
        <v>2129</v>
      </c>
      <c r="BW88" s="5788" t="s">
        <v>2129</v>
      </c>
      <c r="BX88" s="5788" t="s">
        <v>2129</v>
      </c>
      <c r="BY88" s="5788" t="s">
        <v>2129</v>
      </c>
      <c r="BZ88" s="5788" t="s">
        <v>2129</v>
      </c>
      <c r="CA88" s="5788" t="s">
        <v>2129</v>
      </c>
      <c r="CB88" s="5788"/>
      <c r="CC88" s="5788" t="s">
        <v>2129</v>
      </c>
      <c r="CD88" s="5788" t="s">
        <v>2129</v>
      </c>
      <c r="CE88" s="5788" t="s">
        <v>2129</v>
      </c>
      <c r="CF88" s="5788" t="s">
        <v>2129</v>
      </c>
      <c r="CG88" s="5788"/>
      <c r="CH88" s="5784"/>
    </row>
    <row r="89" spans="1:86" ht="13" hidden="1">
      <c r="A89">
        <v>168</v>
      </c>
      <c r="B89" s="5796" t="s">
        <v>3318</v>
      </c>
      <c r="C89" s="5785" t="s">
        <v>2695</v>
      </c>
      <c r="D89" s="2694" t="s">
        <v>2129</v>
      </c>
      <c r="E89" s="2694" t="s">
        <v>2129</v>
      </c>
      <c r="F89" s="5785" t="s">
        <v>2129</v>
      </c>
      <c r="G89" s="2694" t="s">
        <v>2129</v>
      </c>
      <c r="H89" s="5785">
        <v>0</v>
      </c>
      <c r="I89" s="2694">
        <v>0</v>
      </c>
      <c r="J89" s="2694" t="b">
        <v>1</v>
      </c>
      <c r="K89" s="2694" t="s">
        <v>2129</v>
      </c>
      <c r="L89" s="2477">
        <v>0</v>
      </c>
      <c r="M89" s="2477"/>
      <c r="N89" s="2477"/>
      <c r="O89" s="2477"/>
      <c r="P89" s="2477"/>
      <c r="Q89" s="2695"/>
      <c r="R89" s="2477">
        <v>0</v>
      </c>
      <c r="S89" s="2477" t="b">
        <v>1</v>
      </c>
      <c r="T89" s="5786" t="s">
        <v>2129</v>
      </c>
      <c r="U89" s="5786">
        <v>0</v>
      </c>
      <c r="V89" s="1958">
        <v>577830</v>
      </c>
      <c r="W89" s="1958">
        <v>577830</v>
      </c>
      <c r="X89" s="1958" t="b">
        <v>1</v>
      </c>
      <c r="Y89" s="863">
        <v>38522</v>
      </c>
      <c r="AB89" s="863">
        <v>35890.06211180125</v>
      </c>
      <c r="AE89" t="s">
        <v>3308</v>
      </c>
      <c r="AF89" s="3965">
        <v>15</v>
      </c>
      <c r="AG89" s="3965" t="b">
        <v>1</v>
      </c>
      <c r="AH89" t="s">
        <v>3308</v>
      </c>
      <c r="AI89">
        <v>14</v>
      </c>
      <c r="AJ89" t="s">
        <v>2129</v>
      </c>
      <c r="AK89" t="s">
        <v>2129</v>
      </c>
      <c r="AL89" t="s">
        <v>2129</v>
      </c>
      <c r="AM89" t="s">
        <v>2129</v>
      </c>
      <c r="AN89">
        <v>-1</v>
      </c>
      <c r="AV89" t="s">
        <v>2129</v>
      </c>
      <c r="AW89" t="s">
        <v>2129</v>
      </c>
      <c r="AX89">
        <v>18</v>
      </c>
      <c r="AY89" t="s">
        <v>2129</v>
      </c>
      <c r="AZ89" t="s">
        <v>2129</v>
      </c>
      <c r="BA89" t="s">
        <v>2129</v>
      </c>
      <c r="BB89" t="s">
        <v>2129</v>
      </c>
      <c r="BC89" t="s">
        <v>2129</v>
      </c>
      <c r="BD89" t="s">
        <v>2129</v>
      </c>
      <c r="BE89" t="s">
        <v>2129</v>
      </c>
      <c r="BF89" t="s">
        <v>2129</v>
      </c>
      <c r="BG89" t="s">
        <v>2129</v>
      </c>
      <c r="BH89" s="1958" t="s">
        <v>2129</v>
      </c>
      <c r="BI89"/>
      <c r="BJ89" s="863" t="s">
        <v>2129</v>
      </c>
      <c r="BK89" s="863" t="s">
        <v>2129</v>
      </c>
      <c r="BL89" s="863">
        <v>9707544</v>
      </c>
      <c r="BM89" s="863" t="s">
        <v>2129</v>
      </c>
      <c r="BN89" s="863" t="s">
        <v>2129</v>
      </c>
      <c r="BO89" s="863" t="s">
        <v>2129</v>
      </c>
      <c r="BP89" s="863" t="s">
        <v>2129</v>
      </c>
      <c r="BQ89" s="863" t="s">
        <v>2129</v>
      </c>
      <c r="BR89" s="863" t="s">
        <v>2129</v>
      </c>
      <c r="BS89" s="863" t="s">
        <v>2129</v>
      </c>
      <c r="BT89" s="863" t="s">
        <v>2129</v>
      </c>
      <c r="BU89" s="863" t="s">
        <v>2129</v>
      </c>
      <c r="BV89" s="863" t="s">
        <v>2129</v>
      </c>
      <c r="BW89" s="863" t="s">
        <v>2129</v>
      </c>
      <c r="BX89" s="863" t="s">
        <v>2129</v>
      </c>
      <c r="BY89" s="863" t="s">
        <v>2129</v>
      </c>
      <c r="BZ89" s="863" t="s">
        <v>2129</v>
      </c>
      <c r="CA89" s="863" t="s">
        <v>2129</v>
      </c>
      <c r="CB89" s="863"/>
      <c r="CC89" s="863" t="s">
        <v>2129</v>
      </c>
      <c r="CD89" s="863" t="s">
        <v>2129</v>
      </c>
      <c r="CE89" s="863" t="s">
        <v>2129</v>
      </c>
      <c r="CF89" s="863" t="s">
        <v>2129</v>
      </c>
      <c r="CG89" s="863"/>
      <c r="CH89" s="5785"/>
    </row>
    <row r="90" spans="1:86" ht="13" hidden="1">
      <c r="A90">
        <v>172</v>
      </c>
      <c r="B90" s="5791" t="s">
        <v>3319</v>
      </c>
      <c r="C90" s="2694" t="s">
        <v>2129</v>
      </c>
      <c r="D90" s="2694" t="s">
        <v>3791</v>
      </c>
      <c r="E90" s="2694" t="s">
        <v>2129</v>
      </c>
      <c r="F90" s="5785" t="s">
        <v>2129</v>
      </c>
      <c r="G90" s="5785" t="s">
        <v>2129</v>
      </c>
      <c r="H90" s="5785">
        <v>5</v>
      </c>
      <c r="I90" s="5785">
        <v>4</v>
      </c>
      <c r="J90" s="5785" t="b">
        <v>0</v>
      </c>
      <c r="K90" s="5785" t="s">
        <v>2129</v>
      </c>
      <c r="L90" s="5786">
        <v>588237</v>
      </c>
      <c r="M90" s="5786">
        <v>0</v>
      </c>
      <c r="N90" s="5786">
        <v>0</v>
      </c>
      <c r="O90" s="5786">
        <v>0</v>
      </c>
      <c r="P90" s="5786">
        <v>0</v>
      </c>
      <c r="Q90" s="2476">
        <v>647060.70000000007</v>
      </c>
      <c r="R90" s="2477">
        <v>647060</v>
      </c>
      <c r="S90" s="2477" t="b">
        <v>0</v>
      </c>
      <c r="T90" s="5786">
        <v>161765</v>
      </c>
      <c r="U90" s="5786">
        <v>-1824236</v>
      </c>
      <c r="V90" s="863">
        <v>2597712</v>
      </c>
      <c r="W90" s="863">
        <v>4421948</v>
      </c>
      <c r="X90" s="863" t="b">
        <v>1</v>
      </c>
      <c r="Y90" s="863">
        <v>21676.215686274511</v>
      </c>
      <c r="AB90" s="863" t="s">
        <v>2129</v>
      </c>
      <c r="AC90" s="863">
        <v>1800</v>
      </c>
      <c r="AE90">
        <v>204</v>
      </c>
      <c r="AF90" s="3965">
        <v>204</v>
      </c>
      <c r="AG90" s="3965" t="b">
        <v>1</v>
      </c>
      <c r="AH90">
        <v>251</v>
      </c>
      <c r="AI90" t="s">
        <v>2129</v>
      </c>
      <c r="AJ90">
        <v>219</v>
      </c>
      <c r="AK90" t="s">
        <v>2129</v>
      </c>
      <c r="AL90" t="s">
        <v>2129</v>
      </c>
      <c r="AM90" t="s">
        <v>2129</v>
      </c>
      <c r="AN90" t="s">
        <v>2129</v>
      </c>
      <c r="AQ90" t="s">
        <v>2129</v>
      </c>
      <c r="AV90" s="191" t="s">
        <v>2129</v>
      </c>
      <c r="AW90" t="s">
        <v>2129</v>
      </c>
      <c r="AX90" t="s">
        <v>2129</v>
      </c>
      <c r="AY90" t="s">
        <v>2129</v>
      </c>
      <c r="AZ90" t="s">
        <v>2129</v>
      </c>
      <c r="BA90">
        <v>11</v>
      </c>
      <c r="BB90" t="s">
        <v>2129</v>
      </c>
      <c r="BC90" t="s">
        <v>2129</v>
      </c>
      <c r="BD90" t="s">
        <v>2129</v>
      </c>
      <c r="BE90" t="s">
        <v>2129</v>
      </c>
      <c r="BF90" t="s">
        <v>2129</v>
      </c>
      <c r="BG90" t="s">
        <v>2129</v>
      </c>
      <c r="BH90" s="1958" t="s">
        <v>2129</v>
      </c>
      <c r="BI90" s="1958" t="s">
        <v>2129</v>
      </c>
      <c r="BJ90" s="1958" t="s">
        <v>2129</v>
      </c>
      <c r="BK90" s="1958" t="s">
        <v>2129</v>
      </c>
      <c r="BL90" s="1958" t="s">
        <v>2129</v>
      </c>
      <c r="BM90" s="1958" t="s">
        <v>2129</v>
      </c>
      <c r="BN90" s="1958">
        <v>52218003.588235296</v>
      </c>
      <c r="BO90" s="1958" t="s">
        <v>2129</v>
      </c>
      <c r="BP90" s="1958" t="s">
        <v>2129</v>
      </c>
      <c r="BQ90" s="863" t="s">
        <v>2129</v>
      </c>
      <c r="BR90" s="863" t="s">
        <v>2129</v>
      </c>
      <c r="BS90" s="1958" t="s">
        <v>2129</v>
      </c>
      <c r="BT90" s="1958" t="s">
        <v>2129</v>
      </c>
      <c r="BU90" s="1958" t="s">
        <v>2129</v>
      </c>
      <c r="BV90" s="1958" t="s">
        <v>2129</v>
      </c>
      <c r="BW90" s="1958" t="s">
        <v>2129</v>
      </c>
      <c r="BX90" s="1958" t="s">
        <v>2129</v>
      </c>
      <c r="BY90" s="1958" t="s">
        <v>2129</v>
      </c>
      <c r="BZ90" s="1958" t="s">
        <v>2129</v>
      </c>
      <c r="CA90" s="1958" t="s">
        <v>2129</v>
      </c>
      <c r="CC90" s="1958" t="s">
        <v>2129</v>
      </c>
      <c r="CD90" s="1958" t="s">
        <v>2129</v>
      </c>
      <c r="CE90" s="1958" t="s">
        <v>2129</v>
      </c>
      <c r="CF90" s="1958" t="s">
        <v>2129</v>
      </c>
      <c r="CH90" s="5785"/>
    </row>
    <row r="91" spans="1:86" s="5782" customFormat="1" ht="13" hidden="1">
      <c r="A91">
        <v>177</v>
      </c>
      <c r="B91" s="5795" t="s">
        <v>3320</v>
      </c>
      <c r="C91" s="2694" t="s">
        <v>2129</v>
      </c>
      <c r="D91" s="2694" t="s">
        <v>3791</v>
      </c>
      <c r="E91" s="2694" t="s">
        <v>2129</v>
      </c>
      <c r="F91" s="2694" t="s">
        <v>2129</v>
      </c>
      <c r="G91" s="2694" t="s">
        <v>2129</v>
      </c>
      <c r="H91" s="5785">
        <v>17</v>
      </c>
      <c r="I91" s="5785">
        <v>10</v>
      </c>
      <c r="J91" s="5785" t="b">
        <v>0</v>
      </c>
      <c r="K91" s="5785" t="s">
        <v>2129</v>
      </c>
      <c r="L91" s="5786">
        <v>744712</v>
      </c>
      <c r="M91" s="5786">
        <v>0</v>
      </c>
      <c r="N91" s="5786">
        <v>0</v>
      </c>
      <c r="O91" s="5786">
        <v>0</v>
      </c>
      <c r="P91" s="5786">
        <v>0</v>
      </c>
      <c r="Q91" s="2476">
        <v>819183.20000000007</v>
      </c>
      <c r="R91" s="2477">
        <v>819183</v>
      </c>
      <c r="S91" s="2477" t="b">
        <v>0</v>
      </c>
      <c r="T91" s="5786">
        <v>81918.3</v>
      </c>
      <c r="U91" s="5786">
        <v>0</v>
      </c>
      <c r="V91" s="5788">
        <v>874399</v>
      </c>
      <c r="W91" s="5788">
        <v>874399</v>
      </c>
      <c r="X91" s="5788" t="b">
        <v>0</v>
      </c>
      <c r="Y91" s="5788">
        <v>11978.068493150686</v>
      </c>
      <c r="Z91" s="5788"/>
      <c r="AA91" s="5788"/>
      <c r="AB91" s="5788" t="s">
        <v>2129</v>
      </c>
      <c r="AC91" s="5788"/>
      <c r="AD91" s="5788"/>
      <c r="AE91" s="5782">
        <v>73</v>
      </c>
      <c r="AF91" s="5789">
        <v>73</v>
      </c>
      <c r="AG91" s="5789" t="b">
        <v>0</v>
      </c>
      <c r="AH91" s="5782">
        <v>99</v>
      </c>
      <c r="AI91" s="5782" t="s">
        <v>2129</v>
      </c>
      <c r="AJ91" s="5782">
        <v>81</v>
      </c>
      <c r="AK91" s="5782" t="s">
        <v>2129</v>
      </c>
      <c r="AL91" s="5782" t="s">
        <v>2129</v>
      </c>
      <c r="AM91" s="5782" t="s">
        <v>2129</v>
      </c>
      <c r="AN91" s="5782" t="s">
        <v>2129</v>
      </c>
      <c r="AQ91" s="5782" t="s">
        <v>2129</v>
      </c>
      <c r="AV91" s="5782" t="s">
        <v>2129</v>
      </c>
      <c r="AW91" s="5782" t="s">
        <v>2129</v>
      </c>
      <c r="AX91" s="5782" t="s">
        <v>2129</v>
      </c>
      <c r="AY91" s="5782" t="s">
        <v>2129</v>
      </c>
      <c r="AZ91" s="5782" t="s">
        <v>2129</v>
      </c>
      <c r="BA91" s="5782">
        <v>11</v>
      </c>
      <c r="BB91" s="5782" t="s">
        <v>2129</v>
      </c>
      <c r="BC91" s="5782" t="s">
        <v>2129</v>
      </c>
      <c r="BD91" s="5782" t="s">
        <v>2129</v>
      </c>
      <c r="BE91" s="5782" t="s">
        <v>2129</v>
      </c>
      <c r="BF91" s="5782" t="s">
        <v>2129</v>
      </c>
      <c r="BG91" s="5782" t="s">
        <v>2129</v>
      </c>
      <c r="BH91" s="5788" t="s">
        <v>2129</v>
      </c>
      <c r="BJ91" s="5788" t="s">
        <v>2129</v>
      </c>
      <c r="BK91" s="5788" t="s">
        <v>2129</v>
      </c>
      <c r="BL91" s="5788" t="s">
        <v>2129</v>
      </c>
      <c r="BM91" s="5788" t="s">
        <v>2129</v>
      </c>
      <c r="BN91" s="5788">
        <v>10672459.027397262</v>
      </c>
      <c r="BO91" s="5788" t="s">
        <v>2129</v>
      </c>
      <c r="BP91" s="5788" t="s">
        <v>2129</v>
      </c>
      <c r="BQ91" s="5788" t="s">
        <v>2129</v>
      </c>
      <c r="BR91" s="5788" t="s">
        <v>2129</v>
      </c>
      <c r="BS91" s="5788" t="s">
        <v>2129</v>
      </c>
      <c r="BT91" s="5788" t="s">
        <v>2129</v>
      </c>
      <c r="BU91" s="5788" t="s">
        <v>2129</v>
      </c>
      <c r="BV91" s="5788" t="s">
        <v>2129</v>
      </c>
      <c r="BW91" s="5788" t="s">
        <v>2129</v>
      </c>
      <c r="BX91" s="5788" t="s">
        <v>2129</v>
      </c>
      <c r="BY91" s="5788" t="s">
        <v>2129</v>
      </c>
      <c r="BZ91" s="5788" t="s">
        <v>2129</v>
      </c>
      <c r="CA91" s="5788" t="s">
        <v>2129</v>
      </c>
      <c r="CB91" s="5788"/>
      <c r="CC91" s="5788" t="s">
        <v>2129</v>
      </c>
      <c r="CD91" s="5788" t="s">
        <v>2129</v>
      </c>
      <c r="CE91" s="5788" t="s">
        <v>2129</v>
      </c>
      <c r="CF91" s="5788" t="s">
        <v>2129</v>
      </c>
      <c r="CG91" s="5788"/>
      <c r="CH91" s="5784"/>
    </row>
    <row r="92" spans="1:86" ht="13" hidden="1">
      <c r="A92">
        <v>179</v>
      </c>
      <c r="B92" s="5795" t="s">
        <v>3321</v>
      </c>
      <c r="C92" s="5785" t="s">
        <v>3694</v>
      </c>
      <c r="D92" s="5785" t="s">
        <v>2129</v>
      </c>
      <c r="E92" s="5785" t="s">
        <v>2129</v>
      </c>
      <c r="F92" s="5785" t="s">
        <v>2695</v>
      </c>
      <c r="G92" s="5785" t="s">
        <v>2129</v>
      </c>
      <c r="H92" s="5785">
        <v>0</v>
      </c>
      <c r="I92" s="5785">
        <v>0</v>
      </c>
      <c r="J92" s="5785" t="b">
        <v>0</v>
      </c>
      <c r="K92" s="5785" t="s">
        <v>2129</v>
      </c>
      <c r="L92" s="5786">
        <v>0</v>
      </c>
      <c r="M92" s="5786">
        <v>0</v>
      </c>
      <c r="N92" s="5786">
        <v>0</v>
      </c>
      <c r="O92" s="5786">
        <v>0</v>
      </c>
      <c r="P92" s="5786">
        <v>0</v>
      </c>
      <c r="Q92" s="2476">
        <v>0</v>
      </c>
      <c r="R92" s="2477">
        <v>0</v>
      </c>
      <c r="S92" s="2477" t="b">
        <v>1</v>
      </c>
      <c r="T92" s="5786" t="s">
        <v>2129</v>
      </c>
      <c r="U92" s="5786">
        <v>15120390</v>
      </c>
      <c r="V92" s="863">
        <v>18298771</v>
      </c>
      <c r="W92" s="863">
        <v>3178381</v>
      </c>
      <c r="X92" s="863" t="b">
        <v>0</v>
      </c>
      <c r="Y92" s="863">
        <v>70630.688888888893</v>
      </c>
      <c r="AB92" s="863">
        <v>64274.641051567247</v>
      </c>
      <c r="AE92">
        <v>252</v>
      </c>
      <c r="AF92" s="3965">
        <v>45</v>
      </c>
      <c r="AG92" s="3965" t="b">
        <v>1</v>
      </c>
      <c r="AH92">
        <v>193</v>
      </c>
      <c r="AI92">
        <v>43</v>
      </c>
      <c r="AJ92" t="s">
        <v>2129</v>
      </c>
      <c r="AK92" t="s">
        <v>2129</v>
      </c>
      <c r="AL92">
        <v>41</v>
      </c>
      <c r="AM92" t="s">
        <v>2129</v>
      </c>
      <c r="AN92">
        <v>-2</v>
      </c>
      <c r="AQ92">
        <v>-4</v>
      </c>
      <c r="AV92" t="s">
        <v>2129</v>
      </c>
      <c r="AW92" t="s">
        <v>2129</v>
      </c>
      <c r="AX92" t="s">
        <v>2129</v>
      </c>
      <c r="AY92" t="s">
        <v>2129</v>
      </c>
      <c r="AZ92">
        <v>32</v>
      </c>
      <c r="BA92" t="s">
        <v>2129</v>
      </c>
      <c r="BB92" t="s">
        <v>2129</v>
      </c>
      <c r="BC92" t="s">
        <v>2129</v>
      </c>
      <c r="BD92">
        <v>9</v>
      </c>
      <c r="BE92" t="s">
        <v>2129</v>
      </c>
      <c r="BF92" t="s">
        <v>2129</v>
      </c>
      <c r="BG92" t="s">
        <v>2129</v>
      </c>
      <c r="BH92" s="1958" t="s">
        <v>2129</v>
      </c>
      <c r="BI92"/>
      <c r="BJ92" s="863" t="s">
        <v>2129</v>
      </c>
      <c r="BK92" s="863">
        <v>97187827.911111116</v>
      </c>
      <c r="BL92" s="863" t="s">
        <v>2129</v>
      </c>
      <c r="BM92" s="863" t="s">
        <v>2129</v>
      </c>
      <c r="BN92" s="863" t="s">
        <v>2129</v>
      </c>
      <c r="BO92" s="863" t="s">
        <v>2129</v>
      </c>
      <c r="BP92" s="863" t="s">
        <v>2129</v>
      </c>
      <c r="BQ92" s="863" t="s">
        <v>2129</v>
      </c>
      <c r="BR92" s="863" t="s">
        <v>2129</v>
      </c>
      <c r="BS92" s="863" t="s">
        <v>2129</v>
      </c>
      <c r="BT92" s="863" t="s">
        <v>2129</v>
      </c>
      <c r="BU92" s="863">
        <v>26062724.200000003</v>
      </c>
      <c r="BV92" s="863" t="s">
        <v>2129</v>
      </c>
      <c r="BW92" s="863" t="s">
        <v>2129</v>
      </c>
      <c r="BX92" s="863" t="s">
        <v>2129</v>
      </c>
      <c r="BY92" s="863" t="s">
        <v>2129</v>
      </c>
      <c r="BZ92" s="863" t="s">
        <v>2129</v>
      </c>
      <c r="CA92" s="863" t="s">
        <v>2129</v>
      </c>
      <c r="CB92" s="863"/>
      <c r="CC92" s="863" t="s">
        <v>2129</v>
      </c>
      <c r="CD92" s="863" t="s">
        <v>2129</v>
      </c>
      <c r="CE92" s="863" t="s">
        <v>2129</v>
      </c>
      <c r="CF92" s="863" t="s">
        <v>2129</v>
      </c>
      <c r="CG92" s="863"/>
      <c r="CH92" s="5785"/>
    </row>
    <row r="93" spans="1:86" ht="13" hidden="1">
      <c r="A93">
        <v>180</v>
      </c>
      <c r="B93" s="5802" t="s">
        <v>3322</v>
      </c>
      <c r="C93" s="5785" t="s">
        <v>2129</v>
      </c>
      <c r="D93" s="2694" t="s">
        <v>3791</v>
      </c>
      <c r="E93" s="2694" t="s">
        <v>2129</v>
      </c>
      <c r="F93" s="5785" t="s">
        <v>3791</v>
      </c>
      <c r="G93" s="5785" t="s">
        <v>2129</v>
      </c>
      <c r="H93" s="5785">
        <v>2</v>
      </c>
      <c r="I93" s="5785">
        <v>2</v>
      </c>
      <c r="J93" s="5785" t="b">
        <v>0</v>
      </c>
      <c r="K93" s="5785" t="s">
        <v>2129</v>
      </c>
      <c r="L93" s="5786">
        <v>705883</v>
      </c>
      <c r="M93" s="5786">
        <v>0</v>
      </c>
      <c r="N93" s="5786">
        <v>0</v>
      </c>
      <c r="O93" s="5786">
        <v>0</v>
      </c>
      <c r="P93" s="5786">
        <v>0</v>
      </c>
      <c r="Q93" s="2476">
        <v>776471.3</v>
      </c>
      <c r="R93" s="2477">
        <v>776471</v>
      </c>
      <c r="S93" s="2477" t="b">
        <v>0</v>
      </c>
      <c r="T93" s="5786">
        <v>388235.5</v>
      </c>
      <c r="U93" s="5786">
        <v>0</v>
      </c>
      <c r="V93" s="863">
        <v>3063249</v>
      </c>
      <c r="W93" s="863">
        <v>3063249</v>
      </c>
      <c r="X93" s="863" t="b">
        <v>1</v>
      </c>
      <c r="Y93" s="863">
        <v>17113.122905027933</v>
      </c>
      <c r="AB93" s="863" t="s">
        <v>2129</v>
      </c>
      <c r="AE93">
        <v>179</v>
      </c>
      <c r="AF93" s="3965">
        <v>179</v>
      </c>
      <c r="AG93" s="3965" t="b">
        <v>1</v>
      </c>
      <c r="AH93">
        <v>193</v>
      </c>
      <c r="AI93" t="s">
        <v>2129</v>
      </c>
      <c r="AJ93">
        <v>180</v>
      </c>
      <c r="AK93" t="s">
        <v>2129</v>
      </c>
      <c r="AL93">
        <v>87</v>
      </c>
      <c r="AM93" t="s">
        <v>2129</v>
      </c>
      <c r="AN93" t="s">
        <v>2129</v>
      </c>
      <c r="AQ93">
        <v>-92</v>
      </c>
      <c r="AV93" t="s">
        <v>2129</v>
      </c>
      <c r="AW93" t="s">
        <v>2129</v>
      </c>
      <c r="AX93" t="s">
        <v>2129</v>
      </c>
      <c r="AY93" t="s">
        <v>2129</v>
      </c>
      <c r="AZ93" t="s">
        <v>2129</v>
      </c>
      <c r="BA93">
        <v>11</v>
      </c>
      <c r="BB93" t="s">
        <v>2129</v>
      </c>
      <c r="BC93" t="s">
        <v>2129</v>
      </c>
      <c r="BD93" t="s">
        <v>2129</v>
      </c>
      <c r="BE93" t="s">
        <v>2129</v>
      </c>
      <c r="BF93">
        <v>10</v>
      </c>
      <c r="BG93" t="s">
        <v>2129</v>
      </c>
      <c r="BH93" s="1958" t="s">
        <v>2129</v>
      </c>
      <c r="BI93"/>
      <c r="BJ93" s="863" t="s">
        <v>2129</v>
      </c>
      <c r="BK93" s="863" t="s">
        <v>2129</v>
      </c>
      <c r="BL93" s="863" t="s">
        <v>2129</v>
      </c>
      <c r="BM93" s="863" t="s">
        <v>2129</v>
      </c>
      <c r="BN93" s="863">
        <v>33883983.35195531</v>
      </c>
      <c r="BO93" s="863" t="s">
        <v>2129</v>
      </c>
      <c r="BP93" s="863" t="s">
        <v>2129</v>
      </c>
      <c r="BQ93" s="863" t="s">
        <v>2129</v>
      </c>
      <c r="BR93" s="863" t="s">
        <v>2129</v>
      </c>
      <c r="BS93" s="863" t="s">
        <v>2129</v>
      </c>
      <c r="BT93" s="863" t="s">
        <v>2129</v>
      </c>
      <c r="BU93" s="863" t="s">
        <v>2129</v>
      </c>
      <c r="BV93" s="863">
        <v>14888416.927374301</v>
      </c>
      <c r="BW93" s="863" t="s">
        <v>2129</v>
      </c>
      <c r="BX93" s="863" t="s">
        <v>2129</v>
      </c>
      <c r="BY93" s="863" t="s">
        <v>2129</v>
      </c>
      <c r="BZ93" s="863" t="s">
        <v>2129</v>
      </c>
      <c r="CA93" s="863" t="s">
        <v>2129</v>
      </c>
      <c r="CB93" s="863"/>
      <c r="CC93" s="863" t="s">
        <v>2129</v>
      </c>
      <c r="CD93" s="863" t="s">
        <v>2129</v>
      </c>
      <c r="CE93" s="863" t="s">
        <v>2129</v>
      </c>
      <c r="CF93" s="863" t="s">
        <v>2129</v>
      </c>
      <c r="CG93" s="863"/>
      <c r="CH93" s="5785"/>
    </row>
    <row r="94" spans="1:86" s="5782" customFormat="1" ht="13" hidden="1">
      <c r="A94" s="5782">
        <v>184</v>
      </c>
      <c r="B94" s="5783" t="s">
        <v>3323</v>
      </c>
      <c r="C94" s="5784" t="s">
        <v>2129</v>
      </c>
      <c r="D94" s="5784" t="s">
        <v>2129</v>
      </c>
      <c r="E94" s="5784" t="s">
        <v>2129</v>
      </c>
      <c r="F94" s="5784" t="s">
        <v>2129</v>
      </c>
      <c r="G94" s="5784" t="s">
        <v>2129</v>
      </c>
      <c r="H94" s="5784">
        <v>1</v>
      </c>
      <c r="I94" s="5784">
        <v>0</v>
      </c>
      <c r="J94" s="5785" t="b">
        <v>0</v>
      </c>
      <c r="K94" s="5785" t="s">
        <v>2129</v>
      </c>
      <c r="L94" s="5786">
        <v>0</v>
      </c>
      <c r="M94" s="5786">
        <v>0</v>
      </c>
      <c r="N94" s="5786">
        <v>0</v>
      </c>
      <c r="O94" s="5786">
        <v>0</v>
      </c>
      <c r="P94" s="5786">
        <v>0</v>
      </c>
      <c r="Q94" s="2476">
        <v>0</v>
      </c>
      <c r="R94" s="5787">
        <v>0</v>
      </c>
      <c r="S94" s="2477" t="b">
        <v>1</v>
      </c>
      <c r="T94" s="5787" t="s">
        <v>2129</v>
      </c>
      <c r="U94" s="5787">
        <v>0</v>
      </c>
      <c r="V94" s="863">
        <v>793288</v>
      </c>
      <c r="W94" s="5788">
        <v>793288</v>
      </c>
      <c r="X94" s="863" t="b">
        <v>1</v>
      </c>
      <c r="Y94" s="5788">
        <v>10577.173333333334</v>
      </c>
      <c r="Z94" s="5788"/>
      <c r="AA94" s="5788"/>
      <c r="AB94" s="5788" t="s">
        <v>2129</v>
      </c>
      <c r="AC94" s="863"/>
      <c r="AD94" s="863"/>
      <c r="AE94" s="5782">
        <v>113</v>
      </c>
      <c r="AF94" s="5789">
        <v>75</v>
      </c>
      <c r="AG94" s="3965" t="b">
        <v>1</v>
      </c>
      <c r="AH94" s="5782">
        <v>113</v>
      </c>
      <c r="AI94" s="5782" t="s">
        <v>2129</v>
      </c>
      <c r="AJ94" s="5782" t="s">
        <v>2129</v>
      </c>
      <c r="AK94" s="5782" t="s">
        <v>2129</v>
      </c>
      <c r="AL94" t="s">
        <v>2129</v>
      </c>
      <c r="AM94" t="s">
        <v>2129</v>
      </c>
      <c r="AN94" t="s">
        <v>2129</v>
      </c>
      <c r="AO94"/>
      <c r="AP94"/>
      <c r="AQ94" t="s">
        <v>2129</v>
      </c>
      <c r="AR94"/>
      <c r="AS94"/>
      <c r="AT94"/>
      <c r="AU94"/>
      <c r="AV94" s="5782" t="s">
        <v>2129</v>
      </c>
      <c r="AW94" t="s">
        <v>2129</v>
      </c>
      <c r="AX94" s="5782" t="s">
        <v>2129</v>
      </c>
      <c r="AY94" s="5782" t="s">
        <v>2129</v>
      </c>
      <c r="AZ94" s="5782" t="s">
        <v>2129</v>
      </c>
      <c r="BA94" s="5782" t="s">
        <v>2129</v>
      </c>
      <c r="BB94" s="5782" t="s">
        <v>2129</v>
      </c>
      <c r="BC94" t="s">
        <v>2129</v>
      </c>
      <c r="BD94" t="s">
        <v>2129</v>
      </c>
      <c r="BE94" t="s">
        <v>2129</v>
      </c>
      <c r="BF94" t="s">
        <v>2129</v>
      </c>
      <c r="BG94" t="s">
        <v>2129</v>
      </c>
      <c r="BH94" s="5788" t="s">
        <v>2129</v>
      </c>
      <c r="BI94"/>
      <c r="BJ94" s="5788" t="s">
        <v>2129</v>
      </c>
      <c r="BK94" s="5788" t="s">
        <v>2129</v>
      </c>
      <c r="BL94" s="5788" t="s">
        <v>2129</v>
      </c>
      <c r="BM94" s="5788" t="s">
        <v>2129</v>
      </c>
      <c r="BN94" s="5788" t="s">
        <v>2129</v>
      </c>
      <c r="BO94" s="5788" t="s">
        <v>2129</v>
      </c>
      <c r="BP94" s="863" t="s">
        <v>2129</v>
      </c>
      <c r="BQ94" s="863" t="s">
        <v>2129</v>
      </c>
      <c r="BR94" s="863" t="s">
        <v>2129</v>
      </c>
      <c r="BS94" s="863" t="s">
        <v>2129</v>
      </c>
      <c r="BT94" s="863" t="s">
        <v>2129</v>
      </c>
      <c r="BU94" s="863" t="s">
        <v>2129</v>
      </c>
      <c r="BV94" s="863" t="s">
        <v>2129</v>
      </c>
      <c r="BW94" s="863" t="s">
        <v>2129</v>
      </c>
      <c r="BX94" s="5788" t="s">
        <v>2129</v>
      </c>
      <c r="BY94" s="863" t="s">
        <v>2129</v>
      </c>
      <c r="BZ94" s="5788" t="s">
        <v>2129</v>
      </c>
      <c r="CA94" s="5788" t="s">
        <v>2129</v>
      </c>
      <c r="CB94" s="863"/>
      <c r="CC94" s="863" t="s">
        <v>2129</v>
      </c>
      <c r="CD94" s="863" t="s">
        <v>2129</v>
      </c>
      <c r="CE94" s="863" t="s">
        <v>2129</v>
      </c>
      <c r="CF94" s="863" t="s">
        <v>2129</v>
      </c>
      <c r="CG94" s="863"/>
      <c r="CH94" s="5784"/>
    </row>
    <row r="95" spans="1:86" s="5782" customFormat="1" ht="13" hidden="1">
      <c r="A95" s="5782">
        <v>186</v>
      </c>
      <c r="B95" s="5783" t="s">
        <v>3324</v>
      </c>
      <c r="C95" s="5784" t="s">
        <v>2129</v>
      </c>
      <c r="D95" s="5784" t="s">
        <v>2129</v>
      </c>
      <c r="E95" s="5784" t="s">
        <v>2129</v>
      </c>
      <c r="F95" s="5784" t="s">
        <v>2129</v>
      </c>
      <c r="G95" s="5784" t="s">
        <v>2129</v>
      </c>
      <c r="H95" s="5784">
        <v>0</v>
      </c>
      <c r="I95" s="5784">
        <v>0</v>
      </c>
      <c r="J95" s="5785" t="b">
        <v>0</v>
      </c>
      <c r="K95" s="5785" t="s">
        <v>2129</v>
      </c>
      <c r="L95" s="5786">
        <v>0</v>
      </c>
      <c r="M95" s="5786">
        <v>0</v>
      </c>
      <c r="N95" s="5786">
        <v>0</v>
      </c>
      <c r="O95" s="5786">
        <v>0</v>
      </c>
      <c r="P95" s="5786">
        <v>0</v>
      </c>
      <c r="Q95" s="2476">
        <v>0</v>
      </c>
      <c r="R95" s="5787">
        <v>0</v>
      </c>
      <c r="S95" s="2477" t="b">
        <v>1</v>
      </c>
      <c r="T95" s="5787" t="s">
        <v>2129</v>
      </c>
      <c r="U95" s="5787">
        <v>0</v>
      </c>
      <c r="V95" s="5788">
        <v>5351189</v>
      </c>
      <c r="W95" s="5788">
        <v>5351189</v>
      </c>
      <c r="X95" s="5788" t="b">
        <v>1</v>
      </c>
      <c r="Y95" s="5788">
        <v>26103.360975609758</v>
      </c>
      <c r="Z95" s="5788"/>
      <c r="AA95" s="5788"/>
      <c r="AB95" s="5788" t="s">
        <v>2129</v>
      </c>
      <c r="AC95" s="5788"/>
      <c r="AD95" s="5788"/>
      <c r="AE95" s="5782">
        <v>205</v>
      </c>
      <c r="AF95" s="5789">
        <v>205</v>
      </c>
      <c r="AG95" s="5789" t="b">
        <v>1</v>
      </c>
      <c r="AH95" s="5782">
        <v>205</v>
      </c>
      <c r="AI95" s="5782" t="s">
        <v>2129</v>
      </c>
      <c r="AJ95" s="5782" t="s">
        <v>2129</v>
      </c>
      <c r="AK95" s="5782" t="s">
        <v>2129</v>
      </c>
      <c r="AL95" s="5782" t="s">
        <v>2129</v>
      </c>
      <c r="AM95" s="5782" t="s">
        <v>2129</v>
      </c>
      <c r="AN95" s="5782" t="s">
        <v>2129</v>
      </c>
      <c r="AQ95" s="5782" t="s">
        <v>2129</v>
      </c>
      <c r="AV95" s="5782" t="s">
        <v>2129</v>
      </c>
      <c r="AW95" s="5782" t="s">
        <v>2129</v>
      </c>
      <c r="AX95" s="5782" t="s">
        <v>2129</v>
      </c>
      <c r="AY95" s="5782" t="s">
        <v>2129</v>
      </c>
      <c r="AZ95" s="5782" t="s">
        <v>2129</v>
      </c>
      <c r="BA95" s="5782" t="s">
        <v>2129</v>
      </c>
      <c r="BB95" s="5782" t="s">
        <v>2129</v>
      </c>
      <c r="BC95" s="5782" t="s">
        <v>2129</v>
      </c>
      <c r="BD95" s="5782" t="s">
        <v>2129</v>
      </c>
      <c r="BE95" s="5782" t="s">
        <v>2129</v>
      </c>
      <c r="BF95" s="5782" t="s">
        <v>2129</v>
      </c>
      <c r="BG95" s="5782" t="s">
        <v>2129</v>
      </c>
      <c r="BH95" s="5788" t="s">
        <v>2129</v>
      </c>
      <c r="BJ95" s="5788" t="s">
        <v>2129</v>
      </c>
      <c r="BK95" s="5788" t="s">
        <v>2129</v>
      </c>
      <c r="BL95" s="5788" t="s">
        <v>2129</v>
      </c>
      <c r="BM95" s="5788" t="s">
        <v>2129</v>
      </c>
      <c r="BN95" s="5788" t="s">
        <v>2129</v>
      </c>
      <c r="BO95" s="5788" t="s">
        <v>2129</v>
      </c>
      <c r="BP95" s="5788" t="s">
        <v>2129</v>
      </c>
      <c r="BQ95" s="5788" t="s">
        <v>2129</v>
      </c>
      <c r="BR95" s="5788" t="s">
        <v>2129</v>
      </c>
      <c r="BS95" s="5788" t="s">
        <v>2129</v>
      </c>
      <c r="BT95" s="5788" t="s">
        <v>2129</v>
      </c>
      <c r="BU95" s="5788" t="s">
        <v>2129</v>
      </c>
      <c r="BV95" s="5788" t="s">
        <v>2129</v>
      </c>
      <c r="BW95" s="5788" t="s">
        <v>2129</v>
      </c>
      <c r="BX95" s="5788" t="s">
        <v>2129</v>
      </c>
      <c r="BY95" s="5788" t="s">
        <v>2129</v>
      </c>
      <c r="BZ95" s="5788" t="s">
        <v>2129</v>
      </c>
      <c r="CA95" s="5788" t="s">
        <v>2129</v>
      </c>
      <c r="CB95" s="5788"/>
      <c r="CC95" s="5788" t="s">
        <v>2129</v>
      </c>
      <c r="CD95" s="5788" t="s">
        <v>2129</v>
      </c>
      <c r="CE95" s="5788" t="s">
        <v>2129</v>
      </c>
      <c r="CF95" s="5788" t="s">
        <v>2129</v>
      </c>
      <c r="CG95" s="5788"/>
      <c r="CH95" s="5784"/>
    </row>
    <row r="96" spans="1:86" ht="13" hidden="1">
      <c r="A96">
        <v>188</v>
      </c>
      <c r="B96" s="5802" t="s">
        <v>3325</v>
      </c>
      <c r="C96" s="5785" t="s">
        <v>2129</v>
      </c>
      <c r="D96" s="2694" t="s">
        <v>3791</v>
      </c>
      <c r="E96" s="2694" t="s">
        <v>2129</v>
      </c>
      <c r="F96" s="5785" t="s">
        <v>2129</v>
      </c>
      <c r="G96" s="5785" t="s">
        <v>2129</v>
      </c>
      <c r="H96" s="5785">
        <v>0</v>
      </c>
      <c r="I96" s="5785">
        <v>0</v>
      </c>
      <c r="J96" s="5785" t="b">
        <v>0</v>
      </c>
      <c r="K96" s="5785" t="s">
        <v>2129</v>
      </c>
      <c r="L96" s="5786">
        <v>0</v>
      </c>
      <c r="M96" s="5786">
        <v>0</v>
      </c>
      <c r="N96" s="5786">
        <v>0</v>
      </c>
      <c r="O96" s="5786">
        <v>0</v>
      </c>
      <c r="P96" s="5786">
        <v>0</v>
      </c>
      <c r="Q96" s="2476">
        <v>0</v>
      </c>
      <c r="R96" s="2477">
        <v>0</v>
      </c>
      <c r="S96" s="2477" t="b">
        <v>1</v>
      </c>
      <c r="T96" s="5786" t="s">
        <v>2129</v>
      </c>
      <c r="U96" s="5786">
        <v>0</v>
      </c>
      <c r="V96" s="863">
        <v>2556250</v>
      </c>
      <c r="W96" s="863">
        <v>2556250</v>
      </c>
      <c r="X96" s="863" t="b">
        <v>1</v>
      </c>
      <c r="Y96" s="863">
        <v>12408.980582524271</v>
      </c>
      <c r="AB96" s="863" t="s">
        <v>2129</v>
      </c>
      <c r="AE96">
        <v>206</v>
      </c>
      <c r="AF96" s="3965">
        <v>206</v>
      </c>
      <c r="AG96" s="3965" t="b">
        <v>1</v>
      </c>
      <c r="AH96">
        <v>210</v>
      </c>
      <c r="AI96" t="s">
        <v>2129</v>
      </c>
      <c r="AJ96">
        <v>60</v>
      </c>
      <c r="AK96" t="s">
        <v>2129</v>
      </c>
      <c r="AL96" t="s">
        <v>2129</v>
      </c>
      <c r="AM96" t="s">
        <v>2129</v>
      </c>
      <c r="AN96" t="s">
        <v>2129</v>
      </c>
      <c r="AQ96" t="s">
        <v>2129</v>
      </c>
      <c r="AV96" t="s">
        <v>2129</v>
      </c>
      <c r="AW96" t="s">
        <v>2129</v>
      </c>
      <c r="AX96" t="s">
        <v>2129</v>
      </c>
      <c r="AY96" t="s">
        <v>2129</v>
      </c>
      <c r="AZ96" t="s">
        <v>2129</v>
      </c>
      <c r="BA96">
        <v>11</v>
      </c>
      <c r="BB96" t="s">
        <v>2129</v>
      </c>
      <c r="BC96" t="s">
        <v>2129</v>
      </c>
      <c r="BD96" t="s">
        <v>2129</v>
      </c>
      <c r="BE96" t="s">
        <v>2129</v>
      </c>
      <c r="BF96" t="s">
        <v>2129</v>
      </c>
      <c r="BG96" t="s">
        <v>2129</v>
      </c>
      <c r="BH96" s="1958" t="s">
        <v>2129</v>
      </c>
      <c r="BI96"/>
      <c r="BJ96" s="863" t="s">
        <v>2129</v>
      </c>
      <c r="BK96" s="863" t="s">
        <v>2129</v>
      </c>
      <c r="BL96" s="863" t="s">
        <v>2129</v>
      </c>
      <c r="BM96" s="863" t="s">
        <v>2129</v>
      </c>
      <c r="BN96" s="863">
        <v>8189927.1844660193</v>
      </c>
      <c r="BO96" s="863" t="s">
        <v>2129</v>
      </c>
      <c r="BP96" s="863" t="s">
        <v>2129</v>
      </c>
      <c r="BQ96" s="863" t="s">
        <v>2129</v>
      </c>
      <c r="BR96" s="863" t="s">
        <v>2129</v>
      </c>
      <c r="BS96" s="863" t="s">
        <v>2129</v>
      </c>
      <c r="BT96" s="863" t="s">
        <v>2129</v>
      </c>
      <c r="BU96" s="863" t="s">
        <v>2129</v>
      </c>
      <c r="BV96" s="863" t="s">
        <v>2129</v>
      </c>
      <c r="BW96" s="863" t="s">
        <v>2129</v>
      </c>
      <c r="BX96" s="863" t="s">
        <v>2129</v>
      </c>
      <c r="BY96" s="863" t="s">
        <v>2129</v>
      </c>
      <c r="BZ96" s="863" t="s">
        <v>2129</v>
      </c>
      <c r="CA96" s="863" t="s">
        <v>2129</v>
      </c>
      <c r="CB96" s="863"/>
      <c r="CC96" s="863" t="s">
        <v>2129</v>
      </c>
      <c r="CD96" s="863" t="s">
        <v>2129</v>
      </c>
      <c r="CE96" s="863" t="s">
        <v>2129</v>
      </c>
      <c r="CF96" s="863" t="s">
        <v>2129</v>
      </c>
      <c r="CG96" s="863"/>
      <c r="CH96" s="5785"/>
    </row>
    <row r="97" spans="1:86" ht="13" hidden="1">
      <c r="A97">
        <v>188</v>
      </c>
      <c r="B97" s="5802" t="s">
        <v>3326</v>
      </c>
      <c r="C97" s="5785" t="s">
        <v>2129</v>
      </c>
      <c r="D97" s="2694" t="s">
        <v>3791</v>
      </c>
      <c r="E97" s="2694" t="s">
        <v>2129</v>
      </c>
      <c r="F97" s="5785" t="s">
        <v>2129</v>
      </c>
      <c r="G97" s="5785" t="s">
        <v>2129</v>
      </c>
      <c r="H97" s="5785">
        <v>0</v>
      </c>
      <c r="I97" s="5785">
        <v>0</v>
      </c>
      <c r="J97" s="5785" t="b">
        <v>0</v>
      </c>
      <c r="K97" s="5785" t="s">
        <v>2129</v>
      </c>
      <c r="L97" s="5786">
        <v>0</v>
      </c>
      <c r="M97" s="5786">
        <v>0</v>
      </c>
      <c r="N97" s="5786">
        <v>0</v>
      </c>
      <c r="O97" s="5786">
        <v>0</v>
      </c>
      <c r="P97" s="5786">
        <v>0</v>
      </c>
      <c r="Q97" s="2476">
        <v>0</v>
      </c>
      <c r="R97" s="2477">
        <v>0</v>
      </c>
      <c r="S97" s="2477" t="b">
        <v>1</v>
      </c>
      <c r="T97" s="5786" t="s">
        <v>2129</v>
      </c>
      <c r="U97" s="5786">
        <v>0</v>
      </c>
      <c r="V97" s="863">
        <v>2960812</v>
      </c>
      <c r="W97" s="863">
        <v>2960812</v>
      </c>
      <c r="X97" s="863" t="b">
        <v>1</v>
      </c>
      <c r="Y97" s="863">
        <v>21931.940740740742</v>
      </c>
      <c r="AB97" s="863" t="s">
        <v>2129</v>
      </c>
      <c r="AE97">
        <v>206</v>
      </c>
      <c r="AF97" s="3965">
        <v>135</v>
      </c>
      <c r="AG97" s="3965" t="b">
        <v>1</v>
      </c>
      <c r="AH97">
        <v>210</v>
      </c>
      <c r="AI97" t="s">
        <v>2129</v>
      </c>
      <c r="AJ97">
        <v>60</v>
      </c>
      <c r="AK97" t="s">
        <v>2129</v>
      </c>
      <c r="AL97" t="s">
        <v>2129</v>
      </c>
      <c r="AM97" t="s">
        <v>2129</v>
      </c>
      <c r="AN97" t="s">
        <v>2129</v>
      </c>
      <c r="AQ97" t="s">
        <v>2129</v>
      </c>
      <c r="AV97" t="s">
        <v>2129</v>
      </c>
      <c r="AW97" t="s">
        <v>2129</v>
      </c>
      <c r="AX97" t="s">
        <v>2129</v>
      </c>
      <c r="AY97" t="s">
        <v>2129</v>
      </c>
      <c r="AZ97" t="s">
        <v>2129</v>
      </c>
      <c r="BA97">
        <v>11</v>
      </c>
      <c r="BB97" t="s">
        <v>2129</v>
      </c>
      <c r="BC97" t="s">
        <v>2129</v>
      </c>
      <c r="BD97" t="s">
        <v>2129</v>
      </c>
      <c r="BE97" t="s">
        <v>2129</v>
      </c>
      <c r="BF97" t="s">
        <v>2129</v>
      </c>
      <c r="BG97" t="s">
        <v>2129</v>
      </c>
      <c r="BH97" s="1958" t="s">
        <v>2129</v>
      </c>
      <c r="BI97"/>
      <c r="BJ97" s="863" t="s">
        <v>2129</v>
      </c>
      <c r="BK97" s="863" t="s">
        <v>2129</v>
      </c>
      <c r="BL97" s="863" t="s">
        <v>2129</v>
      </c>
      <c r="BM97" s="863" t="s">
        <v>2129</v>
      </c>
      <c r="BN97" s="863">
        <v>14475080.88888889</v>
      </c>
      <c r="BO97" s="863" t="s">
        <v>2129</v>
      </c>
      <c r="BP97" s="863" t="s">
        <v>2129</v>
      </c>
      <c r="BQ97" s="863" t="s">
        <v>2129</v>
      </c>
      <c r="BR97" s="863" t="s">
        <v>2129</v>
      </c>
      <c r="BS97" s="863" t="s">
        <v>2129</v>
      </c>
      <c r="BT97" s="863" t="s">
        <v>2129</v>
      </c>
      <c r="BU97" s="863" t="s">
        <v>2129</v>
      </c>
      <c r="BV97" s="863" t="s">
        <v>2129</v>
      </c>
      <c r="BW97" s="863" t="s">
        <v>2129</v>
      </c>
      <c r="BX97" s="863" t="s">
        <v>2129</v>
      </c>
      <c r="BY97" s="863" t="s">
        <v>2129</v>
      </c>
      <c r="BZ97" s="863" t="s">
        <v>2129</v>
      </c>
      <c r="CA97" s="863" t="s">
        <v>2129</v>
      </c>
      <c r="CB97" s="863"/>
      <c r="CC97" s="863" t="s">
        <v>2129</v>
      </c>
      <c r="CD97" s="863" t="s">
        <v>2129</v>
      </c>
      <c r="CE97" s="863" t="s">
        <v>2129</v>
      </c>
      <c r="CF97" s="863" t="s">
        <v>2129</v>
      </c>
      <c r="CG97" s="863"/>
      <c r="CH97" s="5785"/>
    </row>
    <row r="98" spans="1:86" s="5782" customFormat="1" ht="13" hidden="1">
      <c r="A98" s="5782">
        <v>192</v>
      </c>
      <c r="B98" s="5783" t="s">
        <v>3327</v>
      </c>
      <c r="C98" s="5784" t="s">
        <v>2129</v>
      </c>
      <c r="D98" s="5784" t="s">
        <v>2129</v>
      </c>
      <c r="E98" s="5784" t="s">
        <v>2129</v>
      </c>
      <c r="F98" s="5784" t="s">
        <v>2129</v>
      </c>
      <c r="G98" s="5784" t="s">
        <v>2129</v>
      </c>
      <c r="H98" s="5784">
        <v>0</v>
      </c>
      <c r="I98" s="5784">
        <v>0</v>
      </c>
      <c r="J98" s="5785" t="b">
        <v>0</v>
      </c>
      <c r="K98" s="5785" t="s">
        <v>2129</v>
      </c>
      <c r="L98" s="5786">
        <v>0</v>
      </c>
      <c r="M98" s="5786">
        <v>0</v>
      </c>
      <c r="N98" s="5786">
        <v>0</v>
      </c>
      <c r="O98" s="5786">
        <v>0</v>
      </c>
      <c r="P98" s="5786">
        <v>0</v>
      </c>
      <c r="Q98" s="2476">
        <v>0</v>
      </c>
      <c r="R98" s="5787">
        <v>0</v>
      </c>
      <c r="S98" s="2477" t="b">
        <v>1</v>
      </c>
      <c r="T98" s="5787" t="s">
        <v>2129</v>
      </c>
      <c r="U98" s="5787">
        <v>0</v>
      </c>
      <c r="V98" s="5788">
        <v>600512</v>
      </c>
      <c r="W98" s="5788">
        <v>600512</v>
      </c>
      <c r="X98" s="5788" t="b">
        <v>1</v>
      </c>
      <c r="Y98" s="5788">
        <v>7506.4</v>
      </c>
      <c r="Z98" s="5788"/>
      <c r="AA98" s="5788"/>
      <c r="AB98" s="5788" t="s">
        <v>2129</v>
      </c>
      <c r="AC98" s="5788"/>
      <c r="AD98" s="5788"/>
      <c r="AE98" s="5782">
        <v>80</v>
      </c>
      <c r="AF98" s="5789">
        <v>80</v>
      </c>
      <c r="AG98" s="5789" t="b">
        <v>1</v>
      </c>
      <c r="AH98" s="5782">
        <v>80</v>
      </c>
      <c r="AI98" s="5782" t="s">
        <v>2129</v>
      </c>
      <c r="AJ98" s="5782" t="s">
        <v>2129</v>
      </c>
      <c r="AK98" s="5782" t="s">
        <v>2129</v>
      </c>
      <c r="AL98" s="5782" t="s">
        <v>2129</v>
      </c>
      <c r="AM98" s="5782" t="s">
        <v>2129</v>
      </c>
      <c r="AN98" s="5782" t="s">
        <v>2129</v>
      </c>
      <c r="AQ98" s="5782" t="s">
        <v>2129</v>
      </c>
      <c r="AV98" s="5782" t="s">
        <v>2129</v>
      </c>
      <c r="AW98" s="5782" t="s">
        <v>2129</v>
      </c>
      <c r="AX98" s="5782" t="s">
        <v>2129</v>
      </c>
      <c r="AY98" s="5782" t="s">
        <v>2129</v>
      </c>
      <c r="AZ98" s="5782" t="s">
        <v>2129</v>
      </c>
      <c r="BA98" s="5782" t="s">
        <v>2129</v>
      </c>
      <c r="BB98" s="5782" t="s">
        <v>2129</v>
      </c>
      <c r="BC98" s="5782" t="s">
        <v>2129</v>
      </c>
      <c r="BD98" s="5782" t="s">
        <v>2129</v>
      </c>
      <c r="BE98" s="5782" t="s">
        <v>2129</v>
      </c>
      <c r="BF98" s="5782" t="s">
        <v>2129</v>
      </c>
      <c r="BG98" s="5782" t="s">
        <v>2129</v>
      </c>
      <c r="BH98" s="5788" t="s">
        <v>2129</v>
      </c>
      <c r="BJ98" s="5788" t="s">
        <v>2129</v>
      </c>
      <c r="BK98" s="5788" t="s">
        <v>2129</v>
      </c>
      <c r="BL98" s="5788" t="s">
        <v>2129</v>
      </c>
      <c r="BM98" s="5788" t="s">
        <v>2129</v>
      </c>
      <c r="BN98" s="5788" t="s">
        <v>2129</v>
      </c>
      <c r="BO98" s="5788" t="s">
        <v>2129</v>
      </c>
      <c r="BP98" s="5788" t="s">
        <v>2129</v>
      </c>
      <c r="BQ98" s="5788" t="s">
        <v>2129</v>
      </c>
      <c r="BR98" s="5788" t="s">
        <v>2129</v>
      </c>
      <c r="BS98" s="5788" t="s">
        <v>2129</v>
      </c>
      <c r="BT98" s="5788" t="s">
        <v>2129</v>
      </c>
      <c r="BU98" s="5788" t="s">
        <v>2129</v>
      </c>
      <c r="BV98" s="5788" t="s">
        <v>2129</v>
      </c>
      <c r="BW98" s="5788" t="s">
        <v>2129</v>
      </c>
      <c r="BX98" s="5788" t="s">
        <v>2129</v>
      </c>
      <c r="BY98" s="5788" t="s">
        <v>2129</v>
      </c>
      <c r="BZ98" s="5788" t="s">
        <v>2129</v>
      </c>
      <c r="CA98" s="5788" t="s">
        <v>2129</v>
      </c>
      <c r="CB98" s="5788"/>
      <c r="CC98" s="5788" t="s">
        <v>2129</v>
      </c>
      <c r="CD98" s="5788" t="s">
        <v>2129</v>
      </c>
      <c r="CE98" s="5788" t="s">
        <v>2129</v>
      </c>
      <c r="CF98" s="5788" t="s">
        <v>2129</v>
      </c>
      <c r="CG98" s="5788"/>
      <c r="CH98" s="5784"/>
    </row>
    <row r="99" spans="1:86" s="5782" customFormat="1" ht="13" hidden="1">
      <c r="A99" s="5782">
        <v>193</v>
      </c>
      <c r="B99" s="5783" t="s">
        <v>3328</v>
      </c>
      <c r="C99" s="5784" t="s">
        <v>2129</v>
      </c>
      <c r="D99" s="5784" t="s">
        <v>2129</v>
      </c>
      <c r="E99" s="5784" t="s">
        <v>2129</v>
      </c>
      <c r="F99" s="5784" t="s">
        <v>2129</v>
      </c>
      <c r="G99" s="5784" t="s">
        <v>2129</v>
      </c>
      <c r="H99" s="5784">
        <v>0</v>
      </c>
      <c r="I99" s="5784">
        <v>0</v>
      </c>
      <c r="J99" s="5785" t="b">
        <v>0</v>
      </c>
      <c r="K99" s="5785" t="s">
        <v>2129</v>
      </c>
      <c r="L99" s="5786">
        <v>0</v>
      </c>
      <c r="M99" s="5786">
        <v>0</v>
      </c>
      <c r="N99" s="5786">
        <v>0</v>
      </c>
      <c r="O99" s="5786">
        <v>0</v>
      </c>
      <c r="P99" s="5786">
        <v>0</v>
      </c>
      <c r="Q99" s="2476">
        <v>0</v>
      </c>
      <c r="R99" s="5787">
        <v>0</v>
      </c>
      <c r="S99" s="2477" t="b">
        <v>1</v>
      </c>
      <c r="T99" s="5787" t="s">
        <v>2129</v>
      </c>
      <c r="U99" s="5787">
        <v>0</v>
      </c>
      <c r="V99" s="5788">
        <v>717505</v>
      </c>
      <c r="W99" s="5788">
        <v>717505</v>
      </c>
      <c r="X99" s="5788" t="b">
        <v>1</v>
      </c>
      <c r="Y99" s="5788">
        <v>10871.287878787878</v>
      </c>
      <c r="Z99" s="5788"/>
      <c r="AA99" s="5788"/>
      <c r="AB99" s="5788" t="s">
        <v>2129</v>
      </c>
      <c r="AC99" s="5788"/>
      <c r="AD99" s="5788"/>
      <c r="AE99" s="5782">
        <v>119</v>
      </c>
      <c r="AF99" s="5789">
        <v>66</v>
      </c>
      <c r="AG99" s="5789" t="b">
        <v>1</v>
      </c>
      <c r="AH99" s="5782">
        <v>122</v>
      </c>
      <c r="AI99" s="5782" t="s">
        <v>2129</v>
      </c>
      <c r="AJ99" s="5782" t="s">
        <v>2129</v>
      </c>
      <c r="AK99" s="5782" t="s">
        <v>2129</v>
      </c>
      <c r="AL99" s="5782" t="s">
        <v>2129</v>
      </c>
      <c r="AM99" s="5782" t="s">
        <v>2129</v>
      </c>
      <c r="AN99" s="5782" t="s">
        <v>2129</v>
      </c>
      <c r="AQ99" s="5782" t="s">
        <v>2129</v>
      </c>
      <c r="AV99" s="5782" t="s">
        <v>2129</v>
      </c>
      <c r="AW99" s="5782" t="s">
        <v>2129</v>
      </c>
      <c r="AX99" s="5782" t="s">
        <v>2129</v>
      </c>
      <c r="AY99" s="5782" t="s">
        <v>2129</v>
      </c>
      <c r="AZ99" s="5782" t="s">
        <v>2129</v>
      </c>
      <c r="BA99" s="5782" t="s">
        <v>2129</v>
      </c>
      <c r="BB99" s="5782" t="s">
        <v>2129</v>
      </c>
      <c r="BC99" s="5782" t="s">
        <v>2129</v>
      </c>
      <c r="BD99" s="5782" t="s">
        <v>2129</v>
      </c>
      <c r="BE99" s="5782" t="s">
        <v>2129</v>
      </c>
      <c r="BF99" s="5782" t="s">
        <v>2129</v>
      </c>
      <c r="BG99" s="5782" t="s">
        <v>2129</v>
      </c>
      <c r="BH99" s="5788" t="s">
        <v>2129</v>
      </c>
      <c r="BJ99" s="5788" t="s">
        <v>2129</v>
      </c>
      <c r="BK99" s="5788" t="s">
        <v>2129</v>
      </c>
      <c r="BL99" s="5788" t="s">
        <v>2129</v>
      </c>
      <c r="BM99" s="5788" t="s">
        <v>2129</v>
      </c>
      <c r="BN99" s="5788" t="s">
        <v>2129</v>
      </c>
      <c r="BO99" s="5788" t="s">
        <v>2129</v>
      </c>
      <c r="BP99" s="5788" t="s">
        <v>2129</v>
      </c>
      <c r="BQ99" s="5788" t="s">
        <v>2129</v>
      </c>
      <c r="BR99" s="5788" t="s">
        <v>2129</v>
      </c>
      <c r="BS99" s="5788" t="s">
        <v>2129</v>
      </c>
      <c r="BT99" s="5788" t="s">
        <v>2129</v>
      </c>
      <c r="BU99" s="5788" t="s">
        <v>2129</v>
      </c>
      <c r="BV99" s="5788" t="s">
        <v>2129</v>
      </c>
      <c r="BW99" s="5788" t="s">
        <v>2129</v>
      </c>
      <c r="BX99" s="5788" t="s">
        <v>2129</v>
      </c>
      <c r="BY99" s="5788" t="s">
        <v>2129</v>
      </c>
      <c r="BZ99" s="5788" t="s">
        <v>2129</v>
      </c>
      <c r="CA99" s="5788" t="s">
        <v>2129</v>
      </c>
      <c r="CB99" s="5788"/>
      <c r="CC99" s="5788" t="s">
        <v>2129</v>
      </c>
      <c r="CD99" s="5788" t="s">
        <v>2129</v>
      </c>
      <c r="CE99" s="5788" t="s">
        <v>2129</v>
      </c>
      <c r="CF99" s="5788" t="s">
        <v>2129</v>
      </c>
      <c r="CG99" s="5788"/>
      <c r="CH99" s="5784"/>
    </row>
    <row r="100" spans="1:86" ht="13">
      <c r="A100">
        <v>195</v>
      </c>
      <c r="B100" s="5796" t="s">
        <v>3329</v>
      </c>
      <c r="C100" s="5803" t="s">
        <v>6598</v>
      </c>
      <c r="D100" s="5803" t="s">
        <v>2129</v>
      </c>
      <c r="E100" s="5803" t="s">
        <v>2129</v>
      </c>
      <c r="F100" s="2694" t="s">
        <v>2129</v>
      </c>
      <c r="G100" s="2694" t="s">
        <v>2129</v>
      </c>
      <c r="H100" s="2694">
        <v>1</v>
      </c>
      <c r="I100" s="2694">
        <v>1</v>
      </c>
      <c r="J100" s="2694" t="b">
        <v>0</v>
      </c>
      <c r="K100" s="2694" t="s">
        <v>2129</v>
      </c>
      <c r="L100" s="2477">
        <v>0</v>
      </c>
      <c r="M100" s="2477">
        <v>0</v>
      </c>
      <c r="N100" s="2477">
        <v>0</v>
      </c>
      <c r="O100" s="2477">
        <v>0</v>
      </c>
      <c r="P100" s="2477">
        <v>0</v>
      </c>
      <c r="Q100" s="2695">
        <v>0</v>
      </c>
      <c r="R100" s="2477">
        <v>116471</v>
      </c>
      <c r="S100" s="2477" t="b">
        <v>1</v>
      </c>
      <c r="T100" s="2477">
        <v>116471</v>
      </c>
      <c r="U100" s="2477">
        <v>-2232134</v>
      </c>
      <c r="V100" s="1958">
        <v>0</v>
      </c>
      <c r="W100" s="1958">
        <v>2232134</v>
      </c>
      <c r="X100" s="1958" t="b">
        <v>1</v>
      </c>
      <c r="Y100" s="1958">
        <v>18601.116666666665</v>
      </c>
      <c r="Z100" s="1958">
        <v>11412</v>
      </c>
      <c r="AA100" s="1958">
        <v>29412</v>
      </c>
      <c r="AB100" s="1958">
        <v>16732.638680659675</v>
      </c>
      <c r="AC100" s="1958"/>
      <c r="AD100" s="1958"/>
      <c r="AE100">
        <v>159</v>
      </c>
      <c r="AF100" s="3965">
        <v>120</v>
      </c>
      <c r="AG100" s="3965" t="b">
        <v>1</v>
      </c>
      <c r="AH100"/>
      <c r="AI100">
        <v>116</v>
      </c>
      <c r="AJ100" t="s">
        <v>2129</v>
      </c>
      <c r="AK100" t="s">
        <v>2129</v>
      </c>
      <c r="AL100" t="s">
        <v>2129</v>
      </c>
      <c r="AM100" t="s">
        <v>2129</v>
      </c>
      <c r="AN100">
        <v>-4</v>
      </c>
      <c r="AQ100" t="s">
        <v>2129</v>
      </c>
      <c r="AV100">
        <v>19</v>
      </c>
      <c r="AW100" s="5782" t="s">
        <v>2129</v>
      </c>
      <c r="AX100" t="s">
        <v>2129</v>
      </c>
      <c r="AY100" t="s">
        <v>2129</v>
      </c>
      <c r="AZ100" t="s">
        <v>2129</v>
      </c>
      <c r="BA100" t="s">
        <v>2129</v>
      </c>
      <c r="BB100" t="s">
        <v>2129</v>
      </c>
      <c r="BC100" t="s">
        <v>2129</v>
      </c>
      <c r="BD100" t="s">
        <v>2129</v>
      </c>
      <c r="BE100" t="s">
        <v>2129</v>
      </c>
      <c r="BF100" t="s">
        <v>2129</v>
      </c>
      <c r="BG100" t="s">
        <v>2129</v>
      </c>
      <c r="BH100" s="1958">
        <v>42410546</v>
      </c>
      <c r="BI100"/>
      <c r="BJ100" s="1958" t="s">
        <v>2129</v>
      </c>
      <c r="BK100" s="1958" t="s">
        <v>2129</v>
      </c>
      <c r="BL100" s="1958" t="s">
        <v>2129</v>
      </c>
      <c r="BM100" s="1958" t="s">
        <v>2129</v>
      </c>
      <c r="BN100" s="1958" t="s">
        <v>2129</v>
      </c>
      <c r="BO100" s="1958" t="s">
        <v>2129</v>
      </c>
      <c r="BP100" s="1958" t="s">
        <v>2129</v>
      </c>
      <c r="BQ100" s="1958" t="s">
        <v>2129</v>
      </c>
      <c r="BR100" s="1958" t="s">
        <v>2129</v>
      </c>
      <c r="BS100" s="1958" t="s">
        <v>2129</v>
      </c>
      <c r="BT100" s="1958" t="s">
        <v>2129</v>
      </c>
      <c r="BU100" s="1958" t="s">
        <v>2129</v>
      </c>
      <c r="BV100" s="1958" t="s">
        <v>2129</v>
      </c>
      <c r="BW100" s="1958" t="s">
        <v>2129</v>
      </c>
      <c r="BX100" s="1958">
        <v>2212949</v>
      </c>
      <c r="BY100" s="1958" t="s">
        <v>2129</v>
      </c>
      <c r="BZ100" s="1958" t="s">
        <v>2129</v>
      </c>
      <c r="CA100" s="1958" t="s">
        <v>2129</v>
      </c>
      <c r="CC100" s="1958" t="s">
        <v>2129</v>
      </c>
      <c r="CD100" s="1958" t="s">
        <v>2129</v>
      </c>
      <c r="CE100" s="1958" t="s">
        <v>2129</v>
      </c>
      <c r="CF100" s="1958" t="s">
        <v>2129</v>
      </c>
      <c r="CH100" s="2694"/>
    </row>
    <row r="101" spans="1:86" ht="13" hidden="1">
      <c r="A101">
        <v>200</v>
      </c>
      <c r="B101" s="196" t="s">
        <v>3330</v>
      </c>
      <c r="C101" s="5785" t="s">
        <v>2129</v>
      </c>
      <c r="D101" s="2694" t="s">
        <v>3791</v>
      </c>
      <c r="E101" s="2694" t="s">
        <v>2129</v>
      </c>
      <c r="F101" s="5785" t="s">
        <v>2129</v>
      </c>
      <c r="G101" s="5785" t="s">
        <v>2129</v>
      </c>
      <c r="H101" s="5785">
        <v>0</v>
      </c>
      <c r="I101" s="5785">
        <v>0</v>
      </c>
      <c r="J101" s="5785" t="b">
        <v>0</v>
      </c>
      <c r="K101" s="5785" t="s">
        <v>2129</v>
      </c>
      <c r="L101" s="5786">
        <v>0</v>
      </c>
      <c r="M101" s="5786">
        <v>0</v>
      </c>
      <c r="N101" s="5786">
        <v>0</v>
      </c>
      <c r="O101" s="5786">
        <v>0</v>
      </c>
      <c r="P101" s="5786">
        <v>0</v>
      </c>
      <c r="Q101" s="2476">
        <v>0</v>
      </c>
      <c r="R101" s="2477">
        <v>0</v>
      </c>
      <c r="S101" s="2477" t="b">
        <v>1</v>
      </c>
      <c r="T101" s="5786" t="s">
        <v>2129</v>
      </c>
      <c r="U101" s="5786">
        <v>0</v>
      </c>
      <c r="V101" s="863">
        <v>1920525</v>
      </c>
      <c r="W101" s="863">
        <v>1920525</v>
      </c>
      <c r="X101" s="863" t="b">
        <v>1</v>
      </c>
      <c r="Y101" s="863">
        <v>15742.008196721312</v>
      </c>
      <c r="AB101" s="863" t="s">
        <v>2129</v>
      </c>
      <c r="AE101">
        <v>122</v>
      </c>
      <c r="AF101" s="3965">
        <v>122</v>
      </c>
      <c r="AG101" s="3965" t="b">
        <v>1</v>
      </c>
      <c r="AH101">
        <v>126</v>
      </c>
      <c r="AI101" t="s">
        <v>2129</v>
      </c>
      <c r="AJ101">
        <v>46</v>
      </c>
      <c r="AK101" t="s">
        <v>2129</v>
      </c>
      <c r="AL101" t="s">
        <v>2129</v>
      </c>
      <c r="AM101" t="s">
        <v>2129</v>
      </c>
      <c r="AN101" t="s">
        <v>2129</v>
      </c>
      <c r="AQ101" t="s">
        <v>2129</v>
      </c>
      <c r="AV101" t="s">
        <v>2129</v>
      </c>
      <c r="AW101" t="s">
        <v>2129</v>
      </c>
      <c r="AX101" t="s">
        <v>2129</v>
      </c>
      <c r="AY101" t="s">
        <v>2129</v>
      </c>
      <c r="AZ101" t="s">
        <v>2129</v>
      </c>
      <c r="BA101">
        <v>11</v>
      </c>
      <c r="BB101" t="s">
        <v>2129</v>
      </c>
      <c r="BC101" t="s">
        <v>2129</v>
      </c>
      <c r="BD101" t="s">
        <v>2129</v>
      </c>
      <c r="BE101" t="s">
        <v>2129</v>
      </c>
      <c r="BF101" t="s">
        <v>2129</v>
      </c>
      <c r="BG101" t="s">
        <v>2129</v>
      </c>
      <c r="BH101" s="1958" t="s">
        <v>2129</v>
      </c>
      <c r="BI101"/>
      <c r="BJ101" s="863" t="s">
        <v>2129</v>
      </c>
      <c r="BK101" s="863" t="s">
        <v>2129</v>
      </c>
      <c r="BL101" s="863" t="s">
        <v>2129</v>
      </c>
      <c r="BM101" s="863" t="s">
        <v>2129</v>
      </c>
      <c r="BN101" s="863">
        <v>7965456.1475409837</v>
      </c>
      <c r="BO101" s="863" t="s">
        <v>2129</v>
      </c>
      <c r="BP101" s="863" t="s">
        <v>2129</v>
      </c>
      <c r="BQ101" s="863" t="s">
        <v>2129</v>
      </c>
      <c r="BR101" s="863" t="s">
        <v>2129</v>
      </c>
      <c r="BS101" s="863" t="s">
        <v>2129</v>
      </c>
      <c r="BT101" s="863" t="s">
        <v>2129</v>
      </c>
      <c r="BU101" s="863" t="s">
        <v>2129</v>
      </c>
      <c r="BV101" s="863" t="s">
        <v>2129</v>
      </c>
      <c r="BW101" s="863" t="s">
        <v>2129</v>
      </c>
      <c r="BX101" s="863" t="s">
        <v>2129</v>
      </c>
      <c r="BY101" s="863" t="s">
        <v>2129</v>
      </c>
      <c r="BZ101" s="863" t="s">
        <v>2129</v>
      </c>
      <c r="CA101" s="863" t="s">
        <v>2129</v>
      </c>
      <c r="CB101" s="863"/>
      <c r="CC101" s="863" t="s">
        <v>2129</v>
      </c>
      <c r="CD101" s="863" t="s">
        <v>2129</v>
      </c>
      <c r="CE101" s="863" t="s">
        <v>2129</v>
      </c>
      <c r="CF101" s="863" t="s">
        <v>2129</v>
      </c>
      <c r="CG101" s="863"/>
      <c r="CH101" s="5785"/>
    </row>
    <row r="102" spans="1:86" ht="13">
      <c r="A102">
        <v>201</v>
      </c>
      <c r="B102" s="196" t="s">
        <v>2855</v>
      </c>
      <c r="C102" s="5790" t="s">
        <v>6598</v>
      </c>
      <c r="D102" s="5790" t="s">
        <v>6599</v>
      </c>
      <c r="E102" s="5790" t="s">
        <v>2129</v>
      </c>
      <c r="F102" s="5785" t="s">
        <v>3791</v>
      </c>
      <c r="G102" s="5785" t="s">
        <v>2129</v>
      </c>
      <c r="H102" s="5785">
        <v>19</v>
      </c>
      <c r="I102" s="5785">
        <v>5</v>
      </c>
      <c r="J102" s="5785" t="b">
        <v>1</v>
      </c>
      <c r="K102" s="5785" t="s">
        <v>2129</v>
      </c>
      <c r="L102" s="5786">
        <v>111689</v>
      </c>
      <c r="M102" s="5786">
        <v>0</v>
      </c>
      <c r="N102" s="5786">
        <v>0</v>
      </c>
      <c r="O102" s="5786">
        <v>0</v>
      </c>
      <c r="P102" s="5786">
        <v>0</v>
      </c>
      <c r="Q102" s="2476">
        <v>122857.90000000001</v>
      </c>
      <c r="R102" s="2477">
        <v>84704</v>
      </c>
      <c r="S102" s="2477" t="b">
        <v>1</v>
      </c>
      <c r="T102" s="5786">
        <v>16940.8</v>
      </c>
      <c r="U102" s="5786">
        <v>0</v>
      </c>
      <c r="V102" s="863">
        <v>402908</v>
      </c>
      <c r="W102" s="863">
        <v>402908</v>
      </c>
      <c r="X102" s="863" t="b">
        <v>1</v>
      </c>
      <c r="Y102" s="863">
        <v>7325.6</v>
      </c>
      <c r="Z102" s="863">
        <v>6342</v>
      </c>
      <c r="AA102" s="863">
        <v>10095</v>
      </c>
      <c r="AB102" s="863">
        <v>6256.335403726709</v>
      </c>
      <c r="AC102" s="863">
        <v>1060</v>
      </c>
      <c r="AE102">
        <v>69</v>
      </c>
      <c r="AF102" s="3965">
        <v>55</v>
      </c>
      <c r="AG102" s="3965" t="b">
        <v>1</v>
      </c>
      <c r="AH102" s="2814">
        <v>106</v>
      </c>
      <c r="AI102">
        <v>56</v>
      </c>
      <c r="AJ102" t="s">
        <v>2129</v>
      </c>
      <c r="AK102" t="s">
        <v>2129</v>
      </c>
      <c r="AL102">
        <v>36</v>
      </c>
      <c r="AM102" t="s">
        <v>2129</v>
      </c>
      <c r="AN102">
        <v>1</v>
      </c>
      <c r="AQ102">
        <v>-19</v>
      </c>
      <c r="AV102">
        <v>17</v>
      </c>
      <c r="AW102">
        <v>15</v>
      </c>
      <c r="AX102" t="s">
        <v>2129</v>
      </c>
      <c r="AY102" t="s">
        <v>2129</v>
      </c>
      <c r="AZ102" t="s">
        <v>2129</v>
      </c>
      <c r="BA102" t="s">
        <v>2129</v>
      </c>
      <c r="BB102" t="s">
        <v>2129</v>
      </c>
      <c r="BC102" t="s">
        <v>2129</v>
      </c>
      <c r="BD102" t="s">
        <v>2129</v>
      </c>
      <c r="BE102" t="s">
        <v>2129</v>
      </c>
      <c r="BF102">
        <v>10</v>
      </c>
      <c r="BG102" t="s">
        <v>2129</v>
      </c>
      <c r="BH102" s="1958">
        <v>6849436</v>
      </c>
      <c r="BI102" s="1958">
        <v>6043620</v>
      </c>
      <c r="BJ102" s="1958" t="s">
        <v>2129</v>
      </c>
      <c r="BK102" s="1958" t="s">
        <v>2129</v>
      </c>
      <c r="BL102" s="1958" t="s">
        <v>2129</v>
      </c>
      <c r="BM102" s="1958" t="s">
        <v>2129</v>
      </c>
      <c r="BN102" s="1958" t="s">
        <v>2129</v>
      </c>
      <c r="BO102" s="1958" t="s">
        <v>2129</v>
      </c>
      <c r="BP102" s="1958" t="s">
        <v>2129</v>
      </c>
      <c r="BQ102" s="863" t="s">
        <v>2129</v>
      </c>
      <c r="BR102" s="863" t="s">
        <v>2129</v>
      </c>
      <c r="BS102" s="1958" t="s">
        <v>2129</v>
      </c>
      <c r="BT102" s="1958" t="s">
        <v>2129</v>
      </c>
      <c r="BU102" s="1958" t="s">
        <v>2129</v>
      </c>
      <c r="BV102" s="1958">
        <v>2637216.0000000005</v>
      </c>
      <c r="BW102" s="1958" t="s">
        <v>2129</v>
      </c>
      <c r="BX102" s="1958">
        <v>1439968</v>
      </c>
      <c r="BY102" s="1958">
        <v>1270560</v>
      </c>
      <c r="BZ102" s="1958" t="s">
        <v>2129</v>
      </c>
      <c r="CA102" s="1958" t="s">
        <v>2129</v>
      </c>
      <c r="CC102" s="1958" t="s">
        <v>2129</v>
      </c>
      <c r="CD102" s="1958" t="s">
        <v>2129</v>
      </c>
      <c r="CE102" s="1958" t="s">
        <v>2129</v>
      </c>
      <c r="CF102" s="1958" t="s">
        <v>2129</v>
      </c>
      <c r="CH102" s="5785"/>
    </row>
    <row r="103" spans="1:86" ht="13">
      <c r="A103">
        <v>206</v>
      </c>
      <c r="B103" s="196" t="s">
        <v>2856</v>
      </c>
      <c r="C103" s="5790" t="s">
        <v>6598</v>
      </c>
      <c r="D103" s="5790" t="s">
        <v>6599</v>
      </c>
      <c r="E103" s="5790" t="s">
        <v>2129</v>
      </c>
      <c r="F103" s="5792" t="s">
        <v>5205</v>
      </c>
      <c r="G103" s="5792" t="s">
        <v>2129</v>
      </c>
      <c r="H103" s="5785">
        <v>6</v>
      </c>
      <c r="I103" s="5785">
        <v>1</v>
      </c>
      <c r="J103" s="5785" t="b">
        <v>1</v>
      </c>
      <c r="K103" s="5785">
        <v>5</v>
      </c>
      <c r="L103" s="5786">
        <v>3670335</v>
      </c>
      <c r="M103" s="5786">
        <v>0</v>
      </c>
      <c r="N103" s="5786">
        <v>0</v>
      </c>
      <c r="O103" s="5786">
        <v>0</v>
      </c>
      <c r="P103" s="5786">
        <v>0</v>
      </c>
      <c r="Q103" s="2476">
        <v>4037368.5000000005</v>
      </c>
      <c r="R103" s="2477">
        <v>1542200</v>
      </c>
      <c r="S103" s="2477" t="b">
        <v>1</v>
      </c>
      <c r="T103" s="5786">
        <v>1542200</v>
      </c>
      <c r="U103" s="5786">
        <v>-922538</v>
      </c>
      <c r="V103" s="863">
        <v>2932641</v>
      </c>
      <c r="W103" s="863">
        <v>3855179</v>
      </c>
      <c r="X103" s="863" t="b">
        <v>1</v>
      </c>
      <c r="Y103" s="863">
        <v>26772.076388888891</v>
      </c>
      <c r="Z103" s="863">
        <v>17942</v>
      </c>
      <c r="AA103" s="863">
        <v>35648</v>
      </c>
      <c r="AB103" s="863">
        <v>23945.211180124224</v>
      </c>
      <c r="AC103" s="863">
        <v>1700</v>
      </c>
      <c r="AE103">
        <v>151</v>
      </c>
      <c r="AF103" s="3965">
        <v>144</v>
      </c>
      <c r="AG103" s="3965" t="b">
        <v>1</v>
      </c>
      <c r="AH103" s="2814">
        <v>191</v>
      </c>
      <c r="AI103">
        <v>140</v>
      </c>
      <c r="AJ103" t="s">
        <v>2129</v>
      </c>
      <c r="AK103" t="s">
        <v>2129</v>
      </c>
      <c r="AL103">
        <v>151</v>
      </c>
      <c r="AM103" t="s">
        <v>2129</v>
      </c>
      <c r="AN103">
        <v>-4</v>
      </c>
      <c r="AQ103">
        <v>7</v>
      </c>
      <c r="AV103">
        <v>25</v>
      </c>
      <c r="AW103">
        <v>25</v>
      </c>
      <c r="AX103" t="s">
        <v>2129</v>
      </c>
      <c r="AY103" t="s">
        <v>2129</v>
      </c>
      <c r="AZ103" t="s">
        <v>2129</v>
      </c>
      <c r="BA103" t="s">
        <v>2129</v>
      </c>
      <c r="BB103" t="s">
        <v>2129</v>
      </c>
      <c r="BC103">
        <v>18</v>
      </c>
      <c r="BD103" t="s">
        <v>2129</v>
      </c>
      <c r="BE103" t="s">
        <v>2129</v>
      </c>
      <c r="BF103" t="s">
        <v>2129</v>
      </c>
      <c r="BG103" t="s">
        <v>2129</v>
      </c>
      <c r="BH103" s="1958">
        <v>96379475</v>
      </c>
      <c r="BI103" s="1958">
        <v>96379475</v>
      </c>
      <c r="BJ103" s="1958" t="s">
        <v>2129</v>
      </c>
      <c r="BK103" s="1958" t="s">
        <v>2129</v>
      </c>
      <c r="BL103" s="1958" t="s">
        <v>2129</v>
      </c>
      <c r="BM103" s="1958" t="s">
        <v>2129</v>
      </c>
      <c r="BN103" s="1958" t="s">
        <v>2129</v>
      </c>
      <c r="BO103" s="1958" t="s">
        <v>2129</v>
      </c>
      <c r="BP103" s="1958">
        <v>72766503.625</v>
      </c>
      <c r="BQ103" s="863">
        <v>72766503.625</v>
      </c>
      <c r="BR103" s="863" t="s">
        <v>2129</v>
      </c>
      <c r="BS103" s="1958" t="s">
        <v>2129</v>
      </c>
      <c r="BT103" s="1958" t="s">
        <v>2129</v>
      </c>
      <c r="BU103" s="1958" t="s">
        <v>2129</v>
      </c>
      <c r="BV103" s="1958" t="s">
        <v>2129</v>
      </c>
      <c r="BW103" s="1958" t="s">
        <v>2129</v>
      </c>
      <c r="BX103" s="1958">
        <v>38555000</v>
      </c>
      <c r="BY103" s="1958">
        <v>38555000</v>
      </c>
      <c r="BZ103" s="1958" t="s">
        <v>2129</v>
      </c>
      <c r="CA103" s="1958" t="s">
        <v>2129</v>
      </c>
      <c r="CC103" s="1958">
        <v>27759600</v>
      </c>
      <c r="CD103" s="1958">
        <v>27759600</v>
      </c>
      <c r="CE103" s="1958" t="s">
        <v>2129</v>
      </c>
      <c r="CF103" s="1958" t="s">
        <v>2129</v>
      </c>
      <c r="CH103" s="5785"/>
    </row>
    <row r="104" spans="1:86" s="5782" customFormat="1" ht="13" hidden="1">
      <c r="A104" s="5782">
        <v>207</v>
      </c>
      <c r="B104" s="5783" t="s">
        <v>3331</v>
      </c>
      <c r="C104" s="5784" t="s">
        <v>2129</v>
      </c>
      <c r="D104" s="5784" t="s">
        <v>2129</v>
      </c>
      <c r="E104" s="5784" t="s">
        <v>2129</v>
      </c>
      <c r="F104" s="5784" t="s">
        <v>2129</v>
      </c>
      <c r="G104" s="5784" t="s">
        <v>2129</v>
      </c>
      <c r="H104" s="5784">
        <v>2</v>
      </c>
      <c r="I104" s="5784">
        <v>2</v>
      </c>
      <c r="J104" s="5785" t="b">
        <v>0</v>
      </c>
      <c r="K104" s="5785" t="s">
        <v>2129</v>
      </c>
      <c r="L104" s="5786">
        <v>198825</v>
      </c>
      <c r="M104" s="5786">
        <v>0</v>
      </c>
      <c r="N104" s="5786">
        <v>0</v>
      </c>
      <c r="O104" s="5786">
        <v>0</v>
      </c>
      <c r="P104" s="5786">
        <v>0</v>
      </c>
      <c r="Q104" s="2476">
        <v>218707.50000000003</v>
      </c>
      <c r="R104" s="5787">
        <v>218707</v>
      </c>
      <c r="S104" s="2477" t="b">
        <v>0</v>
      </c>
      <c r="T104" s="5787">
        <v>109353.5</v>
      </c>
      <c r="U104" s="5787">
        <v>0</v>
      </c>
      <c r="V104" s="5788">
        <v>1414498</v>
      </c>
      <c r="W104" s="5788">
        <v>1414498</v>
      </c>
      <c r="X104" s="5788" t="b">
        <v>0</v>
      </c>
      <c r="Y104" s="5788">
        <v>12299.982608695653</v>
      </c>
      <c r="Z104" s="5788"/>
      <c r="AA104" s="5788"/>
      <c r="AB104" s="5788" t="s">
        <v>2129</v>
      </c>
      <c r="AC104" s="5788"/>
      <c r="AD104" s="5788"/>
      <c r="AE104" s="5782">
        <v>115</v>
      </c>
      <c r="AF104" s="5789">
        <v>115</v>
      </c>
      <c r="AG104" s="5789" t="b">
        <v>0</v>
      </c>
      <c r="AH104" s="5782">
        <v>119</v>
      </c>
      <c r="AI104" s="5782" t="s">
        <v>2129</v>
      </c>
      <c r="AJ104" s="5782" t="s">
        <v>2129</v>
      </c>
      <c r="AK104" s="5782" t="s">
        <v>2129</v>
      </c>
      <c r="AL104" s="5782" t="s">
        <v>2129</v>
      </c>
      <c r="AM104" s="5782" t="s">
        <v>2129</v>
      </c>
      <c r="AN104" s="5782" t="s">
        <v>2129</v>
      </c>
      <c r="AQ104" s="5782" t="s">
        <v>2129</v>
      </c>
      <c r="AV104" s="5782" t="s">
        <v>2129</v>
      </c>
      <c r="AW104" s="5782" t="s">
        <v>2129</v>
      </c>
      <c r="AX104" s="5782" t="s">
        <v>2129</v>
      </c>
      <c r="AY104" s="5782" t="s">
        <v>2129</v>
      </c>
      <c r="AZ104" s="5782" t="s">
        <v>2129</v>
      </c>
      <c r="BA104" s="5782" t="s">
        <v>2129</v>
      </c>
      <c r="BB104" s="5782" t="s">
        <v>2129</v>
      </c>
      <c r="BC104" s="5782" t="s">
        <v>2129</v>
      </c>
      <c r="BD104" s="5782" t="s">
        <v>2129</v>
      </c>
      <c r="BE104" s="5782" t="s">
        <v>2129</v>
      </c>
      <c r="BF104" s="5782" t="s">
        <v>2129</v>
      </c>
      <c r="BG104" s="5782" t="s">
        <v>2129</v>
      </c>
      <c r="BH104" s="5788" t="s">
        <v>2129</v>
      </c>
      <c r="BJ104" s="5788" t="s">
        <v>2129</v>
      </c>
      <c r="BK104" s="5788" t="s">
        <v>2129</v>
      </c>
      <c r="BL104" s="5788" t="s">
        <v>2129</v>
      </c>
      <c r="BM104" s="5788" t="s">
        <v>2129</v>
      </c>
      <c r="BN104" s="5788" t="s">
        <v>2129</v>
      </c>
      <c r="BO104" s="5788" t="s">
        <v>2129</v>
      </c>
      <c r="BP104" s="5788" t="s">
        <v>2129</v>
      </c>
      <c r="BQ104" s="5788" t="s">
        <v>2129</v>
      </c>
      <c r="BR104" s="5788" t="s">
        <v>2129</v>
      </c>
      <c r="BS104" s="5788" t="s">
        <v>2129</v>
      </c>
      <c r="BT104" s="5788" t="s">
        <v>2129</v>
      </c>
      <c r="BU104" s="5788" t="s">
        <v>2129</v>
      </c>
      <c r="BV104" s="5788" t="s">
        <v>2129</v>
      </c>
      <c r="BW104" s="5788" t="s">
        <v>2129</v>
      </c>
      <c r="BX104" s="5788" t="s">
        <v>2129</v>
      </c>
      <c r="BY104" s="5788" t="s">
        <v>2129</v>
      </c>
      <c r="BZ104" s="5788" t="s">
        <v>2129</v>
      </c>
      <c r="CA104" s="5788" t="s">
        <v>2129</v>
      </c>
      <c r="CB104" s="5788"/>
      <c r="CC104" s="5788" t="s">
        <v>2129</v>
      </c>
      <c r="CD104" s="5788" t="s">
        <v>2129</v>
      </c>
      <c r="CE104" s="5788" t="s">
        <v>2129</v>
      </c>
      <c r="CF104" s="5788" t="s">
        <v>2129</v>
      </c>
      <c r="CG104" s="5788"/>
      <c r="CH104" s="5784"/>
    </row>
    <row r="105" spans="1:86" s="5782" customFormat="1" ht="13" hidden="1">
      <c r="A105" s="5782">
        <v>208</v>
      </c>
      <c r="B105" s="5783" t="s">
        <v>3332</v>
      </c>
      <c r="C105" s="5784" t="s">
        <v>2129</v>
      </c>
      <c r="D105" s="5784" t="s">
        <v>2129</v>
      </c>
      <c r="E105" s="5784" t="s">
        <v>2129</v>
      </c>
      <c r="F105" s="5784" t="s">
        <v>2129</v>
      </c>
      <c r="G105" s="5784" t="s">
        <v>2129</v>
      </c>
      <c r="H105" s="5784">
        <v>0</v>
      </c>
      <c r="I105" s="5784">
        <v>0</v>
      </c>
      <c r="J105" s="5785" t="b">
        <v>0</v>
      </c>
      <c r="K105" s="5785" t="s">
        <v>2129</v>
      </c>
      <c r="L105" s="5786">
        <v>0</v>
      </c>
      <c r="M105" s="5786">
        <v>0</v>
      </c>
      <c r="N105" s="5786">
        <v>0</v>
      </c>
      <c r="O105" s="5786">
        <v>0</v>
      </c>
      <c r="P105" s="5786">
        <v>0</v>
      </c>
      <c r="Q105" s="2476">
        <v>0</v>
      </c>
      <c r="R105" s="5787">
        <v>0</v>
      </c>
      <c r="S105" s="2477" t="b">
        <v>1</v>
      </c>
      <c r="T105" s="5787" t="s">
        <v>2129</v>
      </c>
      <c r="U105" s="5787">
        <v>0</v>
      </c>
      <c r="V105" s="5788">
        <v>1441105</v>
      </c>
      <c r="W105" s="5788">
        <v>1441105</v>
      </c>
      <c r="X105" s="5788" t="b">
        <v>0</v>
      </c>
      <c r="Y105" s="5788">
        <v>9297.4516129032254</v>
      </c>
      <c r="Z105" s="5788"/>
      <c r="AA105" s="5788"/>
      <c r="AB105" s="5788" t="s">
        <v>2129</v>
      </c>
      <c r="AC105" s="5788"/>
      <c r="AD105" s="5788"/>
      <c r="AE105" s="5782">
        <v>155</v>
      </c>
      <c r="AF105" s="5789">
        <v>155</v>
      </c>
      <c r="AG105" s="5789" t="b">
        <v>0</v>
      </c>
      <c r="AH105" s="5782">
        <v>156</v>
      </c>
      <c r="AI105" s="5782" t="s">
        <v>2129</v>
      </c>
      <c r="AJ105" s="5782" t="s">
        <v>2129</v>
      </c>
      <c r="AK105" s="5782" t="s">
        <v>2129</v>
      </c>
      <c r="AL105" s="5782" t="s">
        <v>2129</v>
      </c>
      <c r="AM105" s="5782" t="s">
        <v>2129</v>
      </c>
      <c r="AN105" s="5782" t="s">
        <v>2129</v>
      </c>
      <c r="AQ105" s="5782" t="s">
        <v>2129</v>
      </c>
      <c r="AV105" s="5782" t="s">
        <v>2129</v>
      </c>
      <c r="AW105" s="5782" t="s">
        <v>2129</v>
      </c>
      <c r="AX105" s="5782" t="s">
        <v>2129</v>
      </c>
      <c r="AY105" s="5782" t="s">
        <v>2129</v>
      </c>
      <c r="AZ105" s="5782" t="s">
        <v>2129</v>
      </c>
      <c r="BA105" s="5782" t="s">
        <v>2129</v>
      </c>
      <c r="BB105" s="5782" t="s">
        <v>2129</v>
      </c>
      <c r="BC105" s="5782" t="s">
        <v>2129</v>
      </c>
      <c r="BD105" s="5782" t="s">
        <v>2129</v>
      </c>
      <c r="BE105" s="5782" t="s">
        <v>2129</v>
      </c>
      <c r="BF105" s="5782" t="s">
        <v>2129</v>
      </c>
      <c r="BG105" s="5782" t="s">
        <v>2129</v>
      </c>
      <c r="BH105" s="5788" t="s">
        <v>2129</v>
      </c>
      <c r="BJ105" s="5788" t="s">
        <v>2129</v>
      </c>
      <c r="BK105" s="5788" t="s">
        <v>2129</v>
      </c>
      <c r="BL105" s="5788" t="s">
        <v>2129</v>
      </c>
      <c r="BM105" s="5788" t="s">
        <v>2129</v>
      </c>
      <c r="BN105" s="5788" t="s">
        <v>2129</v>
      </c>
      <c r="BO105" s="5788" t="s">
        <v>2129</v>
      </c>
      <c r="BP105" s="5788" t="s">
        <v>2129</v>
      </c>
      <c r="BQ105" s="5788" t="s">
        <v>2129</v>
      </c>
      <c r="BR105" s="5788" t="s">
        <v>2129</v>
      </c>
      <c r="BS105" s="5788" t="s">
        <v>2129</v>
      </c>
      <c r="BT105" s="5788" t="s">
        <v>2129</v>
      </c>
      <c r="BU105" s="5788" t="s">
        <v>2129</v>
      </c>
      <c r="BV105" s="5788" t="s">
        <v>2129</v>
      </c>
      <c r="BW105" s="5788" t="s">
        <v>2129</v>
      </c>
      <c r="BX105" s="5788" t="s">
        <v>2129</v>
      </c>
      <c r="BY105" s="5788" t="s">
        <v>2129</v>
      </c>
      <c r="BZ105" s="5788" t="s">
        <v>2129</v>
      </c>
      <c r="CA105" s="5788" t="s">
        <v>2129</v>
      </c>
      <c r="CB105" s="5788"/>
      <c r="CC105" s="5788" t="s">
        <v>2129</v>
      </c>
      <c r="CD105" s="5788" t="s">
        <v>2129</v>
      </c>
      <c r="CE105" s="5788" t="s">
        <v>2129</v>
      </c>
      <c r="CF105" s="5788" t="s">
        <v>2129</v>
      </c>
      <c r="CG105" s="5788"/>
      <c r="CH105" s="5784"/>
    </row>
    <row r="106" spans="1:86" ht="13">
      <c r="A106">
        <v>210</v>
      </c>
      <c r="B106" s="196" t="s">
        <v>2858</v>
      </c>
      <c r="C106" s="5790" t="s">
        <v>6598</v>
      </c>
      <c r="D106" s="5790" t="s">
        <v>6599</v>
      </c>
      <c r="E106" s="5790" t="s">
        <v>2129</v>
      </c>
      <c r="F106" s="5792" t="s">
        <v>5205</v>
      </c>
      <c r="G106" s="5792" t="s">
        <v>2129</v>
      </c>
      <c r="H106" s="5785">
        <v>6</v>
      </c>
      <c r="I106" s="5785">
        <v>4</v>
      </c>
      <c r="J106" s="5797" t="b">
        <v>1</v>
      </c>
      <c r="K106" s="5785">
        <v>2</v>
      </c>
      <c r="L106" s="5786">
        <v>5617648</v>
      </c>
      <c r="M106" s="5786">
        <v>0</v>
      </c>
      <c r="N106" s="5786">
        <v>0</v>
      </c>
      <c r="O106" s="5786">
        <v>0</v>
      </c>
      <c r="P106" s="5786">
        <v>0</v>
      </c>
      <c r="Q106" s="2476">
        <v>6179412.8000000007</v>
      </c>
      <c r="R106" s="2477">
        <v>5170000</v>
      </c>
      <c r="S106" s="2477" t="b">
        <v>1</v>
      </c>
      <c r="T106" s="5786">
        <v>1292500</v>
      </c>
      <c r="U106" s="5786">
        <v>0</v>
      </c>
      <c r="V106" s="863">
        <v>4398277</v>
      </c>
      <c r="W106" s="863">
        <v>4398277</v>
      </c>
      <c r="X106" s="863" t="b">
        <v>1</v>
      </c>
      <c r="Y106" s="863">
        <v>44427.040404040403</v>
      </c>
      <c r="Z106" s="863">
        <v>32942</v>
      </c>
      <c r="AA106" s="863">
        <v>58824</v>
      </c>
      <c r="AB106" s="863">
        <v>32970.592203898057</v>
      </c>
      <c r="AC106" s="863">
        <v>2200</v>
      </c>
      <c r="AE106">
        <v>99</v>
      </c>
      <c r="AF106" s="3965">
        <v>99</v>
      </c>
      <c r="AG106" s="3965" t="b">
        <v>1</v>
      </c>
      <c r="AH106" s="2814">
        <v>128</v>
      </c>
      <c r="AI106">
        <v>116</v>
      </c>
      <c r="AJ106" t="s">
        <v>2129</v>
      </c>
      <c r="AK106" t="s">
        <v>2129</v>
      </c>
      <c r="AL106">
        <v>99</v>
      </c>
      <c r="AM106" t="s">
        <v>2129</v>
      </c>
      <c r="AN106">
        <v>17</v>
      </c>
      <c r="AQ106">
        <v>0</v>
      </c>
      <c r="AV106">
        <v>19</v>
      </c>
      <c r="AW106">
        <v>21</v>
      </c>
      <c r="AX106" t="s">
        <v>2129</v>
      </c>
      <c r="AY106" t="s">
        <v>2129</v>
      </c>
      <c r="AZ106" t="s">
        <v>2129</v>
      </c>
      <c r="BA106" t="s">
        <v>2129</v>
      </c>
      <c r="BB106" t="s">
        <v>2129</v>
      </c>
      <c r="BC106">
        <v>18</v>
      </c>
      <c r="BD106" t="s">
        <v>2129</v>
      </c>
      <c r="BE106" t="s">
        <v>2129</v>
      </c>
      <c r="BF106" t="s">
        <v>2129</v>
      </c>
      <c r="BG106" t="s">
        <v>2129</v>
      </c>
      <c r="BH106" s="1958">
        <v>83567263</v>
      </c>
      <c r="BI106" s="1958">
        <v>92363817</v>
      </c>
      <c r="BJ106" s="1958" t="s">
        <v>2129</v>
      </c>
      <c r="BK106" s="1958" t="s">
        <v>2129</v>
      </c>
      <c r="BL106" s="1958" t="s">
        <v>2129</v>
      </c>
      <c r="BM106" s="1958" t="s">
        <v>2129</v>
      </c>
      <c r="BN106" s="1958" t="s">
        <v>2129</v>
      </c>
      <c r="BO106" s="1958" t="s">
        <v>2129</v>
      </c>
      <c r="BP106" s="1958">
        <v>79168986</v>
      </c>
      <c r="BQ106" s="863">
        <v>79168986</v>
      </c>
      <c r="BR106" s="863" t="s">
        <v>2129</v>
      </c>
      <c r="BS106" s="1958" t="s">
        <v>2129</v>
      </c>
      <c r="BT106" s="1958" t="s">
        <v>2129</v>
      </c>
      <c r="BU106" s="1958" t="s">
        <v>2129</v>
      </c>
      <c r="BV106" s="1958" t="s">
        <v>2129</v>
      </c>
      <c r="BW106" s="1958" t="s">
        <v>2129</v>
      </c>
      <c r="BX106" s="1958">
        <v>98230000</v>
      </c>
      <c r="BY106" s="1958">
        <v>108570000</v>
      </c>
      <c r="BZ106" s="1958" t="s">
        <v>2129</v>
      </c>
      <c r="CA106" s="1958" t="s">
        <v>2129</v>
      </c>
      <c r="CC106" s="1958">
        <v>93060000</v>
      </c>
      <c r="CD106" s="1958">
        <v>93060000</v>
      </c>
      <c r="CE106" s="1958" t="s">
        <v>2129</v>
      </c>
      <c r="CF106" s="1958" t="s">
        <v>2129</v>
      </c>
      <c r="CH106" s="5785"/>
    </row>
    <row r="107" spans="1:86" s="5782" customFormat="1" ht="13" hidden="1">
      <c r="A107" s="5782">
        <v>211</v>
      </c>
      <c r="B107" s="5783" t="s">
        <v>3333</v>
      </c>
      <c r="C107" s="5784" t="s">
        <v>2129</v>
      </c>
      <c r="D107" s="5784" t="s">
        <v>2129</v>
      </c>
      <c r="E107" s="5784" t="s">
        <v>2129</v>
      </c>
      <c r="F107" s="5784" t="s">
        <v>2129</v>
      </c>
      <c r="G107" s="5784" t="s">
        <v>2129</v>
      </c>
      <c r="H107" s="5784">
        <v>4</v>
      </c>
      <c r="I107" s="5784">
        <v>7</v>
      </c>
      <c r="J107" s="5785" t="b">
        <v>0</v>
      </c>
      <c r="K107" s="5785" t="s">
        <v>2129</v>
      </c>
      <c r="L107" s="5786">
        <v>2271180</v>
      </c>
      <c r="M107" s="5786">
        <v>0</v>
      </c>
      <c r="N107" s="5786">
        <v>0</v>
      </c>
      <c r="O107" s="5786">
        <v>0</v>
      </c>
      <c r="P107" s="5786">
        <v>0</v>
      </c>
      <c r="Q107" s="2476">
        <v>2498298</v>
      </c>
      <c r="R107" s="5787">
        <v>2498298</v>
      </c>
      <c r="S107" s="2477" t="b">
        <v>0</v>
      </c>
      <c r="T107" s="5787">
        <v>356899.71428571426</v>
      </c>
      <c r="U107" s="5787">
        <v>0</v>
      </c>
      <c r="V107" s="1958">
        <v>2704706</v>
      </c>
      <c r="W107" s="5788">
        <v>2704706</v>
      </c>
      <c r="X107" s="2700" t="b">
        <v>1</v>
      </c>
      <c r="Y107" s="5788">
        <v>40368.746268656716</v>
      </c>
      <c r="Z107" s="5788"/>
      <c r="AA107" s="5788"/>
      <c r="AB107" s="5788" t="s">
        <v>2129</v>
      </c>
      <c r="AC107" s="863" t="s">
        <v>3334</v>
      </c>
      <c r="AD107" s="863"/>
      <c r="AE107" s="5782">
        <v>68</v>
      </c>
      <c r="AF107" s="5789">
        <v>67</v>
      </c>
      <c r="AG107" s="3965" t="b">
        <v>1</v>
      </c>
      <c r="AH107" s="5782">
        <v>59</v>
      </c>
      <c r="AI107" s="5782" t="s">
        <v>2129</v>
      </c>
      <c r="AJ107" s="5782" t="s">
        <v>2129</v>
      </c>
      <c r="AK107" s="5782" t="s">
        <v>2129</v>
      </c>
      <c r="AL107" t="s">
        <v>2129</v>
      </c>
      <c r="AM107" t="s">
        <v>2129</v>
      </c>
      <c r="AN107" t="s">
        <v>2129</v>
      </c>
      <c r="AO107"/>
      <c r="AP107"/>
      <c r="AQ107" t="s">
        <v>2129</v>
      </c>
      <c r="AR107"/>
      <c r="AS107"/>
      <c r="AT107"/>
      <c r="AU107"/>
      <c r="AV107" s="5782" t="s">
        <v>2129</v>
      </c>
      <c r="AW107" t="s">
        <v>2129</v>
      </c>
      <c r="AX107" s="5782" t="s">
        <v>2129</v>
      </c>
      <c r="AY107" s="5782" t="s">
        <v>2129</v>
      </c>
      <c r="AZ107" s="5782" t="s">
        <v>2129</v>
      </c>
      <c r="BA107" s="5782" t="s">
        <v>2129</v>
      </c>
      <c r="BB107" s="5782" t="s">
        <v>2129</v>
      </c>
      <c r="BC107" t="s">
        <v>2129</v>
      </c>
      <c r="BD107" t="s">
        <v>2129</v>
      </c>
      <c r="BE107" t="s">
        <v>2129</v>
      </c>
      <c r="BF107" t="s">
        <v>2129</v>
      </c>
      <c r="BG107" t="s">
        <v>2129</v>
      </c>
      <c r="BH107" s="5788" t="s">
        <v>2129</v>
      </c>
      <c r="BI107"/>
      <c r="BJ107" s="5788" t="s">
        <v>2129</v>
      </c>
      <c r="BK107" s="5788" t="s">
        <v>2129</v>
      </c>
      <c r="BL107" s="5788" t="s">
        <v>2129</v>
      </c>
      <c r="BM107" s="5788" t="s">
        <v>2129</v>
      </c>
      <c r="BN107" s="5788" t="s">
        <v>2129</v>
      </c>
      <c r="BO107" s="5788" t="s">
        <v>2129</v>
      </c>
      <c r="BP107" s="863" t="s">
        <v>2129</v>
      </c>
      <c r="BQ107" s="863" t="s">
        <v>2129</v>
      </c>
      <c r="BR107" s="863" t="s">
        <v>2129</v>
      </c>
      <c r="BS107" s="863" t="s">
        <v>2129</v>
      </c>
      <c r="BT107" s="863" t="s">
        <v>2129</v>
      </c>
      <c r="BU107" s="863" t="s">
        <v>2129</v>
      </c>
      <c r="BV107" s="863" t="s">
        <v>2129</v>
      </c>
      <c r="BW107" s="863" t="s">
        <v>2129</v>
      </c>
      <c r="BX107" s="5788" t="s">
        <v>2129</v>
      </c>
      <c r="BY107" s="863" t="s">
        <v>2129</v>
      </c>
      <c r="BZ107" s="5788" t="s">
        <v>2129</v>
      </c>
      <c r="CA107" s="5788" t="s">
        <v>2129</v>
      </c>
      <c r="CB107" s="863"/>
      <c r="CC107" s="863" t="s">
        <v>2129</v>
      </c>
      <c r="CD107" s="863" t="s">
        <v>2129</v>
      </c>
      <c r="CE107" s="863" t="s">
        <v>2129</v>
      </c>
      <c r="CF107" s="863" t="s">
        <v>2129</v>
      </c>
      <c r="CG107" s="863"/>
      <c r="CH107" s="5784"/>
    </row>
    <row r="108" spans="1:86" ht="13" hidden="1">
      <c r="A108">
        <v>212</v>
      </c>
      <c r="B108" s="196" t="s">
        <v>3335</v>
      </c>
      <c r="C108" s="5785" t="s">
        <v>2129</v>
      </c>
      <c r="D108" s="2694" t="s">
        <v>3791</v>
      </c>
      <c r="E108" s="2694" t="s">
        <v>2129</v>
      </c>
      <c r="F108" s="5785" t="s">
        <v>2129</v>
      </c>
      <c r="G108" s="5785" t="s">
        <v>2129</v>
      </c>
      <c r="H108" s="5785">
        <v>0</v>
      </c>
      <c r="I108" s="5785">
        <v>0</v>
      </c>
      <c r="J108" s="5785" t="b">
        <v>0</v>
      </c>
      <c r="K108" s="5785" t="s">
        <v>2129</v>
      </c>
      <c r="L108" s="5786">
        <v>0</v>
      </c>
      <c r="M108" s="5786">
        <v>0</v>
      </c>
      <c r="N108" s="5786">
        <v>0</v>
      </c>
      <c r="O108" s="5786">
        <v>0</v>
      </c>
      <c r="P108" s="5786">
        <v>0</v>
      </c>
      <c r="Q108" s="2476">
        <v>0</v>
      </c>
      <c r="R108" s="2477">
        <v>0</v>
      </c>
      <c r="S108" s="2477" t="b">
        <v>1</v>
      </c>
      <c r="T108" s="5786" t="s">
        <v>2129</v>
      </c>
      <c r="U108" s="5786">
        <v>0</v>
      </c>
      <c r="V108" s="863">
        <v>2588675</v>
      </c>
      <c r="W108" s="863">
        <v>2588675</v>
      </c>
      <c r="X108" s="863" t="b">
        <v>1</v>
      </c>
      <c r="Y108" s="863">
        <v>17143.543046357616</v>
      </c>
      <c r="AB108" s="863" t="s">
        <v>2129</v>
      </c>
      <c r="AE108">
        <v>151</v>
      </c>
      <c r="AF108" s="3965">
        <v>151</v>
      </c>
      <c r="AG108" s="3965" t="b">
        <v>1</v>
      </c>
      <c r="AH108">
        <v>151</v>
      </c>
      <c r="AI108" t="s">
        <v>2129</v>
      </c>
      <c r="AJ108">
        <v>95</v>
      </c>
      <c r="AK108" t="s">
        <v>2129</v>
      </c>
      <c r="AL108" t="s">
        <v>2129</v>
      </c>
      <c r="AM108" t="s">
        <v>2129</v>
      </c>
      <c r="AN108" t="s">
        <v>2129</v>
      </c>
      <c r="AQ108" t="s">
        <v>2129</v>
      </c>
      <c r="AV108" t="s">
        <v>2129</v>
      </c>
      <c r="AW108" t="s">
        <v>2129</v>
      </c>
      <c r="AX108" t="s">
        <v>2129</v>
      </c>
      <c r="AY108" t="s">
        <v>2129</v>
      </c>
      <c r="AZ108" t="s">
        <v>2129</v>
      </c>
      <c r="BA108">
        <v>11</v>
      </c>
      <c r="BB108" t="s">
        <v>2129</v>
      </c>
      <c r="BC108" t="s">
        <v>2129</v>
      </c>
      <c r="BD108" t="s">
        <v>2129</v>
      </c>
      <c r="BE108" t="s">
        <v>2129</v>
      </c>
      <c r="BF108" t="s">
        <v>2129</v>
      </c>
      <c r="BG108" t="s">
        <v>2129</v>
      </c>
      <c r="BH108" s="1958" t="s">
        <v>2129</v>
      </c>
      <c r="BI108"/>
      <c r="BJ108" s="863" t="s">
        <v>2129</v>
      </c>
      <c r="BK108" s="863" t="s">
        <v>2129</v>
      </c>
      <c r="BL108" s="863" t="s">
        <v>2129</v>
      </c>
      <c r="BM108" s="863" t="s">
        <v>2129</v>
      </c>
      <c r="BN108" s="863">
        <v>17915002.483443707</v>
      </c>
      <c r="BO108" s="863" t="s">
        <v>2129</v>
      </c>
      <c r="BP108" s="863" t="s">
        <v>2129</v>
      </c>
      <c r="BQ108" s="863" t="s">
        <v>2129</v>
      </c>
      <c r="BR108" s="863" t="s">
        <v>2129</v>
      </c>
      <c r="BS108" s="863" t="s">
        <v>2129</v>
      </c>
      <c r="BT108" s="863" t="s">
        <v>2129</v>
      </c>
      <c r="BU108" s="863" t="s">
        <v>2129</v>
      </c>
      <c r="BV108" s="863" t="s">
        <v>2129</v>
      </c>
      <c r="BW108" s="863" t="s">
        <v>2129</v>
      </c>
      <c r="BX108" s="863" t="s">
        <v>2129</v>
      </c>
      <c r="BY108" s="863" t="s">
        <v>2129</v>
      </c>
      <c r="BZ108" s="863" t="s">
        <v>2129</v>
      </c>
      <c r="CA108" s="863" t="s">
        <v>2129</v>
      </c>
      <c r="CB108" s="863"/>
      <c r="CC108" s="863" t="s">
        <v>2129</v>
      </c>
      <c r="CD108" s="863" t="s">
        <v>2129</v>
      </c>
      <c r="CE108" s="863" t="s">
        <v>2129</v>
      </c>
      <c r="CF108" s="863" t="s">
        <v>2129</v>
      </c>
      <c r="CG108" s="863"/>
      <c r="CH108" s="5785"/>
    </row>
    <row r="109" spans="1:86" ht="13" hidden="1">
      <c r="A109">
        <v>213</v>
      </c>
      <c r="B109" s="196" t="s">
        <v>3336</v>
      </c>
      <c r="C109" s="5785" t="s">
        <v>2129</v>
      </c>
      <c r="D109" s="2694" t="s">
        <v>3791</v>
      </c>
      <c r="E109" s="2694" t="s">
        <v>2129</v>
      </c>
      <c r="F109" s="5785" t="s">
        <v>2129</v>
      </c>
      <c r="G109" s="5785" t="s">
        <v>2129</v>
      </c>
      <c r="H109" s="5785">
        <v>0</v>
      </c>
      <c r="I109" s="5785">
        <v>0</v>
      </c>
      <c r="J109" s="5785" t="b">
        <v>0</v>
      </c>
      <c r="K109" s="5785" t="s">
        <v>2129</v>
      </c>
      <c r="L109" s="5786">
        <v>0</v>
      </c>
      <c r="M109" s="5786">
        <v>0</v>
      </c>
      <c r="N109" s="5786">
        <v>0</v>
      </c>
      <c r="O109" s="5786">
        <v>0</v>
      </c>
      <c r="P109" s="5786">
        <v>0</v>
      </c>
      <c r="Q109" s="2476">
        <v>0</v>
      </c>
      <c r="R109" s="2477">
        <v>0</v>
      </c>
      <c r="S109" s="2477" t="b">
        <v>1</v>
      </c>
      <c r="T109" s="5786" t="s">
        <v>2129</v>
      </c>
      <c r="U109" s="5786">
        <v>0</v>
      </c>
      <c r="V109" s="863">
        <v>3323359</v>
      </c>
      <c r="W109" s="863">
        <v>3323359</v>
      </c>
      <c r="X109" s="863" t="b">
        <v>1</v>
      </c>
      <c r="Y109" s="863">
        <v>16452.272277227723</v>
      </c>
      <c r="AB109" s="863" t="s">
        <v>2129</v>
      </c>
      <c r="AE109">
        <v>201</v>
      </c>
      <c r="AF109" s="3965">
        <v>202</v>
      </c>
      <c r="AG109" s="3965" t="b">
        <v>1</v>
      </c>
      <c r="AH109">
        <v>201</v>
      </c>
      <c r="AI109" t="s">
        <v>2129</v>
      </c>
      <c r="AJ109">
        <v>118</v>
      </c>
      <c r="AK109" t="s">
        <v>2129</v>
      </c>
      <c r="AL109" t="s">
        <v>2129</v>
      </c>
      <c r="AM109" t="s">
        <v>2129</v>
      </c>
      <c r="AN109" t="s">
        <v>2129</v>
      </c>
      <c r="AQ109" t="s">
        <v>2129</v>
      </c>
      <c r="AV109" t="s">
        <v>2129</v>
      </c>
      <c r="AW109" t="s">
        <v>2129</v>
      </c>
      <c r="AX109" t="s">
        <v>2129</v>
      </c>
      <c r="AY109" t="s">
        <v>2129</v>
      </c>
      <c r="AZ109" t="s">
        <v>2129</v>
      </c>
      <c r="BA109">
        <v>11</v>
      </c>
      <c r="BB109" t="s">
        <v>2129</v>
      </c>
      <c r="BC109" t="s">
        <v>2129</v>
      </c>
      <c r="BD109" t="s">
        <v>2129</v>
      </c>
      <c r="BE109" t="s">
        <v>2129</v>
      </c>
      <c r="BF109" t="s">
        <v>2129</v>
      </c>
      <c r="BG109" t="s">
        <v>2129</v>
      </c>
      <c r="BH109" s="1958" t="s">
        <v>2129</v>
      </c>
      <c r="BI109"/>
      <c r="BJ109" s="863" t="s">
        <v>2129</v>
      </c>
      <c r="BK109" s="863" t="s">
        <v>2129</v>
      </c>
      <c r="BL109" s="863" t="s">
        <v>2129</v>
      </c>
      <c r="BM109" s="863" t="s">
        <v>2129</v>
      </c>
      <c r="BN109" s="863">
        <v>21355049.415841583</v>
      </c>
      <c r="BO109" s="863" t="s">
        <v>2129</v>
      </c>
      <c r="BP109" s="863" t="s">
        <v>2129</v>
      </c>
      <c r="BQ109" s="863" t="s">
        <v>2129</v>
      </c>
      <c r="BR109" s="863" t="s">
        <v>2129</v>
      </c>
      <c r="BS109" s="863" t="s">
        <v>2129</v>
      </c>
      <c r="BT109" s="863" t="s">
        <v>2129</v>
      </c>
      <c r="BU109" s="863" t="s">
        <v>2129</v>
      </c>
      <c r="BV109" s="863" t="s">
        <v>2129</v>
      </c>
      <c r="BW109" s="863" t="s">
        <v>2129</v>
      </c>
      <c r="BX109" s="863" t="s">
        <v>2129</v>
      </c>
      <c r="BY109" s="863" t="s">
        <v>2129</v>
      </c>
      <c r="BZ109" s="863" t="s">
        <v>2129</v>
      </c>
      <c r="CA109" s="863" t="s">
        <v>2129</v>
      </c>
      <c r="CB109" s="863"/>
      <c r="CC109" s="863" t="s">
        <v>2129</v>
      </c>
      <c r="CD109" s="863" t="s">
        <v>2129</v>
      </c>
      <c r="CE109" s="863" t="s">
        <v>2129</v>
      </c>
      <c r="CF109" s="863" t="s">
        <v>2129</v>
      </c>
      <c r="CG109" s="863"/>
      <c r="CH109" s="5785"/>
    </row>
    <row r="110" spans="1:86" s="5782" customFormat="1" ht="13" hidden="1">
      <c r="A110" s="5782">
        <v>214</v>
      </c>
      <c r="B110" s="5783" t="s">
        <v>3337</v>
      </c>
      <c r="C110" s="5784" t="s">
        <v>2129</v>
      </c>
      <c r="D110" s="5784" t="s">
        <v>2129</v>
      </c>
      <c r="E110" s="5784" t="s">
        <v>2129</v>
      </c>
      <c r="F110" s="5784" t="s">
        <v>2129</v>
      </c>
      <c r="G110" s="5784" t="s">
        <v>2129</v>
      </c>
      <c r="H110" s="5784">
        <v>0</v>
      </c>
      <c r="I110" s="5784">
        <v>0</v>
      </c>
      <c r="J110" s="5785" t="b">
        <v>0</v>
      </c>
      <c r="K110" s="5785" t="s">
        <v>2129</v>
      </c>
      <c r="L110" s="5786">
        <v>0</v>
      </c>
      <c r="M110" s="5786">
        <v>0</v>
      </c>
      <c r="N110" s="5786">
        <v>0</v>
      </c>
      <c r="O110" s="5786">
        <v>0</v>
      </c>
      <c r="P110" s="5786">
        <v>0</v>
      </c>
      <c r="Q110" s="2476">
        <v>0</v>
      </c>
      <c r="R110" s="5787">
        <v>0</v>
      </c>
      <c r="S110" s="2477" t="b">
        <v>1</v>
      </c>
      <c r="T110" s="5787" t="s">
        <v>2129</v>
      </c>
      <c r="U110" s="5787">
        <v>0</v>
      </c>
      <c r="V110" s="5788">
        <v>1760088</v>
      </c>
      <c r="W110" s="5788">
        <v>1760088</v>
      </c>
      <c r="X110" s="5788" t="b">
        <v>1</v>
      </c>
      <c r="Y110" s="5788">
        <v>20001</v>
      </c>
      <c r="Z110" s="5788"/>
      <c r="AA110" s="5788"/>
      <c r="AB110" s="5788" t="s">
        <v>2129</v>
      </c>
      <c r="AC110" s="5788"/>
      <c r="AD110" s="5788"/>
      <c r="AE110" s="5782">
        <v>88</v>
      </c>
      <c r="AF110" s="5789">
        <v>88</v>
      </c>
      <c r="AG110" s="5789" t="b">
        <v>1</v>
      </c>
      <c r="AH110" s="5782">
        <v>92</v>
      </c>
      <c r="AI110" s="5782" t="s">
        <v>2129</v>
      </c>
      <c r="AJ110" s="5782" t="s">
        <v>2129</v>
      </c>
      <c r="AK110" s="5782" t="s">
        <v>2129</v>
      </c>
      <c r="AL110" s="5782" t="s">
        <v>2129</v>
      </c>
      <c r="AM110" s="5782" t="s">
        <v>2129</v>
      </c>
      <c r="AN110" s="5782" t="s">
        <v>2129</v>
      </c>
      <c r="AQ110" s="5782" t="s">
        <v>2129</v>
      </c>
      <c r="AV110" s="5782" t="s">
        <v>2129</v>
      </c>
      <c r="AW110" s="5782" t="s">
        <v>2129</v>
      </c>
      <c r="AX110" s="5782" t="s">
        <v>2129</v>
      </c>
      <c r="AY110" s="5782" t="s">
        <v>2129</v>
      </c>
      <c r="AZ110" s="5782" t="s">
        <v>2129</v>
      </c>
      <c r="BA110" s="5782" t="s">
        <v>2129</v>
      </c>
      <c r="BB110" s="5782" t="s">
        <v>2129</v>
      </c>
      <c r="BC110" s="5782" t="s">
        <v>2129</v>
      </c>
      <c r="BD110" s="5782" t="s">
        <v>2129</v>
      </c>
      <c r="BE110" s="5782" t="s">
        <v>2129</v>
      </c>
      <c r="BF110" s="5782" t="s">
        <v>2129</v>
      </c>
      <c r="BG110" s="5782" t="s">
        <v>2129</v>
      </c>
      <c r="BH110" s="5788" t="s">
        <v>2129</v>
      </c>
      <c r="BJ110" s="5788" t="s">
        <v>2129</v>
      </c>
      <c r="BK110" s="5788" t="s">
        <v>2129</v>
      </c>
      <c r="BL110" s="5788" t="s">
        <v>2129</v>
      </c>
      <c r="BM110" s="5788" t="s">
        <v>2129</v>
      </c>
      <c r="BN110" s="5788" t="s">
        <v>2129</v>
      </c>
      <c r="BO110" s="5788" t="s">
        <v>2129</v>
      </c>
      <c r="BP110" s="5788" t="s">
        <v>2129</v>
      </c>
      <c r="BQ110" s="5788" t="s">
        <v>2129</v>
      </c>
      <c r="BR110" s="5788" t="s">
        <v>2129</v>
      </c>
      <c r="BS110" s="5788" t="s">
        <v>2129</v>
      </c>
      <c r="BT110" s="5788" t="s">
        <v>2129</v>
      </c>
      <c r="BU110" s="5788" t="s">
        <v>2129</v>
      </c>
      <c r="BV110" s="5788" t="s">
        <v>2129</v>
      </c>
      <c r="BW110" s="5788" t="s">
        <v>2129</v>
      </c>
      <c r="BX110" s="5788" t="s">
        <v>2129</v>
      </c>
      <c r="BY110" s="5788" t="s">
        <v>2129</v>
      </c>
      <c r="BZ110" s="5788" t="s">
        <v>2129</v>
      </c>
      <c r="CA110" s="5788" t="s">
        <v>2129</v>
      </c>
      <c r="CB110" s="5788"/>
      <c r="CC110" s="5788" t="s">
        <v>2129</v>
      </c>
      <c r="CD110" s="5788" t="s">
        <v>2129</v>
      </c>
      <c r="CE110" s="5788" t="s">
        <v>2129</v>
      </c>
      <c r="CF110" s="5788" t="s">
        <v>2129</v>
      </c>
      <c r="CG110" s="5788"/>
      <c r="CH110" s="5784"/>
    </row>
    <row r="111" spans="1:86" ht="13">
      <c r="A111">
        <v>219</v>
      </c>
      <c r="B111" s="196" t="s">
        <v>2850</v>
      </c>
      <c r="C111" s="5790" t="s">
        <v>6598</v>
      </c>
      <c r="D111" s="5790" t="s">
        <v>6599</v>
      </c>
      <c r="E111" s="5790" t="s">
        <v>2129</v>
      </c>
      <c r="F111" s="5785" t="s">
        <v>2129</v>
      </c>
      <c r="G111" s="5785" t="s">
        <v>2129</v>
      </c>
      <c r="H111" s="5785">
        <v>0</v>
      </c>
      <c r="I111" s="5785">
        <v>0</v>
      </c>
      <c r="J111" s="5785" t="b">
        <v>1</v>
      </c>
      <c r="K111" s="5785" t="s">
        <v>2129</v>
      </c>
      <c r="L111" s="5786">
        <v>0</v>
      </c>
      <c r="M111" s="5786">
        <v>0</v>
      </c>
      <c r="N111" s="5786">
        <v>0</v>
      </c>
      <c r="O111" s="5786">
        <v>0</v>
      </c>
      <c r="P111" s="5786">
        <v>0</v>
      </c>
      <c r="Q111" s="2476">
        <v>0</v>
      </c>
      <c r="R111" s="2477">
        <v>0</v>
      </c>
      <c r="S111" s="2477" t="b">
        <v>1</v>
      </c>
      <c r="T111" s="5786" t="s">
        <v>2129</v>
      </c>
      <c r="U111" s="5786">
        <v>0</v>
      </c>
      <c r="V111" s="863">
        <v>2097343</v>
      </c>
      <c r="W111" s="863">
        <v>2097343</v>
      </c>
      <c r="X111" s="863" t="b">
        <v>1</v>
      </c>
      <c r="Y111" s="863">
        <v>8525.7845528455291</v>
      </c>
      <c r="Z111" s="863">
        <v>6824</v>
      </c>
      <c r="AA111" s="863">
        <v>10000</v>
      </c>
      <c r="AB111" s="863">
        <v>8482.681496461073</v>
      </c>
      <c r="AC111" s="863">
        <v>0</v>
      </c>
      <c r="AE111">
        <v>246</v>
      </c>
      <c r="AF111" s="3965">
        <v>246</v>
      </c>
      <c r="AG111" s="3965" t="b">
        <v>1</v>
      </c>
      <c r="AH111" s="2814">
        <v>247</v>
      </c>
      <c r="AI111">
        <v>215</v>
      </c>
      <c r="AJ111" t="s">
        <v>2129</v>
      </c>
      <c r="AK111" t="s">
        <v>2129</v>
      </c>
      <c r="AL111" t="s">
        <v>2129</v>
      </c>
      <c r="AM111" t="s">
        <v>2129</v>
      </c>
      <c r="AN111">
        <v>-31</v>
      </c>
      <c r="AQ111" t="s">
        <v>2129</v>
      </c>
      <c r="AV111">
        <v>17</v>
      </c>
      <c r="AW111">
        <v>23</v>
      </c>
      <c r="AX111" t="s">
        <v>2129</v>
      </c>
      <c r="AY111" t="s">
        <v>2129</v>
      </c>
      <c r="AZ111" t="s">
        <v>2129</v>
      </c>
      <c r="BA111" t="s">
        <v>2129</v>
      </c>
      <c r="BB111" t="s">
        <v>2129</v>
      </c>
      <c r="BC111" t="s">
        <v>2129</v>
      </c>
      <c r="BD111" t="s">
        <v>2129</v>
      </c>
      <c r="BE111" t="s">
        <v>2129</v>
      </c>
      <c r="BF111" t="s">
        <v>2129</v>
      </c>
      <c r="BG111" t="s">
        <v>2129</v>
      </c>
      <c r="BH111" s="1958">
        <v>35654831</v>
      </c>
      <c r="BI111" s="1958">
        <v>48238889</v>
      </c>
      <c r="BJ111" s="1958" t="s">
        <v>2129</v>
      </c>
      <c r="BK111" s="1958" t="s">
        <v>2129</v>
      </c>
      <c r="BL111" s="1958" t="s">
        <v>2129</v>
      </c>
      <c r="BM111" s="1958" t="s">
        <v>2129</v>
      </c>
      <c r="BN111" s="1958" t="s">
        <v>2129</v>
      </c>
      <c r="BO111" s="1958" t="s">
        <v>2129</v>
      </c>
      <c r="BP111" s="1958" t="s">
        <v>2129</v>
      </c>
      <c r="BQ111" s="863" t="s">
        <v>2129</v>
      </c>
      <c r="BR111" s="863" t="s">
        <v>2129</v>
      </c>
      <c r="BS111" s="1958" t="s">
        <v>2129</v>
      </c>
      <c r="BT111" s="1958" t="s">
        <v>2129</v>
      </c>
      <c r="BU111" s="1958" t="s">
        <v>2129</v>
      </c>
      <c r="BV111" s="1958" t="s">
        <v>2129</v>
      </c>
      <c r="BW111" s="1958" t="s">
        <v>2129</v>
      </c>
      <c r="BX111" s="1958" t="s">
        <v>2129</v>
      </c>
      <c r="BY111" s="1958" t="s">
        <v>2129</v>
      </c>
      <c r="BZ111" s="1958" t="s">
        <v>2129</v>
      </c>
      <c r="CA111" s="1958" t="s">
        <v>2129</v>
      </c>
      <c r="CC111" s="1958" t="s">
        <v>2129</v>
      </c>
      <c r="CD111" s="1958" t="s">
        <v>2129</v>
      </c>
      <c r="CE111" s="1958" t="s">
        <v>2129</v>
      </c>
      <c r="CF111" s="1958" t="s">
        <v>2129</v>
      </c>
      <c r="CH111" s="5785"/>
    </row>
    <row r="112" spans="1:86" ht="13">
      <c r="A112">
        <v>220</v>
      </c>
      <c r="B112" s="196" t="s">
        <v>2848</v>
      </c>
      <c r="C112" s="5790" t="s">
        <v>6598</v>
      </c>
      <c r="D112" s="5790" t="s">
        <v>6599</v>
      </c>
      <c r="E112" s="5790" t="s">
        <v>2129</v>
      </c>
      <c r="F112" s="5785" t="s">
        <v>2129</v>
      </c>
      <c r="G112" s="5785" t="s">
        <v>2129</v>
      </c>
      <c r="H112" s="5785">
        <v>0</v>
      </c>
      <c r="I112" s="5785">
        <v>0</v>
      </c>
      <c r="J112" s="5785" t="b">
        <v>1</v>
      </c>
      <c r="K112" s="5785" t="s">
        <v>2129</v>
      </c>
      <c r="L112" s="5786">
        <v>0</v>
      </c>
      <c r="M112" s="5786">
        <v>0</v>
      </c>
      <c r="N112" s="5786">
        <v>0</v>
      </c>
      <c r="O112" s="5786">
        <v>0</v>
      </c>
      <c r="P112" s="5786">
        <v>0</v>
      </c>
      <c r="Q112" s="2476">
        <v>0</v>
      </c>
      <c r="R112" s="2477">
        <v>0</v>
      </c>
      <c r="S112" s="2477" t="b">
        <v>1</v>
      </c>
      <c r="T112" s="5786" t="s">
        <v>2129</v>
      </c>
      <c r="U112" s="5786">
        <v>-322775</v>
      </c>
      <c r="V112" s="863">
        <v>853403</v>
      </c>
      <c r="W112" s="863">
        <v>1176178</v>
      </c>
      <c r="X112" s="863" t="b">
        <v>1</v>
      </c>
      <c r="Y112" s="863">
        <v>8225.0209790209792</v>
      </c>
      <c r="Z112" s="863">
        <v>6824</v>
      </c>
      <c r="AA112" s="863">
        <v>9883</v>
      </c>
      <c r="AB112" s="863">
        <v>11364.038647342997</v>
      </c>
      <c r="AC112" s="863">
        <v>0</v>
      </c>
      <c r="AE112">
        <v>143</v>
      </c>
      <c r="AF112" s="3965">
        <v>143</v>
      </c>
      <c r="AG112" s="3965" t="b">
        <v>1</v>
      </c>
      <c r="AH112" s="2814">
        <v>144</v>
      </c>
      <c r="AI112">
        <v>90</v>
      </c>
      <c r="AJ112" t="s">
        <v>2129</v>
      </c>
      <c r="AK112" t="s">
        <v>2129</v>
      </c>
      <c r="AL112" t="s">
        <v>2129</v>
      </c>
      <c r="AM112" t="s">
        <v>2129</v>
      </c>
      <c r="AN112">
        <v>-53</v>
      </c>
      <c r="AQ112" t="s">
        <v>2129</v>
      </c>
      <c r="AV112">
        <v>17</v>
      </c>
      <c r="AW112">
        <v>23</v>
      </c>
      <c r="AX112" t="s">
        <v>2129</v>
      </c>
      <c r="AY112" t="s">
        <v>2129</v>
      </c>
      <c r="AZ112" t="s">
        <v>2129</v>
      </c>
      <c r="BA112" t="s">
        <v>2129</v>
      </c>
      <c r="BB112" t="s">
        <v>2129</v>
      </c>
      <c r="BC112" t="s">
        <v>2129</v>
      </c>
      <c r="BD112" t="s">
        <v>2129</v>
      </c>
      <c r="BE112" t="s">
        <v>2129</v>
      </c>
      <c r="BF112" t="s">
        <v>2129</v>
      </c>
      <c r="BG112" t="s">
        <v>2129</v>
      </c>
      <c r="BH112" s="1958">
        <v>19995026</v>
      </c>
      <c r="BI112" s="1958">
        <v>27052094</v>
      </c>
      <c r="BJ112" s="1958" t="s">
        <v>2129</v>
      </c>
      <c r="BK112" s="1958" t="s">
        <v>2129</v>
      </c>
      <c r="BL112" s="1958" t="s">
        <v>2129</v>
      </c>
      <c r="BM112" s="1958" t="s">
        <v>2129</v>
      </c>
      <c r="BN112" s="1958" t="s">
        <v>2129</v>
      </c>
      <c r="BO112" s="1958" t="s">
        <v>2129</v>
      </c>
      <c r="BP112" s="1958" t="s">
        <v>2129</v>
      </c>
      <c r="BQ112" s="863" t="s">
        <v>2129</v>
      </c>
      <c r="BR112" s="863" t="s">
        <v>2129</v>
      </c>
      <c r="BS112" s="1958" t="s">
        <v>2129</v>
      </c>
      <c r="BT112" s="1958" t="s">
        <v>2129</v>
      </c>
      <c r="BU112" s="1958" t="s">
        <v>2129</v>
      </c>
      <c r="BV112" s="1958" t="s">
        <v>2129</v>
      </c>
      <c r="BW112" s="1958" t="s">
        <v>2129</v>
      </c>
      <c r="BX112" s="1958" t="s">
        <v>2129</v>
      </c>
      <c r="BY112" s="1958" t="s">
        <v>2129</v>
      </c>
      <c r="BZ112" s="1958" t="s">
        <v>2129</v>
      </c>
      <c r="CA112" s="1958" t="s">
        <v>2129</v>
      </c>
      <c r="CC112" s="1958" t="s">
        <v>2129</v>
      </c>
      <c r="CD112" s="1958" t="s">
        <v>2129</v>
      </c>
      <c r="CE112" s="1958" t="s">
        <v>2129</v>
      </c>
      <c r="CF112" s="1958" t="s">
        <v>2129</v>
      </c>
      <c r="CH112" s="5785"/>
    </row>
    <row r="113" spans="1:86" ht="13">
      <c r="A113">
        <v>221</v>
      </c>
      <c r="B113" s="196" t="s">
        <v>2846</v>
      </c>
      <c r="C113" s="5790" t="s">
        <v>6598</v>
      </c>
      <c r="D113" s="5790" t="s">
        <v>6599</v>
      </c>
      <c r="E113" s="5790" t="s">
        <v>2129</v>
      </c>
      <c r="F113" s="5792" t="s">
        <v>5205</v>
      </c>
      <c r="G113" s="5792" t="s">
        <v>2129</v>
      </c>
      <c r="H113" s="5785">
        <v>7</v>
      </c>
      <c r="I113" s="5785">
        <v>7</v>
      </c>
      <c r="J113" s="5785" t="b">
        <v>1</v>
      </c>
      <c r="K113" s="5785">
        <v>0</v>
      </c>
      <c r="L113" s="5786">
        <v>3234224</v>
      </c>
      <c r="M113" s="5786">
        <v>0</v>
      </c>
      <c r="N113" s="5786">
        <v>0</v>
      </c>
      <c r="O113" s="5786">
        <v>0</v>
      </c>
      <c r="P113" s="5786">
        <v>0</v>
      </c>
      <c r="Q113" s="2476">
        <v>3557646.4000000004</v>
      </c>
      <c r="R113" s="2477">
        <v>3550588</v>
      </c>
      <c r="S113" s="2477" t="b">
        <v>1</v>
      </c>
      <c r="T113" s="5786">
        <v>507226.85714285716</v>
      </c>
      <c r="U113" s="5786">
        <v>-1708212</v>
      </c>
      <c r="V113" s="863">
        <v>4071898</v>
      </c>
      <c r="W113" s="863">
        <v>5780110</v>
      </c>
      <c r="X113" s="863" t="b">
        <v>1</v>
      </c>
      <c r="Y113" s="863">
        <v>53519.537037037036</v>
      </c>
      <c r="Z113" s="863">
        <v>17342</v>
      </c>
      <c r="AA113" s="863">
        <v>82566</v>
      </c>
      <c r="AB113" s="863">
        <v>35901.304347826088</v>
      </c>
      <c r="AC113" s="863">
        <v>2300</v>
      </c>
      <c r="AE113">
        <v>108</v>
      </c>
      <c r="AF113" s="3965">
        <v>108</v>
      </c>
      <c r="AG113" s="3965" t="b">
        <v>1</v>
      </c>
      <c r="AH113" s="2814">
        <v>91</v>
      </c>
      <c r="AI113">
        <v>140</v>
      </c>
      <c r="AJ113" t="s">
        <v>2129</v>
      </c>
      <c r="AK113" t="s">
        <v>2129</v>
      </c>
      <c r="AL113">
        <v>108</v>
      </c>
      <c r="AM113" t="s">
        <v>2129</v>
      </c>
      <c r="AN113">
        <v>32</v>
      </c>
      <c r="AQ113">
        <v>0</v>
      </c>
      <c r="AV113">
        <v>17</v>
      </c>
      <c r="AW113">
        <v>23</v>
      </c>
      <c r="AX113" t="s">
        <v>2129</v>
      </c>
      <c r="AY113" t="s">
        <v>2129</v>
      </c>
      <c r="AZ113" t="s">
        <v>2129</v>
      </c>
      <c r="BA113" t="s">
        <v>2129</v>
      </c>
      <c r="BB113" t="s">
        <v>2129</v>
      </c>
      <c r="BC113">
        <v>18</v>
      </c>
      <c r="BD113" t="s">
        <v>2129</v>
      </c>
      <c r="BE113" t="s">
        <v>2129</v>
      </c>
      <c r="BF113" t="s">
        <v>2129</v>
      </c>
      <c r="BG113" t="s">
        <v>2129</v>
      </c>
      <c r="BH113" s="1958">
        <v>98261870</v>
      </c>
      <c r="BI113" s="1958">
        <v>132942530</v>
      </c>
      <c r="BJ113" s="1958" t="s">
        <v>2129</v>
      </c>
      <c r="BK113" s="1958" t="s">
        <v>2129</v>
      </c>
      <c r="BL113" s="1958" t="s">
        <v>2129</v>
      </c>
      <c r="BM113" s="1958" t="s">
        <v>2129</v>
      </c>
      <c r="BN113" s="1958" t="s">
        <v>2129</v>
      </c>
      <c r="BO113" s="1958" t="s">
        <v>2129</v>
      </c>
      <c r="BP113" s="1958">
        <v>104041980</v>
      </c>
      <c r="BQ113" s="863">
        <v>104041980</v>
      </c>
      <c r="BR113" s="863" t="s">
        <v>2129</v>
      </c>
      <c r="BS113" s="1958" t="s">
        <v>2129</v>
      </c>
      <c r="BT113" s="1958" t="s">
        <v>2129</v>
      </c>
      <c r="BU113" s="1958" t="s">
        <v>2129</v>
      </c>
      <c r="BV113" s="1958" t="s">
        <v>2129</v>
      </c>
      <c r="BW113" s="1958" t="s">
        <v>2129</v>
      </c>
      <c r="BX113" s="1958">
        <v>60359996</v>
      </c>
      <c r="BY113" s="1958">
        <v>81663524</v>
      </c>
      <c r="BZ113" s="1958" t="s">
        <v>2129</v>
      </c>
      <c r="CA113" s="1958" t="s">
        <v>2129</v>
      </c>
      <c r="CC113" s="1958">
        <v>63910584</v>
      </c>
      <c r="CD113" s="1958">
        <v>63910584</v>
      </c>
      <c r="CE113" s="1958" t="s">
        <v>2129</v>
      </c>
      <c r="CF113" s="1958" t="s">
        <v>2129</v>
      </c>
      <c r="CH113" s="5785"/>
    </row>
    <row r="114" spans="1:86" ht="13">
      <c r="A114">
        <v>222</v>
      </c>
      <c r="B114" s="196" t="s">
        <v>3338</v>
      </c>
      <c r="C114" s="5790" t="s">
        <v>6598</v>
      </c>
      <c r="D114" s="5790" t="s">
        <v>6599</v>
      </c>
      <c r="E114" s="5790" t="s">
        <v>2129</v>
      </c>
      <c r="F114" s="5785" t="s">
        <v>2129</v>
      </c>
      <c r="G114" s="5785" t="s">
        <v>2129</v>
      </c>
      <c r="H114" s="5785">
        <v>0</v>
      </c>
      <c r="I114" s="5785">
        <v>0</v>
      </c>
      <c r="J114" s="5785" t="b">
        <v>0</v>
      </c>
      <c r="K114" s="5785" t="s">
        <v>2129</v>
      </c>
      <c r="L114" s="5786">
        <v>0</v>
      </c>
      <c r="M114" s="5786">
        <v>0</v>
      </c>
      <c r="N114" s="5786">
        <v>0</v>
      </c>
      <c r="O114" s="5786">
        <v>0</v>
      </c>
      <c r="P114" s="5786">
        <v>0</v>
      </c>
      <c r="Q114" s="2476">
        <v>0</v>
      </c>
      <c r="R114" s="2477">
        <v>0</v>
      </c>
      <c r="S114" s="2477" t="b">
        <v>1</v>
      </c>
      <c r="T114" s="5786" t="s">
        <v>2129</v>
      </c>
      <c r="U114" s="5786">
        <v>0</v>
      </c>
      <c r="V114" s="863">
        <v>1501244</v>
      </c>
      <c r="W114" s="863">
        <v>1501244</v>
      </c>
      <c r="X114" s="863" t="b">
        <v>1</v>
      </c>
      <c r="Y114" s="863">
        <v>20850.611111111109</v>
      </c>
      <c r="Z114" s="863">
        <v>17648</v>
      </c>
      <c r="AA114" s="863">
        <v>29412</v>
      </c>
      <c r="AB114" s="863">
        <v>21055.315568022441</v>
      </c>
      <c r="AE114">
        <v>72</v>
      </c>
      <c r="AF114" s="3965">
        <v>72</v>
      </c>
      <c r="AG114" s="3965" t="b">
        <v>1</v>
      </c>
      <c r="AH114">
        <v>72</v>
      </c>
      <c r="AI114" s="191">
        <v>62</v>
      </c>
      <c r="AJ114" t="s">
        <v>2129</v>
      </c>
      <c r="AK114" t="s">
        <v>2129</v>
      </c>
      <c r="AL114" t="s">
        <v>2129</v>
      </c>
      <c r="AM114" t="s">
        <v>2129</v>
      </c>
      <c r="AN114">
        <v>-10</v>
      </c>
      <c r="AQ114" t="s">
        <v>2129</v>
      </c>
      <c r="AV114">
        <v>17</v>
      </c>
      <c r="AW114">
        <v>23</v>
      </c>
      <c r="AX114" t="s">
        <v>2129</v>
      </c>
      <c r="AY114" t="s">
        <v>2129</v>
      </c>
      <c r="AZ114" t="s">
        <v>2129</v>
      </c>
      <c r="BA114" t="s">
        <v>2129</v>
      </c>
      <c r="BB114" t="s">
        <v>2129</v>
      </c>
      <c r="BC114" t="s">
        <v>2129</v>
      </c>
      <c r="BD114" t="s">
        <v>2129</v>
      </c>
      <c r="BE114" t="s">
        <v>2129</v>
      </c>
      <c r="BF114" t="s">
        <v>2129</v>
      </c>
      <c r="BG114" t="s">
        <v>2129</v>
      </c>
      <c r="BH114" s="1958">
        <v>25521148</v>
      </c>
      <c r="BI114"/>
      <c r="BJ114" s="863" t="s">
        <v>2129</v>
      </c>
      <c r="BK114" s="863" t="s">
        <v>2129</v>
      </c>
      <c r="BL114" s="863" t="s">
        <v>2129</v>
      </c>
      <c r="BM114" s="863" t="s">
        <v>2129</v>
      </c>
      <c r="BN114" s="863" t="s">
        <v>2129</v>
      </c>
      <c r="BO114" s="863" t="s">
        <v>2129</v>
      </c>
      <c r="BP114" s="863" t="s">
        <v>2129</v>
      </c>
      <c r="BQ114" s="863" t="s">
        <v>2129</v>
      </c>
      <c r="BR114" s="863" t="s">
        <v>2129</v>
      </c>
      <c r="BS114" s="863" t="s">
        <v>2129</v>
      </c>
      <c r="BT114" s="863" t="s">
        <v>2129</v>
      </c>
      <c r="BU114" s="863" t="s">
        <v>2129</v>
      </c>
      <c r="BV114" s="863" t="s">
        <v>2129</v>
      </c>
      <c r="BW114" s="863" t="s">
        <v>2129</v>
      </c>
      <c r="BX114" s="863" t="s">
        <v>2129</v>
      </c>
      <c r="BY114" s="863" t="s">
        <v>2129</v>
      </c>
      <c r="BZ114" s="863" t="s">
        <v>2129</v>
      </c>
      <c r="CA114" s="863" t="s">
        <v>2129</v>
      </c>
      <c r="CB114" s="863"/>
      <c r="CC114" s="863" t="s">
        <v>2129</v>
      </c>
      <c r="CD114" s="863" t="s">
        <v>2129</v>
      </c>
      <c r="CE114" s="863" t="s">
        <v>2129</v>
      </c>
      <c r="CF114" s="863" t="s">
        <v>2129</v>
      </c>
      <c r="CG114" s="863"/>
      <c r="CH114" s="5785"/>
    </row>
    <row r="115" spans="1:86" ht="13" hidden="1">
      <c r="A115">
        <v>223</v>
      </c>
      <c r="B115" s="5795" t="s">
        <v>2851</v>
      </c>
      <c r="C115" s="2694" t="s">
        <v>2129</v>
      </c>
      <c r="D115" s="2694" t="s">
        <v>2129</v>
      </c>
      <c r="E115" s="2694" t="s">
        <v>2129</v>
      </c>
      <c r="F115" s="2694" t="s">
        <v>2129</v>
      </c>
      <c r="G115" s="2694" t="s">
        <v>2129</v>
      </c>
      <c r="H115" s="2694">
        <v>1</v>
      </c>
      <c r="I115" s="2694">
        <v>1</v>
      </c>
      <c r="J115" s="2694" t="b">
        <v>1</v>
      </c>
      <c r="K115" s="5785" t="s">
        <v>2129</v>
      </c>
      <c r="L115" s="5786">
        <v>30000</v>
      </c>
      <c r="M115" s="5786">
        <v>0</v>
      </c>
      <c r="N115" s="5786">
        <v>0</v>
      </c>
      <c r="O115" s="5786">
        <v>0</v>
      </c>
      <c r="P115" s="5786">
        <v>0</v>
      </c>
      <c r="Q115" s="2476">
        <v>33000</v>
      </c>
      <c r="R115" s="2477">
        <v>165000</v>
      </c>
      <c r="S115" s="2477" t="b">
        <v>1</v>
      </c>
      <c r="T115" s="2477">
        <v>165000</v>
      </c>
      <c r="U115" s="5787">
        <v>0</v>
      </c>
      <c r="V115" s="863">
        <v>5703225</v>
      </c>
      <c r="W115" s="1958">
        <v>5703225</v>
      </c>
      <c r="X115" s="863" t="b">
        <v>1</v>
      </c>
      <c r="Y115" s="1958">
        <v>44556.4453125</v>
      </c>
      <c r="Z115" s="1958"/>
      <c r="AA115" s="1958"/>
      <c r="AB115" s="1958" t="s">
        <v>2129</v>
      </c>
      <c r="AC115" s="863">
        <v>1800</v>
      </c>
      <c r="AE115">
        <v>128</v>
      </c>
      <c r="AF115" s="3965">
        <v>128</v>
      </c>
      <c r="AG115" s="3965" t="b">
        <v>1</v>
      </c>
      <c r="AH115" s="2814">
        <v>142</v>
      </c>
      <c r="AI115" t="s">
        <v>2129</v>
      </c>
      <c r="AJ115" t="s">
        <v>2129</v>
      </c>
      <c r="AK115" t="s">
        <v>2129</v>
      </c>
      <c r="AL115" t="s">
        <v>2129</v>
      </c>
      <c r="AM115" t="s">
        <v>2129</v>
      </c>
      <c r="AN115" t="s">
        <v>2129</v>
      </c>
      <c r="AQ115" t="s">
        <v>2129</v>
      </c>
      <c r="AV115" t="s">
        <v>2129</v>
      </c>
      <c r="AW115" t="s">
        <v>2129</v>
      </c>
      <c r="AX115" t="s">
        <v>2129</v>
      </c>
      <c r="AY115" t="s">
        <v>2129</v>
      </c>
      <c r="AZ115" t="s">
        <v>2129</v>
      </c>
      <c r="BA115" t="s">
        <v>2129</v>
      </c>
      <c r="BB115" t="s">
        <v>2129</v>
      </c>
      <c r="BC115" t="s">
        <v>2129</v>
      </c>
      <c r="BD115" t="s">
        <v>2129</v>
      </c>
      <c r="BE115" t="s">
        <v>2129</v>
      </c>
      <c r="BF115" t="s">
        <v>2129</v>
      </c>
      <c r="BG115" t="s">
        <v>2129</v>
      </c>
      <c r="BH115" s="1958" t="s">
        <v>2129</v>
      </c>
      <c r="BI115" s="1958" t="s">
        <v>2129</v>
      </c>
      <c r="BJ115" s="1958" t="s">
        <v>2129</v>
      </c>
      <c r="BK115" s="1958" t="s">
        <v>2129</v>
      </c>
      <c r="BL115" s="1958" t="s">
        <v>2129</v>
      </c>
      <c r="BM115" s="1958" t="s">
        <v>2129</v>
      </c>
      <c r="BN115" s="1958" t="s">
        <v>2129</v>
      </c>
      <c r="BO115" s="1958" t="s">
        <v>2129</v>
      </c>
      <c r="BP115" s="1958" t="s">
        <v>2129</v>
      </c>
      <c r="BQ115" s="863" t="s">
        <v>2129</v>
      </c>
      <c r="BR115" s="863" t="s">
        <v>2129</v>
      </c>
      <c r="BS115" s="1958" t="s">
        <v>2129</v>
      </c>
      <c r="BT115" s="1958" t="s">
        <v>2129</v>
      </c>
      <c r="BU115" s="1958" t="s">
        <v>2129</v>
      </c>
      <c r="BV115" s="1958" t="s">
        <v>2129</v>
      </c>
      <c r="BW115" s="1958" t="s">
        <v>2129</v>
      </c>
      <c r="BX115" s="1958" t="s">
        <v>2129</v>
      </c>
      <c r="BY115" s="1958" t="s">
        <v>2129</v>
      </c>
      <c r="BZ115" s="1958" t="s">
        <v>2129</v>
      </c>
      <c r="CA115" s="1958" t="s">
        <v>2129</v>
      </c>
      <c r="CC115" s="1958" t="s">
        <v>2129</v>
      </c>
      <c r="CD115" s="1958" t="s">
        <v>2129</v>
      </c>
      <c r="CE115" s="1958" t="s">
        <v>2129</v>
      </c>
      <c r="CF115" s="1958" t="s">
        <v>2129</v>
      </c>
      <c r="CH115" s="2694"/>
    </row>
    <row r="116" spans="1:86" ht="13" hidden="1">
      <c r="A116">
        <v>227</v>
      </c>
      <c r="B116" s="196" t="s">
        <v>3339</v>
      </c>
      <c r="C116" s="5785" t="s">
        <v>2129</v>
      </c>
      <c r="D116" s="5785" t="s">
        <v>2129</v>
      </c>
      <c r="E116" s="5785" t="s">
        <v>2129</v>
      </c>
      <c r="F116" s="5785" t="s">
        <v>3791</v>
      </c>
      <c r="G116" s="5785" t="s">
        <v>2129</v>
      </c>
      <c r="H116" s="5785">
        <v>9</v>
      </c>
      <c r="I116" s="5785">
        <v>4</v>
      </c>
      <c r="J116" s="5785" t="b">
        <v>1</v>
      </c>
      <c r="K116" s="5785" t="s">
        <v>2129</v>
      </c>
      <c r="L116" s="5786">
        <v>5152943</v>
      </c>
      <c r="M116" s="5786">
        <v>0</v>
      </c>
      <c r="N116" s="5786">
        <v>0</v>
      </c>
      <c r="O116" s="5786">
        <v>0</v>
      </c>
      <c r="P116" s="5786">
        <v>0</v>
      </c>
      <c r="Q116" s="2476">
        <v>5668237.3000000007</v>
      </c>
      <c r="R116" s="2477">
        <v>4115295</v>
      </c>
      <c r="S116" s="2477" t="b">
        <v>1</v>
      </c>
      <c r="T116" s="5786">
        <v>1028823.75</v>
      </c>
      <c r="U116" s="5786">
        <v>0</v>
      </c>
      <c r="V116" s="863">
        <v>1400275</v>
      </c>
      <c r="W116" s="863">
        <v>1400275</v>
      </c>
      <c r="X116" s="863" t="b">
        <v>1</v>
      </c>
      <c r="Y116" s="863">
        <v>17503.4375</v>
      </c>
      <c r="AB116" s="863" t="s">
        <v>2129</v>
      </c>
      <c r="AE116">
        <v>105</v>
      </c>
      <c r="AF116" s="3965">
        <v>80</v>
      </c>
      <c r="AG116" s="3965" t="b">
        <v>1</v>
      </c>
      <c r="AH116">
        <v>126</v>
      </c>
      <c r="AI116" t="s">
        <v>2129</v>
      </c>
      <c r="AJ116" t="s">
        <v>2129</v>
      </c>
      <c r="AK116" t="s">
        <v>2129</v>
      </c>
      <c r="AL116">
        <v>71</v>
      </c>
      <c r="AM116" t="s">
        <v>2129</v>
      </c>
      <c r="AN116" t="s">
        <v>2129</v>
      </c>
      <c r="AQ116">
        <v>-9</v>
      </c>
      <c r="AV116" t="s">
        <v>2129</v>
      </c>
      <c r="AW116" t="s">
        <v>2129</v>
      </c>
      <c r="AX116" t="s">
        <v>2129</v>
      </c>
      <c r="AY116" t="s">
        <v>2129</v>
      </c>
      <c r="AZ116" t="s">
        <v>2129</v>
      </c>
      <c r="BA116" t="s">
        <v>2129</v>
      </c>
      <c r="BB116" t="s">
        <v>2129</v>
      </c>
      <c r="BC116" t="s">
        <v>2129</v>
      </c>
      <c r="BD116" t="s">
        <v>2129</v>
      </c>
      <c r="BE116" t="s">
        <v>2129</v>
      </c>
      <c r="BF116">
        <v>10</v>
      </c>
      <c r="BG116" t="s">
        <v>2129</v>
      </c>
      <c r="BH116" s="1958" t="s">
        <v>2129</v>
      </c>
      <c r="BI116"/>
      <c r="BJ116" s="863" t="s">
        <v>2129</v>
      </c>
      <c r="BK116" s="863" t="s">
        <v>2129</v>
      </c>
      <c r="BL116" s="863" t="s">
        <v>2129</v>
      </c>
      <c r="BM116" s="863" t="s">
        <v>2129</v>
      </c>
      <c r="BN116" s="863" t="s">
        <v>2129</v>
      </c>
      <c r="BO116" s="863" t="s">
        <v>2129</v>
      </c>
      <c r="BP116" s="863" t="s">
        <v>2129</v>
      </c>
      <c r="BQ116" s="863" t="s">
        <v>2129</v>
      </c>
      <c r="BR116" s="863" t="s">
        <v>2129</v>
      </c>
      <c r="BS116" s="863" t="s">
        <v>2129</v>
      </c>
      <c r="BT116" s="863" t="s">
        <v>2129</v>
      </c>
      <c r="BU116" s="863" t="s">
        <v>2129</v>
      </c>
      <c r="BV116" s="863">
        <v>12427440.625</v>
      </c>
      <c r="BW116" s="863" t="s">
        <v>2129</v>
      </c>
      <c r="BX116" s="863" t="s">
        <v>2129</v>
      </c>
      <c r="BY116" s="863" t="s">
        <v>2129</v>
      </c>
      <c r="BZ116" s="863" t="s">
        <v>2129</v>
      </c>
      <c r="CA116" s="863" t="s">
        <v>2129</v>
      </c>
      <c r="CB116" s="863"/>
      <c r="CC116" s="863" t="s">
        <v>2129</v>
      </c>
      <c r="CD116" s="863" t="s">
        <v>2129</v>
      </c>
      <c r="CE116" s="863" t="s">
        <v>2129</v>
      </c>
      <c r="CF116" s="863" t="s">
        <v>2129</v>
      </c>
      <c r="CG116" s="863"/>
      <c r="CH116" s="5785"/>
    </row>
    <row r="117" spans="1:86" s="5782" customFormat="1" ht="13" hidden="1">
      <c r="A117" s="5782">
        <v>228</v>
      </c>
      <c r="B117" s="5783" t="s">
        <v>3340</v>
      </c>
      <c r="C117" s="5784" t="s">
        <v>2129</v>
      </c>
      <c r="D117" s="5784" t="s">
        <v>2129</v>
      </c>
      <c r="E117" s="5784" t="s">
        <v>2129</v>
      </c>
      <c r="F117" s="5784" t="s">
        <v>2129</v>
      </c>
      <c r="G117" s="5784" t="s">
        <v>2129</v>
      </c>
      <c r="H117" s="5784">
        <v>0</v>
      </c>
      <c r="I117" s="5784">
        <v>0</v>
      </c>
      <c r="J117" s="2694" t="b">
        <v>0</v>
      </c>
      <c r="K117" s="2694" t="s">
        <v>2129</v>
      </c>
      <c r="L117" s="2477">
        <v>0</v>
      </c>
      <c r="M117" s="2477">
        <v>0</v>
      </c>
      <c r="N117" s="2477">
        <v>0</v>
      </c>
      <c r="O117" s="2477">
        <v>0</v>
      </c>
      <c r="P117" s="2477">
        <v>0</v>
      </c>
      <c r="Q117" s="2695">
        <v>0</v>
      </c>
      <c r="R117" s="5787">
        <v>0</v>
      </c>
      <c r="S117" s="2477" t="b">
        <v>1</v>
      </c>
      <c r="T117" s="5787" t="s">
        <v>2129</v>
      </c>
      <c r="U117" s="5787">
        <v>0</v>
      </c>
      <c r="V117" s="1958">
        <v>1413130</v>
      </c>
      <c r="W117" s="5788">
        <v>1413130</v>
      </c>
      <c r="X117" s="1958" t="b">
        <v>1</v>
      </c>
      <c r="Y117" s="5788">
        <v>7597.4731182795695</v>
      </c>
      <c r="Z117" s="5788"/>
      <c r="AA117" s="5788"/>
      <c r="AB117" s="5788" t="s">
        <v>2129</v>
      </c>
      <c r="AC117" s="1958"/>
      <c r="AD117" s="1958"/>
      <c r="AE117" s="5782">
        <v>186</v>
      </c>
      <c r="AF117" s="5789">
        <v>186</v>
      </c>
      <c r="AG117" s="3965" t="b">
        <v>1</v>
      </c>
      <c r="AH117" s="5782">
        <v>187</v>
      </c>
      <c r="AI117" s="5782" t="s">
        <v>2129</v>
      </c>
      <c r="AJ117" s="5782" t="s">
        <v>2129</v>
      </c>
      <c r="AK117" s="5782" t="s">
        <v>2129</v>
      </c>
      <c r="AL117" t="s">
        <v>2129</v>
      </c>
      <c r="AM117" t="s">
        <v>2129</v>
      </c>
      <c r="AN117" t="s">
        <v>2129</v>
      </c>
      <c r="AO117"/>
      <c r="AP117"/>
      <c r="AQ117" t="s">
        <v>2129</v>
      </c>
      <c r="AR117"/>
      <c r="AS117"/>
      <c r="AT117"/>
      <c r="AU117"/>
      <c r="AV117" s="5782" t="s">
        <v>2129</v>
      </c>
      <c r="AW117" t="s">
        <v>2129</v>
      </c>
      <c r="AX117" s="5782" t="s">
        <v>2129</v>
      </c>
      <c r="AY117" s="5782" t="s">
        <v>2129</v>
      </c>
      <c r="AZ117" s="5782" t="s">
        <v>2129</v>
      </c>
      <c r="BA117" s="5782" t="s">
        <v>2129</v>
      </c>
      <c r="BB117" s="5782" t="s">
        <v>2129</v>
      </c>
      <c r="BC117" t="s">
        <v>2129</v>
      </c>
      <c r="BD117" t="s">
        <v>2129</v>
      </c>
      <c r="BE117" t="s">
        <v>2129</v>
      </c>
      <c r="BF117" t="s">
        <v>2129</v>
      </c>
      <c r="BG117" t="s">
        <v>2129</v>
      </c>
      <c r="BH117" s="5788" t="s">
        <v>2129</v>
      </c>
      <c r="BI117"/>
      <c r="BJ117" s="5788" t="s">
        <v>2129</v>
      </c>
      <c r="BK117" s="5788" t="s">
        <v>2129</v>
      </c>
      <c r="BL117" s="5788" t="s">
        <v>2129</v>
      </c>
      <c r="BM117" s="5788" t="s">
        <v>2129</v>
      </c>
      <c r="BN117" s="5788" t="s">
        <v>2129</v>
      </c>
      <c r="BO117" s="5788" t="s">
        <v>2129</v>
      </c>
      <c r="BP117" s="1958" t="s">
        <v>2129</v>
      </c>
      <c r="BQ117" s="1958" t="s">
        <v>2129</v>
      </c>
      <c r="BR117" s="1958" t="s">
        <v>2129</v>
      </c>
      <c r="BS117" s="1958" t="s">
        <v>2129</v>
      </c>
      <c r="BT117" s="1958" t="s">
        <v>2129</v>
      </c>
      <c r="BU117" s="1958" t="s">
        <v>2129</v>
      </c>
      <c r="BV117" s="1958" t="s">
        <v>2129</v>
      </c>
      <c r="BW117" s="1958" t="s">
        <v>2129</v>
      </c>
      <c r="BX117" s="5788" t="s">
        <v>2129</v>
      </c>
      <c r="BY117" s="1958" t="s">
        <v>2129</v>
      </c>
      <c r="BZ117" s="5788" t="s">
        <v>2129</v>
      </c>
      <c r="CA117" s="5788" t="s">
        <v>2129</v>
      </c>
      <c r="CB117" s="1958"/>
      <c r="CC117" s="1958" t="s">
        <v>2129</v>
      </c>
      <c r="CD117" s="1958" t="s">
        <v>2129</v>
      </c>
      <c r="CE117" s="1958" t="s">
        <v>2129</v>
      </c>
      <c r="CF117" s="1958" t="s">
        <v>2129</v>
      </c>
      <c r="CG117" s="1958"/>
      <c r="CH117" s="5784"/>
    </row>
    <row r="118" spans="1:86" ht="13" hidden="1">
      <c r="A118">
        <v>229</v>
      </c>
      <c r="B118" s="196" t="s">
        <v>3341</v>
      </c>
      <c r="C118" s="5790" t="s">
        <v>2129</v>
      </c>
      <c r="D118" s="5790" t="s">
        <v>6599</v>
      </c>
      <c r="E118" s="5790" t="s">
        <v>2129</v>
      </c>
      <c r="F118" s="5785" t="s">
        <v>2129</v>
      </c>
      <c r="G118" s="5785" t="s">
        <v>2129</v>
      </c>
      <c r="H118" s="5785">
        <v>2</v>
      </c>
      <c r="I118" s="5785">
        <v>1</v>
      </c>
      <c r="J118" s="5785" t="b">
        <v>1</v>
      </c>
      <c r="K118" s="5785" t="s">
        <v>2129</v>
      </c>
      <c r="L118" s="5786">
        <v>258824</v>
      </c>
      <c r="M118" s="5786">
        <v>0</v>
      </c>
      <c r="N118" s="5786">
        <v>0</v>
      </c>
      <c r="O118" s="5786">
        <v>0</v>
      </c>
      <c r="P118" s="5786">
        <v>0</v>
      </c>
      <c r="Q118" s="2476">
        <v>284706.40000000002</v>
      </c>
      <c r="R118" s="2477">
        <v>155294</v>
      </c>
      <c r="S118" s="2477" t="b">
        <v>1</v>
      </c>
      <c r="T118" s="5786">
        <v>155294</v>
      </c>
      <c r="U118" s="5786">
        <v>0</v>
      </c>
      <c r="V118" s="863">
        <v>1123852</v>
      </c>
      <c r="W118" s="863">
        <v>1123852</v>
      </c>
      <c r="X118" s="863" t="b">
        <v>1</v>
      </c>
      <c r="Y118" s="863">
        <v>10503.289719626167</v>
      </c>
      <c r="AB118" s="863" t="s">
        <v>2129</v>
      </c>
      <c r="AC118" s="863">
        <v>0</v>
      </c>
      <c r="AE118">
        <v>107</v>
      </c>
      <c r="AF118" s="3965">
        <v>107</v>
      </c>
      <c r="AG118" s="3965" t="b">
        <v>1</v>
      </c>
      <c r="AH118" s="2814">
        <v>119</v>
      </c>
      <c r="AI118" t="s">
        <v>2129</v>
      </c>
      <c r="AJ118" t="s">
        <v>2129</v>
      </c>
      <c r="AK118" t="s">
        <v>2129</v>
      </c>
      <c r="AL118" t="s">
        <v>2129</v>
      </c>
      <c r="AM118" t="s">
        <v>2129</v>
      </c>
      <c r="AN118" t="s">
        <v>2129</v>
      </c>
      <c r="AQ118" t="s">
        <v>2129</v>
      </c>
      <c r="AV118" t="s">
        <v>2129</v>
      </c>
      <c r="AW118">
        <v>22</v>
      </c>
      <c r="AX118" t="s">
        <v>2129</v>
      </c>
      <c r="AY118" t="s">
        <v>2129</v>
      </c>
      <c r="AZ118" t="s">
        <v>2129</v>
      </c>
      <c r="BA118" t="s">
        <v>2129</v>
      </c>
      <c r="BB118" t="s">
        <v>2129</v>
      </c>
      <c r="BC118" t="s">
        <v>2129</v>
      </c>
      <c r="BD118" t="s">
        <v>2129</v>
      </c>
      <c r="BE118" t="s">
        <v>2129</v>
      </c>
      <c r="BF118" t="s">
        <v>2129</v>
      </c>
      <c r="BG118" t="s">
        <v>2129</v>
      </c>
      <c r="BH118" s="1958" t="s">
        <v>2129</v>
      </c>
      <c r="BI118" s="1958">
        <v>24724744</v>
      </c>
      <c r="BJ118" s="1958" t="s">
        <v>2129</v>
      </c>
      <c r="BK118" s="1958" t="s">
        <v>2129</v>
      </c>
      <c r="BL118" s="1958" t="s">
        <v>2129</v>
      </c>
      <c r="BM118" s="1958" t="s">
        <v>2129</v>
      </c>
      <c r="BN118" s="1958" t="s">
        <v>2129</v>
      </c>
      <c r="BO118" s="1958" t="s">
        <v>2129</v>
      </c>
      <c r="BP118" s="1958" t="s">
        <v>2129</v>
      </c>
      <c r="BQ118" s="863" t="s">
        <v>2129</v>
      </c>
      <c r="BR118" s="863" t="s">
        <v>2129</v>
      </c>
      <c r="BS118" s="1958" t="s">
        <v>2129</v>
      </c>
      <c r="BT118" s="1958" t="s">
        <v>2129</v>
      </c>
      <c r="BU118" s="1958" t="s">
        <v>2129</v>
      </c>
      <c r="BV118" s="1958" t="s">
        <v>2129</v>
      </c>
      <c r="BW118" s="1958" t="s">
        <v>2129</v>
      </c>
      <c r="BX118" s="1958" t="s">
        <v>2129</v>
      </c>
      <c r="BY118" s="1958">
        <v>3416468</v>
      </c>
      <c r="BZ118" s="1958" t="s">
        <v>2129</v>
      </c>
      <c r="CA118" s="1958" t="s">
        <v>2129</v>
      </c>
      <c r="CC118" s="1958" t="s">
        <v>2129</v>
      </c>
      <c r="CD118" s="1958" t="s">
        <v>2129</v>
      </c>
      <c r="CE118" s="1958" t="s">
        <v>2129</v>
      </c>
      <c r="CF118" s="1958" t="s">
        <v>2129</v>
      </c>
      <c r="CH118" s="5785"/>
    </row>
    <row r="119" spans="1:86" ht="13" hidden="1">
      <c r="A119">
        <v>231</v>
      </c>
      <c r="B119" s="196" t="s">
        <v>3342</v>
      </c>
      <c r="C119" s="5785" t="s">
        <v>2129</v>
      </c>
      <c r="D119" s="2694" t="s">
        <v>3791</v>
      </c>
      <c r="E119" s="2694" t="s">
        <v>2129</v>
      </c>
      <c r="F119" s="5785" t="s">
        <v>2129</v>
      </c>
      <c r="G119" s="5785" t="s">
        <v>2129</v>
      </c>
      <c r="H119" s="5785">
        <v>1</v>
      </c>
      <c r="I119" s="5785">
        <v>1</v>
      </c>
      <c r="J119" s="5785" t="b">
        <v>0</v>
      </c>
      <c r="K119" s="5785" t="s">
        <v>2129</v>
      </c>
      <c r="L119" s="5786">
        <v>38824</v>
      </c>
      <c r="M119" s="5786">
        <v>0</v>
      </c>
      <c r="N119" s="5786">
        <v>0</v>
      </c>
      <c r="O119" s="5786">
        <v>0</v>
      </c>
      <c r="P119" s="5786">
        <v>0</v>
      </c>
      <c r="Q119" s="2476">
        <v>42706.400000000001</v>
      </c>
      <c r="R119" s="2477">
        <v>42706</v>
      </c>
      <c r="S119" s="2477" t="b">
        <v>0</v>
      </c>
      <c r="T119" s="5786">
        <v>42706</v>
      </c>
      <c r="U119" s="5786">
        <v>-102883</v>
      </c>
      <c r="V119" s="863">
        <v>874579</v>
      </c>
      <c r="W119" s="863">
        <v>977462</v>
      </c>
      <c r="X119" s="863" t="b">
        <v>1</v>
      </c>
      <c r="Y119" s="863">
        <v>14588.985074626866</v>
      </c>
      <c r="AB119" s="863" t="s">
        <v>2129</v>
      </c>
      <c r="AE119">
        <v>102</v>
      </c>
      <c r="AF119" s="3965">
        <v>67</v>
      </c>
      <c r="AG119" s="3965" t="b">
        <v>1</v>
      </c>
      <c r="AH119">
        <v>125</v>
      </c>
      <c r="AI119" t="s">
        <v>2129</v>
      </c>
      <c r="AJ119">
        <v>67</v>
      </c>
      <c r="AK119" t="s">
        <v>2129</v>
      </c>
      <c r="AL119" t="s">
        <v>2129</v>
      </c>
      <c r="AM119" t="s">
        <v>2129</v>
      </c>
      <c r="AN119" t="s">
        <v>2129</v>
      </c>
      <c r="AQ119" t="s">
        <v>2129</v>
      </c>
      <c r="AV119" t="s">
        <v>2129</v>
      </c>
      <c r="AW119" t="s">
        <v>2129</v>
      </c>
      <c r="AX119" t="s">
        <v>2129</v>
      </c>
      <c r="AY119" t="s">
        <v>2129</v>
      </c>
      <c r="AZ119" t="s">
        <v>2129</v>
      </c>
      <c r="BA119">
        <v>11</v>
      </c>
      <c r="BB119" t="s">
        <v>2129</v>
      </c>
      <c r="BC119" t="s">
        <v>2129</v>
      </c>
      <c r="BD119" t="s">
        <v>2129</v>
      </c>
      <c r="BE119" t="s">
        <v>2129</v>
      </c>
      <c r="BF119" t="s">
        <v>2129</v>
      </c>
      <c r="BG119" t="s">
        <v>2129</v>
      </c>
      <c r="BH119" s="1958" t="s">
        <v>2129</v>
      </c>
      <c r="BI119"/>
      <c r="BJ119" s="863" t="s">
        <v>2129</v>
      </c>
      <c r="BK119" s="863" t="s">
        <v>2129</v>
      </c>
      <c r="BL119" s="863" t="s">
        <v>2129</v>
      </c>
      <c r="BM119" s="863" t="s">
        <v>2129</v>
      </c>
      <c r="BN119" s="863">
        <v>10752082</v>
      </c>
      <c r="BO119" s="863" t="s">
        <v>2129</v>
      </c>
      <c r="BP119" s="863" t="s">
        <v>2129</v>
      </c>
      <c r="BQ119" s="863" t="s">
        <v>2129</v>
      </c>
      <c r="BR119" s="863" t="s">
        <v>2129</v>
      </c>
      <c r="BS119" s="863" t="s">
        <v>2129</v>
      </c>
      <c r="BT119" s="863" t="s">
        <v>2129</v>
      </c>
      <c r="BU119" s="863" t="s">
        <v>2129</v>
      </c>
      <c r="BV119" s="863" t="s">
        <v>2129</v>
      </c>
      <c r="BW119" s="863" t="s">
        <v>2129</v>
      </c>
      <c r="BX119" s="863" t="s">
        <v>2129</v>
      </c>
      <c r="BY119" s="863" t="s">
        <v>2129</v>
      </c>
      <c r="BZ119" s="863" t="s">
        <v>2129</v>
      </c>
      <c r="CA119" s="863" t="s">
        <v>2129</v>
      </c>
      <c r="CB119" s="863"/>
      <c r="CC119" s="863" t="s">
        <v>2129</v>
      </c>
      <c r="CD119" s="863" t="s">
        <v>2129</v>
      </c>
      <c r="CE119" s="863" t="s">
        <v>2129</v>
      </c>
      <c r="CF119" s="863" t="s">
        <v>2129</v>
      </c>
      <c r="CG119" s="863"/>
      <c r="CH119" s="5785"/>
    </row>
    <row r="120" spans="1:86" s="5782" customFormat="1" ht="13" hidden="1">
      <c r="A120">
        <v>232</v>
      </c>
      <c r="B120" s="5795" t="s">
        <v>3343</v>
      </c>
      <c r="C120" s="2694" t="s">
        <v>2129</v>
      </c>
      <c r="D120" s="2694" t="s">
        <v>3791</v>
      </c>
      <c r="E120" s="2694" t="s">
        <v>2129</v>
      </c>
      <c r="F120" s="2694" t="s">
        <v>2129</v>
      </c>
      <c r="G120" s="2694" t="s">
        <v>2129</v>
      </c>
      <c r="H120" s="5785">
        <v>0</v>
      </c>
      <c r="I120" s="5785">
        <v>0</v>
      </c>
      <c r="J120" s="5785" t="b">
        <v>0</v>
      </c>
      <c r="K120" s="5785" t="s">
        <v>2129</v>
      </c>
      <c r="L120" s="5786">
        <v>0</v>
      </c>
      <c r="M120" s="5786">
        <v>0</v>
      </c>
      <c r="N120" s="5786">
        <v>0</v>
      </c>
      <c r="O120" s="5786">
        <v>0</v>
      </c>
      <c r="P120" s="5786">
        <v>0</v>
      </c>
      <c r="Q120" s="2476">
        <v>0</v>
      </c>
      <c r="R120" s="2477">
        <v>0</v>
      </c>
      <c r="S120" s="2477" t="b">
        <v>1</v>
      </c>
      <c r="T120" s="5786" t="s">
        <v>2129</v>
      </c>
      <c r="U120" s="5786">
        <v>0</v>
      </c>
      <c r="V120" s="5788">
        <v>1934794</v>
      </c>
      <c r="W120" s="5788">
        <v>1934794</v>
      </c>
      <c r="X120" s="5788" t="b">
        <v>0</v>
      </c>
      <c r="Y120" s="5788">
        <v>20804.236559139787</v>
      </c>
      <c r="Z120" s="5788"/>
      <c r="AA120" s="5788"/>
      <c r="AB120" s="5788" t="s">
        <v>2129</v>
      </c>
      <c r="AC120" s="5788"/>
      <c r="AD120" s="5788"/>
      <c r="AE120" s="5782">
        <v>93</v>
      </c>
      <c r="AF120" s="5789">
        <v>93</v>
      </c>
      <c r="AG120" s="5789" t="b">
        <v>0</v>
      </c>
      <c r="AH120" s="5782">
        <v>93</v>
      </c>
      <c r="AI120" s="5782" t="s">
        <v>2129</v>
      </c>
      <c r="AJ120" s="5782">
        <v>153</v>
      </c>
      <c r="AK120" s="5782" t="s">
        <v>2129</v>
      </c>
      <c r="AL120" s="5782" t="s">
        <v>2129</v>
      </c>
      <c r="AM120" s="5782" t="s">
        <v>2129</v>
      </c>
      <c r="AN120" s="5782" t="s">
        <v>2129</v>
      </c>
      <c r="AQ120" s="5782" t="s">
        <v>2129</v>
      </c>
      <c r="AV120" s="5782" t="s">
        <v>2129</v>
      </c>
      <c r="AW120" s="5782" t="s">
        <v>2129</v>
      </c>
      <c r="AX120" s="5782" t="s">
        <v>2129</v>
      </c>
      <c r="AY120" s="5782" t="s">
        <v>2129</v>
      </c>
      <c r="AZ120" s="5782" t="s">
        <v>2129</v>
      </c>
      <c r="BA120" s="5782">
        <v>11</v>
      </c>
      <c r="BB120" s="5782" t="s">
        <v>2129</v>
      </c>
      <c r="BC120" s="5782" t="s">
        <v>2129</v>
      </c>
      <c r="BD120" s="5782" t="s">
        <v>2129</v>
      </c>
      <c r="BE120" s="5782" t="s">
        <v>2129</v>
      </c>
      <c r="BF120" s="5782" t="s">
        <v>2129</v>
      </c>
      <c r="BG120" s="5782" t="s">
        <v>2129</v>
      </c>
      <c r="BH120" s="5788" t="s">
        <v>2129</v>
      </c>
      <c r="BJ120" s="5788" t="s">
        <v>2129</v>
      </c>
      <c r="BK120" s="5788" t="s">
        <v>2129</v>
      </c>
      <c r="BL120" s="5788" t="s">
        <v>2129</v>
      </c>
      <c r="BM120" s="5788" t="s">
        <v>2129</v>
      </c>
      <c r="BN120" s="5788">
        <v>35013530.129032262</v>
      </c>
      <c r="BO120" s="5788" t="s">
        <v>2129</v>
      </c>
      <c r="BP120" s="5788" t="s">
        <v>2129</v>
      </c>
      <c r="BQ120" s="5788" t="s">
        <v>2129</v>
      </c>
      <c r="BR120" s="5788" t="s">
        <v>2129</v>
      </c>
      <c r="BS120" s="5788" t="s">
        <v>2129</v>
      </c>
      <c r="BT120" s="5788" t="s">
        <v>2129</v>
      </c>
      <c r="BU120" s="5788" t="s">
        <v>2129</v>
      </c>
      <c r="BV120" s="5788" t="s">
        <v>2129</v>
      </c>
      <c r="BW120" s="5788" t="s">
        <v>2129</v>
      </c>
      <c r="BX120" s="5788" t="s">
        <v>2129</v>
      </c>
      <c r="BY120" s="5788" t="s">
        <v>2129</v>
      </c>
      <c r="BZ120" s="5788" t="s">
        <v>2129</v>
      </c>
      <c r="CA120" s="5788" t="s">
        <v>2129</v>
      </c>
      <c r="CB120" s="5788"/>
      <c r="CC120" s="5788" t="s">
        <v>2129</v>
      </c>
      <c r="CD120" s="5788" t="s">
        <v>2129</v>
      </c>
      <c r="CE120" s="5788" t="s">
        <v>2129</v>
      </c>
      <c r="CF120" s="5788" t="s">
        <v>2129</v>
      </c>
      <c r="CG120" s="5788"/>
      <c r="CH120" s="5784"/>
    </row>
    <row r="121" spans="1:86" s="5782" customFormat="1" ht="13" hidden="1">
      <c r="A121" s="5782">
        <v>234</v>
      </c>
      <c r="B121" s="5783" t="s">
        <v>3344</v>
      </c>
      <c r="C121" s="5784" t="s">
        <v>2129</v>
      </c>
      <c r="D121" s="5784" t="s">
        <v>2129</v>
      </c>
      <c r="E121" s="5784" t="s">
        <v>2129</v>
      </c>
      <c r="F121" s="5784" t="s">
        <v>2129</v>
      </c>
      <c r="G121" s="5784" t="s">
        <v>2129</v>
      </c>
      <c r="H121" s="5784">
        <v>0</v>
      </c>
      <c r="I121" s="5784">
        <v>0</v>
      </c>
      <c r="J121" s="5785" t="b">
        <v>0</v>
      </c>
      <c r="K121" s="5785" t="s">
        <v>2129</v>
      </c>
      <c r="L121" s="5786">
        <v>0</v>
      </c>
      <c r="M121" s="5786">
        <v>0</v>
      </c>
      <c r="N121" s="5786">
        <v>0</v>
      </c>
      <c r="O121" s="5786">
        <v>0</v>
      </c>
      <c r="P121" s="5786">
        <v>0</v>
      </c>
      <c r="Q121" s="2476">
        <v>0</v>
      </c>
      <c r="R121" s="5787">
        <v>0</v>
      </c>
      <c r="S121" s="2477" t="b">
        <v>1</v>
      </c>
      <c r="T121" s="5787" t="s">
        <v>2129</v>
      </c>
      <c r="U121" s="5787">
        <v>0</v>
      </c>
      <c r="V121" s="5788">
        <v>455540</v>
      </c>
      <c r="W121" s="5788">
        <v>455540</v>
      </c>
      <c r="X121" s="5788" t="b">
        <v>1</v>
      </c>
      <c r="Y121" s="5788">
        <v>10353.181818181818</v>
      </c>
      <c r="Z121" s="5788"/>
      <c r="AA121" s="5788"/>
      <c r="AB121" s="5788" t="s">
        <v>2129</v>
      </c>
      <c r="AC121" s="5788"/>
      <c r="AD121" s="5788"/>
      <c r="AE121" s="5782">
        <v>105</v>
      </c>
      <c r="AF121" s="5789">
        <v>44</v>
      </c>
      <c r="AG121" s="5789" t="b">
        <v>1</v>
      </c>
      <c r="AH121" s="5782">
        <v>105</v>
      </c>
      <c r="AI121" s="5782" t="s">
        <v>2129</v>
      </c>
      <c r="AJ121" s="5782" t="s">
        <v>2129</v>
      </c>
      <c r="AK121" s="5782" t="s">
        <v>2129</v>
      </c>
      <c r="AL121" s="5782" t="s">
        <v>2129</v>
      </c>
      <c r="AM121" s="5782" t="s">
        <v>2129</v>
      </c>
      <c r="AN121" s="5782" t="s">
        <v>2129</v>
      </c>
      <c r="AQ121" s="5782" t="s">
        <v>2129</v>
      </c>
      <c r="AV121" s="5782" t="s">
        <v>2129</v>
      </c>
      <c r="AW121" s="5782" t="s">
        <v>2129</v>
      </c>
      <c r="AX121" s="5782" t="s">
        <v>2129</v>
      </c>
      <c r="AY121" s="5782" t="s">
        <v>2129</v>
      </c>
      <c r="AZ121" s="5782" t="s">
        <v>2129</v>
      </c>
      <c r="BA121" s="5782" t="s">
        <v>2129</v>
      </c>
      <c r="BB121" s="5782" t="s">
        <v>2129</v>
      </c>
      <c r="BC121" s="5782" t="s">
        <v>2129</v>
      </c>
      <c r="BD121" s="5782" t="s">
        <v>2129</v>
      </c>
      <c r="BE121" s="5782" t="s">
        <v>2129</v>
      </c>
      <c r="BF121" s="5782" t="s">
        <v>2129</v>
      </c>
      <c r="BG121" s="5782" t="s">
        <v>2129</v>
      </c>
      <c r="BH121" s="5788" t="s">
        <v>2129</v>
      </c>
      <c r="BJ121" s="5788" t="s">
        <v>2129</v>
      </c>
      <c r="BK121" s="5788" t="s">
        <v>2129</v>
      </c>
      <c r="BL121" s="5788" t="s">
        <v>2129</v>
      </c>
      <c r="BM121" s="5788" t="s">
        <v>2129</v>
      </c>
      <c r="BN121" s="5788" t="s">
        <v>2129</v>
      </c>
      <c r="BO121" s="5788" t="s">
        <v>2129</v>
      </c>
      <c r="BP121" s="5788" t="s">
        <v>2129</v>
      </c>
      <c r="BQ121" s="5788" t="s">
        <v>2129</v>
      </c>
      <c r="BR121" s="5788" t="s">
        <v>2129</v>
      </c>
      <c r="BS121" s="5788" t="s">
        <v>2129</v>
      </c>
      <c r="BT121" s="5788" t="s">
        <v>2129</v>
      </c>
      <c r="BU121" s="5788" t="s">
        <v>2129</v>
      </c>
      <c r="BV121" s="5788" t="s">
        <v>2129</v>
      </c>
      <c r="BW121" s="5788" t="s">
        <v>2129</v>
      </c>
      <c r="BX121" s="5788" t="s">
        <v>2129</v>
      </c>
      <c r="BY121" s="5788" t="s">
        <v>2129</v>
      </c>
      <c r="BZ121" s="5788" t="s">
        <v>2129</v>
      </c>
      <c r="CA121" s="5788" t="s">
        <v>2129</v>
      </c>
      <c r="CB121" s="5788"/>
      <c r="CC121" s="5788" t="s">
        <v>2129</v>
      </c>
      <c r="CD121" s="5788" t="s">
        <v>2129</v>
      </c>
      <c r="CE121" s="5788" t="s">
        <v>2129</v>
      </c>
      <c r="CF121" s="5788" t="s">
        <v>2129</v>
      </c>
      <c r="CG121" s="5788"/>
      <c r="CH121" s="5784"/>
    </row>
    <row r="122" spans="1:86" ht="13" hidden="1">
      <c r="A122">
        <v>238</v>
      </c>
      <c r="B122" s="5791" t="s">
        <v>3345</v>
      </c>
      <c r="C122" s="5804" t="s">
        <v>2129</v>
      </c>
      <c r="D122" s="5804" t="s">
        <v>3791</v>
      </c>
      <c r="E122" s="5804" t="s">
        <v>2129</v>
      </c>
      <c r="F122" s="5785" t="s">
        <v>3791</v>
      </c>
      <c r="G122" s="5785" t="s">
        <v>2129</v>
      </c>
      <c r="H122" s="5785">
        <v>12</v>
      </c>
      <c r="I122" s="5785">
        <v>5</v>
      </c>
      <c r="J122" s="5785" t="b">
        <v>0</v>
      </c>
      <c r="K122" s="5785" t="s">
        <v>2129</v>
      </c>
      <c r="L122" s="5786">
        <v>1443969</v>
      </c>
      <c r="M122" s="5786">
        <v>35295</v>
      </c>
      <c r="N122" s="5786">
        <v>0</v>
      </c>
      <c r="O122" s="5786">
        <v>0</v>
      </c>
      <c r="P122" s="5786">
        <v>0</v>
      </c>
      <c r="Q122" s="2476">
        <v>1627190.4000000001</v>
      </c>
      <c r="R122" s="2477">
        <v>1627190</v>
      </c>
      <c r="S122" s="2477" t="b">
        <v>0</v>
      </c>
      <c r="T122" s="5786">
        <v>325438</v>
      </c>
      <c r="U122" s="5786">
        <v>-550475</v>
      </c>
      <c r="V122" s="863">
        <v>950431</v>
      </c>
      <c r="W122" s="863">
        <v>1500906</v>
      </c>
      <c r="X122" s="863" t="b">
        <v>1</v>
      </c>
      <c r="Y122" s="863">
        <v>15967.08510638298</v>
      </c>
      <c r="AB122" s="863" t="s">
        <v>2129</v>
      </c>
      <c r="AC122" s="863">
        <v>1800</v>
      </c>
      <c r="AE122">
        <v>90</v>
      </c>
      <c r="AF122" s="3965">
        <v>94</v>
      </c>
      <c r="AG122" s="3965" t="b">
        <v>1</v>
      </c>
      <c r="AH122">
        <v>92</v>
      </c>
      <c r="AI122" t="s">
        <v>2129</v>
      </c>
      <c r="AJ122" s="191">
        <v>25</v>
      </c>
      <c r="AK122" t="s">
        <v>2129</v>
      </c>
      <c r="AL122">
        <v>85</v>
      </c>
      <c r="AM122" t="s">
        <v>2129</v>
      </c>
      <c r="AN122" t="s">
        <v>2129</v>
      </c>
      <c r="AO122">
        <v>-69</v>
      </c>
      <c r="AQ122">
        <v>-9</v>
      </c>
      <c r="AV122" s="191" t="s">
        <v>2129</v>
      </c>
      <c r="AW122" t="s">
        <v>2129</v>
      </c>
      <c r="AX122" t="s">
        <v>2129</v>
      </c>
      <c r="AY122" t="s">
        <v>2129</v>
      </c>
      <c r="AZ122" t="s">
        <v>2129</v>
      </c>
      <c r="BA122">
        <v>11</v>
      </c>
      <c r="BB122" t="s">
        <v>2129</v>
      </c>
      <c r="BC122" t="s">
        <v>2129</v>
      </c>
      <c r="BD122" t="s">
        <v>2129</v>
      </c>
      <c r="BE122" t="s">
        <v>2129</v>
      </c>
      <c r="BF122">
        <v>10</v>
      </c>
      <c r="BG122" t="s">
        <v>2129</v>
      </c>
      <c r="BH122" s="1958" t="s">
        <v>2129</v>
      </c>
      <c r="BI122" s="1958" t="s">
        <v>2129</v>
      </c>
      <c r="BJ122" s="1958" t="s">
        <v>2129</v>
      </c>
      <c r="BK122" s="1958" t="s">
        <v>2129</v>
      </c>
      <c r="BL122" s="1958" t="s">
        <v>2129</v>
      </c>
      <c r="BM122" s="1958" t="s">
        <v>2129</v>
      </c>
      <c r="BN122" s="1958">
        <v>4390948.4042553194</v>
      </c>
      <c r="BO122" s="1958" t="s">
        <v>2129</v>
      </c>
      <c r="BP122" s="1958" t="s">
        <v>2129</v>
      </c>
      <c r="BQ122" s="863" t="s">
        <v>2129</v>
      </c>
      <c r="BR122" s="863" t="s">
        <v>2129</v>
      </c>
      <c r="BS122" s="1958" t="s">
        <v>2129</v>
      </c>
      <c r="BT122" s="1958" t="s">
        <v>2129</v>
      </c>
      <c r="BU122" s="1958" t="s">
        <v>2129</v>
      </c>
      <c r="BV122" s="1958">
        <v>13572022.340425532</v>
      </c>
      <c r="BW122" s="1958" t="s">
        <v>2129</v>
      </c>
      <c r="BX122" s="1958" t="s">
        <v>2129</v>
      </c>
      <c r="BY122" s="1958" t="s">
        <v>2129</v>
      </c>
      <c r="BZ122" s="1958" t="s">
        <v>2129</v>
      </c>
      <c r="CA122" s="1958" t="s">
        <v>2129</v>
      </c>
      <c r="CC122" s="1958" t="s">
        <v>2129</v>
      </c>
      <c r="CD122" s="1958" t="s">
        <v>2129</v>
      </c>
      <c r="CE122" s="1958" t="s">
        <v>2129</v>
      </c>
      <c r="CF122" s="1958" t="s">
        <v>2129</v>
      </c>
      <c r="CH122" s="5785"/>
    </row>
    <row r="123" spans="1:86" s="5782" customFormat="1" ht="13" hidden="1">
      <c r="A123" s="5782">
        <v>239</v>
      </c>
      <c r="B123" s="5783" t="s">
        <v>3346</v>
      </c>
      <c r="C123" s="5784" t="s">
        <v>2129</v>
      </c>
      <c r="D123" s="5784" t="s">
        <v>2129</v>
      </c>
      <c r="E123" s="5784" t="s">
        <v>2129</v>
      </c>
      <c r="F123" s="5784" t="s">
        <v>2129</v>
      </c>
      <c r="G123" s="5784" t="s">
        <v>2129</v>
      </c>
      <c r="H123" s="5784">
        <v>0</v>
      </c>
      <c r="I123" s="5784">
        <v>0</v>
      </c>
      <c r="J123" s="5785" t="b">
        <v>0</v>
      </c>
      <c r="K123" s="5785" t="s">
        <v>2129</v>
      </c>
      <c r="L123" s="5786">
        <v>0</v>
      </c>
      <c r="M123" s="5786">
        <v>0</v>
      </c>
      <c r="N123" s="5786">
        <v>0</v>
      </c>
      <c r="O123" s="5786">
        <v>0</v>
      </c>
      <c r="P123" s="5786">
        <v>0</v>
      </c>
      <c r="Q123" s="2476">
        <v>0</v>
      </c>
      <c r="R123" s="5787">
        <v>0</v>
      </c>
      <c r="S123" s="2477" t="b">
        <v>1</v>
      </c>
      <c r="T123" s="5787" t="s">
        <v>2129</v>
      </c>
      <c r="U123" s="5787">
        <v>0</v>
      </c>
      <c r="V123" s="5788">
        <v>1215964</v>
      </c>
      <c r="W123" s="5788">
        <v>1215964</v>
      </c>
      <c r="X123" s="5788" t="b">
        <v>0</v>
      </c>
      <c r="Y123" s="5788">
        <v>13976.597701149425</v>
      </c>
      <c r="Z123" s="5788"/>
      <c r="AA123" s="5788"/>
      <c r="AB123" s="5788" t="s">
        <v>2129</v>
      </c>
      <c r="AC123" s="5788"/>
      <c r="AD123" s="5788"/>
      <c r="AE123" s="5782">
        <v>87</v>
      </c>
      <c r="AF123" s="5789">
        <v>87</v>
      </c>
      <c r="AG123" s="5789" t="b">
        <v>0</v>
      </c>
      <c r="AH123" s="5782">
        <v>87</v>
      </c>
      <c r="AI123" s="5782" t="s">
        <v>2129</v>
      </c>
      <c r="AJ123" s="5782" t="s">
        <v>2129</v>
      </c>
      <c r="AK123" s="5782" t="s">
        <v>2129</v>
      </c>
      <c r="AL123" s="5782" t="s">
        <v>2129</v>
      </c>
      <c r="AM123" s="5782" t="s">
        <v>2129</v>
      </c>
      <c r="AN123" s="5782" t="s">
        <v>2129</v>
      </c>
      <c r="AQ123" s="5782" t="s">
        <v>2129</v>
      </c>
      <c r="AV123" s="5782" t="s">
        <v>2129</v>
      </c>
      <c r="AW123" s="5782" t="s">
        <v>2129</v>
      </c>
      <c r="AX123" s="5782" t="s">
        <v>2129</v>
      </c>
      <c r="AY123" s="5782" t="s">
        <v>2129</v>
      </c>
      <c r="AZ123" s="5782" t="s">
        <v>2129</v>
      </c>
      <c r="BA123" s="5782" t="s">
        <v>2129</v>
      </c>
      <c r="BB123" s="5782" t="s">
        <v>2129</v>
      </c>
      <c r="BC123" s="5782" t="s">
        <v>2129</v>
      </c>
      <c r="BD123" s="5782" t="s">
        <v>2129</v>
      </c>
      <c r="BE123" s="5782" t="s">
        <v>2129</v>
      </c>
      <c r="BF123" s="5782" t="s">
        <v>2129</v>
      </c>
      <c r="BG123" s="5782" t="s">
        <v>2129</v>
      </c>
      <c r="BH123" s="5788" t="s">
        <v>2129</v>
      </c>
      <c r="BJ123" s="5788" t="s">
        <v>2129</v>
      </c>
      <c r="BK123" s="5788" t="s">
        <v>2129</v>
      </c>
      <c r="BL123" s="5788" t="s">
        <v>2129</v>
      </c>
      <c r="BM123" s="5788" t="s">
        <v>2129</v>
      </c>
      <c r="BN123" s="5788" t="s">
        <v>2129</v>
      </c>
      <c r="BO123" s="5788" t="s">
        <v>2129</v>
      </c>
      <c r="BP123" s="5788" t="s">
        <v>2129</v>
      </c>
      <c r="BQ123" s="5788" t="s">
        <v>2129</v>
      </c>
      <c r="BR123" s="5788" t="s">
        <v>2129</v>
      </c>
      <c r="BS123" s="5788" t="s">
        <v>2129</v>
      </c>
      <c r="BT123" s="5788" t="s">
        <v>2129</v>
      </c>
      <c r="BU123" s="5788" t="s">
        <v>2129</v>
      </c>
      <c r="BV123" s="5788" t="s">
        <v>2129</v>
      </c>
      <c r="BW123" s="5788" t="s">
        <v>2129</v>
      </c>
      <c r="BX123" s="5788" t="s">
        <v>2129</v>
      </c>
      <c r="BY123" s="5788" t="s">
        <v>2129</v>
      </c>
      <c r="BZ123" s="5788" t="s">
        <v>2129</v>
      </c>
      <c r="CA123" s="5788" t="s">
        <v>2129</v>
      </c>
      <c r="CB123" s="5788"/>
      <c r="CC123" s="5788" t="s">
        <v>2129</v>
      </c>
      <c r="CD123" s="5788" t="s">
        <v>2129</v>
      </c>
      <c r="CE123" s="5788" t="s">
        <v>2129</v>
      </c>
      <c r="CF123" s="5788" t="s">
        <v>2129</v>
      </c>
      <c r="CG123" s="5788"/>
      <c r="CH123" s="5784"/>
    </row>
    <row r="124" spans="1:86" s="5782" customFormat="1" ht="13" hidden="1">
      <c r="A124" s="5782">
        <v>240</v>
      </c>
      <c r="B124" s="5783" t="s">
        <v>3347</v>
      </c>
      <c r="C124" s="5784" t="s">
        <v>2129</v>
      </c>
      <c r="D124" s="5784" t="s">
        <v>2129</v>
      </c>
      <c r="E124" s="5784" t="s">
        <v>2129</v>
      </c>
      <c r="F124" s="5784" t="s">
        <v>2129</v>
      </c>
      <c r="G124" s="5784" t="s">
        <v>2129</v>
      </c>
      <c r="H124" s="5784">
        <v>5</v>
      </c>
      <c r="I124" s="5784">
        <v>4</v>
      </c>
      <c r="J124" s="5785" t="b">
        <v>0</v>
      </c>
      <c r="K124" s="5785" t="s">
        <v>2129</v>
      </c>
      <c r="L124" s="5786">
        <v>423531</v>
      </c>
      <c r="M124" s="5786">
        <v>0</v>
      </c>
      <c r="N124" s="5786">
        <v>0</v>
      </c>
      <c r="O124" s="5786">
        <v>7800</v>
      </c>
      <c r="P124" s="5786">
        <v>0</v>
      </c>
      <c r="Q124" s="2476">
        <v>473684.10000000003</v>
      </c>
      <c r="R124" s="5787">
        <v>478034</v>
      </c>
      <c r="S124" s="2477" t="b">
        <v>0</v>
      </c>
      <c r="T124" s="5787">
        <v>119508.5</v>
      </c>
      <c r="U124" s="5787">
        <v>0</v>
      </c>
      <c r="V124" s="5788">
        <v>1608619</v>
      </c>
      <c r="W124" s="5788">
        <v>1608619</v>
      </c>
      <c r="X124" s="5788" t="b">
        <v>0</v>
      </c>
      <c r="Y124" s="5788">
        <v>33512.895833333336</v>
      </c>
      <c r="Z124" s="5788"/>
      <c r="AA124" s="5788"/>
      <c r="AB124" s="5788" t="s">
        <v>2129</v>
      </c>
      <c r="AC124" s="5788"/>
      <c r="AD124" s="5788"/>
      <c r="AE124" s="5782">
        <v>48</v>
      </c>
      <c r="AF124" s="5789">
        <v>48</v>
      </c>
      <c r="AG124" s="5789" t="b">
        <v>0</v>
      </c>
      <c r="AH124" s="5782">
        <v>66</v>
      </c>
      <c r="AI124" s="5782" t="s">
        <v>2129</v>
      </c>
      <c r="AJ124" s="5782" t="s">
        <v>2129</v>
      </c>
      <c r="AK124" s="5782" t="s">
        <v>2129</v>
      </c>
      <c r="AL124" s="5782" t="s">
        <v>2129</v>
      </c>
      <c r="AM124" s="5782" t="s">
        <v>2129</v>
      </c>
      <c r="AN124" s="5782" t="s">
        <v>2129</v>
      </c>
      <c r="AQ124" s="5782" t="s">
        <v>2129</v>
      </c>
      <c r="AV124" s="5782" t="s">
        <v>2129</v>
      </c>
      <c r="AW124" s="5782" t="s">
        <v>2129</v>
      </c>
      <c r="AX124" s="5782" t="s">
        <v>2129</v>
      </c>
      <c r="AY124" s="5782" t="s">
        <v>2129</v>
      </c>
      <c r="AZ124" s="5782" t="s">
        <v>2129</v>
      </c>
      <c r="BA124" s="5782" t="s">
        <v>2129</v>
      </c>
      <c r="BB124" s="5782" t="s">
        <v>2129</v>
      </c>
      <c r="BC124" s="5782" t="s">
        <v>2129</v>
      </c>
      <c r="BD124" s="5782" t="s">
        <v>2129</v>
      </c>
      <c r="BE124" s="5782" t="s">
        <v>2129</v>
      </c>
      <c r="BF124" s="5782" t="s">
        <v>2129</v>
      </c>
      <c r="BG124" s="5782" t="s">
        <v>2129</v>
      </c>
      <c r="BH124" s="5788" t="s">
        <v>2129</v>
      </c>
      <c r="BJ124" s="5788" t="s">
        <v>2129</v>
      </c>
      <c r="BK124" s="5788" t="s">
        <v>2129</v>
      </c>
      <c r="BL124" s="5788" t="s">
        <v>2129</v>
      </c>
      <c r="BM124" s="5788" t="s">
        <v>2129</v>
      </c>
      <c r="BN124" s="5788" t="s">
        <v>2129</v>
      </c>
      <c r="BO124" s="5788" t="s">
        <v>2129</v>
      </c>
      <c r="BP124" s="5788" t="s">
        <v>2129</v>
      </c>
      <c r="BQ124" s="5788" t="s">
        <v>2129</v>
      </c>
      <c r="BR124" s="5788" t="s">
        <v>2129</v>
      </c>
      <c r="BS124" s="5788" t="s">
        <v>2129</v>
      </c>
      <c r="BT124" s="5788" t="s">
        <v>2129</v>
      </c>
      <c r="BU124" s="5788" t="s">
        <v>2129</v>
      </c>
      <c r="BV124" s="5788" t="s">
        <v>2129</v>
      </c>
      <c r="BW124" s="5788" t="s">
        <v>2129</v>
      </c>
      <c r="BX124" s="5788" t="s">
        <v>2129</v>
      </c>
      <c r="BY124" s="5788" t="s">
        <v>2129</v>
      </c>
      <c r="BZ124" s="5788" t="s">
        <v>2129</v>
      </c>
      <c r="CA124" s="5788" t="s">
        <v>2129</v>
      </c>
      <c r="CB124" s="5788"/>
      <c r="CC124" s="5788" t="s">
        <v>2129</v>
      </c>
      <c r="CD124" s="5788" t="s">
        <v>2129</v>
      </c>
      <c r="CE124" s="5788" t="s">
        <v>2129</v>
      </c>
      <c r="CF124" s="5788" t="s">
        <v>2129</v>
      </c>
      <c r="CG124" s="5788"/>
      <c r="CH124" s="5784"/>
    </row>
    <row r="125" spans="1:86" ht="13" hidden="1">
      <c r="A125">
        <v>241</v>
      </c>
      <c r="B125" s="5791" t="s">
        <v>3348</v>
      </c>
      <c r="C125" s="5790" t="s">
        <v>2129</v>
      </c>
      <c r="D125" s="5790" t="s">
        <v>6599</v>
      </c>
      <c r="E125" s="5790" t="s">
        <v>2129</v>
      </c>
      <c r="F125" s="5785" t="s">
        <v>2129</v>
      </c>
      <c r="G125" s="5785" t="s">
        <v>2129</v>
      </c>
      <c r="H125" s="5785">
        <v>10</v>
      </c>
      <c r="I125" s="5785">
        <v>6</v>
      </c>
      <c r="J125" s="5785" t="b">
        <v>0</v>
      </c>
      <c r="K125" s="5785" t="s">
        <v>2129</v>
      </c>
      <c r="L125" s="5786">
        <v>847062</v>
      </c>
      <c r="M125" s="5786">
        <v>0</v>
      </c>
      <c r="N125" s="5786">
        <v>0</v>
      </c>
      <c r="O125" s="5786">
        <v>21450</v>
      </c>
      <c r="P125" s="5786">
        <v>0</v>
      </c>
      <c r="Q125" s="2476">
        <v>953218.20000000007</v>
      </c>
      <c r="R125" s="2477">
        <v>954568</v>
      </c>
      <c r="S125" s="2477" t="b">
        <v>0</v>
      </c>
      <c r="T125" s="5786">
        <v>159094.66666666666</v>
      </c>
      <c r="U125" s="5786">
        <v>-529295</v>
      </c>
      <c r="V125" s="863">
        <v>1999532</v>
      </c>
      <c r="W125" s="863">
        <v>2528827</v>
      </c>
      <c r="X125" s="863" t="b">
        <v>1</v>
      </c>
      <c r="Y125" s="863">
        <v>16637.019736842107</v>
      </c>
      <c r="AB125" s="863" t="s">
        <v>2129</v>
      </c>
      <c r="AC125" s="5805">
        <v>2200</v>
      </c>
      <c r="AD125" s="5805"/>
      <c r="AE125">
        <v>152</v>
      </c>
      <c r="AF125" s="3965">
        <v>152</v>
      </c>
      <c r="AG125" s="3965" t="b">
        <v>1</v>
      </c>
      <c r="AH125">
        <v>362</v>
      </c>
      <c r="AI125" t="s">
        <v>2129</v>
      </c>
      <c r="AJ125" t="s">
        <v>2129</v>
      </c>
      <c r="AK125" t="s">
        <v>2129</v>
      </c>
      <c r="AL125" t="s">
        <v>2129</v>
      </c>
      <c r="AM125" t="s">
        <v>2129</v>
      </c>
      <c r="AN125" t="s">
        <v>2129</v>
      </c>
      <c r="AQ125" t="s">
        <v>2129</v>
      </c>
      <c r="AV125" s="191" t="s">
        <v>2129</v>
      </c>
      <c r="AW125">
        <v>22</v>
      </c>
      <c r="AX125" t="s">
        <v>2129</v>
      </c>
      <c r="AY125" t="s">
        <v>2129</v>
      </c>
      <c r="AZ125" t="s">
        <v>2129</v>
      </c>
      <c r="BA125" t="s">
        <v>2129</v>
      </c>
      <c r="BB125" t="s">
        <v>2129</v>
      </c>
      <c r="BC125" t="s">
        <v>2129</v>
      </c>
      <c r="BD125" t="s">
        <v>2129</v>
      </c>
      <c r="BE125" t="s">
        <v>2129</v>
      </c>
      <c r="BF125" t="s">
        <v>2129</v>
      </c>
      <c r="BG125" t="s">
        <v>2129</v>
      </c>
      <c r="BH125" s="1958" t="s">
        <v>2129</v>
      </c>
      <c r="BI125" s="1958">
        <v>55634194</v>
      </c>
      <c r="BJ125" s="1958" t="s">
        <v>2129</v>
      </c>
      <c r="BK125" s="1958" t="s">
        <v>2129</v>
      </c>
      <c r="BL125" s="1958" t="s">
        <v>2129</v>
      </c>
      <c r="BM125" s="1958" t="s">
        <v>2129</v>
      </c>
      <c r="BN125" s="1958" t="s">
        <v>2129</v>
      </c>
      <c r="BO125" s="1958" t="s">
        <v>2129</v>
      </c>
      <c r="BP125" s="1958" t="s">
        <v>2129</v>
      </c>
      <c r="BQ125" s="863" t="s">
        <v>2129</v>
      </c>
      <c r="BR125" s="863" t="s">
        <v>2129</v>
      </c>
      <c r="BS125" s="1958" t="s">
        <v>2129</v>
      </c>
      <c r="BT125" s="1958" t="s">
        <v>2129</v>
      </c>
      <c r="BU125" s="1958" t="s">
        <v>2129</v>
      </c>
      <c r="BV125" s="1958" t="s">
        <v>2129</v>
      </c>
      <c r="BW125" s="1958" t="s">
        <v>2129</v>
      </c>
      <c r="BX125" s="1958" t="s">
        <v>2129</v>
      </c>
      <c r="BY125" s="1958">
        <v>21000496</v>
      </c>
      <c r="BZ125" s="1958" t="s">
        <v>2129</v>
      </c>
      <c r="CA125" s="1958" t="s">
        <v>2129</v>
      </c>
      <c r="CC125" s="1958" t="s">
        <v>2129</v>
      </c>
      <c r="CD125" s="1958" t="s">
        <v>2129</v>
      </c>
      <c r="CE125" s="1958" t="s">
        <v>2129</v>
      </c>
      <c r="CF125" s="1958" t="s">
        <v>2129</v>
      </c>
      <c r="CH125" s="5785"/>
    </row>
    <row r="126" spans="1:86" s="5782" customFormat="1" ht="13" hidden="1">
      <c r="A126" s="5782">
        <v>242</v>
      </c>
      <c r="B126" s="5783" t="s">
        <v>3349</v>
      </c>
      <c r="C126" s="5784" t="s">
        <v>2129</v>
      </c>
      <c r="D126" s="5784" t="s">
        <v>2129</v>
      </c>
      <c r="E126" s="5784" t="s">
        <v>2129</v>
      </c>
      <c r="F126" s="5784" t="s">
        <v>2129</v>
      </c>
      <c r="G126" s="5784" t="s">
        <v>2129</v>
      </c>
      <c r="H126" s="5784">
        <v>3</v>
      </c>
      <c r="I126" s="5784">
        <v>1</v>
      </c>
      <c r="J126" s="5785" t="b">
        <v>0</v>
      </c>
      <c r="K126" s="5785" t="s">
        <v>2129</v>
      </c>
      <c r="L126" s="5786">
        <v>58824</v>
      </c>
      <c r="M126" s="5786">
        <v>0</v>
      </c>
      <c r="N126" s="5786">
        <v>0</v>
      </c>
      <c r="O126" s="5786">
        <v>9750</v>
      </c>
      <c r="P126" s="5786">
        <v>0</v>
      </c>
      <c r="Q126" s="2476">
        <v>74456.400000000009</v>
      </c>
      <c r="R126" s="5787">
        <v>81056</v>
      </c>
      <c r="S126" s="2477" t="b">
        <v>0</v>
      </c>
      <c r="T126" s="5787">
        <v>81056</v>
      </c>
      <c r="U126" s="5787">
        <v>0</v>
      </c>
      <c r="V126" s="5788">
        <v>750627</v>
      </c>
      <c r="W126" s="5788">
        <v>750627</v>
      </c>
      <c r="X126" s="5788" t="b">
        <v>0</v>
      </c>
      <c r="Y126" s="5788">
        <v>18307.975609756097</v>
      </c>
      <c r="Z126" s="5788"/>
      <c r="AA126" s="5788"/>
      <c r="AB126" s="5788" t="s">
        <v>2129</v>
      </c>
      <c r="AC126" s="5788"/>
      <c r="AD126" s="5788"/>
      <c r="AE126" s="5782">
        <v>41</v>
      </c>
      <c r="AF126" s="5789">
        <v>41</v>
      </c>
      <c r="AG126" s="5789" t="b">
        <v>0</v>
      </c>
      <c r="AH126" s="5782">
        <v>76</v>
      </c>
      <c r="AI126" s="5782" t="s">
        <v>2129</v>
      </c>
      <c r="AJ126" s="5782" t="s">
        <v>2129</v>
      </c>
      <c r="AK126" s="5782" t="s">
        <v>2129</v>
      </c>
      <c r="AL126" s="5782" t="s">
        <v>2129</v>
      </c>
      <c r="AM126" s="5782" t="s">
        <v>2129</v>
      </c>
      <c r="AN126" s="5782" t="s">
        <v>2129</v>
      </c>
      <c r="AQ126" s="5782" t="s">
        <v>2129</v>
      </c>
      <c r="AV126" s="5782" t="s">
        <v>2129</v>
      </c>
      <c r="AW126" s="5782" t="s">
        <v>2129</v>
      </c>
      <c r="AX126" s="5782" t="s">
        <v>2129</v>
      </c>
      <c r="AY126" s="5782" t="s">
        <v>2129</v>
      </c>
      <c r="AZ126" s="5782" t="s">
        <v>2129</v>
      </c>
      <c r="BA126" s="5782" t="s">
        <v>2129</v>
      </c>
      <c r="BB126" s="5782" t="s">
        <v>2129</v>
      </c>
      <c r="BC126" s="5782" t="s">
        <v>2129</v>
      </c>
      <c r="BD126" s="5782" t="s">
        <v>2129</v>
      </c>
      <c r="BE126" s="5782" t="s">
        <v>2129</v>
      </c>
      <c r="BF126" s="5782" t="s">
        <v>2129</v>
      </c>
      <c r="BG126" s="5782" t="s">
        <v>2129</v>
      </c>
      <c r="BH126" s="5788" t="s">
        <v>2129</v>
      </c>
      <c r="BJ126" s="5788" t="s">
        <v>2129</v>
      </c>
      <c r="BK126" s="5788" t="s">
        <v>2129</v>
      </c>
      <c r="BL126" s="5788" t="s">
        <v>2129</v>
      </c>
      <c r="BM126" s="5788" t="s">
        <v>2129</v>
      </c>
      <c r="BN126" s="5788" t="s">
        <v>2129</v>
      </c>
      <c r="BO126" s="5788" t="s">
        <v>2129</v>
      </c>
      <c r="BP126" s="5788" t="s">
        <v>2129</v>
      </c>
      <c r="BQ126" s="5788" t="s">
        <v>2129</v>
      </c>
      <c r="BR126" s="5788" t="s">
        <v>2129</v>
      </c>
      <c r="BS126" s="5788" t="s">
        <v>2129</v>
      </c>
      <c r="BT126" s="5788" t="s">
        <v>2129</v>
      </c>
      <c r="BU126" s="5788" t="s">
        <v>2129</v>
      </c>
      <c r="BV126" s="5788" t="s">
        <v>2129</v>
      </c>
      <c r="BW126" s="5788" t="s">
        <v>2129</v>
      </c>
      <c r="BX126" s="5788" t="s">
        <v>2129</v>
      </c>
      <c r="BY126" s="5788" t="s">
        <v>2129</v>
      </c>
      <c r="BZ126" s="5788" t="s">
        <v>2129</v>
      </c>
      <c r="CA126" s="5788" t="s">
        <v>2129</v>
      </c>
      <c r="CB126" s="5788"/>
      <c r="CC126" s="5788" t="s">
        <v>2129</v>
      </c>
      <c r="CD126" s="5788" t="s">
        <v>2129</v>
      </c>
      <c r="CE126" s="5788" t="s">
        <v>2129</v>
      </c>
      <c r="CF126" s="5788" t="s">
        <v>2129</v>
      </c>
      <c r="CG126" s="5788"/>
      <c r="CH126" s="5784"/>
    </row>
    <row r="127" spans="1:86" s="5782" customFormat="1" ht="13" hidden="1">
      <c r="A127" s="5782">
        <v>243</v>
      </c>
      <c r="B127" s="5783" t="s">
        <v>3350</v>
      </c>
      <c r="C127" s="5784" t="s">
        <v>2129</v>
      </c>
      <c r="D127" s="5784" t="s">
        <v>2129</v>
      </c>
      <c r="E127" s="5784" t="s">
        <v>2129</v>
      </c>
      <c r="F127" s="5784" t="s">
        <v>2129</v>
      </c>
      <c r="G127" s="5784" t="s">
        <v>2129</v>
      </c>
      <c r="H127" s="5784">
        <v>9</v>
      </c>
      <c r="I127" s="5784">
        <v>5</v>
      </c>
      <c r="J127" s="5785" t="b">
        <v>0</v>
      </c>
      <c r="K127" s="5785" t="s">
        <v>2129</v>
      </c>
      <c r="L127" s="5786">
        <v>294120</v>
      </c>
      <c r="M127" s="5786">
        <v>0</v>
      </c>
      <c r="N127" s="5786">
        <v>0</v>
      </c>
      <c r="O127" s="5786">
        <v>11700</v>
      </c>
      <c r="P127" s="5786">
        <v>0</v>
      </c>
      <c r="Q127" s="2476">
        <v>335232</v>
      </c>
      <c r="R127" s="5787">
        <v>335232</v>
      </c>
      <c r="S127" s="2477" t="b">
        <v>0</v>
      </c>
      <c r="T127" s="5787">
        <v>67046.399999999994</v>
      </c>
      <c r="U127" s="5787">
        <v>0</v>
      </c>
      <c r="V127" s="863">
        <v>4155456</v>
      </c>
      <c r="W127" s="5788">
        <v>4155456</v>
      </c>
      <c r="X127" s="863" t="b">
        <v>1</v>
      </c>
      <c r="Y127" s="5788">
        <v>68122.229508196717</v>
      </c>
      <c r="Z127" s="5788"/>
      <c r="AA127" s="5788"/>
      <c r="AB127" s="5788" t="s">
        <v>2129</v>
      </c>
      <c r="AC127" s="863"/>
      <c r="AD127" s="863"/>
      <c r="AE127" s="5782">
        <v>61</v>
      </c>
      <c r="AF127" s="5789">
        <v>61</v>
      </c>
      <c r="AG127" s="3965" t="b">
        <v>1</v>
      </c>
      <c r="AH127" s="5782">
        <v>89</v>
      </c>
      <c r="AI127" s="5782" t="s">
        <v>2129</v>
      </c>
      <c r="AJ127" s="5782" t="s">
        <v>2129</v>
      </c>
      <c r="AK127" s="5782" t="s">
        <v>2129</v>
      </c>
      <c r="AL127" t="s">
        <v>2129</v>
      </c>
      <c r="AM127" t="s">
        <v>2129</v>
      </c>
      <c r="AN127" t="s">
        <v>2129</v>
      </c>
      <c r="AO127"/>
      <c r="AP127"/>
      <c r="AQ127" t="s">
        <v>2129</v>
      </c>
      <c r="AR127"/>
      <c r="AS127"/>
      <c r="AT127"/>
      <c r="AU127"/>
      <c r="AV127" s="5782" t="s">
        <v>2129</v>
      </c>
      <c r="AW127" t="s">
        <v>2129</v>
      </c>
      <c r="AX127" s="5782" t="s">
        <v>2129</v>
      </c>
      <c r="AY127" s="5782" t="s">
        <v>2129</v>
      </c>
      <c r="AZ127" s="5782" t="s">
        <v>2129</v>
      </c>
      <c r="BA127" s="5782" t="s">
        <v>2129</v>
      </c>
      <c r="BB127" s="5782" t="s">
        <v>2129</v>
      </c>
      <c r="BC127" t="s">
        <v>2129</v>
      </c>
      <c r="BD127" t="s">
        <v>2129</v>
      </c>
      <c r="BE127" t="s">
        <v>2129</v>
      </c>
      <c r="BF127" t="s">
        <v>2129</v>
      </c>
      <c r="BG127" t="s">
        <v>2129</v>
      </c>
      <c r="BH127" s="5788" t="s">
        <v>2129</v>
      </c>
      <c r="BI127"/>
      <c r="BJ127" s="5788" t="s">
        <v>2129</v>
      </c>
      <c r="BK127" s="5788" t="s">
        <v>2129</v>
      </c>
      <c r="BL127" s="5788" t="s">
        <v>2129</v>
      </c>
      <c r="BM127" s="5788" t="s">
        <v>2129</v>
      </c>
      <c r="BN127" s="5788" t="s">
        <v>2129</v>
      </c>
      <c r="BO127" s="5788" t="s">
        <v>2129</v>
      </c>
      <c r="BP127" s="863" t="s">
        <v>2129</v>
      </c>
      <c r="BQ127" s="863" t="s">
        <v>2129</v>
      </c>
      <c r="BR127" s="863" t="s">
        <v>2129</v>
      </c>
      <c r="BS127" s="863" t="s">
        <v>2129</v>
      </c>
      <c r="BT127" s="863" t="s">
        <v>2129</v>
      </c>
      <c r="BU127" s="863" t="s">
        <v>2129</v>
      </c>
      <c r="BV127" s="863" t="s">
        <v>2129</v>
      </c>
      <c r="BW127" s="863" t="s">
        <v>2129</v>
      </c>
      <c r="BX127" s="5788" t="s">
        <v>2129</v>
      </c>
      <c r="BY127" s="863" t="s">
        <v>2129</v>
      </c>
      <c r="BZ127" s="5788" t="s">
        <v>2129</v>
      </c>
      <c r="CA127" s="5788" t="s">
        <v>2129</v>
      </c>
      <c r="CB127" s="863"/>
      <c r="CC127" s="863" t="s">
        <v>2129</v>
      </c>
      <c r="CD127" s="863" t="s">
        <v>2129</v>
      </c>
      <c r="CE127" s="863" t="s">
        <v>2129</v>
      </c>
      <c r="CF127" s="863" t="s">
        <v>2129</v>
      </c>
      <c r="CG127" s="863"/>
      <c r="CH127" s="5784"/>
    </row>
    <row r="128" spans="1:86" ht="13">
      <c r="A128">
        <v>245</v>
      </c>
      <c r="B128" s="196" t="s">
        <v>2863</v>
      </c>
      <c r="C128" s="5790" t="s">
        <v>6598</v>
      </c>
      <c r="D128" s="5790" t="s">
        <v>6599</v>
      </c>
      <c r="E128" s="5790" t="s">
        <v>2129</v>
      </c>
      <c r="F128" s="5792" t="s">
        <v>5205</v>
      </c>
      <c r="G128" s="5792" t="s">
        <v>2129</v>
      </c>
      <c r="H128" s="5785">
        <v>0</v>
      </c>
      <c r="I128" s="2694">
        <v>0</v>
      </c>
      <c r="J128" s="2694" t="b">
        <v>1</v>
      </c>
      <c r="K128" s="2694">
        <v>0</v>
      </c>
      <c r="L128" s="5786">
        <v>0</v>
      </c>
      <c r="M128" s="5786">
        <v>0</v>
      </c>
      <c r="N128" s="5786">
        <v>0</v>
      </c>
      <c r="O128" s="5786">
        <v>0</v>
      </c>
      <c r="P128" s="5786">
        <v>0</v>
      </c>
      <c r="Q128" s="2476">
        <v>0</v>
      </c>
      <c r="R128" s="2477">
        <v>0</v>
      </c>
      <c r="S128" s="2477" t="b">
        <v>1</v>
      </c>
      <c r="T128" s="5786" t="s">
        <v>2129</v>
      </c>
      <c r="U128" s="5786">
        <v>0</v>
      </c>
      <c r="V128" s="863">
        <v>7337668</v>
      </c>
      <c r="W128" s="863">
        <v>7337668</v>
      </c>
      <c r="X128" s="863" t="b">
        <v>1</v>
      </c>
      <c r="Y128" s="863">
        <v>73376.679999999993</v>
      </c>
      <c r="Z128" s="863">
        <v>64706</v>
      </c>
      <c r="AA128" s="863">
        <v>76471</v>
      </c>
      <c r="AB128" s="863">
        <v>34120.753313182984</v>
      </c>
      <c r="AC128" s="863">
        <v>1900</v>
      </c>
      <c r="AE128">
        <v>100</v>
      </c>
      <c r="AF128" s="3965">
        <v>100</v>
      </c>
      <c r="AG128" s="3965" t="b">
        <v>1</v>
      </c>
      <c r="AH128" s="2814">
        <v>200</v>
      </c>
      <c r="AI128">
        <v>187</v>
      </c>
      <c r="AJ128" t="s">
        <v>2129</v>
      </c>
      <c r="AK128" t="s">
        <v>2129</v>
      </c>
      <c r="AL128">
        <v>100</v>
      </c>
      <c r="AM128" t="s">
        <v>2129</v>
      </c>
      <c r="AN128">
        <v>87</v>
      </c>
      <c r="AQ128">
        <v>0</v>
      </c>
      <c r="AV128">
        <v>14</v>
      </c>
      <c r="AW128">
        <v>18</v>
      </c>
      <c r="AX128" t="s">
        <v>2129</v>
      </c>
      <c r="AY128" t="s">
        <v>2129</v>
      </c>
      <c r="AZ128" t="s">
        <v>2129</v>
      </c>
      <c r="BA128" t="s">
        <v>2129</v>
      </c>
      <c r="BB128" t="s">
        <v>2129</v>
      </c>
      <c r="BC128">
        <v>18</v>
      </c>
      <c r="BD128" t="s">
        <v>2129</v>
      </c>
      <c r="BE128" t="s">
        <v>2129</v>
      </c>
      <c r="BF128" t="s">
        <v>2129</v>
      </c>
      <c r="BG128" t="s">
        <v>2129</v>
      </c>
      <c r="BH128" s="1958">
        <v>102727352</v>
      </c>
      <c r="BI128" s="1958">
        <v>132078024</v>
      </c>
      <c r="BJ128" s="1958" t="s">
        <v>2129</v>
      </c>
      <c r="BK128" s="1958" t="s">
        <v>2129</v>
      </c>
      <c r="BL128" s="1958" t="s">
        <v>2129</v>
      </c>
      <c r="BM128" s="1958" t="s">
        <v>2129</v>
      </c>
      <c r="BN128" s="1958" t="s">
        <v>2129</v>
      </c>
      <c r="BO128" s="1958" t="s">
        <v>2129</v>
      </c>
      <c r="BP128" s="1958">
        <v>132078023.99999999</v>
      </c>
      <c r="BQ128" s="863">
        <v>132078023.99999999</v>
      </c>
      <c r="BR128" s="863" t="s">
        <v>2129</v>
      </c>
      <c r="BS128" s="1958" t="s">
        <v>2129</v>
      </c>
      <c r="BT128" s="1958" t="s">
        <v>2129</v>
      </c>
      <c r="BU128" s="1958" t="s">
        <v>2129</v>
      </c>
      <c r="BV128" s="1958" t="s">
        <v>2129</v>
      </c>
      <c r="BW128" s="1958" t="s">
        <v>2129</v>
      </c>
      <c r="BX128" s="1958" t="s">
        <v>2129</v>
      </c>
      <c r="BY128" s="1958" t="s">
        <v>2129</v>
      </c>
      <c r="BZ128" s="1958" t="s">
        <v>2129</v>
      </c>
      <c r="CA128" s="1958" t="s">
        <v>2129</v>
      </c>
      <c r="CC128" s="1958" t="s">
        <v>2129</v>
      </c>
      <c r="CD128" s="1958" t="s">
        <v>2129</v>
      </c>
      <c r="CE128" s="1958" t="s">
        <v>2129</v>
      </c>
      <c r="CF128" s="1958" t="s">
        <v>2129</v>
      </c>
      <c r="CH128" s="5785"/>
    </row>
    <row r="129" spans="1:86" s="5782" customFormat="1" ht="13" hidden="1">
      <c r="A129">
        <v>247</v>
      </c>
      <c r="B129" s="5795" t="s">
        <v>3351</v>
      </c>
      <c r="C129" s="2694" t="s">
        <v>2129</v>
      </c>
      <c r="D129" s="2694" t="s">
        <v>3791</v>
      </c>
      <c r="E129" s="2694" t="s">
        <v>2129</v>
      </c>
      <c r="F129" s="2694" t="s">
        <v>2129</v>
      </c>
      <c r="G129" s="2694" t="s">
        <v>2129</v>
      </c>
      <c r="H129" s="5785">
        <v>14</v>
      </c>
      <c r="I129" s="5785">
        <v>5</v>
      </c>
      <c r="J129" s="5785" t="b">
        <v>1</v>
      </c>
      <c r="K129" s="5785" t="s">
        <v>2129</v>
      </c>
      <c r="L129" s="5786">
        <v>294120</v>
      </c>
      <c r="M129" s="5786">
        <v>0</v>
      </c>
      <c r="N129" s="5786">
        <v>0</v>
      </c>
      <c r="O129" s="5786">
        <v>9750</v>
      </c>
      <c r="P129" s="5786">
        <v>0</v>
      </c>
      <c r="Q129" s="2476">
        <v>333282</v>
      </c>
      <c r="R129" s="2477">
        <v>333282</v>
      </c>
      <c r="S129" s="2477" t="b">
        <v>1</v>
      </c>
      <c r="T129" s="5786">
        <v>66656.399999999994</v>
      </c>
      <c r="U129" s="5786">
        <v>0</v>
      </c>
      <c r="V129" s="5788">
        <v>1107791</v>
      </c>
      <c r="W129" s="5788">
        <v>1107791</v>
      </c>
      <c r="X129" s="5788" t="b">
        <v>1</v>
      </c>
      <c r="Y129" s="5788">
        <v>22155.82</v>
      </c>
      <c r="Z129" s="5788"/>
      <c r="AA129" s="5788"/>
      <c r="AB129" s="5788" t="s">
        <v>2129</v>
      </c>
      <c r="AC129" s="5788"/>
      <c r="AD129" s="5788"/>
      <c r="AE129" s="5782">
        <v>50</v>
      </c>
      <c r="AF129" s="5789">
        <v>50</v>
      </c>
      <c r="AG129" s="5789" t="b">
        <v>1</v>
      </c>
      <c r="AH129" s="5782">
        <v>81</v>
      </c>
      <c r="AI129" s="5782" t="s">
        <v>2129</v>
      </c>
      <c r="AJ129" s="5782">
        <v>39</v>
      </c>
      <c r="AK129" s="5782" t="s">
        <v>2129</v>
      </c>
      <c r="AL129" s="5782" t="s">
        <v>2129</v>
      </c>
      <c r="AM129" s="5782" t="s">
        <v>2129</v>
      </c>
      <c r="AN129" s="5782" t="s">
        <v>2129</v>
      </c>
      <c r="AQ129" s="5782" t="s">
        <v>2129</v>
      </c>
      <c r="AV129" s="5782" t="s">
        <v>2129</v>
      </c>
      <c r="AW129" s="5782" t="s">
        <v>2129</v>
      </c>
      <c r="AX129" s="5782" t="s">
        <v>2129</v>
      </c>
      <c r="AY129" s="5782" t="s">
        <v>2129</v>
      </c>
      <c r="AZ129" s="5782" t="s">
        <v>2129</v>
      </c>
      <c r="BA129" s="5782">
        <v>11</v>
      </c>
      <c r="BB129" s="5782" t="s">
        <v>2129</v>
      </c>
      <c r="BC129" s="5782" t="s">
        <v>2129</v>
      </c>
      <c r="BD129" s="5782" t="s">
        <v>2129</v>
      </c>
      <c r="BE129" s="5782" t="s">
        <v>2129</v>
      </c>
      <c r="BF129" s="5782" t="s">
        <v>2129</v>
      </c>
      <c r="BG129" s="5782" t="s">
        <v>2129</v>
      </c>
      <c r="BH129" s="5788" t="s">
        <v>2129</v>
      </c>
      <c r="BJ129" s="5788" t="s">
        <v>2129</v>
      </c>
      <c r="BK129" s="5788" t="s">
        <v>2129</v>
      </c>
      <c r="BL129" s="5788" t="s">
        <v>2129</v>
      </c>
      <c r="BM129" s="5788" t="s">
        <v>2129</v>
      </c>
      <c r="BN129" s="5788">
        <v>9504846.7799999993</v>
      </c>
      <c r="BO129" s="5788" t="s">
        <v>2129</v>
      </c>
      <c r="BP129" s="5788" t="s">
        <v>2129</v>
      </c>
      <c r="BQ129" s="5788" t="s">
        <v>2129</v>
      </c>
      <c r="BR129" s="5788" t="s">
        <v>2129</v>
      </c>
      <c r="BS129" s="5788" t="s">
        <v>2129</v>
      </c>
      <c r="BT129" s="5788" t="s">
        <v>2129</v>
      </c>
      <c r="BU129" s="5788" t="s">
        <v>2129</v>
      </c>
      <c r="BV129" s="5788" t="s">
        <v>2129</v>
      </c>
      <c r="BW129" s="5788" t="s">
        <v>2129</v>
      </c>
      <c r="BX129" s="5788" t="s">
        <v>2129</v>
      </c>
      <c r="BY129" s="5788" t="s">
        <v>2129</v>
      </c>
      <c r="BZ129" s="5788" t="s">
        <v>2129</v>
      </c>
      <c r="CA129" s="5788" t="s">
        <v>2129</v>
      </c>
      <c r="CB129" s="5788"/>
      <c r="CC129" s="5788" t="s">
        <v>2129</v>
      </c>
      <c r="CD129" s="5788" t="s">
        <v>2129</v>
      </c>
      <c r="CE129" s="5788" t="s">
        <v>2129</v>
      </c>
      <c r="CF129" s="5788" t="s">
        <v>2129</v>
      </c>
      <c r="CG129" s="5788"/>
      <c r="CH129" s="5784"/>
    </row>
    <row r="130" spans="1:86" ht="13" hidden="1">
      <c r="A130">
        <v>249</v>
      </c>
      <c r="B130" s="196" t="s">
        <v>2867</v>
      </c>
      <c r="C130" s="5790" t="s">
        <v>2129</v>
      </c>
      <c r="D130" s="5790" t="s">
        <v>6599</v>
      </c>
      <c r="E130" s="5790" t="s">
        <v>2129</v>
      </c>
      <c r="F130" s="5785" t="s">
        <v>2129</v>
      </c>
      <c r="G130" s="5785" t="s">
        <v>2129</v>
      </c>
      <c r="H130" s="5785">
        <v>20</v>
      </c>
      <c r="I130" s="5785">
        <v>5</v>
      </c>
      <c r="J130" s="5785" t="b">
        <v>1</v>
      </c>
      <c r="K130" s="5785" t="s">
        <v>2129</v>
      </c>
      <c r="L130" s="5786">
        <v>1035445</v>
      </c>
      <c r="M130" s="5786">
        <v>0</v>
      </c>
      <c r="N130" s="5786">
        <v>0</v>
      </c>
      <c r="O130" s="5786">
        <v>13500</v>
      </c>
      <c r="P130" s="5786">
        <v>0</v>
      </c>
      <c r="Q130" s="2476">
        <v>1152489.5</v>
      </c>
      <c r="R130" s="2477">
        <v>634679</v>
      </c>
      <c r="S130" s="2477" t="b">
        <v>1</v>
      </c>
      <c r="T130" s="5786">
        <v>126935.8</v>
      </c>
      <c r="U130" s="5786">
        <v>0</v>
      </c>
      <c r="V130" s="863">
        <v>1298047</v>
      </c>
      <c r="W130" s="863">
        <v>1298047</v>
      </c>
      <c r="X130" s="863" t="b">
        <v>1</v>
      </c>
      <c r="Y130" s="863">
        <v>15829.841463414634</v>
      </c>
      <c r="AB130" s="863" t="s">
        <v>2129</v>
      </c>
      <c r="AC130" s="5805">
        <v>2200</v>
      </c>
      <c r="AD130" s="5805"/>
      <c r="AE130">
        <v>101</v>
      </c>
      <c r="AF130" s="3965">
        <v>82</v>
      </c>
      <c r="AG130" s="3965" t="b">
        <v>1</v>
      </c>
      <c r="AH130" s="2814">
        <v>136</v>
      </c>
      <c r="AI130" t="s">
        <v>2129</v>
      </c>
      <c r="AJ130" t="s">
        <v>2129</v>
      </c>
      <c r="AK130" t="s">
        <v>2129</v>
      </c>
      <c r="AL130" t="s">
        <v>2129</v>
      </c>
      <c r="AM130" t="s">
        <v>2129</v>
      </c>
      <c r="AN130" t="s">
        <v>2129</v>
      </c>
      <c r="AQ130" t="s">
        <v>2129</v>
      </c>
      <c r="AV130" t="s">
        <v>2129</v>
      </c>
      <c r="AW130">
        <v>18</v>
      </c>
      <c r="AX130" t="s">
        <v>2129</v>
      </c>
      <c r="AY130" t="s">
        <v>2129</v>
      </c>
      <c r="AZ130" t="s">
        <v>2129</v>
      </c>
      <c r="BA130" t="s">
        <v>2129</v>
      </c>
      <c r="BB130" t="s">
        <v>2129</v>
      </c>
      <c r="BC130" t="s">
        <v>2129</v>
      </c>
      <c r="BD130" t="s">
        <v>2129</v>
      </c>
      <c r="BE130" t="s">
        <v>2129</v>
      </c>
      <c r="BF130" t="s">
        <v>2129</v>
      </c>
      <c r="BG130" t="s">
        <v>2129</v>
      </c>
      <c r="BH130" s="1958" t="s">
        <v>2129</v>
      </c>
      <c r="BI130" s="1958">
        <v>23364846</v>
      </c>
      <c r="BJ130" s="1958" t="s">
        <v>2129</v>
      </c>
      <c r="BK130" s="1958" t="s">
        <v>2129</v>
      </c>
      <c r="BL130" s="1958" t="s">
        <v>2129</v>
      </c>
      <c r="BM130" s="1958" t="s">
        <v>2129</v>
      </c>
      <c r="BN130" s="1958" t="s">
        <v>2129</v>
      </c>
      <c r="BO130" s="1958" t="s">
        <v>2129</v>
      </c>
      <c r="BP130" s="1958" t="s">
        <v>2129</v>
      </c>
      <c r="BQ130" s="863" t="s">
        <v>2129</v>
      </c>
      <c r="BR130" s="863" t="s">
        <v>2129</v>
      </c>
      <c r="BS130" s="1958" t="s">
        <v>2129</v>
      </c>
      <c r="BT130" s="1958" t="s">
        <v>2129</v>
      </c>
      <c r="BU130" s="1958" t="s">
        <v>2129</v>
      </c>
      <c r="BV130" s="1958" t="s">
        <v>2129</v>
      </c>
      <c r="BW130" s="1958" t="s">
        <v>2129</v>
      </c>
      <c r="BX130" s="1958" t="s">
        <v>2129</v>
      </c>
      <c r="BY130" s="1958">
        <v>11424222</v>
      </c>
      <c r="BZ130" s="1958" t="s">
        <v>2129</v>
      </c>
      <c r="CA130" s="1958" t="s">
        <v>2129</v>
      </c>
      <c r="CC130" s="1958" t="s">
        <v>2129</v>
      </c>
      <c r="CD130" s="1958" t="s">
        <v>2129</v>
      </c>
      <c r="CE130" s="1958" t="s">
        <v>2129</v>
      </c>
      <c r="CF130" s="1958" t="s">
        <v>2129</v>
      </c>
      <c r="CH130" s="5785"/>
    </row>
    <row r="131" spans="1:86" ht="13" hidden="1">
      <c r="A131">
        <v>250</v>
      </c>
      <c r="B131" s="5791" t="s">
        <v>3352</v>
      </c>
      <c r="C131" s="5790" t="s">
        <v>2129</v>
      </c>
      <c r="D131" s="5790" t="s">
        <v>6599</v>
      </c>
      <c r="E131" s="5790" t="s">
        <v>2129</v>
      </c>
      <c r="F131" s="5785" t="s">
        <v>2129</v>
      </c>
      <c r="G131" s="5785" t="s">
        <v>2129</v>
      </c>
      <c r="H131" s="5785">
        <v>16</v>
      </c>
      <c r="I131" s="5785">
        <v>7</v>
      </c>
      <c r="J131" s="5785" t="b">
        <v>0</v>
      </c>
      <c r="K131" s="5785" t="s">
        <v>2129</v>
      </c>
      <c r="L131" s="5786">
        <v>2329416</v>
      </c>
      <c r="M131" s="5786">
        <v>0</v>
      </c>
      <c r="N131" s="5786">
        <v>0</v>
      </c>
      <c r="O131" s="5786">
        <v>9450</v>
      </c>
      <c r="P131" s="5786">
        <v>0</v>
      </c>
      <c r="Q131" s="2476">
        <v>2571807.6</v>
      </c>
      <c r="R131" s="2477">
        <v>2571807</v>
      </c>
      <c r="S131" s="2477" t="b">
        <v>0</v>
      </c>
      <c r="T131" s="5786">
        <v>367401</v>
      </c>
      <c r="U131" s="5786">
        <v>0</v>
      </c>
      <c r="V131" s="863">
        <v>2704706</v>
      </c>
      <c r="W131" s="863">
        <v>2704706</v>
      </c>
      <c r="X131" s="863" t="b">
        <v>1</v>
      </c>
      <c r="Y131" s="863">
        <v>47450.982456140351</v>
      </c>
      <c r="AB131" s="863" t="s">
        <v>2129</v>
      </c>
      <c r="AC131" s="5805">
        <v>2200</v>
      </c>
      <c r="AD131" s="5805"/>
      <c r="AE131">
        <v>103</v>
      </c>
      <c r="AF131" s="3965">
        <v>57</v>
      </c>
      <c r="AG131" s="3965" t="b">
        <v>1</v>
      </c>
      <c r="AH131">
        <v>137</v>
      </c>
      <c r="AI131" t="s">
        <v>2129</v>
      </c>
      <c r="AJ131" t="s">
        <v>2129</v>
      </c>
      <c r="AK131" t="s">
        <v>2129</v>
      </c>
      <c r="AL131" t="s">
        <v>2129</v>
      </c>
      <c r="AM131" t="s">
        <v>2129</v>
      </c>
      <c r="AN131" t="s">
        <v>2129</v>
      </c>
      <c r="AQ131" t="s">
        <v>2129</v>
      </c>
      <c r="AV131" s="191" t="s">
        <v>2129</v>
      </c>
      <c r="AW131">
        <v>18</v>
      </c>
      <c r="AX131" t="s">
        <v>2129</v>
      </c>
      <c r="AY131" t="s">
        <v>2129</v>
      </c>
      <c r="AZ131" t="s">
        <v>2129</v>
      </c>
      <c r="BA131" t="s">
        <v>2129</v>
      </c>
      <c r="BB131" t="s">
        <v>2129</v>
      </c>
      <c r="BC131" t="s">
        <v>2129</v>
      </c>
      <c r="BD131" t="s">
        <v>2129</v>
      </c>
      <c r="BE131" t="s">
        <v>2129</v>
      </c>
      <c r="BF131" t="s">
        <v>2129</v>
      </c>
      <c r="BG131" t="s">
        <v>2129</v>
      </c>
      <c r="BH131" s="1958" t="s">
        <v>2129</v>
      </c>
      <c r="BI131" s="1958">
        <v>48684708</v>
      </c>
      <c r="BJ131" s="1958" t="s">
        <v>2129</v>
      </c>
      <c r="BK131" s="1958" t="s">
        <v>2129</v>
      </c>
      <c r="BL131" s="1958" t="s">
        <v>2129</v>
      </c>
      <c r="BM131" s="1958" t="s">
        <v>2129</v>
      </c>
      <c r="BN131" s="1958" t="s">
        <v>2129</v>
      </c>
      <c r="BO131" s="1958" t="s">
        <v>2129</v>
      </c>
      <c r="BP131" s="1958" t="s">
        <v>2129</v>
      </c>
      <c r="BQ131" s="863" t="s">
        <v>2129</v>
      </c>
      <c r="BR131" s="863" t="s">
        <v>2129</v>
      </c>
      <c r="BS131" s="1958" t="s">
        <v>2129</v>
      </c>
      <c r="BT131" s="1958" t="s">
        <v>2129</v>
      </c>
      <c r="BU131" s="1958" t="s">
        <v>2129</v>
      </c>
      <c r="BV131" s="1958" t="s">
        <v>2129</v>
      </c>
      <c r="BW131" s="1958" t="s">
        <v>2129</v>
      </c>
      <c r="BX131" s="1958" t="s">
        <v>2129</v>
      </c>
      <c r="BY131" s="1958">
        <v>46292526</v>
      </c>
      <c r="BZ131" s="1958" t="s">
        <v>2129</v>
      </c>
      <c r="CA131" s="1958" t="s">
        <v>2129</v>
      </c>
      <c r="CC131" s="1958" t="s">
        <v>2129</v>
      </c>
      <c r="CD131" s="1958" t="s">
        <v>2129</v>
      </c>
      <c r="CE131" s="1958" t="s">
        <v>2129</v>
      </c>
      <c r="CF131" s="1958" t="s">
        <v>2129</v>
      </c>
      <c r="CH131" s="5785"/>
    </row>
    <row r="132" spans="1:86" s="5782" customFormat="1" ht="13" hidden="1">
      <c r="A132" s="5782">
        <v>251</v>
      </c>
      <c r="B132" s="5783" t="s">
        <v>3353</v>
      </c>
      <c r="C132" s="5784" t="s">
        <v>2129</v>
      </c>
      <c r="D132" s="5784" t="s">
        <v>2129</v>
      </c>
      <c r="E132" s="5784" t="s">
        <v>2129</v>
      </c>
      <c r="F132" s="5784" t="s">
        <v>2129</v>
      </c>
      <c r="G132" s="5784" t="s">
        <v>2129</v>
      </c>
      <c r="H132" s="5784">
        <v>13</v>
      </c>
      <c r="I132" s="5784">
        <v>6</v>
      </c>
      <c r="J132" s="5785" t="b">
        <v>0</v>
      </c>
      <c r="K132" s="5785" t="s">
        <v>2129</v>
      </c>
      <c r="L132" s="5786">
        <v>1941180</v>
      </c>
      <c r="M132" s="5786">
        <v>0</v>
      </c>
      <c r="N132" s="5786">
        <v>0</v>
      </c>
      <c r="O132" s="5786">
        <v>12150</v>
      </c>
      <c r="P132" s="5786">
        <v>0</v>
      </c>
      <c r="Q132" s="2476">
        <v>2147448</v>
      </c>
      <c r="R132" s="5787">
        <v>2147448</v>
      </c>
      <c r="S132" s="2477" t="b">
        <v>0</v>
      </c>
      <c r="T132" s="5787">
        <v>357908</v>
      </c>
      <c r="U132" s="5787">
        <v>0</v>
      </c>
      <c r="V132" s="863">
        <v>3015294</v>
      </c>
      <c r="W132" s="5788">
        <v>3015294</v>
      </c>
      <c r="X132" s="863" t="b">
        <v>1</v>
      </c>
      <c r="Y132" s="5788">
        <v>48633.774193548386</v>
      </c>
      <c r="Z132" s="5788"/>
      <c r="AA132" s="5788"/>
      <c r="AB132" s="5788" t="s">
        <v>2129</v>
      </c>
      <c r="AC132" s="863">
        <v>1100</v>
      </c>
      <c r="AD132" s="863"/>
      <c r="AE132" s="5782">
        <v>62</v>
      </c>
      <c r="AF132" s="5789">
        <v>62</v>
      </c>
      <c r="AG132" s="3965" t="b">
        <v>1</v>
      </c>
      <c r="AH132" s="5782">
        <v>92</v>
      </c>
      <c r="AI132" s="5782" t="s">
        <v>2129</v>
      </c>
      <c r="AJ132" s="5782" t="s">
        <v>2129</v>
      </c>
      <c r="AK132" s="5782" t="s">
        <v>2129</v>
      </c>
      <c r="AL132" t="s">
        <v>2129</v>
      </c>
      <c r="AM132" t="s">
        <v>2129</v>
      </c>
      <c r="AN132" t="s">
        <v>2129</v>
      </c>
      <c r="AO132"/>
      <c r="AP132"/>
      <c r="AQ132" t="s">
        <v>2129</v>
      </c>
      <c r="AR132"/>
      <c r="AS132"/>
      <c r="AT132"/>
      <c r="AU132"/>
      <c r="AV132" s="5782" t="s">
        <v>2129</v>
      </c>
      <c r="AW132" t="s">
        <v>2129</v>
      </c>
      <c r="AX132" s="5782" t="s">
        <v>2129</v>
      </c>
      <c r="AY132" s="5782" t="s">
        <v>2129</v>
      </c>
      <c r="AZ132" s="5782" t="s">
        <v>2129</v>
      </c>
      <c r="BA132" s="5782" t="s">
        <v>2129</v>
      </c>
      <c r="BB132" s="5782" t="s">
        <v>2129</v>
      </c>
      <c r="BC132" t="s">
        <v>2129</v>
      </c>
      <c r="BD132" t="s">
        <v>2129</v>
      </c>
      <c r="BE132" t="s">
        <v>2129</v>
      </c>
      <c r="BF132" t="s">
        <v>2129</v>
      </c>
      <c r="BG132" t="s">
        <v>2129</v>
      </c>
      <c r="BH132" s="5788" t="s">
        <v>2129</v>
      </c>
      <c r="BI132" s="1958" t="s">
        <v>2129</v>
      </c>
      <c r="BJ132" s="5788" t="s">
        <v>2129</v>
      </c>
      <c r="BK132" s="5788" t="s">
        <v>2129</v>
      </c>
      <c r="BL132" s="5788" t="s">
        <v>2129</v>
      </c>
      <c r="BM132" s="5788" t="s">
        <v>2129</v>
      </c>
      <c r="BN132" s="5788" t="s">
        <v>2129</v>
      </c>
      <c r="BO132" s="5788" t="s">
        <v>2129</v>
      </c>
      <c r="BP132" s="1958" t="s">
        <v>2129</v>
      </c>
      <c r="BQ132" s="863" t="s">
        <v>2129</v>
      </c>
      <c r="BR132" s="863" t="s">
        <v>2129</v>
      </c>
      <c r="BS132" s="1958" t="s">
        <v>2129</v>
      </c>
      <c r="BT132" s="1958" t="s">
        <v>2129</v>
      </c>
      <c r="BU132" s="1958" t="s">
        <v>2129</v>
      </c>
      <c r="BV132" s="1958" t="s">
        <v>2129</v>
      </c>
      <c r="BW132" s="1958" t="s">
        <v>2129</v>
      </c>
      <c r="BX132" s="5788" t="s">
        <v>2129</v>
      </c>
      <c r="BY132" s="1958" t="s">
        <v>2129</v>
      </c>
      <c r="BZ132" s="5788" t="s">
        <v>2129</v>
      </c>
      <c r="CA132" s="5788" t="s">
        <v>2129</v>
      </c>
      <c r="CB132" s="1958"/>
      <c r="CC132" s="1958" t="s">
        <v>2129</v>
      </c>
      <c r="CD132" s="1958" t="s">
        <v>2129</v>
      </c>
      <c r="CE132" s="1958" t="s">
        <v>2129</v>
      </c>
      <c r="CF132" s="1958" t="s">
        <v>2129</v>
      </c>
      <c r="CG132" s="1958"/>
      <c r="CH132" s="5784"/>
    </row>
    <row r="133" spans="1:86" ht="13">
      <c r="A133">
        <v>252</v>
      </c>
      <c r="B133" s="196" t="s">
        <v>2862</v>
      </c>
      <c r="C133" s="5790" t="s">
        <v>6598</v>
      </c>
      <c r="D133" s="5790" t="s">
        <v>6599</v>
      </c>
      <c r="E133" s="5790" t="s">
        <v>2129</v>
      </c>
      <c r="F133" s="5785" t="s">
        <v>2129</v>
      </c>
      <c r="G133" s="5785" t="s">
        <v>2129</v>
      </c>
      <c r="H133" s="5785">
        <v>14</v>
      </c>
      <c r="I133" s="2694">
        <v>9</v>
      </c>
      <c r="J133" s="2694" t="b">
        <v>1</v>
      </c>
      <c r="K133" s="5785" t="s">
        <v>2129</v>
      </c>
      <c r="L133" s="5786">
        <v>3494124</v>
      </c>
      <c r="M133" s="5786">
        <v>0</v>
      </c>
      <c r="N133" s="5786">
        <v>0</v>
      </c>
      <c r="O133" s="5786">
        <v>11850</v>
      </c>
      <c r="P133" s="5786">
        <v>0</v>
      </c>
      <c r="Q133" s="2476">
        <v>3855386.4000000004</v>
      </c>
      <c r="R133" s="2477">
        <v>3855386</v>
      </c>
      <c r="S133" s="2477" t="b">
        <v>1</v>
      </c>
      <c r="T133" s="5786">
        <v>428376.22222222225</v>
      </c>
      <c r="U133" s="5786">
        <v>0</v>
      </c>
      <c r="V133" s="863">
        <v>1836118</v>
      </c>
      <c r="W133" s="863">
        <v>1836118</v>
      </c>
      <c r="X133" s="863" t="b">
        <v>1</v>
      </c>
      <c r="Y133" s="863">
        <v>30100.295081967211</v>
      </c>
      <c r="Z133" s="863">
        <v>14118</v>
      </c>
      <c r="AA133" s="863">
        <v>41412</v>
      </c>
      <c r="AB133" s="863">
        <v>8492.6827012025915</v>
      </c>
      <c r="AC133" s="863">
        <v>1100</v>
      </c>
      <c r="AE133">
        <v>70</v>
      </c>
      <c r="AF133" s="3965">
        <v>61</v>
      </c>
      <c r="AG133" s="3965" t="b">
        <v>1</v>
      </c>
      <c r="AH133" s="2814">
        <v>103</v>
      </c>
      <c r="AI133">
        <v>188</v>
      </c>
      <c r="AJ133" t="s">
        <v>2129</v>
      </c>
      <c r="AK133" t="s">
        <v>2129</v>
      </c>
      <c r="AL133" t="s">
        <v>2129</v>
      </c>
      <c r="AM133" t="s">
        <v>2129</v>
      </c>
      <c r="AN133">
        <v>127</v>
      </c>
      <c r="AQ133" t="s">
        <v>2129</v>
      </c>
      <c r="AV133">
        <v>19</v>
      </c>
      <c r="AW133">
        <v>18</v>
      </c>
      <c r="AX133" t="s">
        <v>2129</v>
      </c>
      <c r="AY133" t="s">
        <v>2129</v>
      </c>
      <c r="AZ133" t="s">
        <v>2129</v>
      </c>
      <c r="BA133" t="s">
        <v>2129</v>
      </c>
      <c r="BB133" t="s">
        <v>2129</v>
      </c>
      <c r="BC133" t="s">
        <v>2129</v>
      </c>
      <c r="BD133" t="s">
        <v>2129</v>
      </c>
      <c r="BE133" t="s">
        <v>2129</v>
      </c>
      <c r="BF133" t="s">
        <v>2129</v>
      </c>
      <c r="BG133" t="s">
        <v>2129</v>
      </c>
      <c r="BH133" s="1958">
        <v>34886242</v>
      </c>
      <c r="BI133" s="1958">
        <v>33050124</v>
      </c>
      <c r="BJ133" s="1958" t="s">
        <v>2129</v>
      </c>
      <c r="BK133" s="1958" t="s">
        <v>2129</v>
      </c>
      <c r="BL133" s="1958" t="s">
        <v>2129</v>
      </c>
      <c r="BM133" s="1958" t="s">
        <v>2129</v>
      </c>
      <c r="BN133" s="1958" t="s">
        <v>2129</v>
      </c>
      <c r="BO133" s="1958" t="s">
        <v>2129</v>
      </c>
      <c r="BP133" s="1958" t="s">
        <v>2129</v>
      </c>
      <c r="BQ133" s="863" t="s">
        <v>2129</v>
      </c>
      <c r="BR133" s="863" t="s">
        <v>2129</v>
      </c>
      <c r="BS133" s="1958" t="s">
        <v>2129</v>
      </c>
      <c r="BT133" s="1958" t="s">
        <v>2129</v>
      </c>
      <c r="BU133" s="1958" t="s">
        <v>2129</v>
      </c>
      <c r="BV133" s="1958" t="s">
        <v>2129</v>
      </c>
      <c r="BW133" s="1958" t="s">
        <v>2129</v>
      </c>
      <c r="BX133" s="1958">
        <v>73252334</v>
      </c>
      <c r="BY133" s="1958">
        <v>69396948</v>
      </c>
      <c r="BZ133" s="1958" t="s">
        <v>2129</v>
      </c>
      <c r="CA133" s="1958" t="s">
        <v>2129</v>
      </c>
      <c r="CC133" s="1958" t="s">
        <v>2129</v>
      </c>
      <c r="CD133" s="1958" t="s">
        <v>2129</v>
      </c>
      <c r="CE133" s="1958" t="s">
        <v>2129</v>
      </c>
      <c r="CF133" s="1958" t="s">
        <v>2129</v>
      </c>
      <c r="CH133" s="5785"/>
    </row>
    <row r="134" spans="1:86" ht="13" hidden="1">
      <c r="A134">
        <v>253</v>
      </c>
      <c r="B134" s="196" t="s">
        <v>3354</v>
      </c>
      <c r="C134" s="5785" t="s">
        <v>2129</v>
      </c>
      <c r="D134" s="2694" t="s">
        <v>3791</v>
      </c>
      <c r="E134" s="2694" t="s">
        <v>2129</v>
      </c>
      <c r="F134" s="5792" t="s">
        <v>5205</v>
      </c>
      <c r="G134" s="5792" t="s">
        <v>2129</v>
      </c>
      <c r="H134" s="5785">
        <v>11</v>
      </c>
      <c r="I134" s="5785">
        <v>1</v>
      </c>
      <c r="J134" s="5785" t="b">
        <v>0</v>
      </c>
      <c r="K134" s="5785">
        <v>10</v>
      </c>
      <c r="L134" s="5786">
        <v>70589</v>
      </c>
      <c r="M134" s="5786">
        <v>0</v>
      </c>
      <c r="N134" s="5786">
        <v>0</v>
      </c>
      <c r="O134" s="5786">
        <v>16200</v>
      </c>
      <c r="P134" s="5786">
        <v>0</v>
      </c>
      <c r="Q134" s="2476">
        <v>93847.900000000009</v>
      </c>
      <c r="R134" s="2477">
        <v>93847</v>
      </c>
      <c r="S134" s="2477" t="b">
        <v>0</v>
      </c>
      <c r="T134" s="5786">
        <v>93847</v>
      </c>
      <c r="U134" s="5786">
        <v>0</v>
      </c>
      <c r="V134" s="863">
        <v>2405849</v>
      </c>
      <c r="W134" s="863">
        <v>2405849</v>
      </c>
      <c r="X134" s="863" t="b">
        <v>1</v>
      </c>
      <c r="Y134" s="863">
        <v>21103.938596491229</v>
      </c>
      <c r="AB134" s="863" t="s">
        <v>2129</v>
      </c>
      <c r="AE134">
        <v>114</v>
      </c>
      <c r="AF134" s="3965">
        <v>114</v>
      </c>
      <c r="AG134" s="3965" t="b">
        <v>1</v>
      </c>
      <c r="AH134">
        <v>119</v>
      </c>
      <c r="AI134" t="s">
        <v>2129</v>
      </c>
      <c r="AJ134">
        <v>80</v>
      </c>
      <c r="AK134" t="s">
        <v>2129</v>
      </c>
      <c r="AL134">
        <v>111</v>
      </c>
      <c r="AM134" t="s">
        <v>2129</v>
      </c>
      <c r="AN134" t="s">
        <v>2129</v>
      </c>
      <c r="AQ134">
        <v>-3</v>
      </c>
      <c r="AV134" t="s">
        <v>2129</v>
      </c>
      <c r="AW134" t="s">
        <v>2129</v>
      </c>
      <c r="AX134" t="s">
        <v>2129</v>
      </c>
      <c r="AY134" t="s">
        <v>2129</v>
      </c>
      <c r="AZ134" t="s">
        <v>2129</v>
      </c>
      <c r="BA134">
        <v>11</v>
      </c>
      <c r="BB134" t="s">
        <v>2129</v>
      </c>
      <c r="BC134">
        <v>18</v>
      </c>
      <c r="BD134" t="s">
        <v>2129</v>
      </c>
      <c r="BE134" t="s">
        <v>2129</v>
      </c>
      <c r="BF134" t="s">
        <v>2129</v>
      </c>
      <c r="BG134" t="s">
        <v>2129</v>
      </c>
      <c r="BH134" s="1958" t="s">
        <v>2129</v>
      </c>
      <c r="BI134"/>
      <c r="BJ134" s="863" t="s">
        <v>2129</v>
      </c>
      <c r="BK134" s="863" t="s">
        <v>2129</v>
      </c>
      <c r="BL134" s="863" t="s">
        <v>2129</v>
      </c>
      <c r="BM134" s="863" t="s">
        <v>2129</v>
      </c>
      <c r="BN134" s="863">
        <v>18571465.964912284</v>
      </c>
      <c r="BO134" s="863" t="s">
        <v>2129</v>
      </c>
      <c r="BP134" s="863">
        <v>42165669.315789476</v>
      </c>
      <c r="BQ134" s="863">
        <v>42165669.315789476</v>
      </c>
      <c r="BR134" s="863" t="s">
        <v>2129</v>
      </c>
      <c r="BS134" s="863" t="s">
        <v>2129</v>
      </c>
      <c r="BT134" s="863" t="s">
        <v>2129</v>
      </c>
      <c r="BU134" s="863" t="s">
        <v>2129</v>
      </c>
      <c r="BV134" s="863" t="s">
        <v>2129</v>
      </c>
      <c r="BW134" s="863" t="s">
        <v>2129</v>
      </c>
      <c r="BX134" s="863" t="s">
        <v>2129</v>
      </c>
      <c r="BY134" s="863" t="s">
        <v>2129</v>
      </c>
      <c r="BZ134" s="863" t="s">
        <v>2129</v>
      </c>
      <c r="CA134" s="863" t="s">
        <v>2129</v>
      </c>
      <c r="CB134" s="863"/>
      <c r="CC134" s="863">
        <v>1689246</v>
      </c>
      <c r="CD134" s="863">
        <v>1689246</v>
      </c>
      <c r="CE134" s="863" t="s">
        <v>2129</v>
      </c>
      <c r="CF134" s="863" t="s">
        <v>2129</v>
      </c>
      <c r="CG134" s="863"/>
      <c r="CH134" s="5785"/>
    </row>
    <row r="135" spans="1:86" ht="13">
      <c r="A135">
        <v>256</v>
      </c>
      <c r="B135" s="5806" t="s">
        <v>3355</v>
      </c>
      <c r="C135" s="5799" t="s">
        <v>6598</v>
      </c>
      <c r="D135" s="5799" t="s">
        <v>2129</v>
      </c>
      <c r="E135" s="5799" t="s">
        <v>2129</v>
      </c>
      <c r="F135" s="2694" t="s">
        <v>2129</v>
      </c>
      <c r="G135" s="2694" t="s">
        <v>2129</v>
      </c>
      <c r="H135" s="5785">
        <v>10</v>
      </c>
      <c r="I135" s="5785">
        <v>10</v>
      </c>
      <c r="J135" s="5785" t="b">
        <v>1</v>
      </c>
      <c r="K135" s="5785"/>
      <c r="L135" s="5786">
        <v>1576476</v>
      </c>
      <c r="M135" s="5786"/>
      <c r="N135" s="5786"/>
      <c r="O135" s="5786"/>
      <c r="P135" s="5786"/>
      <c r="Q135" s="2476">
        <v>1734123.6</v>
      </c>
      <c r="R135" s="2477">
        <v>1734123</v>
      </c>
      <c r="S135" s="2477" t="b">
        <v>1</v>
      </c>
      <c r="T135" s="5786">
        <v>173412.3</v>
      </c>
      <c r="U135" s="5786">
        <v>0</v>
      </c>
      <c r="V135" s="863">
        <v>1689116</v>
      </c>
      <c r="W135" s="863">
        <v>1689116</v>
      </c>
      <c r="X135" s="863" t="b">
        <v>1</v>
      </c>
      <c r="Y135" s="863">
        <v>20598.975609756097</v>
      </c>
      <c r="Z135" s="863">
        <v>18118</v>
      </c>
      <c r="AA135" s="863">
        <v>30589</v>
      </c>
      <c r="AB135" s="863">
        <v>5828.5576259489308</v>
      </c>
      <c r="AE135">
        <v>82</v>
      </c>
      <c r="AF135" s="3965">
        <v>82</v>
      </c>
      <c r="AG135" s="3965" t="b">
        <v>1</v>
      </c>
      <c r="AH135" s="2814">
        <v>300</v>
      </c>
      <c r="AI135">
        <v>252</v>
      </c>
      <c r="AJ135" t="s">
        <v>2129</v>
      </c>
      <c r="AK135" t="s">
        <v>2129</v>
      </c>
      <c r="AL135" s="191"/>
      <c r="AM135" s="191"/>
      <c r="AV135">
        <v>21</v>
      </c>
      <c r="AW135" t="s">
        <v>2129</v>
      </c>
      <c r="AX135" t="s">
        <v>2129</v>
      </c>
      <c r="AY135" t="s">
        <v>2129</v>
      </c>
      <c r="AZ135" t="s">
        <v>2129</v>
      </c>
      <c r="BA135" t="s">
        <v>2129</v>
      </c>
      <c r="BB135" t="s">
        <v>2129</v>
      </c>
      <c r="BC135" t="s">
        <v>2129</v>
      </c>
      <c r="BD135" t="s">
        <v>2129</v>
      </c>
      <c r="BE135" t="s">
        <v>2129</v>
      </c>
      <c r="BF135" t="s">
        <v>2129</v>
      </c>
      <c r="BG135" t="s">
        <v>2129</v>
      </c>
      <c r="BH135" s="1958">
        <v>35471436</v>
      </c>
      <c r="BI135" s="1958" t="s">
        <v>2129</v>
      </c>
      <c r="BJ135" s="1958" t="s">
        <v>2129</v>
      </c>
      <c r="BK135" s="1958" t="s">
        <v>2129</v>
      </c>
      <c r="BL135" s="1958" t="s">
        <v>2129</v>
      </c>
      <c r="BM135" s="1958" t="s">
        <v>2129</v>
      </c>
      <c r="BN135" s="1958" t="s">
        <v>2129</v>
      </c>
      <c r="BO135" s="1958" t="s">
        <v>2129</v>
      </c>
      <c r="BP135" s="1958" t="s">
        <v>2129</v>
      </c>
      <c r="BQ135" s="863" t="s">
        <v>2129</v>
      </c>
      <c r="BR135" s="863" t="s">
        <v>2129</v>
      </c>
      <c r="BS135" s="1958" t="s">
        <v>2129</v>
      </c>
      <c r="BT135" s="1958" t="s">
        <v>2129</v>
      </c>
      <c r="BU135" s="1958" t="s">
        <v>2129</v>
      </c>
      <c r="BV135" s="1958" t="s">
        <v>2129</v>
      </c>
      <c r="BW135" s="1958" t="s">
        <v>2129</v>
      </c>
      <c r="BX135" s="1958">
        <v>36416583</v>
      </c>
      <c r="BY135" s="1958" t="s">
        <v>2129</v>
      </c>
      <c r="BZ135" s="1958" t="s">
        <v>2129</v>
      </c>
      <c r="CA135" s="1958" t="s">
        <v>2129</v>
      </c>
      <c r="CC135" s="1958" t="s">
        <v>2129</v>
      </c>
      <c r="CD135" s="1958" t="s">
        <v>2129</v>
      </c>
      <c r="CE135" s="1958" t="s">
        <v>2129</v>
      </c>
      <c r="CF135" s="1958" t="s">
        <v>2129</v>
      </c>
      <c r="CG135" s="863"/>
      <c r="CH135" s="5785"/>
    </row>
    <row r="136" spans="1:86" s="5782" customFormat="1" ht="13" hidden="1">
      <c r="A136" s="5782">
        <v>257</v>
      </c>
      <c r="B136" s="5783" t="s">
        <v>3356</v>
      </c>
      <c r="C136" s="5784" t="s">
        <v>2129</v>
      </c>
      <c r="D136" s="5784" t="s">
        <v>2129</v>
      </c>
      <c r="E136" s="5784" t="s">
        <v>2129</v>
      </c>
      <c r="F136" s="5784" t="s">
        <v>2129</v>
      </c>
      <c r="G136" s="5784" t="s">
        <v>2129</v>
      </c>
      <c r="H136" s="5784">
        <v>8</v>
      </c>
      <c r="I136" s="5784">
        <v>4</v>
      </c>
      <c r="J136" s="5785" t="b">
        <v>0</v>
      </c>
      <c r="K136" s="5785" t="s">
        <v>2129</v>
      </c>
      <c r="L136" s="5786">
        <v>823533</v>
      </c>
      <c r="M136" s="5786">
        <v>0</v>
      </c>
      <c r="N136" s="5786">
        <v>0</v>
      </c>
      <c r="O136" s="5786">
        <v>0</v>
      </c>
      <c r="P136" s="5786">
        <v>0</v>
      </c>
      <c r="Q136" s="2476">
        <v>905886.3</v>
      </c>
      <c r="R136" s="5787">
        <v>905886</v>
      </c>
      <c r="S136" s="2477" t="b">
        <v>0</v>
      </c>
      <c r="T136" s="5787">
        <v>226471.5</v>
      </c>
      <c r="U136" s="5787">
        <v>0</v>
      </c>
      <c r="V136" s="5788">
        <v>2329412</v>
      </c>
      <c r="W136" s="5788">
        <v>2329412</v>
      </c>
      <c r="X136" s="5788" t="b">
        <v>1</v>
      </c>
      <c r="Y136" s="5788">
        <v>55462.190476190473</v>
      </c>
      <c r="Z136" s="5788"/>
      <c r="AA136" s="5788"/>
      <c r="AB136" s="5788" t="s">
        <v>2129</v>
      </c>
      <c r="AC136" s="5788"/>
      <c r="AD136" s="5788"/>
      <c r="AE136" s="5782">
        <v>42</v>
      </c>
      <c r="AF136" s="5789">
        <v>42</v>
      </c>
      <c r="AG136" s="5789" t="b">
        <v>1</v>
      </c>
      <c r="AH136" s="5782">
        <v>89</v>
      </c>
      <c r="AI136" s="5782" t="s">
        <v>2129</v>
      </c>
      <c r="AJ136" s="5782" t="s">
        <v>2129</v>
      </c>
      <c r="AK136" s="5782" t="s">
        <v>2129</v>
      </c>
      <c r="AL136" s="5782" t="s">
        <v>2129</v>
      </c>
      <c r="AM136" s="5782" t="s">
        <v>2129</v>
      </c>
      <c r="AN136" s="5782" t="s">
        <v>2129</v>
      </c>
      <c r="AQ136" s="5782" t="s">
        <v>2129</v>
      </c>
      <c r="AV136" s="5782" t="s">
        <v>2129</v>
      </c>
      <c r="AW136" s="5782" t="s">
        <v>2129</v>
      </c>
      <c r="AX136" s="5782" t="s">
        <v>2129</v>
      </c>
      <c r="AY136" s="5782" t="s">
        <v>2129</v>
      </c>
      <c r="AZ136" s="5782" t="s">
        <v>2129</v>
      </c>
      <c r="BA136" s="5782" t="s">
        <v>2129</v>
      </c>
      <c r="BB136" s="5782" t="s">
        <v>2129</v>
      </c>
      <c r="BC136" s="5782" t="s">
        <v>2129</v>
      </c>
      <c r="BD136" s="5782" t="s">
        <v>2129</v>
      </c>
      <c r="BE136" s="5782" t="s">
        <v>2129</v>
      </c>
      <c r="BF136" s="5782" t="s">
        <v>2129</v>
      </c>
      <c r="BG136" s="5782" t="s">
        <v>2129</v>
      </c>
      <c r="BH136" s="5788" t="s">
        <v>2129</v>
      </c>
      <c r="BJ136" s="5788" t="s">
        <v>2129</v>
      </c>
      <c r="BK136" s="5788" t="s">
        <v>2129</v>
      </c>
      <c r="BL136" s="5788" t="s">
        <v>2129</v>
      </c>
      <c r="BM136" s="5788" t="s">
        <v>2129</v>
      </c>
      <c r="BN136" s="5788" t="s">
        <v>2129</v>
      </c>
      <c r="BO136" s="5788" t="s">
        <v>2129</v>
      </c>
      <c r="BP136" s="5788" t="s">
        <v>2129</v>
      </c>
      <c r="BQ136" s="5788" t="s">
        <v>2129</v>
      </c>
      <c r="BR136" s="5788" t="s">
        <v>2129</v>
      </c>
      <c r="BS136" s="5788" t="s">
        <v>2129</v>
      </c>
      <c r="BT136" s="5788" t="s">
        <v>2129</v>
      </c>
      <c r="BU136" s="5788" t="s">
        <v>2129</v>
      </c>
      <c r="BV136" s="5788" t="s">
        <v>2129</v>
      </c>
      <c r="BW136" s="5788" t="s">
        <v>2129</v>
      </c>
      <c r="BX136" s="5788" t="s">
        <v>2129</v>
      </c>
      <c r="BY136" s="5788" t="s">
        <v>2129</v>
      </c>
      <c r="BZ136" s="5788" t="s">
        <v>2129</v>
      </c>
      <c r="CA136" s="5788" t="s">
        <v>2129</v>
      </c>
      <c r="CB136" s="5788"/>
      <c r="CC136" s="5788" t="s">
        <v>2129</v>
      </c>
      <c r="CD136" s="5788" t="s">
        <v>2129</v>
      </c>
      <c r="CE136" s="5788" t="s">
        <v>2129</v>
      </c>
      <c r="CF136" s="5788" t="s">
        <v>2129</v>
      </c>
      <c r="CG136" s="5788"/>
      <c r="CH136" s="5784"/>
    </row>
    <row r="137" spans="1:86" s="5782" customFormat="1" ht="13" hidden="1">
      <c r="A137" s="5782">
        <v>260</v>
      </c>
      <c r="B137" s="5783" t="s">
        <v>3357</v>
      </c>
      <c r="C137" s="5784" t="s">
        <v>2129</v>
      </c>
      <c r="D137" s="5784" t="s">
        <v>2129</v>
      </c>
      <c r="E137" s="5784" t="s">
        <v>2129</v>
      </c>
      <c r="F137" s="5784" t="s">
        <v>2129</v>
      </c>
      <c r="G137" s="5784" t="s">
        <v>2129</v>
      </c>
      <c r="H137" s="5784">
        <v>8</v>
      </c>
      <c r="I137" s="5784">
        <v>6</v>
      </c>
      <c r="J137" s="5785" t="b">
        <v>0</v>
      </c>
      <c r="K137" s="5785" t="s">
        <v>2129</v>
      </c>
      <c r="L137" s="5786">
        <v>1617651</v>
      </c>
      <c r="M137" s="5786">
        <v>0</v>
      </c>
      <c r="N137" s="5786">
        <v>0</v>
      </c>
      <c r="O137" s="5786">
        <v>0</v>
      </c>
      <c r="P137" s="5786">
        <v>0</v>
      </c>
      <c r="Q137" s="2476">
        <v>1779416.1</v>
      </c>
      <c r="R137" s="5787">
        <v>1837652</v>
      </c>
      <c r="S137" s="2477" t="b">
        <v>0</v>
      </c>
      <c r="T137" s="5787">
        <v>306275.33333333331</v>
      </c>
      <c r="U137" s="5787">
        <v>0</v>
      </c>
      <c r="V137" s="5788">
        <v>1301905</v>
      </c>
      <c r="W137" s="5788">
        <v>1301905</v>
      </c>
      <c r="X137" s="5788" t="b">
        <v>1</v>
      </c>
      <c r="Y137" s="5788">
        <v>48218.703703703701</v>
      </c>
      <c r="Z137" s="5788"/>
      <c r="AA137" s="5788"/>
      <c r="AB137" s="5788" t="s">
        <v>2129</v>
      </c>
      <c r="AC137" s="5788"/>
      <c r="AD137" s="5788"/>
      <c r="AE137" s="5782">
        <v>42</v>
      </c>
      <c r="AF137" s="5789">
        <v>27</v>
      </c>
      <c r="AG137" s="5789" t="b">
        <v>1</v>
      </c>
      <c r="AH137" s="5782">
        <v>89</v>
      </c>
      <c r="AI137" s="5782" t="s">
        <v>2129</v>
      </c>
      <c r="AJ137" s="5782" t="s">
        <v>2129</v>
      </c>
      <c r="AK137" s="5782" t="s">
        <v>2129</v>
      </c>
      <c r="AL137" s="5782" t="s">
        <v>2129</v>
      </c>
      <c r="AM137" s="5782" t="s">
        <v>2129</v>
      </c>
      <c r="AN137" s="5782" t="s">
        <v>2129</v>
      </c>
      <c r="AQ137" s="5782" t="s">
        <v>2129</v>
      </c>
      <c r="AV137" s="5782" t="s">
        <v>2129</v>
      </c>
      <c r="AW137" s="5782" t="s">
        <v>2129</v>
      </c>
      <c r="AX137" s="5782" t="s">
        <v>2129</v>
      </c>
      <c r="AY137" s="5782" t="s">
        <v>2129</v>
      </c>
      <c r="AZ137" s="5782" t="s">
        <v>2129</v>
      </c>
      <c r="BA137" s="5782" t="s">
        <v>2129</v>
      </c>
      <c r="BB137" s="5782" t="s">
        <v>2129</v>
      </c>
      <c r="BC137" s="5782" t="s">
        <v>2129</v>
      </c>
      <c r="BD137" s="5782" t="s">
        <v>2129</v>
      </c>
      <c r="BE137" s="5782" t="s">
        <v>2129</v>
      </c>
      <c r="BF137" s="5782" t="s">
        <v>2129</v>
      </c>
      <c r="BG137" s="5782" t="s">
        <v>2129</v>
      </c>
      <c r="BH137" s="5788" t="s">
        <v>2129</v>
      </c>
      <c r="BJ137" s="5788" t="s">
        <v>2129</v>
      </c>
      <c r="BK137" s="5788" t="s">
        <v>2129</v>
      </c>
      <c r="BL137" s="5788" t="s">
        <v>2129</v>
      </c>
      <c r="BM137" s="5788" t="s">
        <v>2129</v>
      </c>
      <c r="BN137" s="5788" t="s">
        <v>2129</v>
      </c>
      <c r="BO137" s="5788" t="s">
        <v>2129</v>
      </c>
      <c r="BP137" s="5788" t="s">
        <v>2129</v>
      </c>
      <c r="BQ137" s="5788" t="s">
        <v>2129</v>
      </c>
      <c r="BR137" s="5788" t="s">
        <v>2129</v>
      </c>
      <c r="BS137" s="5788" t="s">
        <v>2129</v>
      </c>
      <c r="BT137" s="5788" t="s">
        <v>2129</v>
      </c>
      <c r="BU137" s="5788" t="s">
        <v>2129</v>
      </c>
      <c r="BV137" s="5788" t="s">
        <v>2129</v>
      </c>
      <c r="BW137" s="5788" t="s">
        <v>2129</v>
      </c>
      <c r="BX137" s="5788" t="s">
        <v>2129</v>
      </c>
      <c r="BY137" s="5788" t="s">
        <v>2129</v>
      </c>
      <c r="BZ137" s="5788" t="s">
        <v>2129</v>
      </c>
      <c r="CA137" s="5788" t="s">
        <v>2129</v>
      </c>
      <c r="CB137" s="5788"/>
      <c r="CC137" s="5788" t="s">
        <v>2129</v>
      </c>
      <c r="CD137" s="5788" t="s">
        <v>2129</v>
      </c>
      <c r="CE137" s="5788" t="s">
        <v>2129</v>
      </c>
      <c r="CF137" s="5788" t="s">
        <v>2129</v>
      </c>
      <c r="CG137" s="5788"/>
      <c r="CH137" s="5784"/>
    </row>
    <row r="138" spans="1:86" ht="13">
      <c r="A138">
        <v>261</v>
      </c>
      <c r="B138" s="196" t="s">
        <v>2865</v>
      </c>
      <c r="C138" s="5790" t="s">
        <v>6598</v>
      </c>
      <c r="D138" s="5790" t="s">
        <v>6599</v>
      </c>
      <c r="E138" s="5790" t="s">
        <v>2129</v>
      </c>
      <c r="F138" s="5785" t="s">
        <v>2129</v>
      </c>
      <c r="G138" s="5785" t="s">
        <v>2129</v>
      </c>
      <c r="H138" s="5785">
        <v>8</v>
      </c>
      <c r="I138" s="2694">
        <v>0</v>
      </c>
      <c r="J138" s="5797" t="b">
        <v>1</v>
      </c>
      <c r="K138" s="5785" t="s">
        <v>2129</v>
      </c>
      <c r="L138" s="5786">
        <v>0</v>
      </c>
      <c r="M138" s="5786">
        <v>0</v>
      </c>
      <c r="N138" s="5786">
        <v>0</v>
      </c>
      <c r="O138" s="5786">
        <v>18000</v>
      </c>
      <c r="P138" s="5786">
        <v>0</v>
      </c>
      <c r="Q138" s="2476">
        <v>18000</v>
      </c>
      <c r="R138" s="2477">
        <v>2606235</v>
      </c>
      <c r="S138" s="2477" t="b">
        <v>1</v>
      </c>
      <c r="T138" s="5786" t="s">
        <v>2129</v>
      </c>
      <c r="U138" s="5786">
        <v>0</v>
      </c>
      <c r="V138" s="863">
        <v>3882353</v>
      </c>
      <c r="W138" s="863">
        <v>3882353</v>
      </c>
      <c r="X138" s="863" t="b">
        <v>1</v>
      </c>
      <c r="Y138" s="863">
        <v>47345.768292682929</v>
      </c>
      <c r="Z138" s="863">
        <v>5882353</v>
      </c>
      <c r="AA138" s="863">
        <v>5882353</v>
      </c>
      <c r="AB138" s="863">
        <v>23282.476761619189</v>
      </c>
      <c r="AC138" s="863">
        <v>1100</v>
      </c>
      <c r="AE138">
        <v>82</v>
      </c>
      <c r="AF138" s="3965">
        <v>82</v>
      </c>
      <c r="AG138" s="3965" t="b">
        <v>1</v>
      </c>
      <c r="AH138" s="2814">
        <v>122</v>
      </c>
      <c r="AI138">
        <v>145</v>
      </c>
      <c r="AJ138" t="s">
        <v>2129</v>
      </c>
      <c r="AK138" t="s">
        <v>2129</v>
      </c>
      <c r="AL138" t="s">
        <v>2129</v>
      </c>
      <c r="AM138" t="s">
        <v>2129</v>
      </c>
      <c r="AN138">
        <v>63</v>
      </c>
      <c r="AQ138" t="s">
        <v>2129</v>
      </c>
      <c r="AV138">
        <v>21</v>
      </c>
      <c r="AW138">
        <v>14</v>
      </c>
      <c r="AX138" t="s">
        <v>2129</v>
      </c>
      <c r="AY138" t="s">
        <v>2129</v>
      </c>
      <c r="AZ138" t="s">
        <v>2129</v>
      </c>
      <c r="BA138" t="s">
        <v>2129</v>
      </c>
      <c r="BB138" t="s">
        <v>2129</v>
      </c>
      <c r="BC138" t="s">
        <v>2129</v>
      </c>
      <c r="BD138" t="s">
        <v>2129</v>
      </c>
      <c r="BE138" t="s">
        <v>2129</v>
      </c>
      <c r="BF138" t="s">
        <v>2129</v>
      </c>
      <c r="BG138" t="s">
        <v>2129</v>
      </c>
      <c r="BH138" s="1958">
        <v>81529413</v>
      </c>
      <c r="BI138" s="1958">
        <v>54352942</v>
      </c>
      <c r="BJ138" s="1958" t="s">
        <v>2129</v>
      </c>
      <c r="BK138" s="1958" t="s">
        <v>2129</v>
      </c>
      <c r="BL138" s="1958" t="s">
        <v>2129</v>
      </c>
      <c r="BM138" s="1958" t="s">
        <v>2129</v>
      </c>
      <c r="BN138" s="1958" t="s">
        <v>2129</v>
      </c>
      <c r="BO138" s="1958" t="s">
        <v>2129</v>
      </c>
      <c r="BP138" s="1958" t="s">
        <v>2129</v>
      </c>
      <c r="BQ138" s="863" t="s">
        <v>2129</v>
      </c>
      <c r="BR138" s="863" t="s">
        <v>2129</v>
      </c>
      <c r="BS138" s="1958" t="s">
        <v>2129</v>
      </c>
      <c r="BT138" s="1958" t="s">
        <v>2129</v>
      </c>
      <c r="BU138" s="1958" t="s">
        <v>2129</v>
      </c>
      <c r="BV138" s="1958" t="s">
        <v>2129</v>
      </c>
      <c r="BW138" s="1958" t="s">
        <v>2129</v>
      </c>
      <c r="BX138" s="1958" t="s">
        <v>2129</v>
      </c>
      <c r="BY138" s="1958" t="s">
        <v>2129</v>
      </c>
      <c r="BZ138" s="1958" t="s">
        <v>2129</v>
      </c>
      <c r="CA138" s="1958" t="s">
        <v>2129</v>
      </c>
      <c r="CC138" s="1958" t="s">
        <v>2129</v>
      </c>
      <c r="CD138" s="1958" t="s">
        <v>2129</v>
      </c>
      <c r="CE138" s="1958" t="s">
        <v>2129</v>
      </c>
      <c r="CF138" s="1958" t="s">
        <v>2129</v>
      </c>
      <c r="CH138" s="5785"/>
    </row>
    <row r="139" spans="1:86" ht="13" hidden="1">
      <c r="A139">
        <v>269</v>
      </c>
      <c r="B139" s="196" t="s">
        <v>3359</v>
      </c>
      <c r="C139" s="5785" t="s">
        <v>2129</v>
      </c>
      <c r="D139" s="2694" t="s">
        <v>3791</v>
      </c>
      <c r="E139" s="2694" t="s">
        <v>2129</v>
      </c>
      <c r="F139" s="5785" t="s">
        <v>2129</v>
      </c>
      <c r="G139" s="5785" t="s">
        <v>2129</v>
      </c>
      <c r="H139" s="5785">
        <v>0</v>
      </c>
      <c r="I139" s="5785">
        <v>0</v>
      </c>
      <c r="J139" s="5785" t="b">
        <v>0</v>
      </c>
      <c r="K139" s="5785" t="s">
        <v>2129</v>
      </c>
      <c r="L139" s="5786">
        <v>0</v>
      </c>
      <c r="M139" s="5786">
        <v>0</v>
      </c>
      <c r="N139" s="5786">
        <v>0</v>
      </c>
      <c r="O139" s="5786">
        <v>0</v>
      </c>
      <c r="P139" s="5786">
        <v>0</v>
      </c>
      <c r="Q139" s="2476">
        <v>0</v>
      </c>
      <c r="R139" s="2477">
        <v>0</v>
      </c>
      <c r="S139" s="2477" t="b">
        <v>1</v>
      </c>
      <c r="T139" s="5786" t="s">
        <v>2129</v>
      </c>
      <c r="U139" s="5786">
        <v>0</v>
      </c>
      <c r="V139" s="863">
        <v>2139812</v>
      </c>
      <c r="W139" s="863">
        <v>2139812</v>
      </c>
      <c r="X139" s="863" t="b">
        <v>1</v>
      </c>
      <c r="Y139" s="863">
        <v>15733.911764705883</v>
      </c>
      <c r="AB139" s="863" t="s">
        <v>2129</v>
      </c>
      <c r="AE139">
        <v>162</v>
      </c>
      <c r="AF139" s="3965">
        <v>136</v>
      </c>
      <c r="AG139" s="3965" t="b">
        <v>1</v>
      </c>
      <c r="AH139">
        <v>162</v>
      </c>
      <c r="AI139" t="s">
        <v>2129</v>
      </c>
      <c r="AJ139">
        <v>111</v>
      </c>
      <c r="AK139" t="s">
        <v>2129</v>
      </c>
      <c r="AL139" t="s">
        <v>2129</v>
      </c>
      <c r="AM139" t="s">
        <v>2129</v>
      </c>
      <c r="AN139" t="s">
        <v>2129</v>
      </c>
      <c r="AQ139" t="s">
        <v>2129</v>
      </c>
      <c r="AV139" t="s">
        <v>2129</v>
      </c>
      <c r="AW139" t="s">
        <v>2129</v>
      </c>
      <c r="AX139" t="s">
        <v>2129</v>
      </c>
      <c r="AY139" t="s">
        <v>2129</v>
      </c>
      <c r="AZ139" t="s">
        <v>2129</v>
      </c>
      <c r="BA139">
        <v>11</v>
      </c>
      <c r="BB139" t="s">
        <v>2129</v>
      </c>
      <c r="BC139" t="s">
        <v>2129</v>
      </c>
      <c r="BD139" t="s">
        <v>2129</v>
      </c>
      <c r="BE139" t="s">
        <v>2129</v>
      </c>
      <c r="BF139" t="s">
        <v>2129</v>
      </c>
      <c r="BG139" t="s">
        <v>2129</v>
      </c>
      <c r="BH139" s="1958" t="s">
        <v>2129</v>
      </c>
      <c r="BI139"/>
      <c r="BJ139" s="863" t="s">
        <v>2129</v>
      </c>
      <c r="BK139" s="863" t="s">
        <v>2129</v>
      </c>
      <c r="BL139" s="863" t="s">
        <v>2129</v>
      </c>
      <c r="BM139" s="863" t="s">
        <v>2129</v>
      </c>
      <c r="BN139" s="863">
        <v>19211106.264705881</v>
      </c>
      <c r="BO139" s="863" t="s">
        <v>2129</v>
      </c>
      <c r="BP139" s="863" t="s">
        <v>2129</v>
      </c>
      <c r="BQ139" s="863" t="s">
        <v>2129</v>
      </c>
      <c r="BR139" s="863" t="s">
        <v>2129</v>
      </c>
      <c r="BS139" s="863" t="s">
        <v>2129</v>
      </c>
      <c r="BT139" s="863" t="s">
        <v>2129</v>
      </c>
      <c r="BU139" s="863" t="s">
        <v>2129</v>
      </c>
      <c r="BV139" s="863" t="s">
        <v>2129</v>
      </c>
      <c r="BW139" s="863" t="s">
        <v>2129</v>
      </c>
      <c r="BX139" s="863" t="s">
        <v>2129</v>
      </c>
      <c r="BY139" s="863" t="s">
        <v>2129</v>
      </c>
      <c r="BZ139" s="863" t="s">
        <v>2129</v>
      </c>
      <c r="CA139" s="863" t="s">
        <v>2129</v>
      </c>
      <c r="CB139" s="863"/>
      <c r="CC139" s="863" t="s">
        <v>2129</v>
      </c>
      <c r="CD139" s="863" t="s">
        <v>2129</v>
      </c>
      <c r="CE139" s="863" t="s">
        <v>2129</v>
      </c>
      <c r="CF139" s="863" t="s">
        <v>2129</v>
      </c>
      <c r="CG139" s="863"/>
      <c r="CH139" s="5785"/>
    </row>
    <row r="140" spans="1:86" s="5782" customFormat="1" ht="13" hidden="1">
      <c r="A140" s="5782">
        <v>275</v>
      </c>
      <c r="B140" s="5783" t="s">
        <v>3360</v>
      </c>
      <c r="C140" s="5784" t="s">
        <v>2129</v>
      </c>
      <c r="D140" s="5784" t="s">
        <v>2129</v>
      </c>
      <c r="E140" s="5784" t="s">
        <v>2129</v>
      </c>
      <c r="F140" s="5784" t="s">
        <v>2129</v>
      </c>
      <c r="G140" s="5784" t="s">
        <v>2129</v>
      </c>
      <c r="H140" s="5784">
        <v>8</v>
      </c>
      <c r="I140" s="5784">
        <v>2</v>
      </c>
      <c r="J140" s="5785" t="b">
        <v>0</v>
      </c>
      <c r="K140" s="5785" t="s">
        <v>2129</v>
      </c>
      <c r="L140" s="5786">
        <v>535295</v>
      </c>
      <c r="M140" s="5786">
        <v>0</v>
      </c>
      <c r="N140" s="5786">
        <v>0</v>
      </c>
      <c r="O140" s="5786">
        <v>0</v>
      </c>
      <c r="P140" s="5786">
        <v>0</v>
      </c>
      <c r="Q140" s="2476">
        <v>588824.5</v>
      </c>
      <c r="R140" s="5787">
        <v>588824</v>
      </c>
      <c r="S140" s="2477" t="b">
        <v>0</v>
      </c>
      <c r="T140" s="5787">
        <v>294412</v>
      </c>
      <c r="U140" s="5787">
        <v>0</v>
      </c>
      <c r="V140" s="5788">
        <v>5595794</v>
      </c>
      <c r="W140" s="5788">
        <v>5595794</v>
      </c>
      <c r="X140" s="5788" t="b">
        <v>1</v>
      </c>
      <c r="Y140" s="5788">
        <v>103625.81481481482</v>
      </c>
      <c r="Z140" s="5788"/>
      <c r="AA140" s="5788"/>
      <c r="AB140" s="5788" t="s">
        <v>2129</v>
      </c>
      <c r="AC140" s="5788"/>
      <c r="AD140" s="5788"/>
      <c r="AE140" s="5782">
        <v>54</v>
      </c>
      <c r="AF140" s="5789">
        <v>54</v>
      </c>
      <c r="AG140" s="5789" t="b">
        <v>1</v>
      </c>
      <c r="AH140" s="5782">
        <v>180</v>
      </c>
      <c r="AI140" s="5782" t="s">
        <v>2129</v>
      </c>
      <c r="AJ140" s="5782" t="s">
        <v>2129</v>
      </c>
      <c r="AK140" s="5782" t="s">
        <v>2129</v>
      </c>
      <c r="AL140" s="5782" t="s">
        <v>2129</v>
      </c>
      <c r="AM140" s="5782" t="s">
        <v>2129</v>
      </c>
      <c r="AN140" s="5782" t="s">
        <v>2129</v>
      </c>
      <c r="AQ140" s="5782" t="s">
        <v>2129</v>
      </c>
      <c r="AV140" s="5782" t="s">
        <v>2129</v>
      </c>
      <c r="AW140" s="5782" t="s">
        <v>2129</v>
      </c>
      <c r="AX140" s="5782" t="s">
        <v>2129</v>
      </c>
      <c r="AY140" s="5782" t="s">
        <v>2129</v>
      </c>
      <c r="AZ140" s="5782" t="s">
        <v>2129</v>
      </c>
      <c r="BA140" s="5782" t="s">
        <v>2129</v>
      </c>
      <c r="BB140" s="5782" t="s">
        <v>2129</v>
      </c>
      <c r="BC140" s="5782" t="s">
        <v>2129</v>
      </c>
      <c r="BD140" s="5782" t="s">
        <v>2129</v>
      </c>
      <c r="BE140" s="5782" t="s">
        <v>2129</v>
      </c>
      <c r="BF140" s="5782" t="s">
        <v>2129</v>
      </c>
      <c r="BG140" s="5782" t="s">
        <v>2129</v>
      </c>
      <c r="BH140" s="5788" t="s">
        <v>2129</v>
      </c>
      <c r="BJ140" s="5788" t="s">
        <v>2129</v>
      </c>
      <c r="BK140" s="5788" t="s">
        <v>2129</v>
      </c>
      <c r="BL140" s="5788" t="s">
        <v>2129</v>
      </c>
      <c r="BM140" s="5788" t="s">
        <v>2129</v>
      </c>
      <c r="BN140" s="5788" t="s">
        <v>2129</v>
      </c>
      <c r="BO140" s="5788" t="s">
        <v>2129</v>
      </c>
      <c r="BP140" s="5788" t="s">
        <v>2129</v>
      </c>
      <c r="BQ140" s="5788" t="s">
        <v>2129</v>
      </c>
      <c r="BR140" s="5788" t="s">
        <v>2129</v>
      </c>
      <c r="BS140" s="5788" t="s">
        <v>2129</v>
      </c>
      <c r="BT140" s="5788" t="s">
        <v>2129</v>
      </c>
      <c r="BU140" s="5788" t="s">
        <v>2129</v>
      </c>
      <c r="BV140" s="5788" t="s">
        <v>2129</v>
      </c>
      <c r="BW140" s="5788" t="s">
        <v>2129</v>
      </c>
      <c r="BX140" s="5788" t="s">
        <v>2129</v>
      </c>
      <c r="BY140" s="5788" t="s">
        <v>2129</v>
      </c>
      <c r="BZ140" s="5788" t="s">
        <v>2129</v>
      </c>
      <c r="CA140" s="5788" t="s">
        <v>2129</v>
      </c>
      <c r="CB140" s="5788"/>
      <c r="CC140" s="5788" t="s">
        <v>2129</v>
      </c>
      <c r="CD140" s="5788" t="s">
        <v>2129</v>
      </c>
      <c r="CE140" s="5788" t="s">
        <v>2129</v>
      </c>
      <c r="CF140" s="5788" t="s">
        <v>2129</v>
      </c>
      <c r="CG140" s="5788"/>
      <c r="CH140" s="5784"/>
    </row>
    <row r="141" spans="1:86" ht="13" hidden="1">
      <c r="A141">
        <v>278</v>
      </c>
      <c r="B141" s="5791" t="s">
        <v>3361</v>
      </c>
      <c r="C141" s="5790" t="s">
        <v>2129</v>
      </c>
      <c r="D141" s="5790" t="s">
        <v>6599</v>
      </c>
      <c r="E141" s="5790" t="s">
        <v>2129</v>
      </c>
      <c r="F141" s="5792" t="s">
        <v>5205</v>
      </c>
      <c r="G141" s="5792" t="s">
        <v>2129</v>
      </c>
      <c r="H141" s="5785">
        <v>9</v>
      </c>
      <c r="I141" s="5785">
        <v>7</v>
      </c>
      <c r="J141" s="5785" t="b">
        <v>0</v>
      </c>
      <c r="K141" s="5785">
        <v>2</v>
      </c>
      <c r="L141" s="5786">
        <v>3887651</v>
      </c>
      <c r="M141" s="5786">
        <v>45297</v>
      </c>
      <c r="N141" s="5786">
        <v>0</v>
      </c>
      <c r="O141" s="5786">
        <v>0</v>
      </c>
      <c r="P141" s="5786">
        <v>0</v>
      </c>
      <c r="Q141" s="2476">
        <v>4326242.8000000007</v>
      </c>
      <c r="R141" s="2477">
        <v>4326242</v>
      </c>
      <c r="S141" s="2477" t="b">
        <v>0</v>
      </c>
      <c r="T141" s="5786">
        <v>618034.57142857148</v>
      </c>
      <c r="U141" s="5786">
        <v>0</v>
      </c>
      <c r="V141" s="863">
        <v>8042568</v>
      </c>
      <c r="W141" s="863">
        <v>8042568</v>
      </c>
      <c r="X141" s="863" t="b">
        <v>1</v>
      </c>
      <c r="Y141" s="863">
        <v>36227.783783783787</v>
      </c>
      <c r="AB141" s="863" t="s">
        <v>2129</v>
      </c>
      <c r="AC141" s="863">
        <v>2300</v>
      </c>
      <c r="AE141">
        <v>277</v>
      </c>
      <c r="AF141" s="3965">
        <v>222</v>
      </c>
      <c r="AG141" s="3965" t="b">
        <v>1</v>
      </c>
      <c r="AH141">
        <v>277</v>
      </c>
      <c r="AI141" t="s">
        <v>2129</v>
      </c>
      <c r="AJ141" t="s">
        <v>2129</v>
      </c>
      <c r="AK141" t="s">
        <v>2129</v>
      </c>
      <c r="AL141">
        <v>222</v>
      </c>
      <c r="AM141" t="s">
        <v>2129</v>
      </c>
      <c r="AN141" t="s">
        <v>2129</v>
      </c>
      <c r="AQ141">
        <v>0</v>
      </c>
      <c r="AV141" s="191" t="s">
        <v>2129</v>
      </c>
      <c r="AW141">
        <v>26</v>
      </c>
      <c r="AX141" t="s">
        <v>2129</v>
      </c>
      <c r="AY141" t="s">
        <v>2129</v>
      </c>
      <c r="AZ141" t="s">
        <v>2129</v>
      </c>
      <c r="BA141" t="s">
        <v>2129</v>
      </c>
      <c r="BB141" t="s">
        <v>2129</v>
      </c>
      <c r="BC141">
        <v>18</v>
      </c>
      <c r="BD141" t="s">
        <v>2129</v>
      </c>
      <c r="BE141" t="s">
        <v>2129</v>
      </c>
      <c r="BF141" t="s">
        <v>2129</v>
      </c>
      <c r="BG141" t="s">
        <v>2129</v>
      </c>
      <c r="BH141" s="1958" t="s">
        <v>2129</v>
      </c>
      <c r="BI141" s="1958">
        <v>209106768</v>
      </c>
      <c r="BJ141" s="1958" t="s">
        <v>2129</v>
      </c>
      <c r="BK141" s="1958" t="s">
        <v>2129</v>
      </c>
      <c r="BL141" s="1958" t="s">
        <v>2129</v>
      </c>
      <c r="BM141" s="1958" t="s">
        <v>2129</v>
      </c>
      <c r="BN141" s="1958" t="s">
        <v>2129</v>
      </c>
      <c r="BO141" s="1958" t="s">
        <v>2129</v>
      </c>
      <c r="BP141" s="1958">
        <v>144766224.00000003</v>
      </c>
      <c r="BQ141" s="863">
        <v>144766224.00000003</v>
      </c>
      <c r="BR141" s="863" t="s">
        <v>2129</v>
      </c>
      <c r="BS141" s="1958" t="s">
        <v>2129</v>
      </c>
      <c r="BT141" s="1958" t="s">
        <v>2129</v>
      </c>
      <c r="BU141" s="1958" t="s">
        <v>2129</v>
      </c>
      <c r="BV141" s="1958" t="s">
        <v>2129</v>
      </c>
      <c r="BW141" s="1958" t="s">
        <v>2129</v>
      </c>
      <c r="BX141" s="1958" t="s">
        <v>2129</v>
      </c>
      <c r="BY141" s="1958">
        <v>112482292</v>
      </c>
      <c r="BZ141" s="1958" t="s">
        <v>2129</v>
      </c>
      <c r="CA141" s="1958" t="s">
        <v>2129</v>
      </c>
      <c r="CC141" s="1958">
        <v>77872356</v>
      </c>
      <c r="CD141" s="1958">
        <v>77872356</v>
      </c>
      <c r="CE141" s="1958" t="s">
        <v>2129</v>
      </c>
      <c r="CF141" s="1958" t="s">
        <v>2129</v>
      </c>
      <c r="CH141" s="5785"/>
    </row>
    <row r="142" spans="1:86" ht="13">
      <c r="A142">
        <v>281</v>
      </c>
      <c r="B142" s="196" t="s">
        <v>2871</v>
      </c>
      <c r="C142" s="5790" t="s">
        <v>6598</v>
      </c>
      <c r="D142" s="5790" t="s">
        <v>6599</v>
      </c>
      <c r="E142" s="5790" t="s">
        <v>2129</v>
      </c>
      <c r="F142" s="5792" t="s">
        <v>5205</v>
      </c>
      <c r="G142" s="5792" t="s">
        <v>2129</v>
      </c>
      <c r="H142" s="5785">
        <v>24</v>
      </c>
      <c r="I142" s="5785">
        <v>7</v>
      </c>
      <c r="J142" s="5785" t="b">
        <v>1</v>
      </c>
      <c r="K142" s="5785">
        <v>17</v>
      </c>
      <c r="L142" s="5786">
        <v>2714123</v>
      </c>
      <c r="M142" s="5786">
        <v>0</v>
      </c>
      <c r="N142" s="5786">
        <v>0</v>
      </c>
      <c r="O142" s="5786">
        <v>0</v>
      </c>
      <c r="P142" s="5786">
        <v>0</v>
      </c>
      <c r="Q142" s="2476">
        <v>2985535.3000000003</v>
      </c>
      <c r="R142" s="2477">
        <v>966709</v>
      </c>
      <c r="S142" s="2477" t="b">
        <v>1</v>
      </c>
      <c r="T142" s="5786">
        <v>138101.28571428571</v>
      </c>
      <c r="U142" s="5786">
        <v>-1126129</v>
      </c>
      <c r="V142" s="863">
        <v>5730264</v>
      </c>
      <c r="W142" s="863">
        <v>6856393</v>
      </c>
      <c r="X142" s="863" t="b">
        <v>1</v>
      </c>
      <c r="Y142" s="863">
        <v>29810.404347826086</v>
      </c>
      <c r="Z142" s="863">
        <v>18996</v>
      </c>
      <c r="AA142" s="863">
        <v>32643</v>
      </c>
      <c r="AB142" s="863">
        <v>13801.11312399356</v>
      </c>
      <c r="AC142" s="863">
        <v>2000</v>
      </c>
      <c r="AE142">
        <v>377</v>
      </c>
      <c r="AF142" s="3965">
        <v>230</v>
      </c>
      <c r="AG142" s="3965" t="b">
        <v>1</v>
      </c>
      <c r="AH142" s="2814">
        <v>643</v>
      </c>
      <c r="AI142">
        <v>432</v>
      </c>
      <c r="AJ142" t="s">
        <v>2129</v>
      </c>
      <c r="AK142" t="s">
        <v>2129</v>
      </c>
      <c r="AL142">
        <v>377</v>
      </c>
      <c r="AM142" t="s">
        <v>2129</v>
      </c>
      <c r="AN142">
        <v>202</v>
      </c>
      <c r="AQ142">
        <v>147</v>
      </c>
      <c r="AV142">
        <v>21</v>
      </c>
      <c r="AW142">
        <v>25</v>
      </c>
      <c r="AX142" t="s">
        <v>2129</v>
      </c>
      <c r="AY142" t="s">
        <v>2129</v>
      </c>
      <c r="AZ142" t="s">
        <v>2129</v>
      </c>
      <c r="BA142" t="s">
        <v>2129</v>
      </c>
      <c r="BB142" t="s">
        <v>2129</v>
      </c>
      <c r="BC142">
        <v>18</v>
      </c>
      <c r="BD142" t="s">
        <v>2129</v>
      </c>
      <c r="BE142" t="s">
        <v>2129</v>
      </c>
      <c r="BF142" t="s">
        <v>2129</v>
      </c>
      <c r="BG142" t="s">
        <v>2129</v>
      </c>
      <c r="BH142" s="1958">
        <v>143984253</v>
      </c>
      <c r="BI142" s="1958">
        <v>171409825</v>
      </c>
      <c r="BJ142" s="1958" t="s">
        <v>2129</v>
      </c>
      <c r="BK142" s="1958" t="s">
        <v>2129</v>
      </c>
      <c r="BL142" s="1958" t="s">
        <v>2129</v>
      </c>
      <c r="BM142" s="1958" t="s">
        <v>2129</v>
      </c>
      <c r="BN142" s="1958" t="s">
        <v>2129</v>
      </c>
      <c r="BO142" s="1958" t="s">
        <v>2129</v>
      </c>
      <c r="BP142" s="1958">
        <v>202293403.90434784</v>
      </c>
      <c r="BQ142" s="863">
        <v>202293403.90434784</v>
      </c>
      <c r="BR142" s="863" t="s">
        <v>2129</v>
      </c>
      <c r="BS142" s="1958" t="s">
        <v>2129</v>
      </c>
      <c r="BT142" s="1958" t="s">
        <v>2129</v>
      </c>
      <c r="BU142" s="1958" t="s">
        <v>2129</v>
      </c>
      <c r="BV142" s="1958" t="s">
        <v>2129</v>
      </c>
      <c r="BW142" s="1958" t="s">
        <v>2129</v>
      </c>
      <c r="BX142" s="1958">
        <v>20300889</v>
      </c>
      <c r="BY142" s="1958">
        <v>24167725</v>
      </c>
      <c r="BZ142" s="1958" t="s">
        <v>2129</v>
      </c>
      <c r="CA142" s="1958" t="s">
        <v>2129</v>
      </c>
      <c r="CC142" s="1958">
        <v>17400762</v>
      </c>
      <c r="CD142" s="1958">
        <v>17400762</v>
      </c>
      <c r="CE142" s="1958" t="s">
        <v>2129</v>
      </c>
      <c r="CF142" s="1958" t="s">
        <v>2129</v>
      </c>
      <c r="CH142" s="5785"/>
    </row>
    <row r="143" spans="1:86" ht="13" hidden="1">
      <c r="A143">
        <v>282</v>
      </c>
      <c r="B143" s="196" t="s">
        <v>3362</v>
      </c>
      <c r="C143" s="5785" t="s">
        <v>2129</v>
      </c>
      <c r="D143" s="5785" t="s">
        <v>2129</v>
      </c>
      <c r="E143" s="5785" t="s">
        <v>2129</v>
      </c>
      <c r="F143" s="5785" t="s">
        <v>3791</v>
      </c>
      <c r="G143" s="5785" t="s">
        <v>4095</v>
      </c>
      <c r="H143" s="5785">
        <v>8</v>
      </c>
      <c r="I143" s="5785">
        <v>4</v>
      </c>
      <c r="J143" s="5785" t="b">
        <v>0</v>
      </c>
      <c r="K143" s="5785" t="s">
        <v>2129</v>
      </c>
      <c r="L143" s="5786">
        <v>1599143</v>
      </c>
      <c r="M143" s="5786">
        <v>7060</v>
      </c>
      <c r="N143" s="5786">
        <v>0</v>
      </c>
      <c r="O143" s="5786">
        <v>0</v>
      </c>
      <c r="P143" s="5786">
        <v>0</v>
      </c>
      <c r="Q143" s="2476">
        <v>1766823.3</v>
      </c>
      <c r="R143" s="2477">
        <v>1766823</v>
      </c>
      <c r="S143" s="2477" t="b">
        <v>0</v>
      </c>
      <c r="T143" s="5786">
        <v>441705.75</v>
      </c>
      <c r="U143" s="5786">
        <v>0</v>
      </c>
      <c r="V143" s="863">
        <v>1879952</v>
      </c>
      <c r="W143" s="863">
        <v>1879952</v>
      </c>
      <c r="X143" s="863" t="b">
        <v>1</v>
      </c>
      <c r="Y143" s="863">
        <v>22650.024096385543</v>
      </c>
      <c r="AB143" s="863" t="s">
        <v>2129</v>
      </c>
      <c r="AE143">
        <v>91</v>
      </c>
      <c r="AF143" s="3965">
        <v>83</v>
      </c>
      <c r="AG143" s="3965" t="b">
        <v>1</v>
      </c>
      <c r="AH143">
        <v>109</v>
      </c>
      <c r="AI143" t="s">
        <v>2129</v>
      </c>
      <c r="AJ143" t="s">
        <v>2129</v>
      </c>
      <c r="AK143" t="s">
        <v>2129</v>
      </c>
      <c r="AL143">
        <v>51</v>
      </c>
      <c r="AM143">
        <v>21</v>
      </c>
      <c r="AN143" s="191" t="s">
        <v>2129</v>
      </c>
      <c r="AO143" t="s">
        <v>2129</v>
      </c>
      <c r="AQ143" s="191">
        <v>-32</v>
      </c>
      <c r="AR143" s="191">
        <v>-62</v>
      </c>
      <c r="AV143" t="s">
        <v>2129</v>
      </c>
      <c r="AW143" t="s">
        <v>2129</v>
      </c>
      <c r="AX143" t="s">
        <v>2129</v>
      </c>
      <c r="AY143" t="s">
        <v>2129</v>
      </c>
      <c r="AZ143" t="s">
        <v>2129</v>
      </c>
      <c r="BA143" t="s">
        <v>2129</v>
      </c>
      <c r="BB143" t="s">
        <v>2129</v>
      </c>
      <c r="BC143" t="s">
        <v>2129</v>
      </c>
      <c r="BD143" t="s">
        <v>2129</v>
      </c>
      <c r="BE143" t="s">
        <v>2129</v>
      </c>
      <c r="BF143">
        <v>10</v>
      </c>
      <c r="BG143">
        <v>15</v>
      </c>
      <c r="BH143" s="1958" t="s">
        <v>2129</v>
      </c>
      <c r="BI143"/>
      <c r="BJ143" s="863" t="s">
        <v>2129</v>
      </c>
      <c r="BK143" s="863" t="s">
        <v>2129</v>
      </c>
      <c r="BL143" s="863" t="s">
        <v>2129</v>
      </c>
      <c r="BM143" s="863" t="s">
        <v>2129</v>
      </c>
      <c r="BN143" s="863" t="s">
        <v>2129</v>
      </c>
      <c r="BO143" s="863" t="s">
        <v>2129</v>
      </c>
      <c r="BP143" s="863" t="s">
        <v>2129</v>
      </c>
      <c r="BQ143" s="863" t="s">
        <v>2129</v>
      </c>
      <c r="BR143" s="863" t="s">
        <v>2129</v>
      </c>
      <c r="BS143" s="863" t="s">
        <v>2129</v>
      </c>
      <c r="BT143" s="863" t="s">
        <v>2129</v>
      </c>
      <c r="BU143" s="863" t="s">
        <v>2129</v>
      </c>
      <c r="BV143" s="863">
        <v>11551512.289156627</v>
      </c>
      <c r="BW143" s="863">
        <v>7134757.5903614461</v>
      </c>
      <c r="BX143" s="863" t="s">
        <v>2129</v>
      </c>
      <c r="BY143" s="863" t="s">
        <v>2129</v>
      </c>
      <c r="BZ143" s="863" t="s">
        <v>2129</v>
      </c>
      <c r="CA143" s="863" t="s">
        <v>2129</v>
      </c>
      <c r="CB143" s="863"/>
      <c r="CC143" s="863" t="s">
        <v>2129</v>
      </c>
      <c r="CD143" s="863" t="s">
        <v>2129</v>
      </c>
      <c r="CE143" s="863" t="s">
        <v>2129</v>
      </c>
      <c r="CF143" s="863" t="s">
        <v>2129</v>
      </c>
      <c r="CG143" s="863"/>
      <c r="CH143" s="5785"/>
    </row>
    <row r="144" spans="1:86" ht="13" hidden="1">
      <c r="A144">
        <v>283</v>
      </c>
      <c r="B144" s="196" t="s">
        <v>3363</v>
      </c>
      <c r="C144" s="5785" t="s">
        <v>3694</v>
      </c>
      <c r="D144" s="5785" t="s">
        <v>2129</v>
      </c>
      <c r="E144" s="5785" t="s">
        <v>2129</v>
      </c>
      <c r="F144" s="5785" t="s">
        <v>2129</v>
      </c>
      <c r="G144" s="5785" t="s">
        <v>2129</v>
      </c>
      <c r="H144" s="5785">
        <v>0</v>
      </c>
      <c r="I144" s="5785">
        <v>0</v>
      </c>
      <c r="J144" s="5785" t="b">
        <v>0</v>
      </c>
      <c r="K144" s="5785" t="s">
        <v>2129</v>
      </c>
      <c r="L144" s="5786">
        <v>0</v>
      </c>
      <c r="M144" s="5786">
        <v>0</v>
      </c>
      <c r="N144" s="5786">
        <v>0</v>
      </c>
      <c r="O144" s="5786">
        <v>0</v>
      </c>
      <c r="P144" s="5786">
        <v>0</v>
      </c>
      <c r="Q144" s="2476">
        <v>0</v>
      </c>
      <c r="R144" s="2477">
        <v>0</v>
      </c>
      <c r="S144" s="2477" t="b">
        <v>1</v>
      </c>
      <c r="T144" s="5786" t="s">
        <v>2129</v>
      </c>
      <c r="U144" s="5786">
        <v>0</v>
      </c>
      <c r="V144" s="863">
        <v>801927</v>
      </c>
      <c r="W144" s="863">
        <v>801927</v>
      </c>
      <c r="X144" s="863" t="b">
        <v>1</v>
      </c>
      <c r="Y144" s="863">
        <v>8182.9285714285716</v>
      </c>
      <c r="AB144" s="863">
        <v>10565.573122529646</v>
      </c>
      <c r="AE144">
        <v>135</v>
      </c>
      <c r="AF144" s="3965">
        <v>98</v>
      </c>
      <c r="AG144" s="3965" t="b">
        <v>1</v>
      </c>
      <c r="AH144">
        <v>135</v>
      </c>
      <c r="AI144">
        <v>66</v>
      </c>
      <c r="AJ144" t="s">
        <v>2129</v>
      </c>
      <c r="AK144" t="s">
        <v>2129</v>
      </c>
      <c r="AL144" t="s">
        <v>2129</v>
      </c>
      <c r="AM144" t="s">
        <v>2129</v>
      </c>
      <c r="AN144">
        <v>-32</v>
      </c>
      <c r="AQ144" t="s">
        <v>2129</v>
      </c>
      <c r="AV144" t="s">
        <v>2129</v>
      </c>
      <c r="AW144" t="s">
        <v>2129</v>
      </c>
      <c r="AX144" t="s">
        <v>2129</v>
      </c>
      <c r="AY144" t="s">
        <v>2129</v>
      </c>
      <c r="AZ144">
        <v>32</v>
      </c>
      <c r="BA144" t="s">
        <v>2129</v>
      </c>
      <c r="BB144" t="s">
        <v>2129</v>
      </c>
      <c r="BC144" t="s">
        <v>2129</v>
      </c>
      <c r="BD144" t="s">
        <v>2129</v>
      </c>
      <c r="BE144" t="s">
        <v>2129</v>
      </c>
      <c r="BF144" t="s">
        <v>2129</v>
      </c>
      <c r="BG144" t="s">
        <v>2129</v>
      </c>
      <c r="BH144" s="1958" t="s">
        <v>2129</v>
      </c>
      <c r="BI144"/>
      <c r="BJ144" s="863" t="s">
        <v>2129</v>
      </c>
      <c r="BK144" s="863">
        <v>17282345.142857142</v>
      </c>
      <c r="BL144" s="863" t="s">
        <v>2129</v>
      </c>
      <c r="BM144" s="863" t="s">
        <v>2129</v>
      </c>
      <c r="BN144" s="863" t="s">
        <v>2129</v>
      </c>
      <c r="BO144" s="863" t="s">
        <v>2129</v>
      </c>
      <c r="BP144" s="863" t="s">
        <v>2129</v>
      </c>
      <c r="BQ144" s="863" t="s">
        <v>2129</v>
      </c>
      <c r="BR144" s="863" t="s">
        <v>2129</v>
      </c>
      <c r="BS144" s="863" t="s">
        <v>2129</v>
      </c>
      <c r="BT144" s="863" t="s">
        <v>2129</v>
      </c>
      <c r="BU144" s="863" t="s">
        <v>2129</v>
      </c>
      <c r="BV144" s="863" t="s">
        <v>2129</v>
      </c>
      <c r="BW144" s="863" t="s">
        <v>2129</v>
      </c>
      <c r="BX144" s="863" t="s">
        <v>2129</v>
      </c>
      <c r="BY144" s="863" t="s">
        <v>2129</v>
      </c>
      <c r="BZ144" s="863" t="s">
        <v>2129</v>
      </c>
      <c r="CA144" s="863" t="s">
        <v>2129</v>
      </c>
      <c r="CB144" s="863"/>
      <c r="CC144" s="863" t="s">
        <v>2129</v>
      </c>
      <c r="CD144" s="863" t="s">
        <v>2129</v>
      </c>
      <c r="CE144" s="863" t="s">
        <v>2129</v>
      </c>
      <c r="CF144" s="863" t="s">
        <v>2129</v>
      </c>
      <c r="CG144" s="863"/>
      <c r="CH144" s="5785"/>
    </row>
    <row r="145" spans="1:86" s="5782" customFormat="1" ht="13" hidden="1">
      <c r="A145" s="5782">
        <v>287</v>
      </c>
      <c r="B145" s="5783" t="s">
        <v>3364</v>
      </c>
      <c r="C145" s="5784" t="s">
        <v>2129</v>
      </c>
      <c r="D145" s="5784" t="s">
        <v>2129</v>
      </c>
      <c r="E145" s="5784" t="s">
        <v>2129</v>
      </c>
      <c r="F145" s="5784" t="s">
        <v>2129</v>
      </c>
      <c r="G145" s="5784" t="s">
        <v>2129</v>
      </c>
      <c r="H145" s="5784">
        <v>0</v>
      </c>
      <c r="I145" s="5784">
        <v>0</v>
      </c>
      <c r="J145" s="5785" t="b">
        <v>0</v>
      </c>
      <c r="K145" s="5785" t="s">
        <v>2129</v>
      </c>
      <c r="L145" s="5786">
        <v>0</v>
      </c>
      <c r="M145" s="5786">
        <v>0</v>
      </c>
      <c r="N145" s="5786">
        <v>0</v>
      </c>
      <c r="O145" s="5786">
        <v>0</v>
      </c>
      <c r="P145" s="5786">
        <v>0</v>
      </c>
      <c r="Q145" s="2476">
        <v>0</v>
      </c>
      <c r="R145" s="5787">
        <v>0</v>
      </c>
      <c r="S145" s="2477" t="b">
        <v>1</v>
      </c>
      <c r="T145" s="5787" t="s">
        <v>2129</v>
      </c>
      <c r="U145" s="5787">
        <v>-652251</v>
      </c>
      <c r="V145" s="1958">
        <v>2337588</v>
      </c>
      <c r="W145" s="5788">
        <v>2989839</v>
      </c>
      <c r="X145" s="2700" t="b">
        <v>1</v>
      </c>
      <c r="Y145" s="5788">
        <v>22650.295454545456</v>
      </c>
      <c r="Z145" s="5788"/>
      <c r="AA145" s="5788"/>
      <c r="AB145" s="5788" t="s">
        <v>2129</v>
      </c>
      <c r="AC145" s="863"/>
      <c r="AD145" s="863"/>
      <c r="AE145" s="5782">
        <v>133</v>
      </c>
      <c r="AF145" s="5789">
        <v>132</v>
      </c>
      <c r="AG145" s="5807" t="b">
        <v>1</v>
      </c>
      <c r="AH145" s="5782">
        <v>153</v>
      </c>
      <c r="AI145" s="5782" t="s">
        <v>2129</v>
      </c>
      <c r="AJ145" s="5782" t="s">
        <v>2129</v>
      </c>
      <c r="AK145" s="5782" t="s">
        <v>2129</v>
      </c>
      <c r="AL145" t="s">
        <v>2129</v>
      </c>
      <c r="AM145" t="s">
        <v>2129</v>
      </c>
      <c r="AN145" t="s">
        <v>2129</v>
      </c>
      <c r="AO145"/>
      <c r="AP145"/>
      <c r="AQ145" t="s">
        <v>2129</v>
      </c>
      <c r="AR145" t="s">
        <v>2129</v>
      </c>
      <c r="AS145"/>
      <c r="AT145"/>
      <c r="AU145"/>
      <c r="AV145" s="5782" t="s">
        <v>2129</v>
      </c>
      <c r="AW145" t="s">
        <v>2129</v>
      </c>
      <c r="AX145" s="5782" t="s">
        <v>2129</v>
      </c>
      <c r="AY145" s="5782" t="s">
        <v>2129</v>
      </c>
      <c r="AZ145" s="5782" t="s">
        <v>2129</v>
      </c>
      <c r="BA145" s="5782" t="s">
        <v>2129</v>
      </c>
      <c r="BB145" s="5782" t="s">
        <v>2129</v>
      </c>
      <c r="BC145" t="s">
        <v>2129</v>
      </c>
      <c r="BD145" t="s">
        <v>2129</v>
      </c>
      <c r="BE145" t="s">
        <v>2129</v>
      </c>
      <c r="BF145" t="s">
        <v>2129</v>
      </c>
      <c r="BG145" t="s">
        <v>2129</v>
      </c>
      <c r="BH145" s="5788" t="s">
        <v>2129</v>
      </c>
      <c r="BI145"/>
      <c r="BJ145" s="5788" t="s">
        <v>2129</v>
      </c>
      <c r="BK145" s="5788" t="s">
        <v>2129</v>
      </c>
      <c r="BL145" s="5788" t="s">
        <v>2129</v>
      </c>
      <c r="BM145" s="5788" t="s">
        <v>2129</v>
      </c>
      <c r="BN145" s="5788" t="s">
        <v>2129</v>
      </c>
      <c r="BO145" s="5788" t="s">
        <v>2129</v>
      </c>
      <c r="BP145" s="863" t="s">
        <v>2129</v>
      </c>
      <c r="BQ145" s="863" t="s">
        <v>2129</v>
      </c>
      <c r="BR145" s="863" t="s">
        <v>2129</v>
      </c>
      <c r="BS145" s="863" t="s">
        <v>2129</v>
      </c>
      <c r="BT145" s="863" t="s">
        <v>2129</v>
      </c>
      <c r="BU145" s="863" t="s">
        <v>2129</v>
      </c>
      <c r="BV145" s="863" t="s">
        <v>2129</v>
      </c>
      <c r="BW145" s="863" t="s">
        <v>2129</v>
      </c>
      <c r="BX145" s="5788" t="s">
        <v>2129</v>
      </c>
      <c r="BY145" s="863" t="s">
        <v>2129</v>
      </c>
      <c r="BZ145" s="5788" t="s">
        <v>2129</v>
      </c>
      <c r="CA145" s="5788" t="s">
        <v>2129</v>
      </c>
      <c r="CB145" s="863"/>
      <c r="CC145" s="863" t="s">
        <v>2129</v>
      </c>
      <c r="CD145" s="863" t="s">
        <v>2129</v>
      </c>
      <c r="CE145" s="863" t="s">
        <v>2129</v>
      </c>
      <c r="CF145" s="863" t="s">
        <v>2129</v>
      </c>
      <c r="CG145" s="863"/>
      <c r="CH145" s="5784"/>
    </row>
    <row r="146" spans="1:86" ht="13" hidden="1">
      <c r="A146">
        <v>288</v>
      </c>
      <c r="B146" s="196" t="s">
        <v>3365</v>
      </c>
      <c r="C146" s="5785" t="s">
        <v>3694</v>
      </c>
      <c r="D146" s="5785" t="s">
        <v>3791</v>
      </c>
      <c r="E146" s="5785" t="s">
        <v>4095</v>
      </c>
      <c r="F146" s="5785" t="s">
        <v>2129</v>
      </c>
      <c r="G146" s="5785" t="s">
        <v>2129</v>
      </c>
      <c r="H146" s="5785">
        <v>0</v>
      </c>
      <c r="I146" s="5785">
        <v>0</v>
      </c>
      <c r="J146" s="5785" t="b">
        <v>0</v>
      </c>
      <c r="K146" s="5785" t="s">
        <v>2129</v>
      </c>
      <c r="L146" s="5786">
        <v>0</v>
      </c>
      <c r="M146" s="5786">
        <v>0</v>
      </c>
      <c r="N146" s="5786">
        <v>0</v>
      </c>
      <c r="O146" s="5786">
        <v>0</v>
      </c>
      <c r="P146" s="5786">
        <v>0</v>
      </c>
      <c r="Q146" s="2476">
        <v>0</v>
      </c>
      <c r="R146" s="2477">
        <v>0</v>
      </c>
      <c r="S146" s="2477" t="b">
        <v>1</v>
      </c>
      <c r="T146" s="5786" t="s">
        <v>2129</v>
      </c>
      <c r="U146" s="5786">
        <v>0</v>
      </c>
      <c r="V146" s="863">
        <v>1273454</v>
      </c>
      <c r="W146" s="863">
        <v>1273454</v>
      </c>
      <c r="X146" s="863" t="b">
        <v>1</v>
      </c>
      <c r="Y146" s="863">
        <v>10106.777777777777</v>
      </c>
      <c r="AB146" s="863">
        <v>11534.909420289856</v>
      </c>
      <c r="AE146">
        <v>196</v>
      </c>
      <c r="AF146" s="3965">
        <v>126</v>
      </c>
      <c r="AG146" s="3965" t="b">
        <v>1</v>
      </c>
      <c r="AH146">
        <v>196</v>
      </c>
      <c r="AI146">
        <v>96</v>
      </c>
      <c r="AJ146">
        <v>59</v>
      </c>
      <c r="AK146">
        <v>70</v>
      </c>
      <c r="AL146" t="s">
        <v>2129</v>
      </c>
      <c r="AM146" t="s">
        <v>2129</v>
      </c>
      <c r="AN146">
        <v>-30</v>
      </c>
      <c r="AO146">
        <v>-67</v>
      </c>
      <c r="AQ146" t="s">
        <v>2129</v>
      </c>
      <c r="AV146" t="s">
        <v>2129</v>
      </c>
      <c r="AW146" t="s">
        <v>2129</v>
      </c>
      <c r="AX146" t="s">
        <v>2129</v>
      </c>
      <c r="AY146" t="s">
        <v>2129</v>
      </c>
      <c r="AZ146">
        <v>32</v>
      </c>
      <c r="BA146">
        <v>11</v>
      </c>
      <c r="BB146">
        <v>32</v>
      </c>
      <c r="BC146" t="s">
        <v>2129</v>
      </c>
      <c r="BD146" t="s">
        <v>2129</v>
      </c>
      <c r="BE146" t="s">
        <v>2129</v>
      </c>
      <c r="BF146" t="s">
        <v>2129</v>
      </c>
      <c r="BG146" t="s">
        <v>2129</v>
      </c>
      <c r="BH146" s="1958" t="s">
        <v>2129</v>
      </c>
      <c r="BI146"/>
      <c r="BJ146" s="863" t="s">
        <v>2129</v>
      </c>
      <c r="BK146" s="863">
        <v>31048021.333333332</v>
      </c>
      <c r="BL146" s="863" t="s">
        <v>2129</v>
      </c>
      <c r="BM146" s="863" t="s">
        <v>2129</v>
      </c>
      <c r="BN146" s="863">
        <v>6559298.777777778</v>
      </c>
      <c r="BO146" s="863">
        <v>22639182.22222222</v>
      </c>
      <c r="BP146" s="863" t="s">
        <v>2129</v>
      </c>
      <c r="BQ146" s="863" t="s">
        <v>2129</v>
      </c>
      <c r="BR146" s="863" t="s">
        <v>2129</v>
      </c>
      <c r="BS146" s="863" t="s">
        <v>2129</v>
      </c>
      <c r="BT146" s="863" t="s">
        <v>2129</v>
      </c>
      <c r="BU146" s="863" t="s">
        <v>2129</v>
      </c>
      <c r="BV146" s="863" t="s">
        <v>2129</v>
      </c>
      <c r="BW146" s="863" t="s">
        <v>2129</v>
      </c>
      <c r="BX146" s="863" t="s">
        <v>2129</v>
      </c>
      <c r="BY146" s="863" t="s">
        <v>2129</v>
      </c>
      <c r="BZ146" s="863" t="s">
        <v>2129</v>
      </c>
      <c r="CA146" s="863" t="s">
        <v>2129</v>
      </c>
      <c r="CB146" s="863"/>
      <c r="CC146" s="863" t="s">
        <v>2129</v>
      </c>
      <c r="CD146" s="863" t="s">
        <v>2129</v>
      </c>
      <c r="CE146" s="863" t="s">
        <v>2129</v>
      </c>
      <c r="CF146" s="863" t="s">
        <v>2129</v>
      </c>
      <c r="CG146" s="863"/>
      <c r="CH146" s="5785"/>
    </row>
    <row r="147" spans="1:86" ht="13" hidden="1">
      <c r="A147">
        <v>290</v>
      </c>
      <c r="B147" s="196" t="s">
        <v>3366</v>
      </c>
      <c r="C147" s="5785" t="s">
        <v>3694</v>
      </c>
      <c r="D147" s="5785" t="s">
        <v>2129</v>
      </c>
      <c r="E147" s="5785" t="s">
        <v>2129</v>
      </c>
      <c r="F147" s="5785" t="s">
        <v>2129</v>
      </c>
      <c r="G147" s="5785" t="s">
        <v>2129</v>
      </c>
      <c r="H147" s="5785">
        <v>0</v>
      </c>
      <c r="I147" s="5785">
        <v>0</v>
      </c>
      <c r="J147" s="5785" t="b">
        <v>0</v>
      </c>
      <c r="K147" s="5785" t="s">
        <v>2129</v>
      </c>
      <c r="L147" s="5786">
        <v>0</v>
      </c>
      <c r="M147" s="5786">
        <v>0</v>
      </c>
      <c r="N147" s="5786">
        <v>0</v>
      </c>
      <c r="O147" s="5786">
        <v>0</v>
      </c>
      <c r="P147" s="5786">
        <v>0</v>
      </c>
      <c r="Q147" s="2476">
        <v>0</v>
      </c>
      <c r="R147" s="2477">
        <v>0</v>
      </c>
      <c r="S147" s="2477" t="b">
        <v>1</v>
      </c>
      <c r="T147" s="5786" t="s">
        <v>2129</v>
      </c>
      <c r="U147" s="5786">
        <v>0</v>
      </c>
      <c r="V147" s="863">
        <v>543543</v>
      </c>
      <c r="W147" s="863">
        <v>543543</v>
      </c>
      <c r="X147" s="863" t="b">
        <v>1</v>
      </c>
      <c r="Y147" s="863">
        <v>7764.9</v>
      </c>
      <c r="AB147" s="863">
        <v>5626.739130434783</v>
      </c>
      <c r="AE147">
        <v>171</v>
      </c>
      <c r="AF147" s="3965">
        <v>70</v>
      </c>
      <c r="AG147" s="3965" t="b">
        <v>1</v>
      </c>
      <c r="AH147">
        <v>177</v>
      </c>
      <c r="AI147">
        <v>84</v>
      </c>
      <c r="AJ147" t="s">
        <v>2129</v>
      </c>
      <c r="AK147" t="s">
        <v>2129</v>
      </c>
      <c r="AL147" t="s">
        <v>2129</v>
      </c>
      <c r="AM147" t="s">
        <v>2129</v>
      </c>
      <c r="AN147">
        <v>14</v>
      </c>
      <c r="AQ147" t="s">
        <v>2129</v>
      </c>
      <c r="AV147" t="s">
        <v>2129</v>
      </c>
      <c r="AW147" t="s">
        <v>2129</v>
      </c>
      <c r="AX147" t="s">
        <v>2129</v>
      </c>
      <c r="AY147" t="s">
        <v>2129</v>
      </c>
      <c r="AZ147">
        <v>32</v>
      </c>
      <c r="BA147" t="s">
        <v>2129</v>
      </c>
      <c r="BB147" t="s">
        <v>2129</v>
      </c>
      <c r="BC147" t="s">
        <v>2129</v>
      </c>
      <c r="BD147" t="s">
        <v>2129</v>
      </c>
      <c r="BE147" t="s">
        <v>2129</v>
      </c>
      <c r="BF147" t="s">
        <v>2129</v>
      </c>
      <c r="BG147" t="s">
        <v>2129</v>
      </c>
      <c r="BH147" s="1958" t="s">
        <v>2129</v>
      </c>
      <c r="BI147"/>
      <c r="BJ147" s="863" t="s">
        <v>2129</v>
      </c>
      <c r="BK147" s="863">
        <v>20872051.199999999</v>
      </c>
      <c r="BL147" s="863" t="s">
        <v>2129</v>
      </c>
      <c r="BM147" s="863" t="s">
        <v>2129</v>
      </c>
      <c r="BN147" s="863" t="s">
        <v>2129</v>
      </c>
      <c r="BO147" s="863" t="s">
        <v>2129</v>
      </c>
      <c r="BP147" s="863" t="s">
        <v>2129</v>
      </c>
      <c r="BQ147" s="863" t="s">
        <v>2129</v>
      </c>
      <c r="BR147" s="863" t="s">
        <v>2129</v>
      </c>
      <c r="BS147" s="863" t="s">
        <v>2129</v>
      </c>
      <c r="BT147" s="863" t="s">
        <v>2129</v>
      </c>
      <c r="BU147" s="863" t="s">
        <v>2129</v>
      </c>
      <c r="BV147" s="863" t="s">
        <v>2129</v>
      </c>
      <c r="BW147" s="863" t="s">
        <v>2129</v>
      </c>
      <c r="BX147" s="863" t="s">
        <v>2129</v>
      </c>
      <c r="BY147" s="863" t="s">
        <v>2129</v>
      </c>
      <c r="BZ147" s="863" t="s">
        <v>2129</v>
      </c>
      <c r="CA147" s="863" t="s">
        <v>2129</v>
      </c>
      <c r="CB147" s="863"/>
      <c r="CC147" s="863" t="s">
        <v>2129</v>
      </c>
      <c r="CD147" s="863" t="s">
        <v>2129</v>
      </c>
      <c r="CE147" s="863" t="s">
        <v>2129</v>
      </c>
      <c r="CF147" s="863" t="s">
        <v>2129</v>
      </c>
      <c r="CG147" s="863"/>
      <c r="CH147" s="5785"/>
    </row>
    <row r="148" spans="1:86" s="5782" customFormat="1" ht="13" hidden="1">
      <c r="A148" s="5782">
        <v>292</v>
      </c>
      <c r="B148" s="5783" t="s">
        <v>3367</v>
      </c>
      <c r="C148" s="5784" t="s">
        <v>2129</v>
      </c>
      <c r="D148" s="5784" t="s">
        <v>2129</v>
      </c>
      <c r="E148" s="5784" t="s">
        <v>2129</v>
      </c>
      <c r="F148" s="5784" t="s">
        <v>2129</v>
      </c>
      <c r="G148" s="5784" t="s">
        <v>2129</v>
      </c>
      <c r="H148" s="5784">
        <v>0</v>
      </c>
      <c r="I148" s="5784">
        <v>0</v>
      </c>
      <c r="J148" s="5785" t="b">
        <v>0</v>
      </c>
      <c r="K148" s="5785" t="s">
        <v>2129</v>
      </c>
      <c r="L148" s="5786">
        <v>0</v>
      </c>
      <c r="M148" s="5786">
        <v>0</v>
      </c>
      <c r="N148" s="5786">
        <v>0</v>
      </c>
      <c r="O148" s="5786">
        <v>0</v>
      </c>
      <c r="P148" s="5786">
        <v>0</v>
      </c>
      <c r="Q148" s="2476">
        <v>0</v>
      </c>
      <c r="R148" s="5787">
        <v>0</v>
      </c>
      <c r="S148" s="2477" t="b">
        <v>1</v>
      </c>
      <c r="T148" s="5787" t="s">
        <v>2129</v>
      </c>
      <c r="U148" s="5787">
        <v>0</v>
      </c>
      <c r="V148" s="5788">
        <v>964616</v>
      </c>
      <c r="W148" s="5788">
        <v>964616</v>
      </c>
      <c r="X148" s="5788" t="b">
        <v>0</v>
      </c>
      <c r="Y148" s="5788">
        <v>8536.424778761062</v>
      </c>
      <c r="Z148" s="5788"/>
      <c r="AA148" s="5788"/>
      <c r="AB148" s="5788" t="s">
        <v>2129</v>
      </c>
      <c r="AC148" s="5788"/>
      <c r="AD148" s="5788"/>
      <c r="AE148" s="5782">
        <v>113</v>
      </c>
      <c r="AF148" s="5789">
        <v>113</v>
      </c>
      <c r="AG148" s="5789" t="b">
        <v>0</v>
      </c>
      <c r="AH148" s="5782">
        <v>113</v>
      </c>
      <c r="AI148" s="5782" t="s">
        <v>2129</v>
      </c>
      <c r="AJ148" s="5782" t="s">
        <v>2129</v>
      </c>
      <c r="AK148" s="5782" t="s">
        <v>2129</v>
      </c>
      <c r="AL148" s="5782" t="s">
        <v>2129</v>
      </c>
      <c r="AM148" s="5782" t="s">
        <v>2129</v>
      </c>
      <c r="AN148" s="5782" t="s">
        <v>2129</v>
      </c>
      <c r="AQ148" s="5782" t="s">
        <v>2129</v>
      </c>
      <c r="AV148" s="5782" t="s">
        <v>2129</v>
      </c>
      <c r="AW148" s="5782" t="s">
        <v>2129</v>
      </c>
      <c r="AX148" s="5782" t="s">
        <v>2129</v>
      </c>
      <c r="AY148" s="5782" t="s">
        <v>2129</v>
      </c>
      <c r="AZ148" s="5782" t="s">
        <v>2129</v>
      </c>
      <c r="BA148" s="5782" t="s">
        <v>2129</v>
      </c>
      <c r="BB148" s="5782" t="s">
        <v>2129</v>
      </c>
      <c r="BC148" s="5782" t="s">
        <v>2129</v>
      </c>
      <c r="BD148" s="5782" t="s">
        <v>2129</v>
      </c>
      <c r="BE148" s="5782" t="s">
        <v>2129</v>
      </c>
      <c r="BF148" s="5782" t="s">
        <v>2129</v>
      </c>
      <c r="BG148" s="5782" t="s">
        <v>2129</v>
      </c>
      <c r="BH148" s="5788" t="s">
        <v>2129</v>
      </c>
      <c r="BJ148" s="5788" t="s">
        <v>2129</v>
      </c>
      <c r="BK148" s="5788" t="s">
        <v>2129</v>
      </c>
      <c r="BL148" s="5788" t="s">
        <v>2129</v>
      </c>
      <c r="BM148" s="5788" t="s">
        <v>2129</v>
      </c>
      <c r="BN148" s="5788" t="s">
        <v>2129</v>
      </c>
      <c r="BO148" s="5788" t="s">
        <v>2129</v>
      </c>
      <c r="BP148" s="5788" t="s">
        <v>2129</v>
      </c>
      <c r="BQ148" s="5788" t="s">
        <v>2129</v>
      </c>
      <c r="BR148" s="5788" t="s">
        <v>2129</v>
      </c>
      <c r="BS148" s="5788" t="s">
        <v>2129</v>
      </c>
      <c r="BT148" s="5788" t="s">
        <v>2129</v>
      </c>
      <c r="BU148" s="5788" t="s">
        <v>2129</v>
      </c>
      <c r="BV148" s="5788" t="s">
        <v>2129</v>
      </c>
      <c r="BW148" s="5788" t="s">
        <v>2129</v>
      </c>
      <c r="BX148" s="5788" t="s">
        <v>2129</v>
      </c>
      <c r="BY148" s="5788" t="s">
        <v>2129</v>
      </c>
      <c r="BZ148" s="5788" t="s">
        <v>2129</v>
      </c>
      <c r="CA148" s="5788" t="s">
        <v>2129</v>
      </c>
      <c r="CB148" s="5788"/>
      <c r="CC148" s="5788" t="s">
        <v>2129</v>
      </c>
      <c r="CD148" s="5788" t="s">
        <v>2129</v>
      </c>
      <c r="CE148" s="5788" t="s">
        <v>2129</v>
      </c>
      <c r="CF148" s="5788" t="s">
        <v>2129</v>
      </c>
      <c r="CG148" s="5788"/>
      <c r="CH148" s="5784"/>
    </row>
    <row r="149" spans="1:86" s="5782" customFormat="1" ht="13" hidden="1">
      <c r="A149" s="5782">
        <v>293</v>
      </c>
      <c r="B149" s="5783" t="s">
        <v>3368</v>
      </c>
      <c r="C149" s="5784" t="s">
        <v>2129</v>
      </c>
      <c r="D149" s="5784" t="s">
        <v>2129</v>
      </c>
      <c r="E149" s="5784" t="s">
        <v>2129</v>
      </c>
      <c r="F149" s="5784" t="s">
        <v>2129</v>
      </c>
      <c r="G149" s="5784" t="s">
        <v>2129</v>
      </c>
      <c r="H149" s="5784">
        <v>0</v>
      </c>
      <c r="I149" s="5784">
        <v>0</v>
      </c>
      <c r="J149" s="5785" t="b">
        <v>0</v>
      </c>
      <c r="K149" s="5785" t="s">
        <v>2129</v>
      </c>
      <c r="L149" s="5786">
        <v>0</v>
      </c>
      <c r="M149" s="5786">
        <v>0</v>
      </c>
      <c r="N149" s="5786">
        <v>0</v>
      </c>
      <c r="O149" s="5786">
        <v>0</v>
      </c>
      <c r="P149" s="5786">
        <v>0</v>
      </c>
      <c r="Q149" s="2476">
        <v>0</v>
      </c>
      <c r="R149" s="5787">
        <v>0</v>
      </c>
      <c r="S149" s="2477" t="b">
        <v>1</v>
      </c>
      <c r="T149" s="5787" t="s">
        <v>2129</v>
      </c>
      <c r="U149" s="5787">
        <v>0</v>
      </c>
      <c r="V149" s="5788">
        <v>2337584</v>
      </c>
      <c r="W149" s="5788">
        <v>2337584</v>
      </c>
      <c r="X149" s="5788" t="b">
        <v>1</v>
      </c>
      <c r="Y149" s="5788">
        <v>24867.91489361702</v>
      </c>
      <c r="Z149" s="5788"/>
      <c r="AA149" s="5788"/>
      <c r="AB149" s="5788" t="s">
        <v>2129</v>
      </c>
      <c r="AC149" s="5788"/>
      <c r="AD149" s="5788"/>
      <c r="AE149" s="5782">
        <v>113</v>
      </c>
      <c r="AF149" s="5789">
        <v>94</v>
      </c>
      <c r="AG149" s="5789" t="b">
        <v>1</v>
      </c>
      <c r="AH149" s="5782">
        <v>97</v>
      </c>
      <c r="AI149" s="5782" t="s">
        <v>2129</v>
      </c>
      <c r="AJ149" s="5782" t="s">
        <v>2129</v>
      </c>
      <c r="AK149" s="5782" t="s">
        <v>2129</v>
      </c>
      <c r="AL149" s="5782" t="s">
        <v>2129</v>
      </c>
      <c r="AM149" s="5782" t="s">
        <v>2129</v>
      </c>
      <c r="AN149" s="5782" t="s">
        <v>2129</v>
      </c>
      <c r="AQ149" s="5782" t="s">
        <v>2129</v>
      </c>
      <c r="AV149" s="5782" t="s">
        <v>2129</v>
      </c>
      <c r="AW149" s="5782" t="s">
        <v>2129</v>
      </c>
      <c r="AX149" s="5782" t="s">
        <v>2129</v>
      </c>
      <c r="AY149" s="5782" t="s">
        <v>2129</v>
      </c>
      <c r="AZ149" s="5782" t="s">
        <v>2129</v>
      </c>
      <c r="BA149" s="5782" t="s">
        <v>2129</v>
      </c>
      <c r="BB149" s="5782" t="s">
        <v>2129</v>
      </c>
      <c r="BC149" s="5782" t="s">
        <v>2129</v>
      </c>
      <c r="BD149" s="5782" t="s">
        <v>2129</v>
      </c>
      <c r="BE149" s="5782" t="s">
        <v>2129</v>
      </c>
      <c r="BF149" s="5782" t="s">
        <v>2129</v>
      </c>
      <c r="BG149" s="5782" t="s">
        <v>2129</v>
      </c>
      <c r="BH149" s="5788" t="s">
        <v>2129</v>
      </c>
      <c r="BJ149" s="5788" t="s">
        <v>2129</v>
      </c>
      <c r="BK149" s="5788" t="s">
        <v>2129</v>
      </c>
      <c r="BL149" s="5788" t="s">
        <v>2129</v>
      </c>
      <c r="BM149" s="5788" t="s">
        <v>2129</v>
      </c>
      <c r="BN149" s="5788" t="s">
        <v>2129</v>
      </c>
      <c r="BO149" s="5788" t="s">
        <v>2129</v>
      </c>
      <c r="BP149" s="5788" t="s">
        <v>2129</v>
      </c>
      <c r="BQ149" s="5788" t="s">
        <v>2129</v>
      </c>
      <c r="BR149" s="5788" t="s">
        <v>2129</v>
      </c>
      <c r="BS149" s="5788" t="s">
        <v>2129</v>
      </c>
      <c r="BT149" s="5788" t="s">
        <v>2129</v>
      </c>
      <c r="BU149" s="5788" t="s">
        <v>2129</v>
      </c>
      <c r="BV149" s="5788" t="s">
        <v>2129</v>
      </c>
      <c r="BW149" s="5788" t="s">
        <v>2129</v>
      </c>
      <c r="BX149" s="5788" t="s">
        <v>2129</v>
      </c>
      <c r="BY149" s="5788" t="s">
        <v>2129</v>
      </c>
      <c r="BZ149" s="5788" t="s">
        <v>2129</v>
      </c>
      <c r="CA149" s="5788" t="s">
        <v>2129</v>
      </c>
      <c r="CB149" s="5788"/>
      <c r="CC149" s="5788" t="s">
        <v>2129</v>
      </c>
      <c r="CD149" s="5788" t="s">
        <v>2129</v>
      </c>
      <c r="CE149" s="5788" t="s">
        <v>2129</v>
      </c>
      <c r="CF149" s="5788" t="s">
        <v>2129</v>
      </c>
      <c r="CG149" s="5788"/>
      <c r="CH149" s="5784"/>
    </row>
    <row r="150" spans="1:86" ht="13" hidden="1">
      <c r="A150">
        <v>295</v>
      </c>
      <c r="B150" s="196" t="s">
        <v>3369</v>
      </c>
      <c r="C150" s="5785" t="s">
        <v>2129</v>
      </c>
      <c r="D150" s="2694" t="s">
        <v>3791</v>
      </c>
      <c r="E150" s="2694" t="s">
        <v>2129</v>
      </c>
      <c r="F150" s="5785" t="s">
        <v>2129</v>
      </c>
      <c r="G150" s="5785" t="s">
        <v>2129</v>
      </c>
      <c r="H150" s="5785">
        <v>1</v>
      </c>
      <c r="I150" s="5785">
        <v>1</v>
      </c>
      <c r="J150" s="5785" t="b">
        <v>0</v>
      </c>
      <c r="K150" s="5785" t="s">
        <v>2129</v>
      </c>
      <c r="L150" s="5786">
        <v>117648</v>
      </c>
      <c r="M150" s="5786">
        <v>0</v>
      </c>
      <c r="N150" s="5786">
        <v>0</v>
      </c>
      <c r="O150" s="5786">
        <v>0</v>
      </c>
      <c r="P150" s="5786">
        <v>0</v>
      </c>
      <c r="Q150" s="2476">
        <v>129412.80000000002</v>
      </c>
      <c r="R150" s="2477">
        <v>129412</v>
      </c>
      <c r="S150" s="2477" t="b">
        <v>0</v>
      </c>
      <c r="T150" s="5786">
        <v>129412</v>
      </c>
      <c r="U150" s="5786">
        <v>0</v>
      </c>
      <c r="V150" s="863">
        <v>656159</v>
      </c>
      <c r="W150" s="863">
        <v>656159</v>
      </c>
      <c r="X150" s="863" t="b">
        <v>1</v>
      </c>
      <c r="Y150" s="863">
        <v>12380.358490566037</v>
      </c>
      <c r="AB150" s="863" t="s">
        <v>2129</v>
      </c>
      <c r="AE150">
        <v>53</v>
      </c>
      <c r="AF150" s="3965">
        <v>53</v>
      </c>
      <c r="AG150" s="3965" t="b">
        <v>1</v>
      </c>
      <c r="AH150">
        <v>55</v>
      </c>
      <c r="AI150" t="s">
        <v>2129</v>
      </c>
      <c r="AJ150">
        <v>51</v>
      </c>
      <c r="AK150" t="s">
        <v>2129</v>
      </c>
      <c r="AL150" t="s">
        <v>2129</v>
      </c>
      <c r="AM150" t="s">
        <v>2129</v>
      </c>
      <c r="AN150" t="s">
        <v>2129</v>
      </c>
      <c r="AQ150" t="s">
        <v>2129</v>
      </c>
      <c r="AV150" t="s">
        <v>2129</v>
      </c>
      <c r="AW150" t="s">
        <v>2129</v>
      </c>
      <c r="AX150" t="s">
        <v>2129</v>
      </c>
      <c r="AY150" t="s">
        <v>2129</v>
      </c>
      <c r="AZ150" t="s">
        <v>2129</v>
      </c>
      <c r="BA150">
        <v>11</v>
      </c>
      <c r="BB150" t="s">
        <v>2129</v>
      </c>
      <c r="BC150" t="s">
        <v>2129</v>
      </c>
      <c r="BD150" t="s">
        <v>2129</v>
      </c>
      <c r="BE150" t="s">
        <v>2129</v>
      </c>
      <c r="BF150" t="s">
        <v>2129</v>
      </c>
      <c r="BG150" t="s">
        <v>2129</v>
      </c>
      <c r="BH150" s="1958" t="s">
        <v>2129</v>
      </c>
      <c r="BI150"/>
      <c r="BJ150" s="863" t="s">
        <v>2129</v>
      </c>
      <c r="BK150" s="863" t="s">
        <v>2129</v>
      </c>
      <c r="BL150" s="863" t="s">
        <v>2129</v>
      </c>
      <c r="BM150" s="863" t="s">
        <v>2129</v>
      </c>
      <c r="BN150" s="863">
        <v>6945381.113207547</v>
      </c>
      <c r="BO150" s="863" t="s">
        <v>2129</v>
      </c>
      <c r="BP150" s="863" t="s">
        <v>2129</v>
      </c>
      <c r="BQ150" s="863" t="s">
        <v>2129</v>
      </c>
      <c r="BR150" s="863" t="s">
        <v>2129</v>
      </c>
      <c r="BS150" s="863" t="s">
        <v>2129</v>
      </c>
      <c r="BT150" s="863" t="s">
        <v>2129</v>
      </c>
      <c r="BU150" s="863" t="s">
        <v>2129</v>
      </c>
      <c r="BV150" s="863" t="s">
        <v>2129</v>
      </c>
      <c r="BW150" s="863" t="s">
        <v>2129</v>
      </c>
      <c r="BX150" s="863" t="s">
        <v>2129</v>
      </c>
      <c r="BY150" s="863" t="s">
        <v>2129</v>
      </c>
      <c r="BZ150" s="863" t="s">
        <v>2129</v>
      </c>
      <c r="CA150" s="863" t="s">
        <v>2129</v>
      </c>
      <c r="CB150" s="863"/>
      <c r="CC150" s="863" t="s">
        <v>2129</v>
      </c>
      <c r="CD150" s="863" t="s">
        <v>2129</v>
      </c>
      <c r="CE150" s="863" t="s">
        <v>2129</v>
      </c>
      <c r="CF150" s="863" t="s">
        <v>2129</v>
      </c>
      <c r="CG150" s="863"/>
      <c r="CH150" s="5785"/>
    </row>
    <row r="151" spans="1:86" ht="13">
      <c r="A151">
        <v>298</v>
      </c>
      <c r="B151" s="196" t="s">
        <v>2844</v>
      </c>
      <c r="C151" s="5790" t="s">
        <v>6598</v>
      </c>
      <c r="D151" s="5790" t="s">
        <v>6599</v>
      </c>
      <c r="E151" s="5790" t="s">
        <v>2129</v>
      </c>
      <c r="F151" s="5792" t="s">
        <v>5205</v>
      </c>
      <c r="G151" s="5792" t="s">
        <v>2129</v>
      </c>
      <c r="H151" s="5785">
        <v>1</v>
      </c>
      <c r="I151" s="2694">
        <v>1</v>
      </c>
      <c r="J151" s="2694" t="b">
        <v>1</v>
      </c>
      <c r="K151" s="5785">
        <v>0</v>
      </c>
      <c r="L151" s="5786">
        <v>117648</v>
      </c>
      <c r="M151" s="5786">
        <v>0</v>
      </c>
      <c r="N151" s="5786">
        <v>0</v>
      </c>
      <c r="O151" s="5786">
        <v>0</v>
      </c>
      <c r="P151" s="5786">
        <v>0</v>
      </c>
      <c r="Q151" s="2476">
        <v>129412.80000000002</v>
      </c>
      <c r="R151" s="2477">
        <v>129412</v>
      </c>
      <c r="S151" s="2477" t="b">
        <v>1</v>
      </c>
      <c r="T151" s="5786">
        <v>129412</v>
      </c>
      <c r="U151" s="5786">
        <v>1210002</v>
      </c>
      <c r="V151" s="863">
        <v>13219654</v>
      </c>
      <c r="W151" s="863">
        <v>12009652</v>
      </c>
      <c r="X151" s="863" t="b">
        <v>1</v>
      </c>
      <c r="Y151" s="863">
        <v>45838.366412213742</v>
      </c>
      <c r="Z151" s="863">
        <v>35295</v>
      </c>
      <c r="AA151" s="863">
        <v>64706</v>
      </c>
      <c r="AB151" s="863">
        <v>24572.178005115093</v>
      </c>
      <c r="AC151" s="863">
        <v>2550</v>
      </c>
      <c r="AE151">
        <v>319</v>
      </c>
      <c r="AF151" s="3965">
        <v>262</v>
      </c>
      <c r="AG151" s="3965" t="b">
        <v>1</v>
      </c>
      <c r="AH151" s="2814">
        <v>427</v>
      </c>
      <c r="AI151">
        <v>425</v>
      </c>
      <c r="AJ151" t="s">
        <v>2129</v>
      </c>
      <c r="AK151" t="s">
        <v>2129</v>
      </c>
      <c r="AL151">
        <v>319</v>
      </c>
      <c r="AM151" t="s">
        <v>2129</v>
      </c>
      <c r="AN151">
        <v>163</v>
      </c>
      <c r="AQ151">
        <v>57</v>
      </c>
      <c r="AV151">
        <v>15</v>
      </c>
      <c r="AW151">
        <v>16</v>
      </c>
      <c r="AX151" t="s">
        <v>2129</v>
      </c>
      <c r="AY151" t="s">
        <v>2129</v>
      </c>
      <c r="AZ151" t="s">
        <v>2129</v>
      </c>
      <c r="BA151" t="s">
        <v>2129</v>
      </c>
      <c r="BB151" t="s">
        <v>2129</v>
      </c>
      <c r="BC151">
        <v>18</v>
      </c>
      <c r="BD151" t="s">
        <v>2129</v>
      </c>
      <c r="BE151" t="s">
        <v>2129</v>
      </c>
      <c r="BF151" t="s">
        <v>2129</v>
      </c>
      <c r="BG151" t="s">
        <v>2129</v>
      </c>
      <c r="BH151" s="1958">
        <v>180144780</v>
      </c>
      <c r="BI151" s="1958">
        <v>192154432</v>
      </c>
      <c r="BJ151" s="1958" t="s">
        <v>2129</v>
      </c>
      <c r="BK151" s="1958" t="s">
        <v>2129</v>
      </c>
      <c r="BL151" s="1958" t="s">
        <v>2129</v>
      </c>
      <c r="BM151" s="1958" t="s">
        <v>2129</v>
      </c>
      <c r="BN151" s="1958" t="s">
        <v>2129</v>
      </c>
      <c r="BO151" s="1958" t="s">
        <v>2129</v>
      </c>
      <c r="BP151" s="1958">
        <v>263203899.93893132</v>
      </c>
      <c r="BQ151" s="863">
        <v>263203899.93893132</v>
      </c>
      <c r="BR151" s="863" t="s">
        <v>2129</v>
      </c>
      <c r="BS151" s="1958" t="s">
        <v>2129</v>
      </c>
      <c r="BT151" s="1958" t="s">
        <v>2129</v>
      </c>
      <c r="BU151" s="1958" t="s">
        <v>2129</v>
      </c>
      <c r="BV151" s="1958" t="s">
        <v>2129</v>
      </c>
      <c r="BW151" s="1958" t="s">
        <v>2129</v>
      </c>
      <c r="BX151" s="1958">
        <v>1941180</v>
      </c>
      <c r="BY151" s="1958">
        <v>2070592</v>
      </c>
      <c r="BZ151" s="1958" t="s">
        <v>2129</v>
      </c>
      <c r="CA151" s="1958" t="s">
        <v>2129</v>
      </c>
      <c r="CC151" s="1958">
        <v>2329416</v>
      </c>
      <c r="CD151" s="1958">
        <v>2329416</v>
      </c>
      <c r="CE151" s="1958" t="s">
        <v>2129</v>
      </c>
      <c r="CF151" s="1958" t="s">
        <v>2129</v>
      </c>
      <c r="CH151" s="5785"/>
    </row>
    <row r="152" spans="1:86" ht="13">
      <c r="A152">
        <v>299</v>
      </c>
      <c r="B152" s="196" t="s">
        <v>2838</v>
      </c>
      <c r="C152" s="5790" t="s">
        <v>6598</v>
      </c>
      <c r="D152" s="5790" t="s">
        <v>6599</v>
      </c>
      <c r="E152" s="5790" t="s">
        <v>2129</v>
      </c>
      <c r="F152" s="5785" t="s">
        <v>2129</v>
      </c>
      <c r="G152" s="5785" t="s">
        <v>2129</v>
      </c>
      <c r="H152" s="5785">
        <v>0</v>
      </c>
      <c r="I152" s="5785">
        <v>0</v>
      </c>
      <c r="J152" s="5785" t="b">
        <v>1</v>
      </c>
      <c r="K152" s="5785" t="s">
        <v>2129</v>
      </c>
      <c r="L152" s="5786">
        <v>0</v>
      </c>
      <c r="M152" s="5786">
        <v>0</v>
      </c>
      <c r="N152" s="5786">
        <v>0</v>
      </c>
      <c r="O152" s="5786">
        <v>0</v>
      </c>
      <c r="P152" s="5786">
        <v>0</v>
      </c>
      <c r="Q152" s="2476">
        <v>0</v>
      </c>
      <c r="R152" s="2477">
        <v>0</v>
      </c>
      <c r="S152" s="2477" t="b">
        <v>1</v>
      </c>
      <c r="T152" s="5786" t="s">
        <v>2129</v>
      </c>
      <c r="U152" s="5786">
        <v>0</v>
      </c>
      <c r="V152" s="863">
        <v>15815654</v>
      </c>
      <c r="W152" s="863">
        <v>15815654</v>
      </c>
      <c r="X152" s="863" t="b">
        <v>1</v>
      </c>
      <c r="Y152" s="863">
        <v>12298.331259720062</v>
      </c>
      <c r="Z152" s="863">
        <v>9765</v>
      </c>
      <c r="AA152" s="863">
        <v>13883</v>
      </c>
      <c r="AB152" s="863">
        <v>11694.509020999705</v>
      </c>
      <c r="AC152" s="863">
        <v>0</v>
      </c>
      <c r="AE152">
        <v>1286</v>
      </c>
      <c r="AF152" s="3965">
        <v>1286</v>
      </c>
      <c r="AG152" s="3965" t="b">
        <v>1</v>
      </c>
      <c r="AH152" s="2814">
        <v>1287</v>
      </c>
      <c r="AI152">
        <v>1176</v>
      </c>
      <c r="AJ152" t="s">
        <v>2129</v>
      </c>
      <c r="AK152" t="s">
        <v>2129</v>
      </c>
      <c r="AL152" t="s">
        <v>2129</v>
      </c>
      <c r="AM152" t="s">
        <v>2129</v>
      </c>
      <c r="AN152">
        <v>-110</v>
      </c>
      <c r="AQ152" t="s">
        <v>2129</v>
      </c>
      <c r="AV152">
        <v>29</v>
      </c>
      <c r="AW152">
        <v>22</v>
      </c>
      <c r="AX152" t="s">
        <v>2129</v>
      </c>
      <c r="AY152" t="s">
        <v>2129</v>
      </c>
      <c r="AZ152" t="s">
        <v>2129</v>
      </c>
      <c r="BA152" t="s">
        <v>2129</v>
      </c>
      <c r="BB152" t="s">
        <v>2129</v>
      </c>
      <c r="BC152" t="s">
        <v>2129</v>
      </c>
      <c r="BD152" t="s">
        <v>2129</v>
      </c>
      <c r="BE152" t="s">
        <v>2129</v>
      </c>
      <c r="BF152" t="s">
        <v>2129</v>
      </c>
      <c r="BG152" t="s">
        <v>2129</v>
      </c>
      <c r="BH152" s="1958">
        <v>458653966</v>
      </c>
      <c r="BI152" s="1958">
        <v>347944388</v>
      </c>
      <c r="BJ152" s="1958" t="s">
        <v>2129</v>
      </c>
      <c r="BK152" s="1958" t="s">
        <v>2129</v>
      </c>
      <c r="BL152" s="1958" t="s">
        <v>2129</v>
      </c>
      <c r="BM152" s="1958" t="s">
        <v>2129</v>
      </c>
      <c r="BN152" s="1958" t="s">
        <v>2129</v>
      </c>
      <c r="BO152" s="1958" t="s">
        <v>2129</v>
      </c>
      <c r="BP152" s="1958" t="s">
        <v>2129</v>
      </c>
      <c r="BQ152" s="863" t="s">
        <v>2129</v>
      </c>
      <c r="BR152" s="863" t="s">
        <v>2129</v>
      </c>
      <c r="BS152" s="1958" t="s">
        <v>2129</v>
      </c>
      <c r="BT152" s="1958" t="s">
        <v>2129</v>
      </c>
      <c r="BU152" s="1958" t="s">
        <v>2129</v>
      </c>
      <c r="BV152" s="1958" t="s">
        <v>2129</v>
      </c>
      <c r="BW152" s="1958" t="s">
        <v>2129</v>
      </c>
      <c r="BX152" s="1958" t="s">
        <v>2129</v>
      </c>
      <c r="BY152" s="1958" t="s">
        <v>2129</v>
      </c>
      <c r="BZ152" s="1958" t="s">
        <v>2129</v>
      </c>
      <c r="CA152" s="1958" t="s">
        <v>2129</v>
      </c>
      <c r="CC152" s="1958" t="s">
        <v>2129</v>
      </c>
      <c r="CD152" s="1958" t="s">
        <v>2129</v>
      </c>
      <c r="CE152" s="1958" t="s">
        <v>2129</v>
      </c>
      <c r="CF152" s="1958" t="s">
        <v>2129</v>
      </c>
      <c r="CH152" s="5785"/>
    </row>
    <row r="153" spans="1:86" ht="13">
      <c r="A153">
        <v>300</v>
      </c>
      <c r="B153" s="196" t="s">
        <v>2840</v>
      </c>
      <c r="C153" s="5799" t="s">
        <v>6598</v>
      </c>
      <c r="D153" s="5799" t="s">
        <v>2129</v>
      </c>
      <c r="E153" s="5799" t="s">
        <v>2129</v>
      </c>
      <c r="F153" s="5785" t="s">
        <v>2129</v>
      </c>
      <c r="G153" s="5785" t="s">
        <v>2129</v>
      </c>
      <c r="H153" s="5785">
        <v>1</v>
      </c>
      <c r="I153" s="5785">
        <v>1</v>
      </c>
      <c r="J153" s="5785" t="b">
        <v>1</v>
      </c>
      <c r="K153" s="5785" t="s">
        <v>2129</v>
      </c>
      <c r="L153" s="5786">
        <v>58824</v>
      </c>
      <c r="M153" s="5786">
        <v>0</v>
      </c>
      <c r="N153" s="5786">
        <v>0</v>
      </c>
      <c r="O153" s="5786">
        <v>0</v>
      </c>
      <c r="P153" s="5786">
        <v>0</v>
      </c>
      <c r="Q153" s="2476">
        <v>64706.400000000009</v>
      </c>
      <c r="R153" s="2477">
        <v>64706</v>
      </c>
      <c r="S153" s="2477" t="b">
        <v>1</v>
      </c>
      <c r="T153" s="5786">
        <v>64706</v>
      </c>
      <c r="U153" s="5786">
        <v>0</v>
      </c>
      <c r="V153" s="863">
        <v>12168856</v>
      </c>
      <c r="W153" s="863">
        <v>12168856</v>
      </c>
      <c r="X153" s="863" t="b">
        <v>1</v>
      </c>
      <c r="Y153" s="863">
        <v>12316.655870445344</v>
      </c>
      <c r="Z153" s="863">
        <v>9765</v>
      </c>
      <c r="AA153" s="863">
        <v>15648</v>
      </c>
      <c r="AB153" s="863">
        <v>11126.828510035204</v>
      </c>
      <c r="AC153" s="863">
        <v>0</v>
      </c>
      <c r="AE153">
        <v>988</v>
      </c>
      <c r="AF153" s="3965">
        <v>988</v>
      </c>
      <c r="AG153" s="3965" t="b">
        <v>1</v>
      </c>
      <c r="AH153" s="2814">
        <v>1014</v>
      </c>
      <c r="AI153">
        <v>951</v>
      </c>
      <c r="AJ153" t="s">
        <v>2129</v>
      </c>
      <c r="AK153" t="s">
        <v>2129</v>
      </c>
      <c r="AL153" t="s">
        <v>2129</v>
      </c>
      <c r="AM153" t="s">
        <v>2129</v>
      </c>
      <c r="AN153">
        <v>-37</v>
      </c>
      <c r="AQ153" t="s">
        <v>2129</v>
      </c>
      <c r="AV153">
        <v>20</v>
      </c>
      <c r="AW153" t="s">
        <v>2129</v>
      </c>
      <c r="AX153" t="s">
        <v>2129</v>
      </c>
      <c r="AY153" t="s">
        <v>2129</v>
      </c>
      <c r="AZ153" t="s">
        <v>2129</v>
      </c>
      <c r="BA153" t="s">
        <v>2129</v>
      </c>
      <c r="BB153" t="s">
        <v>2129</v>
      </c>
      <c r="BC153" t="s">
        <v>2129</v>
      </c>
      <c r="BD153" t="s">
        <v>2129</v>
      </c>
      <c r="BE153" t="s">
        <v>2129</v>
      </c>
      <c r="BF153" t="s">
        <v>2129</v>
      </c>
      <c r="BG153" t="s">
        <v>2129</v>
      </c>
      <c r="BH153" s="1958">
        <v>243377120</v>
      </c>
      <c r="BI153" s="1958" t="s">
        <v>2129</v>
      </c>
      <c r="BJ153" s="1958" t="s">
        <v>2129</v>
      </c>
      <c r="BK153" s="1958" t="s">
        <v>2129</v>
      </c>
      <c r="BL153" s="1958" t="s">
        <v>2129</v>
      </c>
      <c r="BM153" s="1958" t="s">
        <v>2129</v>
      </c>
      <c r="BN153" s="1958" t="s">
        <v>2129</v>
      </c>
      <c r="BO153" s="1958" t="s">
        <v>2129</v>
      </c>
      <c r="BP153" s="1958" t="s">
        <v>2129</v>
      </c>
      <c r="BQ153" s="863" t="s">
        <v>2129</v>
      </c>
      <c r="BR153" s="863" t="s">
        <v>2129</v>
      </c>
      <c r="BS153" s="1958" t="s">
        <v>2129</v>
      </c>
      <c r="BT153" s="1958" t="s">
        <v>2129</v>
      </c>
      <c r="BU153" s="1958" t="s">
        <v>2129</v>
      </c>
      <c r="BV153" s="1958" t="s">
        <v>2129</v>
      </c>
      <c r="BW153" s="1958" t="s">
        <v>2129</v>
      </c>
      <c r="BX153" s="1958">
        <v>1294120</v>
      </c>
      <c r="BY153" s="1958" t="s">
        <v>2129</v>
      </c>
      <c r="BZ153" s="1958" t="s">
        <v>2129</v>
      </c>
      <c r="CA153" s="1958" t="s">
        <v>2129</v>
      </c>
      <c r="CC153" s="1958" t="s">
        <v>2129</v>
      </c>
      <c r="CD153" s="1958" t="s">
        <v>2129</v>
      </c>
      <c r="CE153" s="1958" t="s">
        <v>2129</v>
      </c>
      <c r="CF153" s="1958" t="s">
        <v>2129</v>
      </c>
      <c r="CH153" s="5785"/>
    </row>
    <row r="154" spans="1:86" ht="13">
      <c r="A154">
        <v>301</v>
      </c>
      <c r="B154" s="5794" t="s">
        <v>3370</v>
      </c>
      <c r="C154" s="5803" t="s">
        <v>6598</v>
      </c>
      <c r="D154" s="5803" t="s">
        <v>2129</v>
      </c>
      <c r="E154" s="5803" t="s">
        <v>2129</v>
      </c>
      <c r="F154" s="5785" t="s">
        <v>2129</v>
      </c>
      <c r="G154" s="5785" t="s">
        <v>2129</v>
      </c>
      <c r="H154" s="5785"/>
      <c r="I154" s="2694">
        <v>0</v>
      </c>
      <c r="J154" s="2694" t="b">
        <v>1</v>
      </c>
      <c r="K154" s="2694" t="s">
        <v>2129</v>
      </c>
      <c r="L154" s="2477">
        <v>58824</v>
      </c>
      <c r="M154" s="2477">
        <v>0</v>
      </c>
      <c r="N154" s="2477">
        <v>0</v>
      </c>
      <c r="O154" s="2477">
        <v>0</v>
      </c>
      <c r="P154" s="2477">
        <v>0</v>
      </c>
      <c r="Q154" s="2695">
        <v>64706.400000000009</v>
      </c>
      <c r="R154" s="2477">
        <v>0</v>
      </c>
      <c r="S154" s="2477" t="b">
        <v>1</v>
      </c>
      <c r="T154" s="5786" t="s">
        <v>2129</v>
      </c>
      <c r="U154" s="5786">
        <v>-8366836</v>
      </c>
      <c r="W154" s="1958">
        <v>8366836</v>
      </c>
      <c r="X154" s="863" t="b">
        <v>1</v>
      </c>
      <c r="Y154" s="863">
        <v>34717.161825726143</v>
      </c>
      <c r="Z154" s="863">
        <v>28236</v>
      </c>
      <c r="AA154" s="863">
        <v>59295</v>
      </c>
      <c r="AB154" s="863">
        <v>17788.531944296803</v>
      </c>
      <c r="AC154" s="863">
        <v>0</v>
      </c>
      <c r="AE154">
        <v>347</v>
      </c>
      <c r="AF154" s="3965">
        <v>241</v>
      </c>
      <c r="AG154" s="3965" t="b">
        <v>1</v>
      </c>
      <c r="AH154" s="2814">
        <v>505</v>
      </c>
      <c r="AI154" s="191">
        <v>409</v>
      </c>
      <c r="AJ154" t="s">
        <v>2129</v>
      </c>
      <c r="AK154" t="s">
        <v>2129</v>
      </c>
      <c r="AL154" t="s">
        <v>2129</v>
      </c>
      <c r="AM154" t="s">
        <v>2129</v>
      </c>
      <c r="AN154">
        <v>168</v>
      </c>
      <c r="AQ154" t="s">
        <v>2129</v>
      </c>
      <c r="AV154">
        <v>20</v>
      </c>
      <c r="AW154" t="s">
        <v>2129</v>
      </c>
      <c r="AX154" t="s">
        <v>2129</v>
      </c>
      <c r="AY154" t="s">
        <v>2129</v>
      </c>
      <c r="AZ154" t="s">
        <v>2129</v>
      </c>
      <c r="BA154" t="s">
        <v>2129</v>
      </c>
      <c r="BB154" t="s">
        <v>2129</v>
      </c>
      <c r="BC154" t="s">
        <v>2129</v>
      </c>
      <c r="BD154" t="s">
        <v>2129</v>
      </c>
      <c r="BE154" t="s">
        <v>2129</v>
      </c>
      <c r="BF154" t="s">
        <v>2129</v>
      </c>
      <c r="BG154" t="s">
        <v>2129</v>
      </c>
      <c r="BH154" s="1958">
        <v>167336720</v>
      </c>
      <c r="BI154" s="1958" t="s">
        <v>2129</v>
      </c>
      <c r="BJ154" s="1958" t="s">
        <v>2129</v>
      </c>
      <c r="BK154" s="1958" t="s">
        <v>2129</v>
      </c>
      <c r="BL154" s="1958" t="s">
        <v>2129</v>
      </c>
      <c r="BM154" s="1958" t="s">
        <v>2129</v>
      </c>
      <c r="BN154" s="1958" t="s">
        <v>2129</v>
      </c>
      <c r="BO154" s="1958" t="s">
        <v>2129</v>
      </c>
      <c r="BP154" s="1958" t="s">
        <v>2129</v>
      </c>
      <c r="BQ154" s="863" t="s">
        <v>2129</v>
      </c>
      <c r="BR154" s="863" t="s">
        <v>2129</v>
      </c>
      <c r="BS154" s="1958" t="s">
        <v>2129</v>
      </c>
      <c r="BT154" s="1958" t="s">
        <v>2129</v>
      </c>
      <c r="BU154" s="1958" t="s">
        <v>2129</v>
      </c>
      <c r="BV154" s="1958" t="s">
        <v>2129</v>
      </c>
      <c r="BW154" s="1958" t="s">
        <v>2129</v>
      </c>
      <c r="BX154" s="1958" t="s">
        <v>2129</v>
      </c>
      <c r="BY154" s="1958" t="s">
        <v>2129</v>
      </c>
      <c r="BZ154" s="1958" t="s">
        <v>2129</v>
      </c>
      <c r="CA154" s="1958" t="s">
        <v>2129</v>
      </c>
      <c r="CC154" s="1958" t="s">
        <v>2129</v>
      </c>
      <c r="CD154" s="1958" t="s">
        <v>2129</v>
      </c>
      <c r="CE154" s="1958" t="s">
        <v>2129</v>
      </c>
      <c r="CF154" s="1958" t="s">
        <v>2129</v>
      </c>
      <c r="CH154" s="5785"/>
    </row>
    <row r="155" spans="1:86" ht="13" hidden="1">
      <c r="A155">
        <v>302</v>
      </c>
      <c r="B155" s="5802" t="s">
        <v>3371</v>
      </c>
      <c r="C155" s="5785" t="s">
        <v>2129</v>
      </c>
      <c r="D155" s="2694" t="s">
        <v>2129</v>
      </c>
      <c r="E155" s="2694" t="s">
        <v>2129</v>
      </c>
      <c r="F155" s="5792" t="s">
        <v>5205</v>
      </c>
      <c r="G155" s="5792" t="s">
        <v>2129</v>
      </c>
      <c r="H155" s="5785">
        <v>0</v>
      </c>
      <c r="I155" s="2694">
        <v>0</v>
      </c>
      <c r="J155" s="2694" t="b">
        <v>1</v>
      </c>
      <c r="K155" s="5785">
        <v>0</v>
      </c>
      <c r="L155" s="5786">
        <v>0</v>
      </c>
      <c r="M155" s="5786">
        <v>0</v>
      </c>
      <c r="N155" s="5786">
        <v>0</v>
      </c>
      <c r="O155" s="5786">
        <v>0</v>
      </c>
      <c r="P155" s="5786">
        <v>0</v>
      </c>
      <c r="Q155" s="2476">
        <v>0</v>
      </c>
      <c r="R155" s="2477">
        <v>0</v>
      </c>
      <c r="S155" s="2477" t="b">
        <v>1</v>
      </c>
      <c r="T155" s="5786" t="s">
        <v>2129</v>
      </c>
      <c r="U155" s="5786">
        <v>0</v>
      </c>
      <c r="V155" s="863">
        <v>14753310</v>
      </c>
      <c r="W155" s="863">
        <v>14753310</v>
      </c>
      <c r="X155" s="863" t="b">
        <v>1</v>
      </c>
      <c r="Y155" s="863">
        <v>38824.5</v>
      </c>
      <c r="AB155" s="863" t="s">
        <v>2129</v>
      </c>
      <c r="AE155">
        <v>381</v>
      </c>
      <c r="AF155" s="3965">
        <v>380</v>
      </c>
      <c r="AG155" s="3965" t="b">
        <v>1</v>
      </c>
      <c r="AH155">
        <v>546</v>
      </c>
      <c r="AI155" t="s">
        <v>2129</v>
      </c>
      <c r="AJ155" t="s">
        <v>2129</v>
      </c>
      <c r="AK155" t="s">
        <v>2129</v>
      </c>
      <c r="AL155">
        <v>381</v>
      </c>
      <c r="AM155" t="s">
        <v>2129</v>
      </c>
      <c r="AN155" t="s">
        <v>2129</v>
      </c>
      <c r="AQ155">
        <v>1</v>
      </c>
      <c r="AV155" t="s">
        <v>2129</v>
      </c>
      <c r="AW155" t="s">
        <v>2129</v>
      </c>
      <c r="AX155" t="s">
        <v>2129</v>
      </c>
      <c r="AY155" t="s">
        <v>2129</v>
      </c>
      <c r="AZ155" t="s">
        <v>2129</v>
      </c>
      <c r="BA155" t="s">
        <v>2129</v>
      </c>
      <c r="BB155" t="s">
        <v>2129</v>
      </c>
      <c r="BC155">
        <v>18</v>
      </c>
      <c r="BD155" t="s">
        <v>2129</v>
      </c>
      <c r="BE155" t="s">
        <v>2129</v>
      </c>
      <c r="BF155" t="s">
        <v>2129</v>
      </c>
      <c r="BG155" t="s">
        <v>2129</v>
      </c>
      <c r="BH155" s="1958" t="s">
        <v>2129</v>
      </c>
      <c r="BI155"/>
      <c r="BJ155" s="863" t="s">
        <v>2129</v>
      </c>
      <c r="BK155" s="863" t="s">
        <v>2129</v>
      </c>
      <c r="BL155" s="863" t="s">
        <v>2129</v>
      </c>
      <c r="BM155" s="863" t="s">
        <v>2129</v>
      </c>
      <c r="BN155" s="863" t="s">
        <v>2129</v>
      </c>
      <c r="BO155" s="863" t="s">
        <v>2129</v>
      </c>
      <c r="BP155" s="863">
        <v>266258421</v>
      </c>
      <c r="BQ155" s="863">
        <v>266258421</v>
      </c>
      <c r="BR155" s="863" t="s">
        <v>2129</v>
      </c>
      <c r="BS155" s="863" t="s">
        <v>2129</v>
      </c>
      <c r="BT155" s="863" t="s">
        <v>2129</v>
      </c>
      <c r="BU155" s="863" t="s">
        <v>2129</v>
      </c>
      <c r="BV155" s="863" t="s">
        <v>2129</v>
      </c>
      <c r="BW155" s="863" t="s">
        <v>2129</v>
      </c>
      <c r="BX155" s="863" t="s">
        <v>2129</v>
      </c>
      <c r="BY155" s="863" t="s">
        <v>2129</v>
      </c>
      <c r="BZ155" s="863" t="s">
        <v>2129</v>
      </c>
      <c r="CA155" s="863" t="s">
        <v>2129</v>
      </c>
      <c r="CB155" s="863"/>
      <c r="CC155" s="1958" t="s">
        <v>2129</v>
      </c>
      <c r="CD155" s="1958" t="s">
        <v>2129</v>
      </c>
      <c r="CE155" s="863" t="s">
        <v>2129</v>
      </c>
      <c r="CF155" s="863" t="s">
        <v>2129</v>
      </c>
      <c r="CG155" s="863"/>
      <c r="CH155" s="5785"/>
    </row>
    <row r="156" spans="1:86" s="5782" customFormat="1" ht="13" hidden="1">
      <c r="A156" s="5782">
        <v>303</v>
      </c>
      <c r="B156" s="5783" t="s">
        <v>3372</v>
      </c>
      <c r="C156" s="5784" t="s">
        <v>2129</v>
      </c>
      <c r="D156" s="5784" t="s">
        <v>2129</v>
      </c>
      <c r="E156" s="5784" t="s">
        <v>2129</v>
      </c>
      <c r="F156" s="5784" t="s">
        <v>2129</v>
      </c>
      <c r="G156" s="5784" t="s">
        <v>2129</v>
      </c>
      <c r="H156" s="5784">
        <v>0</v>
      </c>
      <c r="I156" s="5784">
        <v>0</v>
      </c>
      <c r="J156" s="5785" t="b">
        <v>1</v>
      </c>
      <c r="K156" s="5785" t="s">
        <v>2129</v>
      </c>
      <c r="L156" s="5786">
        <v>0</v>
      </c>
      <c r="M156" s="5786">
        <v>0</v>
      </c>
      <c r="N156" s="5786">
        <v>0</v>
      </c>
      <c r="O156" s="5786">
        <v>0</v>
      </c>
      <c r="P156" s="5786">
        <v>0</v>
      </c>
      <c r="Q156" s="2476">
        <v>0</v>
      </c>
      <c r="R156" s="5787">
        <v>0</v>
      </c>
      <c r="S156" s="2477" t="b">
        <v>1</v>
      </c>
      <c r="T156" s="5787" t="s">
        <v>2129</v>
      </c>
      <c r="U156" s="5787">
        <v>0</v>
      </c>
      <c r="V156" s="5788">
        <v>932892</v>
      </c>
      <c r="W156" s="5788">
        <v>932892</v>
      </c>
      <c r="X156" s="5788" t="b">
        <v>1</v>
      </c>
      <c r="Y156" s="5788">
        <v>24549.78947368421</v>
      </c>
      <c r="Z156" s="5788"/>
      <c r="AA156" s="5788"/>
      <c r="AB156" s="5788" t="s">
        <v>2129</v>
      </c>
      <c r="AC156" s="5788"/>
      <c r="AD156" s="5788"/>
      <c r="AE156" s="5782">
        <v>38</v>
      </c>
      <c r="AF156" s="5789">
        <v>38</v>
      </c>
      <c r="AG156" s="5789" t="b">
        <v>1</v>
      </c>
      <c r="AH156" s="5782">
        <v>76</v>
      </c>
      <c r="AI156" s="5782" t="s">
        <v>2129</v>
      </c>
      <c r="AJ156" s="5782" t="s">
        <v>2129</v>
      </c>
      <c r="AK156" s="5782" t="s">
        <v>2129</v>
      </c>
      <c r="AL156" s="5782" t="s">
        <v>2129</v>
      </c>
      <c r="AM156" s="5782" t="s">
        <v>2129</v>
      </c>
      <c r="AN156" s="5782" t="s">
        <v>2129</v>
      </c>
      <c r="AQ156" s="5782" t="s">
        <v>2129</v>
      </c>
      <c r="AV156" s="5782" t="s">
        <v>2129</v>
      </c>
      <c r="AW156" s="5782" t="s">
        <v>2129</v>
      </c>
      <c r="AX156" s="5782" t="s">
        <v>2129</v>
      </c>
      <c r="AY156" s="5782" t="s">
        <v>2129</v>
      </c>
      <c r="AZ156" s="5782" t="s">
        <v>2129</v>
      </c>
      <c r="BA156" s="5782" t="s">
        <v>2129</v>
      </c>
      <c r="BB156" s="5782" t="s">
        <v>2129</v>
      </c>
      <c r="BC156" s="5782" t="s">
        <v>2129</v>
      </c>
      <c r="BD156" s="5782" t="s">
        <v>2129</v>
      </c>
      <c r="BE156" s="5782" t="s">
        <v>2129</v>
      </c>
      <c r="BF156" s="5782" t="s">
        <v>2129</v>
      </c>
      <c r="BG156" s="5782" t="s">
        <v>2129</v>
      </c>
      <c r="BH156" s="5788" t="s">
        <v>2129</v>
      </c>
      <c r="BJ156" s="5788" t="s">
        <v>2129</v>
      </c>
      <c r="BK156" s="5788" t="s">
        <v>2129</v>
      </c>
      <c r="BL156" s="5788" t="s">
        <v>2129</v>
      </c>
      <c r="BM156" s="5788" t="s">
        <v>2129</v>
      </c>
      <c r="BN156" s="5788" t="s">
        <v>2129</v>
      </c>
      <c r="BO156" s="5788" t="s">
        <v>2129</v>
      </c>
      <c r="BP156" s="5788" t="s">
        <v>2129</v>
      </c>
      <c r="BQ156" s="5788" t="s">
        <v>2129</v>
      </c>
      <c r="BR156" s="5788" t="s">
        <v>2129</v>
      </c>
      <c r="BS156" s="5788" t="s">
        <v>2129</v>
      </c>
      <c r="BT156" s="5788" t="s">
        <v>2129</v>
      </c>
      <c r="BU156" s="5788" t="s">
        <v>2129</v>
      </c>
      <c r="BV156" s="5788" t="s">
        <v>2129</v>
      </c>
      <c r="BW156" s="5788" t="s">
        <v>2129</v>
      </c>
      <c r="BX156" s="5788" t="s">
        <v>2129</v>
      </c>
      <c r="BY156" s="5788" t="s">
        <v>2129</v>
      </c>
      <c r="BZ156" s="5788" t="s">
        <v>2129</v>
      </c>
      <c r="CA156" s="5788" t="s">
        <v>2129</v>
      </c>
      <c r="CB156" s="5788"/>
      <c r="CC156" s="5788" t="s">
        <v>2129</v>
      </c>
      <c r="CD156" s="5788" t="s">
        <v>2129</v>
      </c>
      <c r="CE156" s="5788" t="s">
        <v>2129</v>
      </c>
      <c r="CF156" s="5788" t="s">
        <v>2129</v>
      </c>
      <c r="CG156" s="5788"/>
      <c r="CH156" s="5784"/>
    </row>
    <row r="157" spans="1:86" ht="13">
      <c r="A157">
        <v>304</v>
      </c>
      <c r="B157" s="5791" t="s">
        <v>2845</v>
      </c>
      <c r="C157" s="5799" t="s">
        <v>6598</v>
      </c>
      <c r="D157" s="5799" t="s">
        <v>2129</v>
      </c>
      <c r="E157" s="5799" t="s">
        <v>2129</v>
      </c>
      <c r="F157" s="5792" t="s">
        <v>5205</v>
      </c>
      <c r="G157" s="5792" t="s">
        <v>2129</v>
      </c>
      <c r="H157" s="5785">
        <v>3</v>
      </c>
      <c r="I157" s="5785">
        <v>3</v>
      </c>
      <c r="J157" s="5785" t="b">
        <v>1</v>
      </c>
      <c r="K157" s="5785">
        <v>0</v>
      </c>
      <c r="L157" s="5786">
        <v>158825</v>
      </c>
      <c r="M157" s="5786">
        <v>0</v>
      </c>
      <c r="N157" s="5786">
        <v>0</v>
      </c>
      <c r="O157" s="5786">
        <v>0</v>
      </c>
      <c r="P157" s="5786">
        <v>0</v>
      </c>
      <c r="Q157" s="2476">
        <v>174707.5</v>
      </c>
      <c r="R157" s="2477">
        <v>174707</v>
      </c>
      <c r="S157" s="2477" t="b">
        <v>1</v>
      </c>
      <c r="T157" s="5786">
        <v>58235.666666666664</v>
      </c>
      <c r="U157" s="5786">
        <v>0</v>
      </c>
      <c r="V157" s="863">
        <v>2935686</v>
      </c>
      <c r="W157" s="863">
        <v>2935686</v>
      </c>
      <c r="X157" s="863" t="b">
        <v>1</v>
      </c>
      <c r="Y157" s="863">
        <v>16309.366666666667</v>
      </c>
      <c r="Z157" s="863">
        <v>11753</v>
      </c>
      <c r="AA157" s="863">
        <v>21153</v>
      </c>
      <c r="AB157" s="863">
        <v>15378.135149292826</v>
      </c>
      <c r="AC157" s="863">
        <v>1650</v>
      </c>
      <c r="AE157">
        <v>180</v>
      </c>
      <c r="AF157" s="3965">
        <v>180</v>
      </c>
      <c r="AG157" s="3965" t="b">
        <v>1</v>
      </c>
      <c r="AH157">
        <v>246</v>
      </c>
      <c r="AI157">
        <v>166</v>
      </c>
      <c r="AJ157" t="s">
        <v>2129</v>
      </c>
      <c r="AK157" t="s">
        <v>2129</v>
      </c>
      <c r="AL157">
        <v>180</v>
      </c>
      <c r="AM157" t="s">
        <v>2129</v>
      </c>
      <c r="AN157">
        <v>-14</v>
      </c>
      <c r="AQ157">
        <v>0</v>
      </c>
      <c r="AV157" s="191">
        <v>14</v>
      </c>
      <c r="AW157" t="s">
        <v>2129</v>
      </c>
      <c r="AX157" t="s">
        <v>2129</v>
      </c>
      <c r="AY157" t="s">
        <v>2129</v>
      </c>
      <c r="AZ157" t="s">
        <v>2129</v>
      </c>
      <c r="BA157" t="s">
        <v>2129</v>
      </c>
      <c r="BB157" t="s">
        <v>2129</v>
      </c>
      <c r="BC157">
        <v>18</v>
      </c>
      <c r="BD157" t="s">
        <v>2129</v>
      </c>
      <c r="BE157" t="s">
        <v>2129</v>
      </c>
      <c r="BF157" t="s">
        <v>2129</v>
      </c>
      <c r="BG157" t="s">
        <v>2129</v>
      </c>
      <c r="BH157" s="1958">
        <v>41099604</v>
      </c>
      <c r="BI157" s="1958" t="s">
        <v>2129</v>
      </c>
      <c r="BJ157" s="1958" t="s">
        <v>2129</v>
      </c>
      <c r="BK157" s="1958" t="s">
        <v>2129</v>
      </c>
      <c r="BL157" s="1958" t="s">
        <v>2129</v>
      </c>
      <c r="BM157" s="1958" t="s">
        <v>2129</v>
      </c>
      <c r="BN157" s="1958" t="s">
        <v>2129</v>
      </c>
      <c r="BO157" s="1958" t="s">
        <v>2129</v>
      </c>
      <c r="BP157" s="1958">
        <v>52842348</v>
      </c>
      <c r="BQ157" s="863">
        <v>52842348</v>
      </c>
      <c r="BR157" s="863" t="s">
        <v>2129</v>
      </c>
      <c r="BS157" s="1958" t="s">
        <v>2129</v>
      </c>
      <c r="BT157" s="1958" t="s">
        <v>2129</v>
      </c>
      <c r="BU157" s="1958" t="s">
        <v>2129</v>
      </c>
      <c r="BV157" s="1958" t="s">
        <v>2129</v>
      </c>
      <c r="BW157" s="1958" t="s">
        <v>2129</v>
      </c>
      <c r="BX157" s="1958">
        <v>2445898</v>
      </c>
      <c r="BY157" s="1958" t="s">
        <v>2129</v>
      </c>
      <c r="BZ157" s="1958" t="s">
        <v>2129</v>
      </c>
      <c r="CA157" s="1958" t="s">
        <v>2129</v>
      </c>
      <c r="CC157" s="1958">
        <v>3144726</v>
      </c>
      <c r="CD157" s="1958">
        <v>3144726</v>
      </c>
      <c r="CE157" s="1958" t="s">
        <v>2129</v>
      </c>
      <c r="CF157" s="1958" t="s">
        <v>2129</v>
      </c>
      <c r="CH157" s="5785"/>
    </row>
    <row r="158" spans="1:86" ht="13" hidden="1">
      <c r="A158">
        <v>305</v>
      </c>
      <c r="B158" s="196" t="s">
        <v>3373</v>
      </c>
      <c r="C158" s="5785" t="s">
        <v>2129</v>
      </c>
      <c r="D158" s="2694" t="s">
        <v>3791</v>
      </c>
      <c r="E158" s="2694" t="s">
        <v>2129</v>
      </c>
      <c r="F158" s="5785" t="s">
        <v>2129</v>
      </c>
      <c r="G158" s="5785" t="s">
        <v>2129</v>
      </c>
      <c r="H158" s="5785">
        <v>0</v>
      </c>
      <c r="I158" s="5785">
        <v>0</v>
      </c>
      <c r="J158" s="5785" t="b">
        <v>0</v>
      </c>
      <c r="K158" s="5785" t="s">
        <v>2129</v>
      </c>
      <c r="L158" s="5786">
        <v>0</v>
      </c>
      <c r="M158" s="5786">
        <v>0</v>
      </c>
      <c r="N158" s="5786">
        <v>0</v>
      </c>
      <c r="O158" s="5786">
        <v>0</v>
      </c>
      <c r="P158" s="5786">
        <v>0</v>
      </c>
      <c r="Q158" s="2476">
        <v>0</v>
      </c>
      <c r="R158" s="2477">
        <v>0</v>
      </c>
      <c r="S158" s="2477" t="b">
        <v>1</v>
      </c>
      <c r="T158" s="5786" t="s">
        <v>2129</v>
      </c>
      <c r="U158" s="5786">
        <v>0</v>
      </c>
      <c r="V158" s="863">
        <v>764885</v>
      </c>
      <c r="W158" s="863">
        <v>764885</v>
      </c>
      <c r="X158" s="863" t="b">
        <v>1</v>
      </c>
      <c r="Y158" s="863">
        <v>10926.928571428571</v>
      </c>
      <c r="AB158" s="863" t="s">
        <v>2129</v>
      </c>
      <c r="AE158">
        <v>106</v>
      </c>
      <c r="AF158" s="3965">
        <v>70</v>
      </c>
      <c r="AG158" s="3965" t="b">
        <v>1</v>
      </c>
      <c r="AH158">
        <v>106</v>
      </c>
      <c r="AI158" t="s">
        <v>2129</v>
      </c>
      <c r="AJ158">
        <v>54</v>
      </c>
      <c r="AK158" t="s">
        <v>2129</v>
      </c>
      <c r="AL158" t="s">
        <v>2129</v>
      </c>
      <c r="AM158" t="s">
        <v>2129</v>
      </c>
      <c r="AN158" t="s">
        <v>2129</v>
      </c>
      <c r="AQ158" t="s">
        <v>2129</v>
      </c>
      <c r="AV158" t="s">
        <v>2129</v>
      </c>
      <c r="AW158" t="s">
        <v>2129</v>
      </c>
      <c r="AX158" t="s">
        <v>2129</v>
      </c>
      <c r="AY158" t="s">
        <v>2129</v>
      </c>
      <c r="AZ158" t="s">
        <v>2129</v>
      </c>
      <c r="BA158">
        <v>11</v>
      </c>
      <c r="BB158" t="s">
        <v>2129</v>
      </c>
      <c r="BC158" t="s">
        <v>2129</v>
      </c>
      <c r="BD158" t="s">
        <v>2129</v>
      </c>
      <c r="BE158" t="s">
        <v>2129</v>
      </c>
      <c r="BF158" t="s">
        <v>2129</v>
      </c>
      <c r="BG158" t="s">
        <v>2129</v>
      </c>
      <c r="BH158" s="1958" t="s">
        <v>2129</v>
      </c>
      <c r="BI158"/>
      <c r="BJ158" s="863" t="s">
        <v>2129</v>
      </c>
      <c r="BK158" s="863" t="s">
        <v>2129</v>
      </c>
      <c r="BL158" s="863" t="s">
        <v>2129</v>
      </c>
      <c r="BM158" s="863" t="s">
        <v>2129</v>
      </c>
      <c r="BN158" s="863">
        <v>6490595.5714285709</v>
      </c>
      <c r="BO158" s="863" t="s">
        <v>2129</v>
      </c>
      <c r="BP158" s="863" t="s">
        <v>2129</v>
      </c>
      <c r="BQ158" s="863" t="s">
        <v>2129</v>
      </c>
      <c r="BR158" s="863" t="s">
        <v>2129</v>
      </c>
      <c r="BS158" s="863" t="s">
        <v>2129</v>
      </c>
      <c r="BT158" s="863" t="s">
        <v>2129</v>
      </c>
      <c r="BU158" s="863" t="s">
        <v>2129</v>
      </c>
      <c r="BV158" s="863" t="s">
        <v>2129</v>
      </c>
      <c r="BW158" s="863" t="s">
        <v>2129</v>
      </c>
      <c r="BX158" s="863" t="s">
        <v>2129</v>
      </c>
      <c r="BY158" s="863" t="s">
        <v>2129</v>
      </c>
      <c r="BZ158" s="863" t="s">
        <v>2129</v>
      </c>
      <c r="CA158" s="863" t="s">
        <v>2129</v>
      </c>
      <c r="CB158" s="863"/>
      <c r="CC158" s="863" t="s">
        <v>2129</v>
      </c>
      <c r="CD158" s="863" t="s">
        <v>2129</v>
      </c>
      <c r="CE158" s="863" t="s">
        <v>2129</v>
      </c>
      <c r="CF158" s="863" t="s">
        <v>2129</v>
      </c>
      <c r="CG158" s="863"/>
      <c r="CH158" s="5785"/>
    </row>
    <row r="159" spans="1:86" ht="13" hidden="1">
      <c r="A159">
        <v>306</v>
      </c>
      <c r="B159" s="196" t="s">
        <v>3374</v>
      </c>
      <c r="C159" s="5785" t="s">
        <v>2129</v>
      </c>
      <c r="D159" s="2694" t="s">
        <v>3791</v>
      </c>
      <c r="E159" s="2694" t="s">
        <v>2129</v>
      </c>
      <c r="F159" s="5785" t="s">
        <v>2129</v>
      </c>
      <c r="G159" s="5785" t="s">
        <v>2129</v>
      </c>
      <c r="H159" s="5785">
        <v>0</v>
      </c>
      <c r="I159" s="5785">
        <v>0</v>
      </c>
      <c r="J159" s="5785" t="b">
        <v>0</v>
      </c>
      <c r="K159" s="5785" t="s">
        <v>2129</v>
      </c>
      <c r="L159" s="5786">
        <v>0</v>
      </c>
      <c r="M159" s="5786">
        <v>0</v>
      </c>
      <c r="N159" s="5786">
        <v>0</v>
      </c>
      <c r="O159" s="5786">
        <v>0</v>
      </c>
      <c r="P159" s="5786">
        <v>0</v>
      </c>
      <c r="Q159" s="2476">
        <v>0</v>
      </c>
      <c r="R159" s="2477">
        <v>0</v>
      </c>
      <c r="S159" s="2477" t="b">
        <v>1</v>
      </c>
      <c r="T159" s="5786" t="s">
        <v>2129</v>
      </c>
      <c r="U159" s="5786">
        <v>0</v>
      </c>
      <c r="V159" s="863">
        <v>719558</v>
      </c>
      <c r="W159" s="863">
        <v>719558</v>
      </c>
      <c r="X159" s="863" t="b">
        <v>1</v>
      </c>
      <c r="Y159" s="863">
        <v>12849.25</v>
      </c>
      <c r="AB159" s="863" t="s">
        <v>2129</v>
      </c>
      <c r="AE159">
        <v>144</v>
      </c>
      <c r="AF159" s="3965">
        <v>56</v>
      </c>
      <c r="AG159" s="3965" t="b">
        <v>1</v>
      </c>
      <c r="AH159">
        <v>144</v>
      </c>
      <c r="AI159" t="s">
        <v>2129</v>
      </c>
      <c r="AJ159">
        <v>113</v>
      </c>
      <c r="AK159" t="s">
        <v>2129</v>
      </c>
      <c r="AL159" t="s">
        <v>2129</v>
      </c>
      <c r="AM159" t="s">
        <v>2129</v>
      </c>
      <c r="AN159" t="s">
        <v>2129</v>
      </c>
      <c r="AQ159" t="s">
        <v>2129</v>
      </c>
      <c r="AV159" t="s">
        <v>2129</v>
      </c>
      <c r="AW159" t="s">
        <v>2129</v>
      </c>
      <c r="AX159" t="s">
        <v>2129</v>
      </c>
      <c r="AY159" t="s">
        <v>2129</v>
      </c>
      <c r="AZ159" t="s">
        <v>2129</v>
      </c>
      <c r="BA159">
        <v>11</v>
      </c>
      <c r="BB159" t="s">
        <v>2129</v>
      </c>
      <c r="BC159" t="s">
        <v>2129</v>
      </c>
      <c r="BD159" t="s">
        <v>2129</v>
      </c>
      <c r="BE159" t="s">
        <v>2129</v>
      </c>
      <c r="BF159" t="s">
        <v>2129</v>
      </c>
      <c r="BG159" t="s">
        <v>2129</v>
      </c>
      <c r="BH159" s="1958" t="s">
        <v>2129</v>
      </c>
      <c r="BI159"/>
      <c r="BJ159" s="863" t="s">
        <v>2129</v>
      </c>
      <c r="BK159" s="863" t="s">
        <v>2129</v>
      </c>
      <c r="BL159" s="863" t="s">
        <v>2129</v>
      </c>
      <c r="BM159" s="863" t="s">
        <v>2129</v>
      </c>
      <c r="BN159" s="863">
        <v>15971617.75</v>
      </c>
      <c r="BO159" s="863" t="s">
        <v>2129</v>
      </c>
      <c r="BP159" s="863" t="s">
        <v>2129</v>
      </c>
      <c r="BQ159" s="863" t="s">
        <v>2129</v>
      </c>
      <c r="BR159" s="863" t="s">
        <v>2129</v>
      </c>
      <c r="BS159" s="863" t="s">
        <v>2129</v>
      </c>
      <c r="BT159" s="863" t="s">
        <v>2129</v>
      </c>
      <c r="BU159" s="863" t="s">
        <v>2129</v>
      </c>
      <c r="BV159" s="863" t="s">
        <v>2129</v>
      </c>
      <c r="BW159" s="863" t="s">
        <v>2129</v>
      </c>
      <c r="BX159" s="863" t="s">
        <v>2129</v>
      </c>
      <c r="BY159" s="863" t="s">
        <v>2129</v>
      </c>
      <c r="BZ159" s="863" t="s">
        <v>2129</v>
      </c>
      <c r="CA159" s="863" t="s">
        <v>2129</v>
      </c>
      <c r="CB159" s="863"/>
      <c r="CC159" s="863" t="s">
        <v>2129</v>
      </c>
      <c r="CD159" s="863" t="s">
        <v>2129</v>
      </c>
      <c r="CE159" s="863" t="s">
        <v>2129</v>
      </c>
      <c r="CF159" s="863" t="s">
        <v>2129</v>
      </c>
      <c r="CG159" s="863"/>
      <c r="CH159" s="5785"/>
    </row>
    <row r="160" spans="1:86" s="5782" customFormat="1" ht="13" hidden="1">
      <c r="A160" s="5782">
        <v>307</v>
      </c>
      <c r="B160" s="5783" t="s">
        <v>3375</v>
      </c>
      <c r="C160" s="5784" t="s">
        <v>2129</v>
      </c>
      <c r="D160" s="5784" t="s">
        <v>2129</v>
      </c>
      <c r="E160" s="5784" t="s">
        <v>2129</v>
      </c>
      <c r="F160" s="5784" t="s">
        <v>2129</v>
      </c>
      <c r="G160" s="5784" t="s">
        <v>2129</v>
      </c>
      <c r="H160" s="5784">
        <v>0</v>
      </c>
      <c r="I160" s="5784">
        <v>0</v>
      </c>
      <c r="J160" s="5785" t="b">
        <v>0</v>
      </c>
      <c r="K160" s="5785" t="s">
        <v>2129</v>
      </c>
      <c r="L160" s="5786">
        <v>0</v>
      </c>
      <c r="M160" s="5786">
        <v>0</v>
      </c>
      <c r="N160" s="5786">
        <v>0</v>
      </c>
      <c r="O160" s="5786">
        <v>0</v>
      </c>
      <c r="P160" s="5786">
        <v>0</v>
      </c>
      <c r="Q160" s="2476">
        <v>0</v>
      </c>
      <c r="R160" s="5787">
        <v>0</v>
      </c>
      <c r="S160" s="2477" t="b">
        <v>1</v>
      </c>
      <c r="T160" s="5787" t="s">
        <v>2129</v>
      </c>
      <c r="U160" s="5787">
        <v>0</v>
      </c>
      <c r="V160" s="863">
        <v>1431335</v>
      </c>
      <c r="W160" s="5788">
        <v>1431335</v>
      </c>
      <c r="X160" s="863" t="b">
        <v>1</v>
      </c>
      <c r="Y160" s="5788">
        <v>18833.355263157893</v>
      </c>
      <c r="Z160" s="5788"/>
      <c r="AA160" s="5788"/>
      <c r="AB160" s="5788" t="s">
        <v>2129</v>
      </c>
      <c r="AC160" s="863"/>
      <c r="AD160" s="863"/>
      <c r="AE160" s="5782">
        <v>194</v>
      </c>
      <c r="AF160" s="5789">
        <v>76</v>
      </c>
      <c r="AG160" s="3965" t="b">
        <v>1</v>
      </c>
      <c r="AH160" s="5782">
        <v>354</v>
      </c>
      <c r="AI160" s="5782" t="s">
        <v>2129</v>
      </c>
      <c r="AJ160" s="5782" t="s">
        <v>2129</v>
      </c>
      <c r="AK160" s="5782" t="s">
        <v>2129</v>
      </c>
      <c r="AL160" t="s">
        <v>2129</v>
      </c>
      <c r="AM160" t="s">
        <v>2129</v>
      </c>
      <c r="AN160" t="s">
        <v>2129</v>
      </c>
      <c r="AO160"/>
      <c r="AP160"/>
      <c r="AQ160" t="s">
        <v>2129</v>
      </c>
      <c r="AR160"/>
      <c r="AS160"/>
      <c r="AT160"/>
      <c r="AU160"/>
      <c r="AV160" s="5782" t="s">
        <v>2129</v>
      </c>
      <c r="AW160" t="s">
        <v>2129</v>
      </c>
      <c r="AX160" s="5782" t="s">
        <v>2129</v>
      </c>
      <c r="AY160" s="5782" t="s">
        <v>2129</v>
      </c>
      <c r="AZ160" s="5782" t="s">
        <v>2129</v>
      </c>
      <c r="BA160" s="5782" t="s">
        <v>2129</v>
      </c>
      <c r="BB160" s="5782" t="s">
        <v>2129</v>
      </c>
      <c r="BC160" t="s">
        <v>2129</v>
      </c>
      <c r="BD160" t="s">
        <v>2129</v>
      </c>
      <c r="BE160" t="s">
        <v>2129</v>
      </c>
      <c r="BF160" t="s">
        <v>2129</v>
      </c>
      <c r="BG160" t="s">
        <v>2129</v>
      </c>
      <c r="BH160" s="5788" t="s">
        <v>2129</v>
      </c>
      <c r="BI160"/>
      <c r="BJ160" s="5788" t="s">
        <v>2129</v>
      </c>
      <c r="BK160" s="5788" t="s">
        <v>2129</v>
      </c>
      <c r="BL160" s="5788" t="s">
        <v>2129</v>
      </c>
      <c r="BM160" s="5788" t="s">
        <v>2129</v>
      </c>
      <c r="BN160" s="5788" t="s">
        <v>2129</v>
      </c>
      <c r="BO160" s="5788" t="s">
        <v>2129</v>
      </c>
      <c r="BP160" s="863" t="s">
        <v>2129</v>
      </c>
      <c r="BQ160" s="863" t="s">
        <v>2129</v>
      </c>
      <c r="BR160" s="863" t="s">
        <v>2129</v>
      </c>
      <c r="BS160" s="863" t="s">
        <v>2129</v>
      </c>
      <c r="BT160" s="863" t="s">
        <v>2129</v>
      </c>
      <c r="BU160" s="863" t="s">
        <v>2129</v>
      </c>
      <c r="BV160" s="863" t="s">
        <v>2129</v>
      </c>
      <c r="BW160" s="863" t="s">
        <v>2129</v>
      </c>
      <c r="BX160" s="5788" t="s">
        <v>2129</v>
      </c>
      <c r="BY160" s="863" t="s">
        <v>2129</v>
      </c>
      <c r="BZ160" s="5788" t="s">
        <v>2129</v>
      </c>
      <c r="CA160" s="5788" t="s">
        <v>2129</v>
      </c>
      <c r="CB160" s="863"/>
      <c r="CC160" s="863" t="s">
        <v>2129</v>
      </c>
      <c r="CD160" s="863" t="s">
        <v>2129</v>
      </c>
      <c r="CE160" s="863" t="s">
        <v>2129</v>
      </c>
      <c r="CF160" s="863" t="s">
        <v>2129</v>
      </c>
      <c r="CG160" s="863"/>
      <c r="CH160" s="5784"/>
    </row>
    <row r="161" spans="1:86" s="5782" customFormat="1" ht="13" hidden="1">
      <c r="A161" s="5782">
        <v>319</v>
      </c>
      <c r="B161" s="5783" t="s">
        <v>3376</v>
      </c>
      <c r="C161" s="5784" t="s">
        <v>2129</v>
      </c>
      <c r="D161" s="5784" t="s">
        <v>2129</v>
      </c>
      <c r="E161" s="5784" t="s">
        <v>2129</v>
      </c>
      <c r="F161" s="5784" t="s">
        <v>2129</v>
      </c>
      <c r="G161" s="5784" t="s">
        <v>2129</v>
      </c>
      <c r="H161" s="5784">
        <v>0</v>
      </c>
      <c r="I161" s="5784">
        <v>0</v>
      </c>
      <c r="J161" s="5785" t="b">
        <v>0</v>
      </c>
      <c r="K161" s="5785" t="s">
        <v>2129</v>
      </c>
      <c r="L161" s="5786">
        <v>0</v>
      </c>
      <c r="M161" s="5786">
        <v>0</v>
      </c>
      <c r="N161" s="5786">
        <v>0</v>
      </c>
      <c r="O161" s="5786">
        <v>0</v>
      </c>
      <c r="P161" s="5786">
        <v>0</v>
      </c>
      <c r="Q161" s="2476">
        <v>0</v>
      </c>
      <c r="R161" s="5787">
        <v>0</v>
      </c>
      <c r="S161" s="2477" t="b">
        <v>1</v>
      </c>
      <c r="T161" s="5787" t="s">
        <v>2129</v>
      </c>
      <c r="U161" s="5787">
        <v>0</v>
      </c>
      <c r="V161" s="5788">
        <v>1772849</v>
      </c>
      <c r="W161" s="5788">
        <v>1772849</v>
      </c>
      <c r="X161" s="5788" t="b">
        <v>1</v>
      </c>
      <c r="Y161" s="5788">
        <v>16415.268518518518</v>
      </c>
      <c r="Z161" s="5788"/>
      <c r="AA161" s="5788"/>
      <c r="AB161" s="5788" t="s">
        <v>2129</v>
      </c>
      <c r="AC161" s="5788"/>
      <c r="AD161" s="5788"/>
      <c r="AE161" s="5782">
        <v>135</v>
      </c>
      <c r="AF161" s="5789">
        <v>108</v>
      </c>
      <c r="AG161" s="5789" t="b">
        <v>1</v>
      </c>
      <c r="AH161" s="5782">
        <v>135</v>
      </c>
      <c r="AI161" s="5782" t="s">
        <v>2129</v>
      </c>
      <c r="AJ161" s="5782" t="s">
        <v>2129</v>
      </c>
      <c r="AK161" s="5782" t="s">
        <v>2129</v>
      </c>
      <c r="AL161" s="5782" t="s">
        <v>2129</v>
      </c>
      <c r="AM161" s="5782" t="s">
        <v>2129</v>
      </c>
      <c r="AN161" s="5782" t="s">
        <v>2129</v>
      </c>
      <c r="AQ161" s="5782" t="s">
        <v>2129</v>
      </c>
      <c r="AV161" s="5782" t="s">
        <v>2129</v>
      </c>
      <c r="AW161" s="5782" t="s">
        <v>2129</v>
      </c>
      <c r="AX161" s="5782" t="s">
        <v>2129</v>
      </c>
      <c r="AY161" s="5782" t="s">
        <v>2129</v>
      </c>
      <c r="AZ161" s="5782" t="s">
        <v>2129</v>
      </c>
      <c r="BA161" s="5782" t="s">
        <v>2129</v>
      </c>
      <c r="BB161" s="5782" t="s">
        <v>2129</v>
      </c>
      <c r="BC161" s="5782" t="s">
        <v>2129</v>
      </c>
      <c r="BD161" s="5782" t="s">
        <v>2129</v>
      </c>
      <c r="BE161" s="5782" t="s">
        <v>2129</v>
      </c>
      <c r="BF161" s="5782" t="s">
        <v>2129</v>
      </c>
      <c r="BG161" s="5782" t="s">
        <v>2129</v>
      </c>
      <c r="BH161" s="5788" t="s">
        <v>2129</v>
      </c>
      <c r="BJ161" s="5788" t="s">
        <v>2129</v>
      </c>
      <c r="BK161" s="5788" t="s">
        <v>2129</v>
      </c>
      <c r="BL161" s="5788" t="s">
        <v>2129</v>
      </c>
      <c r="BM161" s="5788" t="s">
        <v>2129</v>
      </c>
      <c r="BN161" s="5788" t="s">
        <v>2129</v>
      </c>
      <c r="BO161" s="5788" t="s">
        <v>2129</v>
      </c>
      <c r="BP161" s="5788" t="s">
        <v>2129</v>
      </c>
      <c r="BQ161" s="5788" t="s">
        <v>2129</v>
      </c>
      <c r="BR161" s="5788" t="s">
        <v>2129</v>
      </c>
      <c r="BS161" s="5788" t="s">
        <v>2129</v>
      </c>
      <c r="BT161" s="5788" t="s">
        <v>2129</v>
      </c>
      <c r="BU161" s="5788" t="s">
        <v>2129</v>
      </c>
      <c r="BV161" s="5788" t="s">
        <v>2129</v>
      </c>
      <c r="BW161" s="5788" t="s">
        <v>2129</v>
      </c>
      <c r="BX161" s="5788" t="s">
        <v>2129</v>
      </c>
      <c r="BY161" s="5788" t="s">
        <v>2129</v>
      </c>
      <c r="BZ161" s="5788" t="s">
        <v>2129</v>
      </c>
      <c r="CA161" s="5788" t="s">
        <v>2129</v>
      </c>
      <c r="CB161" s="5788"/>
      <c r="CC161" s="5788" t="s">
        <v>2129</v>
      </c>
      <c r="CD161" s="5788" t="s">
        <v>2129</v>
      </c>
      <c r="CE161" s="5788" t="s">
        <v>2129</v>
      </c>
      <c r="CF161" s="5788" t="s">
        <v>2129</v>
      </c>
      <c r="CG161" s="5788"/>
      <c r="CH161" s="5784"/>
    </row>
    <row r="162" spans="1:86" s="5782" customFormat="1" ht="13" hidden="1">
      <c r="A162" s="5782">
        <v>320</v>
      </c>
      <c r="B162" s="5783" t="s">
        <v>3377</v>
      </c>
      <c r="C162" s="5784" t="s">
        <v>2129</v>
      </c>
      <c r="D162" s="5784" t="s">
        <v>2129</v>
      </c>
      <c r="E162" s="5784" t="s">
        <v>2129</v>
      </c>
      <c r="F162" s="5784" t="s">
        <v>2129</v>
      </c>
      <c r="G162" s="5784" t="s">
        <v>2129</v>
      </c>
      <c r="H162" s="5784">
        <v>0</v>
      </c>
      <c r="I162" s="5784">
        <v>0</v>
      </c>
      <c r="J162" s="5785" t="b">
        <v>0</v>
      </c>
      <c r="K162" s="5785" t="s">
        <v>2129</v>
      </c>
      <c r="L162" s="5786">
        <v>0</v>
      </c>
      <c r="M162" s="5786">
        <v>0</v>
      </c>
      <c r="N162" s="5786">
        <v>0</v>
      </c>
      <c r="O162" s="5786">
        <v>0</v>
      </c>
      <c r="P162" s="5786">
        <v>0</v>
      </c>
      <c r="Q162" s="2476">
        <v>0</v>
      </c>
      <c r="R162" s="5787">
        <v>0</v>
      </c>
      <c r="S162" s="2477" t="b">
        <v>1</v>
      </c>
      <c r="T162" s="5787" t="s">
        <v>2129</v>
      </c>
      <c r="U162" s="5787">
        <v>0</v>
      </c>
      <c r="V162" s="5788">
        <v>803583</v>
      </c>
      <c r="W162" s="5788">
        <v>803583</v>
      </c>
      <c r="X162" s="5788" t="b">
        <v>1</v>
      </c>
      <c r="Y162" s="5788">
        <v>10044.7875</v>
      </c>
      <c r="Z162" s="5788"/>
      <c r="AA162" s="5788"/>
      <c r="AB162" s="5788" t="s">
        <v>2129</v>
      </c>
      <c r="AC162" s="5788"/>
      <c r="AD162" s="5788"/>
      <c r="AE162" s="5782">
        <v>127</v>
      </c>
      <c r="AF162" s="5789">
        <v>80</v>
      </c>
      <c r="AG162" s="5789" t="b">
        <v>1</v>
      </c>
      <c r="AH162" s="5782">
        <v>128</v>
      </c>
      <c r="AI162" s="5782" t="s">
        <v>2129</v>
      </c>
      <c r="AJ162" s="5782" t="s">
        <v>2129</v>
      </c>
      <c r="AK162" s="5782" t="s">
        <v>2129</v>
      </c>
      <c r="AL162" s="5782" t="s">
        <v>2129</v>
      </c>
      <c r="AM162" s="5782" t="s">
        <v>2129</v>
      </c>
      <c r="AN162" s="5782" t="s">
        <v>2129</v>
      </c>
      <c r="AQ162" s="5782" t="s">
        <v>2129</v>
      </c>
      <c r="AV162" s="5782" t="s">
        <v>2129</v>
      </c>
      <c r="AW162" s="5782" t="s">
        <v>2129</v>
      </c>
      <c r="AX162" s="5782" t="s">
        <v>2129</v>
      </c>
      <c r="AY162" s="5782" t="s">
        <v>2129</v>
      </c>
      <c r="AZ162" s="5782" t="s">
        <v>2129</v>
      </c>
      <c r="BA162" s="5782" t="s">
        <v>2129</v>
      </c>
      <c r="BB162" s="5782" t="s">
        <v>2129</v>
      </c>
      <c r="BC162" s="5782" t="s">
        <v>2129</v>
      </c>
      <c r="BD162" s="5782" t="s">
        <v>2129</v>
      </c>
      <c r="BE162" s="5782" t="s">
        <v>2129</v>
      </c>
      <c r="BF162" s="5782" t="s">
        <v>2129</v>
      </c>
      <c r="BG162" s="5782" t="s">
        <v>2129</v>
      </c>
      <c r="BH162" s="5788" t="s">
        <v>2129</v>
      </c>
      <c r="BJ162" s="5788" t="s">
        <v>2129</v>
      </c>
      <c r="BK162" s="5788" t="s">
        <v>2129</v>
      </c>
      <c r="BL162" s="5788" t="s">
        <v>2129</v>
      </c>
      <c r="BM162" s="5788" t="s">
        <v>2129</v>
      </c>
      <c r="BN162" s="5788" t="s">
        <v>2129</v>
      </c>
      <c r="BO162" s="5788" t="s">
        <v>2129</v>
      </c>
      <c r="BP162" s="5788" t="s">
        <v>2129</v>
      </c>
      <c r="BQ162" s="5788" t="s">
        <v>2129</v>
      </c>
      <c r="BR162" s="5788" t="s">
        <v>2129</v>
      </c>
      <c r="BS162" s="5788" t="s">
        <v>2129</v>
      </c>
      <c r="BT162" s="5788" t="s">
        <v>2129</v>
      </c>
      <c r="BU162" s="5788" t="s">
        <v>2129</v>
      </c>
      <c r="BV162" s="5788" t="s">
        <v>2129</v>
      </c>
      <c r="BW162" s="5788" t="s">
        <v>2129</v>
      </c>
      <c r="BX162" s="5788" t="s">
        <v>2129</v>
      </c>
      <c r="BY162" s="5788" t="s">
        <v>2129</v>
      </c>
      <c r="BZ162" s="5788" t="s">
        <v>2129</v>
      </c>
      <c r="CA162" s="5788" t="s">
        <v>2129</v>
      </c>
      <c r="CB162" s="5788"/>
      <c r="CC162" s="5788" t="s">
        <v>2129</v>
      </c>
      <c r="CD162" s="5788" t="s">
        <v>2129</v>
      </c>
      <c r="CE162" s="5788" t="s">
        <v>2129</v>
      </c>
      <c r="CF162" s="5788" t="s">
        <v>2129</v>
      </c>
      <c r="CG162" s="5788"/>
      <c r="CH162" s="5784"/>
    </row>
    <row r="163" spans="1:86" s="5782" customFormat="1" ht="13" hidden="1">
      <c r="A163" s="5782">
        <v>321</v>
      </c>
      <c r="B163" s="5783" t="s">
        <v>3378</v>
      </c>
      <c r="C163" s="5784" t="s">
        <v>2129</v>
      </c>
      <c r="D163" s="5784" t="s">
        <v>2129</v>
      </c>
      <c r="E163" s="5784" t="s">
        <v>2129</v>
      </c>
      <c r="F163" s="5784" t="s">
        <v>2129</v>
      </c>
      <c r="G163" s="5784" t="s">
        <v>2129</v>
      </c>
      <c r="H163" s="5784">
        <v>0</v>
      </c>
      <c r="I163" s="5784">
        <v>0</v>
      </c>
      <c r="J163" s="5785" t="b">
        <v>0</v>
      </c>
      <c r="K163" s="5785" t="s">
        <v>2129</v>
      </c>
      <c r="L163" s="5786">
        <v>0</v>
      </c>
      <c r="M163" s="5786">
        <v>0</v>
      </c>
      <c r="N163" s="5786">
        <v>0</v>
      </c>
      <c r="O163" s="5786">
        <v>0</v>
      </c>
      <c r="P163" s="5786">
        <v>0</v>
      </c>
      <c r="Q163" s="2476">
        <v>0</v>
      </c>
      <c r="R163" s="5787">
        <v>0</v>
      </c>
      <c r="S163" s="2477" t="b">
        <v>1</v>
      </c>
      <c r="T163" s="5787" t="s">
        <v>2129</v>
      </c>
      <c r="U163" s="5787">
        <v>0</v>
      </c>
      <c r="V163" s="5788">
        <v>554668</v>
      </c>
      <c r="W163" s="5788">
        <v>554668</v>
      </c>
      <c r="X163" s="5788" t="b">
        <v>0</v>
      </c>
      <c r="Y163" s="5788">
        <v>11093.36</v>
      </c>
      <c r="Z163" s="5788"/>
      <c r="AA163" s="5788"/>
      <c r="AB163" s="5788" t="s">
        <v>2129</v>
      </c>
      <c r="AC163" s="5788"/>
      <c r="AD163" s="5788"/>
      <c r="AE163" s="5782">
        <v>52</v>
      </c>
      <c r="AF163" s="5789">
        <v>50</v>
      </c>
      <c r="AG163" s="5789" t="b">
        <v>0</v>
      </c>
      <c r="AH163" s="5782">
        <v>63</v>
      </c>
      <c r="AI163" s="5782" t="s">
        <v>2129</v>
      </c>
      <c r="AJ163" s="5782" t="s">
        <v>2129</v>
      </c>
      <c r="AK163" s="5782" t="s">
        <v>2129</v>
      </c>
      <c r="AL163" s="5782" t="s">
        <v>2129</v>
      </c>
      <c r="AM163" s="5782" t="s">
        <v>2129</v>
      </c>
      <c r="AN163" s="5782" t="s">
        <v>2129</v>
      </c>
      <c r="AQ163" s="5782" t="s">
        <v>2129</v>
      </c>
      <c r="AV163" s="5782" t="s">
        <v>2129</v>
      </c>
      <c r="AW163" s="5782" t="s">
        <v>2129</v>
      </c>
      <c r="AX163" s="5782" t="s">
        <v>2129</v>
      </c>
      <c r="AY163" s="5782" t="s">
        <v>2129</v>
      </c>
      <c r="AZ163" s="5782" t="s">
        <v>2129</v>
      </c>
      <c r="BA163" s="5782" t="s">
        <v>2129</v>
      </c>
      <c r="BB163" s="5782" t="s">
        <v>2129</v>
      </c>
      <c r="BC163" s="5782" t="s">
        <v>2129</v>
      </c>
      <c r="BD163" s="5782" t="s">
        <v>2129</v>
      </c>
      <c r="BE163" s="5782" t="s">
        <v>2129</v>
      </c>
      <c r="BF163" s="5782" t="s">
        <v>2129</v>
      </c>
      <c r="BG163" s="5782" t="s">
        <v>2129</v>
      </c>
      <c r="BH163" s="5788" t="s">
        <v>2129</v>
      </c>
      <c r="BJ163" s="5788" t="s">
        <v>2129</v>
      </c>
      <c r="BK163" s="5788" t="s">
        <v>2129</v>
      </c>
      <c r="BL163" s="5788" t="s">
        <v>2129</v>
      </c>
      <c r="BM163" s="5788" t="s">
        <v>2129</v>
      </c>
      <c r="BN163" s="5788" t="s">
        <v>2129</v>
      </c>
      <c r="BO163" s="5788" t="s">
        <v>2129</v>
      </c>
      <c r="BP163" s="5788" t="s">
        <v>2129</v>
      </c>
      <c r="BQ163" s="5788" t="s">
        <v>2129</v>
      </c>
      <c r="BR163" s="5788" t="s">
        <v>2129</v>
      </c>
      <c r="BS163" s="5788" t="s">
        <v>2129</v>
      </c>
      <c r="BT163" s="5788" t="s">
        <v>2129</v>
      </c>
      <c r="BU163" s="5788" t="s">
        <v>2129</v>
      </c>
      <c r="BV163" s="5788" t="s">
        <v>2129</v>
      </c>
      <c r="BW163" s="5788" t="s">
        <v>2129</v>
      </c>
      <c r="BX163" s="5788" t="s">
        <v>2129</v>
      </c>
      <c r="BY163" s="5788" t="s">
        <v>2129</v>
      </c>
      <c r="BZ163" s="5788" t="s">
        <v>2129</v>
      </c>
      <c r="CA163" s="5788" t="s">
        <v>2129</v>
      </c>
      <c r="CB163" s="5788"/>
      <c r="CC163" s="5788" t="s">
        <v>2129</v>
      </c>
      <c r="CD163" s="5788" t="s">
        <v>2129</v>
      </c>
      <c r="CE163" s="5788" t="s">
        <v>2129</v>
      </c>
      <c r="CF163" s="5788" t="s">
        <v>2129</v>
      </c>
      <c r="CG163" s="5788"/>
      <c r="CH163" s="5784"/>
    </row>
    <row r="164" spans="1:86" s="5782" customFormat="1" ht="13" hidden="1">
      <c r="A164" s="5782">
        <v>322</v>
      </c>
      <c r="B164" s="5783" t="s">
        <v>3379</v>
      </c>
      <c r="C164" s="5784" t="s">
        <v>2129</v>
      </c>
      <c r="D164" s="5784" t="s">
        <v>2129</v>
      </c>
      <c r="E164" s="5784" t="s">
        <v>2129</v>
      </c>
      <c r="F164" s="5784" t="s">
        <v>2129</v>
      </c>
      <c r="G164" s="5784" t="s">
        <v>2129</v>
      </c>
      <c r="H164" s="5784">
        <v>0</v>
      </c>
      <c r="I164" s="5784">
        <v>0</v>
      </c>
      <c r="J164" s="5785" t="b">
        <v>0</v>
      </c>
      <c r="K164" s="5785" t="s">
        <v>2129</v>
      </c>
      <c r="L164" s="5786">
        <v>0</v>
      </c>
      <c r="M164" s="5786">
        <v>0</v>
      </c>
      <c r="N164" s="5786">
        <v>0</v>
      </c>
      <c r="O164" s="5786">
        <v>0</v>
      </c>
      <c r="P164" s="5786">
        <v>0</v>
      </c>
      <c r="Q164" s="2476">
        <v>0</v>
      </c>
      <c r="R164" s="5787">
        <v>0</v>
      </c>
      <c r="S164" s="2477" t="b">
        <v>1</v>
      </c>
      <c r="T164" s="5787" t="s">
        <v>2129</v>
      </c>
      <c r="U164" s="5787">
        <v>0</v>
      </c>
      <c r="V164" s="5788">
        <v>880000</v>
      </c>
      <c r="W164" s="5788">
        <v>880000</v>
      </c>
      <c r="X164" s="5788" t="b">
        <v>1</v>
      </c>
      <c r="Y164" s="5788">
        <v>11000</v>
      </c>
      <c r="Z164" s="5788"/>
      <c r="AA164" s="5788"/>
      <c r="AB164" s="5788" t="s">
        <v>2129</v>
      </c>
      <c r="AC164" s="5788"/>
      <c r="AD164" s="5788"/>
      <c r="AE164" s="5782">
        <v>171</v>
      </c>
      <c r="AF164" s="5789">
        <v>80</v>
      </c>
      <c r="AG164" s="5789" t="b">
        <v>1</v>
      </c>
      <c r="AH164" s="5782">
        <v>174</v>
      </c>
      <c r="AI164" s="5782" t="s">
        <v>2129</v>
      </c>
      <c r="AJ164" s="5782" t="s">
        <v>2129</v>
      </c>
      <c r="AK164" s="5782" t="s">
        <v>2129</v>
      </c>
      <c r="AL164" s="5782" t="s">
        <v>2129</v>
      </c>
      <c r="AM164" s="5782" t="s">
        <v>2129</v>
      </c>
      <c r="AN164" s="5782" t="s">
        <v>2129</v>
      </c>
      <c r="AQ164" s="5782" t="s">
        <v>2129</v>
      </c>
      <c r="AV164" s="5782" t="s">
        <v>2129</v>
      </c>
      <c r="AW164" s="5782" t="s">
        <v>2129</v>
      </c>
      <c r="AX164" s="5782" t="s">
        <v>2129</v>
      </c>
      <c r="AY164" s="5782" t="s">
        <v>2129</v>
      </c>
      <c r="AZ164" s="5782" t="s">
        <v>2129</v>
      </c>
      <c r="BA164" s="5782" t="s">
        <v>2129</v>
      </c>
      <c r="BB164" s="5782" t="s">
        <v>2129</v>
      </c>
      <c r="BC164" s="5782" t="s">
        <v>2129</v>
      </c>
      <c r="BD164" s="5782" t="s">
        <v>2129</v>
      </c>
      <c r="BE164" s="5782" t="s">
        <v>2129</v>
      </c>
      <c r="BF164" s="5782" t="s">
        <v>2129</v>
      </c>
      <c r="BG164" s="5782" t="s">
        <v>2129</v>
      </c>
      <c r="BH164" s="5788" t="s">
        <v>2129</v>
      </c>
      <c r="BJ164" s="5788" t="s">
        <v>2129</v>
      </c>
      <c r="BK164" s="5788" t="s">
        <v>2129</v>
      </c>
      <c r="BL164" s="5788" t="s">
        <v>2129</v>
      </c>
      <c r="BM164" s="5788" t="s">
        <v>2129</v>
      </c>
      <c r="BN164" s="5788" t="s">
        <v>2129</v>
      </c>
      <c r="BO164" s="5788" t="s">
        <v>2129</v>
      </c>
      <c r="BP164" s="5788" t="s">
        <v>2129</v>
      </c>
      <c r="BQ164" s="5788" t="s">
        <v>2129</v>
      </c>
      <c r="BR164" s="5788" t="s">
        <v>2129</v>
      </c>
      <c r="BS164" s="5788" t="s">
        <v>2129</v>
      </c>
      <c r="BT164" s="5788" t="s">
        <v>2129</v>
      </c>
      <c r="BU164" s="5788" t="s">
        <v>2129</v>
      </c>
      <c r="BV164" s="5788" t="s">
        <v>2129</v>
      </c>
      <c r="BW164" s="5788" t="s">
        <v>2129</v>
      </c>
      <c r="BX164" s="5788" t="s">
        <v>2129</v>
      </c>
      <c r="BY164" s="5788" t="s">
        <v>2129</v>
      </c>
      <c r="BZ164" s="5788" t="s">
        <v>2129</v>
      </c>
      <c r="CA164" s="5788" t="s">
        <v>2129</v>
      </c>
      <c r="CB164" s="5788"/>
      <c r="CC164" s="5788" t="s">
        <v>2129</v>
      </c>
      <c r="CD164" s="5788" t="s">
        <v>2129</v>
      </c>
      <c r="CE164" s="5788" t="s">
        <v>2129</v>
      </c>
      <c r="CF164" s="5788" t="s">
        <v>2129</v>
      </c>
      <c r="CG164" s="5788"/>
      <c r="CH164" s="5784"/>
    </row>
    <row r="165" spans="1:86" s="5782" customFormat="1" ht="13" hidden="1">
      <c r="A165" s="5782">
        <v>323</v>
      </c>
      <c r="B165" s="5783" t="s">
        <v>3380</v>
      </c>
      <c r="C165" s="5784" t="s">
        <v>2129</v>
      </c>
      <c r="D165" s="5784" t="s">
        <v>2129</v>
      </c>
      <c r="E165" s="5784" t="s">
        <v>2129</v>
      </c>
      <c r="F165" s="5784" t="s">
        <v>2129</v>
      </c>
      <c r="G165" s="5784" t="s">
        <v>2129</v>
      </c>
      <c r="H165" s="5784">
        <v>0</v>
      </c>
      <c r="I165" s="5784">
        <v>0</v>
      </c>
      <c r="J165" s="5785" t="b">
        <v>0</v>
      </c>
      <c r="K165" s="5785" t="s">
        <v>2129</v>
      </c>
      <c r="L165" s="5786">
        <v>0</v>
      </c>
      <c r="M165" s="5786">
        <v>0</v>
      </c>
      <c r="N165" s="5786">
        <v>0</v>
      </c>
      <c r="O165" s="5786">
        <v>0</v>
      </c>
      <c r="P165" s="5786">
        <v>0</v>
      </c>
      <c r="Q165" s="2476">
        <v>0</v>
      </c>
      <c r="R165" s="5787">
        <v>0</v>
      </c>
      <c r="S165" s="2477" t="b">
        <v>1</v>
      </c>
      <c r="T165" s="5787" t="s">
        <v>2129</v>
      </c>
      <c r="U165" s="5787">
        <v>0</v>
      </c>
      <c r="V165" s="5788">
        <v>1573435</v>
      </c>
      <c r="W165" s="5788">
        <v>1573435</v>
      </c>
      <c r="X165" s="5788" t="b">
        <v>1</v>
      </c>
      <c r="Y165" s="5788">
        <v>19667.9375</v>
      </c>
      <c r="Z165" s="5788"/>
      <c r="AA165" s="5788"/>
      <c r="AB165" s="5788" t="s">
        <v>2129</v>
      </c>
      <c r="AC165" s="5788"/>
      <c r="AD165" s="5788"/>
      <c r="AE165" s="5782">
        <v>150</v>
      </c>
      <c r="AF165" s="5789">
        <v>80</v>
      </c>
      <c r="AG165" s="5789" t="b">
        <v>1</v>
      </c>
      <c r="AH165" s="5782">
        <v>149</v>
      </c>
      <c r="AI165" s="5782" t="s">
        <v>2129</v>
      </c>
      <c r="AJ165" s="5782" t="s">
        <v>2129</v>
      </c>
      <c r="AK165" s="5782" t="s">
        <v>2129</v>
      </c>
      <c r="AL165" s="5782" t="s">
        <v>2129</v>
      </c>
      <c r="AM165" s="5782" t="s">
        <v>2129</v>
      </c>
      <c r="AN165" s="5782" t="s">
        <v>2129</v>
      </c>
      <c r="AQ165" s="5782" t="s">
        <v>2129</v>
      </c>
      <c r="AV165" s="5782" t="s">
        <v>2129</v>
      </c>
      <c r="AW165" s="5782" t="s">
        <v>2129</v>
      </c>
      <c r="AX165" s="5782" t="s">
        <v>2129</v>
      </c>
      <c r="AY165" s="5782" t="s">
        <v>2129</v>
      </c>
      <c r="AZ165" s="5782" t="s">
        <v>2129</v>
      </c>
      <c r="BA165" s="5782" t="s">
        <v>2129</v>
      </c>
      <c r="BB165" s="5782" t="s">
        <v>2129</v>
      </c>
      <c r="BC165" s="5782" t="s">
        <v>2129</v>
      </c>
      <c r="BD165" s="5782" t="s">
        <v>2129</v>
      </c>
      <c r="BE165" s="5782" t="s">
        <v>2129</v>
      </c>
      <c r="BF165" s="5782" t="s">
        <v>2129</v>
      </c>
      <c r="BG165" s="5782" t="s">
        <v>2129</v>
      </c>
      <c r="BH165" s="5788" t="s">
        <v>2129</v>
      </c>
      <c r="BJ165" s="5788" t="s">
        <v>2129</v>
      </c>
      <c r="BK165" s="5788" t="s">
        <v>2129</v>
      </c>
      <c r="BL165" s="5788" t="s">
        <v>2129</v>
      </c>
      <c r="BM165" s="5788" t="s">
        <v>2129</v>
      </c>
      <c r="BN165" s="5788" t="s">
        <v>2129</v>
      </c>
      <c r="BO165" s="5788" t="s">
        <v>2129</v>
      </c>
      <c r="BP165" s="5788" t="s">
        <v>2129</v>
      </c>
      <c r="BQ165" s="5788" t="s">
        <v>2129</v>
      </c>
      <c r="BR165" s="5788" t="s">
        <v>2129</v>
      </c>
      <c r="BS165" s="5788" t="s">
        <v>2129</v>
      </c>
      <c r="BT165" s="5788" t="s">
        <v>2129</v>
      </c>
      <c r="BU165" s="5788" t="s">
        <v>2129</v>
      </c>
      <c r="BV165" s="5788" t="s">
        <v>2129</v>
      </c>
      <c r="BW165" s="5788" t="s">
        <v>2129</v>
      </c>
      <c r="BX165" s="5788" t="s">
        <v>2129</v>
      </c>
      <c r="BY165" s="5788" t="s">
        <v>2129</v>
      </c>
      <c r="BZ165" s="5788" t="s">
        <v>2129</v>
      </c>
      <c r="CA165" s="5788" t="s">
        <v>2129</v>
      </c>
      <c r="CB165" s="5788"/>
      <c r="CC165" s="5788" t="s">
        <v>2129</v>
      </c>
      <c r="CD165" s="5788" t="s">
        <v>2129</v>
      </c>
      <c r="CE165" s="5788" t="s">
        <v>2129</v>
      </c>
      <c r="CF165" s="5788" t="s">
        <v>2129</v>
      </c>
      <c r="CG165" s="5788"/>
      <c r="CH165" s="5784"/>
    </row>
    <row r="166" spans="1:86" s="5782" customFormat="1" ht="13" hidden="1">
      <c r="A166" s="5782">
        <v>324</v>
      </c>
      <c r="B166" s="5783" t="s">
        <v>3381</v>
      </c>
      <c r="C166" s="5784" t="s">
        <v>2129</v>
      </c>
      <c r="D166" s="5784" t="s">
        <v>2129</v>
      </c>
      <c r="E166" s="5784" t="s">
        <v>2129</v>
      </c>
      <c r="F166" s="5784" t="s">
        <v>2129</v>
      </c>
      <c r="G166" s="5784" t="s">
        <v>2129</v>
      </c>
      <c r="H166" s="5784">
        <v>0</v>
      </c>
      <c r="I166" s="5784">
        <v>0</v>
      </c>
      <c r="J166" s="5785" t="b">
        <v>0</v>
      </c>
      <c r="K166" s="5785" t="s">
        <v>2129</v>
      </c>
      <c r="L166" s="5786">
        <v>0</v>
      </c>
      <c r="M166" s="5786">
        <v>0</v>
      </c>
      <c r="N166" s="5786">
        <v>0</v>
      </c>
      <c r="O166" s="5786">
        <v>0</v>
      </c>
      <c r="P166" s="5786">
        <v>0</v>
      </c>
      <c r="Q166" s="2476">
        <v>0</v>
      </c>
      <c r="R166" s="5787">
        <v>0</v>
      </c>
      <c r="S166" s="2477" t="b">
        <v>1</v>
      </c>
      <c r="T166" s="5787" t="s">
        <v>2129</v>
      </c>
      <c r="U166" s="5787">
        <v>0</v>
      </c>
      <c r="V166" s="5788">
        <v>1381142</v>
      </c>
      <c r="W166" s="5788">
        <v>1381142</v>
      </c>
      <c r="X166" s="5788" t="b">
        <v>1</v>
      </c>
      <c r="Y166" s="5788">
        <v>15694.795454545454</v>
      </c>
      <c r="Z166" s="5788"/>
      <c r="AA166" s="5788"/>
      <c r="AB166" s="5788" t="s">
        <v>2129</v>
      </c>
      <c r="AC166" s="5788"/>
      <c r="AD166" s="5788"/>
      <c r="AE166" s="5782">
        <v>126</v>
      </c>
      <c r="AF166" s="5789">
        <v>88</v>
      </c>
      <c r="AG166" s="5789" t="b">
        <v>1</v>
      </c>
      <c r="AH166" s="5782">
        <v>126</v>
      </c>
      <c r="AI166" s="5782" t="s">
        <v>2129</v>
      </c>
      <c r="AJ166" s="5782" t="s">
        <v>2129</v>
      </c>
      <c r="AK166" s="5782" t="s">
        <v>2129</v>
      </c>
      <c r="AL166" s="5782" t="s">
        <v>2129</v>
      </c>
      <c r="AM166" s="5782" t="s">
        <v>2129</v>
      </c>
      <c r="AN166" s="5782" t="s">
        <v>2129</v>
      </c>
      <c r="AQ166" s="5782" t="s">
        <v>2129</v>
      </c>
      <c r="AV166" s="5782" t="s">
        <v>2129</v>
      </c>
      <c r="AW166" s="5782" t="s">
        <v>2129</v>
      </c>
      <c r="AX166" s="5782" t="s">
        <v>2129</v>
      </c>
      <c r="AY166" s="5782" t="s">
        <v>2129</v>
      </c>
      <c r="AZ166" s="5782" t="s">
        <v>2129</v>
      </c>
      <c r="BA166" s="5782" t="s">
        <v>2129</v>
      </c>
      <c r="BB166" s="5782" t="s">
        <v>2129</v>
      </c>
      <c r="BC166" s="5782" t="s">
        <v>2129</v>
      </c>
      <c r="BD166" s="5782" t="s">
        <v>2129</v>
      </c>
      <c r="BE166" s="5782" t="s">
        <v>2129</v>
      </c>
      <c r="BF166" s="5782" t="s">
        <v>2129</v>
      </c>
      <c r="BG166" s="5782" t="s">
        <v>2129</v>
      </c>
      <c r="BH166" s="5788" t="s">
        <v>2129</v>
      </c>
      <c r="BJ166" s="5788" t="s">
        <v>2129</v>
      </c>
      <c r="BK166" s="5788" t="s">
        <v>2129</v>
      </c>
      <c r="BL166" s="5788" t="s">
        <v>2129</v>
      </c>
      <c r="BM166" s="5788" t="s">
        <v>2129</v>
      </c>
      <c r="BN166" s="5788" t="s">
        <v>2129</v>
      </c>
      <c r="BO166" s="5788" t="s">
        <v>2129</v>
      </c>
      <c r="BP166" s="5788" t="s">
        <v>2129</v>
      </c>
      <c r="BQ166" s="5788" t="s">
        <v>2129</v>
      </c>
      <c r="BR166" s="5788" t="s">
        <v>2129</v>
      </c>
      <c r="BS166" s="5788" t="s">
        <v>2129</v>
      </c>
      <c r="BT166" s="5788" t="s">
        <v>2129</v>
      </c>
      <c r="BU166" s="5788" t="s">
        <v>2129</v>
      </c>
      <c r="BV166" s="5788" t="s">
        <v>2129</v>
      </c>
      <c r="BW166" s="5788" t="s">
        <v>2129</v>
      </c>
      <c r="BX166" s="5788" t="s">
        <v>2129</v>
      </c>
      <c r="BY166" s="5788" t="s">
        <v>2129</v>
      </c>
      <c r="BZ166" s="5788" t="s">
        <v>2129</v>
      </c>
      <c r="CA166" s="5788" t="s">
        <v>2129</v>
      </c>
      <c r="CB166" s="5788"/>
      <c r="CC166" s="5788" t="s">
        <v>2129</v>
      </c>
      <c r="CD166" s="5788" t="s">
        <v>2129</v>
      </c>
      <c r="CE166" s="5788" t="s">
        <v>2129</v>
      </c>
      <c r="CF166" s="5788" t="s">
        <v>2129</v>
      </c>
      <c r="CG166" s="5788"/>
      <c r="CH166" s="5784"/>
    </row>
    <row r="167" spans="1:86" s="5782" customFormat="1" ht="13" hidden="1">
      <c r="A167" s="5782">
        <v>1002</v>
      </c>
      <c r="B167" s="5783" t="s">
        <v>3382</v>
      </c>
      <c r="C167" s="5784" t="s">
        <v>2129</v>
      </c>
      <c r="D167" s="5784" t="s">
        <v>2129</v>
      </c>
      <c r="E167" s="5784" t="s">
        <v>2129</v>
      </c>
      <c r="F167" s="5784" t="s">
        <v>2129</v>
      </c>
      <c r="G167" s="5784" t="s">
        <v>2129</v>
      </c>
      <c r="H167" s="5784">
        <v>0</v>
      </c>
      <c r="I167" s="5784">
        <v>0</v>
      </c>
      <c r="J167" s="5785" t="b">
        <v>0</v>
      </c>
      <c r="K167" s="5785" t="s">
        <v>2129</v>
      </c>
      <c r="L167" s="5786">
        <v>0</v>
      </c>
      <c r="M167" s="5786">
        <v>0</v>
      </c>
      <c r="N167" s="5786">
        <v>0</v>
      </c>
      <c r="O167" s="5786">
        <v>0</v>
      </c>
      <c r="P167" s="5786">
        <v>0</v>
      </c>
      <c r="Q167" s="2476">
        <v>0</v>
      </c>
      <c r="R167" s="5787">
        <v>0</v>
      </c>
      <c r="S167" s="2477" t="b">
        <v>1</v>
      </c>
      <c r="T167" s="5787" t="s">
        <v>2129</v>
      </c>
      <c r="U167" s="5787">
        <v>0</v>
      </c>
      <c r="V167" s="5788">
        <v>3685951</v>
      </c>
      <c r="W167" s="5788">
        <v>3685951</v>
      </c>
      <c r="X167" s="5788" t="b">
        <v>1</v>
      </c>
      <c r="Y167" s="5788">
        <v>26328.221428571429</v>
      </c>
      <c r="Z167" s="5788"/>
      <c r="AA167" s="5788"/>
      <c r="AB167" s="5788" t="s">
        <v>2129</v>
      </c>
      <c r="AC167" s="5788"/>
      <c r="AD167" s="5788"/>
      <c r="AE167" s="5782">
        <v>212</v>
      </c>
      <c r="AF167" s="5789">
        <v>140</v>
      </c>
      <c r="AG167" s="5789" t="b">
        <v>1</v>
      </c>
      <c r="AH167" s="5782">
        <v>212</v>
      </c>
      <c r="AI167" s="5782" t="s">
        <v>2129</v>
      </c>
      <c r="AJ167" s="5782" t="s">
        <v>2129</v>
      </c>
      <c r="AK167" s="5782" t="s">
        <v>2129</v>
      </c>
      <c r="AL167" s="5782" t="s">
        <v>2129</v>
      </c>
      <c r="AM167" s="5782" t="s">
        <v>2129</v>
      </c>
      <c r="AN167" s="5782" t="s">
        <v>2129</v>
      </c>
      <c r="AQ167" s="5782" t="s">
        <v>2129</v>
      </c>
      <c r="AV167" s="5782" t="s">
        <v>2129</v>
      </c>
      <c r="AW167" s="5782" t="s">
        <v>2129</v>
      </c>
      <c r="AX167" s="5782" t="s">
        <v>2129</v>
      </c>
      <c r="AY167" s="5782" t="s">
        <v>2129</v>
      </c>
      <c r="AZ167" s="5782" t="s">
        <v>2129</v>
      </c>
      <c r="BA167" s="5782" t="s">
        <v>2129</v>
      </c>
      <c r="BB167" s="5782" t="s">
        <v>2129</v>
      </c>
      <c r="BC167" s="5782" t="s">
        <v>2129</v>
      </c>
      <c r="BD167" s="5782" t="s">
        <v>2129</v>
      </c>
      <c r="BE167" s="5782" t="s">
        <v>2129</v>
      </c>
      <c r="BF167" s="5782" t="s">
        <v>2129</v>
      </c>
      <c r="BG167" s="5782" t="s">
        <v>2129</v>
      </c>
      <c r="BH167" s="5788" t="s">
        <v>2129</v>
      </c>
      <c r="BJ167" s="5788" t="s">
        <v>2129</v>
      </c>
      <c r="BK167" s="5788" t="s">
        <v>2129</v>
      </c>
      <c r="BL167" s="5788" t="s">
        <v>2129</v>
      </c>
      <c r="BM167" s="5788" t="s">
        <v>2129</v>
      </c>
      <c r="BN167" s="5788" t="s">
        <v>2129</v>
      </c>
      <c r="BO167" s="5788" t="s">
        <v>2129</v>
      </c>
      <c r="BP167" s="5788" t="s">
        <v>2129</v>
      </c>
      <c r="BQ167" s="5788" t="s">
        <v>2129</v>
      </c>
      <c r="BR167" s="5788" t="s">
        <v>2129</v>
      </c>
      <c r="BS167" s="5788" t="s">
        <v>2129</v>
      </c>
      <c r="BT167" s="5788" t="s">
        <v>2129</v>
      </c>
      <c r="BU167" s="5788" t="s">
        <v>2129</v>
      </c>
      <c r="BV167" s="5788" t="s">
        <v>2129</v>
      </c>
      <c r="BW167" s="5788" t="s">
        <v>2129</v>
      </c>
      <c r="BX167" s="5788" t="s">
        <v>2129</v>
      </c>
      <c r="BY167" s="5788" t="s">
        <v>2129</v>
      </c>
      <c r="BZ167" s="5788" t="s">
        <v>2129</v>
      </c>
      <c r="CA167" s="5788" t="s">
        <v>2129</v>
      </c>
      <c r="CB167" s="5788"/>
      <c r="CC167" s="5788" t="s">
        <v>2129</v>
      </c>
      <c r="CD167" s="5788" t="s">
        <v>2129</v>
      </c>
      <c r="CE167" s="5788" t="s">
        <v>2129</v>
      </c>
      <c r="CF167" s="5788" t="s">
        <v>2129</v>
      </c>
      <c r="CG167" s="5788"/>
      <c r="CH167" s="5784"/>
    </row>
    <row r="168" spans="1:86" ht="13">
      <c r="A168">
        <v>1003</v>
      </c>
      <c r="B168" s="196" t="s">
        <v>2868</v>
      </c>
      <c r="C168" s="5790" t="s">
        <v>6598</v>
      </c>
      <c r="D168" s="5790" t="s">
        <v>6599</v>
      </c>
      <c r="E168" s="5790" t="s">
        <v>2129</v>
      </c>
      <c r="F168" s="5785" t="s">
        <v>2129</v>
      </c>
      <c r="G168" s="5785" t="s">
        <v>2129</v>
      </c>
      <c r="H168" s="5785">
        <v>0</v>
      </c>
      <c r="I168" s="5785">
        <v>0</v>
      </c>
      <c r="J168" s="5785" t="b">
        <v>1</v>
      </c>
      <c r="K168" s="5785" t="s">
        <v>2129</v>
      </c>
      <c r="L168" s="5786">
        <v>0</v>
      </c>
      <c r="M168" s="5786">
        <v>0</v>
      </c>
      <c r="N168" s="5786">
        <v>0</v>
      </c>
      <c r="O168" s="5786">
        <v>0</v>
      </c>
      <c r="P168" s="5786">
        <v>0</v>
      </c>
      <c r="Q168" s="2476">
        <v>0</v>
      </c>
      <c r="R168" s="2477">
        <v>0</v>
      </c>
      <c r="S168" s="2477" t="b">
        <v>1</v>
      </c>
      <c r="T168" s="5786" t="s">
        <v>2129</v>
      </c>
      <c r="U168" s="5786">
        <v>274100</v>
      </c>
      <c r="V168" s="863">
        <v>1777540</v>
      </c>
      <c r="W168" s="863">
        <v>1503440</v>
      </c>
      <c r="X168" s="863" t="b">
        <v>1</v>
      </c>
      <c r="Y168" s="863">
        <v>17084.545454545456</v>
      </c>
      <c r="Z168" s="863">
        <v>9412</v>
      </c>
      <c r="AA168" s="863">
        <v>21648</v>
      </c>
      <c r="AB168" s="863">
        <v>12943.951786482998</v>
      </c>
      <c r="AC168" s="863">
        <v>0</v>
      </c>
      <c r="AE168">
        <v>184</v>
      </c>
      <c r="AF168" s="3965">
        <v>88</v>
      </c>
      <c r="AG168" t="b">
        <v>1</v>
      </c>
      <c r="AH168" s="2814">
        <v>186</v>
      </c>
      <c r="AI168">
        <v>101</v>
      </c>
      <c r="AJ168" t="s">
        <v>2129</v>
      </c>
      <c r="AK168" t="s">
        <v>2129</v>
      </c>
      <c r="AL168" t="s">
        <v>2129</v>
      </c>
      <c r="AM168" t="s">
        <v>2129</v>
      </c>
      <c r="AN168">
        <v>13</v>
      </c>
      <c r="AQ168" t="s">
        <v>2129</v>
      </c>
      <c r="AV168">
        <v>12</v>
      </c>
      <c r="AW168">
        <v>13</v>
      </c>
      <c r="AX168" t="s">
        <v>2129</v>
      </c>
      <c r="AY168" t="s">
        <v>2129</v>
      </c>
      <c r="AZ168" t="s">
        <v>2129</v>
      </c>
      <c r="BA168" t="s">
        <v>2129</v>
      </c>
      <c r="BB168" t="s">
        <v>2129</v>
      </c>
      <c r="BC168" t="s">
        <v>2129</v>
      </c>
      <c r="BD168" t="s">
        <v>2129</v>
      </c>
      <c r="BE168" t="s">
        <v>2129</v>
      </c>
      <c r="BF168" t="s">
        <v>2129</v>
      </c>
      <c r="BG168" t="s">
        <v>2129</v>
      </c>
      <c r="BH168" s="1958">
        <v>18041280</v>
      </c>
      <c r="BI168" s="1958">
        <v>19544720</v>
      </c>
      <c r="BJ168" s="1958" t="s">
        <v>2129</v>
      </c>
      <c r="BK168" s="1958" t="s">
        <v>2129</v>
      </c>
      <c r="BL168" s="1958" t="s">
        <v>2129</v>
      </c>
      <c r="BM168" s="1958" t="s">
        <v>2129</v>
      </c>
      <c r="BN168" s="1958" t="s">
        <v>2129</v>
      </c>
      <c r="BO168" s="1958" t="s">
        <v>2129</v>
      </c>
      <c r="BP168" s="1958" t="s">
        <v>2129</v>
      </c>
      <c r="BQ168" s="863" t="s">
        <v>2129</v>
      </c>
      <c r="BR168" s="863" t="s">
        <v>2129</v>
      </c>
      <c r="BS168" s="1958" t="s">
        <v>2129</v>
      </c>
      <c r="BT168" s="1958" t="s">
        <v>2129</v>
      </c>
      <c r="BU168" s="1958" t="s">
        <v>2129</v>
      </c>
      <c r="BV168" s="1958" t="s">
        <v>2129</v>
      </c>
      <c r="BW168" s="1958" t="s">
        <v>2129</v>
      </c>
      <c r="BX168" s="1958" t="s">
        <v>2129</v>
      </c>
      <c r="BY168" s="1958" t="s">
        <v>2129</v>
      </c>
      <c r="BZ168" s="1958" t="s">
        <v>2129</v>
      </c>
      <c r="CA168" s="1958" t="s">
        <v>2129</v>
      </c>
      <c r="CC168" s="1958" t="s">
        <v>2129</v>
      </c>
      <c r="CD168" s="1958" t="s">
        <v>2129</v>
      </c>
      <c r="CE168" s="1958" t="s">
        <v>2129</v>
      </c>
      <c r="CF168" s="1958" t="s">
        <v>2129</v>
      </c>
      <c r="CH168" s="5785"/>
    </row>
    <row r="169" spans="1:86" ht="13" hidden="1">
      <c r="A169">
        <v>1004</v>
      </c>
      <c r="B169" s="196" t="s">
        <v>3383</v>
      </c>
      <c r="C169" s="5785" t="s">
        <v>2129</v>
      </c>
      <c r="D169" s="5785" t="s">
        <v>2129</v>
      </c>
      <c r="E169" s="5785" t="s">
        <v>2129</v>
      </c>
      <c r="F169" s="5785" t="s">
        <v>3694</v>
      </c>
      <c r="G169" s="5785" t="s">
        <v>2129</v>
      </c>
      <c r="H169" s="5785">
        <v>1</v>
      </c>
      <c r="I169" s="5785">
        <v>1</v>
      </c>
      <c r="J169" s="5785" t="b">
        <v>1</v>
      </c>
      <c r="K169" s="5785" t="s">
        <v>2129</v>
      </c>
      <c r="L169" s="5786">
        <v>0</v>
      </c>
      <c r="M169" s="5786">
        <v>0</v>
      </c>
      <c r="N169" s="5786">
        <v>0</v>
      </c>
      <c r="O169" s="5786">
        <v>0</v>
      </c>
      <c r="P169" s="5786">
        <v>0</v>
      </c>
      <c r="Q169" s="2476">
        <v>0</v>
      </c>
      <c r="R169" s="2477">
        <v>0</v>
      </c>
      <c r="S169" s="2477" t="b">
        <v>1</v>
      </c>
      <c r="T169" s="5786">
        <v>0</v>
      </c>
      <c r="U169" s="5786">
        <v>0</v>
      </c>
      <c r="V169" s="863">
        <v>2889658</v>
      </c>
      <c r="W169" s="863">
        <v>2889658</v>
      </c>
      <c r="X169" s="863" t="b">
        <v>1</v>
      </c>
      <c r="Y169" s="863">
        <v>28896.58</v>
      </c>
      <c r="AB169" s="863" t="s">
        <v>2129</v>
      </c>
      <c r="AE169">
        <v>239</v>
      </c>
      <c r="AF169">
        <v>100</v>
      </c>
      <c r="AG169" t="b">
        <v>1</v>
      </c>
      <c r="AH169">
        <v>289</v>
      </c>
      <c r="AI169" t="s">
        <v>2129</v>
      </c>
      <c r="AJ169" t="s">
        <v>2129</v>
      </c>
      <c r="AK169" t="s">
        <v>2129</v>
      </c>
      <c r="AL169">
        <v>71</v>
      </c>
      <c r="AM169" t="s">
        <v>2129</v>
      </c>
      <c r="AN169" t="s">
        <v>2129</v>
      </c>
      <c r="AQ169">
        <v>-29</v>
      </c>
      <c r="AV169" t="s">
        <v>2129</v>
      </c>
      <c r="AW169" t="s">
        <v>2129</v>
      </c>
      <c r="AX169" t="s">
        <v>2129</v>
      </c>
      <c r="AY169" t="s">
        <v>2129</v>
      </c>
      <c r="AZ169" t="s">
        <v>2129</v>
      </c>
      <c r="BA169" t="s">
        <v>2129</v>
      </c>
      <c r="BB169" t="s">
        <v>2129</v>
      </c>
      <c r="BC169" t="s">
        <v>2129</v>
      </c>
      <c r="BD169" t="s">
        <v>2129</v>
      </c>
      <c r="BE169">
        <v>16</v>
      </c>
      <c r="BF169" t="s">
        <v>2129</v>
      </c>
      <c r="BG169" t="s">
        <v>2129</v>
      </c>
      <c r="BH169" s="1958" t="s">
        <v>2129</v>
      </c>
      <c r="BI169"/>
      <c r="BJ169" s="863" t="s">
        <v>2129</v>
      </c>
      <c r="BK169" s="863" t="s">
        <v>2129</v>
      </c>
      <c r="BL169" s="863" t="s">
        <v>2129</v>
      </c>
      <c r="BM169" s="863" t="s">
        <v>2129</v>
      </c>
      <c r="BN169" s="863" t="s">
        <v>2129</v>
      </c>
      <c r="BO169" s="863" t="s">
        <v>2129</v>
      </c>
      <c r="BP169" s="863" t="s">
        <v>2129</v>
      </c>
      <c r="BQ169" s="863" t="s">
        <v>2129</v>
      </c>
      <c r="BR169" s="863" t="s">
        <v>2129</v>
      </c>
      <c r="BS169" s="863" t="s">
        <v>2129</v>
      </c>
      <c r="BT169" s="863">
        <v>32826514.880000003</v>
      </c>
      <c r="BU169" s="863" t="s">
        <v>2129</v>
      </c>
      <c r="BV169" s="863" t="s">
        <v>2129</v>
      </c>
      <c r="BW169" s="863" t="s">
        <v>2129</v>
      </c>
      <c r="BX169" s="863" t="s">
        <v>2129</v>
      </c>
      <c r="BY169" s="863" t="s">
        <v>2129</v>
      </c>
      <c r="BZ169" s="863" t="s">
        <v>2129</v>
      </c>
      <c r="CA169" s="863" t="s">
        <v>2129</v>
      </c>
      <c r="CB169" s="863"/>
      <c r="CC169" s="863" t="s">
        <v>2129</v>
      </c>
      <c r="CD169" s="863" t="s">
        <v>2129</v>
      </c>
      <c r="CE169" s="863" t="s">
        <v>2129</v>
      </c>
      <c r="CF169" s="863" t="s">
        <v>2129</v>
      </c>
      <c r="CG169" s="863"/>
      <c r="CH169" s="5785"/>
    </row>
    <row r="170" spans="1:86" ht="13" hidden="1">
      <c r="A170">
        <v>1006</v>
      </c>
      <c r="B170" s="196" t="s">
        <v>3384</v>
      </c>
      <c r="C170" s="5785" t="s">
        <v>3694</v>
      </c>
      <c r="D170" s="5785" t="s">
        <v>2129</v>
      </c>
      <c r="E170" s="5785" t="s">
        <v>2129</v>
      </c>
      <c r="F170" s="5785" t="s">
        <v>3694</v>
      </c>
      <c r="G170" s="5785" t="s">
        <v>2129</v>
      </c>
      <c r="H170" s="5785">
        <v>0</v>
      </c>
      <c r="I170" s="5785">
        <v>0</v>
      </c>
      <c r="J170" s="5785" t="b">
        <v>1</v>
      </c>
      <c r="K170" s="5785" t="s">
        <v>2129</v>
      </c>
      <c r="L170" s="5786">
        <v>0</v>
      </c>
      <c r="M170" s="5786">
        <v>0</v>
      </c>
      <c r="N170" s="5786">
        <v>0</v>
      </c>
      <c r="O170" s="5786">
        <v>0</v>
      </c>
      <c r="P170" s="5786">
        <v>0</v>
      </c>
      <c r="Q170" s="2476">
        <v>0</v>
      </c>
      <c r="R170" s="2477">
        <v>0</v>
      </c>
      <c r="S170" s="2477" t="b">
        <v>1</v>
      </c>
      <c r="T170" s="5786" t="s">
        <v>2129</v>
      </c>
      <c r="U170" s="5786">
        <v>0</v>
      </c>
      <c r="V170" s="863">
        <v>3850948</v>
      </c>
      <c r="W170" s="863">
        <v>3850948</v>
      </c>
      <c r="X170" s="863" t="b">
        <v>1</v>
      </c>
      <c r="Y170" s="863">
        <v>35329.798165137618</v>
      </c>
      <c r="AB170" s="863">
        <v>29898.664596273295</v>
      </c>
      <c r="AE170">
        <v>229</v>
      </c>
      <c r="AF170" s="3965">
        <v>109</v>
      </c>
      <c r="AG170" s="3965" t="b">
        <v>1</v>
      </c>
      <c r="AH170">
        <v>232</v>
      </c>
      <c r="AI170">
        <v>112</v>
      </c>
      <c r="AJ170" t="s">
        <v>2129</v>
      </c>
      <c r="AK170" t="s">
        <v>2129</v>
      </c>
      <c r="AL170">
        <v>69</v>
      </c>
      <c r="AM170" t="s">
        <v>2129</v>
      </c>
      <c r="AN170">
        <v>3</v>
      </c>
      <c r="AQ170">
        <v>-40</v>
      </c>
      <c r="AV170" t="s">
        <v>2129</v>
      </c>
      <c r="AW170" t="s">
        <v>2129</v>
      </c>
      <c r="AX170" t="s">
        <v>2129</v>
      </c>
      <c r="AY170" t="s">
        <v>2129</v>
      </c>
      <c r="AZ170">
        <v>32</v>
      </c>
      <c r="BA170" t="s">
        <v>2129</v>
      </c>
      <c r="BB170" t="s">
        <v>2129</v>
      </c>
      <c r="BC170" t="s">
        <v>2129</v>
      </c>
      <c r="BD170" t="s">
        <v>2129</v>
      </c>
      <c r="BE170">
        <v>16</v>
      </c>
      <c r="BF170" t="s">
        <v>2129</v>
      </c>
      <c r="BG170" t="s">
        <v>2129</v>
      </c>
      <c r="BH170" s="1958" t="s">
        <v>2129</v>
      </c>
      <c r="BI170"/>
      <c r="BJ170" s="863" t="s">
        <v>2129</v>
      </c>
      <c r="BK170" s="863">
        <v>126621996.62385322</v>
      </c>
      <c r="BL170" s="863" t="s">
        <v>2129</v>
      </c>
      <c r="BM170" s="863" t="s">
        <v>2129</v>
      </c>
      <c r="BN170" s="863" t="s">
        <v>2129</v>
      </c>
      <c r="BO170" s="863" t="s">
        <v>2129</v>
      </c>
      <c r="BP170" s="863" t="s">
        <v>2129</v>
      </c>
      <c r="BQ170" s="863" t="s">
        <v>2129</v>
      </c>
      <c r="BR170" s="863" t="s">
        <v>2129</v>
      </c>
      <c r="BS170" s="863" t="s">
        <v>2129</v>
      </c>
      <c r="BT170" s="863">
        <v>39004097.174311928</v>
      </c>
      <c r="BU170" s="863" t="s">
        <v>2129</v>
      </c>
      <c r="BV170" s="863" t="s">
        <v>2129</v>
      </c>
      <c r="BW170" s="863" t="s">
        <v>2129</v>
      </c>
      <c r="BX170" s="863" t="s">
        <v>2129</v>
      </c>
      <c r="BY170" s="863" t="s">
        <v>2129</v>
      </c>
      <c r="BZ170" s="863" t="s">
        <v>2129</v>
      </c>
      <c r="CA170" s="863" t="s">
        <v>2129</v>
      </c>
      <c r="CB170" s="863"/>
      <c r="CC170" s="863" t="s">
        <v>2129</v>
      </c>
      <c r="CD170" s="863" t="s">
        <v>2129</v>
      </c>
      <c r="CE170" s="863" t="s">
        <v>2129</v>
      </c>
      <c r="CF170" s="863" t="s">
        <v>2129</v>
      </c>
      <c r="CG170" s="863"/>
      <c r="CH170" s="5785"/>
    </row>
    <row r="171" spans="1:86" ht="13">
      <c r="A171">
        <v>1007</v>
      </c>
      <c r="B171" s="196" t="s">
        <v>2837</v>
      </c>
      <c r="C171" s="5790" t="s">
        <v>6598</v>
      </c>
      <c r="D171" s="5790" t="s">
        <v>6599</v>
      </c>
      <c r="E171" s="5790" t="s">
        <v>2129</v>
      </c>
      <c r="F171" s="5785" t="s">
        <v>2129</v>
      </c>
      <c r="G171" s="5785" t="s">
        <v>2129</v>
      </c>
      <c r="H171" s="5785">
        <v>1</v>
      </c>
      <c r="I171" s="5785">
        <v>1</v>
      </c>
      <c r="J171" s="5785" t="b">
        <v>1</v>
      </c>
      <c r="K171" s="5785" t="s">
        <v>2129</v>
      </c>
      <c r="L171" s="5786">
        <v>847059</v>
      </c>
      <c r="M171" s="5786">
        <v>0</v>
      </c>
      <c r="N171" s="5786">
        <v>0</v>
      </c>
      <c r="O171" s="5786">
        <v>0</v>
      </c>
      <c r="P171" s="5786">
        <v>0</v>
      </c>
      <c r="Q171" s="2476">
        <v>931764.9</v>
      </c>
      <c r="R171" s="2477">
        <v>931764</v>
      </c>
      <c r="S171" s="2477" t="b">
        <v>1</v>
      </c>
      <c r="T171" s="5786">
        <v>931764</v>
      </c>
      <c r="U171" s="5786">
        <v>0</v>
      </c>
      <c r="V171" s="863">
        <v>4189144</v>
      </c>
      <c r="W171" s="863">
        <v>4189144</v>
      </c>
      <c r="X171" s="863" t="b">
        <v>1</v>
      </c>
      <c r="Y171" s="863">
        <v>35501.220338983054</v>
      </c>
      <c r="Z171" s="863">
        <v>28824</v>
      </c>
      <c r="AA171" s="863">
        <v>51765</v>
      </c>
      <c r="AB171" s="863">
        <v>21682.939958592135</v>
      </c>
      <c r="AC171" s="863">
        <v>1600</v>
      </c>
      <c r="AE171">
        <v>118</v>
      </c>
      <c r="AF171" s="3965">
        <v>118</v>
      </c>
      <c r="AG171" s="3965" t="b">
        <v>1</v>
      </c>
      <c r="AH171" s="2814">
        <v>192</v>
      </c>
      <c r="AI171">
        <v>168</v>
      </c>
      <c r="AJ171" t="s">
        <v>2129</v>
      </c>
      <c r="AK171" t="s">
        <v>2129</v>
      </c>
      <c r="AL171" t="s">
        <v>2129</v>
      </c>
      <c r="AM171" t="s">
        <v>2129</v>
      </c>
      <c r="AN171">
        <v>50</v>
      </c>
      <c r="AQ171" t="s">
        <v>2129</v>
      </c>
      <c r="AV171">
        <v>23</v>
      </c>
      <c r="AW171">
        <v>26</v>
      </c>
      <c r="AX171" t="s">
        <v>2129</v>
      </c>
      <c r="AY171" t="s">
        <v>2129</v>
      </c>
      <c r="AZ171" t="s">
        <v>2129</v>
      </c>
      <c r="BA171" t="s">
        <v>2129</v>
      </c>
      <c r="BB171" t="s">
        <v>2129</v>
      </c>
      <c r="BC171" t="s">
        <v>2129</v>
      </c>
      <c r="BD171" t="s">
        <v>2129</v>
      </c>
      <c r="BE171" t="s">
        <v>2129</v>
      </c>
      <c r="BF171" t="s">
        <v>2129</v>
      </c>
      <c r="BG171" t="s">
        <v>2129</v>
      </c>
      <c r="BH171" s="1958">
        <v>96350312</v>
      </c>
      <c r="BI171" s="1958">
        <v>108917744</v>
      </c>
      <c r="BJ171" s="1958" t="s">
        <v>2129</v>
      </c>
      <c r="BK171" s="1958" t="s">
        <v>2129</v>
      </c>
      <c r="BL171" s="1958" t="s">
        <v>2129</v>
      </c>
      <c r="BM171" s="1958" t="s">
        <v>2129</v>
      </c>
      <c r="BN171" s="1958" t="s">
        <v>2129</v>
      </c>
      <c r="BO171" s="1958" t="s">
        <v>2129</v>
      </c>
      <c r="BP171" s="1958" t="s">
        <v>2129</v>
      </c>
      <c r="BQ171" s="863" t="s">
        <v>2129</v>
      </c>
      <c r="BR171" s="863" t="s">
        <v>2129</v>
      </c>
      <c r="BS171" s="1958" t="s">
        <v>2129</v>
      </c>
      <c r="BT171" s="1958" t="s">
        <v>2129</v>
      </c>
      <c r="BU171" s="1958" t="s">
        <v>2129</v>
      </c>
      <c r="BV171" s="1958" t="s">
        <v>2129</v>
      </c>
      <c r="BW171" s="1958" t="s">
        <v>2129</v>
      </c>
      <c r="BX171" s="1958">
        <v>21430572</v>
      </c>
      <c r="BY171" s="1958">
        <v>24225864</v>
      </c>
      <c r="BZ171" s="1958" t="s">
        <v>2129</v>
      </c>
      <c r="CA171" s="1958" t="s">
        <v>2129</v>
      </c>
      <c r="CC171" s="1958" t="s">
        <v>2129</v>
      </c>
      <c r="CD171" s="1958" t="s">
        <v>2129</v>
      </c>
      <c r="CE171" s="1958" t="s">
        <v>2129</v>
      </c>
      <c r="CF171" s="1958" t="s">
        <v>2129</v>
      </c>
      <c r="CH171" s="5785"/>
    </row>
    <row r="172" spans="1:86" ht="13" hidden="1">
      <c r="A172">
        <v>1008</v>
      </c>
      <c r="B172" s="5791" t="s">
        <v>3385</v>
      </c>
      <c r="C172" s="5790" t="s">
        <v>2129</v>
      </c>
      <c r="D172" s="5790" t="s">
        <v>6599</v>
      </c>
      <c r="E172" s="5790" t="s">
        <v>2129</v>
      </c>
      <c r="F172" s="5785" t="s">
        <v>2695</v>
      </c>
      <c r="G172" s="5785" t="s">
        <v>2129</v>
      </c>
      <c r="H172" s="5785">
        <v>4</v>
      </c>
      <c r="I172" s="5785">
        <v>2</v>
      </c>
      <c r="J172" s="5785" t="b">
        <v>0</v>
      </c>
      <c r="K172" s="5785" t="s">
        <v>2129</v>
      </c>
      <c r="L172" s="5786">
        <v>7178824</v>
      </c>
      <c r="M172" s="5786">
        <v>0</v>
      </c>
      <c r="N172" s="5786">
        <v>0</v>
      </c>
      <c r="O172" s="5786">
        <v>5850</v>
      </c>
      <c r="P172" s="5786">
        <v>0</v>
      </c>
      <c r="Q172" s="2476">
        <v>7902556.4000000004</v>
      </c>
      <c r="R172" s="2477">
        <v>7902556</v>
      </c>
      <c r="S172" s="2477" t="b">
        <v>0</v>
      </c>
      <c r="T172" s="5786">
        <v>3951278</v>
      </c>
      <c r="U172" s="5786">
        <v>0</v>
      </c>
      <c r="V172" s="863">
        <v>9769342</v>
      </c>
      <c r="W172" s="863">
        <v>9769342</v>
      </c>
      <c r="X172" s="863" t="b">
        <v>0</v>
      </c>
      <c r="Y172" s="863">
        <v>63437.285714285717</v>
      </c>
      <c r="AB172" s="863" t="s">
        <v>2129</v>
      </c>
      <c r="AC172" s="863">
        <v>5500</v>
      </c>
      <c r="AE172">
        <v>154</v>
      </c>
      <c r="AF172" s="3965">
        <v>154</v>
      </c>
      <c r="AG172" s="3965" t="b">
        <v>1</v>
      </c>
      <c r="AH172">
        <v>253</v>
      </c>
      <c r="AI172" t="s">
        <v>2129</v>
      </c>
      <c r="AJ172" t="s">
        <v>2129</v>
      </c>
      <c r="AK172" t="s">
        <v>2129</v>
      </c>
      <c r="AL172">
        <v>156</v>
      </c>
      <c r="AM172" t="s">
        <v>2129</v>
      </c>
      <c r="AN172" t="s">
        <v>2129</v>
      </c>
      <c r="AQ172">
        <v>2</v>
      </c>
      <c r="AV172" s="191" t="s">
        <v>2129</v>
      </c>
      <c r="AW172">
        <v>26</v>
      </c>
      <c r="AX172" t="s">
        <v>2129</v>
      </c>
      <c r="AY172" t="s">
        <v>2129</v>
      </c>
      <c r="AZ172" t="s">
        <v>2129</v>
      </c>
      <c r="BA172" t="s">
        <v>2129</v>
      </c>
      <c r="BB172" t="s">
        <v>2129</v>
      </c>
      <c r="BC172" t="s">
        <v>2129</v>
      </c>
      <c r="BD172">
        <v>9</v>
      </c>
      <c r="BE172" t="s">
        <v>2129</v>
      </c>
      <c r="BF172" t="s">
        <v>2129</v>
      </c>
      <c r="BG172" t="s">
        <v>2129</v>
      </c>
      <c r="BH172" s="1958" t="s">
        <v>2129</v>
      </c>
      <c r="BI172" s="1958">
        <v>254002892</v>
      </c>
      <c r="BJ172" s="1958" t="s">
        <v>2129</v>
      </c>
      <c r="BK172" s="1958" t="s">
        <v>2129</v>
      </c>
      <c r="BL172" s="1958" t="s">
        <v>2129</v>
      </c>
      <c r="BM172" s="1958" t="s">
        <v>2129</v>
      </c>
      <c r="BN172" s="1958" t="s">
        <v>2129</v>
      </c>
      <c r="BO172" s="1958" t="s">
        <v>2129</v>
      </c>
      <c r="BP172" s="1958" t="s">
        <v>2129</v>
      </c>
      <c r="BQ172" s="863" t="s">
        <v>2129</v>
      </c>
      <c r="BR172" s="863" t="s">
        <v>2129</v>
      </c>
      <c r="BS172" s="1958" t="s">
        <v>2129</v>
      </c>
      <c r="BT172" s="1958" t="s">
        <v>2129</v>
      </c>
      <c r="BU172" s="1958">
        <v>89065949.142857149</v>
      </c>
      <c r="BV172" s="1958" t="s">
        <v>2129</v>
      </c>
      <c r="BW172" s="1958" t="s">
        <v>2129</v>
      </c>
      <c r="BX172" s="1958" t="s">
        <v>2129</v>
      </c>
      <c r="BY172" s="1958">
        <v>205466456</v>
      </c>
      <c r="BZ172" s="1958" t="s">
        <v>2129</v>
      </c>
      <c r="CA172" s="1958" t="s">
        <v>2129</v>
      </c>
      <c r="CC172" s="1958" t="s">
        <v>2129</v>
      </c>
      <c r="CD172" s="1958" t="s">
        <v>2129</v>
      </c>
      <c r="CE172" s="1958" t="s">
        <v>2129</v>
      </c>
      <c r="CF172" s="1958" t="s">
        <v>2129</v>
      </c>
      <c r="CH172" s="5785"/>
    </row>
    <row r="173" spans="1:86" s="5782" customFormat="1" ht="13" hidden="1">
      <c r="A173" s="5782">
        <v>1010</v>
      </c>
      <c r="B173" s="5783" t="s">
        <v>3386</v>
      </c>
      <c r="C173" s="5784" t="s">
        <v>2129</v>
      </c>
      <c r="D173" s="5784" t="s">
        <v>2129</v>
      </c>
      <c r="E173" s="5784" t="s">
        <v>2129</v>
      </c>
      <c r="F173" s="5784" t="s">
        <v>2129</v>
      </c>
      <c r="G173" s="5784" t="s">
        <v>2129</v>
      </c>
      <c r="H173" s="5784">
        <v>12</v>
      </c>
      <c r="I173" s="5784">
        <v>3</v>
      </c>
      <c r="J173" s="5785" t="b">
        <v>0</v>
      </c>
      <c r="K173" s="5785" t="s">
        <v>2129</v>
      </c>
      <c r="L173" s="5786">
        <v>129414</v>
      </c>
      <c r="M173" s="5786">
        <v>0</v>
      </c>
      <c r="N173" s="5786">
        <v>0</v>
      </c>
      <c r="O173" s="5786">
        <v>5850</v>
      </c>
      <c r="P173" s="5786">
        <v>0</v>
      </c>
      <c r="Q173" s="2476">
        <v>148205.40000000002</v>
      </c>
      <c r="R173" s="5787">
        <v>148205</v>
      </c>
      <c r="S173" s="2477" t="b">
        <v>0</v>
      </c>
      <c r="T173" s="5787">
        <v>49401.666666666664</v>
      </c>
      <c r="U173" s="5787">
        <v>0</v>
      </c>
      <c r="V173" s="5788">
        <v>1138850</v>
      </c>
      <c r="W173" s="5788">
        <v>1138850</v>
      </c>
      <c r="X173" s="5788" t="b">
        <v>0</v>
      </c>
      <c r="Y173" s="5788">
        <v>30779.72972972973</v>
      </c>
      <c r="Z173" s="5788"/>
      <c r="AA173" s="5788"/>
      <c r="AB173" s="5788" t="s">
        <v>2129</v>
      </c>
      <c r="AC173" s="5788"/>
      <c r="AD173" s="5788"/>
      <c r="AE173" s="5782">
        <v>37</v>
      </c>
      <c r="AF173" s="5789">
        <v>37</v>
      </c>
      <c r="AG173" s="5789" t="b">
        <v>0</v>
      </c>
      <c r="AH173" s="5782">
        <v>40</v>
      </c>
      <c r="AI173" s="5782" t="s">
        <v>2129</v>
      </c>
      <c r="AJ173" s="5782" t="s">
        <v>2129</v>
      </c>
      <c r="AK173" s="5782" t="s">
        <v>2129</v>
      </c>
      <c r="AL173" s="5782" t="s">
        <v>2129</v>
      </c>
      <c r="AM173" s="5782" t="s">
        <v>2129</v>
      </c>
      <c r="AN173" s="5782" t="s">
        <v>2129</v>
      </c>
      <c r="AQ173" s="5782" t="s">
        <v>2129</v>
      </c>
      <c r="AV173" s="5782" t="s">
        <v>2129</v>
      </c>
      <c r="AW173" s="5782" t="s">
        <v>2129</v>
      </c>
      <c r="AX173" s="5782" t="s">
        <v>2129</v>
      </c>
      <c r="AY173" s="5782" t="s">
        <v>2129</v>
      </c>
      <c r="AZ173" s="5782" t="s">
        <v>2129</v>
      </c>
      <c r="BA173" s="5782" t="s">
        <v>2129</v>
      </c>
      <c r="BB173" s="5782" t="s">
        <v>2129</v>
      </c>
      <c r="BC173" s="5782" t="s">
        <v>2129</v>
      </c>
      <c r="BD173" s="5782" t="s">
        <v>2129</v>
      </c>
      <c r="BE173" s="5782" t="s">
        <v>2129</v>
      </c>
      <c r="BF173" s="5782" t="s">
        <v>2129</v>
      </c>
      <c r="BG173" s="5782" t="s">
        <v>2129</v>
      </c>
      <c r="BH173" s="5788" t="s">
        <v>2129</v>
      </c>
      <c r="BJ173" s="5788" t="s">
        <v>2129</v>
      </c>
      <c r="BK173" s="5788" t="s">
        <v>2129</v>
      </c>
      <c r="BL173" s="5788" t="s">
        <v>2129</v>
      </c>
      <c r="BM173" s="5788" t="s">
        <v>2129</v>
      </c>
      <c r="BN173" s="5788" t="s">
        <v>2129</v>
      </c>
      <c r="BO173" s="5788" t="s">
        <v>2129</v>
      </c>
      <c r="BP173" s="5788" t="s">
        <v>2129</v>
      </c>
      <c r="BQ173" s="5788" t="s">
        <v>2129</v>
      </c>
      <c r="BR173" s="5788" t="s">
        <v>2129</v>
      </c>
      <c r="BS173" s="5788" t="s">
        <v>2129</v>
      </c>
      <c r="BT173" s="5788" t="s">
        <v>2129</v>
      </c>
      <c r="BU173" s="5788" t="s">
        <v>2129</v>
      </c>
      <c r="BV173" s="5788" t="s">
        <v>2129</v>
      </c>
      <c r="BW173" s="5788" t="s">
        <v>2129</v>
      </c>
      <c r="BX173" s="5788" t="s">
        <v>2129</v>
      </c>
      <c r="BY173" s="5788" t="s">
        <v>2129</v>
      </c>
      <c r="BZ173" s="5788" t="s">
        <v>2129</v>
      </c>
      <c r="CA173" s="5788" t="s">
        <v>2129</v>
      </c>
      <c r="CB173" s="5788"/>
      <c r="CC173" s="5788" t="s">
        <v>2129</v>
      </c>
      <c r="CD173" s="5788" t="s">
        <v>2129</v>
      </c>
      <c r="CE173" s="5788" t="s">
        <v>2129</v>
      </c>
      <c r="CF173" s="5788" t="s">
        <v>2129</v>
      </c>
      <c r="CG173" s="5788"/>
      <c r="CH173" s="5784"/>
    </row>
    <row r="174" spans="1:86" s="5782" customFormat="1" ht="13" hidden="1">
      <c r="A174" s="5782">
        <v>1012</v>
      </c>
      <c r="B174" s="5783" t="s">
        <v>3387</v>
      </c>
      <c r="C174" s="5784" t="s">
        <v>2129</v>
      </c>
      <c r="D174" s="5784" t="s">
        <v>2129</v>
      </c>
      <c r="E174" s="5784" t="s">
        <v>2129</v>
      </c>
      <c r="F174" s="5784" t="s">
        <v>2129</v>
      </c>
      <c r="G174" s="5784" t="s">
        <v>2129</v>
      </c>
      <c r="H174" s="5784">
        <v>18</v>
      </c>
      <c r="I174" s="5784">
        <v>9</v>
      </c>
      <c r="J174" s="5785" t="b">
        <v>0</v>
      </c>
      <c r="K174" s="5785" t="s">
        <v>2129</v>
      </c>
      <c r="L174" s="5786">
        <v>4235301</v>
      </c>
      <c r="M174" s="5786">
        <v>0</v>
      </c>
      <c r="N174" s="5786">
        <v>0</v>
      </c>
      <c r="O174" s="5786">
        <v>0</v>
      </c>
      <c r="P174" s="5786">
        <v>0</v>
      </c>
      <c r="Q174" s="2476">
        <v>4658831.1000000006</v>
      </c>
      <c r="R174" s="5787">
        <v>4658831</v>
      </c>
      <c r="S174" s="2477" t="b">
        <v>0</v>
      </c>
      <c r="T174" s="5787">
        <v>517647.88888888888</v>
      </c>
      <c r="U174" s="5787">
        <v>0</v>
      </c>
      <c r="V174" s="5788">
        <v>1210063</v>
      </c>
      <c r="W174" s="5788">
        <v>1210063</v>
      </c>
      <c r="X174" s="5788" t="b">
        <v>0</v>
      </c>
      <c r="Y174" s="5788">
        <v>16576.205479452055</v>
      </c>
      <c r="Z174" s="5788"/>
      <c r="AA174" s="5788"/>
      <c r="AB174" s="5788" t="s">
        <v>2129</v>
      </c>
      <c r="AC174" s="5788"/>
      <c r="AD174" s="5788"/>
      <c r="AE174" s="5782">
        <v>73</v>
      </c>
      <c r="AF174" s="5789">
        <v>73</v>
      </c>
      <c r="AG174" s="5789" t="b">
        <v>0</v>
      </c>
      <c r="AH174" s="5782">
        <v>90</v>
      </c>
      <c r="AI174" s="5782" t="s">
        <v>2129</v>
      </c>
      <c r="AJ174" s="5782" t="s">
        <v>2129</v>
      </c>
      <c r="AK174" s="5782" t="s">
        <v>2129</v>
      </c>
      <c r="AL174" s="5782" t="s">
        <v>2129</v>
      </c>
      <c r="AM174" s="5782" t="s">
        <v>2129</v>
      </c>
      <c r="AN174" s="5782" t="s">
        <v>2129</v>
      </c>
      <c r="AQ174" s="5782" t="s">
        <v>2129</v>
      </c>
      <c r="AV174" s="5782" t="s">
        <v>2129</v>
      </c>
      <c r="AW174" s="5782" t="s">
        <v>2129</v>
      </c>
      <c r="AX174" s="5782" t="s">
        <v>2129</v>
      </c>
      <c r="AY174" s="5782" t="s">
        <v>2129</v>
      </c>
      <c r="AZ174" s="5782" t="s">
        <v>2129</v>
      </c>
      <c r="BA174" s="5782" t="s">
        <v>2129</v>
      </c>
      <c r="BB174" s="5782" t="s">
        <v>2129</v>
      </c>
      <c r="BC174" s="5782" t="s">
        <v>2129</v>
      </c>
      <c r="BD174" s="5782" t="s">
        <v>2129</v>
      </c>
      <c r="BE174" s="5782" t="s">
        <v>2129</v>
      </c>
      <c r="BF174" s="5782" t="s">
        <v>2129</v>
      </c>
      <c r="BG174" s="5782" t="s">
        <v>2129</v>
      </c>
      <c r="BH174" s="5788" t="s">
        <v>2129</v>
      </c>
      <c r="BJ174" s="5788" t="s">
        <v>2129</v>
      </c>
      <c r="BK174" s="5788" t="s">
        <v>2129</v>
      </c>
      <c r="BL174" s="5788" t="s">
        <v>2129</v>
      </c>
      <c r="BM174" s="5788" t="s">
        <v>2129</v>
      </c>
      <c r="BN174" s="5788" t="s">
        <v>2129</v>
      </c>
      <c r="BO174" s="5788" t="s">
        <v>2129</v>
      </c>
      <c r="BP174" s="5788" t="s">
        <v>2129</v>
      </c>
      <c r="BQ174" s="5788" t="s">
        <v>2129</v>
      </c>
      <c r="BR174" s="5788" t="s">
        <v>2129</v>
      </c>
      <c r="BS174" s="5788" t="s">
        <v>2129</v>
      </c>
      <c r="BT174" s="5788" t="s">
        <v>2129</v>
      </c>
      <c r="BU174" s="5788" t="s">
        <v>2129</v>
      </c>
      <c r="BV174" s="5788" t="s">
        <v>2129</v>
      </c>
      <c r="BW174" s="5788" t="s">
        <v>2129</v>
      </c>
      <c r="BX174" s="5788" t="s">
        <v>2129</v>
      </c>
      <c r="BY174" s="5788" t="s">
        <v>2129</v>
      </c>
      <c r="BZ174" s="5788" t="s">
        <v>2129</v>
      </c>
      <c r="CA174" s="5788" t="s">
        <v>2129</v>
      </c>
      <c r="CB174" s="5788"/>
      <c r="CC174" s="5788" t="s">
        <v>2129</v>
      </c>
      <c r="CD174" s="5788" t="s">
        <v>2129</v>
      </c>
      <c r="CE174" s="5788" t="s">
        <v>2129</v>
      </c>
      <c r="CF174" s="5788" t="s">
        <v>2129</v>
      </c>
      <c r="CG174" s="5788"/>
      <c r="CH174" s="5784"/>
    </row>
    <row r="175" spans="1:86" s="5782" customFormat="1" ht="13" hidden="1">
      <c r="A175" s="5782">
        <v>1013</v>
      </c>
      <c r="B175" s="5783" t="s">
        <v>3388</v>
      </c>
      <c r="C175" s="5784" t="s">
        <v>2129</v>
      </c>
      <c r="D175" s="5784" t="s">
        <v>2129</v>
      </c>
      <c r="E175" s="5784" t="s">
        <v>2129</v>
      </c>
      <c r="F175" s="5784" t="s">
        <v>2129</v>
      </c>
      <c r="G175" s="5784" t="s">
        <v>2129</v>
      </c>
      <c r="H175" s="5784">
        <v>6</v>
      </c>
      <c r="I175" s="5784">
        <v>2</v>
      </c>
      <c r="J175" s="5785" t="b">
        <v>0</v>
      </c>
      <c r="K175" s="5785" t="s">
        <v>2129</v>
      </c>
      <c r="L175" s="5786">
        <v>132353</v>
      </c>
      <c r="M175" s="5786">
        <v>0</v>
      </c>
      <c r="N175" s="5786">
        <v>0</v>
      </c>
      <c r="O175" s="5786">
        <v>0</v>
      </c>
      <c r="P175" s="5786">
        <v>0</v>
      </c>
      <c r="Q175" s="2476">
        <v>145588.30000000002</v>
      </c>
      <c r="R175" s="5787">
        <v>145588</v>
      </c>
      <c r="S175" s="2477" t="b">
        <v>0</v>
      </c>
      <c r="T175" s="5787">
        <v>72794</v>
      </c>
      <c r="U175" s="5787">
        <v>0</v>
      </c>
      <c r="V175" s="5788">
        <v>1022374</v>
      </c>
      <c r="W175" s="5788">
        <v>1022374</v>
      </c>
      <c r="X175" s="5788" t="b">
        <v>0</v>
      </c>
      <c r="Y175" s="5788">
        <v>24342.238095238095</v>
      </c>
      <c r="Z175" s="5788"/>
      <c r="AA175" s="5788"/>
      <c r="AB175" s="5788" t="s">
        <v>2129</v>
      </c>
      <c r="AC175" s="5788"/>
      <c r="AD175" s="5788"/>
      <c r="AE175" s="5782">
        <v>42</v>
      </c>
      <c r="AF175" s="5789">
        <v>42</v>
      </c>
      <c r="AG175" s="5789" t="b">
        <v>0</v>
      </c>
      <c r="AH175" s="5782">
        <v>45</v>
      </c>
      <c r="AI175" s="5782" t="s">
        <v>2129</v>
      </c>
      <c r="AJ175" s="5782" t="s">
        <v>2129</v>
      </c>
      <c r="AK175" s="5782" t="s">
        <v>2129</v>
      </c>
      <c r="AL175" s="5782" t="s">
        <v>2129</v>
      </c>
      <c r="AM175" s="5782" t="s">
        <v>2129</v>
      </c>
      <c r="AN175" s="5782" t="s">
        <v>2129</v>
      </c>
      <c r="AQ175" s="5782" t="s">
        <v>2129</v>
      </c>
      <c r="AV175" s="5782" t="s">
        <v>2129</v>
      </c>
      <c r="AW175" s="5782" t="s">
        <v>2129</v>
      </c>
      <c r="AX175" s="5782" t="s">
        <v>2129</v>
      </c>
      <c r="AY175" s="5782" t="s">
        <v>2129</v>
      </c>
      <c r="AZ175" s="5782" t="s">
        <v>2129</v>
      </c>
      <c r="BA175" s="5782" t="s">
        <v>2129</v>
      </c>
      <c r="BB175" s="5782" t="s">
        <v>2129</v>
      </c>
      <c r="BC175" s="5782" t="s">
        <v>2129</v>
      </c>
      <c r="BD175" s="5782" t="s">
        <v>2129</v>
      </c>
      <c r="BE175" s="5782" t="s">
        <v>2129</v>
      </c>
      <c r="BF175" s="5782" t="s">
        <v>2129</v>
      </c>
      <c r="BG175" s="5782" t="s">
        <v>2129</v>
      </c>
      <c r="BH175" s="5788" t="s">
        <v>2129</v>
      </c>
      <c r="BJ175" s="5788" t="s">
        <v>2129</v>
      </c>
      <c r="BK175" s="5788" t="s">
        <v>2129</v>
      </c>
      <c r="BL175" s="5788" t="s">
        <v>2129</v>
      </c>
      <c r="BM175" s="5788" t="s">
        <v>2129</v>
      </c>
      <c r="BN175" s="5788" t="s">
        <v>2129</v>
      </c>
      <c r="BO175" s="5788" t="s">
        <v>2129</v>
      </c>
      <c r="BP175" s="5788" t="s">
        <v>2129</v>
      </c>
      <c r="BQ175" s="5788" t="s">
        <v>2129</v>
      </c>
      <c r="BR175" s="5788" t="s">
        <v>2129</v>
      </c>
      <c r="BS175" s="5788" t="s">
        <v>2129</v>
      </c>
      <c r="BT175" s="5788" t="s">
        <v>2129</v>
      </c>
      <c r="BU175" s="5788" t="s">
        <v>2129</v>
      </c>
      <c r="BV175" s="5788" t="s">
        <v>2129</v>
      </c>
      <c r="BW175" s="5788" t="s">
        <v>2129</v>
      </c>
      <c r="BX175" s="5788" t="s">
        <v>2129</v>
      </c>
      <c r="BY175" s="5788" t="s">
        <v>2129</v>
      </c>
      <c r="BZ175" s="5788" t="s">
        <v>2129</v>
      </c>
      <c r="CA175" s="5788" t="s">
        <v>2129</v>
      </c>
      <c r="CB175" s="5788"/>
      <c r="CC175" s="5788" t="s">
        <v>2129</v>
      </c>
      <c r="CD175" s="5788" t="s">
        <v>2129</v>
      </c>
      <c r="CE175" s="5788" t="s">
        <v>2129</v>
      </c>
      <c r="CF175" s="5788" t="s">
        <v>2129</v>
      </c>
      <c r="CG175" s="5788"/>
      <c r="CH175" s="5784"/>
    </row>
    <row r="176" spans="1:86" s="5782" customFormat="1" ht="13" hidden="1">
      <c r="A176" s="5782">
        <v>1015</v>
      </c>
      <c r="B176" s="5783" t="s">
        <v>2860</v>
      </c>
      <c r="C176" s="5784" t="s">
        <v>2129</v>
      </c>
      <c r="D176" s="5784" t="s">
        <v>2129</v>
      </c>
      <c r="E176" s="5784" t="s">
        <v>2129</v>
      </c>
      <c r="F176" s="5784" t="s">
        <v>2129</v>
      </c>
      <c r="G176" s="5784" t="s">
        <v>2129</v>
      </c>
      <c r="H176" s="5784">
        <v>6</v>
      </c>
      <c r="I176" s="5784">
        <v>2</v>
      </c>
      <c r="J176" s="5785" t="b">
        <v>0</v>
      </c>
      <c r="K176" s="5785" t="s">
        <v>2129</v>
      </c>
      <c r="L176" s="5786">
        <v>36883</v>
      </c>
      <c r="M176" s="5786">
        <v>0</v>
      </c>
      <c r="N176" s="5786">
        <v>0</v>
      </c>
      <c r="O176" s="5786">
        <v>0</v>
      </c>
      <c r="P176" s="5786">
        <v>0</v>
      </c>
      <c r="Q176" s="2476">
        <v>40571.300000000003</v>
      </c>
      <c r="R176" s="5787">
        <v>40571</v>
      </c>
      <c r="S176" s="2477" t="b">
        <v>0</v>
      </c>
      <c r="T176" s="5787">
        <v>20285.5</v>
      </c>
      <c r="U176" s="5787">
        <v>0</v>
      </c>
      <c r="V176" s="5788">
        <v>1452000</v>
      </c>
      <c r="W176" s="5788">
        <v>1452000</v>
      </c>
      <c r="X176" s="5788" t="b">
        <v>0</v>
      </c>
      <c r="Y176" s="5788">
        <v>48400</v>
      </c>
      <c r="Z176" s="5788"/>
      <c r="AA176" s="5788"/>
      <c r="AB176" s="5788" t="s">
        <v>2129</v>
      </c>
      <c r="AC176" s="5788"/>
      <c r="AD176" s="5788"/>
      <c r="AE176" s="5782">
        <v>30</v>
      </c>
      <c r="AF176" s="5789">
        <v>30</v>
      </c>
      <c r="AG176" s="5789" t="b">
        <v>0</v>
      </c>
      <c r="AH176" s="5782">
        <v>60</v>
      </c>
      <c r="AI176" s="5782" t="s">
        <v>2129</v>
      </c>
      <c r="AJ176" s="5782" t="s">
        <v>2129</v>
      </c>
      <c r="AK176" s="5782" t="s">
        <v>2129</v>
      </c>
      <c r="AL176" s="5782" t="s">
        <v>2129</v>
      </c>
      <c r="AM176" s="5782" t="s">
        <v>2129</v>
      </c>
      <c r="AN176" s="5782" t="s">
        <v>2129</v>
      </c>
      <c r="AQ176" s="5782" t="s">
        <v>2129</v>
      </c>
      <c r="AV176" s="5782" t="s">
        <v>2129</v>
      </c>
      <c r="AW176" s="5782" t="s">
        <v>2129</v>
      </c>
      <c r="AX176" s="5782" t="s">
        <v>2129</v>
      </c>
      <c r="AY176" s="5782" t="s">
        <v>2129</v>
      </c>
      <c r="AZ176" s="5782" t="s">
        <v>2129</v>
      </c>
      <c r="BA176" s="5782" t="s">
        <v>2129</v>
      </c>
      <c r="BB176" s="5782" t="s">
        <v>2129</v>
      </c>
      <c r="BC176" s="5782" t="s">
        <v>2129</v>
      </c>
      <c r="BD176" s="5782" t="s">
        <v>2129</v>
      </c>
      <c r="BE176" s="5782" t="s">
        <v>2129</v>
      </c>
      <c r="BF176" s="5782" t="s">
        <v>2129</v>
      </c>
      <c r="BG176" s="5782" t="s">
        <v>2129</v>
      </c>
      <c r="BH176" s="5788" t="s">
        <v>2129</v>
      </c>
      <c r="BJ176" s="5788" t="s">
        <v>2129</v>
      </c>
      <c r="BK176" s="5788" t="s">
        <v>2129</v>
      </c>
      <c r="BL176" s="5788" t="s">
        <v>2129</v>
      </c>
      <c r="BM176" s="5788" t="s">
        <v>2129</v>
      </c>
      <c r="BN176" s="5788" t="s">
        <v>2129</v>
      </c>
      <c r="BO176" s="5788" t="s">
        <v>2129</v>
      </c>
      <c r="BP176" s="5788" t="s">
        <v>2129</v>
      </c>
      <c r="BQ176" s="5788" t="s">
        <v>2129</v>
      </c>
      <c r="BR176" s="5788" t="s">
        <v>2129</v>
      </c>
      <c r="BS176" s="5788" t="s">
        <v>2129</v>
      </c>
      <c r="BT176" s="5788" t="s">
        <v>2129</v>
      </c>
      <c r="BU176" s="5788" t="s">
        <v>2129</v>
      </c>
      <c r="BV176" s="5788" t="s">
        <v>2129</v>
      </c>
      <c r="BW176" s="5788" t="s">
        <v>2129</v>
      </c>
      <c r="BX176" s="5788" t="s">
        <v>2129</v>
      </c>
      <c r="BY176" s="5788" t="s">
        <v>2129</v>
      </c>
      <c r="BZ176" s="5788" t="s">
        <v>2129</v>
      </c>
      <c r="CA176" s="5788" t="s">
        <v>2129</v>
      </c>
      <c r="CB176" s="5788"/>
      <c r="CC176" s="5788" t="s">
        <v>2129</v>
      </c>
      <c r="CD176" s="5788" t="s">
        <v>2129</v>
      </c>
      <c r="CE176" s="5788" t="s">
        <v>2129</v>
      </c>
      <c r="CF176" s="5788" t="s">
        <v>2129</v>
      </c>
      <c r="CG176" s="5788"/>
      <c r="CH176" s="5784"/>
    </row>
    <row r="177" spans="1:86" s="5782" customFormat="1" ht="13" hidden="1">
      <c r="A177" s="5782">
        <v>1016</v>
      </c>
      <c r="B177" s="5783" t="s">
        <v>3389</v>
      </c>
      <c r="C177" s="5784" t="s">
        <v>2129</v>
      </c>
      <c r="D177" s="5784" t="s">
        <v>2129</v>
      </c>
      <c r="E177" s="5784" t="s">
        <v>2129</v>
      </c>
      <c r="F177" s="5784" t="s">
        <v>2129</v>
      </c>
      <c r="G177" s="5784" t="s">
        <v>2129</v>
      </c>
      <c r="H177" s="5784">
        <v>0</v>
      </c>
      <c r="I177" s="5784">
        <v>0</v>
      </c>
      <c r="J177" s="5785" t="b">
        <v>0</v>
      </c>
      <c r="K177" s="5785" t="s">
        <v>2129</v>
      </c>
      <c r="L177" s="5786">
        <v>0</v>
      </c>
      <c r="M177" s="5786">
        <v>0</v>
      </c>
      <c r="N177" s="5786">
        <v>0</v>
      </c>
      <c r="O177" s="5786">
        <v>0</v>
      </c>
      <c r="P177" s="5786">
        <v>0</v>
      </c>
      <c r="Q177" s="2476">
        <v>0</v>
      </c>
      <c r="R177" s="5787">
        <v>0</v>
      </c>
      <c r="S177" s="2477" t="b">
        <v>1</v>
      </c>
      <c r="T177" s="5787" t="s">
        <v>2129</v>
      </c>
      <c r="U177" s="5787">
        <v>0</v>
      </c>
      <c r="V177" s="5788">
        <v>510951</v>
      </c>
      <c r="W177" s="5788">
        <v>510951</v>
      </c>
      <c r="X177" s="5788" t="b">
        <v>0</v>
      </c>
      <c r="Y177" s="5788">
        <v>10871.297872340425</v>
      </c>
      <c r="Z177" s="5788"/>
      <c r="AA177" s="5788"/>
      <c r="AB177" s="5788" t="s">
        <v>2129</v>
      </c>
      <c r="AC177" s="5788"/>
      <c r="AD177" s="5788"/>
      <c r="AE177" s="5782">
        <v>147</v>
      </c>
      <c r="AF177" s="5789">
        <v>47</v>
      </c>
      <c r="AG177" s="5782" t="b">
        <v>0</v>
      </c>
      <c r="AH177" s="5782">
        <v>159</v>
      </c>
      <c r="AI177" s="5782" t="s">
        <v>2129</v>
      </c>
      <c r="AJ177" s="5782" t="s">
        <v>2129</v>
      </c>
      <c r="AK177" s="5782" t="s">
        <v>2129</v>
      </c>
      <c r="AL177" s="5782" t="s">
        <v>2129</v>
      </c>
      <c r="AM177" s="5782" t="s">
        <v>2129</v>
      </c>
      <c r="AN177" s="5782" t="s">
        <v>2129</v>
      </c>
      <c r="AQ177" s="5782" t="s">
        <v>2129</v>
      </c>
      <c r="AV177" s="5782" t="s">
        <v>2129</v>
      </c>
      <c r="AW177" s="5782" t="s">
        <v>2129</v>
      </c>
      <c r="AX177" s="5782" t="s">
        <v>2129</v>
      </c>
      <c r="AY177" s="5782" t="s">
        <v>2129</v>
      </c>
      <c r="AZ177" s="5782" t="s">
        <v>2129</v>
      </c>
      <c r="BA177" s="5782" t="s">
        <v>2129</v>
      </c>
      <c r="BB177" s="5782" t="s">
        <v>2129</v>
      </c>
      <c r="BC177" s="5782" t="s">
        <v>2129</v>
      </c>
      <c r="BD177" s="5782" t="s">
        <v>2129</v>
      </c>
      <c r="BE177" s="5782" t="s">
        <v>2129</v>
      </c>
      <c r="BF177" s="5782" t="s">
        <v>2129</v>
      </c>
      <c r="BG177" s="5782" t="s">
        <v>2129</v>
      </c>
      <c r="BH177" s="5788" t="s">
        <v>2129</v>
      </c>
      <c r="BJ177" s="5788" t="s">
        <v>2129</v>
      </c>
      <c r="BK177" s="5788" t="s">
        <v>2129</v>
      </c>
      <c r="BL177" s="5788" t="s">
        <v>2129</v>
      </c>
      <c r="BM177" s="5788" t="s">
        <v>2129</v>
      </c>
      <c r="BN177" s="5788" t="s">
        <v>2129</v>
      </c>
      <c r="BO177" s="5788" t="s">
        <v>2129</v>
      </c>
      <c r="BP177" s="5788" t="s">
        <v>2129</v>
      </c>
      <c r="BQ177" s="5788" t="s">
        <v>2129</v>
      </c>
      <c r="BR177" s="5788" t="s">
        <v>2129</v>
      </c>
      <c r="BS177" s="5788" t="s">
        <v>2129</v>
      </c>
      <c r="BT177" s="5788" t="s">
        <v>2129</v>
      </c>
      <c r="BU177" s="5788" t="s">
        <v>2129</v>
      </c>
      <c r="BV177" s="5788" t="s">
        <v>2129</v>
      </c>
      <c r="BW177" s="5788" t="s">
        <v>2129</v>
      </c>
      <c r="BX177" s="5788" t="s">
        <v>2129</v>
      </c>
      <c r="BY177" s="5788" t="s">
        <v>2129</v>
      </c>
      <c r="BZ177" s="5788" t="s">
        <v>2129</v>
      </c>
      <c r="CA177" s="5788" t="s">
        <v>2129</v>
      </c>
      <c r="CB177" s="5788"/>
      <c r="CC177" s="5788" t="s">
        <v>2129</v>
      </c>
      <c r="CD177" s="5788" t="s">
        <v>2129</v>
      </c>
      <c r="CE177" s="5788" t="s">
        <v>2129</v>
      </c>
      <c r="CF177" s="5788" t="s">
        <v>2129</v>
      </c>
      <c r="CG177" s="5788"/>
      <c r="CH177" s="5784"/>
    </row>
    <row r="178" spans="1:86" ht="13" hidden="1">
      <c r="A178">
        <v>1017</v>
      </c>
      <c r="B178" s="196" t="s">
        <v>3390</v>
      </c>
      <c r="C178" s="5785" t="s">
        <v>3694</v>
      </c>
      <c r="D178" s="5785" t="s">
        <v>2129</v>
      </c>
      <c r="E178" s="5785" t="s">
        <v>2129</v>
      </c>
      <c r="F178" s="5785" t="s">
        <v>3694</v>
      </c>
      <c r="G178" s="5785" t="s">
        <v>2129</v>
      </c>
      <c r="H178" s="5785">
        <v>0</v>
      </c>
      <c r="I178" s="5785">
        <v>0</v>
      </c>
      <c r="J178" s="5785" t="b">
        <v>0</v>
      </c>
      <c r="K178" s="5785" t="s">
        <v>2129</v>
      </c>
      <c r="L178" s="5786">
        <v>0</v>
      </c>
      <c r="M178" s="5786">
        <v>0</v>
      </c>
      <c r="N178" s="5786">
        <v>0</v>
      </c>
      <c r="O178" s="5786">
        <v>0</v>
      </c>
      <c r="P178" s="5786">
        <v>0</v>
      </c>
      <c r="Q178" s="2476">
        <v>0</v>
      </c>
      <c r="R178" s="2477">
        <v>0</v>
      </c>
      <c r="S178" s="2477" t="b">
        <v>1</v>
      </c>
      <c r="T178" s="5786" t="s">
        <v>2129</v>
      </c>
      <c r="U178" s="5786">
        <v>0</v>
      </c>
      <c r="V178" s="863">
        <v>2174213</v>
      </c>
      <c r="W178" s="863">
        <v>2174213</v>
      </c>
      <c r="X178" s="863" t="b">
        <v>0</v>
      </c>
      <c r="Y178" s="863">
        <v>21315.813725490196</v>
      </c>
      <c r="AB178" s="863">
        <v>37812.400000000001</v>
      </c>
      <c r="AE178">
        <v>102</v>
      </c>
      <c r="AF178">
        <v>102</v>
      </c>
      <c r="AG178" t="b">
        <v>0</v>
      </c>
      <c r="AH178">
        <v>114</v>
      </c>
      <c r="AI178">
        <v>50</v>
      </c>
      <c r="AJ178" t="s">
        <v>2129</v>
      </c>
      <c r="AK178" t="s">
        <v>2129</v>
      </c>
      <c r="AL178">
        <v>79</v>
      </c>
      <c r="AM178" t="s">
        <v>2129</v>
      </c>
      <c r="AN178">
        <v>-52</v>
      </c>
      <c r="AQ178">
        <v>-23</v>
      </c>
      <c r="AV178" t="s">
        <v>2129</v>
      </c>
      <c r="AW178" t="s">
        <v>2129</v>
      </c>
      <c r="AX178" t="s">
        <v>2129</v>
      </c>
      <c r="AY178" t="s">
        <v>2129</v>
      </c>
      <c r="AZ178">
        <v>32</v>
      </c>
      <c r="BA178" t="s">
        <v>2129</v>
      </c>
      <c r="BB178" t="s">
        <v>2129</v>
      </c>
      <c r="BC178" t="s">
        <v>2129</v>
      </c>
      <c r="BD178" t="s">
        <v>2129</v>
      </c>
      <c r="BE178">
        <v>16</v>
      </c>
      <c r="BF178" t="s">
        <v>2129</v>
      </c>
      <c r="BG178" t="s">
        <v>2129</v>
      </c>
      <c r="BH178" s="1958" t="s">
        <v>2129</v>
      </c>
      <c r="BI178"/>
      <c r="BJ178" s="863" t="s">
        <v>2129</v>
      </c>
      <c r="BK178" s="863">
        <v>34105301.960784316</v>
      </c>
      <c r="BL178" s="863" t="s">
        <v>2129</v>
      </c>
      <c r="BM178" s="863" t="s">
        <v>2129</v>
      </c>
      <c r="BN178" s="863" t="s">
        <v>2129</v>
      </c>
      <c r="BO178" s="863" t="s">
        <v>2129</v>
      </c>
      <c r="BP178" s="863" t="s">
        <v>2129</v>
      </c>
      <c r="BQ178" s="863" t="s">
        <v>2129</v>
      </c>
      <c r="BR178" s="863" t="s">
        <v>2129</v>
      </c>
      <c r="BS178" s="863" t="s">
        <v>2129</v>
      </c>
      <c r="BT178" s="863">
        <v>26943188.549019609</v>
      </c>
      <c r="BU178" s="863" t="s">
        <v>2129</v>
      </c>
      <c r="BV178" s="863" t="s">
        <v>2129</v>
      </c>
      <c r="BW178" s="863" t="s">
        <v>2129</v>
      </c>
      <c r="BX178" s="863" t="s">
        <v>2129</v>
      </c>
      <c r="BY178" s="863" t="s">
        <v>2129</v>
      </c>
      <c r="BZ178" s="863" t="s">
        <v>2129</v>
      </c>
      <c r="CA178" s="863" t="s">
        <v>2129</v>
      </c>
      <c r="CB178" s="863"/>
      <c r="CC178" s="863" t="s">
        <v>2129</v>
      </c>
      <c r="CD178" s="863" t="s">
        <v>2129</v>
      </c>
      <c r="CE178" s="863" t="s">
        <v>2129</v>
      </c>
      <c r="CF178" s="863" t="s">
        <v>2129</v>
      </c>
      <c r="CG178" s="863"/>
      <c r="CH178" s="5785"/>
    </row>
    <row r="179" spans="1:86" s="5782" customFormat="1" ht="13" hidden="1">
      <c r="A179" s="5782">
        <v>1018</v>
      </c>
      <c r="B179" s="5783" t="s">
        <v>3391</v>
      </c>
      <c r="C179" s="5784" t="s">
        <v>2129</v>
      </c>
      <c r="D179" s="5784" t="s">
        <v>2129</v>
      </c>
      <c r="E179" s="5784" t="s">
        <v>2129</v>
      </c>
      <c r="F179" s="5784" t="s">
        <v>2129</v>
      </c>
      <c r="G179" s="5784" t="s">
        <v>2129</v>
      </c>
      <c r="H179" s="5784">
        <v>0</v>
      </c>
      <c r="I179" s="5784">
        <v>0</v>
      </c>
      <c r="J179" s="5785" t="b">
        <v>0</v>
      </c>
      <c r="K179" s="5785" t="s">
        <v>2129</v>
      </c>
      <c r="L179" s="5786">
        <v>0</v>
      </c>
      <c r="M179" s="5786">
        <v>0</v>
      </c>
      <c r="N179" s="5786">
        <v>0</v>
      </c>
      <c r="O179" s="5786">
        <v>0</v>
      </c>
      <c r="P179" s="5786">
        <v>0</v>
      </c>
      <c r="Q179" s="2476">
        <v>0</v>
      </c>
      <c r="R179" s="5787">
        <v>0</v>
      </c>
      <c r="S179" s="2477" t="b">
        <v>1</v>
      </c>
      <c r="T179" s="5787" t="s">
        <v>2129</v>
      </c>
      <c r="U179" s="5787">
        <v>0</v>
      </c>
      <c r="V179" s="5788">
        <v>10811667</v>
      </c>
      <c r="W179" s="5788">
        <v>10811667</v>
      </c>
      <c r="X179" s="5788" t="b">
        <v>0</v>
      </c>
      <c r="Y179" s="5788">
        <v>26827.957816377173</v>
      </c>
      <c r="Z179" s="5788"/>
      <c r="AA179" s="5788"/>
      <c r="AB179" s="5788" t="s">
        <v>2129</v>
      </c>
      <c r="AC179" s="5788"/>
      <c r="AD179" s="5788"/>
      <c r="AE179" s="5782">
        <v>403</v>
      </c>
      <c r="AF179" s="5782">
        <v>403</v>
      </c>
      <c r="AG179" s="5782" t="b">
        <v>0</v>
      </c>
      <c r="AH179" s="5782">
        <v>403</v>
      </c>
      <c r="AI179" s="5782" t="s">
        <v>2129</v>
      </c>
      <c r="AJ179" s="5782" t="s">
        <v>2129</v>
      </c>
      <c r="AK179" s="5782" t="s">
        <v>2129</v>
      </c>
      <c r="AL179" s="5782" t="s">
        <v>2129</v>
      </c>
      <c r="AM179" s="5782" t="s">
        <v>2129</v>
      </c>
      <c r="AN179" s="5782" t="s">
        <v>2129</v>
      </c>
      <c r="AQ179" s="5782" t="s">
        <v>2129</v>
      </c>
      <c r="AV179" s="5782" t="s">
        <v>2129</v>
      </c>
      <c r="AW179" s="5782" t="s">
        <v>2129</v>
      </c>
      <c r="AX179" s="5782" t="s">
        <v>2129</v>
      </c>
      <c r="AY179" s="5782" t="s">
        <v>2129</v>
      </c>
      <c r="AZ179" s="5782" t="s">
        <v>2129</v>
      </c>
      <c r="BA179" s="5782" t="s">
        <v>2129</v>
      </c>
      <c r="BB179" s="5782" t="s">
        <v>2129</v>
      </c>
      <c r="BC179" s="5782" t="s">
        <v>2129</v>
      </c>
      <c r="BD179" s="5782" t="s">
        <v>2129</v>
      </c>
      <c r="BE179" s="5782" t="s">
        <v>2129</v>
      </c>
      <c r="BF179" s="5782" t="s">
        <v>2129</v>
      </c>
      <c r="BG179" s="5782" t="s">
        <v>2129</v>
      </c>
      <c r="BH179" s="5788" t="s">
        <v>2129</v>
      </c>
      <c r="BJ179" s="5788" t="s">
        <v>2129</v>
      </c>
      <c r="BK179" s="5788" t="s">
        <v>2129</v>
      </c>
      <c r="BL179" s="5788" t="s">
        <v>2129</v>
      </c>
      <c r="BM179" s="5788" t="s">
        <v>2129</v>
      </c>
      <c r="BN179" s="5788" t="s">
        <v>2129</v>
      </c>
      <c r="BO179" s="5788" t="s">
        <v>2129</v>
      </c>
      <c r="BP179" s="5788" t="s">
        <v>2129</v>
      </c>
      <c r="BQ179" s="5788" t="s">
        <v>2129</v>
      </c>
      <c r="BR179" s="5788" t="s">
        <v>2129</v>
      </c>
      <c r="BS179" s="5788" t="s">
        <v>2129</v>
      </c>
      <c r="BT179" s="5788" t="s">
        <v>2129</v>
      </c>
      <c r="BU179" s="5788" t="s">
        <v>2129</v>
      </c>
      <c r="BV179" s="5788" t="s">
        <v>2129</v>
      </c>
      <c r="BW179" s="5788" t="s">
        <v>2129</v>
      </c>
      <c r="BX179" s="5788" t="s">
        <v>2129</v>
      </c>
      <c r="BY179" s="5788" t="s">
        <v>2129</v>
      </c>
      <c r="BZ179" s="5788" t="s">
        <v>2129</v>
      </c>
      <c r="CA179" s="5788" t="s">
        <v>2129</v>
      </c>
      <c r="CB179" s="5788"/>
      <c r="CC179" s="5788" t="s">
        <v>2129</v>
      </c>
      <c r="CD179" s="5788" t="s">
        <v>2129</v>
      </c>
      <c r="CE179" s="5788" t="s">
        <v>2129</v>
      </c>
      <c r="CF179" s="5788" t="s">
        <v>2129</v>
      </c>
      <c r="CG179" s="5788"/>
      <c r="CH179" s="5784"/>
    </row>
    <row r="180" spans="1:86" ht="13" hidden="1">
      <c r="A180">
        <v>1021</v>
      </c>
      <c r="B180" s="196" t="s">
        <v>3392</v>
      </c>
      <c r="C180" s="5785" t="s">
        <v>2129</v>
      </c>
      <c r="D180" s="5785" t="s">
        <v>5293</v>
      </c>
      <c r="E180" s="5785" t="s">
        <v>2129</v>
      </c>
      <c r="F180" s="5792" t="s">
        <v>5205</v>
      </c>
      <c r="G180" s="5792" t="s">
        <v>2129</v>
      </c>
      <c r="H180" s="5785">
        <v>6</v>
      </c>
      <c r="I180" s="5785">
        <v>6</v>
      </c>
      <c r="J180" s="5785" t="b">
        <v>1</v>
      </c>
      <c r="K180" s="5785">
        <v>0</v>
      </c>
      <c r="L180" s="5786">
        <v>22564709</v>
      </c>
      <c r="M180" s="5786">
        <v>235296</v>
      </c>
      <c r="N180" s="5786">
        <v>136380</v>
      </c>
      <c r="O180" s="5786">
        <v>0</v>
      </c>
      <c r="P180" s="5786">
        <v>0</v>
      </c>
      <c r="Q180" s="2476">
        <v>25230023.500000004</v>
      </c>
      <c r="R180" s="2477">
        <v>25719771</v>
      </c>
      <c r="S180" s="5798" t="b">
        <v>1</v>
      </c>
      <c r="T180" s="5786">
        <v>4286628.5</v>
      </c>
      <c r="U180" s="5786">
        <v>0</v>
      </c>
      <c r="V180" s="1958">
        <v>48998075</v>
      </c>
      <c r="W180" s="1958">
        <v>48998075</v>
      </c>
      <c r="X180" s="2700" t="b">
        <v>1</v>
      </c>
      <c r="Y180" s="863">
        <v>136105.76388888888</v>
      </c>
      <c r="AB180" s="863" t="s">
        <v>2129</v>
      </c>
      <c r="AE180">
        <v>360</v>
      </c>
      <c r="AF180">
        <v>360</v>
      </c>
      <c r="AG180" t="b">
        <v>1</v>
      </c>
      <c r="AH180">
        <v>500</v>
      </c>
      <c r="AI180" t="s">
        <v>2129</v>
      </c>
      <c r="AJ180">
        <v>360</v>
      </c>
      <c r="AK180" t="s">
        <v>2129</v>
      </c>
      <c r="AL180">
        <v>360</v>
      </c>
      <c r="AM180" t="s">
        <v>2129</v>
      </c>
      <c r="AN180" t="s">
        <v>2129</v>
      </c>
      <c r="AQ180">
        <v>0</v>
      </c>
      <c r="AV180" t="s">
        <v>2129</v>
      </c>
      <c r="AW180" t="s">
        <v>2129</v>
      </c>
      <c r="AX180" t="s">
        <v>2129</v>
      </c>
      <c r="AY180">
        <v>20</v>
      </c>
      <c r="AZ180" t="s">
        <v>2129</v>
      </c>
      <c r="BA180" t="s">
        <v>2129</v>
      </c>
      <c r="BB180" t="s">
        <v>2129</v>
      </c>
      <c r="BC180">
        <v>18</v>
      </c>
      <c r="BD180" t="s">
        <v>2129</v>
      </c>
      <c r="BE180" t="s">
        <v>2129</v>
      </c>
      <c r="BF180" t="s">
        <v>2129</v>
      </c>
      <c r="BG180" t="s">
        <v>2129</v>
      </c>
      <c r="BH180" s="1958" t="s">
        <v>2129</v>
      </c>
      <c r="BI180"/>
      <c r="BJ180" s="863">
        <v>979961499.99999988</v>
      </c>
      <c r="BK180" s="863" t="s">
        <v>2129</v>
      </c>
      <c r="BL180" s="863" t="s">
        <v>2129</v>
      </c>
      <c r="BM180" s="863" t="s">
        <v>2129</v>
      </c>
      <c r="BN180" s="863" t="s">
        <v>2129</v>
      </c>
      <c r="BO180" s="863" t="s">
        <v>2129</v>
      </c>
      <c r="BP180" s="863">
        <v>881965349.99999988</v>
      </c>
      <c r="BQ180" s="863">
        <v>881965349.99999988</v>
      </c>
      <c r="BR180" s="863" t="s">
        <v>2129</v>
      </c>
      <c r="BS180" s="863" t="s">
        <v>2129</v>
      </c>
      <c r="BT180" s="863" t="s">
        <v>2129</v>
      </c>
      <c r="BU180" s="863" t="s">
        <v>2129</v>
      </c>
      <c r="BV180" s="863" t="s">
        <v>2129</v>
      </c>
      <c r="BW180" s="863" t="s">
        <v>2129</v>
      </c>
      <c r="BX180" s="863" t="s">
        <v>2129</v>
      </c>
      <c r="BY180" s="863" t="s">
        <v>2129</v>
      </c>
      <c r="BZ180" s="863">
        <v>514395420</v>
      </c>
      <c r="CA180" s="863" t="s">
        <v>2129</v>
      </c>
      <c r="CB180" s="863"/>
      <c r="CC180" s="863">
        <v>462955878</v>
      </c>
      <c r="CD180" s="863">
        <v>462955878</v>
      </c>
      <c r="CE180" s="863" t="s">
        <v>2129</v>
      </c>
      <c r="CF180" s="863" t="s">
        <v>2129</v>
      </c>
      <c r="CG180" s="863"/>
      <c r="CH180" s="5785"/>
    </row>
    <row r="181" spans="1:86" ht="13" hidden="1">
      <c r="A181">
        <v>1027</v>
      </c>
      <c r="B181" s="5802" t="s">
        <v>3393</v>
      </c>
      <c r="C181" s="5785" t="s">
        <v>2695</v>
      </c>
      <c r="D181" s="5785" t="s">
        <v>2129</v>
      </c>
      <c r="E181" s="5785" t="s">
        <v>2129</v>
      </c>
      <c r="F181" s="5792" t="s">
        <v>5205</v>
      </c>
      <c r="G181" s="5792" t="s">
        <v>2129</v>
      </c>
      <c r="H181" s="5785">
        <v>11</v>
      </c>
      <c r="I181" s="5785">
        <v>7</v>
      </c>
      <c r="J181" s="5785" t="b">
        <v>0</v>
      </c>
      <c r="K181" s="5785">
        <v>4</v>
      </c>
      <c r="L181" s="5786">
        <v>19661769</v>
      </c>
      <c r="M181" s="5786">
        <v>0</v>
      </c>
      <c r="N181" s="5786">
        <v>0</v>
      </c>
      <c r="O181" s="5786">
        <v>0</v>
      </c>
      <c r="P181" s="5786">
        <v>0</v>
      </c>
      <c r="Q181" s="2476">
        <v>21627945.900000002</v>
      </c>
      <c r="R181" s="2477">
        <v>25146822</v>
      </c>
      <c r="S181" s="2477" t="b">
        <v>0</v>
      </c>
      <c r="T181" s="5786">
        <v>3592403.1428571427</v>
      </c>
      <c r="U181" s="5786">
        <v>0</v>
      </c>
      <c r="V181" s="863">
        <v>18056720</v>
      </c>
      <c r="W181" s="863">
        <v>18056720</v>
      </c>
      <c r="X181" s="863" t="b">
        <v>1</v>
      </c>
      <c r="Y181" s="863">
        <v>120378.13333333333</v>
      </c>
      <c r="AB181" s="863">
        <v>104676.63768115942</v>
      </c>
      <c r="AE181">
        <v>150</v>
      </c>
      <c r="AF181" s="3965">
        <v>150</v>
      </c>
      <c r="AG181" s="3965" t="b">
        <v>1</v>
      </c>
      <c r="AH181">
        <v>216</v>
      </c>
      <c r="AI181">
        <v>150</v>
      </c>
      <c r="AJ181" t="s">
        <v>2129</v>
      </c>
      <c r="AK181" t="s">
        <v>2129</v>
      </c>
      <c r="AL181">
        <v>150</v>
      </c>
      <c r="AM181" t="s">
        <v>2129</v>
      </c>
      <c r="AN181">
        <v>0</v>
      </c>
      <c r="AQ181">
        <v>0</v>
      </c>
      <c r="AV181" t="s">
        <v>2129</v>
      </c>
      <c r="AW181" t="s">
        <v>2129</v>
      </c>
      <c r="AX181">
        <v>18</v>
      </c>
      <c r="AY181" t="s">
        <v>2129</v>
      </c>
      <c r="AZ181" t="s">
        <v>2129</v>
      </c>
      <c r="BA181" t="s">
        <v>2129</v>
      </c>
      <c r="BB181" t="s">
        <v>2129</v>
      </c>
      <c r="BC181">
        <v>18</v>
      </c>
      <c r="BD181" t="s">
        <v>2129</v>
      </c>
      <c r="BE181" t="s">
        <v>2129</v>
      </c>
      <c r="BF181" t="s">
        <v>2129</v>
      </c>
      <c r="BG181" t="s">
        <v>2129</v>
      </c>
      <c r="BH181" s="1958" t="s">
        <v>2129</v>
      </c>
      <c r="BI181"/>
      <c r="BJ181" s="863" t="s">
        <v>2129</v>
      </c>
      <c r="BK181" s="863" t="s">
        <v>2129</v>
      </c>
      <c r="BL181" s="863">
        <v>325020960</v>
      </c>
      <c r="BM181" s="863" t="s">
        <v>2129</v>
      </c>
      <c r="BN181" s="863" t="s">
        <v>2129</v>
      </c>
      <c r="BO181" s="863" t="s">
        <v>2129</v>
      </c>
      <c r="BP181" s="863">
        <v>325020960</v>
      </c>
      <c r="BQ181" s="863">
        <v>325020960</v>
      </c>
      <c r="BR181" s="863" t="s">
        <v>2129</v>
      </c>
      <c r="BS181" s="863" t="s">
        <v>2129</v>
      </c>
      <c r="BT181" s="863" t="s">
        <v>2129</v>
      </c>
      <c r="BU181" s="863" t="s">
        <v>2129</v>
      </c>
      <c r="BV181" s="863" t="s">
        <v>2129</v>
      </c>
      <c r="BW181" s="863" t="s">
        <v>2129</v>
      </c>
      <c r="BX181" s="863" t="s">
        <v>2129</v>
      </c>
      <c r="BY181" s="863" t="s">
        <v>2129</v>
      </c>
      <c r="BZ181" s="863" t="s">
        <v>2129</v>
      </c>
      <c r="CA181" s="863" t="s">
        <v>2129</v>
      </c>
      <c r="CB181" s="863"/>
      <c r="CC181" s="863">
        <v>452642796</v>
      </c>
      <c r="CD181" s="863">
        <v>452642796</v>
      </c>
      <c r="CE181" s="863" t="s">
        <v>2129</v>
      </c>
      <c r="CF181" s="863" t="s">
        <v>2129</v>
      </c>
      <c r="CG181" s="863"/>
      <c r="CH181" s="5785"/>
    </row>
    <row r="182" spans="1:86" s="5782" customFormat="1" ht="13" hidden="1">
      <c r="A182" s="5782">
        <v>1028</v>
      </c>
      <c r="B182" s="5783" t="s">
        <v>3394</v>
      </c>
      <c r="C182" s="5784" t="s">
        <v>2129</v>
      </c>
      <c r="D182" s="5784" t="s">
        <v>2129</v>
      </c>
      <c r="E182" s="5784" t="s">
        <v>2129</v>
      </c>
      <c r="F182" s="5784" t="s">
        <v>2129</v>
      </c>
      <c r="G182" s="5784" t="s">
        <v>2129</v>
      </c>
      <c r="H182" s="5784">
        <v>1</v>
      </c>
      <c r="I182" s="5784">
        <v>0</v>
      </c>
      <c r="J182" s="5785" t="b">
        <v>0</v>
      </c>
      <c r="K182" s="5785" t="s">
        <v>2129</v>
      </c>
      <c r="L182" s="5786">
        <v>0</v>
      </c>
      <c r="M182" s="5786">
        <v>0</v>
      </c>
      <c r="N182" s="5786">
        <v>0</v>
      </c>
      <c r="O182" s="5786">
        <v>0</v>
      </c>
      <c r="P182" s="5786">
        <v>0</v>
      </c>
      <c r="Q182" s="2476">
        <v>0</v>
      </c>
      <c r="R182" s="5787">
        <v>0</v>
      </c>
      <c r="S182" s="2477" t="b">
        <v>1</v>
      </c>
      <c r="T182" s="5787" t="s">
        <v>2129</v>
      </c>
      <c r="U182" s="5787">
        <v>0</v>
      </c>
      <c r="V182" s="5788">
        <v>399590</v>
      </c>
      <c r="W182" s="5788">
        <v>399590</v>
      </c>
      <c r="X182" s="5788" t="b">
        <v>1</v>
      </c>
      <c r="Y182" s="5788">
        <v>15983.6</v>
      </c>
      <c r="Z182" s="5788"/>
      <c r="AA182" s="5788"/>
      <c r="AB182" s="5788" t="s">
        <v>2129</v>
      </c>
      <c r="AC182" s="5788"/>
      <c r="AD182" s="5788"/>
      <c r="AE182" s="5782">
        <v>25</v>
      </c>
      <c r="AF182" s="5789">
        <v>25</v>
      </c>
      <c r="AG182" s="5789" t="b">
        <v>1</v>
      </c>
      <c r="AH182" s="5782">
        <v>54</v>
      </c>
      <c r="AI182" s="5782" t="s">
        <v>2129</v>
      </c>
      <c r="AJ182" s="5782" t="s">
        <v>2129</v>
      </c>
      <c r="AK182" s="5782" t="s">
        <v>2129</v>
      </c>
      <c r="AL182" s="5782" t="s">
        <v>2129</v>
      </c>
      <c r="AM182" s="5782" t="s">
        <v>2129</v>
      </c>
      <c r="AN182" s="5782" t="s">
        <v>2129</v>
      </c>
      <c r="AQ182" s="5782" t="s">
        <v>2129</v>
      </c>
      <c r="AV182" s="5782" t="s">
        <v>2129</v>
      </c>
      <c r="AW182" s="5782" t="s">
        <v>2129</v>
      </c>
      <c r="AX182" s="5782" t="s">
        <v>2129</v>
      </c>
      <c r="AY182" s="5782" t="s">
        <v>2129</v>
      </c>
      <c r="AZ182" s="5782" t="s">
        <v>2129</v>
      </c>
      <c r="BA182" s="5782" t="s">
        <v>2129</v>
      </c>
      <c r="BB182" s="5782" t="s">
        <v>2129</v>
      </c>
      <c r="BC182" s="5782" t="s">
        <v>2129</v>
      </c>
      <c r="BD182" s="5782" t="s">
        <v>2129</v>
      </c>
      <c r="BE182" s="5782" t="s">
        <v>2129</v>
      </c>
      <c r="BF182" s="5782" t="s">
        <v>2129</v>
      </c>
      <c r="BG182" s="5782" t="s">
        <v>2129</v>
      </c>
      <c r="BH182" s="5788" t="s">
        <v>2129</v>
      </c>
      <c r="BJ182" s="5788" t="s">
        <v>2129</v>
      </c>
      <c r="BK182" s="5788" t="s">
        <v>2129</v>
      </c>
      <c r="BL182" s="5788" t="s">
        <v>2129</v>
      </c>
      <c r="BM182" s="5788" t="s">
        <v>2129</v>
      </c>
      <c r="BN182" s="5788" t="s">
        <v>2129</v>
      </c>
      <c r="BO182" s="5788" t="s">
        <v>2129</v>
      </c>
      <c r="BP182" s="5788" t="s">
        <v>2129</v>
      </c>
      <c r="BQ182" s="5788" t="s">
        <v>2129</v>
      </c>
      <c r="BR182" s="5788" t="s">
        <v>2129</v>
      </c>
      <c r="BS182" s="5788" t="s">
        <v>2129</v>
      </c>
      <c r="BT182" s="5788" t="s">
        <v>2129</v>
      </c>
      <c r="BU182" s="5788" t="s">
        <v>2129</v>
      </c>
      <c r="BV182" s="5788" t="s">
        <v>2129</v>
      </c>
      <c r="BW182" s="5788" t="s">
        <v>2129</v>
      </c>
      <c r="BX182" s="5788" t="s">
        <v>2129</v>
      </c>
      <c r="BY182" s="5788" t="s">
        <v>2129</v>
      </c>
      <c r="BZ182" s="5788" t="s">
        <v>2129</v>
      </c>
      <c r="CA182" s="5788" t="s">
        <v>2129</v>
      </c>
      <c r="CB182" s="5788"/>
      <c r="CC182" s="5788" t="s">
        <v>2129</v>
      </c>
      <c r="CD182" s="5788" t="s">
        <v>2129</v>
      </c>
      <c r="CE182" s="5788" t="s">
        <v>2129</v>
      </c>
      <c r="CF182" s="5788" t="s">
        <v>2129</v>
      </c>
      <c r="CG182" s="5788"/>
      <c r="CH182" s="5784"/>
    </row>
    <row r="183" spans="1:86" s="5782" customFormat="1" ht="13" hidden="1">
      <c r="A183" s="5782">
        <v>1029</v>
      </c>
      <c r="B183" s="5783" t="s">
        <v>2870</v>
      </c>
      <c r="C183" s="5784" t="s">
        <v>2129</v>
      </c>
      <c r="D183" s="5784" t="s">
        <v>2129</v>
      </c>
      <c r="E183" s="5784" t="s">
        <v>2129</v>
      </c>
      <c r="F183" s="5784" t="s">
        <v>2129</v>
      </c>
      <c r="G183" s="5784" t="s">
        <v>2129</v>
      </c>
      <c r="H183" s="5784">
        <v>6</v>
      </c>
      <c r="I183" s="5784">
        <v>5</v>
      </c>
      <c r="J183" s="5785" t="b">
        <v>0</v>
      </c>
      <c r="K183" s="5785" t="s">
        <v>2129</v>
      </c>
      <c r="L183" s="5786">
        <v>4706</v>
      </c>
      <c r="M183" s="5786">
        <v>0</v>
      </c>
      <c r="N183" s="5786">
        <v>0</v>
      </c>
      <c r="O183" s="5786">
        <v>14550</v>
      </c>
      <c r="P183" s="5786">
        <v>0</v>
      </c>
      <c r="Q183" s="2476">
        <v>19726.599999999999</v>
      </c>
      <c r="R183" s="5787">
        <v>19726</v>
      </c>
      <c r="S183" s="2477" t="b">
        <v>0</v>
      </c>
      <c r="T183" s="5787">
        <v>3945.2</v>
      </c>
      <c r="U183" s="5787">
        <v>0</v>
      </c>
      <c r="V183" s="863">
        <v>7595514</v>
      </c>
      <c r="W183" s="5788">
        <v>7595514</v>
      </c>
      <c r="X183" s="863" t="b">
        <v>1</v>
      </c>
      <c r="Y183" s="5788">
        <v>51670.163265306124</v>
      </c>
      <c r="Z183" s="5788"/>
      <c r="AA183" s="5788"/>
      <c r="AB183" s="5788" t="s">
        <v>2129</v>
      </c>
      <c r="AC183" s="863"/>
      <c r="AD183" s="863"/>
      <c r="AE183" s="5782">
        <v>147</v>
      </c>
      <c r="AF183" s="5789">
        <v>147</v>
      </c>
      <c r="AG183" s="3965" t="b">
        <v>1</v>
      </c>
      <c r="AH183" s="5782">
        <v>316</v>
      </c>
      <c r="AI183" s="5782" t="s">
        <v>2129</v>
      </c>
      <c r="AJ183" s="5782" t="s">
        <v>2129</v>
      </c>
      <c r="AK183" s="5782" t="s">
        <v>2129</v>
      </c>
      <c r="AL183" t="s">
        <v>2129</v>
      </c>
      <c r="AM183" t="s">
        <v>2129</v>
      </c>
      <c r="AN183" t="s">
        <v>2129</v>
      </c>
      <c r="AO183" t="s">
        <v>2129</v>
      </c>
      <c r="AP183"/>
      <c r="AQ183" t="s">
        <v>2129</v>
      </c>
      <c r="AR183"/>
      <c r="AS183"/>
      <c r="AT183"/>
      <c r="AU183"/>
      <c r="AV183" s="5782" t="s">
        <v>2129</v>
      </c>
      <c r="AW183" t="s">
        <v>2129</v>
      </c>
      <c r="AX183" s="5782" t="s">
        <v>2129</v>
      </c>
      <c r="AY183" s="5782" t="s">
        <v>2129</v>
      </c>
      <c r="AZ183" s="5782" t="s">
        <v>2129</v>
      </c>
      <c r="BA183" s="5782" t="s">
        <v>2129</v>
      </c>
      <c r="BB183" s="5782" t="s">
        <v>2129</v>
      </c>
      <c r="BC183" t="s">
        <v>2129</v>
      </c>
      <c r="BD183" t="s">
        <v>2129</v>
      </c>
      <c r="BE183" t="s">
        <v>2129</v>
      </c>
      <c r="BF183" t="s">
        <v>2129</v>
      </c>
      <c r="BG183" t="s">
        <v>2129</v>
      </c>
      <c r="BH183" s="5788" t="s">
        <v>2129</v>
      </c>
      <c r="BI183"/>
      <c r="BJ183" s="5788" t="s">
        <v>2129</v>
      </c>
      <c r="BK183" s="5788" t="s">
        <v>2129</v>
      </c>
      <c r="BL183" s="5788" t="s">
        <v>2129</v>
      </c>
      <c r="BM183" s="5788" t="s">
        <v>2129</v>
      </c>
      <c r="BN183" s="5788" t="s">
        <v>2129</v>
      </c>
      <c r="BO183" s="5788" t="s">
        <v>2129</v>
      </c>
      <c r="BP183" s="863" t="s">
        <v>2129</v>
      </c>
      <c r="BQ183" s="863" t="s">
        <v>2129</v>
      </c>
      <c r="BR183" s="863" t="s">
        <v>2129</v>
      </c>
      <c r="BS183" s="863" t="s">
        <v>2129</v>
      </c>
      <c r="BT183" s="863" t="s">
        <v>2129</v>
      </c>
      <c r="BU183" s="863" t="s">
        <v>2129</v>
      </c>
      <c r="BV183" s="863" t="s">
        <v>2129</v>
      </c>
      <c r="BW183" s="863" t="s">
        <v>2129</v>
      </c>
      <c r="BX183" s="5788" t="s">
        <v>2129</v>
      </c>
      <c r="BY183" s="863" t="s">
        <v>2129</v>
      </c>
      <c r="BZ183" s="5788" t="s">
        <v>2129</v>
      </c>
      <c r="CA183" s="5788" t="s">
        <v>2129</v>
      </c>
      <c r="CB183" s="863"/>
      <c r="CC183" s="863" t="s">
        <v>2129</v>
      </c>
      <c r="CD183" s="863" t="s">
        <v>2129</v>
      </c>
      <c r="CE183" s="863" t="s">
        <v>2129</v>
      </c>
      <c r="CF183" s="863" t="s">
        <v>2129</v>
      </c>
      <c r="CG183" s="863"/>
      <c r="CH183" s="5784"/>
    </row>
    <row r="184" spans="1:86" ht="13">
      <c r="A184">
        <v>1030</v>
      </c>
      <c r="B184" s="196" t="s">
        <v>3395</v>
      </c>
      <c r="C184" s="5790" t="s">
        <v>6598</v>
      </c>
      <c r="D184" s="5790" t="s">
        <v>6599</v>
      </c>
      <c r="E184" s="5790" t="s">
        <v>2129</v>
      </c>
      <c r="F184" s="5785" t="s">
        <v>2129</v>
      </c>
      <c r="G184" s="5785" t="s">
        <v>2129</v>
      </c>
      <c r="H184" s="5785">
        <v>9</v>
      </c>
      <c r="I184" s="5785">
        <v>3</v>
      </c>
      <c r="J184" s="5785" t="b">
        <v>1</v>
      </c>
      <c r="K184" s="5785" t="s">
        <v>2129</v>
      </c>
      <c r="L184" s="5786">
        <v>1194121</v>
      </c>
      <c r="M184" s="5786">
        <v>0</v>
      </c>
      <c r="N184" s="5786">
        <v>0</v>
      </c>
      <c r="O184" s="5786">
        <v>8250</v>
      </c>
      <c r="P184" s="5786">
        <v>0</v>
      </c>
      <c r="Q184" s="2476">
        <v>1321783.1000000001</v>
      </c>
      <c r="R184" s="2477">
        <v>568942</v>
      </c>
      <c r="S184" s="2477" t="b">
        <v>1</v>
      </c>
      <c r="T184" s="5786">
        <v>189647.33333333334</v>
      </c>
      <c r="U184" s="5786">
        <v>0</v>
      </c>
      <c r="V184" s="863">
        <v>1097448</v>
      </c>
      <c r="W184" s="863">
        <v>1097448</v>
      </c>
      <c r="X184" s="863" t="b">
        <v>1</v>
      </c>
      <c r="Y184" s="863">
        <v>27436.2</v>
      </c>
      <c r="Z184" s="863">
        <v>24942</v>
      </c>
      <c r="AA184" s="863">
        <v>24942</v>
      </c>
      <c r="AB184" s="863">
        <v>15391.977559607294</v>
      </c>
      <c r="AC184" s="863">
        <v>2200</v>
      </c>
      <c r="AE184">
        <v>67</v>
      </c>
      <c r="AF184" s="3965">
        <v>40</v>
      </c>
      <c r="AG184" s="3965" t="b">
        <v>1</v>
      </c>
      <c r="AH184" s="2814">
        <v>110</v>
      </c>
      <c r="AI184">
        <v>62</v>
      </c>
      <c r="AJ184" t="s">
        <v>2129</v>
      </c>
      <c r="AK184" t="s">
        <v>2129</v>
      </c>
      <c r="AL184" t="s">
        <v>2129</v>
      </c>
      <c r="AM184" t="s">
        <v>2129</v>
      </c>
      <c r="AN184">
        <v>22</v>
      </c>
      <c r="AQ184" t="s">
        <v>2129</v>
      </c>
      <c r="AV184">
        <v>11</v>
      </c>
      <c r="AW184">
        <v>15</v>
      </c>
      <c r="AX184" t="s">
        <v>2129</v>
      </c>
      <c r="AY184" t="s">
        <v>2129</v>
      </c>
      <c r="AZ184" t="s">
        <v>2129</v>
      </c>
      <c r="BA184" t="s">
        <v>2129</v>
      </c>
      <c r="BB184" t="s">
        <v>2129</v>
      </c>
      <c r="BC184" t="s">
        <v>2129</v>
      </c>
      <c r="BD184" t="s">
        <v>2129</v>
      </c>
      <c r="BE184" t="s">
        <v>2129</v>
      </c>
      <c r="BF184" t="s">
        <v>2129</v>
      </c>
      <c r="BG184" t="s">
        <v>2129</v>
      </c>
      <c r="BH184" s="1958">
        <v>12071928</v>
      </c>
      <c r="BI184" s="1958">
        <v>16461720</v>
      </c>
      <c r="BJ184" s="1958" t="s">
        <v>2129</v>
      </c>
      <c r="BK184" s="1958" t="s">
        <v>2129</v>
      </c>
      <c r="BL184" s="1958" t="s">
        <v>2129</v>
      </c>
      <c r="BM184" s="1958" t="s">
        <v>2129</v>
      </c>
      <c r="BN184" s="1958" t="s">
        <v>2129</v>
      </c>
      <c r="BO184" s="1958" t="s">
        <v>2129</v>
      </c>
      <c r="BP184" s="1958" t="s">
        <v>2129</v>
      </c>
      <c r="BQ184" s="863" t="s">
        <v>2129</v>
      </c>
      <c r="BR184" s="863" t="s">
        <v>2129</v>
      </c>
      <c r="BS184" s="1958" t="s">
        <v>2129</v>
      </c>
      <c r="BT184" s="1958" t="s">
        <v>2129</v>
      </c>
      <c r="BU184" s="1958" t="s">
        <v>2129</v>
      </c>
      <c r="BV184" s="1958" t="s">
        <v>2129</v>
      </c>
      <c r="BW184" s="1958" t="s">
        <v>2129</v>
      </c>
      <c r="BX184" s="1958">
        <v>6258362</v>
      </c>
      <c r="BY184" s="1958">
        <v>8534130</v>
      </c>
      <c r="BZ184" s="1958" t="s">
        <v>2129</v>
      </c>
      <c r="CA184" s="1958" t="s">
        <v>2129</v>
      </c>
      <c r="CC184" s="1958" t="s">
        <v>2129</v>
      </c>
      <c r="CD184" s="1958" t="s">
        <v>2129</v>
      </c>
      <c r="CE184" s="1958" t="s">
        <v>2129</v>
      </c>
      <c r="CF184" s="1958" t="s">
        <v>2129</v>
      </c>
      <c r="CH184" s="5785"/>
    </row>
    <row r="185" spans="1:86" ht="13" hidden="1">
      <c r="A185">
        <v>1032</v>
      </c>
      <c r="B185" s="196" t="s">
        <v>3396</v>
      </c>
      <c r="C185" s="5785" t="s">
        <v>2129</v>
      </c>
      <c r="D185" s="5785" t="s">
        <v>2129</v>
      </c>
      <c r="E185" s="5785" t="s">
        <v>2129</v>
      </c>
      <c r="F185" s="5785" t="s">
        <v>2695</v>
      </c>
      <c r="G185" s="5785" t="s">
        <v>2129</v>
      </c>
      <c r="H185" s="5785">
        <v>4</v>
      </c>
      <c r="I185" s="5785">
        <v>4</v>
      </c>
      <c r="J185" s="5785" t="b">
        <v>1</v>
      </c>
      <c r="K185" s="5785" t="s">
        <v>2129</v>
      </c>
      <c r="L185" s="5786">
        <v>4339650</v>
      </c>
      <c r="M185" s="5786">
        <v>0</v>
      </c>
      <c r="N185" s="5786">
        <v>0</v>
      </c>
      <c r="O185" s="5786">
        <v>0</v>
      </c>
      <c r="P185" s="5786">
        <v>0</v>
      </c>
      <c r="Q185" s="2476">
        <v>4773615</v>
      </c>
      <c r="R185" s="2477">
        <v>4773615</v>
      </c>
      <c r="S185" s="2477" t="b">
        <v>1</v>
      </c>
      <c r="T185" s="5786">
        <v>1193403.75</v>
      </c>
      <c r="U185" s="5786">
        <v>0</v>
      </c>
      <c r="V185" s="863">
        <v>25771836</v>
      </c>
      <c r="W185" s="863">
        <v>25771836</v>
      </c>
      <c r="X185" s="863" t="b">
        <v>1</v>
      </c>
      <c r="Y185" s="863">
        <v>104763.56097560975</v>
      </c>
      <c r="AB185" s="863" t="s">
        <v>2129</v>
      </c>
      <c r="AE185">
        <v>250</v>
      </c>
      <c r="AF185" s="3965">
        <v>246</v>
      </c>
      <c r="AG185" s="3965" t="b">
        <v>1</v>
      </c>
      <c r="AH185" t="s">
        <v>3308</v>
      </c>
      <c r="AI185" t="s">
        <v>2129</v>
      </c>
      <c r="AJ185" t="s">
        <v>2129</v>
      </c>
      <c r="AK185" t="s">
        <v>2129</v>
      </c>
      <c r="AL185">
        <v>250</v>
      </c>
      <c r="AM185" t="s">
        <v>2129</v>
      </c>
      <c r="AN185" t="s">
        <v>2129</v>
      </c>
      <c r="AQ185">
        <v>4</v>
      </c>
      <c r="AV185" t="s">
        <v>2129</v>
      </c>
      <c r="AW185" t="s">
        <v>2129</v>
      </c>
      <c r="AX185" t="s">
        <v>2129</v>
      </c>
      <c r="AY185" t="s">
        <v>2129</v>
      </c>
      <c r="AZ185" t="s">
        <v>2129</v>
      </c>
      <c r="BA185" t="s">
        <v>2129</v>
      </c>
      <c r="BB185" t="s">
        <v>2129</v>
      </c>
      <c r="BC185" t="s">
        <v>2129</v>
      </c>
      <c r="BD185">
        <v>9</v>
      </c>
      <c r="BE185" t="s">
        <v>2129</v>
      </c>
      <c r="BF185" t="s">
        <v>2129</v>
      </c>
      <c r="BG185" t="s">
        <v>2129</v>
      </c>
      <c r="BH185" s="1958" t="s">
        <v>2129</v>
      </c>
      <c r="BI185"/>
      <c r="BJ185" s="863" t="s">
        <v>2129</v>
      </c>
      <c r="BK185" s="863" t="s">
        <v>2129</v>
      </c>
      <c r="BL185" s="863" t="s">
        <v>2129</v>
      </c>
      <c r="BM185" s="863" t="s">
        <v>2129</v>
      </c>
      <c r="BN185" s="863" t="s">
        <v>2129</v>
      </c>
      <c r="BO185" s="863" t="s">
        <v>2129</v>
      </c>
      <c r="BP185" s="863" t="s">
        <v>2129</v>
      </c>
      <c r="BQ185" s="863" t="s">
        <v>2129</v>
      </c>
      <c r="BR185" s="863" t="s">
        <v>2129</v>
      </c>
      <c r="BS185" s="863" t="s">
        <v>2129</v>
      </c>
      <c r="BT185" s="863" t="s">
        <v>2129</v>
      </c>
      <c r="BU185" s="863">
        <v>235718012.19512194</v>
      </c>
      <c r="BV185" s="863" t="s">
        <v>2129</v>
      </c>
      <c r="BW185" s="863" t="s">
        <v>2129</v>
      </c>
      <c r="BX185" s="863" t="s">
        <v>2129</v>
      </c>
      <c r="BY185" s="863" t="s">
        <v>2129</v>
      </c>
      <c r="BZ185" s="863" t="s">
        <v>2129</v>
      </c>
      <c r="CA185" s="863" t="s">
        <v>2129</v>
      </c>
      <c r="CB185" s="863"/>
      <c r="CC185" s="863" t="s">
        <v>2129</v>
      </c>
      <c r="CD185" s="863" t="s">
        <v>2129</v>
      </c>
      <c r="CE185" s="863" t="s">
        <v>2129</v>
      </c>
      <c r="CF185" s="863" t="s">
        <v>2129</v>
      </c>
      <c r="CG185" s="863"/>
      <c r="CH185" s="5785"/>
    </row>
    <row r="186" spans="1:86" ht="13" hidden="1">
      <c r="A186">
        <v>1033</v>
      </c>
      <c r="B186" s="196" t="s">
        <v>3397</v>
      </c>
      <c r="C186" s="5785" t="s">
        <v>2695</v>
      </c>
      <c r="D186" s="5785" t="s">
        <v>2129</v>
      </c>
      <c r="E186" s="5785" t="s">
        <v>2129</v>
      </c>
      <c r="F186" s="5792" t="s">
        <v>5205</v>
      </c>
      <c r="G186" s="5792" t="s">
        <v>2129</v>
      </c>
      <c r="H186" s="5785">
        <v>4</v>
      </c>
      <c r="I186" s="5785">
        <v>4</v>
      </c>
      <c r="J186" s="5785" t="b">
        <v>1</v>
      </c>
      <c r="K186" s="5785">
        <v>0</v>
      </c>
      <c r="L186" s="5786">
        <v>4339650</v>
      </c>
      <c r="M186" s="5786">
        <v>0</v>
      </c>
      <c r="N186" s="5786">
        <v>0</v>
      </c>
      <c r="O186" s="5786">
        <v>0</v>
      </c>
      <c r="P186" s="5786">
        <v>0</v>
      </c>
      <c r="Q186" s="2476">
        <v>4773615</v>
      </c>
      <c r="R186" s="2477">
        <v>4773615</v>
      </c>
      <c r="S186" s="2477" t="b">
        <v>1</v>
      </c>
      <c r="T186" s="5786">
        <v>1193403.75</v>
      </c>
      <c r="U186" s="5786">
        <v>0</v>
      </c>
      <c r="V186" s="863">
        <v>13501382</v>
      </c>
      <c r="W186" s="863">
        <v>13501382</v>
      </c>
      <c r="X186" s="863" t="b">
        <v>1</v>
      </c>
      <c r="Y186" s="863">
        <v>125012.79629629629</v>
      </c>
      <c r="AB186" s="863">
        <v>117403.32173913045</v>
      </c>
      <c r="AE186" t="s">
        <v>3308</v>
      </c>
      <c r="AF186" s="3965">
        <v>108</v>
      </c>
      <c r="AG186" s="3965" t="b">
        <v>1</v>
      </c>
      <c r="AH186" t="s">
        <v>3308</v>
      </c>
      <c r="AI186">
        <v>100</v>
      </c>
      <c r="AJ186" t="s">
        <v>2129</v>
      </c>
      <c r="AK186" t="s">
        <v>2129</v>
      </c>
      <c r="AL186">
        <v>108</v>
      </c>
      <c r="AM186" t="s">
        <v>2129</v>
      </c>
      <c r="AN186">
        <v>-8</v>
      </c>
      <c r="AQ186">
        <v>0</v>
      </c>
      <c r="AV186" t="s">
        <v>2129</v>
      </c>
      <c r="AW186" t="s">
        <v>2129</v>
      </c>
      <c r="AX186">
        <v>18</v>
      </c>
      <c r="AY186" t="s">
        <v>2129</v>
      </c>
      <c r="AZ186" t="s">
        <v>2129</v>
      </c>
      <c r="BA186" t="s">
        <v>2129</v>
      </c>
      <c r="BB186" t="s">
        <v>2129</v>
      </c>
      <c r="BC186">
        <v>18</v>
      </c>
      <c r="BD186" t="s">
        <v>2129</v>
      </c>
      <c r="BE186" t="s">
        <v>2129</v>
      </c>
      <c r="BF186" t="s">
        <v>2129</v>
      </c>
      <c r="BG186" t="s">
        <v>2129</v>
      </c>
      <c r="BH186" s="1958" t="s">
        <v>2129</v>
      </c>
      <c r="BI186"/>
      <c r="BJ186" s="863" t="s">
        <v>2129</v>
      </c>
      <c r="BK186" s="863" t="s">
        <v>2129</v>
      </c>
      <c r="BL186" s="863">
        <v>225023033.33333331</v>
      </c>
      <c r="BM186" s="863" t="s">
        <v>2129</v>
      </c>
      <c r="BN186" s="863" t="s">
        <v>2129</v>
      </c>
      <c r="BO186" s="863" t="s">
        <v>2129</v>
      </c>
      <c r="BP186" s="863">
        <v>243024876</v>
      </c>
      <c r="BQ186" s="863">
        <v>243024876</v>
      </c>
      <c r="BR186" s="863" t="s">
        <v>2129</v>
      </c>
      <c r="BS186" s="863" t="s">
        <v>2129</v>
      </c>
      <c r="BT186" s="863" t="s">
        <v>2129</v>
      </c>
      <c r="BU186" s="863" t="s">
        <v>2129</v>
      </c>
      <c r="BV186" s="863" t="s">
        <v>2129</v>
      </c>
      <c r="BW186" s="863" t="s">
        <v>2129</v>
      </c>
      <c r="BX186" s="863" t="s">
        <v>2129</v>
      </c>
      <c r="BY186" s="863" t="s">
        <v>2129</v>
      </c>
      <c r="BZ186" s="863" t="s">
        <v>2129</v>
      </c>
      <c r="CA186" s="863" t="s">
        <v>2129</v>
      </c>
      <c r="CB186" s="863"/>
      <c r="CC186" s="863">
        <v>85925070</v>
      </c>
      <c r="CD186" s="863">
        <v>85925070</v>
      </c>
      <c r="CE186" s="863" t="s">
        <v>2129</v>
      </c>
      <c r="CF186" s="863" t="s">
        <v>2129</v>
      </c>
      <c r="CG186" s="863"/>
      <c r="CH186" s="5785"/>
    </row>
    <row r="187" spans="1:86" ht="13" hidden="1">
      <c r="A187">
        <v>1034</v>
      </c>
      <c r="B187" s="196" t="s">
        <v>3398</v>
      </c>
      <c r="C187" s="5785" t="s">
        <v>2129</v>
      </c>
      <c r="D187" s="5785" t="s">
        <v>2129</v>
      </c>
      <c r="E187" s="5785" t="s">
        <v>2129</v>
      </c>
      <c r="F187" s="5785" t="s">
        <v>2695</v>
      </c>
      <c r="G187" s="5785" t="s">
        <v>2129</v>
      </c>
      <c r="H187" s="5785">
        <v>4</v>
      </c>
      <c r="I187" s="5785">
        <v>4</v>
      </c>
      <c r="J187" s="5785" t="b">
        <v>1</v>
      </c>
      <c r="K187" s="5785" t="s">
        <v>2129</v>
      </c>
      <c r="L187" s="5786">
        <v>4339650</v>
      </c>
      <c r="M187" s="5786">
        <v>0</v>
      </c>
      <c r="N187" s="5786">
        <v>0</v>
      </c>
      <c r="O187" s="5786">
        <v>0</v>
      </c>
      <c r="P187" s="5786">
        <v>0</v>
      </c>
      <c r="Q187" s="2476">
        <v>4773615</v>
      </c>
      <c r="R187" s="2477">
        <v>4773615</v>
      </c>
      <c r="S187" s="2477" t="b">
        <v>1</v>
      </c>
      <c r="T187" s="5786">
        <v>1193403.75</v>
      </c>
      <c r="U187" s="5786">
        <v>0</v>
      </c>
      <c r="V187" s="863">
        <v>13501382</v>
      </c>
      <c r="W187" s="863">
        <v>13501382</v>
      </c>
      <c r="X187" s="863" t="b">
        <v>1</v>
      </c>
      <c r="Y187" s="863">
        <v>125012.79629629629</v>
      </c>
      <c r="AB187" s="863" t="s">
        <v>2129</v>
      </c>
      <c r="AE187">
        <v>165</v>
      </c>
      <c r="AF187" s="3965">
        <v>108</v>
      </c>
      <c r="AG187" s="3965" t="b">
        <v>1</v>
      </c>
      <c r="AH187" t="s">
        <v>3308</v>
      </c>
      <c r="AI187" t="s">
        <v>2129</v>
      </c>
      <c r="AJ187" t="s">
        <v>2129</v>
      </c>
      <c r="AK187" t="s">
        <v>2129</v>
      </c>
      <c r="AL187">
        <v>100</v>
      </c>
      <c r="AM187" t="s">
        <v>2129</v>
      </c>
      <c r="AN187" t="s">
        <v>2129</v>
      </c>
      <c r="AQ187">
        <v>-8</v>
      </c>
      <c r="AV187" t="s">
        <v>2129</v>
      </c>
      <c r="AW187" t="s">
        <v>2129</v>
      </c>
      <c r="AX187" t="s">
        <v>2129</v>
      </c>
      <c r="AY187" t="s">
        <v>2129</v>
      </c>
      <c r="AZ187" t="s">
        <v>2129</v>
      </c>
      <c r="BA187" t="s">
        <v>2129</v>
      </c>
      <c r="BB187" t="s">
        <v>2129</v>
      </c>
      <c r="BC187" t="s">
        <v>2129</v>
      </c>
      <c r="BD187">
        <v>9</v>
      </c>
      <c r="BE187" t="s">
        <v>2129</v>
      </c>
      <c r="BF187" t="s">
        <v>2129</v>
      </c>
      <c r="BG187" t="s">
        <v>2129</v>
      </c>
      <c r="BH187" s="1958" t="s">
        <v>2129</v>
      </c>
      <c r="BI187"/>
      <c r="BJ187" s="863" t="s">
        <v>2129</v>
      </c>
      <c r="BK187" s="863" t="s">
        <v>2129</v>
      </c>
      <c r="BL187" s="863" t="s">
        <v>2129</v>
      </c>
      <c r="BM187" s="863" t="s">
        <v>2129</v>
      </c>
      <c r="BN187" s="863" t="s">
        <v>2129</v>
      </c>
      <c r="BO187" s="863" t="s">
        <v>2129</v>
      </c>
      <c r="BP187" s="863" t="s">
        <v>2129</v>
      </c>
      <c r="BQ187" s="863" t="s">
        <v>2129</v>
      </c>
      <c r="BR187" s="863" t="s">
        <v>2129</v>
      </c>
      <c r="BS187" s="863" t="s">
        <v>2129</v>
      </c>
      <c r="BT187" s="863" t="s">
        <v>2129</v>
      </c>
      <c r="BU187" s="863">
        <v>112511516.66666666</v>
      </c>
      <c r="BV187" s="863" t="s">
        <v>2129</v>
      </c>
      <c r="BW187" s="863" t="s">
        <v>2129</v>
      </c>
      <c r="BX187" s="863" t="s">
        <v>2129</v>
      </c>
      <c r="BY187" s="863" t="s">
        <v>2129</v>
      </c>
      <c r="BZ187" s="863" t="s">
        <v>2129</v>
      </c>
      <c r="CA187" s="863" t="s">
        <v>2129</v>
      </c>
      <c r="CB187" s="863"/>
      <c r="CC187" s="863" t="s">
        <v>2129</v>
      </c>
      <c r="CD187" s="863" t="s">
        <v>2129</v>
      </c>
      <c r="CE187" s="863" t="s">
        <v>2129</v>
      </c>
      <c r="CF187" s="863" t="s">
        <v>2129</v>
      </c>
      <c r="CG187" s="863"/>
      <c r="CH187" s="5785"/>
    </row>
    <row r="188" spans="1:86" s="5782" customFormat="1" ht="13" hidden="1">
      <c r="A188" s="5782">
        <v>1035</v>
      </c>
      <c r="B188" s="5783" t="s">
        <v>3399</v>
      </c>
      <c r="C188" s="5784" t="s">
        <v>2129</v>
      </c>
      <c r="D188" s="5784" t="s">
        <v>2129</v>
      </c>
      <c r="E188" s="5784" t="s">
        <v>2129</v>
      </c>
      <c r="F188" s="5784" t="s">
        <v>2129</v>
      </c>
      <c r="G188" s="5784" t="s">
        <v>2129</v>
      </c>
      <c r="H188" s="5784">
        <v>0</v>
      </c>
      <c r="I188" s="5784">
        <v>0</v>
      </c>
      <c r="J188" s="5785" t="b">
        <v>1</v>
      </c>
      <c r="K188" s="5785" t="s">
        <v>2129</v>
      </c>
      <c r="L188" s="5786">
        <v>0</v>
      </c>
      <c r="M188" s="5786">
        <v>0</v>
      </c>
      <c r="N188" s="5786">
        <v>0</v>
      </c>
      <c r="O188" s="5786">
        <v>0</v>
      </c>
      <c r="P188" s="5786">
        <v>0</v>
      </c>
      <c r="Q188" s="2476">
        <v>0</v>
      </c>
      <c r="R188" s="5787">
        <v>0</v>
      </c>
      <c r="S188" s="2477" t="b">
        <v>1</v>
      </c>
      <c r="T188" s="5787" t="s">
        <v>2129</v>
      </c>
      <c r="U188" s="5787">
        <v>0</v>
      </c>
      <c r="V188" s="5788">
        <v>0</v>
      </c>
      <c r="W188" s="5788">
        <v>0</v>
      </c>
      <c r="X188" s="5788" t="b">
        <v>1</v>
      </c>
      <c r="Y188" s="5788"/>
      <c r="Z188" s="5788"/>
      <c r="AA188" s="5788"/>
      <c r="AB188" s="5788" t="s">
        <v>2129</v>
      </c>
      <c r="AC188" s="5788"/>
      <c r="AD188" s="5788"/>
      <c r="AE188" s="5782" t="s">
        <v>3308</v>
      </c>
      <c r="AF188" s="5789">
        <v>0</v>
      </c>
      <c r="AG188" s="5789" t="b">
        <v>1</v>
      </c>
      <c r="AH188" s="5782" t="s">
        <v>3308</v>
      </c>
      <c r="AI188" s="5782" t="s">
        <v>2129</v>
      </c>
      <c r="AJ188" s="5782" t="s">
        <v>2129</v>
      </c>
      <c r="AK188" s="5782" t="s">
        <v>2129</v>
      </c>
      <c r="AL188" s="5782" t="s">
        <v>2129</v>
      </c>
      <c r="AM188" s="5782" t="s">
        <v>2129</v>
      </c>
      <c r="AN188" s="5782" t="s">
        <v>2129</v>
      </c>
      <c r="AQ188" s="5782" t="s">
        <v>2129</v>
      </c>
      <c r="AV188" s="5782" t="s">
        <v>2129</v>
      </c>
      <c r="AW188" s="5782" t="s">
        <v>2129</v>
      </c>
      <c r="AX188" s="5782" t="s">
        <v>2129</v>
      </c>
      <c r="AY188" s="5782" t="s">
        <v>2129</v>
      </c>
      <c r="AZ188" s="5782" t="s">
        <v>2129</v>
      </c>
      <c r="BA188" s="5782" t="s">
        <v>2129</v>
      </c>
      <c r="BB188" s="5782" t="s">
        <v>2129</v>
      </c>
      <c r="BC188" s="5782" t="s">
        <v>2129</v>
      </c>
      <c r="BD188" s="5782" t="s">
        <v>2129</v>
      </c>
      <c r="BE188" s="5782" t="s">
        <v>2129</v>
      </c>
      <c r="BF188" s="5782" t="s">
        <v>2129</v>
      </c>
      <c r="BG188" s="5782" t="s">
        <v>2129</v>
      </c>
      <c r="BH188" s="5788" t="s">
        <v>2129</v>
      </c>
      <c r="BJ188" s="5788" t="s">
        <v>2129</v>
      </c>
      <c r="BK188" s="5788" t="s">
        <v>2129</v>
      </c>
      <c r="BL188" s="5788" t="s">
        <v>2129</v>
      </c>
      <c r="BM188" s="5788" t="s">
        <v>2129</v>
      </c>
      <c r="BN188" s="5788" t="s">
        <v>2129</v>
      </c>
      <c r="BO188" s="5788" t="s">
        <v>2129</v>
      </c>
      <c r="BP188" s="5788" t="s">
        <v>2129</v>
      </c>
      <c r="BQ188" s="5788" t="s">
        <v>2129</v>
      </c>
      <c r="BR188" s="5788" t="s">
        <v>2129</v>
      </c>
      <c r="BS188" s="5788" t="s">
        <v>2129</v>
      </c>
      <c r="BT188" s="5788" t="s">
        <v>2129</v>
      </c>
      <c r="BU188" s="5788" t="s">
        <v>2129</v>
      </c>
      <c r="BV188" s="5788" t="s">
        <v>2129</v>
      </c>
      <c r="BW188" s="5788" t="s">
        <v>2129</v>
      </c>
      <c r="BX188" s="5788" t="s">
        <v>2129</v>
      </c>
      <c r="BY188" s="5788" t="s">
        <v>2129</v>
      </c>
      <c r="BZ188" s="5788" t="s">
        <v>2129</v>
      </c>
      <c r="CA188" s="5788" t="s">
        <v>2129</v>
      </c>
      <c r="CB188" s="5788"/>
      <c r="CC188" s="5788" t="s">
        <v>2129</v>
      </c>
      <c r="CD188" s="5788" t="s">
        <v>2129</v>
      </c>
      <c r="CE188" s="5788" t="s">
        <v>2129</v>
      </c>
      <c r="CF188" s="5788" t="s">
        <v>2129</v>
      </c>
      <c r="CG188" s="5788"/>
      <c r="CH188" s="5784"/>
    </row>
    <row r="189" spans="1:86" ht="13" hidden="1">
      <c r="A189">
        <v>1036</v>
      </c>
      <c r="B189" s="5791" t="s">
        <v>3400</v>
      </c>
      <c r="C189" s="5799" t="s">
        <v>2129</v>
      </c>
      <c r="D189" s="5799" t="s">
        <v>6599</v>
      </c>
      <c r="E189" s="5799" t="s">
        <v>2129</v>
      </c>
      <c r="F189" s="5785" t="s">
        <v>2129</v>
      </c>
      <c r="G189" s="5785" t="s">
        <v>2129</v>
      </c>
      <c r="H189" s="5785">
        <v>0</v>
      </c>
      <c r="I189" s="5785">
        <v>0</v>
      </c>
      <c r="J189" s="5785" t="b">
        <v>1</v>
      </c>
      <c r="K189" s="5785" t="s">
        <v>2129</v>
      </c>
      <c r="L189" s="5786">
        <v>0</v>
      </c>
      <c r="M189" s="5786">
        <v>0</v>
      </c>
      <c r="N189" s="5786">
        <v>0</v>
      </c>
      <c r="O189" s="5786">
        <v>0</v>
      </c>
      <c r="P189" s="5786">
        <v>0</v>
      </c>
      <c r="Q189" s="2476">
        <v>0</v>
      </c>
      <c r="R189" s="2477">
        <v>0</v>
      </c>
      <c r="S189" s="2477" t="b">
        <v>1</v>
      </c>
      <c r="T189" s="5786" t="s">
        <v>2129</v>
      </c>
      <c r="U189" s="5786">
        <v>0</v>
      </c>
      <c r="V189" s="863">
        <v>2776042</v>
      </c>
      <c r="W189" s="863">
        <v>2776042</v>
      </c>
      <c r="X189" s="863" t="b">
        <v>1</v>
      </c>
      <c r="Y189" s="863">
        <v>16824.496969696971</v>
      </c>
      <c r="AB189" s="863" t="s">
        <v>2129</v>
      </c>
      <c r="AC189" s="863">
        <v>1100</v>
      </c>
      <c r="AE189" t="s">
        <v>3308</v>
      </c>
      <c r="AF189" s="3965">
        <v>165</v>
      </c>
      <c r="AG189" s="3965" t="b">
        <v>1</v>
      </c>
      <c r="AH189" t="s">
        <v>3308</v>
      </c>
      <c r="AI189" t="s">
        <v>2129</v>
      </c>
      <c r="AJ189" t="s">
        <v>2129</v>
      </c>
      <c r="AK189" t="s">
        <v>2129</v>
      </c>
      <c r="AL189" t="s">
        <v>2129</v>
      </c>
      <c r="AM189" t="s">
        <v>2129</v>
      </c>
      <c r="AN189" t="s">
        <v>2129</v>
      </c>
      <c r="AQ189" t="s">
        <v>2129</v>
      </c>
      <c r="AV189" s="191" t="s">
        <v>2129</v>
      </c>
      <c r="AW189">
        <v>24</v>
      </c>
      <c r="AX189" t="s">
        <v>2129</v>
      </c>
      <c r="AY189" t="s">
        <v>2129</v>
      </c>
      <c r="AZ189" t="s">
        <v>2129</v>
      </c>
      <c r="BA189" t="s">
        <v>2129</v>
      </c>
      <c r="BB189" t="s">
        <v>2129</v>
      </c>
      <c r="BC189" t="s">
        <v>2129</v>
      </c>
      <c r="BD189" t="s">
        <v>2129</v>
      </c>
      <c r="BE189" t="s">
        <v>2129</v>
      </c>
      <c r="BF189" t="s">
        <v>2129</v>
      </c>
      <c r="BG189" t="s">
        <v>2129</v>
      </c>
      <c r="BH189" s="1958" t="s">
        <v>2129</v>
      </c>
      <c r="BI189" s="1958">
        <v>66625008</v>
      </c>
      <c r="BJ189" s="1958" t="s">
        <v>2129</v>
      </c>
      <c r="BK189" s="1958" t="s">
        <v>2129</v>
      </c>
      <c r="BL189" s="1958" t="s">
        <v>2129</v>
      </c>
      <c r="BM189" s="1958" t="s">
        <v>2129</v>
      </c>
      <c r="BN189" s="1958" t="s">
        <v>2129</v>
      </c>
      <c r="BO189" s="1958" t="s">
        <v>2129</v>
      </c>
      <c r="BP189" s="1958" t="s">
        <v>2129</v>
      </c>
      <c r="BQ189" s="863" t="s">
        <v>2129</v>
      </c>
      <c r="BR189" s="863" t="s">
        <v>2129</v>
      </c>
      <c r="BS189" s="1958" t="s">
        <v>2129</v>
      </c>
      <c r="BT189" s="1958" t="s">
        <v>2129</v>
      </c>
      <c r="BU189" s="1958" t="s">
        <v>2129</v>
      </c>
      <c r="BV189" s="1958" t="s">
        <v>2129</v>
      </c>
      <c r="BW189" s="1958" t="s">
        <v>2129</v>
      </c>
      <c r="BX189" s="1958" t="s">
        <v>2129</v>
      </c>
      <c r="BY189" s="1958" t="s">
        <v>2129</v>
      </c>
      <c r="BZ189" s="1958" t="s">
        <v>2129</v>
      </c>
      <c r="CA189" s="1958" t="s">
        <v>2129</v>
      </c>
      <c r="CC189" s="1958" t="s">
        <v>2129</v>
      </c>
      <c r="CD189" s="1958" t="s">
        <v>2129</v>
      </c>
      <c r="CE189" s="1958" t="s">
        <v>2129</v>
      </c>
      <c r="CF189" s="1958" t="s">
        <v>2129</v>
      </c>
      <c r="CH189" s="5785"/>
    </row>
    <row r="190" spans="1:86" ht="13" hidden="1">
      <c r="A190">
        <v>1039</v>
      </c>
      <c r="B190" s="5808" t="s">
        <v>3402</v>
      </c>
      <c r="C190" s="5799" t="s">
        <v>2129</v>
      </c>
      <c r="D190" s="5799" t="s">
        <v>2129</v>
      </c>
      <c r="E190" s="5799" t="s">
        <v>2129</v>
      </c>
      <c r="F190" s="5785"/>
      <c r="G190" s="5785"/>
      <c r="H190" s="5785"/>
      <c r="I190" s="5785">
        <v>0</v>
      </c>
      <c r="J190" s="5785" t="b">
        <v>1</v>
      </c>
      <c r="K190" s="5785"/>
      <c r="L190" s="5786">
        <v>0</v>
      </c>
      <c r="M190" s="5786"/>
      <c r="N190" s="5786"/>
      <c r="O190" s="5786"/>
      <c r="P190" s="5786"/>
      <c r="R190" s="2477">
        <v>0</v>
      </c>
      <c r="S190" s="2477" t="b">
        <v>1</v>
      </c>
      <c r="T190" s="5786" t="s">
        <v>2129</v>
      </c>
      <c r="U190" s="5786">
        <v>635773</v>
      </c>
      <c r="V190" s="863">
        <v>6028074</v>
      </c>
      <c r="W190" s="863">
        <v>5392301</v>
      </c>
      <c r="X190" s="863" t="b">
        <v>1</v>
      </c>
      <c r="Y190" s="863">
        <v>41800.782945736435</v>
      </c>
      <c r="AB190" s="863" t="s">
        <v>2129</v>
      </c>
      <c r="AE190">
        <v>143</v>
      </c>
      <c r="AF190" s="3965">
        <v>129</v>
      </c>
      <c r="AG190" s="3965" t="b">
        <v>1</v>
      </c>
      <c r="AH190" s="2814">
        <v>250</v>
      </c>
      <c r="AI190" t="s">
        <v>2129</v>
      </c>
      <c r="AJ190" t="s">
        <v>2129</v>
      </c>
      <c r="AK190" t="s">
        <v>2129</v>
      </c>
      <c r="AL190" s="191"/>
      <c r="AM190" s="191"/>
      <c r="AV190" t="s">
        <v>2129</v>
      </c>
      <c r="AW190" t="s">
        <v>2129</v>
      </c>
      <c r="AX190" t="s">
        <v>2129</v>
      </c>
      <c r="AY190" t="s">
        <v>2129</v>
      </c>
      <c r="AZ190" t="s">
        <v>2129</v>
      </c>
      <c r="BA190" t="s">
        <v>2129</v>
      </c>
      <c r="BB190" t="s">
        <v>2129</v>
      </c>
      <c r="BC190" t="s">
        <v>2129</v>
      </c>
      <c r="BD190" t="s">
        <v>2129</v>
      </c>
      <c r="BE190" t="s">
        <v>2129</v>
      </c>
      <c r="BF190" t="s">
        <v>2129</v>
      </c>
      <c r="BG190" t="s">
        <v>2129</v>
      </c>
      <c r="BH190" s="1958" t="s">
        <v>2129</v>
      </c>
      <c r="BI190" s="1958" t="s">
        <v>2129</v>
      </c>
      <c r="BJ190" s="1958" t="s">
        <v>2129</v>
      </c>
      <c r="BK190" s="1958" t="s">
        <v>2129</v>
      </c>
      <c r="BL190" s="1958" t="s">
        <v>2129</v>
      </c>
      <c r="BM190" s="1958" t="s">
        <v>2129</v>
      </c>
      <c r="BN190" s="1958" t="s">
        <v>2129</v>
      </c>
      <c r="BO190" s="1958" t="s">
        <v>2129</v>
      </c>
      <c r="BP190" s="1958" t="s">
        <v>2129</v>
      </c>
      <c r="BQ190" s="863" t="s">
        <v>2129</v>
      </c>
      <c r="BR190" s="863" t="s">
        <v>2129</v>
      </c>
      <c r="BS190" s="1958" t="s">
        <v>2129</v>
      </c>
      <c r="BT190" s="1958" t="s">
        <v>2129</v>
      </c>
      <c r="BU190" s="1958" t="s">
        <v>2129</v>
      </c>
      <c r="BV190" s="1958" t="s">
        <v>2129</v>
      </c>
      <c r="BW190" s="1958" t="s">
        <v>2129</v>
      </c>
      <c r="BX190" s="1958" t="s">
        <v>2129</v>
      </c>
      <c r="BY190" s="1958" t="s">
        <v>2129</v>
      </c>
      <c r="BZ190" s="1958" t="s">
        <v>2129</v>
      </c>
      <c r="CA190" s="1958" t="s">
        <v>2129</v>
      </c>
      <c r="CC190" s="1958" t="s">
        <v>2129</v>
      </c>
      <c r="CD190" s="1958" t="s">
        <v>2129</v>
      </c>
      <c r="CE190" s="1958" t="s">
        <v>2129</v>
      </c>
      <c r="CF190" s="1958" t="s">
        <v>2129</v>
      </c>
      <c r="CH190" s="5785"/>
    </row>
    <row r="191" spans="1:86" s="5782" customFormat="1" ht="13" hidden="1">
      <c r="A191" s="5782">
        <v>2001</v>
      </c>
      <c r="B191" s="5783" t="s">
        <v>3403</v>
      </c>
      <c r="C191" s="5784" t="s">
        <v>2129</v>
      </c>
      <c r="D191" s="5784" t="s">
        <v>2129</v>
      </c>
      <c r="E191" s="5784" t="s">
        <v>2129</v>
      </c>
      <c r="F191" s="5784" t="s">
        <v>2129</v>
      </c>
      <c r="G191" s="5784" t="s">
        <v>2129</v>
      </c>
      <c r="H191" s="5784">
        <v>1</v>
      </c>
      <c r="I191" s="5784">
        <v>1</v>
      </c>
      <c r="J191" s="5785" t="b">
        <v>1</v>
      </c>
      <c r="K191" s="5785" t="s">
        <v>2129</v>
      </c>
      <c r="L191" s="5786">
        <v>17648</v>
      </c>
      <c r="M191" s="5786">
        <v>0</v>
      </c>
      <c r="N191" s="5786">
        <v>0</v>
      </c>
      <c r="O191" s="5786">
        <v>0</v>
      </c>
      <c r="P191" s="5786">
        <v>0</v>
      </c>
      <c r="Q191" s="2476">
        <v>19412.800000000003</v>
      </c>
      <c r="R191" s="5787">
        <v>19412</v>
      </c>
      <c r="S191" s="2477" t="b">
        <v>1</v>
      </c>
      <c r="T191" s="5787">
        <v>19412</v>
      </c>
      <c r="U191" s="5787">
        <v>0</v>
      </c>
      <c r="V191" s="5788">
        <v>1914038</v>
      </c>
      <c r="W191" s="5788">
        <v>1914038</v>
      </c>
      <c r="X191" s="5788" t="b">
        <v>1</v>
      </c>
      <c r="Y191" s="5788">
        <v>22518.094117647059</v>
      </c>
      <c r="Z191" s="5788"/>
      <c r="AA191" s="5788"/>
      <c r="AB191" s="5788" t="s">
        <v>2129</v>
      </c>
      <c r="AC191" s="5788"/>
      <c r="AD191" s="5788"/>
      <c r="AE191" s="5782">
        <v>146</v>
      </c>
      <c r="AF191" s="5789">
        <v>85</v>
      </c>
      <c r="AG191" s="5789" t="b">
        <v>1</v>
      </c>
      <c r="AH191" s="5782">
        <v>150</v>
      </c>
      <c r="AI191" s="5782" t="s">
        <v>2129</v>
      </c>
      <c r="AJ191" s="5782" t="s">
        <v>2129</v>
      </c>
      <c r="AK191" s="5782" t="s">
        <v>2129</v>
      </c>
      <c r="AL191" s="5782" t="s">
        <v>2129</v>
      </c>
      <c r="AM191" s="5782" t="s">
        <v>2129</v>
      </c>
      <c r="AN191" s="5782" t="s">
        <v>2129</v>
      </c>
      <c r="AQ191" s="5782" t="s">
        <v>2129</v>
      </c>
      <c r="AV191" s="5782" t="s">
        <v>2129</v>
      </c>
      <c r="AW191" s="5782" t="s">
        <v>2129</v>
      </c>
      <c r="AX191" s="5782" t="s">
        <v>2129</v>
      </c>
      <c r="AY191" s="5782" t="s">
        <v>2129</v>
      </c>
      <c r="AZ191" s="5782" t="s">
        <v>2129</v>
      </c>
      <c r="BA191" s="5782" t="s">
        <v>2129</v>
      </c>
      <c r="BB191" s="5782" t="s">
        <v>2129</v>
      </c>
      <c r="BC191" s="5782" t="s">
        <v>2129</v>
      </c>
      <c r="BD191" s="5782" t="s">
        <v>2129</v>
      </c>
      <c r="BE191" s="5782" t="s">
        <v>2129</v>
      </c>
      <c r="BF191" s="5782" t="s">
        <v>2129</v>
      </c>
      <c r="BG191" s="5782" t="s">
        <v>2129</v>
      </c>
      <c r="BH191" s="5788" t="s">
        <v>2129</v>
      </c>
      <c r="BJ191" s="5788" t="s">
        <v>2129</v>
      </c>
      <c r="BK191" s="5788" t="s">
        <v>2129</v>
      </c>
      <c r="BL191" s="5788" t="s">
        <v>2129</v>
      </c>
      <c r="BM191" s="5788" t="s">
        <v>2129</v>
      </c>
      <c r="BN191" s="5788" t="s">
        <v>2129</v>
      </c>
      <c r="BO191" s="5788" t="s">
        <v>2129</v>
      </c>
      <c r="BP191" s="5788" t="s">
        <v>2129</v>
      </c>
      <c r="BQ191" s="5788" t="s">
        <v>2129</v>
      </c>
      <c r="BR191" s="5788" t="s">
        <v>2129</v>
      </c>
      <c r="BS191" s="5788" t="s">
        <v>2129</v>
      </c>
      <c r="BT191" s="5788" t="s">
        <v>2129</v>
      </c>
      <c r="BU191" s="5788" t="s">
        <v>2129</v>
      </c>
      <c r="BV191" s="5788" t="s">
        <v>2129</v>
      </c>
      <c r="BW191" s="5788" t="s">
        <v>2129</v>
      </c>
      <c r="BX191" s="5788" t="s">
        <v>2129</v>
      </c>
      <c r="BY191" s="5788" t="s">
        <v>2129</v>
      </c>
      <c r="BZ191" s="5788" t="s">
        <v>2129</v>
      </c>
      <c r="CA191" s="5788" t="s">
        <v>2129</v>
      </c>
      <c r="CB191" s="5788"/>
      <c r="CC191" s="5788" t="s">
        <v>2129</v>
      </c>
      <c r="CD191" s="5788" t="s">
        <v>2129</v>
      </c>
      <c r="CE191" s="5788" t="s">
        <v>2129</v>
      </c>
      <c r="CF191" s="5788" t="s">
        <v>2129</v>
      </c>
      <c r="CG191" s="5788"/>
      <c r="CH191" s="5784"/>
    </row>
    <row r="192" spans="1:86" s="5782" customFormat="1" ht="13" hidden="1">
      <c r="A192" s="5782">
        <v>2007</v>
      </c>
      <c r="B192" s="5783" t="s">
        <v>3404</v>
      </c>
      <c r="C192" s="5784" t="s">
        <v>2129</v>
      </c>
      <c r="D192" s="5784" t="s">
        <v>2129</v>
      </c>
      <c r="E192" s="5784" t="s">
        <v>2129</v>
      </c>
      <c r="F192" s="5784" t="s">
        <v>2129</v>
      </c>
      <c r="G192" s="5784" t="s">
        <v>2129</v>
      </c>
      <c r="H192" s="5784">
        <v>24</v>
      </c>
      <c r="I192" s="5784">
        <v>3</v>
      </c>
      <c r="J192" s="5785" t="b">
        <v>1</v>
      </c>
      <c r="K192" s="5785" t="s">
        <v>2129</v>
      </c>
      <c r="L192" s="5786">
        <v>3144706</v>
      </c>
      <c r="M192" s="5786">
        <v>35295</v>
      </c>
      <c r="N192" s="5786">
        <v>0</v>
      </c>
      <c r="O192" s="5786">
        <v>0</v>
      </c>
      <c r="P192" s="5786">
        <v>18000</v>
      </c>
      <c r="Q192" s="2476">
        <v>3516001.1</v>
      </c>
      <c r="R192" s="5787">
        <v>3516001</v>
      </c>
      <c r="S192" s="2477" t="b">
        <v>1</v>
      </c>
      <c r="T192" s="5787">
        <v>1172000.3333333333</v>
      </c>
      <c r="U192" s="5787">
        <v>0</v>
      </c>
      <c r="V192" s="5788">
        <v>5531086</v>
      </c>
      <c r="W192" s="5788">
        <v>5531086</v>
      </c>
      <c r="X192" s="5788" t="b">
        <v>1</v>
      </c>
      <c r="Y192" s="5788">
        <v>52677.009523809524</v>
      </c>
      <c r="Z192" s="5788"/>
      <c r="AA192" s="5788"/>
      <c r="AB192" s="5788" t="s">
        <v>2129</v>
      </c>
      <c r="AC192" s="5788"/>
      <c r="AD192" s="5788"/>
      <c r="AE192" s="5782">
        <v>578</v>
      </c>
      <c r="AF192" s="5789">
        <v>105</v>
      </c>
      <c r="AG192" s="5789" t="b">
        <v>1</v>
      </c>
      <c r="AH192" s="5782">
        <v>933</v>
      </c>
      <c r="AI192" s="5782" t="s">
        <v>2129</v>
      </c>
      <c r="AJ192" s="5782" t="s">
        <v>2129</v>
      </c>
      <c r="AK192" s="5782" t="s">
        <v>2129</v>
      </c>
      <c r="AL192" s="5782" t="s">
        <v>2129</v>
      </c>
      <c r="AM192" s="5782" t="s">
        <v>2129</v>
      </c>
      <c r="AN192" s="5782" t="s">
        <v>2129</v>
      </c>
      <c r="AQ192" s="5782" t="s">
        <v>2129</v>
      </c>
      <c r="AV192" s="5782" t="s">
        <v>2129</v>
      </c>
      <c r="AW192" s="5782" t="s">
        <v>2129</v>
      </c>
      <c r="AX192" s="5782" t="s">
        <v>2129</v>
      </c>
      <c r="AY192" s="5782" t="s">
        <v>2129</v>
      </c>
      <c r="AZ192" s="5782" t="s">
        <v>2129</v>
      </c>
      <c r="BA192" s="5782" t="s">
        <v>2129</v>
      </c>
      <c r="BB192" s="5782" t="s">
        <v>2129</v>
      </c>
      <c r="BC192" s="5782" t="s">
        <v>2129</v>
      </c>
      <c r="BD192" s="5782" t="s">
        <v>2129</v>
      </c>
      <c r="BE192" s="5782" t="s">
        <v>2129</v>
      </c>
      <c r="BF192" s="5782" t="s">
        <v>2129</v>
      </c>
      <c r="BG192" s="5782" t="s">
        <v>2129</v>
      </c>
      <c r="BH192" s="5788" t="s">
        <v>2129</v>
      </c>
      <c r="BJ192" s="5788" t="s">
        <v>2129</v>
      </c>
      <c r="BK192" s="5788" t="s">
        <v>2129</v>
      </c>
      <c r="BL192" s="5788" t="s">
        <v>2129</v>
      </c>
      <c r="BM192" s="5788" t="s">
        <v>2129</v>
      </c>
      <c r="BN192" s="5788" t="s">
        <v>2129</v>
      </c>
      <c r="BO192" s="5788" t="s">
        <v>2129</v>
      </c>
      <c r="BP192" s="5788" t="s">
        <v>2129</v>
      </c>
      <c r="BQ192" s="5788" t="s">
        <v>2129</v>
      </c>
      <c r="BR192" s="5788" t="s">
        <v>2129</v>
      </c>
      <c r="BS192" s="5788" t="s">
        <v>2129</v>
      </c>
      <c r="BT192" s="5788" t="s">
        <v>2129</v>
      </c>
      <c r="BU192" s="5788" t="s">
        <v>2129</v>
      </c>
      <c r="BV192" s="5788" t="s">
        <v>2129</v>
      </c>
      <c r="BW192" s="5788" t="s">
        <v>2129</v>
      </c>
      <c r="BX192" s="5788" t="s">
        <v>2129</v>
      </c>
      <c r="BY192" s="5788" t="s">
        <v>2129</v>
      </c>
      <c r="BZ192" s="5788" t="s">
        <v>2129</v>
      </c>
      <c r="CA192" s="5788" t="s">
        <v>2129</v>
      </c>
      <c r="CB192" s="5788"/>
      <c r="CC192" s="5788" t="s">
        <v>2129</v>
      </c>
      <c r="CD192" s="5788" t="s">
        <v>2129</v>
      </c>
      <c r="CE192" s="5788" t="s">
        <v>2129</v>
      </c>
      <c r="CF192" s="5788" t="s">
        <v>2129</v>
      </c>
      <c r="CG192" s="5788"/>
      <c r="CH192" s="5784"/>
    </row>
    <row r="193" spans="1:86" ht="13">
      <c r="A193">
        <v>2008</v>
      </c>
      <c r="B193" s="196" t="s">
        <v>2884</v>
      </c>
      <c r="C193" s="5790" t="s">
        <v>6598</v>
      </c>
      <c r="D193" s="5790" t="s">
        <v>6599</v>
      </c>
      <c r="E193" s="5790" t="s">
        <v>2129</v>
      </c>
      <c r="F193" s="5785" t="s">
        <v>2129</v>
      </c>
      <c r="G193" s="5785" t="s">
        <v>2129</v>
      </c>
      <c r="H193" s="5785">
        <v>9</v>
      </c>
      <c r="I193" s="5785">
        <v>3</v>
      </c>
      <c r="J193" s="5785" t="b">
        <v>1</v>
      </c>
      <c r="K193" s="5785" t="s">
        <v>2129</v>
      </c>
      <c r="L193" s="5786">
        <v>12376476</v>
      </c>
      <c r="M193" s="5786">
        <v>58825</v>
      </c>
      <c r="N193" s="5786">
        <v>0</v>
      </c>
      <c r="O193" s="5786">
        <v>0</v>
      </c>
      <c r="P193" s="5786">
        <v>18000</v>
      </c>
      <c r="Q193" s="2476">
        <v>13696831.100000001</v>
      </c>
      <c r="R193" s="2477">
        <v>3473296</v>
      </c>
      <c r="S193" s="5800" t="b">
        <v>1</v>
      </c>
      <c r="T193" s="5786">
        <v>1157765.3333333333</v>
      </c>
      <c r="U193" s="5786">
        <v>2174128</v>
      </c>
      <c r="V193" s="863">
        <v>6677704</v>
      </c>
      <c r="W193" s="863">
        <v>4503576</v>
      </c>
      <c r="X193" s="863" t="b">
        <v>1</v>
      </c>
      <c r="Y193" s="863">
        <v>56294.7</v>
      </c>
      <c r="Z193" s="863">
        <v>49412</v>
      </c>
      <c r="AA193" s="863">
        <v>52942</v>
      </c>
      <c r="AB193" s="863">
        <v>33759.940029985017</v>
      </c>
      <c r="AC193" s="863">
        <v>2500</v>
      </c>
      <c r="AE193">
        <v>241</v>
      </c>
      <c r="AF193" s="3965">
        <v>80</v>
      </c>
      <c r="AG193" s="3965" t="b">
        <v>1</v>
      </c>
      <c r="AH193" s="2814">
        <v>456</v>
      </c>
      <c r="AI193">
        <v>116</v>
      </c>
      <c r="AJ193" t="s">
        <v>2129</v>
      </c>
      <c r="AK193" t="s">
        <v>2129</v>
      </c>
      <c r="AL193" t="s">
        <v>2129</v>
      </c>
      <c r="AM193" t="s">
        <v>2129</v>
      </c>
      <c r="AN193">
        <v>36</v>
      </c>
      <c r="AQ193" t="s">
        <v>2129</v>
      </c>
      <c r="AV193">
        <v>22</v>
      </c>
      <c r="AW193">
        <v>26</v>
      </c>
      <c r="AX193" t="s">
        <v>2129</v>
      </c>
      <c r="AY193" t="s">
        <v>2129</v>
      </c>
      <c r="AZ193" t="s">
        <v>2129</v>
      </c>
      <c r="BA193" t="s">
        <v>2129</v>
      </c>
      <c r="BB193" t="s">
        <v>2129</v>
      </c>
      <c r="BC193" t="s">
        <v>2129</v>
      </c>
      <c r="BD193" t="s">
        <v>2129</v>
      </c>
      <c r="BE193" t="s">
        <v>2129</v>
      </c>
      <c r="BF193" t="s">
        <v>2129</v>
      </c>
      <c r="BG193" t="s">
        <v>2129</v>
      </c>
      <c r="BH193" s="1958">
        <v>99078672</v>
      </c>
      <c r="BI193" s="1958">
        <v>117092976</v>
      </c>
      <c r="BJ193" s="1958" t="s">
        <v>2129</v>
      </c>
      <c r="BK193" s="1958" t="s">
        <v>2129</v>
      </c>
      <c r="BL193" s="1958" t="s">
        <v>2129</v>
      </c>
      <c r="BM193" s="1958" t="s">
        <v>2129</v>
      </c>
      <c r="BN193" s="1958" t="s">
        <v>2129</v>
      </c>
      <c r="BO193" s="1958" t="s">
        <v>2129</v>
      </c>
      <c r="BP193" s="1958" t="s">
        <v>2129</v>
      </c>
      <c r="BQ193" s="863" t="s">
        <v>2129</v>
      </c>
      <c r="BR193" s="863" t="s">
        <v>2129</v>
      </c>
      <c r="BS193" s="1958" t="s">
        <v>2129</v>
      </c>
      <c r="BT193" s="1958" t="s">
        <v>2129</v>
      </c>
      <c r="BU193" s="1958" t="s">
        <v>2129</v>
      </c>
      <c r="BV193" s="1958" t="s">
        <v>2129</v>
      </c>
      <c r="BW193" s="1958" t="s">
        <v>2129</v>
      </c>
      <c r="BX193" s="1958">
        <v>76412512</v>
      </c>
      <c r="BY193" s="1958">
        <v>90305696</v>
      </c>
      <c r="BZ193" s="1958" t="s">
        <v>2129</v>
      </c>
      <c r="CA193" s="1958" t="s">
        <v>2129</v>
      </c>
      <c r="CC193" s="1958" t="s">
        <v>2129</v>
      </c>
      <c r="CD193" s="1958" t="s">
        <v>2129</v>
      </c>
      <c r="CE193" s="1958" t="s">
        <v>2129</v>
      </c>
      <c r="CF193" s="1958" t="s">
        <v>2129</v>
      </c>
      <c r="CH193" s="5785"/>
    </row>
    <row r="194" spans="1:86" s="5782" customFormat="1" ht="13" hidden="1">
      <c r="A194" s="5782">
        <v>2009</v>
      </c>
      <c r="B194" s="5783" t="s">
        <v>3405</v>
      </c>
      <c r="C194" s="5784" t="s">
        <v>2129</v>
      </c>
      <c r="D194" s="5784" t="s">
        <v>2129</v>
      </c>
      <c r="E194" s="5784" t="s">
        <v>2129</v>
      </c>
      <c r="F194" s="5784" t="s">
        <v>2129</v>
      </c>
      <c r="G194" s="5784" t="s">
        <v>2129</v>
      </c>
      <c r="H194" s="5784">
        <v>24</v>
      </c>
      <c r="I194" s="5784">
        <v>2</v>
      </c>
      <c r="J194" s="5785" t="b">
        <v>0</v>
      </c>
      <c r="K194" s="5785" t="s">
        <v>2129</v>
      </c>
      <c r="L194" s="5786">
        <v>4965178</v>
      </c>
      <c r="M194" s="5786">
        <v>23530</v>
      </c>
      <c r="N194" s="5786">
        <v>0</v>
      </c>
      <c r="O194" s="5786">
        <v>0</v>
      </c>
      <c r="P194" s="5786">
        <v>9000</v>
      </c>
      <c r="Q194" s="2476">
        <v>5496578.8000000007</v>
      </c>
      <c r="R194" s="5787">
        <v>5496578</v>
      </c>
      <c r="S194" s="2477" t="b">
        <v>0</v>
      </c>
      <c r="T194" s="5787">
        <v>2748289</v>
      </c>
      <c r="U194" s="5787">
        <v>0</v>
      </c>
      <c r="V194" s="863">
        <v>3688245</v>
      </c>
      <c r="W194" s="5788">
        <v>3688245</v>
      </c>
      <c r="X194" s="863" t="b">
        <v>1</v>
      </c>
      <c r="Y194" s="5788">
        <v>61470.75</v>
      </c>
      <c r="Z194" s="5788"/>
      <c r="AA194" s="5788"/>
      <c r="AB194" s="5788" t="s">
        <v>2129</v>
      </c>
      <c r="AC194" s="863"/>
      <c r="AD194" s="863"/>
      <c r="AE194" s="5782">
        <v>378</v>
      </c>
      <c r="AF194" s="5789">
        <v>60</v>
      </c>
      <c r="AG194" s="3965" t="b">
        <v>1</v>
      </c>
      <c r="AH194" s="5782">
        <v>620</v>
      </c>
      <c r="AI194" s="5782" t="s">
        <v>2129</v>
      </c>
      <c r="AJ194" s="5782" t="s">
        <v>2129</v>
      </c>
      <c r="AK194" s="5782" t="s">
        <v>2129</v>
      </c>
      <c r="AL194" t="s">
        <v>2129</v>
      </c>
      <c r="AM194" t="s">
        <v>2129</v>
      </c>
      <c r="AN194" t="s">
        <v>2129</v>
      </c>
      <c r="AO194" t="s">
        <v>2129</v>
      </c>
      <c r="AP194" t="s">
        <v>2129</v>
      </c>
      <c r="AQ194" t="s">
        <v>2129</v>
      </c>
      <c r="AR194" t="s">
        <v>2129</v>
      </c>
      <c r="AS194"/>
      <c r="AT194"/>
      <c r="AU194"/>
      <c r="AV194" s="5782" t="s">
        <v>2129</v>
      </c>
      <c r="AW194" t="s">
        <v>2129</v>
      </c>
      <c r="AX194" s="5782" t="s">
        <v>2129</v>
      </c>
      <c r="AY194" s="5782" t="s">
        <v>2129</v>
      </c>
      <c r="AZ194" s="5782" t="s">
        <v>2129</v>
      </c>
      <c r="BA194" s="5782" t="s">
        <v>2129</v>
      </c>
      <c r="BB194" s="5782" t="s">
        <v>2129</v>
      </c>
      <c r="BC194" t="s">
        <v>2129</v>
      </c>
      <c r="BD194" t="s">
        <v>2129</v>
      </c>
      <c r="BE194" t="s">
        <v>2129</v>
      </c>
      <c r="BF194" t="s">
        <v>2129</v>
      </c>
      <c r="BG194" t="s">
        <v>2129</v>
      </c>
      <c r="BH194" s="5788" t="s">
        <v>2129</v>
      </c>
      <c r="BI194"/>
      <c r="BJ194" s="5788" t="s">
        <v>2129</v>
      </c>
      <c r="BK194" s="5788" t="s">
        <v>2129</v>
      </c>
      <c r="BL194" s="5788" t="s">
        <v>2129</v>
      </c>
      <c r="BM194" s="5788" t="s">
        <v>2129</v>
      </c>
      <c r="BN194" s="5788" t="s">
        <v>2129</v>
      </c>
      <c r="BO194" s="5788" t="s">
        <v>2129</v>
      </c>
      <c r="BP194" s="863" t="s">
        <v>2129</v>
      </c>
      <c r="BQ194" s="863" t="s">
        <v>2129</v>
      </c>
      <c r="BR194" s="863" t="s">
        <v>2129</v>
      </c>
      <c r="BS194" s="863" t="s">
        <v>2129</v>
      </c>
      <c r="BT194" s="863" t="s">
        <v>2129</v>
      </c>
      <c r="BU194" s="863" t="s">
        <v>2129</v>
      </c>
      <c r="BV194" s="863" t="s">
        <v>2129</v>
      </c>
      <c r="BW194" s="863" t="s">
        <v>2129</v>
      </c>
      <c r="BX194" s="5788" t="s">
        <v>2129</v>
      </c>
      <c r="BY194" s="863" t="s">
        <v>2129</v>
      </c>
      <c r="BZ194" s="5788" t="s">
        <v>2129</v>
      </c>
      <c r="CA194" s="5788" t="s">
        <v>2129</v>
      </c>
      <c r="CB194" s="863"/>
      <c r="CC194" s="863" t="s">
        <v>2129</v>
      </c>
      <c r="CD194" s="863" t="s">
        <v>2129</v>
      </c>
      <c r="CE194" s="863" t="s">
        <v>2129</v>
      </c>
      <c r="CF194" s="863" t="s">
        <v>2129</v>
      </c>
      <c r="CG194" s="863"/>
      <c r="CH194" s="5784"/>
    </row>
    <row r="195" spans="1:86" s="5782" customFormat="1" ht="13" hidden="1">
      <c r="A195" s="5782">
        <v>2010</v>
      </c>
      <c r="B195" s="5783" t="s">
        <v>3406</v>
      </c>
      <c r="C195" s="5784" t="s">
        <v>2129</v>
      </c>
      <c r="D195" s="5784" t="s">
        <v>2129</v>
      </c>
      <c r="E195" s="5784" t="s">
        <v>2129</v>
      </c>
      <c r="F195" s="5784" t="s">
        <v>2129</v>
      </c>
      <c r="G195" s="5784" t="s">
        <v>2129</v>
      </c>
      <c r="H195" s="5784">
        <v>6</v>
      </c>
      <c r="I195" s="5784">
        <v>1</v>
      </c>
      <c r="J195" s="5785" t="b">
        <v>0</v>
      </c>
      <c r="K195" s="5785" t="s">
        <v>2129</v>
      </c>
      <c r="L195" s="5786">
        <v>452942</v>
      </c>
      <c r="M195" s="5786">
        <v>0</v>
      </c>
      <c r="N195" s="5786">
        <v>0</v>
      </c>
      <c r="O195" s="5786">
        <v>0</v>
      </c>
      <c r="P195" s="5786">
        <v>0</v>
      </c>
      <c r="Q195" s="2476">
        <v>498236.2</v>
      </c>
      <c r="R195" s="5787">
        <v>498236</v>
      </c>
      <c r="S195" s="2477" t="b">
        <v>0</v>
      </c>
      <c r="T195" s="5787">
        <v>498236</v>
      </c>
      <c r="U195" s="5787">
        <v>0</v>
      </c>
      <c r="V195" s="5788">
        <v>1054981</v>
      </c>
      <c r="W195" s="5788">
        <v>1054981</v>
      </c>
      <c r="X195" s="5788" t="b">
        <v>1</v>
      </c>
      <c r="Y195" s="5788">
        <v>27762.657894736843</v>
      </c>
      <c r="Z195" s="5788"/>
      <c r="AA195" s="5788"/>
      <c r="AB195" s="5788" t="s">
        <v>2129</v>
      </c>
      <c r="AC195" s="5788"/>
      <c r="AD195" s="5788"/>
      <c r="AE195" s="5782">
        <v>184</v>
      </c>
      <c r="AF195" s="5789">
        <v>38</v>
      </c>
      <c r="AG195" s="5789" t="b">
        <v>1</v>
      </c>
      <c r="AH195" s="5782">
        <v>287</v>
      </c>
      <c r="AI195" s="5782" t="s">
        <v>2129</v>
      </c>
      <c r="AJ195" s="5782" t="s">
        <v>2129</v>
      </c>
      <c r="AK195" s="5782" t="s">
        <v>2129</v>
      </c>
      <c r="AL195" s="5782" t="s">
        <v>2129</v>
      </c>
      <c r="AM195" s="5782" t="s">
        <v>2129</v>
      </c>
      <c r="AN195" s="5782" t="s">
        <v>2129</v>
      </c>
      <c r="AQ195" s="5782" t="s">
        <v>2129</v>
      </c>
      <c r="AV195" s="5782" t="s">
        <v>2129</v>
      </c>
      <c r="AW195" s="5782" t="s">
        <v>2129</v>
      </c>
      <c r="AX195" s="5782" t="s">
        <v>2129</v>
      </c>
      <c r="AY195" s="5782" t="s">
        <v>2129</v>
      </c>
      <c r="AZ195" s="5782" t="s">
        <v>2129</v>
      </c>
      <c r="BA195" s="5782" t="s">
        <v>2129</v>
      </c>
      <c r="BB195" s="5782" t="s">
        <v>2129</v>
      </c>
      <c r="BC195" s="5782" t="s">
        <v>2129</v>
      </c>
      <c r="BD195" s="5782" t="s">
        <v>2129</v>
      </c>
      <c r="BE195" s="5782" t="s">
        <v>2129</v>
      </c>
      <c r="BF195" s="5782" t="s">
        <v>2129</v>
      </c>
      <c r="BG195" s="5782" t="s">
        <v>2129</v>
      </c>
      <c r="BH195" s="5788" t="s">
        <v>2129</v>
      </c>
      <c r="BJ195" s="5788" t="s">
        <v>2129</v>
      </c>
      <c r="BK195" s="5788" t="s">
        <v>2129</v>
      </c>
      <c r="BL195" s="5788" t="s">
        <v>2129</v>
      </c>
      <c r="BM195" s="5788" t="s">
        <v>2129</v>
      </c>
      <c r="BN195" s="5788" t="s">
        <v>2129</v>
      </c>
      <c r="BO195" s="5788" t="s">
        <v>2129</v>
      </c>
      <c r="BP195" s="5788" t="s">
        <v>2129</v>
      </c>
      <c r="BQ195" s="5788" t="s">
        <v>2129</v>
      </c>
      <c r="BR195" s="5788" t="s">
        <v>2129</v>
      </c>
      <c r="BS195" s="5788" t="s">
        <v>2129</v>
      </c>
      <c r="BT195" s="5788" t="s">
        <v>2129</v>
      </c>
      <c r="BU195" s="5788" t="s">
        <v>2129</v>
      </c>
      <c r="BV195" s="5788" t="s">
        <v>2129</v>
      </c>
      <c r="BW195" s="5788" t="s">
        <v>2129</v>
      </c>
      <c r="BX195" s="5788" t="s">
        <v>2129</v>
      </c>
      <c r="BY195" s="5788" t="s">
        <v>2129</v>
      </c>
      <c r="BZ195" s="5788" t="s">
        <v>2129</v>
      </c>
      <c r="CA195" s="5788" t="s">
        <v>2129</v>
      </c>
      <c r="CB195" s="5788"/>
      <c r="CC195" s="5788" t="s">
        <v>2129</v>
      </c>
      <c r="CD195" s="5788" t="s">
        <v>2129</v>
      </c>
      <c r="CE195" s="5788" t="s">
        <v>2129</v>
      </c>
      <c r="CF195" s="5788" t="s">
        <v>2129</v>
      </c>
      <c r="CG195" s="5788"/>
      <c r="CH195" s="5784"/>
    </row>
    <row r="196" spans="1:86" s="5782" customFormat="1" ht="13" hidden="1">
      <c r="A196" s="5782">
        <v>2011</v>
      </c>
      <c r="B196" s="5783" t="s">
        <v>3407</v>
      </c>
      <c r="C196" s="5784" t="s">
        <v>2129</v>
      </c>
      <c r="D196" s="5784" t="s">
        <v>2129</v>
      </c>
      <c r="E196" s="5784" t="s">
        <v>2129</v>
      </c>
      <c r="F196" s="5784" t="s">
        <v>2129</v>
      </c>
      <c r="G196" s="5784" t="s">
        <v>2129</v>
      </c>
      <c r="H196" s="5784">
        <v>18</v>
      </c>
      <c r="I196" s="5784">
        <v>1</v>
      </c>
      <c r="J196" s="5785" t="b">
        <v>0</v>
      </c>
      <c r="K196" s="5785" t="s">
        <v>2129</v>
      </c>
      <c r="L196" s="5786">
        <v>4094118</v>
      </c>
      <c r="M196" s="5786">
        <v>0</v>
      </c>
      <c r="N196" s="5786">
        <v>0</v>
      </c>
      <c r="O196" s="5786">
        <v>0</v>
      </c>
      <c r="P196" s="5786">
        <v>0</v>
      </c>
      <c r="Q196" s="2476">
        <v>4503529.8000000007</v>
      </c>
      <c r="R196" s="5787">
        <v>4503529</v>
      </c>
      <c r="S196" s="2477" t="b">
        <v>0</v>
      </c>
      <c r="T196" s="5787">
        <v>4503529</v>
      </c>
      <c r="U196" s="5787">
        <v>0</v>
      </c>
      <c r="V196" s="5788">
        <v>1860975</v>
      </c>
      <c r="W196" s="5788">
        <v>1860975</v>
      </c>
      <c r="X196" s="5788" t="b">
        <v>1</v>
      </c>
      <c r="Y196" s="5788">
        <v>30015.725806451614</v>
      </c>
      <c r="Z196" s="5788"/>
      <c r="AA196" s="5788"/>
      <c r="AB196" s="5788" t="s">
        <v>2129</v>
      </c>
      <c r="AC196" s="5788"/>
      <c r="AD196" s="5788"/>
      <c r="AE196" s="5782">
        <v>592</v>
      </c>
      <c r="AF196" s="5789">
        <v>62</v>
      </c>
      <c r="AG196" s="5789" t="b">
        <v>1</v>
      </c>
      <c r="AH196" s="5782">
        <v>912</v>
      </c>
      <c r="AI196" s="5782" t="s">
        <v>2129</v>
      </c>
      <c r="AJ196" s="5782" t="s">
        <v>2129</v>
      </c>
      <c r="AK196" s="5782" t="s">
        <v>2129</v>
      </c>
      <c r="AL196" s="5782" t="s">
        <v>2129</v>
      </c>
      <c r="AM196" s="5782" t="s">
        <v>2129</v>
      </c>
      <c r="AN196" s="5782" t="s">
        <v>2129</v>
      </c>
      <c r="AQ196" s="5782" t="s">
        <v>2129</v>
      </c>
      <c r="AV196" s="5782" t="s">
        <v>2129</v>
      </c>
      <c r="AW196" s="5782" t="s">
        <v>2129</v>
      </c>
      <c r="AX196" s="5782" t="s">
        <v>2129</v>
      </c>
      <c r="AY196" s="5782" t="s">
        <v>2129</v>
      </c>
      <c r="AZ196" s="5782" t="s">
        <v>2129</v>
      </c>
      <c r="BA196" s="5782" t="s">
        <v>2129</v>
      </c>
      <c r="BB196" s="5782" t="s">
        <v>2129</v>
      </c>
      <c r="BC196" s="5782" t="s">
        <v>2129</v>
      </c>
      <c r="BD196" s="5782" t="s">
        <v>2129</v>
      </c>
      <c r="BE196" s="5782" t="s">
        <v>2129</v>
      </c>
      <c r="BF196" s="5782" t="s">
        <v>2129</v>
      </c>
      <c r="BG196" s="5782" t="s">
        <v>2129</v>
      </c>
      <c r="BH196" s="5788" t="s">
        <v>2129</v>
      </c>
      <c r="BJ196" s="5788" t="s">
        <v>2129</v>
      </c>
      <c r="BK196" s="5788" t="s">
        <v>2129</v>
      </c>
      <c r="BL196" s="5788" t="s">
        <v>2129</v>
      </c>
      <c r="BM196" s="5788" t="s">
        <v>2129</v>
      </c>
      <c r="BN196" s="5788" t="s">
        <v>2129</v>
      </c>
      <c r="BO196" s="5788" t="s">
        <v>2129</v>
      </c>
      <c r="BP196" s="5788" t="s">
        <v>2129</v>
      </c>
      <c r="BQ196" s="5788" t="s">
        <v>2129</v>
      </c>
      <c r="BR196" s="5788" t="s">
        <v>2129</v>
      </c>
      <c r="BS196" s="5788" t="s">
        <v>2129</v>
      </c>
      <c r="BT196" s="5788" t="s">
        <v>2129</v>
      </c>
      <c r="BU196" s="5788" t="s">
        <v>2129</v>
      </c>
      <c r="BV196" s="5788" t="s">
        <v>2129</v>
      </c>
      <c r="BW196" s="5788" t="s">
        <v>2129</v>
      </c>
      <c r="BX196" s="5788" t="s">
        <v>2129</v>
      </c>
      <c r="BY196" s="5788" t="s">
        <v>2129</v>
      </c>
      <c r="BZ196" s="5788" t="s">
        <v>2129</v>
      </c>
      <c r="CA196" s="5788" t="s">
        <v>2129</v>
      </c>
      <c r="CB196" s="5788"/>
      <c r="CC196" s="5788" t="s">
        <v>2129</v>
      </c>
      <c r="CD196" s="5788" t="s">
        <v>2129</v>
      </c>
      <c r="CE196" s="5788" t="s">
        <v>2129</v>
      </c>
      <c r="CF196" s="5788" t="s">
        <v>2129</v>
      </c>
      <c r="CG196" s="5788"/>
      <c r="CH196" s="5784"/>
    </row>
    <row r="197" spans="1:86" s="5782" customFormat="1" ht="13" hidden="1">
      <c r="A197" s="5782">
        <v>2012</v>
      </c>
      <c r="B197" s="5783" t="s">
        <v>3408</v>
      </c>
      <c r="C197" s="5784" t="s">
        <v>2129</v>
      </c>
      <c r="D197" s="5784" t="s">
        <v>2129</v>
      </c>
      <c r="E197" s="5784" t="s">
        <v>2129</v>
      </c>
      <c r="F197" s="5784" t="s">
        <v>2129</v>
      </c>
      <c r="G197" s="5784" t="s">
        <v>2129</v>
      </c>
      <c r="H197" s="5784">
        <v>19</v>
      </c>
      <c r="I197" s="5784">
        <v>7</v>
      </c>
      <c r="J197" s="5785" t="b">
        <v>0</v>
      </c>
      <c r="K197" s="5785" t="s">
        <v>2129</v>
      </c>
      <c r="L197" s="5786">
        <v>2744179</v>
      </c>
      <c r="M197" s="5786">
        <v>0</v>
      </c>
      <c r="N197" s="5786">
        <v>0</v>
      </c>
      <c r="O197" s="5786">
        <v>0</v>
      </c>
      <c r="P197" s="5786">
        <v>0</v>
      </c>
      <c r="Q197" s="2476">
        <v>3018596.9000000004</v>
      </c>
      <c r="R197" s="5787">
        <v>3018596</v>
      </c>
      <c r="S197" s="2477" t="b">
        <v>0</v>
      </c>
      <c r="T197" s="5787">
        <v>431228</v>
      </c>
      <c r="U197" s="5787">
        <v>0</v>
      </c>
      <c r="V197" s="5788">
        <v>1937340</v>
      </c>
      <c r="W197" s="5788">
        <v>1937340</v>
      </c>
      <c r="X197" s="5788" t="b">
        <v>1</v>
      </c>
      <c r="Y197" s="5788">
        <v>32289</v>
      </c>
      <c r="Z197" s="5788"/>
      <c r="AA197" s="5788"/>
      <c r="AB197" s="5788" t="s">
        <v>2129</v>
      </c>
      <c r="AC197" s="5788"/>
      <c r="AD197" s="5788"/>
      <c r="AE197" s="5782">
        <v>247</v>
      </c>
      <c r="AF197" s="5789">
        <v>60</v>
      </c>
      <c r="AG197" s="5789" t="b">
        <v>1</v>
      </c>
      <c r="AH197" s="5782">
        <v>379</v>
      </c>
      <c r="AI197" s="5782" t="s">
        <v>2129</v>
      </c>
      <c r="AJ197" s="5782" t="s">
        <v>2129</v>
      </c>
      <c r="AK197" s="5782" t="s">
        <v>2129</v>
      </c>
      <c r="AL197" s="5782" t="s">
        <v>2129</v>
      </c>
      <c r="AM197" s="5782" t="s">
        <v>2129</v>
      </c>
      <c r="AN197" s="5782" t="s">
        <v>2129</v>
      </c>
      <c r="AQ197" s="5782" t="s">
        <v>2129</v>
      </c>
      <c r="AV197" s="5782" t="s">
        <v>2129</v>
      </c>
      <c r="AW197" s="5782" t="s">
        <v>2129</v>
      </c>
      <c r="AX197" s="5782" t="s">
        <v>2129</v>
      </c>
      <c r="AY197" s="5782" t="s">
        <v>2129</v>
      </c>
      <c r="AZ197" s="5782" t="s">
        <v>2129</v>
      </c>
      <c r="BA197" s="5782" t="s">
        <v>2129</v>
      </c>
      <c r="BB197" s="5782" t="s">
        <v>2129</v>
      </c>
      <c r="BC197" s="5782" t="s">
        <v>2129</v>
      </c>
      <c r="BD197" s="5782" t="s">
        <v>2129</v>
      </c>
      <c r="BE197" s="5782" t="s">
        <v>2129</v>
      </c>
      <c r="BF197" s="5782" t="s">
        <v>2129</v>
      </c>
      <c r="BG197" s="5782" t="s">
        <v>2129</v>
      </c>
      <c r="BH197" s="5788" t="s">
        <v>2129</v>
      </c>
      <c r="BJ197" s="5788" t="s">
        <v>2129</v>
      </c>
      <c r="BK197" s="5788" t="s">
        <v>2129</v>
      </c>
      <c r="BL197" s="5788" t="s">
        <v>2129</v>
      </c>
      <c r="BM197" s="5788" t="s">
        <v>2129</v>
      </c>
      <c r="BN197" s="5788" t="s">
        <v>2129</v>
      </c>
      <c r="BO197" s="5788" t="s">
        <v>2129</v>
      </c>
      <c r="BP197" s="5788" t="s">
        <v>2129</v>
      </c>
      <c r="BQ197" s="5788" t="s">
        <v>2129</v>
      </c>
      <c r="BR197" s="5788" t="s">
        <v>2129</v>
      </c>
      <c r="BS197" s="5788" t="s">
        <v>2129</v>
      </c>
      <c r="BT197" s="5788" t="s">
        <v>2129</v>
      </c>
      <c r="BU197" s="5788" t="s">
        <v>2129</v>
      </c>
      <c r="BV197" s="5788" t="s">
        <v>2129</v>
      </c>
      <c r="BW197" s="5788" t="s">
        <v>2129</v>
      </c>
      <c r="BX197" s="5788" t="s">
        <v>2129</v>
      </c>
      <c r="BY197" s="5788" t="s">
        <v>2129</v>
      </c>
      <c r="BZ197" s="5788" t="s">
        <v>2129</v>
      </c>
      <c r="CA197" s="5788" t="s">
        <v>2129</v>
      </c>
      <c r="CB197" s="5788"/>
      <c r="CC197" s="5788" t="s">
        <v>2129</v>
      </c>
      <c r="CD197" s="5788" t="s">
        <v>2129</v>
      </c>
      <c r="CE197" s="5788" t="s">
        <v>2129</v>
      </c>
      <c r="CF197" s="5788" t="s">
        <v>2129</v>
      </c>
      <c r="CG197" s="5788"/>
      <c r="CH197" s="5784"/>
    </row>
    <row r="198" spans="1:86" s="5782" customFormat="1" ht="13" hidden="1">
      <c r="A198" s="5782">
        <v>2013</v>
      </c>
      <c r="B198" s="5783" t="s">
        <v>3409</v>
      </c>
      <c r="C198" s="5784" t="s">
        <v>2129</v>
      </c>
      <c r="D198" s="5784" t="s">
        <v>2129</v>
      </c>
      <c r="E198" s="5784" t="s">
        <v>2129</v>
      </c>
      <c r="F198" s="5784" t="s">
        <v>2129</v>
      </c>
      <c r="G198" s="5784" t="s">
        <v>2129</v>
      </c>
      <c r="H198" s="5784">
        <v>14</v>
      </c>
      <c r="I198" s="5784">
        <v>9</v>
      </c>
      <c r="J198" s="2694" t="b">
        <v>0</v>
      </c>
      <c r="K198" s="2694" t="s">
        <v>2129</v>
      </c>
      <c r="L198" s="2477">
        <v>7958828</v>
      </c>
      <c r="M198" s="2477">
        <v>105885</v>
      </c>
      <c r="N198" s="2477">
        <v>0</v>
      </c>
      <c r="O198" s="2477">
        <v>0</v>
      </c>
      <c r="P198" s="2477">
        <v>0</v>
      </c>
      <c r="Q198" s="2695">
        <v>8871184.3000000007</v>
      </c>
      <c r="R198" s="5787">
        <v>8871184</v>
      </c>
      <c r="S198" s="2477" t="b">
        <v>0</v>
      </c>
      <c r="T198" s="5787">
        <v>985687.11111111112</v>
      </c>
      <c r="U198" s="5787">
        <v>0</v>
      </c>
      <c r="V198" s="1958">
        <v>1900437</v>
      </c>
      <c r="W198" s="5788">
        <v>1900437</v>
      </c>
      <c r="X198" s="1958" t="b">
        <v>1</v>
      </c>
      <c r="Y198" s="5788">
        <v>63347.9</v>
      </c>
      <c r="Z198" s="5788"/>
      <c r="AA198" s="5788"/>
      <c r="AB198" s="5788" t="s">
        <v>2129</v>
      </c>
      <c r="AC198" s="1958"/>
      <c r="AD198" s="1958"/>
      <c r="AE198" s="5782">
        <v>460</v>
      </c>
      <c r="AF198" s="5789">
        <v>30</v>
      </c>
      <c r="AG198" s="3965" t="b">
        <v>1</v>
      </c>
      <c r="AH198" s="5782">
        <v>790</v>
      </c>
      <c r="AI198" s="5782" t="s">
        <v>2129</v>
      </c>
      <c r="AJ198" s="5782" t="s">
        <v>2129</v>
      </c>
      <c r="AK198" s="5782" t="s">
        <v>2129</v>
      </c>
      <c r="AL198" t="s">
        <v>2129</v>
      </c>
      <c r="AM198" t="s">
        <v>2129</v>
      </c>
      <c r="AN198" t="s">
        <v>2129</v>
      </c>
      <c r="AO198"/>
      <c r="AP198"/>
      <c r="AQ198" t="s">
        <v>2129</v>
      </c>
      <c r="AR198"/>
      <c r="AS198"/>
      <c r="AT198"/>
      <c r="AU198"/>
      <c r="AV198" s="5782" t="s">
        <v>2129</v>
      </c>
      <c r="AW198" t="s">
        <v>2129</v>
      </c>
      <c r="AX198" s="5782" t="s">
        <v>2129</v>
      </c>
      <c r="AY198" s="5782" t="s">
        <v>2129</v>
      </c>
      <c r="AZ198" s="5782" t="s">
        <v>2129</v>
      </c>
      <c r="BA198" s="5782" t="s">
        <v>2129</v>
      </c>
      <c r="BB198" s="5782" t="s">
        <v>2129</v>
      </c>
      <c r="BC198" t="s">
        <v>2129</v>
      </c>
      <c r="BD198" t="s">
        <v>2129</v>
      </c>
      <c r="BE198" t="s">
        <v>2129</v>
      </c>
      <c r="BF198" t="s">
        <v>2129</v>
      </c>
      <c r="BG198" t="s">
        <v>2129</v>
      </c>
      <c r="BH198" s="5788" t="s">
        <v>2129</v>
      </c>
      <c r="BI198"/>
      <c r="BJ198" s="5788" t="s">
        <v>2129</v>
      </c>
      <c r="BK198" s="5788" t="s">
        <v>2129</v>
      </c>
      <c r="BL198" s="5788" t="s">
        <v>2129</v>
      </c>
      <c r="BM198" s="5788" t="s">
        <v>2129</v>
      </c>
      <c r="BN198" s="5788" t="s">
        <v>2129</v>
      </c>
      <c r="BO198" s="5788" t="s">
        <v>2129</v>
      </c>
      <c r="BP198" s="1958" t="s">
        <v>2129</v>
      </c>
      <c r="BQ198" s="1958" t="s">
        <v>2129</v>
      </c>
      <c r="BR198" s="1958" t="s">
        <v>2129</v>
      </c>
      <c r="BS198" s="1958" t="s">
        <v>2129</v>
      </c>
      <c r="BT198" s="1958" t="s">
        <v>2129</v>
      </c>
      <c r="BU198" s="1958" t="s">
        <v>2129</v>
      </c>
      <c r="BV198" s="1958" t="s">
        <v>2129</v>
      </c>
      <c r="BW198" s="1958" t="s">
        <v>2129</v>
      </c>
      <c r="BX198" s="5788" t="s">
        <v>2129</v>
      </c>
      <c r="BY198" s="1958" t="s">
        <v>2129</v>
      </c>
      <c r="BZ198" s="5788" t="s">
        <v>2129</v>
      </c>
      <c r="CA198" s="5788" t="s">
        <v>2129</v>
      </c>
      <c r="CB198" s="1958"/>
      <c r="CC198" s="1958" t="s">
        <v>2129</v>
      </c>
      <c r="CD198" s="1958" t="s">
        <v>2129</v>
      </c>
      <c r="CE198" s="1958" t="s">
        <v>2129</v>
      </c>
      <c r="CF198" s="1958" t="s">
        <v>2129</v>
      </c>
      <c r="CG198" s="1958"/>
      <c r="CH198" s="5784"/>
    </row>
    <row r="199" spans="1:86" s="5782" customFormat="1" ht="13" hidden="1">
      <c r="A199" s="5782">
        <v>2015</v>
      </c>
      <c r="B199" s="5783" t="s">
        <v>3410</v>
      </c>
      <c r="C199" s="5784" t="s">
        <v>2129</v>
      </c>
      <c r="D199" s="5784" t="s">
        <v>2129</v>
      </c>
      <c r="E199" s="5784" t="s">
        <v>2129</v>
      </c>
      <c r="F199" s="5784" t="s">
        <v>2129</v>
      </c>
      <c r="G199" s="5784" t="s">
        <v>2129</v>
      </c>
      <c r="H199" s="5784">
        <v>12</v>
      </c>
      <c r="I199" s="5784">
        <v>2</v>
      </c>
      <c r="J199" s="5785" t="b">
        <v>1</v>
      </c>
      <c r="K199" s="5785" t="s">
        <v>2129</v>
      </c>
      <c r="L199" s="5786">
        <v>1552942</v>
      </c>
      <c r="M199" s="5786">
        <v>82354</v>
      </c>
      <c r="N199" s="5786">
        <v>0</v>
      </c>
      <c r="O199" s="5786">
        <v>0</v>
      </c>
      <c r="P199" s="5786">
        <v>15000</v>
      </c>
      <c r="Q199" s="2476">
        <v>1813825.6</v>
      </c>
      <c r="R199" s="5787">
        <v>1813825</v>
      </c>
      <c r="S199" s="2477" t="b">
        <v>1</v>
      </c>
      <c r="T199" s="5787">
        <v>906912.5</v>
      </c>
      <c r="U199" s="5787">
        <v>0</v>
      </c>
      <c r="V199" s="5788">
        <v>1164735</v>
      </c>
      <c r="W199" s="5788">
        <v>1164735</v>
      </c>
      <c r="X199" s="5788" t="b">
        <v>1</v>
      </c>
      <c r="Y199" s="5788">
        <v>38824.5</v>
      </c>
      <c r="Z199" s="5788"/>
      <c r="AA199" s="5788"/>
      <c r="AB199" s="5788" t="s">
        <v>2129</v>
      </c>
      <c r="AC199" s="5788"/>
      <c r="AD199" s="5788"/>
      <c r="AE199" s="5782">
        <v>321</v>
      </c>
      <c r="AF199" s="5789">
        <v>30</v>
      </c>
      <c r="AG199" s="5789" t="b">
        <v>1</v>
      </c>
      <c r="AH199" s="5782">
        <v>576</v>
      </c>
      <c r="AI199" s="5782" t="s">
        <v>2129</v>
      </c>
      <c r="AJ199" s="5782" t="s">
        <v>2129</v>
      </c>
      <c r="AK199" s="5782" t="s">
        <v>2129</v>
      </c>
      <c r="AL199" s="5782" t="s">
        <v>2129</v>
      </c>
      <c r="AM199" s="5782" t="s">
        <v>2129</v>
      </c>
      <c r="AN199" s="5782" t="s">
        <v>2129</v>
      </c>
      <c r="AQ199" s="5782" t="s">
        <v>2129</v>
      </c>
      <c r="AV199" s="5782" t="s">
        <v>2129</v>
      </c>
      <c r="AW199" s="5782" t="s">
        <v>2129</v>
      </c>
      <c r="AX199" s="5782" t="s">
        <v>2129</v>
      </c>
      <c r="AY199" s="5782" t="s">
        <v>2129</v>
      </c>
      <c r="AZ199" s="5782" t="s">
        <v>2129</v>
      </c>
      <c r="BA199" s="5782" t="s">
        <v>2129</v>
      </c>
      <c r="BB199" s="5782" t="s">
        <v>2129</v>
      </c>
      <c r="BC199" s="5782" t="s">
        <v>2129</v>
      </c>
      <c r="BD199" s="5782" t="s">
        <v>2129</v>
      </c>
      <c r="BE199" s="5782" t="s">
        <v>2129</v>
      </c>
      <c r="BF199" s="5782" t="s">
        <v>2129</v>
      </c>
      <c r="BG199" s="5782" t="s">
        <v>2129</v>
      </c>
      <c r="BH199" s="5788" t="s">
        <v>2129</v>
      </c>
      <c r="BJ199" s="5788" t="s">
        <v>2129</v>
      </c>
      <c r="BK199" s="5788" t="s">
        <v>2129</v>
      </c>
      <c r="BL199" s="5788" t="s">
        <v>2129</v>
      </c>
      <c r="BM199" s="5788" t="s">
        <v>2129</v>
      </c>
      <c r="BN199" s="5788" t="s">
        <v>2129</v>
      </c>
      <c r="BO199" s="5788" t="s">
        <v>2129</v>
      </c>
      <c r="BP199" s="5788" t="s">
        <v>2129</v>
      </c>
      <c r="BQ199" s="5788" t="s">
        <v>2129</v>
      </c>
      <c r="BR199" s="5788" t="s">
        <v>2129</v>
      </c>
      <c r="BS199" s="5788" t="s">
        <v>2129</v>
      </c>
      <c r="BT199" s="5788" t="s">
        <v>2129</v>
      </c>
      <c r="BU199" s="5788" t="s">
        <v>2129</v>
      </c>
      <c r="BV199" s="5788" t="s">
        <v>2129</v>
      </c>
      <c r="BW199" s="5788" t="s">
        <v>2129</v>
      </c>
      <c r="BX199" s="5788" t="s">
        <v>2129</v>
      </c>
      <c r="BY199" s="5788" t="s">
        <v>2129</v>
      </c>
      <c r="BZ199" s="5788" t="s">
        <v>2129</v>
      </c>
      <c r="CA199" s="5788" t="s">
        <v>2129</v>
      </c>
      <c r="CB199" s="5788"/>
      <c r="CC199" s="5788" t="s">
        <v>2129</v>
      </c>
      <c r="CD199" s="5788" t="s">
        <v>2129</v>
      </c>
      <c r="CE199" s="5788" t="s">
        <v>2129</v>
      </c>
      <c r="CF199" s="5788" t="s">
        <v>2129</v>
      </c>
      <c r="CG199" s="5788"/>
      <c r="CH199" s="5784"/>
    </row>
    <row r="200" spans="1:86" ht="13">
      <c r="A200">
        <v>2016</v>
      </c>
      <c r="B200" s="196" t="s">
        <v>2880</v>
      </c>
      <c r="C200" s="5790" t="s">
        <v>6598</v>
      </c>
      <c r="D200" s="5790" t="s">
        <v>6599</v>
      </c>
      <c r="E200" s="5790" t="s">
        <v>2129</v>
      </c>
      <c r="F200" s="5785" t="s">
        <v>2129</v>
      </c>
      <c r="G200" s="5785" t="s">
        <v>2129</v>
      </c>
      <c r="H200" s="5785">
        <v>40</v>
      </c>
      <c r="I200" s="5785">
        <v>2</v>
      </c>
      <c r="J200" s="5785" t="b">
        <v>1</v>
      </c>
      <c r="K200" s="5785" t="s">
        <v>2129</v>
      </c>
      <c r="L200" s="5786">
        <v>5458826</v>
      </c>
      <c r="M200" s="5786">
        <v>0</v>
      </c>
      <c r="N200" s="5786">
        <v>0</v>
      </c>
      <c r="O200" s="5786">
        <v>0</v>
      </c>
      <c r="P200" s="5786">
        <v>0</v>
      </c>
      <c r="Q200" s="2476">
        <v>6004708.6000000006</v>
      </c>
      <c r="R200" s="2477">
        <v>931764</v>
      </c>
      <c r="S200" s="2477" t="b">
        <v>1</v>
      </c>
      <c r="T200" s="5786">
        <v>465882</v>
      </c>
      <c r="U200" s="5786">
        <v>1436479</v>
      </c>
      <c r="V200" s="863">
        <v>5525905</v>
      </c>
      <c r="W200" s="863">
        <v>4089426</v>
      </c>
      <c r="X200" s="863" t="b">
        <v>1</v>
      </c>
      <c r="Y200" s="863">
        <v>51117.824999999997</v>
      </c>
      <c r="Z200" s="863">
        <v>42353</v>
      </c>
      <c r="AA200" s="863">
        <v>58824</v>
      </c>
      <c r="AB200" s="863">
        <v>30655.367316341835</v>
      </c>
      <c r="AC200" s="863">
        <v>5500</v>
      </c>
      <c r="AE200">
        <v>232</v>
      </c>
      <c r="AF200" s="3965">
        <v>80</v>
      </c>
      <c r="AG200" s="3965" t="b">
        <v>1</v>
      </c>
      <c r="AH200" s="2814">
        <v>718</v>
      </c>
      <c r="AI200">
        <v>116</v>
      </c>
      <c r="AJ200" t="s">
        <v>2129</v>
      </c>
      <c r="AK200" t="s">
        <v>2129</v>
      </c>
      <c r="AL200" t="s">
        <v>2129</v>
      </c>
      <c r="AM200" t="s">
        <v>2129</v>
      </c>
      <c r="AN200">
        <v>36</v>
      </c>
      <c r="AQ200" t="s">
        <v>2129</v>
      </c>
      <c r="AV200">
        <v>25</v>
      </c>
      <c r="AW200">
        <v>29</v>
      </c>
      <c r="AX200" t="s">
        <v>2129</v>
      </c>
      <c r="AY200" t="s">
        <v>2129</v>
      </c>
      <c r="AZ200" t="s">
        <v>2129</v>
      </c>
      <c r="BA200" t="s">
        <v>2129</v>
      </c>
      <c r="BB200" t="s">
        <v>2129</v>
      </c>
      <c r="BC200" t="s">
        <v>2129</v>
      </c>
      <c r="BD200" t="s">
        <v>2129</v>
      </c>
      <c r="BE200" t="s">
        <v>2129</v>
      </c>
      <c r="BF200" t="s">
        <v>2129</v>
      </c>
      <c r="BG200" t="s">
        <v>2129</v>
      </c>
      <c r="BH200" s="1958">
        <v>102235650</v>
      </c>
      <c r="BI200" s="1958">
        <v>118593354</v>
      </c>
      <c r="BJ200" s="1958" t="s">
        <v>2129</v>
      </c>
      <c r="BK200" s="1958" t="s">
        <v>2129</v>
      </c>
      <c r="BL200" s="1958" t="s">
        <v>2129</v>
      </c>
      <c r="BM200" s="1958" t="s">
        <v>2129</v>
      </c>
      <c r="BN200" s="1958" t="s">
        <v>2129</v>
      </c>
      <c r="BO200" s="1958" t="s">
        <v>2129</v>
      </c>
      <c r="BP200" s="1958" t="s">
        <v>2129</v>
      </c>
      <c r="BQ200" s="863" t="s">
        <v>2129</v>
      </c>
      <c r="BR200" s="863" t="s">
        <v>2129</v>
      </c>
      <c r="BS200" s="1958" t="s">
        <v>2129</v>
      </c>
      <c r="BT200" s="1958" t="s">
        <v>2129</v>
      </c>
      <c r="BU200" s="1958" t="s">
        <v>2129</v>
      </c>
      <c r="BV200" s="1958" t="s">
        <v>2129</v>
      </c>
      <c r="BW200" s="1958" t="s">
        <v>2129</v>
      </c>
      <c r="BX200" s="1958">
        <v>23294100</v>
      </c>
      <c r="BY200" s="1958">
        <v>27021156</v>
      </c>
      <c r="BZ200" s="1958" t="s">
        <v>2129</v>
      </c>
      <c r="CA200" s="1958" t="s">
        <v>2129</v>
      </c>
      <c r="CC200" s="1958" t="s">
        <v>2129</v>
      </c>
      <c r="CD200" s="1958" t="s">
        <v>2129</v>
      </c>
      <c r="CE200" s="1958" t="s">
        <v>2129</v>
      </c>
      <c r="CF200" s="1958" t="s">
        <v>2129</v>
      </c>
      <c r="CH200" s="5785"/>
    </row>
    <row r="201" spans="1:86" s="5782" customFormat="1" ht="13" hidden="1">
      <c r="A201" s="5782">
        <v>2018</v>
      </c>
      <c r="B201" s="5783" t="s">
        <v>3411</v>
      </c>
      <c r="C201" s="5784" t="s">
        <v>2129</v>
      </c>
      <c r="D201" s="5784" t="s">
        <v>2129</v>
      </c>
      <c r="E201" s="5784" t="s">
        <v>2129</v>
      </c>
      <c r="F201" s="5784" t="s">
        <v>2129</v>
      </c>
      <c r="G201" s="5784" t="s">
        <v>2129</v>
      </c>
      <c r="H201" s="5784">
        <v>9</v>
      </c>
      <c r="I201" s="5784">
        <v>5</v>
      </c>
      <c r="J201" s="5785" t="b">
        <v>0</v>
      </c>
      <c r="K201" s="5785" t="s">
        <v>2129</v>
      </c>
      <c r="L201" s="5786">
        <v>1229413</v>
      </c>
      <c r="M201" s="5786">
        <v>0</v>
      </c>
      <c r="N201" s="5786">
        <v>0</v>
      </c>
      <c r="O201" s="5786">
        <v>0</v>
      </c>
      <c r="P201" s="5786">
        <v>0</v>
      </c>
      <c r="Q201" s="2476">
        <v>1352354.3</v>
      </c>
      <c r="R201" s="5787">
        <v>1352354</v>
      </c>
      <c r="S201" s="2477" t="b">
        <v>0</v>
      </c>
      <c r="T201" s="5787">
        <v>270470.8</v>
      </c>
      <c r="U201" s="5787">
        <v>0</v>
      </c>
      <c r="V201" s="5788">
        <v>1698572</v>
      </c>
      <c r="W201" s="5788">
        <v>1698572</v>
      </c>
      <c r="X201" s="5788" t="b">
        <v>0</v>
      </c>
      <c r="Y201" s="5788">
        <v>30883.127272727274</v>
      </c>
      <c r="Z201" s="5788"/>
      <c r="AA201" s="5788"/>
      <c r="AB201" s="5788" t="s">
        <v>2129</v>
      </c>
      <c r="AC201" s="5788"/>
      <c r="AD201" s="5788"/>
      <c r="AE201" s="5782">
        <v>92</v>
      </c>
      <c r="AF201" s="5789">
        <v>55</v>
      </c>
      <c r="AG201" s="5789" t="b">
        <v>0</v>
      </c>
      <c r="AH201" s="5782">
        <v>148</v>
      </c>
      <c r="AI201" s="5782" t="s">
        <v>2129</v>
      </c>
      <c r="AJ201" s="5782" t="s">
        <v>2129</v>
      </c>
      <c r="AK201" s="5782" t="s">
        <v>2129</v>
      </c>
      <c r="AL201" s="5782" t="s">
        <v>2129</v>
      </c>
      <c r="AM201" s="5782" t="s">
        <v>2129</v>
      </c>
      <c r="AN201" s="5782" t="s">
        <v>2129</v>
      </c>
      <c r="AQ201" s="5782" t="s">
        <v>2129</v>
      </c>
      <c r="AV201" s="5782" t="s">
        <v>2129</v>
      </c>
      <c r="AW201" s="5782" t="s">
        <v>2129</v>
      </c>
      <c r="AX201" s="5782" t="s">
        <v>2129</v>
      </c>
      <c r="AY201" s="5782" t="s">
        <v>2129</v>
      </c>
      <c r="AZ201" s="5782" t="s">
        <v>2129</v>
      </c>
      <c r="BA201" s="5782" t="s">
        <v>2129</v>
      </c>
      <c r="BB201" s="5782" t="s">
        <v>2129</v>
      </c>
      <c r="BC201" s="5782" t="s">
        <v>2129</v>
      </c>
      <c r="BD201" s="5782" t="s">
        <v>2129</v>
      </c>
      <c r="BE201" s="5782" t="s">
        <v>2129</v>
      </c>
      <c r="BF201" s="5782" t="s">
        <v>2129</v>
      </c>
      <c r="BG201" s="5782" t="s">
        <v>2129</v>
      </c>
      <c r="BH201" s="5788" t="s">
        <v>2129</v>
      </c>
      <c r="BJ201" s="5788" t="s">
        <v>2129</v>
      </c>
      <c r="BK201" s="5788" t="s">
        <v>2129</v>
      </c>
      <c r="BL201" s="5788" t="s">
        <v>2129</v>
      </c>
      <c r="BM201" s="5788" t="s">
        <v>2129</v>
      </c>
      <c r="BN201" s="5788" t="s">
        <v>2129</v>
      </c>
      <c r="BO201" s="5788" t="s">
        <v>2129</v>
      </c>
      <c r="BP201" s="5788" t="s">
        <v>2129</v>
      </c>
      <c r="BQ201" s="5788" t="s">
        <v>2129</v>
      </c>
      <c r="BR201" s="5788" t="s">
        <v>2129</v>
      </c>
      <c r="BS201" s="5788" t="s">
        <v>2129</v>
      </c>
      <c r="BT201" s="5788" t="s">
        <v>2129</v>
      </c>
      <c r="BU201" s="5788" t="s">
        <v>2129</v>
      </c>
      <c r="BV201" s="5788" t="s">
        <v>2129</v>
      </c>
      <c r="BW201" s="5788" t="s">
        <v>2129</v>
      </c>
      <c r="BX201" s="5788" t="s">
        <v>2129</v>
      </c>
      <c r="BY201" s="5788" t="s">
        <v>2129</v>
      </c>
      <c r="BZ201" s="5788" t="s">
        <v>2129</v>
      </c>
      <c r="CA201" s="5788" t="s">
        <v>2129</v>
      </c>
      <c r="CB201" s="5788"/>
      <c r="CC201" s="5788" t="s">
        <v>2129</v>
      </c>
      <c r="CD201" s="5788" t="s">
        <v>2129</v>
      </c>
      <c r="CE201" s="5788" t="s">
        <v>2129</v>
      </c>
      <c r="CF201" s="5788" t="s">
        <v>2129</v>
      </c>
      <c r="CG201" s="5788"/>
      <c r="CH201" s="5784"/>
    </row>
    <row r="202" spans="1:86" ht="13" hidden="1">
      <c r="A202">
        <v>2019</v>
      </c>
      <c r="B202" s="5791" t="s">
        <v>3412</v>
      </c>
      <c r="C202" s="5790" t="s">
        <v>2129</v>
      </c>
      <c r="D202" s="5790" t="s">
        <v>6599</v>
      </c>
      <c r="E202" s="5790" t="s">
        <v>2129</v>
      </c>
      <c r="F202" s="5785" t="s">
        <v>2129</v>
      </c>
      <c r="G202" s="5785" t="s">
        <v>2129</v>
      </c>
      <c r="H202" s="5785">
        <v>27</v>
      </c>
      <c r="I202" s="5785">
        <v>10</v>
      </c>
      <c r="J202" s="5785" t="b">
        <v>1</v>
      </c>
      <c r="K202" s="5785" t="s">
        <v>2129</v>
      </c>
      <c r="L202" s="5786">
        <v>971383</v>
      </c>
      <c r="M202" s="5786">
        <v>0</v>
      </c>
      <c r="N202" s="5786">
        <v>0</v>
      </c>
      <c r="O202" s="5786">
        <v>18600</v>
      </c>
      <c r="P202" s="5786">
        <v>0</v>
      </c>
      <c r="Q202" s="2476">
        <v>1087121.3</v>
      </c>
      <c r="R202" s="2477">
        <v>1087121</v>
      </c>
      <c r="S202" s="2477" t="b">
        <v>0</v>
      </c>
      <c r="T202" s="5786">
        <v>108712.1</v>
      </c>
      <c r="U202" s="5786">
        <v>-6056622</v>
      </c>
      <c r="V202" s="863">
        <v>5235571</v>
      </c>
      <c r="W202" s="863">
        <v>11292193</v>
      </c>
      <c r="X202" s="863" t="b">
        <v>1</v>
      </c>
      <c r="Y202" s="863">
        <v>30602.149051490516</v>
      </c>
      <c r="AB202" s="863" t="s">
        <v>2129</v>
      </c>
      <c r="AC202" s="863">
        <v>3800</v>
      </c>
      <c r="AE202">
        <v>369</v>
      </c>
      <c r="AF202" s="3965">
        <v>369</v>
      </c>
      <c r="AG202" s="3965" t="b">
        <v>1</v>
      </c>
      <c r="AH202">
        <v>641</v>
      </c>
      <c r="AI202" t="s">
        <v>2129</v>
      </c>
      <c r="AJ202" t="s">
        <v>2129</v>
      </c>
      <c r="AK202" t="s">
        <v>2129</v>
      </c>
      <c r="AL202" t="s">
        <v>2129</v>
      </c>
      <c r="AM202" t="s">
        <v>2129</v>
      </c>
      <c r="AN202" t="s">
        <v>2129</v>
      </c>
      <c r="AQ202" t="s">
        <v>2129</v>
      </c>
      <c r="AV202" s="191" t="s">
        <v>2129</v>
      </c>
      <c r="AW202">
        <v>13</v>
      </c>
      <c r="AX202" t="s">
        <v>2129</v>
      </c>
      <c r="AY202" t="s">
        <v>2129</v>
      </c>
      <c r="AZ202" t="s">
        <v>2129</v>
      </c>
      <c r="BA202" t="s">
        <v>2129</v>
      </c>
      <c r="BB202" t="s">
        <v>2129</v>
      </c>
      <c r="BC202" t="s">
        <v>2129</v>
      </c>
      <c r="BD202" t="s">
        <v>2129</v>
      </c>
      <c r="BE202" t="s">
        <v>2129</v>
      </c>
      <c r="BF202" t="s">
        <v>2129</v>
      </c>
      <c r="BG202" t="s">
        <v>2129</v>
      </c>
      <c r="BH202" s="1958" t="s">
        <v>2129</v>
      </c>
      <c r="BI202" s="1958">
        <v>146798509</v>
      </c>
      <c r="BJ202" s="1958" t="s">
        <v>2129</v>
      </c>
      <c r="BK202" s="1958" t="s">
        <v>2129</v>
      </c>
      <c r="BL202" s="1958" t="s">
        <v>2129</v>
      </c>
      <c r="BM202" s="1958" t="s">
        <v>2129</v>
      </c>
      <c r="BN202" s="1958" t="s">
        <v>2129</v>
      </c>
      <c r="BO202" s="1958" t="s">
        <v>2129</v>
      </c>
      <c r="BP202" s="1958" t="s">
        <v>2129</v>
      </c>
      <c r="BQ202" s="863" t="s">
        <v>2129</v>
      </c>
      <c r="BR202" s="863" t="s">
        <v>2129</v>
      </c>
      <c r="BS202" s="1958" t="s">
        <v>2129</v>
      </c>
      <c r="BT202" s="1958" t="s">
        <v>2129</v>
      </c>
      <c r="BU202" s="1958" t="s">
        <v>2129</v>
      </c>
      <c r="BV202" s="1958" t="s">
        <v>2129</v>
      </c>
      <c r="BW202" s="1958" t="s">
        <v>2129</v>
      </c>
      <c r="BX202" s="1958" t="s">
        <v>2129</v>
      </c>
      <c r="BY202" s="1958">
        <v>14132573</v>
      </c>
      <c r="BZ202" s="1958" t="s">
        <v>2129</v>
      </c>
      <c r="CA202" s="1958" t="s">
        <v>2129</v>
      </c>
      <c r="CC202" s="1958" t="s">
        <v>2129</v>
      </c>
      <c r="CD202" s="1958" t="s">
        <v>2129</v>
      </c>
      <c r="CE202" s="1958" t="s">
        <v>2129</v>
      </c>
      <c r="CF202" s="1958" t="s">
        <v>2129</v>
      </c>
      <c r="CH202" s="5785"/>
    </row>
    <row r="203" spans="1:86" s="5782" customFormat="1" ht="13" hidden="1">
      <c r="A203" s="5782">
        <v>2021</v>
      </c>
      <c r="B203" s="5783" t="s">
        <v>3413</v>
      </c>
      <c r="C203" s="5784" t="s">
        <v>2129</v>
      </c>
      <c r="D203" s="5784" t="s">
        <v>2129</v>
      </c>
      <c r="E203" s="5784" t="s">
        <v>2129</v>
      </c>
      <c r="F203" s="5784" t="s">
        <v>2129</v>
      </c>
      <c r="G203" s="5784" t="s">
        <v>2129</v>
      </c>
      <c r="H203" s="5784">
        <v>11</v>
      </c>
      <c r="I203" s="5784">
        <v>7</v>
      </c>
      <c r="J203" s="5785" t="b">
        <v>0</v>
      </c>
      <c r="K203" s="5785" t="s">
        <v>2129</v>
      </c>
      <c r="L203" s="5786">
        <v>4818826</v>
      </c>
      <c r="M203" s="5786">
        <v>194120</v>
      </c>
      <c r="N203" s="5786">
        <v>0</v>
      </c>
      <c r="O203" s="5786">
        <v>0</v>
      </c>
      <c r="P203" s="5786">
        <v>0</v>
      </c>
      <c r="Q203" s="2476">
        <v>5514240.6000000006</v>
      </c>
      <c r="R203" s="5787">
        <v>5514240</v>
      </c>
      <c r="S203" s="2477" t="b">
        <v>0</v>
      </c>
      <c r="T203" s="5787">
        <v>787748.57142857148</v>
      </c>
      <c r="U203" s="5787">
        <v>0</v>
      </c>
      <c r="V203" s="863">
        <v>4757781</v>
      </c>
      <c r="W203" s="5788">
        <v>4757781</v>
      </c>
      <c r="X203" s="863" t="b">
        <v>1</v>
      </c>
      <c r="Y203" s="5788">
        <v>31096.607843137255</v>
      </c>
      <c r="Z203" s="5788"/>
      <c r="AA203" s="5788"/>
      <c r="AB203" s="5788" t="s">
        <v>2129</v>
      </c>
      <c r="AC203" s="863"/>
      <c r="AD203" s="863"/>
      <c r="AE203" s="5782">
        <v>322</v>
      </c>
      <c r="AF203" s="5789">
        <v>153</v>
      </c>
      <c r="AG203" s="3965" t="b">
        <v>1</v>
      </c>
      <c r="AH203" s="5782">
        <v>521</v>
      </c>
      <c r="AI203" s="5782" t="s">
        <v>2129</v>
      </c>
      <c r="AJ203" s="5782" t="s">
        <v>2129</v>
      </c>
      <c r="AK203" s="5782" t="s">
        <v>2129</v>
      </c>
      <c r="AL203" t="s">
        <v>2129</v>
      </c>
      <c r="AM203" t="s">
        <v>2129</v>
      </c>
      <c r="AN203" t="s">
        <v>2129</v>
      </c>
      <c r="AO203" t="s">
        <v>2129</v>
      </c>
      <c r="AP203" t="s">
        <v>2129</v>
      </c>
      <c r="AQ203" t="s">
        <v>2129</v>
      </c>
      <c r="AR203" t="s">
        <v>2129</v>
      </c>
      <c r="AS203"/>
      <c r="AT203"/>
      <c r="AU203"/>
      <c r="AV203" s="5782" t="s">
        <v>2129</v>
      </c>
      <c r="AW203" t="s">
        <v>2129</v>
      </c>
      <c r="AX203" s="5782" t="s">
        <v>2129</v>
      </c>
      <c r="AY203" s="5782" t="s">
        <v>2129</v>
      </c>
      <c r="AZ203" s="5782" t="s">
        <v>2129</v>
      </c>
      <c r="BA203" s="5782" t="s">
        <v>2129</v>
      </c>
      <c r="BB203" s="5782" t="s">
        <v>2129</v>
      </c>
      <c r="BC203" t="s">
        <v>2129</v>
      </c>
      <c r="BD203" t="s">
        <v>2129</v>
      </c>
      <c r="BE203" t="s">
        <v>2129</v>
      </c>
      <c r="BF203" t="s">
        <v>2129</v>
      </c>
      <c r="BG203" t="s">
        <v>2129</v>
      </c>
      <c r="BH203" s="5788" t="s">
        <v>2129</v>
      </c>
      <c r="BI203"/>
      <c r="BJ203" s="5788" t="s">
        <v>2129</v>
      </c>
      <c r="BK203" s="5788" t="s">
        <v>2129</v>
      </c>
      <c r="BL203" s="5788" t="s">
        <v>2129</v>
      </c>
      <c r="BM203" s="5788" t="s">
        <v>2129</v>
      </c>
      <c r="BN203" s="5788" t="s">
        <v>2129</v>
      </c>
      <c r="BO203" s="5788" t="s">
        <v>2129</v>
      </c>
      <c r="BP203" s="863" t="s">
        <v>2129</v>
      </c>
      <c r="BQ203" s="863" t="s">
        <v>2129</v>
      </c>
      <c r="BR203" s="863" t="s">
        <v>2129</v>
      </c>
      <c r="BS203" s="863" t="s">
        <v>2129</v>
      </c>
      <c r="BT203" s="863" t="s">
        <v>2129</v>
      </c>
      <c r="BU203" s="863" t="s">
        <v>2129</v>
      </c>
      <c r="BV203" s="863" t="s">
        <v>2129</v>
      </c>
      <c r="BW203" s="863" t="s">
        <v>2129</v>
      </c>
      <c r="BX203" s="5788" t="s">
        <v>2129</v>
      </c>
      <c r="BY203" s="863" t="s">
        <v>2129</v>
      </c>
      <c r="BZ203" s="5788" t="s">
        <v>2129</v>
      </c>
      <c r="CA203" s="5788" t="s">
        <v>2129</v>
      </c>
      <c r="CB203" s="863"/>
      <c r="CC203" s="863" t="s">
        <v>2129</v>
      </c>
      <c r="CD203" s="863" t="s">
        <v>2129</v>
      </c>
      <c r="CE203" s="863" t="s">
        <v>2129</v>
      </c>
      <c r="CF203" s="863" t="s">
        <v>2129</v>
      </c>
      <c r="CG203" s="863"/>
      <c r="CH203" s="5784"/>
    </row>
    <row r="204" spans="1:86" ht="13">
      <c r="A204">
        <v>2022</v>
      </c>
      <c r="B204" s="196" t="s">
        <v>2878</v>
      </c>
      <c r="C204" s="5790" t="s">
        <v>6598</v>
      </c>
      <c r="D204" s="5790" t="s">
        <v>6599</v>
      </c>
      <c r="E204" s="5790" t="s">
        <v>2129</v>
      </c>
      <c r="F204" s="5792" t="s">
        <v>5205</v>
      </c>
      <c r="G204" s="5792" t="s">
        <v>2129</v>
      </c>
      <c r="H204" s="5785">
        <v>12</v>
      </c>
      <c r="I204" s="5785">
        <v>4</v>
      </c>
      <c r="J204" s="5785" t="b">
        <v>1</v>
      </c>
      <c r="K204" s="5785">
        <v>8</v>
      </c>
      <c r="L204" s="5786">
        <v>2141180</v>
      </c>
      <c r="M204" s="5786">
        <v>0</v>
      </c>
      <c r="N204" s="5786">
        <v>0</v>
      </c>
      <c r="O204" s="5786">
        <v>34050</v>
      </c>
      <c r="P204" s="5786">
        <v>0</v>
      </c>
      <c r="Q204" s="2476">
        <v>2389348</v>
      </c>
      <c r="R204" s="2477">
        <v>1431699</v>
      </c>
      <c r="S204" s="5800" t="b">
        <v>1</v>
      </c>
      <c r="T204" s="5786">
        <v>357924.75</v>
      </c>
      <c r="U204" s="5786">
        <v>1429406</v>
      </c>
      <c r="V204" s="863">
        <v>6742041</v>
      </c>
      <c r="W204" s="863">
        <v>5312635</v>
      </c>
      <c r="X204" s="863" t="b">
        <v>1</v>
      </c>
      <c r="Y204" s="863">
        <v>62501.588235294119</v>
      </c>
      <c r="Z204" s="863">
        <v>45722</v>
      </c>
      <c r="AA204" s="863">
        <v>64973</v>
      </c>
      <c r="AB204" s="863">
        <v>30392.648741418769</v>
      </c>
      <c r="AC204" s="863">
        <v>3000</v>
      </c>
      <c r="AE204">
        <v>212</v>
      </c>
      <c r="AF204" s="3965">
        <v>85</v>
      </c>
      <c r="AG204" s="3965" t="b">
        <v>1</v>
      </c>
      <c r="AH204" s="2814">
        <v>522</v>
      </c>
      <c r="AI204">
        <v>152</v>
      </c>
      <c r="AJ204" t="s">
        <v>2129</v>
      </c>
      <c r="AK204" t="s">
        <v>2129</v>
      </c>
      <c r="AL204" s="191">
        <v>212</v>
      </c>
      <c r="AM204" s="191" t="s">
        <v>2129</v>
      </c>
      <c r="AN204">
        <v>67</v>
      </c>
      <c r="AQ204">
        <v>127</v>
      </c>
      <c r="AV204">
        <v>10</v>
      </c>
      <c r="AW204">
        <v>14</v>
      </c>
      <c r="AX204" t="s">
        <v>2129</v>
      </c>
      <c r="AY204" t="s">
        <v>2129</v>
      </c>
      <c r="AZ204" t="s">
        <v>2129</v>
      </c>
      <c r="BA204" t="s">
        <v>2129</v>
      </c>
      <c r="BB204" t="s">
        <v>2129</v>
      </c>
      <c r="BC204">
        <v>18</v>
      </c>
      <c r="BD204" t="s">
        <v>2129</v>
      </c>
      <c r="BE204" t="s">
        <v>2129</v>
      </c>
      <c r="BF204" t="s">
        <v>2129</v>
      </c>
      <c r="BG204" t="s">
        <v>2129</v>
      </c>
      <c r="BH204" s="1958">
        <v>53126350</v>
      </c>
      <c r="BI204" s="1958">
        <v>74376890</v>
      </c>
      <c r="BJ204" s="1958" t="s">
        <v>2129</v>
      </c>
      <c r="BK204" s="1958" t="s">
        <v>2129</v>
      </c>
      <c r="BL204" s="1958" t="s">
        <v>2129</v>
      </c>
      <c r="BM204" s="1958" t="s">
        <v>2129</v>
      </c>
      <c r="BN204" s="1958" t="s">
        <v>2129</v>
      </c>
      <c r="BO204" s="1958" t="s">
        <v>2129</v>
      </c>
      <c r="BP204" s="1958">
        <v>238506060.70588237</v>
      </c>
      <c r="BQ204" s="863">
        <v>238506060.70588237</v>
      </c>
      <c r="BR204" s="863" t="s">
        <v>2129</v>
      </c>
      <c r="BS204" s="1958" t="s">
        <v>2129</v>
      </c>
      <c r="BT204" s="1958" t="s">
        <v>2129</v>
      </c>
      <c r="BU204" s="1958" t="s">
        <v>2129</v>
      </c>
      <c r="BV204" s="1958" t="s">
        <v>2129</v>
      </c>
      <c r="BW204" s="1958" t="s">
        <v>2129</v>
      </c>
      <c r="BX204" s="1958">
        <v>14316990</v>
      </c>
      <c r="BY204" s="1958">
        <v>20043786</v>
      </c>
      <c r="BZ204" s="1958" t="s">
        <v>2129</v>
      </c>
      <c r="CA204" s="1958" t="s">
        <v>2129</v>
      </c>
      <c r="CC204" s="1958">
        <v>25770582</v>
      </c>
      <c r="CD204" s="1958">
        <v>25770582</v>
      </c>
      <c r="CE204" s="1958" t="s">
        <v>2129</v>
      </c>
      <c r="CF204" s="1958" t="s">
        <v>2129</v>
      </c>
      <c r="CH204" s="5785" t="s">
        <v>6602</v>
      </c>
    </row>
    <row r="205" spans="1:86" s="5782" customFormat="1" ht="13" hidden="1">
      <c r="A205" s="5782">
        <v>2024</v>
      </c>
      <c r="B205" s="5783" t="s">
        <v>3414</v>
      </c>
      <c r="C205" s="5784" t="s">
        <v>2129</v>
      </c>
      <c r="D205" s="5784" t="s">
        <v>2129</v>
      </c>
      <c r="E205" s="5784" t="s">
        <v>2129</v>
      </c>
      <c r="F205" s="5784" t="s">
        <v>2129</v>
      </c>
      <c r="G205" s="5784" t="s">
        <v>2129</v>
      </c>
      <c r="H205" s="5784">
        <v>1</v>
      </c>
      <c r="I205" s="5784">
        <v>1</v>
      </c>
      <c r="J205" s="2694" t="b">
        <v>1</v>
      </c>
      <c r="K205" s="5785" t="s">
        <v>2129</v>
      </c>
      <c r="L205" s="5786">
        <v>282353</v>
      </c>
      <c r="M205" s="5786">
        <v>0</v>
      </c>
      <c r="N205" s="5786">
        <v>0</v>
      </c>
      <c r="O205" s="5786">
        <v>0</v>
      </c>
      <c r="P205" s="5786">
        <v>0</v>
      </c>
      <c r="Q205" s="2476">
        <v>310588.30000000005</v>
      </c>
      <c r="R205" s="5787">
        <v>310588</v>
      </c>
      <c r="S205" s="2477" t="b">
        <v>1</v>
      </c>
      <c r="T205" s="5787">
        <v>310588</v>
      </c>
      <c r="U205" s="5787">
        <v>0</v>
      </c>
      <c r="V205" s="863">
        <v>12902435</v>
      </c>
      <c r="W205" s="5788">
        <v>12902435</v>
      </c>
      <c r="X205" s="863" t="b">
        <v>1</v>
      </c>
      <c r="Y205" s="5788">
        <v>66166.333333333328</v>
      </c>
      <c r="Z205" s="5788"/>
      <c r="AA205" s="5788"/>
      <c r="AB205" s="5788" t="s">
        <v>2129</v>
      </c>
      <c r="AC205" s="863"/>
      <c r="AD205" s="863"/>
      <c r="AE205" s="5782">
        <v>195</v>
      </c>
      <c r="AF205" s="5789">
        <v>195</v>
      </c>
      <c r="AG205" s="3965" t="b">
        <v>1</v>
      </c>
      <c r="AH205" s="5782">
        <v>307</v>
      </c>
      <c r="AI205" s="5782" t="s">
        <v>2129</v>
      </c>
      <c r="AJ205" s="5782" t="s">
        <v>2129</v>
      </c>
      <c r="AK205" s="5782" t="s">
        <v>2129</v>
      </c>
      <c r="AL205" t="s">
        <v>2129</v>
      </c>
      <c r="AM205" t="s">
        <v>2129</v>
      </c>
      <c r="AN205" t="s">
        <v>2129</v>
      </c>
      <c r="AO205"/>
      <c r="AP205"/>
      <c r="AQ205" t="s">
        <v>2129</v>
      </c>
      <c r="AR205"/>
      <c r="AS205"/>
      <c r="AT205"/>
      <c r="AU205"/>
      <c r="AV205" s="5782" t="s">
        <v>2129</v>
      </c>
      <c r="AW205" t="s">
        <v>2129</v>
      </c>
      <c r="AX205" s="5782" t="s">
        <v>2129</v>
      </c>
      <c r="AY205" s="5782" t="s">
        <v>2129</v>
      </c>
      <c r="AZ205" s="5782" t="s">
        <v>2129</v>
      </c>
      <c r="BA205" s="5782" t="s">
        <v>2129</v>
      </c>
      <c r="BB205" s="5782" t="s">
        <v>2129</v>
      </c>
      <c r="BC205" t="s">
        <v>2129</v>
      </c>
      <c r="BD205" t="s">
        <v>2129</v>
      </c>
      <c r="BE205" t="s">
        <v>2129</v>
      </c>
      <c r="BF205" t="s">
        <v>2129</v>
      </c>
      <c r="BG205" t="s">
        <v>2129</v>
      </c>
      <c r="BH205" s="5788" t="s">
        <v>2129</v>
      </c>
      <c r="BI205"/>
      <c r="BJ205" s="5788" t="s">
        <v>2129</v>
      </c>
      <c r="BK205" s="5788" t="s">
        <v>2129</v>
      </c>
      <c r="BL205" s="5788" t="s">
        <v>2129</v>
      </c>
      <c r="BM205" s="5788" t="s">
        <v>2129</v>
      </c>
      <c r="BN205" s="5788" t="s">
        <v>2129</v>
      </c>
      <c r="BO205" s="5788" t="s">
        <v>2129</v>
      </c>
      <c r="BP205" s="863" t="s">
        <v>2129</v>
      </c>
      <c r="BQ205" s="863" t="s">
        <v>2129</v>
      </c>
      <c r="BR205" s="863" t="s">
        <v>2129</v>
      </c>
      <c r="BS205" s="863" t="s">
        <v>2129</v>
      </c>
      <c r="BT205" s="863" t="s">
        <v>2129</v>
      </c>
      <c r="BU205" s="863" t="s">
        <v>2129</v>
      </c>
      <c r="BV205" s="863" t="s">
        <v>2129</v>
      </c>
      <c r="BW205" s="863" t="s">
        <v>2129</v>
      </c>
      <c r="BX205" s="5788" t="s">
        <v>2129</v>
      </c>
      <c r="BY205" s="863" t="s">
        <v>2129</v>
      </c>
      <c r="BZ205" s="5788" t="s">
        <v>2129</v>
      </c>
      <c r="CA205" s="5788" t="s">
        <v>2129</v>
      </c>
      <c r="CB205" s="863"/>
      <c r="CC205" s="863" t="s">
        <v>2129</v>
      </c>
      <c r="CD205" s="863" t="s">
        <v>2129</v>
      </c>
      <c r="CE205" s="863" t="s">
        <v>2129</v>
      </c>
      <c r="CF205" s="863" t="s">
        <v>2129</v>
      </c>
      <c r="CG205" s="863"/>
      <c r="CH205" s="5784"/>
    </row>
    <row r="206" spans="1:86" ht="13" hidden="1">
      <c r="A206">
        <v>2025</v>
      </c>
      <c r="B206" s="196" t="s">
        <v>3415</v>
      </c>
      <c r="C206" s="5785" t="s">
        <v>2129</v>
      </c>
      <c r="D206" s="5785" t="s">
        <v>2129</v>
      </c>
      <c r="E206" s="5785" t="s">
        <v>2129</v>
      </c>
      <c r="F206" s="5785" t="s">
        <v>3791</v>
      </c>
      <c r="G206" s="5785" t="s">
        <v>4095</v>
      </c>
      <c r="H206" s="5785">
        <v>3</v>
      </c>
      <c r="I206" s="5785">
        <v>3</v>
      </c>
      <c r="J206" s="5785" t="b">
        <v>1</v>
      </c>
      <c r="K206" s="5785" t="s">
        <v>2129</v>
      </c>
      <c r="L206" s="5786">
        <v>682354</v>
      </c>
      <c r="M206" s="5786">
        <v>0</v>
      </c>
      <c r="N206" s="5786">
        <v>0</v>
      </c>
      <c r="O206" s="5786">
        <v>5100</v>
      </c>
      <c r="P206" s="5786">
        <v>0</v>
      </c>
      <c r="Q206" s="2476">
        <v>755689.4</v>
      </c>
      <c r="R206" s="2477">
        <v>755689</v>
      </c>
      <c r="S206" s="2477" t="b">
        <v>1</v>
      </c>
      <c r="T206" s="5786">
        <v>251896.33333333334</v>
      </c>
      <c r="U206" s="5786">
        <v>0</v>
      </c>
      <c r="V206" s="863">
        <v>2859595</v>
      </c>
      <c r="W206" s="863">
        <v>2859595</v>
      </c>
      <c r="X206" s="863" t="b">
        <v>1</v>
      </c>
      <c r="Y206" s="863">
        <v>79433.194444444438</v>
      </c>
      <c r="AB206" s="863" t="s">
        <v>2129</v>
      </c>
      <c r="AE206">
        <v>128</v>
      </c>
      <c r="AF206" s="3965">
        <v>36</v>
      </c>
      <c r="AG206" s="3965" t="b">
        <v>1</v>
      </c>
      <c r="AH206">
        <v>223</v>
      </c>
      <c r="AI206" t="s">
        <v>2129</v>
      </c>
      <c r="AJ206" t="s">
        <v>2129</v>
      </c>
      <c r="AK206" t="s">
        <v>2129</v>
      </c>
      <c r="AL206">
        <v>88</v>
      </c>
      <c r="AM206">
        <v>12</v>
      </c>
      <c r="AN206" t="s">
        <v>2129</v>
      </c>
      <c r="AO206" t="s">
        <v>2129</v>
      </c>
      <c r="AP206" t="s">
        <v>2129</v>
      </c>
      <c r="AQ206">
        <v>52</v>
      </c>
      <c r="AR206">
        <v>-24</v>
      </c>
      <c r="AV206" t="s">
        <v>2129</v>
      </c>
      <c r="AW206" t="s">
        <v>2129</v>
      </c>
      <c r="AX206" t="s">
        <v>2129</v>
      </c>
      <c r="AY206" t="s">
        <v>2129</v>
      </c>
      <c r="AZ206" t="s">
        <v>2129</v>
      </c>
      <c r="BA206" t="s">
        <v>2129</v>
      </c>
      <c r="BB206" t="s">
        <v>2129</v>
      </c>
      <c r="BC206" t="s">
        <v>2129</v>
      </c>
      <c r="BD206" t="s">
        <v>2129</v>
      </c>
      <c r="BE206" t="s">
        <v>2129</v>
      </c>
      <c r="BF206">
        <v>10</v>
      </c>
      <c r="BG206">
        <v>15</v>
      </c>
      <c r="BH206" s="1958" t="s">
        <v>2129</v>
      </c>
      <c r="BI206"/>
      <c r="BJ206" s="863" t="s">
        <v>2129</v>
      </c>
      <c r="BK206" s="863" t="s">
        <v>2129</v>
      </c>
      <c r="BL206" s="863" t="s">
        <v>2129</v>
      </c>
      <c r="BM206" s="863" t="s">
        <v>2129</v>
      </c>
      <c r="BN206" s="863" t="s">
        <v>2129</v>
      </c>
      <c r="BO206" s="863" t="s">
        <v>2129</v>
      </c>
      <c r="BP206" s="863" t="s">
        <v>2129</v>
      </c>
      <c r="BQ206" s="863" t="s">
        <v>2129</v>
      </c>
      <c r="BR206" s="863" t="s">
        <v>2129</v>
      </c>
      <c r="BS206" s="863" t="s">
        <v>2129</v>
      </c>
      <c r="BT206" s="863" t="s">
        <v>2129</v>
      </c>
      <c r="BU206" s="863" t="s">
        <v>2129</v>
      </c>
      <c r="BV206" s="863">
        <v>69901211.111111104</v>
      </c>
      <c r="BW206" s="863">
        <v>14297974.999999998</v>
      </c>
      <c r="BX206" s="863" t="s">
        <v>2129</v>
      </c>
      <c r="BY206" s="863" t="s">
        <v>2129</v>
      </c>
      <c r="BZ206" s="863" t="s">
        <v>2129</v>
      </c>
      <c r="CA206" s="863" t="s">
        <v>2129</v>
      </c>
      <c r="CB206" s="863"/>
      <c r="CC206" s="863" t="s">
        <v>2129</v>
      </c>
      <c r="CD206" s="863" t="s">
        <v>2129</v>
      </c>
      <c r="CE206" s="863" t="s">
        <v>2129</v>
      </c>
      <c r="CF206" s="863" t="s">
        <v>2129</v>
      </c>
      <c r="CG206" s="863"/>
      <c r="CH206" s="5785"/>
    </row>
    <row r="207" spans="1:86" ht="13">
      <c r="A207">
        <v>2026</v>
      </c>
      <c r="B207" s="196" t="s">
        <v>2873</v>
      </c>
      <c r="C207" s="5790" t="s">
        <v>6598</v>
      </c>
      <c r="D207" s="5790" t="s">
        <v>6599</v>
      </c>
      <c r="E207" s="5790" t="s">
        <v>2129</v>
      </c>
      <c r="F207" s="5785" t="s">
        <v>2129</v>
      </c>
      <c r="G207" s="5785" t="s">
        <v>2129</v>
      </c>
      <c r="H207" s="5785">
        <v>14</v>
      </c>
      <c r="I207" s="5785">
        <v>4</v>
      </c>
      <c r="J207" s="5785" t="b">
        <v>1</v>
      </c>
      <c r="K207" s="5785" t="s">
        <v>2129</v>
      </c>
      <c r="L207" s="5786">
        <v>4146357</v>
      </c>
      <c r="M207" s="5786">
        <v>0</v>
      </c>
      <c r="N207" s="5786">
        <v>0</v>
      </c>
      <c r="O207" s="5786">
        <v>10500</v>
      </c>
      <c r="P207" s="5786">
        <v>0</v>
      </c>
      <c r="Q207" s="2476">
        <v>4571492.7</v>
      </c>
      <c r="R207" s="2477">
        <v>1362158</v>
      </c>
      <c r="S207" s="5800" t="b">
        <v>1</v>
      </c>
      <c r="T207" s="5786">
        <v>340539.5</v>
      </c>
      <c r="U207" s="5786">
        <v>181177</v>
      </c>
      <c r="V207" s="863">
        <v>3548543</v>
      </c>
      <c r="W207" s="863">
        <v>3367366</v>
      </c>
      <c r="X207" s="863" t="b">
        <v>1</v>
      </c>
      <c r="Y207" s="863">
        <v>36208.236559139783</v>
      </c>
      <c r="Z207" s="863">
        <v>28236</v>
      </c>
      <c r="AA207" s="863">
        <v>45883</v>
      </c>
      <c r="AB207" s="863">
        <v>17429.430641821946</v>
      </c>
      <c r="AC207" s="863">
        <v>1100</v>
      </c>
      <c r="AE207">
        <v>158</v>
      </c>
      <c r="AF207" s="3965">
        <v>93</v>
      </c>
      <c r="AG207" s="3965" t="b">
        <v>1</v>
      </c>
      <c r="AH207" s="2814">
        <v>184</v>
      </c>
      <c r="AI207">
        <v>168</v>
      </c>
      <c r="AJ207" t="s">
        <v>2129</v>
      </c>
      <c r="AK207" t="s">
        <v>2129</v>
      </c>
      <c r="AL207" t="s">
        <v>2129</v>
      </c>
      <c r="AM207" t="s">
        <v>2129</v>
      </c>
      <c r="AN207">
        <v>75</v>
      </c>
      <c r="AQ207" t="s">
        <v>2129</v>
      </c>
      <c r="AV207">
        <v>23</v>
      </c>
      <c r="AW207">
        <v>21</v>
      </c>
      <c r="AX207" t="s">
        <v>2129</v>
      </c>
      <c r="AY207" t="s">
        <v>2129</v>
      </c>
      <c r="AZ207" t="s">
        <v>2129</v>
      </c>
      <c r="BA207" t="s">
        <v>2129</v>
      </c>
      <c r="BB207" t="s">
        <v>2129</v>
      </c>
      <c r="BC207" t="s">
        <v>2129</v>
      </c>
      <c r="BD207" t="s">
        <v>2129</v>
      </c>
      <c r="BE207" t="s">
        <v>2129</v>
      </c>
      <c r="BF207" t="s">
        <v>2129</v>
      </c>
      <c r="BG207" t="s">
        <v>2129</v>
      </c>
      <c r="BH207" s="1958">
        <v>77449418</v>
      </c>
      <c r="BI207" s="1958">
        <v>70714686</v>
      </c>
      <c r="BJ207" s="1958" t="s">
        <v>2129</v>
      </c>
      <c r="BK207" s="1958" t="s">
        <v>2129</v>
      </c>
      <c r="BL207" s="1958" t="s">
        <v>2129</v>
      </c>
      <c r="BM207" s="1958" t="s">
        <v>2129</v>
      </c>
      <c r="BN207" s="1958" t="s">
        <v>2129</v>
      </c>
      <c r="BO207" s="1958" t="s">
        <v>2129</v>
      </c>
      <c r="BP207" s="1958" t="s">
        <v>2129</v>
      </c>
      <c r="BQ207" s="863" t="s">
        <v>2129</v>
      </c>
      <c r="BR207" s="863" t="s">
        <v>2129</v>
      </c>
      <c r="BS207" s="1958" t="s">
        <v>2129</v>
      </c>
      <c r="BT207" s="1958" t="s">
        <v>2129</v>
      </c>
      <c r="BU207" s="1958" t="s">
        <v>2129</v>
      </c>
      <c r="BV207" s="1958" t="s">
        <v>2129</v>
      </c>
      <c r="BW207" s="1958" t="s">
        <v>2129</v>
      </c>
      <c r="BX207" s="1958">
        <v>31329634</v>
      </c>
      <c r="BY207" s="1958">
        <v>28605318</v>
      </c>
      <c r="BZ207" s="1958" t="s">
        <v>2129</v>
      </c>
      <c r="CA207" s="1958" t="s">
        <v>2129</v>
      </c>
      <c r="CC207" s="1958" t="s">
        <v>2129</v>
      </c>
      <c r="CD207" s="1958" t="s">
        <v>2129</v>
      </c>
      <c r="CE207" s="1958" t="s">
        <v>2129</v>
      </c>
      <c r="CF207" s="1958" t="s">
        <v>2129</v>
      </c>
      <c r="CH207" s="5785"/>
    </row>
    <row r="208" spans="1:86" ht="13">
      <c r="A208">
        <v>2027</v>
      </c>
      <c r="B208" s="196" t="s">
        <v>2875</v>
      </c>
      <c r="C208" s="5790" t="s">
        <v>6598</v>
      </c>
      <c r="D208" s="5790" t="s">
        <v>6599</v>
      </c>
      <c r="E208" s="5790" t="s">
        <v>2129</v>
      </c>
      <c r="F208" s="5792" t="s">
        <v>5205</v>
      </c>
      <c r="G208" s="5792" t="s">
        <v>2129</v>
      </c>
      <c r="H208" s="5785">
        <v>16</v>
      </c>
      <c r="I208" s="5785">
        <v>7</v>
      </c>
      <c r="J208" s="5785" t="b">
        <v>1</v>
      </c>
      <c r="K208" s="5785">
        <v>9</v>
      </c>
      <c r="L208" s="5786">
        <v>8691299</v>
      </c>
      <c r="M208" s="5786">
        <v>388240</v>
      </c>
      <c r="N208" s="5786">
        <v>0</v>
      </c>
      <c r="O208" s="5786">
        <v>0</v>
      </c>
      <c r="P208" s="5786">
        <v>0</v>
      </c>
      <c r="Q208" s="2476">
        <v>9987492.9000000004</v>
      </c>
      <c r="R208" s="2477">
        <v>4375224</v>
      </c>
      <c r="S208" s="2477" t="b">
        <v>1</v>
      </c>
      <c r="T208" s="5786">
        <v>625032</v>
      </c>
      <c r="U208" s="5786">
        <v>1529660</v>
      </c>
      <c r="V208" s="863">
        <v>9690417</v>
      </c>
      <c r="W208" s="863">
        <v>8160757</v>
      </c>
      <c r="X208" s="863" t="b">
        <v>1</v>
      </c>
      <c r="Y208" s="863">
        <v>47723.725146198827</v>
      </c>
      <c r="Z208" s="863">
        <v>24706</v>
      </c>
      <c r="AA208" s="863">
        <v>47059</v>
      </c>
      <c r="AB208" s="863">
        <v>20749.445715738624</v>
      </c>
      <c r="AC208" s="863">
        <v>3000</v>
      </c>
      <c r="AE208">
        <v>192</v>
      </c>
      <c r="AF208" s="3965">
        <v>171</v>
      </c>
      <c r="AG208" s="3965" t="b">
        <v>1</v>
      </c>
      <c r="AH208" s="2814">
        <v>348</v>
      </c>
      <c r="AI208">
        <v>342</v>
      </c>
      <c r="AJ208" t="s">
        <v>2129</v>
      </c>
      <c r="AK208" t="s">
        <v>2129</v>
      </c>
      <c r="AL208">
        <v>192</v>
      </c>
      <c r="AM208" t="s">
        <v>2129</v>
      </c>
      <c r="AN208">
        <v>171</v>
      </c>
      <c r="AQ208">
        <v>21</v>
      </c>
      <c r="AV208">
        <v>27</v>
      </c>
      <c r="AW208">
        <v>26</v>
      </c>
      <c r="AX208" t="s">
        <v>2129</v>
      </c>
      <c r="AY208" t="s">
        <v>2129</v>
      </c>
      <c r="AZ208" t="s">
        <v>2129</v>
      </c>
      <c r="BA208" t="s">
        <v>2129</v>
      </c>
      <c r="BB208" t="s">
        <v>2129</v>
      </c>
      <c r="BC208">
        <v>18</v>
      </c>
      <c r="BD208" t="s">
        <v>2129</v>
      </c>
      <c r="BE208" t="s">
        <v>2129</v>
      </c>
      <c r="BF208" t="s">
        <v>2129</v>
      </c>
      <c r="BG208" t="s">
        <v>2129</v>
      </c>
      <c r="BH208" s="1958">
        <v>220340439</v>
      </c>
      <c r="BI208" s="1958">
        <v>212179682</v>
      </c>
      <c r="BJ208" s="1958" t="s">
        <v>2129</v>
      </c>
      <c r="BK208" s="1958" t="s">
        <v>2129</v>
      </c>
      <c r="BL208" s="1958" t="s">
        <v>2129</v>
      </c>
      <c r="BM208" s="1958" t="s">
        <v>2129</v>
      </c>
      <c r="BN208" s="1958" t="s">
        <v>2129</v>
      </c>
      <c r="BO208" s="1958" t="s">
        <v>2129</v>
      </c>
      <c r="BP208" s="1958">
        <v>164933194.10526314</v>
      </c>
      <c r="BQ208" s="863">
        <v>164933194.10526314</v>
      </c>
      <c r="BR208" s="863" t="s">
        <v>2129</v>
      </c>
      <c r="BS208" s="1958" t="s">
        <v>2129</v>
      </c>
      <c r="BT208" s="1958" t="s">
        <v>2129</v>
      </c>
      <c r="BU208" s="1958" t="s">
        <v>2129</v>
      </c>
      <c r="BV208" s="1958" t="s">
        <v>2129</v>
      </c>
      <c r="BW208" s="1958" t="s">
        <v>2129</v>
      </c>
      <c r="BX208" s="1958">
        <v>118131048</v>
      </c>
      <c r="BY208" s="1958">
        <v>113755824</v>
      </c>
      <c r="BZ208" s="1958" t="s">
        <v>2129</v>
      </c>
      <c r="CA208" s="1958" t="s">
        <v>2129</v>
      </c>
      <c r="CC208" s="1958">
        <v>78754032</v>
      </c>
      <c r="CD208" s="1958">
        <v>78754032</v>
      </c>
      <c r="CE208" s="1958" t="s">
        <v>2129</v>
      </c>
      <c r="CF208" s="1958" t="s">
        <v>2129</v>
      </c>
      <c r="CH208" s="5785"/>
    </row>
    <row r="209" spans="1:86" ht="13" hidden="1">
      <c r="A209">
        <v>2028</v>
      </c>
      <c r="B209" s="196" t="s">
        <v>3416</v>
      </c>
      <c r="C209" s="5785" t="s">
        <v>2129</v>
      </c>
      <c r="D209" s="2694" t="s">
        <v>3791</v>
      </c>
      <c r="E209" s="2694" t="s">
        <v>2129</v>
      </c>
      <c r="F209" s="5785" t="s">
        <v>2129</v>
      </c>
      <c r="G209" s="5785" t="s">
        <v>2129</v>
      </c>
      <c r="H209" s="5785">
        <v>16</v>
      </c>
      <c r="I209" s="5785">
        <v>11</v>
      </c>
      <c r="J209" s="5785" t="b">
        <v>0</v>
      </c>
      <c r="K209" s="5785" t="s">
        <v>2129</v>
      </c>
      <c r="L209" s="5786">
        <v>5399062</v>
      </c>
      <c r="M209" s="5786">
        <v>70590</v>
      </c>
      <c r="N209" s="5786">
        <v>0</v>
      </c>
      <c r="O209" s="5786">
        <v>0</v>
      </c>
      <c r="P209" s="5786">
        <v>0</v>
      </c>
      <c r="Q209" s="2476">
        <v>6016617.2000000002</v>
      </c>
      <c r="R209" s="2477">
        <v>6016617</v>
      </c>
      <c r="S209" s="2477" t="b">
        <v>0</v>
      </c>
      <c r="T209" s="5786">
        <v>546965.18181818177</v>
      </c>
      <c r="U209" s="5786">
        <v>-363000</v>
      </c>
      <c r="V209" s="863">
        <v>891017</v>
      </c>
      <c r="W209" s="863">
        <v>1254017</v>
      </c>
      <c r="X209" s="863" t="b">
        <v>1</v>
      </c>
      <c r="Y209" s="863">
        <v>20900.283333333333</v>
      </c>
      <c r="AB209" s="863" t="s">
        <v>2129</v>
      </c>
      <c r="AE209">
        <v>60</v>
      </c>
      <c r="AF209" s="3965">
        <v>60</v>
      </c>
      <c r="AG209" s="3965" t="b">
        <v>1</v>
      </c>
      <c r="AH209">
        <v>64</v>
      </c>
      <c r="AI209" t="s">
        <v>2129</v>
      </c>
      <c r="AJ209">
        <v>60</v>
      </c>
      <c r="AK209" t="s">
        <v>2129</v>
      </c>
      <c r="AL209" t="s">
        <v>2129</v>
      </c>
      <c r="AM209" t="s">
        <v>2129</v>
      </c>
      <c r="AN209" t="s">
        <v>2129</v>
      </c>
      <c r="AQ209" t="s">
        <v>2129</v>
      </c>
      <c r="AV209" t="s">
        <v>2129</v>
      </c>
      <c r="AW209" t="s">
        <v>2129</v>
      </c>
      <c r="AX209" t="s">
        <v>2129</v>
      </c>
      <c r="AY209" t="s">
        <v>2129</v>
      </c>
      <c r="AZ209" t="s">
        <v>2129</v>
      </c>
      <c r="BA209">
        <v>11</v>
      </c>
      <c r="BB209" t="s">
        <v>2129</v>
      </c>
      <c r="BC209" t="s">
        <v>2129</v>
      </c>
      <c r="BD209" t="s">
        <v>2129</v>
      </c>
      <c r="BE209" t="s">
        <v>2129</v>
      </c>
      <c r="BF209" t="s">
        <v>2129</v>
      </c>
      <c r="BG209" t="s">
        <v>2129</v>
      </c>
      <c r="BH209" s="1958" t="s">
        <v>2129</v>
      </c>
      <c r="BI209"/>
      <c r="BJ209" s="863" t="s">
        <v>2129</v>
      </c>
      <c r="BK209" s="863" t="s">
        <v>2129</v>
      </c>
      <c r="BL209" s="863" t="s">
        <v>2129</v>
      </c>
      <c r="BM209" s="863" t="s">
        <v>2129</v>
      </c>
      <c r="BN209" s="863">
        <v>13794187</v>
      </c>
      <c r="BO209" s="863" t="s">
        <v>2129</v>
      </c>
      <c r="BP209" s="863" t="s">
        <v>2129</v>
      </c>
      <c r="BQ209" s="863" t="s">
        <v>2129</v>
      </c>
      <c r="BR209" s="863" t="s">
        <v>2129</v>
      </c>
      <c r="BS209" s="863" t="s">
        <v>2129</v>
      </c>
      <c r="BT209" s="863" t="s">
        <v>2129</v>
      </c>
      <c r="BU209" s="863" t="s">
        <v>2129</v>
      </c>
      <c r="BV209" s="863" t="s">
        <v>2129</v>
      </c>
      <c r="BW209" s="863" t="s">
        <v>2129</v>
      </c>
      <c r="BX209" s="863" t="s">
        <v>2129</v>
      </c>
      <c r="BY209" s="863" t="s">
        <v>2129</v>
      </c>
      <c r="BZ209" s="863" t="s">
        <v>2129</v>
      </c>
      <c r="CA209" s="863" t="s">
        <v>2129</v>
      </c>
      <c r="CB209" s="863"/>
      <c r="CC209" s="863" t="s">
        <v>2129</v>
      </c>
      <c r="CD209" s="863" t="s">
        <v>2129</v>
      </c>
      <c r="CE209" s="863" t="s">
        <v>2129</v>
      </c>
      <c r="CF209" s="863" t="s">
        <v>2129</v>
      </c>
      <c r="CG209" s="863"/>
      <c r="CH209" s="5785"/>
    </row>
    <row r="210" spans="1:86" ht="13" hidden="1">
      <c r="A210">
        <v>2030</v>
      </c>
      <c r="B210" s="196" t="s">
        <v>3417</v>
      </c>
      <c r="C210" s="5785" t="s">
        <v>2129</v>
      </c>
      <c r="D210" s="2694" t="s">
        <v>3791</v>
      </c>
      <c r="E210" s="2694" t="s">
        <v>2129</v>
      </c>
      <c r="F210" s="5785" t="s">
        <v>2129</v>
      </c>
      <c r="G210" s="5785" t="s">
        <v>2129</v>
      </c>
      <c r="H210" s="5785">
        <v>3</v>
      </c>
      <c r="I210" s="5785">
        <v>1</v>
      </c>
      <c r="J210" s="5785" t="b">
        <v>0</v>
      </c>
      <c r="K210" s="5785" t="s">
        <v>2129</v>
      </c>
      <c r="L210" s="5786">
        <v>398589</v>
      </c>
      <c r="M210" s="5786">
        <v>0</v>
      </c>
      <c r="N210" s="5786">
        <v>0</v>
      </c>
      <c r="O210" s="5786">
        <v>0</v>
      </c>
      <c r="P210" s="5786">
        <v>0</v>
      </c>
      <c r="Q210" s="2476">
        <v>438447.9</v>
      </c>
      <c r="R210" s="2477">
        <v>438447</v>
      </c>
      <c r="S210" s="2477" t="b">
        <v>0</v>
      </c>
      <c r="T210" s="5786">
        <v>438447</v>
      </c>
      <c r="U210" s="5786">
        <v>0</v>
      </c>
      <c r="V210" s="863">
        <v>2211422</v>
      </c>
      <c r="W210" s="863">
        <v>2211422</v>
      </c>
      <c r="X210" s="863" t="b">
        <v>1</v>
      </c>
      <c r="Y210" s="863">
        <v>26643.638554216868</v>
      </c>
      <c r="AB210" s="863" t="s">
        <v>2129</v>
      </c>
      <c r="AE210">
        <v>120</v>
      </c>
      <c r="AF210" s="3965">
        <v>83</v>
      </c>
      <c r="AG210" s="3965" t="b">
        <v>1</v>
      </c>
      <c r="AH210">
        <v>163</v>
      </c>
      <c r="AI210" t="s">
        <v>2129</v>
      </c>
      <c r="AJ210">
        <v>76</v>
      </c>
      <c r="AK210" t="s">
        <v>2129</v>
      </c>
      <c r="AL210" t="s">
        <v>2129</v>
      </c>
      <c r="AM210" t="s">
        <v>2129</v>
      </c>
      <c r="AN210" t="s">
        <v>2129</v>
      </c>
      <c r="AQ210" t="s">
        <v>2129</v>
      </c>
      <c r="AV210" t="s">
        <v>2129</v>
      </c>
      <c r="AW210" t="s">
        <v>2129</v>
      </c>
      <c r="AX210" t="s">
        <v>2129</v>
      </c>
      <c r="AY210" t="s">
        <v>2129</v>
      </c>
      <c r="AZ210" t="s">
        <v>2129</v>
      </c>
      <c r="BA210">
        <v>11</v>
      </c>
      <c r="BB210" t="s">
        <v>2129</v>
      </c>
      <c r="BC210" t="s">
        <v>2129</v>
      </c>
      <c r="BD210" t="s">
        <v>2129</v>
      </c>
      <c r="BE210" t="s">
        <v>2129</v>
      </c>
      <c r="BF210" t="s">
        <v>2129</v>
      </c>
      <c r="BG210" t="s">
        <v>2129</v>
      </c>
      <c r="BH210" s="1958" t="s">
        <v>2129</v>
      </c>
      <c r="BI210"/>
      <c r="BJ210" s="863" t="s">
        <v>2129</v>
      </c>
      <c r="BK210" s="863" t="s">
        <v>2129</v>
      </c>
      <c r="BL210" s="863" t="s">
        <v>2129</v>
      </c>
      <c r="BM210" s="863" t="s">
        <v>2129</v>
      </c>
      <c r="BN210" s="863">
        <v>22274081.8313253</v>
      </c>
      <c r="BO210" s="863" t="s">
        <v>2129</v>
      </c>
      <c r="BP210" s="863" t="s">
        <v>2129</v>
      </c>
      <c r="BQ210" s="863" t="s">
        <v>2129</v>
      </c>
      <c r="BR210" s="863" t="s">
        <v>2129</v>
      </c>
      <c r="BS210" s="863" t="s">
        <v>2129</v>
      </c>
      <c r="BT210" s="863" t="s">
        <v>2129</v>
      </c>
      <c r="BU210" s="863" t="s">
        <v>2129</v>
      </c>
      <c r="BV210" s="863" t="s">
        <v>2129</v>
      </c>
      <c r="BW210" s="863" t="s">
        <v>2129</v>
      </c>
      <c r="BX210" s="863" t="s">
        <v>2129</v>
      </c>
      <c r="BY210" s="863" t="s">
        <v>2129</v>
      </c>
      <c r="BZ210" s="863" t="s">
        <v>2129</v>
      </c>
      <c r="CA210" s="863" t="s">
        <v>2129</v>
      </c>
      <c r="CB210" s="863"/>
      <c r="CC210" s="863" t="s">
        <v>2129</v>
      </c>
      <c r="CD210" s="863" t="s">
        <v>2129</v>
      </c>
      <c r="CE210" s="863" t="s">
        <v>2129</v>
      </c>
      <c r="CF210" s="863" t="s">
        <v>2129</v>
      </c>
      <c r="CG210" s="863"/>
      <c r="CH210" s="5785"/>
    </row>
    <row r="211" spans="1:86" ht="13">
      <c r="A211">
        <v>2032</v>
      </c>
      <c r="B211" s="5791" t="s">
        <v>2876</v>
      </c>
      <c r="C211" s="5790" t="s">
        <v>6598</v>
      </c>
      <c r="D211" s="5790" t="s">
        <v>6599</v>
      </c>
      <c r="E211" s="5790" t="s">
        <v>2129</v>
      </c>
      <c r="F211" s="5785" t="s">
        <v>2129</v>
      </c>
      <c r="G211" s="5785" t="s">
        <v>2129</v>
      </c>
      <c r="H211" s="5785">
        <v>23</v>
      </c>
      <c r="I211" s="5785">
        <v>4</v>
      </c>
      <c r="J211" s="5785" t="b">
        <v>1</v>
      </c>
      <c r="K211" s="5785" t="s">
        <v>2129</v>
      </c>
      <c r="L211" s="5786">
        <v>3827198</v>
      </c>
      <c r="M211" s="5786">
        <v>51768</v>
      </c>
      <c r="N211" s="5786">
        <v>0</v>
      </c>
      <c r="O211" s="5786">
        <v>0</v>
      </c>
      <c r="P211" s="5786">
        <v>0</v>
      </c>
      <c r="Q211" s="2476">
        <v>4266862.6000000006</v>
      </c>
      <c r="R211" s="2477">
        <v>1734933</v>
      </c>
      <c r="S211" s="2477" t="b">
        <v>0</v>
      </c>
      <c r="T211" s="5786">
        <v>433733.25</v>
      </c>
      <c r="U211" s="5786">
        <v>56944</v>
      </c>
      <c r="V211" s="863">
        <v>1560732</v>
      </c>
      <c r="W211" s="863">
        <v>1503788</v>
      </c>
      <c r="X211" s="863" t="b">
        <v>1</v>
      </c>
      <c r="Y211" s="863">
        <v>23496.6875</v>
      </c>
      <c r="Z211" s="863">
        <v>12942</v>
      </c>
      <c r="AA211" s="863">
        <v>36471</v>
      </c>
      <c r="AB211" s="863">
        <v>13076.417391304349</v>
      </c>
      <c r="AC211" s="863">
        <v>1300</v>
      </c>
      <c r="AE211">
        <v>78</v>
      </c>
      <c r="AF211" s="3965">
        <v>64</v>
      </c>
      <c r="AG211" s="3965" t="b">
        <v>1</v>
      </c>
      <c r="AH211">
        <v>132</v>
      </c>
      <c r="AI211">
        <v>100</v>
      </c>
      <c r="AJ211" t="s">
        <v>2129</v>
      </c>
      <c r="AK211" t="s">
        <v>2129</v>
      </c>
      <c r="AL211" t="s">
        <v>2129</v>
      </c>
      <c r="AM211" t="s">
        <v>2129</v>
      </c>
      <c r="AN211">
        <v>36</v>
      </c>
      <c r="AQ211" t="s">
        <v>2129</v>
      </c>
      <c r="AV211" s="191">
        <v>13</v>
      </c>
      <c r="AW211">
        <v>18</v>
      </c>
      <c r="AX211" t="s">
        <v>2129</v>
      </c>
      <c r="AY211" t="s">
        <v>2129</v>
      </c>
      <c r="AZ211" t="s">
        <v>2129</v>
      </c>
      <c r="BA211" t="s">
        <v>2129</v>
      </c>
      <c r="BB211" t="s">
        <v>2129</v>
      </c>
      <c r="BC211" t="s">
        <v>2129</v>
      </c>
      <c r="BD211" t="s">
        <v>2129</v>
      </c>
      <c r="BE211" t="s">
        <v>2129</v>
      </c>
      <c r="BF211" t="s">
        <v>2129</v>
      </c>
      <c r="BG211" t="s">
        <v>2129</v>
      </c>
      <c r="BH211" s="1958">
        <v>19549244</v>
      </c>
      <c r="BI211" s="1958">
        <v>27068184</v>
      </c>
      <c r="BJ211" s="1958" t="s">
        <v>2129</v>
      </c>
      <c r="BK211" s="1958" t="s">
        <v>2129</v>
      </c>
      <c r="BL211" s="1958" t="s">
        <v>2129</v>
      </c>
      <c r="BM211" s="1958" t="s">
        <v>2129</v>
      </c>
      <c r="BN211" s="1958" t="s">
        <v>2129</v>
      </c>
      <c r="BO211" s="1958" t="s">
        <v>2129</v>
      </c>
      <c r="BP211" s="1958" t="s">
        <v>2129</v>
      </c>
      <c r="BQ211" s="863" t="s">
        <v>2129</v>
      </c>
      <c r="BR211" s="863" t="s">
        <v>2129</v>
      </c>
      <c r="BS211" s="1958" t="s">
        <v>2129</v>
      </c>
      <c r="BT211" s="1958" t="s">
        <v>2129</v>
      </c>
      <c r="BU211" s="1958" t="s">
        <v>2129</v>
      </c>
      <c r="BV211" s="1958" t="s">
        <v>2129</v>
      </c>
      <c r="BW211" s="1958" t="s">
        <v>2129</v>
      </c>
      <c r="BX211" s="1958">
        <v>22554129</v>
      </c>
      <c r="BY211" s="1958">
        <v>31228794</v>
      </c>
      <c r="BZ211" s="1958" t="s">
        <v>2129</v>
      </c>
      <c r="CA211" s="1958" t="s">
        <v>2129</v>
      </c>
      <c r="CC211" s="1958" t="s">
        <v>2129</v>
      </c>
      <c r="CD211" s="1958" t="s">
        <v>2129</v>
      </c>
      <c r="CE211" s="1958" t="s">
        <v>2129</v>
      </c>
      <c r="CF211" s="1958" t="s">
        <v>2129</v>
      </c>
      <c r="CH211" s="5785"/>
    </row>
    <row r="212" spans="1:86" ht="13" hidden="1">
      <c r="A212">
        <v>2034</v>
      </c>
      <c r="B212" s="196" t="s">
        <v>3418</v>
      </c>
      <c r="C212" s="5785" t="s">
        <v>2129</v>
      </c>
      <c r="D212" s="2694" t="s">
        <v>3791</v>
      </c>
      <c r="E212" s="2694" t="s">
        <v>2129</v>
      </c>
      <c r="F212" s="5785" t="s">
        <v>2129</v>
      </c>
      <c r="G212" s="5785" t="s">
        <v>2129</v>
      </c>
      <c r="H212" s="5785">
        <v>2</v>
      </c>
      <c r="I212" s="5785">
        <v>1</v>
      </c>
      <c r="J212" s="5785" t="b">
        <v>0</v>
      </c>
      <c r="K212" s="5785" t="s">
        <v>2129</v>
      </c>
      <c r="L212" s="5786">
        <v>141177</v>
      </c>
      <c r="M212" s="5786">
        <v>0</v>
      </c>
      <c r="N212" s="5786">
        <v>0</v>
      </c>
      <c r="O212" s="5786">
        <v>0</v>
      </c>
      <c r="P212" s="5786">
        <v>0</v>
      </c>
      <c r="Q212" s="2476">
        <v>155294.70000000001</v>
      </c>
      <c r="R212" s="2477">
        <v>155294</v>
      </c>
      <c r="S212" s="2477" t="b">
        <v>0</v>
      </c>
      <c r="T212" s="5786">
        <v>155294</v>
      </c>
      <c r="U212" s="5786">
        <v>0</v>
      </c>
      <c r="V212" s="863">
        <v>1309679</v>
      </c>
      <c r="W212" s="863">
        <v>1309679</v>
      </c>
      <c r="X212" s="863" t="b">
        <v>1</v>
      </c>
      <c r="Y212" s="863">
        <v>14551.988888888889</v>
      </c>
      <c r="AB212" s="863" t="s">
        <v>2129</v>
      </c>
      <c r="AE212">
        <v>155</v>
      </c>
      <c r="AF212" s="3965">
        <v>90</v>
      </c>
      <c r="AG212" s="3965" t="b">
        <v>1</v>
      </c>
      <c r="AH212">
        <v>155</v>
      </c>
      <c r="AI212" t="s">
        <v>2129</v>
      </c>
      <c r="AJ212">
        <v>88</v>
      </c>
      <c r="AK212" t="s">
        <v>2129</v>
      </c>
      <c r="AL212" t="s">
        <v>2129</v>
      </c>
      <c r="AM212" t="s">
        <v>2129</v>
      </c>
      <c r="AN212" t="s">
        <v>2129</v>
      </c>
      <c r="AQ212" t="s">
        <v>2129</v>
      </c>
      <c r="AV212" t="s">
        <v>2129</v>
      </c>
      <c r="AW212" t="s">
        <v>2129</v>
      </c>
      <c r="AX212" t="s">
        <v>2129</v>
      </c>
      <c r="AY212" t="s">
        <v>2129</v>
      </c>
      <c r="AZ212" t="s">
        <v>2129</v>
      </c>
      <c r="BA212">
        <v>11</v>
      </c>
      <c r="BB212" t="s">
        <v>2129</v>
      </c>
      <c r="BC212" t="s">
        <v>2129</v>
      </c>
      <c r="BD212" t="s">
        <v>2129</v>
      </c>
      <c r="BE212" t="s">
        <v>2129</v>
      </c>
      <c r="BF212" t="s">
        <v>2129</v>
      </c>
      <c r="BG212" t="s">
        <v>2129</v>
      </c>
      <c r="BH212" s="1958" t="s">
        <v>2129</v>
      </c>
      <c r="BI212"/>
      <c r="BJ212" s="863" t="s">
        <v>2129</v>
      </c>
      <c r="BK212" s="863" t="s">
        <v>2129</v>
      </c>
      <c r="BL212" s="863" t="s">
        <v>2129</v>
      </c>
      <c r="BM212" s="863" t="s">
        <v>2129</v>
      </c>
      <c r="BN212" s="863">
        <v>14086325.244444445</v>
      </c>
      <c r="BO212" s="863" t="s">
        <v>2129</v>
      </c>
      <c r="BP212" s="863" t="s">
        <v>2129</v>
      </c>
      <c r="BQ212" s="863" t="s">
        <v>2129</v>
      </c>
      <c r="BR212" s="863" t="s">
        <v>2129</v>
      </c>
      <c r="BS212" s="863" t="s">
        <v>2129</v>
      </c>
      <c r="BT212" s="863" t="s">
        <v>2129</v>
      </c>
      <c r="BU212" s="863" t="s">
        <v>2129</v>
      </c>
      <c r="BV212" s="863" t="s">
        <v>2129</v>
      </c>
      <c r="BW212" s="863" t="s">
        <v>2129</v>
      </c>
      <c r="BX212" s="863" t="s">
        <v>2129</v>
      </c>
      <c r="BY212" s="863" t="s">
        <v>2129</v>
      </c>
      <c r="BZ212" s="863" t="s">
        <v>2129</v>
      </c>
      <c r="CA212" s="863" t="s">
        <v>2129</v>
      </c>
      <c r="CB212" s="863"/>
      <c r="CC212" s="863" t="s">
        <v>2129</v>
      </c>
      <c r="CD212" s="863" t="s">
        <v>2129</v>
      </c>
      <c r="CE212" s="863" t="s">
        <v>2129</v>
      </c>
      <c r="CF212" s="863" t="s">
        <v>2129</v>
      </c>
      <c r="CG212" s="863"/>
      <c r="CH212" s="5785"/>
    </row>
    <row r="213" spans="1:86" s="5782" customFormat="1" ht="13" hidden="1">
      <c r="A213" s="5782">
        <v>2036</v>
      </c>
      <c r="B213" s="5783" t="s">
        <v>3419</v>
      </c>
      <c r="C213" s="5784" t="s">
        <v>2129</v>
      </c>
      <c r="D213" s="5784" t="s">
        <v>2129</v>
      </c>
      <c r="E213" s="5784" t="s">
        <v>2129</v>
      </c>
      <c r="F213" s="5784" t="s">
        <v>2129</v>
      </c>
      <c r="G213" s="5784" t="s">
        <v>2129</v>
      </c>
      <c r="H213" s="5784">
        <v>0</v>
      </c>
      <c r="I213" s="5784">
        <v>0</v>
      </c>
      <c r="J213" s="5785" t="b">
        <v>0</v>
      </c>
      <c r="K213" s="5785" t="s">
        <v>2129</v>
      </c>
      <c r="L213" s="5786">
        <v>0</v>
      </c>
      <c r="M213" s="5786">
        <v>0</v>
      </c>
      <c r="N213" s="5786">
        <v>0</v>
      </c>
      <c r="O213" s="5786">
        <v>0</v>
      </c>
      <c r="P213" s="5786">
        <v>0</v>
      </c>
      <c r="Q213" s="2476">
        <v>0</v>
      </c>
      <c r="R213" s="5787">
        <v>0</v>
      </c>
      <c r="S213" s="2477" t="b">
        <v>1</v>
      </c>
      <c r="T213" s="5787" t="s">
        <v>2129</v>
      </c>
      <c r="U213" s="5787">
        <v>0</v>
      </c>
      <c r="V213" s="5788">
        <v>1720570</v>
      </c>
      <c r="W213" s="5788">
        <v>1720570</v>
      </c>
      <c r="X213" s="5788" t="b">
        <v>1</v>
      </c>
      <c r="Y213" s="5788">
        <v>11470.466666666667</v>
      </c>
      <c r="Z213" s="5788"/>
      <c r="AA213" s="5788"/>
      <c r="AB213" s="5788" t="s">
        <v>2129</v>
      </c>
      <c r="AC213" s="5788"/>
      <c r="AD213" s="5788"/>
      <c r="AE213" s="5782">
        <v>234</v>
      </c>
      <c r="AF213" s="5789">
        <v>150</v>
      </c>
      <c r="AG213" s="5789" t="b">
        <v>1</v>
      </c>
      <c r="AH213" s="5782">
        <v>234</v>
      </c>
      <c r="AI213" s="5782" t="s">
        <v>2129</v>
      </c>
      <c r="AJ213" s="5782" t="s">
        <v>2129</v>
      </c>
      <c r="AK213" s="5782" t="s">
        <v>2129</v>
      </c>
      <c r="AL213" s="5782" t="s">
        <v>2129</v>
      </c>
      <c r="AM213" s="5782" t="s">
        <v>2129</v>
      </c>
      <c r="AN213" s="5782" t="s">
        <v>2129</v>
      </c>
      <c r="AQ213" s="5782" t="s">
        <v>2129</v>
      </c>
      <c r="AV213" s="5782" t="s">
        <v>2129</v>
      </c>
      <c r="AW213" s="5782" t="s">
        <v>2129</v>
      </c>
      <c r="AX213" s="5782" t="s">
        <v>2129</v>
      </c>
      <c r="AY213" s="5782" t="s">
        <v>2129</v>
      </c>
      <c r="AZ213" s="5782" t="s">
        <v>2129</v>
      </c>
      <c r="BA213" s="5782" t="s">
        <v>2129</v>
      </c>
      <c r="BB213" s="5782" t="s">
        <v>2129</v>
      </c>
      <c r="BC213" s="5782" t="s">
        <v>2129</v>
      </c>
      <c r="BD213" s="5782" t="s">
        <v>2129</v>
      </c>
      <c r="BE213" s="5782" t="s">
        <v>2129</v>
      </c>
      <c r="BF213" s="5782" t="s">
        <v>2129</v>
      </c>
      <c r="BG213" s="5782" t="s">
        <v>2129</v>
      </c>
      <c r="BH213" s="5788" t="s">
        <v>2129</v>
      </c>
      <c r="BJ213" s="5788" t="s">
        <v>2129</v>
      </c>
      <c r="BK213" s="5788" t="s">
        <v>2129</v>
      </c>
      <c r="BL213" s="5788" t="s">
        <v>2129</v>
      </c>
      <c r="BM213" s="5788" t="s">
        <v>2129</v>
      </c>
      <c r="BN213" s="5788" t="s">
        <v>2129</v>
      </c>
      <c r="BO213" s="5788" t="s">
        <v>2129</v>
      </c>
      <c r="BP213" s="5788" t="s">
        <v>2129</v>
      </c>
      <c r="BQ213" s="5788" t="s">
        <v>2129</v>
      </c>
      <c r="BR213" s="5788" t="s">
        <v>2129</v>
      </c>
      <c r="BS213" s="5788" t="s">
        <v>2129</v>
      </c>
      <c r="BT213" s="5788" t="s">
        <v>2129</v>
      </c>
      <c r="BU213" s="5788" t="s">
        <v>2129</v>
      </c>
      <c r="BV213" s="5788" t="s">
        <v>2129</v>
      </c>
      <c r="BW213" s="5788" t="s">
        <v>2129</v>
      </c>
      <c r="BX213" s="5788" t="s">
        <v>2129</v>
      </c>
      <c r="BY213" s="5788" t="s">
        <v>2129</v>
      </c>
      <c r="BZ213" s="5788" t="s">
        <v>2129</v>
      </c>
      <c r="CA213" s="5788" t="s">
        <v>2129</v>
      </c>
      <c r="CB213" s="5788"/>
      <c r="CC213" s="5788" t="s">
        <v>2129</v>
      </c>
      <c r="CD213" s="5788" t="s">
        <v>2129</v>
      </c>
      <c r="CE213" s="5788" t="s">
        <v>2129</v>
      </c>
      <c r="CF213" s="5788" t="s">
        <v>2129</v>
      </c>
      <c r="CG213" s="5788"/>
      <c r="CH213" s="5784"/>
    </row>
    <row r="214" spans="1:86" ht="13">
      <c r="A214">
        <v>2037</v>
      </c>
      <c r="B214" s="196" t="s">
        <v>3420</v>
      </c>
      <c r="C214" s="5790" t="s">
        <v>6598</v>
      </c>
      <c r="D214" s="5790" t="s">
        <v>6599</v>
      </c>
      <c r="E214" s="5790" t="s">
        <v>2129</v>
      </c>
      <c r="F214" s="5785" t="s">
        <v>3791</v>
      </c>
      <c r="G214" s="5785" t="s">
        <v>2129</v>
      </c>
      <c r="H214" s="5785">
        <v>8</v>
      </c>
      <c r="I214" s="5785">
        <v>6</v>
      </c>
      <c r="J214" s="5785" t="b">
        <v>1</v>
      </c>
      <c r="K214" s="5785" t="s">
        <v>2129</v>
      </c>
      <c r="L214" s="5786">
        <v>423532</v>
      </c>
      <c r="M214" s="5786">
        <v>0</v>
      </c>
      <c r="N214" s="5786">
        <v>0</v>
      </c>
      <c r="O214" s="5786">
        <v>0</v>
      </c>
      <c r="P214" s="5786">
        <v>0</v>
      </c>
      <c r="Q214" s="2476">
        <v>465885.2</v>
      </c>
      <c r="R214" s="2477">
        <v>360002</v>
      </c>
      <c r="S214" s="2477" t="b">
        <v>1</v>
      </c>
      <c r="T214" s="5786">
        <v>60000.333333333336</v>
      </c>
      <c r="U214" s="5786">
        <v>4574066</v>
      </c>
      <c r="V214" s="863">
        <v>6067486</v>
      </c>
      <c r="W214" s="863">
        <v>1493420</v>
      </c>
      <c r="X214" s="863" t="b">
        <v>1</v>
      </c>
      <c r="Y214" s="863">
        <v>20457.808219178081</v>
      </c>
      <c r="Z214" s="863">
        <v>11177</v>
      </c>
      <c r="AA214" s="863">
        <v>22353</v>
      </c>
      <c r="AB214" s="863">
        <v>14270.616340181559</v>
      </c>
      <c r="AC214" s="863">
        <v>0</v>
      </c>
      <c r="AE214">
        <v>265</v>
      </c>
      <c r="AF214" s="3965">
        <v>73</v>
      </c>
      <c r="AG214" s="3965" t="b">
        <v>1</v>
      </c>
      <c r="AH214" s="2814">
        <v>297</v>
      </c>
      <c r="AI214">
        <v>91</v>
      </c>
      <c r="AJ214" t="s">
        <v>2129</v>
      </c>
      <c r="AK214" t="s">
        <v>2129</v>
      </c>
      <c r="AL214">
        <v>54</v>
      </c>
      <c r="AM214" t="s">
        <v>2129</v>
      </c>
      <c r="AN214">
        <v>18</v>
      </c>
      <c r="AQ214">
        <v>-19</v>
      </c>
      <c r="AV214">
        <v>13</v>
      </c>
      <c r="AW214">
        <v>18</v>
      </c>
      <c r="AX214" t="s">
        <v>2129</v>
      </c>
      <c r="AY214" t="s">
        <v>2129</v>
      </c>
      <c r="AZ214" t="s">
        <v>2129</v>
      </c>
      <c r="BA214" t="s">
        <v>2129</v>
      </c>
      <c r="BB214" t="s">
        <v>2129</v>
      </c>
      <c r="BC214" t="s">
        <v>2129</v>
      </c>
      <c r="BD214" t="s">
        <v>2129</v>
      </c>
      <c r="BE214" t="s">
        <v>2129</v>
      </c>
      <c r="BF214">
        <v>10</v>
      </c>
      <c r="BG214" t="s">
        <v>2129</v>
      </c>
      <c r="BH214" s="1958">
        <v>19414460</v>
      </c>
      <c r="BI214" s="1958">
        <v>26881560</v>
      </c>
      <c r="BJ214" s="1958" t="s">
        <v>2129</v>
      </c>
      <c r="BK214" s="1958" t="s">
        <v>2129</v>
      </c>
      <c r="BL214" s="1958" t="s">
        <v>2129</v>
      </c>
      <c r="BM214" s="1958" t="s">
        <v>2129</v>
      </c>
      <c r="BN214" s="1958" t="s">
        <v>2129</v>
      </c>
      <c r="BO214" s="1958" t="s">
        <v>2129</v>
      </c>
      <c r="BP214" s="1958" t="s">
        <v>2129</v>
      </c>
      <c r="BQ214" s="863" t="s">
        <v>2129</v>
      </c>
      <c r="BR214" s="863" t="s">
        <v>2129</v>
      </c>
      <c r="BS214" s="1958" t="s">
        <v>2129</v>
      </c>
      <c r="BT214" s="1958" t="s">
        <v>2129</v>
      </c>
      <c r="BU214" s="1958" t="s">
        <v>2129</v>
      </c>
      <c r="BV214" s="1958">
        <v>11047216.438356163</v>
      </c>
      <c r="BW214" s="1958" t="s">
        <v>2129</v>
      </c>
      <c r="BX214" s="1958">
        <v>4680026</v>
      </c>
      <c r="BY214" s="1958">
        <v>6480036</v>
      </c>
      <c r="BZ214" s="1958" t="s">
        <v>2129</v>
      </c>
      <c r="CA214" s="1958" t="s">
        <v>2129</v>
      </c>
      <c r="CC214" s="1958" t="s">
        <v>2129</v>
      </c>
      <c r="CD214" s="1958" t="s">
        <v>2129</v>
      </c>
      <c r="CE214" s="1958" t="s">
        <v>2129</v>
      </c>
      <c r="CF214" s="1958" t="s">
        <v>2129</v>
      </c>
      <c r="CH214" s="5785"/>
    </row>
    <row r="215" spans="1:86" s="5782" customFormat="1" ht="13" hidden="1">
      <c r="A215" s="5782">
        <v>2038</v>
      </c>
      <c r="B215" s="5783" t="s">
        <v>3421</v>
      </c>
      <c r="C215" s="5784" t="s">
        <v>2129</v>
      </c>
      <c r="D215" s="5784" t="s">
        <v>2129</v>
      </c>
      <c r="E215" s="5784" t="s">
        <v>2129</v>
      </c>
      <c r="F215" s="5784" t="s">
        <v>2129</v>
      </c>
      <c r="G215" s="5784" t="s">
        <v>2129</v>
      </c>
      <c r="H215" s="5784">
        <v>11</v>
      </c>
      <c r="I215" s="5784">
        <v>9</v>
      </c>
      <c r="J215" s="5785" t="b">
        <v>0</v>
      </c>
      <c r="K215" s="5785" t="s">
        <v>2129</v>
      </c>
      <c r="L215" s="5786">
        <v>8339299</v>
      </c>
      <c r="M215" s="5786">
        <v>0</v>
      </c>
      <c r="N215" s="5786">
        <v>0</v>
      </c>
      <c r="O215" s="5786">
        <v>0</v>
      </c>
      <c r="P215" s="5786">
        <v>30000</v>
      </c>
      <c r="Q215" s="2476">
        <v>9203228.9000000004</v>
      </c>
      <c r="R215" s="5787">
        <v>9203228</v>
      </c>
      <c r="S215" s="2477" t="b">
        <v>0</v>
      </c>
      <c r="T215" s="5787">
        <v>1022580.8888888889</v>
      </c>
      <c r="U215" s="5787">
        <v>0</v>
      </c>
      <c r="V215" s="5788">
        <v>3366082</v>
      </c>
      <c r="W215" s="5788">
        <v>3366082</v>
      </c>
      <c r="X215" s="5788" t="b">
        <v>1</v>
      </c>
      <c r="Y215" s="5788">
        <v>28050.683333333334</v>
      </c>
      <c r="Z215" s="5788"/>
      <c r="AA215" s="5788"/>
      <c r="AB215" s="5788" t="s">
        <v>2129</v>
      </c>
      <c r="AC215" s="5788"/>
      <c r="AD215" s="5788"/>
      <c r="AE215" s="5782">
        <v>408</v>
      </c>
      <c r="AF215" s="5789">
        <v>120</v>
      </c>
      <c r="AG215" s="5789" t="b">
        <v>1</v>
      </c>
      <c r="AH215" s="5782">
        <v>743</v>
      </c>
      <c r="AI215" s="5782" t="s">
        <v>2129</v>
      </c>
      <c r="AJ215" s="5782" t="s">
        <v>2129</v>
      </c>
      <c r="AK215" s="5782" t="s">
        <v>2129</v>
      </c>
      <c r="AL215" s="5782" t="s">
        <v>2129</v>
      </c>
      <c r="AM215" s="5782" t="s">
        <v>2129</v>
      </c>
      <c r="AN215" s="5782" t="s">
        <v>2129</v>
      </c>
      <c r="AQ215" s="5782" t="s">
        <v>2129</v>
      </c>
      <c r="AV215" s="5782" t="s">
        <v>2129</v>
      </c>
      <c r="AW215" s="5782" t="s">
        <v>2129</v>
      </c>
      <c r="AX215" s="5782" t="s">
        <v>2129</v>
      </c>
      <c r="AY215" s="5782" t="s">
        <v>2129</v>
      </c>
      <c r="AZ215" s="5782" t="s">
        <v>2129</v>
      </c>
      <c r="BA215" s="5782" t="s">
        <v>2129</v>
      </c>
      <c r="BB215" s="5782" t="s">
        <v>2129</v>
      </c>
      <c r="BC215" s="5782" t="s">
        <v>2129</v>
      </c>
      <c r="BD215" s="5782" t="s">
        <v>2129</v>
      </c>
      <c r="BE215" s="5782" t="s">
        <v>2129</v>
      </c>
      <c r="BF215" s="5782" t="s">
        <v>2129</v>
      </c>
      <c r="BG215" s="5782" t="s">
        <v>2129</v>
      </c>
      <c r="BH215" s="5788" t="s">
        <v>2129</v>
      </c>
      <c r="BJ215" s="5788" t="s">
        <v>2129</v>
      </c>
      <c r="BK215" s="5788" t="s">
        <v>2129</v>
      </c>
      <c r="BL215" s="5788" t="s">
        <v>2129</v>
      </c>
      <c r="BM215" s="5788" t="s">
        <v>2129</v>
      </c>
      <c r="BN215" s="5788" t="s">
        <v>2129</v>
      </c>
      <c r="BO215" s="5788" t="s">
        <v>2129</v>
      </c>
      <c r="BP215" s="5788" t="s">
        <v>2129</v>
      </c>
      <c r="BQ215" s="5788" t="s">
        <v>2129</v>
      </c>
      <c r="BR215" s="5788" t="s">
        <v>2129</v>
      </c>
      <c r="BS215" s="5788" t="s">
        <v>2129</v>
      </c>
      <c r="BT215" s="5788" t="s">
        <v>2129</v>
      </c>
      <c r="BU215" s="5788" t="s">
        <v>2129</v>
      </c>
      <c r="BV215" s="5788" t="s">
        <v>2129</v>
      </c>
      <c r="BW215" s="5788" t="s">
        <v>2129</v>
      </c>
      <c r="BX215" s="5788" t="s">
        <v>2129</v>
      </c>
      <c r="BY215" s="5788" t="s">
        <v>2129</v>
      </c>
      <c r="BZ215" s="5788" t="s">
        <v>2129</v>
      </c>
      <c r="CA215" s="5788" t="s">
        <v>2129</v>
      </c>
      <c r="CB215" s="5788"/>
      <c r="CC215" s="5788" t="s">
        <v>2129</v>
      </c>
      <c r="CD215" s="5788" t="s">
        <v>2129</v>
      </c>
      <c r="CE215" s="5788" t="s">
        <v>2129</v>
      </c>
      <c r="CF215" s="5788" t="s">
        <v>2129</v>
      </c>
      <c r="CG215" s="5788"/>
      <c r="CH215" s="5784"/>
    </row>
    <row r="216" spans="1:86" s="5782" customFormat="1" ht="17.25" hidden="1" customHeight="1">
      <c r="A216" s="5782">
        <v>2040</v>
      </c>
      <c r="B216" s="5783" t="s">
        <v>3422</v>
      </c>
      <c r="C216" s="5784" t="s">
        <v>2129</v>
      </c>
      <c r="D216" s="5784" t="s">
        <v>2129</v>
      </c>
      <c r="E216" s="5784" t="s">
        <v>2129</v>
      </c>
      <c r="F216" s="5784" t="s">
        <v>2129</v>
      </c>
      <c r="G216" s="5784" t="s">
        <v>2129</v>
      </c>
      <c r="H216" s="5784">
        <v>0</v>
      </c>
      <c r="I216" s="5784">
        <v>5</v>
      </c>
      <c r="J216" s="5785" t="b">
        <v>0</v>
      </c>
      <c r="K216" s="5785" t="s">
        <v>2129</v>
      </c>
      <c r="L216" s="5786">
        <v>1552942</v>
      </c>
      <c r="M216" s="5786">
        <v>82354</v>
      </c>
      <c r="N216" s="5786">
        <v>0</v>
      </c>
      <c r="O216" s="5786">
        <v>0</v>
      </c>
      <c r="P216" s="5786">
        <v>15000</v>
      </c>
      <c r="Q216" s="2476">
        <v>1813825.6</v>
      </c>
      <c r="R216" s="5787">
        <v>3586768</v>
      </c>
      <c r="S216" s="2477" t="b">
        <v>0</v>
      </c>
      <c r="T216" s="5787">
        <v>717353.6</v>
      </c>
      <c r="U216" s="5787">
        <v>0</v>
      </c>
      <c r="V216" s="5788">
        <v>1863576</v>
      </c>
      <c r="W216" s="5788">
        <v>1863576</v>
      </c>
      <c r="X216" s="5788" t="b">
        <v>1</v>
      </c>
      <c r="Y216" s="5788">
        <v>31059.599999999999</v>
      </c>
      <c r="Z216" s="5788"/>
      <c r="AA216" s="5788"/>
      <c r="AB216" s="5788" t="s">
        <v>2129</v>
      </c>
      <c r="AC216" s="5788"/>
      <c r="AD216" s="5788"/>
      <c r="AE216" s="5782">
        <v>489</v>
      </c>
      <c r="AF216" s="5789">
        <v>60</v>
      </c>
      <c r="AG216" s="5789" t="b">
        <v>1</v>
      </c>
      <c r="AH216" s="5782">
        <v>921</v>
      </c>
      <c r="AI216" s="5782" t="s">
        <v>2129</v>
      </c>
      <c r="AJ216" s="5782" t="s">
        <v>2129</v>
      </c>
      <c r="AK216" s="5782" t="s">
        <v>2129</v>
      </c>
      <c r="AL216" s="5782" t="s">
        <v>2129</v>
      </c>
      <c r="AM216" s="5782" t="s">
        <v>2129</v>
      </c>
      <c r="AN216" s="5782" t="s">
        <v>2129</v>
      </c>
      <c r="AQ216" s="5782" t="s">
        <v>2129</v>
      </c>
      <c r="AV216" s="5782" t="s">
        <v>2129</v>
      </c>
      <c r="AW216" s="5782" t="s">
        <v>2129</v>
      </c>
      <c r="AX216" s="5782" t="s">
        <v>2129</v>
      </c>
      <c r="AY216" s="5782" t="s">
        <v>2129</v>
      </c>
      <c r="AZ216" s="5782" t="s">
        <v>2129</v>
      </c>
      <c r="BA216" s="5782" t="s">
        <v>2129</v>
      </c>
      <c r="BB216" s="5782" t="s">
        <v>2129</v>
      </c>
      <c r="BC216" s="5782" t="s">
        <v>2129</v>
      </c>
      <c r="BD216" s="5782" t="s">
        <v>2129</v>
      </c>
      <c r="BE216" s="5782" t="s">
        <v>2129</v>
      </c>
      <c r="BF216" s="5782" t="s">
        <v>2129</v>
      </c>
      <c r="BG216" s="5782" t="s">
        <v>2129</v>
      </c>
      <c r="BH216" s="5788" t="s">
        <v>2129</v>
      </c>
      <c r="BJ216" s="5788" t="s">
        <v>2129</v>
      </c>
      <c r="BK216" s="5788" t="s">
        <v>2129</v>
      </c>
      <c r="BL216" s="5788" t="s">
        <v>2129</v>
      </c>
      <c r="BM216" s="5788" t="s">
        <v>2129</v>
      </c>
      <c r="BN216" s="5788" t="s">
        <v>2129</v>
      </c>
      <c r="BO216" s="5788" t="s">
        <v>2129</v>
      </c>
      <c r="BP216" s="5788" t="s">
        <v>2129</v>
      </c>
      <c r="BQ216" s="5788" t="s">
        <v>2129</v>
      </c>
      <c r="BR216" s="5788" t="s">
        <v>2129</v>
      </c>
      <c r="BS216" s="5788" t="s">
        <v>2129</v>
      </c>
      <c r="BT216" s="5788" t="s">
        <v>2129</v>
      </c>
      <c r="BU216" s="5788" t="s">
        <v>2129</v>
      </c>
      <c r="BV216" s="5788" t="s">
        <v>2129</v>
      </c>
      <c r="BW216" s="5788" t="s">
        <v>2129</v>
      </c>
      <c r="BX216" s="5788" t="s">
        <v>2129</v>
      </c>
      <c r="BY216" s="5788" t="s">
        <v>2129</v>
      </c>
      <c r="BZ216" s="5788" t="s">
        <v>2129</v>
      </c>
      <c r="CA216" s="5788" t="s">
        <v>2129</v>
      </c>
      <c r="CB216" s="5788"/>
      <c r="CC216" s="5788" t="s">
        <v>2129</v>
      </c>
      <c r="CD216" s="5788" t="s">
        <v>2129</v>
      </c>
      <c r="CE216" s="5788" t="s">
        <v>2129</v>
      </c>
      <c r="CF216" s="5788" t="s">
        <v>2129</v>
      </c>
      <c r="CG216" s="5788"/>
      <c r="CH216" s="5784"/>
    </row>
    <row r="217" spans="1:86" ht="13">
      <c r="A217">
        <v>2041</v>
      </c>
      <c r="B217" s="5802" t="s">
        <v>2882</v>
      </c>
      <c r="C217" s="5799" t="s">
        <v>6598</v>
      </c>
      <c r="D217" s="5799" t="s">
        <v>2129</v>
      </c>
      <c r="E217" s="5799" t="s">
        <v>2129</v>
      </c>
      <c r="F217" s="5785" t="s">
        <v>2129</v>
      </c>
      <c r="G217" s="5785" t="s">
        <v>2129</v>
      </c>
      <c r="H217" s="5785">
        <v>9</v>
      </c>
      <c r="I217" s="5785">
        <v>3</v>
      </c>
      <c r="J217" s="5785" t="b">
        <v>1</v>
      </c>
      <c r="K217" s="5785" t="s">
        <v>2129</v>
      </c>
      <c r="L217" s="5786">
        <v>4929032</v>
      </c>
      <c r="M217" s="5786">
        <v>0</v>
      </c>
      <c r="N217" s="5786">
        <v>0</v>
      </c>
      <c r="O217" s="5786">
        <v>0</v>
      </c>
      <c r="P217" s="5786">
        <v>0</v>
      </c>
      <c r="Q217" s="2476">
        <v>5421935.2000000002</v>
      </c>
      <c r="R217" s="2477">
        <v>2834022</v>
      </c>
      <c r="S217" s="2477" t="b">
        <v>1</v>
      </c>
      <c r="T217" s="5786">
        <v>944674</v>
      </c>
      <c r="U217" s="5786">
        <v>1388585</v>
      </c>
      <c r="V217" s="863">
        <v>2475693</v>
      </c>
      <c r="W217" s="863">
        <v>1087108</v>
      </c>
      <c r="X217" s="863" t="b">
        <v>1</v>
      </c>
      <c r="Y217" s="863">
        <v>13588.85</v>
      </c>
      <c r="Z217" s="863">
        <v>8236</v>
      </c>
      <c r="AA217" s="863">
        <v>24706</v>
      </c>
      <c r="AB217" s="863">
        <v>9548.5990338164247</v>
      </c>
      <c r="AE217">
        <v>232</v>
      </c>
      <c r="AF217" s="3965">
        <v>80</v>
      </c>
      <c r="AG217" s="3965" t="b">
        <v>1</v>
      </c>
      <c r="AH217" s="2814">
        <v>306</v>
      </c>
      <c r="AI217">
        <v>99</v>
      </c>
      <c r="AJ217" t="s">
        <v>2129</v>
      </c>
      <c r="AK217" t="s">
        <v>2129</v>
      </c>
      <c r="AL217" t="s">
        <v>2129</v>
      </c>
      <c r="AM217" t="s">
        <v>2129</v>
      </c>
      <c r="AN217">
        <v>19</v>
      </c>
      <c r="AQ217" t="s">
        <v>2129</v>
      </c>
      <c r="AV217">
        <v>9</v>
      </c>
      <c r="AW217" t="s">
        <v>2129</v>
      </c>
      <c r="AX217" t="s">
        <v>2129</v>
      </c>
      <c r="AY217" t="s">
        <v>2129</v>
      </c>
      <c r="AZ217" t="s">
        <v>2129</v>
      </c>
      <c r="BA217" t="s">
        <v>2129</v>
      </c>
      <c r="BB217" t="s">
        <v>2129</v>
      </c>
      <c r="BC217" t="s">
        <v>2129</v>
      </c>
      <c r="BD217" t="s">
        <v>2129</v>
      </c>
      <c r="BE217" t="s">
        <v>2129</v>
      </c>
      <c r="BF217" t="s">
        <v>2129</v>
      </c>
      <c r="BG217" t="s">
        <v>2129</v>
      </c>
      <c r="BH217" s="1958">
        <v>9783972</v>
      </c>
      <c r="BI217"/>
      <c r="BJ217" s="863" t="s">
        <v>2129</v>
      </c>
      <c r="BK217" s="863" t="s">
        <v>2129</v>
      </c>
      <c r="BL217" s="863" t="s">
        <v>2129</v>
      </c>
      <c r="BM217" s="863" t="s">
        <v>2129</v>
      </c>
      <c r="BN217" s="863" t="s">
        <v>2129</v>
      </c>
      <c r="BO217" s="863" t="s">
        <v>2129</v>
      </c>
      <c r="BP217" s="863" t="s">
        <v>2129</v>
      </c>
      <c r="BQ217" s="863" t="s">
        <v>2129</v>
      </c>
      <c r="BR217" s="863" t="s">
        <v>2129</v>
      </c>
      <c r="BS217" s="863" t="s">
        <v>2129</v>
      </c>
      <c r="BT217" s="863" t="s">
        <v>2129</v>
      </c>
      <c r="BU217" s="863" t="s">
        <v>2129</v>
      </c>
      <c r="BV217" s="863" t="s">
        <v>2129</v>
      </c>
      <c r="BW217" s="863" t="s">
        <v>2129</v>
      </c>
      <c r="BX217" s="863">
        <v>25506198</v>
      </c>
      <c r="BY217" s="863" t="s">
        <v>2129</v>
      </c>
      <c r="BZ217" s="863" t="s">
        <v>2129</v>
      </c>
      <c r="CA217" s="863" t="s">
        <v>2129</v>
      </c>
      <c r="CB217" s="863"/>
      <c r="CC217" s="863" t="s">
        <v>2129</v>
      </c>
      <c r="CD217" s="863" t="s">
        <v>2129</v>
      </c>
      <c r="CE217" s="863" t="s">
        <v>2129</v>
      </c>
      <c r="CF217" s="863" t="s">
        <v>2129</v>
      </c>
      <c r="CG217" s="863"/>
      <c r="CH217" s="5785"/>
    </row>
    <row r="218" spans="1:86" ht="13">
      <c r="A218">
        <v>2042</v>
      </c>
      <c r="B218" s="5795" t="s">
        <v>3423</v>
      </c>
      <c r="C218" s="5799" t="s">
        <v>6598</v>
      </c>
      <c r="D218" s="5799" t="s">
        <v>2129</v>
      </c>
      <c r="E218" s="5799" t="s">
        <v>2129</v>
      </c>
      <c r="F218" s="2694" t="s">
        <v>2129</v>
      </c>
      <c r="G218" s="2694" t="s">
        <v>2129</v>
      </c>
      <c r="H218" s="2694">
        <v>10</v>
      </c>
      <c r="I218" s="2694">
        <v>4</v>
      </c>
      <c r="J218" s="2694" t="b">
        <v>1</v>
      </c>
      <c r="K218" s="2694" t="s">
        <v>2129</v>
      </c>
      <c r="L218" s="2477">
        <v>2353680</v>
      </c>
      <c r="M218" s="2477">
        <v>388242</v>
      </c>
      <c r="N218" s="2477">
        <v>0</v>
      </c>
      <c r="O218" s="2477">
        <v>0</v>
      </c>
      <c r="P218" s="2477">
        <v>0</v>
      </c>
      <c r="Q218" s="2695">
        <v>3016114.2</v>
      </c>
      <c r="R218" s="2477">
        <v>1589734</v>
      </c>
      <c r="S218" s="2477" t="b">
        <v>1</v>
      </c>
      <c r="T218" s="5786">
        <v>397433.5</v>
      </c>
      <c r="U218" s="5786">
        <v>395993</v>
      </c>
      <c r="V218" s="1958">
        <v>3983304</v>
      </c>
      <c r="W218" s="1958">
        <v>3587311</v>
      </c>
      <c r="X218" s="1958" t="b">
        <v>1</v>
      </c>
      <c r="Y218" s="1958">
        <v>40764.897727272728</v>
      </c>
      <c r="Z218" s="1958">
        <v>37059</v>
      </c>
      <c r="AA218" s="1958">
        <v>37059</v>
      </c>
      <c r="AB218" s="1958">
        <v>26891.386806596707</v>
      </c>
      <c r="AC218" s="5788"/>
      <c r="AD218" s="5788"/>
      <c r="AE218">
        <v>746</v>
      </c>
      <c r="AF218" s="3965">
        <v>88</v>
      </c>
      <c r="AG218" s="3965" t="b">
        <v>1</v>
      </c>
      <c r="AH218" s="2814">
        <v>1320</v>
      </c>
      <c r="AI218">
        <v>116</v>
      </c>
      <c r="AJ218" t="s">
        <v>2129</v>
      </c>
      <c r="AK218" t="s">
        <v>2129</v>
      </c>
      <c r="AL218" t="s">
        <v>2129</v>
      </c>
      <c r="AM218" t="s">
        <v>2129</v>
      </c>
      <c r="AN218" s="5782">
        <v>28</v>
      </c>
      <c r="AO218" s="5782"/>
      <c r="AP218" s="5782"/>
      <c r="AQ218" s="5782" t="s">
        <v>2129</v>
      </c>
      <c r="AR218" s="5782"/>
      <c r="AS218" s="5782"/>
      <c r="AT218" s="5782"/>
      <c r="AU218" s="5782"/>
      <c r="AV218">
        <v>15</v>
      </c>
      <c r="AW218" t="s">
        <v>2129</v>
      </c>
      <c r="AX218" t="s">
        <v>2129</v>
      </c>
      <c r="AY218" t="s">
        <v>2129</v>
      </c>
      <c r="AZ218" t="s">
        <v>2129</v>
      </c>
      <c r="BA218" t="s">
        <v>2129</v>
      </c>
      <c r="BB218" t="s">
        <v>2129</v>
      </c>
      <c r="BC218" t="s">
        <v>2129</v>
      </c>
      <c r="BD218" t="s">
        <v>2129</v>
      </c>
      <c r="BE218" t="s">
        <v>2129</v>
      </c>
      <c r="BF218" t="s">
        <v>2129</v>
      </c>
      <c r="BG218" t="s">
        <v>2129</v>
      </c>
      <c r="BH218" s="1958">
        <v>53809665</v>
      </c>
      <c r="BI218"/>
      <c r="BJ218" s="1958" t="s">
        <v>2129</v>
      </c>
      <c r="BK218" s="1958" t="s">
        <v>2129</v>
      </c>
      <c r="BL218" s="1958" t="s">
        <v>2129</v>
      </c>
      <c r="BM218" s="1958" t="s">
        <v>2129</v>
      </c>
      <c r="BN218" s="1958" t="s">
        <v>2129</v>
      </c>
      <c r="BO218" s="1958" t="s">
        <v>2129</v>
      </c>
      <c r="BP218" s="1958" t="s">
        <v>2129</v>
      </c>
      <c r="BQ218" s="1958" t="s">
        <v>2129</v>
      </c>
      <c r="BR218" s="1958" t="s">
        <v>2129</v>
      </c>
      <c r="BS218" s="1958" t="s">
        <v>2129</v>
      </c>
      <c r="BT218" s="1958" t="s">
        <v>2129</v>
      </c>
      <c r="BU218" s="1958" t="s">
        <v>2129</v>
      </c>
      <c r="BV218" s="1958" t="s">
        <v>2129</v>
      </c>
      <c r="BW218" s="1958" t="s">
        <v>2129</v>
      </c>
      <c r="BX218" s="1958">
        <v>23846010</v>
      </c>
      <c r="BY218" s="1958" t="s">
        <v>2129</v>
      </c>
      <c r="BZ218" s="1958" t="s">
        <v>2129</v>
      </c>
      <c r="CA218" s="1958" t="s">
        <v>2129</v>
      </c>
      <c r="CB218" s="5788"/>
      <c r="CC218" s="1958" t="s">
        <v>2129</v>
      </c>
      <c r="CD218" s="1958" t="s">
        <v>2129</v>
      </c>
      <c r="CE218" s="1958" t="s">
        <v>2129</v>
      </c>
      <c r="CF218" s="1958" t="s">
        <v>2129</v>
      </c>
      <c r="CG218" s="5788"/>
      <c r="CH218" s="2694"/>
    </row>
    <row r="219" spans="1:86" ht="13" hidden="1">
      <c r="A219">
        <v>2043</v>
      </c>
      <c r="B219" s="196" t="s">
        <v>3424</v>
      </c>
      <c r="C219" s="5785" t="s">
        <v>2129</v>
      </c>
      <c r="D219" s="2694" t="s">
        <v>3791</v>
      </c>
      <c r="E219" s="2694" t="s">
        <v>2129</v>
      </c>
      <c r="F219" s="5785" t="s">
        <v>2129</v>
      </c>
      <c r="G219" s="5785" t="s">
        <v>2129</v>
      </c>
      <c r="H219" s="5785">
        <v>0</v>
      </c>
      <c r="I219" s="5785">
        <v>2</v>
      </c>
      <c r="J219" s="5785" t="b">
        <v>0</v>
      </c>
      <c r="K219" s="5785" t="s">
        <v>2129</v>
      </c>
      <c r="L219" s="5786">
        <v>465884</v>
      </c>
      <c r="M219" s="5786">
        <v>0</v>
      </c>
      <c r="N219" s="5786">
        <v>0</v>
      </c>
      <c r="O219" s="5786">
        <v>0</v>
      </c>
      <c r="P219" s="5786">
        <v>0</v>
      </c>
      <c r="Q219" s="2476">
        <v>512472.4</v>
      </c>
      <c r="R219" s="2477">
        <v>512472</v>
      </c>
      <c r="S219" s="2477" t="b">
        <v>0</v>
      </c>
      <c r="T219" s="5786">
        <v>256236</v>
      </c>
      <c r="U219" s="5786">
        <v>-85413</v>
      </c>
      <c r="V219" s="863">
        <v>680453</v>
      </c>
      <c r="W219" s="863">
        <v>765866</v>
      </c>
      <c r="X219" s="863" t="b">
        <v>1</v>
      </c>
      <c r="Y219" s="863">
        <v>15317.32</v>
      </c>
      <c r="AB219" s="863" t="s">
        <v>2129</v>
      </c>
      <c r="AE219">
        <v>63</v>
      </c>
      <c r="AF219" s="3965">
        <v>50</v>
      </c>
      <c r="AG219" s="3965" t="b">
        <v>1</v>
      </c>
      <c r="AH219">
        <v>72</v>
      </c>
      <c r="AI219" t="s">
        <v>2129</v>
      </c>
      <c r="AJ219">
        <v>35</v>
      </c>
      <c r="AK219" t="s">
        <v>2129</v>
      </c>
      <c r="AL219" t="s">
        <v>2129</v>
      </c>
      <c r="AM219" t="s">
        <v>2129</v>
      </c>
      <c r="AN219" t="s">
        <v>2129</v>
      </c>
      <c r="AQ219" t="s">
        <v>2129</v>
      </c>
      <c r="AV219" t="s">
        <v>2129</v>
      </c>
      <c r="AW219" t="s">
        <v>2129</v>
      </c>
      <c r="AX219" t="s">
        <v>2129</v>
      </c>
      <c r="AY219" t="s">
        <v>2129</v>
      </c>
      <c r="AZ219" t="s">
        <v>2129</v>
      </c>
      <c r="BA219">
        <v>11</v>
      </c>
      <c r="BB219" t="s">
        <v>2129</v>
      </c>
      <c r="BC219" t="s">
        <v>2129</v>
      </c>
      <c r="BD219" t="s">
        <v>2129</v>
      </c>
      <c r="BE219" t="s">
        <v>2129</v>
      </c>
      <c r="BF219" t="s">
        <v>2129</v>
      </c>
      <c r="BG219" t="s">
        <v>2129</v>
      </c>
      <c r="BH219" s="1958" t="s">
        <v>2129</v>
      </c>
      <c r="BI219"/>
      <c r="BJ219" s="863" t="s">
        <v>2129</v>
      </c>
      <c r="BK219" s="863" t="s">
        <v>2129</v>
      </c>
      <c r="BL219" s="863" t="s">
        <v>2129</v>
      </c>
      <c r="BM219" s="863" t="s">
        <v>2129</v>
      </c>
      <c r="BN219" s="863">
        <v>5897168.1999999993</v>
      </c>
      <c r="BO219" s="863" t="s">
        <v>2129</v>
      </c>
      <c r="BP219" s="863" t="s">
        <v>2129</v>
      </c>
      <c r="BQ219" s="863" t="s">
        <v>2129</v>
      </c>
      <c r="BR219" s="863" t="s">
        <v>2129</v>
      </c>
      <c r="BS219" s="863" t="s">
        <v>2129</v>
      </c>
      <c r="BT219" s="863" t="s">
        <v>2129</v>
      </c>
      <c r="BU219" s="863" t="s">
        <v>2129</v>
      </c>
      <c r="BV219" s="863" t="s">
        <v>2129</v>
      </c>
      <c r="BW219" s="863" t="s">
        <v>2129</v>
      </c>
      <c r="BX219" s="863" t="s">
        <v>2129</v>
      </c>
      <c r="BY219" s="863" t="s">
        <v>2129</v>
      </c>
      <c r="BZ219" s="863" t="s">
        <v>2129</v>
      </c>
      <c r="CA219" s="863" t="s">
        <v>2129</v>
      </c>
      <c r="CB219" s="863"/>
      <c r="CC219" s="863" t="s">
        <v>2129</v>
      </c>
      <c r="CD219" s="863" t="s">
        <v>2129</v>
      </c>
      <c r="CE219" s="863" t="s">
        <v>2129</v>
      </c>
      <c r="CF219" s="863" t="s">
        <v>2129</v>
      </c>
      <c r="CG219" s="863"/>
      <c r="CH219" s="5785"/>
    </row>
    <row r="220" spans="1:86" ht="13" hidden="1">
      <c r="A220">
        <v>2044</v>
      </c>
      <c r="B220" s="196" t="s">
        <v>3425</v>
      </c>
      <c r="C220" s="5785" t="s">
        <v>2129</v>
      </c>
      <c r="D220" s="2694" t="s">
        <v>3791</v>
      </c>
      <c r="E220" s="2694" t="s">
        <v>2129</v>
      </c>
      <c r="F220" s="5785" t="s">
        <v>2129</v>
      </c>
      <c r="G220" s="5785" t="s">
        <v>2129</v>
      </c>
      <c r="H220" s="5785">
        <v>0</v>
      </c>
      <c r="I220" s="5785">
        <v>0</v>
      </c>
      <c r="J220" s="5785" t="b">
        <v>0</v>
      </c>
      <c r="K220" s="5785" t="s">
        <v>2129</v>
      </c>
      <c r="L220" s="5786">
        <v>0</v>
      </c>
      <c r="M220" s="5786">
        <v>0</v>
      </c>
      <c r="N220" s="5786">
        <v>0</v>
      </c>
      <c r="O220" s="5786">
        <v>0</v>
      </c>
      <c r="P220" s="5786">
        <v>0</v>
      </c>
      <c r="Q220" s="2476">
        <v>0</v>
      </c>
      <c r="R220" s="2477">
        <v>0</v>
      </c>
      <c r="S220" s="2477" t="b">
        <v>1</v>
      </c>
      <c r="T220" s="5786" t="s">
        <v>2129</v>
      </c>
      <c r="U220" s="5786">
        <v>0</v>
      </c>
      <c r="V220" s="863">
        <v>1077265</v>
      </c>
      <c r="W220" s="863">
        <v>1077265</v>
      </c>
      <c r="X220" s="863" t="b">
        <v>1</v>
      </c>
      <c r="Y220" s="863">
        <v>12241.647727272728</v>
      </c>
      <c r="AB220" s="863" t="s">
        <v>2129</v>
      </c>
      <c r="AE220">
        <v>158</v>
      </c>
      <c r="AF220" s="3965">
        <v>88</v>
      </c>
      <c r="AG220" s="3965" t="b">
        <v>1</v>
      </c>
      <c r="AH220">
        <v>175</v>
      </c>
      <c r="AI220" t="s">
        <v>2129</v>
      </c>
      <c r="AJ220">
        <v>70</v>
      </c>
      <c r="AK220" t="s">
        <v>2129</v>
      </c>
      <c r="AL220" t="s">
        <v>2129</v>
      </c>
      <c r="AM220" t="s">
        <v>2129</v>
      </c>
      <c r="AN220" t="s">
        <v>2129</v>
      </c>
      <c r="AQ220" t="s">
        <v>2129</v>
      </c>
      <c r="AV220" t="s">
        <v>2129</v>
      </c>
      <c r="AW220" t="s">
        <v>2129</v>
      </c>
      <c r="AX220" t="s">
        <v>2129</v>
      </c>
      <c r="AY220" t="s">
        <v>2129</v>
      </c>
      <c r="AZ220" t="s">
        <v>2129</v>
      </c>
      <c r="BA220">
        <v>11</v>
      </c>
      <c r="BB220" t="s">
        <v>2129</v>
      </c>
      <c r="BC220" t="s">
        <v>2129</v>
      </c>
      <c r="BD220" t="s">
        <v>2129</v>
      </c>
      <c r="BE220" t="s">
        <v>2129</v>
      </c>
      <c r="BF220" t="s">
        <v>2129</v>
      </c>
      <c r="BG220" t="s">
        <v>2129</v>
      </c>
      <c r="BH220" s="1958" t="s">
        <v>2129</v>
      </c>
      <c r="BI220"/>
      <c r="BJ220" s="863" t="s">
        <v>2129</v>
      </c>
      <c r="BK220" s="863" t="s">
        <v>2129</v>
      </c>
      <c r="BL220" s="863" t="s">
        <v>2129</v>
      </c>
      <c r="BM220" s="863" t="s">
        <v>2129</v>
      </c>
      <c r="BN220" s="863">
        <v>9426068.75</v>
      </c>
      <c r="BO220" s="863" t="s">
        <v>2129</v>
      </c>
      <c r="BP220" s="863" t="s">
        <v>2129</v>
      </c>
      <c r="BQ220" s="863" t="s">
        <v>2129</v>
      </c>
      <c r="BR220" s="863" t="s">
        <v>2129</v>
      </c>
      <c r="BS220" s="863" t="s">
        <v>2129</v>
      </c>
      <c r="BT220" s="863" t="s">
        <v>2129</v>
      </c>
      <c r="BU220" s="863" t="s">
        <v>2129</v>
      </c>
      <c r="BV220" s="863" t="s">
        <v>2129</v>
      </c>
      <c r="BW220" s="863" t="s">
        <v>2129</v>
      </c>
      <c r="BX220" s="863" t="s">
        <v>2129</v>
      </c>
      <c r="BY220" s="863" t="s">
        <v>2129</v>
      </c>
      <c r="BZ220" s="863" t="s">
        <v>2129</v>
      </c>
      <c r="CA220" s="863" t="s">
        <v>2129</v>
      </c>
      <c r="CB220" s="863"/>
      <c r="CC220" s="863" t="s">
        <v>2129</v>
      </c>
      <c r="CD220" s="863" t="s">
        <v>2129</v>
      </c>
      <c r="CE220" s="863" t="s">
        <v>2129</v>
      </c>
      <c r="CF220" s="863" t="s">
        <v>2129</v>
      </c>
      <c r="CG220" s="863"/>
      <c r="CH220" s="5785"/>
    </row>
    <row r="221" spans="1:86" ht="13">
      <c r="A221">
        <v>2045</v>
      </c>
      <c r="B221" s="5795" t="s">
        <v>2877</v>
      </c>
      <c r="C221" s="5803" t="s">
        <v>6598</v>
      </c>
      <c r="D221" s="5803" t="s">
        <v>2129</v>
      </c>
      <c r="E221" s="5803" t="s">
        <v>2129</v>
      </c>
      <c r="F221" s="2694" t="s">
        <v>2129</v>
      </c>
      <c r="G221" s="2694" t="s">
        <v>2129</v>
      </c>
      <c r="H221" s="2694">
        <v>0</v>
      </c>
      <c r="I221" s="2694">
        <v>4</v>
      </c>
      <c r="J221" s="5784" t="b">
        <v>0</v>
      </c>
      <c r="K221" s="5784" t="s">
        <v>2129</v>
      </c>
      <c r="L221" s="5787">
        <v>1529416</v>
      </c>
      <c r="M221" s="5787">
        <v>0</v>
      </c>
      <c r="N221" s="5787">
        <v>0</v>
      </c>
      <c r="O221" s="5787">
        <v>0</v>
      </c>
      <c r="P221" s="5787">
        <v>0</v>
      </c>
      <c r="Q221" s="5809">
        <v>1682357.6</v>
      </c>
      <c r="R221" s="2477">
        <v>1100003</v>
      </c>
      <c r="S221" s="2477" t="b">
        <v>0</v>
      </c>
      <c r="T221" s="2477">
        <v>275000.75</v>
      </c>
      <c r="U221" s="5787">
        <v>77649</v>
      </c>
      <c r="V221" s="5788">
        <v>1163444</v>
      </c>
      <c r="W221" s="1958">
        <v>1085795</v>
      </c>
      <c r="X221" s="5788" t="b">
        <v>1</v>
      </c>
      <c r="Y221" s="1958">
        <v>11429.421052631578</v>
      </c>
      <c r="Z221" s="1958">
        <v>9412</v>
      </c>
      <c r="AA221" s="1958">
        <v>14118</v>
      </c>
      <c r="AB221" s="1958">
        <v>9441.6956521739139</v>
      </c>
      <c r="AC221" s="5788"/>
      <c r="AD221" s="5788"/>
      <c r="AE221">
        <v>98</v>
      </c>
      <c r="AF221" s="3965">
        <v>95</v>
      </c>
      <c r="AG221" s="5789" t="b">
        <v>1</v>
      </c>
      <c r="AH221">
        <v>119</v>
      </c>
      <c r="AI221">
        <v>100</v>
      </c>
      <c r="AJ221" t="s">
        <v>2129</v>
      </c>
      <c r="AK221" t="s">
        <v>2129</v>
      </c>
      <c r="AL221" s="5782" t="s">
        <v>2129</v>
      </c>
      <c r="AM221" s="5782" t="s">
        <v>2129</v>
      </c>
      <c r="AN221" s="5782">
        <v>5</v>
      </c>
      <c r="AO221" s="5782"/>
      <c r="AP221" s="5782"/>
      <c r="AQ221" s="5782" t="s">
        <v>2129</v>
      </c>
      <c r="AR221" s="5782"/>
      <c r="AS221" s="5782"/>
      <c r="AT221" s="5782"/>
      <c r="AU221" s="5782"/>
      <c r="AV221">
        <v>13</v>
      </c>
      <c r="AW221" s="5782" t="s">
        <v>2129</v>
      </c>
      <c r="AX221" t="s">
        <v>2129</v>
      </c>
      <c r="AY221" t="s">
        <v>2129</v>
      </c>
      <c r="AZ221" t="s">
        <v>2129</v>
      </c>
      <c r="BA221" t="s">
        <v>2129</v>
      </c>
      <c r="BB221" t="s">
        <v>2129</v>
      </c>
      <c r="BC221" s="5782" t="s">
        <v>2129</v>
      </c>
      <c r="BD221" s="5782" t="s">
        <v>2129</v>
      </c>
      <c r="BE221" s="5782" t="s">
        <v>2129</v>
      </c>
      <c r="BF221" s="5782" t="s">
        <v>2129</v>
      </c>
      <c r="BG221" s="5782" t="s">
        <v>2129</v>
      </c>
      <c r="BH221" s="1958">
        <v>14115335</v>
      </c>
      <c r="BI221" s="5782"/>
      <c r="BJ221" s="1958" t="s">
        <v>2129</v>
      </c>
      <c r="BK221" s="1958" t="s">
        <v>2129</v>
      </c>
      <c r="BL221" s="1958" t="s">
        <v>2129</v>
      </c>
      <c r="BM221" s="1958" t="s">
        <v>2129</v>
      </c>
      <c r="BN221" s="1958" t="s">
        <v>2129</v>
      </c>
      <c r="BO221" s="1958" t="s">
        <v>2129</v>
      </c>
      <c r="BP221" s="5788" t="s">
        <v>2129</v>
      </c>
      <c r="BQ221" s="5788" t="s">
        <v>2129</v>
      </c>
      <c r="BR221" s="5788" t="s">
        <v>2129</v>
      </c>
      <c r="BS221" s="5788" t="s">
        <v>2129</v>
      </c>
      <c r="BT221" s="5788" t="s">
        <v>2129</v>
      </c>
      <c r="BU221" s="5788" t="s">
        <v>2129</v>
      </c>
      <c r="BV221" s="5788" t="s">
        <v>2129</v>
      </c>
      <c r="BW221" s="5788" t="s">
        <v>2129</v>
      </c>
      <c r="BX221" s="1958">
        <v>14300039</v>
      </c>
      <c r="BY221" s="5788" t="s">
        <v>2129</v>
      </c>
      <c r="BZ221" s="1958" t="s">
        <v>2129</v>
      </c>
      <c r="CA221" s="1958" t="s">
        <v>2129</v>
      </c>
      <c r="CB221" s="5788"/>
      <c r="CC221" s="5788" t="s">
        <v>2129</v>
      </c>
      <c r="CD221" s="5788" t="s">
        <v>2129</v>
      </c>
      <c r="CE221" s="5788" t="s">
        <v>2129</v>
      </c>
      <c r="CF221" s="5788" t="s">
        <v>2129</v>
      </c>
      <c r="CG221" s="5788"/>
      <c r="CH221" s="2694"/>
    </row>
    <row r="222" spans="1:86" s="5782" customFormat="1" ht="13" hidden="1">
      <c r="A222" s="5782">
        <v>2046</v>
      </c>
      <c r="B222" s="5783" t="s">
        <v>3426</v>
      </c>
      <c r="C222" s="5784" t="s">
        <v>2129</v>
      </c>
      <c r="D222" s="5784" t="s">
        <v>2129</v>
      </c>
      <c r="E222" s="5784" t="s">
        <v>2129</v>
      </c>
      <c r="F222" s="5784" t="s">
        <v>2129</v>
      </c>
      <c r="G222" s="5784" t="s">
        <v>2129</v>
      </c>
      <c r="H222" s="5784">
        <v>1</v>
      </c>
      <c r="I222" s="5784">
        <v>116</v>
      </c>
      <c r="J222" s="5785" t="b">
        <v>0</v>
      </c>
      <c r="K222" s="5785" t="s">
        <v>2129</v>
      </c>
      <c r="L222" s="5786">
        <v>15011792</v>
      </c>
      <c r="M222" s="5786">
        <v>0</v>
      </c>
      <c r="N222" s="5786">
        <v>0</v>
      </c>
      <c r="O222" s="5786">
        <v>0</v>
      </c>
      <c r="P222" s="5786">
        <v>0</v>
      </c>
      <c r="Q222" s="2476">
        <v>16512971.200000001</v>
      </c>
      <c r="R222" s="5787">
        <v>16512971</v>
      </c>
      <c r="S222" s="2477" t="b">
        <v>0</v>
      </c>
      <c r="T222" s="5787">
        <v>142353.19827586206</v>
      </c>
      <c r="U222" s="5787">
        <v>0</v>
      </c>
      <c r="V222" s="863">
        <v>4529412</v>
      </c>
      <c r="W222" s="5788">
        <v>4529412</v>
      </c>
      <c r="X222" s="863" t="b">
        <v>1</v>
      </c>
      <c r="Y222" s="5788">
        <v>47678.021052631579</v>
      </c>
      <c r="Z222" s="5788"/>
      <c r="AA222" s="5788"/>
      <c r="AB222" s="5788" t="s">
        <v>2129</v>
      </c>
      <c r="AC222" s="863"/>
      <c r="AD222" s="863"/>
      <c r="AE222" s="5782">
        <v>95</v>
      </c>
      <c r="AF222" s="5789">
        <v>95</v>
      </c>
      <c r="AG222" s="3965" t="b">
        <v>1</v>
      </c>
      <c r="AH222" s="5782">
        <v>190</v>
      </c>
      <c r="AI222" s="5782" t="s">
        <v>2129</v>
      </c>
      <c r="AJ222" s="5782" t="s">
        <v>2129</v>
      </c>
      <c r="AK222" s="5782" t="s">
        <v>2129</v>
      </c>
      <c r="AL222" t="s">
        <v>2129</v>
      </c>
      <c r="AM222" t="s">
        <v>2129</v>
      </c>
      <c r="AN222" t="s">
        <v>2129</v>
      </c>
      <c r="AO222"/>
      <c r="AP222"/>
      <c r="AQ222" t="s">
        <v>2129</v>
      </c>
      <c r="AR222"/>
      <c r="AS222"/>
      <c r="AT222"/>
      <c r="AU222"/>
      <c r="AV222" s="5782" t="s">
        <v>2129</v>
      </c>
      <c r="AW222" t="s">
        <v>2129</v>
      </c>
      <c r="AX222" s="5782" t="s">
        <v>2129</v>
      </c>
      <c r="AY222" s="5782" t="s">
        <v>2129</v>
      </c>
      <c r="AZ222" s="5782" t="s">
        <v>2129</v>
      </c>
      <c r="BA222" s="5782" t="s">
        <v>2129</v>
      </c>
      <c r="BB222" s="5782" t="s">
        <v>2129</v>
      </c>
      <c r="BC222" t="s">
        <v>2129</v>
      </c>
      <c r="BD222" t="s">
        <v>2129</v>
      </c>
      <c r="BE222" t="s">
        <v>2129</v>
      </c>
      <c r="BF222" t="s">
        <v>2129</v>
      </c>
      <c r="BG222" t="s">
        <v>2129</v>
      </c>
      <c r="BH222" s="5788" t="s">
        <v>2129</v>
      </c>
      <c r="BI222"/>
      <c r="BJ222" s="5788" t="s">
        <v>2129</v>
      </c>
      <c r="BK222" s="5788" t="s">
        <v>2129</v>
      </c>
      <c r="BL222" s="5788" t="s">
        <v>2129</v>
      </c>
      <c r="BM222" s="5788" t="s">
        <v>2129</v>
      </c>
      <c r="BN222" s="5788" t="s">
        <v>2129</v>
      </c>
      <c r="BO222" s="5788" t="s">
        <v>2129</v>
      </c>
      <c r="BP222" s="863" t="s">
        <v>2129</v>
      </c>
      <c r="BQ222" s="863" t="s">
        <v>2129</v>
      </c>
      <c r="BR222" s="863" t="s">
        <v>2129</v>
      </c>
      <c r="BS222" s="863" t="s">
        <v>2129</v>
      </c>
      <c r="BT222" s="863" t="s">
        <v>2129</v>
      </c>
      <c r="BU222" s="863" t="s">
        <v>2129</v>
      </c>
      <c r="BV222" s="863" t="s">
        <v>2129</v>
      </c>
      <c r="BW222" s="863" t="s">
        <v>2129</v>
      </c>
      <c r="BX222" s="5788" t="s">
        <v>2129</v>
      </c>
      <c r="BY222" s="863" t="s">
        <v>2129</v>
      </c>
      <c r="BZ222" s="5788" t="s">
        <v>2129</v>
      </c>
      <c r="CA222" s="5788" t="s">
        <v>2129</v>
      </c>
      <c r="CB222" s="863"/>
      <c r="CC222" s="863" t="s">
        <v>2129</v>
      </c>
      <c r="CD222" s="863" t="s">
        <v>2129</v>
      </c>
      <c r="CE222" s="863" t="s">
        <v>2129</v>
      </c>
      <c r="CF222" s="863" t="s">
        <v>2129</v>
      </c>
      <c r="CG222" s="863"/>
      <c r="CH222" s="5784"/>
    </row>
    <row r="223" spans="1:86" s="5782" customFormat="1" ht="13" hidden="1">
      <c r="A223" s="5782">
        <v>2048</v>
      </c>
      <c r="B223" s="5783" t="s">
        <v>3427</v>
      </c>
      <c r="C223" s="5784" t="s">
        <v>2129</v>
      </c>
      <c r="D223" s="5784" t="s">
        <v>2129</v>
      </c>
      <c r="E223" s="5784" t="s">
        <v>2129</v>
      </c>
      <c r="F223" s="5784" t="s">
        <v>2129</v>
      </c>
      <c r="G223" s="5784" t="s">
        <v>2129</v>
      </c>
      <c r="H223" s="5784">
        <v>3</v>
      </c>
      <c r="I223" s="5784">
        <v>0</v>
      </c>
      <c r="J223" s="5785" t="b">
        <v>0</v>
      </c>
      <c r="K223" s="5785" t="s">
        <v>2129</v>
      </c>
      <c r="L223" s="5786">
        <v>0</v>
      </c>
      <c r="M223" s="5786">
        <v>0</v>
      </c>
      <c r="N223" s="5786">
        <v>0</v>
      </c>
      <c r="O223" s="5786">
        <v>0</v>
      </c>
      <c r="P223" s="5786">
        <v>0</v>
      </c>
      <c r="Q223" s="2476">
        <v>0</v>
      </c>
      <c r="R223" s="5787">
        <v>0</v>
      </c>
      <c r="S223" s="2477" t="b">
        <v>1</v>
      </c>
      <c r="T223" s="5787" t="s">
        <v>2129</v>
      </c>
      <c r="U223" s="5787">
        <v>0</v>
      </c>
      <c r="V223" s="863">
        <v>12346074</v>
      </c>
      <c r="W223" s="5788">
        <v>12346074</v>
      </c>
      <c r="X223" s="863" t="b">
        <v>1</v>
      </c>
      <c r="Y223" s="5788">
        <v>58236.198113207545</v>
      </c>
      <c r="Z223" s="5788"/>
      <c r="AA223" s="5788"/>
      <c r="AB223" s="5788" t="s">
        <v>2129</v>
      </c>
      <c r="AC223" s="863"/>
      <c r="AD223" s="863"/>
      <c r="AE223" s="5782" t="s">
        <v>2131</v>
      </c>
      <c r="AF223" s="5789">
        <v>212</v>
      </c>
      <c r="AG223" s="3965" t="b">
        <v>1</v>
      </c>
      <c r="AH223" s="5782" t="s">
        <v>2131</v>
      </c>
      <c r="AI223" s="5782" t="s">
        <v>2129</v>
      </c>
      <c r="AJ223" s="5782" t="s">
        <v>2129</v>
      </c>
      <c r="AK223" s="5782" t="s">
        <v>2129</v>
      </c>
      <c r="AL223" t="s">
        <v>2129</v>
      </c>
      <c r="AM223" t="s">
        <v>2129</v>
      </c>
      <c r="AN223" t="s">
        <v>2129</v>
      </c>
      <c r="AO223" t="s">
        <v>2129</v>
      </c>
      <c r="AP223"/>
      <c r="AQ223" t="s">
        <v>2129</v>
      </c>
      <c r="AR223" t="s">
        <v>2129</v>
      </c>
      <c r="AS223"/>
      <c r="AT223"/>
      <c r="AU223"/>
      <c r="AV223" s="5782" t="s">
        <v>2129</v>
      </c>
      <c r="AW223" t="s">
        <v>2129</v>
      </c>
      <c r="AX223" s="5782" t="s">
        <v>2129</v>
      </c>
      <c r="AY223" s="5782" t="s">
        <v>2129</v>
      </c>
      <c r="AZ223" s="5782" t="s">
        <v>2129</v>
      </c>
      <c r="BA223" s="5782" t="s">
        <v>2129</v>
      </c>
      <c r="BB223" s="5782" t="s">
        <v>2129</v>
      </c>
      <c r="BC223" t="s">
        <v>2129</v>
      </c>
      <c r="BD223" t="s">
        <v>2129</v>
      </c>
      <c r="BE223" t="s">
        <v>2129</v>
      </c>
      <c r="BF223" t="s">
        <v>2129</v>
      </c>
      <c r="BG223" t="s">
        <v>2129</v>
      </c>
      <c r="BH223" s="5788" t="s">
        <v>2129</v>
      </c>
      <c r="BI223"/>
      <c r="BJ223" s="5788" t="s">
        <v>2129</v>
      </c>
      <c r="BK223" s="5788" t="s">
        <v>2129</v>
      </c>
      <c r="BL223" s="5788" t="s">
        <v>2129</v>
      </c>
      <c r="BM223" s="5788" t="s">
        <v>2129</v>
      </c>
      <c r="BN223" s="5788" t="s">
        <v>2129</v>
      </c>
      <c r="BO223" s="5788" t="s">
        <v>2129</v>
      </c>
      <c r="BP223" s="863" t="s">
        <v>2129</v>
      </c>
      <c r="BQ223" s="863" t="s">
        <v>2129</v>
      </c>
      <c r="BR223" s="863" t="s">
        <v>2129</v>
      </c>
      <c r="BS223" s="863" t="s">
        <v>2129</v>
      </c>
      <c r="BT223" s="863" t="s">
        <v>2129</v>
      </c>
      <c r="BU223" s="863" t="s">
        <v>2129</v>
      </c>
      <c r="BV223" s="863" t="s">
        <v>2129</v>
      </c>
      <c r="BW223" s="863" t="s">
        <v>2129</v>
      </c>
      <c r="BX223" s="5788" t="s">
        <v>2129</v>
      </c>
      <c r="BY223" s="863" t="s">
        <v>2129</v>
      </c>
      <c r="BZ223" s="5788" t="s">
        <v>2129</v>
      </c>
      <c r="CA223" s="5788" t="s">
        <v>2129</v>
      </c>
      <c r="CB223" s="863"/>
      <c r="CC223" s="863" t="s">
        <v>2129</v>
      </c>
      <c r="CD223" s="863" t="s">
        <v>2129</v>
      </c>
      <c r="CE223" s="863" t="s">
        <v>2129</v>
      </c>
      <c r="CF223" s="863" t="s">
        <v>2129</v>
      </c>
      <c r="CG223" s="863"/>
      <c r="CH223" s="5784"/>
    </row>
    <row r="224" spans="1:86" s="5782" customFormat="1" ht="13" hidden="1">
      <c r="A224" s="5782">
        <v>2050</v>
      </c>
      <c r="B224" s="5783" t="s">
        <v>3428</v>
      </c>
      <c r="C224" s="5784" t="s">
        <v>2129</v>
      </c>
      <c r="D224" s="5784" t="s">
        <v>2129</v>
      </c>
      <c r="E224" s="5784" t="s">
        <v>2129</v>
      </c>
      <c r="F224" s="5784" t="s">
        <v>2129</v>
      </c>
      <c r="G224" s="5784" t="s">
        <v>2129</v>
      </c>
      <c r="H224" s="5784">
        <v>3</v>
      </c>
      <c r="I224" s="5784">
        <v>0</v>
      </c>
      <c r="J224" s="5785" t="b">
        <v>0</v>
      </c>
      <c r="K224" s="5785" t="s">
        <v>2129</v>
      </c>
      <c r="L224" s="5786">
        <v>0</v>
      </c>
      <c r="M224" s="5786">
        <v>0</v>
      </c>
      <c r="N224" s="5786">
        <v>0</v>
      </c>
      <c r="O224" s="5786">
        <v>0</v>
      </c>
      <c r="P224" s="5786">
        <v>0</v>
      </c>
      <c r="Q224" s="2476">
        <v>0</v>
      </c>
      <c r="R224" s="5787">
        <v>0</v>
      </c>
      <c r="S224" s="5786" t="b">
        <v>1</v>
      </c>
      <c r="T224" s="5787" t="s">
        <v>2129</v>
      </c>
      <c r="U224" s="5787">
        <v>0</v>
      </c>
      <c r="V224" s="863">
        <v>6173037</v>
      </c>
      <c r="W224" s="5788">
        <v>6173037</v>
      </c>
      <c r="X224" s="863" t="b">
        <v>1</v>
      </c>
      <c r="Y224" s="5788">
        <v>58236.198113207545</v>
      </c>
      <c r="Z224" s="5788"/>
      <c r="AA224" s="5788"/>
      <c r="AB224" s="5788" t="s">
        <v>2129</v>
      </c>
      <c r="AC224" s="863"/>
      <c r="AD224" s="863"/>
      <c r="AE224" s="5782" t="s">
        <v>2131</v>
      </c>
      <c r="AF224" s="5789">
        <v>106</v>
      </c>
      <c r="AG224" s="3965" t="b">
        <v>1</v>
      </c>
      <c r="AH224" s="5782" t="s">
        <v>2131</v>
      </c>
      <c r="AI224" s="5782" t="s">
        <v>2129</v>
      </c>
      <c r="AJ224" s="5782" t="s">
        <v>2129</v>
      </c>
      <c r="AK224" s="5782" t="s">
        <v>2129</v>
      </c>
      <c r="AL224" t="s">
        <v>2129</v>
      </c>
      <c r="AM224" t="s">
        <v>2129</v>
      </c>
      <c r="AN224" t="s">
        <v>2129</v>
      </c>
      <c r="AO224"/>
      <c r="AP224"/>
      <c r="AQ224" t="s">
        <v>2129</v>
      </c>
      <c r="AR224"/>
      <c r="AS224"/>
      <c r="AT224"/>
      <c r="AU224"/>
      <c r="AV224" s="5782" t="s">
        <v>2129</v>
      </c>
      <c r="AW224" t="s">
        <v>2129</v>
      </c>
      <c r="AX224" s="5782" t="s">
        <v>2129</v>
      </c>
      <c r="AY224" s="5782" t="s">
        <v>2129</v>
      </c>
      <c r="AZ224" s="5782" t="s">
        <v>2129</v>
      </c>
      <c r="BA224" s="5782" t="s">
        <v>2129</v>
      </c>
      <c r="BB224" s="5782" t="s">
        <v>2129</v>
      </c>
      <c r="BC224" t="s">
        <v>2129</v>
      </c>
      <c r="BD224" t="s">
        <v>2129</v>
      </c>
      <c r="BE224" t="s">
        <v>2129</v>
      </c>
      <c r="BF224" t="s">
        <v>2129</v>
      </c>
      <c r="BG224" t="s">
        <v>2129</v>
      </c>
      <c r="BH224" s="5788" t="s">
        <v>2129</v>
      </c>
      <c r="BI224"/>
      <c r="BJ224" s="5788" t="s">
        <v>2129</v>
      </c>
      <c r="BK224" s="5788" t="s">
        <v>2129</v>
      </c>
      <c r="BL224" s="5788" t="s">
        <v>2129</v>
      </c>
      <c r="BM224" s="5788" t="s">
        <v>2129</v>
      </c>
      <c r="BN224" s="5788" t="s">
        <v>2129</v>
      </c>
      <c r="BO224" s="5788" t="s">
        <v>2129</v>
      </c>
      <c r="BP224" s="863" t="s">
        <v>2129</v>
      </c>
      <c r="BQ224" s="863" t="s">
        <v>2129</v>
      </c>
      <c r="BR224" s="863" t="s">
        <v>2129</v>
      </c>
      <c r="BS224" s="863" t="s">
        <v>2129</v>
      </c>
      <c r="BT224" s="863" t="s">
        <v>2129</v>
      </c>
      <c r="BU224" s="863" t="s">
        <v>2129</v>
      </c>
      <c r="BV224" s="863" t="s">
        <v>2129</v>
      </c>
      <c r="BW224" s="863" t="s">
        <v>2129</v>
      </c>
      <c r="BX224" s="5788" t="s">
        <v>2129</v>
      </c>
      <c r="BY224" s="863" t="s">
        <v>2129</v>
      </c>
      <c r="BZ224" s="5788" t="s">
        <v>2129</v>
      </c>
      <c r="CA224" s="5788" t="s">
        <v>2129</v>
      </c>
      <c r="CB224" s="863"/>
      <c r="CC224" s="863" t="s">
        <v>2129</v>
      </c>
      <c r="CD224" s="863" t="s">
        <v>2129</v>
      </c>
      <c r="CE224" s="863" t="s">
        <v>2129</v>
      </c>
      <c r="CF224" s="863" t="s">
        <v>2129</v>
      </c>
      <c r="CG224" s="863"/>
      <c r="CH224" s="5784"/>
    </row>
    <row r="225" spans="1:86" ht="13">
      <c r="A225">
        <v>2051</v>
      </c>
      <c r="B225" s="196" t="s">
        <v>3429</v>
      </c>
      <c r="C225" s="5790" t="s">
        <v>6598</v>
      </c>
      <c r="D225" s="5790" t="s">
        <v>6599</v>
      </c>
      <c r="E225" s="5790" t="s">
        <v>2129</v>
      </c>
      <c r="F225" s="5785" t="s">
        <v>2129</v>
      </c>
      <c r="G225" s="5785" t="s">
        <v>2129</v>
      </c>
      <c r="H225" s="5785">
        <v>3</v>
      </c>
      <c r="I225" s="2694">
        <v>3</v>
      </c>
      <c r="J225" s="2694" t="b">
        <v>1</v>
      </c>
      <c r="K225" s="2694" t="s">
        <v>2129</v>
      </c>
      <c r="L225" s="5786">
        <v>1411767</v>
      </c>
      <c r="M225" s="5786">
        <v>0</v>
      </c>
      <c r="N225" s="5786"/>
      <c r="O225" s="5786"/>
      <c r="P225" s="5786">
        <v>121000</v>
      </c>
      <c r="Q225" s="2476">
        <v>1673943.7000000002</v>
      </c>
      <c r="R225" s="2477">
        <v>1673943</v>
      </c>
      <c r="S225" s="2477" t="b">
        <v>1</v>
      </c>
      <c r="T225" s="5786">
        <v>557981</v>
      </c>
      <c r="U225" s="5786">
        <v>3580497</v>
      </c>
      <c r="V225" s="863">
        <v>13733412</v>
      </c>
      <c r="W225" s="863">
        <v>10152915</v>
      </c>
      <c r="X225" s="863" t="b">
        <v>1</v>
      </c>
      <c r="Y225" s="863">
        <v>49047.89855072464</v>
      </c>
      <c r="Z225" s="863">
        <v>44589</v>
      </c>
      <c r="AA225" s="863">
        <v>44589</v>
      </c>
      <c r="AB225" s="863">
        <v>13645.474094482899</v>
      </c>
      <c r="AC225" s="863">
        <v>3277</v>
      </c>
      <c r="AE225">
        <v>605</v>
      </c>
      <c r="AF225" s="3965">
        <v>207</v>
      </c>
      <c r="AG225" s="3965" t="b">
        <v>1</v>
      </c>
      <c r="AH225" s="2814">
        <v>2324</v>
      </c>
      <c r="AI225">
        <v>647</v>
      </c>
      <c r="AJ225" t="s">
        <v>2129</v>
      </c>
      <c r="AK225" t="s">
        <v>2129</v>
      </c>
      <c r="AL225" t="s">
        <v>2129</v>
      </c>
      <c r="AM225" t="s">
        <v>2129</v>
      </c>
      <c r="AN225">
        <v>440</v>
      </c>
      <c r="AQ225" t="s">
        <v>2129</v>
      </c>
      <c r="AV225">
        <v>22</v>
      </c>
      <c r="AW225">
        <v>21</v>
      </c>
      <c r="AX225" t="s">
        <v>2129</v>
      </c>
      <c r="AY225" t="s">
        <v>2129</v>
      </c>
      <c r="AZ225" t="s">
        <v>2129</v>
      </c>
      <c r="BA225" t="s">
        <v>2129</v>
      </c>
      <c r="BB225" t="s">
        <v>2129</v>
      </c>
      <c r="BC225" t="s">
        <v>2129</v>
      </c>
      <c r="BD225" t="s">
        <v>2129</v>
      </c>
      <c r="BE225" t="s">
        <v>2129</v>
      </c>
      <c r="BF225" t="s">
        <v>2129</v>
      </c>
      <c r="BG225" t="s">
        <v>2129</v>
      </c>
      <c r="BH225" s="1958">
        <v>223364130</v>
      </c>
      <c r="BI225" s="1958">
        <v>213211215</v>
      </c>
      <c r="BJ225" s="1958" t="s">
        <v>2129</v>
      </c>
      <c r="BK225" s="1958" t="s">
        <v>2129</v>
      </c>
      <c r="BL225" s="1958" t="s">
        <v>2129</v>
      </c>
      <c r="BM225" s="1958" t="s">
        <v>2129</v>
      </c>
      <c r="BN225" s="1958" t="s">
        <v>2129</v>
      </c>
      <c r="BO225" s="1958" t="s">
        <v>2129</v>
      </c>
      <c r="BP225" s="1958" t="s">
        <v>2129</v>
      </c>
      <c r="BQ225" s="863" t="s">
        <v>2129</v>
      </c>
      <c r="BR225" s="863" t="s">
        <v>2129</v>
      </c>
      <c r="BS225" s="1958" t="s">
        <v>2129</v>
      </c>
      <c r="BT225" s="1958" t="s">
        <v>2129</v>
      </c>
      <c r="BU225" s="1958" t="s">
        <v>2129</v>
      </c>
      <c r="BV225" s="1958" t="s">
        <v>2129</v>
      </c>
      <c r="BW225" s="1958" t="s">
        <v>2129</v>
      </c>
      <c r="BX225" s="1958">
        <v>36826746</v>
      </c>
      <c r="BY225" s="1958">
        <v>35152803</v>
      </c>
      <c r="BZ225" s="1958" t="s">
        <v>2129</v>
      </c>
      <c r="CA225" s="1958" t="s">
        <v>2129</v>
      </c>
      <c r="CC225" s="1958" t="s">
        <v>2129</v>
      </c>
      <c r="CD225" s="1958" t="s">
        <v>2129</v>
      </c>
      <c r="CE225" s="1958" t="s">
        <v>2129</v>
      </c>
      <c r="CF225" s="1958" t="s">
        <v>2129</v>
      </c>
      <c r="CH225" s="5785"/>
    </row>
    <row r="226" spans="1:86" ht="12.75" hidden="1" customHeight="1">
      <c r="A226">
        <v>3000</v>
      </c>
      <c r="B226" s="5810" t="s">
        <v>3430</v>
      </c>
      <c r="C226" s="5799" t="s">
        <v>2129</v>
      </c>
      <c r="D226" s="5799" t="s">
        <v>6599</v>
      </c>
      <c r="E226" s="5799" t="s">
        <v>2129</v>
      </c>
      <c r="F226" s="5785" t="s">
        <v>2129</v>
      </c>
      <c r="G226" s="5785" t="s">
        <v>2129</v>
      </c>
      <c r="H226" s="5785">
        <v>0</v>
      </c>
      <c r="I226" s="5785">
        <v>0</v>
      </c>
      <c r="J226" s="5785" t="b">
        <v>1</v>
      </c>
      <c r="K226" s="5785" t="s">
        <v>2129</v>
      </c>
      <c r="L226" s="5786">
        <v>0</v>
      </c>
      <c r="M226" s="5786">
        <v>0</v>
      </c>
      <c r="N226" s="5786"/>
      <c r="O226" s="5786">
        <v>0</v>
      </c>
      <c r="P226" s="5786">
        <v>0</v>
      </c>
      <c r="R226" s="2477">
        <v>0</v>
      </c>
      <c r="S226" s="5786" t="b">
        <v>1</v>
      </c>
      <c r="T226" s="5786" t="s">
        <v>2129</v>
      </c>
      <c r="U226" s="5786">
        <v>0</v>
      </c>
      <c r="V226" s="1958">
        <v>2750022</v>
      </c>
      <c r="W226" s="1958">
        <v>2750022</v>
      </c>
      <c r="X226" s="1958" t="b">
        <v>1</v>
      </c>
      <c r="Y226" s="863">
        <v>16176.6</v>
      </c>
      <c r="AB226" s="863" t="s">
        <v>2129</v>
      </c>
      <c r="AC226" s="863">
        <v>0</v>
      </c>
      <c r="AE226" t="s">
        <v>2131</v>
      </c>
      <c r="AF226" s="3965">
        <v>170</v>
      </c>
      <c r="AG226" s="3965" t="b">
        <v>1</v>
      </c>
      <c r="AH226" t="s">
        <v>2131</v>
      </c>
      <c r="AI226" t="s">
        <v>2129</v>
      </c>
      <c r="AJ226" t="s">
        <v>2129</v>
      </c>
      <c r="AK226" t="s">
        <v>2129</v>
      </c>
      <c r="AL226" t="s">
        <v>2129</v>
      </c>
      <c r="AM226" t="s">
        <v>2129</v>
      </c>
      <c r="AN226" t="s">
        <v>2129</v>
      </c>
      <c r="AQ226" t="s">
        <v>2129</v>
      </c>
      <c r="AV226" s="191" t="s">
        <v>2129</v>
      </c>
      <c r="AW226">
        <v>30</v>
      </c>
      <c r="AX226" t="s">
        <v>2129</v>
      </c>
      <c r="AY226" t="s">
        <v>2129</v>
      </c>
      <c r="AZ226" t="s">
        <v>2129</v>
      </c>
      <c r="BA226" t="s">
        <v>2129</v>
      </c>
      <c r="BB226" t="s">
        <v>2129</v>
      </c>
      <c r="BC226" t="s">
        <v>2129</v>
      </c>
      <c r="BD226" t="s">
        <v>2129</v>
      </c>
      <c r="BE226" t="s">
        <v>2129</v>
      </c>
      <c r="BF226" t="s">
        <v>2129</v>
      </c>
      <c r="BG226" t="s">
        <v>2129</v>
      </c>
      <c r="BH226" s="863" t="s">
        <v>2129</v>
      </c>
      <c r="BI226" s="863">
        <v>82500660</v>
      </c>
      <c r="BJ226" s="863" t="s">
        <v>2129</v>
      </c>
      <c r="BK226" s="863" t="s">
        <v>2129</v>
      </c>
      <c r="BL226" s="863" t="s">
        <v>2129</v>
      </c>
      <c r="BM226" s="863" t="s">
        <v>2129</v>
      </c>
      <c r="BN226" s="863" t="s">
        <v>2129</v>
      </c>
      <c r="BO226" s="863" t="s">
        <v>2129</v>
      </c>
      <c r="BP226" s="863" t="s">
        <v>2129</v>
      </c>
      <c r="BQ226" s="863" t="s">
        <v>2129</v>
      </c>
      <c r="BR226" s="863" t="s">
        <v>2129</v>
      </c>
      <c r="BS226" s="863" t="s">
        <v>2129</v>
      </c>
      <c r="BT226" s="863" t="s">
        <v>2129</v>
      </c>
      <c r="BU226" s="863" t="s">
        <v>2129</v>
      </c>
      <c r="BV226" s="863" t="s">
        <v>2129</v>
      </c>
      <c r="BW226" s="863" t="s">
        <v>2129</v>
      </c>
      <c r="BX226" s="863" t="s">
        <v>2129</v>
      </c>
      <c r="BY226" s="863" t="s">
        <v>2129</v>
      </c>
      <c r="BZ226" s="863" t="s">
        <v>2129</v>
      </c>
      <c r="CA226" s="863" t="s">
        <v>2129</v>
      </c>
      <c r="CB226" s="863"/>
      <c r="CC226" s="863" t="s">
        <v>2129</v>
      </c>
      <c r="CD226" s="863" t="s">
        <v>2129</v>
      </c>
      <c r="CE226" s="863" t="s">
        <v>2129</v>
      </c>
      <c r="CF226" s="863" t="s">
        <v>2129</v>
      </c>
      <c r="CG226" s="863"/>
      <c r="CH226" s="5785"/>
    </row>
    <row r="227" spans="1:86" ht="13" hidden="1">
      <c r="A227">
        <v>3001</v>
      </c>
      <c r="B227" s="5811" t="s">
        <v>3431</v>
      </c>
      <c r="C227" s="5785" t="s">
        <v>2129</v>
      </c>
      <c r="D227" s="5785" t="s">
        <v>5293</v>
      </c>
      <c r="E227" s="5785" t="s">
        <v>2129</v>
      </c>
      <c r="F227" s="5785" t="s">
        <v>2129</v>
      </c>
      <c r="G227" s="5785" t="s">
        <v>2129</v>
      </c>
      <c r="H227" s="3925">
        <v>0</v>
      </c>
      <c r="I227" s="3925">
        <v>0</v>
      </c>
      <c r="J227" s="3925" t="b">
        <v>1</v>
      </c>
      <c r="K227" s="5785">
        <v>0</v>
      </c>
      <c r="L227" s="5786"/>
      <c r="M227" s="5786"/>
      <c r="N227" s="5786"/>
      <c r="O227" s="5786"/>
      <c r="P227" s="5786"/>
      <c r="R227" s="2477">
        <v>0</v>
      </c>
      <c r="S227" s="5786" t="b">
        <v>1</v>
      </c>
      <c r="T227" s="5786" t="s">
        <v>2129</v>
      </c>
      <c r="U227" s="5786">
        <v>0</v>
      </c>
      <c r="V227" s="1958">
        <v>9695919</v>
      </c>
      <c r="W227" s="1958">
        <v>9695919</v>
      </c>
      <c r="X227" s="1958" t="b">
        <v>1</v>
      </c>
      <c r="Y227" s="863">
        <v>96959.19</v>
      </c>
      <c r="AB227" s="863" t="s">
        <v>2129</v>
      </c>
      <c r="AE227" t="s">
        <v>3432</v>
      </c>
      <c r="AF227" s="3965">
        <v>100</v>
      </c>
      <c r="AG227" s="3965" t="b">
        <v>1</v>
      </c>
      <c r="AH227"/>
      <c r="AI227" t="s">
        <v>2129</v>
      </c>
      <c r="AJ227">
        <v>60</v>
      </c>
      <c r="AK227" t="s">
        <v>2129</v>
      </c>
      <c r="AL227" t="s">
        <v>2129</v>
      </c>
      <c r="AM227" t="s">
        <v>2129</v>
      </c>
      <c r="AN227" t="s">
        <v>2129</v>
      </c>
      <c r="AO227">
        <v>-40</v>
      </c>
      <c r="AQ227" t="s">
        <v>2129</v>
      </c>
      <c r="AV227" t="s">
        <v>2129</v>
      </c>
      <c r="AW227" t="s">
        <v>2129</v>
      </c>
      <c r="AX227" t="s">
        <v>2129</v>
      </c>
      <c r="AY227">
        <v>20</v>
      </c>
      <c r="AZ227" t="s">
        <v>2129</v>
      </c>
      <c r="BA227" t="s">
        <v>2129</v>
      </c>
      <c r="BB227" t="s">
        <v>2129</v>
      </c>
      <c r="BC227" t="s">
        <v>2129</v>
      </c>
      <c r="BD227" t="s">
        <v>2129</v>
      </c>
      <c r="BE227" t="s">
        <v>2129</v>
      </c>
      <c r="BF227" t="s">
        <v>2129</v>
      </c>
      <c r="BG227" t="s">
        <v>2129</v>
      </c>
      <c r="BH227" s="1958" t="s">
        <v>2129</v>
      </c>
      <c r="BI227"/>
      <c r="BJ227" s="863">
        <v>116351028</v>
      </c>
      <c r="BK227" s="863" t="s">
        <v>2129</v>
      </c>
      <c r="BL227" s="863" t="s">
        <v>2129</v>
      </c>
      <c r="BM227" s="863" t="s">
        <v>2129</v>
      </c>
      <c r="BN227" s="863" t="s">
        <v>2129</v>
      </c>
      <c r="BO227" s="863" t="s">
        <v>2129</v>
      </c>
      <c r="BP227" s="863" t="s">
        <v>2129</v>
      </c>
      <c r="BQ227" s="863" t="s">
        <v>2129</v>
      </c>
      <c r="BR227" s="863" t="s">
        <v>2129</v>
      </c>
      <c r="BS227" s="863" t="s">
        <v>2129</v>
      </c>
      <c r="BT227" s="863" t="s">
        <v>2129</v>
      </c>
      <c r="BU227" s="863" t="s">
        <v>2129</v>
      </c>
      <c r="BV227" s="863" t="s">
        <v>2129</v>
      </c>
      <c r="BW227" s="863" t="s">
        <v>2129</v>
      </c>
      <c r="BX227" s="863" t="s">
        <v>2129</v>
      </c>
      <c r="BY227" s="863" t="s">
        <v>2129</v>
      </c>
      <c r="BZ227" s="863" t="s">
        <v>2129</v>
      </c>
      <c r="CA227" s="863" t="s">
        <v>2129</v>
      </c>
      <c r="CB227" s="863"/>
      <c r="CC227" s="863" t="s">
        <v>2129</v>
      </c>
      <c r="CD227" s="863" t="s">
        <v>2129</v>
      </c>
      <c r="CE227" s="863" t="s">
        <v>2129</v>
      </c>
      <c r="CF227" s="863" t="s">
        <v>2129</v>
      </c>
      <c r="CG227" s="863"/>
      <c r="CH227" s="5785"/>
    </row>
    <row r="228" spans="1:86" s="5782" customFormat="1" ht="13" hidden="1">
      <c r="A228" s="5782">
        <v>3002</v>
      </c>
      <c r="B228" s="5812" t="s">
        <v>3433</v>
      </c>
      <c r="C228" s="5784" t="s">
        <v>2129</v>
      </c>
      <c r="D228" s="5784" t="s">
        <v>2129</v>
      </c>
      <c r="E228" s="5784" t="s">
        <v>2129</v>
      </c>
      <c r="F228" s="5784" t="s">
        <v>2129</v>
      </c>
      <c r="G228" s="5784" t="s">
        <v>2129</v>
      </c>
      <c r="H228" s="5784">
        <v>0</v>
      </c>
      <c r="I228" s="5784">
        <v>0</v>
      </c>
      <c r="J228" s="5785" t="b">
        <v>1</v>
      </c>
      <c r="K228" s="5785" t="s">
        <v>2129</v>
      </c>
      <c r="L228" s="5786">
        <v>0</v>
      </c>
      <c r="M228" s="5786"/>
      <c r="N228" s="5786"/>
      <c r="O228" s="5786"/>
      <c r="P228" s="5786"/>
      <c r="Q228" s="2476"/>
      <c r="R228" s="5787">
        <v>0</v>
      </c>
      <c r="S228" s="5786" t="b">
        <v>1</v>
      </c>
      <c r="T228" s="5787" t="s">
        <v>2129</v>
      </c>
      <c r="U228" s="5787">
        <v>0</v>
      </c>
      <c r="V228" s="1958">
        <v>12096483</v>
      </c>
      <c r="W228" s="5788">
        <v>12096483</v>
      </c>
      <c r="X228" s="1958" t="b">
        <v>1</v>
      </c>
      <c r="Y228" s="5788">
        <v>95247.897637795279</v>
      </c>
      <c r="Z228" s="5788"/>
      <c r="AA228" s="5788"/>
      <c r="AB228" s="5788" t="s">
        <v>2129</v>
      </c>
      <c r="AC228" s="863"/>
      <c r="AD228" s="863"/>
      <c r="AF228" s="5789">
        <v>127</v>
      </c>
      <c r="AG228" s="3965" t="b">
        <v>1</v>
      </c>
      <c r="AI228" s="5782" t="s">
        <v>2129</v>
      </c>
      <c r="AJ228" s="5782" t="s">
        <v>2129</v>
      </c>
      <c r="AK228" s="5782" t="s">
        <v>2129</v>
      </c>
      <c r="AL228" t="s">
        <v>2129</v>
      </c>
      <c r="AM228" t="s">
        <v>2129</v>
      </c>
      <c r="AN228" t="s">
        <v>2129</v>
      </c>
      <c r="AO228"/>
      <c r="AP228"/>
      <c r="AQ228" t="s">
        <v>2129</v>
      </c>
      <c r="AR228"/>
      <c r="AS228"/>
      <c r="AT228"/>
      <c r="AU228"/>
      <c r="AV228" s="5782" t="s">
        <v>2129</v>
      </c>
      <c r="AW228" t="s">
        <v>2129</v>
      </c>
      <c r="AX228" s="5782" t="s">
        <v>2129</v>
      </c>
      <c r="AY228" s="5782" t="s">
        <v>2129</v>
      </c>
      <c r="AZ228" s="5782" t="s">
        <v>2129</v>
      </c>
      <c r="BA228" s="5782" t="s">
        <v>2129</v>
      </c>
      <c r="BB228" s="5782" t="s">
        <v>2129</v>
      </c>
      <c r="BC228" t="s">
        <v>2129</v>
      </c>
      <c r="BD228" t="s">
        <v>2129</v>
      </c>
      <c r="BE228" t="s">
        <v>2129</v>
      </c>
      <c r="BF228" t="s">
        <v>2129</v>
      </c>
      <c r="BG228" t="s">
        <v>2129</v>
      </c>
      <c r="BH228" s="5788" t="s">
        <v>2129</v>
      </c>
      <c r="BI228"/>
      <c r="BJ228" s="5788" t="s">
        <v>2129</v>
      </c>
      <c r="BK228" s="5788" t="s">
        <v>2129</v>
      </c>
      <c r="BL228" s="5788" t="s">
        <v>2129</v>
      </c>
      <c r="BM228" s="5788" t="s">
        <v>2129</v>
      </c>
      <c r="BN228" s="5788" t="s">
        <v>2129</v>
      </c>
      <c r="BO228" s="5788" t="s">
        <v>2129</v>
      </c>
      <c r="BP228" s="863" t="s">
        <v>2129</v>
      </c>
      <c r="BQ228" s="863" t="s">
        <v>2129</v>
      </c>
      <c r="BR228" s="863" t="s">
        <v>2129</v>
      </c>
      <c r="BS228" s="863" t="s">
        <v>2129</v>
      </c>
      <c r="BT228" s="863" t="s">
        <v>2129</v>
      </c>
      <c r="BU228" s="863" t="s">
        <v>2129</v>
      </c>
      <c r="BV228" s="863" t="s">
        <v>2129</v>
      </c>
      <c r="BW228" s="863" t="s">
        <v>2129</v>
      </c>
      <c r="BX228" s="5788" t="s">
        <v>2129</v>
      </c>
      <c r="BY228" s="863" t="s">
        <v>2129</v>
      </c>
      <c r="BZ228" s="5788" t="s">
        <v>2129</v>
      </c>
      <c r="CA228" s="5788" t="s">
        <v>2129</v>
      </c>
      <c r="CB228" s="863"/>
      <c r="CC228" s="863" t="s">
        <v>2129</v>
      </c>
      <c r="CD228" s="863" t="s">
        <v>2129</v>
      </c>
      <c r="CE228" s="863" t="s">
        <v>2129</v>
      </c>
      <c r="CF228" s="863" t="s">
        <v>2129</v>
      </c>
      <c r="CG228" s="863"/>
      <c r="CH228" s="5784"/>
    </row>
    <row r="229" spans="1:86" s="5782" customFormat="1" ht="13" hidden="1">
      <c r="A229" s="5782">
        <v>3003</v>
      </c>
      <c r="B229" s="5812" t="s">
        <v>3434</v>
      </c>
      <c r="C229" s="5784" t="s">
        <v>2129</v>
      </c>
      <c r="D229" s="5784" t="s">
        <v>2129</v>
      </c>
      <c r="E229" s="5784" t="s">
        <v>2129</v>
      </c>
      <c r="F229" s="5784" t="s">
        <v>2129</v>
      </c>
      <c r="G229" s="5784" t="s">
        <v>2129</v>
      </c>
      <c r="H229" s="5784">
        <v>3</v>
      </c>
      <c r="I229" s="5784">
        <v>0</v>
      </c>
      <c r="J229" s="5785" t="b">
        <v>1</v>
      </c>
      <c r="K229" s="5785" t="s">
        <v>2129</v>
      </c>
      <c r="L229" s="5786">
        <v>0</v>
      </c>
      <c r="M229" s="5786"/>
      <c r="N229" s="5786"/>
      <c r="O229" s="5786"/>
      <c r="P229" s="5786"/>
      <c r="Q229" s="2476"/>
      <c r="R229" s="5787">
        <v>0</v>
      </c>
      <c r="S229" s="5786" t="b">
        <v>1</v>
      </c>
      <c r="T229" s="5787" t="s">
        <v>2129</v>
      </c>
      <c r="U229" s="5787">
        <v>0</v>
      </c>
      <c r="V229" s="1958">
        <v>16858878</v>
      </c>
      <c r="W229" s="5788">
        <v>16858878</v>
      </c>
      <c r="X229" s="1958" t="b">
        <v>1</v>
      </c>
      <c r="Y229" s="5788">
        <v>95247.898305084746</v>
      </c>
      <c r="Z229" s="5788"/>
      <c r="AA229" s="5788"/>
      <c r="AB229" s="5788" t="s">
        <v>2129</v>
      </c>
      <c r="AC229" s="863"/>
      <c r="AD229" s="863"/>
      <c r="AF229" s="5789">
        <v>177</v>
      </c>
      <c r="AG229" s="3965" t="b">
        <v>1</v>
      </c>
      <c r="AI229" s="5782" t="s">
        <v>2129</v>
      </c>
      <c r="AJ229" s="5782" t="s">
        <v>2129</v>
      </c>
      <c r="AK229" s="5782" t="s">
        <v>2129</v>
      </c>
      <c r="AL229" t="s">
        <v>2129</v>
      </c>
      <c r="AM229" t="s">
        <v>2129</v>
      </c>
      <c r="AN229" t="s">
        <v>2129</v>
      </c>
      <c r="AO229"/>
      <c r="AP229"/>
      <c r="AQ229" t="s">
        <v>2129</v>
      </c>
      <c r="AR229"/>
      <c r="AS229"/>
      <c r="AT229"/>
      <c r="AU229"/>
      <c r="AV229" s="5782" t="s">
        <v>2129</v>
      </c>
      <c r="AW229" t="s">
        <v>2129</v>
      </c>
      <c r="AX229" s="5782" t="s">
        <v>2129</v>
      </c>
      <c r="AY229" s="5782" t="s">
        <v>2129</v>
      </c>
      <c r="AZ229" s="5782" t="s">
        <v>2129</v>
      </c>
      <c r="BA229" s="5782" t="s">
        <v>2129</v>
      </c>
      <c r="BB229" s="5782" t="s">
        <v>2129</v>
      </c>
      <c r="BC229" t="s">
        <v>2129</v>
      </c>
      <c r="BD229" t="s">
        <v>2129</v>
      </c>
      <c r="BE229" t="s">
        <v>2129</v>
      </c>
      <c r="BF229" t="s">
        <v>2129</v>
      </c>
      <c r="BG229" t="s">
        <v>2129</v>
      </c>
      <c r="BH229" s="5788" t="s">
        <v>2129</v>
      </c>
      <c r="BI229"/>
      <c r="BJ229" s="5788" t="s">
        <v>2129</v>
      </c>
      <c r="BK229" s="5788" t="s">
        <v>2129</v>
      </c>
      <c r="BL229" s="5788" t="s">
        <v>2129</v>
      </c>
      <c r="BM229" s="5788" t="s">
        <v>2129</v>
      </c>
      <c r="BN229" s="5788" t="s">
        <v>2129</v>
      </c>
      <c r="BO229" s="5788" t="s">
        <v>2129</v>
      </c>
      <c r="BP229" s="863" t="s">
        <v>2129</v>
      </c>
      <c r="BQ229" s="863" t="s">
        <v>2129</v>
      </c>
      <c r="BR229" s="863" t="s">
        <v>2129</v>
      </c>
      <c r="BS229" s="863" t="s">
        <v>2129</v>
      </c>
      <c r="BT229" s="863" t="s">
        <v>2129</v>
      </c>
      <c r="BU229" s="863" t="s">
        <v>2129</v>
      </c>
      <c r="BV229" s="863" t="s">
        <v>2129</v>
      </c>
      <c r="BW229" s="863" t="s">
        <v>2129</v>
      </c>
      <c r="BX229" s="5788" t="s">
        <v>2129</v>
      </c>
      <c r="BY229" s="863" t="s">
        <v>2129</v>
      </c>
      <c r="BZ229" s="5788" t="s">
        <v>2129</v>
      </c>
      <c r="CA229" s="5788" t="s">
        <v>2129</v>
      </c>
      <c r="CB229" s="863"/>
      <c r="CC229" s="863" t="s">
        <v>2129</v>
      </c>
      <c r="CD229" s="863" t="s">
        <v>2129</v>
      </c>
      <c r="CE229" s="863" t="s">
        <v>2129</v>
      </c>
      <c r="CF229" s="863" t="s">
        <v>2129</v>
      </c>
      <c r="CG229" s="863"/>
      <c r="CH229" s="5784"/>
    </row>
    <row r="230" spans="1:86" ht="13" hidden="1">
      <c r="A230">
        <v>3004</v>
      </c>
      <c r="B230" s="5811" t="s">
        <v>3435</v>
      </c>
      <c r="C230" s="5785" t="s">
        <v>3694</v>
      </c>
      <c r="D230" s="5785" t="s">
        <v>2129</v>
      </c>
      <c r="E230" s="5785" t="s">
        <v>2129</v>
      </c>
      <c r="F230" s="5785" t="s">
        <v>2129</v>
      </c>
      <c r="G230" s="5785" t="s">
        <v>2129</v>
      </c>
      <c r="H230" s="5785">
        <v>0</v>
      </c>
      <c r="I230" s="5785">
        <v>0</v>
      </c>
      <c r="J230" s="5785" t="b">
        <v>1</v>
      </c>
      <c r="K230" s="5785" t="s">
        <v>2129</v>
      </c>
      <c r="L230" s="5786"/>
      <c r="M230" s="5786"/>
      <c r="N230" s="5786"/>
      <c r="O230" s="5786"/>
      <c r="P230" s="5786"/>
      <c r="R230" s="2477">
        <v>0</v>
      </c>
      <c r="S230" s="5786" t="b">
        <v>1</v>
      </c>
      <c r="T230" s="5786" t="s">
        <v>2129</v>
      </c>
      <c r="U230" s="5786">
        <v>0</v>
      </c>
      <c r="V230" s="1958">
        <v>449075</v>
      </c>
      <c r="W230" s="1958">
        <v>449075</v>
      </c>
      <c r="X230" s="1958" t="b">
        <v>1</v>
      </c>
      <c r="Y230" s="863">
        <v>11226.875</v>
      </c>
      <c r="AB230" s="863">
        <v>7810.0000000000009</v>
      </c>
      <c r="AF230" s="3965">
        <v>40</v>
      </c>
      <c r="AG230" s="3965" t="b">
        <v>1</v>
      </c>
      <c r="AH230"/>
      <c r="AI230">
        <v>50</v>
      </c>
      <c r="AJ230" t="s">
        <v>2129</v>
      </c>
      <c r="AK230" t="s">
        <v>2129</v>
      </c>
      <c r="AL230" t="s">
        <v>2129</v>
      </c>
      <c r="AM230" t="s">
        <v>2129</v>
      </c>
      <c r="AN230">
        <v>10</v>
      </c>
      <c r="AQ230" t="s">
        <v>2129</v>
      </c>
      <c r="AV230" t="s">
        <v>2129</v>
      </c>
      <c r="AW230" t="s">
        <v>2129</v>
      </c>
      <c r="AX230" t="s">
        <v>2129</v>
      </c>
      <c r="AY230" t="s">
        <v>2129</v>
      </c>
      <c r="AZ230">
        <v>32</v>
      </c>
      <c r="BA230" t="s">
        <v>2129</v>
      </c>
      <c r="BB230" t="s">
        <v>2129</v>
      </c>
      <c r="BC230" t="s">
        <v>2129</v>
      </c>
      <c r="BD230" t="s">
        <v>2129</v>
      </c>
      <c r="BE230" t="s">
        <v>2129</v>
      </c>
      <c r="BF230" t="s">
        <v>2129</v>
      </c>
      <c r="BG230" t="s">
        <v>2129</v>
      </c>
      <c r="BH230" s="863" t="s">
        <v>2129</v>
      </c>
      <c r="BI230"/>
      <c r="BJ230" s="863" t="s">
        <v>2129</v>
      </c>
      <c r="BK230" s="863">
        <v>17963000</v>
      </c>
      <c r="BL230" s="863" t="s">
        <v>2129</v>
      </c>
      <c r="BM230" s="863" t="s">
        <v>2129</v>
      </c>
      <c r="BN230" s="863" t="s">
        <v>2129</v>
      </c>
      <c r="BO230" s="863" t="s">
        <v>2129</v>
      </c>
      <c r="BP230" s="863" t="s">
        <v>2129</v>
      </c>
      <c r="BQ230" s="863" t="s">
        <v>2129</v>
      </c>
      <c r="BR230" s="863" t="s">
        <v>2129</v>
      </c>
      <c r="BS230" s="863" t="s">
        <v>2129</v>
      </c>
      <c r="BT230" s="863" t="s">
        <v>2129</v>
      </c>
      <c r="BU230" s="863" t="s">
        <v>2129</v>
      </c>
      <c r="BV230" s="863" t="s">
        <v>2129</v>
      </c>
      <c r="BW230" s="863" t="s">
        <v>2129</v>
      </c>
      <c r="BX230" s="863" t="s">
        <v>2129</v>
      </c>
      <c r="BY230" s="863" t="s">
        <v>2129</v>
      </c>
      <c r="BZ230" s="863" t="s">
        <v>2129</v>
      </c>
      <c r="CA230" s="863" t="s">
        <v>2129</v>
      </c>
      <c r="CB230" s="863"/>
      <c r="CC230" s="863" t="s">
        <v>2129</v>
      </c>
      <c r="CD230" s="863" t="s">
        <v>2129</v>
      </c>
      <c r="CE230" s="863" t="s">
        <v>2129</v>
      </c>
      <c r="CF230" s="863" t="s">
        <v>2129</v>
      </c>
      <c r="CG230" s="863"/>
      <c r="CH230" s="5785"/>
    </row>
    <row r="231" spans="1:86" ht="13" hidden="1">
      <c r="A231">
        <v>3005</v>
      </c>
      <c r="B231" s="5794" t="s">
        <v>3436</v>
      </c>
      <c r="C231" s="5785" t="s">
        <v>3694</v>
      </c>
      <c r="D231" s="5785" t="s">
        <v>2129</v>
      </c>
      <c r="E231" s="5785" t="s">
        <v>2129</v>
      </c>
      <c r="F231" s="5785" t="s">
        <v>2129</v>
      </c>
      <c r="G231" s="5785" t="s">
        <v>2129</v>
      </c>
      <c r="H231" s="5785">
        <v>0</v>
      </c>
      <c r="I231" s="2694">
        <v>0</v>
      </c>
      <c r="J231" s="5785" t="b">
        <v>1</v>
      </c>
      <c r="K231" s="5785" t="s">
        <v>2129</v>
      </c>
      <c r="L231" s="5786"/>
      <c r="M231" s="5786"/>
      <c r="N231" s="5786"/>
      <c r="O231" s="5786"/>
      <c r="P231" s="5786"/>
      <c r="R231" s="2477">
        <v>0</v>
      </c>
      <c r="S231" s="5786" t="b">
        <v>1</v>
      </c>
      <c r="T231" s="5786" t="s">
        <v>2129</v>
      </c>
      <c r="U231" s="5786">
        <v>0</v>
      </c>
      <c r="V231" s="1958">
        <v>3996520</v>
      </c>
      <c r="W231" s="1958">
        <v>3996520</v>
      </c>
      <c r="X231" s="1958" t="b">
        <v>1</v>
      </c>
      <c r="Y231" s="863">
        <v>28546.571428571428</v>
      </c>
      <c r="AB231" s="863">
        <v>23168.231884057972</v>
      </c>
      <c r="AF231" s="3965">
        <v>140</v>
      </c>
      <c r="AG231" s="3965" t="b">
        <v>1</v>
      </c>
      <c r="AH231"/>
      <c r="AI231">
        <v>150</v>
      </c>
      <c r="AJ231" t="s">
        <v>2129</v>
      </c>
      <c r="AK231" t="s">
        <v>2129</v>
      </c>
      <c r="AL231" t="s">
        <v>2129</v>
      </c>
      <c r="AM231" t="s">
        <v>2129</v>
      </c>
      <c r="AN231">
        <v>10</v>
      </c>
      <c r="AQ231" t="s">
        <v>2129</v>
      </c>
      <c r="AV231" t="s">
        <v>2129</v>
      </c>
      <c r="AW231" t="s">
        <v>2129</v>
      </c>
      <c r="AX231" t="s">
        <v>2129</v>
      </c>
      <c r="AY231" t="s">
        <v>2129</v>
      </c>
      <c r="AZ231">
        <v>32</v>
      </c>
      <c r="BA231" t="s">
        <v>2129</v>
      </c>
      <c r="BB231" t="s">
        <v>2129</v>
      </c>
      <c r="BC231" t="s">
        <v>2129</v>
      </c>
      <c r="BD231" t="s">
        <v>2129</v>
      </c>
      <c r="BE231" t="s">
        <v>2129</v>
      </c>
      <c r="BF231" t="s">
        <v>2129</v>
      </c>
      <c r="BG231" t="s">
        <v>2129</v>
      </c>
      <c r="BH231" s="863" t="s">
        <v>2129</v>
      </c>
      <c r="BI231"/>
      <c r="BJ231" s="863" t="s">
        <v>2129</v>
      </c>
      <c r="BK231" s="863">
        <v>137023542.85714287</v>
      </c>
      <c r="BL231" s="863" t="s">
        <v>2129</v>
      </c>
      <c r="BM231" s="863" t="s">
        <v>2129</v>
      </c>
      <c r="BN231" s="863" t="s">
        <v>2129</v>
      </c>
      <c r="BO231" s="863" t="s">
        <v>2129</v>
      </c>
      <c r="BP231" s="863" t="s">
        <v>2129</v>
      </c>
      <c r="BQ231" s="863" t="s">
        <v>2129</v>
      </c>
      <c r="BR231" s="863" t="s">
        <v>2129</v>
      </c>
      <c r="BS231" s="863" t="s">
        <v>2129</v>
      </c>
      <c r="BT231" s="863" t="s">
        <v>2129</v>
      </c>
      <c r="BU231" s="863" t="s">
        <v>2129</v>
      </c>
      <c r="BV231" s="863" t="s">
        <v>2129</v>
      </c>
      <c r="BW231" s="863" t="s">
        <v>2129</v>
      </c>
      <c r="BX231" s="863" t="s">
        <v>2129</v>
      </c>
      <c r="BY231" s="863" t="s">
        <v>2129</v>
      </c>
      <c r="BZ231" s="863" t="s">
        <v>2129</v>
      </c>
      <c r="CA231" s="863" t="s">
        <v>2129</v>
      </c>
      <c r="CB231" s="863"/>
      <c r="CC231" s="863" t="s">
        <v>2129</v>
      </c>
      <c r="CD231" s="863" t="s">
        <v>2129</v>
      </c>
      <c r="CE231" s="863" t="s">
        <v>2129</v>
      </c>
      <c r="CF231" s="863" t="s">
        <v>2129</v>
      </c>
      <c r="CG231" s="863"/>
      <c r="CH231" s="5785"/>
    </row>
    <row r="232" spans="1:86" ht="13" hidden="1">
      <c r="A232">
        <v>3006</v>
      </c>
      <c r="B232" s="5813" t="s">
        <v>3437</v>
      </c>
      <c r="C232" s="5785" t="s">
        <v>3694</v>
      </c>
      <c r="D232" s="5785" t="s">
        <v>2129</v>
      </c>
      <c r="E232" s="5785" t="s">
        <v>2129</v>
      </c>
      <c r="F232" s="5785" t="s">
        <v>2129</v>
      </c>
      <c r="G232" s="5785" t="s">
        <v>2129</v>
      </c>
      <c r="H232" s="5785">
        <v>0</v>
      </c>
      <c r="I232" s="2694">
        <v>0</v>
      </c>
      <c r="J232" s="5785" t="b">
        <v>1</v>
      </c>
      <c r="K232" s="5785" t="s">
        <v>2129</v>
      </c>
      <c r="L232" s="5786"/>
      <c r="M232" s="5786"/>
      <c r="N232" s="5786"/>
      <c r="O232" s="5786"/>
      <c r="P232" s="5786"/>
      <c r="R232" s="2477">
        <v>0</v>
      </c>
      <c r="S232" s="5786" t="b">
        <v>1</v>
      </c>
      <c r="T232" s="5786" t="s">
        <v>2129</v>
      </c>
      <c r="U232" s="5786">
        <v>0</v>
      </c>
      <c r="V232" s="1958">
        <v>8689516</v>
      </c>
      <c r="W232" s="1958">
        <v>8689516</v>
      </c>
      <c r="X232" s="1958" t="b">
        <v>1</v>
      </c>
      <c r="Y232" s="863">
        <v>28965.053333333333</v>
      </c>
      <c r="AB232" s="863">
        <v>21838.441819552652</v>
      </c>
      <c r="AF232" s="3965">
        <v>300</v>
      </c>
      <c r="AG232" s="3965" t="b">
        <v>1</v>
      </c>
      <c r="AH232"/>
      <c r="AI232">
        <v>346</v>
      </c>
      <c r="AJ232" t="s">
        <v>2129</v>
      </c>
      <c r="AK232" t="s">
        <v>2129</v>
      </c>
      <c r="AL232" t="s">
        <v>2129</v>
      </c>
      <c r="AM232" t="s">
        <v>2129</v>
      </c>
      <c r="AN232">
        <v>46</v>
      </c>
      <c r="AQ232" t="s">
        <v>2129</v>
      </c>
      <c r="AV232" t="s">
        <v>2129</v>
      </c>
      <c r="AW232" t="s">
        <v>2129</v>
      </c>
      <c r="AX232" t="s">
        <v>2129</v>
      </c>
      <c r="AY232" t="s">
        <v>2129</v>
      </c>
      <c r="AZ232">
        <v>32</v>
      </c>
      <c r="BA232" t="s">
        <v>2129</v>
      </c>
      <c r="BB232" t="s">
        <v>2129</v>
      </c>
      <c r="BC232" t="s">
        <v>2129</v>
      </c>
      <c r="BD232" t="s">
        <v>2129</v>
      </c>
      <c r="BE232" t="s">
        <v>2129</v>
      </c>
      <c r="BF232" t="s">
        <v>2129</v>
      </c>
      <c r="BG232" t="s">
        <v>2129</v>
      </c>
      <c r="BH232" s="863" t="s">
        <v>2129</v>
      </c>
      <c r="BI232"/>
      <c r="BJ232" s="863" t="s">
        <v>2129</v>
      </c>
      <c r="BK232" s="863">
        <v>320701070.50666666</v>
      </c>
      <c r="BL232" s="863" t="s">
        <v>2129</v>
      </c>
      <c r="BM232" s="863" t="s">
        <v>2129</v>
      </c>
      <c r="BN232" s="863" t="s">
        <v>2129</v>
      </c>
      <c r="BO232" s="863" t="s">
        <v>2129</v>
      </c>
      <c r="BP232" s="863" t="s">
        <v>2129</v>
      </c>
      <c r="BQ232" s="863" t="s">
        <v>2129</v>
      </c>
      <c r="BR232" s="863" t="s">
        <v>2129</v>
      </c>
      <c r="BS232" s="863" t="s">
        <v>2129</v>
      </c>
      <c r="BT232" s="863" t="s">
        <v>2129</v>
      </c>
      <c r="BU232" s="863" t="s">
        <v>2129</v>
      </c>
      <c r="BV232" s="863" t="s">
        <v>2129</v>
      </c>
      <c r="BW232" s="863" t="s">
        <v>2129</v>
      </c>
      <c r="BX232" s="863" t="s">
        <v>2129</v>
      </c>
      <c r="BY232" s="863" t="s">
        <v>2129</v>
      </c>
      <c r="BZ232" s="863" t="s">
        <v>2129</v>
      </c>
      <c r="CA232" s="863" t="s">
        <v>2129</v>
      </c>
      <c r="CB232" s="863"/>
      <c r="CC232" s="863" t="s">
        <v>2129</v>
      </c>
      <c r="CD232" s="863" t="s">
        <v>2129</v>
      </c>
      <c r="CE232" s="863" t="s">
        <v>2129</v>
      </c>
      <c r="CF232" s="863" t="s">
        <v>2129</v>
      </c>
      <c r="CG232" s="863"/>
      <c r="CH232" s="5785"/>
    </row>
    <row r="233" spans="1:86" ht="13" hidden="1">
      <c r="A233">
        <v>3007</v>
      </c>
      <c r="B233" s="5794" t="s">
        <v>3438</v>
      </c>
      <c r="C233" s="5785" t="s">
        <v>2129</v>
      </c>
      <c r="D233" s="5785" t="s">
        <v>3791</v>
      </c>
      <c r="E233" s="5785" t="s">
        <v>2129</v>
      </c>
      <c r="F233" s="5785" t="s">
        <v>2129</v>
      </c>
      <c r="G233" s="5785" t="s">
        <v>2129</v>
      </c>
      <c r="H233" s="5785">
        <v>0</v>
      </c>
      <c r="I233" s="2694">
        <v>0</v>
      </c>
      <c r="J233" s="5785" t="b">
        <v>1</v>
      </c>
      <c r="K233" s="5785" t="s">
        <v>2129</v>
      </c>
      <c r="L233" s="5786"/>
      <c r="M233" s="5786"/>
      <c r="N233" s="5786"/>
      <c r="O233" s="5786"/>
      <c r="P233" s="5786"/>
      <c r="R233" s="2477">
        <v>0</v>
      </c>
      <c r="S233" s="5786" t="b">
        <v>1</v>
      </c>
      <c r="T233" s="5786" t="s">
        <v>2129</v>
      </c>
      <c r="U233" s="5786">
        <v>0</v>
      </c>
      <c r="V233" s="1958">
        <v>1176450</v>
      </c>
      <c r="W233" s="1958">
        <v>1176450</v>
      </c>
      <c r="X233" s="1958" t="b">
        <v>1</v>
      </c>
      <c r="Y233" s="863">
        <v>12650</v>
      </c>
      <c r="AB233" s="863" t="s">
        <v>2129</v>
      </c>
      <c r="AF233" s="3965">
        <v>93</v>
      </c>
      <c r="AG233" s="3965" t="b">
        <v>1</v>
      </c>
      <c r="AH233"/>
      <c r="AI233" t="s">
        <v>2129</v>
      </c>
      <c r="AJ233">
        <v>93</v>
      </c>
      <c r="AK233" t="s">
        <v>2129</v>
      </c>
      <c r="AL233" t="s">
        <v>2129</v>
      </c>
      <c r="AM233" t="s">
        <v>2129</v>
      </c>
      <c r="AN233" t="s">
        <v>2129</v>
      </c>
      <c r="AQ233" t="s">
        <v>2129</v>
      </c>
      <c r="AV233" t="s">
        <v>2129</v>
      </c>
      <c r="AW233" t="s">
        <v>2129</v>
      </c>
      <c r="AX233" t="s">
        <v>2129</v>
      </c>
      <c r="AY233" t="s">
        <v>2129</v>
      </c>
      <c r="AZ233" t="s">
        <v>2129</v>
      </c>
      <c r="BA233">
        <v>11</v>
      </c>
      <c r="BB233" t="s">
        <v>2129</v>
      </c>
      <c r="BC233" t="s">
        <v>2129</v>
      </c>
      <c r="BD233" t="s">
        <v>2129</v>
      </c>
      <c r="BE233" t="s">
        <v>2129</v>
      </c>
      <c r="BF233" t="s">
        <v>2129</v>
      </c>
      <c r="BG233" t="s">
        <v>2129</v>
      </c>
      <c r="BH233" s="863" t="s">
        <v>2129</v>
      </c>
      <c r="BI233"/>
      <c r="BJ233" s="863" t="s">
        <v>2129</v>
      </c>
      <c r="BK233" s="863" t="s">
        <v>2129</v>
      </c>
      <c r="BL233" s="863" t="s">
        <v>2129</v>
      </c>
      <c r="BM233" s="863" t="s">
        <v>2129</v>
      </c>
      <c r="BN233" s="863">
        <v>12940950</v>
      </c>
      <c r="BO233" s="863" t="s">
        <v>2129</v>
      </c>
      <c r="BP233" s="863" t="s">
        <v>2129</v>
      </c>
      <c r="BQ233" s="863" t="s">
        <v>2129</v>
      </c>
      <c r="BR233" s="863" t="s">
        <v>2129</v>
      </c>
      <c r="BS233" s="863" t="s">
        <v>2129</v>
      </c>
      <c r="BT233" s="863" t="s">
        <v>2129</v>
      </c>
      <c r="BU233" s="863" t="s">
        <v>2129</v>
      </c>
      <c r="BV233" s="863" t="s">
        <v>2129</v>
      </c>
      <c r="BW233" s="863" t="s">
        <v>2129</v>
      </c>
      <c r="BX233" s="863" t="s">
        <v>2129</v>
      </c>
      <c r="BY233" s="863" t="s">
        <v>2129</v>
      </c>
      <c r="BZ233" s="863" t="s">
        <v>2129</v>
      </c>
      <c r="CA233" s="863" t="s">
        <v>2129</v>
      </c>
      <c r="CB233" s="863"/>
      <c r="CC233" s="863" t="s">
        <v>2129</v>
      </c>
      <c r="CD233" s="863" t="s">
        <v>2129</v>
      </c>
      <c r="CE233" s="863" t="s">
        <v>2129</v>
      </c>
      <c r="CF233" s="863" t="s">
        <v>2129</v>
      </c>
      <c r="CG233" s="863"/>
      <c r="CH233" s="5785"/>
    </row>
    <row r="234" spans="1:86" ht="13" hidden="1">
      <c r="A234">
        <v>3008</v>
      </c>
      <c r="B234" s="5794" t="s">
        <v>3439</v>
      </c>
      <c r="C234" s="5785" t="s">
        <v>2129</v>
      </c>
      <c r="D234" s="5785" t="s">
        <v>3791</v>
      </c>
      <c r="E234" s="5785" t="s">
        <v>4095</v>
      </c>
      <c r="F234" s="5785" t="s">
        <v>2129</v>
      </c>
      <c r="G234" s="5785" t="s">
        <v>2129</v>
      </c>
      <c r="H234" s="5785">
        <v>0</v>
      </c>
      <c r="I234" s="2694">
        <v>0</v>
      </c>
      <c r="J234" s="5785" t="b">
        <v>1</v>
      </c>
      <c r="K234" s="5785" t="s">
        <v>2129</v>
      </c>
      <c r="L234" s="5786"/>
      <c r="M234" s="5786"/>
      <c r="N234" s="5786"/>
      <c r="O234" s="5786"/>
      <c r="P234" s="5786"/>
      <c r="R234" s="2477">
        <v>0</v>
      </c>
      <c r="S234" s="5786" t="b">
        <v>1</v>
      </c>
      <c r="T234" s="5786" t="s">
        <v>2129</v>
      </c>
      <c r="U234" s="5786">
        <v>0</v>
      </c>
      <c r="V234" s="1958">
        <v>4079498.5</v>
      </c>
      <c r="W234" s="1958">
        <v>4079498.5</v>
      </c>
      <c r="X234" s="1958" t="b">
        <v>1</v>
      </c>
      <c r="Y234" s="863">
        <v>34281.5</v>
      </c>
      <c r="AB234" s="863" t="s">
        <v>2129</v>
      </c>
      <c r="AF234" s="3965">
        <v>119</v>
      </c>
      <c r="AG234" s="3965" t="b">
        <v>1</v>
      </c>
      <c r="AH234"/>
      <c r="AI234" t="s">
        <v>2129</v>
      </c>
      <c r="AJ234">
        <v>119</v>
      </c>
      <c r="AK234">
        <v>28</v>
      </c>
      <c r="AL234" t="s">
        <v>2129</v>
      </c>
      <c r="AM234" t="s">
        <v>2129</v>
      </c>
      <c r="AN234" t="s">
        <v>2129</v>
      </c>
      <c r="AQ234" t="s">
        <v>2129</v>
      </c>
      <c r="AV234" t="s">
        <v>2129</v>
      </c>
      <c r="AW234" t="s">
        <v>2129</v>
      </c>
      <c r="AX234" t="s">
        <v>2129</v>
      </c>
      <c r="AY234" t="s">
        <v>2129</v>
      </c>
      <c r="AZ234" t="s">
        <v>2129</v>
      </c>
      <c r="BA234">
        <v>11</v>
      </c>
      <c r="BB234">
        <v>32</v>
      </c>
      <c r="BC234" t="s">
        <v>2129</v>
      </c>
      <c r="BD234" t="s">
        <v>2129</v>
      </c>
      <c r="BE234" t="s">
        <v>2129</v>
      </c>
      <c r="BF234" t="s">
        <v>2129</v>
      </c>
      <c r="BG234" t="s">
        <v>2129</v>
      </c>
      <c r="BH234" s="863" t="s">
        <v>2129</v>
      </c>
      <c r="BI234"/>
      <c r="BJ234" s="863" t="s">
        <v>2129</v>
      </c>
      <c r="BK234" s="863" t="s">
        <v>2129</v>
      </c>
      <c r="BL234" s="863" t="s">
        <v>2129</v>
      </c>
      <c r="BM234" s="863" t="s">
        <v>2129</v>
      </c>
      <c r="BN234" s="863">
        <v>44874483.5</v>
      </c>
      <c r="BO234" s="863">
        <v>30716224</v>
      </c>
      <c r="BP234" s="863" t="s">
        <v>2129</v>
      </c>
      <c r="BQ234" s="863" t="s">
        <v>2129</v>
      </c>
      <c r="BR234" s="863" t="s">
        <v>2129</v>
      </c>
      <c r="BS234" s="863" t="s">
        <v>2129</v>
      </c>
      <c r="BT234" s="863" t="s">
        <v>2129</v>
      </c>
      <c r="BU234" s="863" t="s">
        <v>2129</v>
      </c>
      <c r="BV234" s="863" t="s">
        <v>2129</v>
      </c>
      <c r="BW234" s="863" t="s">
        <v>2129</v>
      </c>
      <c r="BX234" s="863" t="s">
        <v>2129</v>
      </c>
      <c r="BY234" s="863" t="s">
        <v>2129</v>
      </c>
      <c r="BZ234" s="863" t="s">
        <v>2129</v>
      </c>
      <c r="CA234" s="863" t="s">
        <v>2129</v>
      </c>
      <c r="CB234" s="863"/>
      <c r="CC234" s="863" t="s">
        <v>2129</v>
      </c>
      <c r="CD234" s="863" t="s">
        <v>2129</v>
      </c>
      <c r="CE234" s="863" t="s">
        <v>2129</v>
      </c>
      <c r="CF234" s="863" t="s">
        <v>2129</v>
      </c>
      <c r="CG234" s="863"/>
      <c r="CH234" s="5785"/>
    </row>
    <row r="235" spans="1:86" ht="13" hidden="1">
      <c r="A235">
        <v>3009</v>
      </c>
      <c r="B235" s="5794" t="s">
        <v>3440</v>
      </c>
      <c r="C235" s="5785" t="s">
        <v>2129</v>
      </c>
      <c r="D235" s="5785" t="s">
        <v>3791</v>
      </c>
      <c r="E235" s="5785" t="s">
        <v>4095</v>
      </c>
      <c r="F235" s="5785" t="s">
        <v>2129</v>
      </c>
      <c r="G235" s="5785" t="s">
        <v>2129</v>
      </c>
      <c r="H235" s="5785">
        <v>0</v>
      </c>
      <c r="I235" s="2694">
        <v>0</v>
      </c>
      <c r="J235" s="5785" t="b">
        <v>1</v>
      </c>
      <c r="K235" s="5785" t="s">
        <v>2129</v>
      </c>
      <c r="L235" s="5786"/>
      <c r="M235" s="5786"/>
      <c r="N235" s="5786"/>
      <c r="O235" s="5786"/>
      <c r="P235" s="5786"/>
      <c r="R235" s="2477">
        <v>0</v>
      </c>
      <c r="S235" s="5786" t="b">
        <v>1</v>
      </c>
      <c r="T235" s="5786" t="s">
        <v>2129</v>
      </c>
      <c r="U235" s="5786">
        <v>0</v>
      </c>
      <c r="V235" s="1958">
        <v>367482.5</v>
      </c>
      <c r="W235" s="1958">
        <v>367482.5</v>
      </c>
      <c r="X235" s="1958" t="b">
        <v>1</v>
      </c>
      <c r="Y235" s="863">
        <v>10499.5</v>
      </c>
      <c r="AB235" s="863" t="s">
        <v>2129</v>
      </c>
      <c r="AF235" s="3965">
        <v>35</v>
      </c>
      <c r="AG235" s="3965" t="b">
        <v>1</v>
      </c>
      <c r="AH235"/>
      <c r="AI235" t="s">
        <v>2129</v>
      </c>
      <c r="AJ235">
        <v>35</v>
      </c>
      <c r="AK235">
        <v>7</v>
      </c>
      <c r="AL235" t="s">
        <v>2129</v>
      </c>
      <c r="AM235" t="s">
        <v>2129</v>
      </c>
      <c r="AN235" t="s">
        <v>2129</v>
      </c>
      <c r="AQ235" t="s">
        <v>2129</v>
      </c>
      <c r="AV235" t="s">
        <v>2129</v>
      </c>
      <c r="AW235" t="s">
        <v>2129</v>
      </c>
      <c r="AX235" t="s">
        <v>2129</v>
      </c>
      <c r="AY235" t="s">
        <v>2129</v>
      </c>
      <c r="AZ235" t="s">
        <v>2129</v>
      </c>
      <c r="BA235">
        <v>11</v>
      </c>
      <c r="BB235">
        <v>32</v>
      </c>
      <c r="BC235" t="s">
        <v>2129</v>
      </c>
      <c r="BD235" t="s">
        <v>2129</v>
      </c>
      <c r="BE235" t="s">
        <v>2129</v>
      </c>
      <c r="BF235" t="s">
        <v>2129</v>
      </c>
      <c r="BG235" t="s">
        <v>2129</v>
      </c>
      <c r="BH235" s="863" t="s">
        <v>2129</v>
      </c>
      <c r="BI235"/>
      <c r="BJ235" s="863" t="s">
        <v>2129</v>
      </c>
      <c r="BK235" s="863" t="s">
        <v>2129</v>
      </c>
      <c r="BL235" s="863" t="s">
        <v>2129</v>
      </c>
      <c r="BM235" s="863" t="s">
        <v>2129</v>
      </c>
      <c r="BN235" s="863">
        <v>4042307.5</v>
      </c>
      <c r="BO235" s="863">
        <v>2351888</v>
      </c>
      <c r="BP235" s="863" t="s">
        <v>2129</v>
      </c>
      <c r="BQ235" s="863" t="s">
        <v>2129</v>
      </c>
      <c r="BR235" s="863" t="s">
        <v>2129</v>
      </c>
      <c r="BS235" s="863" t="s">
        <v>2129</v>
      </c>
      <c r="BT235" s="863" t="s">
        <v>2129</v>
      </c>
      <c r="BU235" s="863" t="s">
        <v>2129</v>
      </c>
      <c r="BV235" s="863" t="s">
        <v>2129</v>
      </c>
      <c r="BW235" s="863" t="s">
        <v>2129</v>
      </c>
      <c r="BX235" s="863" t="s">
        <v>2129</v>
      </c>
      <c r="BY235" s="863" t="s">
        <v>2129</v>
      </c>
      <c r="BZ235" s="863" t="s">
        <v>2129</v>
      </c>
      <c r="CA235" s="863" t="s">
        <v>2129</v>
      </c>
      <c r="CB235" s="863"/>
      <c r="CC235" s="863" t="s">
        <v>2129</v>
      </c>
      <c r="CD235" s="863" t="s">
        <v>2129</v>
      </c>
      <c r="CE235" s="863" t="s">
        <v>2129</v>
      </c>
      <c r="CF235" s="863" t="s">
        <v>2129</v>
      </c>
      <c r="CG235" s="863"/>
      <c r="CH235" s="5785"/>
    </row>
    <row r="236" spans="1:86" ht="13" hidden="1">
      <c r="A236">
        <v>3010</v>
      </c>
      <c r="B236" s="5794" t="s">
        <v>3441</v>
      </c>
      <c r="C236" s="5785" t="s">
        <v>2129</v>
      </c>
      <c r="D236" s="5785" t="s">
        <v>3791</v>
      </c>
      <c r="E236" s="5785" t="s">
        <v>4095</v>
      </c>
      <c r="F236" s="5785" t="s">
        <v>2129</v>
      </c>
      <c r="G236" s="5785" t="s">
        <v>2129</v>
      </c>
      <c r="H236" s="5785">
        <v>0</v>
      </c>
      <c r="I236" s="2694">
        <v>0</v>
      </c>
      <c r="J236" s="5785" t="b">
        <v>1</v>
      </c>
      <c r="K236" s="5785" t="s">
        <v>2129</v>
      </c>
      <c r="L236" s="5786"/>
      <c r="M236" s="5786"/>
      <c r="N236" s="5786"/>
      <c r="O236" s="5786"/>
      <c r="P236" s="5786"/>
      <c r="R236" s="2477">
        <v>0</v>
      </c>
      <c r="S236" s="5786" t="b">
        <v>1</v>
      </c>
      <c r="T236" s="5786" t="s">
        <v>2129</v>
      </c>
      <c r="U236" s="5786">
        <v>0</v>
      </c>
      <c r="V236" s="1958">
        <v>356983</v>
      </c>
      <c r="W236" s="1958">
        <v>356983</v>
      </c>
      <c r="X236" s="1958" t="b">
        <v>1</v>
      </c>
      <c r="Y236" s="863">
        <v>10499.5</v>
      </c>
      <c r="AB236" s="863" t="s">
        <v>2129</v>
      </c>
      <c r="AF236" s="3965">
        <v>34</v>
      </c>
      <c r="AG236" s="3965" t="b">
        <v>1</v>
      </c>
      <c r="AH236"/>
      <c r="AI236" t="s">
        <v>2129</v>
      </c>
      <c r="AJ236">
        <v>34</v>
      </c>
      <c r="AK236">
        <v>14</v>
      </c>
      <c r="AL236" t="s">
        <v>2129</v>
      </c>
      <c r="AM236" t="s">
        <v>2129</v>
      </c>
      <c r="AN236" t="s">
        <v>2129</v>
      </c>
      <c r="AQ236" t="s">
        <v>2129</v>
      </c>
      <c r="AV236" t="s">
        <v>2129</v>
      </c>
      <c r="AW236" t="s">
        <v>2129</v>
      </c>
      <c r="AX236" t="s">
        <v>2129</v>
      </c>
      <c r="AY236" t="s">
        <v>2129</v>
      </c>
      <c r="AZ236" t="s">
        <v>2129</v>
      </c>
      <c r="BA236">
        <v>11</v>
      </c>
      <c r="BB236">
        <v>32</v>
      </c>
      <c r="BC236" t="s">
        <v>2129</v>
      </c>
      <c r="BD236" t="s">
        <v>2129</v>
      </c>
      <c r="BE236" t="s">
        <v>2129</v>
      </c>
      <c r="BF236" t="s">
        <v>2129</v>
      </c>
      <c r="BG236" t="s">
        <v>2129</v>
      </c>
      <c r="BH236" s="863" t="s">
        <v>2129</v>
      </c>
      <c r="BI236"/>
      <c r="BJ236" s="863" t="s">
        <v>2129</v>
      </c>
      <c r="BK236" s="863" t="s">
        <v>2129</v>
      </c>
      <c r="BL236" s="863" t="s">
        <v>2129</v>
      </c>
      <c r="BM236" s="863" t="s">
        <v>2129</v>
      </c>
      <c r="BN236" s="863">
        <v>3926813</v>
      </c>
      <c r="BO236" s="863">
        <v>4703776</v>
      </c>
      <c r="BP236" s="863" t="s">
        <v>2129</v>
      </c>
      <c r="BQ236" s="863" t="s">
        <v>2129</v>
      </c>
      <c r="BR236" s="863" t="s">
        <v>2129</v>
      </c>
      <c r="BS236" s="863" t="s">
        <v>2129</v>
      </c>
      <c r="BT236" s="863" t="s">
        <v>2129</v>
      </c>
      <c r="BU236" s="863" t="s">
        <v>2129</v>
      </c>
      <c r="BV236" s="863" t="s">
        <v>2129</v>
      </c>
      <c r="BW236" s="863" t="s">
        <v>2129</v>
      </c>
      <c r="BX236" s="863" t="s">
        <v>2129</v>
      </c>
      <c r="BY236" s="863" t="s">
        <v>2129</v>
      </c>
      <c r="BZ236" s="863" t="s">
        <v>2129</v>
      </c>
      <c r="CA236" s="863" t="s">
        <v>2129</v>
      </c>
      <c r="CB236" s="863"/>
      <c r="CC236" s="863" t="s">
        <v>2129</v>
      </c>
      <c r="CD236" s="863" t="s">
        <v>2129</v>
      </c>
      <c r="CE236" s="863" t="s">
        <v>2129</v>
      </c>
      <c r="CF236" s="863" t="s">
        <v>2129</v>
      </c>
      <c r="CG236" s="863"/>
      <c r="CH236" s="5785"/>
    </row>
    <row r="237" spans="1:86" ht="13" hidden="1">
      <c r="A237">
        <v>3011</v>
      </c>
      <c r="B237" s="5794" t="s">
        <v>3442</v>
      </c>
      <c r="C237" s="5785" t="s">
        <v>2129</v>
      </c>
      <c r="D237" s="5785" t="s">
        <v>3791</v>
      </c>
      <c r="E237" s="5785" t="s">
        <v>4095</v>
      </c>
      <c r="F237" s="5785" t="s">
        <v>2129</v>
      </c>
      <c r="G237" s="5785" t="s">
        <v>2129</v>
      </c>
      <c r="H237" s="5785">
        <v>0</v>
      </c>
      <c r="I237" s="2694">
        <v>0</v>
      </c>
      <c r="J237" s="5785" t="b">
        <v>1</v>
      </c>
      <c r="K237" s="5785" t="s">
        <v>2129</v>
      </c>
      <c r="L237" s="5786"/>
      <c r="M237" s="5786"/>
      <c r="N237" s="5786"/>
      <c r="O237" s="5786"/>
      <c r="P237" s="5786"/>
      <c r="R237" s="2477">
        <v>0</v>
      </c>
      <c r="S237" s="5786" t="b">
        <v>1</v>
      </c>
      <c r="T237" s="5786" t="s">
        <v>2129</v>
      </c>
      <c r="U237" s="5786">
        <v>0</v>
      </c>
      <c r="V237" s="1958">
        <v>367482.5</v>
      </c>
      <c r="W237" s="1958">
        <v>367482.5</v>
      </c>
      <c r="X237" s="1958" t="b">
        <v>1</v>
      </c>
      <c r="Y237" s="863">
        <v>10499.5</v>
      </c>
      <c r="AB237" s="863" t="s">
        <v>2129</v>
      </c>
      <c r="AF237" s="3965">
        <v>35</v>
      </c>
      <c r="AG237" s="3965" t="b">
        <v>1</v>
      </c>
      <c r="AH237"/>
      <c r="AI237" t="s">
        <v>2129</v>
      </c>
      <c r="AJ237">
        <v>35</v>
      </c>
      <c r="AK237">
        <v>7</v>
      </c>
      <c r="AL237" t="s">
        <v>2129</v>
      </c>
      <c r="AM237" t="s">
        <v>2129</v>
      </c>
      <c r="AN237" t="s">
        <v>2129</v>
      </c>
      <c r="AQ237" t="s">
        <v>2129</v>
      </c>
      <c r="AV237" t="s">
        <v>2129</v>
      </c>
      <c r="AW237" t="s">
        <v>2129</v>
      </c>
      <c r="AX237" t="s">
        <v>2129</v>
      </c>
      <c r="AY237" t="s">
        <v>2129</v>
      </c>
      <c r="AZ237" t="s">
        <v>2129</v>
      </c>
      <c r="BA237">
        <v>11</v>
      </c>
      <c r="BB237">
        <v>32</v>
      </c>
      <c r="BC237" t="s">
        <v>2129</v>
      </c>
      <c r="BD237" t="s">
        <v>2129</v>
      </c>
      <c r="BE237" t="s">
        <v>2129</v>
      </c>
      <c r="BF237" t="s">
        <v>2129</v>
      </c>
      <c r="BG237" t="s">
        <v>2129</v>
      </c>
      <c r="BH237" s="863" t="s">
        <v>2129</v>
      </c>
      <c r="BI237"/>
      <c r="BJ237" s="863" t="s">
        <v>2129</v>
      </c>
      <c r="BK237" s="863" t="s">
        <v>2129</v>
      </c>
      <c r="BL237" s="863" t="s">
        <v>2129</v>
      </c>
      <c r="BM237" s="863" t="s">
        <v>2129</v>
      </c>
      <c r="BN237" s="863">
        <v>4042307.5</v>
      </c>
      <c r="BO237" s="863">
        <v>2351888</v>
      </c>
      <c r="BP237" s="863" t="s">
        <v>2129</v>
      </c>
      <c r="BQ237" s="863" t="s">
        <v>2129</v>
      </c>
      <c r="BR237" s="863" t="s">
        <v>2129</v>
      </c>
      <c r="BS237" s="863" t="s">
        <v>2129</v>
      </c>
      <c r="BT237" s="863" t="s">
        <v>2129</v>
      </c>
      <c r="BU237" s="863" t="s">
        <v>2129</v>
      </c>
      <c r="BV237" s="863" t="s">
        <v>2129</v>
      </c>
      <c r="BW237" s="863" t="s">
        <v>2129</v>
      </c>
      <c r="BX237" s="863" t="s">
        <v>2129</v>
      </c>
      <c r="BY237" s="863" t="s">
        <v>2129</v>
      </c>
      <c r="BZ237" s="863" t="s">
        <v>2129</v>
      </c>
      <c r="CA237" s="863" t="s">
        <v>2129</v>
      </c>
      <c r="CB237" s="863"/>
      <c r="CC237" s="863" t="s">
        <v>2129</v>
      </c>
      <c r="CD237" s="863" t="s">
        <v>2129</v>
      </c>
      <c r="CE237" s="863" t="s">
        <v>2129</v>
      </c>
      <c r="CF237" s="863" t="s">
        <v>2129</v>
      </c>
      <c r="CG237" s="863"/>
      <c r="CH237" s="5785"/>
    </row>
    <row r="238" spans="1:86" ht="13" hidden="1">
      <c r="A238">
        <v>3012</v>
      </c>
      <c r="B238" s="5794" t="s">
        <v>3443</v>
      </c>
      <c r="C238" s="5785" t="s">
        <v>2129</v>
      </c>
      <c r="D238" s="5785" t="s">
        <v>3791</v>
      </c>
      <c r="E238" s="5785" t="s">
        <v>4095</v>
      </c>
      <c r="F238" s="5785" t="s">
        <v>2129</v>
      </c>
      <c r="G238" s="5785" t="s">
        <v>2129</v>
      </c>
      <c r="H238" s="5785">
        <v>0</v>
      </c>
      <c r="I238" s="2694">
        <v>0</v>
      </c>
      <c r="J238" s="5785" t="b">
        <v>1</v>
      </c>
      <c r="K238" s="5785" t="s">
        <v>2129</v>
      </c>
      <c r="L238" s="5786"/>
      <c r="M238" s="5786"/>
      <c r="N238" s="5786"/>
      <c r="O238" s="5786"/>
      <c r="P238" s="5786"/>
      <c r="R238" s="2477">
        <v>0</v>
      </c>
      <c r="S238" s="5786" t="b">
        <v>1</v>
      </c>
      <c r="T238" s="5786" t="s">
        <v>2129</v>
      </c>
      <c r="U238" s="5786">
        <v>0</v>
      </c>
      <c r="V238" s="1958">
        <v>356983</v>
      </c>
      <c r="W238" s="1958">
        <v>356983</v>
      </c>
      <c r="X238" s="1958" t="b">
        <v>1</v>
      </c>
      <c r="Y238" s="863">
        <v>10499.5</v>
      </c>
      <c r="AB238" s="863" t="s">
        <v>2129</v>
      </c>
      <c r="AF238" s="3965">
        <v>34</v>
      </c>
      <c r="AG238" s="3965" t="b">
        <v>1</v>
      </c>
      <c r="AH238"/>
      <c r="AI238" t="s">
        <v>2129</v>
      </c>
      <c r="AJ238">
        <v>34</v>
      </c>
      <c r="AK238">
        <v>14</v>
      </c>
      <c r="AL238" t="s">
        <v>2129</v>
      </c>
      <c r="AM238" t="s">
        <v>2129</v>
      </c>
      <c r="AN238" t="s">
        <v>2129</v>
      </c>
      <c r="AQ238" t="s">
        <v>2129</v>
      </c>
      <c r="AV238" t="s">
        <v>2129</v>
      </c>
      <c r="AW238" t="s">
        <v>2129</v>
      </c>
      <c r="AX238" t="s">
        <v>2129</v>
      </c>
      <c r="AY238" t="s">
        <v>2129</v>
      </c>
      <c r="AZ238" t="s">
        <v>2129</v>
      </c>
      <c r="BA238">
        <v>11</v>
      </c>
      <c r="BB238">
        <v>32</v>
      </c>
      <c r="BC238" t="s">
        <v>2129</v>
      </c>
      <c r="BD238" t="s">
        <v>2129</v>
      </c>
      <c r="BE238" t="s">
        <v>2129</v>
      </c>
      <c r="BF238" t="s">
        <v>2129</v>
      </c>
      <c r="BG238" t="s">
        <v>2129</v>
      </c>
      <c r="BH238" s="863" t="s">
        <v>2129</v>
      </c>
      <c r="BI238"/>
      <c r="BJ238" s="863" t="s">
        <v>2129</v>
      </c>
      <c r="BK238" s="863" t="s">
        <v>2129</v>
      </c>
      <c r="BL238" s="863" t="s">
        <v>2129</v>
      </c>
      <c r="BM238" s="863" t="s">
        <v>2129</v>
      </c>
      <c r="BN238" s="863">
        <v>3926813</v>
      </c>
      <c r="BO238" s="863">
        <v>4703776</v>
      </c>
      <c r="BP238" s="863" t="s">
        <v>2129</v>
      </c>
      <c r="BQ238" s="863" t="s">
        <v>2129</v>
      </c>
      <c r="BR238" s="863" t="s">
        <v>2129</v>
      </c>
      <c r="BS238" s="863" t="s">
        <v>2129</v>
      </c>
      <c r="BT238" s="863" t="s">
        <v>2129</v>
      </c>
      <c r="BU238" s="863" t="s">
        <v>2129</v>
      </c>
      <c r="BV238" s="863" t="s">
        <v>2129</v>
      </c>
      <c r="BW238" s="863" t="s">
        <v>2129</v>
      </c>
      <c r="BX238" s="863" t="s">
        <v>2129</v>
      </c>
      <c r="BY238" s="863" t="s">
        <v>2129</v>
      </c>
      <c r="BZ238" s="863" t="s">
        <v>2129</v>
      </c>
      <c r="CA238" s="863" t="s">
        <v>2129</v>
      </c>
      <c r="CB238" s="863"/>
      <c r="CC238" s="863" t="s">
        <v>2129</v>
      </c>
      <c r="CD238" s="863" t="s">
        <v>2129</v>
      </c>
      <c r="CE238" s="863" t="s">
        <v>2129</v>
      </c>
      <c r="CF238" s="863" t="s">
        <v>2129</v>
      </c>
      <c r="CG238" s="863"/>
      <c r="CH238" s="5785"/>
    </row>
    <row r="239" spans="1:86" ht="13" hidden="1">
      <c r="A239">
        <v>3013</v>
      </c>
      <c r="B239" s="5794" t="s">
        <v>3444</v>
      </c>
      <c r="C239" s="5785" t="s">
        <v>2129</v>
      </c>
      <c r="D239" s="5785" t="s">
        <v>3791</v>
      </c>
      <c r="E239" s="5785" t="s">
        <v>2129</v>
      </c>
      <c r="F239" s="5785" t="s">
        <v>2129</v>
      </c>
      <c r="G239" s="5785" t="s">
        <v>2129</v>
      </c>
      <c r="H239" s="5785">
        <v>0</v>
      </c>
      <c r="I239" s="2694">
        <v>0</v>
      </c>
      <c r="J239" s="5785"/>
      <c r="K239" s="5785"/>
      <c r="L239" s="5786"/>
      <c r="M239" s="5786"/>
      <c r="N239" s="5786"/>
      <c r="O239" s="5786"/>
      <c r="P239" s="5786"/>
      <c r="R239" s="2477">
        <v>0</v>
      </c>
      <c r="S239" s="5786"/>
      <c r="T239" s="5786" t="s">
        <v>2129</v>
      </c>
      <c r="U239" s="5786">
        <v>0</v>
      </c>
      <c r="V239" s="1958">
        <v>982272.5</v>
      </c>
      <c r="W239" s="1958">
        <v>982272.5</v>
      </c>
      <c r="X239" s="1958"/>
      <c r="Y239" s="863">
        <v>10126.5206185567</v>
      </c>
      <c r="AB239" s="863" t="s">
        <v>2129</v>
      </c>
      <c r="AF239" s="3965">
        <v>97</v>
      </c>
      <c r="AG239" s="3965"/>
      <c r="AH239"/>
      <c r="AI239" t="s">
        <v>2129</v>
      </c>
      <c r="AJ239">
        <v>97</v>
      </c>
      <c r="AK239" t="s">
        <v>2129</v>
      </c>
      <c r="AL239" t="s">
        <v>2129</v>
      </c>
      <c r="AM239" t="s">
        <v>2129</v>
      </c>
      <c r="AN239" t="s">
        <v>2129</v>
      </c>
      <c r="AQ239" t="s">
        <v>2129</v>
      </c>
      <c r="AV239" t="s">
        <v>2129</v>
      </c>
      <c r="AW239" t="s">
        <v>2129</v>
      </c>
      <c r="AX239" t="s">
        <v>2129</v>
      </c>
      <c r="AY239" t="s">
        <v>2129</v>
      </c>
      <c r="AZ239" t="s">
        <v>2129</v>
      </c>
      <c r="BA239">
        <v>11</v>
      </c>
      <c r="BB239" t="s">
        <v>2129</v>
      </c>
      <c r="BC239" t="s">
        <v>2129</v>
      </c>
      <c r="BD239" t="s">
        <v>2129</v>
      </c>
      <c r="BE239" t="s">
        <v>2129</v>
      </c>
      <c r="BF239" t="s">
        <v>2129</v>
      </c>
      <c r="BG239" t="s">
        <v>2129</v>
      </c>
      <c r="BH239" s="863" t="s">
        <v>2129</v>
      </c>
      <c r="BI239"/>
      <c r="BJ239" s="863" t="s">
        <v>2129</v>
      </c>
      <c r="BK239" s="863" t="s">
        <v>2129</v>
      </c>
      <c r="BL239" s="863" t="s">
        <v>2129</v>
      </c>
      <c r="BM239" s="863" t="s">
        <v>2129</v>
      </c>
      <c r="BN239" s="863">
        <v>10804997.499999998</v>
      </c>
      <c r="BO239" s="863" t="s">
        <v>2129</v>
      </c>
      <c r="BP239" s="863" t="s">
        <v>2129</v>
      </c>
      <c r="BQ239" s="863" t="s">
        <v>2129</v>
      </c>
      <c r="BR239" s="863" t="s">
        <v>2129</v>
      </c>
      <c r="BS239" s="863" t="s">
        <v>2129</v>
      </c>
      <c r="BT239" s="863" t="s">
        <v>2129</v>
      </c>
      <c r="BU239" s="863" t="s">
        <v>2129</v>
      </c>
      <c r="BV239" s="863" t="s">
        <v>2129</v>
      </c>
      <c r="BW239" s="863" t="s">
        <v>2129</v>
      </c>
      <c r="BX239" s="863" t="s">
        <v>2129</v>
      </c>
      <c r="BY239" s="863" t="s">
        <v>2129</v>
      </c>
      <c r="BZ239" s="863" t="s">
        <v>2129</v>
      </c>
      <c r="CA239" s="863" t="s">
        <v>2129</v>
      </c>
      <c r="CB239" s="863"/>
      <c r="CC239" s="863" t="s">
        <v>2129</v>
      </c>
      <c r="CD239" s="863" t="s">
        <v>2129</v>
      </c>
      <c r="CE239" s="863" t="s">
        <v>2129</v>
      </c>
      <c r="CF239" s="863" t="s">
        <v>2129</v>
      </c>
      <c r="CG239" s="863"/>
      <c r="CH239" s="5785"/>
    </row>
    <row r="240" spans="1:86" ht="13" hidden="1">
      <c r="A240">
        <v>3014</v>
      </c>
      <c r="B240" s="5794" t="s">
        <v>3445</v>
      </c>
      <c r="C240" s="5785" t="s">
        <v>3694</v>
      </c>
      <c r="D240" s="5785" t="s">
        <v>2129</v>
      </c>
      <c r="E240" s="5785" t="s">
        <v>2129</v>
      </c>
      <c r="F240" s="5785" t="s">
        <v>2129</v>
      </c>
      <c r="G240" s="5785" t="s">
        <v>2129</v>
      </c>
      <c r="H240" s="5785">
        <v>0</v>
      </c>
      <c r="I240" s="2694">
        <v>0</v>
      </c>
      <c r="J240" s="5785"/>
      <c r="K240" s="5785"/>
      <c r="L240" s="5786"/>
      <c r="M240" s="5786"/>
      <c r="N240" s="5786"/>
      <c r="O240" s="5786"/>
      <c r="P240" s="5786"/>
      <c r="R240" s="2477">
        <v>0</v>
      </c>
      <c r="S240" s="5786"/>
      <c r="T240" s="5786" t="s">
        <v>2129</v>
      </c>
      <c r="U240" s="5786">
        <v>0</v>
      </c>
      <c r="V240" s="1958">
        <v>2049300</v>
      </c>
      <c r="W240" s="1958">
        <v>2049300</v>
      </c>
      <c r="X240" s="1958"/>
      <c r="Y240" s="863">
        <v>22770</v>
      </c>
      <c r="AB240" s="863">
        <v>11880</v>
      </c>
      <c r="AF240" s="3965">
        <v>90</v>
      </c>
      <c r="AG240" s="3965"/>
      <c r="AH240"/>
      <c r="AI240">
        <v>150</v>
      </c>
      <c r="AJ240" t="s">
        <v>2129</v>
      </c>
      <c r="AK240" t="s">
        <v>2129</v>
      </c>
      <c r="AL240" t="s">
        <v>2129</v>
      </c>
      <c r="AM240" t="s">
        <v>2129</v>
      </c>
      <c r="AN240" t="s">
        <v>2129</v>
      </c>
      <c r="AQ240" t="s">
        <v>2129</v>
      </c>
      <c r="AV240" t="s">
        <v>2129</v>
      </c>
      <c r="AW240" t="s">
        <v>2129</v>
      </c>
      <c r="AX240" t="s">
        <v>2129</v>
      </c>
      <c r="AY240" t="s">
        <v>2129</v>
      </c>
      <c r="AZ240">
        <v>32</v>
      </c>
      <c r="BA240" t="s">
        <v>2129</v>
      </c>
      <c r="BB240" t="s">
        <v>2129</v>
      </c>
      <c r="BC240" t="s">
        <v>2129</v>
      </c>
      <c r="BD240" t="s">
        <v>2129</v>
      </c>
      <c r="BE240" t="s">
        <v>2129</v>
      </c>
      <c r="BF240" t="s">
        <v>2129</v>
      </c>
      <c r="BG240" t="s">
        <v>2129</v>
      </c>
      <c r="BH240" s="863" t="s">
        <v>2129</v>
      </c>
      <c r="BI240"/>
      <c r="BJ240" s="863" t="s">
        <v>2129</v>
      </c>
      <c r="BK240" s="863">
        <v>109296000</v>
      </c>
      <c r="BL240" s="863" t="s">
        <v>2129</v>
      </c>
      <c r="BM240" s="863" t="s">
        <v>2129</v>
      </c>
      <c r="BN240" s="863" t="s">
        <v>2129</v>
      </c>
      <c r="BO240" s="863" t="s">
        <v>2129</v>
      </c>
      <c r="BP240" s="863" t="s">
        <v>2129</v>
      </c>
      <c r="BQ240" s="863" t="s">
        <v>2129</v>
      </c>
      <c r="BR240" s="863" t="s">
        <v>2129</v>
      </c>
      <c r="BS240" s="863" t="s">
        <v>2129</v>
      </c>
      <c r="BT240" s="863" t="s">
        <v>2129</v>
      </c>
      <c r="BU240" s="863" t="s">
        <v>2129</v>
      </c>
      <c r="BV240" s="863" t="s">
        <v>2129</v>
      </c>
      <c r="BW240" s="863" t="s">
        <v>2129</v>
      </c>
      <c r="BX240" s="863" t="s">
        <v>2129</v>
      </c>
      <c r="BY240" s="863" t="s">
        <v>2129</v>
      </c>
      <c r="BZ240" s="863" t="s">
        <v>2129</v>
      </c>
      <c r="CA240" s="863" t="s">
        <v>2129</v>
      </c>
      <c r="CB240" s="863"/>
      <c r="CC240" s="863" t="s">
        <v>2129</v>
      </c>
      <c r="CD240" s="863" t="s">
        <v>2129</v>
      </c>
      <c r="CE240" s="863" t="s">
        <v>2129</v>
      </c>
      <c r="CF240" s="863" t="s">
        <v>2129</v>
      </c>
      <c r="CG240" s="863"/>
      <c r="CH240" s="5785"/>
    </row>
    <row r="241" spans="1:86" s="5782" customFormat="1" ht="13" hidden="1">
      <c r="A241" s="5782">
        <v>3015</v>
      </c>
      <c r="B241" s="5812" t="s">
        <v>3446</v>
      </c>
      <c r="C241" s="5784" t="s">
        <v>2129</v>
      </c>
      <c r="D241" s="5784" t="s">
        <v>2129</v>
      </c>
      <c r="E241" s="5784" t="s">
        <v>2129</v>
      </c>
      <c r="F241" s="5784" t="s">
        <v>2129</v>
      </c>
      <c r="G241" s="5784" t="s">
        <v>2129</v>
      </c>
      <c r="H241" s="5784">
        <v>0</v>
      </c>
      <c r="I241" s="5784">
        <v>0</v>
      </c>
      <c r="J241" s="5785"/>
      <c r="K241" s="5785"/>
      <c r="L241" s="5786"/>
      <c r="M241" s="5786"/>
      <c r="N241" s="5786"/>
      <c r="O241" s="5786"/>
      <c r="P241" s="5786"/>
      <c r="Q241" s="2476"/>
      <c r="R241" s="5787">
        <v>0</v>
      </c>
      <c r="S241" s="5786"/>
      <c r="T241" s="5787" t="s">
        <v>2129</v>
      </c>
      <c r="U241" s="5787">
        <v>0</v>
      </c>
      <c r="V241" s="1958">
        <v>2101067.5949999997</v>
      </c>
      <c r="W241" s="5788">
        <v>2101067.5949999997</v>
      </c>
      <c r="X241" s="1958"/>
      <c r="Y241" s="5788">
        <v>23345.195499999998</v>
      </c>
      <c r="Z241" s="5788"/>
      <c r="AA241" s="5788"/>
      <c r="AB241" s="5788" t="s">
        <v>2129</v>
      </c>
      <c r="AC241" s="863"/>
      <c r="AD241" s="863"/>
      <c r="AF241" s="5789">
        <v>90</v>
      </c>
      <c r="AG241" s="3965"/>
      <c r="AI241" s="5782" t="s">
        <v>2129</v>
      </c>
      <c r="AJ241" s="5782" t="s">
        <v>2129</v>
      </c>
      <c r="AK241" s="5782" t="s">
        <v>2129</v>
      </c>
      <c r="AL241" t="s">
        <v>2129</v>
      </c>
      <c r="AM241" t="s">
        <v>2129</v>
      </c>
      <c r="AN241" t="s">
        <v>2129</v>
      </c>
      <c r="AO241"/>
      <c r="AP241"/>
      <c r="AQ241" t="s">
        <v>2129</v>
      </c>
      <c r="AR241"/>
      <c r="AS241"/>
      <c r="AT241"/>
      <c r="AU241"/>
      <c r="AV241" s="5782" t="s">
        <v>2129</v>
      </c>
      <c r="AW241" t="s">
        <v>2129</v>
      </c>
      <c r="AX241" s="5782" t="s">
        <v>2129</v>
      </c>
      <c r="AY241" s="5782" t="s">
        <v>2129</v>
      </c>
      <c r="AZ241" s="5782" t="s">
        <v>2129</v>
      </c>
      <c r="BA241" s="5782" t="s">
        <v>2129</v>
      </c>
      <c r="BB241" s="5782" t="s">
        <v>2129</v>
      </c>
      <c r="BC241" t="s">
        <v>2129</v>
      </c>
      <c r="BD241" t="s">
        <v>2129</v>
      </c>
      <c r="BE241" t="s">
        <v>2129</v>
      </c>
      <c r="BF241" t="s">
        <v>2129</v>
      </c>
      <c r="BG241" t="s">
        <v>2129</v>
      </c>
      <c r="BH241" s="5788" t="s">
        <v>2129</v>
      </c>
      <c r="BI241"/>
      <c r="BJ241" s="5788" t="s">
        <v>2129</v>
      </c>
      <c r="BK241" s="5788" t="s">
        <v>2129</v>
      </c>
      <c r="BL241" s="5788" t="s">
        <v>2129</v>
      </c>
      <c r="BM241" s="5788" t="s">
        <v>2129</v>
      </c>
      <c r="BN241" s="5788" t="s">
        <v>2129</v>
      </c>
      <c r="BO241" s="5788" t="s">
        <v>2129</v>
      </c>
      <c r="BP241" s="863" t="s">
        <v>2129</v>
      </c>
      <c r="BQ241" s="863" t="s">
        <v>2129</v>
      </c>
      <c r="BR241" s="863" t="s">
        <v>2129</v>
      </c>
      <c r="BS241" s="863" t="s">
        <v>2129</v>
      </c>
      <c r="BT241" s="863" t="s">
        <v>2129</v>
      </c>
      <c r="BU241" s="863" t="s">
        <v>2129</v>
      </c>
      <c r="BV241" s="863" t="s">
        <v>2129</v>
      </c>
      <c r="BW241" s="863" t="s">
        <v>2129</v>
      </c>
      <c r="BX241" s="5788" t="s">
        <v>2129</v>
      </c>
      <c r="BY241" s="863" t="s">
        <v>2129</v>
      </c>
      <c r="BZ241" s="5788" t="s">
        <v>2129</v>
      </c>
      <c r="CA241" s="5788" t="s">
        <v>2129</v>
      </c>
      <c r="CB241" s="863"/>
      <c r="CC241" s="863" t="s">
        <v>2129</v>
      </c>
      <c r="CD241" s="863" t="s">
        <v>2129</v>
      </c>
      <c r="CE241" s="863" t="s">
        <v>2129</v>
      </c>
      <c r="CF241" s="863" t="s">
        <v>2129</v>
      </c>
      <c r="CG241" s="863"/>
      <c r="CH241" s="5784"/>
    </row>
    <row r="242" spans="1:86" s="5782" customFormat="1" ht="13" hidden="1">
      <c r="A242" s="5782">
        <v>3016</v>
      </c>
      <c r="B242" s="5812" t="s">
        <v>3447</v>
      </c>
      <c r="C242" s="5784" t="s">
        <v>2129</v>
      </c>
      <c r="D242" s="5784" t="s">
        <v>2129</v>
      </c>
      <c r="E242" s="5784" t="s">
        <v>2129</v>
      </c>
      <c r="F242" s="5784" t="s">
        <v>2129</v>
      </c>
      <c r="G242" s="5784" t="s">
        <v>2129</v>
      </c>
      <c r="H242" s="5784">
        <v>0</v>
      </c>
      <c r="I242" s="5784">
        <v>0</v>
      </c>
      <c r="J242" s="2694"/>
      <c r="K242" s="2694"/>
      <c r="L242" s="2477"/>
      <c r="M242" s="2477"/>
      <c r="N242" s="2477"/>
      <c r="O242" s="2477"/>
      <c r="P242" s="2477"/>
      <c r="Q242" s="2695"/>
      <c r="R242" s="5787">
        <v>0</v>
      </c>
      <c r="S242" s="2477"/>
      <c r="T242" s="5787" t="s">
        <v>2129</v>
      </c>
      <c r="U242" s="5787"/>
      <c r="V242" s="5814">
        <v>0</v>
      </c>
      <c r="W242" s="5788">
        <v>117645</v>
      </c>
      <c r="X242" s="1958"/>
      <c r="Y242" s="5788">
        <v>11764.5</v>
      </c>
      <c r="Z242" s="5788"/>
      <c r="AA242" s="5788"/>
      <c r="AB242" s="5788" t="s">
        <v>2129</v>
      </c>
      <c r="AC242" s="1958"/>
      <c r="AD242" s="1958"/>
      <c r="AF242" s="5789">
        <v>10</v>
      </c>
      <c r="AG242" s="3965"/>
      <c r="AI242" s="5782" t="s">
        <v>2129</v>
      </c>
      <c r="AJ242" s="5782" t="s">
        <v>2129</v>
      </c>
      <c r="AK242" s="5782" t="s">
        <v>2129</v>
      </c>
      <c r="AL242" t="s">
        <v>2129</v>
      </c>
      <c r="AM242" t="s">
        <v>2129</v>
      </c>
      <c r="AN242" t="s">
        <v>2129</v>
      </c>
      <c r="AO242"/>
      <c r="AP242"/>
      <c r="AQ242" t="s">
        <v>2129</v>
      </c>
      <c r="AR242"/>
      <c r="AS242"/>
      <c r="AT242"/>
      <c r="AU242"/>
      <c r="AV242" s="5782" t="s">
        <v>2129</v>
      </c>
      <c r="AW242" t="s">
        <v>2129</v>
      </c>
      <c r="AX242" s="5782" t="s">
        <v>2129</v>
      </c>
      <c r="AY242" s="5782" t="s">
        <v>2129</v>
      </c>
      <c r="AZ242" s="5782" t="s">
        <v>2129</v>
      </c>
      <c r="BA242" s="5782" t="s">
        <v>2129</v>
      </c>
      <c r="BB242" s="5782" t="s">
        <v>2129</v>
      </c>
      <c r="BC242" t="s">
        <v>2129</v>
      </c>
      <c r="BD242" t="s">
        <v>2129</v>
      </c>
      <c r="BE242" t="s">
        <v>2129</v>
      </c>
      <c r="BF242" t="s">
        <v>2129</v>
      </c>
      <c r="BG242" t="s">
        <v>2129</v>
      </c>
      <c r="BH242" s="5788" t="s">
        <v>2129</v>
      </c>
      <c r="BI242"/>
      <c r="BJ242" s="5788" t="s">
        <v>2129</v>
      </c>
      <c r="BK242" s="5788" t="s">
        <v>2129</v>
      </c>
      <c r="BL242" s="5788" t="s">
        <v>2129</v>
      </c>
      <c r="BM242" s="5788" t="s">
        <v>2129</v>
      </c>
      <c r="BN242" s="5788" t="s">
        <v>2129</v>
      </c>
      <c r="BO242" s="5788" t="s">
        <v>2129</v>
      </c>
      <c r="BP242" s="863" t="s">
        <v>2129</v>
      </c>
      <c r="BQ242" s="863" t="s">
        <v>2129</v>
      </c>
      <c r="BR242" s="863" t="s">
        <v>2129</v>
      </c>
      <c r="BS242" s="863" t="s">
        <v>2129</v>
      </c>
      <c r="BT242" s="863" t="s">
        <v>2129</v>
      </c>
      <c r="BU242" s="863" t="s">
        <v>2129</v>
      </c>
      <c r="BV242" s="863" t="s">
        <v>2129</v>
      </c>
      <c r="BW242" s="863" t="s">
        <v>2129</v>
      </c>
      <c r="BX242" s="5788" t="s">
        <v>2129</v>
      </c>
      <c r="BY242" s="863" t="s">
        <v>2129</v>
      </c>
      <c r="BZ242" s="5788" t="s">
        <v>2129</v>
      </c>
      <c r="CA242" s="5788" t="s">
        <v>2129</v>
      </c>
      <c r="CB242" s="863"/>
      <c r="CC242" s="863" t="s">
        <v>2129</v>
      </c>
      <c r="CD242" s="863" t="s">
        <v>2129</v>
      </c>
      <c r="CE242" s="863" t="s">
        <v>2129</v>
      </c>
      <c r="CF242" s="863" t="s">
        <v>2129</v>
      </c>
      <c r="CG242" s="863"/>
      <c r="CH242" s="5784"/>
    </row>
    <row r="243" spans="1:86" s="5782" customFormat="1" ht="13" hidden="1">
      <c r="A243" s="5782">
        <v>3017</v>
      </c>
      <c r="B243" s="5812" t="s">
        <v>3448</v>
      </c>
      <c r="C243" s="5784" t="s">
        <v>2129</v>
      </c>
      <c r="D243" s="5784" t="s">
        <v>2129</v>
      </c>
      <c r="E243" s="5784" t="s">
        <v>2129</v>
      </c>
      <c r="F243" s="5784" t="s">
        <v>2129</v>
      </c>
      <c r="G243" s="5784" t="s">
        <v>2129</v>
      </c>
      <c r="H243" s="5784">
        <v>0</v>
      </c>
      <c r="I243" s="5784">
        <v>0</v>
      </c>
      <c r="J243" s="2694"/>
      <c r="K243" s="2694"/>
      <c r="L243" s="2477"/>
      <c r="M243" s="2477"/>
      <c r="N243" s="2477"/>
      <c r="O243" s="2477"/>
      <c r="P243" s="2477"/>
      <c r="Q243" s="2695"/>
      <c r="R243" s="5787">
        <v>0</v>
      </c>
      <c r="S243" s="2477"/>
      <c r="T243" s="5787" t="s">
        <v>2129</v>
      </c>
      <c r="U243" s="5787"/>
      <c r="V243" s="5814">
        <v>0</v>
      </c>
      <c r="W243" s="5788">
        <v>1138500</v>
      </c>
      <c r="X243" s="1958"/>
      <c r="Y243" s="5788">
        <v>12650</v>
      </c>
      <c r="Z243" s="5788"/>
      <c r="AA243" s="5788"/>
      <c r="AB243" s="5788" t="s">
        <v>2129</v>
      </c>
      <c r="AC243" s="1958"/>
      <c r="AD243" s="1958"/>
      <c r="AF243" s="5789">
        <v>90</v>
      </c>
      <c r="AG243" s="3965"/>
      <c r="AI243" s="5782" t="s">
        <v>2129</v>
      </c>
      <c r="AJ243" s="5782" t="s">
        <v>2129</v>
      </c>
      <c r="AK243" s="5782" t="s">
        <v>2129</v>
      </c>
      <c r="AL243" t="s">
        <v>2129</v>
      </c>
      <c r="AM243" t="s">
        <v>2129</v>
      </c>
      <c r="AN243" t="s">
        <v>2129</v>
      </c>
      <c r="AO243"/>
      <c r="AP243"/>
      <c r="AQ243" t="s">
        <v>2129</v>
      </c>
      <c r="AR243"/>
      <c r="AS243"/>
      <c r="AT243"/>
      <c r="AU243"/>
      <c r="AV243" s="5782" t="s">
        <v>2129</v>
      </c>
      <c r="AW243" t="s">
        <v>2129</v>
      </c>
      <c r="AX243" s="5782" t="s">
        <v>2129</v>
      </c>
      <c r="AY243" s="5782" t="s">
        <v>2129</v>
      </c>
      <c r="AZ243" s="5782" t="s">
        <v>2129</v>
      </c>
      <c r="BA243" s="5782" t="s">
        <v>2129</v>
      </c>
      <c r="BB243" s="5782" t="s">
        <v>2129</v>
      </c>
      <c r="BC243" t="s">
        <v>2129</v>
      </c>
      <c r="BD243" t="s">
        <v>2129</v>
      </c>
      <c r="BE243" t="s">
        <v>2129</v>
      </c>
      <c r="BF243" t="s">
        <v>2129</v>
      </c>
      <c r="BG243" t="s">
        <v>2129</v>
      </c>
      <c r="BH243" s="5788" t="s">
        <v>2129</v>
      </c>
      <c r="BI243"/>
      <c r="BJ243" s="5788" t="s">
        <v>2129</v>
      </c>
      <c r="BK243" s="5788" t="s">
        <v>2129</v>
      </c>
      <c r="BL243" s="5788" t="s">
        <v>2129</v>
      </c>
      <c r="BM243" s="5788" t="s">
        <v>2129</v>
      </c>
      <c r="BN243" s="5788" t="s">
        <v>2129</v>
      </c>
      <c r="BO243" s="5788" t="s">
        <v>2129</v>
      </c>
      <c r="BP243" s="863" t="s">
        <v>2129</v>
      </c>
      <c r="BQ243" s="863" t="s">
        <v>2129</v>
      </c>
      <c r="BR243" s="863" t="s">
        <v>2129</v>
      </c>
      <c r="BS243" s="863" t="s">
        <v>2129</v>
      </c>
      <c r="BT243" s="863" t="s">
        <v>2129</v>
      </c>
      <c r="BU243" s="863" t="s">
        <v>2129</v>
      </c>
      <c r="BV243" s="863" t="s">
        <v>2129</v>
      </c>
      <c r="BW243" s="863" t="s">
        <v>2129</v>
      </c>
      <c r="BX243" s="5788" t="s">
        <v>2129</v>
      </c>
      <c r="BY243" s="863" t="s">
        <v>2129</v>
      </c>
      <c r="BZ243" s="5788" t="s">
        <v>2129</v>
      </c>
      <c r="CA243" s="5788" t="s">
        <v>2129</v>
      </c>
      <c r="CB243" s="863"/>
      <c r="CC243" s="863" t="s">
        <v>2129</v>
      </c>
      <c r="CD243" s="863" t="s">
        <v>2129</v>
      </c>
      <c r="CE243" s="863" t="s">
        <v>2129</v>
      </c>
      <c r="CF243" s="863" t="s">
        <v>2129</v>
      </c>
      <c r="CG243" s="863"/>
      <c r="CH243" s="5784"/>
    </row>
    <row r="244" spans="1:86" s="5782" customFormat="1" ht="13" hidden="1">
      <c r="A244" s="5782">
        <v>3018</v>
      </c>
      <c r="B244" s="5812" t="s">
        <v>3449</v>
      </c>
      <c r="C244" s="5784" t="s">
        <v>2129</v>
      </c>
      <c r="D244" s="5784" t="s">
        <v>2129</v>
      </c>
      <c r="E244" s="5784" t="s">
        <v>2129</v>
      </c>
      <c r="F244" s="5784" t="s">
        <v>2129</v>
      </c>
      <c r="G244" s="5784" t="s">
        <v>2129</v>
      </c>
      <c r="H244" s="5784">
        <v>0</v>
      </c>
      <c r="I244" s="5784">
        <v>0</v>
      </c>
      <c r="J244" s="2694"/>
      <c r="K244" s="2694"/>
      <c r="L244" s="2477"/>
      <c r="M244" s="2477"/>
      <c r="N244" s="2477"/>
      <c r="O244" s="2477"/>
      <c r="P244" s="2477"/>
      <c r="Q244" s="2695"/>
      <c r="R244" s="5787">
        <v>0</v>
      </c>
      <c r="S244" s="2477"/>
      <c r="T244" s="5787" t="s">
        <v>2129</v>
      </c>
      <c r="U244" s="5787"/>
      <c r="V244" s="5814">
        <v>0</v>
      </c>
      <c r="W244" s="5788">
        <v>1138500</v>
      </c>
      <c r="X244" s="1958"/>
      <c r="Y244" s="5788">
        <v>11385</v>
      </c>
      <c r="Z244" s="5788"/>
      <c r="AA244" s="5788"/>
      <c r="AB244" s="5788" t="s">
        <v>2129</v>
      </c>
      <c r="AC244" s="1958"/>
      <c r="AD244" s="1958"/>
      <c r="AF244" s="5789">
        <v>100</v>
      </c>
      <c r="AG244" s="3965"/>
      <c r="AI244" s="5782" t="s">
        <v>2129</v>
      </c>
      <c r="AJ244" s="5782" t="s">
        <v>2129</v>
      </c>
      <c r="AK244" s="5782" t="s">
        <v>2129</v>
      </c>
      <c r="AL244" t="s">
        <v>2129</v>
      </c>
      <c r="AM244" t="s">
        <v>2129</v>
      </c>
      <c r="AN244" t="s">
        <v>2129</v>
      </c>
      <c r="AO244"/>
      <c r="AP244"/>
      <c r="AQ244" t="s">
        <v>2129</v>
      </c>
      <c r="AR244"/>
      <c r="AS244"/>
      <c r="AT244"/>
      <c r="AU244"/>
      <c r="AV244" s="5782" t="s">
        <v>2129</v>
      </c>
      <c r="AW244" t="s">
        <v>2129</v>
      </c>
      <c r="AX244" s="5782" t="s">
        <v>2129</v>
      </c>
      <c r="AY244" s="5782" t="s">
        <v>2129</v>
      </c>
      <c r="AZ244" s="5782" t="s">
        <v>2129</v>
      </c>
      <c r="BA244" s="5782" t="s">
        <v>2129</v>
      </c>
      <c r="BB244" s="5782" t="s">
        <v>2129</v>
      </c>
      <c r="BC244" t="s">
        <v>2129</v>
      </c>
      <c r="BD244" t="s">
        <v>2129</v>
      </c>
      <c r="BE244" t="s">
        <v>2129</v>
      </c>
      <c r="BF244" t="s">
        <v>2129</v>
      </c>
      <c r="BG244" t="s">
        <v>2129</v>
      </c>
      <c r="BH244" s="5788" t="s">
        <v>2129</v>
      </c>
      <c r="BI244"/>
      <c r="BJ244" s="5788" t="s">
        <v>2129</v>
      </c>
      <c r="BK244" s="5788" t="s">
        <v>2129</v>
      </c>
      <c r="BL244" s="5788" t="s">
        <v>2129</v>
      </c>
      <c r="BM244" s="5788" t="s">
        <v>2129</v>
      </c>
      <c r="BN244" s="5788" t="s">
        <v>2129</v>
      </c>
      <c r="BO244" s="5788" t="s">
        <v>2129</v>
      </c>
      <c r="BP244" s="863" t="s">
        <v>2129</v>
      </c>
      <c r="BQ244" s="863" t="s">
        <v>2129</v>
      </c>
      <c r="BR244" s="863" t="s">
        <v>2129</v>
      </c>
      <c r="BS244" s="863" t="s">
        <v>2129</v>
      </c>
      <c r="BT244" s="863" t="s">
        <v>2129</v>
      </c>
      <c r="BU244" s="863" t="s">
        <v>2129</v>
      </c>
      <c r="BV244" s="863" t="s">
        <v>2129</v>
      </c>
      <c r="BW244" s="863" t="s">
        <v>2129</v>
      </c>
      <c r="BX244" s="5788" t="s">
        <v>2129</v>
      </c>
      <c r="BY244" s="863" t="s">
        <v>2129</v>
      </c>
      <c r="BZ244" s="5788" t="s">
        <v>2129</v>
      </c>
      <c r="CA244" s="5788" t="s">
        <v>2129</v>
      </c>
      <c r="CB244" s="863"/>
      <c r="CC244" s="863" t="s">
        <v>2129</v>
      </c>
      <c r="CD244" s="863" t="s">
        <v>2129</v>
      </c>
      <c r="CE244" s="863" t="s">
        <v>2129</v>
      </c>
      <c r="CF244" s="863" t="s">
        <v>2129</v>
      </c>
      <c r="CG244" s="863"/>
      <c r="CH244" s="5784"/>
    </row>
    <row r="245" spans="1:86" s="5782" customFormat="1" ht="13" hidden="1">
      <c r="A245" s="5782">
        <v>3019</v>
      </c>
      <c r="B245" s="5812" t="s">
        <v>3450</v>
      </c>
      <c r="C245" s="5784" t="s">
        <v>2129</v>
      </c>
      <c r="D245" s="5784" t="s">
        <v>2129</v>
      </c>
      <c r="E245" s="5784" t="s">
        <v>2129</v>
      </c>
      <c r="F245" s="5784" t="s">
        <v>2129</v>
      </c>
      <c r="G245" s="5784" t="s">
        <v>2129</v>
      </c>
      <c r="H245" s="5784">
        <v>0</v>
      </c>
      <c r="I245" s="5784">
        <v>0</v>
      </c>
      <c r="J245" s="2694"/>
      <c r="K245" s="2694"/>
      <c r="L245" s="2477"/>
      <c r="M245" s="2477"/>
      <c r="N245" s="2477"/>
      <c r="O245" s="2477"/>
      <c r="P245" s="2477"/>
      <c r="Q245" s="2695"/>
      <c r="R245" s="5787">
        <v>0</v>
      </c>
      <c r="S245" s="2477"/>
      <c r="T245" s="5787" t="s">
        <v>2129</v>
      </c>
      <c r="U245" s="5787"/>
      <c r="V245" s="5814">
        <v>0</v>
      </c>
      <c r="W245" s="5788">
        <v>4370069</v>
      </c>
      <c r="X245" s="1958"/>
      <c r="Y245" s="5788">
        <v>43700.69</v>
      </c>
      <c r="Z245" s="5788"/>
      <c r="AA245" s="5788"/>
      <c r="AB245" s="5788" t="s">
        <v>2129</v>
      </c>
      <c r="AC245" s="1958"/>
      <c r="AD245" s="1958"/>
      <c r="AF245" s="5789">
        <v>100</v>
      </c>
      <c r="AG245" s="3965"/>
      <c r="AI245" s="5782" t="s">
        <v>2129</v>
      </c>
      <c r="AJ245" s="5782" t="s">
        <v>2129</v>
      </c>
      <c r="AK245" s="5782" t="s">
        <v>2129</v>
      </c>
      <c r="AL245" t="s">
        <v>2129</v>
      </c>
      <c r="AM245" t="s">
        <v>2129</v>
      </c>
      <c r="AN245" t="s">
        <v>2129</v>
      </c>
      <c r="AO245"/>
      <c r="AP245"/>
      <c r="AQ245" t="s">
        <v>2129</v>
      </c>
      <c r="AR245"/>
      <c r="AS245"/>
      <c r="AT245"/>
      <c r="AU245"/>
      <c r="AV245" s="5782" t="s">
        <v>2129</v>
      </c>
      <c r="AW245" t="s">
        <v>2129</v>
      </c>
      <c r="AX245" s="5782" t="s">
        <v>2129</v>
      </c>
      <c r="AY245" s="5782" t="s">
        <v>2129</v>
      </c>
      <c r="AZ245" s="5782" t="s">
        <v>2129</v>
      </c>
      <c r="BA245" s="5782" t="s">
        <v>2129</v>
      </c>
      <c r="BB245" s="5782" t="s">
        <v>2129</v>
      </c>
      <c r="BC245" t="s">
        <v>2129</v>
      </c>
      <c r="BD245" t="s">
        <v>2129</v>
      </c>
      <c r="BE245" t="s">
        <v>2129</v>
      </c>
      <c r="BF245" t="s">
        <v>2129</v>
      </c>
      <c r="BG245" t="s">
        <v>2129</v>
      </c>
      <c r="BH245" s="5788" t="s">
        <v>2129</v>
      </c>
      <c r="BI245"/>
      <c r="BJ245" s="5788" t="s">
        <v>2129</v>
      </c>
      <c r="BK245" s="5788" t="s">
        <v>2129</v>
      </c>
      <c r="BL245" s="5788" t="s">
        <v>2129</v>
      </c>
      <c r="BM245" s="5788" t="s">
        <v>2129</v>
      </c>
      <c r="BN245" s="5788" t="s">
        <v>2129</v>
      </c>
      <c r="BO245" s="5788" t="s">
        <v>2129</v>
      </c>
      <c r="BP245" s="863" t="s">
        <v>2129</v>
      </c>
      <c r="BQ245" s="863" t="s">
        <v>2129</v>
      </c>
      <c r="BR245" s="863" t="s">
        <v>2129</v>
      </c>
      <c r="BS245" s="863" t="s">
        <v>2129</v>
      </c>
      <c r="BT245" s="863" t="s">
        <v>2129</v>
      </c>
      <c r="BU245" s="863" t="s">
        <v>2129</v>
      </c>
      <c r="BV245" s="863" t="s">
        <v>2129</v>
      </c>
      <c r="BW245" s="863" t="s">
        <v>2129</v>
      </c>
      <c r="BX245" s="5788" t="s">
        <v>2129</v>
      </c>
      <c r="BY245" s="863" t="s">
        <v>2129</v>
      </c>
      <c r="BZ245" s="5788" t="s">
        <v>2129</v>
      </c>
      <c r="CA245" s="5788" t="s">
        <v>2129</v>
      </c>
      <c r="CB245" s="863"/>
      <c r="CC245" s="863" t="s">
        <v>2129</v>
      </c>
      <c r="CD245" s="863" t="s">
        <v>2129</v>
      </c>
      <c r="CE245" s="863" t="s">
        <v>2129</v>
      </c>
      <c r="CF245" s="863" t="s">
        <v>2129</v>
      </c>
      <c r="CG245" s="863"/>
      <c r="CH245" s="5784"/>
    </row>
    <row r="246" spans="1:86" ht="13">
      <c r="A246">
        <v>3025</v>
      </c>
      <c r="B246" s="5796" t="s">
        <v>3451</v>
      </c>
      <c r="C246" s="5803" t="s">
        <v>6598</v>
      </c>
      <c r="D246" s="5803" t="s">
        <v>2129</v>
      </c>
      <c r="E246" s="5803" t="s">
        <v>2129</v>
      </c>
      <c r="F246" s="2694" t="s">
        <v>2129</v>
      </c>
      <c r="G246" s="2694" t="s">
        <v>2129</v>
      </c>
      <c r="H246" s="2694" t="s">
        <v>6603</v>
      </c>
      <c r="I246" s="2694">
        <v>5</v>
      </c>
      <c r="J246" s="2694"/>
      <c r="K246" s="2694"/>
      <c r="L246" s="2477"/>
      <c r="M246" s="2477"/>
      <c r="N246" s="2477"/>
      <c r="O246" s="2477"/>
      <c r="P246" s="2477"/>
      <c r="Q246" s="2695"/>
      <c r="R246" s="2477">
        <v>84704</v>
      </c>
      <c r="S246" s="2477"/>
      <c r="T246" s="2477">
        <v>16940.8</v>
      </c>
      <c r="U246" s="2477"/>
      <c r="V246" s="1958">
        <v>0</v>
      </c>
      <c r="W246" s="1958">
        <v>679440</v>
      </c>
      <c r="X246" s="1958"/>
      <c r="Y246" s="1958">
        <v>16177.142857142857</v>
      </c>
      <c r="Z246" s="1958">
        <v>11765</v>
      </c>
      <c r="AA246" s="1958">
        <v>17648</v>
      </c>
      <c r="AB246" s="1958">
        <v>5371.0671936758899</v>
      </c>
      <c r="AC246" s="1958"/>
      <c r="AD246" s="1958"/>
      <c r="AE246">
        <v>42</v>
      </c>
      <c r="AF246" s="3965">
        <v>42</v>
      </c>
      <c r="AG246" s="3965"/>
      <c r="AH246">
        <v>126</v>
      </c>
      <c r="AI246">
        <v>110</v>
      </c>
      <c r="AJ246" t="s">
        <v>2129</v>
      </c>
      <c r="AK246" t="s">
        <v>2129</v>
      </c>
      <c r="AL246" t="s">
        <v>2129</v>
      </c>
      <c r="AM246" t="s">
        <v>2129</v>
      </c>
      <c r="AN246">
        <v>68</v>
      </c>
      <c r="AQ246" t="s">
        <v>2129</v>
      </c>
      <c r="AV246">
        <v>25</v>
      </c>
      <c r="AW246" t="s">
        <v>2129</v>
      </c>
      <c r="AX246" t="s">
        <v>2129</v>
      </c>
      <c r="AY246" t="s">
        <v>2129</v>
      </c>
      <c r="AZ246" t="s">
        <v>2129</v>
      </c>
      <c r="BA246" t="s">
        <v>2129</v>
      </c>
      <c r="BB246" t="s">
        <v>2129</v>
      </c>
      <c r="BC246" t="s">
        <v>2129</v>
      </c>
      <c r="BD246" t="s">
        <v>2129</v>
      </c>
      <c r="BE246" t="s">
        <v>2129</v>
      </c>
      <c r="BF246" t="s">
        <v>2129</v>
      </c>
      <c r="BG246" t="s">
        <v>2129</v>
      </c>
      <c r="BH246" s="1958">
        <v>16986000</v>
      </c>
      <c r="BI246"/>
      <c r="BJ246" s="1958" t="s">
        <v>2129</v>
      </c>
      <c r="BK246" s="1958" t="s">
        <v>2129</v>
      </c>
      <c r="BL246" s="1958" t="s">
        <v>2129</v>
      </c>
      <c r="BM246" s="1958" t="s">
        <v>2129</v>
      </c>
      <c r="BN246" s="1958" t="s">
        <v>2129</v>
      </c>
      <c r="BO246" s="1958" t="s">
        <v>2129</v>
      </c>
      <c r="BP246" s="1958" t="s">
        <v>2129</v>
      </c>
      <c r="BQ246" s="1958" t="s">
        <v>2129</v>
      </c>
      <c r="BR246" s="1958" t="s">
        <v>2129</v>
      </c>
      <c r="BS246" s="1958" t="s">
        <v>2129</v>
      </c>
      <c r="BT246" s="1958" t="s">
        <v>2129</v>
      </c>
      <c r="BU246" s="1958" t="s">
        <v>2129</v>
      </c>
      <c r="BV246" s="1958" t="s">
        <v>2129</v>
      </c>
      <c r="BW246" s="1958" t="s">
        <v>2129</v>
      </c>
      <c r="BX246" s="1958">
        <v>2117600</v>
      </c>
      <c r="BY246" s="1958" t="s">
        <v>2129</v>
      </c>
      <c r="BZ246" s="1958" t="s">
        <v>2129</v>
      </c>
      <c r="CA246" s="1958" t="s">
        <v>2129</v>
      </c>
      <c r="CC246" s="1958" t="s">
        <v>2129</v>
      </c>
      <c r="CD246" s="1958" t="s">
        <v>2129</v>
      </c>
      <c r="CE246" s="1958" t="s">
        <v>2129</v>
      </c>
      <c r="CF246" s="1958" t="s">
        <v>2129</v>
      </c>
      <c r="CH246" s="2694"/>
    </row>
    <row r="247" spans="1:86" s="5815" customFormat="1" ht="13" hidden="1">
      <c r="A247" s="5815" t="s">
        <v>3453</v>
      </c>
      <c r="B247" s="5816" t="s">
        <v>3454</v>
      </c>
      <c r="C247" s="5817" t="s">
        <v>2129</v>
      </c>
      <c r="D247" s="5817" t="s">
        <v>2129</v>
      </c>
      <c r="E247" s="5817"/>
      <c r="F247" s="5817" t="s">
        <v>2129</v>
      </c>
      <c r="G247" s="5817"/>
      <c r="H247" s="5817"/>
      <c r="I247" s="5817"/>
      <c r="J247" s="5817" t="b">
        <v>1</v>
      </c>
      <c r="K247" s="5817" t="s">
        <v>2129</v>
      </c>
      <c r="L247" s="5818"/>
      <c r="M247" s="5818"/>
      <c r="N247" s="5818"/>
      <c r="O247" s="5818"/>
      <c r="P247" s="5818"/>
      <c r="Q247" s="5819"/>
      <c r="R247" s="5818">
        <v>0</v>
      </c>
      <c r="S247" s="5818" t="b">
        <v>1</v>
      </c>
      <c r="T247" s="5818" t="s">
        <v>2129</v>
      </c>
      <c r="U247" s="5818"/>
      <c r="V247" s="5814">
        <v>0</v>
      </c>
      <c r="W247" s="5814">
        <v>0</v>
      </c>
      <c r="X247" s="5814" t="b">
        <v>1</v>
      </c>
      <c r="Y247" s="5814"/>
      <c r="Z247" s="5814"/>
      <c r="AA247" s="5814"/>
      <c r="AB247" s="5814" t="s">
        <v>2129</v>
      </c>
      <c r="AC247" s="5814"/>
      <c r="AD247" s="5814"/>
      <c r="AF247" s="5815">
        <v>300</v>
      </c>
      <c r="AG247" s="5815" t="b">
        <v>1</v>
      </c>
      <c r="AI247" s="5815" t="s">
        <v>2129</v>
      </c>
      <c r="AJ247" s="5815" t="s">
        <v>2129</v>
      </c>
      <c r="AL247" s="5815" t="s">
        <v>2129</v>
      </c>
      <c r="AM247" s="5815" t="s">
        <v>2129</v>
      </c>
      <c r="AN247" s="5815" t="s">
        <v>2129</v>
      </c>
      <c r="AQ247" s="5815" t="s">
        <v>2129</v>
      </c>
      <c r="AV247" s="5815" t="s">
        <v>2129</v>
      </c>
      <c r="AW247" s="5815" t="s">
        <v>2129</v>
      </c>
      <c r="AX247" s="5815" t="s">
        <v>2129</v>
      </c>
      <c r="AY247" s="5815" t="s">
        <v>2129</v>
      </c>
      <c r="AZ247" s="5815" t="s">
        <v>2129</v>
      </c>
      <c r="BA247" s="5815" t="s">
        <v>2129</v>
      </c>
      <c r="BB247" s="5815" t="s">
        <v>2129</v>
      </c>
      <c r="BC247" s="5815" t="s">
        <v>2129</v>
      </c>
      <c r="BD247" s="5815" t="s">
        <v>2129</v>
      </c>
      <c r="BE247" s="5815" t="s">
        <v>2129</v>
      </c>
      <c r="BF247" s="5815" t="s">
        <v>2129</v>
      </c>
      <c r="BG247" s="5815" t="s">
        <v>2129</v>
      </c>
      <c r="BH247" s="5814" t="s">
        <v>2129</v>
      </c>
      <c r="BJ247" s="5814" t="s">
        <v>2129</v>
      </c>
      <c r="BK247" s="5814" t="s">
        <v>2129</v>
      </c>
      <c r="BL247" s="5814" t="s">
        <v>2129</v>
      </c>
      <c r="BM247" s="5814" t="s">
        <v>2129</v>
      </c>
      <c r="BN247" s="5814" t="s">
        <v>2129</v>
      </c>
      <c r="BO247" s="5814" t="s">
        <v>2129</v>
      </c>
      <c r="BP247" s="5814" t="s">
        <v>2129</v>
      </c>
      <c r="BQ247" s="5814" t="s">
        <v>2129</v>
      </c>
      <c r="BR247" s="5814" t="s">
        <v>2129</v>
      </c>
      <c r="BS247" s="5814" t="s">
        <v>2129</v>
      </c>
      <c r="BT247" s="5814" t="s">
        <v>2129</v>
      </c>
      <c r="BU247" s="5814" t="s">
        <v>2129</v>
      </c>
      <c r="BV247" s="5814" t="s">
        <v>2129</v>
      </c>
      <c r="BW247" s="5814" t="s">
        <v>2129</v>
      </c>
      <c r="BX247" s="5814" t="s">
        <v>2129</v>
      </c>
      <c r="BY247" s="5814" t="s">
        <v>2129</v>
      </c>
      <c r="BZ247" s="5814" t="s">
        <v>2129</v>
      </c>
      <c r="CA247" s="5814" t="s">
        <v>2129</v>
      </c>
      <c r="CB247" s="5814"/>
      <c r="CC247" s="5814" t="s">
        <v>2129</v>
      </c>
      <c r="CD247" s="5814" t="s">
        <v>2129</v>
      </c>
      <c r="CE247" s="5814" t="s">
        <v>2129</v>
      </c>
      <c r="CF247" s="5814" t="s">
        <v>2129</v>
      </c>
      <c r="CG247" s="5814"/>
      <c r="CH247" s="5817"/>
    </row>
    <row r="248" spans="1:86" s="5815" customFormat="1" ht="13" hidden="1">
      <c r="A248" s="5815" t="s">
        <v>3453</v>
      </c>
      <c r="B248" s="5816" t="s">
        <v>3455</v>
      </c>
      <c r="C248" s="5817" t="s">
        <v>2129</v>
      </c>
      <c r="D248" s="5817" t="s">
        <v>2129</v>
      </c>
      <c r="E248" s="5817"/>
      <c r="F248" s="5817" t="s">
        <v>2129</v>
      </c>
      <c r="G248" s="5817"/>
      <c r="H248" s="5817"/>
      <c r="I248" s="5817"/>
      <c r="J248" s="5817" t="b">
        <v>1</v>
      </c>
      <c r="K248" s="5817" t="s">
        <v>2129</v>
      </c>
      <c r="L248" s="5818"/>
      <c r="M248" s="5818"/>
      <c r="N248" s="5818"/>
      <c r="O248" s="5818"/>
      <c r="P248" s="5818"/>
      <c r="Q248" s="5819"/>
      <c r="R248" s="5818"/>
      <c r="S248" s="5818" t="b">
        <v>1</v>
      </c>
      <c r="T248" s="5818" t="s">
        <v>2129</v>
      </c>
      <c r="U248" s="5818"/>
      <c r="V248" s="5814">
        <v>0</v>
      </c>
      <c r="W248" s="5814">
        <v>0</v>
      </c>
      <c r="X248" s="5814" t="b">
        <v>1</v>
      </c>
      <c r="Y248" s="5814"/>
      <c r="Z248" s="5814"/>
      <c r="AA248" s="5814"/>
      <c r="AB248" s="5814" t="s">
        <v>2129</v>
      </c>
      <c r="AC248" s="5814"/>
      <c r="AD248" s="5814"/>
      <c r="AE248" s="5815" t="s">
        <v>3308</v>
      </c>
      <c r="AF248" s="5820">
        <v>300</v>
      </c>
      <c r="AG248" s="5820" t="b">
        <v>1</v>
      </c>
      <c r="AH248" s="5815" t="s">
        <v>3308</v>
      </c>
      <c r="AI248" s="5815" t="s">
        <v>2129</v>
      </c>
      <c r="AJ248" s="5815" t="s">
        <v>2129</v>
      </c>
      <c r="AL248" s="5815" t="s">
        <v>2129</v>
      </c>
      <c r="AM248" s="5815" t="s">
        <v>2129</v>
      </c>
      <c r="AN248" s="5815" t="s">
        <v>2129</v>
      </c>
      <c r="AQ248" s="5815" t="s">
        <v>2129</v>
      </c>
      <c r="AV248" s="5815" t="s">
        <v>2129</v>
      </c>
      <c r="AW248" s="5815" t="s">
        <v>2129</v>
      </c>
      <c r="AX248" s="5815" t="s">
        <v>2129</v>
      </c>
      <c r="AY248" s="5815" t="s">
        <v>2129</v>
      </c>
      <c r="AZ248" s="5815" t="s">
        <v>2129</v>
      </c>
      <c r="BA248" s="5815" t="s">
        <v>2129</v>
      </c>
      <c r="BB248" s="5815" t="s">
        <v>2129</v>
      </c>
      <c r="BC248" s="5815" t="s">
        <v>2129</v>
      </c>
      <c r="BD248" s="5815" t="s">
        <v>2129</v>
      </c>
      <c r="BE248" s="5815" t="s">
        <v>2129</v>
      </c>
      <c r="BF248" s="5815" t="s">
        <v>2129</v>
      </c>
      <c r="BG248" s="5815" t="s">
        <v>2129</v>
      </c>
      <c r="BH248" s="5814" t="s">
        <v>2129</v>
      </c>
      <c r="BJ248" s="5814" t="s">
        <v>2129</v>
      </c>
      <c r="BK248" s="5814" t="s">
        <v>2129</v>
      </c>
      <c r="BL248" s="5814" t="s">
        <v>2129</v>
      </c>
      <c r="BM248" s="5814" t="s">
        <v>2129</v>
      </c>
      <c r="BN248" s="5814" t="s">
        <v>2129</v>
      </c>
      <c r="BO248" s="5814" t="s">
        <v>2129</v>
      </c>
      <c r="BP248" s="5814" t="s">
        <v>2129</v>
      </c>
      <c r="BQ248" s="5814" t="s">
        <v>2129</v>
      </c>
      <c r="BR248" s="5814" t="s">
        <v>2129</v>
      </c>
      <c r="BS248" s="5814" t="s">
        <v>2129</v>
      </c>
      <c r="BT248" s="5814" t="s">
        <v>2129</v>
      </c>
      <c r="BU248" s="5814" t="s">
        <v>2129</v>
      </c>
      <c r="BV248" s="5814" t="s">
        <v>2129</v>
      </c>
      <c r="BW248" s="5814" t="s">
        <v>2129</v>
      </c>
      <c r="BX248" s="5814" t="s">
        <v>2129</v>
      </c>
      <c r="BY248" s="5814" t="s">
        <v>2129</v>
      </c>
      <c r="BZ248" s="5814" t="s">
        <v>2129</v>
      </c>
      <c r="CA248" s="5814" t="s">
        <v>2129</v>
      </c>
      <c r="CB248" s="5814"/>
      <c r="CC248" s="5814" t="s">
        <v>2129</v>
      </c>
      <c r="CD248" s="5814" t="s">
        <v>2129</v>
      </c>
      <c r="CE248" s="5814" t="s">
        <v>2129</v>
      </c>
      <c r="CF248" s="5814" t="s">
        <v>2129</v>
      </c>
      <c r="CG248" s="5814"/>
      <c r="CH248" s="5817"/>
    </row>
    <row r="249" spans="1:86" s="5815" customFormat="1" ht="13" hidden="1">
      <c r="A249" s="5815" t="s">
        <v>3453</v>
      </c>
      <c r="B249" s="5816" t="s">
        <v>3456</v>
      </c>
      <c r="C249" s="5817" t="s">
        <v>2129</v>
      </c>
      <c r="D249" s="5817" t="s">
        <v>2129</v>
      </c>
      <c r="E249" s="5817"/>
      <c r="F249" s="5817" t="s">
        <v>2129</v>
      </c>
      <c r="G249" s="5817"/>
      <c r="H249" s="5817"/>
      <c r="I249" s="5817"/>
      <c r="J249" s="5817" t="b">
        <v>1</v>
      </c>
      <c r="K249" s="5817" t="s">
        <v>2129</v>
      </c>
      <c r="L249" s="5818"/>
      <c r="M249" s="5818"/>
      <c r="N249" s="5818"/>
      <c r="O249" s="5818"/>
      <c r="P249" s="5818"/>
      <c r="Q249" s="5819"/>
      <c r="R249" s="5818"/>
      <c r="S249" s="5818" t="b">
        <v>1</v>
      </c>
      <c r="T249" s="5818" t="s">
        <v>2129</v>
      </c>
      <c r="U249" s="5818"/>
      <c r="V249" s="5814">
        <v>0</v>
      </c>
      <c r="W249" s="5814">
        <v>0</v>
      </c>
      <c r="X249" s="5814" t="b">
        <v>1</v>
      </c>
      <c r="Y249" s="5814"/>
      <c r="Z249" s="5814"/>
      <c r="AA249" s="5814"/>
      <c r="AB249" s="5814" t="s">
        <v>2129</v>
      </c>
      <c r="AC249" s="5814"/>
      <c r="AD249" s="5814"/>
      <c r="AF249" s="5820">
        <v>300</v>
      </c>
      <c r="AG249" s="5820" t="b">
        <v>1</v>
      </c>
      <c r="AI249" s="5815" t="s">
        <v>2129</v>
      </c>
      <c r="AJ249" s="5815" t="s">
        <v>2129</v>
      </c>
      <c r="AL249" s="5815" t="s">
        <v>2129</v>
      </c>
      <c r="AM249" s="5815" t="s">
        <v>2129</v>
      </c>
      <c r="AN249" s="5815" t="s">
        <v>2129</v>
      </c>
      <c r="AQ249" s="5815" t="s">
        <v>2129</v>
      </c>
      <c r="AV249" s="5815" t="s">
        <v>2129</v>
      </c>
      <c r="AW249" s="5815" t="s">
        <v>2129</v>
      </c>
      <c r="AX249" s="5815" t="s">
        <v>2129</v>
      </c>
      <c r="AY249" s="5815" t="s">
        <v>2129</v>
      </c>
      <c r="AZ249" s="5815" t="s">
        <v>2129</v>
      </c>
      <c r="BA249" s="5815" t="s">
        <v>2129</v>
      </c>
      <c r="BB249" s="5815" t="s">
        <v>2129</v>
      </c>
      <c r="BC249" s="5815" t="s">
        <v>2129</v>
      </c>
      <c r="BD249" s="5815" t="s">
        <v>2129</v>
      </c>
      <c r="BE249" s="5815" t="s">
        <v>2129</v>
      </c>
      <c r="BF249" s="5815" t="s">
        <v>2129</v>
      </c>
      <c r="BG249" s="5815" t="s">
        <v>2129</v>
      </c>
      <c r="BH249" s="5814" t="s">
        <v>2129</v>
      </c>
      <c r="BJ249" s="5814" t="s">
        <v>2129</v>
      </c>
      <c r="BK249" s="5814" t="s">
        <v>2129</v>
      </c>
      <c r="BL249" s="5814" t="s">
        <v>2129</v>
      </c>
      <c r="BM249" s="5814" t="s">
        <v>2129</v>
      </c>
      <c r="BN249" s="5814" t="s">
        <v>2129</v>
      </c>
      <c r="BO249" s="5814" t="s">
        <v>2129</v>
      </c>
      <c r="BP249" s="5814" t="s">
        <v>2129</v>
      </c>
      <c r="BQ249" s="5814" t="s">
        <v>2129</v>
      </c>
      <c r="BR249" s="5814" t="s">
        <v>2129</v>
      </c>
      <c r="BS249" s="5814" t="s">
        <v>2129</v>
      </c>
      <c r="BT249" s="5814" t="s">
        <v>2129</v>
      </c>
      <c r="BU249" s="5814" t="s">
        <v>2129</v>
      </c>
      <c r="BV249" s="5814" t="s">
        <v>2129</v>
      </c>
      <c r="BW249" s="5814" t="s">
        <v>2129</v>
      </c>
      <c r="BX249" s="5814" t="s">
        <v>2129</v>
      </c>
      <c r="BY249" s="5814" t="s">
        <v>2129</v>
      </c>
      <c r="BZ249" s="5814" t="s">
        <v>2129</v>
      </c>
      <c r="CA249" s="5814" t="s">
        <v>2129</v>
      </c>
      <c r="CB249" s="5814"/>
      <c r="CC249" s="5814" t="s">
        <v>2129</v>
      </c>
      <c r="CD249" s="5814" t="s">
        <v>2129</v>
      </c>
      <c r="CE249" s="5814" t="s">
        <v>2129</v>
      </c>
      <c r="CF249" s="5814" t="s">
        <v>2129</v>
      </c>
      <c r="CG249" s="5814"/>
      <c r="CH249" s="5817"/>
    </row>
    <row r="250" spans="1:86" s="5815" customFormat="1" ht="13" hidden="1">
      <c r="A250" s="5815" t="s">
        <v>3453</v>
      </c>
      <c r="B250" s="5816" t="s">
        <v>3457</v>
      </c>
      <c r="C250" s="5817" t="s">
        <v>2129</v>
      </c>
      <c r="D250" s="5817" t="s">
        <v>2129</v>
      </c>
      <c r="E250" s="5817"/>
      <c r="F250" s="5817" t="s">
        <v>2129</v>
      </c>
      <c r="G250" s="5817"/>
      <c r="H250" s="5817"/>
      <c r="I250" s="5817"/>
      <c r="J250" s="5817" t="b">
        <v>1</v>
      </c>
      <c r="K250" s="5817" t="s">
        <v>2129</v>
      </c>
      <c r="L250" s="5818"/>
      <c r="M250" s="5818"/>
      <c r="N250" s="5818"/>
      <c r="O250" s="5818"/>
      <c r="P250" s="5818"/>
      <c r="Q250" s="5819"/>
      <c r="R250" s="5818"/>
      <c r="S250" s="5818" t="b">
        <v>1</v>
      </c>
      <c r="T250" s="5818" t="s">
        <v>2129</v>
      </c>
      <c r="U250" s="5818"/>
      <c r="V250" s="5814">
        <v>0</v>
      </c>
      <c r="W250" s="5814">
        <v>0</v>
      </c>
      <c r="X250" s="5814" t="b">
        <v>1</v>
      </c>
      <c r="Y250" s="5814"/>
      <c r="Z250" s="5814"/>
      <c r="AA250" s="5814"/>
      <c r="AB250" s="5814" t="s">
        <v>2129</v>
      </c>
      <c r="AC250" s="5814"/>
      <c r="AD250" s="5814"/>
      <c r="AF250" s="5820">
        <v>300</v>
      </c>
      <c r="AG250" s="5820" t="b">
        <v>1</v>
      </c>
      <c r="AI250" s="5815" t="s">
        <v>2129</v>
      </c>
      <c r="AJ250" s="5815" t="s">
        <v>2129</v>
      </c>
      <c r="AL250" s="5815" t="s">
        <v>2129</v>
      </c>
      <c r="AM250" s="5815" t="s">
        <v>2129</v>
      </c>
      <c r="AN250" s="5815" t="s">
        <v>2129</v>
      </c>
      <c r="AQ250" s="5815" t="s">
        <v>2129</v>
      </c>
      <c r="AV250" s="5815" t="s">
        <v>2129</v>
      </c>
      <c r="AW250" s="5815" t="s">
        <v>2129</v>
      </c>
      <c r="AX250" s="5815" t="s">
        <v>2129</v>
      </c>
      <c r="AY250" s="5815" t="s">
        <v>2129</v>
      </c>
      <c r="AZ250" s="5815" t="s">
        <v>2129</v>
      </c>
      <c r="BA250" s="5815" t="s">
        <v>2129</v>
      </c>
      <c r="BB250" s="5815" t="s">
        <v>2129</v>
      </c>
      <c r="BC250" s="5815" t="s">
        <v>2129</v>
      </c>
      <c r="BD250" s="5815" t="s">
        <v>2129</v>
      </c>
      <c r="BE250" s="5815" t="s">
        <v>2129</v>
      </c>
      <c r="BF250" s="5815" t="s">
        <v>2129</v>
      </c>
      <c r="BG250" s="5815" t="s">
        <v>2129</v>
      </c>
      <c r="BH250" s="5814" t="s">
        <v>2129</v>
      </c>
      <c r="BJ250" s="5814" t="s">
        <v>2129</v>
      </c>
      <c r="BK250" s="5814" t="s">
        <v>2129</v>
      </c>
      <c r="BL250" s="5814" t="s">
        <v>2129</v>
      </c>
      <c r="BM250" s="5814" t="s">
        <v>2129</v>
      </c>
      <c r="BN250" s="5814" t="s">
        <v>2129</v>
      </c>
      <c r="BO250" s="5814" t="s">
        <v>2129</v>
      </c>
      <c r="BP250" s="5814" t="s">
        <v>2129</v>
      </c>
      <c r="BQ250" s="5814" t="s">
        <v>2129</v>
      </c>
      <c r="BR250" s="5814" t="s">
        <v>2129</v>
      </c>
      <c r="BS250" s="5814" t="s">
        <v>2129</v>
      </c>
      <c r="BT250" s="5814" t="s">
        <v>2129</v>
      </c>
      <c r="BU250" s="5814" t="s">
        <v>2129</v>
      </c>
      <c r="BV250" s="5814" t="s">
        <v>2129</v>
      </c>
      <c r="BW250" s="5814" t="s">
        <v>2129</v>
      </c>
      <c r="BX250" s="5814" t="s">
        <v>2129</v>
      </c>
      <c r="BY250" s="5814" t="s">
        <v>2129</v>
      </c>
      <c r="BZ250" s="5814" t="s">
        <v>2129</v>
      </c>
      <c r="CA250" s="5814" t="s">
        <v>2129</v>
      </c>
      <c r="CB250" s="5814"/>
      <c r="CC250" s="5814" t="s">
        <v>2129</v>
      </c>
      <c r="CD250" s="5814" t="s">
        <v>2129</v>
      </c>
      <c r="CE250" s="5814" t="s">
        <v>2129</v>
      </c>
      <c r="CF250" s="5814" t="s">
        <v>2129</v>
      </c>
      <c r="CG250" s="5814"/>
      <c r="CH250" s="5817"/>
    </row>
    <row r="251" spans="1:86" s="5815" customFormat="1" ht="13" hidden="1">
      <c r="A251" s="5815" t="s">
        <v>3453</v>
      </c>
      <c r="B251" s="5816" t="s">
        <v>3458</v>
      </c>
      <c r="C251" s="5817" t="s">
        <v>2129</v>
      </c>
      <c r="D251" s="5817" t="s">
        <v>2129</v>
      </c>
      <c r="E251" s="5817"/>
      <c r="F251" s="5817" t="s">
        <v>2129</v>
      </c>
      <c r="G251" s="5817"/>
      <c r="H251" s="5817"/>
      <c r="I251" s="5817"/>
      <c r="J251" s="5817" t="b">
        <v>1</v>
      </c>
      <c r="K251" s="5817" t="s">
        <v>2129</v>
      </c>
      <c r="L251" s="5818"/>
      <c r="M251" s="5818"/>
      <c r="N251" s="5818"/>
      <c r="O251" s="5818"/>
      <c r="P251" s="5818"/>
      <c r="Q251" s="5819"/>
      <c r="R251" s="5818"/>
      <c r="S251" s="5818" t="b">
        <v>1</v>
      </c>
      <c r="T251" s="5818" t="s">
        <v>2129</v>
      </c>
      <c r="U251" s="5818"/>
      <c r="V251" s="5814">
        <v>0</v>
      </c>
      <c r="W251" s="5814">
        <v>0</v>
      </c>
      <c r="X251" s="5814" t="b">
        <v>1</v>
      </c>
      <c r="Y251" s="5814"/>
      <c r="Z251" s="5814"/>
      <c r="AA251" s="5814"/>
      <c r="AB251" s="5814" t="s">
        <v>2129</v>
      </c>
      <c r="AC251" s="5814"/>
      <c r="AD251" s="5814"/>
      <c r="AF251" s="5820">
        <v>300</v>
      </c>
      <c r="AG251" s="5820" t="b">
        <v>1</v>
      </c>
      <c r="AI251" s="5815" t="s">
        <v>2129</v>
      </c>
      <c r="AJ251" s="5815" t="s">
        <v>2129</v>
      </c>
      <c r="AL251" s="5815" t="s">
        <v>2129</v>
      </c>
      <c r="AM251" s="5815" t="s">
        <v>2129</v>
      </c>
      <c r="AN251" s="5815" t="s">
        <v>2129</v>
      </c>
      <c r="AQ251" s="5815" t="s">
        <v>2129</v>
      </c>
      <c r="AV251" s="5815" t="s">
        <v>2129</v>
      </c>
      <c r="AW251" s="5815" t="s">
        <v>2129</v>
      </c>
      <c r="AX251" s="5815" t="s">
        <v>2129</v>
      </c>
      <c r="AY251" s="5815" t="s">
        <v>2129</v>
      </c>
      <c r="AZ251" s="5815" t="s">
        <v>2129</v>
      </c>
      <c r="BA251" s="5815" t="s">
        <v>2129</v>
      </c>
      <c r="BB251" s="5815" t="s">
        <v>2129</v>
      </c>
      <c r="BC251" s="5815" t="s">
        <v>2129</v>
      </c>
      <c r="BD251" s="5815" t="s">
        <v>2129</v>
      </c>
      <c r="BE251" s="5815" t="s">
        <v>2129</v>
      </c>
      <c r="BF251" s="5815" t="s">
        <v>2129</v>
      </c>
      <c r="BG251" s="5815" t="s">
        <v>2129</v>
      </c>
      <c r="BH251" s="5814" t="s">
        <v>2129</v>
      </c>
      <c r="BJ251" s="5814" t="s">
        <v>2129</v>
      </c>
      <c r="BK251" s="5814" t="s">
        <v>2129</v>
      </c>
      <c r="BL251" s="5814" t="s">
        <v>2129</v>
      </c>
      <c r="BM251" s="5814" t="s">
        <v>2129</v>
      </c>
      <c r="BN251" s="5814" t="s">
        <v>2129</v>
      </c>
      <c r="BO251" s="5814" t="s">
        <v>2129</v>
      </c>
      <c r="BP251" s="5814" t="s">
        <v>2129</v>
      </c>
      <c r="BQ251" s="5814" t="s">
        <v>2129</v>
      </c>
      <c r="BR251" s="5814" t="s">
        <v>2129</v>
      </c>
      <c r="BS251" s="5814" t="s">
        <v>2129</v>
      </c>
      <c r="BT251" s="5814" t="s">
        <v>2129</v>
      </c>
      <c r="BU251" s="5814" t="s">
        <v>2129</v>
      </c>
      <c r="BV251" s="5814" t="s">
        <v>2129</v>
      </c>
      <c r="BW251" s="5814" t="s">
        <v>2129</v>
      </c>
      <c r="BX251" s="5814" t="s">
        <v>2129</v>
      </c>
      <c r="BY251" s="5814" t="s">
        <v>2129</v>
      </c>
      <c r="BZ251" s="5814" t="s">
        <v>2129</v>
      </c>
      <c r="CA251" s="5814" t="s">
        <v>2129</v>
      </c>
      <c r="CB251" s="5814"/>
      <c r="CC251" s="5814" t="s">
        <v>2129</v>
      </c>
      <c r="CD251" s="5814" t="s">
        <v>2129</v>
      </c>
      <c r="CE251" s="5814" t="s">
        <v>2129</v>
      </c>
      <c r="CF251" s="5814" t="s">
        <v>2129</v>
      </c>
      <c r="CG251" s="5814"/>
      <c r="CH251" s="5817"/>
    </row>
    <row r="252" spans="1:86" s="5815" customFormat="1" ht="13" hidden="1">
      <c r="A252" s="5815" t="s">
        <v>3453</v>
      </c>
      <c r="B252" s="5816" t="s">
        <v>3459</v>
      </c>
      <c r="C252" s="5817" t="s">
        <v>2129</v>
      </c>
      <c r="D252" s="5817" t="s">
        <v>2129</v>
      </c>
      <c r="E252" s="5817"/>
      <c r="F252" s="5817" t="s">
        <v>2129</v>
      </c>
      <c r="G252" s="5817"/>
      <c r="H252" s="5817"/>
      <c r="I252" s="5817"/>
      <c r="J252" s="5817" t="b">
        <v>1</v>
      </c>
      <c r="K252" s="5817" t="s">
        <v>2129</v>
      </c>
      <c r="L252" s="5818"/>
      <c r="M252" s="5818"/>
      <c r="N252" s="5818"/>
      <c r="O252" s="5818"/>
      <c r="P252" s="5818"/>
      <c r="Q252" s="5819"/>
      <c r="R252" s="5818"/>
      <c r="S252" s="5818" t="b">
        <v>1</v>
      </c>
      <c r="T252" s="5818" t="s">
        <v>2129</v>
      </c>
      <c r="U252" s="5818"/>
      <c r="V252" s="5814">
        <v>0</v>
      </c>
      <c r="W252" s="5814">
        <v>0</v>
      </c>
      <c r="X252" s="5814" t="b">
        <v>1</v>
      </c>
      <c r="Y252" s="5814"/>
      <c r="Z252" s="5814"/>
      <c r="AA252" s="5814"/>
      <c r="AB252" s="5814" t="s">
        <v>2129</v>
      </c>
      <c r="AC252" s="5814"/>
      <c r="AD252" s="5814"/>
      <c r="AF252" s="5820">
        <v>300</v>
      </c>
      <c r="AG252" s="5820" t="b">
        <v>1</v>
      </c>
      <c r="AI252" s="5815" t="s">
        <v>2129</v>
      </c>
      <c r="AJ252" s="5815" t="s">
        <v>2129</v>
      </c>
      <c r="AL252" s="5815" t="s">
        <v>2129</v>
      </c>
      <c r="AM252" s="5815" t="s">
        <v>2129</v>
      </c>
      <c r="AN252" s="5815" t="s">
        <v>2129</v>
      </c>
      <c r="AQ252" s="5815" t="s">
        <v>2129</v>
      </c>
      <c r="AV252" s="5815" t="s">
        <v>2129</v>
      </c>
      <c r="AW252" s="5815" t="s">
        <v>2129</v>
      </c>
      <c r="AX252" s="5815" t="s">
        <v>2129</v>
      </c>
      <c r="AY252" s="5815" t="s">
        <v>2129</v>
      </c>
      <c r="AZ252" s="5815" t="s">
        <v>2129</v>
      </c>
      <c r="BA252" s="5815" t="s">
        <v>2129</v>
      </c>
      <c r="BB252" s="5815" t="s">
        <v>2129</v>
      </c>
      <c r="BC252" s="5815" t="s">
        <v>2129</v>
      </c>
      <c r="BD252" s="5815" t="s">
        <v>2129</v>
      </c>
      <c r="BE252" s="5815" t="s">
        <v>2129</v>
      </c>
      <c r="BF252" s="5815" t="s">
        <v>2129</v>
      </c>
      <c r="BG252" s="5815" t="s">
        <v>2129</v>
      </c>
      <c r="BH252" s="5814" t="s">
        <v>2129</v>
      </c>
      <c r="BJ252" s="5814" t="s">
        <v>2129</v>
      </c>
      <c r="BK252" s="5814" t="s">
        <v>2129</v>
      </c>
      <c r="BL252" s="5814" t="s">
        <v>2129</v>
      </c>
      <c r="BM252" s="5814" t="s">
        <v>2129</v>
      </c>
      <c r="BN252" s="5814" t="s">
        <v>2129</v>
      </c>
      <c r="BO252" s="5814" t="s">
        <v>2129</v>
      </c>
      <c r="BP252" s="5814" t="s">
        <v>2129</v>
      </c>
      <c r="BQ252" s="5814" t="s">
        <v>2129</v>
      </c>
      <c r="BR252" s="5814" t="s">
        <v>2129</v>
      </c>
      <c r="BS252" s="5814" t="s">
        <v>2129</v>
      </c>
      <c r="BT252" s="5814" t="s">
        <v>2129</v>
      </c>
      <c r="BU252" s="5814" t="s">
        <v>2129</v>
      </c>
      <c r="BV252" s="5814" t="s">
        <v>2129</v>
      </c>
      <c r="BW252" s="5814" t="s">
        <v>2129</v>
      </c>
      <c r="BX252" s="5814" t="s">
        <v>2129</v>
      </c>
      <c r="BY252" s="5814" t="s">
        <v>2129</v>
      </c>
      <c r="BZ252" s="5814" t="s">
        <v>2129</v>
      </c>
      <c r="CA252" s="5814" t="s">
        <v>2129</v>
      </c>
      <c r="CB252" s="5814"/>
      <c r="CC252" s="5814" t="s">
        <v>2129</v>
      </c>
      <c r="CD252" s="5814" t="s">
        <v>2129</v>
      </c>
      <c r="CE252" s="5814" t="s">
        <v>2129</v>
      </c>
      <c r="CF252" s="5814" t="s">
        <v>2129</v>
      </c>
      <c r="CG252" s="5814"/>
      <c r="CH252" s="5817"/>
    </row>
    <row r="253" spans="1:86" s="5815" customFormat="1" ht="13" hidden="1">
      <c r="A253" s="5815" t="s">
        <v>3453</v>
      </c>
      <c r="B253" s="5816" t="s">
        <v>3460</v>
      </c>
      <c r="C253" s="5817" t="s">
        <v>2129</v>
      </c>
      <c r="D253" s="5817" t="s">
        <v>2129</v>
      </c>
      <c r="E253" s="5817"/>
      <c r="F253" s="5817" t="s">
        <v>2129</v>
      </c>
      <c r="G253" s="5817"/>
      <c r="H253" s="5817"/>
      <c r="I253" s="5817"/>
      <c r="J253" s="5817" t="b">
        <v>1</v>
      </c>
      <c r="K253" s="5817" t="s">
        <v>2129</v>
      </c>
      <c r="L253" s="5818"/>
      <c r="M253" s="5818"/>
      <c r="N253" s="5818"/>
      <c r="O253" s="5818"/>
      <c r="P253" s="5818"/>
      <c r="Q253" s="5819"/>
      <c r="R253" s="5818"/>
      <c r="S253" s="5818" t="b">
        <v>1</v>
      </c>
      <c r="T253" s="5818" t="s">
        <v>2129</v>
      </c>
      <c r="U253" s="5818"/>
      <c r="V253" s="2700"/>
      <c r="W253" s="5814">
        <v>0</v>
      </c>
      <c r="X253" s="5814" t="b">
        <v>1</v>
      </c>
      <c r="Y253" s="5814"/>
      <c r="Z253" s="5814"/>
      <c r="AA253" s="5814"/>
      <c r="AB253" s="5814" t="s">
        <v>2129</v>
      </c>
      <c r="AC253" s="5814"/>
      <c r="AD253" s="5814"/>
      <c r="AF253" s="5820">
        <v>300</v>
      </c>
      <c r="AG253" s="5820" t="b">
        <v>1</v>
      </c>
      <c r="AI253" s="5815" t="s">
        <v>2129</v>
      </c>
      <c r="AJ253" s="5815" t="s">
        <v>2129</v>
      </c>
      <c r="AL253" s="5815" t="s">
        <v>2129</v>
      </c>
      <c r="AM253" s="5815" t="s">
        <v>2129</v>
      </c>
      <c r="AN253" s="5815" t="s">
        <v>2129</v>
      </c>
      <c r="AQ253" s="5815" t="s">
        <v>2129</v>
      </c>
      <c r="AV253" s="5815" t="s">
        <v>2129</v>
      </c>
      <c r="AW253" s="5815" t="s">
        <v>2129</v>
      </c>
      <c r="AX253" s="5815" t="s">
        <v>2129</v>
      </c>
      <c r="AY253" s="5815" t="s">
        <v>2129</v>
      </c>
      <c r="AZ253" s="5815" t="s">
        <v>2129</v>
      </c>
      <c r="BA253" s="5815" t="s">
        <v>2129</v>
      </c>
      <c r="BB253" s="5815" t="s">
        <v>2129</v>
      </c>
      <c r="BC253" s="5815" t="s">
        <v>2129</v>
      </c>
      <c r="BD253" s="5815" t="s">
        <v>2129</v>
      </c>
      <c r="BE253" s="5815" t="s">
        <v>2129</v>
      </c>
      <c r="BF253" s="5815" t="s">
        <v>2129</v>
      </c>
      <c r="BG253" s="5815" t="s">
        <v>2129</v>
      </c>
      <c r="BH253" s="5814" t="s">
        <v>2129</v>
      </c>
      <c r="BJ253" s="5814" t="s">
        <v>2129</v>
      </c>
      <c r="BK253" s="5814" t="s">
        <v>2129</v>
      </c>
      <c r="BL253" s="5814" t="s">
        <v>2129</v>
      </c>
      <c r="BM253" s="5814" t="s">
        <v>2129</v>
      </c>
      <c r="BN253" s="5814" t="s">
        <v>2129</v>
      </c>
      <c r="BO253" s="5814" t="s">
        <v>2129</v>
      </c>
      <c r="BP253" s="5814" t="s">
        <v>2129</v>
      </c>
      <c r="BQ253" s="5814" t="s">
        <v>2129</v>
      </c>
      <c r="BR253" s="5814" t="s">
        <v>2129</v>
      </c>
      <c r="BS253" s="5814" t="s">
        <v>2129</v>
      </c>
      <c r="BT253" s="5814" t="s">
        <v>2129</v>
      </c>
      <c r="BU253" s="5814" t="s">
        <v>2129</v>
      </c>
      <c r="BV253" s="5814" t="s">
        <v>2129</v>
      </c>
      <c r="BW253" s="5814" t="s">
        <v>2129</v>
      </c>
      <c r="BX253" s="5814" t="s">
        <v>2129</v>
      </c>
      <c r="BY253" s="5814" t="s">
        <v>2129</v>
      </c>
      <c r="BZ253" s="5814" t="s">
        <v>2129</v>
      </c>
      <c r="CA253" s="5814" t="s">
        <v>2129</v>
      </c>
      <c r="CB253" s="5814"/>
      <c r="CC253" s="5814" t="s">
        <v>2129</v>
      </c>
      <c r="CD253" s="5814" t="s">
        <v>2129</v>
      </c>
      <c r="CE253" s="5814" t="s">
        <v>2129</v>
      </c>
      <c r="CF253" s="5814" t="s">
        <v>2129</v>
      </c>
      <c r="CG253" s="5814"/>
      <c r="CH253" s="5817"/>
    </row>
    <row r="254" spans="1:86" s="5815" customFormat="1" ht="13" hidden="1">
      <c r="A254" s="5815" t="s">
        <v>3453</v>
      </c>
      <c r="B254" s="5816" t="s">
        <v>3461</v>
      </c>
      <c r="C254" s="5817" t="s">
        <v>2129</v>
      </c>
      <c r="D254" s="5817" t="s">
        <v>2129</v>
      </c>
      <c r="E254" s="5817"/>
      <c r="F254" s="5817" t="s">
        <v>2129</v>
      </c>
      <c r="G254" s="5817"/>
      <c r="H254" s="5817"/>
      <c r="I254" s="5817"/>
      <c r="J254" s="5817" t="b">
        <v>1</v>
      </c>
      <c r="K254" s="5817" t="s">
        <v>2129</v>
      </c>
      <c r="L254" s="5818"/>
      <c r="M254" s="5818"/>
      <c r="N254" s="5818"/>
      <c r="O254" s="5818"/>
      <c r="P254" s="5818"/>
      <c r="Q254" s="5819"/>
      <c r="R254" s="5818"/>
      <c r="S254" s="5818" t="b">
        <v>1</v>
      </c>
      <c r="T254" s="5818" t="s">
        <v>2129</v>
      </c>
      <c r="U254" s="5818"/>
      <c r="V254" s="863"/>
      <c r="W254" s="5814">
        <v>0</v>
      </c>
      <c r="X254" s="5814" t="b">
        <v>1</v>
      </c>
      <c r="Y254" s="5814"/>
      <c r="Z254" s="5814"/>
      <c r="AA254" s="5814"/>
      <c r="AB254" s="5814" t="s">
        <v>2129</v>
      </c>
      <c r="AC254" s="5814"/>
      <c r="AD254" s="5814"/>
      <c r="AF254" s="5820">
        <v>300</v>
      </c>
      <c r="AG254" s="5820" t="b">
        <v>1</v>
      </c>
      <c r="AI254" s="5815" t="s">
        <v>2129</v>
      </c>
      <c r="AJ254" s="5815" t="s">
        <v>2129</v>
      </c>
      <c r="AL254" s="5815" t="s">
        <v>2129</v>
      </c>
      <c r="AM254" s="5815" t="s">
        <v>2129</v>
      </c>
      <c r="AN254" s="5815" t="s">
        <v>2129</v>
      </c>
      <c r="AQ254" s="5815" t="s">
        <v>2129</v>
      </c>
      <c r="AV254" s="5815" t="s">
        <v>2129</v>
      </c>
      <c r="AW254" s="5815" t="s">
        <v>2129</v>
      </c>
      <c r="AX254" s="5815" t="s">
        <v>2129</v>
      </c>
      <c r="AY254" s="5815" t="s">
        <v>2129</v>
      </c>
      <c r="AZ254" s="5815" t="s">
        <v>2129</v>
      </c>
      <c r="BA254" s="5815" t="s">
        <v>2129</v>
      </c>
      <c r="BB254" s="5815" t="s">
        <v>2129</v>
      </c>
      <c r="BC254" s="5815" t="s">
        <v>2129</v>
      </c>
      <c r="BD254" s="5815" t="s">
        <v>2129</v>
      </c>
      <c r="BE254" s="5815" t="s">
        <v>2129</v>
      </c>
      <c r="BF254" s="5815" t="s">
        <v>2129</v>
      </c>
      <c r="BG254" s="5815" t="s">
        <v>2129</v>
      </c>
      <c r="BH254" s="5814" t="s">
        <v>2129</v>
      </c>
      <c r="BJ254" s="5814" t="s">
        <v>2129</v>
      </c>
      <c r="BK254" s="5814" t="s">
        <v>2129</v>
      </c>
      <c r="BL254" s="5814" t="s">
        <v>2129</v>
      </c>
      <c r="BM254" s="5814" t="s">
        <v>2129</v>
      </c>
      <c r="BN254" s="5814" t="s">
        <v>2129</v>
      </c>
      <c r="BO254" s="5814" t="s">
        <v>2129</v>
      </c>
      <c r="BP254" s="5814" t="s">
        <v>2129</v>
      </c>
      <c r="BQ254" s="5814" t="s">
        <v>2129</v>
      </c>
      <c r="BR254" s="5814" t="s">
        <v>2129</v>
      </c>
      <c r="BS254" s="5814" t="s">
        <v>2129</v>
      </c>
      <c r="BT254" s="5814" t="s">
        <v>2129</v>
      </c>
      <c r="BU254" s="5814" t="s">
        <v>2129</v>
      </c>
      <c r="BV254" s="5814" t="s">
        <v>2129</v>
      </c>
      <c r="BW254" s="5814" t="s">
        <v>2129</v>
      </c>
      <c r="BX254" s="5814" t="s">
        <v>2129</v>
      </c>
      <c r="BY254" s="5814" t="s">
        <v>2129</v>
      </c>
      <c r="BZ254" s="5814" t="s">
        <v>2129</v>
      </c>
      <c r="CA254" s="5814" t="s">
        <v>2129</v>
      </c>
      <c r="CB254" s="5814"/>
      <c r="CC254" s="5814" t="s">
        <v>2129</v>
      </c>
      <c r="CD254" s="5814" t="s">
        <v>2129</v>
      </c>
      <c r="CE254" s="5814" t="s">
        <v>2129</v>
      </c>
      <c r="CF254" s="5814" t="s">
        <v>2129</v>
      </c>
      <c r="CG254" s="5814"/>
      <c r="CH254" s="5817"/>
    </row>
    <row r="255" spans="1:86" s="5815" customFormat="1" ht="13" hidden="1">
      <c r="A255" s="5815" t="s">
        <v>3453</v>
      </c>
      <c r="B255" s="5816" t="s">
        <v>3462</v>
      </c>
      <c r="C255" s="5817" t="s">
        <v>2129</v>
      </c>
      <c r="D255" s="5817" t="s">
        <v>2129</v>
      </c>
      <c r="E255" s="5817"/>
      <c r="F255" s="5817" t="s">
        <v>2129</v>
      </c>
      <c r="G255" s="5817"/>
      <c r="H255" s="5817"/>
      <c r="I255" s="5817"/>
      <c r="J255" s="5817" t="b">
        <v>1</v>
      </c>
      <c r="K255" s="5817" t="s">
        <v>2129</v>
      </c>
      <c r="L255" s="5818"/>
      <c r="M255" s="5818"/>
      <c r="N255" s="5818"/>
      <c r="O255" s="5818"/>
      <c r="P255" s="5818"/>
      <c r="Q255" s="5819"/>
      <c r="R255" s="5818"/>
      <c r="S255" s="5818" t="b">
        <v>1</v>
      </c>
      <c r="T255" s="5818" t="s">
        <v>2129</v>
      </c>
      <c r="U255" s="5818"/>
      <c r="V255" s="863"/>
      <c r="W255" s="5814">
        <v>0</v>
      </c>
      <c r="X255" s="5814" t="b">
        <v>1</v>
      </c>
      <c r="Y255" s="5814"/>
      <c r="Z255" s="5814"/>
      <c r="AA255" s="5814"/>
      <c r="AB255" s="5814" t="s">
        <v>2129</v>
      </c>
      <c r="AC255" s="5814"/>
      <c r="AD255" s="5814"/>
      <c r="AF255" s="5820"/>
      <c r="AG255" s="5820" t="b">
        <v>1</v>
      </c>
      <c r="AI255" s="5815" t="s">
        <v>2129</v>
      </c>
      <c r="AJ255" s="5815" t="s">
        <v>2129</v>
      </c>
      <c r="AL255" s="5815" t="s">
        <v>2129</v>
      </c>
      <c r="AM255" s="5815" t="s">
        <v>2129</v>
      </c>
      <c r="AN255" s="5815" t="s">
        <v>2129</v>
      </c>
      <c r="AQ255" s="5815" t="s">
        <v>2129</v>
      </c>
      <c r="AV255" s="5815" t="s">
        <v>2129</v>
      </c>
      <c r="AW255" s="5815" t="s">
        <v>2129</v>
      </c>
      <c r="AX255" s="5815" t="s">
        <v>2129</v>
      </c>
      <c r="AY255" s="5815" t="s">
        <v>2129</v>
      </c>
      <c r="AZ255" s="5815" t="s">
        <v>2129</v>
      </c>
      <c r="BA255" s="5815" t="s">
        <v>2129</v>
      </c>
      <c r="BB255" s="5815" t="s">
        <v>2129</v>
      </c>
      <c r="BC255" s="5815" t="s">
        <v>2129</v>
      </c>
      <c r="BD255" s="5815" t="s">
        <v>2129</v>
      </c>
      <c r="BE255" s="5815" t="s">
        <v>2129</v>
      </c>
      <c r="BF255" s="5815" t="s">
        <v>2129</v>
      </c>
      <c r="BG255" s="5815" t="s">
        <v>2129</v>
      </c>
      <c r="BH255" s="5814" t="s">
        <v>2129</v>
      </c>
      <c r="BJ255" s="5814" t="s">
        <v>2129</v>
      </c>
      <c r="BK255" s="5814" t="s">
        <v>2129</v>
      </c>
      <c r="BL255" s="5814" t="s">
        <v>2129</v>
      </c>
      <c r="BM255" s="5814" t="s">
        <v>2129</v>
      </c>
      <c r="BN255" s="5814" t="s">
        <v>2129</v>
      </c>
      <c r="BO255" s="5814" t="s">
        <v>2129</v>
      </c>
      <c r="BP255" s="5814" t="s">
        <v>2129</v>
      </c>
      <c r="BQ255" s="5814" t="s">
        <v>2129</v>
      </c>
      <c r="BR255" s="5814" t="s">
        <v>2129</v>
      </c>
      <c r="BS255" s="5814" t="s">
        <v>2129</v>
      </c>
      <c r="BT255" s="5814" t="s">
        <v>2129</v>
      </c>
      <c r="BU255" s="5814" t="s">
        <v>2129</v>
      </c>
      <c r="BV255" s="5814" t="s">
        <v>2129</v>
      </c>
      <c r="BW255" s="5814" t="s">
        <v>2129</v>
      </c>
      <c r="BX255" s="5814" t="s">
        <v>2129</v>
      </c>
      <c r="BY255" s="5814" t="s">
        <v>2129</v>
      </c>
      <c r="BZ255" s="5814" t="s">
        <v>2129</v>
      </c>
      <c r="CA255" s="5814" t="s">
        <v>2129</v>
      </c>
      <c r="CB255" s="5814"/>
      <c r="CC255" s="5814" t="s">
        <v>2129</v>
      </c>
      <c r="CD255" s="5814" t="s">
        <v>2129</v>
      </c>
      <c r="CE255" s="5814" t="s">
        <v>2129</v>
      </c>
      <c r="CF255" s="5814" t="s">
        <v>2129</v>
      </c>
      <c r="CG255" s="5814"/>
      <c r="CH255" s="5817"/>
    </row>
    <row r="256" spans="1:86" s="5815" customFormat="1" ht="13" hidden="1">
      <c r="A256" s="5815" t="s">
        <v>3453</v>
      </c>
      <c r="B256" s="5816" t="s">
        <v>3463</v>
      </c>
      <c r="C256" s="5817" t="s">
        <v>2129</v>
      </c>
      <c r="D256" s="5817" t="s">
        <v>2129</v>
      </c>
      <c r="E256" s="5817"/>
      <c r="F256" s="5817" t="s">
        <v>2129</v>
      </c>
      <c r="G256" s="5817"/>
      <c r="H256" s="5817"/>
      <c r="I256" s="5817">
        <v>0</v>
      </c>
      <c r="J256" s="5817" t="b">
        <v>1</v>
      </c>
      <c r="K256" s="5817" t="s">
        <v>2129</v>
      </c>
      <c r="L256" s="5818">
        <v>0</v>
      </c>
      <c r="M256" s="5818">
        <v>0</v>
      </c>
      <c r="N256" s="5818">
        <v>0</v>
      </c>
      <c r="O256" s="5818">
        <v>0</v>
      </c>
      <c r="P256" s="5818">
        <v>0</v>
      </c>
      <c r="Q256" s="5819"/>
      <c r="R256" s="5818">
        <v>0</v>
      </c>
      <c r="S256" s="5818" t="b">
        <v>1</v>
      </c>
      <c r="T256" s="5818" t="s">
        <v>2129</v>
      </c>
      <c r="U256" s="5818"/>
      <c r="V256" s="863"/>
      <c r="W256" s="5814">
        <v>0</v>
      </c>
      <c r="X256" s="5814" t="b">
        <v>1</v>
      </c>
      <c r="Y256" s="5814"/>
      <c r="Z256" s="5814"/>
      <c r="AA256" s="5814"/>
      <c r="AB256" s="5814" t="s">
        <v>2129</v>
      </c>
      <c r="AC256" s="5814"/>
      <c r="AD256" s="5814"/>
      <c r="AG256" s="5815" t="b">
        <v>1</v>
      </c>
      <c r="AI256" s="5815" t="s">
        <v>2129</v>
      </c>
      <c r="AJ256" s="5815" t="s">
        <v>2129</v>
      </c>
      <c r="AL256" s="5815" t="s">
        <v>2129</v>
      </c>
      <c r="AM256" s="5815" t="s">
        <v>2129</v>
      </c>
      <c r="AN256" s="5815" t="s">
        <v>2129</v>
      </c>
      <c r="AQ256" s="5815" t="s">
        <v>2129</v>
      </c>
      <c r="AV256" s="5815" t="s">
        <v>2129</v>
      </c>
      <c r="AW256" s="5815" t="s">
        <v>2129</v>
      </c>
      <c r="AX256" s="5815" t="s">
        <v>2129</v>
      </c>
      <c r="AY256" s="5815" t="s">
        <v>2129</v>
      </c>
      <c r="AZ256" s="5815" t="s">
        <v>2129</v>
      </c>
      <c r="BA256" s="5815" t="s">
        <v>2129</v>
      </c>
      <c r="BB256" s="5815" t="s">
        <v>2129</v>
      </c>
      <c r="BC256" s="5815" t="s">
        <v>2129</v>
      </c>
      <c r="BD256" s="5815" t="s">
        <v>2129</v>
      </c>
      <c r="BE256" s="5815" t="s">
        <v>2129</v>
      </c>
      <c r="BF256" s="5815" t="s">
        <v>2129</v>
      </c>
      <c r="BG256" s="5815" t="s">
        <v>2129</v>
      </c>
      <c r="BH256" s="5814" t="s">
        <v>2129</v>
      </c>
      <c r="BJ256" s="5814" t="s">
        <v>2129</v>
      </c>
      <c r="BK256" s="5814" t="s">
        <v>2129</v>
      </c>
      <c r="BL256" s="5814" t="s">
        <v>2129</v>
      </c>
      <c r="BM256" s="5814" t="s">
        <v>2129</v>
      </c>
      <c r="BN256" s="5814" t="s">
        <v>2129</v>
      </c>
      <c r="BO256" s="5814" t="s">
        <v>2129</v>
      </c>
      <c r="BP256" s="5814" t="s">
        <v>2129</v>
      </c>
      <c r="BQ256" s="5814" t="s">
        <v>2129</v>
      </c>
      <c r="BR256" s="5814" t="s">
        <v>2129</v>
      </c>
      <c r="BS256" s="5814" t="s">
        <v>2129</v>
      </c>
      <c r="BT256" s="5814" t="s">
        <v>2129</v>
      </c>
      <c r="BU256" s="5814" t="s">
        <v>2129</v>
      </c>
      <c r="BV256" s="5814" t="s">
        <v>2129</v>
      </c>
      <c r="BW256" s="5814" t="s">
        <v>2129</v>
      </c>
      <c r="BX256" s="5814" t="s">
        <v>2129</v>
      </c>
      <c r="BY256" s="5814" t="s">
        <v>2129</v>
      </c>
      <c r="BZ256" s="5814" t="s">
        <v>2129</v>
      </c>
      <c r="CA256" s="5814" t="s">
        <v>2129</v>
      </c>
      <c r="CB256" s="5814"/>
      <c r="CC256" s="5814" t="s">
        <v>2129</v>
      </c>
      <c r="CD256" s="5814" t="s">
        <v>2129</v>
      </c>
      <c r="CE256" s="5814" t="s">
        <v>2129</v>
      </c>
      <c r="CF256" s="5814" t="s">
        <v>2129</v>
      </c>
      <c r="CG256" s="5814"/>
      <c r="CH256" s="5817"/>
    </row>
    <row r="257" spans="2:86" s="2696" customFormat="1" ht="13.5" hidden="1" customHeight="1">
      <c r="B257" s="2696" t="s">
        <v>127</v>
      </c>
      <c r="C257" s="2697"/>
      <c r="D257" s="2697"/>
      <c r="E257" s="2697"/>
      <c r="F257" s="2697"/>
      <c r="G257" s="2697"/>
      <c r="H257" s="2697"/>
      <c r="I257" s="2697"/>
      <c r="J257" s="2697"/>
      <c r="K257" s="2753">
        <v>139</v>
      </c>
      <c r="L257" s="2698"/>
      <c r="M257" s="2698"/>
      <c r="N257" s="2698"/>
      <c r="O257" s="2698"/>
      <c r="P257" s="2698"/>
      <c r="Q257" s="2699"/>
      <c r="R257" s="2698"/>
      <c r="S257" s="2698"/>
      <c r="T257" s="2698"/>
      <c r="U257" s="2698"/>
      <c r="V257" s="863"/>
      <c r="W257" s="2700"/>
      <c r="X257" s="2700"/>
      <c r="Y257" s="2700"/>
      <c r="Z257" s="2700"/>
      <c r="AA257" s="2700"/>
      <c r="AB257" s="2700"/>
      <c r="AC257" s="2700"/>
      <c r="AD257" s="2700"/>
      <c r="AE257" s="2700"/>
      <c r="BH257" s="2700">
        <v>3042691395</v>
      </c>
      <c r="BI257" s="2700">
        <v>5506126875</v>
      </c>
      <c r="BJ257" s="2700">
        <v>3379277619.4275527</v>
      </c>
      <c r="BK257" s="2700">
        <v>2080882425.4238429</v>
      </c>
      <c r="BL257" s="2700">
        <v>2448924768.7822442</v>
      </c>
      <c r="BM257" s="2700">
        <v>719947332</v>
      </c>
      <c r="BN257" s="2700">
        <v>593701950.09868622</v>
      </c>
      <c r="BO257" s="2700">
        <v>130072714.04830918</v>
      </c>
      <c r="BP257" s="2700">
        <v>5404529372.9522943</v>
      </c>
      <c r="BQ257" s="2700">
        <v>5404529372.9522943</v>
      </c>
      <c r="BR257" s="2700">
        <v>784511087.65375853</v>
      </c>
      <c r="BS257" s="2700">
        <v>118991015</v>
      </c>
      <c r="BT257" s="2700">
        <v>541238089.38434672</v>
      </c>
      <c r="BU257" s="2700">
        <v>832732970.40405285</v>
      </c>
      <c r="BV257" s="2700">
        <v>194576630.76641858</v>
      </c>
      <c r="BW257" s="2700">
        <v>48264462.264274493</v>
      </c>
      <c r="BX257" s="2700">
        <v>858587762</v>
      </c>
      <c r="BY257" s="2700">
        <v>1733045690</v>
      </c>
      <c r="BZ257" s="2700">
        <v>2719647871</v>
      </c>
      <c r="CA257" s="2700">
        <v>417750228</v>
      </c>
      <c r="CB257" s="2700"/>
      <c r="CC257" s="2700">
        <v>2383378452</v>
      </c>
      <c r="CD257" s="2700">
        <v>2383378452</v>
      </c>
      <c r="CE257" s="2700">
        <v>526117761</v>
      </c>
      <c r="CF257" s="2700">
        <v>19984542</v>
      </c>
      <c r="CG257" s="2700"/>
      <c r="CH257" s="2697"/>
    </row>
    <row r="258" spans="2:86" ht="13.5" customHeight="1">
      <c r="BQ258" s="863"/>
      <c r="BR258" s="863"/>
    </row>
    <row r="259" spans="2:86" ht="13.5" customHeight="1">
      <c r="BQ259" s="863"/>
      <c r="BR259" s="863"/>
    </row>
    <row r="260" spans="2:86" ht="33" customHeight="1"/>
  </sheetData>
  <autoFilter ref="A1:CI257" xr:uid="{8DEFF6DE-2D06-41DE-B70D-3F3588FC768F}">
    <filterColumn colId="2">
      <filters>
        <filter val="選手（修正案）"/>
      </filters>
    </filterColumn>
  </autoFilter>
  <phoneticPr fontId="2"/>
  <hyperlinks>
    <hyperlink ref="B2" location="'0001_アパホテル&lt;尾張一宮駅&gt;'!A1" display="0001_アパホテル&lt;尾張一宮駅&gt;" xr:uid="{E4B8E2BB-FDCD-44E9-8809-502AEFB355CC}"/>
    <hyperlink ref="B3" location="'0002_東横INN名古屋尾張一宮駅前'!A1" display="0002_東横INN名古屋尾張一宮駅前" xr:uid="{920C3EE7-FCF3-4037-8BF8-F9475C636A36}"/>
    <hyperlink ref="B4" location="'0004_ホテルルートイン一宮駅前'!A1" display="0004_ホテルルートイン一宮駅前" xr:uid="{80232F06-8BD0-4BC9-8B39-2A04B40105A0}"/>
    <hyperlink ref="B5" location="'0007_一宮グリーンホテル'!A1" display="0007_一宮グリーンホテル" xr:uid="{7483D7C6-9F3D-4FD5-83B8-AD139998B15F}"/>
    <hyperlink ref="B6" location="'008_ホテルプラザ勝川'!A1" display="008_ホテルプラザ勝川" xr:uid="{DFE496FE-BC70-4B0C-806A-BF2E8FEB7801}"/>
    <hyperlink ref="B7" location="'0010_春日井中央ホテル'!A1" display="0010_春日井中央ホテル" xr:uid="{BFFB1BE2-B039-49BF-B4D7-744AB8C22FBF}"/>
    <hyperlink ref="B8" location="'0012_ルートイングランティア小牧'!Print_Area" display="0012_ルートイングランティア小牧" xr:uid="{FEC4907D-D127-4538-BC62-97D1605E49A8}"/>
    <hyperlink ref="B9" location="'0015_名鉄小牧ホテル'!A1" display="0015_名鉄小牧ホテル" xr:uid="{BBB06B91-F414-434C-ABBD-261FB9819657}"/>
    <hyperlink ref="B10" location="'0020_あいち健康の森　健康科学総合センター'!A1" display="0020_あいち健康の森　健康科学総合センター" xr:uid="{AADCDB80-97E7-4158-AAC4-B4F4252705D9}"/>
    <hyperlink ref="B11" location="'0021_公立学校共済組合　名古屋宿泊所　ホテルルブラ王山'!A1" display="0021_公立学校共済組合　名古屋宿泊所　ホテルルブラ王山" xr:uid="{3A16503F-4F4F-47D7-878A-B96CCE5DE3D0}"/>
    <hyperlink ref="B12" location="'0022_ホテルルートイン　名古屋今池駅前'!A1" display="0022_ホテルルートイン　名古屋今池駅前" xr:uid="{FAF9083C-A570-42C2-BF01-6173CE2D96BF}"/>
    <hyperlink ref="B13" location="'0024_ホテルメルパルク名古屋'!A1" display="0024_ホテルメルパルク名古屋" xr:uid="{76C37484-70CA-4907-9D24-1481C0D6CF1B}"/>
    <hyperlink ref="B14" location="'0026_名鉄イン名古屋駅前'!A1" display="0026_名鉄イン名古屋駅前" xr:uid="{FBCA0500-A2C5-4F9F-96E5-FAEFAB2FF370}"/>
    <hyperlink ref="B15" location="'0027_HOTEL LiVEMAX名古屋桜通口'!A1" display="0027_HOTEL LiVEMAX名古屋桜通口" xr:uid="{6645EAC4-C00E-4FC0-94D4-77300C37420A}"/>
    <hyperlink ref="B17" location="'0034_サイプレスホテル名古屋駅前'!A1" display="0034_サイプレスホテル名古屋駅前" xr:uid="{02BA105B-CF66-42F1-B7FD-8DC61C459A8B}"/>
    <hyperlink ref="B18" location="'0038_東横INN名古屋駅桜通口本館'!A1" display="0038_東横INN名古屋駅桜通口本館" xr:uid="{EB4EC7CB-FF40-41F4-BBF6-64EE4A11EA49}"/>
    <hyperlink ref="B19" location="'0039_ザサイプレスメルキュールホテル名古屋'!A1" display="0039_ザサイプレスメルキュールホテル名古屋" xr:uid="{6CBE96D0-888A-459A-8208-C5D41AE88BF8}"/>
    <hyperlink ref="B20" location="'0040_名古屋マリオットアソシアホテル'!A1" display="0040_名古屋マリオットアソシアホテル" xr:uid="{DD95E35E-9C93-4406-B660-4154611EA678}"/>
    <hyperlink ref="B21" location="'0041_三交イン名古屋新幹線口'!A1" display="0041_三交イン名古屋新幹線口" xr:uid="{6356B7B5-4888-481F-A756-9AC27BBC6C5D}"/>
    <hyperlink ref="B22" location="'0042_スーパーホテル名古屋駅前'!A1" display="0042_スーパーホテル名古屋駅前" xr:uid="{CF3E5F97-786B-4EC6-B06F-A87C39254AEB}"/>
    <hyperlink ref="B23" location="'0043_チサンイン名古屋'!A1" display="0043_チサンイン名古屋" xr:uid="{035E5122-C059-4C8C-9357-6253369BDA32}"/>
    <hyperlink ref="B24" location="'0044_ホテルパレス名古屋'!A1" display="0044_ホテルパレス名古屋" xr:uid="{0B7546F6-EA0F-465F-B069-585CE4BE6A87}"/>
    <hyperlink ref="B27" location="'0047_東横INN名古屋駅新幹線口'!A1" display="0047_東横INN名古屋駅新幹線口" xr:uid="{608E5427-BE11-41BA-A9C7-511F20D7C1B5}"/>
    <hyperlink ref="B28" location="'0049_名鉄グランドホテル'!A1" display="0049_名鉄グランドホテル" xr:uid="{4190BCE5-EA17-45D2-8B6E-964E9CE4271A}"/>
    <hyperlink ref="B29" location="'0050_ダイワロイネットホテル名古屋駅前'!A1" display="0050_ダイワロイネットホテル名古屋駅前" xr:uid="{36E8BF31-6AFD-45AB-8642-DB48DBDB258B}"/>
    <hyperlink ref="B30" location="'0051_ダイワロイネットホテル名古屋新幹線口'!A1" display="0051_ダイワロイネットホテル名古屋新幹線口" xr:uid="{4FD881D2-62DF-4704-B0E7-BCEBCC1B2E65}"/>
    <hyperlink ref="B31" location="'0052_名鉄イン名古屋桜通'!A1" display="0052_名鉄イン名古屋桜通" xr:uid="{0D5A62F0-9565-4014-A356-39DE5FE31D86}"/>
    <hyperlink ref="B32" location="'0053_ヴィアイン名古屋新幹線口'!A1" display="0053_ヴィアイン名古屋新幹線口" xr:uid="{0B02C30C-7CF2-4911-9456-E5FB93263B3C}"/>
    <hyperlink ref="B33" location="'0054_ザロイヤルパークキャンバス名古屋'!A1" display="0054_ザロイヤルパークキャンバス名古屋" xr:uid="{B5F72324-2D4C-4059-8242-6C196C634794}"/>
    <hyperlink ref="B34" location="'0055_ホテルリソル名古屋'!A1" display="0055_ホテルリソル名古屋" xr:uid="{DE641BFB-5F32-4207-BFF7-E8B3CCB89A7B}"/>
    <hyperlink ref="B35" location="'0056_ストリングスホテル 名古屋'!A1" display="0056_ストリングスホテル 名古屋" xr:uid="{0067834B-753A-4604-BE46-E95650E186EE}"/>
    <hyperlink ref="B36" location="'0057_リッチモンドホテル名古屋新幹線口'!A1" display="0057_リッチモンドホテル名古屋新幹線口" xr:uid="{57D4F8E9-C5AE-4BA1-AFBA-EB8BCC5BBBA3}"/>
    <hyperlink ref="B38" location="'0059_三井ガーデンホテル名古屋プレミア'!A1" display="0059_三井ガーデンホテル名古屋プレミア" xr:uid="{7ADD8726-9AA2-4F22-AE1C-2FE079C5FDBD}"/>
    <hyperlink ref="B39" location="'0060_ダイワロイネットホテル名古屋太閤通口'!A1" display="0060_ダイワロイネットホテル名古屋太閤通口" xr:uid="{52962A3B-258E-41E4-9EBC-9232DFF5A950}"/>
    <hyperlink ref="B40" location="'0061_名鉄イン名古屋駅新幹線口'!A1" display="0061_名鉄イン名古屋駅新幹線口" xr:uid="{92FC4062-5005-4BE2-9DB0-B1EC9EC1E132}"/>
    <hyperlink ref="B41" location="'0062_名古屋JRゲートタワーホテル'!A1" display="0062_名古屋JRゲートタワーホテル" xr:uid="{5F532B78-15E4-4B6C-826C-D7E0573D2323}"/>
    <hyperlink ref="B42" location="'0063_HOTEL LiVEMAX名駅'!A1" display="0063_HOTEL LiVEMAX名駅" xr:uid="{C431060C-65AC-4B05-B419-62255D089FC7}"/>
    <hyperlink ref="B43" location="'0064_名古屋プリンスホテルスカイタワー'!A1" display="0064_名古屋プリンスホテルスカイタワー" xr:uid="{4A216633-9868-4FDD-83E1-F488E8BF6095}"/>
    <hyperlink ref="B44" location="'0065_くれたけインプレミアム名古屋納屋橋'!A1" display="0065_くれたけインプレミアム名古屋納屋橋" xr:uid="{EC692A2F-74B7-4430-91DC-5E6A67C46A3D}"/>
    <hyperlink ref="B45" location="'0066_三交イン名古屋新幹線口ANNEX'!A1" display="0066_三交イン名古屋新幹線口ANNEX" xr:uid="{E487F1B2-BF1A-4F9C-8861-73D335ADF9E6}"/>
    <hyperlink ref="B46" location="'0067_東横INN名駅南'!A1" display="0067_東横INN名駅南" xr:uid="{ED8C1DAA-9023-4973-854F-D7761682C769}"/>
    <hyperlink ref="B47" location="'0068_HOTELLiVEMAXBUDGET名古屋太閤通口'!A1" display="0068_HOTELLiVEMAXBUDGET名古屋太閤通口" xr:uid="{2D06A1E9-DEB0-408D-B9E9-C81FA4E0FAAF}"/>
    <hyperlink ref="B48" location="'0069_ヴィアイン名古屋駅前椿町'!A1" display="0069_ヴィアイン名古屋駅前椿町" xr:uid="{F943890A-741D-45A9-9BEB-3ABB896AE541}"/>
    <hyperlink ref="B49" location="'0070_ベッセルホテルカンパーナ名古屋'!A1" display="0070_ベッセルホテルカンパーナ名古屋" xr:uid="{2F0562AD-1977-45FB-B445-9A259DF4A497}"/>
    <hyperlink ref="B50" location="'0071_アットインホテル名古屋駅'!A1" display="0071_アットインホテル名古屋駅" xr:uid="{370E2949-7CBB-43BF-B878-5C8AEEFA1422}"/>
    <hyperlink ref="B51" location="'0073_Hamilton Hotel-BLUE-名駅南'!A1" display="0073_Hamilton Hotel-BLUE-名駅南" xr:uid="{7689A10A-F27B-4B68-972B-B5E73277647C}"/>
    <hyperlink ref="B52" location="'0074_スマイルホテル名古屋新幹線口'!A1" display="0074_スマイルホテル名古屋新幹線口" xr:uid="{B32514ED-5E95-48F6-A1BA-445DB1491187}"/>
    <hyperlink ref="B53" location="'0075_R&amp;Bホテル名古屋新幹線口'!A1" display="0075_R&amp;Bホテル名古屋新幹線口" xr:uid="{79CD929D-261C-4D66-B43D-5116E11A8E59}"/>
    <hyperlink ref="B54" location="'0076_コンフォートホテル名古屋新幹線口'!A1" display="0076_コンフォートホテル名古屋新幹線口" xr:uid="{C3C383F9-D8E0-41E6-94DA-95194628C90A}"/>
    <hyperlink ref="B55" location="'0077_相鉄フレッサイン名古屋駅桜通口'!A1" display="0077_相鉄フレッサイン名古屋駅桜通口" xr:uid="{1C39EF27-16DB-4047-867C-33A63FA029E8}"/>
    <hyperlink ref="B56" location="'0078_三交インGrande名古屋-HOTEL＆SPA-'!A1" display="0078_三交インGrande名古屋-HOTEL＆SPA-" xr:uid="{E25F4DB2-8116-4482-8A41-74EFAAF2A98C}"/>
    <hyperlink ref="B57" location="'0079_ニッコースタイル名古屋'!A1" display="0079_ニッコースタイル名古屋" xr:uid="{2198A3B9-4BFB-4F78-AB81-ED5B3AF82DCE}"/>
    <hyperlink ref="B58" location="'0080_アパホテル&lt;名古屋駅新幹線口北&gt;'!A1" display="0080_アパホテル&lt;名古屋駅新幹線口北&gt;" xr:uid="{F7F38C46-D527-426A-9BF9-53DE752D2576}"/>
    <hyperlink ref="B59" location="'0081_イビススタイルズ名古屋'!A1" display="0081_イビススタイルズ名古屋" xr:uid="{FFB21DBA-5725-4665-85EE-2D9D9F4ACF84}"/>
    <hyperlink ref="B60" location="'0082_アパホテル&lt;名古屋駅新幹線口南&gt;'!A1" display="0082_アパホテル&lt;名古屋駅新幹線口南&gt;" xr:uid="{A40CD03C-4B73-4957-88F8-7B00CC832032}"/>
    <hyperlink ref="B61" location="'0083_R&amp;Bホテル名古屋駅前'!A1" display="0083_R&amp;Bホテル名古屋駅前" xr:uid="{CFAA1F74-446E-44C3-83B2-076B02E243F4}"/>
    <hyperlink ref="B62" location="'0084_コンフォートホテル名古屋名駅南'!A1" display="0084_コンフォートホテル名古屋名駅南" xr:uid="{2AEA5509-EBD7-4BE2-82CF-DC5B614A15AD}"/>
    <hyperlink ref="B63" location="'0090_名古屋観光ホテル'!A1" display="0090_名古屋観光ホテル" xr:uid="{D36B80F9-BB09-4CBE-91C5-40007BEB6356}"/>
    <hyperlink ref="B64" location="'0092_国家公務員共済組合連合会名古屋共済会館'!A1" display="0092_国家公務員共済組合連合会名古屋共済会館" xr:uid="{5EDAAE74-5D6F-4D7C-8C56-D005601F1E64}"/>
    <hyperlink ref="B65" location="'0093_都心の天然温泉名古屋クラウンホテル'!A1" display="0093_都心の天然温泉名古屋クラウンホテル" xr:uid="{5F9CED8E-7510-419F-ACCD-790526F2EFFD}"/>
    <hyperlink ref="B66" location="'0094_ヒルトン名古屋'!A1" display="0094_ヒルトン名古屋" xr:uid="{7C2B3C06-5C6A-45E8-A167-86FCDD40922A}"/>
    <hyperlink ref="B67" location="'0096_アイリス愛知'!A1" display="0096_アイリス愛知" xr:uid="{05E8A8E2-ED37-40E3-8E3F-8A6D38142ED4}"/>
    <hyperlink ref="B68" location="'0099_名古屋ガーデンパレス'!A1" display="0099_名古屋ガーデンパレス" xr:uid="{75A4CB6F-F64D-4441-9B90-4A7CE61DD2CB}"/>
    <hyperlink ref="B69" location="'0101_東京第一ホテル錦'!A1" display="0101_東京第一ホテル錦" xr:uid="{AC5B80E0-AFAB-44B5-9B61-A41EFC0A13C0}"/>
    <hyperlink ref="B70" location="'0105_ANAクラウンプラザホテルグランコート名古屋'!A1" display="0105_ANAクラウンプラザホテルグランコート名古屋" xr:uid="{17CD5F17-9135-436A-8C91-B467D73B2B83}"/>
    <hyperlink ref="B72" location="'0114_リッチモンドホテル名古屋納屋橋'!A1" display="0114_リッチモンドホテル名古屋納屋橋" xr:uid="{D9D05851-F448-421B-9A75-685BCC49434F}"/>
    <hyperlink ref="B73" location="'0115_ザ・ビー名古屋'!A1" display="0115_ザ・ビー名古屋" xr:uid="{3419BECC-B0F0-4C15-8FA1-EE36CA6E7511}"/>
    <hyperlink ref="B74" location="'0117_ホテルウィングインターナショナル名古屋'!A1" display="0117_ホテルウィングインターナショナル名古屋" xr:uid="{2E820E41-59A8-4B36-94EE-3A9A5EB61E0B}"/>
    <hyperlink ref="B75" location="'0121_名古屋東急ホテル'!A1" display="0121_名古屋東急ホテル" xr:uid="{38F26E8A-A123-4791-98D5-DF54FAB720B0}"/>
    <hyperlink ref="B76" location="'0127_名古屋クレストンホテル'!A1" display="0127_名古屋クレストンホテル" xr:uid="{E2559526-8CEA-4E03-A206-8C97F624164F}"/>
    <hyperlink ref="B77" location="'0130_ホテル シルク・トゥリー名古屋'!A1" display="0130_ホテル シルク・トゥリー名古屋" xr:uid="{BA773EEA-0398-464B-A8C9-254FC0492C52}"/>
    <hyperlink ref="B78" location="'0133_アパホテル＜名古屋栄＞'!A1" display="0133_アパホテル＜名古屋栄＞" xr:uid="{35E2C18D-36B1-4AC1-A800-AF2AF47303D7}"/>
    <hyperlink ref="B79" location="'0139_ドーミーインPREMIUM名古屋栄'!A1" display="0139_ドーミーインPREMIUM名古屋栄" xr:uid="{E4559747-622A-4889-98F2-58F05570F831}"/>
    <hyperlink ref="B81" location="'0141_プリンセスガーデンホテル'!A1" display="0141_プリンセスガーデンホテル" xr:uid="{C6D99C18-51DD-4E10-873C-13A6321BB9D4}"/>
    <hyperlink ref="B82" location="'0146_ホテルビスタ名古屋〔錦〕 '!A1" display="0146_ホテルビスタ名古屋〔錦〕 " xr:uid="{7688FF65-EDB2-4C51-8443-0A0597BE4025}"/>
    <hyperlink ref="B83" location="'0154_ダイワロイネットホテル名古屋納屋橋'!A1" display="0154_ダイワロイネットホテル名古屋納屋橋" xr:uid="{C6CA6332-3036-4B5A-9636-58E9783EAC3F}"/>
    <hyperlink ref="B84" location="'0158_ベッセルイン栄駅前'!A1" display="0158_ベッセルイン栄駅前" xr:uid="{D610D7EA-0231-4B3B-984A-EB9F94310C70}"/>
    <hyperlink ref="B85" location="'0159_ホテルJALシティ名古屋 錦'!A1" display="0159_ホテルJALシティ名古屋 錦" xr:uid="{43BF4468-999B-4AC7-B8FA-D6969C76B337}"/>
    <hyperlink ref="B86" location="'0160_西鉄ホテルクルーム名古屋'!A1" display="0160_西鉄ホテルクルーム名古屋" xr:uid="{25698DB2-D3C1-4173-9EA3-1DE67A4896FE}"/>
    <hyperlink ref="B87" location="'0161_ダイワロイネットホテル名古屋伏見'!A1" display="0161_ダイワロイネットホテル名古屋伏見" xr:uid="{A487F5BD-1411-4B6A-B4A7-8BF1BD6045E2}"/>
    <hyperlink ref="B88" location="'0167_グリーンリッチホテル名古屋錦'!A1" display="0167_グリーンリッチホテル名古屋錦" xr:uid="{C2B198D1-9F28-4A35-AB08-0946324923A9}"/>
    <hyperlink ref="B90" location="'0172_サイプレスガーデンホテル'!A1" display="0172_サイプレスガーデンホテル" xr:uid="{DA46A45A-D85C-4435-A063-21016B1BE1AB}"/>
    <hyperlink ref="B91" location="'0177_邦和セミナープラザ'!A1" display="0177_邦和セミナープラザ" xr:uid="{D60F1693-6639-4437-B75A-5DAA44BE4527}"/>
    <hyperlink ref="B92" location="'179_LEGOLAND Japan Hotel'!A1" display="179_LEGOLAND Japan Hotel" xr:uid="{A45D62F5-3456-40CC-9B2F-D0EBDB7B8986}"/>
    <hyperlink ref="B93" location="'180_名古屋笠寺ホテル'!A1" display="180_名古屋笠寺ホテル" xr:uid="{99F69E0F-1DF8-4064-81E4-DC79E0689916}"/>
    <hyperlink ref="B94" location="'0184_犬山セントラルホテル'!A1" display="0184_犬山セントラルホテル" xr:uid="{18EC2177-8C6D-4D3B-BBC9-6574B64E0F60}"/>
    <hyperlink ref="B95" location="'0186_ホテルユニゾ名古屋駅前'!A1" display="0186_ホテルユニゾ名古屋駅前" xr:uid="{AC2F4E14-4E53-45DD-B6EF-96412FEFF58F}"/>
    <hyperlink ref="B96" location="'188_名鉄イン刈谷'!A1" display="188_名鉄イン刈谷" xr:uid="{F9EFB786-450E-4208-9355-795D5E02067D}"/>
    <hyperlink ref="B97" location="'189_コンフォートホテル刈谷'!A1" display="189_コンフォートホテル刈谷" xr:uid="{E72DBE94-5C45-4746-BF44-B3F10B499D71}"/>
    <hyperlink ref="B98" location="'0192_パークホテル刈谷'!A1" display="0192_パークホテル刈谷" xr:uid="{A6A191AE-EE6A-4078-AC53-AD7196BAA7E0}"/>
    <hyperlink ref="B99" location="'0193_アクセスイン刈谷'!A1" display="0193_アクセスイン刈谷" xr:uid="{8290B2E2-7347-44E3-B6CB-B8AF97302E4D}"/>
    <hyperlink ref="B101" location="'0200_アットインホテル豊田市駅'!A1" display="0200_アットインホテル豊田市駅" xr:uid="{135640B5-A058-4351-9B22-4A179ED3D7A1}"/>
    <hyperlink ref="B102" location="'0201_全トヨタ労連研修センター つどいの丘'!A1" display="0201_全トヨタ労連研修センター つどいの丘" xr:uid="{8F1D5F0F-44CB-4600-8200-A55CA6AB9E5B}"/>
    <hyperlink ref="B103" location="'0206_トヨタキャッスルホテル'!A1" display="0206_トヨタキャッスルホテル" xr:uid="{25D71AAD-7AA9-4382-90F7-AC26DB359132}"/>
    <hyperlink ref="B104" location="'0207_豊田プレステージホテル'!A1" display="0207_豊田プレステージホテル" xr:uid="{096F66EC-F97D-4E3D-BAB1-BF28362BB13C}"/>
    <hyperlink ref="B105" location="'0208_東横INN豊田駅前'!A1" display="0208_東横INN豊田駅前" xr:uid="{A6E46428-7D7F-482D-B711-F1382F3B9678}"/>
    <hyperlink ref="B106" location="'0210_名鉄トヨタホテル'!A1" display="0210_名鉄トヨタホテル" xr:uid="{40A5A5BD-256B-4C64-8BEE-A2A9144F5E66}"/>
    <hyperlink ref="B107" location="'0211_ホテル松風'!A1" display="0211_ホテル松風" xr:uid="{39186B93-609A-4AAD-ACC5-A6C6935A9E36}"/>
    <hyperlink ref="B108" location="'0212_ホテルルートイン豊田陣中'!A1" display="0212_ホテルルートイン豊田陣中" xr:uid="{38514A90-BC3F-4E13-A239-5926B8E83271}"/>
    <hyperlink ref="B109" location="'0213_ホテルルートイン豊田元町'!Print_Area" display="0213_ホテルルートイン豊田元町" xr:uid="{1F95E1EE-7E68-420E-98DC-2579AE3BC2C1}"/>
    <hyperlink ref="B110" location="'0214_HOTEL LiVEMAX愛知豊田駅前'!A1" display="0214_HOTEL LiVEMAX愛知豊田駅前" xr:uid="{A65F9A73-5D57-420A-8C60-23A994E8D77A}"/>
    <hyperlink ref="B111" location="'0219_東横INN三河安城駅新幹線南口2'!A1" display="0219_東横INN三河安城駅新幹線南口2" xr:uid="{15C7123E-53C2-40F7-943D-F2FF6ECFF29D}"/>
    <hyperlink ref="B112" location="'0220_東横INN三河安城駅新幹線南口1'!A1" display="0220_東横INN三河安城駅新幹線南口1" xr:uid="{7D7864C0-C514-4164-B020-BD381366A71F}"/>
    <hyperlink ref="B113" location="'0221_ホテルグランドティアラ南名古屋'!A1" display="0221_ホテルグランドティアラ南名古屋" xr:uid="{E06E5D51-0870-4E0D-A4A9-F925F4CF7085}"/>
    <hyperlink ref="B114" location="'0222_HOTEL LiVEMAX三河安城駅前'!A1" display="0222_HOTEL LiVEMAX三河安城駅前" xr:uid="{CB7261C3-0EBC-4093-B979-E5B0D82F6241}"/>
    <hyperlink ref="B115" location="'0223_天然温泉三州の湯ドーミーインEXPRESS三河安城'!A1" display="0223_天然温泉三州の湯ドーミーインEXPRESS三河安城" xr:uid="{1470E3DF-0A84-4743-B221-9EA6FA5CEE12}"/>
    <hyperlink ref="B116" location="'0227_ホテルクラウンパレス知立'!A1" display="0227_ホテルクラウンパレス知立" xr:uid="{00FA289F-8AA1-4D68-8A76-05D317364BA1}"/>
    <hyperlink ref="B117" location="'0228_東横INN名鉄知立駅前'!A1" display="0228_東横INN名鉄知立駅前" xr:uid="{90A2DD90-39F5-4743-B97B-0DD51C24E6A3}"/>
    <hyperlink ref="B118" location="'0229_岡崎オーワホテル'!A1" display="0229_岡崎オーワホテル" xr:uid="{6708D223-7B89-47C2-8D38-7AB673D6A5B7}"/>
    <hyperlink ref="B119" location="'0231_グランドイン東岡崎'!A1" display="0231_グランドイン東岡崎" xr:uid="{F8734056-508C-4ECC-BB9B-0293EE289EF6}"/>
    <hyperlink ref="B120" location="'0232_HOTEL LiVEＭAX岡崎'!A1" display="0232_HOTEL LiVEＭAX岡崎" xr:uid="{65C698D6-FBFA-494B-8CDE-7B2540DBC5BC}"/>
    <hyperlink ref="B121" location="'0234_MyHotelOkazaKi'!A1" display="0234_MyHotelOkazaKi" xr:uid="{FC7C528F-BBC2-4287-8378-098FE4BD45D3}"/>
    <hyperlink ref="B122" location="'0238_岡崎ニューグランドホテル'!A1" display="0238_岡崎ニューグランドホテル" xr:uid="{B634481D-2673-4E69-A994-CAF3369C0FD4}"/>
    <hyperlink ref="B123" location="'0239_アクセスイン西尾'!A1" display="0239_アクセスイン西尾" xr:uid="{8AF2BD66-5620-439F-86D8-CE858588F0DE}"/>
    <hyperlink ref="B124" location="'0240_株式会社竜宮ホテル'!A1" display="0240_株式会社竜宮ホテル" xr:uid="{C3BB3B2B-61ED-4515-A60A-D2DB78FAE6BC}"/>
    <hyperlink ref="B125" location="'0241_株式会社三河湾リゾート・リンクス'!A1" display="0241_株式会社三河湾リゾート・リンクス" xr:uid="{96DFB150-5B5A-4F6D-93B7-597976172FDE}"/>
    <hyperlink ref="B126" location="'0242_吉良かん'!A1" display="0242_吉良かん" xr:uid="{2C7FBBA0-87AA-4129-ACD4-C00498F6B46D}"/>
    <hyperlink ref="B127" location="'0243_三河湾ヒルズ・ホテル'!A1" display="0243_三河湾ヒルズ・ホテル" xr:uid="{2E1259E3-9A7B-4170-829A-B5613A1A3296}"/>
    <hyperlink ref="B128" location="'0245_変なホテルラグーナテンボス'!A1" display="0245_変なホテルラグーナテンボス" xr:uid="{9FA6E3C7-19E5-4AD2-A022-09752C04F0C8}"/>
    <hyperlink ref="B129" location="'0247_株式会社鈴岡'!A1" display="0247_株式会社鈴岡" xr:uid="{13C1D7E0-C440-4947-89D8-B30A56E7F378}"/>
    <hyperlink ref="B130" location="'0249_ホテル明山荘'!A1" display="0249_ホテル明山荘" xr:uid="{741E910A-7922-416C-8694-CE249488E953}"/>
    <hyperlink ref="B131" location="'0250_松風園'!A1" display="0250_松風園" xr:uid="{DEC01416-88F1-4381-875D-A52F35FD6E8C}"/>
    <hyperlink ref="B132" location="'0251_株式会社三谷温泉ひがきホテル'!A1" display="0251_株式会社三谷温泉ひがきホテル" xr:uid="{1344A084-1A43-4B8D-BDD2-F0277535115A}"/>
    <hyperlink ref="B133" location="'0252_株式会社平野屋'!A1" display="0252_株式会社平野屋" xr:uid="{88E143B1-1915-4485-AE1E-FE87209926AC}"/>
    <hyperlink ref="B134" location="'0253_蒲郡ホテル'!A1" display="0253_蒲郡ホテル" xr:uid="{E953D3D6-BF7C-42BC-981A-FB1D502C71F7}"/>
    <hyperlink ref="B136" location="'0257_和のリゾートはづ'!A1" display="0257_和のリゾートはづ" xr:uid="{4F039FFD-7D0F-46D1-9AC1-670FDCF636A3}"/>
    <hyperlink ref="B137" location="'0260_蒲郡クラシックホテル'!A1" display="0260_蒲郡クラシックホテル" xr:uid="{05D6298E-981F-48E9-8FE4-B0466530150A}"/>
    <hyperlink ref="B138" location="'0261_ホテル竹島'!A1" display="0261_ホテル竹島" xr:uid="{A587F60D-1806-4202-809E-C0BA6DCF9A44}"/>
    <hyperlink ref="B139" location="'0269_ホテルルートイン豊川インター'!A1" display="0269_ホテルルートイン豊川インター" xr:uid="{172881AF-C203-4060-B65C-246D263CDE5C}"/>
    <hyperlink ref="B140" location="'0275_シーパレスリゾート'!A1" display="0275_シーパレスリゾート" xr:uid="{1DBD7286-B64A-4673-B743-BFBE6804A822}"/>
    <hyperlink ref="B141" location="'0278_ホテルアソシア豊橋'!A1" display="0278_ホテルアソシア豊橋" xr:uid="{F40C57C9-EA30-48BD-AE27-9AB03029DC72}"/>
    <hyperlink ref="B142" location="'0281_ロワジール豊橋'!A1" display="0281_ロワジール豊橋" xr:uid="{D180FE97-2C4D-42D2-8C15-80FB6D246D87}"/>
    <hyperlink ref="B143" location="'0282_ホテルアークリッシュ豊橋'!A1" display="0282_ホテルアークリッシュ豊橋" xr:uid="{A5D7BAAD-9B7E-4956-A777-B125A15E6CAB}"/>
    <hyperlink ref="B144" location="'0283_東横INN豊橋駅東口'!A1" display="0283_東横INN豊橋駅東口" xr:uid="{A2BED3C8-D1BC-4026-8206-FA059A5199AF}"/>
    <hyperlink ref="B145" location="'0287_コンフォートホテル豊橋'!A1" display="0287_コンフォートホテル豊橋" xr:uid="{5A035E64-C57D-4922-9C2C-975808E6420F}"/>
    <hyperlink ref="B146" location="'0288_ホテルルートイン豊橋駅前'!A1" display="0288_ホテルルートイン豊橋駅前" xr:uid="{6808D811-AB6A-44C6-B798-4440D2909E06}"/>
    <hyperlink ref="B147" location="'0290_ジャストインプレミアム豊橋駅新幹線口'!A1" display="0290_ジャストインプレミアム豊橋駅新幹線口" xr:uid="{81756438-FC22-485C-8249-5281AB257A25}"/>
    <hyperlink ref="B148" location="'0292_マーレホテル東海'!A1" display="0292_マーレホテル東海" xr:uid="{8C4BE8B3-AB1E-45D9-9CC8-7D3229BD91DE}"/>
    <hyperlink ref="B149" location="'0293_ザ・カトーホテル'!A1" display="0293_ザ・カトーホテル" xr:uid="{81B084BB-3A47-47B2-A734-5CBCBFC67398}"/>
    <hyperlink ref="B150" location="'0295_東海シティホテル'!A1" display="0295_東海シティホテル" xr:uid="{3387EB37-1038-48C3-826D-EC4643789199}"/>
    <hyperlink ref="B151" location="'0298_フォーポイントバイシェラトン名古屋中部空港'!A1" display="0298_フォーポイントバイシェラトン名古屋中部空港" xr:uid="{0F6263E3-17A1-44C7-966A-F9DBD5714A73}"/>
    <hyperlink ref="B152" location="'0299_東横INN中部国際空港2'!A1" display="0299_東横INN中部国際空港2" xr:uid="{CCE0FEF7-93AF-4078-89A6-4138C666E77D}"/>
    <hyperlink ref="B153" location="'0300_東横INN中部国際空港1'!A1" display="0300_東横INN中部国際空港1" xr:uid="{C9875037-AE5A-40A0-A7D7-C37CCB468AD0}"/>
    <hyperlink ref="B155" location="'0302_中部国際空港セントレアホテル'!A1" display="0302_中部国際空港セントレアホテル" xr:uid="{439D7358-BD6B-4B23-96F2-5D4A9EEB93B3}"/>
    <hyperlink ref="B156" location="'0303_J・HOTEL ANNEX'!A1" display="0303_J・HOTEL ANNEX" xr:uid="{7CDC47F5-F023-45A7-8FE5-06FB169C6D83}"/>
    <hyperlink ref="B157" location="'0304_J・ホテルりんくう'!A1" display="0304_J・ホテルりんくう" xr:uid="{0FAAC43F-F703-4255-BB63-E6BC8F2B55AC}"/>
    <hyperlink ref="B158" location="'0305_ホテルルートイン常滑駅前グランドアネックス'!A1" display="0305_ホテルルートイン常滑駅前グランドアネックス" xr:uid="{13BE08BF-1EE1-4634-BBF7-CCB6BBF561C6}"/>
    <hyperlink ref="B159" location="'0306_ホテルルートイン常滑駅前'!A1" display="0306_ホテルルートイン常滑駅前" xr:uid="{8B2C6C2E-778F-430B-8019-8FFEC51AE33F}"/>
    <hyperlink ref="B160" location="'0307_スプリングサニーホテル名古屋常滑駅前'!A1" display="0307_スプリングサニーホテル名古屋常滑駅前" xr:uid="{64740922-32BE-48F6-BE03-EECE22E90ABC}"/>
    <hyperlink ref="B161" location="'0319_ホテルルートイン半田亀崎'!A1" display="0319_ホテルルートイン半田亀崎" xr:uid="{931BD67B-97EE-43AE-80FE-E1AE952B6A0E}"/>
    <hyperlink ref="B162" location="'0320_アズイン半田インター'!A1" display="0320_アズイン半田インター" xr:uid="{A13C00AF-B016-4787-A39C-A6CD5E6BD707}"/>
    <hyperlink ref="B163" location="'0321_半田ステーションホテル'!A1" display="0321_半田ステーションホテル" xr:uid="{A9B52D1F-18A4-4311-87CA-C921F17CDA6F}"/>
    <hyperlink ref="B164" location="'0322_名鉄イン知多半田駅前'!A1" display="0322_名鉄イン知多半田駅前" xr:uid="{FC8B2300-0CE8-4F14-A267-D10CD6B9F3D1}"/>
    <hyperlink ref="B165" location="'0323_センターワンホテル半田'!A1" display="0323_センターワンホテル半田" xr:uid="{77FA9915-CA1A-4FA3-9BA5-4A3D8E56EDD0}"/>
    <hyperlink ref="B166" location="'0324_カンデオホテルズ半田'!A1" display="0324_カンデオホテルズ半田" xr:uid="{72E765BC-3253-47BF-BE70-8451E604B103}"/>
    <hyperlink ref="B167" location="'1002ルートイングランティア東海Spa＆Relaxation'!A1" display="1002ルートイングランティア東海Spa＆Relaxation" xr:uid="{57A9117F-927E-467E-A887-E77484597EBB}"/>
    <hyperlink ref="B168" location="'1003_ホテルルートイン新城'!A1" display="1003_ホテルルートイン新城" xr:uid="{05DA1BD5-D7ED-4772-B6AF-E015A589FF24}"/>
    <hyperlink ref="B169" location="'1004_モンブランホテルラフィネ名古屋駅前'!A1" display="1004_モンブランホテルラフィネ名古屋駅前" xr:uid="{92AE3DBE-952B-4EC1-8064-7BC868DA9F2B}"/>
    <hyperlink ref="B170" location="'1006_相鉄フレッサイン名古屋駅新幹線口'!A1" display="1006_相鉄フレッサイン名古屋駅新幹線口" xr:uid="{D451B39B-63DE-446E-B6C7-74D1C518B2CD}"/>
    <hyperlink ref="B171" location="'1007_ホテルミュースタイル犬山エクスペリエンス'!A1" display="1007_ホテルミュースタイル犬山エクスペリエンス" xr:uid="{AAF519B3-1F10-4BAB-9179-3AD1160D6B2A}"/>
    <hyperlink ref="B172" location="'1008_ホテルインディゴ犬山有楽苑'!A1" display="1008_ホテルインディゴ犬山有楽苑" xr:uid="{7773E154-AAA2-49EF-A15B-605AB180544F}"/>
    <hyperlink ref="B173" location="'1010_天の丸'!A1" display="1010_天の丸" xr:uid="{57980502-D1EE-412D-9795-A651454AD0A0}"/>
    <hyperlink ref="B174" location="'1012_ホテルたつき'!A1" display="1012_ホテルたつき" xr:uid="{C023B10B-58EF-47A2-8EF3-CC332AD4A356}"/>
    <hyperlink ref="B175" location="'1013_西浦グランドホテル吉慶'!A1" display="1013_西浦グランドホテル吉慶" xr:uid="{FEC1D676-1EA8-4EC3-9654-FFC516F85A6E}"/>
    <hyperlink ref="B176" location="'1015_ホテル三河　海陽閣'!A1" display="1015_ホテル三河　海陽閣" xr:uid="{0936C7CD-3150-48EA-868B-49FE191CD65D}"/>
    <hyperlink ref="B177" location="'1016_くれたけインプレミアム名駅南'!A1" display="1016_くれたけインプレミアム名駅南" xr:uid="{0C8D840F-23C9-41FC-82A6-64164318320D}"/>
    <hyperlink ref="B178" location="'1017_HOTEL LiVEMAX名古屋桜通口'!A1" display="1017_HOTEL LiVEMAX名古屋桜通口" xr:uid="{8594722D-AB8C-4437-AA4B-BCB9433E8E26}"/>
    <hyperlink ref="B179" location="'1018_アパホテル&lt;名古屋駅前&gt;'!A1" display="1018_アパホテル&lt;名古屋駅前&gt;" xr:uid="{02FA7F45-596E-404B-AD8C-D6DBDE0917A5}"/>
    <hyperlink ref="B180" location="'1021_コートヤードバイマリオット名古屋'!A1" display="1021_コートヤードバイマリオット名古屋" xr:uid="{9812C6ED-1305-4E22-BC89-D174700F3DD4}"/>
    <hyperlink ref="B181" location="'1027_TIAD'!A1" display="1027_TIAD" xr:uid="{7D41E453-1AC0-4CDC-B235-B036514CD251}"/>
    <hyperlink ref="B182" location="'1028_蒲郡ホテル＜別館＞'!A1" display="1028_蒲郡ホテル＜別館＞" xr:uid="{60A75117-B1E8-43F8-A6F1-E4BB2623693B}"/>
    <hyperlink ref="B183" location="'1029_伊良湖オーシャンリゾート'!A1" display="1029_伊良湖オーシャンリゾート" xr:uid="{6BA2AA88-EF2A-413F-A385-0A60E57C402A}"/>
    <hyperlink ref="B184" location="'1030_伊良湖シーパーク＆スパ'!A1" display="1030_伊良湖シーパーク＆スパ" xr:uid="{180B7DE7-8DE1-45ED-A6CD-B241F10C4FA3}"/>
    <hyperlink ref="B185" location="'1032_ザロイヤルパークアイコニック名古屋'!A1" display="1032_ザロイヤルパークアイコニック名古屋" xr:uid="{E458F860-8C71-4281-80AD-28EDD9A643BC}"/>
    <hyperlink ref="B186" location="'1033_エスパシオ　ナゴヤキャッスル'!A1" display="1033_エスパシオ　ナゴヤキャッスル" xr:uid="{063D6C71-F760-4A56-B745-35119B545E1F}"/>
    <hyperlink ref="B187" location="'1034_コンラッド名古屋'!A1" display="1034_コンラッド名古屋" xr:uid="{F1936D5C-9D59-413A-A985-308F43F05E6E}"/>
    <hyperlink ref="B188" location="'1035_JICA中部'!A1" display="1035_JICA中部" xr:uid="{9DEF5074-15A1-4F80-8EC7-0F35F8B9F148}"/>
    <hyperlink ref="B189" location="'1036_衣浦グランドホテル'!A1" display="1036_衣浦グランドホテル" xr:uid="{126B4375-8F21-4516-9CB3-D2702E821A5A}"/>
    <hyperlink ref="B191" location="'2001_アパホテル&lt;岐阜羽島駅前&gt;'!A1" display="2001_アパホテル&lt;岐阜羽島駅前&gt;" xr:uid="{EABD7796-1F01-4748-98DE-56B42C3D6473}"/>
    <hyperlink ref="B192" location="'2007_シェラトン都ホテル大阪'!A1" display="2007_シェラトン都ホテル大阪" xr:uid="{1C591727-77E5-43AE-8EC3-3E7DA3C6E14B}"/>
    <hyperlink ref="B193" location="'2008_ホテルアゴーラリージェンシー大阪堺'!A1" display="2008_ホテルアゴーラリージェンシー大阪堺" xr:uid="{D649E14E-3716-45B2-993A-B89485E61ED3}"/>
    <hyperlink ref="B194" location="'2009_帝国ホテル大阪'!A1" display="2009_帝国ホテル大阪" xr:uid="{1CE8F373-B1E2-4125-85CF-8585AB8AF7CD}"/>
    <hyperlink ref="B195" location="'2010_神戸西神オリエンタルホテル'!A1" display="2010_神戸西神オリエンタルホテル" xr:uid="{F4101032-CDFD-4BDB-A649-1C9EAD485F6F}"/>
    <hyperlink ref="B196" location="'2011_ANAクラウンプラザホテル神戸'!A1" display="2011_ANAクラウンプラザホテル神戸" xr:uid="{99A363F2-D250-4B53-8205-D84D32DD5882}"/>
    <hyperlink ref="B197" location="'2012_シーサイドホテル舞子ビラ神戸'!A1" display="2012_シーサイドホテル舞子ビラ神戸" xr:uid="{736B1BFC-ABC2-4967-9BCB-FB36DA8FE03E}"/>
    <hyperlink ref="B198" location="'2013_ホテルオークラ神戸'!A1" display="2013_ホテルオークラ神戸" xr:uid="{39FCEF49-43F0-43C5-979A-15968E809629}"/>
    <hyperlink ref="B199" location="'2015_京都ホテルオークラ '!A1" display="2015_京都ホテルオークラ " xr:uid="{0928EA42-BFFE-430D-AD13-BBCB347EBD2C}"/>
    <hyperlink ref="B200" location="'2016_つま恋リゾート彩の郷'!A1" display="2016_つま恋リゾート彩の郷" xr:uid="{E67B2BA3-D45B-4247-8F69-F0EF32A20CCA}"/>
    <hyperlink ref="B201" location="'2018_掛川グランドホテル'!A1" display="2018_掛川グランドホテル" xr:uid="{35093D6D-4C94-4A44-B1ED-2CE3BDFE5698}"/>
    <hyperlink ref="B202" location="'2019_THE HAMANAKO'!A1" display="2019_THE HAMANAKO" xr:uid="{82077926-8618-4C7F-8539-834CE550CAD1}"/>
    <hyperlink ref="B203" location="'2021_オークラアクトシティホテル浜松'!A1" display="2021_オークラアクトシティホテル浜松" xr:uid="{2EA3AFC1-47BD-467A-9341-AA388BFAD9D9}"/>
    <hyperlink ref="B204" location="'2022_ホテルラフォーレ修善寺'!A1" display="2022_ホテルラフォーレ修善寺" xr:uid="{57A7B39E-46A7-4BE9-A1E1-76071071049B}"/>
    <hyperlink ref="B205" location="'2024_富士山三島東急ホテル'!A1" display="2024_富士山三島東急ホテル" xr:uid="{4A4E096E-9F38-4F83-AE2E-D188DF6A1F56}"/>
    <hyperlink ref="B206" location="'2025_伊豆マリオット修善寺'!A1" display="2025_伊豆マリオット修善寺" xr:uid="{C1F56EB0-4595-43EC-BEB8-AF392BEA8032}"/>
    <hyperlink ref="B207" location="'2026_岐阜グランドホテル'!A1" display="2026_岐阜グランドホテル" xr:uid="{8CC3558A-E5D9-45D4-B2EA-22BF7ACFCC72}"/>
    <hyperlink ref="B208" location="'2027_都ホテル岐阜長良川'!A1" display="2027_都ホテル岐阜長良川" xr:uid="{6743038C-24E6-485C-8CBE-F1F76A30DB9A}"/>
    <hyperlink ref="B209" location="'2028_ホテルグランヴェール岐山（公立共済やすらぎの里）'!A1" display="2028_ホテルグランヴェール岐山（公立共済やすらぎの里）" xr:uid="{490F5655-8E79-4758-942B-72ED1418EBE0}"/>
    <hyperlink ref="B210" location="'2030_ホテルリソル岐阜'!A1" display="2030_ホテルリソル岐阜" xr:uid="{519B73FF-1F1B-4751-B173-3F8FC73932A2}"/>
    <hyperlink ref="B211" location="'2032_大垣フォーラムホテル'!A1" display="2032_大垣フォーラムホテル" xr:uid="{20CC61A1-352B-4140-AED6-C7195A2209F5}"/>
    <hyperlink ref="B212" location="'2034_ホテルルートイン各務原'!A1" display="2034_ホテルルートイン各務原" xr:uid="{2D501882-98BB-4E04-A089-6F7C727D3C34}"/>
    <hyperlink ref="B213" location="'2036_ホテルルートイン羽島駅前'!A1" display="2036_ホテルルートイン羽島駅前" xr:uid="{28B2C7DC-4210-44D2-A7A6-05A2AE54551C}"/>
    <hyperlink ref="B214" location="'2037_ホテルコーヨー'!A1" display="2037_ホテルコーヨー" xr:uid="{C0010584-FA1E-47E7-99B9-97BD0CBCDA3F}"/>
    <hyperlink ref="B215" location="'2038_京都 東急ホテル'!A1" display="2038_京都 東急ホテル" xr:uid="{E80EC7D5-A4F7-4113-A2ED-D21967D41D02}"/>
    <hyperlink ref="B216" location="'2040_リーガロイヤルホテル京都'!A1" display="2040_リーガロイヤルホテル京都" xr:uid="{83898489-7EE4-4CB9-9625-9E99B87A4F6A}"/>
    <hyperlink ref="B217" location="'2041_ホテルコンコルド浜松'!A1" display="2041_ホテルコンコルド浜松" xr:uid="{2817D2A1-1239-4FE9-AD40-535BECDBDC9B}"/>
    <hyperlink ref="B218" location="'2042_神戸ポートピアホテル'!A1" display="2042_神戸ポートピアホテル" xr:uid="{7F05856D-8CF6-4356-8288-1CA60A80E726}"/>
    <hyperlink ref="B219" location="'2043_パレスホテル掛川'!A1" display="2043_パレスホテル掛川" xr:uid="{24E4FCAF-E1E1-4D5E-AE4A-6565C0CCACEE}"/>
    <hyperlink ref="B220" location="'2044_くれたけインプレミアム大垣駅前'!A1" display="2044_くれたけインプレミアム大垣駅前" xr:uid="{3A529E7C-8D28-45C5-9093-E10CB96ED6C3}"/>
    <hyperlink ref="B221" location="'2045_クインテッサホテル大垣'!A1" display="2045_クインテッサホテル大垣" xr:uid="{F61CA187-022A-4674-A4A1-193CBE733272}"/>
    <hyperlink ref="B222" location="'2046_ホテルナガシマ'!A1" display="2046_ホテルナガシマ" xr:uid="{34C6A88A-AD80-4FB7-809D-372A4B9A25F7}"/>
    <hyperlink ref="B223" location="'2048_東京イーストサイドホテル櫂会'!A1" display="2048_東京イーストサイドホテル櫂会" xr:uid="{D688B600-C21C-4649-81EB-CD5ADCFB0B0B}"/>
    <hyperlink ref="B224" location="'2050_二子玉川エクセルホテル東急'!A1" display="2050_二子玉川エクセルホテル東急" xr:uid="{B12A1212-6C50-4B03-B771-A8921E50A3E3}"/>
    <hyperlink ref="B225" location="'2051_東京ベイ潮見プリンスホテル'!A1" display="2051_東京ベイ潮見プリンスホテル" xr:uid="{955304BA-5B0C-4C95-AFD6-F6AC2D7195A8}"/>
    <hyperlink ref="B227" location="'3001-_グランドニッコー東京　台場'!Print_Area" display="3001_グランドニッコー東京 台場" xr:uid="{D328241A-326A-4DDA-939E-4F50BE164D87}"/>
    <hyperlink ref="B247" location="'-_ホテルイースト21東京'!A1" display="-_ホテルイースト21東京" xr:uid="{F38EF76D-C768-4B78-ADA2-8798DA7CC010}"/>
    <hyperlink ref="B256" location="'オリジナル'!A1" display="オリジナル" xr:uid="{C70339C0-2A12-4C11-9927-5188AE2F5B1A}"/>
    <hyperlink ref="B71" location="'0111_アパホテル&lt;名古屋錦&gt; EXCELLENT'!Print_Area" display="0111_アパホテル&lt;名古屋錦&gt; EXCELLENT" xr:uid="{E5FB730E-F130-4A25-A55A-87538BFB36DE}"/>
    <hyperlink ref="B80" location="'0140_名古屋金山ホテル'!Print_Area" display="'0140_名古屋金山ホテル'!Print_Area" xr:uid="{56BE04AD-79E8-4AB3-8C1F-59249F6C6A9F}"/>
    <hyperlink ref="B89" location="'0168_ホテルフォルツァ栄'!Print_Area" display="'0168_ホテルフォルツァ栄'!Print_Area" xr:uid="{A5F87AEC-9D3F-4EE7-8A49-86F3A228625C}"/>
    <hyperlink ref="B228" location="'3002-_長島温泉ガーデンホテルオリーブ'!Print_Area" display="'3002-_長島温泉ガーデンホテルオリーブ'!Print_Area" xr:uid="{3733FABA-8799-4DD3-ACEE-C591C7C6C015}"/>
    <hyperlink ref="B229" location="'3003-_長島温泉 ホテル花水木'!Print_Area" display="'3003-_長島温泉 ホテル花水木'!Print_Area" xr:uid="{A5B26D4D-CB6E-4FA5-811A-A459203FD13C}"/>
    <hyperlink ref="B231" location="'3005-_アパホテル新大阪駅前'!Print_Area" display="'3005-_アパホテル新大阪駅前'!Print_Area" xr:uid="{03A8EC26-7C3C-405D-852E-5861EA1726AB}"/>
    <hyperlink ref="B232" location="'3006-_アパホテル＆リゾート東京ベイ潮見'!Print_Area" display="3006-_アパホテル＆リゾート東京ベイ潮見" xr:uid="{7931CDE2-F162-49EA-A50F-8F93FD0B17D2}"/>
    <hyperlink ref="B230" location="'3004-_東横イン富士山三島駅'!Print_Area" display="東横イン富士山三島駅" xr:uid="{C1F28D37-D67D-4346-A94A-D9F1610A6CE2}"/>
    <hyperlink ref="B248" location="'2052_オースタット国際ホテル多治見'!A1" display="2052_オースタット国際ホテル多治見" xr:uid="{29862A48-CAA5-4EB8-95C7-36A2ECD66131}"/>
    <hyperlink ref="B249" location="'-_THE OKURA TOKYO'!A1" display="-_THE OKURA TOKYO" xr:uid="{04B271AE-7290-4C76-8FC7-28B9576B56E8}"/>
    <hyperlink ref="B250" location="'-_帝国ホテル　東京'!A1" display="-_帝国ホテル　東京" xr:uid="{29CD0B9F-E152-4879-9AA3-87E937F87659}"/>
    <hyperlink ref="B251" location="'-_ルートイン愛知東郷町'!A1" display="-_ルートイン愛知東郷町" xr:uid="{5FFB5C03-2593-40DF-892D-9825201493EC}"/>
    <hyperlink ref="B252" location="'-_東横イン浜松駅北口'!A1" display="-_東横イン浜松駅北口" xr:uid="{14E4A267-A230-46B5-973A-4A0E56A7CD65}"/>
    <hyperlink ref="B253" location="'-_東横イン京都四条烏丸'!A1" display="-_東横イン京都四条烏丸" xr:uid="{859DC580-7FAB-4CF8-8F1C-E38169512AD7}"/>
    <hyperlink ref="B254" location="'-_東横イン神戸三ノ宮1'!A1" display="-_東横イン神戸三ノ宮1" xr:uid="{97D07267-2503-40FD-807B-5DC0B029D998}"/>
    <hyperlink ref="B255" location="'-_東横イン大阪なんば日本橋'!A1" display="-_東横イン大阪なんば日本橋" xr:uid="{17BDBE77-99E8-4629-8AF8-753390D128E3}"/>
    <hyperlink ref="B226" location="'3000_ルートイン愛知東郷町'!Print_Area" display="ホテルルートイン愛知東郷町" xr:uid="{43A880DB-3A50-4F2F-BF2A-BC642113BB62}"/>
    <hyperlink ref="B135" location="'0256_ホテル東海園'!Print_Area" display="'0256_ホテル東海園'!Print_Area" xr:uid="{E686CEB4-2758-4CEF-9FA5-695BBF0BC982}"/>
    <hyperlink ref="B190" location="'1039_ベストウェスタンプラス名古屋栄'!Print_Area" display="'1039_ベストウェスタンプラス名古屋栄'!Print_Area" xr:uid="{FDEB4EA4-DCC7-40F7-A88B-0F713D976F06}"/>
    <hyperlink ref="B233" location="'3007_the b 三軒茶屋'!Print_Area" display="'3007_the b 三軒茶屋'!Print_Area" xr:uid="{D30BAD52-8FA7-4DB1-AEF0-40978DC94058}"/>
    <hyperlink ref="B234" location="'3008_相鉄グランドフレッサ東京ベイ有明'!Print_Area" display="'3008_相鉄グランドフレッサ東京ベイ有明'!Print_Area" xr:uid="{B125BC04-FDE4-4C3D-B16B-CED34C75525F}"/>
    <hyperlink ref="B235" location="'3009_東横イン大阪なんば日本橋'!Print_Area" display="3009_東横イン大阪なんば日本橋" xr:uid="{28141DB4-C28F-4699-9DD5-ACBC28ADC6D5}"/>
    <hyperlink ref="B236" location="'3010_東横イン浜松駅北口'!Print_Area" display="'3010_東横イン浜松駅北口'!Print_Area" xr:uid="{75615CA7-484C-4376-A42B-75B620A2162D}"/>
    <hyperlink ref="B237" location="'3011_東横イン神戸三ノ宮1'!Print_Area" display="'3011_東横イン神戸三ノ宮1'!Print_Area" xr:uid="{7DAC0D2D-F36F-4AAC-8283-D47B93C672FB}"/>
    <hyperlink ref="B238" location="'3012_東横イン熱海駅前'!Print_Area" display="'3012_東横イン熱海駅前'!Print_Area" xr:uid="{5EA39811-B2A9-4F61-8E5E-9A743CBD3902}"/>
    <hyperlink ref="B239" location="'3013_ウインドシティホテル'!Print_Area" display="'3013_ウインドシティホテル'!Print_Area" xr:uid="{A64FF2D5-C1EF-4BBB-A7E4-2DC3F97FBA8F}"/>
    <hyperlink ref="B240" location="'3014_コンフォートホテル浜松'!Print_Area" display="'3014_コンフォートホテル浜松'!Print_Area" xr:uid="{393F2D23-3C89-4E09-96E1-75E42C050CBC}"/>
    <hyperlink ref="B241" location="'3015_アパホテル＜神戸三宮＞'!Print_Area" display="'3015_アパホテル＜神戸三宮＞'!Print_Area" xr:uid="{E9DB80F0-BFB8-4921-BAE7-C19DADB35018}"/>
    <hyperlink ref="B242" location="'3016_ホテルルートイン浜松駅東'!Print_Area" display="'3016_ホテルルートイン浜松駅東'!Print_Area" xr:uid="{DB68E7A8-DF4B-45AE-B608-3A897023D438}"/>
    <hyperlink ref="B243" location="'3017_the b 神戸'!Print_Area" display="'3017_the b 神戸'!Print_Area" xr:uid="{58B8DDD8-D353-4315-A584-06D70530F462}"/>
    <hyperlink ref="B244" location="'3018_R＆B東京東陽町'!Print_Area" display="'3018_R＆B東京東陽町'!Print_Area" xr:uid="{19A3D9E7-617D-44DC-9105-BD6D20905D66}"/>
    <hyperlink ref="B245" location="'3019_ヴィラフォンテーヌグランド東京有明'!Print_Area" display="'3019_ヴィラフォンテーヌグランド東京有明'!Print_Area" xr:uid="{73369EBE-1C05-4DB8-B694-5B535E3ED6FB}"/>
    <hyperlink ref="B37" location="'0058_ナゴヤエキアクセスホテル'!Print_Area" display="'0058_ナゴヤエキアクセスホテル'!Print_Area" xr:uid="{925A6686-22A9-46E4-A8D1-73A8FD563BB6}"/>
    <hyperlink ref="B16" location="'0028_第一富士ホテル'!Print_Area" display="'0028_第一富士ホテル'!Print_Area" xr:uid="{170737E0-654D-4940-AF60-2DAAF68B5E35}"/>
    <hyperlink ref="B25" location="'0045_名古屋フラワーホテル'!Print_Area" display="'0045_名古屋フラワーホテル'!Print_Area" xr:uid="{022F0235-0499-47A4-91B2-2955ABE0C200}"/>
    <hyperlink ref="B26" location="'0046_名古屋フラワーホテル　別館PARTⅡ'!Print_Area" display="'0046_名古屋フラワーホテル　別館PARTⅡ'!Print_Area" xr:uid="{DE0098F6-9C2D-41F8-842D-9C0A3B700C17}"/>
    <hyperlink ref="B154" location="'0301_コンフォートホテル中部国際空港'!Print_Area" display="'0301_コンフォートホテル中部国際空港'!Print_Area" xr:uid="{377349AF-B292-482E-B7FC-267818973F2A}"/>
    <hyperlink ref="B100" location="'0195_ロイヤルホテルうお八'!Print_Area" display="'0195_ロイヤルホテルうお八'!Print_Area" xr:uid="{A8AC175F-16A4-42DC-91CC-0FCE999262E5}"/>
    <hyperlink ref="B246" location="'3025_トヨタスポーツセンター'!Print_Area" display="'3025_トヨタスポーツセンター'!Print_Area" xr:uid="{EEF09037-F052-427A-99CA-6CE615490BD4}"/>
  </hyperlinks>
  <pageMargins left="0.7" right="0.7" top="0.75" bottom="0.75" header="0.3" footer="0.3"/>
  <pageSetup paperSize="9" scale="19" orientation="landscape" r:id="rId1"/>
  <legacyDrawing r:id="rId2"/>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649D4-BBDE-4DAA-AEEB-684B20DE13A9}">
  <sheetPr codeName="Sheet405">
    <tabColor rgb="FFFF0000"/>
  </sheetPr>
  <dimension ref="A1:CE240"/>
  <sheetViews>
    <sheetView zoomScale="70" zoomScaleNormal="70" workbookViewId="0">
      <pane xSplit="2" ySplit="1" topLeftCell="F2" activePane="bottomRight" state="frozen"/>
      <selection pane="topRight" activeCell="BJ123" sqref="BJ123"/>
      <selection pane="bottomLeft" activeCell="BJ123" sqref="BJ123"/>
      <selection pane="bottomRight" activeCell="BJ123" sqref="BJ123"/>
    </sheetView>
  </sheetViews>
  <sheetFormatPr defaultRowHeight="13.5" customHeight="1"/>
  <cols>
    <col min="1" max="1" width="7.81640625" bestFit="1" customWidth="1"/>
    <col min="2" max="2" width="52.453125" customWidth="1"/>
    <col min="3" max="5" width="20.453125" style="864" hidden="1" customWidth="1"/>
    <col min="6" max="7" width="20.453125" style="864" customWidth="1"/>
    <col min="8" max="8" width="18.81640625" style="864" customWidth="1"/>
    <col min="9" max="9" width="15.81640625" style="864" customWidth="1"/>
    <col min="10" max="11" width="15.81640625" style="864" hidden="1" customWidth="1"/>
    <col min="12" max="15" width="15.81640625" style="1959" hidden="1" customWidth="1"/>
    <col min="16" max="16" width="10.54296875" style="1959" hidden="1" customWidth="1"/>
    <col min="17" max="17" width="15.81640625" style="2476" hidden="1" customWidth="1"/>
    <col min="18" max="18" width="15.81640625" style="1959" customWidth="1"/>
    <col min="19" max="19" width="15.81640625" style="1959" hidden="1" customWidth="1"/>
    <col min="20" max="20" width="17.26953125" style="1959" customWidth="1"/>
    <col min="21" max="21" width="17.7265625" style="863" customWidth="1"/>
    <col min="22" max="22" width="17.7265625" style="863" hidden="1" customWidth="1"/>
    <col min="23" max="24" width="15.54296875" style="863" customWidth="1"/>
    <col min="25" max="26" width="15.54296875" style="863" hidden="1" customWidth="1"/>
    <col min="27" max="28" width="15.54296875" style="863" customWidth="1"/>
    <col min="29" max="29" width="11.26953125" customWidth="1"/>
    <col min="30" max="30" width="12.26953125" customWidth="1"/>
    <col min="31" max="31" width="12.26953125" hidden="1" customWidth="1"/>
    <col min="32" max="32" width="7.54296875" customWidth="1"/>
    <col min="33" max="33" width="12.453125" hidden="1" customWidth="1"/>
    <col min="34" max="34" width="12.1796875" hidden="1" customWidth="1"/>
    <col min="35" max="35" width="11.26953125" hidden="1" customWidth="1"/>
    <col min="36" max="36" width="14.26953125" customWidth="1"/>
    <col min="37" max="37" width="13.7265625" customWidth="1"/>
    <col min="38" max="38" width="17" hidden="1" customWidth="1"/>
    <col min="39" max="40" width="15.453125" hidden="1" customWidth="1"/>
    <col min="41" max="41" width="17" hidden="1" customWidth="1"/>
    <col min="42" max="42" width="15.453125" hidden="1" customWidth="1"/>
    <col min="43" max="43" width="14.54296875" hidden="1" customWidth="1"/>
    <col min="44" max="44" width="13.453125" hidden="1" customWidth="1"/>
    <col min="45" max="45" width="14.54296875" hidden="1" customWidth="1"/>
    <col min="46" max="46" width="12.453125" hidden="1" customWidth="1"/>
    <col min="47" max="47" width="9.54296875" hidden="1" customWidth="1"/>
    <col min="48" max="48" width="10.1796875" hidden="1" customWidth="1"/>
    <col min="49" max="49" width="13.54296875" hidden="1" customWidth="1"/>
    <col min="50" max="51" width="12.1796875" hidden="1" customWidth="1"/>
    <col min="52" max="52" width="12.1796875" customWidth="1"/>
    <col min="53" max="56" width="13.1796875" customWidth="1"/>
    <col min="57" max="57" width="14.26953125" style="1958" hidden="1" customWidth="1"/>
    <col min="58" max="58" width="15.453125" style="1958" hidden="1" customWidth="1"/>
    <col min="59" max="59" width="15.1796875" style="1958" hidden="1" customWidth="1"/>
    <col min="60" max="60" width="14.26953125" style="1958" hidden="1" customWidth="1"/>
    <col min="61" max="64" width="12.81640625" style="1958" hidden="1" customWidth="1"/>
    <col min="65" max="65" width="15.453125" style="1958" bestFit="1" customWidth="1"/>
    <col min="66" max="66" width="15.453125" style="1958" hidden="1" customWidth="1"/>
    <col min="67" max="67" width="12.81640625" style="1958" customWidth="1"/>
    <col min="68" max="68" width="14.26953125" style="1958" bestFit="1" customWidth="1"/>
    <col min="69" max="72" width="12.81640625" style="1958" customWidth="1"/>
    <col min="73" max="77" width="12.81640625" style="1958" hidden="1" customWidth="1"/>
    <col min="78" max="78" width="12.81640625" style="1958" customWidth="1"/>
    <col min="79" max="79" width="12.81640625" style="1958" hidden="1" customWidth="1"/>
    <col min="80" max="82" width="12.81640625" style="1958" customWidth="1"/>
    <col min="83" max="83" width="66.453125" style="864" bestFit="1" customWidth="1"/>
  </cols>
  <sheetData>
    <row r="1" spans="1:83" ht="65">
      <c r="A1" t="s">
        <v>3163</v>
      </c>
      <c r="B1" t="s">
        <v>2842</v>
      </c>
      <c r="C1" s="2691" t="s">
        <v>5006</v>
      </c>
      <c r="D1" s="2691" t="s">
        <v>5007</v>
      </c>
      <c r="E1" s="2691" t="s">
        <v>5008</v>
      </c>
      <c r="F1" s="2701" t="s">
        <v>5009</v>
      </c>
      <c r="G1" s="2701" t="s">
        <v>5010</v>
      </c>
      <c r="H1" s="2751" t="s">
        <v>3170</v>
      </c>
      <c r="I1" s="5772" t="s">
        <v>3172</v>
      </c>
      <c r="J1" s="2971"/>
      <c r="K1" s="2752" t="s">
        <v>3174</v>
      </c>
      <c r="L1" s="5821" t="s">
        <v>3175</v>
      </c>
      <c r="M1" s="5821" t="s">
        <v>3176</v>
      </c>
      <c r="N1" s="5822" t="s">
        <v>3177</v>
      </c>
      <c r="O1" s="5821" t="s">
        <v>3178</v>
      </c>
      <c r="P1" s="5821" t="s">
        <v>3179</v>
      </c>
      <c r="Q1" s="5823" t="s">
        <v>3180</v>
      </c>
      <c r="R1" s="2642" t="s">
        <v>3181</v>
      </c>
      <c r="S1" s="2970" t="s">
        <v>3182</v>
      </c>
      <c r="T1" s="2754" t="s">
        <v>3183</v>
      </c>
      <c r="U1" s="5773" t="s">
        <v>3185</v>
      </c>
      <c r="V1" s="5774" t="s">
        <v>3186</v>
      </c>
      <c r="W1" s="5773" t="s">
        <v>3187</v>
      </c>
      <c r="X1" s="5773" t="s">
        <v>6604</v>
      </c>
      <c r="Y1" s="5776" t="s">
        <v>3191</v>
      </c>
      <c r="Z1" s="5777" t="s">
        <v>3192</v>
      </c>
      <c r="AA1" s="5776" t="s">
        <v>3188</v>
      </c>
      <c r="AB1" s="5776" t="s">
        <v>3189</v>
      </c>
      <c r="AC1" s="191" t="s">
        <v>6561</v>
      </c>
      <c r="AD1" s="3962" t="s">
        <v>6605</v>
      </c>
      <c r="AE1" s="5824" t="s">
        <v>6606</v>
      </c>
      <c r="AF1" t="s">
        <v>3779</v>
      </c>
      <c r="AG1" s="2702" t="s">
        <v>6607</v>
      </c>
      <c r="AH1" s="2702" t="s">
        <v>6563</v>
      </c>
      <c r="AI1" s="2702" t="s">
        <v>6564</v>
      </c>
      <c r="AJ1" s="5825" t="s">
        <v>6608</v>
      </c>
      <c r="AK1" s="3951" t="s">
        <v>6609</v>
      </c>
      <c r="AL1" s="2702" t="s">
        <v>3203</v>
      </c>
      <c r="AM1" s="2702" t="s">
        <v>3204</v>
      </c>
      <c r="AN1" s="2702" t="s">
        <v>3205</v>
      </c>
      <c r="AO1" s="3951" t="s">
        <v>3206</v>
      </c>
      <c r="AP1" s="3951" t="s">
        <v>3207</v>
      </c>
      <c r="AQ1" s="5778" t="s">
        <v>4691</v>
      </c>
      <c r="AR1" s="5778" t="s">
        <v>4692</v>
      </c>
      <c r="AS1" s="3993" t="s">
        <v>4693</v>
      </c>
      <c r="AT1" s="2691" t="s">
        <v>6610</v>
      </c>
      <c r="AU1" s="2691" t="s">
        <v>6568</v>
      </c>
      <c r="AV1" s="2691" t="s">
        <v>6611</v>
      </c>
      <c r="AW1" s="2691" t="s">
        <v>3210</v>
      </c>
      <c r="AX1" s="2691" t="s">
        <v>6571</v>
      </c>
      <c r="AY1" s="2691" t="s">
        <v>6572</v>
      </c>
      <c r="AZ1" s="3944" t="s">
        <v>6573</v>
      </c>
      <c r="BA1" s="3944" t="s">
        <v>6574</v>
      </c>
      <c r="BB1" s="3944" t="s">
        <v>3213</v>
      </c>
      <c r="BC1" s="3944" t="s">
        <v>6575</v>
      </c>
      <c r="BD1" s="3944" t="s">
        <v>6576</v>
      </c>
      <c r="BE1" s="882" t="s">
        <v>6612</v>
      </c>
      <c r="BF1" s="882" t="s">
        <v>6578</v>
      </c>
      <c r="BG1" s="882" t="s">
        <v>6579</v>
      </c>
      <c r="BH1" s="882" t="s">
        <v>3216</v>
      </c>
      <c r="BI1" s="882" t="s">
        <v>3215</v>
      </c>
      <c r="BJ1" s="882" t="s">
        <v>6580</v>
      </c>
      <c r="BK1" s="882" t="s">
        <v>6581</v>
      </c>
      <c r="BL1" s="882" t="s">
        <v>6582</v>
      </c>
      <c r="BM1" s="5779" t="s">
        <v>6583</v>
      </c>
      <c r="BN1" s="5779" t="s">
        <v>6584</v>
      </c>
      <c r="BO1" s="5779" t="s">
        <v>6585</v>
      </c>
      <c r="BP1" s="5779" t="s">
        <v>6586</v>
      </c>
      <c r="BQ1" s="5779" t="s">
        <v>3219</v>
      </c>
      <c r="BR1" s="5779" t="s">
        <v>3218</v>
      </c>
      <c r="BS1" s="5779" t="s">
        <v>3217</v>
      </c>
      <c r="BT1" s="5779" t="s">
        <v>6587</v>
      </c>
      <c r="BU1" s="5780" t="s">
        <v>6613</v>
      </c>
      <c r="BV1" s="5780" t="s">
        <v>6589</v>
      </c>
      <c r="BW1" s="5780" t="s">
        <v>6590</v>
      </c>
      <c r="BX1" s="5780" t="s">
        <v>6591</v>
      </c>
      <c r="BY1" s="5780" t="s">
        <v>6592</v>
      </c>
      <c r="BZ1" s="5781" t="s">
        <v>6593</v>
      </c>
      <c r="CA1" s="5781" t="s">
        <v>6594</v>
      </c>
      <c r="CB1" s="5781" t="s">
        <v>6595</v>
      </c>
      <c r="CC1" s="5781" t="s">
        <v>6596</v>
      </c>
      <c r="CD1" s="5781" t="s">
        <v>6597</v>
      </c>
      <c r="CE1" s="864" t="s">
        <v>3229</v>
      </c>
    </row>
    <row r="2" spans="1:83" s="5782" customFormat="1" ht="13">
      <c r="A2" s="5782">
        <v>1</v>
      </c>
      <c r="B2" s="5783" t="s">
        <v>3230</v>
      </c>
      <c r="C2" s="5784" t="s">
        <v>2129</v>
      </c>
      <c r="D2" s="5784" t="s">
        <v>2129</v>
      </c>
      <c r="E2" s="5784" t="s">
        <v>2129</v>
      </c>
      <c r="F2" s="5784" t="s">
        <v>2129</v>
      </c>
      <c r="G2" s="5784" t="s">
        <v>2129</v>
      </c>
      <c r="H2" s="5785">
        <v>2</v>
      </c>
      <c r="I2" s="5785">
        <v>1</v>
      </c>
      <c r="J2" s="5785">
        <v>1</v>
      </c>
      <c r="K2" s="5785" t="s">
        <v>2129</v>
      </c>
      <c r="L2" s="5786">
        <v>211765</v>
      </c>
      <c r="M2" s="5786">
        <v>3530</v>
      </c>
      <c r="N2" s="5786">
        <v>0</v>
      </c>
      <c r="O2" s="5786">
        <v>0</v>
      </c>
      <c r="P2" s="5786">
        <v>0</v>
      </c>
      <c r="Q2" s="2476">
        <v>236824.50000000003</v>
      </c>
      <c r="R2" s="2477">
        <v>236824</v>
      </c>
      <c r="S2" s="5786" t="b">
        <v>1</v>
      </c>
      <c r="T2" s="5786">
        <v>236824</v>
      </c>
      <c r="U2" s="5788">
        <v>1449448</v>
      </c>
      <c r="V2" s="5788" t="b">
        <v>1</v>
      </c>
      <c r="W2" s="5788">
        <v>19325.973333333332</v>
      </c>
      <c r="X2" s="5788" t="s">
        <v>2129</v>
      </c>
      <c r="Y2" s="5788"/>
      <c r="Z2" s="5788"/>
      <c r="AA2" s="5788"/>
      <c r="AB2" s="5788"/>
      <c r="AC2" s="5782">
        <v>75</v>
      </c>
      <c r="AD2" s="5789">
        <v>75</v>
      </c>
      <c r="AE2" s="5789">
        <v>0</v>
      </c>
      <c r="AF2" s="5782">
        <v>87</v>
      </c>
      <c r="AG2" s="5782" t="s">
        <v>2129</v>
      </c>
      <c r="AH2" s="5782" t="s">
        <v>2129</v>
      </c>
      <c r="AI2" s="5782" t="s">
        <v>2129</v>
      </c>
      <c r="AJ2" s="5782" t="s">
        <v>2129</v>
      </c>
      <c r="AK2" s="5782" t="s">
        <v>2129</v>
      </c>
      <c r="AL2" s="5782" t="s">
        <v>2129</v>
      </c>
      <c r="AM2" s="5782" t="s">
        <v>2129</v>
      </c>
      <c r="AO2" s="5782" t="s">
        <v>2129</v>
      </c>
      <c r="AT2" s="5782" t="s">
        <v>2129</v>
      </c>
      <c r="AU2" s="5782" t="s">
        <v>2129</v>
      </c>
      <c r="AV2" s="5782" t="s">
        <v>2129</v>
      </c>
      <c r="AW2" s="5782" t="s">
        <v>2129</v>
      </c>
      <c r="AX2" s="5782" t="s">
        <v>2129</v>
      </c>
      <c r="AY2" s="5782" t="s">
        <v>2129</v>
      </c>
      <c r="AZ2" s="5782" t="s">
        <v>2129</v>
      </c>
      <c r="BA2" s="5782" t="s">
        <v>2129</v>
      </c>
      <c r="BB2" s="5782" t="s">
        <v>2129</v>
      </c>
      <c r="BC2" s="5782" t="s">
        <v>2129</v>
      </c>
      <c r="BD2" s="5782" t="s">
        <v>2129</v>
      </c>
      <c r="BE2" s="5788" t="s">
        <v>2129</v>
      </c>
      <c r="BG2" s="5788" t="s">
        <v>2129</v>
      </c>
      <c r="BH2" s="5788" t="s">
        <v>2129</v>
      </c>
      <c r="BI2" s="5788" t="s">
        <v>2129</v>
      </c>
      <c r="BJ2" s="5788" t="s">
        <v>2129</v>
      </c>
      <c r="BK2" s="5788" t="s">
        <v>2129</v>
      </c>
      <c r="BL2" s="5788" t="s">
        <v>2129</v>
      </c>
      <c r="BM2" s="5788" t="s">
        <v>2129</v>
      </c>
      <c r="BN2" s="5788" t="s">
        <v>2129</v>
      </c>
      <c r="BO2" s="5788" t="s">
        <v>2129</v>
      </c>
      <c r="BP2" s="5788" t="s">
        <v>2129</v>
      </c>
      <c r="BQ2" s="5788" t="s">
        <v>2129</v>
      </c>
      <c r="BR2" s="5788" t="s">
        <v>2129</v>
      </c>
      <c r="BS2" s="5788" t="s">
        <v>2129</v>
      </c>
      <c r="BT2" s="5788" t="s">
        <v>2129</v>
      </c>
      <c r="BU2" s="5788" t="s">
        <v>2129</v>
      </c>
      <c r="BV2" s="5788" t="s">
        <v>2129</v>
      </c>
      <c r="BW2" s="5788" t="s">
        <v>2129</v>
      </c>
      <c r="BX2" s="5788" t="s">
        <v>2129</v>
      </c>
      <c r="BY2" s="5788"/>
      <c r="BZ2" s="5788" t="s">
        <v>2129</v>
      </c>
      <c r="CA2" s="5788" t="s">
        <v>2129</v>
      </c>
      <c r="CB2" s="5788" t="s">
        <v>2129</v>
      </c>
      <c r="CC2" s="5788" t="s">
        <v>2129</v>
      </c>
      <c r="CD2" s="5788"/>
      <c r="CE2" s="5784"/>
    </row>
    <row r="3" spans="1:83" s="5782" customFormat="1" ht="13">
      <c r="A3" s="5782">
        <v>2</v>
      </c>
      <c r="B3" s="5783" t="s">
        <v>6614</v>
      </c>
      <c r="C3" s="5784" t="s">
        <v>2129</v>
      </c>
      <c r="D3" s="5784" t="s">
        <v>2129</v>
      </c>
      <c r="E3" s="5784" t="s">
        <v>2129</v>
      </c>
      <c r="F3" s="5784" t="s">
        <v>2129</v>
      </c>
      <c r="G3" s="5784" t="s">
        <v>2129</v>
      </c>
      <c r="H3" s="5785">
        <v>0</v>
      </c>
      <c r="I3" s="5785">
        <v>0</v>
      </c>
      <c r="J3" s="5785">
        <v>0</v>
      </c>
      <c r="K3" s="5785" t="s">
        <v>2129</v>
      </c>
      <c r="L3" s="5786">
        <v>0</v>
      </c>
      <c r="M3" s="5786">
        <v>0</v>
      </c>
      <c r="N3" s="5786">
        <v>0</v>
      </c>
      <c r="O3" s="5786">
        <v>0</v>
      </c>
      <c r="P3" s="5786">
        <v>0</v>
      </c>
      <c r="Q3" s="2476">
        <v>0</v>
      </c>
      <c r="R3" s="2477">
        <v>0</v>
      </c>
      <c r="S3" s="2477" t="b">
        <v>1</v>
      </c>
      <c r="T3" s="5786" t="s">
        <v>2129</v>
      </c>
      <c r="U3" s="5788">
        <v>886127</v>
      </c>
      <c r="V3" s="5788" t="b">
        <v>1</v>
      </c>
      <c r="W3" s="5788">
        <v>7639.0258620689656</v>
      </c>
      <c r="X3" s="5788" t="s">
        <v>2129</v>
      </c>
      <c r="Y3" s="5788"/>
      <c r="Z3" s="5788"/>
      <c r="AA3" s="5788"/>
      <c r="AB3" s="5788"/>
      <c r="AC3" s="5782">
        <v>116</v>
      </c>
      <c r="AD3" s="5789">
        <v>116</v>
      </c>
      <c r="AE3" s="5789">
        <v>0</v>
      </c>
      <c r="AF3" s="5782">
        <v>116</v>
      </c>
      <c r="AG3" s="5782" t="s">
        <v>2129</v>
      </c>
      <c r="AH3" s="5782" t="s">
        <v>2129</v>
      </c>
      <c r="AI3" s="5782" t="s">
        <v>2129</v>
      </c>
      <c r="AJ3" s="5782" t="s">
        <v>2129</v>
      </c>
      <c r="AK3" s="5782" t="s">
        <v>2129</v>
      </c>
      <c r="AL3" s="5782" t="s">
        <v>2129</v>
      </c>
      <c r="AM3" s="5782" t="s">
        <v>2129</v>
      </c>
      <c r="AO3" s="5782" t="s">
        <v>2129</v>
      </c>
      <c r="AT3" s="5782" t="s">
        <v>2129</v>
      </c>
      <c r="AU3" s="5782" t="s">
        <v>2129</v>
      </c>
      <c r="AV3" s="5782" t="s">
        <v>2129</v>
      </c>
      <c r="AW3" s="5782" t="s">
        <v>2129</v>
      </c>
      <c r="AX3" s="5782" t="s">
        <v>2129</v>
      </c>
      <c r="AY3" s="5782" t="s">
        <v>2129</v>
      </c>
      <c r="AZ3" s="5782" t="s">
        <v>2129</v>
      </c>
      <c r="BA3" s="5782" t="s">
        <v>2129</v>
      </c>
      <c r="BB3" s="5782" t="s">
        <v>2129</v>
      </c>
      <c r="BC3" s="5782" t="s">
        <v>2129</v>
      </c>
      <c r="BD3" s="5782" t="s">
        <v>2129</v>
      </c>
      <c r="BE3" s="5788" t="s">
        <v>2129</v>
      </c>
      <c r="BG3" s="5788" t="s">
        <v>2129</v>
      </c>
      <c r="BH3" s="5788" t="s">
        <v>2129</v>
      </c>
      <c r="BI3" s="5788" t="s">
        <v>2129</v>
      </c>
      <c r="BJ3" s="5788" t="s">
        <v>2129</v>
      </c>
      <c r="BK3" s="5788" t="s">
        <v>2129</v>
      </c>
      <c r="BL3" s="5788" t="s">
        <v>2129</v>
      </c>
      <c r="BM3" s="5788" t="s">
        <v>2129</v>
      </c>
      <c r="BN3" s="5788" t="s">
        <v>2129</v>
      </c>
      <c r="BO3" s="5788" t="s">
        <v>2129</v>
      </c>
      <c r="BP3" s="5788" t="s">
        <v>2129</v>
      </c>
      <c r="BQ3" s="5788" t="s">
        <v>2129</v>
      </c>
      <c r="BR3" s="5788" t="s">
        <v>2129</v>
      </c>
      <c r="BS3" s="5788" t="s">
        <v>2129</v>
      </c>
      <c r="BT3" s="5788" t="s">
        <v>2129</v>
      </c>
      <c r="BU3" s="5788" t="s">
        <v>2129</v>
      </c>
      <c r="BV3" s="5788" t="s">
        <v>2129</v>
      </c>
      <c r="BW3" s="5788" t="s">
        <v>2129</v>
      </c>
      <c r="BX3" s="5788" t="s">
        <v>2129</v>
      </c>
      <c r="BY3" s="5788"/>
      <c r="BZ3" s="5788" t="s">
        <v>2129</v>
      </c>
      <c r="CA3" s="5788" t="s">
        <v>2129</v>
      </c>
      <c r="CB3" s="5788" t="s">
        <v>2129</v>
      </c>
      <c r="CC3" s="5788" t="s">
        <v>2129</v>
      </c>
      <c r="CD3" s="5788"/>
      <c r="CE3" s="5784"/>
    </row>
    <row r="4" spans="1:83" s="5782" customFormat="1" ht="13">
      <c r="A4" s="5782">
        <v>4</v>
      </c>
      <c r="B4" s="5783" t="s">
        <v>3232</v>
      </c>
      <c r="C4" s="5784" t="s">
        <v>2129</v>
      </c>
      <c r="D4" s="5784" t="s">
        <v>2129</v>
      </c>
      <c r="E4" s="5784" t="s">
        <v>2129</v>
      </c>
      <c r="F4" s="5784" t="s">
        <v>2129</v>
      </c>
      <c r="G4" s="5784" t="s">
        <v>2129</v>
      </c>
      <c r="H4" s="5785">
        <v>0</v>
      </c>
      <c r="I4" s="5785">
        <v>0</v>
      </c>
      <c r="J4" s="5785">
        <v>0</v>
      </c>
      <c r="K4" s="5785" t="s">
        <v>2129</v>
      </c>
      <c r="L4" s="5786">
        <v>0</v>
      </c>
      <c r="M4" s="5786">
        <v>0</v>
      </c>
      <c r="N4" s="5786">
        <v>0</v>
      </c>
      <c r="O4" s="5786">
        <v>0</v>
      </c>
      <c r="P4" s="5786">
        <v>0</v>
      </c>
      <c r="Q4" s="2476">
        <v>0</v>
      </c>
      <c r="R4" s="2477">
        <v>0</v>
      </c>
      <c r="S4" s="2477" t="b">
        <v>1</v>
      </c>
      <c r="T4" s="5786" t="s">
        <v>2129</v>
      </c>
      <c r="U4" s="5788">
        <v>1267612</v>
      </c>
      <c r="V4" s="5788" t="b">
        <v>1</v>
      </c>
      <c r="W4" s="5788">
        <v>16251.435897435897</v>
      </c>
      <c r="X4" s="5788" t="s">
        <v>2129</v>
      </c>
      <c r="Y4" s="5788"/>
      <c r="Z4" s="5788"/>
      <c r="AA4" s="5788"/>
      <c r="AB4" s="5788"/>
      <c r="AC4" s="5782">
        <v>149</v>
      </c>
      <c r="AD4" s="5789">
        <v>78</v>
      </c>
      <c r="AE4" s="5789">
        <v>71</v>
      </c>
      <c r="AF4" s="5782">
        <v>149</v>
      </c>
      <c r="AG4" s="5782" t="s">
        <v>2129</v>
      </c>
      <c r="AH4" s="5782" t="s">
        <v>2129</v>
      </c>
      <c r="AI4" s="5782" t="s">
        <v>2129</v>
      </c>
      <c r="AJ4" s="5782" t="s">
        <v>2129</v>
      </c>
      <c r="AK4" s="5782" t="s">
        <v>2129</v>
      </c>
      <c r="AL4" s="5782" t="s">
        <v>2129</v>
      </c>
      <c r="AM4" s="5782" t="s">
        <v>2129</v>
      </c>
      <c r="AO4" s="5782" t="s">
        <v>2129</v>
      </c>
      <c r="AT4" s="5782" t="s">
        <v>2129</v>
      </c>
      <c r="AU4" s="5782" t="s">
        <v>2129</v>
      </c>
      <c r="AV4" s="5782" t="s">
        <v>2129</v>
      </c>
      <c r="AW4" s="5782" t="s">
        <v>2129</v>
      </c>
      <c r="AX4" s="5782" t="s">
        <v>2129</v>
      </c>
      <c r="AY4" s="5782" t="s">
        <v>2129</v>
      </c>
      <c r="AZ4" s="5782" t="s">
        <v>2129</v>
      </c>
      <c r="BA4" s="5782" t="s">
        <v>2129</v>
      </c>
      <c r="BB4" s="5782" t="s">
        <v>2129</v>
      </c>
      <c r="BC4" s="5782" t="s">
        <v>2129</v>
      </c>
      <c r="BD4" s="5782" t="s">
        <v>2129</v>
      </c>
      <c r="BE4" s="5788" t="s">
        <v>2129</v>
      </c>
      <c r="BG4" s="5788" t="s">
        <v>2129</v>
      </c>
      <c r="BH4" s="5788" t="s">
        <v>2129</v>
      </c>
      <c r="BI4" s="5788" t="s">
        <v>2129</v>
      </c>
      <c r="BJ4" s="5788" t="s">
        <v>2129</v>
      </c>
      <c r="BK4" s="5788" t="s">
        <v>2129</v>
      </c>
      <c r="BL4" s="5788" t="s">
        <v>2129</v>
      </c>
      <c r="BM4" s="5788" t="s">
        <v>2129</v>
      </c>
      <c r="BN4" s="5788" t="s">
        <v>2129</v>
      </c>
      <c r="BO4" s="5788" t="s">
        <v>2129</v>
      </c>
      <c r="BP4" s="5788" t="s">
        <v>2129</v>
      </c>
      <c r="BQ4" s="5788" t="s">
        <v>2129</v>
      </c>
      <c r="BR4" s="5788" t="s">
        <v>2129</v>
      </c>
      <c r="BS4" s="5788" t="s">
        <v>2129</v>
      </c>
      <c r="BT4" s="5788" t="s">
        <v>2129</v>
      </c>
      <c r="BU4" s="5788" t="s">
        <v>2129</v>
      </c>
      <c r="BV4" s="5788" t="s">
        <v>2129</v>
      </c>
      <c r="BW4" s="5788" t="s">
        <v>2129</v>
      </c>
      <c r="BX4" s="5788" t="s">
        <v>2129</v>
      </c>
      <c r="BY4" s="5788"/>
      <c r="BZ4" s="5788" t="s">
        <v>2129</v>
      </c>
      <c r="CA4" s="5788" t="s">
        <v>2129</v>
      </c>
      <c r="CB4" s="5788" t="s">
        <v>2129</v>
      </c>
      <c r="CC4" s="5788" t="s">
        <v>2129</v>
      </c>
      <c r="CD4" s="5788"/>
      <c r="CE4" s="5784"/>
    </row>
    <row r="5" spans="1:83" s="5782" customFormat="1" ht="13">
      <c r="A5" s="5782">
        <v>7</v>
      </c>
      <c r="B5" s="5783" t="s">
        <v>3233</v>
      </c>
      <c r="C5" s="5784" t="s">
        <v>2129</v>
      </c>
      <c r="D5" s="5784" t="s">
        <v>2129</v>
      </c>
      <c r="E5" s="5784" t="s">
        <v>2129</v>
      </c>
      <c r="F5" s="5784" t="s">
        <v>2129</v>
      </c>
      <c r="G5" s="5784" t="s">
        <v>2129</v>
      </c>
      <c r="H5" s="5785">
        <v>1</v>
      </c>
      <c r="I5" s="5785">
        <v>1</v>
      </c>
      <c r="J5" s="5785">
        <v>1</v>
      </c>
      <c r="K5" s="5785" t="s">
        <v>2129</v>
      </c>
      <c r="L5" s="5786">
        <v>35295</v>
      </c>
      <c r="M5" s="5786">
        <v>0</v>
      </c>
      <c r="N5" s="5786">
        <v>0</v>
      </c>
      <c r="O5" s="5786">
        <v>0</v>
      </c>
      <c r="P5" s="5786">
        <v>0</v>
      </c>
      <c r="Q5" s="2476">
        <v>38824.5</v>
      </c>
      <c r="R5" s="2477">
        <v>38824</v>
      </c>
      <c r="S5" s="2477" t="b">
        <v>1</v>
      </c>
      <c r="T5" s="5786">
        <v>38824</v>
      </c>
      <c r="U5" s="5788">
        <v>565434</v>
      </c>
      <c r="V5" s="5788" t="b">
        <v>1</v>
      </c>
      <c r="W5" s="5788">
        <v>12850.772727272728</v>
      </c>
      <c r="X5" s="5788" t="s">
        <v>2129</v>
      </c>
      <c r="Y5" s="5788"/>
      <c r="Z5" s="5788"/>
      <c r="AA5" s="5788"/>
      <c r="AB5" s="5788"/>
      <c r="AC5" s="5782">
        <v>44</v>
      </c>
      <c r="AD5" s="5789">
        <v>44</v>
      </c>
      <c r="AE5" s="5789">
        <v>0</v>
      </c>
      <c r="AF5" s="5782">
        <v>44</v>
      </c>
      <c r="AG5" s="5782" t="s">
        <v>2129</v>
      </c>
      <c r="AH5" s="5782" t="s">
        <v>2129</v>
      </c>
      <c r="AI5" s="5782" t="s">
        <v>2129</v>
      </c>
      <c r="AJ5" s="5782" t="s">
        <v>2129</v>
      </c>
      <c r="AK5" s="5782" t="s">
        <v>2129</v>
      </c>
      <c r="AL5" s="5782" t="s">
        <v>2129</v>
      </c>
      <c r="AM5" s="5782" t="s">
        <v>2129</v>
      </c>
      <c r="AO5" s="5782" t="s">
        <v>2129</v>
      </c>
      <c r="AT5" s="5782" t="s">
        <v>2129</v>
      </c>
      <c r="AU5" s="5782" t="s">
        <v>2129</v>
      </c>
      <c r="AV5" s="5782" t="s">
        <v>2129</v>
      </c>
      <c r="AW5" s="5782" t="s">
        <v>2129</v>
      </c>
      <c r="AX5" s="5782" t="s">
        <v>2129</v>
      </c>
      <c r="AY5" s="5782" t="s">
        <v>2129</v>
      </c>
      <c r="AZ5" s="5782" t="s">
        <v>2129</v>
      </c>
      <c r="BA5" s="5782" t="s">
        <v>2129</v>
      </c>
      <c r="BB5" s="5782" t="s">
        <v>2129</v>
      </c>
      <c r="BC5" s="5782" t="s">
        <v>2129</v>
      </c>
      <c r="BD5" s="5782" t="s">
        <v>2129</v>
      </c>
      <c r="BE5" s="5788" t="s">
        <v>2129</v>
      </c>
      <c r="BG5" s="5788" t="s">
        <v>2129</v>
      </c>
      <c r="BH5" s="5788" t="s">
        <v>2129</v>
      </c>
      <c r="BI5" s="5788" t="s">
        <v>2129</v>
      </c>
      <c r="BJ5" s="5788" t="s">
        <v>2129</v>
      </c>
      <c r="BK5" s="5788" t="s">
        <v>2129</v>
      </c>
      <c r="BL5" s="5788" t="s">
        <v>2129</v>
      </c>
      <c r="BM5" s="5788" t="s">
        <v>2129</v>
      </c>
      <c r="BN5" s="5788" t="s">
        <v>2129</v>
      </c>
      <c r="BO5" s="5788" t="s">
        <v>2129</v>
      </c>
      <c r="BP5" s="5788" t="s">
        <v>2129</v>
      </c>
      <c r="BQ5" s="5788" t="s">
        <v>2129</v>
      </c>
      <c r="BR5" s="5788" t="s">
        <v>2129</v>
      </c>
      <c r="BS5" s="5788" t="s">
        <v>2129</v>
      </c>
      <c r="BT5" s="5788" t="s">
        <v>2129</v>
      </c>
      <c r="BU5" s="5788" t="s">
        <v>2129</v>
      </c>
      <c r="BV5" s="5788" t="s">
        <v>2129</v>
      </c>
      <c r="BW5" s="5788" t="s">
        <v>2129</v>
      </c>
      <c r="BX5" s="5788" t="s">
        <v>2129</v>
      </c>
      <c r="BY5" s="5788"/>
      <c r="BZ5" s="5788" t="s">
        <v>2129</v>
      </c>
      <c r="CA5" s="5788" t="s">
        <v>2129</v>
      </c>
      <c r="CB5" s="5788" t="s">
        <v>2129</v>
      </c>
      <c r="CC5" s="5788" t="s">
        <v>2129</v>
      </c>
      <c r="CD5" s="5788"/>
      <c r="CE5" s="5784"/>
    </row>
    <row r="6" spans="1:83" ht="13">
      <c r="A6">
        <v>8</v>
      </c>
      <c r="B6" s="196" t="s">
        <v>3234</v>
      </c>
      <c r="C6" s="5785" t="s">
        <v>2129</v>
      </c>
      <c r="D6" s="5785" t="s">
        <v>2129</v>
      </c>
      <c r="E6" s="5785" t="s">
        <v>2129</v>
      </c>
      <c r="F6" s="5785" t="s">
        <v>3791</v>
      </c>
      <c r="G6" s="5785" t="s">
        <v>2129</v>
      </c>
      <c r="H6" s="5785">
        <v>10</v>
      </c>
      <c r="I6" s="5785">
        <v>7</v>
      </c>
      <c r="J6" s="5785">
        <v>7</v>
      </c>
      <c r="K6" s="5785" t="s">
        <v>2129</v>
      </c>
      <c r="L6" s="5786">
        <v>1714708</v>
      </c>
      <c r="M6" s="5786">
        <v>82355</v>
      </c>
      <c r="N6" s="5786">
        <v>0</v>
      </c>
      <c r="O6" s="5786">
        <v>0</v>
      </c>
      <c r="P6" s="5786">
        <v>0</v>
      </c>
      <c r="Q6" s="2476">
        <v>1976769.3</v>
      </c>
      <c r="R6" s="2477">
        <v>1976769</v>
      </c>
      <c r="S6" s="2477" t="b">
        <v>1</v>
      </c>
      <c r="T6" s="5786">
        <v>282395.57142857142</v>
      </c>
      <c r="U6" s="863">
        <v>1014292</v>
      </c>
      <c r="V6" s="863" t="b">
        <v>1</v>
      </c>
      <c r="W6" s="863">
        <v>15368.060606060606</v>
      </c>
      <c r="X6" s="863">
        <v>20045.296442687748</v>
      </c>
      <c r="AC6">
        <v>90</v>
      </c>
      <c r="AD6" s="3965">
        <v>66</v>
      </c>
      <c r="AE6" s="3965">
        <v>24</v>
      </c>
      <c r="AF6">
        <v>102</v>
      </c>
      <c r="AG6" t="s">
        <v>2129</v>
      </c>
      <c r="AH6" t="s">
        <v>2129</v>
      </c>
      <c r="AI6" t="s">
        <v>2129</v>
      </c>
      <c r="AJ6">
        <v>44</v>
      </c>
      <c r="AK6" t="s">
        <v>2129</v>
      </c>
      <c r="AL6" t="s">
        <v>2129</v>
      </c>
      <c r="AM6" t="s">
        <v>2129</v>
      </c>
      <c r="AO6">
        <v>-22</v>
      </c>
      <c r="AT6" t="s">
        <v>2129</v>
      </c>
      <c r="AU6" t="s">
        <v>2129</v>
      </c>
      <c r="AV6" t="s">
        <v>2129</v>
      </c>
      <c r="AW6" t="s">
        <v>2129</v>
      </c>
      <c r="AX6" t="s">
        <v>2129</v>
      </c>
      <c r="AY6" t="s">
        <v>2129</v>
      </c>
      <c r="AZ6" t="s">
        <v>2129</v>
      </c>
      <c r="BA6" t="s">
        <v>2129</v>
      </c>
      <c r="BB6" t="s">
        <v>2129</v>
      </c>
      <c r="BC6">
        <v>10</v>
      </c>
      <c r="BD6" t="s">
        <v>2129</v>
      </c>
      <c r="BE6" s="1958" t="s">
        <v>2129</v>
      </c>
      <c r="BF6"/>
      <c r="BG6" s="863" t="s">
        <v>2129</v>
      </c>
      <c r="BH6" s="863" t="s">
        <v>2129</v>
      </c>
      <c r="BI6" s="863" t="s">
        <v>2129</v>
      </c>
      <c r="BJ6" s="863" t="s">
        <v>2129</v>
      </c>
      <c r="BK6" s="863" t="s">
        <v>2129</v>
      </c>
      <c r="BL6" s="863" t="s">
        <v>2129</v>
      </c>
      <c r="BM6" s="863" t="s">
        <v>2129</v>
      </c>
      <c r="BN6" s="863" t="s">
        <v>2129</v>
      </c>
      <c r="BO6" s="863" t="s">
        <v>2129</v>
      </c>
      <c r="BP6" s="863" t="s">
        <v>2129</v>
      </c>
      <c r="BQ6" s="863" t="s">
        <v>2129</v>
      </c>
      <c r="BR6" s="863" t="s">
        <v>2129</v>
      </c>
      <c r="BS6" s="863">
        <v>6761946.666666666</v>
      </c>
      <c r="BT6" s="863" t="s">
        <v>2129</v>
      </c>
      <c r="BU6" s="863" t="s">
        <v>2129</v>
      </c>
      <c r="BV6" s="863" t="s">
        <v>2129</v>
      </c>
      <c r="BW6" s="863" t="s">
        <v>2129</v>
      </c>
      <c r="BX6" s="863" t="s">
        <v>2129</v>
      </c>
      <c r="BY6" s="863"/>
      <c r="BZ6" s="863" t="s">
        <v>2129</v>
      </c>
      <c r="CA6" s="863" t="s">
        <v>2129</v>
      </c>
      <c r="CB6" s="863" t="s">
        <v>2129</v>
      </c>
      <c r="CC6" s="863" t="s">
        <v>2129</v>
      </c>
      <c r="CD6" s="863"/>
      <c r="CE6" s="5785"/>
    </row>
    <row r="7" spans="1:83" s="5782" customFormat="1" ht="13">
      <c r="A7" s="5782">
        <v>10</v>
      </c>
      <c r="B7" s="5783" t="s">
        <v>3235</v>
      </c>
      <c r="C7" s="5784" t="s">
        <v>2129</v>
      </c>
      <c r="D7" s="5784" t="s">
        <v>2129</v>
      </c>
      <c r="E7" s="5784" t="s">
        <v>2129</v>
      </c>
      <c r="F7" s="5784" t="s">
        <v>2129</v>
      </c>
      <c r="G7" s="5784" t="s">
        <v>2129</v>
      </c>
      <c r="H7" s="5785">
        <v>0</v>
      </c>
      <c r="I7" s="5785">
        <v>0</v>
      </c>
      <c r="J7" s="5785">
        <v>0</v>
      </c>
      <c r="K7" s="5785" t="s">
        <v>2129</v>
      </c>
      <c r="L7" s="5786">
        <v>0</v>
      </c>
      <c r="M7" s="5786">
        <v>0</v>
      </c>
      <c r="N7" s="5786">
        <v>0</v>
      </c>
      <c r="O7" s="5786">
        <v>0</v>
      </c>
      <c r="P7" s="5786">
        <v>0</v>
      </c>
      <c r="Q7" s="2476">
        <v>0</v>
      </c>
      <c r="R7" s="2477">
        <v>0</v>
      </c>
      <c r="S7" s="2477" t="b">
        <v>1</v>
      </c>
      <c r="T7" s="5786" t="s">
        <v>2129</v>
      </c>
      <c r="U7" s="5788">
        <v>882362</v>
      </c>
      <c r="V7" s="5788" t="b">
        <v>1</v>
      </c>
      <c r="W7" s="5788">
        <v>16648.33962264151</v>
      </c>
      <c r="X7" s="5788" t="s">
        <v>2129</v>
      </c>
      <c r="Y7" s="5788"/>
      <c r="Z7" s="5788"/>
      <c r="AA7" s="5788"/>
      <c r="AB7" s="5788"/>
      <c r="AC7" s="5782">
        <v>77</v>
      </c>
      <c r="AD7" s="5789">
        <v>53</v>
      </c>
      <c r="AE7" s="5789">
        <v>24</v>
      </c>
      <c r="AF7" s="5782">
        <v>89</v>
      </c>
      <c r="AG7" s="5782" t="s">
        <v>2129</v>
      </c>
      <c r="AH7" s="5782" t="s">
        <v>2129</v>
      </c>
      <c r="AI7" s="5782" t="s">
        <v>2129</v>
      </c>
      <c r="AJ7" s="5782" t="s">
        <v>2129</v>
      </c>
      <c r="AK7" s="5782" t="s">
        <v>2129</v>
      </c>
      <c r="AL7" s="5782" t="s">
        <v>2129</v>
      </c>
      <c r="AM7" s="5782" t="s">
        <v>2129</v>
      </c>
      <c r="AO7" s="5782" t="s">
        <v>2129</v>
      </c>
      <c r="AT7" s="5782" t="s">
        <v>2129</v>
      </c>
      <c r="AU7" s="5782" t="s">
        <v>2129</v>
      </c>
      <c r="AV7" s="5782" t="s">
        <v>2129</v>
      </c>
      <c r="AW7" s="5782" t="s">
        <v>2129</v>
      </c>
      <c r="AX7" s="5782" t="s">
        <v>2129</v>
      </c>
      <c r="AY7" s="5782" t="s">
        <v>2129</v>
      </c>
      <c r="AZ7" s="5782" t="s">
        <v>2129</v>
      </c>
      <c r="BA7" s="5782" t="s">
        <v>2129</v>
      </c>
      <c r="BB7" s="5782" t="s">
        <v>2129</v>
      </c>
      <c r="BC7" s="5782" t="s">
        <v>2129</v>
      </c>
      <c r="BD7" s="5782" t="s">
        <v>2129</v>
      </c>
      <c r="BE7" s="5788" t="s">
        <v>2129</v>
      </c>
      <c r="BG7" s="5788" t="s">
        <v>2129</v>
      </c>
      <c r="BH7" s="5788" t="s">
        <v>2129</v>
      </c>
      <c r="BI7" s="5788" t="s">
        <v>2129</v>
      </c>
      <c r="BJ7" s="5788" t="s">
        <v>2129</v>
      </c>
      <c r="BK7" s="5788" t="s">
        <v>2129</v>
      </c>
      <c r="BL7" s="5788" t="s">
        <v>2129</v>
      </c>
      <c r="BM7" s="5788" t="s">
        <v>2129</v>
      </c>
      <c r="BN7" s="5788" t="s">
        <v>2129</v>
      </c>
      <c r="BO7" s="5788" t="s">
        <v>2129</v>
      </c>
      <c r="BP7" s="5788" t="s">
        <v>2129</v>
      </c>
      <c r="BQ7" s="5788" t="s">
        <v>2129</v>
      </c>
      <c r="BR7" s="5788" t="s">
        <v>2129</v>
      </c>
      <c r="BS7" s="5788" t="s">
        <v>2129</v>
      </c>
      <c r="BT7" s="5788" t="s">
        <v>2129</v>
      </c>
      <c r="BU7" s="5788" t="s">
        <v>2129</v>
      </c>
      <c r="BV7" s="5788" t="s">
        <v>2129</v>
      </c>
      <c r="BW7" s="5788" t="s">
        <v>2129</v>
      </c>
      <c r="BX7" s="5788" t="s">
        <v>2129</v>
      </c>
      <c r="BY7" s="5788"/>
      <c r="BZ7" s="5788" t="s">
        <v>2129</v>
      </c>
      <c r="CA7" s="5788" t="s">
        <v>2129</v>
      </c>
      <c r="CB7" s="5788" t="s">
        <v>2129</v>
      </c>
      <c r="CC7" s="5788" t="s">
        <v>2129</v>
      </c>
      <c r="CD7" s="5788"/>
      <c r="CE7" s="5784"/>
    </row>
    <row r="8" spans="1:83" ht="13">
      <c r="A8">
        <v>12</v>
      </c>
      <c r="B8" s="196" t="s">
        <v>6615</v>
      </c>
      <c r="C8" s="5790" t="s">
        <v>6616</v>
      </c>
      <c r="D8" s="5790" t="s">
        <v>6599</v>
      </c>
      <c r="E8" s="5790" t="s">
        <v>2129</v>
      </c>
      <c r="F8" s="5785" t="s">
        <v>2129</v>
      </c>
      <c r="G8" s="5785" t="s">
        <v>2129</v>
      </c>
      <c r="H8" s="5785">
        <v>9</v>
      </c>
      <c r="I8" s="5785">
        <v>9</v>
      </c>
      <c r="J8" s="5785">
        <v>9</v>
      </c>
      <c r="K8" s="5785">
        <v>0</v>
      </c>
      <c r="L8" s="5786">
        <v>1384711</v>
      </c>
      <c r="M8" s="5786">
        <v>0</v>
      </c>
      <c r="N8" s="5786">
        <v>0</v>
      </c>
      <c r="O8" s="5786">
        <v>0</v>
      </c>
      <c r="P8" s="5786">
        <v>0</v>
      </c>
      <c r="Q8" s="2476">
        <v>1523182.1</v>
      </c>
      <c r="R8" s="2477">
        <v>1523182</v>
      </c>
      <c r="S8" s="2477" t="b">
        <v>1</v>
      </c>
      <c r="T8" s="5786">
        <v>169242.44444444444</v>
      </c>
      <c r="U8" s="863">
        <v>2332052</v>
      </c>
      <c r="V8" s="863" t="b">
        <v>1</v>
      </c>
      <c r="W8" s="863">
        <v>12146.104166666666</v>
      </c>
      <c r="X8" s="863" t="s">
        <v>2129</v>
      </c>
      <c r="Y8" s="863">
        <v>1100</v>
      </c>
      <c r="AC8">
        <v>224</v>
      </c>
      <c r="AD8" s="3965">
        <v>192</v>
      </c>
      <c r="AE8" s="3965">
        <v>32</v>
      </c>
      <c r="AF8">
        <v>241</v>
      </c>
      <c r="AG8">
        <v>224</v>
      </c>
      <c r="AH8" t="s">
        <v>2129</v>
      </c>
      <c r="AI8" t="s">
        <v>2129</v>
      </c>
      <c r="AJ8" t="s">
        <v>2129</v>
      </c>
      <c r="AK8" t="s">
        <v>2129</v>
      </c>
      <c r="AL8">
        <v>32</v>
      </c>
      <c r="AO8" t="s">
        <v>2129</v>
      </c>
      <c r="AT8">
        <v>29</v>
      </c>
      <c r="AU8">
        <v>29</v>
      </c>
      <c r="AV8" t="s">
        <v>2129</v>
      </c>
      <c r="AW8" t="s">
        <v>2129</v>
      </c>
      <c r="AX8" t="s">
        <v>2129</v>
      </c>
      <c r="AY8" t="s">
        <v>2129</v>
      </c>
      <c r="AZ8" t="s">
        <v>2129</v>
      </c>
      <c r="BA8" t="s">
        <v>2129</v>
      </c>
      <c r="BB8" t="s">
        <v>2129</v>
      </c>
      <c r="BC8" t="s">
        <v>2129</v>
      </c>
      <c r="BD8" t="s">
        <v>2129</v>
      </c>
      <c r="BE8" s="1958">
        <v>67629508</v>
      </c>
      <c r="BF8" s="1958">
        <v>67629508</v>
      </c>
      <c r="BG8" s="1958" t="s">
        <v>2129</v>
      </c>
      <c r="BH8" s="1958" t="s">
        <v>2129</v>
      </c>
      <c r="BI8" s="1958" t="s">
        <v>2129</v>
      </c>
      <c r="BJ8" s="1958" t="s">
        <v>2129</v>
      </c>
      <c r="BK8" s="1958" t="s">
        <v>2129</v>
      </c>
      <c r="BL8" s="1958" t="s">
        <v>2129</v>
      </c>
      <c r="BM8" s="1958" t="s">
        <v>2129</v>
      </c>
      <c r="BN8" s="863" t="s">
        <v>2129</v>
      </c>
      <c r="BO8" s="863" t="s">
        <v>2129</v>
      </c>
      <c r="BP8" s="1958" t="s">
        <v>2129</v>
      </c>
      <c r="BQ8" s="1958" t="s">
        <v>2129</v>
      </c>
      <c r="BR8" s="1958" t="s">
        <v>2129</v>
      </c>
      <c r="BS8" s="1958" t="s">
        <v>2129</v>
      </c>
      <c r="BT8" s="1958" t="s">
        <v>2129</v>
      </c>
      <c r="BU8" s="1958">
        <v>44172278</v>
      </c>
      <c r="BV8" s="1958">
        <v>44172278</v>
      </c>
      <c r="BW8" s="1958" t="s">
        <v>2129</v>
      </c>
      <c r="BX8" s="1958" t="s">
        <v>2129</v>
      </c>
      <c r="BZ8" s="1958" t="s">
        <v>2129</v>
      </c>
      <c r="CA8" s="1958" t="s">
        <v>2129</v>
      </c>
      <c r="CB8" s="1958" t="s">
        <v>2129</v>
      </c>
      <c r="CC8" s="1958" t="s">
        <v>2129</v>
      </c>
      <c r="CE8" s="5785"/>
    </row>
    <row r="9" spans="1:83" ht="13">
      <c r="A9">
        <v>15</v>
      </c>
      <c r="B9" s="196" t="s">
        <v>3237</v>
      </c>
      <c r="C9" s="5799" t="s">
        <v>6616</v>
      </c>
      <c r="D9" s="5799" t="s">
        <v>2129</v>
      </c>
      <c r="E9" s="5799" t="s">
        <v>2129</v>
      </c>
      <c r="F9" s="5785" t="s">
        <v>2129</v>
      </c>
      <c r="G9" s="5785" t="s">
        <v>2129</v>
      </c>
      <c r="H9" s="5785">
        <v>7</v>
      </c>
      <c r="I9" s="5785">
        <v>7</v>
      </c>
      <c r="J9" s="5785">
        <v>7</v>
      </c>
      <c r="K9" s="5785">
        <v>0</v>
      </c>
      <c r="L9" s="5786">
        <v>2249182</v>
      </c>
      <c r="M9" s="5786">
        <v>94120</v>
      </c>
      <c r="N9" s="5786">
        <v>0</v>
      </c>
      <c r="O9" s="5786">
        <v>0</v>
      </c>
      <c r="P9" s="5786">
        <v>0</v>
      </c>
      <c r="Q9" s="2476">
        <v>2577632.2000000002</v>
      </c>
      <c r="R9" s="2477">
        <v>2586443</v>
      </c>
      <c r="S9" s="2477" t="b">
        <v>0</v>
      </c>
      <c r="T9" s="5786">
        <v>369491.85714285716</v>
      </c>
      <c r="U9" s="863">
        <v>1151291</v>
      </c>
      <c r="V9" s="863" t="b">
        <v>1</v>
      </c>
      <c r="W9" s="863">
        <v>16447.014285714286</v>
      </c>
      <c r="X9" s="863" t="s">
        <v>2129</v>
      </c>
      <c r="Y9" s="863">
        <v>2200</v>
      </c>
      <c r="AC9">
        <v>73</v>
      </c>
      <c r="AD9" s="3965">
        <v>70</v>
      </c>
      <c r="AE9" s="3965">
        <v>3</v>
      </c>
      <c r="AF9">
        <v>90</v>
      </c>
      <c r="AG9">
        <v>73</v>
      </c>
      <c r="AH9" t="s">
        <v>2129</v>
      </c>
      <c r="AI9" t="s">
        <v>2129</v>
      </c>
      <c r="AJ9" t="s">
        <v>2129</v>
      </c>
      <c r="AK9" t="s">
        <v>2129</v>
      </c>
      <c r="AL9">
        <v>3</v>
      </c>
      <c r="AO9" t="s">
        <v>2129</v>
      </c>
      <c r="AT9">
        <v>29</v>
      </c>
      <c r="AU9" t="s">
        <v>2129</v>
      </c>
      <c r="AV9" t="s">
        <v>2129</v>
      </c>
      <c r="AW9" t="s">
        <v>2129</v>
      </c>
      <c r="AX9" t="s">
        <v>2129</v>
      </c>
      <c r="AY9" t="s">
        <v>2129</v>
      </c>
      <c r="AZ9" t="s">
        <v>2129</v>
      </c>
      <c r="BA9" t="s">
        <v>2129</v>
      </c>
      <c r="BB9" t="s">
        <v>2129</v>
      </c>
      <c r="BC9" t="s">
        <v>2129</v>
      </c>
      <c r="BD9" t="s">
        <v>2129</v>
      </c>
      <c r="BE9" s="1958">
        <v>33387439</v>
      </c>
      <c r="BF9" s="1958" t="s">
        <v>2129</v>
      </c>
      <c r="BG9" s="1958" t="s">
        <v>2129</v>
      </c>
      <c r="BH9" s="1958" t="s">
        <v>2129</v>
      </c>
      <c r="BI9" s="1958" t="s">
        <v>2129</v>
      </c>
      <c r="BJ9" s="1958" t="s">
        <v>2129</v>
      </c>
      <c r="BK9" s="1958" t="s">
        <v>2129</v>
      </c>
      <c r="BL9" s="1958" t="s">
        <v>2129</v>
      </c>
      <c r="BM9" s="1958" t="s">
        <v>2129</v>
      </c>
      <c r="BN9" s="863" t="s">
        <v>2129</v>
      </c>
      <c r="BO9" s="863" t="s">
        <v>2129</v>
      </c>
      <c r="BP9" s="1958" t="s">
        <v>2129</v>
      </c>
      <c r="BQ9" s="1958" t="s">
        <v>2129</v>
      </c>
      <c r="BR9" s="1958" t="s">
        <v>2129</v>
      </c>
      <c r="BS9" s="1958" t="s">
        <v>2129</v>
      </c>
      <c r="BT9" s="1958" t="s">
        <v>2129</v>
      </c>
      <c r="BU9" s="1958">
        <v>75006847</v>
      </c>
      <c r="BV9" s="1958" t="s">
        <v>2129</v>
      </c>
      <c r="BW9" s="1958" t="s">
        <v>2129</v>
      </c>
      <c r="BX9" s="1958" t="s">
        <v>2129</v>
      </c>
      <c r="BZ9" s="1958" t="s">
        <v>2129</v>
      </c>
      <c r="CA9" s="1958" t="s">
        <v>2129</v>
      </c>
      <c r="CB9" s="1958" t="s">
        <v>2129</v>
      </c>
      <c r="CC9" s="1958" t="s">
        <v>2129</v>
      </c>
      <c r="CE9" s="5785"/>
    </row>
    <row r="10" spans="1:83" s="5782" customFormat="1" ht="13">
      <c r="A10" s="5782">
        <v>20</v>
      </c>
      <c r="B10" s="5783" t="s">
        <v>3238</v>
      </c>
      <c r="C10" s="5784" t="s">
        <v>2129</v>
      </c>
      <c r="D10" s="5784" t="s">
        <v>2129</v>
      </c>
      <c r="E10" s="5784" t="s">
        <v>2129</v>
      </c>
      <c r="F10" s="5784" t="s">
        <v>2129</v>
      </c>
      <c r="G10" s="5784" t="s">
        <v>2129</v>
      </c>
      <c r="H10" s="5785">
        <v>11</v>
      </c>
      <c r="I10" s="5785">
        <v>7</v>
      </c>
      <c r="J10" s="5785">
        <v>13</v>
      </c>
      <c r="K10" s="5785" t="s">
        <v>2129</v>
      </c>
      <c r="L10" s="5786">
        <v>423532</v>
      </c>
      <c r="M10" s="5786">
        <v>0</v>
      </c>
      <c r="N10" s="5786">
        <v>0</v>
      </c>
      <c r="O10" s="5786">
        <v>0</v>
      </c>
      <c r="P10" s="5786">
        <v>0</v>
      </c>
      <c r="Q10" s="2476">
        <v>465885.2</v>
      </c>
      <c r="R10" s="2477">
        <v>465885</v>
      </c>
      <c r="S10" s="2477" t="b">
        <v>0</v>
      </c>
      <c r="T10" s="5786">
        <v>66555</v>
      </c>
      <c r="U10" s="5788">
        <v>571235</v>
      </c>
      <c r="V10" s="5788" t="b">
        <v>1</v>
      </c>
      <c r="W10" s="5788">
        <v>9067.2222222222226</v>
      </c>
      <c r="X10" s="5788" t="s">
        <v>2129</v>
      </c>
      <c r="Y10" s="5788"/>
      <c r="Z10" s="5788"/>
      <c r="AA10" s="5788"/>
      <c r="AB10" s="5788"/>
      <c r="AC10" s="5782">
        <v>63</v>
      </c>
      <c r="AD10" s="5789">
        <v>63</v>
      </c>
      <c r="AE10" s="5789">
        <v>0</v>
      </c>
      <c r="AF10" s="5782">
        <v>80</v>
      </c>
      <c r="AG10" s="5782" t="s">
        <v>2129</v>
      </c>
      <c r="AH10" s="5782" t="s">
        <v>2129</v>
      </c>
      <c r="AI10" s="5782" t="s">
        <v>2129</v>
      </c>
      <c r="AJ10" s="5782" t="s">
        <v>2129</v>
      </c>
      <c r="AK10" s="5782" t="s">
        <v>2129</v>
      </c>
      <c r="AL10" s="5782" t="s">
        <v>2129</v>
      </c>
      <c r="AO10" s="5782" t="s">
        <v>2129</v>
      </c>
      <c r="AT10" s="5782" t="s">
        <v>2129</v>
      </c>
      <c r="AU10" s="5782" t="s">
        <v>2129</v>
      </c>
      <c r="AV10" s="5782" t="s">
        <v>2129</v>
      </c>
      <c r="AW10" s="5782" t="s">
        <v>2129</v>
      </c>
      <c r="AX10" s="5782" t="s">
        <v>2129</v>
      </c>
      <c r="AY10" s="5782" t="s">
        <v>2129</v>
      </c>
      <c r="AZ10" s="5782" t="s">
        <v>2129</v>
      </c>
      <c r="BA10" s="5782" t="s">
        <v>2129</v>
      </c>
      <c r="BB10" s="5782" t="s">
        <v>2129</v>
      </c>
      <c r="BC10" s="5782" t="s">
        <v>2129</v>
      </c>
      <c r="BD10" s="5782" t="s">
        <v>2129</v>
      </c>
      <c r="BE10" s="5788" t="s">
        <v>2129</v>
      </c>
      <c r="BG10" s="5788" t="s">
        <v>2129</v>
      </c>
      <c r="BH10" s="5788" t="s">
        <v>2129</v>
      </c>
      <c r="BI10" s="5788" t="s">
        <v>2129</v>
      </c>
      <c r="BJ10" s="5788" t="s">
        <v>2129</v>
      </c>
      <c r="BK10" s="5788" t="s">
        <v>2129</v>
      </c>
      <c r="BL10" s="5788" t="s">
        <v>2129</v>
      </c>
      <c r="BM10" s="5788" t="s">
        <v>2129</v>
      </c>
      <c r="BN10" s="5788" t="s">
        <v>2129</v>
      </c>
      <c r="BO10" s="5788" t="s">
        <v>2129</v>
      </c>
      <c r="BP10" s="5788" t="s">
        <v>2129</v>
      </c>
      <c r="BQ10" s="5788" t="s">
        <v>2129</v>
      </c>
      <c r="BR10" s="5788" t="s">
        <v>2129</v>
      </c>
      <c r="BS10" s="5788" t="s">
        <v>2129</v>
      </c>
      <c r="BT10" s="5788" t="s">
        <v>2129</v>
      </c>
      <c r="BU10" s="5788" t="s">
        <v>2129</v>
      </c>
      <c r="BV10" s="5788" t="s">
        <v>2129</v>
      </c>
      <c r="BW10" s="5788" t="s">
        <v>2129</v>
      </c>
      <c r="BX10" s="5788" t="s">
        <v>2129</v>
      </c>
      <c r="BY10" s="5788"/>
      <c r="BZ10" s="5788" t="s">
        <v>2129</v>
      </c>
      <c r="CA10" s="5788" t="s">
        <v>2129</v>
      </c>
      <c r="CB10" s="5788" t="s">
        <v>2129</v>
      </c>
      <c r="CC10" s="5788" t="s">
        <v>2129</v>
      </c>
      <c r="CD10" s="5788"/>
      <c r="CE10" s="5784"/>
    </row>
    <row r="11" spans="1:83" ht="13">
      <c r="A11">
        <v>21</v>
      </c>
      <c r="B11" s="196" t="s">
        <v>3239</v>
      </c>
      <c r="C11" s="5785" t="s">
        <v>2129</v>
      </c>
      <c r="D11" s="5785" t="s">
        <v>2129</v>
      </c>
      <c r="E11" s="5785" t="s">
        <v>2129</v>
      </c>
      <c r="F11" s="5785" t="s">
        <v>3791</v>
      </c>
      <c r="G11" s="5785" t="s">
        <v>2129</v>
      </c>
      <c r="H11" s="5785">
        <v>15</v>
      </c>
      <c r="I11" s="5785">
        <v>13</v>
      </c>
      <c r="J11" s="5785">
        <v>19</v>
      </c>
      <c r="K11" s="5785" t="s">
        <v>2129</v>
      </c>
      <c r="L11" s="5786">
        <v>2083772</v>
      </c>
      <c r="M11" s="5786">
        <v>0</v>
      </c>
      <c r="N11" s="5786">
        <v>0</v>
      </c>
      <c r="O11" s="5786">
        <v>0</v>
      </c>
      <c r="P11" s="5786">
        <v>0</v>
      </c>
      <c r="Q11" s="2476">
        <v>2292149.2000000002</v>
      </c>
      <c r="R11" s="2477">
        <v>2292149</v>
      </c>
      <c r="S11" s="2477" t="b">
        <v>0</v>
      </c>
      <c r="T11" s="5786">
        <v>176319.15384615384</v>
      </c>
      <c r="U11" s="863">
        <v>1527110</v>
      </c>
      <c r="V11" s="863" t="b">
        <v>1</v>
      </c>
      <c r="W11" s="863">
        <v>27269.821428571428</v>
      </c>
      <c r="X11" s="863">
        <v>165990.21739130435</v>
      </c>
      <c r="AC11">
        <v>56</v>
      </c>
      <c r="AD11" s="3965">
        <v>56</v>
      </c>
      <c r="AE11" s="3965">
        <v>0</v>
      </c>
      <c r="AF11">
        <v>74</v>
      </c>
      <c r="AG11" t="s">
        <v>2129</v>
      </c>
      <c r="AH11" t="s">
        <v>2129</v>
      </c>
      <c r="AI11" t="s">
        <v>2129</v>
      </c>
      <c r="AJ11">
        <v>8</v>
      </c>
      <c r="AK11" t="s">
        <v>2129</v>
      </c>
      <c r="AL11" t="s">
        <v>2129</v>
      </c>
      <c r="AO11">
        <v>-48</v>
      </c>
      <c r="AT11" t="s">
        <v>2129</v>
      </c>
      <c r="AU11" t="s">
        <v>2129</v>
      </c>
      <c r="AV11" t="s">
        <v>2129</v>
      </c>
      <c r="AW11" t="s">
        <v>2129</v>
      </c>
      <c r="AX11" t="s">
        <v>2129</v>
      </c>
      <c r="AY11" t="s">
        <v>2129</v>
      </c>
      <c r="AZ11" t="s">
        <v>2129</v>
      </c>
      <c r="BA11" t="s">
        <v>2129</v>
      </c>
      <c r="BB11" t="s">
        <v>2129</v>
      </c>
      <c r="BC11">
        <v>10</v>
      </c>
      <c r="BD11" t="s">
        <v>2129</v>
      </c>
      <c r="BE11" s="1958" t="s">
        <v>2129</v>
      </c>
      <c r="BF11"/>
      <c r="BG11" s="863" t="s">
        <v>2129</v>
      </c>
      <c r="BH11" s="863" t="s">
        <v>2129</v>
      </c>
      <c r="BI11" s="863" t="s">
        <v>2129</v>
      </c>
      <c r="BJ11" s="863" t="s">
        <v>2129</v>
      </c>
      <c r="BK11" s="863" t="s">
        <v>2129</v>
      </c>
      <c r="BL11" s="863" t="s">
        <v>2129</v>
      </c>
      <c r="BM11" s="863" t="s">
        <v>2129</v>
      </c>
      <c r="BN11" s="863" t="s">
        <v>2129</v>
      </c>
      <c r="BO11" s="863" t="s">
        <v>2129</v>
      </c>
      <c r="BP11" s="863" t="s">
        <v>2129</v>
      </c>
      <c r="BQ11" s="863" t="s">
        <v>2129</v>
      </c>
      <c r="BR11" s="863" t="s">
        <v>2129</v>
      </c>
      <c r="BS11" s="863">
        <v>2181585.7142857141</v>
      </c>
      <c r="BT11" s="863" t="s">
        <v>2129</v>
      </c>
      <c r="BU11" s="863" t="s">
        <v>2129</v>
      </c>
      <c r="BV11" s="863" t="s">
        <v>2129</v>
      </c>
      <c r="BW11" s="863" t="s">
        <v>2129</v>
      </c>
      <c r="BX11" s="863" t="s">
        <v>2129</v>
      </c>
      <c r="BY11" s="863"/>
      <c r="BZ11" s="863" t="s">
        <v>2129</v>
      </c>
      <c r="CA11" s="863" t="s">
        <v>2129</v>
      </c>
      <c r="CB11" s="863" t="s">
        <v>2129</v>
      </c>
      <c r="CC11" s="863" t="s">
        <v>2129</v>
      </c>
      <c r="CD11" s="863"/>
      <c r="CE11" s="5785"/>
    </row>
    <row r="12" spans="1:83" ht="13">
      <c r="A12">
        <v>22</v>
      </c>
      <c r="B12" s="196" t="s">
        <v>3240</v>
      </c>
      <c r="C12" s="5785" t="s">
        <v>2129</v>
      </c>
      <c r="D12" s="2694" t="s">
        <v>3791</v>
      </c>
      <c r="E12" s="2694" t="s">
        <v>2129</v>
      </c>
      <c r="F12" s="5785" t="s">
        <v>2129</v>
      </c>
      <c r="G12" s="5785" t="s">
        <v>2129</v>
      </c>
      <c r="H12" s="5785">
        <v>0</v>
      </c>
      <c r="I12" s="5785">
        <v>0</v>
      </c>
      <c r="J12" s="5785">
        <v>6</v>
      </c>
      <c r="K12" s="5785" t="s">
        <v>2129</v>
      </c>
      <c r="L12" s="5786">
        <v>0</v>
      </c>
      <c r="M12" s="5786">
        <v>0</v>
      </c>
      <c r="N12" s="5786">
        <v>0</v>
      </c>
      <c r="O12" s="5786">
        <v>0</v>
      </c>
      <c r="P12" s="5786">
        <v>0</v>
      </c>
      <c r="Q12" s="2476">
        <v>0</v>
      </c>
      <c r="R12" s="2477">
        <v>0</v>
      </c>
      <c r="S12" s="2477" t="b">
        <v>1</v>
      </c>
      <c r="T12" s="5786" t="s">
        <v>2129</v>
      </c>
      <c r="U12" s="863">
        <v>5113662</v>
      </c>
      <c r="V12" s="863" t="b">
        <v>1</v>
      </c>
      <c r="W12" s="863">
        <v>19517.793893129772</v>
      </c>
      <c r="X12" s="863" t="s">
        <v>2129</v>
      </c>
      <c r="AC12">
        <v>262</v>
      </c>
      <c r="AD12" s="3965">
        <v>262</v>
      </c>
      <c r="AE12" s="3965">
        <v>0</v>
      </c>
      <c r="AF12">
        <v>262</v>
      </c>
      <c r="AG12" t="s">
        <v>2129</v>
      </c>
      <c r="AH12">
        <v>129</v>
      </c>
      <c r="AI12" t="s">
        <v>2129</v>
      </c>
      <c r="AJ12" t="s">
        <v>2129</v>
      </c>
      <c r="AK12" t="s">
        <v>2129</v>
      </c>
      <c r="AL12" t="s">
        <v>2129</v>
      </c>
      <c r="AO12" t="s">
        <v>2129</v>
      </c>
      <c r="AT12" t="s">
        <v>2129</v>
      </c>
      <c r="AU12" t="s">
        <v>2129</v>
      </c>
      <c r="AV12" t="s">
        <v>2129</v>
      </c>
      <c r="AW12" t="s">
        <v>2129</v>
      </c>
      <c r="AX12">
        <v>11</v>
      </c>
      <c r="AY12" t="s">
        <v>2129</v>
      </c>
      <c r="AZ12" t="s">
        <v>2129</v>
      </c>
      <c r="BA12" t="s">
        <v>2129</v>
      </c>
      <c r="BB12" t="s">
        <v>2129</v>
      </c>
      <c r="BC12" t="s">
        <v>2129</v>
      </c>
      <c r="BD12" t="s">
        <v>2129</v>
      </c>
      <c r="BE12" s="1958" t="s">
        <v>2129</v>
      </c>
      <c r="BF12"/>
      <c r="BG12" s="863" t="s">
        <v>2129</v>
      </c>
      <c r="BH12" s="863" t="s">
        <v>2129</v>
      </c>
      <c r="BI12" s="863" t="s">
        <v>2129</v>
      </c>
      <c r="BJ12" s="863" t="s">
        <v>2129</v>
      </c>
      <c r="BK12" s="863">
        <v>27695749.534351144</v>
      </c>
      <c r="BL12" s="863" t="s">
        <v>2129</v>
      </c>
      <c r="BM12" s="863" t="s">
        <v>2129</v>
      </c>
      <c r="BN12" s="863" t="s">
        <v>2129</v>
      </c>
      <c r="BO12" s="863" t="s">
        <v>2129</v>
      </c>
      <c r="BP12" s="863" t="s">
        <v>2129</v>
      </c>
      <c r="BQ12" s="863" t="s">
        <v>2129</v>
      </c>
      <c r="BR12" s="863" t="s">
        <v>2129</v>
      </c>
      <c r="BS12" s="863" t="s">
        <v>2129</v>
      </c>
      <c r="BT12" s="863" t="s">
        <v>2129</v>
      </c>
      <c r="BU12" s="863" t="s">
        <v>2129</v>
      </c>
      <c r="BV12" s="863" t="s">
        <v>2129</v>
      </c>
      <c r="BW12" s="863" t="s">
        <v>2129</v>
      </c>
      <c r="BX12" s="863" t="s">
        <v>2129</v>
      </c>
      <c r="BY12" s="863"/>
      <c r="BZ12" s="863" t="s">
        <v>2129</v>
      </c>
      <c r="CA12" s="863" t="s">
        <v>2129</v>
      </c>
      <c r="CB12" s="863" t="s">
        <v>2129</v>
      </c>
      <c r="CC12" s="863" t="s">
        <v>2129</v>
      </c>
      <c r="CD12" s="863"/>
      <c r="CE12" s="5785"/>
    </row>
    <row r="13" spans="1:83" ht="13">
      <c r="A13">
        <v>24</v>
      </c>
      <c r="B13" s="196" t="s">
        <v>2831</v>
      </c>
      <c r="C13" s="5790" t="s">
        <v>6616</v>
      </c>
      <c r="D13" s="5790" t="s">
        <v>6599</v>
      </c>
      <c r="E13" s="5790" t="s">
        <v>2129</v>
      </c>
      <c r="F13" s="5792" t="s">
        <v>5205</v>
      </c>
      <c r="G13" s="5792" t="s">
        <v>2129</v>
      </c>
      <c r="H13" s="5785">
        <v>16</v>
      </c>
      <c r="I13" s="5785">
        <v>6</v>
      </c>
      <c r="J13" s="5785">
        <v>9</v>
      </c>
      <c r="K13" s="5785">
        <v>10</v>
      </c>
      <c r="L13" s="5786">
        <v>11550003</v>
      </c>
      <c r="M13" s="5786">
        <v>550005</v>
      </c>
      <c r="N13" s="5786">
        <v>0</v>
      </c>
      <c r="O13" s="5786">
        <v>0</v>
      </c>
      <c r="P13" s="5786">
        <v>0</v>
      </c>
      <c r="Q13" s="2476">
        <v>13310008.800000001</v>
      </c>
      <c r="R13" s="2477">
        <v>10233758</v>
      </c>
      <c r="S13" s="5800" t="b">
        <v>1</v>
      </c>
      <c r="T13" s="5786">
        <v>1705626.3333333333</v>
      </c>
      <c r="U13" s="863">
        <v>5161695</v>
      </c>
      <c r="V13" s="863" t="b">
        <v>1</v>
      </c>
      <c r="W13" s="863">
        <v>22345</v>
      </c>
      <c r="X13" s="863">
        <v>19772.821298601804</v>
      </c>
      <c r="Y13" s="863">
        <v>2200</v>
      </c>
      <c r="AA13" s="863">
        <v>14236</v>
      </c>
      <c r="AB13" s="863">
        <v>52118</v>
      </c>
      <c r="AC13">
        <v>243</v>
      </c>
      <c r="AD13" s="3965">
        <v>231</v>
      </c>
      <c r="AE13" s="3965">
        <v>12</v>
      </c>
      <c r="AF13">
        <v>322</v>
      </c>
      <c r="AG13">
        <v>243</v>
      </c>
      <c r="AH13" t="s">
        <v>2129</v>
      </c>
      <c r="AI13" t="s">
        <v>2129</v>
      </c>
      <c r="AJ13" s="1866">
        <v>227</v>
      </c>
      <c r="AK13" t="s">
        <v>2129</v>
      </c>
      <c r="AL13">
        <v>12</v>
      </c>
      <c r="AO13">
        <v>-4</v>
      </c>
      <c r="AT13">
        <v>26</v>
      </c>
      <c r="AU13">
        <v>26</v>
      </c>
      <c r="AV13" t="s">
        <v>2129</v>
      </c>
      <c r="AW13" t="s">
        <v>2129</v>
      </c>
      <c r="AX13" t="s">
        <v>2129</v>
      </c>
      <c r="AY13" t="s">
        <v>2129</v>
      </c>
      <c r="AZ13">
        <v>16</v>
      </c>
      <c r="BA13" t="s">
        <v>2129</v>
      </c>
      <c r="BB13" t="s">
        <v>2129</v>
      </c>
      <c r="BC13" t="s">
        <v>2129</v>
      </c>
      <c r="BD13" t="s">
        <v>2129</v>
      </c>
      <c r="BE13" s="1958">
        <v>134204070</v>
      </c>
      <c r="BF13" s="1958">
        <v>134204070</v>
      </c>
      <c r="BG13" s="1958" t="s">
        <v>2129</v>
      </c>
      <c r="BH13" s="1958" t="s">
        <v>2129</v>
      </c>
      <c r="BI13" s="1958" t="s">
        <v>2129</v>
      </c>
      <c r="BJ13" s="1958" t="s">
        <v>2129</v>
      </c>
      <c r="BK13" s="1958" t="s">
        <v>2129</v>
      </c>
      <c r="BL13" s="1958" t="s">
        <v>2129</v>
      </c>
      <c r="BM13" s="1958">
        <v>82587120</v>
      </c>
      <c r="BN13" s="863">
        <v>81157040</v>
      </c>
      <c r="BO13" s="863" t="s">
        <v>2129</v>
      </c>
      <c r="BP13" s="1958" t="s">
        <v>2129</v>
      </c>
      <c r="BQ13" s="1958" t="s">
        <v>2129</v>
      </c>
      <c r="BR13" s="1958" t="s">
        <v>2129</v>
      </c>
      <c r="BS13" s="1958" t="s">
        <v>2129</v>
      </c>
      <c r="BT13" s="1958" t="s">
        <v>2129</v>
      </c>
      <c r="BU13" s="1958">
        <v>266077708</v>
      </c>
      <c r="BV13" s="1958">
        <v>266077708</v>
      </c>
      <c r="BW13" s="1958" t="s">
        <v>2129</v>
      </c>
      <c r="BX13" s="1958" t="s">
        <v>2129</v>
      </c>
      <c r="BZ13" s="863">
        <v>163740128</v>
      </c>
      <c r="CA13" s="1958">
        <v>163740128</v>
      </c>
      <c r="CB13" s="1958" t="s">
        <v>2129</v>
      </c>
      <c r="CC13" s="1958" t="s">
        <v>2129</v>
      </c>
      <c r="CE13" s="5785"/>
    </row>
    <row r="14" spans="1:83" ht="13">
      <c r="A14">
        <v>26</v>
      </c>
      <c r="B14" s="196" t="s">
        <v>3242</v>
      </c>
      <c r="C14" s="5785" t="s">
        <v>3694</v>
      </c>
      <c r="D14" s="5785" t="s">
        <v>3791</v>
      </c>
      <c r="E14" s="5785" t="s">
        <v>2129</v>
      </c>
      <c r="F14" s="5785" t="s">
        <v>3694</v>
      </c>
      <c r="G14" s="5785" t="s">
        <v>2129</v>
      </c>
      <c r="H14" s="5785">
        <v>0</v>
      </c>
      <c r="I14" s="5785">
        <v>0</v>
      </c>
      <c r="J14" s="5785">
        <v>2</v>
      </c>
      <c r="K14" s="5785" t="s">
        <v>2129</v>
      </c>
      <c r="L14" s="5786">
        <v>0</v>
      </c>
      <c r="M14" s="5786">
        <v>0</v>
      </c>
      <c r="N14" s="5786">
        <v>0</v>
      </c>
      <c r="O14" s="5786">
        <v>0</v>
      </c>
      <c r="P14" s="5786">
        <v>0</v>
      </c>
      <c r="Q14" s="2476">
        <v>0</v>
      </c>
      <c r="R14" s="2477">
        <v>0</v>
      </c>
      <c r="S14" s="2477" t="b">
        <v>1</v>
      </c>
      <c r="T14" s="5786" t="s">
        <v>2129</v>
      </c>
      <c r="U14" s="1958">
        <v>1190618</v>
      </c>
      <c r="V14" s="5793" t="b">
        <v>1</v>
      </c>
      <c r="W14" s="863">
        <v>12941.5</v>
      </c>
      <c r="X14" s="863">
        <v>21569.166666666668</v>
      </c>
      <c r="AC14">
        <v>285</v>
      </c>
      <c r="AD14">
        <v>92</v>
      </c>
      <c r="AE14">
        <v>193</v>
      </c>
      <c r="AF14">
        <v>292</v>
      </c>
      <c r="AG14">
        <v>205</v>
      </c>
      <c r="AH14">
        <v>92</v>
      </c>
      <c r="AI14" t="s">
        <v>2129</v>
      </c>
      <c r="AJ14">
        <v>48</v>
      </c>
      <c r="AK14" t="s">
        <v>2129</v>
      </c>
      <c r="AL14">
        <v>0</v>
      </c>
      <c r="AM14">
        <v>0</v>
      </c>
      <c r="AO14">
        <v>-44</v>
      </c>
      <c r="AP14" t="s">
        <v>2129</v>
      </c>
      <c r="AT14" t="s">
        <v>2129</v>
      </c>
      <c r="AU14" t="s">
        <v>2129</v>
      </c>
      <c r="AV14" t="s">
        <v>2129</v>
      </c>
      <c r="AW14">
        <v>32</v>
      </c>
      <c r="AX14">
        <v>11</v>
      </c>
      <c r="AY14" t="s">
        <v>2129</v>
      </c>
      <c r="AZ14" t="s">
        <v>2129</v>
      </c>
      <c r="BA14" t="s">
        <v>2129</v>
      </c>
      <c r="BB14">
        <v>16</v>
      </c>
      <c r="BC14" t="s">
        <v>2129</v>
      </c>
      <c r="BD14" t="s">
        <v>2129</v>
      </c>
      <c r="BE14" s="1958" t="s">
        <v>2129</v>
      </c>
      <c r="BF14"/>
      <c r="BG14" s="863" t="s">
        <v>2129</v>
      </c>
      <c r="BH14" s="863">
        <v>84896240</v>
      </c>
      <c r="BI14" s="863" t="s">
        <v>2129</v>
      </c>
      <c r="BJ14" s="863" t="s">
        <v>2129</v>
      </c>
      <c r="BK14" s="863">
        <v>13096798</v>
      </c>
      <c r="BL14" s="863" t="s">
        <v>2129</v>
      </c>
      <c r="BM14" s="863" t="s">
        <v>2129</v>
      </c>
      <c r="BN14" s="863" t="s">
        <v>2129</v>
      </c>
      <c r="BO14" s="863" t="s">
        <v>2129</v>
      </c>
      <c r="BP14" s="863" t="s">
        <v>2129</v>
      </c>
      <c r="BQ14" s="863">
        <v>9939072</v>
      </c>
      <c r="BR14" s="863" t="s">
        <v>2129</v>
      </c>
      <c r="BS14" s="863" t="s">
        <v>2129</v>
      </c>
      <c r="BT14" s="863" t="s">
        <v>2129</v>
      </c>
      <c r="BU14" s="863" t="s">
        <v>2129</v>
      </c>
      <c r="BV14" s="863" t="s">
        <v>2129</v>
      </c>
      <c r="BW14" s="863" t="s">
        <v>2129</v>
      </c>
      <c r="BX14" s="863" t="s">
        <v>2129</v>
      </c>
      <c r="BY14" s="863"/>
      <c r="BZ14" s="863" t="s">
        <v>2129</v>
      </c>
      <c r="CA14" s="863" t="s">
        <v>2129</v>
      </c>
      <c r="CB14" s="863" t="s">
        <v>2129</v>
      </c>
      <c r="CC14" s="863" t="s">
        <v>2129</v>
      </c>
      <c r="CD14" s="863"/>
      <c r="CE14" s="5785"/>
    </row>
    <row r="15" spans="1:83" ht="13">
      <c r="A15">
        <v>27</v>
      </c>
      <c r="B15" s="196" t="s">
        <v>3243</v>
      </c>
      <c r="C15" s="5785" t="s">
        <v>2129</v>
      </c>
      <c r="D15" s="5785" t="s">
        <v>2129</v>
      </c>
      <c r="E15" s="5785" t="s">
        <v>2129</v>
      </c>
      <c r="F15" s="5785" t="s">
        <v>3694</v>
      </c>
      <c r="G15" s="5785" t="s">
        <v>2129</v>
      </c>
      <c r="H15" s="5785">
        <v>0</v>
      </c>
      <c r="I15" s="5785">
        <v>0</v>
      </c>
      <c r="J15" s="5785">
        <v>2</v>
      </c>
      <c r="K15" s="5785" t="s">
        <v>2129</v>
      </c>
      <c r="L15" s="5786">
        <v>0</v>
      </c>
      <c r="M15" s="5786">
        <v>0</v>
      </c>
      <c r="N15" s="5786">
        <v>0</v>
      </c>
      <c r="O15" s="5786">
        <v>0</v>
      </c>
      <c r="P15" s="5786">
        <v>0</v>
      </c>
      <c r="Q15" s="2476">
        <v>0</v>
      </c>
      <c r="R15" s="2477">
        <v>0</v>
      </c>
      <c r="S15" s="2477" t="b">
        <v>1</v>
      </c>
      <c r="T15" s="5786" t="s">
        <v>2129</v>
      </c>
      <c r="U15" s="1958">
        <v>1980088</v>
      </c>
      <c r="V15" s="2700" t="b">
        <v>1</v>
      </c>
      <c r="W15" s="863">
        <v>21064.765957446809</v>
      </c>
      <c r="X15" s="863">
        <v>26489.471571906353</v>
      </c>
      <c r="AC15">
        <v>116</v>
      </c>
      <c r="AD15">
        <v>94</v>
      </c>
      <c r="AE15" s="2969">
        <v>22</v>
      </c>
      <c r="AF15">
        <v>94</v>
      </c>
      <c r="AG15" t="s">
        <v>2129</v>
      </c>
      <c r="AH15" t="s">
        <v>2129</v>
      </c>
      <c r="AI15" t="s">
        <v>2129</v>
      </c>
      <c r="AJ15">
        <v>65</v>
      </c>
      <c r="AK15" t="s">
        <v>2129</v>
      </c>
      <c r="AL15" t="s">
        <v>2129</v>
      </c>
      <c r="AO15">
        <v>-29</v>
      </c>
      <c r="AT15" t="s">
        <v>2129</v>
      </c>
      <c r="AU15" t="s">
        <v>2129</v>
      </c>
      <c r="AV15" t="s">
        <v>2129</v>
      </c>
      <c r="AW15" t="s">
        <v>2129</v>
      </c>
      <c r="AX15" t="s">
        <v>2129</v>
      </c>
      <c r="AY15" t="s">
        <v>2129</v>
      </c>
      <c r="AZ15" t="s">
        <v>2129</v>
      </c>
      <c r="BA15" t="s">
        <v>2129</v>
      </c>
      <c r="BB15">
        <v>16</v>
      </c>
      <c r="BC15" t="s">
        <v>2129</v>
      </c>
      <c r="BD15" t="s">
        <v>2129</v>
      </c>
      <c r="BE15" s="1958" t="s">
        <v>2129</v>
      </c>
      <c r="BF15"/>
      <c r="BG15" s="863" t="s">
        <v>2129</v>
      </c>
      <c r="BH15" s="863" t="s">
        <v>2129</v>
      </c>
      <c r="BI15" s="863" t="s">
        <v>2129</v>
      </c>
      <c r="BJ15" s="863" t="s">
        <v>2129</v>
      </c>
      <c r="BK15" s="863" t="s">
        <v>2129</v>
      </c>
      <c r="BL15" s="863" t="s">
        <v>2129</v>
      </c>
      <c r="BM15" s="863" t="s">
        <v>2129</v>
      </c>
      <c r="BN15" s="863" t="s">
        <v>2129</v>
      </c>
      <c r="BO15" s="863" t="s">
        <v>2129</v>
      </c>
      <c r="BP15" s="863" t="s">
        <v>2129</v>
      </c>
      <c r="BQ15" s="863">
        <v>21907356.595744681</v>
      </c>
      <c r="BR15" s="863" t="s">
        <v>2129</v>
      </c>
      <c r="BS15" s="863" t="s">
        <v>2129</v>
      </c>
      <c r="BT15" s="863" t="s">
        <v>2129</v>
      </c>
      <c r="BU15" s="863" t="s">
        <v>2129</v>
      </c>
      <c r="BV15" s="863" t="s">
        <v>2129</v>
      </c>
      <c r="BW15" s="863" t="s">
        <v>2129</v>
      </c>
      <c r="BX15" s="863" t="s">
        <v>2129</v>
      </c>
      <c r="BY15" s="863"/>
      <c r="BZ15" s="863" t="s">
        <v>2129</v>
      </c>
      <c r="CA15" s="863" t="s">
        <v>2129</v>
      </c>
      <c r="CB15" s="863" t="s">
        <v>2129</v>
      </c>
      <c r="CC15" s="863" t="s">
        <v>2129</v>
      </c>
      <c r="CD15" s="863"/>
      <c r="CE15" s="5785"/>
    </row>
    <row r="16" spans="1:83" ht="13">
      <c r="A16">
        <v>34</v>
      </c>
      <c r="B16" s="196" t="s">
        <v>3245</v>
      </c>
      <c r="C16" s="5790" t="s">
        <v>6616</v>
      </c>
      <c r="D16" s="5790" t="s">
        <v>6599</v>
      </c>
      <c r="E16" s="5790" t="s">
        <v>2129</v>
      </c>
      <c r="F16" s="5785" t="s">
        <v>2695</v>
      </c>
      <c r="G16" s="5785" t="s">
        <v>2129</v>
      </c>
      <c r="H16" s="5785">
        <v>8</v>
      </c>
      <c r="I16" s="5785">
        <v>8</v>
      </c>
      <c r="J16" s="5785">
        <v>8</v>
      </c>
      <c r="K16" s="5785">
        <v>0</v>
      </c>
      <c r="L16" s="5786">
        <v>3383345</v>
      </c>
      <c r="M16" s="5786">
        <v>0</v>
      </c>
      <c r="N16" s="5786">
        <v>0</v>
      </c>
      <c r="O16" s="5786">
        <v>0</v>
      </c>
      <c r="P16" s="5786">
        <v>0</v>
      </c>
      <c r="Q16" s="2476">
        <v>3721679.5000000005</v>
      </c>
      <c r="R16" s="2477">
        <v>3721679</v>
      </c>
      <c r="S16" s="2477" t="b">
        <v>1</v>
      </c>
      <c r="T16" s="5786">
        <v>465209.875</v>
      </c>
      <c r="U16" s="1958">
        <v>4818721</v>
      </c>
      <c r="V16" s="5793" t="b">
        <v>1</v>
      </c>
      <c r="W16" s="863">
        <v>17781.258302583024</v>
      </c>
      <c r="X16" s="863">
        <v>34918.268115942032</v>
      </c>
      <c r="Y16" s="863">
        <v>1350</v>
      </c>
      <c r="AC16">
        <v>271</v>
      </c>
      <c r="AD16">
        <v>271</v>
      </c>
      <c r="AE16">
        <v>0</v>
      </c>
      <c r="AF16">
        <v>309</v>
      </c>
      <c r="AG16">
        <v>271</v>
      </c>
      <c r="AH16" t="s">
        <v>2129</v>
      </c>
      <c r="AI16" t="s">
        <v>2129</v>
      </c>
      <c r="AJ16">
        <v>120</v>
      </c>
      <c r="AK16" t="s">
        <v>2129</v>
      </c>
      <c r="AL16">
        <v>0</v>
      </c>
      <c r="AO16">
        <v>-151</v>
      </c>
      <c r="AT16">
        <v>24</v>
      </c>
      <c r="AU16">
        <v>24</v>
      </c>
      <c r="AV16" t="s">
        <v>2129</v>
      </c>
      <c r="AW16" t="s">
        <v>2129</v>
      </c>
      <c r="AX16" t="s">
        <v>2129</v>
      </c>
      <c r="AY16" t="s">
        <v>2129</v>
      </c>
      <c r="AZ16" t="s">
        <v>2129</v>
      </c>
      <c r="BA16">
        <v>9</v>
      </c>
      <c r="BB16" t="s">
        <v>2129</v>
      </c>
      <c r="BC16" t="s">
        <v>2129</v>
      </c>
      <c r="BD16" t="s">
        <v>2129</v>
      </c>
      <c r="BE16" s="1958">
        <v>115649304</v>
      </c>
      <c r="BF16" s="1958">
        <v>115649304</v>
      </c>
      <c r="BG16" s="1958" t="s">
        <v>2129</v>
      </c>
      <c r="BH16" s="1958" t="s">
        <v>2129</v>
      </c>
      <c r="BI16" s="1958" t="s">
        <v>2129</v>
      </c>
      <c r="BJ16" s="1958" t="s">
        <v>2129</v>
      </c>
      <c r="BK16" s="1958" t="s">
        <v>2129</v>
      </c>
      <c r="BL16" s="1958" t="s">
        <v>2129</v>
      </c>
      <c r="BM16" s="1958" t="s">
        <v>2129</v>
      </c>
      <c r="BN16" s="863" t="s">
        <v>2129</v>
      </c>
      <c r="BO16" s="863" t="s">
        <v>2129</v>
      </c>
      <c r="BP16" s="1958" t="s">
        <v>2129</v>
      </c>
      <c r="BQ16" s="1958" t="s">
        <v>2129</v>
      </c>
      <c r="BR16" s="1958">
        <v>19203758.966789667</v>
      </c>
      <c r="BS16" s="1958" t="s">
        <v>2129</v>
      </c>
      <c r="BT16" s="1958" t="s">
        <v>2129</v>
      </c>
      <c r="BU16" s="1958">
        <v>89320296</v>
      </c>
      <c r="BV16" s="1958">
        <v>89320296</v>
      </c>
      <c r="BW16" s="1958" t="s">
        <v>2129</v>
      </c>
      <c r="BX16" s="1958" t="s">
        <v>2129</v>
      </c>
      <c r="BZ16" s="1958" t="s">
        <v>2129</v>
      </c>
      <c r="CA16" s="1958" t="s">
        <v>2129</v>
      </c>
      <c r="CB16" s="1958" t="s">
        <v>2129</v>
      </c>
      <c r="CC16" s="1958" t="s">
        <v>2129</v>
      </c>
      <c r="CE16" s="5785"/>
    </row>
    <row r="17" spans="1:83" ht="13">
      <c r="A17">
        <v>38</v>
      </c>
      <c r="B17" s="196" t="s">
        <v>3246</v>
      </c>
      <c r="C17" s="5785" t="s">
        <v>3694</v>
      </c>
      <c r="D17" s="5785" t="s">
        <v>2129</v>
      </c>
      <c r="E17" s="5785" t="s">
        <v>2129</v>
      </c>
      <c r="F17" s="5785" t="s">
        <v>3694</v>
      </c>
      <c r="G17" s="5785" t="s">
        <v>2129</v>
      </c>
      <c r="H17" s="5785">
        <v>0</v>
      </c>
      <c r="I17" s="5785">
        <v>0</v>
      </c>
      <c r="J17" s="5785">
        <v>0</v>
      </c>
      <c r="K17" s="5785" t="s">
        <v>2129</v>
      </c>
      <c r="L17" s="5786">
        <v>0</v>
      </c>
      <c r="M17" s="5786">
        <v>0</v>
      </c>
      <c r="N17" s="5786">
        <v>0</v>
      </c>
      <c r="O17" s="5786">
        <v>0</v>
      </c>
      <c r="P17" s="5786">
        <v>0</v>
      </c>
      <c r="Q17" s="2476">
        <v>0</v>
      </c>
      <c r="R17" s="2477">
        <v>0</v>
      </c>
      <c r="S17" s="2477" t="b">
        <v>1</v>
      </c>
      <c r="T17" s="5786" t="s">
        <v>2129</v>
      </c>
      <c r="U17" s="1958">
        <v>722163</v>
      </c>
      <c r="V17" s="863" t="b">
        <v>1</v>
      </c>
      <c r="W17" s="863">
        <v>9628.84</v>
      </c>
      <c r="X17" s="863">
        <v>18469.641943734019</v>
      </c>
      <c r="AC17">
        <v>102</v>
      </c>
      <c r="AD17">
        <v>75</v>
      </c>
      <c r="AE17">
        <v>27</v>
      </c>
      <c r="AF17">
        <v>102</v>
      </c>
      <c r="AG17">
        <v>75</v>
      </c>
      <c r="AH17" t="s">
        <v>2129</v>
      </c>
      <c r="AI17" t="s">
        <v>2129</v>
      </c>
      <c r="AJ17">
        <v>34</v>
      </c>
      <c r="AK17" t="s">
        <v>2129</v>
      </c>
      <c r="AL17">
        <v>0</v>
      </c>
      <c r="AO17">
        <v>-41</v>
      </c>
      <c r="AT17" t="s">
        <v>2129</v>
      </c>
      <c r="AU17" t="s">
        <v>2129</v>
      </c>
      <c r="AV17" t="s">
        <v>2129</v>
      </c>
      <c r="AW17">
        <v>32</v>
      </c>
      <c r="AX17" t="s">
        <v>2129</v>
      </c>
      <c r="AY17" t="s">
        <v>2129</v>
      </c>
      <c r="AZ17" t="s">
        <v>2129</v>
      </c>
      <c r="BA17" t="s">
        <v>2129</v>
      </c>
      <c r="BB17">
        <v>16</v>
      </c>
      <c r="BC17" t="s">
        <v>2129</v>
      </c>
      <c r="BD17" t="s">
        <v>2129</v>
      </c>
      <c r="BE17" s="1958" t="s">
        <v>2129</v>
      </c>
      <c r="BF17"/>
      <c r="BG17" s="863" t="s">
        <v>2129</v>
      </c>
      <c r="BH17" s="863">
        <v>23109216</v>
      </c>
      <c r="BI17" s="863" t="s">
        <v>2129</v>
      </c>
      <c r="BJ17" s="863" t="s">
        <v>2129</v>
      </c>
      <c r="BK17" s="863" t="s">
        <v>2129</v>
      </c>
      <c r="BL17" s="863" t="s">
        <v>2129</v>
      </c>
      <c r="BM17" s="863" t="s">
        <v>2129</v>
      </c>
      <c r="BN17" s="863" t="s">
        <v>2129</v>
      </c>
      <c r="BO17" s="863" t="s">
        <v>2129</v>
      </c>
      <c r="BP17" s="863" t="s">
        <v>2129</v>
      </c>
      <c r="BQ17" s="863">
        <v>5238088.96</v>
      </c>
      <c r="BR17" s="863" t="s">
        <v>2129</v>
      </c>
      <c r="BS17" s="863" t="s">
        <v>2129</v>
      </c>
      <c r="BT17" s="863" t="s">
        <v>2129</v>
      </c>
      <c r="BU17" s="863" t="s">
        <v>2129</v>
      </c>
      <c r="BV17" s="863" t="s">
        <v>2129</v>
      </c>
      <c r="BW17" s="863" t="s">
        <v>2129</v>
      </c>
      <c r="BX17" s="863" t="s">
        <v>2129</v>
      </c>
      <c r="BY17" s="863"/>
      <c r="BZ17" s="863" t="s">
        <v>2129</v>
      </c>
      <c r="CA17" s="863" t="s">
        <v>2129</v>
      </c>
      <c r="CB17" s="863" t="s">
        <v>2129</v>
      </c>
      <c r="CC17" s="863" t="s">
        <v>2129</v>
      </c>
      <c r="CD17" s="863"/>
      <c r="CE17" s="5785"/>
    </row>
    <row r="18" spans="1:83" ht="13">
      <c r="A18">
        <v>39</v>
      </c>
      <c r="B18" s="196" t="s">
        <v>3247</v>
      </c>
      <c r="C18" s="5790" t="s">
        <v>6616</v>
      </c>
      <c r="D18" s="5790" t="s">
        <v>6599</v>
      </c>
      <c r="E18" s="5790" t="s">
        <v>2129</v>
      </c>
      <c r="F18" s="5785" t="s">
        <v>2129</v>
      </c>
      <c r="G18" s="5785" t="s">
        <v>2129</v>
      </c>
      <c r="H18" s="5785">
        <v>3</v>
      </c>
      <c r="I18" s="5785">
        <v>3</v>
      </c>
      <c r="J18" s="5785">
        <v>3</v>
      </c>
      <c r="K18" s="5785">
        <v>0</v>
      </c>
      <c r="L18" s="5786">
        <v>3168000</v>
      </c>
      <c r="M18" s="5786">
        <v>0</v>
      </c>
      <c r="N18" s="5786">
        <v>0</v>
      </c>
      <c r="O18" s="5786">
        <v>0</v>
      </c>
      <c r="P18" s="5786">
        <v>0</v>
      </c>
      <c r="Q18" s="2476">
        <v>3484800.0000000005</v>
      </c>
      <c r="R18" s="2477">
        <v>3484800</v>
      </c>
      <c r="S18" s="2477" t="b">
        <v>1</v>
      </c>
      <c r="T18" s="5786">
        <v>1161600</v>
      </c>
      <c r="U18" s="863">
        <v>3565639</v>
      </c>
      <c r="V18" s="863" t="b">
        <v>1</v>
      </c>
      <c r="W18" s="863">
        <v>31005.55652173913</v>
      </c>
      <c r="X18" s="863" t="s">
        <v>2129</v>
      </c>
      <c r="Y18" s="863">
        <v>2475</v>
      </c>
      <c r="AC18">
        <v>115</v>
      </c>
      <c r="AD18" s="3965">
        <v>115</v>
      </c>
      <c r="AE18" s="3965">
        <v>0</v>
      </c>
      <c r="AF18">
        <v>154</v>
      </c>
      <c r="AG18">
        <v>115</v>
      </c>
      <c r="AH18" t="s">
        <v>2129</v>
      </c>
      <c r="AI18" t="s">
        <v>2129</v>
      </c>
      <c r="AJ18" t="s">
        <v>2129</v>
      </c>
      <c r="AK18" t="s">
        <v>2129</v>
      </c>
      <c r="AL18">
        <v>0</v>
      </c>
      <c r="AO18" t="s">
        <v>2129</v>
      </c>
      <c r="AT18">
        <v>24</v>
      </c>
      <c r="AU18">
        <v>24</v>
      </c>
      <c r="AV18" t="s">
        <v>2129</v>
      </c>
      <c r="AW18" t="s">
        <v>2129</v>
      </c>
      <c r="AX18" t="s">
        <v>2129</v>
      </c>
      <c r="AY18" t="s">
        <v>2129</v>
      </c>
      <c r="AZ18" t="s">
        <v>2129</v>
      </c>
      <c r="BA18" t="s">
        <v>2129</v>
      </c>
      <c r="BB18" t="s">
        <v>2129</v>
      </c>
      <c r="BC18" t="s">
        <v>2129</v>
      </c>
      <c r="BD18" t="s">
        <v>2129</v>
      </c>
      <c r="BE18" s="1958">
        <v>85575336</v>
      </c>
      <c r="BF18" s="1958">
        <v>85575336</v>
      </c>
      <c r="BG18" s="1958" t="s">
        <v>2129</v>
      </c>
      <c r="BH18" s="1958" t="s">
        <v>2129</v>
      </c>
      <c r="BI18" s="1958" t="s">
        <v>2129</v>
      </c>
      <c r="BJ18" s="1958" t="s">
        <v>2129</v>
      </c>
      <c r="BK18" s="1958" t="s">
        <v>2129</v>
      </c>
      <c r="BL18" s="1958" t="s">
        <v>2129</v>
      </c>
      <c r="BM18" s="1958" t="s">
        <v>2129</v>
      </c>
      <c r="BN18" s="863" t="s">
        <v>2129</v>
      </c>
      <c r="BO18" s="863" t="s">
        <v>2129</v>
      </c>
      <c r="BP18" s="1958" t="s">
        <v>2129</v>
      </c>
      <c r="BQ18" s="1958" t="s">
        <v>2129</v>
      </c>
      <c r="BR18" s="1958" t="s">
        <v>2129</v>
      </c>
      <c r="BS18" s="1958" t="s">
        <v>2129</v>
      </c>
      <c r="BT18" s="1958" t="s">
        <v>2129</v>
      </c>
      <c r="BU18" s="1958">
        <v>83635200</v>
      </c>
      <c r="BV18" s="1958">
        <v>83635200</v>
      </c>
      <c r="BW18" s="1958" t="s">
        <v>2129</v>
      </c>
      <c r="BX18" s="1958" t="s">
        <v>2129</v>
      </c>
      <c r="BZ18" s="1958" t="s">
        <v>2129</v>
      </c>
      <c r="CA18" s="1958" t="s">
        <v>2129</v>
      </c>
      <c r="CB18" s="1958" t="s">
        <v>2129</v>
      </c>
      <c r="CC18" s="1958" t="s">
        <v>2129</v>
      </c>
      <c r="CE18" s="5785"/>
    </row>
    <row r="19" spans="1:83" ht="13">
      <c r="A19">
        <v>40</v>
      </c>
      <c r="B19" s="196" t="s">
        <v>3248</v>
      </c>
      <c r="C19" s="5785" t="s">
        <v>2129</v>
      </c>
      <c r="D19" s="5785" t="s">
        <v>5293</v>
      </c>
      <c r="E19" s="5785" t="s">
        <v>2129</v>
      </c>
      <c r="F19" s="5792" t="s">
        <v>5205</v>
      </c>
      <c r="G19" s="5792" t="s">
        <v>2129</v>
      </c>
      <c r="H19" s="5785">
        <v>25</v>
      </c>
      <c r="I19" s="5785">
        <v>7</v>
      </c>
      <c r="J19" s="5785">
        <v>10</v>
      </c>
      <c r="K19" s="5785">
        <v>18</v>
      </c>
      <c r="L19" s="5786">
        <v>14057651</v>
      </c>
      <c r="M19" s="5786">
        <v>588828</v>
      </c>
      <c r="N19" s="5786">
        <v>463641</v>
      </c>
      <c r="O19" s="5786">
        <v>0</v>
      </c>
      <c r="P19" s="5786">
        <v>0</v>
      </c>
      <c r="Q19" s="2476">
        <v>16621132.000000002</v>
      </c>
      <c r="R19" s="2477">
        <v>9393870</v>
      </c>
      <c r="S19" s="5798" t="b">
        <v>1</v>
      </c>
      <c r="T19" s="5786">
        <v>1341981.4285714286</v>
      </c>
      <c r="U19" s="863">
        <v>35224840</v>
      </c>
      <c r="V19" s="863" t="b">
        <v>1</v>
      </c>
      <c r="W19" s="863">
        <v>78451.759465478841</v>
      </c>
      <c r="X19" s="863">
        <v>66587.599243856326</v>
      </c>
      <c r="AA19" s="863">
        <v>64706</v>
      </c>
      <c r="AB19" s="863">
        <v>90589</v>
      </c>
      <c r="AC19">
        <v>774</v>
      </c>
      <c r="AD19">
        <v>449</v>
      </c>
      <c r="AE19">
        <v>325</v>
      </c>
      <c r="AF19">
        <v>1123</v>
      </c>
      <c r="AG19" t="s">
        <v>2129</v>
      </c>
      <c r="AH19">
        <v>500</v>
      </c>
      <c r="AI19" t="s">
        <v>2129</v>
      </c>
      <c r="AJ19" s="1866">
        <v>460</v>
      </c>
      <c r="AK19" t="s">
        <v>2129</v>
      </c>
      <c r="AL19" t="s">
        <v>2129</v>
      </c>
      <c r="AO19">
        <v>11</v>
      </c>
      <c r="AT19" t="s">
        <v>2129</v>
      </c>
      <c r="AU19" t="s">
        <v>2129</v>
      </c>
      <c r="AV19">
        <v>20</v>
      </c>
      <c r="AW19" t="s">
        <v>2129</v>
      </c>
      <c r="AX19" t="s">
        <v>2129</v>
      </c>
      <c r="AY19" t="s">
        <v>2129</v>
      </c>
      <c r="AZ19">
        <v>16</v>
      </c>
      <c r="BA19" t="s">
        <v>2129</v>
      </c>
      <c r="BB19" t="s">
        <v>2129</v>
      </c>
      <c r="BC19" t="s">
        <v>2129</v>
      </c>
      <c r="BD19" t="s">
        <v>2129</v>
      </c>
      <c r="BE19" s="1958" t="s">
        <v>2129</v>
      </c>
      <c r="BF19"/>
      <c r="BG19" s="863">
        <v>784517594.65478837</v>
      </c>
      <c r="BH19" s="863" t="s">
        <v>2129</v>
      </c>
      <c r="BI19" s="863" t="s">
        <v>2129</v>
      </c>
      <c r="BJ19" s="863" t="s">
        <v>2129</v>
      </c>
      <c r="BK19" s="863" t="s">
        <v>2129</v>
      </c>
      <c r="BL19" s="863" t="s">
        <v>2129</v>
      </c>
      <c r="BM19" s="863">
        <v>563597440</v>
      </c>
      <c r="BN19" s="863">
        <v>577404949.66592431</v>
      </c>
      <c r="BO19" s="863" t="s">
        <v>2129</v>
      </c>
      <c r="BP19" s="863" t="s">
        <v>2129</v>
      </c>
      <c r="BQ19" s="863" t="s">
        <v>2129</v>
      </c>
      <c r="BR19" s="863" t="s">
        <v>2129</v>
      </c>
      <c r="BS19" s="863" t="s">
        <v>2129</v>
      </c>
      <c r="BT19" s="863" t="s">
        <v>2129</v>
      </c>
      <c r="BU19" s="863" t="s">
        <v>2129</v>
      </c>
      <c r="BV19" s="863" t="s">
        <v>2129</v>
      </c>
      <c r="BW19" s="863">
        <v>187877400</v>
      </c>
      <c r="BX19" s="863" t="s">
        <v>2129</v>
      </c>
      <c r="BY19" s="863"/>
      <c r="BZ19" s="863">
        <v>150301920</v>
      </c>
      <c r="CA19" s="863">
        <v>150301920</v>
      </c>
      <c r="CB19" s="863" t="s">
        <v>2129</v>
      </c>
      <c r="CC19" s="863" t="s">
        <v>2129</v>
      </c>
      <c r="CD19" s="863"/>
      <c r="CE19" s="5785"/>
    </row>
    <row r="20" spans="1:83" ht="13">
      <c r="A20">
        <v>41</v>
      </c>
      <c r="B20" s="196" t="s">
        <v>3249</v>
      </c>
      <c r="C20" s="5785" t="s">
        <v>3694</v>
      </c>
      <c r="D20" s="5785" t="s">
        <v>2129</v>
      </c>
      <c r="E20" s="5785" t="s">
        <v>2129</v>
      </c>
      <c r="F20" s="5785" t="s">
        <v>3694</v>
      </c>
      <c r="G20" s="5785" t="s">
        <v>2129</v>
      </c>
      <c r="H20" s="5785">
        <v>0</v>
      </c>
      <c r="I20" s="5785">
        <v>0</v>
      </c>
      <c r="J20" s="5785">
        <v>16</v>
      </c>
      <c r="K20" s="5785" t="s">
        <v>2129</v>
      </c>
      <c r="L20" s="5786">
        <v>0</v>
      </c>
      <c r="M20" s="5786">
        <v>0</v>
      </c>
      <c r="N20" s="5786">
        <v>0</v>
      </c>
      <c r="O20" s="5786">
        <v>0</v>
      </c>
      <c r="P20" s="5786">
        <v>0</v>
      </c>
      <c r="Q20" s="2476">
        <v>0</v>
      </c>
      <c r="R20" s="2477">
        <v>0</v>
      </c>
      <c r="S20" s="2477" t="b">
        <v>1</v>
      </c>
      <c r="T20" s="5786" t="s">
        <v>2129</v>
      </c>
      <c r="U20" s="863">
        <v>3061982</v>
      </c>
      <c r="V20" s="863" t="b">
        <v>1</v>
      </c>
      <c r="W20" s="863">
        <v>21871.3</v>
      </c>
      <c r="X20" s="863">
        <v>55470.688405797104</v>
      </c>
      <c r="AC20">
        <v>195</v>
      </c>
      <c r="AD20">
        <v>140</v>
      </c>
      <c r="AE20">
        <v>55</v>
      </c>
      <c r="AF20">
        <v>201</v>
      </c>
      <c r="AG20">
        <v>140</v>
      </c>
      <c r="AH20" t="s">
        <v>2129</v>
      </c>
      <c r="AI20" t="s">
        <v>2129</v>
      </c>
      <c r="AJ20">
        <v>48</v>
      </c>
      <c r="AK20" t="s">
        <v>2129</v>
      </c>
      <c r="AL20">
        <v>0</v>
      </c>
      <c r="AO20">
        <v>-92</v>
      </c>
      <c r="AT20" t="s">
        <v>2129</v>
      </c>
      <c r="AU20" t="s">
        <v>2129</v>
      </c>
      <c r="AV20" t="s">
        <v>2129</v>
      </c>
      <c r="AW20">
        <v>32</v>
      </c>
      <c r="AX20" t="s">
        <v>2129</v>
      </c>
      <c r="AY20" t="s">
        <v>2129</v>
      </c>
      <c r="AZ20" t="s">
        <v>2129</v>
      </c>
      <c r="BA20" t="s">
        <v>2129</v>
      </c>
      <c r="BB20">
        <v>16</v>
      </c>
      <c r="BC20" t="s">
        <v>2129</v>
      </c>
      <c r="BD20" t="s">
        <v>2129</v>
      </c>
      <c r="BE20" s="1958" t="s">
        <v>2129</v>
      </c>
      <c r="BF20"/>
      <c r="BG20" s="863" t="s">
        <v>2129</v>
      </c>
      <c r="BH20" s="863">
        <v>97983424</v>
      </c>
      <c r="BI20" s="863" t="s">
        <v>2129</v>
      </c>
      <c r="BJ20" s="863" t="s">
        <v>2129</v>
      </c>
      <c r="BK20" s="863" t="s">
        <v>2129</v>
      </c>
      <c r="BL20" s="863" t="s">
        <v>2129</v>
      </c>
      <c r="BM20" s="863" t="s">
        <v>2129</v>
      </c>
      <c r="BN20" s="863" t="s">
        <v>2129</v>
      </c>
      <c r="BO20" s="863" t="s">
        <v>2129</v>
      </c>
      <c r="BP20" s="863" t="s">
        <v>2129</v>
      </c>
      <c r="BQ20" s="863">
        <v>16797158.399999999</v>
      </c>
      <c r="BR20" s="863" t="s">
        <v>2129</v>
      </c>
      <c r="BS20" s="863" t="s">
        <v>2129</v>
      </c>
      <c r="BT20" s="863" t="s">
        <v>2129</v>
      </c>
      <c r="BU20" s="863" t="s">
        <v>2129</v>
      </c>
      <c r="BV20" s="863" t="s">
        <v>2129</v>
      </c>
      <c r="BW20" s="863" t="s">
        <v>2129</v>
      </c>
      <c r="BX20" s="863" t="s">
        <v>2129</v>
      </c>
      <c r="BY20" s="863"/>
      <c r="BZ20" s="863" t="s">
        <v>2129</v>
      </c>
      <c r="CA20" s="863" t="s">
        <v>2129</v>
      </c>
      <c r="CB20" s="863" t="s">
        <v>2129</v>
      </c>
      <c r="CC20" s="863" t="s">
        <v>2129</v>
      </c>
      <c r="CD20" s="863"/>
      <c r="CE20" s="5785"/>
    </row>
    <row r="21" spans="1:83" ht="13">
      <c r="A21">
        <v>42</v>
      </c>
      <c r="B21" s="196" t="s">
        <v>3250</v>
      </c>
      <c r="C21" s="5785" t="s">
        <v>3694</v>
      </c>
      <c r="D21" s="5785" t="s">
        <v>2129</v>
      </c>
      <c r="E21" s="5785" t="s">
        <v>2129</v>
      </c>
      <c r="F21" s="5785" t="s">
        <v>3694</v>
      </c>
      <c r="G21" s="5785" t="s">
        <v>2129</v>
      </c>
      <c r="H21" s="5785">
        <v>0</v>
      </c>
      <c r="I21" s="5785">
        <v>16</v>
      </c>
      <c r="J21" s="5785">
        <v>16</v>
      </c>
      <c r="K21" s="5785" t="s">
        <v>2129</v>
      </c>
      <c r="L21" s="5786">
        <v>0</v>
      </c>
      <c r="M21" s="5786">
        <v>0</v>
      </c>
      <c r="N21" s="5786">
        <v>0</v>
      </c>
      <c r="O21" s="5786">
        <v>0</v>
      </c>
      <c r="P21" s="5786">
        <v>0</v>
      </c>
      <c r="Q21" s="2476">
        <v>0</v>
      </c>
      <c r="R21" s="2477">
        <v>0</v>
      </c>
      <c r="S21" s="2477" t="b">
        <v>1</v>
      </c>
      <c r="T21" s="5786">
        <v>0</v>
      </c>
      <c r="U21" s="863">
        <v>1193846</v>
      </c>
      <c r="V21" s="863" t="b">
        <v>1</v>
      </c>
      <c r="W21" s="863">
        <v>11938.46</v>
      </c>
      <c r="X21" s="863">
        <v>15729.196310935444</v>
      </c>
      <c r="AC21">
        <v>139</v>
      </c>
      <c r="AD21">
        <v>100</v>
      </c>
      <c r="AE21">
        <v>39</v>
      </c>
      <c r="AF21">
        <v>139</v>
      </c>
      <c r="AG21">
        <v>100</v>
      </c>
      <c r="AH21" t="s">
        <v>2129</v>
      </c>
      <c r="AI21" t="s">
        <v>2129</v>
      </c>
      <c r="AJ21">
        <v>66</v>
      </c>
      <c r="AK21" t="s">
        <v>2129</v>
      </c>
      <c r="AL21">
        <v>0</v>
      </c>
      <c r="AO21">
        <v>-34</v>
      </c>
      <c r="AT21" t="s">
        <v>2129</v>
      </c>
      <c r="AU21" t="s">
        <v>2129</v>
      </c>
      <c r="AV21" t="s">
        <v>2129</v>
      </c>
      <c r="AW21">
        <v>32</v>
      </c>
      <c r="AX21" t="s">
        <v>2129</v>
      </c>
      <c r="AY21" t="s">
        <v>2129</v>
      </c>
      <c r="AZ21" t="s">
        <v>2129</v>
      </c>
      <c r="BA21" t="s">
        <v>2129</v>
      </c>
      <c r="BB21">
        <v>16</v>
      </c>
      <c r="BC21" t="s">
        <v>2129</v>
      </c>
      <c r="BD21" t="s">
        <v>2129</v>
      </c>
      <c r="BE21" s="1958" t="s">
        <v>2129</v>
      </c>
      <c r="BF21"/>
      <c r="BG21" s="863" t="s">
        <v>2129</v>
      </c>
      <c r="BH21" s="863">
        <v>38203072</v>
      </c>
      <c r="BI21" s="863" t="s">
        <v>2129</v>
      </c>
      <c r="BJ21" s="863" t="s">
        <v>2129</v>
      </c>
      <c r="BK21" s="863" t="s">
        <v>2129</v>
      </c>
      <c r="BL21" s="863" t="s">
        <v>2129</v>
      </c>
      <c r="BM21" s="863" t="s">
        <v>2129</v>
      </c>
      <c r="BN21" s="863" t="s">
        <v>2129</v>
      </c>
      <c r="BO21" s="863" t="s">
        <v>2129</v>
      </c>
      <c r="BP21" s="863" t="s">
        <v>2129</v>
      </c>
      <c r="BQ21" s="863">
        <v>12607013.76</v>
      </c>
      <c r="BR21" s="863" t="s">
        <v>2129</v>
      </c>
      <c r="BS21" s="863" t="s">
        <v>2129</v>
      </c>
      <c r="BT21" s="863" t="s">
        <v>2129</v>
      </c>
      <c r="BU21" s="863" t="s">
        <v>2129</v>
      </c>
      <c r="BV21" s="863" t="s">
        <v>2129</v>
      </c>
      <c r="BW21" s="863" t="s">
        <v>2129</v>
      </c>
      <c r="BX21" s="863" t="s">
        <v>2129</v>
      </c>
      <c r="BY21" s="863"/>
      <c r="BZ21" s="863" t="s">
        <v>2129</v>
      </c>
      <c r="CA21" s="863" t="s">
        <v>2129</v>
      </c>
      <c r="CB21" s="863" t="s">
        <v>2129</v>
      </c>
      <c r="CC21" s="863" t="s">
        <v>2129</v>
      </c>
      <c r="CD21" s="863"/>
      <c r="CE21" s="5785"/>
    </row>
    <row r="22" spans="1:83" ht="13">
      <c r="A22">
        <v>43</v>
      </c>
      <c r="B22" s="196" t="s">
        <v>3251</v>
      </c>
      <c r="C22" s="5785" t="s">
        <v>3694</v>
      </c>
      <c r="D22" s="5785" t="s">
        <v>2129</v>
      </c>
      <c r="E22" s="5785" t="s">
        <v>2129</v>
      </c>
      <c r="F22" s="5785" t="s">
        <v>3694</v>
      </c>
      <c r="G22" s="5785" t="s">
        <v>2129</v>
      </c>
      <c r="H22" s="5785">
        <v>2</v>
      </c>
      <c r="I22" s="5785">
        <v>2</v>
      </c>
      <c r="J22" s="5785">
        <v>18</v>
      </c>
      <c r="K22" s="5785" t="s">
        <v>2129</v>
      </c>
      <c r="L22" s="5786">
        <v>141177</v>
      </c>
      <c r="M22" s="5786">
        <v>0</v>
      </c>
      <c r="N22" s="5786">
        <v>0</v>
      </c>
      <c r="O22" s="5786">
        <v>0</v>
      </c>
      <c r="P22" s="5786">
        <v>0</v>
      </c>
      <c r="Q22" s="2476">
        <v>155294.70000000001</v>
      </c>
      <c r="R22" s="2477">
        <v>155294</v>
      </c>
      <c r="S22" s="2477" t="b">
        <v>0</v>
      </c>
      <c r="T22" s="5786">
        <v>77647</v>
      </c>
      <c r="U22" s="863">
        <v>3473577</v>
      </c>
      <c r="V22" s="863" t="b">
        <v>1</v>
      </c>
      <c r="W22" s="863">
        <v>12865.1</v>
      </c>
      <c r="X22" s="863">
        <v>20688.368076235856</v>
      </c>
      <c r="AC22">
        <v>375</v>
      </c>
      <c r="AD22">
        <v>270</v>
      </c>
      <c r="AE22">
        <v>105</v>
      </c>
      <c r="AF22">
        <v>375</v>
      </c>
      <c r="AG22">
        <v>270</v>
      </c>
      <c r="AH22" t="s">
        <v>2129</v>
      </c>
      <c r="AI22" t="s">
        <v>2129</v>
      </c>
      <c r="AJ22">
        <v>146</v>
      </c>
      <c r="AK22" t="s">
        <v>2129</v>
      </c>
      <c r="AL22">
        <v>0</v>
      </c>
      <c r="AO22">
        <v>-124</v>
      </c>
      <c r="AT22" t="s">
        <v>2129</v>
      </c>
      <c r="AU22" t="s">
        <v>2129</v>
      </c>
      <c r="AV22" t="s">
        <v>2129</v>
      </c>
      <c r="AW22">
        <v>32</v>
      </c>
      <c r="AX22" t="s">
        <v>2129</v>
      </c>
      <c r="AY22" t="s">
        <v>2129</v>
      </c>
      <c r="AZ22" t="s">
        <v>2129</v>
      </c>
      <c r="BA22" t="s">
        <v>2129</v>
      </c>
      <c r="BB22">
        <v>16</v>
      </c>
      <c r="BC22" t="s">
        <v>2129</v>
      </c>
      <c r="BD22" t="s">
        <v>2129</v>
      </c>
      <c r="BE22" s="1958" t="s">
        <v>2129</v>
      </c>
      <c r="BF22"/>
      <c r="BG22" s="863" t="s">
        <v>2129</v>
      </c>
      <c r="BH22" s="863">
        <v>111154464</v>
      </c>
      <c r="BI22" s="863" t="s">
        <v>2129</v>
      </c>
      <c r="BJ22" s="863" t="s">
        <v>2129</v>
      </c>
      <c r="BK22" s="863" t="s">
        <v>2129</v>
      </c>
      <c r="BL22" s="863" t="s">
        <v>2129</v>
      </c>
      <c r="BM22" s="863" t="s">
        <v>2129</v>
      </c>
      <c r="BN22" s="863" t="s">
        <v>2129</v>
      </c>
      <c r="BO22" s="863" t="s">
        <v>2129</v>
      </c>
      <c r="BP22" s="863" t="s">
        <v>2129</v>
      </c>
      <c r="BQ22" s="863">
        <v>30052873.600000001</v>
      </c>
      <c r="BR22" s="863" t="s">
        <v>2129</v>
      </c>
      <c r="BS22" s="863" t="s">
        <v>2129</v>
      </c>
      <c r="BT22" s="863" t="s">
        <v>2129</v>
      </c>
      <c r="BU22" s="863" t="s">
        <v>2129</v>
      </c>
      <c r="BV22" s="863" t="s">
        <v>2129</v>
      </c>
      <c r="BW22" s="863" t="s">
        <v>2129</v>
      </c>
      <c r="BX22" s="863" t="s">
        <v>2129</v>
      </c>
      <c r="BY22" s="863"/>
      <c r="BZ22" s="863" t="s">
        <v>2129</v>
      </c>
      <c r="CA22" s="863" t="s">
        <v>2129</v>
      </c>
      <c r="CB22" s="863" t="s">
        <v>2129</v>
      </c>
      <c r="CC22" s="863" t="s">
        <v>2129</v>
      </c>
      <c r="CD22" s="863"/>
      <c r="CE22" s="5785"/>
    </row>
    <row r="23" spans="1:83" ht="13">
      <c r="A23">
        <v>44</v>
      </c>
      <c r="B23" s="196" t="s">
        <v>3252</v>
      </c>
      <c r="C23" s="5785" t="s">
        <v>3694</v>
      </c>
      <c r="D23" s="5785" t="s">
        <v>2129</v>
      </c>
      <c r="E23" s="5785" t="s">
        <v>2129</v>
      </c>
      <c r="F23" s="5785" t="s">
        <v>2129</v>
      </c>
      <c r="G23" s="5785" t="s">
        <v>2129</v>
      </c>
      <c r="H23" s="5785">
        <v>1</v>
      </c>
      <c r="I23" s="5785">
        <v>1</v>
      </c>
      <c r="J23" s="5785">
        <v>17</v>
      </c>
      <c r="K23" s="5785" t="s">
        <v>2129</v>
      </c>
      <c r="L23" s="5786">
        <v>70589</v>
      </c>
      <c r="M23" s="5786">
        <v>0</v>
      </c>
      <c r="N23" s="5786">
        <v>0</v>
      </c>
      <c r="O23" s="5786">
        <v>0</v>
      </c>
      <c r="P23" s="5786">
        <v>0</v>
      </c>
      <c r="Q23" s="2476">
        <v>77647.900000000009</v>
      </c>
      <c r="R23" s="2477">
        <v>77647</v>
      </c>
      <c r="S23" s="2477" t="b">
        <v>0</v>
      </c>
      <c r="T23" s="5786">
        <v>77647</v>
      </c>
      <c r="U23" s="863">
        <v>926728</v>
      </c>
      <c r="V23" s="863" t="b">
        <v>1</v>
      </c>
      <c r="W23" s="863">
        <v>12356.373333333333</v>
      </c>
      <c r="X23" s="863" t="s">
        <v>2129</v>
      </c>
      <c r="AC23">
        <v>100</v>
      </c>
      <c r="AD23">
        <v>75</v>
      </c>
      <c r="AE23">
        <v>25</v>
      </c>
      <c r="AF23">
        <v>99</v>
      </c>
      <c r="AG23">
        <v>75</v>
      </c>
      <c r="AH23" t="s">
        <v>2129</v>
      </c>
      <c r="AI23" t="s">
        <v>2129</v>
      </c>
      <c r="AJ23" t="s">
        <v>2129</v>
      </c>
      <c r="AK23" t="s">
        <v>2129</v>
      </c>
      <c r="AL23">
        <v>0</v>
      </c>
      <c r="AO23" t="s">
        <v>2129</v>
      </c>
      <c r="AT23" t="s">
        <v>2129</v>
      </c>
      <c r="AU23" t="s">
        <v>2129</v>
      </c>
      <c r="AV23" t="s">
        <v>2129</v>
      </c>
      <c r="AW23">
        <v>32</v>
      </c>
      <c r="AX23" t="s">
        <v>2129</v>
      </c>
      <c r="AY23" t="s">
        <v>2129</v>
      </c>
      <c r="AZ23" t="s">
        <v>2129</v>
      </c>
      <c r="BA23" t="s">
        <v>2129</v>
      </c>
      <c r="BB23" t="s">
        <v>2129</v>
      </c>
      <c r="BC23" t="s">
        <v>2129</v>
      </c>
      <c r="BD23" t="s">
        <v>2129</v>
      </c>
      <c r="BE23" s="1958" t="s">
        <v>2129</v>
      </c>
      <c r="BF23"/>
      <c r="BG23" s="863" t="s">
        <v>2129</v>
      </c>
      <c r="BH23" s="863">
        <v>29655296</v>
      </c>
      <c r="BI23" s="863" t="s">
        <v>2129</v>
      </c>
      <c r="BJ23" s="863" t="s">
        <v>2129</v>
      </c>
      <c r="BK23" s="863" t="s">
        <v>2129</v>
      </c>
      <c r="BL23" s="863" t="s">
        <v>2129</v>
      </c>
      <c r="BM23" s="863" t="s">
        <v>2129</v>
      </c>
      <c r="BN23" s="863" t="s">
        <v>2129</v>
      </c>
      <c r="BO23" s="863" t="s">
        <v>2129</v>
      </c>
      <c r="BP23" s="863" t="s">
        <v>2129</v>
      </c>
      <c r="BQ23" s="863" t="s">
        <v>2129</v>
      </c>
      <c r="BR23" s="863" t="s">
        <v>2129</v>
      </c>
      <c r="BS23" s="863" t="s">
        <v>2129</v>
      </c>
      <c r="BT23" s="863" t="s">
        <v>2129</v>
      </c>
      <c r="BU23" s="863" t="s">
        <v>2129</v>
      </c>
      <c r="BV23" s="863" t="s">
        <v>2129</v>
      </c>
      <c r="BW23" s="863" t="s">
        <v>2129</v>
      </c>
      <c r="BX23" s="863" t="s">
        <v>2129</v>
      </c>
      <c r="BY23" s="863"/>
      <c r="BZ23" s="863" t="s">
        <v>2129</v>
      </c>
      <c r="CA23" s="863" t="s">
        <v>2129</v>
      </c>
      <c r="CB23" s="863" t="s">
        <v>2129</v>
      </c>
      <c r="CC23" s="863" t="s">
        <v>2129</v>
      </c>
      <c r="CD23" s="863"/>
      <c r="CE23" s="5785"/>
    </row>
    <row r="24" spans="1:83" ht="13">
      <c r="A24">
        <v>47</v>
      </c>
      <c r="B24" s="196" t="s">
        <v>3255</v>
      </c>
      <c r="C24" s="5785" t="s">
        <v>3694</v>
      </c>
      <c r="D24" s="5785" t="s">
        <v>2129</v>
      </c>
      <c r="E24" s="5785" t="s">
        <v>2129</v>
      </c>
      <c r="F24" s="5785" t="s">
        <v>3694</v>
      </c>
      <c r="G24" s="5785" t="s">
        <v>2129</v>
      </c>
      <c r="H24" s="5785">
        <v>0</v>
      </c>
      <c r="I24" s="5785">
        <v>0</v>
      </c>
      <c r="J24" s="5785">
        <v>16</v>
      </c>
      <c r="K24" s="5785" t="s">
        <v>2129</v>
      </c>
      <c r="L24" s="5786">
        <v>0</v>
      </c>
      <c r="M24" s="5786">
        <v>0</v>
      </c>
      <c r="N24" s="5786">
        <v>0</v>
      </c>
      <c r="O24" s="5786">
        <v>0</v>
      </c>
      <c r="P24" s="5786">
        <v>0</v>
      </c>
      <c r="Q24" s="2476">
        <v>0</v>
      </c>
      <c r="R24" s="2477">
        <v>0</v>
      </c>
      <c r="S24" s="2477" t="b">
        <v>1</v>
      </c>
      <c r="T24" s="5786" t="s">
        <v>2129</v>
      </c>
      <c r="U24" s="863">
        <v>1699002</v>
      </c>
      <c r="V24" s="863" t="b">
        <v>1</v>
      </c>
      <c r="W24" s="863">
        <v>10552.80745341615</v>
      </c>
      <c r="X24" s="863">
        <v>13191.009316770189</v>
      </c>
      <c r="AC24">
        <v>161</v>
      </c>
      <c r="AD24">
        <v>161</v>
      </c>
      <c r="AE24">
        <v>0</v>
      </c>
      <c r="AF24">
        <v>162</v>
      </c>
      <c r="AG24">
        <v>120</v>
      </c>
      <c r="AH24" t="s">
        <v>2129</v>
      </c>
      <c r="AI24" t="s">
        <v>2129</v>
      </c>
      <c r="AJ24">
        <v>112</v>
      </c>
      <c r="AK24" t="s">
        <v>2129</v>
      </c>
      <c r="AL24">
        <v>-41</v>
      </c>
      <c r="AO24">
        <v>-49</v>
      </c>
      <c r="AT24" t="s">
        <v>2129</v>
      </c>
      <c r="AU24" t="s">
        <v>2129</v>
      </c>
      <c r="AV24" t="s">
        <v>2129</v>
      </c>
      <c r="AW24">
        <v>32</v>
      </c>
      <c r="AX24" t="s">
        <v>2129</v>
      </c>
      <c r="AY24" t="s">
        <v>2129</v>
      </c>
      <c r="AZ24" t="s">
        <v>2129</v>
      </c>
      <c r="BA24" t="s">
        <v>2129</v>
      </c>
      <c r="BB24">
        <v>16</v>
      </c>
      <c r="BC24" t="s">
        <v>2129</v>
      </c>
      <c r="BD24" t="s">
        <v>2129</v>
      </c>
      <c r="BE24" s="1958" t="s">
        <v>2129</v>
      </c>
      <c r="BF24"/>
      <c r="BG24" s="863" t="s">
        <v>2129</v>
      </c>
      <c r="BH24" s="863">
        <v>40522780.621118017</v>
      </c>
      <c r="BI24" s="863" t="s">
        <v>2129</v>
      </c>
      <c r="BJ24" s="863" t="s">
        <v>2129</v>
      </c>
      <c r="BK24" s="863" t="s">
        <v>2129</v>
      </c>
      <c r="BL24" s="863" t="s">
        <v>2129</v>
      </c>
      <c r="BM24" s="863" t="s">
        <v>2129</v>
      </c>
      <c r="BN24" s="863" t="s">
        <v>2129</v>
      </c>
      <c r="BO24" s="863" t="s">
        <v>2129</v>
      </c>
      <c r="BP24" s="863" t="s">
        <v>2129</v>
      </c>
      <c r="BQ24" s="863">
        <v>18910630.956521742</v>
      </c>
      <c r="BR24" s="863" t="s">
        <v>2129</v>
      </c>
      <c r="BS24" s="863" t="s">
        <v>2129</v>
      </c>
      <c r="BT24" s="863" t="s">
        <v>2129</v>
      </c>
      <c r="BU24" s="863" t="s">
        <v>2129</v>
      </c>
      <c r="BV24" s="863" t="s">
        <v>2129</v>
      </c>
      <c r="BW24" s="863" t="s">
        <v>2129</v>
      </c>
      <c r="BX24" s="863" t="s">
        <v>2129</v>
      </c>
      <c r="BY24" s="863"/>
      <c r="BZ24" s="863" t="s">
        <v>2129</v>
      </c>
      <c r="CA24" s="863" t="s">
        <v>2129</v>
      </c>
      <c r="CB24" s="863" t="s">
        <v>2129</v>
      </c>
      <c r="CC24" s="863" t="s">
        <v>2129</v>
      </c>
      <c r="CD24" s="863"/>
      <c r="CE24" s="5785"/>
    </row>
    <row r="25" spans="1:83" s="5782" customFormat="1" ht="13">
      <c r="A25" s="5782">
        <v>49</v>
      </c>
      <c r="B25" s="5783" t="s">
        <v>3256</v>
      </c>
      <c r="C25" s="5784" t="s">
        <v>2129</v>
      </c>
      <c r="D25" s="5784" t="s">
        <v>2129</v>
      </c>
      <c r="E25" s="5784" t="s">
        <v>2129</v>
      </c>
      <c r="F25" s="5784" t="s">
        <v>2129</v>
      </c>
      <c r="G25" s="5784" t="s">
        <v>2129</v>
      </c>
      <c r="H25" s="5785">
        <v>11</v>
      </c>
      <c r="I25" s="5785">
        <v>7</v>
      </c>
      <c r="J25" s="5785">
        <v>23</v>
      </c>
      <c r="K25" s="5785" t="s">
        <v>2129</v>
      </c>
      <c r="L25" s="5786">
        <v>12235815</v>
      </c>
      <c r="M25" s="5786">
        <v>294120</v>
      </c>
      <c r="N25" s="5786">
        <v>0</v>
      </c>
      <c r="O25" s="5786">
        <v>0</v>
      </c>
      <c r="P25" s="5786">
        <v>0</v>
      </c>
      <c r="Q25" s="2476">
        <v>13782928.500000002</v>
      </c>
      <c r="R25" s="2477">
        <v>13782928</v>
      </c>
      <c r="S25" s="2477" t="b">
        <v>0</v>
      </c>
      <c r="T25" s="5786">
        <v>1968989.7142857143</v>
      </c>
      <c r="U25" s="5788">
        <v>7092669</v>
      </c>
      <c r="V25" s="5788" t="b">
        <v>1</v>
      </c>
      <c r="W25" s="5788">
        <v>29430.16182572614</v>
      </c>
      <c r="X25" s="5788" t="s">
        <v>2129</v>
      </c>
      <c r="Y25" s="5788"/>
      <c r="Z25" s="5788"/>
      <c r="AA25" s="5788"/>
      <c r="AB25" s="5788"/>
      <c r="AC25" s="5782">
        <v>241</v>
      </c>
      <c r="AD25" s="5789">
        <v>241</v>
      </c>
      <c r="AE25" s="5789">
        <v>0</v>
      </c>
      <c r="AF25" s="5782">
        <v>301</v>
      </c>
      <c r="AG25" s="5782" t="s">
        <v>2129</v>
      </c>
      <c r="AH25" s="5782" t="s">
        <v>2129</v>
      </c>
      <c r="AI25" s="5782" t="s">
        <v>2129</v>
      </c>
      <c r="AJ25" s="5782" t="s">
        <v>2129</v>
      </c>
      <c r="AK25" s="5782" t="s">
        <v>2129</v>
      </c>
      <c r="AL25" s="5782" t="s">
        <v>2129</v>
      </c>
      <c r="AO25" s="5782" t="s">
        <v>2129</v>
      </c>
      <c r="AT25" s="5782" t="s">
        <v>2129</v>
      </c>
      <c r="AU25" s="5782" t="s">
        <v>2129</v>
      </c>
      <c r="AV25" s="5782" t="s">
        <v>2129</v>
      </c>
      <c r="AW25" s="5782" t="s">
        <v>2129</v>
      </c>
      <c r="AX25" s="5782" t="s">
        <v>2129</v>
      </c>
      <c r="AY25" s="5782" t="s">
        <v>2129</v>
      </c>
      <c r="AZ25" s="5782" t="s">
        <v>2129</v>
      </c>
      <c r="BA25" s="5782" t="s">
        <v>2129</v>
      </c>
      <c r="BB25" s="5782" t="s">
        <v>2129</v>
      </c>
      <c r="BC25" s="5782" t="s">
        <v>2129</v>
      </c>
      <c r="BD25" s="5782" t="s">
        <v>2129</v>
      </c>
      <c r="BE25" s="5788" t="s">
        <v>2129</v>
      </c>
      <c r="BG25" s="5788" t="s">
        <v>2129</v>
      </c>
      <c r="BH25" s="5788" t="s">
        <v>2129</v>
      </c>
      <c r="BI25" s="5788" t="s">
        <v>2129</v>
      </c>
      <c r="BJ25" s="5788" t="s">
        <v>2129</v>
      </c>
      <c r="BK25" s="5788" t="s">
        <v>2129</v>
      </c>
      <c r="BL25" s="5788" t="s">
        <v>2129</v>
      </c>
      <c r="BM25" s="5788" t="s">
        <v>2129</v>
      </c>
      <c r="BN25" s="5788" t="s">
        <v>2129</v>
      </c>
      <c r="BO25" s="5788" t="s">
        <v>2129</v>
      </c>
      <c r="BP25" s="5788" t="s">
        <v>2129</v>
      </c>
      <c r="BQ25" s="5788" t="s">
        <v>2129</v>
      </c>
      <c r="BR25" s="5788" t="s">
        <v>2129</v>
      </c>
      <c r="BS25" s="5788" t="s">
        <v>2129</v>
      </c>
      <c r="BT25" s="5788" t="s">
        <v>2129</v>
      </c>
      <c r="BU25" s="5788" t="s">
        <v>2129</v>
      </c>
      <c r="BV25" s="5788" t="s">
        <v>2129</v>
      </c>
      <c r="BW25" s="5788" t="s">
        <v>2129</v>
      </c>
      <c r="BX25" s="5788" t="s">
        <v>2129</v>
      </c>
      <c r="BY25" s="5788"/>
      <c r="BZ25" s="5788" t="s">
        <v>2129</v>
      </c>
      <c r="CA25" s="5788" t="s">
        <v>2129</v>
      </c>
      <c r="CB25" s="5788" t="s">
        <v>2129</v>
      </c>
      <c r="CC25" s="5788" t="s">
        <v>2129</v>
      </c>
      <c r="CD25" s="5788"/>
      <c r="CE25" s="5784"/>
    </row>
    <row r="26" spans="1:83" s="5782" customFormat="1" ht="13">
      <c r="A26" s="5782">
        <v>50</v>
      </c>
      <c r="B26" s="5783" t="s">
        <v>3257</v>
      </c>
      <c r="C26" s="5784" t="s">
        <v>2129</v>
      </c>
      <c r="D26" s="5784" t="s">
        <v>2129</v>
      </c>
      <c r="E26" s="5784" t="s">
        <v>2129</v>
      </c>
      <c r="F26" s="5784" t="s">
        <v>2129</v>
      </c>
      <c r="G26" s="5784" t="s">
        <v>2129</v>
      </c>
      <c r="H26" s="5785">
        <v>0</v>
      </c>
      <c r="I26" s="5785">
        <v>0</v>
      </c>
      <c r="J26" s="5785">
        <v>16</v>
      </c>
      <c r="K26" s="5785" t="s">
        <v>2129</v>
      </c>
      <c r="L26" s="5786">
        <v>0</v>
      </c>
      <c r="M26" s="5786">
        <v>0</v>
      </c>
      <c r="N26" s="5786">
        <v>0</v>
      </c>
      <c r="O26" s="5786">
        <v>0</v>
      </c>
      <c r="P26" s="5786">
        <v>0</v>
      </c>
      <c r="Q26" s="2476">
        <v>0</v>
      </c>
      <c r="R26" s="2477">
        <v>0</v>
      </c>
      <c r="S26" s="2477" t="b">
        <v>1</v>
      </c>
      <c r="T26" s="5786" t="s">
        <v>2129</v>
      </c>
      <c r="U26" s="5788">
        <v>2090429</v>
      </c>
      <c r="V26" s="5788" t="b">
        <v>1</v>
      </c>
      <c r="W26" s="5788">
        <v>26130.362499999999</v>
      </c>
      <c r="X26" s="5788" t="s">
        <v>2129</v>
      </c>
      <c r="Y26" s="5788"/>
      <c r="Z26" s="5788"/>
      <c r="AA26" s="5788"/>
      <c r="AB26" s="5788"/>
      <c r="AC26" s="5782">
        <v>188</v>
      </c>
      <c r="AD26" s="5782">
        <v>80</v>
      </c>
      <c r="AE26" s="5782">
        <v>108</v>
      </c>
      <c r="AF26" s="5782">
        <v>210</v>
      </c>
      <c r="AG26" s="5782" t="s">
        <v>2129</v>
      </c>
      <c r="AH26" s="5782" t="s">
        <v>2129</v>
      </c>
      <c r="AI26" s="5782" t="s">
        <v>2129</v>
      </c>
      <c r="AJ26" s="5782" t="s">
        <v>2129</v>
      </c>
      <c r="AK26" s="5782" t="s">
        <v>2129</v>
      </c>
      <c r="AL26" s="5782" t="s">
        <v>2129</v>
      </c>
      <c r="AO26" s="5782" t="s">
        <v>2129</v>
      </c>
      <c r="AT26" s="5782" t="s">
        <v>2129</v>
      </c>
      <c r="AU26" s="5782" t="s">
        <v>2129</v>
      </c>
      <c r="AV26" s="5782" t="s">
        <v>2129</v>
      </c>
      <c r="AW26" s="5782" t="s">
        <v>2129</v>
      </c>
      <c r="AX26" s="5782" t="s">
        <v>2129</v>
      </c>
      <c r="AY26" s="5782" t="s">
        <v>2129</v>
      </c>
      <c r="AZ26" s="5782" t="s">
        <v>2129</v>
      </c>
      <c r="BA26" s="5782" t="s">
        <v>2129</v>
      </c>
      <c r="BB26" s="5782" t="s">
        <v>2129</v>
      </c>
      <c r="BC26" s="5782" t="s">
        <v>2129</v>
      </c>
      <c r="BD26" s="5782" t="s">
        <v>2129</v>
      </c>
      <c r="BE26" s="5788" t="s">
        <v>2129</v>
      </c>
      <c r="BG26" s="5788" t="s">
        <v>2129</v>
      </c>
      <c r="BH26" s="5788" t="s">
        <v>2129</v>
      </c>
      <c r="BI26" s="5788" t="s">
        <v>2129</v>
      </c>
      <c r="BJ26" s="5788" t="s">
        <v>2129</v>
      </c>
      <c r="BK26" s="5788" t="s">
        <v>2129</v>
      </c>
      <c r="BL26" s="5788" t="s">
        <v>2129</v>
      </c>
      <c r="BM26" s="5788" t="s">
        <v>2129</v>
      </c>
      <c r="BN26" s="5788" t="s">
        <v>2129</v>
      </c>
      <c r="BO26" s="5788" t="s">
        <v>2129</v>
      </c>
      <c r="BP26" s="5788" t="s">
        <v>2129</v>
      </c>
      <c r="BQ26" s="5788" t="s">
        <v>2129</v>
      </c>
      <c r="BR26" s="5788" t="s">
        <v>2129</v>
      </c>
      <c r="BS26" s="5788" t="s">
        <v>2129</v>
      </c>
      <c r="BT26" s="5788" t="s">
        <v>2129</v>
      </c>
      <c r="BU26" s="5788" t="s">
        <v>2129</v>
      </c>
      <c r="BV26" s="5788" t="s">
        <v>2129</v>
      </c>
      <c r="BW26" s="5788" t="s">
        <v>2129</v>
      </c>
      <c r="BX26" s="5788" t="s">
        <v>2129</v>
      </c>
      <c r="BY26" s="5788"/>
      <c r="BZ26" s="5788" t="s">
        <v>2129</v>
      </c>
      <c r="CA26" s="5788" t="s">
        <v>2129</v>
      </c>
      <c r="CB26" s="5788" t="s">
        <v>2129</v>
      </c>
      <c r="CC26" s="5788" t="s">
        <v>2129</v>
      </c>
      <c r="CD26" s="5788"/>
      <c r="CE26" s="5784"/>
    </row>
    <row r="27" spans="1:83" ht="13">
      <c r="A27">
        <v>51</v>
      </c>
      <c r="B27" s="196" t="s">
        <v>3258</v>
      </c>
      <c r="C27" s="5785" t="s">
        <v>3694</v>
      </c>
      <c r="D27" s="5785" t="s">
        <v>2129</v>
      </c>
      <c r="E27" s="5785" t="s">
        <v>2129</v>
      </c>
      <c r="F27" s="5785" t="s">
        <v>3694</v>
      </c>
      <c r="G27" s="5785" t="s">
        <v>2129</v>
      </c>
      <c r="H27" s="5785">
        <v>1</v>
      </c>
      <c r="I27" s="5785">
        <v>1</v>
      </c>
      <c r="J27" s="5785">
        <v>17</v>
      </c>
      <c r="K27" s="5785" t="s">
        <v>2129</v>
      </c>
      <c r="L27" s="5786">
        <v>137648</v>
      </c>
      <c r="M27" s="5786">
        <v>0</v>
      </c>
      <c r="N27" s="5786">
        <v>0</v>
      </c>
      <c r="O27" s="5786">
        <v>0</v>
      </c>
      <c r="P27" s="5786">
        <v>0</v>
      </c>
      <c r="Q27" s="2476">
        <v>151412.80000000002</v>
      </c>
      <c r="R27" s="2477">
        <v>151412</v>
      </c>
      <c r="S27" s="2477" t="b">
        <v>0</v>
      </c>
      <c r="T27" s="5786">
        <v>151412</v>
      </c>
      <c r="U27" s="863">
        <v>1821022</v>
      </c>
      <c r="V27" s="863" t="b">
        <v>1</v>
      </c>
      <c r="W27" s="863">
        <v>24280.293333333335</v>
      </c>
      <c r="X27" s="863">
        <v>25540.280504908838</v>
      </c>
      <c r="AC27">
        <v>165</v>
      </c>
      <c r="AD27">
        <v>75</v>
      </c>
      <c r="AE27">
        <v>90</v>
      </c>
      <c r="AF27">
        <v>207</v>
      </c>
      <c r="AG27">
        <v>75</v>
      </c>
      <c r="AH27" t="s">
        <v>2129</v>
      </c>
      <c r="AI27" t="s">
        <v>2129</v>
      </c>
      <c r="AJ27">
        <v>62</v>
      </c>
      <c r="AK27" t="s">
        <v>2129</v>
      </c>
      <c r="AL27">
        <v>0</v>
      </c>
      <c r="AO27">
        <v>-13</v>
      </c>
      <c r="AT27" t="s">
        <v>2129</v>
      </c>
      <c r="AU27" t="s">
        <v>2129</v>
      </c>
      <c r="AV27" t="s">
        <v>2129</v>
      </c>
      <c r="AW27">
        <v>32</v>
      </c>
      <c r="AX27" t="s">
        <v>2129</v>
      </c>
      <c r="AY27" t="s">
        <v>2129</v>
      </c>
      <c r="AZ27" t="s">
        <v>2129</v>
      </c>
      <c r="BA27" t="s">
        <v>2129</v>
      </c>
      <c r="BB27">
        <v>16</v>
      </c>
      <c r="BC27" t="s">
        <v>2129</v>
      </c>
      <c r="BD27" t="s">
        <v>2129</v>
      </c>
      <c r="BE27" s="1958" t="s">
        <v>2129</v>
      </c>
      <c r="BF27"/>
      <c r="BG27" s="863" t="s">
        <v>2129</v>
      </c>
      <c r="BH27" s="863">
        <v>58272704</v>
      </c>
      <c r="BI27" s="863" t="s">
        <v>2129</v>
      </c>
      <c r="BJ27" s="863" t="s">
        <v>2129</v>
      </c>
      <c r="BK27" s="863" t="s">
        <v>2129</v>
      </c>
      <c r="BL27" s="863" t="s">
        <v>2129</v>
      </c>
      <c r="BM27" s="863" t="s">
        <v>2129</v>
      </c>
      <c r="BN27" s="863" t="s">
        <v>2129</v>
      </c>
      <c r="BO27" s="863" t="s">
        <v>2129</v>
      </c>
      <c r="BP27" s="863" t="s">
        <v>2129</v>
      </c>
      <c r="BQ27" s="863">
        <v>24086050.986666668</v>
      </c>
      <c r="BR27" s="863" t="s">
        <v>2129</v>
      </c>
      <c r="BS27" s="863" t="s">
        <v>2129</v>
      </c>
      <c r="BT27" s="863" t="s">
        <v>2129</v>
      </c>
      <c r="BU27" s="863" t="s">
        <v>2129</v>
      </c>
      <c r="BV27" s="863" t="s">
        <v>2129</v>
      </c>
      <c r="BW27" s="863" t="s">
        <v>2129</v>
      </c>
      <c r="BX27" s="863" t="s">
        <v>2129</v>
      </c>
      <c r="BY27" s="863"/>
      <c r="BZ27" s="863" t="s">
        <v>2129</v>
      </c>
      <c r="CA27" s="863" t="s">
        <v>2129</v>
      </c>
      <c r="CB27" s="863" t="s">
        <v>2129</v>
      </c>
      <c r="CC27" s="863" t="s">
        <v>2129</v>
      </c>
      <c r="CD27" s="863"/>
      <c r="CE27" s="5785"/>
    </row>
    <row r="28" spans="1:83" ht="13">
      <c r="A28">
        <v>52</v>
      </c>
      <c r="B28" s="196" t="s">
        <v>3259</v>
      </c>
      <c r="C28" s="5785" t="s">
        <v>3694</v>
      </c>
      <c r="D28" s="5785" t="s">
        <v>2129</v>
      </c>
      <c r="E28" s="5785" t="s">
        <v>2129</v>
      </c>
      <c r="F28" s="5785" t="s">
        <v>3694</v>
      </c>
      <c r="G28" s="5785" t="s">
        <v>2129</v>
      </c>
      <c r="H28" s="5785">
        <v>0</v>
      </c>
      <c r="I28" s="5785">
        <v>0</v>
      </c>
      <c r="J28" s="5785">
        <v>16</v>
      </c>
      <c r="K28" s="5785" t="s">
        <v>2129</v>
      </c>
      <c r="L28" s="5786">
        <v>0</v>
      </c>
      <c r="M28" s="5786">
        <v>0</v>
      </c>
      <c r="N28" s="5786">
        <v>0</v>
      </c>
      <c r="O28" s="5786">
        <v>0</v>
      </c>
      <c r="P28" s="5786">
        <v>0</v>
      </c>
      <c r="Q28" s="2476">
        <v>0</v>
      </c>
      <c r="R28" s="2477">
        <v>0</v>
      </c>
      <c r="S28" s="2477" t="b">
        <v>1</v>
      </c>
      <c r="T28" s="5786" t="s">
        <v>2129</v>
      </c>
      <c r="U28" s="863">
        <v>972149</v>
      </c>
      <c r="V28" s="863" t="b">
        <v>1</v>
      </c>
      <c r="W28" s="863">
        <v>13887.842857142858</v>
      </c>
      <c r="X28" s="863">
        <v>84534.695652173919</v>
      </c>
      <c r="AC28">
        <v>98</v>
      </c>
      <c r="AD28">
        <v>70</v>
      </c>
      <c r="AE28">
        <v>28</v>
      </c>
      <c r="AF28">
        <v>99</v>
      </c>
      <c r="AG28">
        <v>70</v>
      </c>
      <c r="AH28" t="s">
        <v>2129</v>
      </c>
      <c r="AI28" t="s">
        <v>2129</v>
      </c>
      <c r="AJ28">
        <v>10</v>
      </c>
      <c r="AK28" t="s">
        <v>2129</v>
      </c>
      <c r="AL28">
        <v>0</v>
      </c>
      <c r="AO28">
        <v>-60</v>
      </c>
      <c r="AT28" t="s">
        <v>2129</v>
      </c>
      <c r="AU28" t="s">
        <v>2129</v>
      </c>
      <c r="AV28" t="s">
        <v>2129</v>
      </c>
      <c r="AW28">
        <v>32</v>
      </c>
      <c r="AX28" t="s">
        <v>2129</v>
      </c>
      <c r="AY28" t="s">
        <v>2129</v>
      </c>
      <c r="AZ28" t="s">
        <v>2129</v>
      </c>
      <c r="BA28" t="s">
        <v>2129</v>
      </c>
      <c r="BB28">
        <v>16</v>
      </c>
      <c r="BC28" t="s">
        <v>2129</v>
      </c>
      <c r="BD28" t="s">
        <v>2129</v>
      </c>
      <c r="BE28" s="1958" t="s">
        <v>2129</v>
      </c>
      <c r="BF28"/>
      <c r="BG28" s="863" t="s">
        <v>2129</v>
      </c>
      <c r="BH28" s="863">
        <v>31108768</v>
      </c>
      <c r="BI28" s="863" t="s">
        <v>2129</v>
      </c>
      <c r="BJ28" s="863" t="s">
        <v>2129</v>
      </c>
      <c r="BK28" s="863" t="s">
        <v>2129</v>
      </c>
      <c r="BL28" s="863" t="s">
        <v>2129</v>
      </c>
      <c r="BM28" s="863" t="s">
        <v>2129</v>
      </c>
      <c r="BN28" s="863" t="s">
        <v>2129</v>
      </c>
      <c r="BO28" s="863" t="s">
        <v>2129</v>
      </c>
      <c r="BP28" s="863" t="s">
        <v>2129</v>
      </c>
      <c r="BQ28" s="863">
        <v>2222054.8571428573</v>
      </c>
      <c r="BR28" s="863" t="s">
        <v>2129</v>
      </c>
      <c r="BS28" s="863" t="s">
        <v>2129</v>
      </c>
      <c r="BT28" s="863" t="s">
        <v>2129</v>
      </c>
      <c r="BU28" s="863" t="s">
        <v>2129</v>
      </c>
      <c r="BV28" s="863" t="s">
        <v>2129</v>
      </c>
      <c r="BW28" s="863" t="s">
        <v>2129</v>
      </c>
      <c r="BX28" s="863" t="s">
        <v>2129</v>
      </c>
      <c r="BY28" s="863"/>
      <c r="BZ28" s="863" t="s">
        <v>2129</v>
      </c>
      <c r="CA28" s="863" t="s">
        <v>2129</v>
      </c>
      <c r="CB28" s="863" t="s">
        <v>2129</v>
      </c>
      <c r="CC28" s="863" t="s">
        <v>2129</v>
      </c>
      <c r="CD28" s="863"/>
      <c r="CE28" s="5785"/>
    </row>
    <row r="29" spans="1:83" ht="13">
      <c r="A29">
        <v>53</v>
      </c>
      <c r="B29" s="196" t="s">
        <v>3260</v>
      </c>
      <c r="C29" s="5785" t="s">
        <v>2129</v>
      </c>
      <c r="D29" s="5785" t="s">
        <v>2129</v>
      </c>
      <c r="E29" s="5785" t="s">
        <v>4095</v>
      </c>
      <c r="F29" s="5785" t="s">
        <v>2129</v>
      </c>
      <c r="G29" s="5785" t="s">
        <v>2129</v>
      </c>
      <c r="H29" s="5785">
        <v>0</v>
      </c>
      <c r="I29" s="5785">
        <v>0</v>
      </c>
      <c r="J29" s="5785">
        <v>16</v>
      </c>
      <c r="K29" s="5785" t="s">
        <v>2129</v>
      </c>
      <c r="L29" s="5786">
        <v>0</v>
      </c>
      <c r="M29" s="5786">
        <v>0</v>
      </c>
      <c r="N29" s="5786">
        <v>0</v>
      </c>
      <c r="O29" s="5786">
        <v>0</v>
      </c>
      <c r="P29" s="5786">
        <v>0</v>
      </c>
      <c r="Q29" s="2476">
        <v>0</v>
      </c>
      <c r="R29" s="2477">
        <v>0</v>
      </c>
      <c r="S29" s="2477" t="b">
        <v>1</v>
      </c>
      <c r="T29" s="5786" t="s">
        <v>2129</v>
      </c>
      <c r="U29" s="863">
        <v>5821217</v>
      </c>
      <c r="V29" s="863" t="b">
        <v>1</v>
      </c>
      <c r="W29" s="863">
        <v>24458.894957983193</v>
      </c>
      <c r="X29" s="863" t="s">
        <v>2129</v>
      </c>
      <c r="AC29">
        <v>238</v>
      </c>
      <c r="AD29">
        <v>238</v>
      </c>
      <c r="AE29">
        <v>0</v>
      </c>
      <c r="AF29">
        <v>240</v>
      </c>
      <c r="AG29" t="s">
        <v>2129</v>
      </c>
      <c r="AH29" t="s">
        <v>2129</v>
      </c>
      <c r="AI29">
        <v>156</v>
      </c>
      <c r="AJ29" t="s">
        <v>2129</v>
      </c>
      <c r="AK29" t="s">
        <v>2129</v>
      </c>
      <c r="AL29" t="s">
        <v>2129</v>
      </c>
      <c r="AO29" t="s">
        <v>2129</v>
      </c>
      <c r="AT29" t="s">
        <v>2129</v>
      </c>
      <c r="AU29" t="s">
        <v>2129</v>
      </c>
      <c r="AV29" t="s">
        <v>2129</v>
      </c>
      <c r="AW29" t="s">
        <v>2129</v>
      </c>
      <c r="AX29" t="s">
        <v>2129</v>
      </c>
      <c r="AY29">
        <v>32</v>
      </c>
      <c r="AZ29" t="s">
        <v>2129</v>
      </c>
      <c r="BA29" t="s">
        <v>2129</v>
      </c>
      <c r="BB29" t="s">
        <v>2129</v>
      </c>
      <c r="BC29" t="s">
        <v>2129</v>
      </c>
      <c r="BD29" t="s">
        <v>2129</v>
      </c>
      <c r="BE29" s="1958" t="s">
        <v>2129</v>
      </c>
      <c r="BF29"/>
      <c r="BG29" s="863" t="s">
        <v>2129</v>
      </c>
      <c r="BH29" s="863" t="s">
        <v>2129</v>
      </c>
      <c r="BI29" s="863" t="s">
        <v>2129</v>
      </c>
      <c r="BJ29" s="863" t="s">
        <v>2129</v>
      </c>
      <c r="BK29" s="863" t="s">
        <v>2129</v>
      </c>
      <c r="BL29" s="863">
        <v>122098803.63025211</v>
      </c>
      <c r="BM29" s="863" t="s">
        <v>2129</v>
      </c>
      <c r="BN29" s="863" t="s">
        <v>2129</v>
      </c>
      <c r="BO29" s="863" t="s">
        <v>2129</v>
      </c>
      <c r="BP29" s="863" t="s">
        <v>2129</v>
      </c>
      <c r="BQ29" s="863" t="s">
        <v>2129</v>
      </c>
      <c r="BR29" s="863" t="s">
        <v>2129</v>
      </c>
      <c r="BS29" s="863" t="s">
        <v>2129</v>
      </c>
      <c r="BT29" s="863" t="s">
        <v>2129</v>
      </c>
      <c r="BU29" s="863" t="s">
        <v>2129</v>
      </c>
      <c r="BV29" s="863" t="s">
        <v>2129</v>
      </c>
      <c r="BW29" s="863" t="s">
        <v>2129</v>
      </c>
      <c r="BX29" s="863" t="s">
        <v>2129</v>
      </c>
      <c r="BY29" s="863"/>
      <c r="BZ29" s="863" t="s">
        <v>2129</v>
      </c>
      <c r="CA29" s="863" t="s">
        <v>2129</v>
      </c>
      <c r="CB29" s="863" t="s">
        <v>2129</v>
      </c>
      <c r="CC29" s="863" t="s">
        <v>2129</v>
      </c>
      <c r="CD29" s="863"/>
      <c r="CE29" s="5785"/>
    </row>
    <row r="30" spans="1:83" ht="13">
      <c r="A30">
        <v>54</v>
      </c>
      <c r="B30" s="196" t="s">
        <v>3261</v>
      </c>
      <c r="C30" s="5785" t="s">
        <v>2695</v>
      </c>
      <c r="D30" s="5785" t="s">
        <v>2129</v>
      </c>
      <c r="E30" s="5785" t="s">
        <v>2129</v>
      </c>
      <c r="F30" s="5785" t="s">
        <v>2129</v>
      </c>
      <c r="G30" s="5785" t="s">
        <v>2129</v>
      </c>
      <c r="H30" s="5785">
        <v>0</v>
      </c>
      <c r="I30" s="5785">
        <v>0</v>
      </c>
      <c r="J30" s="5785">
        <v>16</v>
      </c>
      <c r="K30" s="5785" t="s">
        <v>2129</v>
      </c>
      <c r="L30" s="5786">
        <v>0</v>
      </c>
      <c r="M30" s="5786">
        <v>0</v>
      </c>
      <c r="N30" s="5786">
        <v>0</v>
      </c>
      <c r="O30" s="5786">
        <v>0</v>
      </c>
      <c r="P30" s="5786">
        <v>0</v>
      </c>
      <c r="Q30" s="2476">
        <v>0</v>
      </c>
      <c r="R30" s="2477">
        <v>0</v>
      </c>
      <c r="S30" s="2477" t="b">
        <v>1</v>
      </c>
      <c r="T30" s="5786" t="s">
        <v>2129</v>
      </c>
      <c r="U30" s="863">
        <v>5228314</v>
      </c>
      <c r="V30" s="863" t="b">
        <v>1</v>
      </c>
      <c r="W30" s="863">
        <v>50760.330097087375</v>
      </c>
      <c r="X30" s="863" t="s">
        <v>2129</v>
      </c>
      <c r="AC30">
        <v>153</v>
      </c>
      <c r="AD30" s="3965">
        <v>103</v>
      </c>
      <c r="AE30" s="3965">
        <v>50</v>
      </c>
      <c r="AF30">
        <v>179</v>
      </c>
      <c r="AG30">
        <v>153</v>
      </c>
      <c r="AH30" t="s">
        <v>2129</v>
      </c>
      <c r="AI30" t="s">
        <v>2129</v>
      </c>
      <c r="AJ30" s="1866" t="s">
        <v>2129</v>
      </c>
      <c r="AK30" t="s">
        <v>2129</v>
      </c>
      <c r="AL30">
        <v>50</v>
      </c>
      <c r="AO30" t="s">
        <v>2129</v>
      </c>
      <c r="AT30" t="s">
        <v>2129</v>
      </c>
      <c r="AU30" t="s">
        <v>2129</v>
      </c>
      <c r="AV30">
        <v>18</v>
      </c>
      <c r="AW30" t="s">
        <v>2129</v>
      </c>
      <c r="AX30" t="s">
        <v>2129</v>
      </c>
      <c r="AY30" t="s">
        <v>2129</v>
      </c>
      <c r="AZ30" t="s">
        <v>2129</v>
      </c>
      <c r="BA30" t="s">
        <v>2129</v>
      </c>
      <c r="BB30" t="s">
        <v>2129</v>
      </c>
      <c r="BC30" t="s">
        <v>2129</v>
      </c>
      <c r="BD30" t="s">
        <v>2129</v>
      </c>
      <c r="BE30" s="1958" t="s">
        <v>2129</v>
      </c>
      <c r="BF30"/>
      <c r="BG30" s="863" t="s">
        <v>2129</v>
      </c>
      <c r="BH30" s="863" t="s">
        <v>2129</v>
      </c>
      <c r="BI30" s="863">
        <v>139793949.08737862</v>
      </c>
      <c r="BJ30" s="863" t="s">
        <v>2129</v>
      </c>
      <c r="BK30" s="863" t="s">
        <v>2129</v>
      </c>
      <c r="BL30" s="863" t="s">
        <v>2129</v>
      </c>
      <c r="BM30" s="863" t="s">
        <v>2129</v>
      </c>
      <c r="BN30" s="863" t="s">
        <v>2129</v>
      </c>
      <c r="BO30" s="863" t="s">
        <v>2129</v>
      </c>
      <c r="BP30" s="863" t="s">
        <v>2129</v>
      </c>
      <c r="BQ30" s="863" t="s">
        <v>2129</v>
      </c>
      <c r="BR30" s="863" t="s">
        <v>2129</v>
      </c>
      <c r="BS30" s="863" t="s">
        <v>2129</v>
      </c>
      <c r="BT30" s="863" t="s">
        <v>2129</v>
      </c>
      <c r="BU30" s="863" t="s">
        <v>2129</v>
      </c>
      <c r="BV30" s="863" t="s">
        <v>2129</v>
      </c>
      <c r="BW30" s="863" t="s">
        <v>2129</v>
      </c>
      <c r="BX30" s="863" t="s">
        <v>2129</v>
      </c>
      <c r="BY30" s="863"/>
      <c r="BZ30" s="863" t="s">
        <v>2129</v>
      </c>
      <c r="CA30" s="863" t="s">
        <v>2129</v>
      </c>
      <c r="CB30" s="863" t="s">
        <v>2129</v>
      </c>
      <c r="CC30" s="863" t="s">
        <v>2129</v>
      </c>
      <c r="CD30" s="863"/>
      <c r="CE30" s="5785"/>
    </row>
    <row r="31" spans="1:83" s="5782" customFormat="1" ht="13">
      <c r="A31" s="5782">
        <v>55</v>
      </c>
      <c r="B31" s="5783" t="s">
        <v>3262</v>
      </c>
      <c r="C31" s="5784" t="s">
        <v>2129</v>
      </c>
      <c r="D31" s="5784" t="s">
        <v>2129</v>
      </c>
      <c r="E31" s="5784" t="s">
        <v>2129</v>
      </c>
      <c r="F31" s="5784" t="s">
        <v>2129</v>
      </c>
      <c r="G31" s="5784" t="s">
        <v>2129</v>
      </c>
      <c r="H31" s="5785">
        <v>2</v>
      </c>
      <c r="I31" s="5785">
        <v>1</v>
      </c>
      <c r="J31" s="5785">
        <v>17</v>
      </c>
      <c r="K31" s="5785" t="s">
        <v>2129</v>
      </c>
      <c r="L31" s="5786">
        <v>85412</v>
      </c>
      <c r="M31" s="5786">
        <v>0</v>
      </c>
      <c r="N31" s="5786">
        <v>0</v>
      </c>
      <c r="O31" s="5786">
        <v>0</v>
      </c>
      <c r="P31" s="5786">
        <v>0</v>
      </c>
      <c r="Q31" s="2476">
        <v>93953.200000000012</v>
      </c>
      <c r="R31" s="2477">
        <v>93953</v>
      </c>
      <c r="S31" s="2477" t="b">
        <v>0</v>
      </c>
      <c r="T31" s="5786">
        <v>93953</v>
      </c>
      <c r="U31" s="5788">
        <v>388256</v>
      </c>
      <c r="V31" s="5788" t="b">
        <v>1</v>
      </c>
      <c r="W31" s="5788">
        <v>19412.8</v>
      </c>
      <c r="X31" s="5788" t="s">
        <v>2129</v>
      </c>
      <c r="Y31" s="5788"/>
      <c r="Z31" s="5788"/>
      <c r="AA31" s="5788"/>
      <c r="AB31" s="5788"/>
      <c r="AC31" s="5782">
        <v>101</v>
      </c>
      <c r="AD31" s="5782">
        <v>20</v>
      </c>
      <c r="AE31" s="5782">
        <v>81</v>
      </c>
      <c r="AF31" s="5782">
        <v>101</v>
      </c>
      <c r="AG31" s="5782" t="s">
        <v>2129</v>
      </c>
      <c r="AH31" s="5782" t="s">
        <v>2129</v>
      </c>
      <c r="AI31" s="5782" t="s">
        <v>2129</v>
      </c>
      <c r="AJ31" s="5782" t="s">
        <v>2129</v>
      </c>
      <c r="AK31" s="5782" t="s">
        <v>2129</v>
      </c>
      <c r="AL31" s="5782" t="s">
        <v>2129</v>
      </c>
      <c r="AO31" s="5782" t="s">
        <v>2129</v>
      </c>
      <c r="AT31" s="5782" t="s">
        <v>2129</v>
      </c>
      <c r="AU31" s="5782" t="s">
        <v>2129</v>
      </c>
      <c r="AV31" s="5782" t="s">
        <v>2129</v>
      </c>
      <c r="AW31" s="5782" t="s">
        <v>2129</v>
      </c>
      <c r="AX31" s="5782" t="s">
        <v>2129</v>
      </c>
      <c r="AY31" s="5782" t="s">
        <v>2129</v>
      </c>
      <c r="AZ31" s="5782" t="s">
        <v>2129</v>
      </c>
      <c r="BA31" s="5782" t="s">
        <v>2129</v>
      </c>
      <c r="BB31" s="5782" t="s">
        <v>2129</v>
      </c>
      <c r="BC31" s="5782" t="s">
        <v>2129</v>
      </c>
      <c r="BD31" s="5782" t="s">
        <v>2129</v>
      </c>
      <c r="BE31" s="5788" t="s">
        <v>2129</v>
      </c>
      <c r="BG31" s="5788" t="s">
        <v>2129</v>
      </c>
      <c r="BH31" s="5788" t="s">
        <v>2129</v>
      </c>
      <c r="BI31" s="5788" t="s">
        <v>2129</v>
      </c>
      <c r="BJ31" s="5788" t="s">
        <v>2129</v>
      </c>
      <c r="BK31" s="5788" t="s">
        <v>2129</v>
      </c>
      <c r="BL31" s="5788" t="s">
        <v>2129</v>
      </c>
      <c r="BM31" s="5788" t="s">
        <v>2129</v>
      </c>
      <c r="BN31" s="5788" t="s">
        <v>2129</v>
      </c>
      <c r="BO31" s="5788" t="s">
        <v>2129</v>
      </c>
      <c r="BP31" s="5788" t="s">
        <v>2129</v>
      </c>
      <c r="BQ31" s="5788" t="s">
        <v>2129</v>
      </c>
      <c r="BR31" s="5788" t="s">
        <v>2129</v>
      </c>
      <c r="BS31" s="5788" t="s">
        <v>2129</v>
      </c>
      <c r="BT31" s="5788" t="s">
        <v>2129</v>
      </c>
      <c r="BU31" s="5788" t="s">
        <v>2129</v>
      </c>
      <c r="BV31" s="5788" t="s">
        <v>2129</v>
      </c>
      <c r="BW31" s="5788" t="s">
        <v>2129</v>
      </c>
      <c r="BX31" s="5788" t="s">
        <v>2129</v>
      </c>
      <c r="BY31" s="5788"/>
      <c r="BZ31" s="5788" t="s">
        <v>2129</v>
      </c>
      <c r="CA31" s="5788" t="s">
        <v>2129</v>
      </c>
      <c r="CB31" s="5788" t="s">
        <v>2129</v>
      </c>
      <c r="CC31" s="5788" t="s">
        <v>2129</v>
      </c>
      <c r="CD31" s="5788"/>
      <c r="CE31" s="5784"/>
    </row>
    <row r="32" spans="1:83" ht="13">
      <c r="A32">
        <v>56</v>
      </c>
      <c r="B32" s="196" t="s">
        <v>3263</v>
      </c>
      <c r="C32" s="5785" t="s">
        <v>5248</v>
      </c>
      <c r="D32" s="5785" t="s">
        <v>2129</v>
      </c>
      <c r="E32" s="5785" t="s">
        <v>2129</v>
      </c>
      <c r="F32" s="3925" t="s">
        <v>5248</v>
      </c>
      <c r="G32" s="5785" t="s">
        <v>2129</v>
      </c>
      <c r="H32" s="5785">
        <v>7</v>
      </c>
      <c r="I32" s="5785">
        <v>1</v>
      </c>
      <c r="J32" s="5785">
        <v>1</v>
      </c>
      <c r="K32" s="5785">
        <v>6</v>
      </c>
      <c r="L32" s="5786"/>
      <c r="M32" s="5786">
        <v>370601</v>
      </c>
      <c r="N32" s="5786">
        <v>109140</v>
      </c>
      <c r="O32" s="5786">
        <v>0</v>
      </c>
      <c r="P32" s="5786">
        <v>0</v>
      </c>
      <c r="Q32" s="2476">
        <v>527715.10000000009</v>
      </c>
      <c r="R32" s="2477">
        <v>1051818</v>
      </c>
      <c r="S32" s="5798" t="b">
        <v>1</v>
      </c>
      <c r="T32" s="5786">
        <v>1051818</v>
      </c>
      <c r="U32" s="863">
        <v>6262685</v>
      </c>
      <c r="V32" s="863" t="b">
        <v>1</v>
      </c>
      <c r="W32" s="863">
        <v>53988.663793103449</v>
      </c>
      <c r="X32" s="863">
        <v>46946.664167916053</v>
      </c>
      <c r="AC32">
        <v>126</v>
      </c>
      <c r="AD32">
        <v>116</v>
      </c>
      <c r="AE32">
        <v>10</v>
      </c>
      <c r="AF32">
        <v>199</v>
      </c>
      <c r="AG32">
        <v>116</v>
      </c>
      <c r="AH32" t="s">
        <v>2129</v>
      </c>
      <c r="AI32" t="s">
        <v>2129</v>
      </c>
      <c r="AJ32">
        <v>116</v>
      </c>
      <c r="AK32" t="s">
        <v>2129</v>
      </c>
      <c r="AL32">
        <v>0</v>
      </c>
      <c r="AO32">
        <v>0</v>
      </c>
      <c r="AT32" t="s">
        <v>2129</v>
      </c>
      <c r="AU32" t="s">
        <v>2129</v>
      </c>
      <c r="AV32">
        <v>36</v>
      </c>
      <c r="AW32" t="s">
        <v>2129</v>
      </c>
      <c r="AX32" t="s">
        <v>2129</v>
      </c>
      <c r="AY32" t="s">
        <v>2129</v>
      </c>
      <c r="AZ32" t="s">
        <v>2129</v>
      </c>
      <c r="BA32">
        <v>17</v>
      </c>
      <c r="BB32" t="s">
        <v>2129</v>
      </c>
      <c r="BC32" t="s">
        <v>2129</v>
      </c>
      <c r="BD32" t="s">
        <v>2129</v>
      </c>
      <c r="BE32" s="1958" t="s">
        <v>2129</v>
      </c>
      <c r="BF32"/>
      <c r="BG32" s="863" t="s">
        <v>2129</v>
      </c>
      <c r="BH32" s="863" t="s">
        <v>2129</v>
      </c>
      <c r="BI32" s="863" t="s">
        <v>2129</v>
      </c>
      <c r="BJ32" s="863">
        <v>225456660</v>
      </c>
      <c r="BK32" s="863" t="s">
        <v>2129</v>
      </c>
      <c r="BL32" s="863" t="s">
        <v>2129</v>
      </c>
      <c r="BM32" s="863" t="s">
        <v>2129</v>
      </c>
      <c r="BN32" s="863" t="s">
        <v>2129</v>
      </c>
      <c r="BO32" s="863" t="s">
        <v>2129</v>
      </c>
      <c r="BP32" s="1958">
        <v>106465645</v>
      </c>
      <c r="BQ32" s="863" t="s">
        <v>2129</v>
      </c>
      <c r="BR32" s="863" t="s">
        <v>2129</v>
      </c>
      <c r="BS32" s="863" t="s">
        <v>2129</v>
      </c>
      <c r="BT32" s="863" t="s">
        <v>2129</v>
      </c>
      <c r="BU32" s="863" t="s">
        <v>2129</v>
      </c>
      <c r="BV32" s="863" t="s">
        <v>2129</v>
      </c>
      <c r="BW32" s="863" t="s">
        <v>2129</v>
      </c>
      <c r="BX32" s="863">
        <v>37865448</v>
      </c>
      <c r="BY32" s="863"/>
      <c r="BZ32" s="863" t="s">
        <v>2129</v>
      </c>
      <c r="CA32" s="863" t="s">
        <v>2129</v>
      </c>
      <c r="CB32" s="863" t="s">
        <v>2129</v>
      </c>
      <c r="CC32" s="863">
        <v>17880906</v>
      </c>
      <c r="CD32" s="863"/>
      <c r="CE32" s="5785" t="s">
        <v>6600</v>
      </c>
    </row>
    <row r="33" spans="1:83" s="5782" customFormat="1" ht="13">
      <c r="A33" s="5782">
        <v>57</v>
      </c>
      <c r="B33" s="5783" t="s">
        <v>3264</v>
      </c>
      <c r="C33" s="5784" t="s">
        <v>2129</v>
      </c>
      <c r="D33" s="5784" t="s">
        <v>2129</v>
      </c>
      <c r="E33" s="5784" t="s">
        <v>2129</v>
      </c>
      <c r="F33" s="5784" t="s">
        <v>2129</v>
      </c>
      <c r="G33" s="5784" t="s">
        <v>2129</v>
      </c>
      <c r="H33" s="5785">
        <v>0</v>
      </c>
      <c r="I33" s="5785">
        <v>0</v>
      </c>
      <c r="J33" s="5785">
        <v>0</v>
      </c>
      <c r="K33" s="5785" t="s">
        <v>2129</v>
      </c>
      <c r="L33" s="5786">
        <v>0</v>
      </c>
      <c r="M33" s="5786">
        <v>0</v>
      </c>
      <c r="N33" s="5786">
        <v>0</v>
      </c>
      <c r="O33" s="5786">
        <v>0</v>
      </c>
      <c r="P33" s="5786">
        <v>0</v>
      </c>
      <c r="Q33" s="2476">
        <v>0</v>
      </c>
      <c r="R33" s="2477">
        <v>0</v>
      </c>
      <c r="S33" s="2477" t="b">
        <v>1</v>
      </c>
      <c r="T33" s="5786" t="s">
        <v>2129</v>
      </c>
      <c r="U33" s="5788">
        <v>4584386</v>
      </c>
      <c r="V33" s="5788" t="b">
        <v>1</v>
      </c>
      <c r="W33" s="5788">
        <v>30562.573333333334</v>
      </c>
      <c r="X33" s="5788" t="s">
        <v>2129</v>
      </c>
      <c r="Y33" s="5788"/>
      <c r="Z33" s="5788"/>
      <c r="AA33" s="5788"/>
      <c r="AB33" s="5788"/>
      <c r="AC33" s="5782">
        <v>150</v>
      </c>
      <c r="AD33" s="5782">
        <v>150</v>
      </c>
      <c r="AE33" s="5782">
        <v>0</v>
      </c>
      <c r="AF33" s="5782">
        <v>159</v>
      </c>
      <c r="AG33" s="5782" t="s">
        <v>2129</v>
      </c>
      <c r="AH33" s="5782" t="s">
        <v>2129</v>
      </c>
      <c r="AI33" s="5782" t="s">
        <v>2129</v>
      </c>
      <c r="AJ33" s="5782" t="s">
        <v>2129</v>
      </c>
      <c r="AK33" s="5782" t="s">
        <v>2129</v>
      </c>
      <c r="AL33" s="5782" t="s">
        <v>2129</v>
      </c>
      <c r="AO33" s="5782" t="s">
        <v>2129</v>
      </c>
      <c r="AT33" s="5782" t="s">
        <v>2129</v>
      </c>
      <c r="AU33" s="5782" t="s">
        <v>2129</v>
      </c>
      <c r="AV33" s="5782" t="s">
        <v>2129</v>
      </c>
      <c r="AW33" s="5782" t="s">
        <v>2129</v>
      </c>
      <c r="AX33" s="5782" t="s">
        <v>2129</v>
      </c>
      <c r="AY33" s="5782" t="s">
        <v>2129</v>
      </c>
      <c r="AZ33" s="5782" t="s">
        <v>2129</v>
      </c>
      <c r="BA33" s="5782" t="s">
        <v>2129</v>
      </c>
      <c r="BB33" s="5782" t="s">
        <v>2129</v>
      </c>
      <c r="BC33" s="5782" t="s">
        <v>2129</v>
      </c>
      <c r="BD33" s="5782" t="s">
        <v>2129</v>
      </c>
      <c r="BE33" s="5788" t="s">
        <v>2129</v>
      </c>
      <c r="BG33" s="5788" t="s">
        <v>2129</v>
      </c>
      <c r="BH33" s="5788" t="s">
        <v>2129</v>
      </c>
      <c r="BI33" s="5788" t="s">
        <v>2129</v>
      </c>
      <c r="BJ33" s="5788" t="s">
        <v>2129</v>
      </c>
      <c r="BK33" s="5788" t="s">
        <v>2129</v>
      </c>
      <c r="BL33" s="5788" t="s">
        <v>2129</v>
      </c>
      <c r="BM33" s="5788" t="s">
        <v>2129</v>
      </c>
      <c r="BN33" s="5788" t="s">
        <v>2129</v>
      </c>
      <c r="BO33" s="5788" t="s">
        <v>2129</v>
      </c>
      <c r="BP33" s="5788" t="s">
        <v>2129</v>
      </c>
      <c r="BQ33" s="5788" t="s">
        <v>2129</v>
      </c>
      <c r="BR33" s="5788" t="s">
        <v>2129</v>
      </c>
      <c r="BS33" s="5788" t="s">
        <v>2129</v>
      </c>
      <c r="BT33" s="5788" t="s">
        <v>2129</v>
      </c>
      <c r="BU33" s="5788" t="s">
        <v>2129</v>
      </c>
      <c r="BV33" s="5788" t="s">
        <v>2129</v>
      </c>
      <c r="BW33" s="5788" t="s">
        <v>2129</v>
      </c>
      <c r="BX33" s="5788" t="s">
        <v>2129</v>
      </c>
      <c r="BY33" s="5788"/>
      <c r="BZ33" s="5788" t="s">
        <v>2129</v>
      </c>
      <c r="CA33" s="5788" t="s">
        <v>2129</v>
      </c>
      <c r="CB33" s="5788" t="s">
        <v>2129</v>
      </c>
      <c r="CC33" s="5788" t="s">
        <v>2129</v>
      </c>
      <c r="CD33" s="5788"/>
      <c r="CE33" s="5784"/>
    </row>
    <row r="34" spans="1:83" ht="13">
      <c r="A34">
        <v>59</v>
      </c>
      <c r="B34" s="196" t="s">
        <v>3266</v>
      </c>
      <c r="C34" s="5785" t="s">
        <v>2695</v>
      </c>
      <c r="D34" s="5785" t="s">
        <v>2129</v>
      </c>
      <c r="E34" s="5785" t="s">
        <v>2129</v>
      </c>
      <c r="F34" s="5785" t="s">
        <v>2695</v>
      </c>
      <c r="G34" s="5785" t="s">
        <v>2129</v>
      </c>
      <c r="H34" s="5785">
        <v>0</v>
      </c>
      <c r="I34" s="5785">
        <v>0</v>
      </c>
      <c r="J34" s="5785">
        <v>0</v>
      </c>
      <c r="K34" s="5785" t="s">
        <v>2129</v>
      </c>
      <c r="L34" s="5786">
        <v>0</v>
      </c>
      <c r="M34" s="5786">
        <v>0</v>
      </c>
      <c r="N34" s="5786">
        <v>0</v>
      </c>
      <c r="O34" s="5786">
        <v>0</v>
      </c>
      <c r="P34" s="5786">
        <v>0</v>
      </c>
      <c r="Q34" s="2476">
        <v>0</v>
      </c>
      <c r="R34" s="2477">
        <v>0</v>
      </c>
      <c r="S34" s="2477" t="b">
        <v>1</v>
      </c>
      <c r="T34" s="5786" t="s">
        <v>2129</v>
      </c>
      <c r="U34" s="1958">
        <v>13971529</v>
      </c>
      <c r="V34" s="5793" t="b">
        <v>1</v>
      </c>
      <c r="W34" s="863">
        <v>47361.115254237287</v>
      </c>
      <c r="X34" s="863">
        <v>93455.043478260865</v>
      </c>
      <c r="AC34">
        <v>306</v>
      </c>
      <c r="AD34">
        <v>295</v>
      </c>
      <c r="AE34">
        <v>11</v>
      </c>
      <c r="AF34">
        <v>386</v>
      </c>
      <c r="AG34">
        <v>295</v>
      </c>
      <c r="AH34" t="s">
        <v>2129</v>
      </c>
      <c r="AI34" t="s">
        <v>2129</v>
      </c>
      <c r="AJ34">
        <v>130</v>
      </c>
      <c r="AK34" t="s">
        <v>2129</v>
      </c>
      <c r="AL34">
        <v>0</v>
      </c>
      <c r="AO34">
        <v>-165</v>
      </c>
      <c r="AT34" t="s">
        <v>2129</v>
      </c>
      <c r="AU34" t="s">
        <v>2129</v>
      </c>
      <c r="AV34">
        <v>18</v>
      </c>
      <c r="AW34" t="s">
        <v>2129</v>
      </c>
      <c r="AX34" t="s">
        <v>2129</v>
      </c>
      <c r="AY34" t="s">
        <v>2129</v>
      </c>
      <c r="AZ34" t="s">
        <v>2129</v>
      </c>
      <c r="BA34">
        <v>9</v>
      </c>
      <c r="BB34" t="s">
        <v>2129</v>
      </c>
      <c r="BC34" t="s">
        <v>2129</v>
      </c>
      <c r="BD34" t="s">
        <v>2129</v>
      </c>
      <c r="BE34" s="1958" t="s">
        <v>2129</v>
      </c>
      <c r="BF34"/>
      <c r="BG34" s="863" t="s">
        <v>2129</v>
      </c>
      <c r="BH34" s="863" t="s">
        <v>2129</v>
      </c>
      <c r="BI34" s="863">
        <v>251487522</v>
      </c>
      <c r="BJ34" s="863" t="s">
        <v>2129</v>
      </c>
      <c r="BK34" s="863" t="s">
        <v>2129</v>
      </c>
      <c r="BL34" s="863" t="s">
        <v>2129</v>
      </c>
      <c r="BM34" s="863" t="s">
        <v>2129</v>
      </c>
      <c r="BN34" s="863" t="s">
        <v>2129</v>
      </c>
      <c r="BO34" s="863" t="s">
        <v>2129</v>
      </c>
      <c r="BP34" s="863" t="s">
        <v>2129</v>
      </c>
      <c r="BQ34" s="863" t="s">
        <v>2129</v>
      </c>
      <c r="BR34" s="863">
        <v>55412504.847457625</v>
      </c>
      <c r="BS34" s="863" t="s">
        <v>2129</v>
      </c>
      <c r="BT34" s="863" t="s">
        <v>2129</v>
      </c>
      <c r="BU34" s="863" t="s">
        <v>2129</v>
      </c>
      <c r="BV34" s="863" t="s">
        <v>2129</v>
      </c>
      <c r="BW34" s="863" t="s">
        <v>2129</v>
      </c>
      <c r="BX34" s="863" t="s">
        <v>2129</v>
      </c>
      <c r="BY34" s="863"/>
      <c r="BZ34" s="863" t="s">
        <v>2129</v>
      </c>
      <c r="CA34" s="863" t="s">
        <v>2129</v>
      </c>
      <c r="CB34" s="863" t="s">
        <v>2129</v>
      </c>
      <c r="CC34" s="863" t="s">
        <v>2129</v>
      </c>
      <c r="CD34" s="863"/>
      <c r="CE34" s="5785"/>
    </row>
    <row r="35" spans="1:83" ht="13">
      <c r="A35">
        <v>60</v>
      </c>
      <c r="B35" s="196" t="s">
        <v>3267</v>
      </c>
      <c r="C35" s="5785" t="s">
        <v>3694</v>
      </c>
      <c r="D35" s="5785" t="s">
        <v>2129</v>
      </c>
      <c r="E35" s="5785" t="s">
        <v>2129</v>
      </c>
      <c r="F35" s="5785" t="s">
        <v>3694</v>
      </c>
      <c r="G35" s="5785" t="s">
        <v>2129</v>
      </c>
      <c r="H35" s="5785">
        <v>0</v>
      </c>
      <c r="I35" s="5785">
        <v>0</v>
      </c>
      <c r="J35" s="5785">
        <v>0</v>
      </c>
      <c r="K35" s="5785" t="s">
        <v>2129</v>
      </c>
      <c r="L35" s="5786">
        <v>0</v>
      </c>
      <c r="M35" s="5786">
        <v>0</v>
      </c>
      <c r="N35" s="5786">
        <v>0</v>
      </c>
      <c r="O35" s="5786">
        <v>0</v>
      </c>
      <c r="P35" s="5786">
        <v>0</v>
      </c>
      <c r="Q35" s="2476">
        <v>0</v>
      </c>
      <c r="R35" s="2477">
        <v>0</v>
      </c>
      <c r="S35" s="2477" t="b">
        <v>1</v>
      </c>
      <c r="T35" s="5786" t="s">
        <v>2129</v>
      </c>
      <c r="U35" s="863">
        <v>4477869</v>
      </c>
      <c r="V35" s="863" t="b">
        <v>1</v>
      </c>
      <c r="W35" s="863">
        <v>34445.146153846152</v>
      </c>
      <c r="X35" s="863">
        <v>37440.376254180606</v>
      </c>
      <c r="AC35">
        <v>272</v>
      </c>
      <c r="AD35">
        <v>130</v>
      </c>
      <c r="AE35">
        <v>142</v>
      </c>
      <c r="AF35">
        <v>342</v>
      </c>
      <c r="AG35">
        <v>130</v>
      </c>
      <c r="AH35" t="s">
        <v>2129</v>
      </c>
      <c r="AI35" t="s">
        <v>2129</v>
      </c>
      <c r="AJ35">
        <v>104</v>
      </c>
      <c r="AK35" t="s">
        <v>2129</v>
      </c>
      <c r="AL35">
        <v>0</v>
      </c>
      <c r="AO35">
        <v>-26</v>
      </c>
      <c r="AT35" t="s">
        <v>2129</v>
      </c>
      <c r="AU35" t="s">
        <v>2129</v>
      </c>
      <c r="AV35" t="s">
        <v>2129</v>
      </c>
      <c r="AW35">
        <v>32</v>
      </c>
      <c r="AX35" t="s">
        <v>2129</v>
      </c>
      <c r="AY35" t="s">
        <v>2129</v>
      </c>
      <c r="AZ35" t="s">
        <v>2129</v>
      </c>
      <c r="BA35" t="s">
        <v>2129</v>
      </c>
      <c r="BB35">
        <v>16</v>
      </c>
      <c r="BC35" t="s">
        <v>2129</v>
      </c>
      <c r="BD35" t="s">
        <v>2129</v>
      </c>
      <c r="BE35" s="1958" t="s">
        <v>2129</v>
      </c>
      <c r="BF35"/>
      <c r="BG35" s="863" t="s">
        <v>2129</v>
      </c>
      <c r="BH35" s="863">
        <v>143291808</v>
      </c>
      <c r="BI35" s="863" t="s">
        <v>2129</v>
      </c>
      <c r="BJ35" s="863" t="s">
        <v>2129</v>
      </c>
      <c r="BK35" s="863" t="s">
        <v>2129</v>
      </c>
      <c r="BL35" s="863" t="s">
        <v>2129</v>
      </c>
      <c r="BM35" s="863" t="s">
        <v>2129</v>
      </c>
      <c r="BN35" s="863" t="s">
        <v>2129</v>
      </c>
      <c r="BO35" s="863" t="s">
        <v>2129</v>
      </c>
      <c r="BP35" s="863" t="s">
        <v>2129</v>
      </c>
      <c r="BQ35" s="863">
        <v>57316723.199999996</v>
      </c>
      <c r="BR35" s="863" t="s">
        <v>2129</v>
      </c>
      <c r="BS35" s="863" t="s">
        <v>2129</v>
      </c>
      <c r="BT35" s="863" t="s">
        <v>2129</v>
      </c>
      <c r="BU35" s="863" t="s">
        <v>2129</v>
      </c>
      <c r="BV35" s="863" t="s">
        <v>2129</v>
      </c>
      <c r="BW35" s="863" t="s">
        <v>2129</v>
      </c>
      <c r="BX35" s="863" t="s">
        <v>2129</v>
      </c>
      <c r="BY35" s="863"/>
      <c r="BZ35" s="863" t="s">
        <v>2129</v>
      </c>
      <c r="CA35" s="863" t="s">
        <v>2129</v>
      </c>
      <c r="CB35" s="863" t="s">
        <v>2129</v>
      </c>
      <c r="CC35" s="863" t="s">
        <v>2129</v>
      </c>
      <c r="CD35" s="863"/>
      <c r="CE35" s="5785"/>
    </row>
    <row r="36" spans="1:83" ht="13">
      <c r="A36">
        <v>61</v>
      </c>
      <c r="B36" s="196" t="s">
        <v>3268</v>
      </c>
      <c r="C36" s="5785" t="s">
        <v>2695</v>
      </c>
      <c r="D36" s="5785" t="s">
        <v>2129</v>
      </c>
      <c r="E36" s="5785" t="s">
        <v>2129</v>
      </c>
      <c r="F36" s="5785" t="s">
        <v>3694</v>
      </c>
      <c r="G36" s="5785" t="s">
        <v>2129</v>
      </c>
      <c r="H36" s="5785">
        <v>0</v>
      </c>
      <c r="I36" s="5785">
        <v>0</v>
      </c>
      <c r="J36" s="5785">
        <v>0</v>
      </c>
      <c r="K36" s="5785" t="s">
        <v>2129</v>
      </c>
      <c r="L36" s="5786">
        <v>0</v>
      </c>
      <c r="M36" s="5786">
        <v>0</v>
      </c>
      <c r="N36" s="5786">
        <v>0</v>
      </c>
      <c r="O36" s="5786">
        <v>0</v>
      </c>
      <c r="P36" s="5786">
        <v>0</v>
      </c>
      <c r="Q36" s="2476">
        <v>0</v>
      </c>
      <c r="R36" s="2477">
        <v>0</v>
      </c>
      <c r="S36" s="2477" t="b">
        <v>1</v>
      </c>
      <c r="T36" s="5786" t="s">
        <v>2129</v>
      </c>
      <c r="U36" s="863">
        <v>1469094</v>
      </c>
      <c r="V36" s="863" t="b">
        <v>1</v>
      </c>
      <c r="W36" s="863">
        <v>24484.9</v>
      </c>
      <c r="X36" s="863">
        <v>31157.879109225876</v>
      </c>
      <c r="AC36">
        <v>313</v>
      </c>
      <c r="AD36">
        <v>60</v>
      </c>
      <c r="AE36">
        <v>253</v>
      </c>
      <c r="AF36">
        <v>333</v>
      </c>
      <c r="AG36">
        <v>60</v>
      </c>
      <c r="AH36" t="s">
        <v>2129</v>
      </c>
      <c r="AI36" t="s">
        <v>2129</v>
      </c>
      <c r="AJ36">
        <v>41</v>
      </c>
      <c r="AK36" t="s">
        <v>2129</v>
      </c>
      <c r="AL36">
        <v>0</v>
      </c>
      <c r="AO36">
        <v>-19</v>
      </c>
      <c r="AT36" t="s">
        <v>2129</v>
      </c>
      <c r="AU36" t="s">
        <v>2129</v>
      </c>
      <c r="AV36">
        <v>18</v>
      </c>
      <c r="AW36" t="s">
        <v>2129</v>
      </c>
      <c r="AX36" t="s">
        <v>2129</v>
      </c>
      <c r="AY36" t="s">
        <v>2129</v>
      </c>
      <c r="AZ36" t="s">
        <v>2129</v>
      </c>
      <c r="BA36" t="s">
        <v>2129</v>
      </c>
      <c r="BB36">
        <v>16</v>
      </c>
      <c r="BC36" t="s">
        <v>2129</v>
      </c>
      <c r="BD36" t="s">
        <v>2129</v>
      </c>
      <c r="BE36" s="1958" t="s">
        <v>2129</v>
      </c>
      <c r="BF36"/>
      <c r="BG36" s="863" t="s">
        <v>2129</v>
      </c>
      <c r="BH36" s="863" t="s">
        <v>2129</v>
      </c>
      <c r="BI36" s="863">
        <v>26443692</v>
      </c>
      <c r="BJ36" s="863" t="s">
        <v>2129</v>
      </c>
      <c r="BK36" s="863" t="s">
        <v>2129</v>
      </c>
      <c r="BL36" s="863" t="s">
        <v>2129</v>
      </c>
      <c r="BM36" s="863" t="s">
        <v>2129</v>
      </c>
      <c r="BN36" s="863" t="s">
        <v>2129</v>
      </c>
      <c r="BO36" s="863" t="s">
        <v>2129</v>
      </c>
      <c r="BP36" s="863" t="s">
        <v>2129</v>
      </c>
      <c r="BQ36" s="863">
        <v>16062094.4</v>
      </c>
      <c r="BR36" s="863" t="s">
        <v>2129</v>
      </c>
      <c r="BS36" s="863" t="s">
        <v>2129</v>
      </c>
      <c r="BT36" s="863" t="s">
        <v>2129</v>
      </c>
      <c r="BU36" s="863" t="s">
        <v>2129</v>
      </c>
      <c r="BV36" s="863" t="s">
        <v>2129</v>
      </c>
      <c r="BW36" s="863" t="s">
        <v>2129</v>
      </c>
      <c r="BX36" s="863" t="s">
        <v>2129</v>
      </c>
      <c r="BY36" s="863"/>
      <c r="BZ36" s="863" t="s">
        <v>2129</v>
      </c>
      <c r="CA36" s="863" t="s">
        <v>2129</v>
      </c>
      <c r="CB36" s="863" t="s">
        <v>2129</v>
      </c>
      <c r="CC36" s="863" t="s">
        <v>2129</v>
      </c>
      <c r="CD36" s="863"/>
      <c r="CE36" s="5785"/>
    </row>
    <row r="37" spans="1:83" ht="13">
      <c r="A37">
        <v>62</v>
      </c>
      <c r="B37" s="196" t="s">
        <v>3269</v>
      </c>
      <c r="C37" s="5785" t="s">
        <v>2695</v>
      </c>
      <c r="D37" s="5785" t="s">
        <v>2129</v>
      </c>
      <c r="E37" s="5785" t="s">
        <v>2129</v>
      </c>
      <c r="F37" s="5785" t="s">
        <v>2695</v>
      </c>
      <c r="G37" s="5785" t="s">
        <v>2129</v>
      </c>
      <c r="H37" s="5785">
        <v>12</v>
      </c>
      <c r="I37" s="5785">
        <v>2</v>
      </c>
      <c r="J37" s="5785">
        <v>2</v>
      </c>
      <c r="K37" s="5785" t="s">
        <v>2129</v>
      </c>
      <c r="L37" s="5786">
        <v>1015295</v>
      </c>
      <c r="M37" s="5786">
        <v>0</v>
      </c>
      <c r="N37" s="5786">
        <v>0</v>
      </c>
      <c r="O37" s="5786">
        <v>0</v>
      </c>
      <c r="P37" s="5786">
        <v>0</v>
      </c>
      <c r="Q37" s="2476">
        <v>1116824.5</v>
      </c>
      <c r="R37" s="2477">
        <v>1116824</v>
      </c>
      <c r="S37" s="2477" t="b">
        <v>1</v>
      </c>
      <c r="T37" s="5786">
        <v>558412</v>
      </c>
      <c r="U37" s="863">
        <v>20998492</v>
      </c>
      <c r="V37" s="863" t="b">
        <v>1</v>
      </c>
      <c r="W37" s="863">
        <v>59995.69142857143</v>
      </c>
      <c r="X37" s="863">
        <v>52170.166459627333</v>
      </c>
      <c r="AC37">
        <v>350</v>
      </c>
      <c r="AD37">
        <v>350</v>
      </c>
      <c r="AE37">
        <v>0</v>
      </c>
      <c r="AF37">
        <v>490</v>
      </c>
      <c r="AG37">
        <v>350</v>
      </c>
      <c r="AH37" t="s">
        <v>2129</v>
      </c>
      <c r="AI37" t="s">
        <v>2129</v>
      </c>
      <c r="AJ37">
        <v>350</v>
      </c>
      <c r="AK37" t="s">
        <v>2129</v>
      </c>
      <c r="AL37">
        <v>0</v>
      </c>
      <c r="AO37">
        <v>0</v>
      </c>
      <c r="AT37" t="s">
        <v>2129</v>
      </c>
      <c r="AU37" t="s">
        <v>2129</v>
      </c>
      <c r="AV37">
        <v>18</v>
      </c>
      <c r="AW37" t="s">
        <v>2129</v>
      </c>
      <c r="AX37" t="s">
        <v>2129</v>
      </c>
      <c r="AY37" t="s">
        <v>2129</v>
      </c>
      <c r="AZ37" t="s">
        <v>2129</v>
      </c>
      <c r="BA37">
        <v>9</v>
      </c>
      <c r="BB37" t="s">
        <v>2129</v>
      </c>
      <c r="BC37" t="s">
        <v>2129</v>
      </c>
      <c r="BD37" t="s">
        <v>2129</v>
      </c>
      <c r="BE37" s="1958" t="s">
        <v>2129</v>
      </c>
      <c r="BF37"/>
      <c r="BG37" s="863" t="s">
        <v>2129</v>
      </c>
      <c r="BH37" s="863" t="s">
        <v>2129</v>
      </c>
      <c r="BI37" s="863">
        <v>377972856</v>
      </c>
      <c r="BJ37" s="863" t="s">
        <v>2129</v>
      </c>
      <c r="BK37" s="863" t="s">
        <v>2129</v>
      </c>
      <c r="BL37" s="863" t="s">
        <v>2129</v>
      </c>
      <c r="BM37" s="863" t="s">
        <v>2129</v>
      </c>
      <c r="BN37" s="863" t="s">
        <v>2129</v>
      </c>
      <c r="BO37" s="863" t="s">
        <v>2129</v>
      </c>
      <c r="BP37" s="863" t="s">
        <v>2129</v>
      </c>
      <c r="BQ37" s="863" t="s">
        <v>2129</v>
      </c>
      <c r="BR37" s="863">
        <v>188986428</v>
      </c>
      <c r="BS37" s="863" t="s">
        <v>2129</v>
      </c>
      <c r="BT37" s="863" t="s">
        <v>2129</v>
      </c>
      <c r="BU37" s="863" t="s">
        <v>2129</v>
      </c>
      <c r="BV37" s="863" t="s">
        <v>2129</v>
      </c>
      <c r="BW37" s="863" t="s">
        <v>2129</v>
      </c>
      <c r="BX37" s="863" t="s">
        <v>2129</v>
      </c>
      <c r="BY37" s="863"/>
      <c r="BZ37" s="863" t="s">
        <v>2129</v>
      </c>
      <c r="CA37" s="863" t="s">
        <v>2129</v>
      </c>
      <c r="CB37" s="863" t="s">
        <v>2129</v>
      </c>
      <c r="CC37" s="863" t="s">
        <v>2129</v>
      </c>
      <c r="CD37" s="863"/>
      <c r="CE37" s="5785"/>
    </row>
    <row r="38" spans="1:83" ht="13">
      <c r="A38">
        <v>63</v>
      </c>
      <c r="B38" s="196" t="s">
        <v>3270</v>
      </c>
      <c r="C38" s="5785" t="s">
        <v>2129</v>
      </c>
      <c r="D38" s="5785" t="s">
        <v>2129</v>
      </c>
      <c r="E38" s="5785" t="s">
        <v>2129</v>
      </c>
      <c r="F38" s="5785" t="s">
        <v>3694</v>
      </c>
      <c r="G38" s="5785" t="s">
        <v>2129</v>
      </c>
      <c r="H38" s="5785">
        <v>0</v>
      </c>
      <c r="I38" s="5785">
        <v>0</v>
      </c>
      <c r="J38" s="5785">
        <v>0</v>
      </c>
      <c r="K38" s="5785" t="s">
        <v>2129</v>
      </c>
      <c r="L38" s="5786">
        <v>0</v>
      </c>
      <c r="M38" s="5786">
        <v>0</v>
      </c>
      <c r="N38" s="5786">
        <v>0</v>
      </c>
      <c r="O38" s="5786">
        <v>0</v>
      </c>
      <c r="P38" s="5786">
        <v>0</v>
      </c>
      <c r="Q38" s="2476">
        <v>0</v>
      </c>
      <c r="R38" s="2477">
        <v>0</v>
      </c>
      <c r="S38" s="2477" t="b">
        <v>1</v>
      </c>
      <c r="T38" s="5786" t="s">
        <v>2129</v>
      </c>
      <c r="U38" s="863">
        <v>1087116</v>
      </c>
      <c r="V38" s="863" t="b">
        <v>1</v>
      </c>
      <c r="W38" s="863">
        <v>19412.785714285714</v>
      </c>
      <c r="X38" s="863">
        <v>24238.929765886292</v>
      </c>
      <c r="AC38">
        <v>56</v>
      </c>
      <c r="AD38">
        <v>56</v>
      </c>
      <c r="AE38">
        <v>0</v>
      </c>
      <c r="AF38">
        <v>56</v>
      </c>
      <c r="AG38" t="s">
        <v>2129</v>
      </c>
      <c r="AH38" t="s">
        <v>2129</v>
      </c>
      <c r="AI38" t="s">
        <v>2129</v>
      </c>
      <c r="AJ38">
        <v>39</v>
      </c>
      <c r="AK38" t="s">
        <v>2129</v>
      </c>
      <c r="AL38" t="s">
        <v>2129</v>
      </c>
      <c r="AO38">
        <v>-17</v>
      </c>
      <c r="AT38" t="s">
        <v>2129</v>
      </c>
      <c r="AU38" t="s">
        <v>2129</v>
      </c>
      <c r="AV38" t="s">
        <v>2129</v>
      </c>
      <c r="AW38" t="s">
        <v>2129</v>
      </c>
      <c r="AX38" t="s">
        <v>2129</v>
      </c>
      <c r="AY38" t="s">
        <v>2129</v>
      </c>
      <c r="AZ38" t="s">
        <v>2129</v>
      </c>
      <c r="BA38" t="s">
        <v>2129</v>
      </c>
      <c r="BB38">
        <v>16</v>
      </c>
      <c r="BC38" t="s">
        <v>2129</v>
      </c>
      <c r="BD38" t="s">
        <v>2129</v>
      </c>
      <c r="BE38" s="1958" t="s">
        <v>2129</v>
      </c>
      <c r="BF38"/>
      <c r="BG38" s="863" t="s">
        <v>2129</v>
      </c>
      <c r="BH38" s="863" t="s">
        <v>2129</v>
      </c>
      <c r="BI38" s="863" t="s">
        <v>2129</v>
      </c>
      <c r="BJ38" s="863" t="s">
        <v>2129</v>
      </c>
      <c r="BK38" s="863" t="s">
        <v>2129</v>
      </c>
      <c r="BL38" s="863" t="s">
        <v>2129</v>
      </c>
      <c r="BM38" s="863" t="s">
        <v>2129</v>
      </c>
      <c r="BN38" s="863" t="s">
        <v>2129</v>
      </c>
      <c r="BO38" s="863" t="s">
        <v>2129</v>
      </c>
      <c r="BP38" s="863" t="s">
        <v>2129</v>
      </c>
      <c r="BQ38" s="863">
        <v>12113578.285714285</v>
      </c>
      <c r="BR38" s="863" t="s">
        <v>2129</v>
      </c>
      <c r="BS38" s="863" t="s">
        <v>2129</v>
      </c>
      <c r="BT38" s="863" t="s">
        <v>2129</v>
      </c>
      <c r="BU38" s="863" t="s">
        <v>2129</v>
      </c>
      <c r="BV38" s="863" t="s">
        <v>2129</v>
      </c>
      <c r="BW38" s="863" t="s">
        <v>2129</v>
      </c>
      <c r="BX38" s="863" t="s">
        <v>2129</v>
      </c>
      <c r="BY38" s="863"/>
      <c r="BZ38" s="863" t="s">
        <v>2129</v>
      </c>
      <c r="CA38" s="863" t="s">
        <v>2129</v>
      </c>
      <c r="CB38" s="863" t="s">
        <v>2129</v>
      </c>
      <c r="CC38" s="863" t="s">
        <v>2129</v>
      </c>
      <c r="CD38" s="863"/>
      <c r="CE38" s="5785"/>
    </row>
    <row r="39" spans="1:83" ht="13">
      <c r="A39">
        <v>64</v>
      </c>
      <c r="B39" s="5826" t="s">
        <v>3271</v>
      </c>
      <c r="C39" s="5785" t="s">
        <v>5248</v>
      </c>
      <c r="D39" s="5785" t="s">
        <v>2129</v>
      </c>
      <c r="E39" s="5785" t="s">
        <v>2129</v>
      </c>
      <c r="F39" s="3925" t="s">
        <v>5205</v>
      </c>
      <c r="G39" s="5792" t="s">
        <v>2129</v>
      </c>
      <c r="H39" s="5785">
        <v>60</v>
      </c>
      <c r="I39" s="5785">
        <v>30</v>
      </c>
      <c r="J39" s="5785">
        <v>60</v>
      </c>
      <c r="K39" s="5785">
        <v>30</v>
      </c>
      <c r="L39" s="5786">
        <v>9593062</v>
      </c>
      <c r="M39" s="5786">
        <v>3114240</v>
      </c>
      <c r="N39" s="5786">
        <v>0</v>
      </c>
      <c r="O39" s="5786">
        <v>0</v>
      </c>
      <c r="P39" s="5786">
        <v>0</v>
      </c>
      <c r="Q39" s="2476">
        <v>13978032.200000001</v>
      </c>
      <c r="R39" s="2477">
        <v>13978019</v>
      </c>
      <c r="S39" s="2477" t="b">
        <v>1</v>
      </c>
      <c r="T39" s="5786">
        <v>465933.96666666667</v>
      </c>
      <c r="U39" s="863">
        <v>6971221</v>
      </c>
      <c r="V39" s="863" t="b">
        <v>1</v>
      </c>
      <c r="W39" s="863">
        <v>63374.736363636366</v>
      </c>
      <c r="X39" s="863">
        <v>50940.599196200223</v>
      </c>
      <c r="AA39" s="863">
        <v>53412</v>
      </c>
      <c r="AB39" s="863">
        <v>65506</v>
      </c>
      <c r="AC39">
        <v>170</v>
      </c>
      <c r="AD39">
        <v>110</v>
      </c>
      <c r="AE39">
        <v>60</v>
      </c>
      <c r="AF39">
        <v>265</v>
      </c>
      <c r="AG39">
        <v>170</v>
      </c>
      <c r="AH39" t="s">
        <v>2129</v>
      </c>
      <c r="AI39" t="s">
        <v>2129</v>
      </c>
      <c r="AJ39" s="1866">
        <v>119</v>
      </c>
      <c r="AK39" t="s">
        <v>2129</v>
      </c>
      <c r="AL39">
        <v>60</v>
      </c>
      <c r="AO39">
        <v>9</v>
      </c>
      <c r="AT39" t="s">
        <v>2129</v>
      </c>
      <c r="AU39" t="s">
        <v>2129</v>
      </c>
      <c r="AV39">
        <v>36</v>
      </c>
      <c r="AW39" t="s">
        <v>2129</v>
      </c>
      <c r="AX39" t="s">
        <v>2129</v>
      </c>
      <c r="AY39" t="s">
        <v>2129</v>
      </c>
      <c r="AZ39">
        <v>16</v>
      </c>
      <c r="BA39" s="191">
        <v>17</v>
      </c>
      <c r="BB39" t="s">
        <v>2129</v>
      </c>
      <c r="BC39" t="s">
        <v>2129</v>
      </c>
      <c r="BD39" t="s">
        <v>2129</v>
      </c>
      <c r="BE39" s="1958" t="s">
        <v>2129</v>
      </c>
      <c r="BF39"/>
      <c r="BG39" s="863" t="s">
        <v>2129</v>
      </c>
      <c r="BH39" s="863" t="s">
        <v>2129</v>
      </c>
      <c r="BI39" s="863" t="s">
        <v>2129</v>
      </c>
      <c r="BJ39" s="863">
        <v>387853386.54545456</v>
      </c>
      <c r="BK39" s="863" t="s">
        <v>2129</v>
      </c>
      <c r="BL39" s="863" t="s">
        <v>2129</v>
      </c>
      <c r="BM39" s="863">
        <v>111539536</v>
      </c>
      <c r="BN39" s="863">
        <v>120665498.03636365</v>
      </c>
      <c r="BO39" s="863" t="s">
        <v>2129</v>
      </c>
      <c r="BP39" s="863" t="s">
        <v>2129</v>
      </c>
      <c r="BQ39" s="863" t="s">
        <v>2129</v>
      </c>
      <c r="BR39" s="863" t="s">
        <v>2129</v>
      </c>
      <c r="BS39" s="863" t="s">
        <v>2129</v>
      </c>
      <c r="BT39" s="863" t="s">
        <v>2129</v>
      </c>
      <c r="BU39" s="863" t="s">
        <v>2129</v>
      </c>
      <c r="BV39" s="863" t="s">
        <v>2129</v>
      </c>
      <c r="BW39" s="863" t="s">
        <v>2129</v>
      </c>
      <c r="BX39" s="863">
        <v>503208684</v>
      </c>
      <c r="BY39" s="863"/>
      <c r="BZ39" s="2700"/>
      <c r="CA39" s="863">
        <v>223648304</v>
      </c>
      <c r="CB39" s="863" t="s">
        <v>2129</v>
      </c>
      <c r="CC39" s="2700">
        <v>237626323</v>
      </c>
      <c r="CD39" s="863"/>
      <c r="CE39" s="5785" t="s">
        <v>6617</v>
      </c>
    </row>
    <row r="40" spans="1:83" s="5782" customFormat="1" ht="13">
      <c r="A40" s="5782">
        <v>65</v>
      </c>
      <c r="B40" s="5783" t="s">
        <v>3272</v>
      </c>
      <c r="C40" s="5784" t="s">
        <v>2129</v>
      </c>
      <c r="D40" s="5784" t="s">
        <v>2129</v>
      </c>
      <c r="E40" s="5784" t="s">
        <v>2129</v>
      </c>
      <c r="F40" s="5784" t="s">
        <v>2129</v>
      </c>
      <c r="G40" s="5784" t="s">
        <v>2129</v>
      </c>
      <c r="H40" s="5785">
        <v>0</v>
      </c>
      <c r="I40" s="5785">
        <v>0</v>
      </c>
      <c r="J40" s="5785">
        <v>0</v>
      </c>
      <c r="K40" s="5785" t="s">
        <v>2129</v>
      </c>
      <c r="L40" s="5786">
        <v>0</v>
      </c>
      <c r="M40" s="5786">
        <v>0</v>
      </c>
      <c r="N40" s="5786">
        <v>0</v>
      </c>
      <c r="O40" s="5786">
        <v>0</v>
      </c>
      <c r="P40" s="5786">
        <v>0</v>
      </c>
      <c r="Q40" s="2476">
        <v>0</v>
      </c>
      <c r="R40" s="2477">
        <v>0</v>
      </c>
      <c r="S40" s="2477" t="b">
        <v>1</v>
      </c>
      <c r="T40" s="5786" t="s">
        <v>2129</v>
      </c>
      <c r="U40" s="5788">
        <v>815353</v>
      </c>
      <c r="V40" s="5788" t="b">
        <v>1</v>
      </c>
      <c r="W40" s="5788">
        <v>11647.9</v>
      </c>
      <c r="X40" s="5788" t="s">
        <v>2129</v>
      </c>
      <c r="Y40" s="5788"/>
      <c r="Z40" s="5788"/>
      <c r="AA40" s="5788"/>
      <c r="AB40" s="5788"/>
      <c r="AC40" s="5782">
        <v>166</v>
      </c>
      <c r="AD40" s="5782">
        <v>70</v>
      </c>
      <c r="AE40" s="5782">
        <v>96</v>
      </c>
      <c r="AF40" s="5782">
        <v>191</v>
      </c>
      <c r="AG40" s="5782" t="s">
        <v>2129</v>
      </c>
      <c r="AH40" s="5782" t="s">
        <v>2129</v>
      </c>
      <c r="AI40" s="5782" t="s">
        <v>2129</v>
      </c>
      <c r="AJ40" s="5782" t="s">
        <v>2129</v>
      </c>
      <c r="AK40" s="5782" t="s">
        <v>2129</v>
      </c>
      <c r="AL40" s="5782" t="s">
        <v>2129</v>
      </c>
      <c r="AO40" s="5782" t="s">
        <v>2129</v>
      </c>
      <c r="AT40" s="5782" t="s">
        <v>2129</v>
      </c>
      <c r="AU40" s="5782" t="s">
        <v>2129</v>
      </c>
      <c r="AV40" s="5782" t="s">
        <v>2129</v>
      </c>
      <c r="AW40" s="5782" t="s">
        <v>2129</v>
      </c>
      <c r="AX40" s="5782" t="s">
        <v>2129</v>
      </c>
      <c r="AY40" s="5782" t="s">
        <v>2129</v>
      </c>
      <c r="AZ40" s="5782" t="s">
        <v>2129</v>
      </c>
      <c r="BA40" s="5782" t="s">
        <v>2129</v>
      </c>
      <c r="BB40" s="5782" t="s">
        <v>2129</v>
      </c>
      <c r="BC40" s="5782" t="s">
        <v>2129</v>
      </c>
      <c r="BD40" s="5782" t="s">
        <v>2129</v>
      </c>
      <c r="BE40" s="5788" t="s">
        <v>2129</v>
      </c>
      <c r="BG40" s="5788" t="s">
        <v>2129</v>
      </c>
      <c r="BH40" s="5788" t="s">
        <v>2129</v>
      </c>
      <c r="BI40" s="5788" t="s">
        <v>2129</v>
      </c>
      <c r="BJ40" s="5788" t="s">
        <v>2129</v>
      </c>
      <c r="BK40" s="5788" t="s">
        <v>2129</v>
      </c>
      <c r="BL40" s="5788" t="s">
        <v>2129</v>
      </c>
      <c r="BM40" s="5788" t="s">
        <v>2129</v>
      </c>
      <c r="BN40" s="5788" t="s">
        <v>2129</v>
      </c>
      <c r="BO40" s="5788" t="s">
        <v>2129</v>
      </c>
      <c r="BP40" s="5788" t="s">
        <v>2129</v>
      </c>
      <c r="BQ40" s="5788" t="s">
        <v>2129</v>
      </c>
      <c r="BR40" s="5788" t="s">
        <v>2129</v>
      </c>
      <c r="BS40" s="5788" t="s">
        <v>2129</v>
      </c>
      <c r="BT40" s="5788" t="s">
        <v>2129</v>
      </c>
      <c r="BU40" s="5788" t="s">
        <v>2129</v>
      </c>
      <c r="BV40" s="5788" t="s">
        <v>2129</v>
      </c>
      <c r="BW40" s="5788" t="s">
        <v>2129</v>
      </c>
      <c r="BX40" s="5788" t="s">
        <v>2129</v>
      </c>
      <c r="BY40" s="5788"/>
      <c r="BZ40" s="5788" t="s">
        <v>2129</v>
      </c>
      <c r="CA40" s="5788" t="s">
        <v>2129</v>
      </c>
      <c r="CB40" s="5788" t="s">
        <v>2129</v>
      </c>
      <c r="CC40" s="5788" t="s">
        <v>2129</v>
      </c>
      <c r="CD40" s="5788"/>
      <c r="CE40" s="5784"/>
    </row>
    <row r="41" spans="1:83" ht="13">
      <c r="A41">
        <v>66</v>
      </c>
      <c r="B41" s="196" t="s">
        <v>3273</v>
      </c>
      <c r="C41" s="5785" t="s">
        <v>2129</v>
      </c>
      <c r="D41" s="5785" t="s">
        <v>2129</v>
      </c>
      <c r="E41" s="5785" t="s">
        <v>2129</v>
      </c>
      <c r="F41" s="5785" t="s">
        <v>3694</v>
      </c>
      <c r="G41" s="5785" t="s">
        <v>2129</v>
      </c>
      <c r="H41" s="5785">
        <v>0</v>
      </c>
      <c r="I41" s="5785">
        <v>0</v>
      </c>
      <c r="J41" s="5785">
        <v>0</v>
      </c>
      <c r="K41" s="5785" t="s">
        <v>2129</v>
      </c>
      <c r="L41" s="5786">
        <v>0</v>
      </c>
      <c r="M41" s="5786">
        <v>0</v>
      </c>
      <c r="N41" s="5786">
        <v>0</v>
      </c>
      <c r="O41" s="5786">
        <v>0</v>
      </c>
      <c r="P41" s="5786">
        <v>0</v>
      </c>
      <c r="Q41" s="2476">
        <v>0</v>
      </c>
      <c r="R41" s="2477">
        <v>0</v>
      </c>
      <c r="S41" s="2477" t="b">
        <v>1</v>
      </c>
      <c r="T41" s="5786" t="s">
        <v>2129</v>
      </c>
      <c r="U41" s="863">
        <v>890384</v>
      </c>
      <c r="V41" s="863" t="b">
        <v>1</v>
      </c>
      <c r="W41" s="863">
        <v>22259.599999999999</v>
      </c>
      <c r="X41" s="863">
        <v>27651.677018633545</v>
      </c>
      <c r="AC41">
        <v>118</v>
      </c>
      <c r="AD41">
        <v>40</v>
      </c>
      <c r="AE41">
        <v>78</v>
      </c>
      <c r="AF41">
        <v>119</v>
      </c>
      <c r="AG41" t="s">
        <v>2129</v>
      </c>
      <c r="AH41" t="s">
        <v>2129</v>
      </c>
      <c r="AI41" t="s">
        <v>2129</v>
      </c>
      <c r="AJ41">
        <v>28</v>
      </c>
      <c r="AK41" t="s">
        <v>2129</v>
      </c>
      <c r="AL41" t="s">
        <v>2129</v>
      </c>
      <c r="AO41">
        <v>-12</v>
      </c>
      <c r="AT41" t="s">
        <v>2129</v>
      </c>
      <c r="AU41" t="s">
        <v>2129</v>
      </c>
      <c r="AV41" t="s">
        <v>2129</v>
      </c>
      <c r="AW41" t="s">
        <v>2129</v>
      </c>
      <c r="AX41" t="s">
        <v>2129</v>
      </c>
      <c r="AY41" t="s">
        <v>2129</v>
      </c>
      <c r="AZ41" t="s">
        <v>2129</v>
      </c>
      <c r="BA41" t="s">
        <v>2129</v>
      </c>
      <c r="BB41">
        <v>16</v>
      </c>
      <c r="BC41" t="s">
        <v>2129</v>
      </c>
      <c r="BD41" t="s">
        <v>2129</v>
      </c>
      <c r="BE41" s="1958" t="s">
        <v>2129</v>
      </c>
      <c r="BF41"/>
      <c r="BG41" s="863" t="s">
        <v>2129</v>
      </c>
      <c r="BH41" s="863" t="s">
        <v>2129</v>
      </c>
      <c r="BI41" s="863" t="s">
        <v>2129</v>
      </c>
      <c r="BJ41" s="863" t="s">
        <v>2129</v>
      </c>
      <c r="BK41" s="863" t="s">
        <v>2129</v>
      </c>
      <c r="BL41" s="863" t="s">
        <v>2129</v>
      </c>
      <c r="BM41" s="863" t="s">
        <v>2129</v>
      </c>
      <c r="BN41" s="863" t="s">
        <v>2129</v>
      </c>
      <c r="BO41" s="863" t="s">
        <v>2129</v>
      </c>
      <c r="BP41" s="863" t="s">
        <v>2129</v>
      </c>
      <c r="BQ41" s="863">
        <v>9972300.7999999989</v>
      </c>
      <c r="BR41" s="863" t="s">
        <v>2129</v>
      </c>
      <c r="BS41" s="863" t="s">
        <v>2129</v>
      </c>
      <c r="BT41" s="863" t="s">
        <v>2129</v>
      </c>
      <c r="BU41" s="863" t="s">
        <v>2129</v>
      </c>
      <c r="BV41" s="863" t="s">
        <v>2129</v>
      </c>
      <c r="BW41" s="863" t="s">
        <v>2129</v>
      </c>
      <c r="BX41" s="863" t="s">
        <v>2129</v>
      </c>
      <c r="BY41" s="863"/>
      <c r="BZ41" s="863" t="s">
        <v>2129</v>
      </c>
      <c r="CA41" s="863" t="s">
        <v>2129</v>
      </c>
      <c r="CB41" s="863" t="s">
        <v>2129</v>
      </c>
      <c r="CC41" s="863" t="s">
        <v>2129</v>
      </c>
      <c r="CD41" s="863"/>
      <c r="CE41" s="5785"/>
    </row>
    <row r="42" spans="1:83" ht="13">
      <c r="A42">
        <v>67</v>
      </c>
      <c r="B42" s="196" t="s">
        <v>3274</v>
      </c>
      <c r="C42" s="5785" t="s">
        <v>2129</v>
      </c>
      <c r="D42" s="2694" t="s">
        <v>3791</v>
      </c>
      <c r="E42" s="2694" t="s">
        <v>2129</v>
      </c>
      <c r="F42" s="5785" t="s">
        <v>2129</v>
      </c>
      <c r="G42" s="5785" t="s">
        <v>2129</v>
      </c>
      <c r="H42" s="5785">
        <v>1</v>
      </c>
      <c r="I42" s="5785">
        <v>1</v>
      </c>
      <c r="J42" s="5785">
        <v>1</v>
      </c>
      <c r="K42" s="5785" t="s">
        <v>2129</v>
      </c>
      <c r="L42" s="5786">
        <v>23530</v>
      </c>
      <c r="M42" s="5786">
        <v>0</v>
      </c>
      <c r="N42" s="5786">
        <v>0</v>
      </c>
      <c r="O42" s="5786">
        <v>0</v>
      </c>
      <c r="P42" s="5786">
        <v>0</v>
      </c>
      <c r="Q42" s="2476">
        <v>25883.000000000004</v>
      </c>
      <c r="R42" s="2477">
        <v>25883</v>
      </c>
      <c r="S42" s="2477" t="b">
        <v>1</v>
      </c>
      <c r="T42" s="5786">
        <v>25883</v>
      </c>
      <c r="U42" s="863">
        <v>9264304</v>
      </c>
      <c r="V42" s="863" t="b">
        <v>1</v>
      </c>
      <c r="W42" s="863">
        <v>11508.452173913043</v>
      </c>
      <c r="X42" s="863" t="s">
        <v>2129</v>
      </c>
      <c r="AC42">
        <v>805</v>
      </c>
      <c r="AD42" s="3965">
        <v>805</v>
      </c>
      <c r="AE42" s="3965">
        <v>0</v>
      </c>
      <c r="AF42">
        <v>806</v>
      </c>
      <c r="AG42" t="s">
        <v>2129</v>
      </c>
      <c r="AH42">
        <v>769</v>
      </c>
      <c r="AI42" t="s">
        <v>2129</v>
      </c>
      <c r="AJ42" t="s">
        <v>2129</v>
      </c>
      <c r="AK42" t="s">
        <v>2129</v>
      </c>
      <c r="AL42" t="s">
        <v>2129</v>
      </c>
      <c r="AO42" t="s">
        <v>2129</v>
      </c>
      <c r="AT42" t="s">
        <v>2129</v>
      </c>
      <c r="AU42" t="s">
        <v>2129</v>
      </c>
      <c r="AV42" t="s">
        <v>2129</v>
      </c>
      <c r="AW42" t="s">
        <v>2129</v>
      </c>
      <c r="AX42">
        <v>11</v>
      </c>
      <c r="AY42" t="s">
        <v>2129</v>
      </c>
      <c r="AZ42" t="s">
        <v>2129</v>
      </c>
      <c r="BA42" t="s">
        <v>2129</v>
      </c>
      <c r="BB42" t="s">
        <v>2129</v>
      </c>
      <c r="BC42" t="s">
        <v>2129</v>
      </c>
      <c r="BD42" t="s">
        <v>2129</v>
      </c>
      <c r="BE42" s="1958" t="s">
        <v>2129</v>
      </c>
      <c r="BF42"/>
      <c r="BG42" s="863" t="s">
        <v>2129</v>
      </c>
      <c r="BH42" s="863" t="s">
        <v>2129</v>
      </c>
      <c r="BI42" s="863" t="s">
        <v>2129</v>
      </c>
      <c r="BJ42" s="863" t="s">
        <v>2129</v>
      </c>
      <c r="BK42" s="863">
        <v>97349996.939130425</v>
      </c>
      <c r="BL42" s="863" t="s">
        <v>2129</v>
      </c>
      <c r="BM42" s="863" t="s">
        <v>2129</v>
      </c>
      <c r="BN42" s="863" t="s">
        <v>2129</v>
      </c>
      <c r="BO42" s="863" t="s">
        <v>2129</v>
      </c>
      <c r="BP42" s="863" t="s">
        <v>2129</v>
      </c>
      <c r="BQ42" s="863" t="s">
        <v>2129</v>
      </c>
      <c r="BR42" s="863" t="s">
        <v>2129</v>
      </c>
      <c r="BS42" s="863" t="s">
        <v>2129</v>
      </c>
      <c r="BT42" s="863" t="s">
        <v>2129</v>
      </c>
      <c r="BU42" s="863" t="s">
        <v>2129</v>
      </c>
      <c r="BV42" s="863" t="s">
        <v>2129</v>
      </c>
      <c r="BW42" s="863" t="s">
        <v>2129</v>
      </c>
      <c r="BX42" s="863" t="s">
        <v>2129</v>
      </c>
      <c r="BY42" s="863"/>
      <c r="BZ42" s="863" t="s">
        <v>2129</v>
      </c>
      <c r="CA42" s="863" t="s">
        <v>2129</v>
      </c>
      <c r="CB42" s="863" t="s">
        <v>2129</v>
      </c>
      <c r="CC42" s="863" t="s">
        <v>2129</v>
      </c>
      <c r="CD42" s="863"/>
      <c r="CE42" s="5785"/>
    </row>
    <row r="43" spans="1:83" ht="13">
      <c r="A43">
        <v>68</v>
      </c>
      <c r="B43" s="196" t="s">
        <v>3275</v>
      </c>
      <c r="C43" s="5785" t="s">
        <v>2129</v>
      </c>
      <c r="D43" s="5785" t="s">
        <v>2129</v>
      </c>
      <c r="E43" s="5785" t="s">
        <v>2129</v>
      </c>
      <c r="F43" s="5785" t="s">
        <v>3694</v>
      </c>
      <c r="G43" s="5785" t="s">
        <v>2129</v>
      </c>
      <c r="H43" s="5785">
        <v>0</v>
      </c>
      <c r="I43" s="5785">
        <v>0</v>
      </c>
      <c r="J43" s="5785">
        <v>0</v>
      </c>
      <c r="K43" s="5785" t="s">
        <v>2129</v>
      </c>
      <c r="L43" s="5786">
        <v>0</v>
      </c>
      <c r="M43" s="5786">
        <v>0</v>
      </c>
      <c r="N43" s="5786">
        <v>0</v>
      </c>
      <c r="O43" s="5786">
        <v>0</v>
      </c>
      <c r="P43" s="5786">
        <v>0</v>
      </c>
      <c r="Q43" s="2476">
        <v>0</v>
      </c>
      <c r="R43" s="2477">
        <v>0</v>
      </c>
      <c r="S43" s="2477" t="b">
        <v>1</v>
      </c>
      <c r="T43" s="5786" t="s">
        <v>2129</v>
      </c>
      <c r="U43" s="863">
        <v>1087086</v>
      </c>
      <c r="V43" s="863" t="b">
        <v>1</v>
      </c>
      <c r="W43" s="863">
        <v>27177.15</v>
      </c>
      <c r="X43" s="863">
        <v>27802.71099744246</v>
      </c>
      <c r="AC43">
        <v>40</v>
      </c>
      <c r="AD43">
        <v>40</v>
      </c>
      <c r="AE43">
        <v>0</v>
      </c>
      <c r="AF43">
        <v>50</v>
      </c>
      <c r="AG43" t="s">
        <v>2129</v>
      </c>
      <c r="AH43" t="s">
        <v>2129</v>
      </c>
      <c r="AI43" t="s">
        <v>2129</v>
      </c>
      <c r="AJ43">
        <v>34</v>
      </c>
      <c r="AK43" t="s">
        <v>2129</v>
      </c>
      <c r="AL43" t="s">
        <v>2129</v>
      </c>
      <c r="AO43">
        <v>-6</v>
      </c>
      <c r="AT43" t="s">
        <v>2129</v>
      </c>
      <c r="AU43" t="s">
        <v>2129</v>
      </c>
      <c r="AV43" t="s">
        <v>2129</v>
      </c>
      <c r="AW43" t="s">
        <v>2129</v>
      </c>
      <c r="AX43" t="s">
        <v>2129</v>
      </c>
      <c r="AY43" t="s">
        <v>2129</v>
      </c>
      <c r="AZ43" t="s">
        <v>2129</v>
      </c>
      <c r="BA43" t="s">
        <v>2129</v>
      </c>
      <c r="BB43">
        <v>16</v>
      </c>
      <c r="BC43" t="s">
        <v>2129</v>
      </c>
      <c r="BD43" t="s">
        <v>2129</v>
      </c>
      <c r="BE43" s="1958" t="s">
        <v>2129</v>
      </c>
      <c r="BF43"/>
      <c r="BG43" s="863" t="s">
        <v>2129</v>
      </c>
      <c r="BH43" s="863" t="s">
        <v>2129</v>
      </c>
      <c r="BI43" s="863" t="s">
        <v>2129</v>
      </c>
      <c r="BJ43" s="863" t="s">
        <v>2129</v>
      </c>
      <c r="BK43" s="863" t="s">
        <v>2129</v>
      </c>
      <c r="BL43" s="863" t="s">
        <v>2129</v>
      </c>
      <c r="BM43" s="863" t="s">
        <v>2129</v>
      </c>
      <c r="BN43" s="863" t="s">
        <v>2129</v>
      </c>
      <c r="BO43" s="863" t="s">
        <v>2129</v>
      </c>
      <c r="BP43" s="863" t="s">
        <v>2129</v>
      </c>
      <c r="BQ43" s="863">
        <v>14784369.600000001</v>
      </c>
      <c r="BR43" s="863" t="s">
        <v>2129</v>
      </c>
      <c r="BS43" s="863" t="s">
        <v>2129</v>
      </c>
      <c r="BT43" s="863" t="s">
        <v>2129</v>
      </c>
      <c r="BU43" s="863" t="s">
        <v>2129</v>
      </c>
      <c r="BV43" s="863" t="s">
        <v>2129</v>
      </c>
      <c r="BW43" s="863" t="s">
        <v>2129</v>
      </c>
      <c r="BX43" s="863" t="s">
        <v>2129</v>
      </c>
      <c r="BY43" s="863"/>
      <c r="BZ43" s="863" t="s">
        <v>2129</v>
      </c>
      <c r="CA43" s="863" t="s">
        <v>2129</v>
      </c>
      <c r="CB43" s="863" t="s">
        <v>2129</v>
      </c>
      <c r="CC43" s="863" t="s">
        <v>2129</v>
      </c>
      <c r="CD43" s="863"/>
      <c r="CE43" s="5785"/>
    </row>
    <row r="44" spans="1:83" ht="13">
      <c r="A44">
        <v>69</v>
      </c>
      <c r="B44" s="196" t="s">
        <v>3276</v>
      </c>
      <c r="C44" s="5785" t="s">
        <v>2129</v>
      </c>
      <c r="D44" s="5785" t="s">
        <v>2129</v>
      </c>
      <c r="E44" s="5785" t="s">
        <v>4095</v>
      </c>
      <c r="F44" s="5785" t="s">
        <v>2129</v>
      </c>
      <c r="G44" s="5785" t="s">
        <v>2129</v>
      </c>
      <c r="H44" s="5785">
        <v>0</v>
      </c>
      <c r="I44" s="5785">
        <v>0</v>
      </c>
      <c r="J44" s="5785">
        <v>0</v>
      </c>
      <c r="K44" s="5785" t="s">
        <v>2129</v>
      </c>
      <c r="L44" s="5786">
        <v>0</v>
      </c>
      <c r="M44" s="5786">
        <v>0</v>
      </c>
      <c r="N44" s="5786">
        <v>0</v>
      </c>
      <c r="O44" s="5786">
        <v>0</v>
      </c>
      <c r="P44" s="5786">
        <v>0</v>
      </c>
      <c r="Q44" s="2476">
        <v>0</v>
      </c>
      <c r="R44" s="2477">
        <v>0</v>
      </c>
      <c r="S44" s="2477" t="b">
        <v>1</v>
      </c>
      <c r="T44" s="5786" t="s">
        <v>2129</v>
      </c>
      <c r="U44" s="863">
        <v>6830859</v>
      </c>
      <c r="V44" s="863" t="b">
        <v>1</v>
      </c>
      <c r="W44" s="863">
        <v>27433.168674698794</v>
      </c>
      <c r="X44" s="863" t="s">
        <v>2129</v>
      </c>
      <c r="AC44">
        <v>249</v>
      </c>
      <c r="AD44">
        <v>249</v>
      </c>
      <c r="AE44">
        <v>0</v>
      </c>
      <c r="AF44">
        <v>250</v>
      </c>
      <c r="AG44" t="s">
        <v>2129</v>
      </c>
      <c r="AH44" t="s">
        <v>2129</v>
      </c>
      <c r="AI44">
        <v>155</v>
      </c>
      <c r="AJ44" t="s">
        <v>2129</v>
      </c>
      <c r="AK44" t="s">
        <v>2129</v>
      </c>
      <c r="AL44" t="s">
        <v>2129</v>
      </c>
      <c r="AO44" t="s">
        <v>2129</v>
      </c>
      <c r="AT44" t="s">
        <v>2129</v>
      </c>
      <c r="AU44" t="s">
        <v>2129</v>
      </c>
      <c r="AV44" t="s">
        <v>2129</v>
      </c>
      <c r="AW44" t="s">
        <v>2129</v>
      </c>
      <c r="AX44" t="s">
        <v>2129</v>
      </c>
      <c r="AY44">
        <v>32</v>
      </c>
      <c r="AZ44" t="s">
        <v>2129</v>
      </c>
      <c r="BA44" t="s">
        <v>2129</v>
      </c>
      <c r="BB44" t="s">
        <v>2129</v>
      </c>
      <c r="BC44" t="s">
        <v>2129</v>
      </c>
      <c r="BD44" t="s">
        <v>2129</v>
      </c>
      <c r="BE44" s="1958" t="s">
        <v>2129</v>
      </c>
      <c r="BF44"/>
      <c r="BG44" s="863" t="s">
        <v>2129</v>
      </c>
      <c r="BH44" s="863" t="s">
        <v>2129</v>
      </c>
      <c r="BI44" s="863" t="s">
        <v>2129</v>
      </c>
      <c r="BJ44" s="863" t="s">
        <v>2129</v>
      </c>
      <c r="BK44" s="863" t="s">
        <v>2129</v>
      </c>
      <c r="BL44" s="863">
        <v>136068516.62650603</v>
      </c>
      <c r="BM44" s="863" t="s">
        <v>2129</v>
      </c>
      <c r="BN44" s="863" t="s">
        <v>2129</v>
      </c>
      <c r="BO44" s="863" t="s">
        <v>2129</v>
      </c>
      <c r="BP44" s="863" t="s">
        <v>2129</v>
      </c>
      <c r="BQ44" s="863" t="s">
        <v>2129</v>
      </c>
      <c r="BR44" s="863" t="s">
        <v>2129</v>
      </c>
      <c r="BS44" s="863" t="s">
        <v>2129</v>
      </c>
      <c r="BT44" s="863" t="s">
        <v>2129</v>
      </c>
      <c r="BU44" s="863" t="s">
        <v>2129</v>
      </c>
      <c r="BV44" s="863" t="s">
        <v>2129</v>
      </c>
      <c r="BW44" s="863" t="s">
        <v>2129</v>
      </c>
      <c r="BX44" s="863" t="s">
        <v>2129</v>
      </c>
      <c r="BY44" s="863"/>
      <c r="BZ44" s="863" t="s">
        <v>2129</v>
      </c>
      <c r="CA44" s="863" t="s">
        <v>2129</v>
      </c>
      <c r="CB44" s="863" t="s">
        <v>2129</v>
      </c>
      <c r="CC44" s="863" t="s">
        <v>2129</v>
      </c>
      <c r="CD44" s="863"/>
      <c r="CE44" s="5785"/>
    </row>
    <row r="45" spans="1:83" ht="13">
      <c r="A45">
        <v>70</v>
      </c>
      <c r="B45" s="196" t="s">
        <v>3277</v>
      </c>
      <c r="C45" s="5790" t="s">
        <v>6616</v>
      </c>
      <c r="D45" s="5790" t="s">
        <v>6599</v>
      </c>
      <c r="E45" s="5790" t="s">
        <v>2129</v>
      </c>
      <c r="F45" s="5785" t="s">
        <v>2695</v>
      </c>
      <c r="G45" s="5785" t="s">
        <v>2129</v>
      </c>
      <c r="H45" s="5785">
        <v>0</v>
      </c>
      <c r="I45" s="5785">
        <v>0</v>
      </c>
      <c r="J45" s="5785">
        <v>0</v>
      </c>
      <c r="K45" s="5785">
        <v>0</v>
      </c>
      <c r="L45" s="5786">
        <v>0</v>
      </c>
      <c r="M45" s="5786">
        <v>0</v>
      </c>
      <c r="N45" s="5786">
        <v>0</v>
      </c>
      <c r="O45" s="5786">
        <v>0</v>
      </c>
      <c r="P45" s="5786">
        <v>0</v>
      </c>
      <c r="Q45" s="2476">
        <v>0</v>
      </c>
      <c r="R45" s="2477">
        <v>0</v>
      </c>
      <c r="S45" s="2477" t="b">
        <v>1</v>
      </c>
      <c r="T45" s="5786" t="s">
        <v>2129</v>
      </c>
      <c r="U45" s="863">
        <v>4396273</v>
      </c>
      <c r="V45" s="863" t="b">
        <v>1</v>
      </c>
      <c r="W45" s="863">
        <v>18868.124463519314</v>
      </c>
      <c r="X45" s="863">
        <v>16407.064750886359</v>
      </c>
      <c r="Y45" s="863">
        <v>1700</v>
      </c>
      <c r="AC45">
        <v>233</v>
      </c>
      <c r="AD45">
        <v>233</v>
      </c>
      <c r="AE45">
        <v>0</v>
      </c>
      <c r="AF45">
        <v>343</v>
      </c>
      <c r="AG45">
        <v>233</v>
      </c>
      <c r="AH45" t="s">
        <v>2129</v>
      </c>
      <c r="AI45" t="s">
        <v>2129</v>
      </c>
      <c r="AJ45">
        <v>233</v>
      </c>
      <c r="AK45" t="s">
        <v>2129</v>
      </c>
      <c r="AL45">
        <v>0</v>
      </c>
      <c r="AO45">
        <v>0</v>
      </c>
      <c r="AT45">
        <v>20</v>
      </c>
      <c r="AU45">
        <v>20</v>
      </c>
      <c r="AV45" t="s">
        <v>2129</v>
      </c>
      <c r="AW45" t="s">
        <v>2129</v>
      </c>
      <c r="AX45" t="s">
        <v>2129</v>
      </c>
      <c r="AY45" t="s">
        <v>2129</v>
      </c>
      <c r="AZ45" t="s">
        <v>2129</v>
      </c>
      <c r="BA45">
        <v>9</v>
      </c>
      <c r="BB45" t="s">
        <v>2129</v>
      </c>
      <c r="BC45" t="s">
        <v>2129</v>
      </c>
      <c r="BD45" t="s">
        <v>2129</v>
      </c>
      <c r="BE45" s="1958">
        <v>87925460</v>
      </c>
      <c r="BF45" s="1958">
        <v>87925460</v>
      </c>
      <c r="BG45" s="1958" t="s">
        <v>2129</v>
      </c>
      <c r="BH45" s="1958" t="s">
        <v>2129</v>
      </c>
      <c r="BI45" s="1958" t="s">
        <v>2129</v>
      </c>
      <c r="BJ45" s="1958" t="s">
        <v>2129</v>
      </c>
      <c r="BK45" s="1958" t="s">
        <v>2129</v>
      </c>
      <c r="BL45" s="1958" t="s">
        <v>2129</v>
      </c>
      <c r="BM45" s="1958" t="s">
        <v>2129</v>
      </c>
      <c r="BN45" s="863" t="s">
        <v>2129</v>
      </c>
      <c r="BO45" s="863" t="s">
        <v>2129</v>
      </c>
      <c r="BP45" s="1958" t="s">
        <v>2129</v>
      </c>
      <c r="BQ45" s="1958" t="s">
        <v>2129</v>
      </c>
      <c r="BR45" s="1958">
        <v>39566457</v>
      </c>
      <c r="BS45" s="1958" t="s">
        <v>2129</v>
      </c>
      <c r="BT45" s="1958" t="s">
        <v>2129</v>
      </c>
      <c r="BU45" s="1958" t="s">
        <v>2129</v>
      </c>
      <c r="BV45" s="1958" t="s">
        <v>2129</v>
      </c>
      <c r="BW45" s="1958" t="s">
        <v>2129</v>
      </c>
      <c r="BX45" s="1958" t="s">
        <v>2129</v>
      </c>
      <c r="BZ45" s="1958" t="s">
        <v>2129</v>
      </c>
      <c r="CA45" s="1958" t="s">
        <v>2129</v>
      </c>
      <c r="CB45" s="1958" t="s">
        <v>2129</v>
      </c>
      <c r="CC45" s="1958" t="s">
        <v>2129</v>
      </c>
      <c r="CE45" s="5785"/>
    </row>
    <row r="46" spans="1:83" ht="13">
      <c r="A46">
        <v>71</v>
      </c>
      <c r="B46" s="196" t="s">
        <v>3278</v>
      </c>
      <c r="C46" s="5785" t="s">
        <v>2129</v>
      </c>
      <c r="D46" s="5785" t="s">
        <v>2129</v>
      </c>
      <c r="E46" s="5785" t="s">
        <v>2129</v>
      </c>
      <c r="F46" s="5785" t="s">
        <v>3694</v>
      </c>
      <c r="G46" s="5785" t="s">
        <v>2129</v>
      </c>
      <c r="H46" s="5785">
        <v>0</v>
      </c>
      <c r="I46" s="5785">
        <v>0</v>
      </c>
      <c r="J46" s="5785">
        <v>0</v>
      </c>
      <c r="K46" s="5785" t="s">
        <v>2129</v>
      </c>
      <c r="L46" s="5786">
        <v>0</v>
      </c>
      <c r="M46" s="5786">
        <v>0</v>
      </c>
      <c r="N46" s="5786">
        <v>0</v>
      </c>
      <c r="O46" s="5786">
        <v>0</v>
      </c>
      <c r="P46" s="5786">
        <v>0</v>
      </c>
      <c r="Q46" s="2476">
        <v>0</v>
      </c>
      <c r="R46" s="2477">
        <v>0</v>
      </c>
      <c r="S46" s="2477" t="b">
        <v>1</v>
      </c>
      <c r="T46" s="5786" t="s">
        <v>2129</v>
      </c>
      <c r="U46" s="863">
        <v>1608491</v>
      </c>
      <c r="V46" s="863" t="b">
        <v>1</v>
      </c>
      <c r="W46" s="863">
        <v>13516.731092436974</v>
      </c>
      <c r="X46" s="863">
        <v>18164.776962168267</v>
      </c>
      <c r="AC46">
        <v>119</v>
      </c>
      <c r="AD46">
        <v>119</v>
      </c>
      <c r="AE46">
        <v>0</v>
      </c>
      <c r="AF46">
        <v>112</v>
      </c>
      <c r="AG46" t="s">
        <v>2129</v>
      </c>
      <c r="AH46" t="s">
        <v>2129</v>
      </c>
      <c r="AI46" t="s">
        <v>2129</v>
      </c>
      <c r="AJ46">
        <v>77</v>
      </c>
      <c r="AK46" t="s">
        <v>2129</v>
      </c>
      <c r="AL46" t="s">
        <v>2129</v>
      </c>
      <c r="AO46">
        <v>-42</v>
      </c>
      <c r="AT46" t="s">
        <v>2129</v>
      </c>
      <c r="AU46" t="s">
        <v>2129</v>
      </c>
      <c r="AV46" t="s">
        <v>2129</v>
      </c>
      <c r="AW46" t="s">
        <v>2129</v>
      </c>
      <c r="AX46" t="s">
        <v>2129</v>
      </c>
      <c r="AY46" t="s">
        <v>2129</v>
      </c>
      <c r="AZ46" t="s">
        <v>2129</v>
      </c>
      <c r="BA46" t="s">
        <v>2129</v>
      </c>
      <c r="BB46">
        <v>16</v>
      </c>
      <c r="BC46" t="s">
        <v>2129</v>
      </c>
      <c r="BD46" t="s">
        <v>2129</v>
      </c>
      <c r="BE46" s="1958" t="s">
        <v>2129</v>
      </c>
      <c r="BF46"/>
      <c r="BG46" s="863" t="s">
        <v>2129</v>
      </c>
      <c r="BH46" s="863" t="s">
        <v>2129</v>
      </c>
      <c r="BI46" s="863" t="s">
        <v>2129</v>
      </c>
      <c r="BJ46" s="863" t="s">
        <v>2129</v>
      </c>
      <c r="BK46" s="863" t="s">
        <v>2129</v>
      </c>
      <c r="BL46" s="863" t="s">
        <v>2129</v>
      </c>
      <c r="BM46" s="863" t="s">
        <v>2129</v>
      </c>
      <c r="BN46" s="863" t="s">
        <v>2129</v>
      </c>
      <c r="BO46" s="863" t="s">
        <v>2129</v>
      </c>
      <c r="BP46" s="863" t="s">
        <v>2129</v>
      </c>
      <c r="BQ46" s="863">
        <v>16652612.705882352</v>
      </c>
      <c r="BR46" s="863" t="s">
        <v>2129</v>
      </c>
      <c r="BS46" s="863" t="s">
        <v>2129</v>
      </c>
      <c r="BT46" s="863" t="s">
        <v>2129</v>
      </c>
      <c r="BU46" s="863" t="s">
        <v>2129</v>
      </c>
      <c r="BV46" s="863" t="s">
        <v>2129</v>
      </c>
      <c r="BW46" s="863" t="s">
        <v>2129</v>
      </c>
      <c r="BX46" s="863" t="s">
        <v>2129</v>
      </c>
      <c r="BY46" s="863"/>
      <c r="BZ46" s="863" t="s">
        <v>2129</v>
      </c>
      <c r="CA46" s="863" t="s">
        <v>2129</v>
      </c>
      <c r="CB46" s="863" t="s">
        <v>2129</v>
      </c>
      <c r="CC46" s="863" t="s">
        <v>2129</v>
      </c>
      <c r="CD46" s="863"/>
      <c r="CE46" s="5785"/>
    </row>
    <row r="47" spans="1:83" ht="13">
      <c r="A47">
        <v>73</v>
      </c>
      <c r="B47" s="196" t="s">
        <v>3279</v>
      </c>
      <c r="C47" s="5785" t="s">
        <v>2129</v>
      </c>
      <c r="D47" s="5785" t="s">
        <v>2129</v>
      </c>
      <c r="E47" s="5785" t="s">
        <v>2129</v>
      </c>
      <c r="F47" s="5785" t="s">
        <v>3694</v>
      </c>
      <c r="G47" s="5785" t="s">
        <v>2129</v>
      </c>
      <c r="H47" s="5785">
        <v>0</v>
      </c>
      <c r="I47" s="5785">
        <v>0</v>
      </c>
      <c r="J47" s="5785">
        <v>0</v>
      </c>
      <c r="K47" s="5785" t="s">
        <v>2129</v>
      </c>
      <c r="L47" s="5786">
        <v>0</v>
      </c>
      <c r="M47" s="5786">
        <v>0</v>
      </c>
      <c r="N47" s="5786">
        <v>0</v>
      </c>
      <c r="O47" s="5786">
        <v>0</v>
      </c>
      <c r="P47" s="5786">
        <v>0</v>
      </c>
      <c r="Q47" s="2476">
        <v>0</v>
      </c>
      <c r="R47" s="2477">
        <v>0</v>
      </c>
      <c r="S47" s="2477" t="b">
        <v>1</v>
      </c>
      <c r="T47" s="5786" t="s">
        <v>2129</v>
      </c>
      <c r="U47" s="863">
        <v>931788</v>
      </c>
      <c r="V47" s="863" t="b">
        <v>1</v>
      </c>
      <c r="W47" s="863">
        <v>11647.35</v>
      </c>
      <c r="X47" s="863">
        <v>16880.217391304348</v>
      </c>
      <c r="AC47">
        <v>96</v>
      </c>
      <c r="AD47">
        <v>80</v>
      </c>
      <c r="AE47">
        <v>16</v>
      </c>
      <c r="AF47">
        <v>84</v>
      </c>
      <c r="AG47" t="s">
        <v>2129</v>
      </c>
      <c r="AH47" t="s">
        <v>2129</v>
      </c>
      <c r="AI47" t="s">
        <v>2129</v>
      </c>
      <c r="AJ47">
        <v>48</v>
      </c>
      <c r="AK47" t="s">
        <v>2129</v>
      </c>
      <c r="AL47" t="s">
        <v>2129</v>
      </c>
      <c r="AO47">
        <v>-32</v>
      </c>
      <c r="AT47" t="s">
        <v>2129</v>
      </c>
      <c r="AU47" t="s">
        <v>2129</v>
      </c>
      <c r="AV47" t="s">
        <v>2129</v>
      </c>
      <c r="AW47" t="s">
        <v>2129</v>
      </c>
      <c r="AX47" t="s">
        <v>2129</v>
      </c>
      <c r="AY47" t="s">
        <v>2129</v>
      </c>
      <c r="AZ47" t="s">
        <v>2129</v>
      </c>
      <c r="BA47" t="s">
        <v>2129</v>
      </c>
      <c r="BB47">
        <v>16</v>
      </c>
      <c r="BC47" t="s">
        <v>2129</v>
      </c>
      <c r="BD47" t="s">
        <v>2129</v>
      </c>
      <c r="BE47" s="1958" t="s">
        <v>2129</v>
      </c>
      <c r="BF47"/>
      <c r="BG47" s="863" t="s">
        <v>2129</v>
      </c>
      <c r="BH47" s="863" t="s">
        <v>2129</v>
      </c>
      <c r="BI47" s="863" t="s">
        <v>2129</v>
      </c>
      <c r="BJ47" s="863" t="s">
        <v>2129</v>
      </c>
      <c r="BK47" s="863" t="s">
        <v>2129</v>
      </c>
      <c r="BL47" s="863" t="s">
        <v>2129</v>
      </c>
      <c r="BM47" s="863" t="s">
        <v>2129</v>
      </c>
      <c r="BN47" s="863" t="s">
        <v>2129</v>
      </c>
      <c r="BO47" s="863" t="s">
        <v>2129</v>
      </c>
      <c r="BP47" s="863" t="s">
        <v>2129</v>
      </c>
      <c r="BQ47" s="863">
        <v>8945164.8000000007</v>
      </c>
      <c r="BR47" s="863" t="s">
        <v>2129</v>
      </c>
      <c r="BS47" s="863" t="s">
        <v>2129</v>
      </c>
      <c r="BT47" s="863" t="s">
        <v>2129</v>
      </c>
      <c r="BU47" s="863" t="s">
        <v>2129</v>
      </c>
      <c r="BV47" s="863" t="s">
        <v>2129</v>
      </c>
      <c r="BW47" s="863" t="s">
        <v>2129</v>
      </c>
      <c r="BX47" s="863" t="s">
        <v>2129</v>
      </c>
      <c r="BY47" s="863"/>
      <c r="BZ47" s="863" t="s">
        <v>2129</v>
      </c>
      <c r="CA47" s="863" t="s">
        <v>2129</v>
      </c>
      <c r="CB47" s="863" t="s">
        <v>2129</v>
      </c>
      <c r="CC47" s="863" t="s">
        <v>2129</v>
      </c>
      <c r="CD47" s="863"/>
      <c r="CE47" s="5785"/>
    </row>
    <row r="48" spans="1:83" ht="13">
      <c r="A48">
        <v>74</v>
      </c>
      <c r="B48" s="196" t="s">
        <v>3280</v>
      </c>
      <c r="C48" s="5785" t="s">
        <v>3694</v>
      </c>
      <c r="D48" s="5785" t="s">
        <v>2129</v>
      </c>
      <c r="E48" s="5785" t="s">
        <v>2129</v>
      </c>
      <c r="F48" s="5785" t="s">
        <v>3694</v>
      </c>
      <c r="G48" s="5785" t="s">
        <v>2129</v>
      </c>
      <c r="H48" s="5785">
        <v>0</v>
      </c>
      <c r="I48" s="5785">
        <v>0</v>
      </c>
      <c r="J48" s="5785">
        <v>0</v>
      </c>
      <c r="K48" s="5785" t="s">
        <v>2129</v>
      </c>
      <c r="L48" s="5786">
        <v>0</v>
      </c>
      <c r="M48" s="5786">
        <v>0</v>
      </c>
      <c r="N48" s="5786">
        <v>0</v>
      </c>
      <c r="O48" s="5786">
        <v>0</v>
      </c>
      <c r="P48" s="5786">
        <v>0</v>
      </c>
      <c r="Q48" s="2476">
        <v>0</v>
      </c>
      <c r="R48" s="2477">
        <v>0</v>
      </c>
      <c r="S48" s="2477" t="b">
        <v>1</v>
      </c>
      <c r="T48" s="5786" t="s">
        <v>2129</v>
      </c>
      <c r="U48" s="863">
        <v>880022</v>
      </c>
      <c r="V48" s="863" t="b">
        <v>1</v>
      </c>
      <c r="W48" s="863">
        <v>10353.200000000001</v>
      </c>
      <c r="X48" s="863">
        <v>54659.751552795038</v>
      </c>
      <c r="AC48">
        <v>117</v>
      </c>
      <c r="AD48">
        <v>85</v>
      </c>
      <c r="AE48">
        <v>32</v>
      </c>
      <c r="AF48">
        <v>117</v>
      </c>
      <c r="AG48">
        <v>85</v>
      </c>
      <c r="AH48" t="s">
        <v>2129</v>
      </c>
      <c r="AI48" t="s">
        <v>2129</v>
      </c>
      <c r="AJ48">
        <v>14</v>
      </c>
      <c r="AK48" t="s">
        <v>2129</v>
      </c>
      <c r="AL48">
        <v>0</v>
      </c>
      <c r="AO48">
        <v>-71</v>
      </c>
      <c r="AT48" t="s">
        <v>2129</v>
      </c>
      <c r="AU48" t="s">
        <v>2129</v>
      </c>
      <c r="AV48" t="s">
        <v>2129</v>
      </c>
      <c r="AW48">
        <v>32</v>
      </c>
      <c r="AX48" t="s">
        <v>2129</v>
      </c>
      <c r="AY48" t="s">
        <v>2129</v>
      </c>
      <c r="AZ48" t="s">
        <v>2129</v>
      </c>
      <c r="BA48" t="s">
        <v>2129</v>
      </c>
      <c r="BB48">
        <v>16</v>
      </c>
      <c r="BC48" t="s">
        <v>2129</v>
      </c>
      <c r="BD48" t="s">
        <v>2129</v>
      </c>
      <c r="BE48" s="1958" t="s">
        <v>2129</v>
      </c>
      <c r="BF48"/>
      <c r="BG48" s="863" t="s">
        <v>2129</v>
      </c>
      <c r="BH48" s="863">
        <v>28160704.000000004</v>
      </c>
      <c r="BI48" s="863" t="s">
        <v>2129</v>
      </c>
      <c r="BJ48" s="863" t="s">
        <v>2129</v>
      </c>
      <c r="BK48" s="863" t="s">
        <v>2129</v>
      </c>
      <c r="BL48" s="863" t="s">
        <v>2129</v>
      </c>
      <c r="BM48" s="863" t="s">
        <v>2129</v>
      </c>
      <c r="BN48" s="863" t="s">
        <v>2129</v>
      </c>
      <c r="BO48" s="863" t="s">
        <v>2129</v>
      </c>
      <c r="BP48" s="863" t="s">
        <v>2129</v>
      </c>
      <c r="BQ48" s="863">
        <v>2319116.8000000003</v>
      </c>
      <c r="BR48" s="863" t="s">
        <v>2129</v>
      </c>
      <c r="BS48" s="863" t="s">
        <v>2129</v>
      </c>
      <c r="BT48" s="863" t="s">
        <v>2129</v>
      </c>
      <c r="BU48" s="863" t="s">
        <v>2129</v>
      </c>
      <c r="BV48" s="863" t="s">
        <v>2129</v>
      </c>
      <c r="BW48" s="863" t="s">
        <v>2129</v>
      </c>
      <c r="BX48" s="863" t="s">
        <v>2129</v>
      </c>
      <c r="BY48" s="863"/>
      <c r="BZ48" s="863" t="s">
        <v>2129</v>
      </c>
      <c r="CA48" s="863" t="s">
        <v>2129</v>
      </c>
      <c r="CB48" s="863" t="s">
        <v>2129</v>
      </c>
      <c r="CC48" s="863" t="s">
        <v>2129</v>
      </c>
      <c r="CD48" s="863"/>
      <c r="CE48" s="5785"/>
    </row>
    <row r="49" spans="1:83" ht="13">
      <c r="A49">
        <v>75</v>
      </c>
      <c r="B49" s="196" t="s">
        <v>3281</v>
      </c>
      <c r="C49" s="5785" t="s">
        <v>3694</v>
      </c>
      <c r="D49" s="5785" t="s">
        <v>2129</v>
      </c>
      <c r="E49" s="5785" t="s">
        <v>2129</v>
      </c>
      <c r="F49" s="5785" t="s">
        <v>3694</v>
      </c>
      <c r="G49" s="5785" t="s">
        <v>2129</v>
      </c>
      <c r="H49" s="5785">
        <v>0</v>
      </c>
      <c r="I49" s="5785">
        <v>0</v>
      </c>
      <c r="J49" s="5785">
        <v>0</v>
      </c>
      <c r="K49" s="5785" t="s">
        <v>2129</v>
      </c>
      <c r="L49" s="5786">
        <v>0</v>
      </c>
      <c r="M49" s="5786">
        <v>0</v>
      </c>
      <c r="N49" s="5786">
        <v>0</v>
      </c>
      <c r="O49" s="5786">
        <v>0</v>
      </c>
      <c r="P49" s="5786">
        <v>0</v>
      </c>
      <c r="Q49" s="2476">
        <v>0</v>
      </c>
      <c r="R49" s="2477">
        <v>0</v>
      </c>
      <c r="S49" s="2477" t="b">
        <v>1</v>
      </c>
      <c r="T49" s="5786" t="s">
        <v>2129</v>
      </c>
      <c r="U49" s="863">
        <v>2213101</v>
      </c>
      <c r="V49" s="863" t="b">
        <v>1</v>
      </c>
      <c r="W49" s="863">
        <v>11647.9</v>
      </c>
      <c r="X49" s="863">
        <v>34989.739130434784</v>
      </c>
      <c r="AC49">
        <v>262</v>
      </c>
      <c r="AD49">
        <v>190</v>
      </c>
      <c r="AE49">
        <v>72</v>
      </c>
      <c r="AF49">
        <v>262</v>
      </c>
      <c r="AG49">
        <v>190</v>
      </c>
      <c r="AH49" t="s">
        <v>2129</v>
      </c>
      <c r="AI49" t="s">
        <v>2129</v>
      </c>
      <c r="AJ49">
        <v>55</v>
      </c>
      <c r="AK49" t="s">
        <v>2129</v>
      </c>
      <c r="AL49">
        <v>0</v>
      </c>
      <c r="AO49">
        <v>-135</v>
      </c>
      <c r="AT49" t="s">
        <v>2129</v>
      </c>
      <c r="AU49" t="s">
        <v>2129</v>
      </c>
      <c r="AV49" t="s">
        <v>2129</v>
      </c>
      <c r="AW49">
        <v>32</v>
      </c>
      <c r="AX49" t="s">
        <v>2129</v>
      </c>
      <c r="AY49" t="s">
        <v>2129</v>
      </c>
      <c r="AZ49" t="s">
        <v>2129</v>
      </c>
      <c r="BA49" t="s">
        <v>2129</v>
      </c>
      <c r="BB49">
        <v>16</v>
      </c>
      <c r="BC49" t="s">
        <v>2129</v>
      </c>
      <c r="BD49" t="s">
        <v>2129</v>
      </c>
      <c r="BE49" s="1958" t="s">
        <v>2129</v>
      </c>
      <c r="BF49"/>
      <c r="BG49" s="863" t="s">
        <v>2129</v>
      </c>
      <c r="BH49" s="863">
        <v>70819232</v>
      </c>
      <c r="BI49" s="863" t="s">
        <v>2129</v>
      </c>
      <c r="BJ49" s="863" t="s">
        <v>2129</v>
      </c>
      <c r="BK49" s="863" t="s">
        <v>2129</v>
      </c>
      <c r="BL49" s="863" t="s">
        <v>2129</v>
      </c>
      <c r="BM49" s="863" t="s">
        <v>2129</v>
      </c>
      <c r="BN49" s="863" t="s">
        <v>2129</v>
      </c>
      <c r="BO49" s="863" t="s">
        <v>2129</v>
      </c>
      <c r="BP49" s="863" t="s">
        <v>2129</v>
      </c>
      <c r="BQ49" s="863">
        <v>10250152</v>
      </c>
      <c r="BR49" s="863" t="s">
        <v>2129</v>
      </c>
      <c r="BS49" s="863" t="s">
        <v>2129</v>
      </c>
      <c r="BT49" s="863" t="s">
        <v>2129</v>
      </c>
      <c r="BU49" s="863" t="s">
        <v>2129</v>
      </c>
      <c r="BV49" s="863" t="s">
        <v>2129</v>
      </c>
      <c r="BW49" s="863" t="s">
        <v>2129</v>
      </c>
      <c r="BX49" s="863" t="s">
        <v>2129</v>
      </c>
      <c r="BY49" s="863"/>
      <c r="BZ49" s="863" t="s">
        <v>2129</v>
      </c>
      <c r="CA49" s="863" t="s">
        <v>2129</v>
      </c>
      <c r="CB49" s="863" t="s">
        <v>2129</v>
      </c>
      <c r="CC49" s="863" t="s">
        <v>2129</v>
      </c>
      <c r="CD49" s="863"/>
      <c r="CE49" s="5785"/>
    </row>
    <row r="50" spans="1:83" ht="13">
      <c r="A50">
        <v>76</v>
      </c>
      <c r="B50" s="196" t="s">
        <v>6618</v>
      </c>
      <c r="C50" s="5785" t="s">
        <v>2129</v>
      </c>
      <c r="D50" s="5785" t="s">
        <v>2129</v>
      </c>
      <c r="E50" s="5785" t="s">
        <v>2129</v>
      </c>
      <c r="F50" s="5785" t="s">
        <v>3694</v>
      </c>
      <c r="G50" s="5785" t="s">
        <v>2129</v>
      </c>
      <c r="H50" s="5785">
        <v>0</v>
      </c>
      <c r="I50" s="5785">
        <v>0</v>
      </c>
      <c r="J50" s="5785">
        <v>0</v>
      </c>
      <c r="K50" s="5785" t="s">
        <v>2129</v>
      </c>
      <c r="L50" s="5786">
        <v>0</v>
      </c>
      <c r="M50" s="5786">
        <v>0</v>
      </c>
      <c r="N50" s="5786">
        <v>0</v>
      </c>
      <c r="O50" s="5786">
        <v>0</v>
      </c>
      <c r="P50" s="5786">
        <v>0</v>
      </c>
      <c r="Q50" s="2476">
        <v>0</v>
      </c>
      <c r="R50" s="2477">
        <v>0</v>
      </c>
      <c r="S50" s="2477" t="b">
        <v>1</v>
      </c>
      <c r="T50" s="5786" t="s">
        <v>2129</v>
      </c>
      <c r="U50" s="1958">
        <v>4351380</v>
      </c>
      <c r="V50" s="5793" t="b">
        <v>1</v>
      </c>
      <c r="W50" s="863">
        <v>27893.461538461539</v>
      </c>
      <c r="X50" s="863">
        <v>108108.8198757764</v>
      </c>
      <c r="AC50">
        <v>160</v>
      </c>
      <c r="AD50">
        <v>156</v>
      </c>
      <c r="AE50" s="2969">
        <v>4</v>
      </c>
      <c r="AF50">
        <v>186</v>
      </c>
      <c r="AG50" t="s">
        <v>2129</v>
      </c>
      <c r="AH50" t="s">
        <v>2129</v>
      </c>
      <c r="AI50" t="s">
        <v>2129</v>
      </c>
      <c r="AJ50">
        <v>35</v>
      </c>
      <c r="AK50" t="s">
        <v>2129</v>
      </c>
      <c r="AL50" t="s">
        <v>2129</v>
      </c>
      <c r="AO50">
        <v>-121</v>
      </c>
      <c r="AT50" t="s">
        <v>2129</v>
      </c>
      <c r="AU50" t="s">
        <v>2129</v>
      </c>
      <c r="AV50" t="s">
        <v>2129</v>
      </c>
      <c r="AW50" t="s">
        <v>2129</v>
      </c>
      <c r="AX50" t="s">
        <v>2129</v>
      </c>
      <c r="AY50" t="s">
        <v>2129</v>
      </c>
      <c r="AZ50" t="s">
        <v>2129</v>
      </c>
      <c r="BA50" t="s">
        <v>2129</v>
      </c>
      <c r="BB50">
        <v>16</v>
      </c>
      <c r="BC50" t="s">
        <v>2129</v>
      </c>
      <c r="BD50" t="s">
        <v>2129</v>
      </c>
      <c r="BE50" s="1958" t="s">
        <v>2129</v>
      </c>
      <c r="BF50"/>
      <c r="BG50" s="863" t="s">
        <v>2129</v>
      </c>
      <c r="BH50" s="863" t="s">
        <v>2129</v>
      </c>
      <c r="BI50" s="863" t="s">
        <v>2129</v>
      </c>
      <c r="BJ50" s="863" t="s">
        <v>2129</v>
      </c>
      <c r="BK50" s="863" t="s">
        <v>2129</v>
      </c>
      <c r="BL50" s="863" t="s">
        <v>2129</v>
      </c>
      <c r="BM50" s="863" t="s">
        <v>2129</v>
      </c>
      <c r="BN50" s="863" t="s">
        <v>2129</v>
      </c>
      <c r="BO50" s="863" t="s">
        <v>2129</v>
      </c>
      <c r="BP50" s="863" t="s">
        <v>2129</v>
      </c>
      <c r="BQ50" s="863">
        <v>15620338.461538462</v>
      </c>
      <c r="BR50" s="863" t="s">
        <v>2129</v>
      </c>
      <c r="BS50" s="863" t="s">
        <v>2129</v>
      </c>
      <c r="BT50" s="863" t="s">
        <v>2129</v>
      </c>
      <c r="BU50" s="863" t="s">
        <v>2129</v>
      </c>
      <c r="BV50" s="863" t="s">
        <v>2129</v>
      </c>
      <c r="BW50" s="863" t="s">
        <v>2129</v>
      </c>
      <c r="BX50" s="863" t="s">
        <v>2129</v>
      </c>
      <c r="BY50" s="863"/>
      <c r="BZ50" s="863" t="s">
        <v>2129</v>
      </c>
      <c r="CA50" s="863" t="s">
        <v>2129</v>
      </c>
      <c r="CB50" s="863" t="s">
        <v>2129</v>
      </c>
      <c r="CC50" s="863" t="s">
        <v>2129</v>
      </c>
      <c r="CD50" s="863"/>
      <c r="CE50" s="5785"/>
    </row>
    <row r="51" spans="1:83" ht="13">
      <c r="A51">
        <v>77</v>
      </c>
      <c r="B51" s="196" t="s">
        <v>3283</v>
      </c>
      <c r="C51" s="5785" t="s">
        <v>2129</v>
      </c>
      <c r="D51" s="5785" t="s">
        <v>2129</v>
      </c>
      <c r="E51" s="5785" t="s">
        <v>2129</v>
      </c>
      <c r="F51" s="5785" t="s">
        <v>3694</v>
      </c>
      <c r="G51" s="5785" t="s">
        <v>2129</v>
      </c>
      <c r="H51" s="5785">
        <v>0</v>
      </c>
      <c r="I51" s="5785">
        <v>0</v>
      </c>
      <c r="J51" s="5785">
        <v>0</v>
      </c>
      <c r="K51" s="5785" t="s">
        <v>2129</v>
      </c>
      <c r="L51" s="5786">
        <v>0</v>
      </c>
      <c r="M51" s="5786">
        <v>0</v>
      </c>
      <c r="N51" s="5786">
        <v>0</v>
      </c>
      <c r="O51" s="5786">
        <v>0</v>
      </c>
      <c r="P51" s="5786">
        <v>0</v>
      </c>
      <c r="Q51" s="2476">
        <v>0</v>
      </c>
      <c r="R51" s="2477">
        <v>0</v>
      </c>
      <c r="S51" s="2477" t="b">
        <v>1</v>
      </c>
      <c r="T51" s="5786" t="s">
        <v>2129</v>
      </c>
      <c r="U51" s="863">
        <v>7830714</v>
      </c>
      <c r="V51" s="863" t="b">
        <v>1</v>
      </c>
      <c r="W51" s="863">
        <v>37289.114285714284</v>
      </c>
      <c r="X51" s="863">
        <v>98685.746691871464</v>
      </c>
      <c r="AC51">
        <v>250</v>
      </c>
      <c r="AD51">
        <v>210</v>
      </c>
      <c r="AE51">
        <v>40</v>
      </c>
      <c r="AF51">
        <v>251</v>
      </c>
      <c r="AG51" t="s">
        <v>2129</v>
      </c>
      <c r="AH51" t="s">
        <v>2129</v>
      </c>
      <c r="AI51" t="s">
        <v>2129</v>
      </c>
      <c r="AJ51">
        <v>69</v>
      </c>
      <c r="AK51" t="s">
        <v>2129</v>
      </c>
      <c r="AL51" t="s">
        <v>2129</v>
      </c>
      <c r="AO51">
        <v>-141</v>
      </c>
      <c r="AT51" t="s">
        <v>2129</v>
      </c>
      <c r="AU51" t="s">
        <v>2129</v>
      </c>
      <c r="AV51" t="s">
        <v>2129</v>
      </c>
      <c r="AW51" t="s">
        <v>2129</v>
      </c>
      <c r="AX51" t="s">
        <v>2129</v>
      </c>
      <c r="AY51" t="s">
        <v>2129</v>
      </c>
      <c r="AZ51" t="s">
        <v>2129</v>
      </c>
      <c r="BA51" t="s">
        <v>2129</v>
      </c>
      <c r="BB51">
        <v>16</v>
      </c>
      <c r="BC51" t="s">
        <v>2129</v>
      </c>
      <c r="BD51" t="s">
        <v>2129</v>
      </c>
      <c r="BE51" s="1958" t="s">
        <v>2129</v>
      </c>
      <c r="BF51"/>
      <c r="BG51" s="863" t="s">
        <v>2129</v>
      </c>
      <c r="BH51" s="863" t="s">
        <v>2129</v>
      </c>
      <c r="BI51" s="863" t="s">
        <v>2129</v>
      </c>
      <c r="BJ51" s="863" t="s">
        <v>2129</v>
      </c>
      <c r="BK51" s="863" t="s">
        <v>2129</v>
      </c>
      <c r="BL51" s="863" t="s">
        <v>2129</v>
      </c>
      <c r="BM51" s="863" t="s">
        <v>2129</v>
      </c>
      <c r="BN51" s="863" t="s">
        <v>2129</v>
      </c>
      <c r="BO51" s="863" t="s">
        <v>2129</v>
      </c>
      <c r="BP51" s="863" t="s">
        <v>2129</v>
      </c>
      <c r="BQ51" s="863">
        <v>41167182.171428569</v>
      </c>
      <c r="BR51" s="863" t="s">
        <v>2129</v>
      </c>
      <c r="BS51" s="863" t="s">
        <v>2129</v>
      </c>
      <c r="BT51" s="863" t="s">
        <v>2129</v>
      </c>
      <c r="BU51" s="863" t="s">
        <v>2129</v>
      </c>
      <c r="BV51" s="863" t="s">
        <v>2129</v>
      </c>
      <c r="BW51" s="863" t="s">
        <v>2129</v>
      </c>
      <c r="BX51" s="863" t="s">
        <v>2129</v>
      </c>
      <c r="BY51" s="863"/>
      <c r="BZ51" s="863" t="s">
        <v>2129</v>
      </c>
      <c r="CA51" s="863" t="s">
        <v>2129</v>
      </c>
      <c r="CB51" s="863" t="s">
        <v>2129</v>
      </c>
      <c r="CC51" s="863" t="s">
        <v>2129</v>
      </c>
      <c r="CD51" s="863"/>
      <c r="CE51" s="5785"/>
    </row>
    <row r="52" spans="1:83" ht="13">
      <c r="A52">
        <v>78</v>
      </c>
      <c r="B52" s="196" t="s">
        <v>3284</v>
      </c>
      <c r="C52" s="5785" t="s">
        <v>3694</v>
      </c>
      <c r="D52" s="5785" t="s">
        <v>2129</v>
      </c>
      <c r="E52" s="5785" t="s">
        <v>2129</v>
      </c>
      <c r="F52" s="5785" t="s">
        <v>2129</v>
      </c>
      <c r="G52" s="5785" t="s">
        <v>2129</v>
      </c>
      <c r="H52" s="5785">
        <v>0</v>
      </c>
      <c r="I52" s="5785">
        <v>0</v>
      </c>
      <c r="J52" s="5785">
        <v>0</v>
      </c>
      <c r="K52" s="5785" t="s">
        <v>2129</v>
      </c>
      <c r="L52" s="5786">
        <v>0</v>
      </c>
      <c r="M52" s="5786">
        <v>0</v>
      </c>
      <c r="N52" s="5786">
        <v>0</v>
      </c>
      <c r="O52" s="5786">
        <v>0</v>
      </c>
      <c r="P52" s="5786">
        <v>0</v>
      </c>
      <c r="Q52" s="2476">
        <v>0</v>
      </c>
      <c r="R52" s="2477">
        <v>0</v>
      </c>
      <c r="S52" s="2477" t="b">
        <v>1</v>
      </c>
      <c r="T52" s="5786" t="s">
        <v>2129</v>
      </c>
      <c r="U52" s="863">
        <v>1647085</v>
      </c>
      <c r="V52" s="863" t="b">
        <v>1</v>
      </c>
      <c r="W52" s="863">
        <v>32941.699999999997</v>
      </c>
      <c r="X52" s="863" t="s">
        <v>2129</v>
      </c>
      <c r="AC52">
        <v>128</v>
      </c>
      <c r="AD52">
        <v>50</v>
      </c>
      <c r="AE52">
        <v>78</v>
      </c>
      <c r="AF52">
        <v>136</v>
      </c>
      <c r="AG52">
        <v>50</v>
      </c>
      <c r="AH52" t="s">
        <v>2129</v>
      </c>
      <c r="AI52" t="s">
        <v>2129</v>
      </c>
      <c r="AJ52" t="s">
        <v>2129</v>
      </c>
      <c r="AK52" t="s">
        <v>2129</v>
      </c>
      <c r="AL52">
        <v>0</v>
      </c>
      <c r="AO52" t="s">
        <v>2129</v>
      </c>
      <c r="AT52" t="s">
        <v>2129</v>
      </c>
      <c r="AU52" t="s">
        <v>2129</v>
      </c>
      <c r="AV52" t="s">
        <v>2129</v>
      </c>
      <c r="AW52">
        <v>32</v>
      </c>
      <c r="AX52" t="s">
        <v>2129</v>
      </c>
      <c r="AY52" t="s">
        <v>2129</v>
      </c>
      <c r="AZ52" t="s">
        <v>2129</v>
      </c>
      <c r="BA52" t="s">
        <v>2129</v>
      </c>
      <c r="BB52" t="s">
        <v>2129</v>
      </c>
      <c r="BC52" t="s">
        <v>2129</v>
      </c>
      <c r="BD52" t="s">
        <v>2129</v>
      </c>
      <c r="BE52" s="1958" t="s">
        <v>2129</v>
      </c>
      <c r="BF52"/>
      <c r="BG52" s="863" t="s">
        <v>2129</v>
      </c>
      <c r="BH52" s="863">
        <v>52706719.999999993</v>
      </c>
      <c r="BI52" s="863" t="s">
        <v>2129</v>
      </c>
      <c r="BJ52" s="863" t="s">
        <v>2129</v>
      </c>
      <c r="BK52" s="863" t="s">
        <v>2129</v>
      </c>
      <c r="BL52" s="863" t="s">
        <v>2129</v>
      </c>
      <c r="BM52" s="863" t="s">
        <v>2129</v>
      </c>
      <c r="BN52" s="863" t="s">
        <v>2129</v>
      </c>
      <c r="BO52" s="863" t="s">
        <v>2129</v>
      </c>
      <c r="BP52" s="863" t="s">
        <v>2129</v>
      </c>
      <c r="BQ52" s="863" t="s">
        <v>2129</v>
      </c>
      <c r="BR52" s="863" t="s">
        <v>2129</v>
      </c>
      <c r="BS52" s="863" t="s">
        <v>2129</v>
      </c>
      <c r="BT52" s="863" t="s">
        <v>2129</v>
      </c>
      <c r="BU52" s="863" t="s">
        <v>2129</v>
      </c>
      <c r="BV52" s="863" t="s">
        <v>2129</v>
      </c>
      <c r="BW52" s="863" t="s">
        <v>2129</v>
      </c>
      <c r="BX52" s="863" t="s">
        <v>2129</v>
      </c>
      <c r="BY52" s="863"/>
      <c r="BZ52" s="1958" t="s">
        <v>2129</v>
      </c>
      <c r="CA52" s="1958" t="s">
        <v>2129</v>
      </c>
      <c r="CB52" s="863" t="s">
        <v>2129</v>
      </c>
      <c r="CC52" s="863" t="s">
        <v>2129</v>
      </c>
      <c r="CD52" s="863"/>
      <c r="CE52" s="5785"/>
    </row>
    <row r="53" spans="1:83" ht="13">
      <c r="A53">
        <v>79</v>
      </c>
      <c r="B53" s="196" t="s">
        <v>3285</v>
      </c>
      <c r="C53" s="5790" t="s">
        <v>6616</v>
      </c>
      <c r="D53" s="5790" t="s">
        <v>6599</v>
      </c>
      <c r="E53" s="5790" t="s">
        <v>2129</v>
      </c>
      <c r="F53" s="5792" t="s">
        <v>2129</v>
      </c>
      <c r="G53" s="5792" t="s">
        <v>2129</v>
      </c>
      <c r="H53" s="5785">
        <v>0</v>
      </c>
      <c r="I53" s="5785">
        <v>0</v>
      </c>
      <c r="J53" s="5785">
        <v>0</v>
      </c>
      <c r="K53" s="5785">
        <v>0</v>
      </c>
      <c r="L53" s="5786">
        <v>0</v>
      </c>
      <c r="M53" s="5786">
        <v>0</v>
      </c>
      <c r="N53" s="5786">
        <v>0</v>
      </c>
      <c r="O53" s="5786">
        <v>0</v>
      </c>
      <c r="P53" s="5786">
        <v>0</v>
      </c>
      <c r="Q53" s="2476">
        <v>0</v>
      </c>
      <c r="R53" s="2477">
        <v>0</v>
      </c>
      <c r="S53" s="2477" t="b">
        <v>1</v>
      </c>
      <c r="T53" s="5786" t="s">
        <v>2129</v>
      </c>
      <c r="U53" s="1958">
        <v>4099799</v>
      </c>
      <c r="V53" s="1958" t="b">
        <v>1</v>
      </c>
      <c r="W53" s="863">
        <v>69488.118644067799</v>
      </c>
      <c r="X53" s="863" t="s">
        <v>2129</v>
      </c>
      <c r="Y53" s="863">
        <v>3400</v>
      </c>
      <c r="AC53">
        <v>191</v>
      </c>
      <c r="AD53" s="3965">
        <v>59</v>
      </c>
      <c r="AE53" s="5807">
        <v>132</v>
      </c>
      <c r="AF53">
        <v>292</v>
      </c>
      <c r="AG53">
        <v>191</v>
      </c>
      <c r="AH53" t="s">
        <v>2129</v>
      </c>
      <c r="AI53" t="s">
        <v>2129</v>
      </c>
      <c r="AJ53" s="2705" t="s">
        <v>2129</v>
      </c>
      <c r="AK53" t="s">
        <v>2129</v>
      </c>
      <c r="AL53">
        <v>132</v>
      </c>
      <c r="AO53" t="s">
        <v>2129</v>
      </c>
      <c r="AT53">
        <v>14</v>
      </c>
      <c r="AU53">
        <v>17</v>
      </c>
      <c r="AV53" t="s">
        <v>2129</v>
      </c>
      <c r="AW53" t="s">
        <v>2129</v>
      </c>
      <c r="AX53" t="s">
        <v>2129</v>
      </c>
      <c r="AY53" t="s">
        <v>2129</v>
      </c>
      <c r="AZ53" t="s">
        <v>2129</v>
      </c>
      <c r="BA53" t="s">
        <v>2129</v>
      </c>
      <c r="BB53" t="s">
        <v>2129</v>
      </c>
      <c r="BC53" t="s">
        <v>2129</v>
      </c>
      <c r="BD53" t="s">
        <v>2129</v>
      </c>
      <c r="BE53" s="1958">
        <v>57397186</v>
      </c>
      <c r="BF53" s="1958">
        <v>69696583</v>
      </c>
      <c r="BG53" s="1958" t="s">
        <v>2129</v>
      </c>
      <c r="BH53" s="1958" t="s">
        <v>2129</v>
      </c>
      <c r="BI53" s="1958" t="s">
        <v>2129</v>
      </c>
      <c r="BJ53" s="1958" t="s">
        <v>2129</v>
      </c>
      <c r="BK53" s="1958" t="s">
        <v>2129</v>
      </c>
      <c r="BL53" s="1958" t="s">
        <v>2129</v>
      </c>
      <c r="BM53" s="1958" t="s">
        <v>2129</v>
      </c>
      <c r="BN53" s="863" t="s">
        <v>2129</v>
      </c>
      <c r="BO53" s="863" t="s">
        <v>2129</v>
      </c>
      <c r="BP53" s="1958" t="s">
        <v>2129</v>
      </c>
      <c r="BQ53" s="1958" t="s">
        <v>2129</v>
      </c>
      <c r="BR53" s="1958" t="s">
        <v>2129</v>
      </c>
      <c r="BS53" s="1958" t="s">
        <v>2129</v>
      </c>
      <c r="BT53" s="1958" t="s">
        <v>2129</v>
      </c>
      <c r="BU53" s="1958" t="s">
        <v>2129</v>
      </c>
      <c r="BV53" s="1958" t="s">
        <v>2129</v>
      </c>
      <c r="BW53" s="1958" t="s">
        <v>2129</v>
      </c>
      <c r="BX53" s="1958" t="s">
        <v>2129</v>
      </c>
      <c r="BZ53" s="1958" t="s">
        <v>2129</v>
      </c>
      <c r="CA53" s="1958" t="s">
        <v>2129</v>
      </c>
      <c r="CB53" s="1958" t="s">
        <v>2129</v>
      </c>
      <c r="CC53" s="1958" t="s">
        <v>2129</v>
      </c>
      <c r="CE53" s="5785"/>
    </row>
    <row r="54" spans="1:83" ht="13">
      <c r="A54">
        <v>80</v>
      </c>
      <c r="B54" s="196" t="s">
        <v>6619</v>
      </c>
      <c r="C54" s="5785" t="s">
        <v>2129</v>
      </c>
      <c r="D54" s="5785" t="s">
        <v>2129</v>
      </c>
      <c r="E54" s="5785" t="s">
        <v>2129</v>
      </c>
      <c r="F54" s="5785" t="s">
        <v>3694</v>
      </c>
      <c r="G54" s="5785" t="s">
        <v>2129</v>
      </c>
      <c r="H54" s="5785">
        <v>0</v>
      </c>
      <c r="I54" s="5785">
        <v>0</v>
      </c>
      <c r="J54" s="5785">
        <v>0</v>
      </c>
      <c r="K54" s="5785" t="s">
        <v>2129</v>
      </c>
      <c r="L54" s="5786">
        <v>0</v>
      </c>
      <c r="M54" s="5786">
        <v>0</v>
      </c>
      <c r="N54" s="5786">
        <v>0</v>
      </c>
      <c r="O54" s="5786">
        <v>0</v>
      </c>
      <c r="P54" s="5786">
        <v>0</v>
      </c>
      <c r="Q54" s="2476">
        <v>0</v>
      </c>
      <c r="R54" s="2477">
        <v>0</v>
      </c>
      <c r="S54" s="2477" t="b">
        <v>1</v>
      </c>
      <c r="T54" s="5786" t="s">
        <v>2129</v>
      </c>
      <c r="U54" s="863">
        <v>3860282</v>
      </c>
      <c r="V54" s="863" t="b">
        <v>1</v>
      </c>
      <c r="W54" s="863">
        <v>27185.084507042255</v>
      </c>
      <c r="X54" s="863">
        <v>34252.724046140196</v>
      </c>
      <c r="AC54">
        <v>288</v>
      </c>
      <c r="AD54">
        <v>142</v>
      </c>
      <c r="AE54">
        <v>146</v>
      </c>
      <c r="AF54">
        <v>288</v>
      </c>
      <c r="AG54" t="s">
        <v>2129</v>
      </c>
      <c r="AH54" t="s">
        <v>2129</v>
      </c>
      <c r="AI54" t="s">
        <v>2129</v>
      </c>
      <c r="AJ54">
        <v>98</v>
      </c>
      <c r="AK54" t="s">
        <v>2129</v>
      </c>
      <c r="AL54" t="s">
        <v>2129</v>
      </c>
      <c r="AO54">
        <v>-44</v>
      </c>
      <c r="AT54" t="s">
        <v>2129</v>
      </c>
      <c r="AU54" t="s">
        <v>2129</v>
      </c>
      <c r="AV54" t="s">
        <v>2129</v>
      </c>
      <c r="AW54" t="s">
        <v>2129</v>
      </c>
      <c r="AX54" t="s">
        <v>2129</v>
      </c>
      <c r="AY54" t="s">
        <v>2129</v>
      </c>
      <c r="AZ54" t="s">
        <v>2129</v>
      </c>
      <c r="BA54" t="s">
        <v>2129</v>
      </c>
      <c r="BB54">
        <v>16</v>
      </c>
      <c r="BC54" t="s">
        <v>2129</v>
      </c>
      <c r="BD54" t="s">
        <v>2129</v>
      </c>
      <c r="BE54" s="1958" t="s">
        <v>2129</v>
      </c>
      <c r="BF54"/>
      <c r="BG54" s="863" t="s">
        <v>2129</v>
      </c>
      <c r="BH54" s="863" t="s">
        <v>2129</v>
      </c>
      <c r="BI54" s="863" t="s">
        <v>2129</v>
      </c>
      <c r="BJ54" s="863" t="s">
        <v>2129</v>
      </c>
      <c r="BK54" s="863" t="s">
        <v>2129</v>
      </c>
      <c r="BL54" s="863" t="s">
        <v>2129</v>
      </c>
      <c r="BM54" s="863" t="s">
        <v>2129</v>
      </c>
      <c r="BN54" s="863" t="s">
        <v>2129</v>
      </c>
      <c r="BO54" s="863" t="s">
        <v>2129</v>
      </c>
      <c r="BP54" s="863" t="s">
        <v>2129</v>
      </c>
      <c r="BQ54" s="863">
        <v>42626212.507042259</v>
      </c>
      <c r="BR54" s="863" t="s">
        <v>2129</v>
      </c>
      <c r="BS54" s="863" t="s">
        <v>2129</v>
      </c>
      <c r="BT54" s="863" t="s">
        <v>2129</v>
      </c>
      <c r="BU54" s="863" t="s">
        <v>2129</v>
      </c>
      <c r="BV54" s="1958" t="s">
        <v>2129</v>
      </c>
      <c r="BW54" s="863" t="s">
        <v>2129</v>
      </c>
      <c r="BX54" s="863" t="s">
        <v>2129</v>
      </c>
      <c r="BY54" s="863"/>
      <c r="BZ54" s="863" t="s">
        <v>2129</v>
      </c>
      <c r="CA54" s="863" t="s">
        <v>2129</v>
      </c>
      <c r="CB54" s="863" t="s">
        <v>2129</v>
      </c>
      <c r="CC54" s="863" t="s">
        <v>2129</v>
      </c>
      <c r="CD54" s="863"/>
      <c r="CE54" s="5785"/>
    </row>
    <row r="55" spans="1:83" ht="13">
      <c r="A55">
        <v>81</v>
      </c>
      <c r="B55" s="196" t="s">
        <v>3287</v>
      </c>
      <c r="C55" s="5790" t="s">
        <v>6616</v>
      </c>
      <c r="D55" s="5790" t="s">
        <v>6599</v>
      </c>
      <c r="E55" s="5790" t="s">
        <v>2129</v>
      </c>
      <c r="F55" s="5785" t="s">
        <v>2129</v>
      </c>
      <c r="G55" s="5785" t="s">
        <v>2129</v>
      </c>
      <c r="H55" s="5785">
        <v>1</v>
      </c>
      <c r="I55" s="5785">
        <v>1</v>
      </c>
      <c r="J55" s="5785">
        <v>1</v>
      </c>
      <c r="K55" s="5785">
        <v>0</v>
      </c>
      <c r="L55" s="5786">
        <v>352942</v>
      </c>
      <c r="M55" s="5786">
        <v>0</v>
      </c>
      <c r="N55" s="5786">
        <v>0</v>
      </c>
      <c r="O55" s="5786">
        <v>0</v>
      </c>
      <c r="P55" s="5786">
        <v>0</v>
      </c>
      <c r="Q55" s="2476">
        <v>388236.2</v>
      </c>
      <c r="R55" s="2477">
        <v>388236</v>
      </c>
      <c r="S55" s="2477" t="b">
        <v>1</v>
      </c>
      <c r="T55" s="5786">
        <v>388236</v>
      </c>
      <c r="U55" s="863">
        <v>11026158</v>
      </c>
      <c r="V55" s="863" t="b">
        <v>1</v>
      </c>
      <c r="W55" s="863">
        <v>38824.5</v>
      </c>
      <c r="X55" s="863" t="s">
        <v>2129</v>
      </c>
      <c r="Y55" s="863">
        <v>2200</v>
      </c>
      <c r="AC55">
        <v>284</v>
      </c>
      <c r="AD55" s="3965">
        <v>284</v>
      </c>
      <c r="AE55" s="3965">
        <v>0</v>
      </c>
      <c r="AF55">
        <v>476</v>
      </c>
      <c r="AG55">
        <v>284</v>
      </c>
      <c r="AH55" t="s">
        <v>2129</v>
      </c>
      <c r="AI55" t="s">
        <v>2129</v>
      </c>
      <c r="AJ55" t="s">
        <v>2129</v>
      </c>
      <c r="AK55" t="s">
        <v>2129</v>
      </c>
      <c r="AL55">
        <v>0</v>
      </c>
      <c r="AO55" t="s">
        <v>2129</v>
      </c>
      <c r="AT55">
        <v>24</v>
      </c>
      <c r="AU55">
        <v>24</v>
      </c>
      <c r="AV55" t="s">
        <v>2129</v>
      </c>
      <c r="AW55" t="s">
        <v>2129</v>
      </c>
      <c r="AX55" t="s">
        <v>2129</v>
      </c>
      <c r="AY55" t="s">
        <v>2129</v>
      </c>
      <c r="AZ55" t="s">
        <v>2129</v>
      </c>
      <c r="BA55" t="s">
        <v>2129</v>
      </c>
      <c r="BB55" t="s">
        <v>2129</v>
      </c>
      <c r="BC55" t="s">
        <v>2129</v>
      </c>
      <c r="BD55" t="s">
        <v>2129</v>
      </c>
      <c r="BE55" s="1958">
        <v>264627792</v>
      </c>
      <c r="BF55" s="1958">
        <v>264627792</v>
      </c>
      <c r="BG55" s="1958" t="s">
        <v>2129</v>
      </c>
      <c r="BH55" s="1958" t="s">
        <v>2129</v>
      </c>
      <c r="BI55" s="1958" t="s">
        <v>2129</v>
      </c>
      <c r="BJ55" s="1958" t="s">
        <v>2129</v>
      </c>
      <c r="BK55" s="1958" t="s">
        <v>2129</v>
      </c>
      <c r="BL55" s="1958" t="s">
        <v>2129</v>
      </c>
      <c r="BM55" s="1958" t="s">
        <v>2129</v>
      </c>
      <c r="BN55" s="863" t="s">
        <v>2129</v>
      </c>
      <c r="BO55" s="863" t="s">
        <v>2129</v>
      </c>
      <c r="BP55" s="1958" t="s">
        <v>2129</v>
      </c>
      <c r="BQ55" s="1958" t="s">
        <v>2129</v>
      </c>
      <c r="BR55" s="1958" t="s">
        <v>2129</v>
      </c>
      <c r="BS55" s="1958" t="s">
        <v>2129</v>
      </c>
      <c r="BT55" s="1958" t="s">
        <v>2129</v>
      </c>
      <c r="BU55" s="1958">
        <v>9317664</v>
      </c>
      <c r="BV55" s="1958">
        <v>9317664</v>
      </c>
      <c r="BW55" s="1958" t="s">
        <v>2129</v>
      </c>
      <c r="BX55" s="1958" t="s">
        <v>2129</v>
      </c>
      <c r="BZ55" s="1958" t="s">
        <v>2129</v>
      </c>
      <c r="CA55" s="1958" t="s">
        <v>2129</v>
      </c>
      <c r="CB55" s="1958" t="s">
        <v>2129</v>
      </c>
      <c r="CC55" s="1958" t="s">
        <v>2129</v>
      </c>
      <c r="CE55" s="5785"/>
    </row>
    <row r="56" spans="1:83" ht="13">
      <c r="A56">
        <v>82</v>
      </c>
      <c r="B56" s="196" t="s">
        <v>3288</v>
      </c>
      <c r="C56" s="5785" t="s">
        <v>2129</v>
      </c>
      <c r="D56" s="5785" t="s">
        <v>2129</v>
      </c>
      <c r="E56" s="5785" t="s">
        <v>2129</v>
      </c>
      <c r="F56" s="5785" t="s">
        <v>3694</v>
      </c>
      <c r="G56" s="5785" t="s">
        <v>2129</v>
      </c>
      <c r="H56" s="5785">
        <v>0</v>
      </c>
      <c r="I56" s="5785">
        <v>0</v>
      </c>
      <c r="J56" s="5785">
        <v>0</v>
      </c>
      <c r="K56" s="5785" t="s">
        <v>2129</v>
      </c>
      <c r="L56" s="5786">
        <v>0</v>
      </c>
      <c r="M56" s="5786">
        <v>0</v>
      </c>
      <c r="N56" s="5786">
        <v>0</v>
      </c>
      <c r="O56" s="5786">
        <v>0</v>
      </c>
      <c r="P56" s="5786">
        <v>0</v>
      </c>
      <c r="Q56" s="2476">
        <v>0</v>
      </c>
      <c r="R56" s="2477">
        <v>0</v>
      </c>
      <c r="S56" s="2477" t="b">
        <v>1</v>
      </c>
      <c r="T56" s="5786" t="s">
        <v>2129</v>
      </c>
      <c r="U56" s="863">
        <v>2372777</v>
      </c>
      <c r="V56" s="863" t="b">
        <v>1</v>
      </c>
      <c r="W56" s="863">
        <v>24976.6</v>
      </c>
      <c r="X56" s="863">
        <v>31261.88405797102</v>
      </c>
      <c r="AC56">
        <v>191</v>
      </c>
      <c r="AD56">
        <v>95</v>
      </c>
      <c r="AE56">
        <v>96</v>
      </c>
      <c r="AF56">
        <v>191</v>
      </c>
      <c r="AG56" t="s">
        <v>2129</v>
      </c>
      <c r="AH56" t="s">
        <v>2129</v>
      </c>
      <c r="AI56" t="s">
        <v>2129</v>
      </c>
      <c r="AJ56">
        <v>66</v>
      </c>
      <c r="AK56" t="s">
        <v>2129</v>
      </c>
      <c r="AL56" t="s">
        <v>2129</v>
      </c>
      <c r="AO56">
        <v>-29</v>
      </c>
      <c r="AT56" t="s">
        <v>2129</v>
      </c>
      <c r="AU56" t="s">
        <v>2129</v>
      </c>
      <c r="AV56" t="s">
        <v>2129</v>
      </c>
      <c r="AW56" t="s">
        <v>2129</v>
      </c>
      <c r="AX56" t="s">
        <v>2129</v>
      </c>
      <c r="AY56" t="s">
        <v>2129</v>
      </c>
      <c r="AZ56" t="s">
        <v>2129</v>
      </c>
      <c r="BA56" t="s">
        <v>2129</v>
      </c>
      <c r="BB56">
        <v>16</v>
      </c>
      <c r="BC56" t="s">
        <v>2129</v>
      </c>
      <c r="BD56" t="s">
        <v>2129</v>
      </c>
      <c r="BE56" s="1958" t="s">
        <v>2129</v>
      </c>
      <c r="BF56"/>
      <c r="BG56" s="863" t="s">
        <v>2129</v>
      </c>
      <c r="BH56" s="863" t="s">
        <v>2129</v>
      </c>
      <c r="BI56" s="863" t="s">
        <v>2129</v>
      </c>
      <c r="BJ56" s="863" t="s">
        <v>2129</v>
      </c>
      <c r="BK56" s="863" t="s">
        <v>2129</v>
      </c>
      <c r="BL56" s="863" t="s">
        <v>2129</v>
      </c>
      <c r="BM56" s="863" t="s">
        <v>2129</v>
      </c>
      <c r="BN56" s="863" t="s">
        <v>2129</v>
      </c>
      <c r="BO56" s="863" t="s">
        <v>2129</v>
      </c>
      <c r="BP56" s="863" t="s">
        <v>2129</v>
      </c>
      <c r="BQ56" s="863">
        <v>26375289.599999998</v>
      </c>
      <c r="BR56" s="863" t="s">
        <v>2129</v>
      </c>
      <c r="BS56" s="863" t="s">
        <v>2129</v>
      </c>
      <c r="BT56" s="863" t="s">
        <v>2129</v>
      </c>
      <c r="BU56" s="863" t="s">
        <v>2129</v>
      </c>
      <c r="BV56" s="863" t="s">
        <v>2129</v>
      </c>
      <c r="BW56" s="863" t="s">
        <v>2129</v>
      </c>
      <c r="BX56" s="863" t="s">
        <v>2129</v>
      </c>
      <c r="BY56" s="863"/>
      <c r="BZ56" s="863" t="s">
        <v>2129</v>
      </c>
      <c r="CA56" s="863" t="s">
        <v>2129</v>
      </c>
      <c r="CB56" s="863" t="s">
        <v>2129</v>
      </c>
      <c r="CC56" s="863" t="s">
        <v>2129</v>
      </c>
      <c r="CD56" s="863"/>
      <c r="CE56" s="5785"/>
    </row>
    <row r="57" spans="1:83" ht="13">
      <c r="A57">
        <v>83</v>
      </c>
      <c r="B57" s="196" t="s">
        <v>3289</v>
      </c>
      <c r="C57" s="5785" t="s">
        <v>3694</v>
      </c>
      <c r="D57" s="5785" t="s">
        <v>2129</v>
      </c>
      <c r="E57" s="5785" t="s">
        <v>2129</v>
      </c>
      <c r="F57" s="5785" t="s">
        <v>3694</v>
      </c>
      <c r="G57" s="5785" t="s">
        <v>2129</v>
      </c>
      <c r="H57" s="5785">
        <v>0</v>
      </c>
      <c r="I57" s="5785">
        <v>0</v>
      </c>
      <c r="J57" s="5785">
        <v>0</v>
      </c>
      <c r="K57" s="5785" t="s">
        <v>2129</v>
      </c>
      <c r="L57" s="5786">
        <v>0</v>
      </c>
      <c r="M57" s="5786">
        <v>0</v>
      </c>
      <c r="N57" s="5786">
        <v>0</v>
      </c>
      <c r="O57" s="5786">
        <v>0</v>
      </c>
      <c r="P57" s="5786">
        <v>0</v>
      </c>
      <c r="Q57" s="2476">
        <v>0</v>
      </c>
      <c r="R57" s="2477">
        <v>0</v>
      </c>
      <c r="S57" s="2477" t="b">
        <v>1</v>
      </c>
      <c r="T57" s="5786" t="s">
        <v>2129</v>
      </c>
      <c r="U57" s="863">
        <v>1980143</v>
      </c>
      <c r="V57" s="863" t="b">
        <v>1</v>
      </c>
      <c r="W57" s="863">
        <v>11647.9</v>
      </c>
      <c r="X57" s="863">
        <v>35872.155797101455</v>
      </c>
      <c r="AC57">
        <v>237</v>
      </c>
      <c r="AD57">
        <v>170</v>
      </c>
      <c r="AE57">
        <v>67</v>
      </c>
      <c r="AF57">
        <v>237</v>
      </c>
      <c r="AG57">
        <v>170</v>
      </c>
      <c r="AH57" t="s">
        <v>2129</v>
      </c>
      <c r="AI57" t="s">
        <v>2129</v>
      </c>
      <c r="AJ57">
        <v>48</v>
      </c>
      <c r="AK57" t="s">
        <v>2129</v>
      </c>
      <c r="AL57">
        <v>0</v>
      </c>
      <c r="AO57">
        <v>-122</v>
      </c>
      <c r="AT57" t="s">
        <v>2129</v>
      </c>
      <c r="AU57" t="s">
        <v>2129</v>
      </c>
      <c r="AV57" t="s">
        <v>2129</v>
      </c>
      <c r="AW57">
        <v>32</v>
      </c>
      <c r="AX57" t="s">
        <v>2129</v>
      </c>
      <c r="AY57" t="s">
        <v>2129</v>
      </c>
      <c r="AZ57" t="s">
        <v>2129</v>
      </c>
      <c r="BA57" t="s">
        <v>2129</v>
      </c>
      <c r="BB57">
        <v>16</v>
      </c>
      <c r="BC57" t="s">
        <v>2129</v>
      </c>
      <c r="BD57" t="s">
        <v>2129</v>
      </c>
      <c r="BE57" s="1958" t="s">
        <v>2129</v>
      </c>
      <c r="BF57"/>
      <c r="BG57" s="863" t="s">
        <v>2129</v>
      </c>
      <c r="BH57" s="863">
        <v>63364576</v>
      </c>
      <c r="BI57" s="863" t="s">
        <v>2129</v>
      </c>
      <c r="BJ57" s="863" t="s">
        <v>2129</v>
      </c>
      <c r="BK57" s="863" t="s">
        <v>2129</v>
      </c>
      <c r="BL57" s="863" t="s">
        <v>2129</v>
      </c>
      <c r="BM57" s="863" t="s">
        <v>2129</v>
      </c>
      <c r="BN57" s="863" t="s">
        <v>2129</v>
      </c>
      <c r="BO57" s="863" t="s">
        <v>2129</v>
      </c>
      <c r="BP57" s="863" t="s">
        <v>2129</v>
      </c>
      <c r="BQ57" s="863">
        <v>8945587.1999999993</v>
      </c>
      <c r="BR57" s="863" t="s">
        <v>2129</v>
      </c>
      <c r="BS57" s="863" t="s">
        <v>2129</v>
      </c>
      <c r="BT57" s="863" t="s">
        <v>2129</v>
      </c>
      <c r="BU57" s="863" t="s">
        <v>2129</v>
      </c>
      <c r="BV57" s="863" t="s">
        <v>2129</v>
      </c>
      <c r="BW57" s="863" t="s">
        <v>2129</v>
      </c>
      <c r="BX57" s="863" t="s">
        <v>2129</v>
      </c>
      <c r="BY57" s="863"/>
      <c r="BZ57" s="863" t="s">
        <v>2129</v>
      </c>
      <c r="CA57" s="863" t="s">
        <v>2129</v>
      </c>
      <c r="CB57" s="863" t="s">
        <v>2129</v>
      </c>
      <c r="CC57" s="863" t="s">
        <v>2129</v>
      </c>
      <c r="CD57" s="863"/>
      <c r="CE57" s="5785"/>
    </row>
    <row r="58" spans="1:83" ht="13">
      <c r="A58">
        <v>84</v>
      </c>
      <c r="B58" s="196" t="s">
        <v>3290</v>
      </c>
      <c r="C58" s="5785" t="s">
        <v>2129</v>
      </c>
      <c r="D58" s="5785" t="s">
        <v>2129</v>
      </c>
      <c r="E58" s="5785" t="s">
        <v>2129</v>
      </c>
      <c r="F58" s="5785" t="s">
        <v>3694</v>
      </c>
      <c r="G58" s="5785" t="s">
        <v>2129</v>
      </c>
      <c r="H58" s="5785">
        <v>0</v>
      </c>
      <c r="I58" s="5785">
        <v>0</v>
      </c>
      <c r="J58" s="5785">
        <v>0</v>
      </c>
      <c r="K58" s="5785" t="s">
        <v>2129</v>
      </c>
      <c r="L58" s="5786">
        <v>0</v>
      </c>
      <c r="M58" s="5786">
        <v>0</v>
      </c>
      <c r="N58" s="5786">
        <v>0</v>
      </c>
      <c r="O58" s="5786">
        <v>0</v>
      </c>
      <c r="P58" s="5786">
        <v>0</v>
      </c>
      <c r="Q58" s="2476">
        <v>0</v>
      </c>
      <c r="R58" s="2477">
        <v>0</v>
      </c>
      <c r="S58" s="2477" t="b">
        <v>1</v>
      </c>
      <c r="T58" s="5786" t="s">
        <v>2129</v>
      </c>
      <c r="U58" s="863">
        <v>4840055</v>
      </c>
      <c r="V58" s="863" t="b">
        <v>1</v>
      </c>
      <c r="W58" s="863">
        <v>32267.033333333333</v>
      </c>
      <c r="X58" s="863">
        <v>123786.57289002559</v>
      </c>
      <c r="AC58">
        <v>178</v>
      </c>
      <c r="AD58">
        <v>150</v>
      </c>
      <c r="AE58">
        <v>28</v>
      </c>
      <c r="AF58">
        <v>230</v>
      </c>
      <c r="AG58" t="s">
        <v>2129</v>
      </c>
      <c r="AH58" t="s">
        <v>2129</v>
      </c>
      <c r="AI58" t="s">
        <v>2129</v>
      </c>
      <c r="AJ58">
        <v>34</v>
      </c>
      <c r="AK58" t="s">
        <v>2129</v>
      </c>
      <c r="AL58" t="s">
        <v>2129</v>
      </c>
      <c r="AO58">
        <v>-116</v>
      </c>
      <c r="AT58" t="s">
        <v>2129</v>
      </c>
      <c r="AU58" t="s">
        <v>2129</v>
      </c>
      <c r="AV58" t="s">
        <v>2129</v>
      </c>
      <c r="AW58" t="s">
        <v>2129</v>
      </c>
      <c r="AX58" t="s">
        <v>2129</v>
      </c>
      <c r="AY58" t="s">
        <v>2129</v>
      </c>
      <c r="AZ58" t="s">
        <v>2129</v>
      </c>
      <c r="BA58" t="s">
        <v>2129</v>
      </c>
      <c r="BB58">
        <v>16</v>
      </c>
      <c r="BC58" t="s">
        <v>2129</v>
      </c>
      <c r="BD58" t="s">
        <v>2129</v>
      </c>
      <c r="BE58" s="1958" t="s">
        <v>2129</v>
      </c>
      <c r="BF58"/>
      <c r="BG58" s="863" t="s">
        <v>2129</v>
      </c>
      <c r="BH58" s="863" t="s">
        <v>2129</v>
      </c>
      <c r="BI58" s="863" t="s">
        <v>2129</v>
      </c>
      <c r="BJ58" s="863" t="s">
        <v>2129</v>
      </c>
      <c r="BK58" s="863" t="s">
        <v>2129</v>
      </c>
      <c r="BL58" s="863" t="s">
        <v>2129</v>
      </c>
      <c r="BM58" s="863" t="s">
        <v>2129</v>
      </c>
      <c r="BN58" s="863" t="s">
        <v>2129</v>
      </c>
      <c r="BO58" s="863" t="s">
        <v>2129</v>
      </c>
      <c r="BP58" s="863" t="s">
        <v>2129</v>
      </c>
      <c r="BQ58" s="863">
        <v>17553266.133333333</v>
      </c>
      <c r="BR58" s="863" t="s">
        <v>2129</v>
      </c>
      <c r="BS58" s="863" t="s">
        <v>2129</v>
      </c>
      <c r="BT58" s="863" t="s">
        <v>2129</v>
      </c>
      <c r="BU58" s="863" t="s">
        <v>2129</v>
      </c>
      <c r="BV58" s="863" t="s">
        <v>2129</v>
      </c>
      <c r="BW58" s="863" t="s">
        <v>2129</v>
      </c>
      <c r="BX58" s="863" t="s">
        <v>2129</v>
      </c>
      <c r="BY58" s="863"/>
      <c r="BZ58" s="863" t="s">
        <v>2129</v>
      </c>
      <c r="CA58" s="863" t="s">
        <v>2129</v>
      </c>
      <c r="CB58" s="863" t="s">
        <v>2129</v>
      </c>
      <c r="CC58" s="863" t="s">
        <v>2129</v>
      </c>
      <c r="CD58" s="863"/>
      <c r="CE58" s="5785"/>
    </row>
    <row r="59" spans="1:83" ht="13">
      <c r="A59">
        <v>90</v>
      </c>
      <c r="B59" s="196" t="s">
        <v>3291</v>
      </c>
      <c r="C59" s="5785" t="s">
        <v>2695</v>
      </c>
      <c r="D59" s="5785" t="s">
        <v>2129</v>
      </c>
      <c r="E59" s="5785" t="s">
        <v>2129</v>
      </c>
      <c r="F59" s="5785" t="s">
        <v>2695</v>
      </c>
      <c r="G59" s="5785" t="s">
        <v>2129</v>
      </c>
      <c r="H59" s="5785">
        <v>22</v>
      </c>
      <c r="I59" s="5785">
        <v>16</v>
      </c>
      <c r="J59" s="5785">
        <v>16</v>
      </c>
      <c r="K59" s="5785" t="s">
        <v>2129</v>
      </c>
      <c r="L59" s="5786">
        <v>28712948</v>
      </c>
      <c r="M59" s="5786">
        <v>941184</v>
      </c>
      <c r="N59" s="5786">
        <v>0</v>
      </c>
      <c r="O59" s="5786">
        <v>0</v>
      </c>
      <c r="P59" s="5786">
        <v>0</v>
      </c>
      <c r="Q59" s="2476">
        <v>32619545.200000003</v>
      </c>
      <c r="R59" s="2477">
        <v>32619545</v>
      </c>
      <c r="S59" s="2477" t="b">
        <v>1</v>
      </c>
      <c r="T59" s="5786">
        <v>2038721.5625</v>
      </c>
      <c r="U59" s="863">
        <v>11968122</v>
      </c>
      <c r="V59" s="863" t="b">
        <v>1</v>
      </c>
      <c r="W59" s="863">
        <v>52035.313043478258</v>
      </c>
      <c r="X59" s="863">
        <v>88949.253065774814</v>
      </c>
      <c r="AC59">
        <v>233</v>
      </c>
      <c r="AD59">
        <v>230</v>
      </c>
      <c r="AE59">
        <v>3</v>
      </c>
      <c r="AF59">
        <v>339</v>
      </c>
      <c r="AG59">
        <v>100</v>
      </c>
      <c r="AH59" t="s">
        <v>2129</v>
      </c>
      <c r="AI59" t="s">
        <v>2129</v>
      </c>
      <c r="AJ59">
        <v>117</v>
      </c>
      <c r="AK59" t="s">
        <v>2129</v>
      </c>
      <c r="AL59">
        <v>-130</v>
      </c>
      <c r="AO59">
        <v>-113</v>
      </c>
      <c r="AT59" t="s">
        <v>2129</v>
      </c>
      <c r="AU59" t="s">
        <v>2129</v>
      </c>
      <c r="AV59">
        <v>18</v>
      </c>
      <c r="AW59" t="s">
        <v>2129</v>
      </c>
      <c r="AX59" t="s">
        <v>2129</v>
      </c>
      <c r="AY59" t="s">
        <v>2129</v>
      </c>
      <c r="AZ59" t="s">
        <v>2129</v>
      </c>
      <c r="BA59">
        <v>9</v>
      </c>
      <c r="BB59" t="s">
        <v>2129</v>
      </c>
      <c r="BC59" t="s">
        <v>2129</v>
      </c>
      <c r="BD59" t="s">
        <v>2129</v>
      </c>
      <c r="BE59" s="1958" t="s">
        <v>2129</v>
      </c>
      <c r="BF59"/>
      <c r="BG59" s="863" t="s">
        <v>2129</v>
      </c>
      <c r="BH59" s="863" t="s">
        <v>2129</v>
      </c>
      <c r="BI59" s="863">
        <v>93663563.478260875</v>
      </c>
      <c r="BJ59" s="863" t="s">
        <v>2129</v>
      </c>
      <c r="BK59" s="863" t="s">
        <v>2129</v>
      </c>
      <c r="BL59" s="863" t="s">
        <v>2129</v>
      </c>
      <c r="BM59" s="863" t="s">
        <v>2129</v>
      </c>
      <c r="BN59" s="863" t="s">
        <v>2129</v>
      </c>
      <c r="BO59" s="863" t="s">
        <v>2129</v>
      </c>
      <c r="BP59" s="863" t="s">
        <v>2129</v>
      </c>
      <c r="BQ59" s="863" t="s">
        <v>2129</v>
      </c>
      <c r="BR59" s="863">
        <v>54793184.634782605</v>
      </c>
      <c r="BS59" s="863" t="s">
        <v>2129</v>
      </c>
      <c r="BT59" s="863" t="s">
        <v>2129</v>
      </c>
      <c r="BU59" s="863" t="s">
        <v>2129</v>
      </c>
      <c r="BV59" s="863" t="s">
        <v>2129</v>
      </c>
      <c r="BW59" s="863" t="s">
        <v>2129</v>
      </c>
      <c r="BX59" s="863" t="s">
        <v>2129</v>
      </c>
      <c r="BY59" s="863"/>
      <c r="BZ59" s="863" t="s">
        <v>2129</v>
      </c>
      <c r="CA59" s="863" t="s">
        <v>2129</v>
      </c>
      <c r="CB59" s="863" t="s">
        <v>2129</v>
      </c>
      <c r="CC59" s="863" t="s">
        <v>2129</v>
      </c>
      <c r="CD59" s="863"/>
      <c r="CE59" s="5785"/>
    </row>
    <row r="60" spans="1:83" ht="13">
      <c r="A60">
        <v>92</v>
      </c>
      <c r="B60" s="196" t="s">
        <v>3292</v>
      </c>
      <c r="C60" s="5785" t="s">
        <v>2129</v>
      </c>
      <c r="D60" s="5785" t="s">
        <v>2129</v>
      </c>
      <c r="E60" s="5785" t="s">
        <v>2129</v>
      </c>
      <c r="F60" s="5785" t="s">
        <v>3791</v>
      </c>
      <c r="G60" s="5785" t="s">
        <v>2129</v>
      </c>
      <c r="H60" s="5785">
        <v>8</v>
      </c>
      <c r="I60" s="5785">
        <v>7</v>
      </c>
      <c r="J60" s="5785">
        <v>7</v>
      </c>
      <c r="K60" s="5785" t="s">
        <v>2129</v>
      </c>
      <c r="L60" s="5786">
        <v>4023531</v>
      </c>
      <c r="M60" s="5786">
        <v>0</v>
      </c>
      <c r="N60" s="5786">
        <v>0</v>
      </c>
      <c r="O60" s="5786">
        <v>0</v>
      </c>
      <c r="P60" s="5786">
        <v>0</v>
      </c>
      <c r="Q60" s="2476">
        <v>4425884.1000000006</v>
      </c>
      <c r="R60" s="2477">
        <v>4425884</v>
      </c>
      <c r="S60" s="2477" t="b">
        <v>1</v>
      </c>
      <c r="T60" s="5786">
        <v>632269.14285714284</v>
      </c>
      <c r="U60" s="863">
        <v>1493012</v>
      </c>
      <c r="V60" s="863" t="b">
        <v>1</v>
      </c>
      <c r="W60" s="863">
        <v>14085.018867924528</v>
      </c>
      <c r="X60" s="863">
        <v>12483.377926421404</v>
      </c>
      <c r="AC60">
        <v>106</v>
      </c>
      <c r="AD60" s="3965">
        <v>106</v>
      </c>
      <c r="AE60" s="3965">
        <v>0</v>
      </c>
      <c r="AF60">
        <v>146</v>
      </c>
      <c r="AG60" t="s">
        <v>2129</v>
      </c>
      <c r="AH60" t="s">
        <v>2129</v>
      </c>
      <c r="AI60" t="s">
        <v>2129</v>
      </c>
      <c r="AJ60">
        <v>104</v>
      </c>
      <c r="AK60" t="s">
        <v>2129</v>
      </c>
      <c r="AL60" t="s">
        <v>2129</v>
      </c>
      <c r="AO60">
        <v>-2</v>
      </c>
      <c r="AT60" t="s">
        <v>2129</v>
      </c>
      <c r="AU60" t="s">
        <v>2129</v>
      </c>
      <c r="AV60" t="s">
        <v>2129</v>
      </c>
      <c r="AW60" t="s">
        <v>2129</v>
      </c>
      <c r="AX60" t="s">
        <v>2129</v>
      </c>
      <c r="AY60" t="s">
        <v>2129</v>
      </c>
      <c r="AZ60" t="s">
        <v>2129</v>
      </c>
      <c r="BA60" t="s">
        <v>2129</v>
      </c>
      <c r="BB60" t="s">
        <v>2129</v>
      </c>
      <c r="BC60">
        <v>10</v>
      </c>
      <c r="BD60" t="s">
        <v>2129</v>
      </c>
      <c r="BE60" s="1958" t="s">
        <v>2129</v>
      </c>
      <c r="BF60"/>
      <c r="BG60" s="863" t="s">
        <v>2129</v>
      </c>
      <c r="BH60" s="863" t="s">
        <v>2129</v>
      </c>
      <c r="BI60" s="863" t="s">
        <v>2129</v>
      </c>
      <c r="BJ60" s="863" t="s">
        <v>2129</v>
      </c>
      <c r="BK60" s="863" t="s">
        <v>2129</v>
      </c>
      <c r="BL60" s="863" t="s">
        <v>2129</v>
      </c>
      <c r="BM60" s="863" t="s">
        <v>2129</v>
      </c>
      <c r="BN60" s="863" t="s">
        <v>2129</v>
      </c>
      <c r="BO60" s="863" t="s">
        <v>2129</v>
      </c>
      <c r="BP60" s="863" t="s">
        <v>2129</v>
      </c>
      <c r="BQ60" s="863" t="s">
        <v>2129</v>
      </c>
      <c r="BR60" s="863" t="s">
        <v>2129</v>
      </c>
      <c r="BS60" s="863">
        <v>14648419.622641508</v>
      </c>
      <c r="BT60" s="863" t="s">
        <v>2129</v>
      </c>
      <c r="BU60" s="863" t="s">
        <v>2129</v>
      </c>
      <c r="BV60" s="863" t="s">
        <v>2129</v>
      </c>
      <c r="BW60" s="863" t="s">
        <v>2129</v>
      </c>
      <c r="BX60" s="863" t="s">
        <v>2129</v>
      </c>
      <c r="BY60" s="863"/>
      <c r="BZ60" s="863" t="s">
        <v>2129</v>
      </c>
      <c r="CA60" s="863" t="s">
        <v>2129</v>
      </c>
      <c r="CB60" s="863" t="s">
        <v>2129</v>
      </c>
      <c r="CC60" s="863" t="s">
        <v>2129</v>
      </c>
      <c r="CD60" s="863"/>
      <c r="CE60" s="5785"/>
    </row>
    <row r="61" spans="1:83" ht="13">
      <c r="A61">
        <v>93</v>
      </c>
      <c r="B61" s="196" t="s">
        <v>3293</v>
      </c>
      <c r="C61" s="5790" t="s">
        <v>6616</v>
      </c>
      <c r="D61" s="5790" t="s">
        <v>6599</v>
      </c>
      <c r="E61" s="5790" t="s">
        <v>2129</v>
      </c>
      <c r="F61" s="5785" t="s">
        <v>3791</v>
      </c>
      <c r="G61" s="5785" t="s">
        <v>4095</v>
      </c>
      <c r="H61" s="5785">
        <v>19</v>
      </c>
      <c r="I61" s="5785">
        <v>12</v>
      </c>
      <c r="J61" s="5785">
        <v>19</v>
      </c>
      <c r="K61" s="5785">
        <v>7</v>
      </c>
      <c r="L61" s="5786">
        <v>2939065</v>
      </c>
      <c r="M61" s="5786">
        <v>0</v>
      </c>
      <c r="N61" s="5786">
        <v>0</v>
      </c>
      <c r="O61" s="5786">
        <v>0</v>
      </c>
      <c r="P61" s="5786">
        <v>0</v>
      </c>
      <c r="Q61" s="2476">
        <v>3232971.5000000005</v>
      </c>
      <c r="R61" s="2477">
        <v>3232971</v>
      </c>
      <c r="S61" s="2477" t="b">
        <v>0</v>
      </c>
      <c r="T61" s="5786">
        <v>269414.25</v>
      </c>
      <c r="U61" s="1958">
        <v>10748402</v>
      </c>
      <c r="V61" s="863" t="b">
        <v>1</v>
      </c>
      <c r="W61" s="863">
        <v>18531.727586206896</v>
      </c>
      <c r="X61" s="863">
        <v>61087.820403523736</v>
      </c>
      <c r="Y61" s="863">
        <v>1100</v>
      </c>
      <c r="AC61">
        <v>592</v>
      </c>
      <c r="AD61">
        <v>580</v>
      </c>
      <c r="AE61">
        <v>12</v>
      </c>
      <c r="AF61">
        <v>693</v>
      </c>
      <c r="AG61">
        <v>580</v>
      </c>
      <c r="AH61" t="s">
        <v>2129</v>
      </c>
      <c r="AI61" t="s">
        <v>2129</v>
      </c>
      <c r="AJ61">
        <v>153</v>
      </c>
      <c r="AK61">
        <v>89</v>
      </c>
      <c r="AL61">
        <v>0</v>
      </c>
      <c r="AO61">
        <v>-427</v>
      </c>
      <c r="AT61">
        <v>22</v>
      </c>
      <c r="AU61">
        <v>25</v>
      </c>
      <c r="AV61" t="s">
        <v>2129</v>
      </c>
      <c r="AW61" t="s">
        <v>2129</v>
      </c>
      <c r="AX61" t="s">
        <v>2129</v>
      </c>
      <c r="AY61" t="s">
        <v>2129</v>
      </c>
      <c r="AZ61" t="s">
        <v>2129</v>
      </c>
      <c r="BA61" t="s">
        <v>2129</v>
      </c>
      <c r="BB61" t="s">
        <v>2129</v>
      </c>
      <c r="BC61">
        <v>10</v>
      </c>
      <c r="BD61">
        <v>15</v>
      </c>
      <c r="BE61" s="1958">
        <v>236464844</v>
      </c>
      <c r="BF61" s="1958">
        <v>268710050</v>
      </c>
      <c r="BG61" s="1958" t="s">
        <v>2129</v>
      </c>
      <c r="BH61" s="1958" t="s">
        <v>2129</v>
      </c>
      <c r="BI61" s="1958" t="s">
        <v>2129</v>
      </c>
      <c r="BJ61" s="1958" t="s">
        <v>2129</v>
      </c>
      <c r="BK61" s="1958" t="s">
        <v>2129</v>
      </c>
      <c r="BL61" s="1958" t="s">
        <v>2129</v>
      </c>
      <c r="BM61" s="1958" t="s">
        <v>2129</v>
      </c>
      <c r="BN61" s="863" t="s">
        <v>2129</v>
      </c>
      <c r="BO61" s="863" t="s">
        <v>2129</v>
      </c>
      <c r="BP61" s="1958" t="s">
        <v>2129</v>
      </c>
      <c r="BQ61" s="1958" t="s">
        <v>2129</v>
      </c>
      <c r="BR61" s="1958" t="s">
        <v>2129</v>
      </c>
      <c r="BS61" s="1958">
        <v>28353543.206896555</v>
      </c>
      <c r="BT61" s="1958">
        <v>24739856.327586208</v>
      </c>
      <c r="BU61" s="1958">
        <v>71125362</v>
      </c>
      <c r="BV61" s="1958">
        <v>80824275</v>
      </c>
      <c r="BW61" s="1958" t="s">
        <v>2129</v>
      </c>
      <c r="BX61" s="1958" t="s">
        <v>2129</v>
      </c>
      <c r="BZ61" s="1958" t="s">
        <v>2129</v>
      </c>
      <c r="CA61" s="1958" t="s">
        <v>2129</v>
      </c>
      <c r="CB61" s="1958" t="s">
        <v>2129</v>
      </c>
      <c r="CC61" s="1958" t="s">
        <v>2129</v>
      </c>
      <c r="CE61" s="5785"/>
    </row>
    <row r="62" spans="1:83" ht="13">
      <c r="A62">
        <v>94</v>
      </c>
      <c r="B62" s="196" t="s">
        <v>3294</v>
      </c>
      <c r="C62" s="5785" t="s">
        <v>2129</v>
      </c>
      <c r="D62" s="5785" t="s">
        <v>5293</v>
      </c>
      <c r="E62" s="5785" t="s">
        <v>2129</v>
      </c>
      <c r="F62" s="2694" t="s">
        <v>5293</v>
      </c>
      <c r="G62" s="5785" t="s">
        <v>2129</v>
      </c>
      <c r="H62" s="5785">
        <v>16</v>
      </c>
      <c r="I62" s="5827">
        <v>16</v>
      </c>
      <c r="J62" s="5827">
        <v>16</v>
      </c>
      <c r="K62" s="5785">
        <v>0</v>
      </c>
      <c r="L62" s="5786">
        <v>25294125</v>
      </c>
      <c r="M62" s="5786">
        <v>0</v>
      </c>
      <c r="N62" s="5786">
        <v>0</v>
      </c>
      <c r="O62" s="5786">
        <v>0</v>
      </c>
      <c r="P62" s="5786">
        <v>0</v>
      </c>
      <c r="Q62" s="2476">
        <v>27823537.500000004</v>
      </c>
      <c r="R62" s="2477">
        <v>40470597</v>
      </c>
      <c r="S62" s="5798" t="b">
        <v>1</v>
      </c>
      <c r="T62" s="5786">
        <v>2529412.3125</v>
      </c>
      <c r="U62" s="1958">
        <v>71600908</v>
      </c>
      <c r="V62" s="2700" t="b">
        <v>1</v>
      </c>
      <c r="W62" s="863">
        <v>163100.01822323463</v>
      </c>
      <c r="X62" s="863">
        <v>168274.75440658053</v>
      </c>
      <c r="AC62">
        <v>460</v>
      </c>
      <c r="AD62">
        <v>439</v>
      </c>
      <c r="AE62">
        <v>21</v>
      </c>
      <c r="AF62">
        <v>678</v>
      </c>
      <c r="AG62" t="s">
        <v>2129</v>
      </c>
      <c r="AH62">
        <v>370</v>
      </c>
      <c r="AI62" t="s">
        <v>2129</v>
      </c>
      <c r="AJ62">
        <v>370</v>
      </c>
      <c r="AK62" t="s">
        <v>2129</v>
      </c>
      <c r="AL62" t="s">
        <v>2129</v>
      </c>
      <c r="AO62">
        <v>-69</v>
      </c>
      <c r="AT62" t="s">
        <v>2129</v>
      </c>
      <c r="AU62" t="s">
        <v>2129</v>
      </c>
      <c r="AV62">
        <v>23</v>
      </c>
      <c r="AW62" t="s">
        <v>2129</v>
      </c>
      <c r="AX62" t="s">
        <v>2129</v>
      </c>
      <c r="AY62" t="s">
        <v>2129</v>
      </c>
      <c r="AZ62" t="s">
        <v>2129</v>
      </c>
      <c r="BA62">
        <v>13</v>
      </c>
      <c r="BB62" t="s">
        <v>2129</v>
      </c>
      <c r="BC62" t="s">
        <v>2129</v>
      </c>
      <c r="BD62" t="s">
        <v>2129</v>
      </c>
      <c r="BE62" s="1958" t="s">
        <v>2129</v>
      </c>
      <c r="BF62"/>
      <c r="BG62" s="863">
        <v>1387981155.0797267</v>
      </c>
      <c r="BH62" s="863" t="s">
        <v>2129</v>
      </c>
      <c r="BI62" s="863" t="s">
        <v>2129</v>
      </c>
      <c r="BJ62" s="863" t="s">
        <v>2129</v>
      </c>
      <c r="BK62" s="863" t="s">
        <v>2129</v>
      </c>
      <c r="BL62" s="863" t="s">
        <v>2129</v>
      </c>
      <c r="BM62" s="863" t="s">
        <v>2129</v>
      </c>
      <c r="BN62" s="863" t="s">
        <v>2129</v>
      </c>
      <c r="BO62" s="863">
        <v>784511087.65375853</v>
      </c>
      <c r="BP62" s="863" t="s">
        <v>2129</v>
      </c>
      <c r="BQ62" s="863" t="s">
        <v>2129</v>
      </c>
      <c r="BR62" s="863" t="s">
        <v>2129</v>
      </c>
      <c r="BS62" s="863" t="s">
        <v>2129</v>
      </c>
      <c r="BT62" s="863" t="s">
        <v>2129</v>
      </c>
      <c r="BU62" s="863" t="s">
        <v>2129</v>
      </c>
      <c r="BV62" s="863" t="s">
        <v>2129</v>
      </c>
      <c r="BW62" s="863">
        <v>930823731</v>
      </c>
      <c r="BX62" s="863" t="s">
        <v>2129</v>
      </c>
      <c r="BY62" s="863"/>
      <c r="BZ62" s="863" t="s">
        <v>2129</v>
      </c>
      <c r="CA62" s="863" t="s">
        <v>2129</v>
      </c>
      <c r="CB62" s="863">
        <v>526117761</v>
      </c>
      <c r="CC62" s="863" t="s">
        <v>2129</v>
      </c>
      <c r="CD62" s="863"/>
      <c r="CE62" s="5785" t="s">
        <v>6601</v>
      </c>
    </row>
    <row r="63" spans="1:83" ht="13">
      <c r="A63">
        <v>96</v>
      </c>
      <c r="B63" s="196" t="s">
        <v>3295</v>
      </c>
      <c r="C63" s="5785" t="s">
        <v>2129</v>
      </c>
      <c r="D63" s="5785" t="s">
        <v>2129</v>
      </c>
      <c r="E63" s="5785" t="s">
        <v>2129</v>
      </c>
      <c r="F63" s="5785" t="s">
        <v>3791</v>
      </c>
      <c r="G63" s="5785" t="s">
        <v>2129</v>
      </c>
      <c r="H63" s="5785">
        <v>17</v>
      </c>
      <c r="I63" s="5785">
        <v>8</v>
      </c>
      <c r="J63" s="5785">
        <v>10</v>
      </c>
      <c r="K63" s="5785" t="s">
        <v>2129</v>
      </c>
      <c r="L63" s="5786">
        <v>2023063</v>
      </c>
      <c r="M63" s="5786">
        <v>0</v>
      </c>
      <c r="N63" s="5786">
        <v>0</v>
      </c>
      <c r="O63" s="5786">
        <v>0</v>
      </c>
      <c r="P63" s="5786">
        <v>0</v>
      </c>
      <c r="Q63" s="2476">
        <v>2225369.3000000003</v>
      </c>
      <c r="R63" s="2477">
        <v>2225369</v>
      </c>
      <c r="S63" s="2477" t="b">
        <v>0</v>
      </c>
      <c r="T63" s="5786">
        <v>278171.125</v>
      </c>
      <c r="U63" s="1958">
        <v>977498</v>
      </c>
      <c r="V63" s="2700" t="b">
        <v>1</v>
      </c>
      <c r="W63" s="863">
        <v>13576.361111111111</v>
      </c>
      <c r="X63" s="863">
        <v>27419.29873772791</v>
      </c>
      <c r="AC63">
        <v>103</v>
      </c>
      <c r="AD63">
        <v>72</v>
      </c>
      <c r="AE63" s="2969">
        <v>31</v>
      </c>
      <c r="AF63">
        <v>72</v>
      </c>
      <c r="AG63" t="s">
        <v>2129</v>
      </c>
      <c r="AH63" t="s">
        <v>2129</v>
      </c>
      <c r="AI63" t="s">
        <v>2129</v>
      </c>
      <c r="AJ63">
        <v>31</v>
      </c>
      <c r="AK63" t="s">
        <v>2129</v>
      </c>
      <c r="AL63" t="s">
        <v>2129</v>
      </c>
      <c r="AO63">
        <v>-41</v>
      </c>
      <c r="AT63" t="s">
        <v>2129</v>
      </c>
      <c r="AU63" t="s">
        <v>2129</v>
      </c>
      <c r="AV63" t="s">
        <v>2129</v>
      </c>
      <c r="AW63" t="s">
        <v>2129</v>
      </c>
      <c r="AX63" t="s">
        <v>2129</v>
      </c>
      <c r="AY63" t="s">
        <v>2129</v>
      </c>
      <c r="AZ63" t="s">
        <v>2129</v>
      </c>
      <c r="BA63" t="s">
        <v>2129</v>
      </c>
      <c r="BB63" t="s">
        <v>2129</v>
      </c>
      <c r="BC63">
        <v>10</v>
      </c>
      <c r="BD63" t="s">
        <v>2129</v>
      </c>
      <c r="BE63" s="1958" t="s">
        <v>2129</v>
      </c>
      <c r="BF63"/>
      <c r="BG63" s="863" t="s">
        <v>2129</v>
      </c>
      <c r="BH63" s="863" t="s">
        <v>2129</v>
      </c>
      <c r="BI63" s="863" t="s">
        <v>2129</v>
      </c>
      <c r="BJ63" s="863" t="s">
        <v>2129</v>
      </c>
      <c r="BK63" s="863" t="s">
        <v>2129</v>
      </c>
      <c r="BL63" s="863" t="s">
        <v>2129</v>
      </c>
      <c r="BM63" s="863" t="s">
        <v>2129</v>
      </c>
      <c r="BN63" s="863" t="s">
        <v>2129</v>
      </c>
      <c r="BO63" s="863" t="s">
        <v>2129</v>
      </c>
      <c r="BP63" s="863" t="s">
        <v>2129</v>
      </c>
      <c r="BQ63" s="863" t="s">
        <v>2129</v>
      </c>
      <c r="BR63" s="863" t="s">
        <v>2129</v>
      </c>
      <c r="BS63" s="863">
        <v>4208671.944444444</v>
      </c>
      <c r="BT63" s="863" t="s">
        <v>2129</v>
      </c>
      <c r="BU63" s="863" t="s">
        <v>2129</v>
      </c>
      <c r="BV63" s="863" t="s">
        <v>2129</v>
      </c>
      <c r="BW63" s="863" t="s">
        <v>2129</v>
      </c>
      <c r="BX63" s="863" t="s">
        <v>2129</v>
      </c>
      <c r="BY63" s="863"/>
      <c r="BZ63" s="863" t="s">
        <v>2129</v>
      </c>
      <c r="CA63" s="863" t="s">
        <v>2129</v>
      </c>
      <c r="CB63" s="863" t="s">
        <v>2129</v>
      </c>
      <c r="CC63" s="863" t="s">
        <v>2129</v>
      </c>
      <c r="CD63" s="863"/>
      <c r="CE63" s="5785"/>
    </row>
    <row r="64" spans="1:83" ht="13">
      <c r="A64">
        <v>99</v>
      </c>
      <c r="B64" s="196" t="s">
        <v>3296</v>
      </c>
      <c r="C64" s="5785" t="s">
        <v>2695</v>
      </c>
      <c r="D64" s="5785" t="s">
        <v>2129</v>
      </c>
      <c r="E64" s="5785" t="s">
        <v>2129</v>
      </c>
      <c r="F64" s="5785" t="s">
        <v>2129</v>
      </c>
      <c r="G64" s="5785" t="s">
        <v>2129</v>
      </c>
      <c r="H64" s="5785">
        <v>10</v>
      </c>
      <c r="I64" s="5785">
        <v>2</v>
      </c>
      <c r="J64" s="5785">
        <v>12</v>
      </c>
      <c r="K64" s="5785" t="s">
        <v>2129</v>
      </c>
      <c r="L64" s="5786">
        <v>3324065</v>
      </c>
      <c r="M64" s="5786">
        <v>0</v>
      </c>
      <c r="N64" s="5786">
        <v>0</v>
      </c>
      <c r="O64" s="5786">
        <v>0</v>
      </c>
      <c r="P64" s="5786">
        <v>0</v>
      </c>
      <c r="Q64" s="2476">
        <v>3656471.5000000005</v>
      </c>
      <c r="R64" s="2477">
        <v>3656471</v>
      </c>
      <c r="S64" s="2477" t="b">
        <v>0</v>
      </c>
      <c r="T64" s="5786">
        <v>1828235.5</v>
      </c>
      <c r="U64" s="863">
        <v>1067704</v>
      </c>
      <c r="V64" s="863" t="b">
        <v>1</v>
      </c>
      <c r="W64" s="863">
        <v>19412.8</v>
      </c>
      <c r="X64" s="863" t="s">
        <v>2129</v>
      </c>
      <c r="AC64">
        <v>170</v>
      </c>
      <c r="AD64" s="3965">
        <v>55</v>
      </c>
      <c r="AE64" s="3965">
        <v>115</v>
      </c>
      <c r="AF64">
        <v>196</v>
      </c>
      <c r="AG64">
        <v>55</v>
      </c>
      <c r="AH64" t="s">
        <v>2129</v>
      </c>
      <c r="AI64" t="s">
        <v>2129</v>
      </c>
      <c r="AJ64" t="s">
        <v>2129</v>
      </c>
      <c r="AK64" t="s">
        <v>2129</v>
      </c>
      <c r="AL64">
        <v>0</v>
      </c>
      <c r="AO64" t="s">
        <v>2129</v>
      </c>
      <c r="AT64" t="s">
        <v>2129</v>
      </c>
      <c r="AU64" t="s">
        <v>2129</v>
      </c>
      <c r="AV64">
        <v>18</v>
      </c>
      <c r="AW64" t="s">
        <v>2129</v>
      </c>
      <c r="AX64" t="s">
        <v>2129</v>
      </c>
      <c r="AY64" t="s">
        <v>2129</v>
      </c>
      <c r="AZ64" t="s">
        <v>2129</v>
      </c>
      <c r="BA64" t="s">
        <v>2129</v>
      </c>
      <c r="BB64" t="s">
        <v>2129</v>
      </c>
      <c r="BC64" t="s">
        <v>2129</v>
      </c>
      <c r="BD64" t="s">
        <v>2129</v>
      </c>
      <c r="BE64" s="1958" t="s">
        <v>2129</v>
      </c>
      <c r="BF64"/>
      <c r="BG64" s="863" t="s">
        <v>2129</v>
      </c>
      <c r="BH64" s="863" t="s">
        <v>2129</v>
      </c>
      <c r="BI64" s="863">
        <v>19218672</v>
      </c>
      <c r="BJ64" s="863" t="s">
        <v>2129</v>
      </c>
      <c r="BK64" s="863" t="s">
        <v>2129</v>
      </c>
      <c r="BL64" s="863" t="s">
        <v>2129</v>
      </c>
      <c r="BM64" s="863" t="s">
        <v>2129</v>
      </c>
      <c r="BN64" s="863" t="s">
        <v>2129</v>
      </c>
      <c r="BO64" s="863" t="s">
        <v>2129</v>
      </c>
      <c r="BP64" s="863" t="s">
        <v>2129</v>
      </c>
      <c r="BQ64" s="863" t="s">
        <v>2129</v>
      </c>
      <c r="BR64" s="863" t="s">
        <v>2129</v>
      </c>
      <c r="BS64" s="863" t="s">
        <v>2129</v>
      </c>
      <c r="BT64" s="863" t="s">
        <v>2129</v>
      </c>
      <c r="BU64" s="863" t="s">
        <v>2129</v>
      </c>
      <c r="BV64" s="863" t="s">
        <v>2129</v>
      </c>
      <c r="BW64" s="863" t="s">
        <v>2129</v>
      </c>
      <c r="BX64" s="863" t="s">
        <v>2129</v>
      </c>
      <c r="BY64" s="863"/>
      <c r="BZ64" s="863" t="s">
        <v>2129</v>
      </c>
      <c r="CA64" s="863" t="s">
        <v>2129</v>
      </c>
      <c r="CB64" s="863" t="s">
        <v>2129</v>
      </c>
      <c r="CC64" s="863" t="s">
        <v>2129</v>
      </c>
      <c r="CD64" s="863"/>
      <c r="CE64" s="5785"/>
    </row>
    <row r="65" spans="1:83" ht="13">
      <c r="A65">
        <v>101</v>
      </c>
      <c r="B65" s="196" t="s">
        <v>3297</v>
      </c>
      <c r="C65" s="5785" t="s">
        <v>2695</v>
      </c>
      <c r="D65" s="5785" t="s">
        <v>2129</v>
      </c>
      <c r="E65" s="5785" t="s">
        <v>2129</v>
      </c>
      <c r="F65" s="5785" t="s">
        <v>2695</v>
      </c>
      <c r="G65" s="5785" t="s">
        <v>2129</v>
      </c>
      <c r="H65" s="5785">
        <v>6</v>
      </c>
      <c r="I65" s="5785">
        <v>5</v>
      </c>
      <c r="J65" s="5785">
        <v>13</v>
      </c>
      <c r="K65" s="5785" t="s">
        <v>2129</v>
      </c>
      <c r="L65" s="5786">
        <v>3234003</v>
      </c>
      <c r="M65" s="5786">
        <v>38826</v>
      </c>
      <c r="N65" s="5786">
        <v>0</v>
      </c>
      <c r="O65" s="5786">
        <v>0</v>
      </c>
      <c r="P65" s="5786">
        <v>0</v>
      </c>
      <c r="Q65" s="2476">
        <v>3600111.9000000004</v>
      </c>
      <c r="R65" s="2477">
        <v>3600111</v>
      </c>
      <c r="S65" s="2477" t="b">
        <v>0</v>
      </c>
      <c r="T65" s="5786">
        <v>720022.2</v>
      </c>
      <c r="U65" s="863">
        <v>1659891</v>
      </c>
      <c r="V65" s="863" t="b">
        <v>1</v>
      </c>
      <c r="W65" s="863">
        <v>15513</v>
      </c>
      <c r="X65" s="863">
        <v>21543.036988968204</v>
      </c>
      <c r="AC65">
        <v>233</v>
      </c>
      <c r="AD65">
        <v>107</v>
      </c>
      <c r="AE65">
        <v>126</v>
      </c>
      <c r="AF65">
        <v>274</v>
      </c>
      <c r="AG65">
        <v>107</v>
      </c>
      <c r="AH65" t="s">
        <v>2129</v>
      </c>
      <c r="AI65" t="s">
        <v>2129</v>
      </c>
      <c r="AJ65">
        <v>67</v>
      </c>
      <c r="AK65" t="s">
        <v>2129</v>
      </c>
      <c r="AL65">
        <v>0</v>
      </c>
      <c r="AO65">
        <v>-40</v>
      </c>
      <c r="AT65" t="s">
        <v>2129</v>
      </c>
      <c r="AU65" t="s">
        <v>2129</v>
      </c>
      <c r="AV65">
        <v>18</v>
      </c>
      <c r="AW65" t="s">
        <v>2129</v>
      </c>
      <c r="AX65" t="s">
        <v>2129</v>
      </c>
      <c r="AY65" t="s">
        <v>2129</v>
      </c>
      <c r="AZ65" t="s">
        <v>2129</v>
      </c>
      <c r="BA65">
        <v>9</v>
      </c>
      <c r="BB65" t="s">
        <v>2129</v>
      </c>
      <c r="BC65" t="s">
        <v>2129</v>
      </c>
      <c r="BD65" t="s">
        <v>2129</v>
      </c>
      <c r="BE65" s="1958" t="s">
        <v>2129</v>
      </c>
      <c r="BF65"/>
      <c r="BG65" s="863" t="s">
        <v>2129</v>
      </c>
      <c r="BH65" s="863" t="s">
        <v>2129</v>
      </c>
      <c r="BI65" s="863">
        <v>29878038</v>
      </c>
      <c r="BJ65" s="863" t="s">
        <v>2129</v>
      </c>
      <c r="BK65" s="863" t="s">
        <v>2129</v>
      </c>
      <c r="BL65" s="863" t="s">
        <v>2129</v>
      </c>
      <c r="BM65" s="863" t="s">
        <v>2129</v>
      </c>
      <c r="BN65" s="863" t="s">
        <v>2129</v>
      </c>
      <c r="BO65" s="863" t="s">
        <v>2129</v>
      </c>
      <c r="BP65" s="863" t="s">
        <v>2129</v>
      </c>
      <c r="BQ65" s="863" t="s">
        <v>2129</v>
      </c>
      <c r="BR65" s="863">
        <v>9354339</v>
      </c>
      <c r="BS65" s="863" t="s">
        <v>2129</v>
      </c>
      <c r="BT65" s="863" t="s">
        <v>2129</v>
      </c>
      <c r="BU65" s="863" t="s">
        <v>2129</v>
      </c>
      <c r="BV65" s="863" t="s">
        <v>2129</v>
      </c>
      <c r="BW65" s="863" t="s">
        <v>2129</v>
      </c>
      <c r="BX65" s="863" t="s">
        <v>2129</v>
      </c>
      <c r="BY65" s="863"/>
      <c r="BZ65" s="863" t="s">
        <v>2129</v>
      </c>
      <c r="CA65" s="863" t="s">
        <v>2129</v>
      </c>
      <c r="CB65" s="863" t="s">
        <v>2129</v>
      </c>
      <c r="CC65" s="863" t="s">
        <v>2129</v>
      </c>
      <c r="CD65" s="863"/>
      <c r="CE65" s="5785"/>
    </row>
    <row r="66" spans="1:83" ht="13">
      <c r="A66">
        <v>105</v>
      </c>
      <c r="B66" s="196" t="s">
        <v>3298</v>
      </c>
      <c r="C66" s="5790" t="s">
        <v>6616</v>
      </c>
      <c r="D66" s="5790" t="s">
        <v>6599</v>
      </c>
      <c r="E66" s="5790" t="s">
        <v>2129</v>
      </c>
      <c r="F66" s="5792" t="s">
        <v>5205</v>
      </c>
      <c r="G66" s="5792" t="s">
        <v>2129</v>
      </c>
      <c r="H66" s="5785">
        <v>19</v>
      </c>
      <c r="I66" s="5785">
        <v>19</v>
      </c>
      <c r="J66" s="5797">
        <v>19</v>
      </c>
      <c r="K66" s="5785">
        <v>0</v>
      </c>
      <c r="L66" s="5786">
        <v>6716477</v>
      </c>
      <c r="M66" s="5786">
        <v>1588243</v>
      </c>
      <c r="N66" s="5786">
        <v>0</v>
      </c>
      <c r="O66" s="5786">
        <v>0</v>
      </c>
      <c r="P66" s="5786">
        <v>0</v>
      </c>
      <c r="Q66" s="2476">
        <v>9135192</v>
      </c>
      <c r="R66" s="2477">
        <v>14042763</v>
      </c>
      <c r="S66" s="5798" t="b">
        <v>1</v>
      </c>
      <c r="T66" s="5786">
        <v>739092.78947368416</v>
      </c>
      <c r="U66" s="863">
        <v>14280708</v>
      </c>
      <c r="V66" s="863" t="b">
        <v>1</v>
      </c>
      <c r="W66" s="863">
        <v>58288.604081632649</v>
      </c>
      <c r="X66" s="863">
        <v>77130.477990818268</v>
      </c>
      <c r="Y66" s="863">
        <v>2300</v>
      </c>
      <c r="AA66" s="863">
        <v>38824</v>
      </c>
      <c r="AB66" s="863">
        <v>62353</v>
      </c>
      <c r="AC66">
        <v>245</v>
      </c>
      <c r="AD66">
        <v>245</v>
      </c>
      <c r="AE66">
        <v>0</v>
      </c>
      <c r="AF66">
        <v>358</v>
      </c>
      <c r="AG66">
        <v>245</v>
      </c>
      <c r="AH66" t="s">
        <v>2129</v>
      </c>
      <c r="AI66" t="s">
        <v>2129</v>
      </c>
      <c r="AJ66" s="1866">
        <v>161</v>
      </c>
      <c r="AK66" t="s">
        <v>2129</v>
      </c>
      <c r="AL66">
        <v>0</v>
      </c>
      <c r="AO66">
        <v>-84</v>
      </c>
      <c r="AT66">
        <v>25</v>
      </c>
      <c r="AU66">
        <v>25</v>
      </c>
      <c r="AV66" t="s">
        <v>2129</v>
      </c>
      <c r="AW66" t="s">
        <v>2129</v>
      </c>
      <c r="AX66" t="s">
        <v>2129</v>
      </c>
      <c r="AY66" t="s">
        <v>2129</v>
      </c>
      <c r="AZ66">
        <v>16</v>
      </c>
      <c r="BA66" t="s">
        <v>2129</v>
      </c>
      <c r="BB66" t="s">
        <v>2129</v>
      </c>
      <c r="BC66" t="s">
        <v>2129</v>
      </c>
      <c r="BD66" t="s">
        <v>2129</v>
      </c>
      <c r="BE66" s="1958">
        <v>357017700</v>
      </c>
      <c r="BF66" s="1958">
        <v>357017700</v>
      </c>
      <c r="BG66" s="1958" t="s">
        <v>2129</v>
      </c>
      <c r="BH66" s="1958" t="s">
        <v>2129</v>
      </c>
      <c r="BI66" s="1958" t="s">
        <v>2129</v>
      </c>
      <c r="BJ66" s="1958" t="s">
        <v>2129</v>
      </c>
      <c r="BK66" s="1958" t="s">
        <v>2129</v>
      </c>
      <c r="BL66" s="1958" t="s">
        <v>2129</v>
      </c>
      <c r="BM66" s="1958">
        <v>228491328</v>
      </c>
      <c r="BN66" s="863">
        <v>150151444.11428571</v>
      </c>
      <c r="BO66" s="863" t="s">
        <v>2129</v>
      </c>
      <c r="BP66" s="1958" t="s">
        <v>2129</v>
      </c>
      <c r="BQ66" s="1958" t="s">
        <v>2129</v>
      </c>
      <c r="BR66" s="1958" t="s">
        <v>2129</v>
      </c>
      <c r="BS66" s="1958" t="s">
        <v>2129</v>
      </c>
      <c r="BT66" s="1958" t="s">
        <v>2129</v>
      </c>
      <c r="BU66" s="1958">
        <v>351069074.99999994</v>
      </c>
      <c r="BV66" s="1958">
        <v>351069074.99999994</v>
      </c>
      <c r="BW66" s="1958" t="s">
        <v>2129</v>
      </c>
      <c r="BX66" s="1958" t="s">
        <v>2129</v>
      </c>
      <c r="BZ66" s="1958">
        <v>224684207.99999997</v>
      </c>
      <c r="CA66" s="1958">
        <v>224684207.99999997</v>
      </c>
      <c r="CB66" s="1958" t="s">
        <v>2129</v>
      </c>
      <c r="CC66" s="1958" t="s">
        <v>2129</v>
      </c>
      <c r="CE66" s="5785"/>
    </row>
    <row r="67" spans="1:83" ht="13">
      <c r="A67">
        <v>111</v>
      </c>
      <c r="B67" s="196" t="s">
        <v>3299</v>
      </c>
      <c r="C67" s="5799" t="s">
        <v>6616</v>
      </c>
      <c r="D67" s="5799" t="s">
        <v>2129</v>
      </c>
      <c r="E67" s="5799" t="s">
        <v>2129</v>
      </c>
      <c r="F67" s="5785" t="s">
        <v>2129</v>
      </c>
      <c r="G67" s="5785" t="s">
        <v>2129</v>
      </c>
      <c r="H67" s="5785">
        <v>4</v>
      </c>
      <c r="I67" s="2694">
        <v>4</v>
      </c>
      <c r="J67" s="2694">
        <v>4</v>
      </c>
      <c r="K67" s="5785">
        <v>0</v>
      </c>
      <c r="L67" s="5786">
        <v>460000</v>
      </c>
      <c r="M67" s="5786">
        <v>0</v>
      </c>
      <c r="N67" s="5786">
        <v>0</v>
      </c>
      <c r="O67" s="5786">
        <v>0</v>
      </c>
      <c r="P67" s="5786">
        <v>0</v>
      </c>
      <c r="Q67" s="2476">
        <v>506000.00000000006</v>
      </c>
      <c r="R67" s="2477">
        <v>506000</v>
      </c>
      <c r="S67" s="2477" t="b">
        <v>1</v>
      </c>
      <c r="T67" s="5786">
        <v>126500</v>
      </c>
      <c r="U67" s="863">
        <v>6331982.7999999998</v>
      </c>
      <c r="V67" s="863" t="b">
        <v>1</v>
      </c>
      <c r="W67" s="863">
        <v>26944.607659574467</v>
      </c>
      <c r="X67" s="863" t="s">
        <v>2129</v>
      </c>
      <c r="Y67" s="863">
        <v>2000</v>
      </c>
      <c r="AC67">
        <v>245</v>
      </c>
      <c r="AD67">
        <v>235</v>
      </c>
      <c r="AE67">
        <v>10</v>
      </c>
      <c r="AF67">
        <v>358</v>
      </c>
      <c r="AG67">
        <v>250</v>
      </c>
      <c r="AH67" t="s">
        <v>2129</v>
      </c>
      <c r="AI67" t="s">
        <v>2129</v>
      </c>
      <c r="AJ67" t="s">
        <v>2129</v>
      </c>
      <c r="AK67" t="s">
        <v>2129</v>
      </c>
      <c r="AL67">
        <v>15</v>
      </c>
      <c r="AO67" t="s">
        <v>2129</v>
      </c>
      <c r="AT67">
        <v>29</v>
      </c>
      <c r="AU67" t="s">
        <v>2129</v>
      </c>
      <c r="AV67" t="s">
        <v>2129</v>
      </c>
      <c r="AW67" t="s">
        <v>2129</v>
      </c>
      <c r="AX67" t="s">
        <v>2129</v>
      </c>
      <c r="AY67" t="s">
        <v>2129</v>
      </c>
      <c r="AZ67" t="s">
        <v>2129</v>
      </c>
      <c r="BA67" t="s">
        <v>2129</v>
      </c>
      <c r="BB67" t="s">
        <v>2129</v>
      </c>
      <c r="BC67" t="s">
        <v>2129</v>
      </c>
      <c r="BD67" t="s">
        <v>2129</v>
      </c>
      <c r="BE67" s="1958">
        <v>183627501.19999999</v>
      </c>
      <c r="BF67" s="1958" t="s">
        <v>2129</v>
      </c>
      <c r="BG67" s="1958" t="s">
        <v>2129</v>
      </c>
      <c r="BH67" s="1958" t="s">
        <v>2129</v>
      </c>
      <c r="BI67" s="1958" t="s">
        <v>2129</v>
      </c>
      <c r="BJ67" s="1958" t="s">
        <v>2129</v>
      </c>
      <c r="BK67" s="1958" t="s">
        <v>2129</v>
      </c>
      <c r="BL67" s="1958" t="s">
        <v>2129</v>
      </c>
      <c r="BM67" s="1958" t="s">
        <v>2129</v>
      </c>
      <c r="BN67" s="863" t="s">
        <v>2129</v>
      </c>
      <c r="BO67" s="863" t="s">
        <v>2129</v>
      </c>
      <c r="BP67" s="1958" t="s">
        <v>2129</v>
      </c>
      <c r="BQ67" s="1958" t="s">
        <v>2129</v>
      </c>
      <c r="BR67" s="1958" t="s">
        <v>2129</v>
      </c>
      <c r="BS67" s="1958" t="s">
        <v>2129</v>
      </c>
      <c r="BT67" s="1958" t="s">
        <v>2129</v>
      </c>
      <c r="BU67" s="1958">
        <v>14674000</v>
      </c>
      <c r="BV67" s="1958" t="s">
        <v>2129</v>
      </c>
      <c r="BW67" s="1958" t="s">
        <v>2129</v>
      </c>
      <c r="BX67" s="1958" t="s">
        <v>2129</v>
      </c>
      <c r="BZ67" s="1958" t="s">
        <v>2129</v>
      </c>
      <c r="CA67" s="1958" t="s">
        <v>2129</v>
      </c>
      <c r="CB67" s="1958" t="s">
        <v>2129</v>
      </c>
      <c r="CC67" s="1958" t="s">
        <v>2129</v>
      </c>
      <c r="CE67" s="5785"/>
    </row>
    <row r="68" spans="1:83" ht="13">
      <c r="A68">
        <v>114</v>
      </c>
      <c r="B68" s="196" t="s">
        <v>3300</v>
      </c>
      <c r="C68" s="5785" t="s">
        <v>2695</v>
      </c>
      <c r="D68" s="5785" t="s">
        <v>2129</v>
      </c>
      <c r="E68" s="5785" t="s">
        <v>2129</v>
      </c>
      <c r="F68" s="5785" t="s">
        <v>2129</v>
      </c>
      <c r="G68" s="5785" t="s">
        <v>2129</v>
      </c>
      <c r="H68" s="5785">
        <v>0</v>
      </c>
      <c r="I68" s="5785">
        <v>0</v>
      </c>
      <c r="J68" s="5785">
        <v>4</v>
      </c>
      <c r="K68" s="5785" t="s">
        <v>2129</v>
      </c>
      <c r="L68" s="5786">
        <v>0</v>
      </c>
      <c r="M68" s="5786">
        <v>0</v>
      </c>
      <c r="N68" s="5786">
        <v>0</v>
      </c>
      <c r="O68" s="5786">
        <v>0</v>
      </c>
      <c r="P68" s="5786">
        <v>0</v>
      </c>
      <c r="Q68" s="2476">
        <v>0</v>
      </c>
      <c r="R68" s="2477">
        <v>0</v>
      </c>
      <c r="S68" s="2477" t="b">
        <v>1</v>
      </c>
      <c r="T68" s="5786" t="s">
        <v>2129</v>
      </c>
      <c r="U68" s="863">
        <v>6385365</v>
      </c>
      <c r="V68" s="863" t="b">
        <v>1</v>
      </c>
      <c r="W68" s="863">
        <v>26829.264705882353</v>
      </c>
      <c r="X68" s="863" t="s">
        <v>2129</v>
      </c>
      <c r="AC68">
        <v>238</v>
      </c>
      <c r="AD68" s="3965">
        <v>238</v>
      </c>
      <c r="AE68" s="3965">
        <v>0</v>
      </c>
      <c r="AF68">
        <v>261</v>
      </c>
      <c r="AG68">
        <v>238</v>
      </c>
      <c r="AH68" t="s">
        <v>2129</v>
      </c>
      <c r="AI68" t="s">
        <v>2129</v>
      </c>
      <c r="AJ68" t="s">
        <v>2129</v>
      </c>
      <c r="AK68" t="s">
        <v>2129</v>
      </c>
      <c r="AL68">
        <v>0</v>
      </c>
      <c r="AO68" t="s">
        <v>2129</v>
      </c>
      <c r="AT68" t="s">
        <v>2129</v>
      </c>
      <c r="AU68" t="s">
        <v>2129</v>
      </c>
      <c r="AV68">
        <v>18</v>
      </c>
      <c r="AW68" t="s">
        <v>2129</v>
      </c>
      <c r="AX68" t="s">
        <v>2129</v>
      </c>
      <c r="AY68" t="s">
        <v>2129</v>
      </c>
      <c r="AZ68" t="s">
        <v>2129</v>
      </c>
      <c r="BA68" t="s">
        <v>2129</v>
      </c>
      <c r="BB68" t="s">
        <v>2129</v>
      </c>
      <c r="BC68" t="s">
        <v>2129</v>
      </c>
      <c r="BD68" t="s">
        <v>2129</v>
      </c>
      <c r="BE68" s="1958" t="s">
        <v>2129</v>
      </c>
      <c r="BF68"/>
      <c r="BG68" s="863" t="s">
        <v>2129</v>
      </c>
      <c r="BH68" s="863" t="s">
        <v>2129</v>
      </c>
      <c r="BI68" s="863">
        <v>114936570</v>
      </c>
      <c r="BJ68" s="863" t="s">
        <v>2129</v>
      </c>
      <c r="BK68" s="863" t="s">
        <v>2129</v>
      </c>
      <c r="BL68" s="863" t="s">
        <v>2129</v>
      </c>
      <c r="BM68" s="863" t="s">
        <v>2129</v>
      </c>
      <c r="BN68" s="863" t="s">
        <v>2129</v>
      </c>
      <c r="BO68" s="863" t="s">
        <v>2129</v>
      </c>
      <c r="BP68" s="863" t="s">
        <v>2129</v>
      </c>
      <c r="BQ68" s="863" t="s">
        <v>2129</v>
      </c>
      <c r="BR68" s="863" t="s">
        <v>2129</v>
      </c>
      <c r="BS68" s="863" t="s">
        <v>2129</v>
      </c>
      <c r="BT68" s="863" t="s">
        <v>2129</v>
      </c>
      <c r="BU68" s="863" t="s">
        <v>2129</v>
      </c>
      <c r="BV68" s="863" t="s">
        <v>2129</v>
      </c>
      <c r="BW68" s="863" t="s">
        <v>2129</v>
      </c>
      <c r="BX68" s="863" t="s">
        <v>2129</v>
      </c>
      <c r="BY68" s="863"/>
      <c r="BZ68" s="863" t="s">
        <v>2129</v>
      </c>
      <c r="CA68" s="863" t="s">
        <v>2129</v>
      </c>
      <c r="CB68" s="863" t="s">
        <v>2129</v>
      </c>
      <c r="CC68" s="863" t="s">
        <v>2129</v>
      </c>
      <c r="CD68" s="863"/>
      <c r="CE68" s="5785"/>
    </row>
    <row r="69" spans="1:83" s="5782" customFormat="1" ht="13">
      <c r="A69" s="5782">
        <v>115</v>
      </c>
      <c r="B69" s="5783" t="s">
        <v>6620</v>
      </c>
      <c r="C69" s="5784" t="s">
        <v>2129</v>
      </c>
      <c r="D69" s="5784" t="s">
        <v>2129</v>
      </c>
      <c r="E69" s="5784" t="s">
        <v>2129</v>
      </c>
      <c r="F69" s="5784" t="s">
        <v>2129</v>
      </c>
      <c r="G69" s="5784" t="s">
        <v>2129</v>
      </c>
      <c r="H69" s="5785">
        <v>3</v>
      </c>
      <c r="I69" s="5785">
        <v>3</v>
      </c>
      <c r="J69" s="5785">
        <v>6</v>
      </c>
      <c r="K69" s="5785" t="s">
        <v>2129</v>
      </c>
      <c r="L69" s="5786">
        <v>341060</v>
      </c>
      <c r="M69" s="5786">
        <v>0</v>
      </c>
      <c r="N69" s="5786">
        <v>0</v>
      </c>
      <c r="O69" s="5786">
        <v>0</v>
      </c>
      <c r="P69" s="5786">
        <v>0</v>
      </c>
      <c r="Q69" s="2476">
        <v>375166.00000000006</v>
      </c>
      <c r="R69" s="2477">
        <v>420589</v>
      </c>
      <c r="S69" s="2477" t="b">
        <v>0</v>
      </c>
      <c r="T69" s="5786">
        <v>140196.33333333334</v>
      </c>
      <c r="U69" s="5788">
        <v>3254823</v>
      </c>
      <c r="V69" s="5788" t="b">
        <v>1</v>
      </c>
      <c r="W69" s="5788">
        <v>14862.205479452055</v>
      </c>
      <c r="X69" s="5788" t="s">
        <v>2129</v>
      </c>
      <c r="Y69" s="5788"/>
      <c r="Z69" s="5788"/>
      <c r="AA69" s="5788"/>
      <c r="AB69" s="5788"/>
      <c r="AC69" s="5782">
        <v>219</v>
      </c>
      <c r="AD69" s="5789">
        <v>219</v>
      </c>
      <c r="AE69" s="5789">
        <v>0</v>
      </c>
      <c r="AF69" s="5782">
        <v>219</v>
      </c>
      <c r="AG69" s="5782" t="s">
        <v>2129</v>
      </c>
      <c r="AH69" s="5782" t="s">
        <v>2129</v>
      </c>
      <c r="AI69" s="5782" t="s">
        <v>2129</v>
      </c>
      <c r="AJ69" s="5782" t="s">
        <v>2129</v>
      </c>
      <c r="AK69" s="5782" t="s">
        <v>2129</v>
      </c>
      <c r="AL69" s="5782" t="s">
        <v>2129</v>
      </c>
      <c r="AO69" s="5782" t="s">
        <v>2129</v>
      </c>
      <c r="AT69" s="5782" t="s">
        <v>2129</v>
      </c>
      <c r="AU69" s="5782" t="s">
        <v>2129</v>
      </c>
      <c r="AV69" s="5782" t="s">
        <v>2129</v>
      </c>
      <c r="AW69" s="5782" t="s">
        <v>2129</v>
      </c>
      <c r="AX69" s="5782" t="s">
        <v>2129</v>
      </c>
      <c r="AY69" s="5782" t="s">
        <v>2129</v>
      </c>
      <c r="AZ69" s="5782" t="s">
        <v>2129</v>
      </c>
      <c r="BA69" s="5782" t="s">
        <v>2129</v>
      </c>
      <c r="BB69" s="5782" t="s">
        <v>2129</v>
      </c>
      <c r="BC69" s="5782" t="s">
        <v>2129</v>
      </c>
      <c r="BD69" s="5782" t="s">
        <v>2129</v>
      </c>
      <c r="BE69" s="5788" t="s">
        <v>2129</v>
      </c>
      <c r="BG69" s="5788" t="s">
        <v>2129</v>
      </c>
      <c r="BH69" s="5788" t="s">
        <v>2129</v>
      </c>
      <c r="BI69" s="5788" t="s">
        <v>2129</v>
      </c>
      <c r="BJ69" s="5788" t="s">
        <v>2129</v>
      </c>
      <c r="BK69" s="5788" t="s">
        <v>2129</v>
      </c>
      <c r="BL69" s="5788" t="s">
        <v>2129</v>
      </c>
      <c r="BM69" s="5788" t="s">
        <v>2129</v>
      </c>
      <c r="BN69" s="5788" t="s">
        <v>2129</v>
      </c>
      <c r="BO69" s="5788" t="s">
        <v>2129</v>
      </c>
      <c r="BP69" s="5788" t="s">
        <v>2129</v>
      </c>
      <c r="BQ69" s="5788" t="s">
        <v>2129</v>
      </c>
      <c r="BR69" s="5788" t="s">
        <v>2129</v>
      </c>
      <c r="BS69" s="5788" t="s">
        <v>2129</v>
      </c>
      <c r="BT69" s="5788" t="s">
        <v>2129</v>
      </c>
      <c r="BU69" s="5788" t="s">
        <v>2129</v>
      </c>
      <c r="BV69" s="5788" t="s">
        <v>2129</v>
      </c>
      <c r="BW69" s="5788" t="s">
        <v>2129</v>
      </c>
      <c r="BX69" s="5788" t="s">
        <v>2129</v>
      </c>
      <c r="BY69" s="5788"/>
      <c r="BZ69" s="5788" t="s">
        <v>2129</v>
      </c>
      <c r="CA69" s="5788" t="s">
        <v>2129</v>
      </c>
      <c r="CB69" s="5788" t="s">
        <v>2129</v>
      </c>
      <c r="CC69" s="5788" t="s">
        <v>2129</v>
      </c>
      <c r="CD69" s="5788"/>
      <c r="CE69" s="5784"/>
    </row>
    <row r="70" spans="1:83" s="5782" customFormat="1" ht="13">
      <c r="A70" s="5782">
        <v>117</v>
      </c>
      <c r="B70" s="5783" t="s">
        <v>3302</v>
      </c>
      <c r="C70" s="5784" t="s">
        <v>2129</v>
      </c>
      <c r="D70" s="5784" t="s">
        <v>2129</v>
      </c>
      <c r="E70" s="5784" t="s">
        <v>2129</v>
      </c>
      <c r="F70" s="5784" t="s">
        <v>2129</v>
      </c>
      <c r="G70" s="5784" t="s">
        <v>2129</v>
      </c>
      <c r="H70" s="5785">
        <v>4</v>
      </c>
      <c r="I70" s="5785">
        <v>2</v>
      </c>
      <c r="J70" s="5785">
        <v>6</v>
      </c>
      <c r="K70" s="5785" t="s">
        <v>2129</v>
      </c>
      <c r="L70" s="5786">
        <v>310589</v>
      </c>
      <c r="M70" s="5786">
        <v>0</v>
      </c>
      <c r="N70" s="5786">
        <v>0</v>
      </c>
      <c r="O70" s="5786">
        <v>0</v>
      </c>
      <c r="P70" s="5786">
        <v>0</v>
      </c>
      <c r="Q70" s="2476">
        <v>341647.9</v>
      </c>
      <c r="R70" s="2477">
        <v>341647</v>
      </c>
      <c r="S70" s="2477" t="b">
        <v>0</v>
      </c>
      <c r="T70" s="5786">
        <v>170823.5</v>
      </c>
      <c r="U70" s="5788">
        <v>2897543</v>
      </c>
      <c r="V70" s="5788" t="b">
        <v>1</v>
      </c>
      <c r="W70" s="5788">
        <v>29268.111111111109</v>
      </c>
      <c r="X70" s="5788" t="s">
        <v>2129</v>
      </c>
      <c r="Y70" s="5788"/>
      <c r="Z70" s="5788"/>
      <c r="AA70" s="5788"/>
      <c r="AB70" s="5788"/>
      <c r="AC70" s="5782">
        <v>224</v>
      </c>
      <c r="AD70" s="5789">
        <v>99</v>
      </c>
      <c r="AE70" s="5782">
        <v>125</v>
      </c>
      <c r="AF70" s="5782">
        <v>231</v>
      </c>
      <c r="AG70" s="5782" t="s">
        <v>2129</v>
      </c>
      <c r="AH70" s="5782" t="s">
        <v>2129</v>
      </c>
      <c r="AI70" s="5782" t="s">
        <v>2129</v>
      </c>
      <c r="AJ70" s="5782" t="s">
        <v>2129</v>
      </c>
      <c r="AK70" s="5782" t="s">
        <v>2129</v>
      </c>
      <c r="AL70" s="5782" t="s">
        <v>2129</v>
      </c>
      <c r="AO70" s="5782" t="s">
        <v>2129</v>
      </c>
      <c r="AT70" s="5782" t="s">
        <v>2129</v>
      </c>
      <c r="AU70" s="5782" t="s">
        <v>2129</v>
      </c>
      <c r="AV70" s="5782" t="s">
        <v>2129</v>
      </c>
      <c r="AW70" s="5782" t="s">
        <v>2129</v>
      </c>
      <c r="AX70" s="5782" t="s">
        <v>2129</v>
      </c>
      <c r="AY70" s="5782" t="s">
        <v>2129</v>
      </c>
      <c r="AZ70" s="5782" t="s">
        <v>2129</v>
      </c>
      <c r="BA70" s="5782" t="s">
        <v>2129</v>
      </c>
      <c r="BB70" s="5782" t="s">
        <v>2129</v>
      </c>
      <c r="BC70" s="5782" t="s">
        <v>2129</v>
      </c>
      <c r="BD70" s="5782" t="s">
        <v>2129</v>
      </c>
      <c r="BE70" s="5788" t="s">
        <v>2129</v>
      </c>
      <c r="BG70" s="5788" t="s">
        <v>2129</v>
      </c>
      <c r="BH70" s="5788" t="s">
        <v>2129</v>
      </c>
      <c r="BI70" s="5788" t="s">
        <v>2129</v>
      </c>
      <c r="BJ70" s="5788" t="s">
        <v>2129</v>
      </c>
      <c r="BK70" s="5788" t="s">
        <v>2129</v>
      </c>
      <c r="BL70" s="5788" t="s">
        <v>2129</v>
      </c>
      <c r="BM70" s="5788" t="s">
        <v>2129</v>
      </c>
      <c r="BN70" s="5788" t="s">
        <v>2129</v>
      </c>
      <c r="BO70" s="5788" t="s">
        <v>2129</v>
      </c>
      <c r="BP70" s="5788" t="s">
        <v>2129</v>
      </c>
      <c r="BQ70" s="5788" t="s">
        <v>2129</v>
      </c>
      <c r="BR70" s="5788" t="s">
        <v>2129</v>
      </c>
      <c r="BS70" s="5788" t="s">
        <v>2129</v>
      </c>
      <c r="BT70" s="5788" t="s">
        <v>2129</v>
      </c>
      <c r="BU70" s="5788" t="s">
        <v>2129</v>
      </c>
      <c r="BV70" s="5788" t="s">
        <v>2129</v>
      </c>
      <c r="BW70" s="5788" t="s">
        <v>2129</v>
      </c>
      <c r="BX70" s="5788" t="s">
        <v>2129</v>
      </c>
      <c r="BY70" s="5788"/>
      <c r="BZ70" s="5788" t="s">
        <v>2129</v>
      </c>
      <c r="CA70" s="5788" t="s">
        <v>2129</v>
      </c>
      <c r="CB70" s="5788" t="s">
        <v>2129</v>
      </c>
      <c r="CC70" s="5788" t="s">
        <v>2129</v>
      </c>
      <c r="CD70" s="5788"/>
      <c r="CE70" s="5784"/>
    </row>
    <row r="71" spans="1:83" ht="13">
      <c r="A71">
        <v>121</v>
      </c>
      <c r="B71" s="196" t="s">
        <v>2825</v>
      </c>
      <c r="C71" s="5790" t="s">
        <v>6616</v>
      </c>
      <c r="D71" s="5790" t="s">
        <v>6599</v>
      </c>
      <c r="E71" s="5790" t="s">
        <v>2129</v>
      </c>
      <c r="F71" s="5792" t="s">
        <v>5205</v>
      </c>
      <c r="G71" s="5792" t="s">
        <v>2129</v>
      </c>
      <c r="H71" s="5785">
        <v>15</v>
      </c>
      <c r="I71" s="5785">
        <v>8</v>
      </c>
      <c r="J71" s="5785">
        <v>10</v>
      </c>
      <c r="K71" s="5785">
        <v>7</v>
      </c>
      <c r="L71" s="5786">
        <v>3856475</v>
      </c>
      <c r="M71" s="5786">
        <v>388245</v>
      </c>
      <c r="N71" s="5786">
        <v>104736</v>
      </c>
      <c r="O71" s="5786">
        <v>0</v>
      </c>
      <c r="P71" s="5786">
        <v>0</v>
      </c>
      <c r="Q71" s="2476">
        <v>4784401.6000000006</v>
      </c>
      <c r="R71" s="2477">
        <v>4269338</v>
      </c>
      <c r="S71" s="5798" t="b">
        <v>1</v>
      </c>
      <c r="T71" s="5786">
        <v>533667.25</v>
      </c>
      <c r="U71" s="863">
        <v>11306109</v>
      </c>
      <c r="V71" s="863" t="b">
        <v>1</v>
      </c>
      <c r="W71" s="863">
        <v>39394.108013937279</v>
      </c>
      <c r="X71" s="863">
        <v>30157.666044278478</v>
      </c>
      <c r="Y71" s="863">
        <v>3000</v>
      </c>
      <c r="AA71" s="863">
        <v>25883</v>
      </c>
      <c r="AB71" s="863">
        <v>56471</v>
      </c>
      <c r="AC71">
        <v>565</v>
      </c>
      <c r="AD71" s="3965">
        <v>287</v>
      </c>
      <c r="AE71" s="3965">
        <v>278</v>
      </c>
      <c r="AF71">
        <v>776</v>
      </c>
      <c r="AG71">
        <v>565</v>
      </c>
      <c r="AH71" t="s">
        <v>2129</v>
      </c>
      <c r="AI71" t="s">
        <v>2129</v>
      </c>
      <c r="AJ71" s="2705">
        <v>326</v>
      </c>
      <c r="AK71" t="s">
        <v>2129</v>
      </c>
      <c r="AL71">
        <v>278</v>
      </c>
      <c r="AO71">
        <v>39</v>
      </c>
      <c r="AT71">
        <v>29</v>
      </c>
      <c r="AU71">
        <v>31</v>
      </c>
      <c r="AV71" t="s">
        <v>2129</v>
      </c>
      <c r="AW71" t="s">
        <v>2129</v>
      </c>
      <c r="AX71" t="s">
        <v>2129</v>
      </c>
      <c r="AY71" t="s">
        <v>2129</v>
      </c>
      <c r="AZ71">
        <v>16</v>
      </c>
      <c r="BA71" t="s">
        <v>2129</v>
      </c>
      <c r="BB71" t="s">
        <v>2129</v>
      </c>
      <c r="BC71" t="s">
        <v>2129</v>
      </c>
      <c r="BD71" t="s">
        <v>2129</v>
      </c>
      <c r="BE71" s="1958">
        <v>327877161</v>
      </c>
      <c r="BF71" s="1958">
        <v>350489379</v>
      </c>
      <c r="BG71" s="1958" t="s">
        <v>2129</v>
      </c>
      <c r="BH71" s="1958" t="s">
        <v>2129</v>
      </c>
      <c r="BI71" s="1958" t="s">
        <v>2129</v>
      </c>
      <c r="BJ71" s="1958" t="s">
        <v>2129</v>
      </c>
      <c r="BK71" s="1958" t="s">
        <v>2129</v>
      </c>
      <c r="BL71" s="1958" t="s">
        <v>2129</v>
      </c>
      <c r="BM71" s="1958">
        <v>180897744</v>
      </c>
      <c r="BN71" s="863">
        <v>205479667.40069684</v>
      </c>
      <c r="BO71" s="863" t="s">
        <v>2129</v>
      </c>
      <c r="BP71" s="1958" t="s">
        <v>2129</v>
      </c>
      <c r="BQ71" s="1958" t="s">
        <v>2129</v>
      </c>
      <c r="BR71" s="1958" t="s">
        <v>2129</v>
      </c>
      <c r="BS71" s="1958" t="s">
        <v>2129</v>
      </c>
      <c r="BT71" s="1958" t="s">
        <v>2129</v>
      </c>
      <c r="BU71" s="1958">
        <v>123810802</v>
      </c>
      <c r="BV71" s="1958">
        <v>132349478</v>
      </c>
      <c r="BW71" s="1958" t="s">
        <v>2129</v>
      </c>
      <c r="BX71" s="1958" t="s">
        <v>2129</v>
      </c>
      <c r="BZ71" s="1958">
        <v>68309408</v>
      </c>
      <c r="CA71" s="1958">
        <v>68309408</v>
      </c>
      <c r="CB71" s="1958" t="s">
        <v>2129</v>
      </c>
      <c r="CC71" s="1958" t="s">
        <v>2129</v>
      </c>
      <c r="CE71" s="5785"/>
    </row>
    <row r="72" spans="1:83" ht="13">
      <c r="A72">
        <v>127</v>
      </c>
      <c r="B72" s="196" t="s">
        <v>3303</v>
      </c>
      <c r="C72" s="5785" t="s">
        <v>2695</v>
      </c>
      <c r="D72" s="5785" t="s">
        <v>2129</v>
      </c>
      <c r="E72" s="5785" t="s">
        <v>2129</v>
      </c>
      <c r="F72" s="5785" t="s">
        <v>2129</v>
      </c>
      <c r="G72" s="5785" t="s">
        <v>2129</v>
      </c>
      <c r="H72" s="5785">
        <v>6</v>
      </c>
      <c r="I72" s="5785">
        <v>0</v>
      </c>
      <c r="J72" s="5785">
        <v>8</v>
      </c>
      <c r="K72" s="5785" t="s">
        <v>2129</v>
      </c>
      <c r="L72" s="5786">
        <v>0</v>
      </c>
      <c r="M72" s="5786">
        <v>0</v>
      </c>
      <c r="N72" s="5786">
        <v>0</v>
      </c>
      <c r="O72" s="5786">
        <v>0</v>
      </c>
      <c r="P72" s="5786">
        <v>0</v>
      </c>
      <c r="Q72" s="2476">
        <v>0</v>
      </c>
      <c r="R72" s="2477">
        <v>0</v>
      </c>
      <c r="S72" s="2477" t="b">
        <v>1</v>
      </c>
      <c r="T72" s="5786" t="s">
        <v>2129</v>
      </c>
      <c r="U72" s="863">
        <v>1294910</v>
      </c>
      <c r="V72" s="863" t="b">
        <v>1</v>
      </c>
      <c r="W72" s="863">
        <v>20554.126984126986</v>
      </c>
      <c r="X72" s="863" t="s">
        <v>2129</v>
      </c>
      <c r="AC72">
        <v>63</v>
      </c>
      <c r="AD72" s="3965">
        <v>63</v>
      </c>
      <c r="AE72" s="3965">
        <v>0</v>
      </c>
      <c r="AF72">
        <v>76</v>
      </c>
      <c r="AG72">
        <v>0</v>
      </c>
      <c r="AH72" t="s">
        <v>2129</v>
      </c>
      <c r="AI72" t="s">
        <v>2129</v>
      </c>
      <c r="AJ72" t="s">
        <v>2129</v>
      </c>
      <c r="AK72" t="s">
        <v>2129</v>
      </c>
      <c r="AL72">
        <v>-63</v>
      </c>
      <c r="AO72" t="s">
        <v>2129</v>
      </c>
      <c r="AT72" t="s">
        <v>2129</v>
      </c>
      <c r="AU72" t="s">
        <v>2129</v>
      </c>
      <c r="AV72">
        <v>18</v>
      </c>
      <c r="AW72" t="s">
        <v>2129</v>
      </c>
      <c r="AX72" t="s">
        <v>2129</v>
      </c>
      <c r="AY72" t="s">
        <v>2129</v>
      </c>
      <c r="AZ72" t="s">
        <v>2129</v>
      </c>
      <c r="BA72" t="s">
        <v>2129</v>
      </c>
      <c r="BB72" t="s">
        <v>2129</v>
      </c>
      <c r="BC72" t="s">
        <v>2129</v>
      </c>
      <c r="BD72" t="s">
        <v>2129</v>
      </c>
      <c r="BE72" s="1958" t="s">
        <v>2129</v>
      </c>
      <c r="BF72"/>
      <c r="BG72" s="863" t="s">
        <v>2129</v>
      </c>
      <c r="BH72" s="863" t="s">
        <v>2129</v>
      </c>
      <c r="BI72" s="863">
        <v>0</v>
      </c>
      <c r="BJ72" s="863" t="s">
        <v>2129</v>
      </c>
      <c r="BK72" s="863" t="s">
        <v>2129</v>
      </c>
      <c r="BL72" s="863" t="s">
        <v>2129</v>
      </c>
      <c r="BM72" s="863" t="s">
        <v>2129</v>
      </c>
      <c r="BN72" s="863" t="s">
        <v>2129</v>
      </c>
      <c r="BO72" s="863" t="s">
        <v>2129</v>
      </c>
      <c r="BP72" s="863" t="s">
        <v>2129</v>
      </c>
      <c r="BQ72" s="863" t="s">
        <v>2129</v>
      </c>
      <c r="BR72" s="863" t="s">
        <v>2129</v>
      </c>
      <c r="BS72" s="863" t="s">
        <v>2129</v>
      </c>
      <c r="BT72" s="863" t="s">
        <v>2129</v>
      </c>
      <c r="BU72" s="863" t="s">
        <v>2129</v>
      </c>
      <c r="BV72" s="863" t="s">
        <v>2129</v>
      </c>
      <c r="BW72" s="863" t="s">
        <v>2129</v>
      </c>
      <c r="BX72" s="863" t="s">
        <v>2129</v>
      </c>
      <c r="BY72" s="863"/>
      <c r="BZ72" s="863" t="s">
        <v>2129</v>
      </c>
      <c r="CA72" s="863" t="s">
        <v>2129</v>
      </c>
      <c r="CB72" s="863" t="s">
        <v>2129</v>
      </c>
      <c r="CC72" s="863" t="s">
        <v>2129</v>
      </c>
      <c r="CD72" s="863"/>
      <c r="CE72" s="5785"/>
    </row>
    <row r="73" spans="1:83" s="5782" customFormat="1" ht="13">
      <c r="A73" s="5782">
        <v>130</v>
      </c>
      <c r="B73" s="5783" t="s">
        <v>3304</v>
      </c>
      <c r="C73" s="5784" t="s">
        <v>2129</v>
      </c>
      <c r="D73" s="5784" t="s">
        <v>2129</v>
      </c>
      <c r="E73" s="5784" t="s">
        <v>2129</v>
      </c>
      <c r="F73" s="5784" t="s">
        <v>2129</v>
      </c>
      <c r="G73" s="5784" t="s">
        <v>2129</v>
      </c>
      <c r="H73" s="5785">
        <v>2</v>
      </c>
      <c r="I73" s="5785">
        <v>2</v>
      </c>
      <c r="J73" s="5785">
        <v>10</v>
      </c>
      <c r="K73" s="5785" t="s">
        <v>2129</v>
      </c>
      <c r="L73" s="5786">
        <v>101178</v>
      </c>
      <c r="M73" s="5786">
        <v>0</v>
      </c>
      <c r="N73" s="5786">
        <v>0</v>
      </c>
      <c r="O73" s="5786">
        <v>0</v>
      </c>
      <c r="P73" s="5786">
        <v>0</v>
      </c>
      <c r="Q73" s="2476">
        <v>111295.8</v>
      </c>
      <c r="R73" s="2477">
        <v>111295</v>
      </c>
      <c r="S73" s="2477" t="b">
        <v>0</v>
      </c>
      <c r="T73" s="5786">
        <v>55647.5</v>
      </c>
      <c r="U73" s="5788">
        <v>1475331</v>
      </c>
      <c r="V73" s="5788" t="b">
        <v>1</v>
      </c>
      <c r="W73" s="5788">
        <v>14753.31</v>
      </c>
      <c r="X73" s="5788" t="s">
        <v>2129</v>
      </c>
      <c r="Y73" s="5788"/>
      <c r="Z73" s="5788"/>
      <c r="AA73" s="5788"/>
      <c r="AB73" s="5788"/>
      <c r="AC73" s="5782">
        <v>208</v>
      </c>
      <c r="AD73" s="5789">
        <v>100</v>
      </c>
      <c r="AE73" s="5789">
        <v>108</v>
      </c>
      <c r="AF73" s="5782">
        <v>211</v>
      </c>
      <c r="AG73" s="5782" t="s">
        <v>2129</v>
      </c>
      <c r="AH73" s="5782" t="s">
        <v>2129</v>
      </c>
      <c r="AI73" s="5782" t="s">
        <v>2129</v>
      </c>
      <c r="AJ73" s="5782" t="s">
        <v>2129</v>
      </c>
      <c r="AK73" s="5782" t="s">
        <v>2129</v>
      </c>
      <c r="AL73" s="5782" t="s">
        <v>2129</v>
      </c>
      <c r="AO73" s="5782" t="s">
        <v>2129</v>
      </c>
      <c r="AT73" s="5782" t="s">
        <v>2129</v>
      </c>
      <c r="AU73" s="5782" t="s">
        <v>2129</v>
      </c>
      <c r="AV73" s="5782" t="s">
        <v>2129</v>
      </c>
      <c r="AW73" s="5782" t="s">
        <v>2129</v>
      </c>
      <c r="AX73" s="5782" t="s">
        <v>2129</v>
      </c>
      <c r="AY73" s="5782" t="s">
        <v>2129</v>
      </c>
      <c r="AZ73" s="5782" t="s">
        <v>2129</v>
      </c>
      <c r="BA73" s="5782" t="s">
        <v>2129</v>
      </c>
      <c r="BB73" s="5782" t="s">
        <v>2129</v>
      </c>
      <c r="BC73" s="5782" t="s">
        <v>2129</v>
      </c>
      <c r="BD73" s="5782" t="s">
        <v>2129</v>
      </c>
      <c r="BE73" s="5788" t="s">
        <v>2129</v>
      </c>
      <c r="BG73" s="5788" t="s">
        <v>2129</v>
      </c>
      <c r="BH73" s="5788" t="s">
        <v>2129</v>
      </c>
      <c r="BI73" s="5788" t="s">
        <v>2129</v>
      </c>
      <c r="BJ73" s="5788" t="s">
        <v>2129</v>
      </c>
      <c r="BK73" s="5788" t="s">
        <v>2129</v>
      </c>
      <c r="BL73" s="5788" t="s">
        <v>2129</v>
      </c>
      <c r="BM73" s="5788" t="s">
        <v>2129</v>
      </c>
      <c r="BN73" s="5788" t="s">
        <v>2129</v>
      </c>
      <c r="BO73" s="5788" t="s">
        <v>2129</v>
      </c>
      <c r="BP73" s="5788" t="s">
        <v>2129</v>
      </c>
      <c r="BQ73" s="5788" t="s">
        <v>2129</v>
      </c>
      <c r="BR73" s="5788" t="s">
        <v>2129</v>
      </c>
      <c r="BS73" s="5788" t="s">
        <v>2129</v>
      </c>
      <c r="BT73" s="5788" t="s">
        <v>2129</v>
      </c>
      <c r="BU73" s="5788" t="s">
        <v>2129</v>
      </c>
      <c r="BV73" s="5788" t="s">
        <v>2129</v>
      </c>
      <c r="BW73" s="5788" t="s">
        <v>2129</v>
      </c>
      <c r="BX73" s="5788" t="s">
        <v>2129</v>
      </c>
      <c r="BY73" s="5788"/>
      <c r="BZ73" s="5788" t="s">
        <v>2129</v>
      </c>
      <c r="CA73" s="5788" t="s">
        <v>2129</v>
      </c>
      <c r="CB73" s="5788" t="s">
        <v>2129</v>
      </c>
      <c r="CC73" s="5788" t="s">
        <v>2129</v>
      </c>
      <c r="CD73" s="5788"/>
      <c r="CE73" s="5784"/>
    </row>
    <row r="74" spans="1:83" s="5782" customFormat="1" ht="13">
      <c r="A74" s="5782">
        <v>133</v>
      </c>
      <c r="B74" s="5783" t="s">
        <v>3305</v>
      </c>
      <c r="C74" s="5784" t="s">
        <v>2129</v>
      </c>
      <c r="D74" s="5784" t="s">
        <v>2129</v>
      </c>
      <c r="E74" s="5784" t="s">
        <v>2129</v>
      </c>
      <c r="F74" s="5784" t="s">
        <v>2129</v>
      </c>
      <c r="G74" s="5784" t="s">
        <v>2129</v>
      </c>
      <c r="H74" s="5785">
        <v>0</v>
      </c>
      <c r="I74" s="5785">
        <v>0</v>
      </c>
      <c r="J74" s="5785">
        <v>8</v>
      </c>
      <c r="K74" s="5785" t="s">
        <v>2129</v>
      </c>
      <c r="L74" s="5786">
        <v>0</v>
      </c>
      <c r="M74" s="5786">
        <v>0</v>
      </c>
      <c r="N74" s="5786">
        <v>0</v>
      </c>
      <c r="O74" s="5786">
        <v>0</v>
      </c>
      <c r="P74" s="5786">
        <v>0</v>
      </c>
      <c r="Q74" s="2476">
        <v>0</v>
      </c>
      <c r="R74" s="2477">
        <v>0</v>
      </c>
      <c r="S74" s="2477" t="b">
        <v>1</v>
      </c>
      <c r="T74" s="5786" t="s">
        <v>2129</v>
      </c>
      <c r="U74" s="5788">
        <v>10948390</v>
      </c>
      <c r="V74" s="5788" t="b">
        <v>1</v>
      </c>
      <c r="W74" s="5788">
        <v>27370.974999999999</v>
      </c>
      <c r="X74" s="5788" t="s">
        <v>2129</v>
      </c>
      <c r="Y74" s="5788"/>
      <c r="Z74" s="5788"/>
      <c r="AA74" s="5788"/>
      <c r="AB74" s="5788"/>
      <c r="AC74" s="5782">
        <v>400</v>
      </c>
      <c r="AD74" s="5789">
        <v>400</v>
      </c>
      <c r="AE74" s="5789">
        <v>0</v>
      </c>
      <c r="AF74" s="5782">
        <v>401</v>
      </c>
      <c r="AG74" s="5782" t="s">
        <v>2129</v>
      </c>
      <c r="AH74" s="5782" t="s">
        <v>2129</v>
      </c>
      <c r="AI74" s="5782" t="s">
        <v>2129</v>
      </c>
      <c r="AJ74" s="5782" t="s">
        <v>2129</v>
      </c>
      <c r="AK74" s="5782" t="s">
        <v>2129</v>
      </c>
      <c r="AL74" s="5782" t="s">
        <v>2129</v>
      </c>
      <c r="AO74" s="5782" t="s">
        <v>2129</v>
      </c>
      <c r="AT74" s="5782" t="s">
        <v>2129</v>
      </c>
      <c r="AU74" s="5782" t="s">
        <v>2129</v>
      </c>
      <c r="AV74" s="5782" t="s">
        <v>2129</v>
      </c>
      <c r="AW74" s="5782" t="s">
        <v>2129</v>
      </c>
      <c r="AX74" s="5782" t="s">
        <v>2129</v>
      </c>
      <c r="AY74" s="5782" t="s">
        <v>2129</v>
      </c>
      <c r="AZ74" s="5782" t="s">
        <v>2129</v>
      </c>
      <c r="BA74" s="5782" t="s">
        <v>2129</v>
      </c>
      <c r="BB74" s="5782" t="s">
        <v>2129</v>
      </c>
      <c r="BC74" s="5782" t="s">
        <v>2129</v>
      </c>
      <c r="BD74" s="5782" t="s">
        <v>2129</v>
      </c>
      <c r="BE74" s="5788" t="s">
        <v>2129</v>
      </c>
      <c r="BG74" s="5788" t="s">
        <v>2129</v>
      </c>
      <c r="BH74" s="5788" t="s">
        <v>2129</v>
      </c>
      <c r="BI74" s="5788" t="s">
        <v>2129</v>
      </c>
      <c r="BJ74" s="5788" t="s">
        <v>2129</v>
      </c>
      <c r="BK74" s="5788" t="s">
        <v>2129</v>
      </c>
      <c r="BL74" s="5788" t="s">
        <v>2129</v>
      </c>
      <c r="BM74" s="5788" t="s">
        <v>2129</v>
      </c>
      <c r="BN74" s="5788" t="s">
        <v>2129</v>
      </c>
      <c r="BO74" s="5788" t="s">
        <v>2129</v>
      </c>
      <c r="BP74" s="5788" t="s">
        <v>2129</v>
      </c>
      <c r="BQ74" s="5788" t="s">
        <v>2129</v>
      </c>
      <c r="BR74" s="5788" t="s">
        <v>2129</v>
      </c>
      <c r="BS74" s="5788" t="s">
        <v>2129</v>
      </c>
      <c r="BT74" s="5788" t="s">
        <v>2129</v>
      </c>
      <c r="BU74" s="5788" t="s">
        <v>2129</v>
      </c>
      <c r="BV74" s="5788" t="s">
        <v>2129</v>
      </c>
      <c r="BW74" s="5788" t="s">
        <v>2129</v>
      </c>
      <c r="BX74" s="5788" t="s">
        <v>2129</v>
      </c>
      <c r="BY74" s="5788"/>
      <c r="BZ74" s="5788" t="s">
        <v>2129</v>
      </c>
      <c r="CA74" s="5788" t="s">
        <v>2129</v>
      </c>
      <c r="CB74" s="5788" t="s">
        <v>2129</v>
      </c>
      <c r="CC74" s="5788" t="s">
        <v>2129</v>
      </c>
      <c r="CD74" s="5788"/>
      <c r="CE74" s="5784"/>
    </row>
    <row r="75" spans="1:83" ht="13">
      <c r="A75">
        <v>139</v>
      </c>
      <c r="B75" s="196" t="s">
        <v>3306</v>
      </c>
      <c r="C75" s="5785" t="s">
        <v>2129</v>
      </c>
      <c r="D75" s="2694" t="s">
        <v>3791</v>
      </c>
      <c r="E75" s="2694" t="s">
        <v>2129</v>
      </c>
      <c r="F75" s="5785" t="s">
        <v>2129</v>
      </c>
      <c r="G75" s="5785" t="s">
        <v>2129</v>
      </c>
      <c r="H75" s="5785">
        <v>0</v>
      </c>
      <c r="I75" s="5785">
        <v>1</v>
      </c>
      <c r="J75" s="5785">
        <v>9</v>
      </c>
      <c r="K75" s="5785" t="s">
        <v>2129</v>
      </c>
      <c r="L75" s="5786">
        <v>35295</v>
      </c>
      <c r="M75" s="5786">
        <v>0</v>
      </c>
      <c r="N75" s="5786">
        <v>0</v>
      </c>
      <c r="O75" s="5786">
        <v>0</v>
      </c>
      <c r="P75" s="5786">
        <v>0</v>
      </c>
      <c r="Q75" s="2476">
        <v>38824.5</v>
      </c>
      <c r="R75" s="2477">
        <v>38824</v>
      </c>
      <c r="S75" s="2477" t="b">
        <v>0</v>
      </c>
      <c r="T75" s="5786">
        <v>38824</v>
      </c>
      <c r="U75" s="863">
        <v>12317498</v>
      </c>
      <c r="V75" s="863" t="b">
        <v>0</v>
      </c>
      <c r="W75" s="863">
        <v>58101.405660377357</v>
      </c>
      <c r="X75" s="863" t="s">
        <v>2129</v>
      </c>
      <c r="AC75">
        <v>212</v>
      </c>
      <c r="AD75" s="3965">
        <v>212</v>
      </c>
      <c r="AE75" s="3965">
        <v>0</v>
      </c>
      <c r="AF75">
        <v>246</v>
      </c>
      <c r="AG75" t="s">
        <v>2129</v>
      </c>
      <c r="AH75">
        <v>218</v>
      </c>
      <c r="AI75" t="s">
        <v>2129</v>
      </c>
      <c r="AJ75" t="s">
        <v>2129</v>
      </c>
      <c r="AK75" t="s">
        <v>2129</v>
      </c>
      <c r="AL75" t="s">
        <v>2129</v>
      </c>
      <c r="AO75" t="s">
        <v>2129</v>
      </c>
      <c r="AT75" t="s">
        <v>2129</v>
      </c>
      <c r="AU75" t="s">
        <v>2129</v>
      </c>
      <c r="AV75" t="s">
        <v>2129</v>
      </c>
      <c r="AW75" t="s">
        <v>2129</v>
      </c>
      <c r="AX75">
        <v>11</v>
      </c>
      <c r="AY75" t="s">
        <v>2129</v>
      </c>
      <c r="AZ75" t="s">
        <v>2129</v>
      </c>
      <c r="BA75" t="s">
        <v>2129</v>
      </c>
      <c r="BB75" t="s">
        <v>2129</v>
      </c>
      <c r="BC75" t="s">
        <v>2129</v>
      </c>
      <c r="BD75" t="s">
        <v>2129</v>
      </c>
      <c r="BE75" s="1958" t="s">
        <v>2129</v>
      </c>
      <c r="BF75"/>
      <c r="BG75" s="863" t="s">
        <v>2129</v>
      </c>
      <c r="BH75" s="863" t="s">
        <v>2129</v>
      </c>
      <c r="BI75" s="863" t="s">
        <v>2129</v>
      </c>
      <c r="BJ75" s="863" t="s">
        <v>2129</v>
      </c>
      <c r="BK75" s="863">
        <v>139327170.7735849</v>
      </c>
      <c r="BL75" s="863" t="s">
        <v>2129</v>
      </c>
      <c r="BM75" s="863" t="s">
        <v>2129</v>
      </c>
      <c r="BN75" s="863" t="s">
        <v>2129</v>
      </c>
      <c r="BO75" s="863" t="s">
        <v>2129</v>
      </c>
      <c r="BP75" s="863" t="s">
        <v>2129</v>
      </c>
      <c r="BQ75" s="863" t="s">
        <v>2129</v>
      </c>
      <c r="BR75" s="863" t="s">
        <v>2129</v>
      </c>
      <c r="BS75" s="863" t="s">
        <v>2129</v>
      </c>
      <c r="BT75" s="863" t="s">
        <v>2129</v>
      </c>
      <c r="BU75" s="863" t="s">
        <v>2129</v>
      </c>
      <c r="BV75" s="863" t="s">
        <v>2129</v>
      </c>
      <c r="BW75" s="863" t="s">
        <v>2129</v>
      </c>
      <c r="BX75" s="863" t="s">
        <v>2129</v>
      </c>
      <c r="BY75" s="863"/>
      <c r="BZ75" s="863" t="s">
        <v>2129</v>
      </c>
      <c r="CA75" s="863" t="s">
        <v>2129</v>
      </c>
      <c r="CB75" s="863" t="s">
        <v>2129</v>
      </c>
      <c r="CC75" s="863" t="s">
        <v>2129</v>
      </c>
      <c r="CD75" s="863"/>
      <c r="CE75" s="5785"/>
    </row>
    <row r="76" spans="1:83" ht="13">
      <c r="A76">
        <v>140</v>
      </c>
      <c r="B76" s="5796" t="s">
        <v>3307</v>
      </c>
      <c r="C76" s="5785" t="s">
        <v>2695</v>
      </c>
      <c r="D76" s="2694" t="s">
        <v>2129</v>
      </c>
      <c r="E76" s="2694" t="s">
        <v>2129</v>
      </c>
      <c r="F76" s="5785" t="s">
        <v>2129</v>
      </c>
      <c r="G76" s="2694" t="s">
        <v>2129</v>
      </c>
      <c r="H76" s="5785">
        <v>7</v>
      </c>
      <c r="I76" s="2694">
        <v>2</v>
      </c>
      <c r="J76" s="2694">
        <v>8</v>
      </c>
      <c r="K76" s="2694" t="s">
        <v>2129</v>
      </c>
      <c r="L76" s="2477">
        <v>776472</v>
      </c>
      <c r="M76" s="2477"/>
      <c r="N76" s="2477"/>
      <c r="O76" s="2477"/>
      <c r="P76" s="2477"/>
      <c r="Q76" s="2695"/>
      <c r="R76" s="2477">
        <v>854119</v>
      </c>
      <c r="S76" s="2477" t="b">
        <v>0</v>
      </c>
      <c r="T76" s="5786">
        <v>427059.5</v>
      </c>
      <c r="U76" s="1958">
        <v>1373454</v>
      </c>
      <c r="V76" s="1958" t="b">
        <v>1</v>
      </c>
      <c r="W76" s="863">
        <v>14159.319587628866</v>
      </c>
      <c r="X76" s="863" t="s">
        <v>2129</v>
      </c>
      <c r="AC76" t="s">
        <v>3308</v>
      </c>
      <c r="AD76" s="3965">
        <v>97</v>
      </c>
      <c r="AE76" s="3965" t="e">
        <v>#VALUE!</v>
      </c>
      <c r="AF76" t="s">
        <v>3308</v>
      </c>
      <c r="AG76">
        <v>97</v>
      </c>
      <c r="AH76" t="s">
        <v>2129</v>
      </c>
      <c r="AI76" t="s">
        <v>2129</v>
      </c>
      <c r="AJ76" t="s">
        <v>2129</v>
      </c>
      <c r="AK76" t="s">
        <v>2129</v>
      </c>
      <c r="AL76">
        <v>0</v>
      </c>
      <c r="AU76" t="s">
        <v>2129</v>
      </c>
      <c r="AV76">
        <v>18</v>
      </c>
      <c r="AZ76" t="s">
        <v>2129</v>
      </c>
      <c r="BA76" t="s">
        <v>2129</v>
      </c>
      <c r="BB76" t="s">
        <v>2129</v>
      </c>
      <c r="BC76" t="s">
        <v>2129</v>
      </c>
      <c r="BD76" t="s">
        <v>2129</v>
      </c>
      <c r="BF76"/>
      <c r="BG76" s="863" t="s">
        <v>2129</v>
      </c>
      <c r="BH76" s="863" t="s">
        <v>2129</v>
      </c>
      <c r="BI76" s="863">
        <v>24722172</v>
      </c>
      <c r="BJ76" s="863" t="s">
        <v>2129</v>
      </c>
      <c r="BK76" s="863" t="s">
        <v>2129</v>
      </c>
      <c r="BL76" s="863" t="s">
        <v>2129</v>
      </c>
      <c r="BM76" s="863" t="s">
        <v>2129</v>
      </c>
      <c r="BN76" s="863" t="s">
        <v>2129</v>
      </c>
      <c r="BO76" s="863" t="s">
        <v>2129</v>
      </c>
      <c r="BP76" s="863" t="s">
        <v>2129</v>
      </c>
      <c r="BQ76" s="863" t="s">
        <v>2129</v>
      </c>
      <c r="BR76" s="863" t="s">
        <v>2129</v>
      </c>
      <c r="BS76" s="863" t="s">
        <v>2129</v>
      </c>
      <c r="BT76" s="863" t="s">
        <v>2129</v>
      </c>
      <c r="BU76" s="863" t="s">
        <v>2129</v>
      </c>
      <c r="BV76" s="863" t="s">
        <v>2129</v>
      </c>
      <c r="BW76" s="863" t="s">
        <v>2129</v>
      </c>
      <c r="BX76" s="863" t="s">
        <v>2129</v>
      </c>
      <c r="BY76" s="863"/>
      <c r="BZ76" s="863" t="s">
        <v>2129</v>
      </c>
      <c r="CA76" s="863" t="s">
        <v>2129</v>
      </c>
      <c r="CB76" s="863" t="s">
        <v>2129</v>
      </c>
      <c r="CC76" s="863" t="s">
        <v>2129</v>
      </c>
      <c r="CD76" s="863"/>
      <c r="CE76" s="5785"/>
    </row>
    <row r="77" spans="1:83" s="5782" customFormat="1" ht="13">
      <c r="A77" s="5782">
        <v>141</v>
      </c>
      <c r="B77" s="5783" t="s">
        <v>3309</v>
      </c>
      <c r="C77" s="5784" t="s">
        <v>2129</v>
      </c>
      <c r="D77" s="5784" t="s">
        <v>2129</v>
      </c>
      <c r="E77" s="5784" t="s">
        <v>2129</v>
      </c>
      <c r="F77" s="5784" t="s">
        <v>2129</v>
      </c>
      <c r="G77" s="5784" t="s">
        <v>2129</v>
      </c>
      <c r="H77" s="5785">
        <v>6</v>
      </c>
      <c r="I77" s="2694">
        <v>3</v>
      </c>
      <c r="J77" s="2694">
        <v>19</v>
      </c>
      <c r="K77" s="2694" t="s">
        <v>2129</v>
      </c>
      <c r="L77" s="2477">
        <v>329414</v>
      </c>
      <c r="M77" s="2477">
        <v>0</v>
      </c>
      <c r="N77" s="2477">
        <v>0</v>
      </c>
      <c r="O77" s="2477">
        <v>0</v>
      </c>
      <c r="P77" s="2477">
        <v>0</v>
      </c>
      <c r="Q77" s="2695">
        <v>362355.4</v>
      </c>
      <c r="R77" s="2477">
        <v>362355</v>
      </c>
      <c r="S77" s="2477" t="b">
        <v>0</v>
      </c>
      <c r="T77" s="5786">
        <v>120785</v>
      </c>
      <c r="U77" s="5788">
        <v>2705243</v>
      </c>
      <c r="V77" s="5788" t="b">
        <v>1</v>
      </c>
      <c r="W77" s="5788">
        <v>27325.686868686869</v>
      </c>
      <c r="X77" s="5788" t="s">
        <v>2129</v>
      </c>
      <c r="Y77" s="5788"/>
      <c r="Z77" s="5788"/>
      <c r="AA77" s="5788"/>
      <c r="AB77" s="5788"/>
      <c r="AC77" s="5782" t="s">
        <v>3308</v>
      </c>
      <c r="AD77" s="5789">
        <v>99</v>
      </c>
      <c r="AE77" s="5782" t="e">
        <v>#VALUE!</v>
      </c>
      <c r="AF77" s="5782" t="s">
        <v>3308</v>
      </c>
      <c r="AG77" s="5782" t="s">
        <v>2129</v>
      </c>
      <c r="AH77" s="5782" t="s">
        <v>2129</v>
      </c>
      <c r="AI77" s="5782" t="s">
        <v>2129</v>
      </c>
      <c r="AJ77" s="5782" t="s">
        <v>2129</v>
      </c>
      <c r="AK77" s="5782" t="s">
        <v>2129</v>
      </c>
      <c r="AL77" s="5782" t="s">
        <v>2129</v>
      </c>
      <c r="AO77" s="5782" t="s">
        <v>2129</v>
      </c>
      <c r="AT77" s="5782" t="s">
        <v>2129</v>
      </c>
      <c r="AU77" s="5782" t="s">
        <v>2129</v>
      </c>
      <c r="AV77" s="5782" t="s">
        <v>2129</v>
      </c>
      <c r="AW77" s="5782" t="s">
        <v>2129</v>
      </c>
      <c r="AX77" s="5782" t="s">
        <v>2129</v>
      </c>
      <c r="AY77" s="5782" t="s">
        <v>2129</v>
      </c>
      <c r="AZ77" s="5782" t="s">
        <v>2129</v>
      </c>
      <c r="BA77" s="5782" t="s">
        <v>2129</v>
      </c>
      <c r="BB77" s="5782" t="s">
        <v>2129</v>
      </c>
      <c r="BC77" s="5782" t="s">
        <v>2129</v>
      </c>
      <c r="BD77" s="5782" t="s">
        <v>2129</v>
      </c>
      <c r="BE77" s="5788" t="s">
        <v>2129</v>
      </c>
      <c r="BG77" s="5788" t="s">
        <v>2129</v>
      </c>
      <c r="BH77" s="5788" t="s">
        <v>2129</v>
      </c>
      <c r="BI77" s="5788" t="s">
        <v>2129</v>
      </c>
      <c r="BJ77" s="5788" t="s">
        <v>2129</v>
      </c>
      <c r="BK77" s="5788" t="s">
        <v>2129</v>
      </c>
      <c r="BL77" s="5788" t="s">
        <v>2129</v>
      </c>
      <c r="BM77" s="5788" t="s">
        <v>2129</v>
      </c>
      <c r="BN77" s="5788" t="s">
        <v>2129</v>
      </c>
      <c r="BO77" s="5788" t="s">
        <v>2129</v>
      </c>
      <c r="BP77" s="5788" t="s">
        <v>2129</v>
      </c>
      <c r="BQ77" s="5788" t="s">
        <v>2129</v>
      </c>
      <c r="BR77" s="5788" t="s">
        <v>2129</v>
      </c>
      <c r="BS77" s="5788" t="s">
        <v>2129</v>
      </c>
      <c r="BT77" s="5788" t="s">
        <v>2129</v>
      </c>
      <c r="BU77" s="5788" t="s">
        <v>2129</v>
      </c>
      <c r="BV77" s="5788" t="s">
        <v>2129</v>
      </c>
      <c r="BW77" s="5788" t="s">
        <v>2129</v>
      </c>
      <c r="BX77" s="5788" t="s">
        <v>2129</v>
      </c>
      <c r="BY77" s="5788"/>
      <c r="BZ77" s="5788" t="s">
        <v>2129</v>
      </c>
      <c r="CA77" s="5788" t="s">
        <v>2129</v>
      </c>
      <c r="CB77" s="5788" t="s">
        <v>2129</v>
      </c>
      <c r="CC77" s="5788" t="s">
        <v>2129</v>
      </c>
      <c r="CD77" s="5788"/>
      <c r="CE77" s="5784"/>
    </row>
    <row r="78" spans="1:83" s="5782" customFormat="1" ht="13">
      <c r="A78" s="5782">
        <v>146</v>
      </c>
      <c r="B78" s="5783" t="s">
        <v>3310</v>
      </c>
      <c r="C78" s="5784" t="s">
        <v>2129</v>
      </c>
      <c r="D78" s="5784" t="s">
        <v>2129</v>
      </c>
      <c r="E78" s="5784" t="s">
        <v>2129</v>
      </c>
      <c r="F78" s="5784" t="s">
        <v>2129</v>
      </c>
      <c r="G78" s="5784" t="s">
        <v>2129</v>
      </c>
      <c r="H78" s="5785">
        <v>0</v>
      </c>
      <c r="I78" s="2694">
        <v>0</v>
      </c>
      <c r="J78" s="2694">
        <v>0</v>
      </c>
      <c r="K78" s="2694" t="s">
        <v>2129</v>
      </c>
      <c r="L78" s="2477">
        <v>0</v>
      </c>
      <c r="M78" s="2477">
        <v>0</v>
      </c>
      <c r="N78" s="2477">
        <v>0</v>
      </c>
      <c r="O78" s="2477">
        <v>0</v>
      </c>
      <c r="P78" s="2477">
        <v>0</v>
      </c>
      <c r="Q78" s="2695">
        <v>0</v>
      </c>
      <c r="R78" s="2477">
        <v>0</v>
      </c>
      <c r="S78" s="2477" t="b">
        <v>1</v>
      </c>
      <c r="T78" s="5786" t="s">
        <v>2129</v>
      </c>
      <c r="U78" s="5788">
        <v>1801162</v>
      </c>
      <c r="V78" s="5788" t="b">
        <v>1</v>
      </c>
      <c r="W78" s="5788">
        <v>30019.366666666665</v>
      </c>
      <c r="X78" s="5788" t="s">
        <v>2129</v>
      </c>
      <c r="Y78" s="5788"/>
      <c r="Z78" s="5788"/>
      <c r="AA78" s="5788"/>
      <c r="AB78" s="5788"/>
      <c r="AC78" s="5782">
        <v>143</v>
      </c>
      <c r="AD78" s="5789">
        <v>60</v>
      </c>
      <c r="AE78" s="5789">
        <v>83</v>
      </c>
      <c r="AF78" s="5782">
        <v>175</v>
      </c>
      <c r="AG78" s="5782" t="s">
        <v>2129</v>
      </c>
      <c r="AH78" s="5782" t="s">
        <v>2129</v>
      </c>
      <c r="AI78" s="5782" t="s">
        <v>2129</v>
      </c>
      <c r="AJ78" s="5782" t="s">
        <v>2129</v>
      </c>
      <c r="AK78" s="5782" t="s">
        <v>2129</v>
      </c>
      <c r="AL78" s="5782" t="s">
        <v>2129</v>
      </c>
      <c r="AO78" s="5782" t="s">
        <v>2129</v>
      </c>
      <c r="AT78" s="5782" t="s">
        <v>2129</v>
      </c>
      <c r="AU78" s="5782" t="s">
        <v>2129</v>
      </c>
      <c r="AV78" s="5782" t="s">
        <v>2129</v>
      </c>
      <c r="AW78" s="5782" t="s">
        <v>2129</v>
      </c>
      <c r="AX78" s="5782" t="s">
        <v>2129</v>
      </c>
      <c r="AY78" s="5782" t="s">
        <v>2129</v>
      </c>
      <c r="AZ78" s="5782" t="s">
        <v>2129</v>
      </c>
      <c r="BA78" s="5782" t="s">
        <v>2129</v>
      </c>
      <c r="BB78" s="5782" t="s">
        <v>2129</v>
      </c>
      <c r="BC78" s="5782" t="s">
        <v>2129</v>
      </c>
      <c r="BD78" s="5782" t="s">
        <v>2129</v>
      </c>
      <c r="BE78" s="5788" t="s">
        <v>2129</v>
      </c>
      <c r="BG78" s="5788" t="s">
        <v>2129</v>
      </c>
      <c r="BH78" s="5788" t="s">
        <v>2129</v>
      </c>
      <c r="BI78" s="5788" t="s">
        <v>2129</v>
      </c>
      <c r="BJ78" s="5788" t="s">
        <v>2129</v>
      </c>
      <c r="BK78" s="5788" t="s">
        <v>2129</v>
      </c>
      <c r="BL78" s="5788" t="s">
        <v>2129</v>
      </c>
      <c r="BM78" s="5788" t="s">
        <v>2129</v>
      </c>
      <c r="BN78" s="5788" t="s">
        <v>2129</v>
      </c>
      <c r="BO78" s="5788" t="s">
        <v>2129</v>
      </c>
      <c r="BP78" s="5788" t="s">
        <v>2129</v>
      </c>
      <c r="BQ78" s="5788" t="s">
        <v>2129</v>
      </c>
      <c r="BR78" s="5788" t="s">
        <v>2129</v>
      </c>
      <c r="BS78" s="5788" t="s">
        <v>2129</v>
      </c>
      <c r="BT78" s="5788" t="s">
        <v>2129</v>
      </c>
      <c r="BU78" s="5788" t="s">
        <v>2129</v>
      </c>
      <c r="BV78" s="5788" t="s">
        <v>2129</v>
      </c>
      <c r="BW78" s="5788" t="s">
        <v>2129</v>
      </c>
      <c r="BX78" s="5788" t="s">
        <v>2129</v>
      </c>
      <c r="BY78" s="5788"/>
      <c r="BZ78" s="5788" t="s">
        <v>2129</v>
      </c>
      <c r="CA78" s="5788" t="s">
        <v>2129</v>
      </c>
      <c r="CB78" s="5788" t="s">
        <v>2129</v>
      </c>
      <c r="CC78" s="5788" t="s">
        <v>2129</v>
      </c>
      <c r="CD78" s="5788"/>
      <c r="CE78" s="5784"/>
    </row>
    <row r="79" spans="1:83" ht="13">
      <c r="A79">
        <v>154</v>
      </c>
      <c r="B79" s="5795" t="s">
        <v>3311</v>
      </c>
      <c r="C79" s="5785" t="s">
        <v>3694</v>
      </c>
      <c r="D79" s="2694" t="s">
        <v>2129</v>
      </c>
      <c r="E79" s="2694" t="s">
        <v>2129</v>
      </c>
      <c r="F79" s="5785" t="s">
        <v>2129</v>
      </c>
      <c r="G79" s="2694" t="s">
        <v>2129</v>
      </c>
      <c r="H79" s="5785">
        <v>0</v>
      </c>
      <c r="I79" s="2694">
        <v>0</v>
      </c>
      <c r="J79" s="2694">
        <v>8</v>
      </c>
      <c r="K79" s="2694" t="s">
        <v>2129</v>
      </c>
      <c r="L79" s="2477">
        <v>0</v>
      </c>
      <c r="M79" s="2477">
        <v>0</v>
      </c>
      <c r="N79" s="2477">
        <v>0</v>
      </c>
      <c r="O79" s="2477">
        <v>0</v>
      </c>
      <c r="P79" s="2477">
        <v>0</v>
      </c>
      <c r="Q79" s="2695">
        <v>0</v>
      </c>
      <c r="R79" s="2477">
        <v>0</v>
      </c>
      <c r="S79" s="2477" t="b">
        <v>1</v>
      </c>
      <c r="T79" s="5786" t="s">
        <v>2129</v>
      </c>
      <c r="U79" s="1958">
        <v>2788236</v>
      </c>
      <c r="V79" s="1958" t="b">
        <v>1</v>
      </c>
      <c r="W79" s="863">
        <v>34852.949999999997</v>
      </c>
      <c r="X79" s="863" t="s">
        <v>2129</v>
      </c>
      <c r="AC79">
        <v>246</v>
      </c>
      <c r="AD79" s="3965">
        <v>80</v>
      </c>
      <c r="AE79" s="3965">
        <v>166</v>
      </c>
      <c r="AF79">
        <v>342</v>
      </c>
      <c r="AG79">
        <v>80</v>
      </c>
      <c r="AH79" t="s">
        <v>2129</v>
      </c>
      <c r="AI79" t="s">
        <v>2129</v>
      </c>
      <c r="AJ79" t="s">
        <v>2129</v>
      </c>
      <c r="AK79" t="s">
        <v>2129</v>
      </c>
      <c r="AL79">
        <v>0</v>
      </c>
      <c r="AO79" t="s">
        <v>2129</v>
      </c>
      <c r="AT79" t="s">
        <v>2129</v>
      </c>
      <c r="AU79" t="s">
        <v>2129</v>
      </c>
      <c r="AV79" t="s">
        <v>2129</v>
      </c>
      <c r="AW79">
        <v>32</v>
      </c>
      <c r="AX79" t="s">
        <v>2129</v>
      </c>
      <c r="AY79" t="s">
        <v>2129</v>
      </c>
      <c r="AZ79" t="s">
        <v>2129</v>
      </c>
      <c r="BA79" t="s">
        <v>2129</v>
      </c>
      <c r="BB79" t="s">
        <v>2129</v>
      </c>
      <c r="BC79" t="s">
        <v>2129</v>
      </c>
      <c r="BD79" t="s">
        <v>2129</v>
      </c>
      <c r="BE79" s="1958" t="s">
        <v>2129</v>
      </c>
      <c r="BF79"/>
      <c r="BG79" s="863" t="s">
        <v>2129</v>
      </c>
      <c r="BH79" s="863">
        <v>89223552</v>
      </c>
      <c r="BI79" s="863" t="s">
        <v>2129</v>
      </c>
      <c r="BJ79" s="863" t="s">
        <v>2129</v>
      </c>
      <c r="BK79" s="863" t="s">
        <v>2129</v>
      </c>
      <c r="BL79" s="863" t="s">
        <v>2129</v>
      </c>
      <c r="BM79" s="863" t="s">
        <v>2129</v>
      </c>
      <c r="BN79" s="863" t="s">
        <v>2129</v>
      </c>
      <c r="BO79" s="863" t="s">
        <v>2129</v>
      </c>
      <c r="BP79" s="863" t="s">
        <v>2129</v>
      </c>
      <c r="BQ79" s="863" t="s">
        <v>2129</v>
      </c>
      <c r="BR79" s="863" t="s">
        <v>2129</v>
      </c>
      <c r="BS79" s="863" t="s">
        <v>2129</v>
      </c>
      <c r="BT79" s="863" t="s">
        <v>2129</v>
      </c>
      <c r="BU79" s="863" t="s">
        <v>2129</v>
      </c>
      <c r="BV79" s="863" t="s">
        <v>2129</v>
      </c>
      <c r="BW79" s="863" t="s">
        <v>2129</v>
      </c>
      <c r="BX79" s="863" t="s">
        <v>2129</v>
      </c>
      <c r="BY79" s="863"/>
      <c r="BZ79" s="863" t="s">
        <v>2129</v>
      </c>
      <c r="CA79" s="863" t="s">
        <v>2129</v>
      </c>
      <c r="CB79" s="863" t="s">
        <v>2129</v>
      </c>
      <c r="CC79" s="863" t="s">
        <v>2129</v>
      </c>
      <c r="CD79" s="863"/>
      <c r="CE79" s="5785"/>
    </row>
    <row r="80" spans="1:83" ht="13">
      <c r="A80">
        <v>158</v>
      </c>
      <c r="B80" s="5795" t="s">
        <v>3313</v>
      </c>
      <c r="C80" s="5785" t="s">
        <v>2695</v>
      </c>
      <c r="D80" s="2694" t="s">
        <v>2129</v>
      </c>
      <c r="E80" s="2694" t="s">
        <v>2129</v>
      </c>
      <c r="F80" s="5785" t="s">
        <v>2129</v>
      </c>
      <c r="G80" s="2694" t="s">
        <v>2129</v>
      </c>
      <c r="H80" s="5785">
        <v>0</v>
      </c>
      <c r="I80" s="2694">
        <v>0</v>
      </c>
      <c r="J80" s="2694">
        <v>8</v>
      </c>
      <c r="K80" s="2694" t="s">
        <v>2129</v>
      </c>
      <c r="L80" s="2477">
        <v>0</v>
      </c>
      <c r="M80" s="2477">
        <v>0</v>
      </c>
      <c r="N80" s="2477">
        <v>0</v>
      </c>
      <c r="O80" s="2477">
        <v>0</v>
      </c>
      <c r="P80" s="2477">
        <v>0</v>
      </c>
      <c r="Q80" s="2695">
        <v>0</v>
      </c>
      <c r="R80" s="2477">
        <v>0</v>
      </c>
      <c r="S80" s="2477" t="b">
        <v>1</v>
      </c>
      <c r="T80" s="5786" t="s">
        <v>2129</v>
      </c>
      <c r="U80" s="1958">
        <v>2929250</v>
      </c>
      <c r="V80" s="1958" t="b">
        <v>1</v>
      </c>
      <c r="W80" s="863">
        <v>13018.888888888889</v>
      </c>
      <c r="X80" s="863" t="s">
        <v>2129</v>
      </c>
      <c r="AC80">
        <v>225</v>
      </c>
      <c r="AD80" s="3965">
        <v>225</v>
      </c>
      <c r="AE80" s="3965">
        <v>0</v>
      </c>
      <c r="AF80">
        <v>237</v>
      </c>
      <c r="AG80">
        <v>225</v>
      </c>
      <c r="AH80" t="s">
        <v>2129</v>
      </c>
      <c r="AI80" t="s">
        <v>2129</v>
      </c>
      <c r="AJ80" t="s">
        <v>2129</v>
      </c>
      <c r="AK80" t="s">
        <v>2129</v>
      </c>
      <c r="AL80">
        <v>0</v>
      </c>
      <c r="AO80" t="s">
        <v>2129</v>
      </c>
      <c r="AT80" t="s">
        <v>2129</v>
      </c>
      <c r="AU80" t="s">
        <v>2129</v>
      </c>
      <c r="AV80">
        <v>18</v>
      </c>
      <c r="AW80" t="s">
        <v>2129</v>
      </c>
      <c r="AX80" t="s">
        <v>2129</v>
      </c>
      <c r="AY80" t="s">
        <v>2129</v>
      </c>
      <c r="AZ80" t="s">
        <v>2129</v>
      </c>
      <c r="BA80" t="s">
        <v>2129</v>
      </c>
      <c r="BB80" t="s">
        <v>2129</v>
      </c>
      <c r="BC80" t="s">
        <v>2129</v>
      </c>
      <c r="BD80" t="s">
        <v>2129</v>
      </c>
      <c r="BE80" s="1958" t="s">
        <v>2129</v>
      </c>
      <c r="BF80"/>
      <c r="BG80" s="863" t="s">
        <v>2129</v>
      </c>
      <c r="BH80" s="863" t="s">
        <v>2129</v>
      </c>
      <c r="BI80" s="863">
        <v>52726500</v>
      </c>
      <c r="BJ80" s="863" t="s">
        <v>2129</v>
      </c>
      <c r="BK80" s="863" t="s">
        <v>2129</v>
      </c>
      <c r="BL80" s="863" t="s">
        <v>2129</v>
      </c>
      <c r="BM80" s="863" t="s">
        <v>2129</v>
      </c>
      <c r="BN80" s="863" t="s">
        <v>2129</v>
      </c>
      <c r="BO80" s="863" t="s">
        <v>2129</v>
      </c>
      <c r="BP80" s="863" t="s">
        <v>2129</v>
      </c>
      <c r="BQ80" s="863" t="s">
        <v>2129</v>
      </c>
      <c r="BR80" s="863" t="s">
        <v>2129</v>
      </c>
      <c r="BS80" s="863" t="s">
        <v>2129</v>
      </c>
      <c r="BT80" s="863" t="s">
        <v>2129</v>
      </c>
      <c r="BU80" s="863" t="s">
        <v>2129</v>
      </c>
      <c r="BV80" s="863" t="s">
        <v>2129</v>
      </c>
      <c r="BW80" s="863" t="s">
        <v>2129</v>
      </c>
      <c r="BX80" s="863" t="s">
        <v>2129</v>
      </c>
      <c r="BY80" s="863"/>
      <c r="BZ80" s="863" t="s">
        <v>2129</v>
      </c>
      <c r="CA80" s="863" t="s">
        <v>2129</v>
      </c>
      <c r="CB80" s="863" t="s">
        <v>2129</v>
      </c>
      <c r="CC80" s="863" t="s">
        <v>2129</v>
      </c>
      <c r="CD80" s="863"/>
      <c r="CE80" s="5785"/>
    </row>
    <row r="81" spans="1:83" ht="13">
      <c r="A81">
        <v>159</v>
      </c>
      <c r="B81" s="5795" t="s">
        <v>3314</v>
      </c>
      <c r="C81" s="5785" t="s">
        <v>2695</v>
      </c>
      <c r="D81" s="2694" t="s">
        <v>2129</v>
      </c>
      <c r="E81" s="2694" t="s">
        <v>2129</v>
      </c>
      <c r="F81" s="5792" t="s">
        <v>2129</v>
      </c>
      <c r="G81" s="5792" t="s">
        <v>2129</v>
      </c>
      <c r="H81" s="5785">
        <v>8</v>
      </c>
      <c r="I81" s="2694">
        <v>0</v>
      </c>
      <c r="J81" s="5797">
        <v>8</v>
      </c>
      <c r="K81" s="2827" t="s">
        <v>2129</v>
      </c>
      <c r="L81" s="2477">
        <v>0</v>
      </c>
      <c r="M81" s="2477">
        <v>0</v>
      </c>
      <c r="N81" s="2477">
        <v>0</v>
      </c>
      <c r="O81" s="2477">
        <v>0</v>
      </c>
      <c r="P81" s="2477">
        <v>0</v>
      </c>
      <c r="Q81" s="2695">
        <v>0</v>
      </c>
      <c r="R81" s="2477">
        <v>0</v>
      </c>
      <c r="S81" s="2477" t="b">
        <v>1</v>
      </c>
      <c r="T81" s="5786" t="s">
        <v>2129</v>
      </c>
      <c r="U81" s="1958">
        <v>3360866</v>
      </c>
      <c r="V81" s="1958" t="b">
        <v>1</v>
      </c>
      <c r="W81" s="863">
        <v>44811.546666666669</v>
      </c>
      <c r="X81" s="863" t="s">
        <v>2129</v>
      </c>
      <c r="AC81">
        <v>216</v>
      </c>
      <c r="AD81" s="3965">
        <v>75</v>
      </c>
      <c r="AE81" s="3965">
        <v>141</v>
      </c>
      <c r="AF81">
        <v>333</v>
      </c>
      <c r="AG81">
        <v>216</v>
      </c>
      <c r="AH81" t="s">
        <v>2129</v>
      </c>
      <c r="AI81" t="s">
        <v>2129</v>
      </c>
      <c r="AJ81" s="1866" t="s">
        <v>2129</v>
      </c>
      <c r="AK81" t="s">
        <v>2129</v>
      </c>
      <c r="AL81">
        <v>141</v>
      </c>
      <c r="AO81" t="s">
        <v>2129</v>
      </c>
      <c r="AT81" t="s">
        <v>2129</v>
      </c>
      <c r="AU81" t="s">
        <v>2129</v>
      </c>
      <c r="AV81">
        <v>18</v>
      </c>
      <c r="AW81" t="s">
        <v>2129</v>
      </c>
      <c r="AX81" t="s">
        <v>2129</v>
      </c>
      <c r="AY81" t="s">
        <v>2129</v>
      </c>
      <c r="AZ81" t="s">
        <v>2129</v>
      </c>
      <c r="BA81" t="s">
        <v>2129</v>
      </c>
      <c r="BB81" t="s">
        <v>2129</v>
      </c>
      <c r="BC81" t="s">
        <v>2129</v>
      </c>
      <c r="BD81" t="s">
        <v>2129</v>
      </c>
      <c r="BE81" s="1958" t="s">
        <v>2129</v>
      </c>
      <c r="BF81"/>
      <c r="BG81" s="863" t="s">
        <v>2129</v>
      </c>
      <c r="BH81" s="863" t="s">
        <v>2129</v>
      </c>
      <c r="BI81" s="863">
        <v>174227293.44</v>
      </c>
      <c r="BJ81" s="863" t="s">
        <v>2129</v>
      </c>
      <c r="BK81" s="863" t="s">
        <v>2129</v>
      </c>
      <c r="BL81" s="863" t="s">
        <v>2129</v>
      </c>
      <c r="BM81" s="863" t="s">
        <v>2129</v>
      </c>
      <c r="BN81" s="863" t="s">
        <v>2129</v>
      </c>
      <c r="BO81" s="863" t="s">
        <v>2129</v>
      </c>
      <c r="BP81" s="863" t="s">
        <v>2129</v>
      </c>
      <c r="BQ81" s="863" t="s">
        <v>2129</v>
      </c>
      <c r="BR81" s="863" t="s">
        <v>2129</v>
      </c>
      <c r="BS81" s="863" t="s">
        <v>2129</v>
      </c>
      <c r="BT81" s="863" t="s">
        <v>2129</v>
      </c>
      <c r="BU81" s="863" t="s">
        <v>2129</v>
      </c>
      <c r="BV81" s="863" t="s">
        <v>2129</v>
      </c>
      <c r="BW81" s="863" t="s">
        <v>2129</v>
      </c>
      <c r="BX81" s="863" t="s">
        <v>2129</v>
      </c>
      <c r="BY81" s="863"/>
      <c r="BZ81" s="1958" t="s">
        <v>2129</v>
      </c>
      <c r="CA81" s="1958" t="s">
        <v>2129</v>
      </c>
      <c r="CB81" s="863" t="s">
        <v>2129</v>
      </c>
      <c r="CC81" s="863" t="s">
        <v>2129</v>
      </c>
      <c r="CD81" s="863"/>
      <c r="CE81" s="5785"/>
    </row>
    <row r="82" spans="1:83" ht="13">
      <c r="A82">
        <v>160</v>
      </c>
      <c r="B82" s="5795" t="s">
        <v>3315</v>
      </c>
      <c r="C82" s="5790" t="s">
        <v>6616</v>
      </c>
      <c r="D82" s="5790" t="s">
        <v>6599</v>
      </c>
      <c r="E82" s="5790" t="s">
        <v>2129</v>
      </c>
      <c r="F82" s="5785" t="s">
        <v>5205</v>
      </c>
      <c r="G82" s="2694" t="s">
        <v>2129</v>
      </c>
      <c r="H82" s="5785">
        <v>0</v>
      </c>
      <c r="I82" s="2694">
        <v>0</v>
      </c>
      <c r="J82" s="2694">
        <v>0</v>
      </c>
      <c r="K82" s="5785">
        <v>0</v>
      </c>
      <c r="L82" s="2477">
        <v>0</v>
      </c>
      <c r="M82" s="2477">
        <v>0</v>
      </c>
      <c r="N82" s="2477">
        <v>0</v>
      </c>
      <c r="O82" s="2477">
        <v>0</v>
      </c>
      <c r="P82" s="2477">
        <v>0</v>
      </c>
      <c r="Q82" s="2695">
        <v>0</v>
      </c>
      <c r="R82" s="2477">
        <v>0</v>
      </c>
      <c r="S82" s="2477" t="b">
        <v>1</v>
      </c>
      <c r="T82" s="5786" t="s">
        <v>2129</v>
      </c>
      <c r="U82" s="1958">
        <v>9987678</v>
      </c>
      <c r="V82" s="1958" t="b">
        <v>1</v>
      </c>
      <c r="W82" s="863">
        <v>41271.396694214876</v>
      </c>
      <c r="X82" s="863">
        <v>32047.73945130756</v>
      </c>
      <c r="Y82" s="863">
        <v>1800</v>
      </c>
      <c r="AA82" s="863">
        <v>36236</v>
      </c>
      <c r="AB82" s="863">
        <v>43295</v>
      </c>
      <c r="AC82">
        <v>242</v>
      </c>
      <c r="AD82" s="3965">
        <v>242</v>
      </c>
      <c r="AE82">
        <v>0</v>
      </c>
      <c r="AF82">
        <v>286</v>
      </c>
      <c r="AG82">
        <v>242</v>
      </c>
      <c r="AH82" t="s">
        <v>2129</v>
      </c>
      <c r="AI82" t="s">
        <v>2129</v>
      </c>
      <c r="AJ82" s="1866">
        <v>271</v>
      </c>
      <c r="AK82" t="s">
        <v>2129</v>
      </c>
      <c r="AL82">
        <v>0</v>
      </c>
      <c r="AO82">
        <v>29</v>
      </c>
      <c r="AT82">
        <v>25</v>
      </c>
      <c r="AU82">
        <v>24</v>
      </c>
      <c r="AV82" t="s">
        <v>2129</v>
      </c>
      <c r="AW82" t="s">
        <v>2129</v>
      </c>
      <c r="AX82" t="s">
        <v>2129</v>
      </c>
      <c r="AY82" t="s">
        <v>2129</v>
      </c>
      <c r="AZ82">
        <v>16</v>
      </c>
      <c r="BA82" t="s">
        <v>2129</v>
      </c>
      <c r="BB82" t="s">
        <v>2129</v>
      </c>
      <c r="BC82" t="s">
        <v>2129</v>
      </c>
      <c r="BD82" t="s">
        <v>2129</v>
      </c>
      <c r="BE82" s="1958">
        <v>249691950</v>
      </c>
      <c r="BF82" s="1958">
        <v>239704272</v>
      </c>
      <c r="BG82" s="1958" t="s">
        <v>2129</v>
      </c>
      <c r="BH82" s="1958" t="s">
        <v>2129</v>
      </c>
      <c r="BI82" s="1958" t="s">
        <v>2129</v>
      </c>
      <c r="BJ82" s="1958" t="s">
        <v>2129</v>
      </c>
      <c r="BK82" s="1958" t="s">
        <v>2129</v>
      </c>
      <c r="BL82" s="1958" t="s">
        <v>2129</v>
      </c>
      <c r="BM82" s="1958">
        <v>159802848</v>
      </c>
      <c r="BN82" s="863">
        <v>178952776.06611571</v>
      </c>
      <c r="BO82" s="863" t="s">
        <v>2129</v>
      </c>
      <c r="BP82" s="1958" t="s">
        <v>2129</v>
      </c>
      <c r="BQ82" s="1958" t="s">
        <v>2129</v>
      </c>
      <c r="BR82" s="1958" t="s">
        <v>2129</v>
      </c>
      <c r="BS82" s="1958" t="s">
        <v>2129</v>
      </c>
      <c r="BT82" s="1958" t="s">
        <v>2129</v>
      </c>
      <c r="BU82" s="1958" t="s">
        <v>2129</v>
      </c>
      <c r="BV82" s="1958" t="s">
        <v>2129</v>
      </c>
      <c r="BW82" s="1958" t="s">
        <v>2129</v>
      </c>
      <c r="BX82" s="1958" t="s">
        <v>2129</v>
      </c>
      <c r="BZ82" s="1958" t="s">
        <v>2129</v>
      </c>
      <c r="CA82" s="1958" t="s">
        <v>2129</v>
      </c>
      <c r="CB82" s="1958" t="s">
        <v>2129</v>
      </c>
      <c r="CC82" s="1958" t="s">
        <v>2129</v>
      </c>
      <c r="CE82" s="5785"/>
    </row>
    <row r="83" spans="1:83" ht="13">
      <c r="A83">
        <v>161</v>
      </c>
      <c r="B83" s="5795" t="s">
        <v>3316</v>
      </c>
      <c r="C83" s="5785" t="s">
        <v>3694</v>
      </c>
      <c r="D83" s="2694" t="s">
        <v>2129</v>
      </c>
      <c r="E83" s="2694" t="s">
        <v>2129</v>
      </c>
      <c r="F83" s="5785" t="s">
        <v>2129</v>
      </c>
      <c r="G83" s="2694" t="s">
        <v>2129</v>
      </c>
      <c r="H83" s="5785">
        <v>0</v>
      </c>
      <c r="I83" s="2694">
        <v>0</v>
      </c>
      <c r="J83" s="2694">
        <v>0</v>
      </c>
      <c r="K83" s="2694" t="s">
        <v>2129</v>
      </c>
      <c r="L83" s="2477">
        <v>0</v>
      </c>
      <c r="M83" s="2477">
        <v>0</v>
      </c>
      <c r="N83" s="2477">
        <v>0</v>
      </c>
      <c r="O83" s="2477">
        <v>0</v>
      </c>
      <c r="P83" s="2477">
        <v>0</v>
      </c>
      <c r="Q83" s="2695">
        <v>0</v>
      </c>
      <c r="R83" s="2477">
        <v>0</v>
      </c>
      <c r="S83" s="2477" t="b">
        <v>1</v>
      </c>
      <c r="T83" s="5786" t="s">
        <v>2129</v>
      </c>
      <c r="U83" s="1958">
        <v>2150874</v>
      </c>
      <c r="V83" s="1958" t="b">
        <v>1</v>
      </c>
      <c r="W83" s="863">
        <v>33090.369230769233</v>
      </c>
      <c r="X83" s="863" t="s">
        <v>2129</v>
      </c>
      <c r="AC83">
        <v>233</v>
      </c>
      <c r="AD83" s="3965">
        <v>65</v>
      </c>
      <c r="AE83" s="3965">
        <v>168</v>
      </c>
      <c r="AF83">
        <v>303</v>
      </c>
      <c r="AG83">
        <v>65</v>
      </c>
      <c r="AH83" t="s">
        <v>2129</v>
      </c>
      <c r="AI83" t="s">
        <v>2129</v>
      </c>
      <c r="AJ83" t="s">
        <v>2129</v>
      </c>
      <c r="AK83" t="s">
        <v>2129</v>
      </c>
      <c r="AL83">
        <v>0</v>
      </c>
      <c r="AO83" t="s">
        <v>2129</v>
      </c>
      <c r="AT83" t="s">
        <v>2129</v>
      </c>
      <c r="AU83" t="s">
        <v>2129</v>
      </c>
      <c r="AV83" t="s">
        <v>2129</v>
      </c>
      <c r="AW83">
        <v>32</v>
      </c>
      <c r="AX83" t="s">
        <v>2129</v>
      </c>
      <c r="AY83" t="s">
        <v>2129</v>
      </c>
      <c r="AZ83" t="s">
        <v>2129</v>
      </c>
      <c r="BA83" t="s">
        <v>2129</v>
      </c>
      <c r="BB83" t="s">
        <v>2129</v>
      </c>
      <c r="BC83" t="s">
        <v>2129</v>
      </c>
      <c r="BD83" t="s">
        <v>2129</v>
      </c>
      <c r="BE83" s="1958" t="s">
        <v>2129</v>
      </c>
      <c r="BF83"/>
      <c r="BG83" s="863" t="s">
        <v>2129</v>
      </c>
      <c r="BH83" s="863">
        <v>68827968</v>
      </c>
      <c r="BI83" s="863" t="s">
        <v>2129</v>
      </c>
      <c r="BJ83" s="863" t="s">
        <v>2129</v>
      </c>
      <c r="BK83" s="863" t="s">
        <v>2129</v>
      </c>
      <c r="BL83" s="863" t="s">
        <v>2129</v>
      </c>
      <c r="BM83" s="863" t="s">
        <v>2129</v>
      </c>
      <c r="BN83" s="863" t="s">
        <v>2129</v>
      </c>
      <c r="BO83" s="863" t="s">
        <v>2129</v>
      </c>
      <c r="BP83" s="863" t="s">
        <v>2129</v>
      </c>
      <c r="BQ83" s="863" t="s">
        <v>2129</v>
      </c>
      <c r="BR83" s="863" t="s">
        <v>2129</v>
      </c>
      <c r="BS83" s="863" t="s">
        <v>2129</v>
      </c>
      <c r="BT83" s="863" t="s">
        <v>2129</v>
      </c>
      <c r="BU83" s="863" t="s">
        <v>2129</v>
      </c>
      <c r="BV83" s="863" t="s">
        <v>2129</v>
      </c>
      <c r="BW83" s="863" t="s">
        <v>2129</v>
      </c>
      <c r="BX83" s="863" t="s">
        <v>2129</v>
      </c>
      <c r="BY83" s="863"/>
      <c r="BZ83" s="863" t="s">
        <v>2129</v>
      </c>
      <c r="CA83" s="863" t="s">
        <v>2129</v>
      </c>
      <c r="CB83" s="863" t="s">
        <v>2129</v>
      </c>
      <c r="CC83" s="863" t="s">
        <v>2129</v>
      </c>
      <c r="CD83" s="863"/>
      <c r="CE83" s="5785"/>
    </row>
    <row r="84" spans="1:83" s="5782" customFormat="1" ht="13">
      <c r="A84" s="5782">
        <v>167</v>
      </c>
      <c r="B84" s="5783" t="s">
        <v>3317</v>
      </c>
      <c r="C84" s="5784" t="s">
        <v>2129</v>
      </c>
      <c r="D84" s="5784" t="s">
        <v>2129</v>
      </c>
      <c r="E84" s="5784" t="s">
        <v>2129</v>
      </c>
      <c r="F84" s="5784" t="s">
        <v>2129</v>
      </c>
      <c r="G84" s="5784" t="s">
        <v>2129</v>
      </c>
      <c r="H84" s="5785">
        <v>0</v>
      </c>
      <c r="I84" s="2694">
        <v>0</v>
      </c>
      <c r="J84" s="2694">
        <v>0</v>
      </c>
      <c r="K84" s="2694" t="s">
        <v>2129</v>
      </c>
      <c r="L84" s="2477">
        <v>0</v>
      </c>
      <c r="M84" s="2477">
        <v>0</v>
      </c>
      <c r="N84" s="2477">
        <v>0</v>
      </c>
      <c r="O84" s="2477">
        <v>0</v>
      </c>
      <c r="P84" s="2477">
        <v>0</v>
      </c>
      <c r="Q84" s="2695">
        <v>0</v>
      </c>
      <c r="R84" s="2477">
        <v>0</v>
      </c>
      <c r="S84" s="2477" t="b">
        <v>1</v>
      </c>
      <c r="T84" s="5786" t="s">
        <v>2129</v>
      </c>
      <c r="U84" s="5788">
        <v>2143112</v>
      </c>
      <c r="V84" s="5788" t="b">
        <v>0</v>
      </c>
      <c r="W84" s="5788">
        <v>15874.903703703703</v>
      </c>
      <c r="X84" s="5788" t="s">
        <v>2129</v>
      </c>
      <c r="Y84" s="5788"/>
      <c r="Z84" s="5788"/>
      <c r="AA84" s="5788"/>
      <c r="AB84" s="5788"/>
      <c r="AC84" s="5782">
        <v>135</v>
      </c>
      <c r="AD84" s="5789">
        <v>135</v>
      </c>
      <c r="AE84" s="5789">
        <v>0</v>
      </c>
      <c r="AF84" s="5782">
        <v>153</v>
      </c>
      <c r="AG84" s="5782" t="s">
        <v>2129</v>
      </c>
      <c r="AH84" s="5782" t="s">
        <v>2129</v>
      </c>
      <c r="AI84" s="5782" t="s">
        <v>2129</v>
      </c>
      <c r="AJ84" s="5782" t="s">
        <v>2129</v>
      </c>
      <c r="AK84" s="5782" t="s">
        <v>2129</v>
      </c>
      <c r="AL84" s="5782" t="s">
        <v>2129</v>
      </c>
      <c r="AO84" s="5782" t="s">
        <v>2129</v>
      </c>
      <c r="AT84" s="5782" t="s">
        <v>2129</v>
      </c>
      <c r="AU84" s="5782" t="s">
        <v>2129</v>
      </c>
      <c r="AV84" s="5782" t="s">
        <v>2129</v>
      </c>
      <c r="AW84" s="5782" t="s">
        <v>2129</v>
      </c>
      <c r="AX84" s="5782" t="s">
        <v>2129</v>
      </c>
      <c r="AY84" s="5782" t="s">
        <v>2129</v>
      </c>
      <c r="AZ84" s="5782" t="s">
        <v>2129</v>
      </c>
      <c r="BA84" s="5782" t="s">
        <v>2129</v>
      </c>
      <c r="BB84" s="5782" t="s">
        <v>2129</v>
      </c>
      <c r="BC84" s="5782" t="s">
        <v>2129</v>
      </c>
      <c r="BD84" s="5782" t="s">
        <v>2129</v>
      </c>
      <c r="BE84" s="5788" t="s">
        <v>2129</v>
      </c>
      <c r="BG84" s="5788" t="s">
        <v>2129</v>
      </c>
      <c r="BH84" s="5788" t="s">
        <v>2129</v>
      </c>
      <c r="BI84" s="5788" t="s">
        <v>2129</v>
      </c>
      <c r="BJ84" s="5788" t="s">
        <v>2129</v>
      </c>
      <c r="BK84" s="5788" t="s">
        <v>2129</v>
      </c>
      <c r="BL84" s="5788" t="s">
        <v>2129</v>
      </c>
      <c r="BM84" s="5788" t="s">
        <v>2129</v>
      </c>
      <c r="BN84" s="5788" t="s">
        <v>2129</v>
      </c>
      <c r="BO84" s="5788" t="s">
        <v>2129</v>
      </c>
      <c r="BP84" s="5788" t="s">
        <v>2129</v>
      </c>
      <c r="BQ84" s="5788" t="s">
        <v>2129</v>
      </c>
      <c r="BR84" s="5788" t="s">
        <v>2129</v>
      </c>
      <c r="BS84" s="5788" t="s">
        <v>2129</v>
      </c>
      <c r="BT84" s="5788" t="s">
        <v>2129</v>
      </c>
      <c r="BU84" s="5788" t="s">
        <v>2129</v>
      </c>
      <c r="BV84" s="5788" t="s">
        <v>2129</v>
      </c>
      <c r="BW84" s="5788" t="s">
        <v>2129</v>
      </c>
      <c r="BX84" s="5788" t="s">
        <v>2129</v>
      </c>
      <c r="BY84" s="5788"/>
      <c r="BZ84" s="5788" t="s">
        <v>2129</v>
      </c>
      <c r="CA84" s="5788" t="s">
        <v>2129</v>
      </c>
      <c r="CB84" s="5788" t="s">
        <v>2129</v>
      </c>
      <c r="CC84" s="5788" t="s">
        <v>2129</v>
      </c>
      <c r="CD84" s="5788"/>
      <c r="CE84" s="5784"/>
    </row>
    <row r="85" spans="1:83" ht="13">
      <c r="A85">
        <v>168</v>
      </c>
      <c r="B85" s="5796" t="s">
        <v>3318</v>
      </c>
      <c r="C85" s="5785" t="s">
        <v>2695</v>
      </c>
      <c r="D85" s="2694" t="s">
        <v>2129</v>
      </c>
      <c r="E85" s="2694" t="s">
        <v>2129</v>
      </c>
      <c r="F85" s="5785" t="s">
        <v>2129</v>
      </c>
      <c r="G85" s="2694" t="s">
        <v>2129</v>
      </c>
      <c r="H85" s="5785">
        <v>0</v>
      </c>
      <c r="I85" s="2694">
        <v>0</v>
      </c>
      <c r="J85" s="2694">
        <v>0</v>
      </c>
      <c r="K85" s="2694" t="s">
        <v>2129</v>
      </c>
      <c r="L85" s="2477">
        <v>0</v>
      </c>
      <c r="M85" s="2477"/>
      <c r="N85" s="2477"/>
      <c r="O85" s="2477"/>
      <c r="P85" s="2477"/>
      <c r="Q85" s="2695"/>
      <c r="R85" s="2477">
        <v>0</v>
      </c>
      <c r="S85" s="2477" t="b">
        <v>1</v>
      </c>
      <c r="T85" s="5786" t="s">
        <v>2129</v>
      </c>
      <c r="U85" s="1958">
        <v>577830</v>
      </c>
      <c r="V85" s="1958" t="b">
        <v>1</v>
      </c>
      <c r="W85" s="863">
        <v>38522</v>
      </c>
      <c r="X85" s="863" t="s">
        <v>2129</v>
      </c>
      <c r="AC85" t="s">
        <v>3308</v>
      </c>
      <c r="AD85" s="3965">
        <v>15</v>
      </c>
      <c r="AE85" s="3965" t="e">
        <v>#VALUE!</v>
      </c>
      <c r="AF85" t="s">
        <v>3308</v>
      </c>
      <c r="AG85">
        <v>15</v>
      </c>
      <c r="AH85" t="s">
        <v>2129</v>
      </c>
      <c r="AI85" t="s">
        <v>2129</v>
      </c>
      <c r="AJ85" t="s">
        <v>2129</v>
      </c>
      <c r="AK85" t="s">
        <v>2129</v>
      </c>
      <c r="AL85">
        <v>0</v>
      </c>
      <c r="AT85" t="s">
        <v>2129</v>
      </c>
      <c r="AU85" t="s">
        <v>2129</v>
      </c>
      <c r="AV85">
        <v>18</v>
      </c>
      <c r="AW85" t="s">
        <v>2129</v>
      </c>
      <c r="AX85" t="s">
        <v>2129</v>
      </c>
      <c r="AY85" t="s">
        <v>2129</v>
      </c>
      <c r="AZ85" t="s">
        <v>2129</v>
      </c>
      <c r="BA85" t="s">
        <v>2129</v>
      </c>
      <c r="BB85" t="s">
        <v>2129</v>
      </c>
      <c r="BC85" t="s">
        <v>2129</v>
      </c>
      <c r="BD85" t="s">
        <v>2129</v>
      </c>
      <c r="BE85" s="1958" t="s">
        <v>2129</v>
      </c>
      <c r="BF85"/>
      <c r="BG85" s="863" t="s">
        <v>2129</v>
      </c>
      <c r="BH85" s="863" t="s">
        <v>2129</v>
      </c>
      <c r="BI85" s="863">
        <v>10400940</v>
      </c>
      <c r="BJ85" s="863" t="s">
        <v>2129</v>
      </c>
      <c r="BK85" s="863" t="s">
        <v>2129</v>
      </c>
      <c r="BL85" s="863" t="s">
        <v>2129</v>
      </c>
      <c r="BM85" s="863" t="s">
        <v>2129</v>
      </c>
      <c r="BN85" s="863" t="s">
        <v>2129</v>
      </c>
      <c r="BO85" s="863" t="s">
        <v>2129</v>
      </c>
      <c r="BP85" s="863" t="s">
        <v>2129</v>
      </c>
      <c r="BQ85" s="863" t="s">
        <v>2129</v>
      </c>
      <c r="BR85" s="863" t="s">
        <v>2129</v>
      </c>
      <c r="BS85" s="863" t="s">
        <v>2129</v>
      </c>
      <c r="BT85" s="863" t="s">
        <v>2129</v>
      </c>
      <c r="BU85" s="863" t="s">
        <v>2129</v>
      </c>
      <c r="BV85" s="863" t="s">
        <v>2129</v>
      </c>
      <c r="BW85" s="863" t="s">
        <v>2129</v>
      </c>
      <c r="BX85" s="863" t="s">
        <v>2129</v>
      </c>
      <c r="BY85" s="863"/>
      <c r="BZ85" s="863" t="s">
        <v>2129</v>
      </c>
      <c r="CA85" s="863" t="s">
        <v>2129</v>
      </c>
      <c r="CB85" s="863" t="s">
        <v>2129</v>
      </c>
      <c r="CC85" s="863" t="s">
        <v>2129</v>
      </c>
      <c r="CD85" s="863"/>
      <c r="CE85" s="5785"/>
    </row>
    <row r="86" spans="1:83" ht="13">
      <c r="A86">
        <v>172</v>
      </c>
      <c r="B86" s="196" t="s">
        <v>3319</v>
      </c>
      <c r="C86" s="5799" t="s">
        <v>6616</v>
      </c>
      <c r="D86" s="5799" t="s">
        <v>2129</v>
      </c>
      <c r="E86" s="5799" t="s">
        <v>2129</v>
      </c>
      <c r="F86" s="5785" t="s">
        <v>2129</v>
      </c>
      <c r="G86" s="5785" t="s">
        <v>2129</v>
      </c>
      <c r="H86" s="5785">
        <v>5</v>
      </c>
      <c r="I86" s="5785">
        <v>4</v>
      </c>
      <c r="J86" s="5785">
        <v>5</v>
      </c>
      <c r="K86" s="5785">
        <v>1</v>
      </c>
      <c r="L86" s="5786">
        <v>588237</v>
      </c>
      <c r="M86" s="5786">
        <v>0</v>
      </c>
      <c r="N86" s="5786">
        <v>0</v>
      </c>
      <c r="O86" s="5786">
        <v>0</v>
      </c>
      <c r="P86" s="5786">
        <v>0</v>
      </c>
      <c r="Q86" s="2476">
        <v>647060.70000000007</v>
      </c>
      <c r="R86" s="2477">
        <v>647060</v>
      </c>
      <c r="S86" s="2477" t="b">
        <v>0</v>
      </c>
      <c r="T86" s="5786">
        <v>161765</v>
      </c>
      <c r="U86" s="863">
        <v>2597712</v>
      </c>
      <c r="V86" s="863" t="b">
        <v>1</v>
      </c>
      <c r="W86" s="863">
        <v>12733.882352941177</v>
      </c>
      <c r="X86" s="863" t="s">
        <v>2129</v>
      </c>
      <c r="Y86" s="863">
        <v>1800</v>
      </c>
      <c r="AC86">
        <v>204</v>
      </c>
      <c r="AD86" s="3965">
        <v>204</v>
      </c>
      <c r="AE86" s="3965">
        <v>0</v>
      </c>
      <c r="AF86">
        <v>251</v>
      </c>
      <c r="AG86">
        <v>204</v>
      </c>
      <c r="AH86" t="s">
        <v>2129</v>
      </c>
      <c r="AI86" t="s">
        <v>2129</v>
      </c>
      <c r="AJ86" t="s">
        <v>2129</v>
      </c>
      <c r="AK86" t="s">
        <v>2129</v>
      </c>
      <c r="AL86">
        <v>0</v>
      </c>
      <c r="AO86" t="s">
        <v>2129</v>
      </c>
      <c r="AT86">
        <v>21</v>
      </c>
      <c r="AU86" t="s">
        <v>2129</v>
      </c>
      <c r="AV86" t="s">
        <v>2129</v>
      </c>
      <c r="AW86" t="s">
        <v>2129</v>
      </c>
      <c r="AX86" t="s">
        <v>2129</v>
      </c>
      <c r="AY86" t="s">
        <v>2129</v>
      </c>
      <c r="AZ86" t="s">
        <v>2129</v>
      </c>
      <c r="BA86" t="s">
        <v>2129</v>
      </c>
      <c r="BB86" t="s">
        <v>2129</v>
      </c>
      <c r="BC86" t="s">
        <v>2129</v>
      </c>
      <c r="BD86" t="s">
        <v>2129</v>
      </c>
      <c r="BE86" s="1958">
        <v>54551952</v>
      </c>
      <c r="BF86" s="1958" t="s">
        <v>2129</v>
      </c>
      <c r="BG86" s="1958" t="s">
        <v>2129</v>
      </c>
      <c r="BH86" s="1958" t="s">
        <v>2129</v>
      </c>
      <c r="BI86" s="1958" t="s">
        <v>2129</v>
      </c>
      <c r="BJ86" s="1958" t="s">
        <v>2129</v>
      </c>
      <c r="BK86" s="1958" t="s">
        <v>2129</v>
      </c>
      <c r="BL86" s="1958" t="s">
        <v>2129</v>
      </c>
      <c r="BM86" s="1958" t="s">
        <v>2129</v>
      </c>
      <c r="BN86" s="863" t="s">
        <v>2129</v>
      </c>
      <c r="BO86" s="863" t="s">
        <v>2129</v>
      </c>
      <c r="BP86" s="1958" t="s">
        <v>2129</v>
      </c>
      <c r="BQ86" s="1958" t="s">
        <v>2129</v>
      </c>
      <c r="BR86" s="1958" t="s">
        <v>2129</v>
      </c>
      <c r="BS86" s="1958" t="s">
        <v>2129</v>
      </c>
      <c r="BT86" s="1958" t="s">
        <v>2129</v>
      </c>
      <c r="BU86" s="1958">
        <v>13588260</v>
      </c>
      <c r="BV86" s="1958" t="s">
        <v>2129</v>
      </c>
      <c r="BW86" s="1958" t="s">
        <v>2129</v>
      </c>
      <c r="BX86" s="1958" t="s">
        <v>2129</v>
      </c>
      <c r="BZ86" s="1958" t="s">
        <v>2129</v>
      </c>
      <c r="CA86" s="1958" t="s">
        <v>2129</v>
      </c>
      <c r="CB86" s="1958" t="s">
        <v>2129</v>
      </c>
      <c r="CC86" s="1958" t="s">
        <v>2129</v>
      </c>
      <c r="CE86" s="5785"/>
    </row>
    <row r="87" spans="1:83" s="5782" customFormat="1" ht="13">
      <c r="A87" s="5782">
        <v>177</v>
      </c>
      <c r="B87" s="5783" t="s">
        <v>3320</v>
      </c>
      <c r="C87" s="5784" t="s">
        <v>2129</v>
      </c>
      <c r="D87" s="5784" t="s">
        <v>2129</v>
      </c>
      <c r="E87" s="5784" t="s">
        <v>2129</v>
      </c>
      <c r="F87" s="5784" t="s">
        <v>2129</v>
      </c>
      <c r="G87" s="5784" t="s">
        <v>2129</v>
      </c>
      <c r="H87" s="5785">
        <v>17</v>
      </c>
      <c r="I87" s="5785">
        <v>10</v>
      </c>
      <c r="J87" s="5785">
        <v>12</v>
      </c>
      <c r="K87" s="5785" t="s">
        <v>2129</v>
      </c>
      <c r="L87" s="5786">
        <v>744712</v>
      </c>
      <c r="M87" s="5786">
        <v>0</v>
      </c>
      <c r="N87" s="5786">
        <v>0</v>
      </c>
      <c r="O87" s="5786">
        <v>0</v>
      </c>
      <c r="P87" s="5786">
        <v>0</v>
      </c>
      <c r="Q87" s="2476">
        <v>819183.20000000007</v>
      </c>
      <c r="R87" s="2477">
        <v>819183</v>
      </c>
      <c r="S87" s="2477" t="b">
        <v>0</v>
      </c>
      <c r="T87" s="5786">
        <v>81918.3</v>
      </c>
      <c r="U87" s="5788">
        <v>874399</v>
      </c>
      <c r="V87" s="5788" t="b">
        <v>0</v>
      </c>
      <c r="W87" s="5788">
        <v>11978.068493150686</v>
      </c>
      <c r="X87" s="5788" t="s">
        <v>2129</v>
      </c>
      <c r="Y87" s="5788"/>
      <c r="Z87" s="5788"/>
      <c r="AA87" s="5788"/>
      <c r="AB87" s="5788"/>
      <c r="AC87" s="5782">
        <v>73</v>
      </c>
      <c r="AD87" s="5789">
        <v>73</v>
      </c>
      <c r="AE87" s="5789">
        <v>0</v>
      </c>
      <c r="AF87" s="5782">
        <v>99</v>
      </c>
      <c r="AG87" s="5782" t="s">
        <v>2129</v>
      </c>
      <c r="AH87" s="5782" t="s">
        <v>2129</v>
      </c>
      <c r="AI87" s="5782" t="s">
        <v>2129</v>
      </c>
      <c r="AJ87" s="5782" t="s">
        <v>2129</v>
      </c>
      <c r="AK87" s="5782" t="s">
        <v>2129</v>
      </c>
      <c r="AL87" s="5782" t="s">
        <v>2129</v>
      </c>
      <c r="AO87" s="5782" t="s">
        <v>2129</v>
      </c>
      <c r="AT87" s="5782" t="s">
        <v>2129</v>
      </c>
      <c r="AU87" s="5782" t="s">
        <v>2129</v>
      </c>
      <c r="AV87" s="5782" t="s">
        <v>2129</v>
      </c>
      <c r="AW87" s="5782" t="s">
        <v>2129</v>
      </c>
      <c r="AX87" s="5782" t="s">
        <v>2129</v>
      </c>
      <c r="AY87" s="5782" t="s">
        <v>2129</v>
      </c>
      <c r="AZ87" s="5782" t="s">
        <v>2129</v>
      </c>
      <c r="BA87" s="5782" t="s">
        <v>2129</v>
      </c>
      <c r="BB87" s="5782" t="s">
        <v>2129</v>
      </c>
      <c r="BC87" s="5782" t="s">
        <v>2129</v>
      </c>
      <c r="BD87" s="5782" t="s">
        <v>2129</v>
      </c>
      <c r="BE87" s="5788" t="s">
        <v>2129</v>
      </c>
      <c r="BG87" s="5788" t="s">
        <v>2129</v>
      </c>
      <c r="BH87" s="5788" t="s">
        <v>2129</v>
      </c>
      <c r="BI87" s="5788" t="s">
        <v>2129</v>
      </c>
      <c r="BJ87" s="5788" t="s">
        <v>2129</v>
      </c>
      <c r="BK87" s="5788" t="s">
        <v>2129</v>
      </c>
      <c r="BL87" s="5788" t="s">
        <v>2129</v>
      </c>
      <c r="BM87" s="5788" t="s">
        <v>2129</v>
      </c>
      <c r="BN87" s="5788" t="s">
        <v>2129</v>
      </c>
      <c r="BO87" s="5788" t="s">
        <v>2129</v>
      </c>
      <c r="BP87" s="5788" t="s">
        <v>2129</v>
      </c>
      <c r="BQ87" s="5788" t="s">
        <v>2129</v>
      </c>
      <c r="BR87" s="5788" t="s">
        <v>2129</v>
      </c>
      <c r="BS87" s="5788" t="s">
        <v>2129</v>
      </c>
      <c r="BT87" s="5788" t="s">
        <v>2129</v>
      </c>
      <c r="BU87" s="5788" t="s">
        <v>2129</v>
      </c>
      <c r="BV87" s="5788" t="s">
        <v>2129</v>
      </c>
      <c r="BW87" s="5788" t="s">
        <v>2129</v>
      </c>
      <c r="BX87" s="5788" t="s">
        <v>2129</v>
      </c>
      <c r="BY87" s="5788"/>
      <c r="BZ87" s="5788" t="s">
        <v>2129</v>
      </c>
      <c r="CA87" s="5788" t="s">
        <v>2129</v>
      </c>
      <c r="CB87" s="5788" t="s">
        <v>2129</v>
      </c>
      <c r="CC87" s="5788" t="s">
        <v>2129</v>
      </c>
      <c r="CD87" s="5788"/>
      <c r="CE87" s="5784"/>
    </row>
    <row r="88" spans="1:83" ht="13">
      <c r="A88">
        <v>179</v>
      </c>
      <c r="B88" s="5802" t="s">
        <v>3321</v>
      </c>
      <c r="C88" s="5785" t="s">
        <v>2129</v>
      </c>
      <c r="D88" s="5785" t="s">
        <v>2129</v>
      </c>
      <c r="E88" s="5785" t="s">
        <v>2129</v>
      </c>
      <c r="F88" s="5785" t="s">
        <v>2695</v>
      </c>
      <c r="G88" s="5785" t="s">
        <v>2129</v>
      </c>
      <c r="H88" s="5785">
        <v>0</v>
      </c>
      <c r="I88" s="5785">
        <v>0</v>
      </c>
      <c r="J88" s="5785">
        <v>2</v>
      </c>
      <c r="K88" s="5785" t="s">
        <v>2129</v>
      </c>
      <c r="L88" s="5786">
        <v>0</v>
      </c>
      <c r="M88" s="5786">
        <v>0</v>
      </c>
      <c r="N88" s="5786">
        <v>0</v>
      </c>
      <c r="O88" s="5786">
        <v>0</v>
      </c>
      <c r="P88" s="5786">
        <v>0</v>
      </c>
      <c r="Q88" s="2476">
        <v>0</v>
      </c>
      <c r="R88" s="2477">
        <v>0</v>
      </c>
      <c r="S88" s="2477" t="b">
        <v>1</v>
      </c>
      <c r="T88" s="5786" t="s">
        <v>2129</v>
      </c>
      <c r="U88" s="863">
        <v>27868771</v>
      </c>
      <c r="V88" s="863" t="b">
        <v>1</v>
      </c>
      <c r="W88" s="863">
        <v>85225.599388379211</v>
      </c>
      <c r="X88" s="863">
        <v>538526.97584541072</v>
      </c>
      <c r="AC88">
        <v>252</v>
      </c>
      <c r="AD88" s="3965">
        <v>327</v>
      </c>
      <c r="AE88" s="3965">
        <v>-75</v>
      </c>
      <c r="AF88">
        <v>193</v>
      </c>
      <c r="AG88" t="s">
        <v>2129</v>
      </c>
      <c r="AH88" t="s">
        <v>2129</v>
      </c>
      <c r="AI88" t="s">
        <v>2129</v>
      </c>
      <c r="AJ88">
        <v>45</v>
      </c>
      <c r="AK88" t="s">
        <v>2129</v>
      </c>
      <c r="AL88" t="s">
        <v>2129</v>
      </c>
      <c r="AO88">
        <v>-282</v>
      </c>
      <c r="AT88" t="s">
        <v>2129</v>
      </c>
      <c r="AU88" t="s">
        <v>2129</v>
      </c>
      <c r="AV88" t="s">
        <v>2129</v>
      </c>
      <c r="AW88" t="s">
        <v>2129</v>
      </c>
      <c r="AX88" t="s">
        <v>2129</v>
      </c>
      <c r="AY88" t="s">
        <v>2129</v>
      </c>
      <c r="AZ88" t="s">
        <v>2129</v>
      </c>
      <c r="BA88">
        <v>9</v>
      </c>
      <c r="BB88" t="s">
        <v>2129</v>
      </c>
      <c r="BC88" t="s">
        <v>2129</v>
      </c>
      <c r="BD88" t="s">
        <v>2129</v>
      </c>
      <c r="BE88" s="1958" t="s">
        <v>2129</v>
      </c>
      <c r="BF88"/>
      <c r="BG88" s="863" t="s">
        <v>2129</v>
      </c>
      <c r="BH88" s="863" t="s">
        <v>2129</v>
      </c>
      <c r="BI88" s="863" t="s">
        <v>2129</v>
      </c>
      <c r="BJ88" s="863" t="s">
        <v>2129</v>
      </c>
      <c r="BK88" s="863" t="s">
        <v>2129</v>
      </c>
      <c r="BL88" s="863" t="s">
        <v>2129</v>
      </c>
      <c r="BM88" s="863" t="s">
        <v>2129</v>
      </c>
      <c r="BN88" s="863" t="s">
        <v>2129</v>
      </c>
      <c r="BO88" s="863" t="s">
        <v>2129</v>
      </c>
      <c r="BP88" s="863" t="s">
        <v>2129</v>
      </c>
      <c r="BQ88" s="863" t="s">
        <v>2129</v>
      </c>
      <c r="BR88" s="863">
        <v>34516367.752293579</v>
      </c>
      <c r="BS88" s="863" t="s">
        <v>2129</v>
      </c>
      <c r="BT88" s="863" t="s">
        <v>2129</v>
      </c>
      <c r="BU88" s="863" t="s">
        <v>2129</v>
      </c>
      <c r="BV88" s="863" t="s">
        <v>2129</v>
      </c>
      <c r="BW88" s="863" t="s">
        <v>2129</v>
      </c>
      <c r="BX88" s="863" t="s">
        <v>2129</v>
      </c>
      <c r="BY88" s="863"/>
      <c r="BZ88" s="863" t="s">
        <v>2129</v>
      </c>
      <c r="CA88" s="863" t="s">
        <v>2129</v>
      </c>
      <c r="CB88" s="863" t="s">
        <v>2129</v>
      </c>
      <c r="CC88" s="863" t="s">
        <v>2129</v>
      </c>
      <c r="CD88" s="863"/>
      <c r="CE88" s="5785"/>
    </row>
    <row r="89" spans="1:83" ht="13">
      <c r="A89">
        <v>180</v>
      </c>
      <c r="B89" s="5802" t="s">
        <v>3322</v>
      </c>
      <c r="C89" s="5785" t="s">
        <v>2129</v>
      </c>
      <c r="D89" s="2694" t="s">
        <v>3791</v>
      </c>
      <c r="E89" s="2694" t="s">
        <v>2129</v>
      </c>
      <c r="F89" s="5785" t="s">
        <v>3791</v>
      </c>
      <c r="G89" s="5785" t="s">
        <v>2129</v>
      </c>
      <c r="H89" s="5785">
        <v>2</v>
      </c>
      <c r="I89" s="5785">
        <v>2</v>
      </c>
      <c r="J89" s="5785">
        <v>4</v>
      </c>
      <c r="K89" s="5785" t="s">
        <v>2129</v>
      </c>
      <c r="L89" s="5786">
        <v>705883</v>
      </c>
      <c r="M89" s="5786">
        <v>0</v>
      </c>
      <c r="N89" s="5786">
        <v>0</v>
      </c>
      <c r="O89" s="5786">
        <v>0</v>
      </c>
      <c r="P89" s="5786">
        <v>0</v>
      </c>
      <c r="Q89" s="2476">
        <v>776471.3</v>
      </c>
      <c r="R89" s="2477">
        <v>776471</v>
      </c>
      <c r="S89" s="2477" t="b">
        <v>0</v>
      </c>
      <c r="T89" s="5786">
        <v>388235.5</v>
      </c>
      <c r="U89" s="863">
        <v>3063249</v>
      </c>
      <c r="V89" s="863" t="b">
        <v>1</v>
      </c>
      <c r="W89" s="863">
        <v>17113.122905027933</v>
      </c>
      <c r="X89" s="863">
        <v>30617.181409295354</v>
      </c>
      <c r="AC89">
        <v>179</v>
      </c>
      <c r="AD89" s="3965">
        <v>179</v>
      </c>
      <c r="AE89" s="3965">
        <v>0</v>
      </c>
      <c r="AF89">
        <v>193</v>
      </c>
      <c r="AG89" t="s">
        <v>2129</v>
      </c>
      <c r="AH89">
        <v>125</v>
      </c>
      <c r="AI89" t="s">
        <v>2129</v>
      </c>
      <c r="AJ89">
        <v>87</v>
      </c>
      <c r="AK89" t="s">
        <v>2129</v>
      </c>
      <c r="AL89" t="s">
        <v>2129</v>
      </c>
      <c r="AO89">
        <v>-92</v>
      </c>
      <c r="AT89" t="s">
        <v>2129</v>
      </c>
      <c r="AU89" t="s">
        <v>2129</v>
      </c>
      <c r="AV89" t="s">
        <v>2129</v>
      </c>
      <c r="AW89" t="s">
        <v>2129</v>
      </c>
      <c r="AX89">
        <v>11</v>
      </c>
      <c r="AY89" t="s">
        <v>2129</v>
      </c>
      <c r="AZ89" t="s">
        <v>2129</v>
      </c>
      <c r="BA89" t="s">
        <v>2129</v>
      </c>
      <c r="BB89" t="s">
        <v>2129</v>
      </c>
      <c r="BC89">
        <v>10</v>
      </c>
      <c r="BD89" t="s">
        <v>2129</v>
      </c>
      <c r="BE89" s="1958" t="s">
        <v>2129</v>
      </c>
      <c r="BF89"/>
      <c r="BG89" s="863" t="s">
        <v>2129</v>
      </c>
      <c r="BH89" s="863" t="s">
        <v>2129</v>
      </c>
      <c r="BI89" s="863" t="s">
        <v>2129</v>
      </c>
      <c r="BJ89" s="863" t="s">
        <v>2129</v>
      </c>
      <c r="BK89" s="863">
        <v>23530543.994413409</v>
      </c>
      <c r="BL89" s="863" t="s">
        <v>2129</v>
      </c>
      <c r="BM89" s="863" t="s">
        <v>2129</v>
      </c>
      <c r="BN89" s="863" t="s">
        <v>2129</v>
      </c>
      <c r="BO89" s="863" t="s">
        <v>2129</v>
      </c>
      <c r="BP89" s="863" t="s">
        <v>2129</v>
      </c>
      <c r="BQ89" s="863" t="s">
        <v>2129</v>
      </c>
      <c r="BR89" s="863" t="s">
        <v>2129</v>
      </c>
      <c r="BS89" s="863">
        <v>14888416.927374301</v>
      </c>
      <c r="BT89" s="863" t="s">
        <v>2129</v>
      </c>
      <c r="BU89" s="863" t="s">
        <v>2129</v>
      </c>
      <c r="BV89" s="863" t="s">
        <v>2129</v>
      </c>
      <c r="BW89" s="863" t="s">
        <v>2129</v>
      </c>
      <c r="BX89" s="863" t="s">
        <v>2129</v>
      </c>
      <c r="BY89" s="863"/>
      <c r="BZ89" s="863" t="s">
        <v>2129</v>
      </c>
      <c r="CA89" s="863" t="s">
        <v>2129</v>
      </c>
      <c r="CB89" s="863" t="s">
        <v>2129</v>
      </c>
      <c r="CC89" s="863" t="s">
        <v>2129</v>
      </c>
      <c r="CD89" s="863"/>
      <c r="CE89" s="5785"/>
    </row>
    <row r="90" spans="1:83" ht="13">
      <c r="A90">
        <v>184</v>
      </c>
      <c r="B90" s="196" t="s">
        <v>3323</v>
      </c>
      <c r="C90" s="5785" t="s">
        <v>2129</v>
      </c>
      <c r="D90" s="2694" t="s">
        <v>3791</v>
      </c>
      <c r="E90" s="2694" t="s">
        <v>2129</v>
      </c>
      <c r="F90" s="5785" t="s">
        <v>2129</v>
      </c>
      <c r="G90" s="5785" t="s">
        <v>2129</v>
      </c>
      <c r="H90" s="5785">
        <v>1</v>
      </c>
      <c r="I90" s="5785">
        <v>0</v>
      </c>
      <c r="J90" s="5785">
        <v>2</v>
      </c>
      <c r="K90" s="5785" t="s">
        <v>2129</v>
      </c>
      <c r="L90" s="5786">
        <v>0</v>
      </c>
      <c r="M90" s="5786">
        <v>0</v>
      </c>
      <c r="N90" s="5786">
        <v>0</v>
      </c>
      <c r="O90" s="5786">
        <v>0</v>
      </c>
      <c r="P90" s="5786">
        <v>0</v>
      </c>
      <c r="Q90" s="2476">
        <v>0</v>
      </c>
      <c r="R90" s="2477">
        <v>0</v>
      </c>
      <c r="S90" s="2477" t="b">
        <v>1</v>
      </c>
      <c r="T90" s="5786" t="s">
        <v>2129</v>
      </c>
      <c r="U90" s="863">
        <v>793288</v>
      </c>
      <c r="V90" s="863" t="b">
        <v>1</v>
      </c>
      <c r="W90" s="863">
        <v>10577.173333333334</v>
      </c>
      <c r="X90" s="863" t="s">
        <v>2129</v>
      </c>
      <c r="AC90">
        <v>113</v>
      </c>
      <c r="AD90" s="3965">
        <v>75</v>
      </c>
      <c r="AE90" s="3965">
        <v>38</v>
      </c>
      <c r="AF90">
        <v>113</v>
      </c>
      <c r="AG90" t="s">
        <v>2129</v>
      </c>
      <c r="AH90">
        <v>64</v>
      </c>
      <c r="AI90" t="s">
        <v>2129</v>
      </c>
      <c r="AJ90" t="s">
        <v>2129</v>
      </c>
      <c r="AK90" t="s">
        <v>2129</v>
      </c>
      <c r="AL90" t="s">
        <v>2129</v>
      </c>
      <c r="AO90" t="s">
        <v>2129</v>
      </c>
      <c r="AT90" t="s">
        <v>2129</v>
      </c>
      <c r="AU90" t="s">
        <v>2129</v>
      </c>
      <c r="AV90" t="s">
        <v>2129</v>
      </c>
      <c r="AW90" t="s">
        <v>2129</v>
      </c>
      <c r="AX90">
        <v>11</v>
      </c>
      <c r="AY90" t="s">
        <v>2129</v>
      </c>
      <c r="AZ90" t="s">
        <v>2129</v>
      </c>
      <c r="BA90" t="s">
        <v>2129</v>
      </c>
      <c r="BB90" t="s">
        <v>2129</v>
      </c>
      <c r="BC90" t="s">
        <v>2129</v>
      </c>
      <c r="BD90" t="s">
        <v>2129</v>
      </c>
      <c r="BE90" s="1958" t="s">
        <v>2129</v>
      </c>
      <c r="BF90"/>
      <c r="BG90" s="863" t="s">
        <v>2129</v>
      </c>
      <c r="BH90" s="863" t="s">
        <v>2129</v>
      </c>
      <c r="BI90" s="863" t="s">
        <v>2129</v>
      </c>
      <c r="BJ90" s="863" t="s">
        <v>2129</v>
      </c>
      <c r="BK90" s="863">
        <v>7446330.0266666673</v>
      </c>
      <c r="BL90" s="863" t="s">
        <v>2129</v>
      </c>
      <c r="BM90" s="863" t="s">
        <v>2129</v>
      </c>
      <c r="BN90" s="863" t="s">
        <v>2129</v>
      </c>
      <c r="BO90" s="863" t="s">
        <v>2129</v>
      </c>
      <c r="BP90" s="863" t="s">
        <v>2129</v>
      </c>
      <c r="BQ90" s="863" t="s">
        <v>2129</v>
      </c>
      <c r="BR90" s="863" t="s">
        <v>2129</v>
      </c>
      <c r="BS90" s="863" t="s">
        <v>2129</v>
      </c>
      <c r="BT90" s="863" t="s">
        <v>2129</v>
      </c>
      <c r="BU90" s="863" t="s">
        <v>2129</v>
      </c>
      <c r="BV90" s="863" t="s">
        <v>2129</v>
      </c>
      <c r="BW90" s="863" t="s">
        <v>2129</v>
      </c>
      <c r="BX90" s="863" t="s">
        <v>2129</v>
      </c>
      <c r="BY90" s="863"/>
      <c r="BZ90" s="863" t="s">
        <v>2129</v>
      </c>
      <c r="CA90" s="863" t="s">
        <v>2129</v>
      </c>
      <c r="CB90" s="863" t="s">
        <v>2129</v>
      </c>
      <c r="CC90" s="863" t="s">
        <v>2129</v>
      </c>
      <c r="CD90" s="863"/>
      <c r="CE90" s="5785"/>
    </row>
    <row r="91" spans="1:83" s="5782" customFormat="1" ht="13">
      <c r="A91" s="5782">
        <v>186</v>
      </c>
      <c r="B91" s="5783" t="s">
        <v>3324</v>
      </c>
      <c r="C91" s="5784" t="s">
        <v>2129</v>
      </c>
      <c r="D91" s="5784" t="s">
        <v>2129</v>
      </c>
      <c r="E91" s="5784" t="s">
        <v>2129</v>
      </c>
      <c r="F91" s="5784" t="s">
        <v>2129</v>
      </c>
      <c r="G91" s="5784" t="s">
        <v>2129</v>
      </c>
      <c r="H91" s="5785">
        <v>0</v>
      </c>
      <c r="I91" s="5785">
        <v>0</v>
      </c>
      <c r="J91" s="5785">
        <v>2</v>
      </c>
      <c r="K91" s="5785" t="s">
        <v>2129</v>
      </c>
      <c r="L91" s="5786">
        <v>0</v>
      </c>
      <c r="M91" s="5786">
        <v>0</v>
      </c>
      <c r="N91" s="5786">
        <v>0</v>
      </c>
      <c r="O91" s="5786">
        <v>0</v>
      </c>
      <c r="P91" s="5786">
        <v>0</v>
      </c>
      <c r="Q91" s="2476">
        <v>0</v>
      </c>
      <c r="R91" s="2477">
        <v>0</v>
      </c>
      <c r="S91" s="2477" t="b">
        <v>1</v>
      </c>
      <c r="T91" s="5786" t="s">
        <v>2129</v>
      </c>
      <c r="U91" s="5788">
        <v>5351189</v>
      </c>
      <c r="V91" s="5788" t="b">
        <v>1</v>
      </c>
      <c r="W91" s="5788">
        <v>26103.360975609758</v>
      </c>
      <c r="X91" s="5788" t="s">
        <v>2129</v>
      </c>
      <c r="Y91" s="5788"/>
      <c r="Z91" s="5788"/>
      <c r="AA91" s="5788"/>
      <c r="AB91" s="5788"/>
      <c r="AC91" s="5782">
        <v>205</v>
      </c>
      <c r="AD91" s="5789">
        <v>205</v>
      </c>
      <c r="AE91" s="5789">
        <v>0</v>
      </c>
      <c r="AF91" s="5782">
        <v>205</v>
      </c>
      <c r="AG91" s="5782" t="s">
        <v>2129</v>
      </c>
      <c r="AH91" s="5782" t="s">
        <v>2129</v>
      </c>
      <c r="AI91" s="5782" t="s">
        <v>2129</v>
      </c>
      <c r="AJ91" s="5782" t="s">
        <v>2129</v>
      </c>
      <c r="AK91" s="5782" t="s">
        <v>2129</v>
      </c>
      <c r="AL91" s="5782" t="s">
        <v>2129</v>
      </c>
      <c r="AO91" s="5782" t="s">
        <v>2129</v>
      </c>
      <c r="AT91" s="5782" t="s">
        <v>2129</v>
      </c>
      <c r="AU91" s="5782" t="s">
        <v>2129</v>
      </c>
      <c r="AV91" s="5782" t="s">
        <v>2129</v>
      </c>
      <c r="AW91" s="5782" t="s">
        <v>2129</v>
      </c>
      <c r="AX91" s="5782" t="s">
        <v>2129</v>
      </c>
      <c r="AY91" s="5782" t="s">
        <v>2129</v>
      </c>
      <c r="AZ91" s="5782" t="s">
        <v>2129</v>
      </c>
      <c r="BA91" s="5782" t="s">
        <v>2129</v>
      </c>
      <c r="BB91" s="5782" t="s">
        <v>2129</v>
      </c>
      <c r="BC91" s="5782" t="s">
        <v>2129</v>
      </c>
      <c r="BD91" s="5782" t="s">
        <v>2129</v>
      </c>
      <c r="BE91" s="5788" t="s">
        <v>2129</v>
      </c>
      <c r="BG91" s="5788" t="s">
        <v>2129</v>
      </c>
      <c r="BH91" s="5788" t="s">
        <v>2129</v>
      </c>
      <c r="BI91" s="5788" t="s">
        <v>2129</v>
      </c>
      <c r="BJ91" s="5788" t="s">
        <v>2129</v>
      </c>
      <c r="BK91" s="5788" t="s">
        <v>2129</v>
      </c>
      <c r="BL91" s="5788" t="s">
        <v>2129</v>
      </c>
      <c r="BM91" s="5788" t="s">
        <v>2129</v>
      </c>
      <c r="BN91" s="5788" t="s">
        <v>2129</v>
      </c>
      <c r="BO91" s="5788" t="s">
        <v>2129</v>
      </c>
      <c r="BP91" s="5788" t="s">
        <v>2129</v>
      </c>
      <c r="BQ91" s="5788" t="s">
        <v>2129</v>
      </c>
      <c r="BR91" s="5788" t="s">
        <v>2129</v>
      </c>
      <c r="BS91" s="5788" t="s">
        <v>2129</v>
      </c>
      <c r="BT91" s="5788" t="s">
        <v>2129</v>
      </c>
      <c r="BU91" s="5788" t="s">
        <v>2129</v>
      </c>
      <c r="BV91" s="5788" t="s">
        <v>2129</v>
      </c>
      <c r="BW91" s="5788" t="s">
        <v>2129</v>
      </c>
      <c r="BX91" s="5788" t="s">
        <v>2129</v>
      </c>
      <c r="BY91" s="5788"/>
      <c r="BZ91" s="5788" t="s">
        <v>2129</v>
      </c>
      <c r="CA91" s="5788" t="s">
        <v>2129</v>
      </c>
      <c r="CB91" s="5788" t="s">
        <v>2129</v>
      </c>
      <c r="CC91" s="5788" t="s">
        <v>2129</v>
      </c>
      <c r="CD91" s="5788"/>
      <c r="CE91" s="5784"/>
    </row>
    <row r="92" spans="1:83" ht="13">
      <c r="A92">
        <v>188</v>
      </c>
      <c r="B92" s="5802" t="s">
        <v>3325</v>
      </c>
      <c r="C92" s="5785" t="s">
        <v>2129</v>
      </c>
      <c r="D92" s="2694" t="s">
        <v>3791</v>
      </c>
      <c r="E92" s="2694" t="s">
        <v>2129</v>
      </c>
      <c r="F92" s="5785" t="s">
        <v>2129</v>
      </c>
      <c r="G92" s="5785" t="s">
        <v>2129</v>
      </c>
      <c r="H92" s="5785">
        <v>0</v>
      </c>
      <c r="I92" s="5785">
        <v>0</v>
      </c>
      <c r="J92" s="5785">
        <v>2</v>
      </c>
      <c r="K92" s="5785" t="s">
        <v>2129</v>
      </c>
      <c r="L92" s="5786">
        <v>0</v>
      </c>
      <c r="M92" s="5786">
        <v>0</v>
      </c>
      <c r="N92" s="5786">
        <v>0</v>
      </c>
      <c r="O92" s="5786">
        <v>0</v>
      </c>
      <c r="P92" s="5786">
        <v>0</v>
      </c>
      <c r="Q92" s="2476">
        <v>0</v>
      </c>
      <c r="R92" s="2477">
        <v>0</v>
      </c>
      <c r="S92" s="2477" t="b">
        <v>1</v>
      </c>
      <c r="T92" s="5786" t="s">
        <v>2129</v>
      </c>
      <c r="U92" s="863">
        <v>2556250</v>
      </c>
      <c r="V92" s="863" t="b">
        <v>1</v>
      </c>
      <c r="W92" s="863">
        <v>12408.980582524271</v>
      </c>
      <c r="X92" s="863" t="s">
        <v>2129</v>
      </c>
      <c r="AC92">
        <v>206</v>
      </c>
      <c r="AD92" s="3965">
        <v>206</v>
      </c>
      <c r="AE92" s="3965">
        <v>0</v>
      </c>
      <c r="AF92">
        <v>210</v>
      </c>
      <c r="AG92" t="s">
        <v>2129</v>
      </c>
      <c r="AH92">
        <v>89</v>
      </c>
      <c r="AI92" t="s">
        <v>2129</v>
      </c>
      <c r="AJ92" t="s">
        <v>2129</v>
      </c>
      <c r="AK92" t="s">
        <v>2129</v>
      </c>
      <c r="AL92" t="s">
        <v>2129</v>
      </c>
      <c r="AO92" t="s">
        <v>2129</v>
      </c>
      <c r="AT92" t="s">
        <v>2129</v>
      </c>
      <c r="AU92" t="s">
        <v>2129</v>
      </c>
      <c r="AV92" t="s">
        <v>2129</v>
      </c>
      <c r="AW92" t="s">
        <v>2129</v>
      </c>
      <c r="AX92">
        <v>11</v>
      </c>
      <c r="AY92" t="s">
        <v>2129</v>
      </c>
      <c r="AZ92" t="s">
        <v>2129</v>
      </c>
      <c r="BA92" t="s">
        <v>2129</v>
      </c>
      <c r="BB92" t="s">
        <v>2129</v>
      </c>
      <c r="BC92" t="s">
        <v>2129</v>
      </c>
      <c r="BD92" t="s">
        <v>2129</v>
      </c>
      <c r="BE92" s="1958" t="s">
        <v>2129</v>
      </c>
      <c r="BF92"/>
      <c r="BG92" s="863" t="s">
        <v>2129</v>
      </c>
      <c r="BH92" s="863" t="s">
        <v>2129</v>
      </c>
      <c r="BI92" s="863" t="s">
        <v>2129</v>
      </c>
      <c r="BJ92" s="863" t="s">
        <v>2129</v>
      </c>
      <c r="BK92" s="863">
        <v>12148391.990291262</v>
      </c>
      <c r="BL92" s="863" t="s">
        <v>2129</v>
      </c>
      <c r="BM92" s="863" t="s">
        <v>2129</v>
      </c>
      <c r="BN92" s="863" t="s">
        <v>2129</v>
      </c>
      <c r="BO92" s="863" t="s">
        <v>2129</v>
      </c>
      <c r="BP92" s="863" t="s">
        <v>2129</v>
      </c>
      <c r="BQ92" s="863" t="s">
        <v>2129</v>
      </c>
      <c r="BR92" s="863" t="s">
        <v>2129</v>
      </c>
      <c r="BS92" s="863" t="s">
        <v>2129</v>
      </c>
      <c r="BT92" s="863" t="s">
        <v>2129</v>
      </c>
      <c r="BU92" s="863" t="s">
        <v>2129</v>
      </c>
      <c r="BV92" s="863" t="s">
        <v>2129</v>
      </c>
      <c r="BW92" s="863" t="s">
        <v>2129</v>
      </c>
      <c r="BX92" s="863" t="s">
        <v>2129</v>
      </c>
      <c r="BY92" s="863"/>
      <c r="BZ92" s="863" t="s">
        <v>2129</v>
      </c>
      <c r="CA92" s="863" t="s">
        <v>2129</v>
      </c>
      <c r="CB92" s="863" t="s">
        <v>2129</v>
      </c>
      <c r="CC92" s="863" t="s">
        <v>2129</v>
      </c>
      <c r="CD92" s="863"/>
      <c r="CE92" s="5785"/>
    </row>
    <row r="93" spans="1:83" ht="13">
      <c r="A93">
        <v>188</v>
      </c>
      <c r="B93" s="5802" t="s">
        <v>3326</v>
      </c>
      <c r="C93" s="5785" t="s">
        <v>2129</v>
      </c>
      <c r="D93" s="2694" t="s">
        <v>3791</v>
      </c>
      <c r="E93" s="2694" t="s">
        <v>2129</v>
      </c>
      <c r="F93" s="5785" t="s">
        <v>2129</v>
      </c>
      <c r="G93" s="5785" t="s">
        <v>2129</v>
      </c>
      <c r="H93" s="5785">
        <v>0</v>
      </c>
      <c r="I93" s="5785">
        <v>0</v>
      </c>
      <c r="J93" s="5785">
        <v>2</v>
      </c>
      <c r="K93" s="5785" t="s">
        <v>2129</v>
      </c>
      <c r="L93" s="5786">
        <v>0</v>
      </c>
      <c r="M93" s="5786">
        <v>0</v>
      </c>
      <c r="N93" s="5786">
        <v>0</v>
      </c>
      <c r="O93" s="5786">
        <v>0</v>
      </c>
      <c r="P93" s="5786">
        <v>0</v>
      </c>
      <c r="Q93" s="2476">
        <v>0</v>
      </c>
      <c r="R93" s="2477">
        <v>0</v>
      </c>
      <c r="S93" s="2477" t="b">
        <v>1</v>
      </c>
      <c r="T93" s="5786" t="s">
        <v>2129</v>
      </c>
      <c r="U93" s="863">
        <v>2960812</v>
      </c>
      <c r="V93" s="863" t="b">
        <v>1</v>
      </c>
      <c r="W93" s="863">
        <v>21931.940740740742</v>
      </c>
      <c r="X93" s="863" t="s">
        <v>2129</v>
      </c>
      <c r="AC93">
        <v>206</v>
      </c>
      <c r="AD93" s="3965">
        <v>135</v>
      </c>
      <c r="AE93" s="3965">
        <v>71</v>
      </c>
      <c r="AF93">
        <v>210</v>
      </c>
      <c r="AG93" t="s">
        <v>2129</v>
      </c>
      <c r="AH93">
        <v>89</v>
      </c>
      <c r="AI93" t="s">
        <v>2129</v>
      </c>
      <c r="AJ93" t="s">
        <v>2129</v>
      </c>
      <c r="AK93" t="s">
        <v>2129</v>
      </c>
      <c r="AL93" t="s">
        <v>2129</v>
      </c>
      <c r="AO93" t="s">
        <v>2129</v>
      </c>
      <c r="AT93" t="s">
        <v>2129</v>
      </c>
      <c r="AU93" t="s">
        <v>2129</v>
      </c>
      <c r="AV93" t="s">
        <v>2129</v>
      </c>
      <c r="AW93" t="s">
        <v>2129</v>
      </c>
      <c r="AX93">
        <v>11</v>
      </c>
      <c r="AY93" t="s">
        <v>2129</v>
      </c>
      <c r="AZ93" t="s">
        <v>2129</v>
      </c>
      <c r="BA93" t="s">
        <v>2129</v>
      </c>
      <c r="BB93" t="s">
        <v>2129</v>
      </c>
      <c r="BC93" t="s">
        <v>2129</v>
      </c>
      <c r="BD93" t="s">
        <v>2129</v>
      </c>
      <c r="BE93" s="1958" t="s">
        <v>2129</v>
      </c>
      <c r="BF93"/>
      <c r="BG93" s="863" t="s">
        <v>2129</v>
      </c>
      <c r="BH93" s="863" t="s">
        <v>2129</v>
      </c>
      <c r="BI93" s="863" t="s">
        <v>2129</v>
      </c>
      <c r="BJ93" s="863" t="s">
        <v>2129</v>
      </c>
      <c r="BK93" s="863">
        <v>21471369.985185187</v>
      </c>
      <c r="BL93" s="863" t="s">
        <v>2129</v>
      </c>
      <c r="BM93" s="863" t="s">
        <v>2129</v>
      </c>
      <c r="BN93" s="863" t="s">
        <v>2129</v>
      </c>
      <c r="BO93" s="863" t="s">
        <v>2129</v>
      </c>
      <c r="BP93" s="863" t="s">
        <v>2129</v>
      </c>
      <c r="BQ93" s="863" t="s">
        <v>2129</v>
      </c>
      <c r="BR93" s="863" t="s">
        <v>2129</v>
      </c>
      <c r="BS93" s="863" t="s">
        <v>2129</v>
      </c>
      <c r="BT93" s="863" t="s">
        <v>2129</v>
      </c>
      <c r="BU93" s="863" t="s">
        <v>2129</v>
      </c>
      <c r="BV93" s="863" t="s">
        <v>2129</v>
      </c>
      <c r="BW93" s="863" t="s">
        <v>2129</v>
      </c>
      <c r="BX93" s="863" t="s">
        <v>2129</v>
      </c>
      <c r="BY93" s="863"/>
      <c r="BZ93" s="863" t="s">
        <v>2129</v>
      </c>
      <c r="CA93" s="863" t="s">
        <v>2129</v>
      </c>
      <c r="CB93" s="863" t="s">
        <v>2129</v>
      </c>
      <c r="CC93" s="863" t="s">
        <v>2129</v>
      </c>
      <c r="CD93" s="863"/>
      <c r="CE93" s="5785"/>
    </row>
    <row r="94" spans="1:83" s="5782" customFormat="1" ht="13">
      <c r="A94" s="5782">
        <v>192</v>
      </c>
      <c r="B94" s="5783" t="s">
        <v>3327</v>
      </c>
      <c r="C94" s="5784" t="s">
        <v>2129</v>
      </c>
      <c r="D94" s="5784" t="s">
        <v>2129</v>
      </c>
      <c r="E94" s="5784" t="s">
        <v>2129</v>
      </c>
      <c r="F94" s="5784" t="s">
        <v>2129</v>
      </c>
      <c r="G94" s="5784" t="s">
        <v>2129</v>
      </c>
      <c r="H94" s="5785">
        <v>0</v>
      </c>
      <c r="I94" s="5785">
        <v>0</v>
      </c>
      <c r="J94" s="5785">
        <v>2</v>
      </c>
      <c r="K94" s="5785" t="s">
        <v>2129</v>
      </c>
      <c r="L94" s="5786">
        <v>0</v>
      </c>
      <c r="M94" s="5786">
        <v>0</v>
      </c>
      <c r="N94" s="5786">
        <v>0</v>
      </c>
      <c r="O94" s="5786">
        <v>0</v>
      </c>
      <c r="P94" s="5786">
        <v>0</v>
      </c>
      <c r="Q94" s="2476">
        <v>0</v>
      </c>
      <c r="R94" s="2477">
        <v>0</v>
      </c>
      <c r="S94" s="2477" t="b">
        <v>1</v>
      </c>
      <c r="T94" s="5786" t="s">
        <v>2129</v>
      </c>
      <c r="U94" s="5788">
        <v>600512</v>
      </c>
      <c r="V94" s="5788" t="b">
        <v>1</v>
      </c>
      <c r="W94" s="5788">
        <v>7506.4</v>
      </c>
      <c r="X94" s="5788" t="s">
        <v>2129</v>
      </c>
      <c r="Y94" s="5788"/>
      <c r="Z94" s="5788"/>
      <c r="AA94" s="5788"/>
      <c r="AB94" s="5788"/>
      <c r="AC94" s="5782">
        <v>80</v>
      </c>
      <c r="AD94" s="5789">
        <v>80</v>
      </c>
      <c r="AE94" s="5789">
        <v>0</v>
      </c>
      <c r="AF94" s="5782">
        <v>80</v>
      </c>
      <c r="AG94" s="5782" t="s">
        <v>2129</v>
      </c>
      <c r="AH94" s="5782" t="s">
        <v>2129</v>
      </c>
      <c r="AI94" s="5782" t="s">
        <v>2129</v>
      </c>
      <c r="AJ94" s="5782" t="s">
        <v>2129</v>
      </c>
      <c r="AK94" s="5782" t="s">
        <v>2129</v>
      </c>
      <c r="AL94" s="5782" t="s">
        <v>2129</v>
      </c>
      <c r="AO94" s="5782" t="s">
        <v>2129</v>
      </c>
      <c r="AT94" s="5782" t="s">
        <v>2129</v>
      </c>
      <c r="AU94" s="5782" t="s">
        <v>2129</v>
      </c>
      <c r="AV94" s="5782" t="s">
        <v>2129</v>
      </c>
      <c r="AW94" s="5782" t="s">
        <v>2129</v>
      </c>
      <c r="AX94" s="5782" t="s">
        <v>2129</v>
      </c>
      <c r="AY94" s="5782" t="s">
        <v>2129</v>
      </c>
      <c r="AZ94" s="5782" t="s">
        <v>2129</v>
      </c>
      <c r="BA94" s="5782" t="s">
        <v>2129</v>
      </c>
      <c r="BB94" s="5782" t="s">
        <v>2129</v>
      </c>
      <c r="BC94" s="5782" t="s">
        <v>2129</v>
      </c>
      <c r="BD94" s="5782" t="s">
        <v>2129</v>
      </c>
      <c r="BE94" s="5788" t="s">
        <v>2129</v>
      </c>
      <c r="BG94" s="5788" t="s">
        <v>2129</v>
      </c>
      <c r="BH94" s="5788" t="s">
        <v>2129</v>
      </c>
      <c r="BI94" s="5788" t="s">
        <v>2129</v>
      </c>
      <c r="BJ94" s="5788" t="s">
        <v>2129</v>
      </c>
      <c r="BK94" s="5788" t="s">
        <v>2129</v>
      </c>
      <c r="BL94" s="5788" t="s">
        <v>2129</v>
      </c>
      <c r="BM94" s="5788" t="s">
        <v>2129</v>
      </c>
      <c r="BN94" s="5788" t="s">
        <v>2129</v>
      </c>
      <c r="BO94" s="5788" t="s">
        <v>2129</v>
      </c>
      <c r="BP94" s="5788" t="s">
        <v>2129</v>
      </c>
      <c r="BQ94" s="5788" t="s">
        <v>2129</v>
      </c>
      <c r="BR94" s="5788" t="s">
        <v>2129</v>
      </c>
      <c r="BS94" s="5788" t="s">
        <v>2129</v>
      </c>
      <c r="BT94" s="5788" t="s">
        <v>2129</v>
      </c>
      <c r="BU94" s="5788" t="s">
        <v>2129</v>
      </c>
      <c r="BV94" s="5788" t="s">
        <v>2129</v>
      </c>
      <c r="BW94" s="5788" t="s">
        <v>2129</v>
      </c>
      <c r="BX94" s="5788" t="s">
        <v>2129</v>
      </c>
      <c r="BY94" s="5788"/>
      <c r="BZ94" s="5788" t="s">
        <v>2129</v>
      </c>
      <c r="CA94" s="5788" t="s">
        <v>2129</v>
      </c>
      <c r="CB94" s="5788" t="s">
        <v>2129</v>
      </c>
      <c r="CC94" s="5788" t="s">
        <v>2129</v>
      </c>
      <c r="CD94" s="5788"/>
      <c r="CE94" s="5784"/>
    </row>
    <row r="95" spans="1:83" s="5782" customFormat="1" ht="13">
      <c r="A95" s="5782">
        <v>193</v>
      </c>
      <c r="B95" s="5783" t="s">
        <v>3328</v>
      </c>
      <c r="C95" s="5784" t="s">
        <v>2129</v>
      </c>
      <c r="D95" s="5784" t="s">
        <v>2129</v>
      </c>
      <c r="E95" s="5784" t="s">
        <v>2129</v>
      </c>
      <c r="F95" s="5784" t="s">
        <v>2129</v>
      </c>
      <c r="G95" s="5784" t="s">
        <v>2129</v>
      </c>
      <c r="H95" s="5785">
        <v>0</v>
      </c>
      <c r="I95" s="5785">
        <v>0</v>
      </c>
      <c r="J95" s="5785">
        <v>2</v>
      </c>
      <c r="K95" s="5785" t="s">
        <v>2129</v>
      </c>
      <c r="L95" s="5786">
        <v>0</v>
      </c>
      <c r="M95" s="5786">
        <v>0</v>
      </c>
      <c r="N95" s="5786">
        <v>0</v>
      </c>
      <c r="O95" s="5786">
        <v>0</v>
      </c>
      <c r="P95" s="5786">
        <v>0</v>
      </c>
      <c r="Q95" s="2476">
        <v>0</v>
      </c>
      <c r="R95" s="2477">
        <v>0</v>
      </c>
      <c r="S95" s="2477" t="b">
        <v>1</v>
      </c>
      <c r="T95" s="5786" t="s">
        <v>2129</v>
      </c>
      <c r="U95" s="5788">
        <v>717505</v>
      </c>
      <c r="V95" s="5788" t="b">
        <v>1</v>
      </c>
      <c r="W95" s="5788">
        <v>10871.287878787878</v>
      </c>
      <c r="X95" s="5788" t="s">
        <v>2129</v>
      </c>
      <c r="Y95" s="5788"/>
      <c r="Z95" s="5788"/>
      <c r="AA95" s="5788"/>
      <c r="AB95" s="5788"/>
      <c r="AC95" s="5782">
        <v>119</v>
      </c>
      <c r="AD95" s="5789">
        <v>66</v>
      </c>
      <c r="AE95" s="5789">
        <v>53</v>
      </c>
      <c r="AF95" s="5782">
        <v>122</v>
      </c>
      <c r="AG95" s="5782" t="s">
        <v>2129</v>
      </c>
      <c r="AH95" s="5782" t="s">
        <v>2129</v>
      </c>
      <c r="AI95" s="5782" t="s">
        <v>2129</v>
      </c>
      <c r="AJ95" s="5782" t="s">
        <v>2129</v>
      </c>
      <c r="AK95" s="5782" t="s">
        <v>2129</v>
      </c>
      <c r="AL95" s="5782" t="s">
        <v>2129</v>
      </c>
      <c r="AO95" s="5782" t="s">
        <v>2129</v>
      </c>
      <c r="AT95" s="5782" t="s">
        <v>2129</v>
      </c>
      <c r="AU95" s="5782" t="s">
        <v>2129</v>
      </c>
      <c r="AV95" s="5782" t="s">
        <v>2129</v>
      </c>
      <c r="AW95" s="5782" t="s">
        <v>2129</v>
      </c>
      <c r="AX95" s="5782" t="s">
        <v>2129</v>
      </c>
      <c r="AY95" s="5782" t="s">
        <v>2129</v>
      </c>
      <c r="AZ95" s="5782" t="s">
        <v>2129</v>
      </c>
      <c r="BA95" s="5782" t="s">
        <v>2129</v>
      </c>
      <c r="BB95" s="5782" t="s">
        <v>2129</v>
      </c>
      <c r="BC95" s="5782" t="s">
        <v>2129</v>
      </c>
      <c r="BD95" s="5782" t="s">
        <v>2129</v>
      </c>
      <c r="BE95" s="5788" t="s">
        <v>2129</v>
      </c>
      <c r="BG95" s="5788" t="s">
        <v>2129</v>
      </c>
      <c r="BH95" s="5788" t="s">
        <v>2129</v>
      </c>
      <c r="BI95" s="5788" t="s">
        <v>2129</v>
      </c>
      <c r="BJ95" s="5788" t="s">
        <v>2129</v>
      </c>
      <c r="BK95" s="5788" t="s">
        <v>2129</v>
      </c>
      <c r="BL95" s="5788" t="s">
        <v>2129</v>
      </c>
      <c r="BM95" s="5788" t="s">
        <v>2129</v>
      </c>
      <c r="BN95" s="5788" t="s">
        <v>2129</v>
      </c>
      <c r="BO95" s="5788" t="s">
        <v>2129</v>
      </c>
      <c r="BP95" s="5788" t="s">
        <v>2129</v>
      </c>
      <c r="BQ95" s="5788" t="s">
        <v>2129</v>
      </c>
      <c r="BR95" s="5788" t="s">
        <v>2129</v>
      </c>
      <c r="BS95" s="5788" t="s">
        <v>2129</v>
      </c>
      <c r="BT95" s="5788" t="s">
        <v>2129</v>
      </c>
      <c r="BU95" s="5788" t="s">
        <v>2129</v>
      </c>
      <c r="BV95" s="5788" t="s">
        <v>2129</v>
      </c>
      <c r="BW95" s="5788" t="s">
        <v>2129</v>
      </c>
      <c r="BX95" s="5788" t="s">
        <v>2129</v>
      </c>
      <c r="BY95" s="5788"/>
      <c r="BZ95" s="5788" t="s">
        <v>2129</v>
      </c>
      <c r="CA95" s="5788" t="s">
        <v>2129</v>
      </c>
      <c r="CB95" s="5788" t="s">
        <v>2129</v>
      </c>
      <c r="CC95" s="5788" t="s">
        <v>2129</v>
      </c>
      <c r="CD95" s="5788"/>
      <c r="CE95" s="5784"/>
    </row>
    <row r="96" spans="1:83" ht="13">
      <c r="A96">
        <v>200</v>
      </c>
      <c r="B96" s="196" t="s">
        <v>3330</v>
      </c>
      <c r="C96" s="5785" t="s">
        <v>2129</v>
      </c>
      <c r="D96" s="2694" t="s">
        <v>3791</v>
      </c>
      <c r="E96" s="2694" t="s">
        <v>2129</v>
      </c>
      <c r="F96" s="5785" t="s">
        <v>2129</v>
      </c>
      <c r="G96" s="5785" t="s">
        <v>2129</v>
      </c>
      <c r="H96" s="5785">
        <v>0</v>
      </c>
      <c r="I96" s="5785">
        <v>0</v>
      </c>
      <c r="J96" s="5785">
        <v>2</v>
      </c>
      <c r="K96" s="5785" t="s">
        <v>2129</v>
      </c>
      <c r="L96" s="5786">
        <v>0</v>
      </c>
      <c r="M96" s="5786">
        <v>0</v>
      </c>
      <c r="N96" s="5786">
        <v>0</v>
      </c>
      <c r="O96" s="5786">
        <v>0</v>
      </c>
      <c r="P96" s="5786">
        <v>0</v>
      </c>
      <c r="Q96" s="2476">
        <v>0</v>
      </c>
      <c r="R96" s="2477">
        <v>0</v>
      </c>
      <c r="S96" s="2477" t="b">
        <v>1</v>
      </c>
      <c r="T96" s="5786" t="s">
        <v>2129</v>
      </c>
      <c r="U96" s="863">
        <v>1920525</v>
      </c>
      <c r="V96" s="863" t="b">
        <v>1</v>
      </c>
      <c r="W96" s="863">
        <v>15742.008196721312</v>
      </c>
      <c r="X96" s="863" t="s">
        <v>2129</v>
      </c>
      <c r="AC96">
        <v>122</v>
      </c>
      <c r="AD96" s="3965">
        <v>122</v>
      </c>
      <c r="AE96" s="3965">
        <v>0</v>
      </c>
      <c r="AF96">
        <v>126</v>
      </c>
      <c r="AG96" t="s">
        <v>2129</v>
      </c>
      <c r="AH96">
        <v>51</v>
      </c>
      <c r="AI96" t="s">
        <v>2129</v>
      </c>
      <c r="AJ96" t="s">
        <v>2129</v>
      </c>
      <c r="AK96" t="s">
        <v>2129</v>
      </c>
      <c r="AL96" t="s">
        <v>2129</v>
      </c>
      <c r="AO96" t="s">
        <v>2129</v>
      </c>
      <c r="AT96" t="s">
        <v>2129</v>
      </c>
      <c r="AU96" t="s">
        <v>2129</v>
      </c>
      <c r="AV96" t="s">
        <v>2129</v>
      </c>
      <c r="AW96" t="s">
        <v>2129</v>
      </c>
      <c r="AX96">
        <v>11</v>
      </c>
      <c r="AY96" t="s">
        <v>2129</v>
      </c>
      <c r="AZ96" t="s">
        <v>2129</v>
      </c>
      <c r="BA96" t="s">
        <v>2129</v>
      </c>
      <c r="BB96" t="s">
        <v>2129</v>
      </c>
      <c r="BC96" t="s">
        <v>2129</v>
      </c>
      <c r="BD96" t="s">
        <v>2129</v>
      </c>
      <c r="BE96" s="1958" t="s">
        <v>2129</v>
      </c>
      <c r="BF96"/>
      <c r="BG96" s="863" t="s">
        <v>2129</v>
      </c>
      <c r="BH96" s="863" t="s">
        <v>2129</v>
      </c>
      <c r="BI96" s="863" t="s">
        <v>2129</v>
      </c>
      <c r="BJ96" s="863" t="s">
        <v>2129</v>
      </c>
      <c r="BK96" s="863">
        <v>8831266.5983606558</v>
      </c>
      <c r="BL96" s="863" t="s">
        <v>2129</v>
      </c>
      <c r="BM96" s="863" t="s">
        <v>2129</v>
      </c>
      <c r="BN96" s="863" t="s">
        <v>2129</v>
      </c>
      <c r="BO96" s="863" t="s">
        <v>2129</v>
      </c>
      <c r="BP96" s="863" t="s">
        <v>2129</v>
      </c>
      <c r="BQ96" s="863" t="s">
        <v>2129</v>
      </c>
      <c r="BR96" s="863" t="s">
        <v>2129</v>
      </c>
      <c r="BS96" s="863" t="s">
        <v>2129</v>
      </c>
      <c r="BT96" s="863" t="s">
        <v>2129</v>
      </c>
      <c r="BU96" s="863" t="s">
        <v>2129</v>
      </c>
      <c r="BV96" s="863" t="s">
        <v>2129</v>
      </c>
      <c r="BW96" s="863" t="s">
        <v>2129</v>
      </c>
      <c r="BX96" s="863" t="s">
        <v>2129</v>
      </c>
      <c r="BY96" s="863"/>
      <c r="BZ96" s="863" t="s">
        <v>2129</v>
      </c>
      <c r="CA96" s="863" t="s">
        <v>2129</v>
      </c>
      <c r="CB96" s="863" t="s">
        <v>2129</v>
      </c>
      <c r="CC96" s="863" t="s">
        <v>2129</v>
      </c>
      <c r="CD96" s="863"/>
      <c r="CE96" s="5785"/>
    </row>
    <row r="97" spans="1:83" ht="13">
      <c r="A97">
        <v>201</v>
      </c>
      <c r="B97" s="196" t="s">
        <v>2855</v>
      </c>
      <c r="C97" s="5790" t="s">
        <v>6616</v>
      </c>
      <c r="D97" s="5790" t="s">
        <v>6599</v>
      </c>
      <c r="E97" s="5790" t="s">
        <v>2129</v>
      </c>
      <c r="F97" s="5785" t="s">
        <v>3791</v>
      </c>
      <c r="G97" s="5785" t="s">
        <v>2129</v>
      </c>
      <c r="H97" s="5785">
        <v>19</v>
      </c>
      <c r="I97" s="5785">
        <v>11</v>
      </c>
      <c r="J97" s="5785">
        <v>19</v>
      </c>
      <c r="K97" s="5785">
        <v>8</v>
      </c>
      <c r="L97" s="5786">
        <v>118160</v>
      </c>
      <c r="M97" s="5786">
        <v>0</v>
      </c>
      <c r="N97" s="5786">
        <v>0</v>
      </c>
      <c r="O97" s="5786">
        <v>0</v>
      </c>
      <c r="P97" s="5786">
        <v>0</v>
      </c>
      <c r="Q97" s="2476">
        <v>129976.00000000001</v>
      </c>
      <c r="R97" s="2477">
        <v>129976</v>
      </c>
      <c r="S97" s="2477" t="b">
        <v>0</v>
      </c>
      <c r="T97" s="5786">
        <v>11816</v>
      </c>
      <c r="U97" s="1958">
        <v>518500</v>
      </c>
      <c r="V97" s="863" t="b">
        <v>1</v>
      </c>
      <c r="W97" s="863">
        <v>7514.492753623188</v>
      </c>
      <c r="X97" s="863">
        <v>12524.154589371981</v>
      </c>
      <c r="Y97" s="863">
        <v>1060</v>
      </c>
      <c r="AC97">
        <v>69</v>
      </c>
      <c r="AD97" s="3965">
        <v>69</v>
      </c>
      <c r="AE97" s="3965">
        <v>0</v>
      </c>
      <c r="AF97">
        <v>106</v>
      </c>
      <c r="AG97">
        <v>69</v>
      </c>
      <c r="AH97" t="s">
        <v>2129</v>
      </c>
      <c r="AI97" t="s">
        <v>2129</v>
      </c>
      <c r="AJ97">
        <v>36</v>
      </c>
      <c r="AK97" t="s">
        <v>2129</v>
      </c>
      <c r="AL97">
        <v>0</v>
      </c>
      <c r="AO97">
        <v>-33</v>
      </c>
      <c r="AT97">
        <v>15</v>
      </c>
      <c r="AU97">
        <v>15</v>
      </c>
      <c r="AV97" t="s">
        <v>2129</v>
      </c>
      <c r="AW97" t="s">
        <v>2129</v>
      </c>
      <c r="AX97" t="s">
        <v>2129</v>
      </c>
      <c r="AY97" t="s">
        <v>2129</v>
      </c>
      <c r="AZ97" t="s">
        <v>2129</v>
      </c>
      <c r="BA97" t="s">
        <v>2129</v>
      </c>
      <c r="BB97" t="s">
        <v>2129</v>
      </c>
      <c r="BC97">
        <v>10</v>
      </c>
      <c r="BD97" t="s">
        <v>2129</v>
      </c>
      <c r="BE97" s="1958">
        <v>7777500</v>
      </c>
      <c r="BF97" s="1958">
        <v>7777500</v>
      </c>
      <c r="BG97" s="1958" t="s">
        <v>2129</v>
      </c>
      <c r="BH97" s="1958" t="s">
        <v>2129</v>
      </c>
      <c r="BI97" s="1958" t="s">
        <v>2129</v>
      </c>
      <c r="BJ97" s="1958" t="s">
        <v>2129</v>
      </c>
      <c r="BK97" s="1958" t="s">
        <v>2129</v>
      </c>
      <c r="BL97" s="1958" t="s">
        <v>2129</v>
      </c>
      <c r="BM97" s="1958" t="s">
        <v>2129</v>
      </c>
      <c r="BN97" s="863" t="s">
        <v>2129</v>
      </c>
      <c r="BO97" s="863" t="s">
        <v>2129</v>
      </c>
      <c r="BP97" s="1958" t="s">
        <v>2129</v>
      </c>
      <c r="BQ97" s="1958" t="s">
        <v>2129</v>
      </c>
      <c r="BR97" s="1958" t="s">
        <v>2129</v>
      </c>
      <c r="BS97" s="1958">
        <v>2705217.3913043477</v>
      </c>
      <c r="BT97" s="1958" t="s">
        <v>2129</v>
      </c>
      <c r="BU97" s="1958">
        <v>1949640</v>
      </c>
      <c r="BV97" s="1958">
        <v>1949640</v>
      </c>
      <c r="BW97" s="1958" t="s">
        <v>2129</v>
      </c>
      <c r="BX97" s="1958" t="s">
        <v>2129</v>
      </c>
      <c r="BZ97" s="1958" t="s">
        <v>2129</v>
      </c>
      <c r="CA97" s="1958" t="s">
        <v>2129</v>
      </c>
      <c r="CB97" s="1958" t="s">
        <v>2129</v>
      </c>
      <c r="CC97" s="1958" t="s">
        <v>2129</v>
      </c>
      <c r="CE97" s="5785"/>
    </row>
    <row r="98" spans="1:83" ht="13">
      <c r="A98">
        <v>206</v>
      </c>
      <c r="B98" s="196" t="s">
        <v>2856</v>
      </c>
      <c r="C98" s="5790" t="s">
        <v>6616</v>
      </c>
      <c r="D98" s="5790" t="s">
        <v>6599</v>
      </c>
      <c r="E98" s="5790" t="s">
        <v>2129</v>
      </c>
      <c r="F98" s="5792" t="s">
        <v>5205</v>
      </c>
      <c r="G98" s="5792" t="s">
        <v>2129</v>
      </c>
      <c r="H98" s="5785">
        <v>6</v>
      </c>
      <c r="I98" s="5785">
        <v>6</v>
      </c>
      <c r="J98" s="5785">
        <v>6</v>
      </c>
      <c r="K98" s="5785">
        <v>0</v>
      </c>
      <c r="L98" s="5786">
        <v>3670335</v>
      </c>
      <c r="M98" s="5786">
        <v>0</v>
      </c>
      <c r="N98" s="5786">
        <v>0</v>
      </c>
      <c r="O98" s="5786">
        <v>0</v>
      </c>
      <c r="P98" s="5786">
        <v>0</v>
      </c>
      <c r="Q98" s="2476">
        <v>4037368.5000000005</v>
      </c>
      <c r="R98" s="2477">
        <v>4037371</v>
      </c>
      <c r="S98" s="2477" t="b">
        <v>1</v>
      </c>
      <c r="T98" s="5786">
        <v>672895.16666666663</v>
      </c>
      <c r="U98" s="1958">
        <v>4136911</v>
      </c>
      <c r="V98" s="2700" t="b">
        <v>1</v>
      </c>
      <c r="W98" s="863">
        <v>27396.761589403974</v>
      </c>
      <c r="X98" s="863">
        <v>25879.956208945889</v>
      </c>
      <c r="Y98" s="863">
        <v>1700</v>
      </c>
      <c r="AA98" s="863">
        <v>17942</v>
      </c>
      <c r="AB98" s="863">
        <v>35648</v>
      </c>
      <c r="AC98">
        <v>151</v>
      </c>
      <c r="AD98" s="3965">
        <v>151</v>
      </c>
      <c r="AE98" s="3965">
        <v>0</v>
      </c>
      <c r="AF98">
        <v>191</v>
      </c>
      <c r="AG98">
        <v>151</v>
      </c>
      <c r="AH98" t="s">
        <v>2129</v>
      </c>
      <c r="AI98" t="s">
        <v>2129</v>
      </c>
      <c r="AJ98" s="1866">
        <v>139</v>
      </c>
      <c r="AK98" t="s">
        <v>2129</v>
      </c>
      <c r="AL98">
        <v>0</v>
      </c>
      <c r="AO98">
        <v>-12</v>
      </c>
      <c r="AT98">
        <v>25</v>
      </c>
      <c r="AU98">
        <v>25</v>
      </c>
      <c r="AV98" t="s">
        <v>2129</v>
      </c>
      <c r="AW98" t="s">
        <v>2129</v>
      </c>
      <c r="AX98" t="s">
        <v>2129</v>
      </c>
      <c r="AY98" t="s">
        <v>2129</v>
      </c>
      <c r="AZ98">
        <v>16</v>
      </c>
      <c r="BA98" t="s">
        <v>2129</v>
      </c>
      <c r="BB98" t="s">
        <v>2129</v>
      </c>
      <c r="BC98" t="s">
        <v>2129</v>
      </c>
      <c r="BD98" t="s">
        <v>2129</v>
      </c>
      <c r="BE98" s="1958">
        <v>103422775</v>
      </c>
      <c r="BF98" s="1958">
        <v>103422775</v>
      </c>
      <c r="BG98" s="1958" t="s">
        <v>2129</v>
      </c>
      <c r="BH98" s="1958" t="s">
        <v>2129</v>
      </c>
      <c r="BI98" s="1958" t="s">
        <v>2129</v>
      </c>
      <c r="BJ98" s="1958" t="s">
        <v>2129</v>
      </c>
      <c r="BK98" s="1958" t="s">
        <v>2129</v>
      </c>
      <c r="BL98" s="1958" t="s">
        <v>2129</v>
      </c>
      <c r="BM98" s="1958">
        <v>66190576</v>
      </c>
      <c r="BN98" s="863">
        <v>60930397.774834439</v>
      </c>
      <c r="BO98" s="863" t="s">
        <v>2129</v>
      </c>
      <c r="BP98" s="1958" t="s">
        <v>2129</v>
      </c>
      <c r="BQ98" s="1958" t="s">
        <v>2129</v>
      </c>
      <c r="BR98" s="1958" t="s">
        <v>2129</v>
      </c>
      <c r="BS98" s="1958" t="s">
        <v>2129</v>
      </c>
      <c r="BT98" s="1958" t="s">
        <v>2129</v>
      </c>
      <c r="BU98" s="1958">
        <v>100934275</v>
      </c>
      <c r="BV98" s="1958">
        <v>100934275</v>
      </c>
      <c r="BW98" s="1958" t="s">
        <v>2129</v>
      </c>
      <c r="BX98" s="1958" t="s">
        <v>2129</v>
      </c>
      <c r="BZ98" s="1958">
        <v>64597936</v>
      </c>
      <c r="CA98" s="1958">
        <v>64597936</v>
      </c>
      <c r="CB98" s="1958" t="s">
        <v>2129</v>
      </c>
      <c r="CC98" s="1958" t="s">
        <v>2129</v>
      </c>
      <c r="CE98" s="5785"/>
    </row>
    <row r="99" spans="1:83" s="5782" customFormat="1" ht="13">
      <c r="A99" s="5782">
        <v>207</v>
      </c>
      <c r="B99" s="5783" t="s">
        <v>3331</v>
      </c>
      <c r="C99" s="5784" t="s">
        <v>2129</v>
      </c>
      <c r="D99" s="5784" t="s">
        <v>2129</v>
      </c>
      <c r="E99" s="5784" t="s">
        <v>2129</v>
      </c>
      <c r="F99" s="5784" t="s">
        <v>2129</v>
      </c>
      <c r="G99" s="5784" t="s">
        <v>2129</v>
      </c>
      <c r="H99" s="5785">
        <v>2</v>
      </c>
      <c r="I99" s="5785">
        <v>2</v>
      </c>
      <c r="J99" s="5785">
        <v>12</v>
      </c>
      <c r="K99" s="5785" t="s">
        <v>2129</v>
      </c>
      <c r="L99" s="5786">
        <v>198825</v>
      </c>
      <c r="M99" s="5786">
        <v>0</v>
      </c>
      <c r="N99" s="5786">
        <v>0</v>
      </c>
      <c r="O99" s="5786">
        <v>0</v>
      </c>
      <c r="P99" s="5786">
        <v>0</v>
      </c>
      <c r="Q99" s="2476">
        <v>218707.50000000003</v>
      </c>
      <c r="R99" s="2477">
        <v>218707</v>
      </c>
      <c r="S99" s="2477" t="b">
        <v>0</v>
      </c>
      <c r="T99" s="5786">
        <v>109353.5</v>
      </c>
      <c r="U99" s="5788">
        <v>1414498</v>
      </c>
      <c r="V99" s="5788" t="b">
        <v>0</v>
      </c>
      <c r="W99" s="5788">
        <v>12299.982608695653</v>
      </c>
      <c r="X99" s="5788" t="s">
        <v>2129</v>
      </c>
      <c r="Y99" s="5788"/>
      <c r="Z99" s="5788"/>
      <c r="AA99" s="5788"/>
      <c r="AB99" s="5788"/>
      <c r="AC99" s="5782">
        <v>115</v>
      </c>
      <c r="AD99" s="5789">
        <v>115</v>
      </c>
      <c r="AE99" s="5789">
        <v>0</v>
      </c>
      <c r="AF99" s="5782">
        <v>119</v>
      </c>
      <c r="AG99" s="5782" t="s">
        <v>2129</v>
      </c>
      <c r="AH99" s="5782" t="s">
        <v>2129</v>
      </c>
      <c r="AI99" s="5782" t="s">
        <v>2129</v>
      </c>
      <c r="AJ99" s="5782" t="s">
        <v>2129</v>
      </c>
      <c r="AK99" s="5782" t="s">
        <v>2129</v>
      </c>
      <c r="AL99" s="5782" t="s">
        <v>2129</v>
      </c>
      <c r="AO99" s="5782" t="s">
        <v>2129</v>
      </c>
      <c r="AT99" s="5782" t="s">
        <v>2129</v>
      </c>
      <c r="AU99" s="5782" t="s">
        <v>2129</v>
      </c>
      <c r="AV99" s="5782" t="s">
        <v>2129</v>
      </c>
      <c r="AW99" s="5782" t="s">
        <v>2129</v>
      </c>
      <c r="AX99" s="5782" t="s">
        <v>2129</v>
      </c>
      <c r="AY99" s="5782" t="s">
        <v>2129</v>
      </c>
      <c r="AZ99" s="5782" t="s">
        <v>2129</v>
      </c>
      <c r="BA99" s="5782" t="s">
        <v>2129</v>
      </c>
      <c r="BB99" s="5782" t="s">
        <v>2129</v>
      </c>
      <c r="BC99" s="5782" t="s">
        <v>2129</v>
      </c>
      <c r="BD99" s="5782" t="s">
        <v>2129</v>
      </c>
      <c r="BE99" s="5788" t="s">
        <v>2129</v>
      </c>
      <c r="BG99" s="5788" t="s">
        <v>2129</v>
      </c>
      <c r="BH99" s="5788" t="s">
        <v>2129</v>
      </c>
      <c r="BI99" s="5788" t="s">
        <v>2129</v>
      </c>
      <c r="BJ99" s="5788" t="s">
        <v>2129</v>
      </c>
      <c r="BK99" s="5788" t="s">
        <v>2129</v>
      </c>
      <c r="BL99" s="5788" t="s">
        <v>2129</v>
      </c>
      <c r="BM99" s="5788" t="s">
        <v>2129</v>
      </c>
      <c r="BN99" s="5788" t="s">
        <v>2129</v>
      </c>
      <c r="BO99" s="5788" t="s">
        <v>2129</v>
      </c>
      <c r="BP99" s="5788" t="s">
        <v>2129</v>
      </c>
      <c r="BQ99" s="5788" t="s">
        <v>2129</v>
      </c>
      <c r="BR99" s="5788" t="s">
        <v>2129</v>
      </c>
      <c r="BS99" s="5788" t="s">
        <v>2129</v>
      </c>
      <c r="BT99" s="5788" t="s">
        <v>2129</v>
      </c>
      <c r="BU99" s="5788" t="s">
        <v>2129</v>
      </c>
      <c r="BV99" s="5788" t="s">
        <v>2129</v>
      </c>
      <c r="BW99" s="5788" t="s">
        <v>2129</v>
      </c>
      <c r="BX99" s="5788" t="s">
        <v>2129</v>
      </c>
      <c r="BY99" s="5788"/>
      <c r="BZ99" s="5788" t="s">
        <v>2129</v>
      </c>
      <c r="CA99" s="5788" t="s">
        <v>2129</v>
      </c>
      <c r="CB99" s="5788" t="s">
        <v>2129</v>
      </c>
      <c r="CC99" s="5788" t="s">
        <v>2129</v>
      </c>
      <c r="CD99" s="5788"/>
      <c r="CE99" s="5784"/>
    </row>
    <row r="100" spans="1:83" s="5782" customFormat="1" ht="13">
      <c r="A100" s="5782">
        <v>208</v>
      </c>
      <c r="B100" s="5783" t="s">
        <v>3332</v>
      </c>
      <c r="C100" s="5784" t="s">
        <v>2129</v>
      </c>
      <c r="D100" s="5784" t="s">
        <v>2129</v>
      </c>
      <c r="E100" s="5784" t="s">
        <v>2129</v>
      </c>
      <c r="F100" s="5784" t="s">
        <v>2129</v>
      </c>
      <c r="G100" s="5784" t="s">
        <v>2129</v>
      </c>
      <c r="H100" s="5785">
        <v>0</v>
      </c>
      <c r="I100" s="5785">
        <v>0</v>
      </c>
      <c r="J100" s="5785">
        <v>10</v>
      </c>
      <c r="K100" s="5785" t="s">
        <v>2129</v>
      </c>
      <c r="L100" s="5786">
        <v>0</v>
      </c>
      <c r="M100" s="5786">
        <v>0</v>
      </c>
      <c r="N100" s="5786">
        <v>0</v>
      </c>
      <c r="O100" s="5786">
        <v>0</v>
      </c>
      <c r="P100" s="5786">
        <v>0</v>
      </c>
      <c r="Q100" s="2476">
        <v>0</v>
      </c>
      <c r="R100" s="2477">
        <v>0</v>
      </c>
      <c r="S100" s="2477" t="b">
        <v>1</v>
      </c>
      <c r="T100" s="5786" t="s">
        <v>2129</v>
      </c>
      <c r="U100" s="5788">
        <v>1441105</v>
      </c>
      <c r="V100" s="5788" t="b">
        <v>0</v>
      </c>
      <c r="W100" s="5788">
        <v>9297.4516129032254</v>
      </c>
      <c r="X100" s="5788" t="s">
        <v>2129</v>
      </c>
      <c r="Y100" s="5788"/>
      <c r="Z100" s="5788"/>
      <c r="AA100" s="5788"/>
      <c r="AB100" s="5788"/>
      <c r="AC100" s="5782">
        <v>155</v>
      </c>
      <c r="AD100" s="5789">
        <v>155</v>
      </c>
      <c r="AE100" s="5789">
        <v>0</v>
      </c>
      <c r="AF100" s="5782">
        <v>156</v>
      </c>
      <c r="AG100" s="5782" t="s">
        <v>2129</v>
      </c>
      <c r="AH100" s="5782" t="s">
        <v>2129</v>
      </c>
      <c r="AI100" s="5782" t="s">
        <v>2129</v>
      </c>
      <c r="AJ100" s="5782" t="s">
        <v>2129</v>
      </c>
      <c r="AK100" s="5782" t="s">
        <v>2129</v>
      </c>
      <c r="AL100" s="5782" t="s">
        <v>2129</v>
      </c>
      <c r="AO100" s="5782" t="s">
        <v>2129</v>
      </c>
      <c r="AT100" s="5782" t="s">
        <v>2129</v>
      </c>
      <c r="AU100" s="5782" t="s">
        <v>2129</v>
      </c>
      <c r="AV100" s="5782" t="s">
        <v>2129</v>
      </c>
      <c r="AW100" s="5782" t="s">
        <v>2129</v>
      </c>
      <c r="AX100" s="5782" t="s">
        <v>2129</v>
      </c>
      <c r="AY100" s="5782" t="s">
        <v>2129</v>
      </c>
      <c r="AZ100" s="5782" t="s">
        <v>2129</v>
      </c>
      <c r="BA100" s="5782" t="s">
        <v>2129</v>
      </c>
      <c r="BB100" s="5782" t="s">
        <v>2129</v>
      </c>
      <c r="BC100" s="5782" t="s">
        <v>2129</v>
      </c>
      <c r="BD100" s="5782" t="s">
        <v>2129</v>
      </c>
      <c r="BE100" s="5788" t="s">
        <v>2129</v>
      </c>
      <c r="BG100" s="5788" t="s">
        <v>2129</v>
      </c>
      <c r="BH100" s="5788" t="s">
        <v>2129</v>
      </c>
      <c r="BI100" s="5788" t="s">
        <v>2129</v>
      </c>
      <c r="BJ100" s="5788" t="s">
        <v>2129</v>
      </c>
      <c r="BK100" s="5788" t="s">
        <v>2129</v>
      </c>
      <c r="BL100" s="5788" t="s">
        <v>2129</v>
      </c>
      <c r="BM100" s="5788" t="s">
        <v>2129</v>
      </c>
      <c r="BN100" s="5788" t="s">
        <v>2129</v>
      </c>
      <c r="BO100" s="5788" t="s">
        <v>2129</v>
      </c>
      <c r="BP100" s="5788" t="s">
        <v>2129</v>
      </c>
      <c r="BQ100" s="5788" t="s">
        <v>2129</v>
      </c>
      <c r="BR100" s="5788" t="s">
        <v>2129</v>
      </c>
      <c r="BS100" s="5788" t="s">
        <v>2129</v>
      </c>
      <c r="BT100" s="5788" t="s">
        <v>2129</v>
      </c>
      <c r="BU100" s="5788" t="s">
        <v>2129</v>
      </c>
      <c r="BV100" s="5788" t="s">
        <v>2129</v>
      </c>
      <c r="BW100" s="5788" t="s">
        <v>2129</v>
      </c>
      <c r="BX100" s="5788" t="s">
        <v>2129</v>
      </c>
      <c r="BY100" s="5788"/>
      <c r="BZ100" s="5788" t="s">
        <v>2129</v>
      </c>
      <c r="CA100" s="5788" t="s">
        <v>2129</v>
      </c>
      <c r="CB100" s="5788" t="s">
        <v>2129</v>
      </c>
      <c r="CC100" s="5788" t="s">
        <v>2129</v>
      </c>
      <c r="CD100" s="5788"/>
      <c r="CE100" s="5784"/>
    </row>
    <row r="101" spans="1:83" ht="13">
      <c r="A101">
        <v>210</v>
      </c>
      <c r="B101" s="196" t="s">
        <v>2858</v>
      </c>
      <c r="C101" s="5790" t="s">
        <v>6616</v>
      </c>
      <c r="D101" s="5790" t="s">
        <v>6599</v>
      </c>
      <c r="E101" s="5790" t="s">
        <v>2129</v>
      </c>
      <c r="F101" s="5792" t="s">
        <v>2129</v>
      </c>
      <c r="G101" s="5792" t="s">
        <v>2129</v>
      </c>
      <c r="H101" s="5785">
        <v>6</v>
      </c>
      <c r="I101" s="5785">
        <v>0</v>
      </c>
      <c r="J101" s="5785">
        <v>5</v>
      </c>
      <c r="K101" s="5785">
        <v>6</v>
      </c>
      <c r="L101" s="5786">
        <v>9976472</v>
      </c>
      <c r="M101" s="5786">
        <v>0</v>
      </c>
      <c r="N101" s="5786">
        <v>0</v>
      </c>
      <c r="O101" s="5786">
        <v>0</v>
      </c>
      <c r="P101" s="5786">
        <v>0</v>
      </c>
      <c r="Q101" s="2476">
        <v>10974119.200000001</v>
      </c>
      <c r="R101" s="2477">
        <v>0</v>
      </c>
      <c r="S101" s="5798" t="b">
        <v>1</v>
      </c>
      <c r="T101" s="5786" t="s">
        <v>2129</v>
      </c>
      <c r="U101" s="863">
        <v>0</v>
      </c>
      <c r="V101" s="863" t="b">
        <v>1</v>
      </c>
      <c r="W101" s="863" t="e">
        <v>#DIV/0!</v>
      </c>
      <c r="X101" s="863" t="s">
        <v>2129</v>
      </c>
      <c r="Y101" s="863">
        <v>2200</v>
      </c>
      <c r="AC101">
        <v>99</v>
      </c>
      <c r="AD101" s="3965">
        <v>0</v>
      </c>
      <c r="AE101" s="3965">
        <v>99</v>
      </c>
      <c r="AF101">
        <v>128</v>
      </c>
      <c r="AG101">
        <v>99</v>
      </c>
      <c r="AH101" t="s">
        <v>2129</v>
      </c>
      <c r="AI101" t="s">
        <v>2129</v>
      </c>
      <c r="AJ101" s="1866" t="s">
        <v>2129</v>
      </c>
      <c r="AK101" t="s">
        <v>2129</v>
      </c>
      <c r="AL101">
        <v>99</v>
      </c>
      <c r="AO101" t="s">
        <v>2129</v>
      </c>
      <c r="AT101">
        <v>21</v>
      </c>
      <c r="AU101">
        <v>21</v>
      </c>
      <c r="AV101" t="s">
        <v>2129</v>
      </c>
      <c r="AW101" t="s">
        <v>2129</v>
      </c>
      <c r="AX101" t="s">
        <v>2129</v>
      </c>
      <c r="AY101" t="s">
        <v>2129</v>
      </c>
      <c r="AZ101" t="s">
        <v>2129</v>
      </c>
      <c r="BA101" t="s">
        <v>2129</v>
      </c>
      <c r="BB101" t="s">
        <v>2129</v>
      </c>
      <c r="BC101" t="s">
        <v>2129</v>
      </c>
      <c r="BD101" t="s">
        <v>2129</v>
      </c>
      <c r="BE101" s="1958">
        <v>0</v>
      </c>
      <c r="BF101" s="1958">
        <v>0</v>
      </c>
      <c r="BG101" s="1958" t="s">
        <v>2129</v>
      </c>
      <c r="BH101" s="1958" t="s">
        <v>2129</v>
      </c>
      <c r="BI101" s="1958" t="s">
        <v>2129</v>
      </c>
      <c r="BJ101" s="1958" t="s">
        <v>2129</v>
      </c>
      <c r="BK101" s="1958" t="s">
        <v>2129</v>
      </c>
      <c r="BL101" s="1958" t="s">
        <v>2129</v>
      </c>
      <c r="BM101" s="1958" t="s">
        <v>2129</v>
      </c>
      <c r="BN101" s="863" t="s">
        <v>2129</v>
      </c>
      <c r="BO101" s="863" t="s">
        <v>2129</v>
      </c>
      <c r="BP101" s="1958" t="s">
        <v>2129</v>
      </c>
      <c r="BQ101" s="1958" t="s">
        <v>2129</v>
      </c>
      <c r="BR101" s="1958" t="s">
        <v>2129</v>
      </c>
      <c r="BS101" s="1958" t="s">
        <v>2129</v>
      </c>
      <c r="BT101" s="1958" t="s">
        <v>2129</v>
      </c>
      <c r="BU101" s="1958" t="s">
        <v>2129</v>
      </c>
      <c r="BV101" s="1958" t="s">
        <v>2129</v>
      </c>
      <c r="BW101" s="1958" t="s">
        <v>2129</v>
      </c>
      <c r="BX101" s="1958" t="s">
        <v>2129</v>
      </c>
      <c r="BZ101" s="1958" t="s">
        <v>2129</v>
      </c>
      <c r="CA101" s="1958" t="s">
        <v>2129</v>
      </c>
      <c r="CB101" s="1958" t="s">
        <v>2129</v>
      </c>
      <c r="CC101" s="1958" t="s">
        <v>2129</v>
      </c>
      <c r="CE101" s="5785"/>
    </row>
    <row r="102" spans="1:83" ht="13">
      <c r="A102">
        <v>211</v>
      </c>
      <c r="B102" s="5802" t="s">
        <v>3333</v>
      </c>
      <c r="C102" s="5785" t="s">
        <v>2129</v>
      </c>
      <c r="D102" s="2694" t="s">
        <v>3791</v>
      </c>
      <c r="E102" s="2694" t="s">
        <v>2129</v>
      </c>
      <c r="F102" s="5785" t="s">
        <v>2129</v>
      </c>
      <c r="G102" s="5785" t="s">
        <v>2129</v>
      </c>
      <c r="H102" s="5785">
        <v>4</v>
      </c>
      <c r="I102" s="5785">
        <v>7</v>
      </c>
      <c r="J102" s="5785">
        <v>9</v>
      </c>
      <c r="K102" s="5785" t="s">
        <v>2129</v>
      </c>
      <c r="L102" s="5786">
        <v>2271180</v>
      </c>
      <c r="M102" s="5786">
        <v>0</v>
      </c>
      <c r="N102" s="5786">
        <v>0</v>
      </c>
      <c r="O102" s="5786">
        <v>0</v>
      </c>
      <c r="P102" s="5786">
        <v>0</v>
      </c>
      <c r="Q102" s="2476">
        <v>2498298</v>
      </c>
      <c r="R102" s="2477">
        <v>2498298</v>
      </c>
      <c r="S102" s="2477" t="b">
        <v>0</v>
      </c>
      <c r="T102" s="5786">
        <v>356899.71428571426</v>
      </c>
      <c r="U102" s="863">
        <v>2704706</v>
      </c>
      <c r="V102" s="863" t="b">
        <v>0</v>
      </c>
      <c r="W102" s="863">
        <v>40368.746268656716</v>
      </c>
      <c r="X102" s="863" t="s">
        <v>2129</v>
      </c>
      <c r="Y102" s="863" t="s">
        <v>3334</v>
      </c>
      <c r="AC102">
        <v>68</v>
      </c>
      <c r="AD102" s="3965">
        <v>67</v>
      </c>
      <c r="AE102" s="3965">
        <v>1</v>
      </c>
      <c r="AF102">
        <v>59</v>
      </c>
      <c r="AG102" t="s">
        <v>2129</v>
      </c>
      <c r="AH102">
        <v>67</v>
      </c>
      <c r="AI102" t="s">
        <v>2129</v>
      </c>
      <c r="AJ102" t="s">
        <v>2129</v>
      </c>
      <c r="AK102" t="s">
        <v>2129</v>
      </c>
      <c r="AL102" t="s">
        <v>2129</v>
      </c>
      <c r="AO102" t="s">
        <v>2129</v>
      </c>
      <c r="AT102" t="s">
        <v>2129</v>
      </c>
      <c r="AU102" t="s">
        <v>2129</v>
      </c>
      <c r="AV102" t="s">
        <v>2129</v>
      </c>
      <c r="AW102" t="s">
        <v>2129</v>
      </c>
      <c r="AX102">
        <v>11</v>
      </c>
      <c r="AY102" t="s">
        <v>2129</v>
      </c>
      <c r="AZ102" t="s">
        <v>2129</v>
      </c>
      <c r="BA102" t="s">
        <v>2129</v>
      </c>
      <c r="BB102" t="s">
        <v>2129</v>
      </c>
      <c r="BC102" t="s">
        <v>2129</v>
      </c>
      <c r="BD102" t="s">
        <v>2129</v>
      </c>
      <c r="BE102" s="1958" t="s">
        <v>2129</v>
      </c>
      <c r="BF102"/>
      <c r="BG102" s="863" t="s">
        <v>2129</v>
      </c>
      <c r="BH102" s="863" t="s">
        <v>2129</v>
      </c>
      <c r="BI102" s="863" t="s">
        <v>2129</v>
      </c>
      <c r="BJ102" s="863" t="s">
        <v>2129</v>
      </c>
      <c r="BK102" s="863">
        <v>29751766</v>
      </c>
      <c r="BL102" s="863" t="s">
        <v>2129</v>
      </c>
      <c r="BM102" s="863" t="s">
        <v>2129</v>
      </c>
      <c r="BN102" s="863" t="s">
        <v>2129</v>
      </c>
      <c r="BO102" s="863" t="s">
        <v>2129</v>
      </c>
      <c r="BP102" s="863" t="s">
        <v>2129</v>
      </c>
      <c r="BQ102" s="863" t="s">
        <v>2129</v>
      </c>
      <c r="BR102" s="863" t="s">
        <v>2129</v>
      </c>
      <c r="BS102" s="863" t="s">
        <v>2129</v>
      </c>
      <c r="BT102" s="863" t="s">
        <v>2129</v>
      </c>
      <c r="BU102" s="863" t="s">
        <v>2129</v>
      </c>
      <c r="BV102" s="863" t="s">
        <v>2129</v>
      </c>
      <c r="BW102" s="863" t="s">
        <v>2129</v>
      </c>
      <c r="BX102" s="863" t="s">
        <v>2129</v>
      </c>
      <c r="BY102" s="863"/>
      <c r="BZ102" s="863" t="s">
        <v>2129</v>
      </c>
      <c r="CA102" s="863" t="s">
        <v>2129</v>
      </c>
      <c r="CB102" s="863" t="s">
        <v>2129</v>
      </c>
      <c r="CC102" s="863" t="s">
        <v>2129</v>
      </c>
      <c r="CD102" s="863"/>
      <c r="CE102" s="5785"/>
    </row>
    <row r="103" spans="1:83" ht="13">
      <c r="A103">
        <v>212</v>
      </c>
      <c r="B103" s="196" t="s">
        <v>3335</v>
      </c>
      <c r="C103" s="5785" t="s">
        <v>2129</v>
      </c>
      <c r="D103" s="2694" t="s">
        <v>3791</v>
      </c>
      <c r="E103" s="2694" t="s">
        <v>2129</v>
      </c>
      <c r="F103" s="5785" t="s">
        <v>2129</v>
      </c>
      <c r="G103" s="5785" t="s">
        <v>2129</v>
      </c>
      <c r="H103" s="5785">
        <v>0</v>
      </c>
      <c r="I103" s="5785">
        <v>0</v>
      </c>
      <c r="J103" s="5785">
        <v>2</v>
      </c>
      <c r="K103" s="5785" t="s">
        <v>2129</v>
      </c>
      <c r="L103" s="5786">
        <v>0</v>
      </c>
      <c r="M103" s="5786">
        <v>0</v>
      </c>
      <c r="N103" s="5786">
        <v>0</v>
      </c>
      <c r="O103" s="5786">
        <v>0</v>
      </c>
      <c r="P103" s="5786">
        <v>0</v>
      </c>
      <c r="Q103" s="2476">
        <v>0</v>
      </c>
      <c r="R103" s="2477">
        <v>0</v>
      </c>
      <c r="S103" s="2477" t="b">
        <v>1</v>
      </c>
      <c r="T103" s="5786" t="s">
        <v>2129</v>
      </c>
      <c r="U103" s="863">
        <v>2588675</v>
      </c>
      <c r="V103" s="863" t="b">
        <v>1</v>
      </c>
      <c r="W103" s="863">
        <v>17143.543046357616</v>
      </c>
      <c r="X103" s="863" t="s">
        <v>2129</v>
      </c>
      <c r="AC103">
        <v>151</v>
      </c>
      <c r="AD103" s="3965">
        <v>151</v>
      </c>
      <c r="AE103" s="3965">
        <v>0</v>
      </c>
      <c r="AF103">
        <v>151</v>
      </c>
      <c r="AG103" t="s">
        <v>2129</v>
      </c>
      <c r="AH103">
        <v>95</v>
      </c>
      <c r="AI103" t="s">
        <v>2129</v>
      </c>
      <c r="AJ103" t="s">
        <v>2129</v>
      </c>
      <c r="AK103" t="s">
        <v>2129</v>
      </c>
      <c r="AL103" t="s">
        <v>2129</v>
      </c>
      <c r="AO103" t="s">
        <v>2129</v>
      </c>
      <c r="AT103" t="s">
        <v>2129</v>
      </c>
      <c r="AU103" t="s">
        <v>2129</v>
      </c>
      <c r="AV103" t="s">
        <v>2129</v>
      </c>
      <c r="AW103" t="s">
        <v>2129</v>
      </c>
      <c r="AX103">
        <v>11</v>
      </c>
      <c r="AY103" t="s">
        <v>2129</v>
      </c>
      <c r="AZ103" t="s">
        <v>2129</v>
      </c>
      <c r="BA103" t="s">
        <v>2129</v>
      </c>
      <c r="BB103" t="s">
        <v>2129</v>
      </c>
      <c r="BC103" t="s">
        <v>2129</v>
      </c>
      <c r="BD103" t="s">
        <v>2129</v>
      </c>
      <c r="BE103" s="1958" t="s">
        <v>2129</v>
      </c>
      <c r="BF103"/>
      <c r="BG103" s="863" t="s">
        <v>2129</v>
      </c>
      <c r="BH103" s="863" t="s">
        <v>2129</v>
      </c>
      <c r="BI103" s="863" t="s">
        <v>2129</v>
      </c>
      <c r="BJ103" s="863" t="s">
        <v>2129</v>
      </c>
      <c r="BK103" s="863">
        <v>17915002.483443707</v>
      </c>
      <c r="BL103" s="863" t="s">
        <v>2129</v>
      </c>
      <c r="BM103" s="863" t="s">
        <v>2129</v>
      </c>
      <c r="BN103" s="863" t="s">
        <v>2129</v>
      </c>
      <c r="BO103" s="863" t="s">
        <v>2129</v>
      </c>
      <c r="BP103" s="863" t="s">
        <v>2129</v>
      </c>
      <c r="BQ103" s="863" t="s">
        <v>2129</v>
      </c>
      <c r="BR103" s="863" t="s">
        <v>2129</v>
      </c>
      <c r="BS103" s="863" t="s">
        <v>2129</v>
      </c>
      <c r="BT103" s="863" t="s">
        <v>2129</v>
      </c>
      <c r="BU103" s="863" t="s">
        <v>2129</v>
      </c>
      <c r="BV103" s="863" t="s">
        <v>2129</v>
      </c>
      <c r="BW103" s="863" t="s">
        <v>2129</v>
      </c>
      <c r="BX103" s="863" t="s">
        <v>2129</v>
      </c>
      <c r="BY103" s="863"/>
      <c r="BZ103" s="863" t="s">
        <v>2129</v>
      </c>
      <c r="CA103" s="863" t="s">
        <v>2129</v>
      </c>
      <c r="CB103" s="863" t="s">
        <v>2129</v>
      </c>
      <c r="CC103" s="863" t="s">
        <v>2129</v>
      </c>
      <c r="CD103" s="863"/>
      <c r="CE103" s="5785"/>
    </row>
    <row r="104" spans="1:83" ht="13">
      <c r="A104">
        <v>213</v>
      </c>
      <c r="B104" s="196" t="s">
        <v>3336</v>
      </c>
      <c r="C104" s="5785" t="s">
        <v>2129</v>
      </c>
      <c r="D104" s="2694" t="s">
        <v>3791</v>
      </c>
      <c r="E104" s="2694" t="s">
        <v>2129</v>
      </c>
      <c r="F104" s="5785" t="s">
        <v>2129</v>
      </c>
      <c r="G104" s="5785" t="s">
        <v>2129</v>
      </c>
      <c r="H104" s="5785">
        <v>0</v>
      </c>
      <c r="I104" s="5785">
        <v>0</v>
      </c>
      <c r="J104" s="5785">
        <v>2</v>
      </c>
      <c r="K104" s="5785" t="s">
        <v>2129</v>
      </c>
      <c r="L104" s="5786">
        <v>0</v>
      </c>
      <c r="M104" s="5786">
        <v>0</v>
      </c>
      <c r="N104" s="5786">
        <v>0</v>
      </c>
      <c r="O104" s="5786">
        <v>0</v>
      </c>
      <c r="P104" s="5786">
        <v>0</v>
      </c>
      <c r="Q104" s="2476">
        <v>0</v>
      </c>
      <c r="R104" s="2477">
        <v>0</v>
      </c>
      <c r="S104" s="2477" t="b">
        <v>1</v>
      </c>
      <c r="T104" s="5786" t="s">
        <v>2129</v>
      </c>
      <c r="U104" s="863">
        <v>3323359</v>
      </c>
      <c r="V104" s="863" t="b">
        <v>1</v>
      </c>
      <c r="W104" s="863">
        <v>16452.272277227723</v>
      </c>
      <c r="X104" s="863" t="s">
        <v>2129</v>
      </c>
      <c r="AC104">
        <v>201</v>
      </c>
      <c r="AD104" s="3965">
        <v>202</v>
      </c>
      <c r="AE104" s="3965">
        <v>-1</v>
      </c>
      <c r="AF104">
        <v>201</v>
      </c>
      <c r="AG104" t="s">
        <v>2129</v>
      </c>
      <c r="AH104">
        <v>51</v>
      </c>
      <c r="AI104" t="s">
        <v>2129</v>
      </c>
      <c r="AJ104" t="s">
        <v>2129</v>
      </c>
      <c r="AK104" t="s">
        <v>2129</v>
      </c>
      <c r="AL104" t="s">
        <v>2129</v>
      </c>
      <c r="AO104" t="s">
        <v>2129</v>
      </c>
      <c r="AT104" t="s">
        <v>2129</v>
      </c>
      <c r="AU104" t="s">
        <v>2129</v>
      </c>
      <c r="AV104" t="s">
        <v>2129</v>
      </c>
      <c r="AW104" t="s">
        <v>2129</v>
      </c>
      <c r="AX104">
        <v>11</v>
      </c>
      <c r="AY104" t="s">
        <v>2129</v>
      </c>
      <c r="AZ104" t="s">
        <v>2129</v>
      </c>
      <c r="BA104" t="s">
        <v>2129</v>
      </c>
      <c r="BB104" t="s">
        <v>2129</v>
      </c>
      <c r="BC104" t="s">
        <v>2129</v>
      </c>
      <c r="BD104" t="s">
        <v>2129</v>
      </c>
      <c r="BE104" s="1958" t="s">
        <v>2129</v>
      </c>
      <c r="BF104"/>
      <c r="BG104" s="863" t="s">
        <v>2129</v>
      </c>
      <c r="BH104" s="863" t="s">
        <v>2129</v>
      </c>
      <c r="BI104" s="863" t="s">
        <v>2129</v>
      </c>
      <c r="BJ104" s="863" t="s">
        <v>2129</v>
      </c>
      <c r="BK104" s="863">
        <v>9229724.7475247532</v>
      </c>
      <c r="BL104" s="863" t="s">
        <v>2129</v>
      </c>
      <c r="BM104" s="863" t="s">
        <v>2129</v>
      </c>
      <c r="BN104" s="863" t="s">
        <v>2129</v>
      </c>
      <c r="BO104" s="863" t="s">
        <v>2129</v>
      </c>
      <c r="BP104" s="863" t="s">
        <v>2129</v>
      </c>
      <c r="BQ104" s="863" t="s">
        <v>2129</v>
      </c>
      <c r="BR104" s="863" t="s">
        <v>2129</v>
      </c>
      <c r="BS104" s="863" t="s">
        <v>2129</v>
      </c>
      <c r="BT104" s="863" t="s">
        <v>2129</v>
      </c>
      <c r="BU104" s="863" t="s">
        <v>2129</v>
      </c>
      <c r="BV104" s="863" t="s">
        <v>2129</v>
      </c>
      <c r="BW104" s="863" t="s">
        <v>2129</v>
      </c>
      <c r="BX104" s="863" t="s">
        <v>2129</v>
      </c>
      <c r="BY104" s="863"/>
      <c r="BZ104" s="863" t="s">
        <v>2129</v>
      </c>
      <c r="CA104" s="863" t="s">
        <v>2129</v>
      </c>
      <c r="CB104" s="863" t="s">
        <v>2129</v>
      </c>
      <c r="CC104" s="863" t="s">
        <v>2129</v>
      </c>
      <c r="CD104" s="863"/>
      <c r="CE104" s="5785"/>
    </row>
    <row r="105" spans="1:83" s="5782" customFormat="1" ht="13">
      <c r="A105" s="5782">
        <v>214</v>
      </c>
      <c r="B105" s="5783" t="s">
        <v>3337</v>
      </c>
      <c r="C105" s="5784" t="s">
        <v>2129</v>
      </c>
      <c r="D105" s="5784" t="s">
        <v>2129</v>
      </c>
      <c r="E105" s="5784" t="s">
        <v>2129</v>
      </c>
      <c r="F105" s="5784" t="s">
        <v>2129</v>
      </c>
      <c r="G105" s="5784" t="s">
        <v>2129</v>
      </c>
      <c r="H105" s="5785">
        <v>0</v>
      </c>
      <c r="I105" s="5785">
        <v>0</v>
      </c>
      <c r="J105" s="5785">
        <v>2</v>
      </c>
      <c r="K105" s="5785" t="s">
        <v>2129</v>
      </c>
      <c r="L105" s="5786">
        <v>0</v>
      </c>
      <c r="M105" s="5786">
        <v>0</v>
      </c>
      <c r="N105" s="5786">
        <v>0</v>
      </c>
      <c r="O105" s="5786">
        <v>0</v>
      </c>
      <c r="P105" s="5786">
        <v>0</v>
      </c>
      <c r="Q105" s="2476">
        <v>0</v>
      </c>
      <c r="R105" s="2477">
        <v>0</v>
      </c>
      <c r="S105" s="2477" t="b">
        <v>1</v>
      </c>
      <c r="T105" s="5786" t="s">
        <v>2129</v>
      </c>
      <c r="U105" s="5788">
        <v>1760088</v>
      </c>
      <c r="V105" s="5788" t="b">
        <v>1</v>
      </c>
      <c r="W105" s="5788">
        <v>20001</v>
      </c>
      <c r="X105" s="5788" t="s">
        <v>2129</v>
      </c>
      <c r="Y105" s="5788"/>
      <c r="Z105" s="5788"/>
      <c r="AA105" s="5788"/>
      <c r="AB105" s="5788"/>
      <c r="AC105" s="5782">
        <v>88</v>
      </c>
      <c r="AD105" s="5789">
        <v>88</v>
      </c>
      <c r="AE105" s="5789">
        <v>0</v>
      </c>
      <c r="AF105" s="5782">
        <v>92</v>
      </c>
      <c r="AG105" s="5782" t="s">
        <v>2129</v>
      </c>
      <c r="AH105" s="5782" t="s">
        <v>2129</v>
      </c>
      <c r="AI105" s="5782" t="s">
        <v>2129</v>
      </c>
      <c r="AJ105" s="5782" t="s">
        <v>2129</v>
      </c>
      <c r="AK105" s="5782" t="s">
        <v>2129</v>
      </c>
      <c r="AL105" s="5782" t="s">
        <v>2129</v>
      </c>
      <c r="AO105" s="5782" t="s">
        <v>2129</v>
      </c>
      <c r="AT105" s="5782" t="s">
        <v>2129</v>
      </c>
      <c r="AU105" s="5782" t="s">
        <v>2129</v>
      </c>
      <c r="AV105" s="5782" t="s">
        <v>2129</v>
      </c>
      <c r="AW105" s="5782" t="s">
        <v>2129</v>
      </c>
      <c r="AX105" s="5782" t="s">
        <v>2129</v>
      </c>
      <c r="AY105" s="5782" t="s">
        <v>2129</v>
      </c>
      <c r="AZ105" s="5782" t="s">
        <v>2129</v>
      </c>
      <c r="BA105" s="5782" t="s">
        <v>2129</v>
      </c>
      <c r="BB105" s="5782" t="s">
        <v>2129</v>
      </c>
      <c r="BC105" s="5782" t="s">
        <v>2129</v>
      </c>
      <c r="BD105" s="5782" t="s">
        <v>2129</v>
      </c>
      <c r="BE105" s="5788" t="s">
        <v>2129</v>
      </c>
      <c r="BG105" s="5788" t="s">
        <v>2129</v>
      </c>
      <c r="BH105" s="5788" t="s">
        <v>2129</v>
      </c>
      <c r="BI105" s="5788" t="s">
        <v>2129</v>
      </c>
      <c r="BJ105" s="5788" t="s">
        <v>2129</v>
      </c>
      <c r="BK105" s="5788" t="s">
        <v>2129</v>
      </c>
      <c r="BL105" s="5788" t="s">
        <v>2129</v>
      </c>
      <c r="BM105" s="5788" t="s">
        <v>2129</v>
      </c>
      <c r="BN105" s="5788" t="s">
        <v>2129</v>
      </c>
      <c r="BO105" s="5788" t="s">
        <v>2129</v>
      </c>
      <c r="BP105" s="5788" t="s">
        <v>2129</v>
      </c>
      <c r="BQ105" s="5788" t="s">
        <v>2129</v>
      </c>
      <c r="BR105" s="5788" t="s">
        <v>2129</v>
      </c>
      <c r="BS105" s="5788" t="s">
        <v>2129</v>
      </c>
      <c r="BT105" s="5788" t="s">
        <v>2129</v>
      </c>
      <c r="BU105" s="5788" t="s">
        <v>2129</v>
      </c>
      <c r="BV105" s="5788" t="s">
        <v>2129</v>
      </c>
      <c r="BW105" s="5788" t="s">
        <v>2129</v>
      </c>
      <c r="BX105" s="5788" t="s">
        <v>2129</v>
      </c>
      <c r="BY105" s="5788"/>
      <c r="BZ105" s="5788" t="s">
        <v>2129</v>
      </c>
      <c r="CA105" s="5788" t="s">
        <v>2129</v>
      </c>
      <c r="CB105" s="5788" t="s">
        <v>2129</v>
      </c>
      <c r="CC105" s="5788" t="s">
        <v>2129</v>
      </c>
      <c r="CD105" s="5788"/>
      <c r="CE105" s="5784"/>
    </row>
    <row r="106" spans="1:83" ht="13">
      <c r="A106">
        <v>219</v>
      </c>
      <c r="B106" s="196" t="s">
        <v>2850</v>
      </c>
      <c r="C106" s="5790" t="s">
        <v>6616</v>
      </c>
      <c r="D106" s="5790" t="s">
        <v>6599</v>
      </c>
      <c r="E106" s="5790" t="s">
        <v>2129</v>
      </c>
      <c r="F106" s="5785" t="s">
        <v>2129</v>
      </c>
      <c r="G106" s="5785" t="s">
        <v>2129</v>
      </c>
      <c r="H106" s="5785">
        <v>0</v>
      </c>
      <c r="I106" s="5785">
        <v>0</v>
      </c>
      <c r="J106" s="5785">
        <v>0</v>
      </c>
      <c r="K106" s="5785">
        <v>0</v>
      </c>
      <c r="L106" s="5786">
        <v>0</v>
      </c>
      <c r="M106" s="5786">
        <v>0</v>
      </c>
      <c r="N106" s="5786">
        <v>0</v>
      </c>
      <c r="O106" s="5786">
        <v>0</v>
      </c>
      <c r="P106" s="5786">
        <v>0</v>
      </c>
      <c r="Q106" s="2476">
        <v>0</v>
      </c>
      <c r="R106" s="2477">
        <v>0</v>
      </c>
      <c r="S106" s="2477" t="b">
        <v>1</v>
      </c>
      <c r="T106" s="5786" t="s">
        <v>2129</v>
      </c>
      <c r="U106" s="863">
        <v>2097343</v>
      </c>
      <c r="V106" s="863" t="b">
        <v>1</v>
      </c>
      <c r="W106" s="863">
        <v>8525.7845528455291</v>
      </c>
      <c r="X106" s="863" t="s">
        <v>2129</v>
      </c>
      <c r="Y106" s="863">
        <v>0</v>
      </c>
      <c r="AC106">
        <v>246</v>
      </c>
      <c r="AD106" s="3965">
        <v>246</v>
      </c>
      <c r="AE106" s="3965">
        <v>0</v>
      </c>
      <c r="AF106">
        <v>247</v>
      </c>
      <c r="AG106">
        <v>246</v>
      </c>
      <c r="AH106" t="s">
        <v>2129</v>
      </c>
      <c r="AI106" t="s">
        <v>2129</v>
      </c>
      <c r="AJ106" t="s">
        <v>2129</v>
      </c>
      <c r="AK106" t="s">
        <v>2129</v>
      </c>
      <c r="AL106">
        <v>0</v>
      </c>
      <c r="AO106" t="s">
        <v>2129</v>
      </c>
      <c r="AT106">
        <v>23</v>
      </c>
      <c r="AU106">
        <v>23</v>
      </c>
      <c r="AV106" t="s">
        <v>2129</v>
      </c>
      <c r="AW106" t="s">
        <v>2129</v>
      </c>
      <c r="AX106" t="s">
        <v>2129</v>
      </c>
      <c r="AY106" t="s">
        <v>2129</v>
      </c>
      <c r="AZ106" t="s">
        <v>2129</v>
      </c>
      <c r="BA106" t="s">
        <v>2129</v>
      </c>
      <c r="BB106" t="s">
        <v>2129</v>
      </c>
      <c r="BC106" t="s">
        <v>2129</v>
      </c>
      <c r="BD106" t="s">
        <v>2129</v>
      </c>
      <c r="BE106" s="1958">
        <v>48238889</v>
      </c>
      <c r="BF106" s="1958">
        <v>48238889</v>
      </c>
      <c r="BG106" s="1958" t="s">
        <v>2129</v>
      </c>
      <c r="BH106" s="1958" t="s">
        <v>2129</v>
      </c>
      <c r="BI106" s="1958" t="s">
        <v>2129</v>
      </c>
      <c r="BJ106" s="1958" t="s">
        <v>2129</v>
      </c>
      <c r="BK106" s="1958" t="s">
        <v>2129</v>
      </c>
      <c r="BL106" s="1958" t="s">
        <v>2129</v>
      </c>
      <c r="BM106" s="1958" t="s">
        <v>2129</v>
      </c>
      <c r="BN106" s="863" t="s">
        <v>2129</v>
      </c>
      <c r="BO106" s="863" t="s">
        <v>2129</v>
      </c>
      <c r="BP106" s="1958" t="s">
        <v>2129</v>
      </c>
      <c r="BQ106" s="1958" t="s">
        <v>2129</v>
      </c>
      <c r="BR106" s="1958" t="s">
        <v>2129</v>
      </c>
      <c r="BS106" s="1958" t="s">
        <v>2129</v>
      </c>
      <c r="BT106" s="1958" t="s">
        <v>2129</v>
      </c>
      <c r="BU106" s="1958" t="s">
        <v>2129</v>
      </c>
      <c r="BV106" s="1958" t="s">
        <v>2129</v>
      </c>
      <c r="BW106" s="1958" t="s">
        <v>2129</v>
      </c>
      <c r="BX106" s="1958" t="s">
        <v>2129</v>
      </c>
      <c r="BZ106" s="1958" t="s">
        <v>2129</v>
      </c>
      <c r="CA106" s="1958" t="s">
        <v>2129</v>
      </c>
      <c r="CB106" s="1958" t="s">
        <v>2129</v>
      </c>
      <c r="CC106" s="1958" t="s">
        <v>2129</v>
      </c>
      <c r="CE106" s="5785"/>
    </row>
    <row r="107" spans="1:83" ht="13">
      <c r="A107">
        <v>220</v>
      </c>
      <c r="B107" s="196" t="s">
        <v>2848</v>
      </c>
      <c r="C107" s="5790" t="s">
        <v>6616</v>
      </c>
      <c r="D107" s="5790" t="s">
        <v>6599</v>
      </c>
      <c r="E107" s="5790" t="s">
        <v>2129</v>
      </c>
      <c r="F107" s="5785" t="s">
        <v>2129</v>
      </c>
      <c r="G107" s="5785" t="s">
        <v>2129</v>
      </c>
      <c r="H107" s="5785">
        <v>0</v>
      </c>
      <c r="I107" s="5785">
        <v>0</v>
      </c>
      <c r="J107" s="5785">
        <v>0</v>
      </c>
      <c r="K107" s="5785">
        <v>0</v>
      </c>
      <c r="L107" s="5786">
        <v>0</v>
      </c>
      <c r="M107" s="5786">
        <v>0</v>
      </c>
      <c r="N107" s="5786">
        <v>0</v>
      </c>
      <c r="O107" s="5786">
        <v>0</v>
      </c>
      <c r="P107" s="5786">
        <v>0</v>
      </c>
      <c r="Q107" s="2476">
        <v>0</v>
      </c>
      <c r="R107" s="2477">
        <v>0</v>
      </c>
      <c r="S107" s="2477" t="b">
        <v>1</v>
      </c>
      <c r="T107" s="5786" t="s">
        <v>2129</v>
      </c>
      <c r="U107" s="863">
        <v>1176178</v>
      </c>
      <c r="V107" s="863" t="b">
        <v>1</v>
      </c>
      <c r="W107" s="863">
        <v>8225.0209790209792</v>
      </c>
      <c r="X107" s="863" t="s">
        <v>2129</v>
      </c>
      <c r="Y107" s="863">
        <v>0</v>
      </c>
      <c r="AC107">
        <v>143</v>
      </c>
      <c r="AD107" s="3965">
        <v>143</v>
      </c>
      <c r="AE107" s="3965">
        <v>0</v>
      </c>
      <c r="AF107">
        <v>144</v>
      </c>
      <c r="AG107">
        <v>143</v>
      </c>
      <c r="AH107" t="s">
        <v>2129</v>
      </c>
      <c r="AI107" t="s">
        <v>2129</v>
      </c>
      <c r="AJ107" t="s">
        <v>2129</v>
      </c>
      <c r="AK107" t="s">
        <v>2129</v>
      </c>
      <c r="AL107">
        <v>0</v>
      </c>
      <c r="AO107" t="s">
        <v>2129</v>
      </c>
      <c r="AT107">
        <v>23</v>
      </c>
      <c r="AU107">
        <v>23</v>
      </c>
      <c r="AV107" t="s">
        <v>2129</v>
      </c>
      <c r="AW107" t="s">
        <v>2129</v>
      </c>
      <c r="AX107" t="s">
        <v>2129</v>
      </c>
      <c r="AY107" t="s">
        <v>2129</v>
      </c>
      <c r="AZ107" t="s">
        <v>2129</v>
      </c>
      <c r="BA107" t="s">
        <v>2129</v>
      </c>
      <c r="BB107" t="s">
        <v>2129</v>
      </c>
      <c r="BC107" t="s">
        <v>2129</v>
      </c>
      <c r="BD107" t="s">
        <v>2129</v>
      </c>
      <c r="BE107" s="1958">
        <v>27052094</v>
      </c>
      <c r="BF107" s="1958">
        <v>27052094</v>
      </c>
      <c r="BG107" s="1958" t="s">
        <v>2129</v>
      </c>
      <c r="BH107" s="1958" t="s">
        <v>2129</v>
      </c>
      <c r="BI107" s="1958" t="s">
        <v>2129</v>
      </c>
      <c r="BJ107" s="1958" t="s">
        <v>2129</v>
      </c>
      <c r="BK107" s="1958" t="s">
        <v>2129</v>
      </c>
      <c r="BL107" s="1958" t="s">
        <v>2129</v>
      </c>
      <c r="BM107" s="1958" t="s">
        <v>2129</v>
      </c>
      <c r="BN107" s="863" t="s">
        <v>2129</v>
      </c>
      <c r="BO107" s="863" t="s">
        <v>2129</v>
      </c>
      <c r="BP107" s="1958" t="s">
        <v>2129</v>
      </c>
      <c r="BQ107" s="1958" t="s">
        <v>2129</v>
      </c>
      <c r="BR107" s="1958" t="s">
        <v>2129</v>
      </c>
      <c r="BS107" s="1958" t="s">
        <v>2129</v>
      </c>
      <c r="BT107" s="1958" t="s">
        <v>2129</v>
      </c>
      <c r="BU107" s="1958" t="s">
        <v>2129</v>
      </c>
      <c r="BV107" s="1958" t="s">
        <v>2129</v>
      </c>
      <c r="BW107" s="1958" t="s">
        <v>2129</v>
      </c>
      <c r="BX107" s="1958" t="s">
        <v>2129</v>
      </c>
      <c r="BZ107" s="1958" t="s">
        <v>2129</v>
      </c>
      <c r="CA107" s="1958" t="s">
        <v>2129</v>
      </c>
      <c r="CB107" s="1958" t="s">
        <v>2129</v>
      </c>
      <c r="CC107" s="1958" t="s">
        <v>2129</v>
      </c>
      <c r="CE107" s="5785"/>
    </row>
    <row r="108" spans="1:83" ht="13">
      <c r="A108">
        <v>221</v>
      </c>
      <c r="B108" s="196" t="s">
        <v>2846</v>
      </c>
      <c r="C108" s="5790" t="s">
        <v>6616</v>
      </c>
      <c r="D108" s="5790" t="s">
        <v>6599</v>
      </c>
      <c r="E108" s="5790" t="s">
        <v>2129</v>
      </c>
      <c r="F108" s="5792" t="s">
        <v>5205</v>
      </c>
      <c r="G108" s="5792" t="s">
        <v>2129</v>
      </c>
      <c r="H108" s="5785">
        <v>7</v>
      </c>
      <c r="I108" s="5785">
        <v>7</v>
      </c>
      <c r="J108" s="5785">
        <v>7</v>
      </c>
      <c r="K108" s="5785">
        <v>0</v>
      </c>
      <c r="L108" s="5786">
        <v>3234224</v>
      </c>
      <c r="M108" s="5786">
        <v>0</v>
      </c>
      <c r="N108" s="5786">
        <v>0</v>
      </c>
      <c r="O108" s="5786">
        <v>0</v>
      </c>
      <c r="P108" s="5786">
        <v>0</v>
      </c>
      <c r="Q108" s="2476">
        <v>3557646.4000000004</v>
      </c>
      <c r="R108" s="2477">
        <v>3550588</v>
      </c>
      <c r="S108" s="2477" t="b">
        <v>1</v>
      </c>
      <c r="T108" s="5786">
        <v>507226.85714285716</v>
      </c>
      <c r="U108" s="1958">
        <v>4071898</v>
      </c>
      <c r="V108" s="2700" t="b">
        <v>1</v>
      </c>
      <c r="W108" s="863">
        <v>37702.759259259263</v>
      </c>
      <c r="X108" s="863">
        <v>33091.409995936614</v>
      </c>
      <c r="Y108" s="863">
        <v>2300</v>
      </c>
      <c r="AA108" s="863">
        <v>17342</v>
      </c>
      <c r="AB108" s="863">
        <v>82566</v>
      </c>
      <c r="AC108">
        <v>108</v>
      </c>
      <c r="AD108" s="3965">
        <v>108</v>
      </c>
      <c r="AE108" s="3965">
        <v>0</v>
      </c>
      <c r="AF108">
        <v>91</v>
      </c>
      <c r="AG108">
        <v>108</v>
      </c>
      <c r="AH108" t="s">
        <v>2129</v>
      </c>
      <c r="AI108" t="s">
        <v>2129</v>
      </c>
      <c r="AJ108" s="2705">
        <v>107</v>
      </c>
      <c r="AK108" t="s">
        <v>2129</v>
      </c>
      <c r="AL108">
        <v>0</v>
      </c>
      <c r="AO108">
        <v>-1</v>
      </c>
      <c r="AT108">
        <v>23</v>
      </c>
      <c r="AU108">
        <v>23</v>
      </c>
      <c r="AV108" t="s">
        <v>2129</v>
      </c>
      <c r="AW108" t="s">
        <v>2129</v>
      </c>
      <c r="AX108" t="s">
        <v>2129</v>
      </c>
      <c r="AY108" t="s">
        <v>2129</v>
      </c>
      <c r="AZ108">
        <v>16</v>
      </c>
      <c r="BA108" t="s">
        <v>2129</v>
      </c>
      <c r="BB108" t="s">
        <v>2129</v>
      </c>
      <c r="BC108" t="s">
        <v>2129</v>
      </c>
      <c r="BD108" t="s">
        <v>2129</v>
      </c>
      <c r="BE108" s="1958">
        <v>93653654</v>
      </c>
      <c r="BF108" s="1958">
        <v>93653654</v>
      </c>
      <c r="BG108" s="1958" t="s">
        <v>2129</v>
      </c>
      <c r="BH108" s="1958" t="s">
        <v>2129</v>
      </c>
      <c r="BI108" s="1958" t="s">
        <v>2129</v>
      </c>
      <c r="BJ108" s="1958" t="s">
        <v>2129</v>
      </c>
      <c r="BK108" s="1958" t="s">
        <v>2129</v>
      </c>
      <c r="BL108" s="1958" t="s">
        <v>2129</v>
      </c>
      <c r="BM108" s="1958">
        <v>65150368</v>
      </c>
      <c r="BN108" s="863">
        <v>64547123.851851858</v>
      </c>
      <c r="BO108" s="863" t="s">
        <v>2129</v>
      </c>
      <c r="BP108" s="1958" t="s">
        <v>2129</v>
      </c>
      <c r="BQ108" s="1958" t="s">
        <v>2129</v>
      </c>
      <c r="BR108" s="1958" t="s">
        <v>2129</v>
      </c>
      <c r="BS108" s="1958" t="s">
        <v>2129</v>
      </c>
      <c r="BT108" s="1958" t="s">
        <v>2129</v>
      </c>
      <c r="BU108" s="1958">
        <v>81663524</v>
      </c>
      <c r="BV108" s="1958">
        <v>81663524</v>
      </c>
      <c r="BW108" s="1958" t="s">
        <v>2129</v>
      </c>
      <c r="BX108" s="1958" t="s">
        <v>2129</v>
      </c>
      <c r="BZ108" s="1958">
        <v>56809408</v>
      </c>
      <c r="CA108" s="1958">
        <v>56809408</v>
      </c>
      <c r="CB108" s="1958" t="s">
        <v>2129</v>
      </c>
      <c r="CC108" s="1958" t="s">
        <v>2129</v>
      </c>
      <c r="CE108" s="5785"/>
    </row>
    <row r="109" spans="1:83" ht="13">
      <c r="A109">
        <v>222</v>
      </c>
      <c r="B109" s="196" t="s">
        <v>6621</v>
      </c>
      <c r="C109" s="5785" t="s">
        <v>2129</v>
      </c>
      <c r="D109" s="2694" t="s">
        <v>3791</v>
      </c>
      <c r="E109" s="2694" t="s">
        <v>2129</v>
      </c>
      <c r="F109" s="5785" t="s">
        <v>2129</v>
      </c>
      <c r="G109" s="5785" t="s">
        <v>2129</v>
      </c>
      <c r="H109" s="5785">
        <v>0</v>
      </c>
      <c r="I109" s="5785">
        <v>0</v>
      </c>
      <c r="J109" s="5785">
        <v>4</v>
      </c>
      <c r="K109" s="5785" t="s">
        <v>2129</v>
      </c>
      <c r="L109" s="5786">
        <v>0</v>
      </c>
      <c r="M109" s="5786">
        <v>0</v>
      </c>
      <c r="N109" s="5786">
        <v>0</v>
      </c>
      <c r="O109" s="5786">
        <v>0</v>
      </c>
      <c r="P109" s="5786">
        <v>0</v>
      </c>
      <c r="Q109" s="2476">
        <v>0</v>
      </c>
      <c r="R109" s="2477">
        <v>0</v>
      </c>
      <c r="S109" s="2477" t="b">
        <v>1</v>
      </c>
      <c r="T109" s="5786" t="s">
        <v>2129</v>
      </c>
      <c r="U109" s="863">
        <v>1501244</v>
      </c>
      <c r="V109" s="863" t="b">
        <v>1</v>
      </c>
      <c r="W109" s="863">
        <v>20850.611111111109</v>
      </c>
      <c r="X109" s="863" t="s">
        <v>2129</v>
      </c>
      <c r="AC109">
        <v>72</v>
      </c>
      <c r="AD109" s="3965">
        <v>72</v>
      </c>
      <c r="AE109" s="3965">
        <v>0</v>
      </c>
      <c r="AF109">
        <v>72</v>
      </c>
      <c r="AG109" t="s">
        <v>2129</v>
      </c>
      <c r="AH109">
        <v>35</v>
      </c>
      <c r="AI109" t="s">
        <v>2129</v>
      </c>
      <c r="AJ109" t="s">
        <v>2129</v>
      </c>
      <c r="AK109" t="s">
        <v>2129</v>
      </c>
      <c r="AL109" t="s">
        <v>2129</v>
      </c>
      <c r="AO109" t="s">
        <v>2129</v>
      </c>
      <c r="AT109" t="s">
        <v>2129</v>
      </c>
      <c r="AU109" t="s">
        <v>2129</v>
      </c>
      <c r="AV109" t="s">
        <v>2129</v>
      </c>
      <c r="AW109" t="s">
        <v>2129</v>
      </c>
      <c r="AX109">
        <v>11</v>
      </c>
      <c r="AY109" t="s">
        <v>2129</v>
      </c>
      <c r="AZ109" t="s">
        <v>2129</v>
      </c>
      <c r="BA109" t="s">
        <v>2129</v>
      </c>
      <c r="BB109" t="s">
        <v>2129</v>
      </c>
      <c r="BC109" t="s">
        <v>2129</v>
      </c>
      <c r="BD109" t="s">
        <v>2129</v>
      </c>
      <c r="BE109" s="1958" t="s">
        <v>2129</v>
      </c>
      <c r="BF109"/>
      <c r="BG109" s="863" t="s">
        <v>2129</v>
      </c>
      <c r="BH109" s="863" t="s">
        <v>2129</v>
      </c>
      <c r="BI109" s="863" t="s">
        <v>2129</v>
      </c>
      <c r="BJ109" s="863" t="s">
        <v>2129</v>
      </c>
      <c r="BK109" s="863">
        <v>8027485.277777778</v>
      </c>
      <c r="BL109" s="863" t="s">
        <v>2129</v>
      </c>
      <c r="BM109" s="863" t="s">
        <v>2129</v>
      </c>
      <c r="BN109" s="863" t="s">
        <v>2129</v>
      </c>
      <c r="BO109" s="863" t="s">
        <v>2129</v>
      </c>
      <c r="BP109" s="863" t="s">
        <v>2129</v>
      </c>
      <c r="BQ109" s="863" t="s">
        <v>2129</v>
      </c>
      <c r="BR109" s="863" t="s">
        <v>2129</v>
      </c>
      <c r="BS109" s="863" t="s">
        <v>2129</v>
      </c>
      <c r="BT109" s="863" t="s">
        <v>2129</v>
      </c>
      <c r="BU109" s="863" t="s">
        <v>2129</v>
      </c>
      <c r="BV109" s="863" t="s">
        <v>2129</v>
      </c>
      <c r="BW109" s="863" t="s">
        <v>2129</v>
      </c>
      <c r="BX109" s="863" t="s">
        <v>2129</v>
      </c>
      <c r="BY109" s="863"/>
      <c r="BZ109" s="863" t="s">
        <v>2129</v>
      </c>
      <c r="CA109" s="863" t="s">
        <v>2129</v>
      </c>
      <c r="CB109" s="863" t="s">
        <v>2129</v>
      </c>
      <c r="CC109" s="863" t="s">
        <v>2129</v>
      </c>
      <c r="CD109" s="863"/>
      <c r="CE109" s="5785"/>
    </row>
    <row r="110" spans="1:83" ht="13">
      <c r="A110">
        <v>223</v>
      </c>
      <c r="B110" s="196" t="s">
        <v>2851</v>
      </c>
      <c r="C110" s="5799" t="s">
        <v>6616</v>
      </c>
      <c r="D110" s="5799" t="s">
        <v>2129</v>
      </c>
      <c r="E110" s="5799" t="s">
        <v>2129</v>
      </c>
      <c r="F110" s="5785" t="s">
        <v>2129</v>
      </c>
      <c r="G110" s="5785" t="s">
        <v>2129</v>
      </c>
      <c r="H110" s="5785">
        <v>1</v>
      </c>
      <c r="I110" s="2694">
        <v>1</v>
      </c>
      <c r="J110" s="2694">
        <v>1</v>
      </c>
      <c r="K110" s="5785">
        <v>0</v>
      </c>
      <c r="L110" s="5786">
        <v>30000</v>
      </c>
      <c r="M110" s="5786">
        <v>0</v>
      </c>
      <c r="N110" s="5786">
        <v>0</v>
      </c>
      <c r="O110" s="5786">
        <v>0</v>
      </c>
      <c r="P110" s="5786">
        <v>0</v>
      </c>
      <c r="Q110" s="2476">
        <v>33000</v>
      </c>
      <c r="R110" s="2477">
        <v>33000</v>
      </c>
      <c r="S110" s="2477" t="b">
        <v>1</v>
      </c>
      <c r="T110" s="5786">
        <v>33000</v>
      </c>
      <c r="U110" s="863">
        <v>5703225</v>
      </c>
      <c r="V110" s="863" t="b">
        <v>1</v>
      </c>
      <c r="W110" s="863">
        <v>44556.4453125</v>
      </c>
      <c r="X110" s="863" t="s">
        <v>2129</v>
      </c>
      <c r="Y110" s="863">
        <v>1800</v>
      </c>
      <c r="AC110">
        <v>128</v>
      </c>
      <c r="AD110" s="3965">
        <v>128</v>
      </c>
      <c r="AE110" s="3965">
        <v>0</v>
      </c>
      <c r="AF110">
        <v>142</v>
      </c>
      <c r="AG110">
        <v>128</v>
      </c>
      <c r="AH110" t="s">
        <v>2129</v>
      </c>
      <c r="AI110" t="s">
        <v>2129</v>
      </c>
      <c r="AJ110" t="s">
        <v>2129</v>
      </c>
      <c r="AK110" t="s">
        <v>2129</v>
      </c>
      <c r="AL110">
        <v>0</v>
      </c>
      <c r="AO110" t="s">
        <v>2129</v>
      </c>
      <c r="AT110">
        <v>23</v>
      </c>
      <c r="AU110" t="s">
        <v>2129</v>
      </c>
      <c r="AV110" t="s">
        <v>2129</v>
      </c>
      <c r="AW110" t="s">
        <v>2129</v>
      </c>
      <c r="AX110" t="s">
        <v>2129</v>
      </c>
      <c r="AY110" t="s">
        <v>2129</v>
      </c>
      <c r="AZ110" t="s">
        <v>2129</v>
      </c>
      <c r="BA110" t="s">
        <v>2129</v>
      </c>
      <c r="BB110" t="s">
        <v>2129</v>
      </c>
      <c r="BC110" t="s">
        <v>2129</v>
      </c>
      <c r="BD110" t="s">
        <v>2129</v>
      </c>
      <c r="BE110" s="1958">
        <v>131174175</v>
      </c>
      <c r="BF110" s="1958" t="s">
        <v>2129</v>
      </c>
      <c r="BG110" s="1958" t="s">
        <v>2129</v>
      </c>
      <c r="BH110" s="1958" t="s">
        <v>2129</v>
      </c>
      <c r="BI110" s="1958" t="s">
        <v>2129</v>
      </c>
      <c r="BJ110" s="1958" t="s">
        <v>2129</v>
      </c>
      <c r="BK110" s="1958" t="s">
        <v>2129</v>
      </c>
      <c r="BL110" s="1958" t="s">
        <v>2129</v>
      </c>
      <c r="BM110" s="1958" t="s">
        <v>2129</v>
      </c>
      <c r="BN110" s="863" t="s">
        <v>2129</v>
      </c>
      <c r="BO110" s="863" t="s">
        <v>2129</v>
      </c>
      <c r="BP110" s="1958" t="s">
        <v>2129</v>
      </c>
      <c r="BQ110" s="1958" t="s">
        <v>2129</v>
      </c>
      <c r="BR110" s="1958" t="s">
        <v>2129</v>
      </c>
      <c r="BS110" s="1958" t="s">
        <v>2129</v>
      </c>
      <c r="BT110" s="1958" t="s">
        <v>2129</v>
      </c>
      <c r="BU110" s="1958">
        <v>759000</v>
      </c>
      <c r="BV110" s="1958" t="s">
        <v>2129</v>
      </c>
      <c r="BW110" s="1958" t="s">
        <v>2129</v>
      </c>
      <c r="BX110" s="1958" t="s">
        <v>2129</v>
      </c>
      <c r="BZ110" s="1958" t="s">
        <v>2129</v>
      </c>
      <c r="CA110" s="1958" t="s">
        <v>2129</v>
      </c>
      <c r="CB110" s="1958" t="s">
        <v>2129</v>
      </c>
      <c r="CC110" s="1958" t="s">
        <v>2129</v>
      </c>
      <c r="CE110" s="5785"/>
    </row>
    <row r="111" spans="1:83" ht="13">
      <c r="A111">
        <v>227</v>
      </c>
      <c r="B111" s="196" t="s">
        <v>3339</v>
      </c>
      <c r="C111" s="5785" t="s">
        <v>2129</v>
      </c>
      <c r="D111" s="5785" t="s">
        <v>2129</v>
      </c>
      <c r="E111" s="5785" t="s">
        <v>2129</v>
      </c>
      <c r="F111" s="5785" t="s">
        <v>3791</v>
      </c>
      <c r="G111" s="5785" t="s">
        <v>2129</v>
      </c>
      <c r="H111" s="5785">
        <v>9</v>
      </c>
      <c r="I111" s="5785">
        <v>5</v>
      </c>
      <c r="J111" s="5785">
        <v>5</v>
      </c>
      <c r="K111" s="5785" t="s">
        <v>2129</v>
      </c>
      <c r="L111" s="5786">
        <v>5152943</v>
      </c>
      <c r="M111" s="5786">
        <v>0</v>
      </c>
      <c r="N111" s="5786">
        <v>0</v>
      </c>
      <c r="O111" s="5786">
        <v>0</v>
      </c>
      <c r="P111" s="5786">
        <v>0</v>
      </c>
      <c r="Q111" s="2476">
        <v>5668237.3000000007</v>
      </c>
      <c r="R111" s="2477">
        <v>5668237</v>
      </c>
      <c r="S111" s="2477" t="b">
        <v>1</v>
      </c>
      <c r="T111" s="5786">
        <v>1133647.3999999999</v>
      </c>
      <c r="U111" s="863">
        <v>1400275</v>
      </c>
      <c r="V111" s="863" t="b">
        <v>1</v>
      </c>
      <c r="W111" s="863">
        <v>17503.4375</v>
      </c>
      <c r="X111" s="863">
        <v>17149.724433557873</v>
      </c>
      <c r="AC111">
        <v>105</v>
      </c>
      <c r="AD111" s="3965">
        <v>80</v>
      </c>
      <c r="AE111" s="3965">
        <v>25</v>
      </c>
      <c r="AF111">
        <v>126</v>
      </c>
      <c r="AG111" t="s">
        <v>2129</v>
      </c>
      <c r="AH111" t="s">
        <v>2129</v>
      </c>
      <c r="AI111" t="s">
        <v>2129</v>
      </c>
      <c r="AJ111">
        <v>71</v>
      </c>
      <c r="AK111" t="s">
        <v>2129</v>
      </c>
      <c r="AL111" t="s">
        <v>2129</v>
      </c>
      <c r="AO111">
        <v>-9</v>
      </c>
      <c r="AT111" t="s">
        <v>2129</v>
      </c>
      <c r="AU111" t="s">
        <v>2129</v>
      </c>
      <c r="AV111" t="s">
        <v>2129</v>
      </c>
      <c r="AW111" t="s">
        <v>2129</v>
      </c>
      <c r="AX111" t="s">
        <v>2129</v>
      </c>
      <c r="AY111" t="s">
        <v>2129</v>
      </c>
      <c r="AZ111" t="s">
        <v>2129</v>
      </c>
      <c r="BA111" t="s">
        <v>2129</v>
      </c>
      <c r="BB111" t="s">
        <v>2129</v>
      </c>
      <c r="BC111">
        <v>10</v>
      </c>
      <c r="BD111" t="s">
        <v>2129</v>
      </c>
      <c r="BE111" s="1958" t="s">
        <v>2129</v>
      </c>
      <c r="BF111"/>
      <c r="BG111" s="863" t="s">
        <v>2129</v>
      </c>
      <c r="BH111" s="863" t="s">
        <v>2129</v>
      </c>
      <c r="BI111" s="863" t="s">
        <v>2129</v>
      </c>
      <c r="BJ111" s="863" t="s">
        <v>2129</v>
      </c>
      <c r="BK111" s="863" t="s">
        <v>2129</v>
      </c>
      <c r="BL111" s="863" t="s">
        <v>2129</v>
      </c>
      <c r="BM111" s="863" t="s">
        <v>2129</v>
      </c>
      <c r="BN111" s="863" t="s">
        <v>2129</v>
      </c>
      <c r="BO111" s="863" t="s">
        <v>2129</v>
      </c>
      <c r="BP111" s="863" t="s">
        <v>2129</v>
      </c>
      <c r="BQ111" s="863" t="s">
        <v>2129</v>
      </c>
      <c r="BR111" s="863" t="s">
        <v>2129</v>
      </c>
      <c r="BS111" s="863">
        <v>12427440.625</v>
      </c>
      <c r="BT111" s="863" t="s">
        <v>2129</v>
      </c>
      <c r="BU111" s="863" t="s">
        <v>2129</v>
      </c>
      <c r="BV111" s="863" t="s">
        <v>2129</v>
      </c>
      <c r="BW111" s="863" t="s">
        <v>2129</v>
      </c>
      <c r="BX111" s="863" t="s">
        <v>2129</v>
      </c>
      <c r="BY111" s="863"/>
      <c r="BZ111" s="863" t="s">
        <v>2129</v>
      </c>
      <c r="CA111" s="863" t="s">
        <v>2129</v>
      </c>
      <c r="CB111" s="863" t="s">
        <v>2129</v>
      </c>
      <c r="CC111" s="863" t="s">
        <v>2129</v>
      </c>
      <c r="CD111" s="863"/>
      <c r="CE111" s="5785"/>
    </row>
    <row r="112" spans="1:83" s="5782" customFormat="1" ht="13">
      <c r="A112" s="5782">
        <v>228</v>
      </c>
      <c r="B112" s="5783" t="s">
        <v>3340</v>
      </c>
      <c r="C112" s="5784" t="s">
        <v>2129</v>
      </c>
      <c r="D112" s="5784" t="s">
        <v>2129</v>
      </c>
      <c r="E112" s="5784" t="s">
        <v>2129</v>
      </c>
      <c r="F112" s="5784" t="s">
        <v>2129</v>
      </c>
      <c r="G112" s="5784" t="s">
        <v>2129</v>
      </c>
      <c r="H112" s="5785">
        <v>0</v>
      </c>
      <c r="I112" s="5785">
        <v>0</v>
      </c>
      <c r="J112" s="5785">
        <v>1</v>
      </c>
      <c r="K112" s="5785" t="s">
        <v>2129</v>
      </c>
      <c r="L112" s="5786">
        <v>0</v>
      </c>
      <c r="M112" s="5786">
        <v>0</v>
      </c>
      <c r="N112" s="5786">
        <v>0</v>
      </c>
      <c r="O112" s="5786">
        <v>0</v>
      </c>
      <c r="P112" s="5786">
        <v>0</v>
      </c>
      <c r="Q112" s="2476">
        <v>0</v>
      </c>
      <c r="R112" s="2477">
        <v>0</v>
      </c>
      <c r="S112" s="2477" t="b">
        <v>1</v>
      </c>
      <c r="T112" s="5786" t="s">
        <v>2129</v>
      </c>
      <c r="U112" s="5788">
        <v>1413130</v>
      </c>
      <c r="V112" s="5788" t="b">
        <v>1</v>
      </c>
      <c r="W112" s="5788">
        <v>7597.4731182795695</v>
      </c>
      <c r="X112" s="5788" t="s">
        <v>2129</v>
      </c>
      <c r="Y112" s="5788"/>
      <c r="Z112" s="5788"/>
      <c r="AA112" s="5788"/>
      <c r="AB112" s="5788"/>
      <c r="AC112" s="5782">
        <v>186</v>
      </c>
      <c r="AD112" s="5789">
        <v>186</v>
      </c>
      <c r="AE112" s="5789">
        <v>0</v>
      </c>
      <c r="AF112" s="5782">
        <v>187</v>
      </c>
      <c r="AG112" s="5782" t="s">
        <v>2129</v>
      </c>
      <c r="AH112" s="5782" t="s">
        <v>2129</v>
      </c>
      <c r="AI112" s="5782" t="s">
        <v>2129</v>
      </c>
      <c r="AJ112" s="5782" t="s">
        <v>2129</v>
      </c>
      <c r="AK112" s="5782" t="s">
        <v>2129</v>
      </c>
      <c r="AL112" s="5782" t="s">
        <v>2129</v>
      </c>
      <c r="AO112" s="5782" t="s">
        <v>2129</v>
      </c>
      <c r="AT112" s="5782" t="s">
        <v>2129</v>
      </c>
      <c r="AU112" s="5782" t="s">
        <v>2129</v>
      </c>
      <c r="AV112" s="5782" t="s">
        <v>2129</v>
      </c>
      <c r="AW112" s="5782" t="s">
        <v>2129</v>
      </c>
      <c r="AX112" s="5782" t="s">
        <v>2129</v>
      </c>
      <c r="AY112" s="5782" t="s">
        <v>2129</v>
      </c>
      <c r="AZ112" s="5782" t="s">
        <v>2129</v>
      </c>
      <c r="BA112" s="5782" t="s">
        <v>2129</v>
      </c>
      <c r="BB112" s="5782" t="s">
        <v>2129</v>
      </c>
      <c r="BC112" s="5782" t="s">
        <v>2129</v>
      </c>
      <c r="BD112" s="5782" t="s">
        <v>2129</v>
      </c>
      <c r="BE112" s="5788" t="s">
        <v>2129</v>
      </c>
      <c r="BG112" s="5788" t="s">
        <v>2129</v>
      </c>
      <c r="BH112" s="5788" t="s">
        <v>2129</v>
      </c>
      <c r="BI112" s="5788" t="s">
        <v>2129</v>
      </c>
      <c r="BJ112" s="5788" t="s">
        <v>2129</v>
      </c>
      <c r="BK112" s="5788" t="s">
        <v>2129</v>
      </c>
      <c r="BL112" s="5788" t="s">
        <v>2129</v>
      </c>
      <c r="BM112" s="5788" t="s">
        <v>2129</v>
      </c>
      <c r="BN112" s="5788" t="s">
        <v>2129</v>
      </c>
      <c r="BO112" s="5788" t="s">
        <v>2129</v>
      </c>
      <c r="BP112" s="5788" t="s">
        <v>2129</v>
      </c>
      <c r="BQ112" s="5788" t="s">
        <v>2129</v>
      </c>
      <c r="BR112" s="5788" t="s">
        <v>2129</v>
      </c>
      <c r="BS112" s="5788" t="s">
        <v>2129</v>
      </c>
      <c r="BT112" s="5788" t="s">
        <v>2129</v>
      </c>
      <c r="BU112" s="5788" t="s">
        <v>2129</v>
      </c>
      <c r="BV112" s="5788" t="s">
        <v>2129</v>
      </c>
      <c r="BW112" s="5788" t="s">
        <v>2129</v>
      </c>
      <c r="BX112" s="5788" t="s">
        <v>2129</v>
      </c>
      <c r="BY112" s="5788"/>
      <c r="BZ112" s="5788" t="s">
        <v>2129</v>
      </c>
      <c r="CA112" s="5788" t="s">
        <v>2129</v>
      </c>
      <c r="CB112" s="5788" t="s">
        <v>2129</v>
      </c>
      <c r="CC112" s="5788" t="s">
        <v>2129</v>
      </c>
      <c r="CD112" s="5788"/>
      <c r="CE112" s="5784"/>
    </row>
    <row r="113" spans="1:83" ht="13">
      <c r="A113">
        <v>229</v>
      </c>
      <c r="B113" s="196" t="s">
        <v>3341</v>
      </c>
      <c r="C113" s="5790" t="s">
        <v>6616</v>
      </c>
      <c r="D113" s="5790" t="s">
        <v>6599</v>
      </c>
      <c r="E113" s="5790" t="s">
        <v>2129</v>
      </c>
      <c r="F113" s="5785" t="s">
        <v>2129</v>
      </c>
      <c r="G113" s="5785" t="s">
        <v>2129</v>
      </c>
      <c r="H113" s="5785">
        <v>2</v>
      </c>
      <c r="I113" s="5785">
        <v>2</v>
      </c>
      <c r="J113" s="5785">
        <v>2</v>
      </c>
      <c r="K113" s="5785">
        <v>0</v>
      </c>
      <c r="L113" s="5786">
        <v>258824</v>
      </c>
      <c r="M113" s="5786">
        <v>0</v>
      </c>
      <c r="N113" s="5786">
        <v>0</v>
      </c>
      <c r="O113" s="5786">
        <v>0</v>
      </c>
      <c r="P113" s="5786">
        <v>0</v>
      </c>
      <c r="Q113" s="2476">
        <v>284706.40000000002</v>
      </c>
      <c r="R113" s="2477">
        <v>284706</v>
      </c>
      <c r="S113" s="2477" t="b">
        <v>1</v>
      </c>
      <c r="T113" s="5786">
        <v>142353</v>
      </c>
      <c r="U113" s="863">
        <v>1123852</v>
      </c>
      <c r="V113" s="863" t="b">
        <v>1</v>
      </c>
      <c r="W113" s="863">
        <v>10503.289719626167</v>
      </c>
      <c r="X113" s="863" t="s">
        <v>2129</v>
      </c>
      <c r="Y113" s="863">
        <v>0</v>
      </c>
      <c r="AC113">
        <v>107</v>
      </c>
      <c r="AD113" s="3965">
        <v>107</v>
      </c>
      <c r="AE113" s="3965">
        <v>0</v>
      </c>
      <c r="AF113">
        <v>119</v>
      </c>
      <c r="AG113">
        <v>107</v>
      </c>
      <c r="AH113" t="s">
        <v>2129</v>
      </c>
      <c r="AI113" t="s">
        <v>2129</v>
      </c>
      <c r="AJ113" t="s">
        <v>2129</v>
      </c>
      <c r="AK113" t="s">
        <v>2129</v>
      </c>
      <c r="AL113">
        <v>0</v>
      </c>
      <c r="AO113" t="s">
        <v>2129</v>
      </c>
      <c r="AT113">
        <v>22</v>
      </c>
      <c r="AU113">
        <v>22</v>
      </c>
      <c r="AV113" t="s">
        <v>2129</v>
      </c>
      <c r="AW113" t="s">
        <v>2129</v>
      </c>
      <c r="AX113" t="s">
        <v>2129</v>
      </c>
      <c r="AY113" t="s">
        <v>2129</v>
      </c>
      <c r="AZ113" t="s">
        <v>2129</v>
      </c>
      <c r="BA113" t="s">
        <v>2129</v>
      </c>
      <c r="BB113" t="s">
        <v>2129</v>
      </c>
      <c r="BC113" t="s">
        <v>2129</v>
      </c>
      <c r="BD113" t="s">
        <v>2129</v>
      </c>
      <c r="BE113" s="1958">
        <v>24724744</v>
      </c>
      <c r="BF113" s="1958">
        <v>24724744</v>
      </c>
      <c r="BG113" s="1958" t="s">
        <v>2129</v>
      </c>
      <c r="BH113" s="1958" t="s">
        <v>2129</v>
      </c>
      <c r="BI113" s="1958" t="s">
        <v>2129</v>
      </c>
      <c r="BJ113" s="1958" t="s">
        <v>2129</v>
      </c>
      <c r="BK113" s="1958" t="s">
        <v>2129</v>
      </c>
      <c r="BL113" s="1958" t="s">
        <v>2129</v>
      </c>
      <c r="BM113" s="1958" t="s">
        <v>2129</v>
      </c>
      <c r="BN113" s="863" t="s">
        <v>2129</v>
      </c>
      <c r="BO113" s="863" t="s">
        <v>2129</v>
      </c>
      <c r="BP113" s="1958" t="s">
        <v>2129</v>
      </c>
      <c r="BQ113" s="1958" t="s">
        <v>2129</v>
      </c>
      <c r="BR113" s="1958" t="s">
        <v>2129</v>
      </c>
      <c r="BS113" s="1958" t="s">
        <v>2129</v>
      </c>
      <c r="BT113" s="1958" t="s">
        <v>2129</v>
      </c>
      <c r="BU113" s="1958">
        <v>6263532</v>
      </c>
      <c r="BV113" s="1958">
        <v>6263532</v>
      </c>
      <c r="BW113" s="1958" t="s">
        <v>2129</v>
      </c>
      <c r="BX113" s="1958" t="s">
        <v>2129</v>
      </c>
      <c r="BZ113" s="1958" t="s">
        <v>2129</v>
      </c>
      <c r="CA113" s="1958" t="s">
        <v>2129</v>
      </c>
      <c r="CB113" s="1958" t="s">
        <v>2129</v>
      </c>
      <c r="CC113" s="1958" t="s">
        <v>2129</v>
      </c>
      <c r="CE113" s="5785"/>
    </row>
    <row r="114" spans="1:83" ht="13">
      <c r="A114">
        <v>231</v>
      </c>
      <c r="B114" s="196" t="s">
        <v>3342</v>
      </c>
      <c r="C114" s="5785" t="s">
        <v>2129</v>
      </c>
      <c r="D114" s="2694" t="s">
        <v>3791</v>
      </c>
      <c r="E114" s="2694" t="s">
        <v>2129</v>
      </c>
      <c r="F114" s="5785" t="s">
        <v>2129</v>
      </c>
      <c r="G114" s="5785" t="s">
        <v>2129</v>
      </c>
      <c r="H114" s="5785">
        <v>1</v>
      </c>
      <c r="I114" s="5785">
        <v>1</v>
      </c>
      <c r="J114" s="5785">
        <v>3</v>
      </c>
      <c r="K114" s="5785" t="s">
        <v>2129</v>
      </c>
      <c r="L114" s="5786">
        <v>38824</v>
      </c>
      <c r="M114" s="5786">
        <v>0</v>
      </c>
      <c r="N114" s="5786">
        <v>0</v>
      </c>
      <c r="O114" s="5786">
        <v>0</v>
      </c>
      <c r="P114" s="5786">
        <v>0</v>
      </c>
      <c r="Q114" s="2476">
        <v>42706.400000000001</v>
      </c>
      <c r="R114" s="2477">
        <v>42706</v>
      </c>
      <c r="S114" s="2477" t="b">
        <v>0</v>
      </c>
      <c r="T114" s="5786">
        <v>42706</v>
      </c>
      <c r="U114" s="863">
        <v>874579</v>
      </c>
      <c r="V114" s="863" t="b">
        <v>1</v>
      </c>
      <c r="W114" s="863">
        <v>13053.417910447761</v>
      </c>
      <c r="X114" s="863" t="s">
        <v>2129</v>
      </c>
      <c r="AC114">
        <v>102</v>
      </c>
      <c r="AD114" s="3965">
        <v>67</v>
      </c>
      <c r="AE114" s="3965">
        <v>35</v>
      </c>
      <c r="AF114">
        <v>125</v>
      </c>
      <c r="AG114" t="s">
        <v>2129</v>
      </c>
      <c r="AH114">
        <v>67</v>
      </c>
      <c r="AI114" t="s">
        <v>2129</v>
      </c>
      <c r="AJ114" t="s">
        <v>2129</v>
      </c>
      <c r="AK114" t="s">
        <v>2129</v>
      </c>
      <c r="AL114" t="s">
        <v>2129</v>
      </c>
      <c r="AO114" t="s">
        <v>2129</v>
      </c>
      <c r="AT114" t="s">
        <v>2129</v>
      </c>
      <c r="AU114" t="s">
        <v>2129</v>
      </c>
      <c r="AV114" t="s">
        <v>2129</v>
      </c>
      <c r="AW114" t="s">
        <v>2129</v>
      </c>
      <c r="AX114">
        <v>11</v>
      </c>
      <c r="AY114" t="s">
        <v>2129</v>
      </c>
      <c r="AZ114" t="s">
        <v>2129</v>
      </c>
      <c r="BA114" t="s">
        <v>2129</v>
      </c>
      <c r="BB114" t="s">
        <v>2129</v>
      </c>
      <c r="BC114" t="s">
        <v>2129</v>
      </c>
      <c r="BD114" t="s">
        <v>2129</v>
      </c>
      <c r="BE114" s="1958" t="s">
        <v>2129</v>
      </c>
      <c r="BF114"/>
      <c r="BG114" s="863" t="s">
        <v>2129</v>
      </c>
      <c r="BH114" s="863" t="s">
        <v>2129</v>
      </c>
      <c r="BI114" s="863" t="s">
        <v>2129</v>
      </c>
      <c r="BJ114" s="863" t="s">
        <v>2129</v>
      </c>
      <c r="BK114" s="863">
        <v>9620369</v>
      </c>
      <c r="BL114" s="863" t="s">
        <v>2129</v>
      </c>
      <c r="BM114" s="863" t="s">
        <v>2129</v>
      </c>
      <c r="BN114" s="863" t="s">
        <v>2129</v>
      </c>
      <c r="BO114" s="863" t="s">
        <v>2129</v>
      </c>
      <c r="BP114" s="863" t="s">
        <v>2129</v>
      </c>
      <c r="BQ114" s="863" t="s">
        <v>2129</v>
      </c>
      <c r="BR114" s="863" t="s">
        <v>2129</v>
      </c>
      <c r="BS114" s="863" t="s">
        <v>2129</v>
      </c>
      <c r="BT114" s="863" t="s">
        <v>2129</v>
      </c>
      <c r="BU114" s="863" t="s">
        <v>2129</v>
      </c>
      <c r="BV114" s="863" t="s">
        <v>2129</v>
      </c>
      <c r="BW114" s="863" t="s">
        <v>2129</v>
      </c>
      <c r="BX114" s="863" t="s">
        <v>2129</v>
      </c>
      <c r="BY114" s="863"/>
      <c r="BZ114" s="863" t="s">
        <v>2129</v>
      </c>
      <c r="CA114" s="863" t="s">
        <v>2129</v>
      </c>
      <c r="CB114" s="863" t="s">
        <v>2129</v>
      </c>
      <c r="CC114" s="863" t="s">
        <v>2129</v>
      </c>
      <c r="CD114" s="863"/>
      <c r="CE114" s="5785"/>
    </row>
    <row r="115" spans="1:83" s="5782" customFormat="1" ht="13">
      <c r="A115" s="5782">
        <v>232</v>
      </c>
      <c r="B115" s="5783" t="s">
        <v>3343</v>
      </c>
      <c r="C115" s="5784" t="s">
        <v>2129</v>
      </c>
      <c r="D115" s="5784" t="s">
        <v>2129</v>
      </c>
      <c r="E115" s="5784" t="s">
        <v>2129</v>
      </c>
      <c r="F115" s="5784" t="s">
        <v>2129</v>
      </c>
      <c r="G115" s="5784" t="s">
        <v>2129</v>
      </c>
      <c r="H115" s="5785">
        <v>0</v>
      </c>
      <c r="I115" s="5785">
        <v>0</v>
      </c>
      <c r="J115" s="5785">
        <v>2</v>
      </c>
      <c r="K115" s="5785" t="s">
        <v>2129</v>
      </c>
      <c r="L115" s="5786">
        <v>0</v>
      </c>
      <c r="M115" s="5786">
        <v>0</v>
      </c>
      <c r="N115" s="5786">
        <v>0</v>
      </c>
      <c r="O115" s="5786">
        <v>0</v>
      </c>
      <c r="P115" s="5786">
        <v>0</v>
      </c>
      <c r="Q115" s="2476">
        <v>0</v>
      </c>
      <c r="R115" s="2477">
        <v>0</v>
      </c>
      <c r="S115" s="2477" t="b">
        <v>1</v>
      </c>
      <c r="T115" s="5786" t="s">
        <v>2129</v>
      </c>
      <c r="U115" s="5788">
        <v>1934794</v>
      </c>
      <c r="V115" s="5788" t="b">
        <v>0</v>
      </c>
      <c r="W115" s="5788">
        <v>20804.236559139787</v>
      </c>
      <c r="X115" s="5788" t="s">
        <v>2129</v>
      </c>
      <c r="Y115" s="5788"/>
      <c r="Z115" s="5788"/>
      <c r="AA115" s="5788"/>
      <c r="AB115" s="5788"/>
      <c r="AC115" s="5782">
        <v>93</v>
      </c>
      <c r="AD115" s="5789">
        <v>93</v>
      </c>
      <c r="AE115" s="5789">
        <v>0</v>
      </c>
      <c r="AF115" s="5782">
        <v>93</v>
      </c>
      <c r="AG115" s="5782" t="s">
        <v>2129</v>
      </c>
      <c r="AH115" s="5782" t="s">
        <v>2129</v>
      </c>
      <c r="AI115" s="5782" t="s">
        <v>2129</v>
      </c>
      <c r="AJ115" s="5782" t="s">
        <v>2129</v>
      </c>
      <c r="AK115" s="5782" t="s">
        <v>2129</v>
      </c>
      <c r="AL115" s="5782" t="s">
        <v>2129</v>
      </c>
      <c r="AO115" s="5782" t="s">
        <v>2129</v>
      </c>
      <c r="AT115" s="5782" t="s">
        <v>2129</v>
      </c>
      <c r="AU115" s="5782" t="s">
        <v>2129</v>
      </c>
      <c r="AV115" s="5782" t="s">
        <v>2129</v>
      </c>
      <c r="AW115" s="5782" t="s">
        <v>2129</v>
      </c>
      <c r="AX115" s="5782" t="s">
        <v>2129</v>
      </c>
      <c r="AY115" s="5782" t="s">
        <v>2129</v>
      </c>
      <c r="AZ115" s="5782" t="s">
        <v>2129</v>
      </c>
      <c r="BA115" s="5782" t="s">
        <v>2129</v>
      </c>
      <c r="BB115" s="5782" t="s">
        <v>2129</v>
      </c>
      <c r="BC115" s="5782" t="s">
        <v>2129</v>
      </c>
      <c r="BD115" s="5782" t="s">
        <v>2129</v>
      </c>
      <c r="BE115" s="5788" t="s">
        <v>2129</v>
      </c>
      <c r="BG115" s="5788" t="s">
        <v>2129</v>
      </c>
      <c r="BH115" s="5788" t="s">
        <v>2129</v>
      </c>
      <c r="BI115" s="5788" t="s">
        <v>2129</v>
      </c>
      <c r="BJ115" s="5788" t="s">
        <v>2129</v>
      </c>
      <c r="BK115" s="5788" t="s">
        <v>2129</v>
      </c>
      <c r="BL115" s="5788" t="s">
        <v>2129</v>
      </c>
      <c r="BM115" s="5788" t="s">
        <v>2129</v>
      </c>
      <c r="BN115" s="5788" t="s">
        <v>2129</v>
      </c>
      <c r="BO115" s="5788" t="s">
        <v>2129</v>
      </c>
      <c r="BP115" s="5788" t="s">
        <v>2129</v>
      </c>
      <c r="BQ115" s="5788" t="s">
        <v>2129</v>
      </c>
      <c r="BR115" s="5788" t="s">
        <v>2129</v>
      </c>
      <c r="BS115" s="5788" t="s">
        <v>2129</v>
      </c>
      <c r="BT115" s="5788" t="s">
        <v>2129</v>
      </c>
      <c r="BU115" s="5788" t="s">
        <v>2129</v>
      </c>
      <c r="BV115" s="5788" t="s">
        <v>2129</v>
      </c>
      <c r="BW115" s="5788" t="s">
        <v>2129</v>
      </c>
      <c r="BX115" s="5788" t="s">
        <v>2129</v>
      </c>
      <c r="BY115" s="5788"/>
      <c r="BZ115" s="5788" t="s">
        <v>2129</v>
      </c>
      <c r="CA115" s="5788" t="s">
        <v>2129</v>
      </c>
      <c r="CB115" s="5788" t="s">
        <v>2129</v>
      </c>
      <c r="CC115" s="5788" t="s">
        <v>2129</v>
      </c>
      <c r="CD115" s="5788"/>
      <c r="CE115" s="5784"/>
    </row>
    <row r="116" spans="1:83" s="5782" customFormat="1" ht="13">
      <c r="A116" s="5782">
        <v>234</v>
      </c>
      <c r="B116" s="5783" t="s">
        <v>3344</v>
      </c>
      <c r="C116" s="5784" t="s">
        <v>2129</v>
      </c>
      <c r="D116" s="5784" t="s">
        <v>2129</v>
      </c>
      <c r="E116" s="5784" t="s">
        <v>2129</v>
      </c>
      <c r="F116" s="5784" t="s">
        <v>2129</v>
      </c>
      <c r="G116" s="5784" t="s">
        <v>2129</v>
      </c>
      <c r="H116" s="5785">
        <v>0</v>
      </c>
      <c r="I116" s="5785">
        <v>0</v>
      </c>
      <c r="J116" s="5785">
        <v>2</v>
      </c>
      <c r="K116" s="5785" t="s">
        <v>2129</v>
      </c>
      <c r="L116" s="5786">
        <v>0</v>
      </c>
      <c r="M116" s="5786">
        <v>0</v>
      </c>
      <c r="N116" s="5786">
        <v>0</v>
      </c>
      <c r="O116" s="5786">
        <v>0</v>
      </c>
      <c r="P116" s="5786">
        <v>0</v>
      </c>
      <c r="Q116" s="2476">
        <v>0</v>
      </c>
      <c r="R116" s="2477">
        <v>0</v>
      </c>
      <c r="S116" s="2477" t="b">
        <v>1</v>
      </c>
      <c r="T116" s="5786" t="s">
        <v>2129</v>
      </c>
      <c r="U116" s="5788">
        <v>455540</v>
      </c>
      <c r="V116" s="5788" t="b">
        <v>1</v>
      </c>
      <c r="W116" s="5788">
        <v>10353.181818181818</v>
      </c>
      <c r="X116" s="5788" t="s">
        <v>2129</v>
      </c>
      <c r="Y116" s="5788"/>
      <c r="Z116" s="5788"/>
      <c r="AA116" s="5788"/>
      <c r="AB116" s="5788"/>
      <c r="AC116" s="5782">
        <v>105</v>
      </c>
      <c r="AD116" s="5789">
        <v>44</v>
      </c>
      <c r="AE116" s="5789">
        <v>61</v>
      </c>
      <c r="AF116" s="5782">
        <v>105</v>
      </c>
      <c r="AG116" s="5782" t="s">
        <v>2129</v>
      </c>
      <c r="AH116" s="5782" t="s">
        <v>2129</v>
      </c>
      <c r="AI116" s="5782" t="s">
        <v>2129</v>
      </c>
      <c r="AJ116" s="5782" t="s">
        <v>2129</v>
      </c>
      <c r="AK116" s="5782" t="s">
        <v>2129</v>
      </c>
      <c r="AL116" s="5782" t="s">
        <v>2129</v>
      </c>
      <c r="AO116" s="5782" t="s">
        <v>2129</v>
      </c>
      <c r="AT116" s="5782" t="s">
        <v>2129</v>
      </c>
      <c r="AU116" s="5782" t="s">
        <v>2129</v>
      </c>
      <c r="AV116" s="5782" t="s">
        <v>2129</v>
      </c>
      <c r="AW116" s="5782" t="s">
        <v>2129</v>
      </c>
      <c r="AX116" s="5782" t="s">
        <v>2129</v>
      </c>
      <c r="AY116" s="5782" t="s">
        <v>2129</v>
      </c>
      <c r="AZ116" s="5782" t="s">
        <v>2129</v>
      </c>
      <c r="BA116" s="5782" t="s">
        <v>2129</v>
      </c>
      <c r="BB116" s="5782" t="s">
        <v>2129</v>
      </c>
      <c r="BC116" s="5782" t="s">
        <v>2129</v>
      </c>
      <c r="BD116" s="5782" t="s">
        <v>2129</v>
      </c>
      <c r="BE116" s="5788" t="s">
        <v>2129</v>
      </c>
      <c r="BG116" s="5788" t="s">
        <v>2129</v>
      </c>
      <c r="BH116" s="5788" t="s">
        <v>2129</v>
      </c>
      <c r="BI116" s="5788" t="s">
        <v>2129</v>
      </c>
      <c r="BJ116" s="5788" t="s">
        <v>2129</v>
      </c>
      <c r="BK116" s="5788" t="s">
        <v>2129</v>
      </c>
      <c r="BL116" s="5788" t="s">
        <v>2129</v>
      </c>
      <c r="BM116" s="5788" t="s">
        <v>2129</v>
      </c>
      <c r="BN116" s="5788" t="s">
        <v>2129</v>
      </c>
      <c r="BO116" s="5788" t="s">
        <v>2129</v>
      </c>
      <c r="BP116" s="5788" t="s">
        <v>2129</v>
      </c>
      <c r="BQ116" s="5788" t="s">
        <v>2129</v>
      </c>
      <c r="BR116" s="5788" t="s">
        <v>2129</v>
      </c>
      <c r="BS116" s="5788" t="s">
        <v>2129</v>
      </c>
      <c r="BT116" s="5788" t="s">
        <v>2129</v>
      </c>
      <c r="BU116" s="5788" t="s">
        <v>2129</v>
      </c>
      <c r="BV116" s="5788" t="s">
        <v>2129</v>
      </c>
      <c r="BW116" s="5788" t="s">
        <v>2129</v>
      </c>
      <c r="BX116" s="5788" t="s">
        <v>2129</v>
      </c>
      <c r="BY116" s="5788"/>
      <c r="BZ116" s="5788" t="s">
        <v>2129</v>
      </c>
      <c r="CA116" s="5788" t="s">
        <v>2129</v>
      </c>
      <c r="CB116" s="5788" t="s">
        <v>2129</v>
      </c>
      <c r="CC116" s="5788" t="s">
        <v>2129</v>
      </c>
      <c r="CD116" s="5788"/>
      <c r="CE116" s="5784"/>
    </row>
    <row r="117" spans="1:83" ht="13">
      <c r="A117">
        <v>238</v>
      </c>
      <c r="B117" s="196" t="s">
        <v>3345</v>
      </c>
      <c r="C117" s="5804" t="s">
        <v>6616</v>
      </c>
      <c r="D117" s="5804" t="s">
        <v>3791</v>
      </c>
      <c r="E117" s="5804" t="s">
        <v>2129</v>
      </c>
      <c r="F117" s="5785" t="s">
        <v>3791</v>
      </c>
      <c r="G117" s="5785" t="s">
        <v>2129</v>
      </c>
      <c r="H117" s="5785">
        <v>12</v>
      </c>
      <c r="I117" s="5785">
        <v>5</v>
      </c>
      <c r="J117" s="5785">
        <v>12</v>
      </c>
      <c r="K117" s="5785">
        <v>7</v>
      </c>
      <c r="L117" s="5786">
        <v>1443969</v>
      </c>
      <c r="M117" s="5786">
        <v>35295</v>
      </c>
      <c r="N117" s="5786">
        <v>0</v>
      </c>
      <c r="O117" s="5786">
        <v>0</v>
      </c>
      <c r="P117" s="5786">
        <v>0</v>
      </c>
      <c r="Q117" s="2476">
        <v>1627190.4000000001</v>
      </c>
      <c r="R117" s="2477">
        <v>1627190</v>
      </c>
      <c r="S117" s="2477" t="b">
        <v>0</v>
      </c>
      <c r="T117" s="5786">
        <v>325438</v>
      </c>
      <c r="U117" s="1958">
        <v>1500906</v>
      </c>
      <c r="V117" s="5793" t="b">
        <v>1</v>
      </c>
      <c r="W117" s="863">
        <v>15967.08510638298</v>
      </c>
      <c r="X117" s="863">
        <v>15354.537084398979</v>
      </c>
      <c r="Y117" s="863">
        <v>1800</v>
      </c>
      <c r="AC117">
        <v>90</v>
      </c>
      <c r="AD117" s="3965">
        <v>94</v>
      </c>
      <c r="AE117" s="3965">
        <v>-4</v>
      </c>
      <c r="AF117">
        <v>92</v>
      </c>
      <c r="AG117">
        <v>90</v>
      </c>
      <c r="AH117">
        <v>114</v>
      </c>
      <c r="AI117" t="s">
        <v>2129</v>
      </c>
      <c r="AJ117">
        <v>85</v>
      </c>
      <c r="AK117" t="s">
        <v>2129</v>
      </c>
      <c r="AL117">
        <v>-4</v>
      </c>
      <c r="AM117">
        <v>20</v>
      </c>
      <c r="AO117">
        <v>-9</v>
      </c>
      <c r="AT117">
        <v>22</v>
      </c>
      <c r="AU117" t="s">
        <v>2129</v>
      </c>
      <c r="AV117" t="s">
        <v>2129</v>
      </c>
      <c r="AW117" t="s">
        <v>2129</v>
      </c>
      <c r="AX117">
        <v>11</v>
      </c>
      <c r="AY117" t="s">
        <v>2129</v>
      </c>
      <c r="AZ117" t="s">
        <v>2129</v>
      </c>
      <c r="BA117" t="s">
        <v>2129</v>
      </c>
      <c r="BB117" t="s">
        <v>2129</v>
      </c>
      <c r="BC117">
        <v>10</v>
      </c>
      <c r="BD117" t="s">
        <v>2129</v>
      </c>
      <c r="BE117" s="1958">
        <v>33019932</v>
      </c>
      <c r="BF117" s="1958" t="s">
        <v>2129</v>
      </c>
      <c r="BG117" s="1958" t="s">
        <v>2129</v>
      </c>
      <c r="BH117" s="1958" t="s">
        <v>2129</v>
      </c>
      <c r="BI117" s="1958" t="s">
        <v>2129</v>
      </c>
      <c r="BJ117" s="1958" t="s">
        <v>2129</v>
      </c>
      <c r="BK117" s="1958">
        <v>20022724.723404258</v>
      </c>
      <c r="BL117" s="1958" t="s">
        <v>2129</v>
      </c>
      <c r="BM117" s="1958" t="s">
        <v>2129</v>
      </c>
      <c r="BN117" s="863" t="s">
        <v>2129</v>
      </c>
      <c r="BO117" s="863" t="s">
        <v>2129</v>
      </c>
      <c r="BP117" s="1958" t="s">
        <v>2129</v>
      </c>
      <c r="BQ117" s="1958" t="s">
        <v>2129</v>
      </c>
      <c r="BR117" s="1958" t="s">
        <v>2129</v>
      </c>
      <c r="BS117" s="1958">
        <v>13572022.340425532</v>
      </c>
      <c r="BT117" s="1958" t="s">
        <v>2129</v>
      </c>
      <c r="BU117" s="1958">
        <v>35798180</v>
      </c>
      <c r="BV117" s="1958" t="s">
        <v>2129</v>
      </c>
      <c r="BW117" s="1958" t="s">
        <v>2129</v>
      </c>
      <c r="BX117" s="1958" t="s">
        <v>2129</v>
      </c>
      <c r="BZ117" s="1958" t="s">
        <v>2129</v>
      </c>
      <c r="CA117" s="1958" t="s">
        <v>2129</v>
      </c>
      <c r="CB117" s="1958" t="s">
        <v>2129</v>
      </c>
      <c r="CC117" s="1958" t="s">
        <v>2129</v>
      </c>
      <c r="CE117" s="5785"/>
    </row>
    <row r="118" spans="1:83" s="5782" customFormat="1" ht="13">
      <c r="A118" s="5782">
        <v>239</v>
      </c>
      <c r="B118" s="5783" t="s">
        <v>3346</v>
      </c>
      <c r="C118" s="5784" t="s">
        <v>2129</v>
      </c>
      <c r="D118" s="5784" t="s">
        <v>2129</v>
      </c>
      <c r="E118" s="5784" t="s">
        <v>2129</v>
      </c>
      <c r="F118" s="5784" t="s">
        <v>2129</v>
      </c>
      <c r="G118" s="5784" t="s">
        <v>2129</v>
      </c>
      <c r="H118" s="5785">
        <v>0</v>
      </c>
      <c r="I118" s="5785">
        <v>0</v>
      </c>
      <c r="J118" s="5785">
        <v>14</v>
      </c>
      <c r="K118" s="5785" t="s">
        <v>2129</v>
      </c>
      <c r="L118" s="5786">
        <v>0</v>
      </c>
      <c r="M118" s="5786">
        <v>0</v>
      </c>
      <c r="N118" s="5786">
        <v>0</v>
      </c>
      <c r="O118" s="5786">
        <v>0</v>
      </c>
      <c r="P118" s="5786">
        <v>0</v>
      </c>
      <c r="Q118" s="2476">
        <v>0</v>
      </c>
      <c r="R118" s="2477">
        <v>0</v>
      </c>
      <c r="S118" s="2477" t="b">
        <v>1</v>
      </c>
      <c r="T118" s="5786" t="s">
        <v>2129</v>
      </c>
      <c r="U118" s="5788">
        <v>1215964</v>
      </c>
      <c r="V118" s="5788" t="b">
        <v>0</v>
      </c>
      <c r="W118" s="5788">
        <v>13976.597701149425</v>
      </c>
      <c r="X118" s="5788" t="s">
        <v>2129</v>
      </c>
      <c r="Y118" s="5788"/>
      <c r="Z118" s="5788"/>
      <c r="AA118" s="5788"/>
      <c r="AB118" s="5788"/>
      <c r="AC118" s="5782">
        <v>87</v>
      </c>
      <c r="AD118" s="5789">
        <v>87</v>
      </c>
      <c r="AE118" s="5789">
        <v>0</v>
      </c>
      <c r="AF118" s="5782">
        <v>87</v>
      </c>
      <c r="AG118" s="5782" t="s">
        <v>2129</v>
      </c>
      <c r="AH118" s="5782" t="s">
        <v>2129</v>
      </c>
      <c r="AI118" s="5782" t="s">
        <v>2129</v>
      </c>
      <c r="AJ118" s="5782" t="s">
        <v>2129</v>
      </c>
      <c r="AK118" s="5782" t="s">
        <v>2129</v>
      </c>
      <c r="AL118" s="5782" t="s">
        <v>2129</v>
      </c>
      <c r="AO118" s="5782" t="s">
        <v>2129</v>
      </c>
      <c r="AT118" s="5782" t="s">
        <v>2129</v>
      </c>
      <c r="AU118" s="5782" t="s">
        <v>2129</v>
      </c>
      <c r="AV118" s="5782" t="s">
        <v>2129</v>
      </c>
      <c r="AW118" s="5782" t="s">
        <v>2129</v>
      </c>
      <c r="AX118" s="5782" t="s">
        <v>2129</v>
      </c>
      <c r="AY118" s="5782" t="s">
        <v>2129</v>
      </c>
      <c r="AZ118" s="5782" t="s">
        <v>2129</v>
      </c>
      <c r="BA118" s="5782" t="s">
        <v>2129</v>
      </c>
      <c r="BB118" s="5782" t="s">
        <v>2129</v>
      </c>
      <c r="BC118" s="5782" t="s">
        <v>2129</v>
      </c>
      <c r="BD118" s="5782" t="s">
        <v>2129</v>
      </c>
      <c r="BE118" s="5788" t="s">
        <v>2129</v>
      </c>
      <c r="BG118" s="5788" t="s">
        <v>2129</v>
      </c>
      <c r="BH118" s="5788" t="s">
        <v>2129</v>
      </c>
      <c r="BI118" s="5788" t="s">
        <v>2129</v>
      </c>
      <c r="BJ118" s="5788" t="s">
        <v>2129</v>
      </c>
      <c r="BK118" s="5788" t="s">
        <v>2129</v>
      </c>
      <c r="BL118" s="5788" t="s">
        <v>2129</v>
      </c>
      <c r="BM118" s="5788" t="s">
        <v>2129</v>
      </c>
      <c r="BN118" s="5788" t="s">
        <v>2129</v>
      </c>
      <c r="BO118" s="5788" t="s">
        <v>2129</v>
      </c>
      <c r="BP118" s="5788" t="s">
        <v>2129</v>
      </c>
      <c r="BQ118" s="5788" t="s">
        <v>2129</v>
      </c>
      <c r="BR118" s="5788" t="s">
        <v>2129</v>
      </c>
      <c r="BS118" s="5788" t="s">
        <v>2129</v>
      </c>
      <c r="BT118" s="5788" t="s">
        <v>2129</v>
      </c>
      <c r="BU118" s="5788" t="s">
        <v>2129</v>
      </c>
      <c r="BV118" s="5788" t="s">
        <v>2129</v>
      </c>
      <c r="BW118" s="5788" t="s">
        <v>2129</v>
      </c>
      <c r="BX118" s="5788" t="s">
        <v>2129</v>
      </c>
      <c r="BY118" s="5788"/>
      <c r="BZ118" s="5788" t="s">
        <v>2129</v>
      </c>
      <c r="CA118" s="5788" t="s">
        <v>2129</v>
      </c>
      <c r="CB118" s="5788" t="s">
        <v>2129</v>
      </c>
      <c r="CC118" s="5788" t="s">
        <v>2129</v>
      </c>
      <c r="CD118" s="5788"/>
      <c r="CE118" s="5784"/>
    </row>
    <row r="119" spans="1:83" s="5782" customFormat="1" ht="13">
      <c r="A119" s="5782">
        <v>240</v>
      </c>
      <c r="B119" s="5783" t="s">
        <v>3347</v>
      </c>
      <c r="C119" s="5784" t="s">
        <v>2129</v>
      </c>
      <c r="D119" s="5784" t="s">
        <v>2129</v>
      </c>
      <c r="E119" s="5784" t="s">
        <v>2129</v>
      </c>
      <c r="F119" s="5784" t="s">
        <v>2129</v>
      </c>
      <c r="G119" s="5784" t="s">
        <v>2129</v>
      </c>
      <c r="H119" s="5785">
        <v>5</v>
      </c>
      <c r="I119" s="5785">
        <v>4</v>
      </c>
      <c r="J119" s="5785">
        <v>18</v>
      </c>
      <c r="K119" s="5785" t="s">
        <v>2129</v>
      </c>
      <c r="L119" s="5786">
        <v>423531</v>
      </c>
      <c r="M119" s="5786">
        <v>0</v>
      </c>
      <c r="N119" s="5786">
        <v>0</v>
      </c>
      <c r="O119" s="5786">
        <v>7800</v>
      </c>
      <c r="P119" s="5786">
        <v>0</v>
      </c>
      <c r="Q119" s="2476">
        <v>473684.10000000003</v>
      </c>
      <c r="R119" s="2477">
        <v>478034</v>
      </c>
      <c r="S119" s="2477" t="b">
        <v>0</v>
      </c>
      <c r="T119" s="5786">
        <v>119508.5</v>
      </c>
      <c r="U119" s="5788">
        <v>1608619</v>
      </c>
      <c r="V119" s="5788" t="b">
        <v>0</v>
      </c>
      <c r="W119" s="5788">
        <v>33512.895833333336</v>
      </c>
      <c r="X119" s="5788" t="s">
        <v>2129</v>
      </c>
      <c r="Y119" s="5788"/>
      <c r="Z119" s="5788"/>
      <c r="AA119" s="5788"/>
      <c r="AB119" s="5788"/>
      <c r="AC119" s="5782">
        <v>48</v>
      </c>
      <c r="AD119" s="5789">
        <v>48</v>
      </c>
      <c r="AE119" s="5789">
        <v>0</v>
      </c>
      <c r="AF119" s="5782">
        <v>66</v>
      </c>
      <c r="AG119" s="5782" t="s">
        <v>2129</v>
      </c>
      <c r="AH119" s="5782" t="s">
        <v>2129</v>
      </c>
      <c r="AI119" s="5782" t="s">
        <v>2129</v>
      </c>
      <c r="AJ119" s="5782" t="s">
        <v>2129</v>
      </c>
      <c r="AK119" s="5782" t="s">
        <v>2129</v>
      </c>
      <c r="AL119" s="5782" t="s">
        <v>2129</v>
      </c>
      <c r="AO119" s="5782" t="s">
        <v>2129</v>
      </c>
      <c r="AT119" s="5782" t="s">
        <v>2129</v>
      </c>
      <c r="AU119" s="5782" t="s">
        <v>2129</v>
      </c>
      <c r="AV119" s="5782" t="s">
        <v>2129</v>
      </c>
      <c r="AW119" s="5782" t="s">
        <v>2129</v>
      </c>
      <c r="AX119" s="5782" t="s">
        <v>2129</v>
      </c>
      <c r="AY119" s="5782" t="s">
        <v>2129</v>
      </c>
      <c r="AZ119" s="5782" t="s">
        <v>2129</v>
      </c>
      <c r="BA119" s="5782" t="s">
        <v>2129</v>
      </c>
      <c r="BB119" s="5782" t="s">
        <v>2129</v>
      </c>
      <c r="BC119" s="5782" t="s">
        <v>2129</v>
      </c>
      <c r="BD119" s="5782" t="s">
        <v>2129</v>
      </c>
      <c r="BE119" s="5788" t="s">
        <v>2129</v>
      </c>
      <c r="BG119" s="5788" t="s">
        <v>2129</v>
      </c>
      <c r="BH119" s="5788" t="s">
        <v>2129</v>
      </c>
      <c r="BI119" s="5788" t="s">
        <v>2129</v>
      </c>
      <c r="BJ119" s="5788" t="s">
        <v>2129</v>
      </c>
      <c r="BK119" s="5788" t="s">
        <v>2129</v>
      </c>
      <c r="BL119" s="5788" t="s">
        <v>2129</v>
      </c>
      <c r="BM119" s="5788" t="s">
        <v>2129</v>
      </c>
      <c r="BN119" s="5788" t="s">
        <v>2129</v>
      </c>
      <c r="BO119" s="5788" t="s">
        <v>2129</v>
      </c>
      <c r="BP119" s="5788" t="s">
        <v>2129</v>
      </c>
      <c r="BQ119" s="5788" t="s">
        <v>2129</v>
      </c>
      <c r="BR119" s="5788" t="s">
        <v>2129</v>
      </c>
      <c r="BS119" s="5788" t="s">
        <v>2129</v>
      </c>
      <c r="BT119" s="5788" t="s">
        <v>2129</v>
      </c>
      <c r="BU119" s="5788" t="s">
        <v>2129</v>
      </c>
      <c r="BV119" s="5788" t="s">
        <v>2129</v>
      </c>
      <c r="BW119" s="5788" t="s">
        <v>2129</v>
      </c>
      <c r="BX119" s="5788" t="s">
        <v>2129</v>
      </c>
      <c r="BY119" s="5788"/>
      <c r="BZ119" s="5788" t="s">
        <v>2129</v>
      </c>
      <c r="CA119" s="5788" t="s">
        <v>2129</v>
      </c>
      <c r="CB119" s="5788" t="s">
        <v>2129</v>
      </c>
      <c r="CC119" s="5788" t="s">
        <v>2129</v>
      </c>
      <c r="CD119" s="5788"/>
      <c r="CE119" s="5784"/>
    </row>
    <row r="120" spans="1:83" ht="13">
      <c r="A120">
        <v>241</v>
      </c>
      <c r="B120" s="196" t="s">
        <v>3348</v>
      </c>
      <c r="C120" s="5790" t="s">
        <v>6616</v>
      </c>
      <c r="D120" s="5790" t="s">
        <v>6599</v>
      </c>
      <c r="E120" s="5790" t="s">
        <v>2129</v>
      </c>
      <c r="F120" s="5785" t="s">
        <v>2129</v>
      </c>
      <c r="G120" s="5785" t="s">
        <v>2129</v>
      </c>
      <c r="H120" s="5785">
        <v>10</v>
      </c>
      <c r="I120" s="5785">
        <v>6</v>
      </c>
      <c r="J120" s="5785">
        <v>10</v>
      </c>
      <c r="K120" s="5785">
        <v>4</v>
      </c>
      <c r="L120" s="5786">
        <v>847062</v>
      </c>
      <c r="M120" s="5786">
        <v>0</v>
      </c>
      <c r="N120" s="5786">
        <v>0</v>
      </c>
      <c r="O120" s="5786">
        <v>21450</v>
      </c>
      <c r="P120" s="5786">
        <v>0</v>
      </c>
      <c r="Q120" s="2476">
        <v>953218.20000000007</v>
      </c>
      <c r="R120" s="2477">
        <v>954568</v>
      </c>
      <c r="S120" s="2477" t="b">
        <v>0</v>
      </c>
      <c r="T120" s="5786">
        <v>159094.66666666666</v>
      </c>
      <c r="U120" s="863">
        <v>1999532</v>
      </c>
      <c r="V120" s="863" t="b">
        <v>1</v>
      </c>
      <c r="W120" s="863">
        <v>13154.815789473685</v>
      </c>
      <c r="X120" s="863" t="s">
        <v>2129</v>
      </c>
      <c r="Y120" s="5805">
        <v>2200</v>
      </c>
      <c r="Z120" s="5805"/>
      <c r="AA120" s="5805"/>
      <c r="AB120" s="5805"/>
      <c r="AC120">
        <v>152</v>
      </c>
      <c r="AD120" s="3965">
        <v>152</v>
      </c>
      <c r="AE120" s="3965">
        <v>0</v>
      </c>
      <c r="AF120">
        <v>362</v>
      </c>
      <c r="AG120">
        <v>152</v>
      </c>
      <c r="AH120" t="s">
        <v>2129</v>
      </c>
      <c r="AI120" t="s">
        <v>2129</v>
      </c>
      <c r="AJ120" t="s">
        <v>2129</v>
      </c>
      <c r="AK120" t="s">
        <v>2129</v>
      </c>
      <c r="AL120">
        <v>0</v>
      </c>
      <c r="AO120" t="s">
        <v>2129</v>
      </c>
      <c r="AT120">
        <v>22</v>
      </c>
      <c r="AU120">
        <v>22</v>
      </c>
      <c r="AV120" t="s">
        <v>2129</v>
      </c>
      <c r="AW120" t="s">
        <v>2129</v>
      </c>
      <c r="AX120" t="s">
        <v>2129</v>
      </c>
      <c r="AY120" t="s">
        <v>2129</v>
      </c>
      <c r="AZ120" t="s">
        <v>2129</v>
      </c>
      <c r="BA120" t="s">
        <v>2129</v>
      </c>
      <c r="BB120" t="s">
        <v>2129</v>
      </c>
      <c r="BC120" t="s">
        <v>2129</v>
      </c>
      <c r="BD120" t="s">
        <v>2129</v>
      </c>
      <c r="BE120" s="1958">
        <v>43989704</v>
      </c>
      <c r="BF120" s="1958">
        <v>43989704</v>
      </c>
      <c r="BG120" s="1958" t="s">
        <v>2129</v>
      </c>
      <c r="BH120" s="1958" t="s">
        <v>2129</v>
      </c>
      <c r="BI120" s="1958" t="s">
        <v>2129</v>
      </c>
      <c r="BJ120" s="1958" t="s">
        <v>2129</v>
      </c>
      <c r="BK120" s="1958" t="s">
        <v>2129</v>
      </c>
      <c r="BL120" s="1958" t="s">
        <v>2129</v>
      </c>
      <c r="BM120" s="1958" t="s">
        <v>2129</v>
      </c>
      <c r="BN120" s="863" t="s">
        <v>2129</v>
      </c>
      <c r="BO120" s="863" t="s">
        <v>2129</v>
      </c>
      <c r="BP120" s="1958" t="s">
        <v>2129</v>
      </c>
      <c r="BQ120" s="1958" t="s">
        <v>2129</v>
      </c>
      <c r="BR120" s="1958" t="s">
        <v>2129</v>
      </c>
      <c r="BS120" s="1958" t="s">
        <v>2129</v>
      </c>
      <c r="BT120" s="1958" t="s">
        <v>2129</v>
      </c>
      <c r="BU120" s="1958">
        <v>21000496</v>
      </c>
      <c r="BV120" s="1958">
        <v>21000496</v>
      </c>
      <c r="BW120" s="1958" t="s">
        <v>2129</v>
      </c>
      <c r="BX120" s="1958" t="s">
        <v>2129</v>
      </c>
      <c r="BZ120" s="1958" t="s">
        <v>2129</v>
      </c>
      <c r="CA120" s="1958" t="s">
        <v>2129</v>
      </c>
      <c r="CB120" s="1958" t="s">
        <v>2129</v>
      </c>
      <c r="CC120" s="1958" t="s">
        <v>2129</v>
      </c>
      <c r="CE120" s="5785"/>
    </row>
    <row r="121" spans="1:83" s="5782" customFormat="1" ht="13">
      <c r="A121" s="5782">
        <v>242</v>
      </c>
      <c r="B121" s="5783" t="s">
        <v>3349</v>
      </c>
      <c r="C121" s="5784" t="s">
        <v>2129</v>
      </c>
      <c r="D121" s="5784" t="s">
        <v>2129</v>
      </c>
      <c r="E121" s="5784" t="s">
        <v>2129</v>
      </c>
      <c r="F121" s="5784" t="s">
        <v>2129</v>
      </c>
      <c r="G121" s="5784" t="s">
        <v>2129</v>
      </c>
      <c r="H121" s="5785">
        <v>3</v>
      </c>
      <c r="I121" s="5785">
        <v>1</v>
      </c>
      <c r="J121" s="5785">
        <v>9</v>
      </c>
      <c r="K121" s="5785" t="s">
        <v>2129</v>
      </c>
      <c r="L121" s="5786">
        <v>58824</v>
      </c>
      <c r="M121" s="5786">
        <v>0</v>
      </c>
      <c r="N121" s="5786">
        <v>0</v>
      </c>
      <c r="O121" s="5786">
        <v>9750</v>
      </c>
      <c r="P121" s="5786">
        <v>0</v>
      </c>
      <c r="Q121" s="2476">
        <v>74456.400000000009</v>
      </c>
      <c r="R121" s="2477">
        <v>81056</v>
      </c>
      <c r="S121" s="2477" t="b">
        <v>0</v>
      </c>
      <c r="T121" s="5786">
        <v>81056</v>
      </c>
      <c r="U121" s="5788">
        <v>750627</v>
      </c>
      <c r="V121" s="5788" t="b">
        <v>0</v>
      </c>
      <c r="W121" s="5788">
        <v>18307.975609756097</v>
      </c>
      <c r="X121" s="5788" t="s">
        <v>2129</v>
      </c>
      <c r="Y121" s="5788"/>
      <c r="Z121" s="5788"/>
      <c r="AA121" s="5788"/>
      <c r="AB121" s="5788"/>
      <c r="AC121" s="5782">
        <v>41</v>
      </c>
      <c r="AD121" s="5789">
        <v>41</v>
      </c>
      <c r="AE121" s="5789">
        <v>0</v>
      </c>
      <c r="AF121" s="5782">
        <v>76</v>
      </c>
      <c r="AG121" s="5782" t="s">
        <v>2129</v>
      </c>
      <c r="AH121" s="5782" t="s">
        <v>2129</v>
      </c>
      <c r="AI121" s="5782" t="s">
        <v>2129</v>
      </c>
      <c r="AJ121" s="5782" t="s">
        <v>2129</v>
      </c>
      <c r="AK121" s="5782" t="s">
        <v>2129</v>
      </c>
      <c r="AL121" s="5782" t="s">
        <v>2129</v>
      </c>
      <c r="AO121" s="5782" t="s">
        <v>2129</v>
      </c>
      <c r="AT121" s="5782" t="s">
        <v>2129</v>
      </c>
      <c r="AU121" s="5782" t="s">
        <v>2129</v>
      </c>
      <c r="AV121" s="5782" t="s">
        <v>2129</v>
      </c>
      <c r="AW121" s="5782" t="s">
        <v>2129</v>
      </c>
      <c r="AX121" s="5782" t="s">
        <v>2129</v>
      </c>
      <c r="AY121" s="5782" t="s">
        <v>2129</v>
      </c>
      <c r="AZ121" s="5782" t="s">
        <v>2129</v>
      </c>
      <c r="BA121" s="5782" t="s">
        <v>2129</v>
      </c>
      <c r="BB121" s="5782" t="s">
        <v>2129</v>
      </c>
      <c r="BC121" s="5782" t="s">
        <v>2129</v>
      </c>
      <c r="BD121" s="5782" t="s">
        <v>2129</v>
      </c>
      <c r="BE121" s="5788" t="s">
        <v>2129</v>
      </c>
      <c r="BG121" s="5788" t="s">
        <v>2129</v>
      </c>
      <c r="BH121" s="5788" t="s">
        <v>2129</v>
      </c>
      <c r="BI121" s="5788" t="s">
        <v>2129</v>
      </c>
      <c r="BJ121" s="5788" t="s">
        <v>2129</v>
      </c>
      <c r="BK121" s="5788" t="s">
        <v>2129</v>
      </c>
      <c r="BL121" s="5788" t="s">
        <v>2129</v>
      </c>
      <c r="BM121" s="5788" t="s">
        <v>2129</v>
      </c>
      <c r="BN121" s="5788" t="s">
        <v>2129</v>
      </c>
      <c r="BO121" s="5788" t="s">
        <v>2129</v>
      </c>
      <c r="BP121" s="5788" t="s">
        <v>2129</v>
      </c>
      <c r="BQ121" s="5788" t="s">
        <v>2129</v>
      </c>
      <c r="BR121" s="5788" t="s">
        <v>2129</v>
      </c>
      <c r="BS121" s="5788" t="s">
        <v>2129</v>
      </c>
      <c r="BT121" s="5788" t="s">
        <v>2129</v>
      </c>
      <c r="BU121" s="5788" t="s">
        <v>2129</v>
      </c>
      <c r="BV121" s="5788" t="s">
        <v>2129</v>
      </c>
      <c r="BW121" s="5788" t="s">
        <v>2129</v>
      </c>
      <c r="BX121" s="5788" t="s">
        <v>2129</v>
      </c>
      <c r="BY121" s="5788"/>
      <c r="BZ121" s="5788" t="s">
        <v>2129</v>
      </c>
      <c r="CA121" s="5788" t="s">
        <v>2129</v>
      </c>
      <c r="CB121" s="5788" t="s">
        <v>2129</v>
      </c>
      <c r="CC121" s="5788" t="s">
        <v>2129</v>
      </c>
      <c r="CD121" s="5788"/>
      <c r="CE121" s="5784"/>
    </row>
    <row r="122" spans="1:83" ht="13">
      <c r="A122">
        <v>243</v>
      </c>
      <c r="B122" s="196" t="s">
        <v>3350</v>
      </c>
      <c r="C122" s="5785" t="s">
        <v>2129</v>
      </c>
      <c r="D122" s="2694" t="s">
        <v>3791</v>
      </c>
      <c r="E122" s="2694" t="s">
        <v>2129</v>
      </c>
      <c r="F122" s="5785" t="s">
        <v>2129</v>
      </c>
      <c r="G122" s="5785" t="s">
        <v>2129</v>
      </c>
      <c r="H122" s="5785">
        <v>9</v>
      </c>
      <c r="I122" s="5785">
        <v>5</v>
      </c>
      <c r="J122" s="5785">
        <v>13</v>
      </c>
      <c r="K122" s="5785" t="s">
        <v>2129</v>
      </c>
      <c r="L122" s="5786">
        <v>294120</v>
      </c>
      <c r="M122" s="5786">
        <v>0</v>
      </c>
      <c r="N122" s="5786">
        <v>0</v>
      </c>
      <c r="O122" s="5786">
        <v>11700</v>
      </c>
      <c r="P122" s="5786">
        <v>0</v>
      </c>
      <c r="Q122" s="2476">
        <v>335232</v>
      </c>
      <c r="R122" s="2477">
        <v>335232</v>
      </c>
      <c r="S122" s="2477" t="b">
        <v>0</v>
      </c>
      <c r="T122" s="5786">
        <v>67046.399999999994</v>
      </c>
      <c r="U122" s="863">
        <v>4155456</v>
      </c>
      <c r="V122" s="863" t="b">
        <v>1</v>
      </c>
      <c r="W122" s="863">
        <v>68122.229508196717</v>
      </c>
      <c r="X122" s="863" t="s">
        <v>2129</v>
      </c>
      <c r="AC122">
        <v>61</v>
      </c>
      <c r="AD122" s="3965">
        <v>61</v>
      </c>
      <c r="AE122" s="3965">
        <v>0</v>
      </c>
      <c r="AF122">
        <v>89</v>
      </c>
      <c r="AG122" t="s">
        <v>2129</v>
      </c>
      <c r="AH122">
        <v>39</v>
      </c>
      <c r="AI122" t="s">
        <v>2129</v>
      </c>
      <c r="AJ122" t="s">
        <v>2129</v>
      </c>
      <c r="AK122" t="s">
        <v>2129</v>
      </c>
      <c r="AL122" t="s">
        <v>2129</v>
      </c>
      <c r="AO122" t="s">
        <v>2129</v>
      </c>
      <c r="AT122" t="s">
        <v>2129</v>
      </c>
      <c r="AU122" t="s">
        <v>2129</v>
      </c>
      <c r="AV122" t="s">
        <v>2129</v>
      </c>
      <c r="AW122" t="s">
        <v>2129</v>
      </c>
      <c r="AX122">
        <v>11</v>
      </c>
      <c r="AY122" t="s">
        <v>2129</v>
      </c>
      <c r="AZ122" t="s">
        <v>2129</v>
      </c>
      <c r="BA122" t="s">
        <v>2129</v>
      </c>
      <c r="BB122" t="s">
        <v>2129</v>
      </c>
      <c r="BC122" t="s">
        <v>2129</v>
      </c>
      <c r="BD122" t="s">
        <v>2129</v>
      </c>
      <c r="BE122" s="1958" t="s">
        <v>2129</v>
      </c>
      <c r="BF122"/>
      <c r="BG122" s="863" t="s">
        <v>2129</v>
      </c>
      <c r="BH122" s="863" t="s">
        <v>2129</v>
      </c>
      <c r="BI122" s="863" t="s">
        <v>2129</v>
      </c>
      <c r="BJ122" s="863" t="s">
        <v>2129</v>
      </c>
      <c r="BK122" s="863">
        <v>29224436.459016394</v>
      </c>
      <c r="BL122" s="863" t="s">
        <v>2129</v>
      </c>
      <c r="BM122" s="863" t="s">
        <v>2129</v>
      </c>
      <c r="BN122" s="863" t="s">
        <v>2129</v>
      </c>
      <c r="BO122" s="863" t="s">
        <v>2129</v>
      </c>
      <c r="BP122" s="863" t="s">
        <v>2129</v>
      </c>
      <c r="BQ122" s="863" t="s">
        <v>2129</v>
      </c>
      <c r="BR122" s="863" t="s">
        <v>2129</v>
      </c>
      <c r="BS122" s="863" t="s">
        <v>2129</v>
      </c>
      <c r="BT122" s="863" t="s">
        <v>2129</v>
      </c>
      <c r="BU122" s="863" t="s">
        <v>2129</v>
      </c>
      <c r="BV122" s="863" t="s">
        <v>2129</v>
      </c>
      <c r="BW122" s="863" t="s">
        <v>2129</v>
      </c>
      <c r="BX122" s="863" t="s">
        <v>2129</v>
      </c>
      <c r="BY122" s="863"/>
      <c r="BZ122" s="863" t="s">
        <v>2129</v>
      </c>
      <c r="CA122" s="863" t="s">
        <v>2129</v>
      </c>
      <c r="CB122" s="863" t="s">
        <v>2129</v>
      </c>
      <c r="CC122" s="863" t="s">
        <v>2129</v>
      </c>
      <c r="CD122" s="863"/>
      <c r="CE122" s="5785"/>
    </row>
    <row r="123" spans="1:83" ht="13">
      <c r="A123">
        <v>245</v>
      </c>
      <c r="B123" s="196" t="s">
        <v>2863</v>
      </c>
      <c r="C123" s="5790" t="s">
        <v>6616</v>
      </c>
      <c r="D123" s="5790" t="s">
        <v>6599</v>
      </c>
      <c r="E123" s="5790" t="s">
        <v>2129</v>
      </c>
      <c r="F123" s="5792" t="s">
        <v>5205</v>
      </c>
      <c r="G123" s="5792" t="s">
        <v>2129</v>
      </c>
      <c r="H123" s="5785">
        <v>0</v>
      </c>
      <c r="I123" s="2694">
        <v>0</v>
      </c>
      <c r="J123" s="2694">
        <v>0</v>
      </c>
      <c r="K123" s="2694">
        <v>0</v>
      </c>
      <c r="L123" s="5786">
        <v>0</v>
      </c>
      <c r="M123" s="5786">
        <v>0</v>
      </c>
      <c r="N123" s="5786">
        <v>0</v>
      </c>
      <c r="O123" s="5786">
        <v>0</v>
      </c>
      <c r="P123" s="5786">
        <v>0</v>
      </c>
      <c r="Q123" s="2476">
        <v>0</v>
      </c>
      <c r="R123" s="2477">
        <v>0</v>
      </c>
      <c r="S123" s="2477" t="b">
        <v>1</v>
      </c>
      <c r="T123" s="5786" t="s">
        <v>2129</v>
      </c>
      <c r="U123" s="863">
        <v>7337668</v>
      </c>
      <c r="V123" s="863" t="b">
        <v>1</v>
      </c>
      <c r="W123" s="863">
        <v>73376.679999999993</v>
      </c>
      <c r="X123" s="863">
        <v>44619.446640316208</v>
      </c>
      <c r="Y123" s="863">
        <v>1900</v>
      </c>
      <c r="AA123" s="863">
        <v>64706</v>
      </c>
      <c r="AB123" s="863">
        <v>76471</v>
      </c>
      <c r="AC123">
        <v>100</v>
      </c>
      <c r="AD123" s="3965">
        <v>100</v>
      </c>
      <c r="AE123" s="3965">
        <v>0</v>
      </c>
      <c r="AF123">
        <v>200</v>
      </c>
      <c r="AG123">
        <v>100</v>
      </c>
      <c r="AH123" t="s">
        <v>2129</v>
      </c>
      <c r="AI123" t="s">
        <v>2129</v>
      </c>
      <c r="AJ123" s="2705">
        <v>143</v>
      </c>
      <c r="AK123" t="s">
        <v>2129</v>
      </c>
      <c r="AL123">
        <v>0</v>
      </c>
      <c r="AO123">
        <v>43</v>
      </c>
      <c r="AT123">
        <v>18</v>
      </c>
      <c r="AU123">
        <v>18</v>
      </c>
      <c r="AV123" t="s">
        <v>2129</v>
      </c>
      <c r="AW123" t="s">
        <v>2129</v>
      </c>
      <c r="AX123" t="s">
        <v>2129</v>
      </c>
      <c r="AY123" t="s">
        <v>2129</v>
      </c>
      <c r="AZ123">
        <v>16</v>
      </c>
      <c r="BA123" t="s">
        <v>2129</v>
      </c>
      <c r="BB123" t="s">
        <v>2129</v>
      </c>
      <c r="BC123" t="s">
        <v>2129</v>
      </c>
      <c r="BD123" t="s">
        <v>2129</v>
      </c>
      <c r="BE123" s="1958">
        <v>132078024</v>
      </c>
      <c r="BF123" s="1958">
        <v>132078024</v>
      </c>
      <c r="BG123" s="1958" t="s">
        <v>2129</v>
      </c>
      <c r="BH123" s="1958" t="s">
        <v>2129</v>
      </c>
      <c r="BI123" s="1958" t="s">
        <v>2129</v>
      </c>
      <c r="BJ123" s="1958" t="s">
        <v>2129</v>
      </c>
      <c r="BK123" s="1958" t="s">
        <v>2129</v>
      </c>
      <c r="BL123" s="1958" t="s">
        <v>2129</v>
      </c>
      <c r="BM123" s="1958">
        <v>117402688</v>
      </c>
      <c r="BN123" s="863">
        <v>167885843.83999997</v>
      </c>
      <c r="BO123" s="863" t="s">
        <v>2129</v>
      </c>
      <c r="BP123" s="1958" t="s">
        <v>2129</v>
      </c>
      <c r="BQ123" s="1958" t="s">
        <v>2129</v>
      </c>
      <c r="BR123" s="1958" t="s">
        <v>2129</v>
      </c>
      <c r="BS123" s="1958" t="s">
        <v>2129</v>
      </c>
      <c r="BT123" s="1958" t="s">
        <v>2129</v>
      </c>
      <c r="BU123" s="1958" t="s">
        <v>2129</v>
      </c>
      <c r="BV123" s="1958" t="s">
        <v>2129</v>
      </c>
      <c r="BW123" s="1958" t="s">
        <v>2129</v>
      </c>
      <c r="BX123" s="1958" t="s">
        <v>2129</v>
      </c>
      <c r="BZ123" s="1958" t="s">
        <v>2129</v>
      </c>
      <c r="CA123" s="1958" t="s">
        <v>2129</v>
      </c>
      <c r="CB123" s="1958" t="s">
        <v>2129</v>
      </c>
      <c r="CC123" s="1958" t="s">
        <v>2129</v>
      </c>
      <c r="CE123" s="5785"/>
    </row>
    <row r="124" spans="1:83" s="5782" customFormat="1" ht="13">
      <c r="A124" s="5782">
        <v>247</v>
      </c>
      <c r="B124" s="5783" t="s">
        <v>3351</v>
      </c>
      <c r="C124" s="5784" t="s">
        <v>2129</v>
      </c>
      <c r="D124" s="5784" t="s">
        <v>2129</v>
      </c>
      <c r="E124" s="5784" t="s">
        <v>2129</v>
      </c>
      <c r="F124" s="5784" t="s">
        <v>2129</v>
      </c>
      <c r="G124" s="5784" t="s">
        <v>2129</v>
      </c>
      <c r="H124" s="5785">
        <v>14</v>
      </c>
      <c r="I124" s="5785">
        <v>5</v>
      </c>
      <c r="J124" s="5785">
        <v>5</v>
      </c>
      <c r="K124" s="5785" t="s">
        <v>2129</v>
      </c>
      <c r="L124" s="5786">
        <v>294120</v>
      </c>
      <c r="M124" s="5786">
        <v>0</v>
      </c>
      <c r="N124" s="5786">
        <v>0</v>
      </c>
      <c r="O124" s="5786">
        <v>9750</v>
      </c>
      <c r="P124" s="5786">
        <v>0</v>
      </c>
      <c r="Q124" s="2476">
        <v>333282</v>
      </c>
      <c r="R124" s="2477">
        <v>333282</v>
      </c>
      <c r="S124" s="2477" t="b">
        <v>1</v>
      </c>
      <c r="T124" s="5786">
        <v>66656.399999999994</v>
      </c>
      <c r="U124" s="5788">
        <v>1107791</v>
      </c>
      <c r="V124" s="5788" t="b">
        <v>1</v>
      </c>
      <c r="W124" s="5788">
        <v>22155.82</v>
      </c>
      <c r="X124" s="5788" t="s">
        <v>2129</v>
      </c>
      <c r="Y124" s="5788"/>
      <c r="Z124" s="5788"/>
      <c r="AA124" s="5788"/>
      <c r="AB124" s="5788"/>
      <c r="AC124" s="5782">
        <v>50</v>
      </c>
      <c r="AD124" s="5789">
        <v>50</v>
      </c>
      <c r="AE124" s="5789">
        <v>0</v>
      </c>
      <c r="AF124" s="5782">
        <v>81</v>
      </c>
      <c r="AG124" s="5782" t="s">
        <v>2129</v>
      </c>
      <c r="AH124" s="5782" t="s">
        <v>2129</v>
      </c>
      <c r="AI124" s="5782" t="s">
        <v>2129</v>
      </c>
      <c r="AJ124" s="5782" t="s">
        <v>2129</v>
      </c>
      <c r="AK124" s="5782" t="s">
        <v>2129</v>
      </c>
      <c r="AL124" s="5782" t="s">
        <v>2129</v>
      </c>
      <c r="AO124" s="5782" t="s">
        <v>2129</v>
      </c>
      <c r="AT124" s="5782" t="s">
        <v>2129</v>
      </c>
      <c r="AU124" s="5782" t="s">
        <v>2129</v>
      </c>
      <c r="AV124" s="5782" t="s">
        <v>2129</v>
      </c>
      <c r="AW124" s="5782" t="s">
        <v>2129</v>
      </c>
      <c r="AX124" s="5782" t="s">
        <v>2129</v>
      </c>
      <c r="AY124" s="5782" t="s">
        <v>2129</v>
      </c>
      <c r="AZ124" s="5782" t="s">
        <v>2129</v>
      </c>
      <c r="BA124" s="5782" t="s">
        <v>2129</v>
      </c>
      <c r="BB124" s="5782" t="s">
        <v>2129</v>
      </c>
      <c r="BC124" s="5782" t="s">
        <v>2129</v>
      </c>
      <c r="BD124" s="5782" t="s">
        <v>2129</v>
      </c>
      <c r="BE124" s="5788" t="s">
        <v>2129</v>
      </c>
      <c r="BG124" s="5788" t="s">
        <v>2129</v>
      </c>
      <c r="BH124" s="5788" t="s">
        <v>2129</v>
      </c>
      <c r="BI124" s="5788" t="s">
        <v>2129</v>
      </c>
      <c r="BJ124" s="5788" t="s">
        <v>2129</v>
      </c>
      <c r="BK124" s="5788" t="s">
        <v>2129</v>
      </c>
      <c r="BL124" s="5788" t="s">
        <v>2129</v>
      </c>
      <c r="BM124" s="5788" t="s">
        <v>2129</v>
      </c>
      <c r="BN124" s="5788" t="s">
        <v>2129</v>
      </c>
      <c r="BO124" s="5788" t="s">
        <v>2129</v>
      </c>
      <c r="BP124" s="5788" t="s">
        <v>2129</v>
      </c>
      <c r="BQ124" s="5788" t="s">
        <v>2129</v>
      </c>
      <c r="BR124" s="5788" t="s">
        <v>2129</v>
      </c>
      <c r="BS124" s="5788" t="s">
        <v>2129</v>
      </c>
      <c r="BT124" s="5788" t="s">
        <v>2129</v>
      </c>
      <c r="BU124" s="5788" t="s">
        <v>2129</v>
      </c>
      <c r="BV124" s="5788" t="s">
        <v>2129</v>
      </c>
      <c r="BW124" s="5788" t="s">
        <v>2129</v>
      </c>
      <c r="BX124" s="5788" t="s">
        <v>2129</v>
      </c>
      <c r="BY124" s="5788"/>
      <c r="BZ124" s="5788" t="s">
        <v>2129</v>
      </c>
      <c r="CA124" s="5788" t="s">
        <v>2129</v>
      </c>
      <c r="CB124" s="5788" t="s">
        <v>2129</v>
      </c>
      <c r="CC124" s="5788" t="s">
        <v>2129</v>
      </c>
      <c r="CD124" s="5788"/>
      <c r="CE124" s="5784"/>
    </row>
    <row r="125" spans="1:83" ht="13">
      <c r="A125">
        <v>249</v>
      </c>
      <c r="B125" s="196" t="s">
        <v>2867</v>
      </c>
      <c r="C125" s="5790" t="s">
        <v>6616</v>
      </c>
      <c r="D125" s="5790" t="s">
        <v>6599</v>
      </c>
      <c r="E125" s="5790" t="s">
        <v>2129</v>
      </c>
      <c r="F125" s="5785" t="s">
        <v>2129</v>
      </c>
      <c r="G125" s="5785" t="s">
        <v>2129</v>
      </c>
      <c r="H125" s="5785">
        <v>20</v>
      </c>
      <c r="I125" s="5785">
        <v>10</v>
      </c>
      <c r="J125" s="5785">
        <v>20</v>
      </c>
      <c r="K125" s="5785">
        <v>10</v>
      </c>
      <c r="L125" s="5786">
        <v>1035445</v>
      </c>
      <c r="M125" s="5786">
        <v>0</v>
      </c>
      <c r="N125" s="5786">
        <v>0</v>
      </c>
      <c r="O125" s="5786">
        <v>13500</v>
      </c>
      <c r="P125" s="5786">
        <v>0</v>
      </c>
      <c r="Q125" s="2476">
        <v>1152489.5</v>
      </c>
      <c r="R125" s="2477">
        <v>1152489</v>
      </c>
      <c r="S125" s="2477" t="b">
        <v>0</v>
      </c>
      <c r="T125" s="5786">
        <v>115248.9</v>
      </c>
      <c r="U125" s="863">
        <v>1298047</v>
      </c>
      <c r="V125" s="863" t="b">
        <v>0</v>
      </c>
      <c r="W125" s="863">
        <v>15829.841463414634</v>
      </c>
      <c r="X125" s="863" t="s">
        <v>2129</v>
      </c>
      <c r="Y125" s="5805">
        <v>2200</v>
      </c>
      <c r="Z125" s="5805"/>
      <c r="AA125" s="5805"/>
      <c r="AB125" s="5805"/>
      <c r="AC125">
        <v>101</v>
      </c>
      <c r="AD125" s="3965">
        <v>82</v>
      </c>
      <c r="AE125" s="3965">
        <v>19</v>
      </c>
      <c r="AF125">
        <v>136</v>
      </c>
      <c r="AG125">
        <v>101</v>
      </c>
      <c r="AH125" t="s">
        <v>2129</v>
      </c>
      <c r="AI125" t="s">
        <v>2129</v>
      </c>
      <c r="AJ125" t="s">
        <v>2129</v>
      </c>
      <c r="AK125" t="s">
        <v>2129</v>
      </c>
      <c r="AL125">
        <v>19</v>
      </c>
      <c r="AO125" t="s">
        <v>2129</v>
      </c>
      <c r="AT125">
        <v>18</v>
      </c>
      <c r="AU125">
        <v>18</v>
      </c>
      <c r="AV125" t="s">
        <v>2129</v>
      </c>
      <c r="AW125" t="s">
        <v>2129</v>
      </c>
      <c r="AX125" t="s">
        <v>2129</v>
      </c>
      <c r="AY125" t="s">
        <v>2129</v>
      </c>
      <c r="AZ125" t="s">
        <v>2129</v>
      </c>
      <c r="BA125" t="s">
        <v>2129</v>
      </c>
      <c r="BB125" t="s">
        <v>2129</v>
      </c>
      <c r="BC125" t="s">
        <v>2129</v>
      </c>
      <c r="BD125" t="s">
        <v>2129</v>
      </c>
      <c r="BE125" s="1958">
        <v>23364846</v>
      </c>
      <c r="BF125" s="1958">
        <v>23364846</v>
      </c>
      <c r="BG125" s="1958" t="s">
        <v>2129</v>
      </c>
      <c r="BH125" s="1958" t="s">
        <v>2129</v>
      </c>
      <c r="BI125" s="1958" t="s">
        <v>2129</v>
      </c>
      <c r="BJ125" s="1958" t="s">
        <v>2129</v>
      </c>
      <c r="BK125" s="1958" t="s">
        <v>2129</v>
      </c>
      <c r="BL125" s="1958" t="s">
        <v>2129</v>
      </c>
      <c r="BM125" s="1958" t="s">
        <v>2129</v>
      </c>
      <c r="BN125" s="863" t="s">
        <v>2129</v>
      </c>
      <c r="BO125" s="863" t="s">
        <v>2129</v>
      </c>
      <c r="BP125" s="1958" t="s">
        <v>2129</v>
      </c>
      <c r="BQ125" s="1958" t="s">
        <v>2129</v>
      </c>
      <c r="BR125" s="1958" t="s">
        <v>2129</v>
      </c>
      <c r="BS125" s="1958" t="s">
        <v>2129</v>
      </c>
      <c r="BT125" s="1958" t="s">
        <v>2129</v>
      </c>
      <c r="BU125" s="1958">
        <v>20744802</v>
      </c>
      <c r="BV125" s="1958">
        <v>20744802</v>
      </c>
      <c r="BW125" s="1958" t="s">
        <v>2129</v>
      </c>
      <c r="BX125" s="1958" t="s">
        <v>2129</v>
      </c>
      <c r="BZ125" s="1958" t="s">
        <v>2129</v>
      </c>
      <c r="CA125" s="1958" t="s">
        <v>2129</v>
      </c>
      <c r="CB125" s="1958" t="s">
        <v>2129</v>
      </c>
      <c r="CC125" s="1958" t="s">
        <v>2129</v>
      </c>
      <c r="CE125" s="5785"/>
    </row>
    <row r="126" spans="1:83" ht="13">
      <c r="A126">
        <v>250</v>
      </c>
      <c r="B126" s="196" t="s">
        <v>3352</v>
      </c>
      <c r="C126" s="5790" t="s">
        <v>6616</v>
      </c>
      <c r="D126" s="5790" t="s">
        <v>6599</v>
      </c>
      <c r="E126" s="5790" t="s">
        <v>2129</v>
      </c>
      <c r="F126" s="5785" t="s">
        <v>2129</v>
      </c>
      <c r="G126" s="5785" t="s">
        <v>2129</v>
      </c>
      <c r="H126" s="5785">
        <v>16</v>
      </c>
      <c r="I126" s="5785">
        <v>7</v>
      </c>
      <c r="J126" s="5785">
        <v>16</v>
      </c>
      <c r="K126" s="5785">
        <v>9</v>
      </c>
      <c r="L126" s="5786">
        <v>2329416</v>
      </c>
      <c r="M126" s="5786">
        <v>0</v>
      </c>
      <c r="N126" s="5786">
        <v>0</v>
      </c>
      <c r="O126" s="5786">
        <v>9450</v>
      </c>
      <c r="P126" s="5786">
        <v>0</v>
      </c>
      <c r="Q126" s="2476">
        <v>2571807.6</v>
      </c>
      <c r="R126" s="2477">
        <v>2571807</v>
      </c>
      <c r="S126" s="2477" t="b">
        <v>0</v>
      </c>
      <c r="T126" s="5786">
        <v>367401</v>
      </c>
      <c r="U126" s="863">
        <v>2704706</v>
      </c>
      <c r="V126" s="863" t="b">
        <v>1</v>
      </c>
      <c r="W126" s="863">
        <v>47450.982456140351</v>
      </c>
      <c r="X126" s="863" t="s">
        <v>2129</v>
      </c>
      <c r="Y126" s="5805">
        <v>2200</v>
      </c>
      <c r="Z126" s="5805"/>
      <c r="AA126" s="5805"/>
      <c r="AB126" s="5805"/>
      <c r="AC126">
        <v>103</v>
      </c>
      <c r="AD126" s="3965">
        <v>57</v>
      </c>
      <c r="AE126" s="3965">
        <v>46</v>
      </c>
      <c r="AF126">
        <v>137</v>
      </c>
      <c r="AG126">
        <v>50</v>
      </c>
      <c r="AH126" t="s">
        <v>2129</v>
      </c>
      <c r="AI126" t="s">
        <v>2129</v>
      </c>
      <c r="AJ126" t="s">
        <v>2129</v>
      </c>
      <c r="AK126" t="s">
        <v>2129</v>
      </c>
      <c r="AL126">
        <v>-7</v>
      </c>
      <c r="AO126" t="s">
        <v>2129</v>
      </c>
      <c r="AT126">
        <v>18</v>
      </c>
      <c r="AU126">
        <v>18</v>
      </c>
      <c r="AV126" t="s">
        <v>2129</v>
      </c>
      <c r="AW126" t="s">
        <v>2129</v>
      </c>
      <c r="AX126" t="s">
        <v>2129</v>
      </c>
      <c r="AY126" t="s">
        <v>2129</v>
      </c>
      <c r="AZ126" t="s">
        <v>2129</v>
      </c>
      <c r="BA126" t="s">
        <v>2129</v>
      </c>
      <c r="BB126" t="s">
        <v>2129</v>
      </c>
      <c r="BC126" t="s">
        <v>2129</v>
      </c>
      <c r="BD126" t="s">
        <v>2129</v>
      </c>
      <c r="BE126" s="1958">
        <v>48684708</v>
      </c>
      <c r="BF126" s="1958">
        <v>48684708</v>
      </c>
      <c r="BG126" s="1958" t="s">
        <v>2129</v>
      </c>
      <c r="BH126" s="1958" t="s">
        <v>2129</v>
      </c>
      <c r="BI126" s="1958" t="s">
        <v>2129</v>
      </c>
      <c r="BJ126" s="1958" t="s">
        <v>2129</v>
      </c>
      <c r="BK126" s="1958" t="s">
        <v>2129</v>
      </c>
      <c r="BL126" s="1958" t="s">
        <v>2129</v>
      </c>
      <c r="BM126" s="1958" t="s">
        <v>2129</v>
      </c>
      <c r="BN126" s="863" t="s">
        <v>2129</v>
      </c>
      <c r="BO126" s="863" t="s">
        <v>2129</v>
      </c>
      <c r="BP126" s="1958" t="s">
        <v>2129</v>
      </c>
      <c r="BQ126" s="1958" t="s">
        <v>2129</v>
      </c>
      <c r="BR126" s="1958" t="s">
        <v>2129</v>
      </c>
      <c r="BS126" s="1958" t="s">
        <v>2129</v>
      </c>
      <c r="BT126" s="1958" t="s">
        <v>2129</v>
      </c>
      <c r="BU126" s="1958">
        <v>46292526</v>
      </c>
      <c r="BV126" s="1958">
        <v>46292526</v>
      </c>
      <c r="BW126" s="1958" t="s">
        <v>2129</v>
      </c>
      <c r="BX126" s="1958" t="s">
        <v>2129</v>
      </c>
      <c r="BZ126" s="1958" t="s">
        <v>2129</v>
      </c>
      <c r="CA126" s="1958" t="s">
        <v>2129</v>
      </c>
      <c r="CB126" s="1958" t="s">
        <v>2129</v>
      </c>
      <c r="CC126" s="1958" t="s">
        <v>2129</v>
      </c>
      <c r="CE126" s="5785"/>
    </row>
    <row r="127" spans="1:83" ht="13">
      <c r="A127">
        <v>251</v>
      </c>
      <c r="B127" s="196" t="s">
        <v>3353</v>
      </c>
      <c r="C127" s="5799" t="s">
        <v>6616</v>
      </c>
      <c r="D127" s="5799" t="s">
        <v>2129</v>
      </c>
      <c r="E127" s="5799" t="s">
        <v>2129</v>
      </c>
      <c r="F127" s="5785" t="s">
        <v>2129</v>
      </c>
      <c r="G127" s="5785" t="s">
        <v>2129</v>
      </c>
      <c r="H127" s="5785">
        <v>13</v>
      </c>
      <c r="I127" s="5785">
        <v>6</v>
      </c>
      <c r="J127" s="5785">
        <v>13</v>
      </c>
      <c r="K127" s="5785">
        <v>7</v>
      </c>
      <c r="L127" s="5786">
        <v>1941180</v>
      </c>
      <c r="M127" s="5786">
        <v>0</v>
      </c>
      <c r="N127" s="5786">
        <v>0</v>
      </c>
      <c r="O127" s="5786">
        <v>12150</v>
      </c>
      <c r="P127" s="5786">
        <v>0</v>
      </c>
      <c r="Q127" s="2476">
        <v>2147448</v>
      </c>
      <c r="R127" s="2477">
        <v>2147448</v>
      </c>
      <c r="S127" s="2477" t="b">
        <v>0</v>
      </c>
      <c r="T127" s="5786">
        <v>357908</v>
      </c>
      <c r="U127" s="863">
        <v>3015294</v>
      </c>
      <c r="V127" s="863" t="b">
        <v>1</v>
      </c>
      <c r="W127" s="863">
        <v>48633.774193548386</v>
      </c>
      <c r="X127" s="863" t="s">
        <v>2129</v>
      </c>
      <c r="Y127" s="863">
        <v>1100</v>
      </c>
      <c r="AC127">
        <v>62</v>
      </c>
      <c r="AD127" s="3965">
        <v>62</v>
      </c>
      <c r="AE127" s="3965">
        <v>0</v>
      </c>
      <c r="AF127">
        <v>92</v>
      </c>
      <c r="AG127">
        <v>62</v>
      </c>
      <c r="AH127" t="s">
        <v>2129</v>
      </c>
      <c r="AI127" t="s">
        <v>2129</v>
      </c>
      <c r="AJ127" t="s">
        <v>2129</v>
      </c>
      <c r="AK127" t="s">
        <v>2129</v>
      </c>
      <c r="AL127">
        <v>0</v>
      </c>
      <c r="AO127" t="s">
        <v>2129</v>
      </c>
      <c r="AT127">
        <v>18</v>
      </c>
      <c r="AU127" t="s">
        <v>2129</v>
      </c>
      <c r="AV127" t="s">
        <v>2129</v>
      </c>
      <c r="AW127" t="s">
        <v>2129</v>
      </c>
      <c r="AX127" t="s">
        <v>2129</v>
      </c>
      <c r="AY127" t="s">
        <v>2129</v>
      </c>
      <c r="AZ127" t="s">
        <v>2129</v>
      </c>
      <c r="BA127" t="s">
        <v>2129</v>
      </c>
      <c r="BB127" t="s">
        <v>2129</v>
      </c>
      <c r="BC127" t="s">
        <v>2129</v>
      </c>
      <c r="BD127" t="s">
        <v>2129</v>
      </c>
      <c r="BE127" s="1958">
        <v>54275292</v>
      </c>
      <c r="BF127" s="1958" t="s">
        <v>2129</v>
      </c>
      <c r="BG127" s="1958" t="s">
        <v>2129</v>
      </c>
      <c r="BH127" s="1958" t="s">
        <v>2129</v>
      </c>
      <c r="BI127" s="1958" t="s">
        <v>2129</v>
      </c>
      <c r="BJ127" s="1958" t="s">
        <v>2129</v>
      </c>
      <c r="BK127" s="1958" t="s">
        <v>2129</v>
      </c>
      <c r="BL127" s="1958" t="s">
        <v>2129</v>
      </c>
      <c r="BM127" s="1958" t="s">
        <v>2129</v>
      </c>
      <c r="BN127" s="863" t="s">
        <v>2129</v>
      </c>
      <c r="BO127" s="863" t="s">
        <v>2129</v>
      </c>
      <c r="BP127" s="1958" t="s">
        <v>2129</v>
      </c>
      <c r="BQ127" s="1958" t="s">
        <v>2129</v>
      </c>
      <c r="BR127" s="1958" t="s">
        <v>2129</v>
      </c>
      <c r="BS127" s="1958" t="s">
        <v>2129</v>
      </c>
      <c r="BT127" s="1958" t="s">
        <v>2129</v>
      </c>
      <c r="BU127" s="1958">
        <v>38654064</v>
      </c>
      <c r="BV127" s="1958" t="s">
        <v>2129</v>
      </c>
      <c r="BW127" s="1958" t="s">
        <v>2129</v>
      </c>
      <c r="BX127" s="1958" t="s">
        <v>2129</v>
      </c>
      <c r="BZ127" s="1958" t="s">
        <v>2129</v>
      </c>
      <c r="CA127" s="1958" t="s">
        <v>2129</v>
      </c>
      <c r="CB127" s="1958" t="s">
        <v>2129</v>
      </c>
      <c r="CC127" s="1958" t="s">
        <v>2129</v>
      </c>
      <c r="CE127" s="5785"/>
    </row>
    <row r="128" spans="1:83" ht="13">
      <c r="A128">
        <v>252</v>
      </c>
      <c r="B128" s="196" t="s">
        <v>2862</v>
      </c>
      <c r="C128" s="5790" t="s">
        <v>6616</v>
      </c>
      <c r="D128" s="5790" t="s">
        <v>6599</v>
      </c>
      <c r="E128" s="5790" t="s">
        <v>2129</v>
      </c>
      <c r="F128" s="5785" t="s">
        <v>2129</v>
      </c>
      <c r="G128" s="5785" t="s">
        <v>2129</v>
      </c>
      <c r="H128" s="5785">
        <v>14</v>
      </c>
      <c r="I128" s="2694">
        <v>9</v>
      </c>
      <c r="J128" s="2694">
        <v>14</v>
      </c>
      <c r="K128" s="5785">
        <v>5</v>
      </c>
      <c r="L128" s="5786">
        <v>3494124</v>
      </c>
      <c r="M128" s="5786">
        <v>0</v>
      </c>
      <c r="N128" s="5786">
        <v>0</v>
      </c>
      <c r="O128" s="5786">
        <v>11850</v>
      </c>
      <c r="P128" s="5786">
        <v>0</v>
      </c>
      <c r="Q128" s="2476">
        <v>3855386.4000000004</v>
      </c>
      <c r="R128" s="2477">
        <v>3855386</v>
      </c>
      <c r="S128" s="2477" t="b">
        <v>0</v>
      </c>
      <c r="T128" s="5786">
        <v>428376.22222222225</v>
      </c>
      <c r="U128" s="863">
        <v>1836118</v>
      </c>
      <c r="V128" s="863" t="b">
        <v>1</v>
      </c>
      <c r="W128" s="863">
        <v>30100.295081967211</v>
      </c>
      <c r="X128" s="863" t="s">
        <v>2129</v>
      </c>
      <c r="Y128" s="863">
        <v>1100</v>
      </c>
      <c r="AC128">
        <v>70</v>
      </c>
      <c r="AD128" s="3965">
        <v>61</v>
      </c>
      <c r="AE128" s="3965">
        <v>9</v>
      </c>
      <c r="AF128">
        <v>103</v>
      </c>
      <c r="AG128">
        <v>70</v>
      </c>
      <c r="AH128" t="s">
        <v>2129</v>
      </c>
      <c r="AI128" t="s">
        <v>2129</v>
      </c>
      <c r="AJ128" t="s">
        <v>2129</v>
      </c>
      <c r="AK128" t="s">
        <v>2129</v>
      </c>
      <c r="AL128">
        <v>9</v>
      </c>
      <c r="AO128" t="s">
        <v>2129</v>
      </c>
      <c r="AT128">
        <v>18</v>
      </c>
      <c r="AU128">
        <v>18</v>
      </c>
      <c r="AV128" t="s">
        <v>2129</v>
      </c>
      <c r="AW128" t="s">
        <v>2129</v>
      </c>
      <c r="AX128" t="s">
        <v>2129</v>
      </c>
      <c r="AY128" t="s">
        <v>2129</v>
      </c>
      <c r="AZ128" t="s">
        <v>2129</v>
      </c>
      <c r="BA128" t="s">
        <v>2129</v>
      </c>
      <c r="BB128" t="s">
        <v>2129</v>
      </c>
      <c r="BC128" t="s">
        <v>2129</v>
      </c>
      <c r="BD128" t="s">
        <v>2129</v>
      </c>
      <c r="BE128" s="1958">
        <v>33050124</v>
      </c>
      <c r="BF128" s="1958">
        <v>33050124</v>
      </c>
      <c r="BG128" s="1958" t="s">
        <v>2129</v>
      </c>
      <c r="BH128" s="1958" t="s">
        <v>2129</v>
      </c>
      <c r="BI128" s="1958" t="s">
        <v>2129</v>
      </c>
      <c r="BJ128" s="1958" t="s">
        <v>2129</v>
      </c>
      <c r="BK128" s="1958" t="s">
        <v>2129</v>
      </c>
      <c r="BL128" s="1958" t="s">
        <v>2129</v>
      </c>
      <c r="BM128" s="1958" t="s">
        <v>2129</v>
      </c>
      <c r="BN128" s="863" t="s">
        <v>2129</v>
      </c>
      <c r="BO128" s="863" t="s">
        <v>2129</v>
      </c>
      <c r="BP128" s="1958" t="s">
        <v>2129</v>
      </c>
      <c r="BQ128" s="1958" t="s">
        <v>2129</v>
      </c>
      <c r="BR128" s="1958" t="s">
        <v>2129</v>
      </c>
      <c r="BS128" s="1958" t="s">
        <v>2129</v>
      </c>
      <c r="BT128" s="1958" t="s">
        <v>2129</v>
      </c>
      <c r="BU128" s="1958">
        <v>69396948</v>
      </c>
      <c r="BV128" s="1958">
        <v>69396948</v>
      </c>
      <c r="BW128" s="1958" t="s">
        <v>2129</v>
      </c>
      <c r="BX128" s="1958" t="s">
        <v>2129</v>
      </c>
      <c r="BZ128" s="1958" t="s">
        <v>2129</v>
      </c>
      <c r="CA128" s="1958" t="s">
        <v>2129</v>
      </c>
      <c r="CB128" s="1958" t="s">
        <v>2129</v>
      </c>
      <c r="CC128" s="1958" t="s">
        <v>2129</v>
      </c>
      <c r="CE128" s="5785"/>
    </row>
    <row r="129" spans="1:83" ht="13">
      <c r="A129">
        <v>253</v>
      </c>
      <c r="B129" s="196" t="s">
        <v>3354</v>
      </c>
      <c r="C129" s="5785" t="s">
        <v>2129</v>
      </c>
      <c r="D129" s="2694" t="s">
        <v>3791</v>
      </c>
      <c r="E129" s="2694" t="s">
        <v>2129</v>
      </c>
      <c r="F129" s="5792" t="s">
        <v>5205</v>
      </c>
      <c r="G129" s="5792" t="s">
        <v>2129</v>
      </c>
      <c r="H129" s="5785">
        <v>11</v>
      </c>
      <c r="I129" s="5785">
        <v>11</v>
      </c>
      <c r="J129" s="5797">
        <v>11</v>
      </c>
      <c r="K129" s="5785">
        <v>0</v>
      </c>
      <c r="L129" s="5786">
        <v>70589</v>
      </c>
      <c r="M129" s="5786">
        <v>0</v>
      </c>
      <c r="N129" s="5786">
        <v>0</v>
      </c>
      <c r="O129" s="5786">
        <v>16200</v>
      </c>
      <c r="P129" s="5786">
        <v>0</v>
      </c>
      <c r="Q129" s="2476">
        <v>93847.900000000009</v>
      </c>
      <c r="R129" s="2477">
        <v>611820</v>
      </c>
      <c r="S129" s="5798" t="b">
        <v>1</v>
      </c>
      <c r="T129" s="5786">
        <v>55620</v>
      </c>
      <c r="U129" s="863">
        <v>2405849</v>
      </c>
      <c r="V129" s="863" t="b">
        <v>1</v>
      </c>
      <c r="W129" s="863">
        <v>21103.938596491229</v>
      </c>
      <c r="X129" s="863">
        <v>19736.251025430684</v>
      </c>
      <c r="AA129" s="863">
        <v>10365</v>
      </c>
      <c r="AB129" s="863">
        <v>35353</v>
      </c>
      <c r="AC129">
        <v>114</v>
      </c>
      <c r="AD129" s="3965">
        <v>114</v>
      </c>
      <c r="AE129" s="3965">
        <v>0</v>
      </c>
      <c r="AF129">
        <v>119</v>
      </c>
      <c r="AG129" t="s">
        <v>2129</v>
      </c>
      <c r="AH129">
        <v>80</v>
      </c>
      <c r="AI129" t="s">
        <v>2129</v>
      </c>
      <c r="AJ129" s="2705">
        <v>106</v>
      </c>
      <c r="AK129" t="s">
        <v>2129</v>
      </c>
      <c r="AL129" t="s">
        <v>2129</v>
      </c>
      <c r="AO129">
        <v>-8</v>
      </c>
      <c r="AT129" t="s">
        <v>2129</v>
      </c>
      <c r="AU129" t="s">
        <v>2129</v>
      </c>
      <c r="AV129" t="s">
        <v>2129</v>
      </c>
      <c r="AW129" t="s">
        <v>2129</v>
      </c>
      <c r="AX129">
        <v>11</v>
      </c>
      <c r="AY129" t="s">
        <v>2129</v>
      </c>
      <c r="AZ129">
        <v>16</v>
      </c>
      <c r="BA129" t="s">
        <v>2129</v>
      </c>
      <c r="BB129" t="s">
        <v>2129</v>
      </c>
      <c r="BC129" t="s">
        <v>2129</v>
      </c>
      <c r="BD129" t="s">
        <v>2129</v>
      </c>
      <c r="BE129" s="1958" t="s">
        <v>2129</v>
      </c>
      <c r="BF129"/>
      <c r="BG129" s="863" t="s">
        <v>2129</v>
      </c>
      <c r="BH129" s="863" t="s">
        <v>2129</v>
      </c>
      <c r="BI129" s="863" t="s">
        <v>2129</v>
      </c>
      <c r="BJ129" s="863" t="s">
        <v>2129</v>
      </c>
      <c r="BK129" s="863">
        <v>18571465.964912284</v>
      </c>
      <c r="BL129" s="863" t="s">
        <v>2129</v>
      </c>
      <c r="BM129" s="863">
        <v>38493584</v>
      </c>
      <c r="BN129" s="863">
        <v>35792279.859649122</v>
      </c>
      <c r="BO129" s="863" t="s">
        <v>2129</v>
      </c>
      <c r="BP129" s="863" t="s">
        <v>2129</v>
      </c>
      <c r="BQ129" s="863" t="s">
        <v>2129</v>
      </c>
      <c r="BR129" s="863" t="s">
        <v>2129</v>
      </c>
      <c r="BS129" s="863" t="s">
        <v>2129</v>
      </c>
      <c r="BT129" s="863" t="s">
        <v>2129</v>
      </c>
      <c r="BU129" s="863" t="s">
        <v>2129</v>
      </c>
      <c r="BV129" s="863" t="s">
        <v>2129</v>
      </c>
      <c r="BW129" s="863" t="s">
        <v>2129</v>
      </c>
      <c r="BX129" s="863" t="s">
        <v>2129</v>
      </c>
      <c r="BY129" s="863"/>
      <c r="BZ129" s="863">
        <v>9789120</v>
      </c>
      <c r="CA129" s="863">
        <v>9789120</v>
      </c>
      <c r="CB129" s="863" t="s">
        <v>2129</v>
      </c>
      <c r="CC129" s="863" t="s">
        <v>2129</v>
      </c>
      <c r="CD129" s="863"/>
      <c r="CE129" s="5785"/>
    </row>
    <row r="130" spans="1:83" ht="13">
      <c r="A130" s="191">
        <v>256</v>
      </c>
      <c r="B130" s="196" t="s">
        <v>6622</v>
      </c>
      <c r="C130" s="5785" t="s">
        <v>6616</v>
      </c>
      <c r="D130" s="2694" t="s">
        <v>2129</v>
      </c>
      <c r="E130" s="2694" t="s">
        <v>2129</v>
      </c>
      <c r="F130" s="2694" t="s">
        <v>2129</v>
      </c>
      <c r="G130" s="2694" t="s">
        <v>2129</v>
      </c>
      <c r="H130" s="5785">
        <v>10</v>
      </c>
      <c r="I130" s="5785">
        <v>10</v>
      </c>
      <c r="J130" s="5785"/>
      <c r="K130" s="5785"/>
      <c r="L130" s="5786">
        <v>1576476</v>
      </c>
      <c r="M130" s="5786"/>
      <c r="N130" s="5786"/>
      <c r="O130" s="5786"/>
      <c r="P130" s="5786"/>
      <c r="R130" s="2477">
        <v>1734123</v>
      </c>
      <c r="S130" s="2477" t="b">
        <v>0</v>
      </c>
      <c r="T130" s="5786"/>
      <c r="U130" s="863">
        <v>1689116</v>
      </c>
      <c r="V130" s="863" t="b">
        <v>0</v>
      </c>
      <c r="W130" s="863">
        <v>20598.975609756097</v>
      </c>
      <c r="X130" s="863" t="s">
        <v>2129</v>
      </c>
      <c r="AC130">
        <v>82</v>
      </c>
      <c r="AD130" s="3965">
        <v>82</v>
      </c>
      <c r="AE130" s="3965">
        <v>0</v>
      </c>
      <c r="AJ130" t="s">
        <v>2129</v>
      </c>
      <c r="AK130" t="s">
        <v>2129</v>
      </c>
      <c r="AL130">
        <v>-82</v>
      </c>
      <c r="AO130" t="s">
        <v>2129</v>
      </c>
      <c r="AT130" t="s">
        <v>2129</v>
      </c>
      <c r="AU130" t="s">
        <v>2129</v>
      </c>
      <c r="AV130" t="s">
        <v>2129</v>
      </c>
      <c r="AW130" t="s">
        <v>2129</v>
      </c>
      <c r="AX130" t="s">
        <v>2129</v>
      </c>
      <c r="AY130" t="s">
        <v>2129</v>
      </c>
      <c r="AZ130" t="s">
        <v>2129</v>
      </c>
      <c r="BA130" t="s">
        <v>2129</v>
      </c>
      <c r="BB130" t="s">
        <v>2129</v>
      </c>
      <c r="BC130" t="s">
        <v>2129</v>
      </c>
      <c r="BD130" t="s">
        <v>2129</v>
      </c>
      <c r="BE130" s="1958" t="s">
        <v>2129</v>
      </c>
      <c r="BF130"/>
      <c r="BG130" s="863" t="s">
        <v>2129</v>
      </c>
      <c r="BH130" s="863" t="s">
        <v>2129</v>
      </c>
      <c r="BI130" s="863" t="s">
        <v>2129</v>
      </c>
      <c r="BJ130" s="863" t="s">
        <v>2129</v>
      </c>
      <c r="BK130" s="863" t="s">
        <v>2129</v>
      </c>
      <c r="BL130" s="863" t="s">
        <v>2129</v>
      </c>
      <c r="BM130" s="863" t="s">
        <v>2129</v>
      </c>
      <c r="BN130" s="863" t="s">
        <v>2129</v>
      </c>
      <c r="BO130" s="863" t="s">
        <v>2129</v>
      </c>
      <c r="BP130" s="863" t="s">
        <v>2129</v>
      </c>
      <c r="BQ130" s="863" t="s">
        <v>2129</v>
      </c>
      <c r="BR130" s="863" t="s">
        <v>2129</v>
      </c>
      <c r="BS130" s="863" t="s">
        <v>2129</v>
      </c>
      <c r="BT130" s="863" t="s">
        <v>2129</v>
      </c>
      <c r="BU130" s="863" t="s">
        <v>2129</v>
      </c>
      <c r="BV130" s="863" t="s">
        <v>2129</v>
      </c>
      <c r="BW130" s="863" t="s">
        <v>2129</v>
      </c>
      <c r="BX130" s="863" t="s">
        <v>2129</v>
      </c>
      <c r="BY130" s="863"/>
      <c r="BZ130" s="863" t="s">
        <v>2129</v>
      </c>
      <c r="CA130" s="863" t="s">
        <v>2129</v>
      </c>
      <c r="CB130" s="863" t="s">
        <v>2129</v>
      </c>
      <c r="CC130" s="863" t="s">
        <v>2129</v>
      </c>
      <c r="CD130" s="863"/>
      <c r="CE130" s="5785"/>
    </row>
    <row r="131" spans="1:83" s="5782" customFormat="1" ht="13">
      <c r="A131" s="5782">
        <v>257</v>
      </c>
      <c r="B131" s="5783" t="s">
        <v>3356</v>
      </c>
      <c r="C131" s="5784" t="s">
        <v>2129</v>
      </c>
      <c r="D131" s="5784" t="s">
        <v>2129</v>
      </c>
      <c r="E131" s="5784" t="s">
        <v>2129</v>
      </c>
      <c r="F131" s="5784" t="s">
        <v>2129</v>
      </c>
      <c r="G131" s="5784" t="s">
        <v>2129</v>
      </c>
      <c r="H131" s="5785">
        <v>8</v>
      </c>
      <c r="I131" s="5785">
        <v>4</v>
      </c>
      <c r="J131" s="5785">
        <v>14</v>
      </c>
      <c r="K131" s="5785" t="s">
        <v>2129</v>
      </c>
      <c r="L131" s="5786">
        <v>823533</v>
      </c>
      <c r="M131" s="5786">
        <v>0</v>
      </c>
      <c r="N131" s="5786">
        <v>0</v>
      </c>
      <c r="O131" s="5786">
        <v>0</v>
      </c>
      <c r="P131" s="5786">
        <v>0</v>
      </c>
      <c r="Q131" s="2476">
        <v>905886.3</v>
      </c>
      <c r="R131" s="2477">
        <v>905886</v>
      </c>
      <c r="S131" s="2477" t="b">
        <v>0</v>
      </c>
      <c r="T131" s="5786">
        <v>226471.5</v>
      </c>
      <c r="U131" s="5788">
        <v>2329412</v>
      </c>
      <c r="V131" s="5788" t="b">
        <v>1</v>
      </c>
      <c r="W131" s="5788">
        <v>55462.190476190473</v>
      </c>
      <c r="X131" s="5788" t="s">
        <v>2129</v>
      </c>
      <c r="Y131" s="5788"/>
      <c r="Z131" s="5788"/>
      <c r="AA131" s="5788"/>
      <c r="AB131" s="5788"/>
      <c r="AC131" s="5782">
        <v>42</v>
      </c>
      <c r="AD131" s="5789">
        <v>42</v>
      </c>
      <c r="AE131" s="5789">
        <v>0</v>
      </c>
      <c r="AF131" s="5782">
        <v>89</v>
      </c>
      <c r="AG131" s="5782" t="s">
        <v>2129</v>
      </c>
      <c r="AH131" s="5782" t="s">
        <v>2129</v>
      </c>
      <c r="AI131" s="5782" t="s">
        <v>2129</v>
      </c>
      <c r="AJ131" s="5782" t="s">
        <v>2129</v>
      </c>
      <c r="AK131" s="5782" t="s">
        <v>2129</v>
      </c>
      <c r="AL131" s="5782" t="s">
        <v>2129</v>
      </c>
      <c r="AO131" s="5782" t="s">
        <v>2129</v>
      </c>
      <c r="AT131" s="5782" t="s">
        <v>2129</v>
      </c>
      <c r="AU131" s="5782" t="s">
        <v>2129</v>
      </c>
      <c r="AV131" s="5782" t="s">
        <v>2129</v>
      </c>
      <c r="AW131" s="5782" t="s">
        <v>2129</v>
      </c>
      <c r="AX131" s="5782" t="s">
        <v>2129</v>
      </c>
      <c r="AY131" s="5782" t="s">
        <v>2129</v>
      </c>
      <c r="AZ131" s="5782" t="s">
        <v>2129</v>
      </c>
      <c r="BA131" s="5782" t="s">
        <v>2129</v>
      </c>
      <c r="BB131" s="5782" t="s">
        <v>2129</v>
      </c>
      <c r="BC131" s="5782" t="s">
        <v>2129</v>
      </c>
      <c r="BD131" s="5782" t="s">
        <v>2129</v>
      </c>
      <c r="BE131" s="5788" t="s">
        <v>2129</v>
      </c>
      <c r="BG131" s="5788" t="s">
        <v>2129</v>
      </c>
      <c r="BH131" s="5788" t="s">
        <v>2129</v>
      </c>
      <c r="BI131" s="5788" t="s">
        <v>2129</v>
      </c>
      <c r="BJ131" s="5788" t="s">
        <v>2129</v>
      </c>
      <c r="BK131" s="5788" t="s">
        <v>2129</v>
      </c>
      <c r="BL131" s="5788" t="s">
        <v>2129</v>
      </c>
      <c r="BM131" s="5788" t="s">
        <v>2129</v>
      </c>
      <c r="BN131" s="5788" t="s">
        <v>2129</v>
      </c>
      <c r="BO131" s="5788" t="s">
        <v>2129</v>
      </c>
      <c r="BP131" s="5788" t="s">
        <v>2129</v>
      </c>
      <c r="BQ131" s="5788" t="s">
        <v>2129</v>
      </c>
      <c r="BR131" s="5788" t="s">
        <v>2129</v>
      </c>
      <c r="BS131" s="5788" t="s">
        <v>2129</v>
      </c>
      <c r="BT131" s="5788" t="s">
        <v>2129</v>
      </c>
      <c r="BU131" s="5788" t="s">
        <v>2129</v>
      </c>
      <c r="BV131" s="5788" t="s">
        <v>2129</v>
      </c>
      <c r="BW131" s="5788" t="s">
        <v>2129</v>
      </c>
      <c r="BX131" s="5788" t="s">
        <v>2129</v>
      </c>
      <c r="BY131" s="5788"/>
      <c r="BZ131" s="5788" t="s">
        <v>2129</v>
      </c>
      <c r="CA131" s="5788" t="s">
        <v>2129</v>
      </c>
      <c r="CB131" s="5788" t="s">
        <v>2129</v>
      </c>
      <c r="CC131" s="5788" t="s">
        <v>2129</v>
      </c>
      <c r="CD131" s="5788"/>
      <c r="CE131" s="5784"/>
    </row>
    <row r="132" spans="1:83" s="5782" customFormat="1" ht="13">
      <c r="A132" s="5782">
        <v>257</v>
      </c>
      <c r="B132" s="5783" t="s">
        <v>3357</v>
      </c>
      <c r="C132" s="5784" t="s">
        <v>2129</v>
      </c>
      <c r="D132" s="5784" t="s">
        <v>2129</v>
      </c>
      <c r="E132" s="5784" t="s">
        <v>2129</v>
      </c>
      <c r="F132" s="5784" t="s">
        <v>2129</v>
      </c>
      <c r="G132" s="5784" t="s">
        <v>2129</v>
      </c>
      <c r="H132" s="5785">
        <v>8</v>
      </c>
      <c r="I132" s="5785">
        <v>6</v>
      </c>
      <c r="J132" s="5785">
        <v>16</v>
      </c>
      <c r="K132" s="5785" t="s">
        <v>2129</v>
      </c>
      <c r="L132" s="5786">
        <v>1617651</v>
      </c>
      <c r="M132" s="5786">
        <v>0</v>
      </c>
      <c r="N132" s="5786">
        <v>0</v>
      </c>
      <c r="O132" s="5786">
        <v>0</v>
      </c>
      <c r="P132" s="5786">
        <v>0</v>
      </c>
      <c r="Q132" s="2476">
        <v>1779416.1</v>
      </c>
      <c r="R132" s="2477">
        <v>1779416</v>
      </c>
      <c r="S132" s="2477" t="b">
        <v>0</v>
      </c>
      <c r="T132" s="5786">
        <v>296569.33333333331</v>
      </c>
      <c r="U132" s="5788">
        <v>1301905</v>
      </c>
      <c r="V132" s="5788" t="b">
        <v>1</v>
      </c>
      <c r="W132" s="5788">
        <v>48218.703703703701</v>
      </c>
      <c r="X132" s="5788" t="s">
        <v>2129</v>
      </c>
      <c r="Y132" s="5788"/>
      <c r="Z132" s="5788"/>
      <c r="AA132" s="5788"/>
      <c r="AB132" s="5788"/>
      <c r="AC132" s="5782">
        <v>42</v>
      </c>
      <c r="AD132" s="5789">
        <v>27</v>
      </c>
      <c r="AE132" s="5789">
        <v>15</v>
      </c>
      <c r="AF132" s="5782">
        <v>89</v>
      </c>
      <c r="AG132" s="5782" t="s">
        <v>2129</v>
      </c>
      <c r="AH132" s="5782" t="s">
        <v>2129</v>
      </c>
      <c r="AI132" s="5782" t="s">
        <v>2129</v>
      </c>
      <c r="AJ132" s="5782" t="s">
        <v>2129</v>
      </c>
      <c r="AK132" s="5782" t="s">
        <v>2129</v>
      </c>
      <c r="AL132" s="5782" t="s">
        <v>2129</v>
      </c>
      <c r="AO132" s="5782" t="s">
        <v>2129</v>
      </c>
      <c r="AT132" s="5782" t="s">
        <v>2129</v>
      </c>
      <c r="AU132" s="5782" t="s">
        <v>2129</v>
      </c>
      <c r="AV132" s="5782" t="s">
        <v>2129</v>
      </c>
      <c r="AW132" s="5782" t="s">
        <v>2129</v>
      </c>
      <c r="AX132" s="5782" t="s">
        <v>2129</v>
      </c>
      <c r="AY132" s="5782" t="s">
        <v>2129</v>
      </c>
      <c r="AZ132" s="5782" t="s">
        <v>2129</v>
      </c>
      <c r="BA132" s="5782" t="s">
        <v>2129</v>
      </c>
      <c r="BB132" s="5782" t="s">
        <v>2129</v>
      </c>
      <c r="BC132" s="5782" t="s">
        <v>2129</v>
      </c>
      <c r="BD132" s="5782" t="s">
        <v>2129</v>
      </c>
      <c r="BE132" s="5788" t="s">
        <v>2129</v>
      </c>
      <c r="BG132" s="5788" t="s">
        <v>2129</v>
      </c>
      <c r="BH132" s="5788" t="s">
        <v>2129</v>
      </c>
      <c r="BI132" s="5788" t="s">
        <v>2129</v>
      </c>
      <c r="BJ132" s="5788" t="s">
        <v>2129</v>
      </c>
      <c r="BK132" s="5788" t="s">
        <v>2129</v>
      </c>
      <c r="BL132" s="5788" t="s">
        <v>2129</v>
      </c>
      <c r="BM132" s="5788" t="s">
        <v>2129</v>
      </c>
      <c r="BN132" s="5788" t="s">
        <v>2129</v>
      </c>
      <c r="BO132" s="5788" t="s">
        <v>2129</v>
      </c>
      <c r="BP132" s="5788" t="s">
        <v>2129</v>
      </c>
      <c r="BQ132" s="5788" t="s">
        <v>2129</v>
      </c>
      <c r="BR132" s="5788" t="s">
        <v>2129</v>
      </c>
      <c r="BS132" s="5788" t="s">
        <v>2129</v>
      </c>
      <c r="BT132" s="5788" t="s">
        <v>2129</v>
      </c>
      <c r="BU132" s="5788" t="s">
        <v>2129</v>
      </c>
      <c r="BV132" s="5788" t="s">
        <v>2129</v>
      </c>
      <c r="BW132" s="5788" t="s">
        <v>2129</v>
      </c>
      <c r="BX132" s="5788" t="s">
        <v>2129</v>
      </c>
      <c r="BY132" s="5788"/>
      <c r="BZ132" s="5788" t="s">
        <v>2129</v>
      </c>
      <c r="CA132" s="5788" t="s">
        <v>2129</v>
      </c>
      <c r="CB132" s="5788" t="s">
        <v>2129</v>
      </c>
      <c r="CC132" s="5788" t="s">
        <v>2129</v>
      </c>
      <c r="CD132" s="5788"/>
      <c r="CE132" s="5784"/>
    </row>
    <row r="133" spans="1:83" ht="13">
      <c r="A133">
        <v>261</v>
      </c>
      <c r="B133" s="196" t="s">
        <v>2865</v>
      </c>
      <c r="C133" s="5790" t="s">
        <v>6616</v>
      </c>
      <c r="D133" s="5790" t="s">
        <v>6599</v>
      </c>
      <c r="E133" s="5790" t="s">
        <v>2129</v>
      </c>
      <c r="F133" s="5785" t="s">
        <v>2129</v>
      </c>
      <c r="G133" s="5785" t="s">
        <v>2129</v>
      </c>
      <c r="H133" s="5785">
        <v>18</v>
      </c>
      <c r="I133" s="2694">
        <v>0</v>
      </c>
      <c r="J133" s="2694">
        <v>18</v>
      </c>
      <c r="K133" s="5785">
        <v>18</v>
      </c>
      <c r="L133" s="5786">
        <v>0</v>
      </c>
      <c r="M133" s="5786">
        <v>0</v>
      </c>
      <c r="N133" s="5786">
        <v>0</v>
      </c>
      <c r="O133" s="5786">
        <v>18000</v>
      </c>
      <c r="P133" s="5786">
        <v>0</v>
      </c>
      <c r="Q133" s="2476">
        <v>18000</v>
      </c>
      <c r="R133" s="2477">
        <v>2606235</v>
      </c>
      <c r="S133" s="2477" t="b">
        <v>0</v>
      </c>
      <c r="T133" s="5786" t="s">
        <v>2129</v>
      </c>
      <c r="U133" s="863">
        <v>3882353</v>
      </c>
      <c r="V133" s="863" t="b">
        <v>1</v>
      </c>
      <c r="W133" s="863">
        <v>47345.768292682929</v>
      </c>
      <c r="X133" s="863" t="s">
        <v>2129</v>
      </c>
      <c r="Y133" s="863">
        <v>1100</v>
      </c>
      <c r="AC133">
        <v>82</v>
      </c>
      <c r="AD133" s="3965">
        <v>82</v>
      </c>
      <c r="AE133" s="3965">
        <v>0</v>
      </c>
      <c r="AF133">
        <v>122</v>
      </c>
      <c r="AG133">
        <v>82</v>
      </c>
      <c r="AH133" t="s">
        <v>2129</v>
      </c>
      <c r="AI133" t="s">
        <v>2129</v>
      </c>
      <c r="AJ133" t="s">
        <v>2129</v>
      </c>
      <c r="AK133" t="s">
        <v>2129</v>
      </c>
      <c r="AL133">
        <v>0</v>
      </c>
      <c r="AO133" t="s">
        <v>2129</v>
      </c>
      <c r="AT133">
        <v>14</v>
      </c>
      <c r="AU133">
        <v>14</v>
      </c>
      <c r="AV133" t="s">
        <v>2129</v>
      </c>
      <c r="AW133" t="s">
        <v>2129</v>
      </c>
      <c r="AX133" t="s">
        <v>2129</v>
      </c>
      <c r="AY133" t="s">
        <v>2129</v>
      </c>
      <c r="AZ133" t="s">
        <v>2129</v>
      </c>
      <c r="BA133" t="s">
        <v>2129</v>
      </c>
      <c r="BB133" t="s">
        <v>2129</v>
      </c>
      <c r="BC133" t="s">
        <v>2129</v>
      </c>
      <c r="BD133" t="s">
        <v>2129</v>
      </c>
      <c r="BE133" s="1958">
        <v>54352942</v>
      </c>
      <c r="BF133" s="1958">
        <v>54352942</v>
      </c>
      <c r="BG133" s="1958" t="s">
        <v>2129</v>
      </c>
      <c r="BH133" s="1958" t="s">
        <v>2129</v>
      </c>
      <c r="BI133" s="1958" t="s">
        <v>2129</v>
      </c>
      <c r="BJ133" s="1958" t="s">
        <v>2129</v>
      </c>
      <c r="BK133" s="1958" t="s">
        <v>2129</v>
      </c>
      <c r="BL133" s="1958" t="s">
        <v>2129</v>
      </c>
      <c r="BM133" s="1958" t="s">
        <v>2129</v>
      </c>
      <c r="BN133" s="863" t="s">
        <v>2129</v>
      </c>
      <c r="BO133" s="863" t="s">
        <v>2129</v>
      </c>
      <c r="BP133" s="1958" t="s">
        <v>2129</v>
      </c>
      <c r="BQ133" s="1958" t="s">
        <v>2129</v>
      </c>
      <c r="BR133" s="1958" t="s">
        <v>2129</v>
      </c>
      <c r="BS133" s="1958" t="s">
        <v>2129</v>
      </c>
      <c r="BT133" s="1958" t="s">
        <v>2129</v>
      </c>
      <c r="BU133" s="1958" t="s">
        <v>2129</v>
      </c>
      <c r="BV133" s="1958" t="s">
        <v>2129</v>
      </c>
      <c r="BW133" s="1958" t="s">
        <v>2129</v>
      </c>
      <c r="BX133" s="1958" t="s">
        <v>2129</v>
      </c>
      <c r="BZ133" s="1958" t="s">
        <v>2129</v>
      </c>
      <c r="CA133" s="1958" t="s">
        <v>2129</v>
      </c>
      <c r="CB133" s="1958" t="s">
        <v>2129</v>
      </c>
      <c r="CC133" s="1958" t="s">
        <v>2129</v>
      </c>
      <c r="CE133" s="5785"/>
    </row>
    <row r="134" spans="1:83" ht="13">
      <c r="A134">
        <v>269</v>
      </c>
      <c r="B134" s="196" t="s">
        <v>3359</v>
      </c>
      <c r="C134" s="5785" t="s">
        <v>2129</v>
      </c>
      <c r="D134" s="2694" t="s">
        <v>3791</v>
      </c>
      <c r="E134" s="2694" t="s">
        <v>2129</v>
      </c>
      <c r="F134" s="5785" t="s">
        <v>2129</v>
      </c>
      <c r="G134" s="5785" t="s">
        <v>2129</v>
      </c>
      <c r="H134" s="5785">
        <v>0</v>
      </c>
      <c r="I134" s="5785">
        <v>12</v>
      </c>
      <c r="J134" s="5785">
        <v>12</v>
      </c>
      <c r="K134" s="5785" t="s">
        <v>2129</v>
      </c>
      <c r="L134" s="5786">
        <v>0</v>
      </c>
      <c r="M134" s="5786">
        <v>0</v>
      </c>
      <c r="N134" s="5786">
        <v>0</v>
      </c>
      <c r="O134" s="5786">
        <v>0</v>
      </c>
      <c r="P134" s="5786">
        <v>0</v>
      </c>
      <c r="Q134" s="2476">
        <v>0</v>
      </c>
      <c r="R134" s="2477">
        <v>0</v>
      </c>
      <c r="S134" s="2477" t="b">
        <v>1</v>
      </c>
      <c r="T134" s="5786">
        <v>0</v>
      </c>
      <c r="U134" s="863">
        <v>2139812</v>
      </c>
      <c r="V134" s="863" t="b">
        <v>1</v>
      </c>
      <c r="W134" s="863">
        <v>15733.911764705883</v>
      </c>
      <c r="X134" s="863" t="s">
        <v>2129</v>
      </c>
      <c r="AC134">
        <v>162</v>
      </c>
      <c r="AD134" s="3965">
        <v>136</v>
      </c>
      <c r="AE134" s="3965">
        <v>26</v>
      </c>
      <c r="AF134">
        <v>162</v>
      </c>
      <c r="AG134" t="s">
        <v>2129</v>
      </c>
      <c r="AH134">
        <v>111</v>
      </c>
      <c r="AI134" t="s">
        <v>2129</v>
      </c>
      <c r="AJ134" t="s">
        <v>2129</v>
      </c>
      <c r="AK134" t="s">
        <v>2129</v>
      </c>
      <c r="AL134" t="s">
        <v>2129</v>
      </c>
      <c r="AO134" t="s">
        <v>2129</v>
      </c>
      <c r="AT134" t="s">
        <v>2129</v>
      </c>
      <c r="AU134" t="s">
        <v>2129</v>
      </c>
      <c r="AV134" t="s">
        <v>2129</v>
      </c>
      <c r="AW134" t="s">
        <v>2129</v>
      </c>
      <c r="AX134">
        <v>11</v>
      </c>
      <c r="AY134" t="s">
        <v>2129</v>
      </c>
      <c r="AZ134" t="s">
        <v>2129</v>
      </c>
      <c r="BA134" t="s">
        <v>2129</v>
      </c>
      <c r="BB134" t="s">
        <v>2129</v>
      </c>
      <c r="BC134" t="s">
        <v>2129</v>
      </c>
      <c r="BD134" t="s">
        <v>2129</v>
      </c>
      <c r="BE134" s="1958" t="s">
        <v>2129</v>
      </c>
      <c r="BF134"/>
      <c r="BG134" s="863" t="s">
        <v>2129</v>
      </c>
      <c r="BH134" s="863" t="s">
        <v>2129</v>
      </c>
      <c r="BI134" s="863" t="s">
        <v>2129</v>
      </c>
      <c r="BJ134" s="863" t="s">
        <v>2129</v>
      </c>
      <c r="BK134" s="863">
        <v>19211106.264705881</v>
      </c>
      <c r="BL134" s="863" t="s">
        <v>2129</v>
      </c>
      <c r="BM134" s="863" t="s">
        <v>2129</v>
      </c>
      <c r="BN134" s="863" t="s">
        <v>2129</v>
      </c>
      <c r="BO134" s="863" t="s">
        <v>2129</v>
      </c>
      <c r="BP134" s="863" t="s">
        <v>2129</v>
      </c>
      <c r="BQ134" s="863" t="s">
        <v>2129</v>
      </c>
      <c r="BR134" s="863" t="s">
        <v>2129</v>
      </c>
      <c r="BS134" s="863" t="s">
        <v>2129</v>
      </c>
      <c r="BT134" s="863" t="s">
        <v>2129</v>
      </c>
      <c r="BU134" s="863" t="s">
        <v>2129</v>
      </c>
      <c r="BV134" s="863" t="s">
        <v>2129</v>
      </c>
      <c r="BW134" s="863" t="s">
        <v>2129</v>
      </c>
      <c r="BX134" s="863" t="s">
        <v>2129</v>
      </c>
      <c r="BY134" s="863"/>
      <c r="BZ134" s="863" t="s">
        <v>2129</v>
      </c>
      <c r="CA134" s="863" t="s">
        <v>2129</v>
      </c>
      <c r="CB134" s="863" t="s">
        <v>2129</v>
      </c>
      <c r="CC134" s="863" t="s">
        <v>2129</v>
      </c>
      <c r="CD134" s="863"/>
      <c r="CE134" s="5785"/>
    </row>
    <row r="135" spans="1:83" s="5782" customFormat="1" ht="13">
      <c r="A135" s="5782">
        <v>275</v>
      </c>
      <c r="B135" s="5783" t="s">
        <v>3360</v>
      </c>
      <c r="C135" s="5784" t="s">
        <v>2129</v>
      </c>
      <c r="D135" s="5784" t="s">
        <v>2129</v>
      </c>
      <c r="E135" s="5784" t="s">
        <v>2129</v>
      </c>
      <c r="F135" s="5784" t="s">
        <v>2129</v>
      </c>
      <c r="G135" s="5784" t="s">
        <v>2129</v>
      </c>
      <c r="H135" s="5785">
        <v>8</v>
      </c>
      <c r="I135" s="5785">
        <v>2</v>
      </c>
      <c r="J135" s="5785">
        <v>14</v>
      </c>
      <c r="K135" s="5785" t="s">
        <v>2129</v>
      </c>
      <c r="L135" s="5786">
        <v>535295</v>
      </c>
      <c r="M135" s="5786">
        <v>0</v>
      </c>
      <c r="N135" s="5786">
        <v>0</v>
      </c>
      <c r="O135" s="5786">
        <v>0</v>
      </c>
      <c r="P135" s="5786">
        <v>0</v>
      </c>
      <c r="Q135" s="2476">
        <v>588824.5</v>
      </c>
      <c r="R135" s="2477">
        <v>588824</v>
      </c>
      <c r="S135" s="2477" t="b">
        <v>0</v>
      </c>
      <c r="T135" s="5786">
        <v>294412</v>
      </c>
      <c r="U135" s="5788">
        <v>5595794</v>
      </c>
      <c r="V135" s="5788" t="b">
        <v>1</v>
      </c>
      <c r="W135" s="5788">
        <v>103625.81481481482</v>
      </c>
      <c r="X135" s="5788" t="s">
        <v>2129</v>
      </c>
      <c r="Y135" s="5788"/>
      <c r="Z135" s="5788"/>
      <c r="AA135" s="5788"/>
      <c r="AB135" s="5788"/>
      <c r="AC135" s="5782">
        <v>54</v>
      </c>
      <c r="AD135" s="5789">
        <v>54</v>
      </c>
      <c r="AE135" s="5789">
        <v>0</v>
      </c>
      <c r="AF135" s="5782">
        <v>180</v>
      </c>
      <c r="AG135" s="5782" t="s">
        <v>2129</v>
      </c>
      <c r="AH135" s="5782" t="s">
        <v>2129</v>
      </c>
      <c r="AI135" s="5782" t="s">
        <v>2129</v>
      </c>
      <c r="AJ135" s="5782" t="s">
        <v>2129</v>
      </c>
      <c r="AK135" s="5782" t="s">
        <v>2129</v>
      </c>
      <c r="AL135" s="5782" t="s">
        <v>2129</v>
      </c>
      <c r="AO135" s="5782" t="s">
        <v>2129</v>
      </c>
      <c r="AT135" s="5782" t="s">
        <v>2129</v>
      </c>
      <c r="AU135" s="5782" t="s">
        <v>2129</v>
      </c>
      <c r="AV135" s="5782" t="s">
        <v>2129</v>
      </c>
      <c r="AW135" s="5782" t="s">
        <v>2129</v>
      </c>
      <c r="AX135" s="5782" t="s">
        <v>2129</v>
      </c>
      <c r="AY135" s="5782" t="s">
        <v>2129</v>
      </c>
      <c r="AZ135" s="5782" t="s">
        <v>2129</v>
      </c>
      <c r="BA135" s="5782" t="s">
        <v>2129</v>
      </c>
      <c r="BB135" s="5782" t="s">
        <v>2129</v>
      </c>
      <c r="BC135" s="5782" t="s">
        <v>2129</v>
      </c>
      <c r="BD135" s="5782" t="s">
        <v>2129</v>
      </c>
      <c r="BE135" s="5788" t="s">
        <v>2129</v>
      </c>
      <c r="BG135" s="5788" t="s">
        <v>2129</v>
      </c>
      <c r="BH135" s="5788" t="s">
        <v>2129</v>
      </c>
      <c r="BI135" s="5788" t="s">
        <v>2129</v>
      </c>
      <c r="BJ135" s="5788" t="s">
        <v>2129</v>
      </c>
      <c r="BK135" s="5788" t="s">
        <v>2129</v>
      </c>
      <c r="BL135" s="5788" t="s">
        <v>2129</v>
      </c>
      <c r="BM135" s="5788" t="s">
        <v>2129</v>
      </c>
      <c r="BN135" s="5788" t="s">
        <v>2129</v>
      </c>
      <c r="BO135" s="5788" t="s">
        <v>2129</v>
      </c>
      <c r="BP135" s="5788" t="s">
        <v>2129</v>
      </c>
      <c r="BQ135" s="5788" t="s">
        <v>2129</v>
      </c>
      <c r="BR135" s="5788" t="s">
        <v>2129</v>
      </c>
      <c r="BS135" s="5788" t="s">
        <v>2129</v>
      </c>
      <c r="BT135" s="5788" t="s">
        <v>2129</v>
      </c>
      <c r="BU135" s="5788" t="s">
        <v>2129</v>
      </c>
      <c r="BV135" s="5788" t="s">
        <v>2129</v>
      </c>
      <c r="BW135" s="5788" t="s">
        <v>2129</v>
      </c>
      <c r="BX135" s="5788" t="s">
        <v>2129</v>
      </c>
      <c r="BY135" s="5788"/>
      <c r="BZ135" s="5788" t="s">
        <v>2129</v>
      </c>
      <c r="CA135" s="5788" t="s">
        <v>2129</v>
      </c>
      <c r="CB135" s="5788" t="s">
        <v>2129</v>
      </c>
      <c r="CC135" s="5788" t="s">
        <v>2129</v>
      </c>
      <c r="CD135" s="5788"/>
      <c r="CE135" s="5784"/>
    </row>
    <row r="136" spans="1:83" ht="13">
      <c r="A136">
        <v>278</v>
      </c>
      <c r="B136" s="196" t="s">
        <v>3361</v>
      </c>
      <c r="C136" s="5790" t="s">
        <v>6616</v>
      </c>
      <c r="D136" s="5790" t="s">
        <v>6599</v>
      </c>
      <c r="E136" s="5790" t="s">
        <v>2129</v>
      </c>
      <c r="F136" s="2694" t="s">
        <v>2129</v>
      </c>
      <c r="G136" s="2694" t="s">
        <v>2129</v>
      </c>
      <c r="H136" s="5785">
        <v>9</v>
      </c>
      <c r="I136" s="5785">
        <v>0</v>
      </c>
      <c r="J136" s="5785">
        <v>0</v>
      </c>
      <c r="K136" s="5785">
        <v>9</v>
      </c>
      <c r="L136" s="5786">
        <v>0</v>
      </c>
      <c r="M136" s="5786">
        <v>45297</v>
      </c>
      <c r="N136" s="5786">
        <v>0</v>
      </c>
      <c r="O136" s="5786">
        <v>0</v>
      </c>
      <c r="P136" s="5786">
        <v>0</v>
      </c>
      <c r="Q136" s="2476">
        <v>49826.700000000004</v>
      </c>
      <c r="R136" s="2477">
        <v>0</v>
      </c>
      <c r="S136" s="2477" t="b">
        <v>0</v>
      </c>
      <c r="T136" s="5786" t="s">
        <v>2129</v>
      </c>
      <c r="U136" s="863">
        <v>0</v>
      </c>
      <c r="V136" s="863" t="b">
        <v>1</v>
      </c>
      <c r="W136" s="863" t="e">
        <v>#DIV/0!</v>
      </c>
      <c r="X136" s="863" t="s">
        <v>2129</v>
      </c>
      <c r="Y136" s="863">
        <v>2300</v>
      </c>
      <c r="AC136">
        <v>277</v>
      </c>
      <c r="AD136" s="3965">
        <v>0</v>
      </c>
      <c r="AE136" s="3965">
        <v>277</v>
      </c>
      <c r="AF136">
        <v>277</v>
      </c>
      <c r="AG136">
        <v>222</v>
      </c>
      <c r="AH136" t="s">
        <v>2129</v>
      </c>
      <c r="AI136" t="s">
        <v>2129</v>
      </c>
      <c r="AJ136" t="s">
        <v>2129</v>
      </c>
      <c r="AK136" t="s">
        <v>2129</v>
      </c>
      <c r="AL136">
        <v>222</v>
      </c>
      <c r="AO136" t="s">
        <v>2129</v>
      </c>
      <c r="AT136">
        <v>26</v>
      </c>
      <c r="AU136">
        <v>26</v>
      </c>
      <c r="AV136" t="s">
        <v>2129</v>
      </c>
      <c r="AW136" t="s">
        <v>2129</v>
      </c>
      <c r="AX136" t="s">
        <v>2129</v>
      </c>
      <c r="AY136" t="s">
        <v>2129</v>
      </c>
      <c r="AZ136" s="191" t="s">
        <v>2129</v>
      </c>
      <c r="BA136" t="s">
        <v>2129</v>
      </c>
      <c r="BB136" t="s">
        <v>2129</v>
      </c>
      <c r="BC136" t="s">
        <v>2129</v>
      </c>
      <c r="BD136" t="s">
        <v>2129</v>
      </c>
      <c r="BE136" s="1958">
        <v>0</v>
      </c>
      <c r="BF136" s="1958">
        <v>0</v>
      </c>
      <c r="BG136" s="1958" t="s">
        <v>2129</v>
      </c>
      <c r="BH136" s="1958" t="s">
        <v>2129</v>
      </c>
      <c r="BI136" s="1958" t="s">
        <v>2129</v>
      </c>
      <c r="BJ136" s="1958" t="s">
        <v>2129</v>
      </c>
      <c r="BK136" s="1958" t="s">
        <v>2129</v>
      </c>
      <c r="BL136" s="1958" t="s">
        <v>2129</v>
      </c>
      <c r="BM136" s="1958" t="s">
        <v>2129</v>
      </c>
      <c r="BN136" s="863" t="s">
        <v>2129</v>
      </c>
      <c r="BO136" s="863" t="s">
        <v>2129</v>
      </c>
      <c r="BP136" s="1958" t="s">
        <v>2129</v>
      </c>
      <c r="BQ136" s="1958" t="s">
        <v>2129</v>
      </c>
      <c r="BR136" s="1958" t="s">
        <v>2129</v>
      </c>
      <c r="BS136" s="1958" t="s">
        <v>2129</v>
      </c>
      <c r="BT136" s="1958" t="s">
        <v>2129</v>
      </c>
      <c r="BU136" s="1958" t="s">
        <v>2129</v>
      </c>
      <c r="BV136" s="1958" t="s">
        <v>2129</v>
      </c>
      <c r="BW136" s="1958" t="s">
        <v>2129</v>
      </c>
      <c r="BX136" s="1958" t="s">
        <v>2129</v>
      </c>
      <c r="BZ136" s="1958" t="s">
        <v>2129</v>
      </c>
      <c r="CA136" s="1958" t="s">
        <v>2129</v>
      </c>
      <c r="CB136" s="1958" t="s">
        <v>2129</v>
      </c>
      <c r="CC136" s="1958" t="s">
        <v>2129</v>
      </c>
      <c r="CE136" s="5785"/>
    </row>
    <row r="137" spans="1:83" ht="13">
      <c r="A137">
        <v>281</v>
      </c>
      <c r="B137" s="196" t="s">
        <v>2871</v>
      </c>
      <c r="C137" s="5790" t="s">
        <v>6616</v>
      </c>
      <c r="D137" s="5790" t="s">
        <v>6599</v>
      </c>
      <c r="E137" s="5790" t="s">
        <v>2129</v>
      </c>
      <c r="F137" s="5792" t="s">
        <v>5205</v>
      </c>
      <c r="G137" s="5792" t="s">
        <v>2129</v>
      </c>
      <c r="H137" s="5785">
        <v>24</v>
      </c>
      <c r="I137" s="5785">
        <v>9</v>
      </c>
      <c r="J137" s="5785">
        <v>10</v>
      </c>
      <c r="K137" s="5785">
        <v>15</v>
      </c>
      <c r="L137" s="5786">
        <v>2790592</v>
      </c>
      <c r="M137" s="5786">
        <v>0</v>
      </c>
      <c r="N137" s="5786">
        <v>0</v>
      </c>
      <c r="O137" s="5786">
        <v>0</v>
      </c>
      <c r="P137" s="5786">
        <v>0</v>
      </c>
      <c r="Q137" s="2476">
        <v>3069651.2</v>
      </c>
      <c r="R137" s="2477">
        <v>3007533</v>
      </c>
      <c r="S137" s="5798" t="b">
        <v>1</v>
      </c>
      <c r="T137" s="5786">
        <v>334170.33333333331</v>
      </c>
      <c r="U137" s="863">
        <v>9024031</v>
      </c>
      <c r="V137" s="863" t="b">
        <v>1</v>
      </c>
      <c r="W137" s="863">
        <v>29586.9868852459</v>
      </c>
      <c r="X137" s="863">
        <v>26965.578963095773</v>
      </c>
      <c r="Y137" s="863">
        <v>2000</v>
      </c>
      <c r="AA137" s="863">
        <v>18996</v>
      </c>
      <c r="AB137" s="863">
        <v>32643</v>
      </c>
      <c r="AC137">
        <v>377</v>
      </c>
      <c r="AD137" s="3965">
        <v>305</v>
      </c>
      <c r="AE137" s="3965">
        <v>72</v>
      </c>
      <c r="AF137">
        <v>643</v>
      </c>
      <c r="AG137">
        <v>377</v>
      </c>
      <c r="AH137" t="s">
        <v>2129</v>
      </c>
      <c r="AI137" t="s">
        <v>2129</v>
      </c>
      <c r="AJ137" s="2705">
        <v>291</v>
      </c>
      <c r="AK137" t="s">
        <v>2129</v>
      </c>
      <c r="AL137">
        <v>72</v>
      </c>
      <c r="AO137">
        <v>-14</v>
      </c>
      <c r="AT137">
        <v>28</v>
      </c>
      <c r="AU137">
        <v>25</v>
      </c>
      <c r="AV137" t="s">
        <v>2129</v>
      </c>
      <c r="AW137" t="s">
        <v>2129</v>
      </c>
      <c r="AX137" t="s">
        <v>2129</v>
      </c>
      <c r="AY137" t="s">
        <v>2129</v>
      </c>
      <c r="AZ137">
        <v>16</v>
      </c>
      <c r="BA137" t="s">
        <v>2129</v>
      </c>
      <c r="BB137" t="s">
        <v>2129</v>
      </c>
      <c r="BC137" t="s">
        <v>2129</v>
      </c>
      <c r="BD137" t="s">
        <v>2129</v>
      </c>
      <c r="BE137" s="1958">
        <v>252672868</v>
      </c>
      <c r="BF137" s="1958">
        <v>225600775</v>
      </c>
      <c r="BG137" s="1958" t="s">
        <v>2129</v>
      </c>
      <c r="BH137" s="1958" t="s">
        <v>2129</v>
      </c>
      <c r="BI137" s="1958" t="s">
        <v>2129</v>
      </c>
      <c r="BJ137" s="1958" t="s">
        <v>2129</v>
      </c>
      <c r="BK137" s="1958" t="s">
        <v>2129</v>
      </c>
      <c r="BL137" s="1958" t="s">
        <v>2129</v>
      </c>
      <c r="BM137" s="1958">
        <v>144384496</v>
      </c>
      <c r="BN137" s="863">
        <v>137757010.93770492</v>
      </c>
      <c r="BO137" s="863" t="s">
        <v>2129</v>
      </c>
      <c r="BP137" s="1958" t="s">
        <v>2129</v>
      </c>
      <c r="BQ137" s="1958" t="s">
        <v>2129</v>
      </c>
      <c r="BR137" s="1958" t="s">
        <v>2129</v>
      </c>
      <c r="BS137" s="1958" t="s">
        <v>2129</v>
      </c>
      <c r="BT137" s="1958" t="s">
        <v>2129</v>
      </c>
      <c r="BU137" s="1958">
        <v>84210924</v>
      </c>
      <c r="BV137" s="1958">
        <v>75188325</v>
      </c>
      <c r="BW137" s="1958" t="s">
        <v>2129</v>
      </c>
      <c r="BX137" s="1958" t="s">
        <v>2129</v>
      </c>
      <c r="BZ137" s="1958">
        <v>48120528</v>
      </c>
      <c r="CA137" s="1958">
        <v>48120528</v>
      </c>
      <c r="CB137" s="1958" t="s">
        <v>2129</v>
      </c>
      <c r="CC137" s="1958" t="s">
        <v>2129</v>
      </c>
      <c r="CE137" s="5785"/>
    </row>
    <row r="138" spans="1:83" ht="13">
      <c r="A138">
        <v>282</v>
      </c>
      <c r="B138" s="196" t="s">
        <v>3362</v>
      </c>
      <c r="C138" s="5785" t="s">
        <v>3694</v>
      </c>
      <c r="D138" s="5785" t="s">
        <v>3791</v>
      </c>
      <c r="E138" s="5785" t="s">
        <v>2129</v>
      </c>
      <c r="F138" s="5785" t="s">
        <v>3791</v>
      </c>
      <c r="G138" s="5785" t="s">
        <v>4095</v>
      </c>
      <c r="H138" s="5785">
        <v>8</v>
      </c>
      <c r="I138" s="5785">
        <v>4</v>
      </c>
      <c r="J138" s="5785">
        <v>20</v>
      </c>
      <c r="K138" s="5785" t="s">
        <v>2129</v>
      </c>
      <c r="L138" s="5786">
        <v>1599143</v>
      </c>
      <c r="M138" s="5786">
        <v>7060</v>
      </c>
      <c r="N138" s="5786">
        <v>0</v>
      </c>
      <c r="O138" s="5786">
        <v>0</v>
      </c>
      <c r="P138" s="5786">
        <v>0</v>
      </c>
      <c r="Q138" s="2476">
        <v>1766823.3</v>
      </c>
      <c r="R138" s="2477">
        <v>1766823</v>
      </c>
      <c r="S138" s="2477" t="b">
        <v>0</v>
      </c>
      <c r="T138" s="5786">
        <v>441705.75</v>
      </c>
      <c r="U138" s="863">
        <v>1879952</v>
      </c>
      <c r="V138" s="863" t="b">
        <v>1</v>
      </c>
      <c r="W138" s="863">
        <v>22650.024096385543</v>
      </c>
      <c r="X138" s="863">
        <v>32053.742540494459</v>
      </c>
      <c r="AC138">
        <v>91</v>
      </c>
      <c r="AD138" s="3965">
        <v>83</v>
      </c>
      <c r="AE138" s="3965">
        <v>8</v>
      </c>
      <c r="AF138">
        <v>109</v>
      </c>
      <c r="AG138">
        <v>20</v>
      </c>
      <c r="AH138">
        <v>35</v>
      </c>
      <c r="AI138" t="s">
        <v>2129</v>
      </c>
      <c r="AJ138">
        <v>51</v>
      </c>
      <c r="AK138">
        <v>21</v>
      </c>
      <c r="AL138" s="191">
        <v>-63</v>
      </c>
      <c r="AM138">
        <v>-48</v>
      </c>
      <c r="AO138" s="191">
        <v>-32</v>
      </c>
      <c r="AP138" s="191">
        <v>-62</v>
      </c>
      <c r="AT138" t="s">
        <v>2129</v>
      </c>
      <c r="AU138" t="s">
        <v>2129</v>
      </c>
      <c r="AV138" t="s">
        <v>2129</v>
      </c>
      <c r="AW138">
        <v>32</v>
      </c>
      <c r="AX138">
        <v>11</v>
      </c>
      <c r="AY138" t="s">
        <v>2129</v>
      </c>
      <c r="AZ138" t="s">
        <v>2129</v>
      </c>
      <c r="BA138" t="s">
        <v>2129</v>
      </c>
      <c r="BB138" t="s">
        <v>2129</v>
      </c>
      <c r="BC138">
        <v>10</v>
      </c>
      <c r="BD138">
        <v>15</v>
      </c>
      <c r="BE138" s="1958" t="s">
        <v>2129</v>
      </c>
      <c r="BF138"/>
      <c r="BG138" s="863" t="s">
        <v>2129</v>
      </c>
      <c r="BH138" s="863">
        <v>14496015.421686748</v>
      </c>
      <c r="BI138" s="863" t="s">
        <v>2129</v>
      </c>
      <c r="BJ138" s="863" t="s">
        <v>2129</v>
      </c>
      <c r="BK138" s="863">
        <v>8720259.2771084346</v>
      </c>
      <c r="BL138" s="863" t="s">
        <v>2129</v>
      </c>
      <c r="BM138" s="863" t="s">
        <v>2129</v>
      </c>
      <c r="BN138" s="863" t="s">
        <v>2129</v>
      </c>
      <c r="BO138" s="863" t="s">
        <v>2129</v>
      </c>
      <c r="BP138" s="863" t="s">
        <v>2129</v>
      </c>
      <c r="BQ138" s="863" t="s">
        <v>2129</v>
      </c>
      <c r="BR138" s="863" t="s">
        <v>2129</v>
      </c>
      <c r="BS138" s="863">
        <v>11551512.289156627</v>
      </c>
      <c r="BT138" s="863">
        <v>7134757.5903614461</v>
      </c>
      <c r="BU138" s="863" t="s">
        <v>2129</v>
      </c>
      <c r="BV138" s="863" t="s">
        <v>2129</v>
      </c>
      <c r="BW138" s="863" t="s">
        <v>2129</v>
      </c>
      <c r="BX138" s="863" t="s">
        <v>2129</v>
      </c>
      <c r="BY138" s="863"/>
      <c r="BZ138" s="863" t="s">
        <v>2129</v>
      </c>
      <c r="CA138" s="863" t="s">
        <v>2129</v>
      </c>
      <c r="CB138" s="863" t="s">
        <v>2129</v>
      </c>
      <c r="CC138" s="863" t="s">
        <v>2129</v>
      </c>
      <c r="CD138" s="863"/>
      <c r="CE138" s="5785"/>
    </row>
    <row r="139" spans="1:83" ht="13">
      <c r="A139">
        <v>283</v>
      </c>
      <c r="B139" s="196" t="s">
        <v>3363</v>
      </c>
      <c r="C139" s="5785" t="s">
        <v>3694</v>
      </c>
      <c r="D139" s="5785" t="s">
        <v>2129</v>
      </c>
      <c r="E139" s="5785" t="s">
        <v>2129</v>
      </c>
      <c r="F139" s="5785" t="s">
        <v>2129</v>
      </c>
      <c r="G139" s="5785" t="s">
        <v>2129</v>
      </c>
      <c r="H139" s="5785">
        <v>0</v>
      </c>
      <c r="I139" s="5785">
        <v>0</v>
      </c>
      <c r="J139" s="5785">
        <v>16</v>
      </c>
      <c r="K139" s="5785" t="s">
        <v>2129</v>
      </c>
      <c r="L139" s="5786">
        <v>0</v>
      </c>
      <c r="M139" s="5786">
        <v>0</v>
      </c>
      <c r="N139" s="5786">
        <v>0</v>
      </c>
      <c r="O139" s="5786">
        <v>0</v>
      </c>
      <c r="P139" s="5786">
        <v>0</v>
      </c>
      <c r="Q139" s="2476">
        <v>0</v>
      </c>
      <c r="R139" s="2477">
        <v>0</v>
      </c>
      <c r="S139" s="2477" t="b">
        <v>1</v>
      </c>
      <c r="T139" s="5786" t="s">
        <v>2129</v>
      </c>
      <c r="U139" s="863">
        <v>801927</v>
      </c>
      <c r="V139" s="863" t="b">
        <v>1</v>
      </c>
      <c r="W139" s="863">
        <v>8182.9285714285716</v>
      </c>
      <c r="X139" s="863" t="s">
        <v>2129</v>
      </c>
      <c r="AC139">
        <v>135</v>
      </c>
      <c r="AD139" s="3965">
        <v>98</v>
      </c>
      <c r="AE139" s="3965">
        <v>37</v>
      </c>
      <c r="AF139">
        <v>135</v>
      </c>
      <c r="AG139">
        <v>60</v>
      </c>
      <c r="AH139" t="s">
        <v>2129</v>
      </c>
      <c r="AI139" t="s">
        <v>2129</v>
      </c>
      <c r="AJ139" t="s">
        <v>2129</v>
      </c>
      <c r="AK139" t="s">
        <v>2129</v>
      </c>
      <c r="AL139">
        <v>-38</v>
      </c>
      <c r="AO139" t="s">
        <v>2129</v>
      </c>
      <c r="AT139" t="s">
        <v>2129</v>
      </c>
      <c r="AU139" t="s">
        <v>2129</v>
      </c>
      <c r="AV139" t="s">
        <v>2129</v>
      </c>
      <c r="AW139">
        <v>32</v>
      </c>
      <c r="AX139" t="s">
        <v>2129</v>
      </c>
      <c r="AY139" t="s">
        <v>2129</v>
      </c>
      <c r="AZ139" t="s">
        <v>2129</v>
      </c>
      <c r="BA139" t="s">
        <v>2129</v>
      </c>
      <c r="BB139" t="s">
        <v>2129</v>
      </c>
      <c r="BC139" t="s">
        <v>2129</v>
      </c>
      <c r="BD139" t="s">
        <v>2129</v>
      </c>
      <c r="BE139" s="1958" t="s">
        <v>2129</v>
      </c>
      <c r="BF139"/>
      <c r="BG139" s="863" t="s">
        <v>2129</v>
      </c>
      <c r="BH139" s="863">
        <v>15711222.857142858</v>
      </c>
      <c r="BI139" s="863" t="s">
        <v>2129</v>
      </c>
      <c r="BJ139" s="863" t="s">
        <v>2129</v>
      </c>
      <c r="BK139" s="863" t="s">
        <v>2129</v>
      </c>
      <c r="BL139" s="863" t="s">
        <v>2129</v>
      </c>
      <c r="BM139" s="863" t="s">
        <v>2129</v>
      </c>
      <c r="BN139" s="863" t="s">
        <v>2129</v>
      </c>
      <c r="BO139" s="863" t="s">
        <v>2129</v>
      </c>
      <c r="BP139" s="863" t="s">
        <v>2129</v>
      </c>
      <c r="BQ139" s="863" t="s">
        <v>2129</v>
      </c>
      <c r="BR139" s="863" t="s">
        <v>2129</v>
      </c>
      <c r="BS139" s="863" t="s">
        <v>2129</v>
      </c>
      <c r="BT139" s="863" t="s">
        <v>2129</v>
      </c>
      <c r="BU139" s="863" t="s">
        <v>2129</v>
      </c>
      <c r="BV139" s="863" t="s">
        <v>2129</v>
      </c>
      <c r="BW139" s="863" t="s">
        <v>2129</v>
      </c>
      <c r="BX139" s="863" t="s">
        <v>2129</v>
      </c>
      <c r="BY139" s="863"/>
      <c r="BZ139" s="863" t="s">
        <v>2129</v>
      </c>
      <c r="CA139" s="863" t="s">
        <v>2129</v>
      </c>
      <c r="CB139" s="863" t="s">
        <v>2129</v>
      </c>
      <c r="CC139" s="863" t="s">
        <v>2129</v>
      </c>
      <c r="CD139" s="863"/>
      <c r="CE139" s="5785"/>
    </row>
    <row r="140" spans="1:83" ht="13">
      <c r="A140">
        <v>287</v>
      </c>
      <c r="B140" s="196" t="s">
        <v>6623</v>
      </c>
      <c r="C140" s="5785" t="s">
        <v>2129</v>
      </c>
      <c r="D140" s="5785" t="s">
        <v>2129</v>
      </c>
      <c r="E140" s="5785" t="s">
        <v>4095</v>
      </c>
      <c r="F140" s="5785" t="s">
        <v>2129</v>
      </c>
      <c r="G140" s="5785" t="s">
        <v>2129</v>
      </c>
      <c r="H140" s="5785">
        <v>0</v>
      </c>
      <c r="I140" s="5785">
        <v>0</v>
      </c>
      <c r="J140" s="5785">
        <v>16</v>
      </c>
      <c r="K140" s="5785" t="s">
        <v>2129</v>
      </c>
      <c r="L140" s="5786">
        <v>0</v>
      </c>
      <c r="M140" s="5786">
        <v>0</v>
      </c>
      <c r="N140" s="5786">
        <v>0</v>
      </c>
      <c r="O140" s="5786">
        <v>0</v>
      </c>
      <c r="P140" s="5786">
        <v>0</v>
      </c>
      <c r="Q140" s="2476">
        <v>0</v>
      </c>
      <c r="R140" s="2477">
        <v>0</v>
      </c>
      <c r="S140" s="2477" t="b">
        <v>1</v>
      </c>
      <c r="T140" s="5786" t="s">
        <v>2129</v>
      </c>
      <c r="U140" s="863">
        <v>2337588</v>
      </c>
      <c r="V140" s="863" t="b">
        <v>0</v>
      </c>
      <c r="W140" s="863">
        <v>17709</v>
      </c>
      <c r="X140" s="863" t="s">
        <v>2129</v>
      </c>
      <c r="AC140">
        <v>132</v>
      </c>
      <c r="AD140" s="3965">
        <v>132</v>
      </c>
      <c r="AE140" s="3965">
        <v>0</v>
      </c>
      <c r="AF140">
        <v>153</v>
      </c>
      <c r="AG140" t="s">
        <v>2129</v>
      </c>
      <c r="AH140" t="s">
        <v>2129</v>
      </c>
      <c r="AI140">
        <v>133</v>
      </c>
      <c r="AJ140" t="s">
        <v>2129</v>
      </c>
      <c r="AK140" t="s">
        <v>2129</v>
      </c>
      <c r="AL140" t="s">
        <v>2129</v>
      </c>
      <c r="AO140" t="s">
        <v>2129</v>
      </c>
      <c r="AP140" t="s">
        <v>2129</v>
      </c>
      <c r="AT140" t="s">
        <v>2129</v>
      </c>
      <c r="AU140" t="s">
        <v>2129</v>
      </c>
      <c r="AV140" t="s">
        <v>2129</v>
      </c>
      <c r="AW140" t="s">
        <v>2129</v>
      </c>
      <c r="AX140" t="s">
        <v>2129</v>
      </c>
      <c r="AY140">
        <v>32</v>
      </c>
      <c r="AZ140" t="s">
        <v>2129</v>
      </c>
      <c r="BA140" t="s">
        <v>2129</v>
      </c>
      <c r="BB140" t="s">
        <v>2129</v>
      </c>
      <c r="BC140" t="s">
        <v>2129</v>
      </c>
      <c r="BD140" t="s">
        <v>2129</v>
      </c>
      <c r="BE140" s="1958" t="s">
        <v>2129</v>
      </c>
      <c r="BF140"/>
      <c r="BG140" s="863" t="s">
        <v>2129</v>
      </c>
      <c r="BH140" s="863" t="s">
        <v>2129</v>
      </c>
      <c r="BI140" s="863" t="s">
        <v>2129</v>
      </c>
      <c r="BJ140" s="863" t="s">
        <v>2129</v>
      </c>
      <c r="BK140" s="863" t="s">
        <v>2129</v>
      </c>
      <c r="BL140" s="863">
        <v>75369504</v>
      </c>
      <c r="BM140" s="863" t="s">
        <v>2129</v>
      </c>
      <c r="BN140" s="863" t="s">
        <v>2129</v>
      </c>
      <c r="BO140" s="863" t="s">
        <v>2129</v>
      </c>
      <c r="BP140" s="863" t="s">
        <v>2129</v>
      </c>
      <c r="BQ140" s="863" t="s">
        <v>2129</v>
      </c>
      <c r="BR140" s="863" t="s">
        <v>2129</v>
      </c>
      <c r="BS140" s="863" t="s">
        <v>2129</v>
      </c>
      <c r="BT140" s="863" t="s">
        <v>2129</v>
      </c>
      <c r="BU140" s="863" t="s">
        <v>2129</v>
      </c>
      <c r="BV140" s="863" t="s">
        <v>2129</v>
      </c>
      <c r="BW140" s="863" t="s">
        <v>2129</v>
      </c>
      <c r="BX140" s="863" t="s">
        <v>2129</v>
      </c>
      <c r="BY140" s="863"/>
      <c r="BZ140" s="863" t="s">
        <v>2129</v>
      </c>
      <c r="CA140" s="863" t="s">
        <v>2129</v>
      </c>
      <c r="CB140" s="863" t="s">
        <v>2129</v>
      </c>
      <c r="CC140" s="863" t="s">
        <v>2129</v>
      </c>
      <c r="CD140" s="863"/>
      <c r="CE140" s="5785"/>
    </row>
    <row r="141" spans="1:83" ht="13">
      <c r="A141">
        <v>288</v>
      </c>
      <c r="B141" s="196" t="s">
        <v>3365</v>
      </c>
      <c r="C141" s="5785" t="s">
        <v>3694</v>
      </c>
      <c r="D141" s="5785" t="s">
        <v>3791</v>
      </c>
      <c r="E141" s="5785" t="s">
        <v>2129</v>
      </c>
      <c r="F141" s="5785" t="s">
        <v>2129</v>
      </c>
      <c r="G141" s="5785" t="s">
        <v>2129</v>
      </c>
      <c r="H141" s="5785">
        <v>0</v>
      </c>
      <c r="I141" s="5785">
        <v>0</v>
      </c>
      <c r="J141" s="5785">
        <v>16</v>
      </c>
      <c r="K141" s="5785" t="s">
        <v>2129</v>
      </c>
      <c r="L141" s="5786">
        <v>0</v>
      </c>
      <c r="M141" s="5786">
        <v>0</v>
      </c>
      <c r="N141" s="5786">
        <v>0</v>
      </c>
      <c r="O141" s="5786">
        <v>0</v>
      </c>
      <c r="P141" s="5786">
        <v>0</v>
      </c>
      <c r="Q141" s="2476">
        <v>0</v>
      </c>
      <c r="R141" s="2477">
        <v>0</v>
      </c>
      <c r="S141" s="2477" t="b">
        <v>1</v>
      </c>
      <c r="T141" s="5786" t="s">
        <v>2129</v>
      </c>
      <c r="U141" s="863">
        <v>1273454</v>
      </c>
      <c r="V141" s="863" t="b">
        <v>1</v>
      </c>
      <c r="W141" s="863">
        <v>10106.777777777777</v>
      </c>
      <c r="X141" s="863" t="s">
        <v>2129</v>
      </c>
      <c r="AC141">
        <v>196</v>
      </c>
      <c r="AD141" s="3965">
        <v>126</v>
      </c>
      <c r="AE141" s="3965">
        <v>70</v>
      </c>
      <c r="AF141">
        <v>196</v>
      </c>
      <c r="AG141">
        <v>100</v>
      </c>
      <c r="AH141">
        <v>24</v>
      </c>
      <c r="AI141" t="s">
        <v>2129</v>
      </c>
      <c r="AJ141" t="s">
        <v>2129</v>
      </c>
      <c r="AK141" t="s">
        <v>2129</v>
      </c>
      <c r="AL141">
        <v>-26</v>
      </c>
      <c r="AM141">
        <v>-102</v>
      </c>
      <c r="AO141" t="s">
        <v>2129</v>
      </c>
      <c r="AT141" t="s">
        <v>2129</v>
      </c>
      <c r="AU141" t="s">
        <v>2129</v>
      </c>
      <c r="AV141" t="s">
        <v>2129</v>
      </c>
      <c r="AW141">
        <v>32</v>
      </c>
      <c r="AX141">
        <v>11</v>
      </c>
      <c r="AY141" t="s">
        <v>2129</v>
      </c>
      <c r="AZ141" t="s">
        <v>2129</v>
      </c>
      <c r="BA141" t="s">
        <v>2129</v>
      </c>
      <c r="BB141" t="s">
        <v>2129</v>
      </c>
      <c r="BC141" t="s">
        <v>2129</v>
      </c>
      <c r="BD141" t="s">
        <v>2129</v>
      </c>
      <c r="BE141" s="1958" t="s">
        <v>2129</v>
      </c>
      <c r="BF141"/>
      <c r="BG141" s="863" t="s">
        <v>2129</v>
      </c>
      <c r="BH141" s="863">
        <v>32341688.888888888</v>
      </c>
      <c r="BI141" s="863" t="s">
        <v>2129</v>
      </c>
      <c r="BJ141" s="863" t="s">
        <v>2129</v>
      </c>
      <c r="BK141" s="863">
        <v>2668189.333333333</v>
      </c>
      <c r="BL141" s="863" t="s">
        <v>2129</v>
      </c>
      <c r="BM141" s="863" t="s">
        <v>2129</v>
      </c>
      <c r="BN141" s="863" t="s">
        <v>2129</v>
      </c>
      <c r="BO141" s="863" t="s">
        <v>2129</v>
      </c>
      <c r="BP141" s="863" t="s">
        <v>2129</v>
      </c>
      <c r="BQ141" s="863" t="s">
        <v>2129</v>
      </c>
      <c r="BR141" s="863" t="s">
        <v>2129</v>
      </c>
      <c r="BS141" s="863" t="s">
        <v>2129</v>
      </c>
      <c r="BT141" s="863" t="s">
        <v>2129</v>
      </c>
      <c r="BU141" s="863" t="s">
        <v>2129</v>
      </c>
      <c r="BV141" s="863" t="s">
        <v>2129</v>
      </c>
      <c r="BW141" s="863" t="s">
        <v>2129</v>
      </c>
      <c r="BX141" s="863" t="s">
        <v>2129</v>
      </c>
      <c r="BY141" s="863"/>
      <c r="BZ141" s="863" t="s">
        <v>2129</v>
      </c>
      <c r="CA141" s="863" t="s">
        <v>2129</v>
      </c>
      <c r="CB141" s="863" t="s">
        <v>2129</v>
      </c>
      <c r="CC141" s="863" t="s">
        <v>2129</v>
      </c>
      <c r="CD141" s="863"/>
      <c r="CE141" s="5785"/>
    </row>
    <row r="142" spans="1:83" ht="13">
      <c r="A142">
        <v>290</v>
      </c>
      <c r="B142" s="196" t="s">
        <v>3366</v>
      </c>
      <c r="C142" s="5785" t="s">
        <v>3694</v>
      </c>
      <c r="D142" s="5785" t="s">
        <v>2129</v>
      </c>
      <c r="E142" s="5785" t="s">
        <v>2129</v>
      </c>
      <c r="F142" s="5785" t="s">
        <v>2129</v>
      </c>
      <c r="G142" s="5785" t="s">
        <v>2129</v>
      </c>
      <c r="H142" s="5785">
        <v>0</v>
      </c>
      <c r="I142" s="5785">
        <v>0</v>
      </c>
      <c r="J142" s="5785">
        <v>16</v>
      </c>
      <c r="K142" s="5785" t="s">
        <v>2129</v>
      </c>
      <c r="L142" s="5786">
        <v>0</v>
      </c>
      <c r="M142" s="5786">
        <v>0</v>
      </c>
      <c r="N142" s="5786">
        <v>0</v>
      </c>
      <c r="O142" s="5786">
        <v>0</v>
      </c>
      <c r="P142" s="5786">
        <v>0</v>
      </c>
      <c r="Q142" s="2476">
        <v>0</v>
      </c>
      <c r="R142" s="2477">
        <v>0</v>
      </c>
      <c r="S142" s="2477" t="b">
        <v>1</v>
      </c>
      <c r="T142" s="5786" t="s">
        <v>2129</v>
      </c>
      <c r="U142" s="863">
        <v>543543</v>
      </c>
      <c r="V142" s="863" t="b">
        <v>1</v>
      </c>
      <c r="W142" s="863">
        <v>7764.9</v>
      </c>
      <c r="X142" s="863" t="s">
        <v>2129</v>
      </c>
      <c r="AC142">
        <v>171</v>
      </c>
      <c r="AD142" s="3965">
        <v>70</v>
      </c>
      <c r="AE142" s="3965">
        <v>101</v>
      </c>
      <c r="AF142">
        <v>177</v>
      </c>
      <c r="AG142">
        <v>70</v>
      </c>
      <c r="AH142" t="s">
        <v>2129</v>
      </c>
      <c r="AI142" t="s">
        <v>2129</v>
      </c>
      <c r="AJ142" t="s">
        <v>2129</v>
      </c>
      <c r="AK142" t="s">
        <v>2129</v>
      </c>
      <c r="AL142">
        <v>0</v>
      </c>
      <c r="AO142" t="s">
        <v>2129</v>
      </c>
      <c r="AT142" t="s">
        <v>2129</v>
      </c>
      <c r="AU142" t="s">
        <v>2129</v>
      </c>
      <c r="AV142" t="s">
        <v>2129</v>
      </c>
      <c r="AW142">
        <v>32</v>
      </c>
      <c r="AX142" t="s">
        <v>2129</v>
      </c>
      <c r="AY142" t="s">
        <v>2129</v>
      </c>
      <c r="AZ142" t="s">
        <v>2129</v>
      </c>
      <c r="BA142" t="s">
        <v>2129</v>
      </c>
      <c r="BB142" t="s">
        <v>2129</v>
      </c>
      <c r="BC142" t="s">
        <v>2129</v>
      </c>
      <c r="BD142" t="s">
        <v>2129</v>
      </c>
      <c r="BE142" s="1958" t="s">
        <v>2129</v>
      </c>
      <c r="BF142"/>
      <c r="BG142" s="863" t="s">
        <v>2129</v>
      </c>
      <c r="BH142" s="863">
        <v>17393376</v>
      </c>
      <c r="BI142" s="863" t="s">
        <v>2129</v>
      </c>
      <c r="BJ142" s="863" t="s">
        <v>2129</v>
      </c>
      <c r="BK142" s="863" t="s">
        <v>2129</v>
      </c>
      <c r="BL142" s="863" t="s">
        <v>2129</v>
      </c>
      <c r="BM142" s="863" t="s">
        <v>2129</v>
      </c>
      <c r="BN142" s="863" t="s">
        <v>2129</v>
      </c>
      <c r="BO142" s="863" t="s">
        <v>2129</v>
      </c>
      <c r="BP142" s="863" t="s">
        <v>2129</v>
      </c>
      <c r="BQ142" s="863" t="s">
        <v>2129</v>
      </c>
      <c r="BR142" s="863" t="s">
        <v>2129</v>
      </c>
      <c r="BS142" s="863" t="s">
        <v>2129</v>
      </c>
      <c r="BT142" s="863" t="s">
        <v>2129</v>
      </c>
      <c r="BU142" s="863" t="s">
        <v>2129</v>
      </c>
      <c r="BV142" s="863" t="s">
        <v>2129</v>
      </c>
      <c r="BW142" s="863" t="s">
        <v>2129</v>
      </c>
      <c r="BX142" s="863" t="s">
        <v>2129</v>
      </c>
      <c r="BY142" s="863"/>
      <c r="BZ142" s="863" t="s">
        <v>2129</v>
      </c>
      <c r="CA142" s="863" t="s">
        <v>2129</v>
      </c>
      <c r="CB142" s="863" t="s">
        <v>2129</v>
      </c>
      <c r="CC142" s="863" t="s">
        <v>2129</v>
      </c>
      <c r="CD142" s="863"/>
      <c r="CE142" s="5785"/>
    </row>
    <row r="143" spans="1:83" s="5782" customFormat="1" ht="13">
      <c r="A143" s="5782">
        <v>292</v>
      </c>
      <c r="B143" s="5783" t="s">
        <v>3367</v>
      </c>
      <c r="C143" s="5784" t="s">
        <v>2129</v>
      </c>
      <c r="D143" s="5784" t="s">
        <v>2129</v>
      </c>
      <c r="E143" s="5784" t="s">
        <v>2129</v>
      </c>
      <c r="F143" s="5784" t="s">
        <v>2129</v>
      </c>
      <c r="G143" s="5784" t="s">
        <v>2129</v>
      </c>
      <c r="H143" s="5785">
        <v>0</v>
      </c>
      <c r="I143" s="5785">
        <v>0</v>
      </c>
      <c r="J143" s="5785">
        <v>16</v>
      </c>
      <c r="K143" s="5785" t="s">
        <v>2129</v>
      </c>
      <c r="L143" s="5786">
        <v>0</v>
      </c>
      <c r="M143" s="5786">
        <v>0</v>
      </c>
      <c r="N143" s="5786">
        <v>0</v>
      </c>
      <c r="O143" s="5786">
        <v>0</v>
      </c>
      <c r="P143" s="5786">
        <v>0</v>
      </c>
      <c r="Q143" s="2476">
        <v>0</v>
      </c>
      <c r="R143" s="2477">
        <v>0</v>
      </c>
      <c r="S143" s="2477" t="b">
        <v>1</v>
      </c>
      <c r="T143" s="5786" t="s">
        <v>2129</v>
      </c>
      <c r="U143" s="5788">
        <v>964616</v>
      </c>
      <c r="V143" s="5788" t="b">
        <v>0</v>
      </c>
      <c r="W143" s="5788">
        <v>8536.424778761062</v>
      </c>
      <c r="X143" s="5788" t="s">
        <v>2129</v>
      </c>
      <c r="Y143" s="5788"/>
      <c r="Z143" s="5788"/>
      <c r="AA143" s="5788"/>
      <c r="AB143" s="5788"/>
      <c r="AC143" s="5782">
        <v>113</v>
      </c>
      <c r="AD143" s="5789">
        <v>113</v>
      </c>
      <c r="AE143" s="5789">
        <v>0</v>
      </c>
      <c r="AF143" s="5782">
        <v>113</v>
      </c>
      <c r="AG143" s="5782" t="s">
        <v>2129</v>
      </c>
      <c r="AH143" s="5782" t="s">
        <v>2129</v>
      </c>
      <c r="AI143" s="5782" t="s">
        <v>2129</v>
      </c>
      <c r="AJ143" s="5782" t="s">
        <v>2129</v>
      </c>
      <c r="AK143" s="5782" t="s">
        <v>2129</v>
      </c>
      <c r="AL143" s="5782" t="s">
        <v>2129</v>
      </c>
      <c r="AO143" s="5782" t="s">
        <v>2129</v>
      </c>
      <c r="AT143" s="5782" t="s">
        <v>2129</v>
      </c>
      <c r="AU143" s="5782" t="s">
        <v>2129</v>
      </c>
      <c r="AV143" s="5782" t="s">
        <v>2129</v>
      </c>
      <c r="AW143" s="5782" t="s">
        <v>2129</v>
      </c>
      <c r="AX143" s="5782" t="s">
        <v>2129</v>
      </c>
      <c r="AY143" s="5782" t="s">
        <v>2129</v>
      </c>
      <c r="AZ143" s="5782" t="s">
        <v>2129</v>
      </c>
      <c r="BA143" s="5782" t="s">
        <v>2129</v>
      </c>
      <c r="BB143" s="5782" t="s">
        <v>2129</v>
      </c>
      <c r="BC143" s="5782" t="s">
        <v>2129</v>
      </c>
      <c r="BD143" s="5782" t="s">
        <v>2129</v>
      </c>
      <c r="BE143" s="5788" t="s">
        <v>2129</v>
      </c>
      <c r="BG143" s="5788" t="s">
        <v>2129</v>
      </c>
      <c r="BH143" s="5788" t="s">
        <v>2129</v>
      </c>
      <c r="BI143" s="5788" t="s">
        <v>2129</v>
      </c>
      <c r="BJ143" s="5788" t="s">
        <v>2129</v>
      </c>
      <c r="BK143" s="5788" t="s">
        <v>2129</v>
      </c>
      <c r="BL143" s="5788" t="s">
        <v>2129</v>
      </c>
      <c r="BM143" s="5788" t="s">
        <v>2129</v>
      </c>
      <c r="BN143" s="5788" t="s">
        <v>2129</v>
      </c>
      <c r="BO143" s="5788" t="s">
        <v>2129</v>
      </c>
      <c r="BP143" s="5788" t="s">
        <v>2129</v>
      </c>
      <c r="BQ143" s="5788" t="s">
        <v>2129</v>
      </c>
      <c r="BR143" s="5788" t="s">
        <v>2129</v>
      </c>
      <c r="BS143" s="5788" t="s">
        <v>2129</v>
      </c>
      <c r="BT143" s="5788" t="s">
        <v>2129</v>
      </c>
      <c r="BU143" s="5788" t="s">
        <v>2129</v>
      </c>
      <c r="BV143" s="5788" t="s">
        <v>2129</v>
      </c>
      <c r="BW143" s="5788" t="s">
        <v>2129</v>
      </c>
      <c r="BX143" s="5788" t="s">
        <v>2129</v>
      </c>
      <c r="BY143" s="5788"/>
      <c r="BZ143" s="5788" t="s">
        <v>2129</v>
      </c>
      <c r="CA143" s="5788" t="s">
        <v>2129</v>
      </c>
      <c r="CB143" s="5788" t="s">
        <v>2129</v>
      </c>
      <c r="CC143" s="5788" t="s">
        <v>2129</v>
      </c>
      <c r="CD143" s="5788"/>
      <c r="CE143" s="5784"/>
    </row>
    <row r="144" spans="1:83" s="5782" customFormat="1" ht="13">
      <c r="A144" s="5782">
        <v>293</v>
      </c>
      <c r="B144" s="5783" t="s">
        <v>3368</v>
      </c>
      <c r="C144" s="5784" t="s">
        <v>2129</v>
      </c>
      <c r="D144" s="5784" t="s">
        <v>2129</v>
      </c>
      <c r="E144" s="5784" t="s">
        <v>2129</v>
      </c>
      <c r="F144" s="5784" t="s">
        <v>2129</v>
      </c>
      <c r="G144" s="5784" t="s">
        <v>2129</v>
      </c>
      <c r="H144" s="5785">
        <v>0</v>
      </c>
      <c r="I144" s="5785">
        <v>0</v>
      </c>
      <c r="J144" s="5785">
        <v>16</v>
      </c>
      <c r="K144" s="5785" t="s">
        <v>2129</v>
      </c>
      <c r="L144" s="5786">
        <v>0</v>
      </c>
      <c r="M144" s="5786">
        <v>0</v>
      </c>
      <c r="N144" s="5786">
        <v>0</v>
      </c>
      <c r="O144" s="5786">
        <v>0</v>
      </c>
      <c r="P144" s="5786">
        <v>0</v>
      </c>
      <c r="Q144" s="2476">
        <v>0</v>
      </c>
      <c r="R144" s="2477">
        <v>0</v>
      </c>
      <c r="S144" s="2477" t="b">
        <v>1</v>
      </c>
      <c r="T144" s="5786" t="s">
        <v>2129</v>
      </c>
      <c r="U144" s="5788">
        <v>2337584</v>
      </c>
      <c r="V144" s="5788" t="b">
        <v>1</v>
      </c>
      <c r="W144" s="5788">
        <v>24867.91489361702</v>
      </c>
      <c r="X144" s="5788" t="s">
        <v>2129</v>
      </c>
      <c r="Y144" s="5788"/>
      <c r="Z144" s="5788"/>
      <c r="AA144" s="5788"/>
      <c r="AB144" s="5788"/>
      <c r="AC144" s="5782">
        <v>113</v>
      </c>
      <c r="AD144" s="5789">
        <v>94</v>
      </c>
      <c r="AE144" s="5789">
        <v>19</v>
      </c>
      <c r="AF144" s="5782">
        <v>97</v>
      </c>
      <c r="AG144" s="5782" t="s">
        <v>2129</v>
      </c>
      <c r="AH144" s="5782" t="s">
        <v>2129</v>
      </c>
      <c r="AI144" s="5782" t="s">
        <v>2129</v>
      </c>
      <c r="AJ144" s="5782" t="s">
        <v>2129</v>
      </c>
      <c r="AK144" s="5782" t="s">
        <v>2129</v>
      </c>
      <c r="AL144" s="5782" t="s">
        <v>2129</v>
      </c>
      <c r="AO144" s="5782" t="s">
        <v>2129</v>
      </c>
      <c r="AT144" s="5782" t="s">
        <v>2129</v>
      </c>
      <c r="AU144" s="5782" t="s">
        <v>2129</v>
      </c>
      <c r="AV144" s="5782" t="s">
        <v>2129</v>
      </c>
      <c r="AW144" s="5782" t="s">
        <v>2129</v>
      </c>
      <c r="AX144" s="5782" t="s">
        <v>2129</v>
      </c>
      <c r="AY144" s="5782" t="s">
        <v>2129</v>
      </c>
      <c r="AZ144" s="5782" t="s">
        <v>2129</v>
      </c>
      <c r="BA144" s="5782" t="s">
        <v>2129</v>
      </c>
      <c r="BB144" s="5782" t="s">
        <v>2129</v>
      </c>
      <c r="BC144" s="5782" t="s">
        <v>2129</v>
      </c>
      <c r="BD144" s="5782" t="s">
        <v>2129</v>
      </c>
      <c r="BE144" s="5788" t="s">
        <v>2129</v>
      </c>
      <c r="BG144" s="5788" t="s">
        <v>2129</v>
      </c>
      <c r="BH144" s="5788" t="s">
        <v>2129</v>
      </c>
      <c r="BI144" s="5788" t="s">
        <v>2129</v>
      </c>
      <c r="BJ144" s="5788" t="s">
        <v>2129</v>
      </c>
      <c r="BK144" s="5788" t="s">
        <v>2129</v>
      </c>
      <c r="BL144" s="5788" t="s">
        <v>2129</v>
      </c>
      <c r="BM144" s="5788" t="s">
        <v>2129</v>
      </c>
      <c r="BN144" s="5788" t="s">
        <v>2129</v>
      </c>
      <c r="BO144" s="5788" t="s">
        <v>2129</v>
      </c>
      <c r="BP144" s="5788" t="s">
        <v>2129</v>
      </c>
      <c r="BQ144" s="5788" t="s">
        <v>2129</v>
      </c>
      <c r="BR144" s="5788" t="s">
        <v>2129</v>
      </c>
      <c r="BS144" s="5788" t="s">
        <v>2129</v>
      </c>
      <c r="BT144" s="5788" t="s">
        <v>2129</v>
      </c>
      <c r="BU144" s="5788" t="s">
        <v>2129</v>
      </c>
      <c r="BV144" s="5788" t="s">
        <v>2129</v>
      </c>
      <c r="BW144" s="5788" t="s">
        <v>2129</v>
      </c>
      <c r="BX144" s="5788" t="s">
        <v>2129</v>
      </c>
      <c r="BY144" s="5788"/>
      <c r="BZ144" s="5788" t="s">
        <v>2129</v>
      </c>
      <c r="CA144" s="5788" t="s">
        <v>2129</v>
      </c>
      <c r="CB144" s="5788" t="s">
        <v>2129</v>
      </c>
      <c r="CC144" s="5788" t="s">
        <v>2129</v>
      </c>
      <c r="CD144" s="5788"/>
      <c r="CE144" s="5784"/>
    </row>
    <row r="145" spans="1:83" ht="13">
      <c r="A145">
        <v>295</v>
      </c>
      <c r="B145" s="196" t="s">
        <v>3369</v>
      </c>
      <c r="C145" s="5785" t="s">
        <v>2129</v>
      </c>
      <c r="D145" s="2694" t="s">
        <v>3791</v>
      </c>
      <c r="E145" s="2694" t="s">
        <v>2129</v>
      </c>
      <c r="F145" s="5785" t="s">
        <v>2129</v>
      </c>
      <c r="G145" s="5785" t="s">
        <v>2129</v>
      </c>
      <c r="H145" s="5785">
        <v>1</v>
      </c>
      <c r="I145" s="5785">
        <v>1</v>
      </c>
      <c r="J145" s="5785">
        <v>17</v>
      </c>
      <c r="K145" s="5785" t="s">
        <v>2129</v>
      </c>
      <c r="L145" s="5786">
        <v>117648</v>
      </c>
      <c r="M145" s="5786">
        <v>0</v>
      </c>
      <c r="N145" s="5786">
        <v>0</v>
      </c>
      <c r="O145" s="5786">
        <v>0</v>
      </c>
      <c r="P145" s="5786">
        <v>0</v>
      </c>
      <c r="Q145" s="2476">
        <v>129412.80000000002</v>
      </c>
      <c r="R145" s="2477">
        <v>129412</v>
      </c>
      <c r="S145" s="2477" t="b">
        <v>0</v>
      </c>
      <c r="T145" s="5786">
        <v>129412</v>
      </c>
      <c r="U145" s="863">
        <v>656159</v>
      </c>
      <c r="V145" s="863" t="b">
        <v>1</v>
      </c>
      <c r="W145" s="863">
        <v>12380.358490566037</v>
      </c>
      <c r="X145" s="863" t="s">
        <v>2129</v>
      </c>
      <c r="AC145">
        <v>53</v>
      </c>
      <c r="AD145" s="3965">
        <v>53</v>
      </c>
      <c r="AE145" s="3965">
        <v>0</v>
      </c>
      <c r="AF145">
        <v>55</v>
      </c>
      <c r="AG145" t="s">
        <v>2129</v>
      </c>
      <c r="AH145">
        <v>51</v>
      </c>
      <c r="AI145" t="s">
        <v>2129</v>
      </c>
      <c r="AJ145" t="s">
        <v>2129</v>
      </c>
      <c r="AK145" t="s">
        <v>2129</v>
      </c>
      <c r="AL145" t="s">
        <v>2129</v>
      </c>
      <c r="AO145" t="s">
        <v>2129</v>
      </c>
      <c r="AT145" t="s">
        <v>2129</v>
      </c>
      <c r="AU145" t="s">
        <v>2129</v>
      </c>
      <c r="AV145" t="s">
        <v>2129</v>
      </c>
      <c r="AW145" t="s">
        <v>2129</v>
      </c>
      <c r="AX145">
        <v>11</v>
      </c>
      <c r="AY145" t="s">
        <v>2129</v>
      </c>
      <c r="AZ145" t="s">
        <v>2129</v>
      </c>
      <c r="BA145" t="s">
        <v>2129</v>
      </c>
      <c r="BB145" t="s">
        <v>2129</v>
      </c>
      <c r="BC145" t="s">
        <v>2129</v>
      </c>
      <c r="BD145" t="s">
        <v>2129</v>
      </c>
      <c r="BE145" s="1958" t="s">
        <v>2129</v>
      </c>
      <c r="BF145"/>
      <c r="BG145" s="863" t="s">
        <v>2129</v>
      </c>
      <c r="BH145" s="863" t="s">
        <v>2129</v>
      </c>
      <c r="BI145" s="863" t="s">
        <v>2129</v>
      </c>
      <c r="BJ145" s="863" t="s">
        <v>2129</v>
      </c>
      <c r="BK145" s="863">
        <v>6945381.113207547</v>
      </c>
      <c r="BL145" s="863" t="s">
        <v>2129</v>
      </c>
      <c r="BM145" s="863" t="s">
        <v>2129</v>
      </c>
      <c r="BN145" s="863" t="s">
        <v>2129</v>
      </c>
      <c r="BO145" s="863" t="s">
        <v>2129</v>
      </c>
      <c r="BP145" s="863" t="s">
        <v>2129</v>
      </c>
      <c r="BQ145" s="863" t="s">
        <v>2129</v>
      </c>
      <c r="BR145" s="863" t="s">
        <v>2129</v>
      </c>
      <c r="BS145" s="863" t="s">
        <v>2129</v>
      </c>
      <c r="BT145" s="863" t="s">
        <v>2129</v>
      </c>
      <c r="BU145" s="863" t="s">
        <v>2129</v>
      </c>
      <c r="BV145" s="863" t="s">
        <v>2129</v>
      </c>
      <c r="BW145" s="863" t="s">
        <v>2129</v>
      </c>
      <c r="BX145" s="863" t="s">
        <v>2129</v>
      </c>
      <c r="BY145" s="863"/>
      <c r="BZ145" s="863" t="s">
        <v>2129</v>
      </c>
      <c r="CA145" s="863" t="s">
        <v>2129</v>
      </c>
      <c r="CB145" s="863" t="s">
        <v>2129</v>
      </c>
      <c r="CC145" s="863" t="s">
        <v>2129</v>
      </c>
      <c r="CD145" s="863"/>
      <c r="CE145" s="5785"/>
    </row>
    <row r="146" spans="1:83" ht="13">
      <c r="A146">
        <v>298</v>
      </c>
      <c r="B146" s="196" t="s">
        <v>2844</v>
      </c>
      <c r="C146" s="5790" t="s">
        <v>6616</v>
      </c>
      <c r="D146" s="5790" t="s">
        <v>6599</v>
      </c>
      <c r="E146" s="5790" t="s">
        <v>2129</v>
      </c>
      <c r="F146" s="5792" t="s">
        <v>5205</v>
      </c>
      <c r="G146" s="5792" t="s">
        <v>2129</v>
      </c>
      <c r="H146" s="5785">
        <v>1</v>
      </c>
      <c r="I146" s="2694">
        <v>1</v>
      </c>
      <c r="J146" s="2694">
        <v>1</v>
      </c>
      <c r="K146" s="5785">
        <v>0</v>
      </c>
      <c r="L146" s="5786">
        <v>117648</v>
      </c>
      <c r="M146" s="5786">
        <v>0</v>
      </c>
      <c r="N146" s="5786">
        <v>0</v>
      </c>
      <c r="O146" s="5786">
        <v>0</v>
      </c>
      <c r="P146" s="5786">
        <v>0</v>
      </c>
      <c r="Q146" s="2476">
        <v>129412.80000000002</v>
      </c>
      <c r="R146" s="2477">
        <v>129412</v>
      </c>
      <c r="S146" s="2477" t="b">
        <v>1</v>
      </c>
      <c r="T146" s="5786">
        <v>129412</v>
      </c>
      <c r="U146" s="863">
        <v>13219654</v>
      </c>
      <c r="V146" s="863" t="b">
        <v>1</v>
      </c>
      <c r="W146" s="863">
        <v>47382.272401433693</v>
      </c>
      <c r="X146" s="863">
        <v>33319.858853182108</v>
      </c>
      <c r="Y146" s="863">
        <v>2550</v>
      </c>
      <c r="AA146" s="863">
        <v>35295</v>
      </c>
      <c r="AB146" s="863">
        <v>64706</v>
      </c>
      <c r="AC146">
        <v>319</v>
      </c>
      <c r="AD146" s="3965">
        <v>279</v>
      </c>
      <c r="AE146" s="3965">
        <v>40</v>
      </c>
      <c r="AF146">
        <v>427</v>
      </c>
      <c r="AG146">
        <v>319</v>
      </c>
      <c r="AH146" t="s">
        <v>2129</v>
      </c>
      <c r="AI146" t="s">
        <v>2129</v>
      </c>
      <c r="AJ146" s="1866">
        <v>345</v>
      </c>
      <c r="AK146" t="s">
        <v>2129</v>
      </c>
      <c r="AL146">
        <v>40</v>
      </c>
      <c r="AO146">
        <v>66</v>
      </c>
      <c r="AT146">
        <v>16</v>
      </c>
      <c r="AU146">
        <v>16</v>
      </c>
      <c r="AV146" t="s">
        <v>2129</v>
      </c>
      <c r="AW146" t="s">
        <v>2129</v>
      </c>
      <c r="AX146" t="s">
        <v>2129</v>
      </c>
      <c r="AY146" t="s">
        <v>2129</v>
      </c>
      <c r="AZ146">
        <v>16</v>
      </c>
      <c r="BA146" t="s">
        <v>2129</v>
      </c>
      <c r="BB146" t="s">
        <v>2129</v>
      </c>
      <c r="BC146" t="s">
        <v>2129</v>
      </c>
      <c r="BD146" t="s">
        <v>2129</v>
      </c>
      <c r="BE146" s="1958">
        <v>211514464</v>
      </c>
      <c r="BF146" s="1958">
        <v>211514464</v>
      </c>
      <c r="BG146" s="1958" t="s">
        <v>2129</v>
      </c>
      <c r="BH146" s="1958" t="s">
        <v>2129</v>
      </c>
      <c r="BI146" s="1958" t="s">
        <v>2129</v>
      </c>
      <c r="BJ146" s="1958" t="s">
        <v>2129</v>
      </c>
      <c r="BK146" s="1958" t="s">
        <v>2129</v>
      </c>
      <c r="BL146" s="1958" t="s">
        <v>2129</v>
      </c>
      <c r="BM146" s="1958">
        <v>211514464</v>
      </c>
      <c r="BN146" s="863">
        <v>261550143.65591398</v>
      </c>
      <c r="BO146" s="863" t="s">
        <v>2129</v>
      </c>
      <c r="BP146" s="1958" t="s">
        <v>2129</v>
      </c>
      <c r="BQ146" s="1958" t="s">
        <v>2129</v>
      </c>
      <c r="BR146" s="1958" t="s">
        <v>2129</v>
      </c>
      <c r="BS146" s="1958" t="s">
        <v>2129</v>
      </c>
      <c r="BT146" s="1958" t="s">
        <v>2129</v>
      </c>
      <c r="BU146" s="1958">
        <v>2070592</v>
      </c>
      <c r="BV146" s="1958">
        <v>2070592</v>
      </c>
      <c r="BW146" s="1958" t="s">
        <v>2129</v>
      </c>
      <c r="BX146" s="1958" t="s">
        <v>2129</v>
      </c>
      <c r="BZ146" s="1958">
        <v>2070592</v>
      </c>
      <c r="CA146" s="1958">
        <v>2070592</v>
      </c>
      <c r="CB146" s="1958" t="s">
        <v>2129</v>
      </c>
      <c r="CC146" s="1958" t="s">
        <v>2129</v>
      </c>
      <c r="CE146" s="5785"/>
    </row>
    <row r="147" spans="1:83" ht="13">
      <c r="A147">
        <v>299</v>
      </c>
      <c r="B147" s="196" t="s">
        <v>2838</v>
      </c>
      <c r="C147" s="5790" t="s">
        <v>6616</v>
      </c>
      <c r="D147" s="5790" t="s">
        <v>6599</v>
      </c>
      <c r="E147" s="5790" t="s">
        <v>2129</v>
      </c>
      <c r="F147" s="5785" t="s">
        <v>2129</v>
      </c>
      <c r="G147" s="5785" t="s">
        <v>2129</v>
      </c>
      <c r="H147" s="5785">
        <v>0</v>
      </c>
      <c r="I147" s="5785">
        <v>0</v>
      </c>
      <c r="J147" s="5785">
        <v>0</v>
      </c>
      <c r="K147" s="5785">
        <v>0</v>
      </c>
      <c r="L147" s="5786">
        <v>0</v>
      </c>
      <c r="M147" s="5786">
        <v>0</v>
      </c>
      <c r="N147" s="5786">
        <v>0</v>
      </c>
      <c r="O147" s="5786">
        <v>0</v>
      </c>
      <c r="P147" s="5786">
        <v>0</v>
      </c>
      <c r="Q147" s="2476">
        <v>0</v>
      </c>
      <c r="R147" s="2477">
        <v>0</v>
      </c>
      <c r="S147" s="2477" t="b">
        <v>1</v>
      </c>
      <c r="T147" s="5786" t="s">
        <v>2129</v>
      </c>
      <c r="U147" s="863">
        <v>15815654</v>
      </c>
      <c r="V147" s="863" t="b">
        <v>1</v>
      </c>
      <c r="W147" s="863">
        <v>12298.331259720062</v>
      </c>
      <c r="X147" s="863" t="s">
        <v>2129</v>
      </c>
      <c r="Y147" s="863">
        <v>0</v>
      </c>
      <c r="AC147">
        <v>1286</v>
      </c>
      <c r="AD147" s="3965">
        <v>1286</v>
      </c>
      <c r="AE147" s="3965">
        <v>0</v>
      </c>
      <c r="AF147">
        <v>1287</v>
      </c>
      <c r="AG147">
        <v>1286</v>
      </c>
      <c r="AH147" t="s">
        <v>2129</v>
      </c>
      <c r="AI147" t="s">
        <v>2129</v>
      </c>
      <c r="AJ147" t="s">
        <v>2129</v>
      </c>
      <c r="AK147" t="s">
        <v>2129</v>
      </c>
      <c r="AL147">
        <v>0</v>
      </c>
      <c r="AO147" t="s">
        <v>2129</v>
      </c>
      <c r="AT147">
        <v>23</v>
      </c>
      <c r="AU147">
        <v>22</v>
      </c>
      <c r="AV147" t="s">
        <v>2129</v>
      </c>
      <c r="AW147" t="s">
        <v>2129</v>
      </c>
      <c r="AX147" t="s">
        <v>2129</v>
      </c>
      <c r="AY147" t="s">
        <v>2129</v>
      </c>
      <c r="AZ147" t="s">
        <v>2129</v>
      </c>
      <c r="BA147" t="s">
        <v>2129</v>
      </c>
      <c r="BB147" t="s">
        <v>2129</v>
      </c>
      <c r="BC147" t="s">
        <v>2129</v>
      </c>
      <c r="BD147" t="s">
        <v>2129</v>
      </c>
      <c r="BE147" s="1958">
        <v>363760042</v>
      </c>
      <c r="BF147" s="1958">
        <v>347944388</v>
      </c>
      <c r="BG147" s="1958" t="s">
        <v>2129</v>
      </c>
      <c r="BH147" s="1958" t="s">
        <v>2129</v>
      </c>
      <c r="BI147" s="1958" t="s">
        <v>2129</v>
      </c>
      <c r="BJ147" s="1958" t="s">
        <v>2129</v>
      </c>
      <c r="BK147" s="1958" t="s">
        <v>2129</v>
      </c>
      <c r="BL147" s="1958" t="s">
        <v>2129</v>
      </c>
      <c r="BM147" s="1958" t="s">
        <v>2129</v>
      </c>
      <c r="BN147" s="863" t="s">
        <v>2129</v>
      </c>
      <c r="BO147" s="863" t="s">
        <v>2129</v>
      </c>
      <c r="BP147" s="1958" t="s">
        <v>2129</v>
      </c>
      <c r="BQ147" s="1958" t="s">
        <v>2129</v>
      </c>
      <c r="BR147" s="1958" t="s">
        <v>2129</v>
      </c>
      <c r="BS147" s="1958" t="s">
        <v>2129</v>
      </c>
      <c r="BT147" s="1958" t="s">
        <v>2129</v>
      </c>
      <c r="BU147" s="1958" t="s">
        <v>2129</v>
      </c>
      <c r="BV147" s="1958" t="s">
        <v>2129</v>
      </c>
      <c r="BW147" s="1958" t="s">
        <v>2129</v>
      </c>
      <c r="BX147" s="1958" t="s">
        <v>2129</v>
      </c>
      <c r="BZ147" s="1958" t="s">
        <v>2129</v>
      </c>
      <c r="CA147" s="1958" t="s">
        <v>2129</v>
      </c>
      <c r="CB147" s="1958" t="s">
        <v>2129</v>
      </c>
      <c r="CC147" s="1958" t="s">
        <v>2129</v>
      </c>
      <c r="CE147" s="5785"/>
    </row>
    <row r="148" spans="1:83" ht="13">
      <c r="A148">
        <v>300</v>
      </c>
      <c r="B148" s="196" t="s">
        <v>2840</v>
      </c>
      <c r="C148" s="5799" t="s">
        <v>6616</v>
      </c>
      <c r="D148" s="5799" t="s">
        <v>2129</v>
      </c>
      <c r="E148" s="5799" t="s">
        <v>2129</v>
      </c>
      <c r="F148" s="5785" t="s">
        <v>2129</v>
      </c>
      <c r="G148" s="5785" t="s">
        <v>2129</v>
      </c>
      <c r="H148" s="5785">
        <v>1</v>
      </c>
      <c r="I148" s="5785">
        <v>1</v>
      </c>
      <c r="J148" s="5785">
        <v>1</v>
      </c>
      <c r="K148" s="5785">
        <v>0</v>
      </c>
      <c r="L148" s="5786">
        <v>58824</v>
      </c>
      <c r="M148" s="5786">
        <v>0</v>
      </c>
      <c r="N148" s="5786">
        <v>0</v>
      </c>
      <c r="O148" s="5786">
        <v>0</v>
      </c>
      <c r="P148" s="5786">
        <v>0</v>
      </c>
      <c r="Q148" s="2476">
        <v>64706.400000000009</v>
      </c>
      <c r="R148" s="2477">
        <v>64706</v>
      </c>
      <c r="S148" s="2477" t="b">
        <v>1</v>
      </c>
      <c r="T148" s="5786">
        <v>64706</v>
      </c>
      <c r="U148" s="863">
        <v>9517115</v>
      </c>
      <c r="V148" s="863" t="b">
        <v>1</v>
      </c>
      <c r="W148" s="863">
        <v>9632.7074898785431</v>
      </c>
      <c r="X148" s="863" t="s">
        <v>2129</v>
      </c>
      <c r="Y148" s="863">
        <v>0</v>
      </c>
      <c r="AC148">
        <v>988</v>
      </c>
      <c r="AD148" s="3965">
        <v>988</v>
      </c>
      <c r="AE148" s="3965">
        <v>0</v>
      </c>
      <c r="AF148">
        <v>1014</v>
      </c>
      <c r="AG148">
        <v>988</v>
      </c>
      <c r="AH148" t="s">
        <v>2129</v>
      </c>
      <c r="AI148" t="s">
        <v>2129</v>
      </c>
      <c r="AJ148" t="s">
        <v>2129</v>
      </c>
      <c r="AK148" t="s">
        <v>2129</v>
      </c>
      <c r="AL148">
        <v>0</v>
      </c>
      <c r="AO148" t="s">
        <v>2129</v>
      </c>
      <c r="AT148">
        <v>24</v>
      </c>
      <c r="AU148" t="s">
        <v>2129</v>
      </c>
      <c r="AV148" t="s">
        <v>2129</v>
      </c>
      <c r="AW148" t="s">
        <v>2129</v>
      </c>
      <c r="AX148" t="s">
        <v>2129</v>
      </c>
      <c r="AY148" t="s">
        <v>2129</v>
      </c>
      <c r="AZ148" t="s">
        <v>2129</v>
      </c>
      <c r="BA148" t="s">
        <v>2129</v>
      </c>
      <c r="BB148" t="s">
        <v>2129</v>
      </c>
      <c r="BC148" t="s">
        <v>2129</v>
      </c>
      <c r="BD148" t="s">
        <v>2129</v>
      </c>
      <c r="BE148" s="1958">
        <v>228410760</v>
      </c>
      <c r="BF148" s="1958" t="s">
        <v>2129</v>
      </c>
      <c r="BG148" s="1958" t="s">
        <v>2129</v>
      </c>
      <c r="BH148" s="1958" t="s">
        <v>2129</v>
      </c>
      <c r="BI148" s="1958" t="s">
        <v>2129</v>
      </c>
      <c r="BJ148" s="1958" t="s">
        <v>2129</v>
      </c>
      <c r="BK148" s="1958" t="s">
        <v>2129</v>
      </c>
      <c r="BL148" s="1958" t="s">
        <v>2129</v>
      </c>
      <c r="BM148" s="1958" t="s">
        <v>2129</v>
      </c>
      <c r="BN148" s="863" t="s">
        <v>2129</v>
      </c>
      <c r="BO148" s="863" t="s">
        <v>2129</v>
      </c>
      <c r="BP148" s="1958" t="s">
        <v>2129</v>
      </c>
      <c r="BQ148" s="1958" t="s">
        <v>2129</v>
      </c>
      <c r="BR148" s="1958" t="s">
        <v>2129</v>
      </c>
      <c r="BS148" s="1958" t="s">
        <v>2129</v>
      </c>
      <c r="BT148" s="1958" t="s">
        <v>2129</v>
      </c>
      <c r="BU148" s="1958">
        <v>1552944</v>
      </c>
      <c r="BV148" s="1958" t="s">
        <v>2129</v>
      </c>
      <c r="BW148" s="1958" t="s">
        <v>2129</v>
      </c>
      <c r="BX148" s="1958" t="s">
        <v>2129</v>
      </c>
      <c r="BZ148" s="1958" t="s">
        <v>2129</v>
      </c>
      <c r="CA148" s="1958" t="s">
        <v>2129</v>
      </c>
      <c r="CB148" s="1958" t="s">
        <v>2129</v>
      </c>
      <c r="CC148" s="1958" t="s">
        <v>2129</v>
      </c>
      <c r="CE148" s="5785"/>
    </row>
    <row r="149" spans="1:83" ht="13">
      <c r="A149">
        <v>302</v>
      </c>
      <c r="B149" s="5802" t="s">
        <v>3371</v>
      </c>
      <c r="C149" s="5785" t="s">
        <v>2129</v>
      </c>
      <c r="D149" s="2694" t="s">
        <v>3791</v>
      </c>
      <c r="E149" s="2694" t="s">
        <v>2129</v>
      </c>
      <c r="F149" s="5792" t="s">
        <v>2129</v>
      </c>
      <c r="G149" s="5792" t="s">
        <v>2129</v>
      </c>
      <c r="H149" s="5785">
        <v>0</v>
      </c>
      <c r="I149" s="2694">
        <v>0</v>
      </c>
      <c r="J149" s="2694">
        <v>0</v>
      </c>
      <c r="K149" s="5785" t="s">
        <v>2129</v>
      </c>
      <c r="L149" s="5786">
        <v>0</v>
      </c>
      <c r="M149" s="5786">
        <v>0</v>
      </c>
      <c r="N149" s="5786">
        <v>0</v>
      </c>
      <c r="O149" s="5786">
        <v>0</v>
      </c>
      <c r="P149" s="5786">
        <v>0</v>
      </c>
      <c r="Q149" s="2476">
        <v>0</v>
      </c>
      <c r="R149" s="2477">
        <v>0</v>
      </c>
      <c r="S149" s="2477" t="b">
        <v>1</v>
      </c>
      <c r="T149" s="5786" t="s">
        <v>2129</v>
      </c>
      <c r="U149" s="863">
        <v>0</v>
      </c>
      <c r="V149" s="863" t="b">
        <v>1</v>
      </c>
      <c r="W149" s="863" t="e">
        <v>#DIV/0!</v>
      </c>
      <c r="X149" s="863" t="s">
        <v>2129</v>
      </c>
      <c r="AC149">
        <v>381</v>
      </c>
      <c r="AD149" s="3965">
        <v>0</v>
      </c>
      <c r="AE149" s="3965">
        <v>381</v>
      </c>
      <c r="AF149">
        <v>546</v>
      </c>
      <c r="AG149" t="s">
        <v>2129</v>
      </c>
      <c r="AH149">
        <v>21</v>
      </c>
      <c r="AI149" t="s">
        <v>2129</v>
      </c>
      <c r="AJ149" s="1866" t="s">
        <v>2129</v>
      </c>
      <c r="AK149" t="s">
        <v>2129</v>
      </c>
      <c r="AL149" t="s">
        <v>2129</v>
      </c>
      <c r="AO149" t="s">
        <v>2129</v>
      </c>
      <c r="AT149" t="s">
        <v>2129</v>
      </c>
      <c r="AU149" t="s">
        <v>2129</v>
      </c>
      <c r="AV149" t="s">
        <v>2129</v>
      </c>
      <c r="AW149" t="s">
        <v>2129</v>
      </c>
      <c r="AX149">
        <v>11</v>
      </c>
      <c r="AY149" t="s">
        <v>2129</v>
      </c>
      <c r="AZ149" s="191" t="s">
        <v>2129</v>
      </c>
      <c r="BA149" t="s">
        <v>2129</v>
      </c>
      <c r="BB149" t="s">
        <v>2129</v>
      </c>
      <c r="BC149" t="s">
        <v>2129</v>
      </c>
      <c r="BD149" t="s">
        <v>2129</v>
      </c>
      <c r="BE149" s="1958" t="s">
        <v>2129</v>
      </c>
      <c r="BF149"/>
      <c r="BG149" s="863" t="s">
        <v>2129</v>
      </c>
      <c r="BH149" s="863" t="s">
        <v>2129</v>
      </c>
      <c r="BI149" s="863" t="s">
        <v>2129</v>
      </c>
      <c r="BJ149" s="863" t="s">
        <v>2129</v>
      </c>
      <c r="BK149" s="863" t="e">
        <v>#DIV/0!</v>
      </c>
      <c r="BL149" s="863" t="s">
        <v>2129</v>
      </c>
      <c r="BM149" s="863" t="s">
        <v>2129</v>
      </c>
      <c r="BN149" s="863" t="s">
        <v>2129</v>
      </c>
      <c r="BO149" s="863" t="s">
        <v>2129</v>
      </c>
      <c r="BP149" s="863" t="s">
        <v>2129</v>
      </c>
      <c r="BQ149" s="863" t="s">
        <v>2129</v>
      </c>
      <c r="BR149" s="863" t="s">
        <v>2129</v>
      </c>
      <c r="BS149" s="863" t="s">
        <v>2129</v>
      </c>
      <c r="BT149" s="863" t="s">
        <v>2129</v>
      </c>
      <c r="BU149" s="863" t="s">
        <v>2129</v>
      </c>
      <c r="BV149" s="863" t="s">
        <v>2129</v>
      </c>
      <c r="BW149" s="863" t="s">
        <v>2129</v>
      </c>
      <c r="BX149" s="863" t="s">
        <v>2129</v>
      </c>
      <c r="BY149" s="863"/>
      <c r="BZ149" s="1958" t="s">
        <v>2129</v>
      </c>
      <c r="CA149" s="1958" t="s">
        <v>2129</v>
      </c>
      <c r="CB149" s="863" t="s">
        <v>2129</v>
      </c>
      <c r="CC149" s="863" t="s">
        <v>2129</v>
      </c>
      <c r="CD149" s="863"/>
      <c r="CE149" s="5785"/>
    </row>
    <row r="150" spans="1:83" s="5782" customFormat="1" ht="13">
      <c r="A150" s="5782">
        <v>303</v>
      </c>
      <c r="B150" s="5783" t="s">
        <v>3372</v>
      </c>
      <c r="C150" s="5784" t="s">
        <v>2129</v>
      </c>
      <c r="D150" s="5784" t="s">
        <v>2129</v>
      </c>
      <c r="E150" s="5784" t="s">
        <v>2129</v>
      </c>
      <c r="F150" s="5784" t="s">
        <v>2129</v>
      </c>
      <c r="G150" s="5784" t="s">
        <v>2129</v>
      </c>
      <c r="H150" s="5785">
        <v>0</v>
      </c>
      <c r="I150" s="5785">
        <v>0</v>
      </c>
      <c r="J150" s="5785">
        <v>0</v>
      </c>
      <c r="K150" s="5785" t="s">
        <v>2129</v>
      </c>
      <c r="L150" s="5786">
        <v>0</v>
      </c>
      <c r="M150" s="5786">
        <v>0</v>
      </c>
      <c r="N150" s="5786">
        <v>0</v>
      </c>
      <c r="O150" s="5786">
        <v>0</v>
      </c>
      <c r="P150" s="5786">
        <v>0</v>
      </c>
      <c r="Q150" s="2476">
        <v>0</v>
      </c>
      <c r="R150" s="2477">
        <v>0</v>
      </c>
      <c r="S150" s="2477" t="b">
        <v>1</v>
      </c>
      <c r="T150" s="5786" t="s">
        <v>2129</v>
      </c>
      <c r="U150" s="5788">
        <v>932892</v>
      </c>
      <c r="V150" s="5788" t="b">
        <v>1</v>
      </c>
      <c r="W150" s="5788">
        <v>24549.78947368421</v>
      </c>
      <c r="X150" s="5788" t="s">
        <v>2129</v>
      </c>
      <c r="Y150" s="5788"/>
      <c r="Z150" s="5788"/>
      <c r="AA150" s="5788"/>
      <c r="AB150" s="5788"/>
      <c r="AC150" s="5782">
        <v>38</v>
      </c>
      <c r="AD150" s="5789">
        <v>38</v>
      </c>
      <c r="AE150" s="5789">
        <v>0</v>
      </c>
      <c r="AF150" s="5782">
        <v>76</v>
      </c>
      <c r="AG150" s="5782" t="s">
        <v>2129</v>
      </c>
      <c r="AH150" s="5782" t="s">
        <v>2129</v>
      </c>
      <c r="AI150" s="5782" t="s">
        <v>2129</v>
      </c>
      <c r="AJ150" s="5782" t="s">
        <v>2129</v>
      </c>
      <c r="AK150" s="5782" t="s">
        <v>2129</v>
      </c>
      <c r="AL150" s="5782" t="s">
        <v>2129</v>
      </c>
      <c r="AO150" s="5782" t="s">
        <v>2129</v>
      </c>
      <c r="AT150" s="5782" t="s">
        <v>2129</v>
      </c>
      <c r="AU150" s="5782" t="s">
        <v>2129</v>
      </c>
      <c r="AV150" s="5782" t="s">
        <v>2129</v>
      </c>
      <c r="AW150" s="5782" t="s">
        <v>2129</v>
      </c>
      <c r="AX150" s="5782" t="s">
        <v>2129</v>
      </c>
      <c r="AY150" s="5782" t="s">
        <v>2129</v>
      </c>
      <c r="AZ150" s="5782" t="s">
        <v>2129</v>
      </c>
      <c r="BA150" s="5782" t="s">
        <v>2129</v>
      </c>
      <c r="BB150" s="5782" t="s">
        <v>2129</v>
      </c>
      <c r="BC150" s="5782" t="s">
        <v>2129</v>
      </c>
      <c r="BD150" s="5782" t="s">
        <v>2129</v>
      </c>
      <c r="BE150" s="5788" t="s">
        <v>2129</v>
      </c>
      <c r="BG150" s="5788" t="s">
        <v>2129</v>
      </c>
      <c r="BH150" s="5788" t="s">
        <v>2129</v>
      </c>
      <c r="BI150" s="5788" t="s">
        <v>2129</v>
      </c>
      <c r="BJ150" s="5788" t="s">
        <v>2129</v>
      </c>
      <c r="BK150" s="5788" t="s">
        <v>2129</v>
      </c>
      <c r="BL150" s="5788" t="s">
        <v>2129</v>
      </c>
      <c r="BM150" s="5788" t="s">
        <v>2129</v>
      </c>
      <c r="BN150" s="5788" t="s">
        <v>2129</v>
      </c>
      <c r="BO150" s="5788" t="s">
        <v>2129</v>
      </c>
      <c r="BP150" s="5788" t="s">
        <v>2129</v>
      </c>
      <c r="BQ150" s="5788" t="s">
        <v>2129</v>
      </c>
      <c r="BR150" s="5788" t="s">
        <v>2129</v>
      </c>
      <c r="BS150" s="5788" t="s">
        <v>2129</v>
      </c>
      <c r="BT150" s="5788" t="s">
        <v>2129</v>
      </c>
      <c r="BU150" s="5788" t="s">
        <v>2129</v>
      </c>
      <c r="BV150" s="5788" t="s">
        <v>2129</v>
      </c>
      <c r="BW150" s="5788" t="s">
        <v>2129</v>
      </c>
      <c r="BX150" s="5788" t="s">
        <v>2129</v>
      </c>
      <c r="BY150" s="5788"/>
      <c r="BZ150" s="5788" t="s">
        <v>2129</v>
      </c>
      <c r="CA150" s="5788" t="s">
        <v>2129</v>
      </c>
      <c r="CB150" s="5788" t="s">
        <v>2129</v>
      </c>
      <c r="CC150" s="5788" t="s">
        <v>2129</v>
      </c>
      <c r="CD150" s="5788"/>
      <c r="CE150" s="5784"/>
    </row>
    <row r="151" spans="1:83" ht="13">
      <c r="A151">
        <v>304</v>
      </c>
      <c r="B151" s="196" t="s">
        <v>2845</v>
      </c>
      <c r="C151" s="5799" t="s">
        <v>6616</v>
      </c>
      <c r="D151" s="5799" t="s">
        <v>2129</v>
      </c>
      <c r="E151" s="5799" t="s">
        <v>2129</v>
      </c>
      <c r="F151" s="5792" t="s">
        <v>2129</v>
      </c>
      <c r="G151" s="5792" t="s">
        <v>2129</v>
      </c>
      <c r="H151" s="5785">
        <v>3</v>
      </c>
      <c r="I151" s="5785">
        <v>3</v>
      </c>
      <c r="J151" s="5785">
        <v>3</v>
      </c>
      <c r="K151" s="5785">
        <v>0</v>
      </c>
      <c r="L151" s="5786">
        <v>158825</v>
      </c>
      <c r="M151" s="5786">
        <v>0</v>
      </c>
      <c r="N151" s="5786">
        <v>0</v>
      </c>
      <c r="O151" s="5786">
        <v>0</v>
      </c>
      <c r="P151" s="5786">
        <v>0</v>
      </c>
      <c r="Q151" s="2476">
        <v>174707.5</v>
      </c>
      <c r="R151" s="2477">
        <v>174707</v>
      </c>
      <c r="S151" s="2477" t="b">
        <v>1</v>
      </c>
      <c r="T151" s="5786">
        <v>58235.666666666664</v>
      </c>
      <c r="U151" s="863">
        <v>2935686</v>
      </c>
      <c r="V151" s="863" t="b">
        <v>1</v>
      </c>
      <c r="W151" s="863">
        <v>16309.366666666667</v>
      </c>
      <c r="X151" s="863" t="s">
        <v>2129</v>
      </c>
      <c r="Y151" s="863">
        <v>1650</v>
      </c>
      <c r="AC151">
        <v>180</v>
      </c>
      <c r="AD151" s="3965">
        <v>180</v>
      </c>
      <c r="AE151" s="3965">
        <v>0</v>
      </c>
      <c r="AF151">
        <v>246</v>
      </c>
      <c r="AG151">
        <v>180</v>
      </c>
      <c r="AH151" t="s">
        <v>2129</v>
      </c>
      <c r="AI151" t="s">
        <v>2129</v>
      </c>
      <c r="AJ151" s="1866" t="s">
        <v>2129</v>
      </c>
      <c r="AK151" t="s">
        <v>2129</v>
      </c>
      <c r="AL151">
        <v>0</v>
      </c>
      <c r="AO151" t="s">
        <v>2129</v>
      </c>
      <c r="AT151">
        <v>19</v>
      </c>
      <c r="AU151" t="s">
        <v>2129</v>
      </c>
      <c r="AV151" t="s">
        <v>2129</v>
      </c>
      <c r="AW151" t="s">
        <v>2129</v>
      </c>
      <c r="AX151" t="s">
        <v>2129</v>
      </c>
      <c r="AY151" t="s">
        <v>2129</v>
      </c>
      <c r="AZ151" t="s">
        <v>2129</v>
      </c>
      <c r="BA151" t="s">
        <v>2129</v>
      </c>
      <c r="BB151" t="s">
        <v>2129</v>
      </c>
      <c r="BC151" t="s">
        <v>2129</v>
      </c>
      <c r="BD151" t="s">
        <v>2129</v>
      </c>
      <c r="BE151" s="1958">
        <v>55778034</v>
      </c>
      <c r="BF151" s="1958" t="s">
        <v>2129</v>
      </c>
      <c r="BG151" s="1958" t="s">
        <v>2129</v>
      </c>
      <c r="BH151" s="1958" t="s">
        <v>2129</v>
      </c>
      <c r="BI151" s="1958" t="s">
        <v>2129</v>
      </c>
      <c r="BJ151" s="1958" t="s">
        <v>2129</v>
      </c>
      <c r="BK151" s="1958" t="s">
        <v>2129</v>
      </c>
      <c r="BL151" s="1958" t="s">
        <v>2129</v>
      </c>
      <c r="BM151" s="1958" t="s">
        <v>2129</v>
      </c>
      <c r="BN151" s="863" t="s">
        <v>2129</v>
      </c>
      <c r="BO151" s="863" t="s">
        <v>2129</v>
      </c>
      <c r="BP151" s="1958" t="s">
        <v>2129</v>
      </c>
      <c r="BQ151" s="1958" t="s">
        <v>2129</v>
      </c>
      <c r="BR151" s="1958" t="s">
        <v>2129</v>
      </c>
      <c r="BS151" s="1958" t="s">
        <v>2129</v>
      </c>
      <c r="BT151" s="1958" t="s">
        <v>2129</v>
      </c>
      <c r="BU151" s="1958">
        <v>3319433</v>
      </c>
      <c r="BV151" s="1958" t="s">
        <v>2129</v>
      </c>
      <c r="BW151" s="1958" t="s">
        <v>2129</v>
      </c>
      <c r="BX151" s="1958" t="s">
        <v>2129</v>
      </c>
      <c r="BZ151" s="1958" t="s">
        <v>2129</v>
      </c>
      <c r="CA151" s="1958" t="s">
        <v>2129</v>
      </c>
      <c r="CB151" s="1958" t="s">
        <v>2129</v>
      </c>
      <c r="CC151" s="1958" t="s">
        <v>2129</v>
      </c>
      <c r="CE151" s="5785"/>
    </row>
    <row r="152" spans="1:83" ht="13">
      <c r="A152">
        <v>305</v>
      </c>
      <c r="B152" s="196" t="s">
        <v>3373</v>
      </c>
      <c r="C152" s="5785" t="s">
        <v>2129</v>
      </c>
      <c r="D152" s="2694" t="s">
        <v>3791</v>
      </c>
      <c r="E152" s="2694" t="s">
        <v>2129</v>
      </c>
      <c r="F152" s="5785" t="s">
        <v>2129</v>
      </c>
      <c r="G152" s="5785" t="s">
        <v>2129</v>
      </c>
      <c r="H152" s="5785">
        <v>0</v>
      </c>
      <c r="I152" s="5785">
        <v>0</v>
      </c>
      <c r="J152" s="5785">
        <v>2</v>
      </c>
      <c r="K152" s="5785" t="s">
        <v>2129</v>
      </c>
      <c r="L152" s="5786">
        <v>0</v>
      </c>
      <c r="M152" s="5786">
        <v>0</v>
      </c>
      <c r="N152" s="5786">
        <v>0</v>
      </c>
      <c r="O152" s="5786">
        <v>0</v>
      </c>
      <c r="P152" s="5786">
        <v>0</v>
      </c>
      <c r="Q152" s="2476">
        <v>0</v>
      </c>
      <c r="R152" s="2477">
        <v>0</v>
      </c>
      <c r="S152" s="2477" t="b">
        <v>1</v>
      </c>
      <c r="T152" s="5786" t="s">
        <v>2129</v>
      </c>
      <c r="U152" s="863">
        <v>764885</v>
      </c>
      <c r="V152" s="863" t="b">
        <v>1</v>
      </c>
      <c r="W152" s="863">
        <v>10926.928571428571</v>
      </c>
      <c r="X152" s="863" t="s">
        <v>2129</v>
      </c>
      <c r="AC152">
        <v>106</v>
      </c>
      <c r="AD152" s="3965">
        <v>70</v>
      </c>
      <c r="AE152" s="3965">
        <v>36</v>
      </c>
      <c r="AF152">
        <v>106</v>
      </c>
      <c r="AG152" t="s">
        <v>2129</v>
      </c>
      <c r="AH152">
        <v>54</v>
      </c>
      <c r="AI152" t="s">
        <v>2129</v>
      </c>
      <c r="AJ152" t="s">
        <v>2129</v>
      </c>
      <c r="AK152" t="s">
        <v>2129</v>
      </c>
      <c r="AL152" t="s">
        <v>2129</v>
      </c>
      <c r="AO152" t="s">
        <v>2129</v>
      </c>
      <c r="AT152" t="s">
        <v>2129</v>
      </c>
      <c r="AU152" t="s">
        <v>2129</v>
      </c>
      <c r="AV152" t="s">
        <v>2129</v>
      </c>
      <c r="AW152" t="s">
        <v>2129</v>
      </c>
      <c r="AX152">
        <v>11</v>
      </c>
      <c r="AY152" t="s">
        <v>2129</v>
      </c>
      <c r="AZ152" t="s">
        <v>2129</v>
      </c>
      <c r="BA152" t="s">
        <v>2129</v>
      </c>
      <c r="BB152" t="s">
        <v>2129</v>
      </c>
      <c r="BC152" t="s">
        <v>2129</v>
      </c>
      <c r="BD152" t="s">
        <v>2129</v>
      </c>
      <c r="BE152" s="1958" t="s">
        <v>2129</v>
      </c>
      <c r="BF152"/>
      <c r="BG152" s="863" t="s">
        <v>2129</v>
      </c>
      <c r="BH152" s="863" t="s">
        <v>2129</v>
      </c>
      <c r="BI152" s="863" t="s">
        <v>2129</v>
      </c>
      <c r="BJ152" s="863" t="s">
        <v>2129</v>
      </c>
      <c r="BK152" s="863">
        <v>6490595.5714285709</v>
      </c>
      <c r="BL152" s="863" t="s">
        <v>2129</v>
      </c>
      <c r="BM152" s="863" t="s">
        <v>2129</v>
      </c>
      <c r="BN152" s="863" t="s">
        <v>2129</v>
      </c>
      <c r="BO152" s="863" t="s">
        <v>2129</v>
      </c>
      <c r="BP152" s="863" t="s">
        <v>2129</v>
      </c>
      <c r="BQ152" s="863" t="s">
        <v>2129</v>
      </c>
      <c r="BR152" s="863" t="s">
        <v>2129</v>
      </c>
      <c r="BS152" s="863" t="s">
        <v>2129</v>
      </c>
      <c r="BT152" s="863" t="s">
        <v>2129</v>
      </c>
      <c r="BU152" s="863" t="s">
        <v>2129</v>
      </c>
      <c r="BV152" s="863" t="s">
        <v>2129</v>
      </c>
      <c r="BW152" s="863" t="s">
        <v>2129</v>
      </c>
      <c r="BX152" s="863" t="s">
        <v>2129</v>
      </c>
      <c r="BY152" s="863"/>
      <c r="BZ152" s="863" t="s">
        <v>2129</v>
      </c>
      <c r="CA152" s="863" t="s">
        <v>2129</v>
      </c>
      <c r="CB152" s="863" t="s">
        <v>2129</v>
      </c>
      <c r="CC152" s="863" t="s">
        <v>2129</v>
      </c>
      <c r="CD152" s="863"/>
      <c r="CE152" s="5785"/>
    </row>
    <row r="153" spans="1:83" ht="13">
      <c r="A153">
        <v>306</v>
      </c>
      <c r="B153" s="196" t="s">
        <v>3374</v>
      </c>
      <c r="C153" s="5785" t="s">
        <v>2129</v>
      </c>
      <c r="D153" s="2694" t="s">
        <v>3791</v>
      </c>
      <c r="E153" s="2694" t="s">
        <v>2129</v>
      </c>
      <c r="F153" s="5785" t="s">
        <v>2129</v>
      </c>
      <c r="G153" s="5785" t="s">
        <v>2129</v>
      </c>
      <c r="H153" s="5785">
        <v>0</v>
      </c>
      <c r="I153" s="5785">
        <v>0</v>
      </c>
      <c r="J153" s="5785">
        <v>2</v>
      </c>
      <c r="K153" s="5785" t="s">
        <v>2129</v>
      </c>
      <c r="L153" s="5786">
        <v>0</v>
      </c>
      <c r="M153" s="5786">
        <v>0</v>
      </c>
      <c r="N153" s="5786">
        <v>0</v>
      </c>
      <c r="O153" s="5786">
        <v>0</v>
      </c>
      <c r="P153" s="5786">
        <v>0</v>
      </c>
      <c r="Q153" s="2476">
        <v>0</v>
      </c>
      <c r="R153" s="2477">
        <v>0</v>
      </c>
      <c r="S153" s="2477" t="b">
        <v>1</v>
      </c>
      <c r="T153" s="5786" t="s">
        <v>2129</v>
      </c>
      <c r="U153" s="863">
        <v>719558</v>
      </c>
      <c r="V153" s="863" t="b">
        <v>1</v>
      </c>
      <c r="W153" s="863">
        <v>12849.25</v>
      </c>
      <c r="X153" s="863" t="s">
        <v>2129</v>
      </c>
      <c r="AC153">
        <v>144</v>
      </c>
      <c r="AD153" s="3965">
        <v>56</v>
      </c>
      <c r="AE153" s="3965">
        <v>88</v>
      </c>
      <c r="AF153">
        <v>144</v>
      </c>
      <c r="AG153" t="s">
        <v>2129</v>
      </c>
      <c r="AH153">
        <v>37</v>
      </c>
      <c r="AI153" t="s">
        <v>2129</v>
      </c>
      <c r="AJ153" t="s">
        <v>2129</v>
      </c>
      <c r="AK153" t="s">
        <v>2129</v>
      </c>
      <c r="AL153" t="s">
        <v>2129</v>
      </c>
      <c r="AO153" t="s">
        <v>2129</v>
      </c>
      <c r="AT153" t="s">
        <v>2129</v>
      </c>
      <c r="AU153" t="s">
        <v>2129</v>
      </c>
      <c r="AV153" t="s">
        <v>2129</v>
      </c>
      <c r="AW153" t="s">
        <v>2129</v>
      </c>
      <c r="AX153">
        <v>11</v>
      </c>
      <c r="AY153" t="s">
        <v>2129</v>
      </c>
      <c r="AZ153" t="s">
        <v>2129</v>
      </c>
      <c r="BA153" t="s">
        <v>2129</v>
      </c>
      <c r="BB153" t="s">
        <v>2129</v>
      </c>
      <c r="BC153" t="s">
        <v>2129</v>
      </c>
      <c r="BD153" t="s">
        <v>2129</v>
      </c>
      <c r="BE153" s="1958" t="s">
        <v>2129</v>
      </c>
      <c r="BF153"/>
      <c r="BG153" s="863" t="s">
        <v>2129</v>
      </c>
      <c r="BH153" s="863" t="s">
        <v>2129</v>
      </c>
      <c r="BI153" s="863" t="s">
        <v>2129</v>
      </c>
      <c r="BJ153" s="863" t="s">
        <v>2129</v>
      </c>
      <c r="BK153" s="863">
        <v>5229644.75</v>
      </c>
      <c r="BL153" s="863" t="s">
        <v>2129</v>
      </c>
      <c r="BM153" s="863" t="s">
        <v>2129</v>
      </c>
      <c r="BN153" s="863" t="s">
        <v>2129</v>
      </c>
      <c r="BO153" s="863" t="s">
        <v>2129</v>
      </c>
      <c r="BP153" s="863" t="s">
        <v>2129</v>
      </c>
      <c r="BQ153" s="863" t="s">
        <v>2129</v>
      </c>
      <c r="BR153" s="863" t="s">
        <v>2129</v>
      </c>
      <c r="BS153" s="863" t="s">
        <v>2129</v>
      </c>
      <c r="BT153" s="863" t="s">
        <v>2129</v>
      </c>
      <c r="BU153" s="863" t="s">
        <v>2129</v>
      </c>
      <c r="BV153" s="863" t="s">
        <v>2129</v>
      </c>
      <c r="BW153" s="863" t="s">
        <v>2129</v>
      </c>
      <c r="BX153" s="863" t="s">
        <v>2129</v>
      </c>
      <c r="BY153" s="863"/>
      <c r="BZ153" s="863" t="s">
        <v>2129</v>
      </c>
      <c r="CA153" s="863" t="s">
        <v>2129</v>
      </c>
      <c r="CB153" s="863" t="s">
        <v>2129</v>
      </c>
      <c r="CC153" s="863" t="s">
        <v>2129</v>
      </c>
      <c r="CD153" s="863"/>
      <c r="CE153" s="5785"/>
    </row>
    <row r="154" spans="1:83" ht="13">
      <c r="A154">
        <v>307</v>
      </c>
      <c r="B154" s="196" t="s">
        <v>3375</v>
      </c>
      <c r="C154" s="5785" t="s">
        <v>2129</v>
      </c>
      <c r="D154" s="2694" t="s">
        <v>3791</v>
      </c>
      <c r="E154" s="2694" t="s">
        <v>2129</v>
      </c>
      <c r="F154" s="5785" t="s">
        <v>2129</v>
      </c>
      <c r="G154" s="5785" t="s">
        <v>2129</v>
      </c>
      <c r="H154" s="5785">
        <v>0</v>
      </c>
      <c r="I154" s="5785">
        <v>0</v>
      </c>
      <c r="J154" s="5785">
        <v>2</v>
      </c>
      <c r="K154" s="5785" t="s">
        <v>2129</v>
      </c>
      <c r="L154" s="5786">
        <v>0</v>
      </c>
      <c r="M154" s="5786">
        <v>0</v>
      </c>
      <c r="N154" s="5786">
        <v>0</v>
      </c>
      <c r="O154" s="5786">
        <v>0</v>
      </c>
      <c r="P154" s="5786">
        <v>0</v>
      </c>
      <c r="Q154" s="2476">
        <v>0</v>
      </c>
      <c r="R154" s="2477">
        <v>0</v>
      </c>
      <c r="S154" s="2477" t="b">
        <v>1</v>
      </c>
      <c r="T154" s="5786" t="s">
        <v>2129</v>
      </c>
      <c r="U154" s="863">
        <v>1431335</v>
      </c>
      <c r="V154" s="863" t="b">
        <v>1</v>
      </c>
      <c r="W154" s="863">
        <v>18833.355263157893</v>
      </c>
      <c r="X154" s="863" t="s">
        <v>2129</v>
      </c>
      <c r="AC154">
        <v>194</v>
      </c>
      <c r="AD154" s="3965">
        <v>76</v>
      </c>
      <c r="AE154" s="3965">
        <v>118</v>
      </c>
      <c r="AF154">
        <v>354</v>
      </c>
      <c r="AG154" t="s">
        <v>2129</v>
      </c>
      <c r="AH154">
        <v>76</v>
      </c>
      <c r="AI154" t="s">
        <v>2129</v>
      </c>
      <c r="AJ154" t="s">
        <v>2129</v>
      </c>
      <c r="AK154" t="s">
        <v>2129</v>
      </c>
      <c r="AL154" t="s">
        <v>2129</v>
      </c>
      <c r="AO154" t="s">
        <v>2129</v>
      </c>
      <c r="AT154" t="s">
        <v>2129</v>
      </c>
      <c r="AU154" t="s">
        <v>2129</v>
      </c>
      <c r="AV154" t="s">
        <v>2129</v>
      </c>
      <c r="AW154" t="s">
        <v>2129</v>
      </c>
      <c r="AX154">
        <v>11</v>
      </c>
      <c r="AY154" t="s">
        <v>2129</v>
      </c>
      <c r="AZ154" t="s">
        <v>2129</v>
      </c>
      <c r="BA154" t="s">
        <v>2129</v>
      </c>
      <c r="BB154" t="s">
        <v>2129</v>
      </c>
      <c r="BC154" t="s">
        <v>2129</v>
      </c>
      <c r="BD154" t="s">
        <v>2129</v>
      </c>
      <c r="BE154" s="1958" t="s">
        <v>2129</v>
      </c>
      <c r="BF154"/>
      <c r="BG154" s="863" t="s">
        <v>2129</v>
      </c>
      <c r="BH154" s="863" t="s">
        <v>2129</v>
      </c>
      <c r="BI154" s="863" t="s">
        <v>2129</v>
      </c>
      <c r="BJ154" s="863" t="s">
        <v>2129</v>
      </c>
      <c r="BK154" s="863">
        <v>15744685</v>
      </c>
      <c r="BL154" s="863" t="s">
        <v>2129</v>
      </c>
      <c r="BM154" s="863" t="s">
        <v>2129</v>
      </c>
      <c r="BN154" s="863" t="s">
        <v>2129</v>
      </c>
      <c r="BO154" s="863" t="s">
        <v>2129</v>
      </c>
      <c r="BP154" s="863" t="s">
        <v>2129</v>
      </c>
      <c r="BQ154" s="863" t="s">
        <v>2129</v>
      </c>
      <c r="BR154" s="863" t="s">
        <v>2129</v>
      </c>
      <c r="BS154" s="863" t="s">
        <v>2129</v>
      </c>
      <c r="BT154" s="863" t="s">
        <v>2129</v>
      </c>
      <c r="BU154" s="863" t="s">
        <v>2129</v>
      </c>
      <c r="BV154" s="863" t="s">
        <v>2129</v>
      </c>
      <c r="BW154" s="863" t="s">
        <v>2129</v>
      </c>
      <c r="BX154" s="863" t="s">
        <v>2129</v>
      </c>
      <c r="BY154" s="863"/>
      <c r="BZ154" s="863" t="s">
        <v>2129</v>
      </c>
      <c r="CA154" s="863" t="s">
        <v>2129</v>
      </c>
      <c r="CB154" s="863" t="s">
        <v>2129</v>
      </c>
      <c r="CC154" s="863" t="s">
        <v>2129</v>
      </c>
      <c r="CD154" s="863"/>
      <c r="CE154" s="5785"/>
    </row>
    <row r="155" spans="1:83" s="5782" customFormat="1" ht="13">
      <c r="A155" s="5782">
        <v>319</v>
      </c>
      <c r="B155" s="5783" t="s">
        <v>3376</v>
      </c>
      <c r="C155" s="5784" t="s">
        <v>2129</v>
      </c>
      <c r="D155" s="5784" t="s">
        <v>2129</v>
      </c>
      <c r="E155" s="5784" t="s">
        <v>2129</v>
      </c>
      <c r="F155" s="5784" t="s">
        <v>2129</v>
      </c>
      <c r="G155" s="5784" t="s">
        <v>2129</v>
      </c>
      <c r="H155" s="5785">
        <v>0</v>
      </c>
      <c r="I155" s="5785">
        <v>0</v>
      </c>
      <c r="J155" s="5785">
        <v>2</v>
      </c>
      <c r="K155" s="5785" t="s">
        <v>2129</v>
      </c>
      <c r="L155" s="5786">
        <v>0</v>
      </c>
      <c r="M155" s="5786">
        <v>0</v>
      </c>
      <c r="N155" s="5786">
        <v>0</v>
      </c>
      <c r="O155" s="5786">
        <v>0</v>
      </c>
      <c r="P155" s="5786">
        <v>0</v>
      </c>
      <c r="Q155" s="2476">
        <v>0</v>
      </c>
      <c r="R155" s="2477">
        <v>0</v>
      </c>
      <c r="S155" s="2477" t="b">
        <v>1</v>
      </c>
      <c r="T155" s="5786" t="s">
        <v>2129</v>
      </c>
      <c r="U155" s="5788">
        <v>1772849</v>
      </c>
      <c r="V155" s="5788" t="b">
        <v>1</v>
      </c>
      <c r="W155" s="5788">
        <v>16415.268518518518</v>
      </c>
      <c r="X155" s="5788" t="s">
        <v>2129</v>
      </c>
      <c r="Y155" s="5788"/>
      <c r="Z155" s="5788"/>
      <c r="AA155" s="5788"/>
      <c r="AB155" s="5788"/>
      <c r="AC155" s="5782">
        <v>135</v>
      </c>
      <c r="AD155" s="5789">
        <v>108</v>
      </c>
      <c r="AE155" s="5789">
        <v>27</v>
      </c>
      <c r="AF155" s="5782">
        <v>135</v>
      </c>
      <c r="AG155" s="5782" t="s">
        <v>2129</v>
      </c>
      <c r="AH155" s="5782" t="s">
        <v>2129</v>
      </c>
      <c r="AI155" s="5782" t="s">
        <v>2129</v>
      </c>
      <c r="AJ155" s="5782" t="s">
        <v>2129</v>
      </c>
      <c r="AK155" s="5782" t="s">
        <v>2129</v>
      </c>
      <c r="AL155" s="5782" t="s">
        <v>2129</v>
      </c>
      <c r="AO155" s="5782" t="s">
        <v>2129</v>
      </c>
      <c r="AT155" s="5782" t="s">
        <v>2129</v>
      </c>
      <c r="AU155" s="5782" t="s">
        <v>2129</v>
      </c>
      <c r="AV155" s="5782" t="s">
        <v>2129</v>
      </c>
      <c r="AW155" s="5782" t="s">
        <v>2129</v>
      </c>
      <c r="AX155" s="5782" t="s">
        <v>2129</v>
      </c>
      <c r="AY155" s="5782" t="s">
        <v>2129</v>
      </c>
      <c r="AZ155" s="5782" t="s">
        <v>2129</v>
      </c>
      <c r="BA155" s="5782" t="s">
        <v>2129</v>
      </c>
      <c r="BB155" s="5782" t="s">
        <v>2129</v>
      </c>
      <c r="BC155" s="5782" t="s">
        <v>2129</v>
      </c>
      <c r="BD155" s="5782" t="s">
        <v>2129</v>
      </c>
      <c r="BE155" s="5788" t="s">
        <v>2129</v>
      </c>
      <c r="BG155" s="5788" t="s">
        <v>2129</v>
      </c>
      <c r="BH155" s="5788" t="s">
        <v>2129</v>
      </c>
      <c r="BI155" s="5788" t="s">
        <v>2129</v>
      </c>
      <c r="BJ155" s="5788" t="s">
        <v>2129</v>
      </c>
      <c r="BK155" s="5788" t="s">
        <v>2129</v>
      </c>
      <c r="BL155" s="5788" t="s">
        <v>2129</v>
      </c>
      <c r="BM155" s="5788" t="s">
        <v>2129</v>
      </c>
      <c r="BN155" s="5788" t="s">
        <v>2129</v>
      </c>
      <c r="BO155" s="5788" t="s">
        <v>2129</v>
      </c>
      <c r="BP155" s="5788" t="s">
        <v>2129</v>
      </c>
      <c r="BQ155" s="5788" t="s">
        <v>2129</v>
      </c>
      <c r="BR155" s="5788" t="s">
        <v>2129</v>
      </c>
      <c r="BS155" s="5788" t="s">
        <v>2129</v>
      </c>
      <c r="BT155" s="5788" t="s">
        <v>2129</v>
      </c>
      <c r="BU155" s="5788" t="s">
        <v>2129</v>
      </c>
      <c r="BV155" s="5788" t="s">
        <v>2129</v>
      </c>
      <c r="BW155" s="5788" t="s">
        <v>2129</v>
      </c>
      <c r="BX155" s="5788" t="s">
        <v>2129</v>
      </c>
      <c r="BY155" s="5788"/>
      <c r="BZ155" s="5788" t="s">
        <v>2129</v>
      </c>
      <c r="CA155" s="5788" t="s">
        <v>2129</v>
      </c>
      <c r="CB155" s="5788" t="s">
        <v>2129</v>
      </c>
      <c r="CC155" s="5788" t="s">
        <v>2129</v>
      </c>
      <c r="CD155" s="5788"/>
      <c r="CE155" s="5784"/>
    </row>
    <row r="156" spans="1:83" s="5782" customFormat="1" ht="13">
      <c r="A156" s="5782">
        <v>320</v>
      </c>
      <c r="B156" s="5783" t="s">
        <v>3377</v>
      </c>
      <c r="C156" s="5784" t="s">
        <v>2129</v>
      </c>
      <c r="D156" s="5784" t="s">
        <v>2129</v>
      </c>
      <c r="E156" s="5784" t="s">
        <v>2129</v>
      </c>
      <c r="F156" s="5784" t="s">
        <v>2129</v>
      </c>
      <c r="G156" s="5784" t="s">
        <v>2129</v>
      </c>
      <c r="H156" s="5785">
        <v>0</v>
      </c>
      <c r="I156" s="5785">
        <v>0</v>
      </c>
      <c r="J156" s="5785">
        <v>2</v>
      </c>
      <c r="K156" s="5785" t="s">
        <v>2129</v>
      </c>
      <c r="L156" s="5786">
        <v>0</v>
      </c>
      <c r="M156" s="5786">
        <v>0</v>
      </c>
      <c r="N156" s="5786">
        <v>0</v>
      </c>
      <c r="O156" s="5786">
        <v>0</v>
      </c>
      <c r="P156" s="5786">
        <v>0</v>
      </c>
      <c r="Q156" s="2476">
        <v>0</v>
      </c>
      <c r="R156" s="2477">
        <v>0</v>
      </c>
      <c r="S156" s="2477" t="b">
        <v>1</v>
      </c>
      <c r="T156" s="5786" t="s">
        <v>2129</v>
      </c>
      <c r="U156" s="5788">
        <v>554668</v>
      </c>
      <c r="V156" s="5788" t="b">
        <v>1</v>
      </c>
      <c r="W156" s="5788">
        <v>11093.36</v>
      </c>
      <c r="X156" s="5788" t="s">
        <v>2129</v>
      </c>
      <c r="Y156" s="5788"/>
      <c r="Z156" s="5788"/>
      <c r="AA156" s="5788"/>
      <c r="AB156" s="5788"/>
      <c r="AC156" s="5782">
        <v>127</v>
      </c>
      <c r="AD156" s="5789">
        <v>50</v>
      </c>
      <c r="AE156" s="5789">
        <v>77</v>
      </c>
      <c r="AF156" s="5782">
        <v>128</v>
      </c>
      <c r="AG156" s="5782" t="s">
        <v>2129</v>
      </c>
      <c r="AH156" s="5782" t="s">
        <v>2129</v>
      </c>
      <c r="AI156" s="5782" t="s">
        <v>2129</v>
      </c>
      <c r="AJ156" s="5782" t="s">
        <v>2129</v>
      </c>
      <c r="AK156" s="5782" t="s">
        <v>2129</v>
      </c>
      <c r="AL156" s="5782" t="s">
        <v>2129</v>
      </c>
      <c r="AO156" s="5782" t="s">
        <v>2129</v>
      </c>
      <c r="AT156" s="5782" t="s">
        <v>2129</v>
      </c>
      <c r="AU156" s="5782" t="s">
        <v>2129</v>
      </c>
      <c r="AV156" s="5782" t="s">
        <v>2129</v>
      </c>
      <c r="AW156" s="5782" t="s">
        <v>2129</v>
      </c>
      <c r="AX156" s="5782" t="s">
        <v>2129</v>
      </c>
      <c r="AY156" s="5782" t="s">
        <v>2129</v>
      </c>
      <c r="AZ156" s="5782" t="s">
        <v>2129</v>
      </c>
      <c r="BA156" s="5782" t="s">
        <v>2129</v>
      </c>
      <c r="BB156" s="5782" t="s">
        <v>2129</v>
      </c>
      <c r="BC156" s="5782" t="s">
        <v>2129</v>
      </c>
      <c r="BD156" s="5782" t="s">
        <v>2129</v>
      </c>
      <c r="BE156" s="5788" t="s">
        <v>2129</v>
      </c>
      <c r="BG156" s="5788" t="s">
        <v>2129</v>
      </c>
      <c r="BH156" s="5788" t="s">
        <v>2129</v>
      </c>
      <c r="BI156" s="5788" t="s">
        <v>2129</v>
      </c>
      <c r="BJ156" s="5788" t="s">
        <v>2129</v>
      </c>
      <c r="BK156" s="5788" t="s">
        <v>2129</v>
      </c>
      <c r="BL156" s="5788" t="s">
        <v>2129</v>
      </c>
      <c r="BM156" s="5788" t="s">
        <v>2129</v>
      </c>
      <c r="BN156" s="5788" t="s">
        <v>2129</v>
      </c>
      <c r="BO156" s="5788" t="s">
        <v>2129</v>
      </c>
      <c r="BP156" s="5788" t="s">
        <v>2129</v>
      </c>
      <c r="BQ156" s="5788" t="s">
        <v>2129</v>
      </c>
      <c r="BR156" s="5788" t="s">
        <v>2129</v>
      </c>
      <c r="BS156" s="5788" t="s">
        <v>2129</v>
      </c>
      <c r="BT156" s="5788" t="s">
        <v>2129</v>
      </c>
      <c r="BU156" s="5788" t="s">
        <v>2129</v>
      </c>
      <c r="BV156" s="5788" t="s">
        <v>2129</v>
      </c>
      <c r="BW156" s="5788" t="s">
        <v>2129</v>
      </c>
      <c r="BX156" s="5788" t="s">
        <v>2129</v>
      </c>
      <c r="BY156" s="5788"/>
      <c r="BZ156" s="5788" t="s">
        <v>2129</v>
      </c>
      <c r="CA156" s="5788" t="s">
        <v>2129</v>
      </c>
      <c r="CB156" s="5788" t="s">
        <v>2129</v>
      </c>
      <c r="CC156" s="5788" t="s">
        <v>2129</v>
      </c>
      <c r="CD156" s="5788"/>
      <c r="CE156" s="5784"/>
    </row>
    <row r="157" spans="1:83" s="5782" customFormat="1" ht="13">
      <c r="A157" s="5782">
        <v>321</v>
      </c>
      <c r="B157" s="5783" t="s">
        <v>3378</v>
      </c>
      <c r="C157" s="5784" t="s">
        <v>2129</v>
      </c>
      <c r="D157" s="5784" t="s">
        <v>2129</v>
      </c>
      <c r="E157" s="5784" t="s">
        <v>2129</v>
      </c>
      <c r="F157" s="5784" t="s">
        <v>2129</v>
      </c>
      <c r="G157" s="5784" t="s">
        <v>2129</v>
      </c>
      <c r="H157" s="5785">
        <v>0</v>
      </c>
      <c r="I157" s="5785">
        <v>0</v>
      </c>
      <c r="J157" s="5785">
        <v>2</v>
      </c>
      <c r="K157" s="5785" t="s">
        <v>2129</v>
      </c>
      <c r="L157" s="5786">
        <v>0</v>
      </c>
      <c r="M157" s="5786">
        <v>0</v>
      </c>
      <c r="N157" s="5786">
        <v>0</v>
      </c>
      <c r="O157" s="5786">
        <v>0</v>
      </c>
      <c r="P157" s="5786">
        <v>0</v>
      </c>
      <c r="Q157" s="2476">
        <v>0</v>
      </c>
      <c r="R157" s="2477">
        <v>0</v>
      </c>
      <c r="S157" s="2477" t="b">
        <v>1</v>
      </c>
      <c r="T157" s="5786" t="s">
        <v>2129</v>
      </c>
      <c r="U157" s="5788">
        <v>554668</v>
      </c>
      <c r="V157" s="5788" t="b">
        <v>0</v>
      </c>
      <c r="W157" s="5788">
        <v>11093.36</v>
      </c>
      <c r="X157" s="5788" t="s">
        <v>2129</v>
      </c>
      <c r="Y157" s="5788"/>
      <c r="Z157" s="5788"/>
      <c r="AA157" s="5788"/>
      <c r="AB157" s="5788"/>
      <c r="AC157" s="5782">
        <v>52</v>
      </c>
      <c r="AD157" s="5789">
        <v>50</v>
      </c>
      <c r="AE157" s="5789">
        <v>2</v>
      </c>
      <c r="AF157" s="5782">
        <v>63</v>
      </c>
      <c r="AG157" s="5782" t="s">
        <v>2129</v>
      </c>
      <c r="AH157" s="5782" t="s">
        <v>2129</v>
      </c>
      <c r="AI157" s="5782" t="s">
        <v>2129</v>
      </c>
      <c r="AJ157" s="5782" t="s">
        <v>2129</v>
      </c>
      <c r="AK157" s="5782" t="s">
        <v>2129</v>
      </c>
      <c r="AL157" s="5782" t="s">
        <v>2129</v>
      </c>
      <c r="AO157" s="5782" t="s">
        <v>2129</v>
      </c>
      <c r="AT157" s="5782" t="s">
        <v>2129</v>
      </c>
      <c r="AU157" s="5782" t="s">
        <v>2129</v>
      </c>
      <c r="AV157" s="5782" t="s">
        <v>2129</v>
      </c>
      <c r="AW157" s="5782" t="s">
        <v>2129</v>
      </c>
      <c r="AX157" s="5782" t="s">
        <v>2129</v>
      </c>
      <c r="AY157" s="5782" t="s">
        <v>2129</v>
      </c>
      <c r="AZ157" s="5782" t="s">
        <v>2129</v>
      </c>
      <c r="BA157" s="5782" t="s">
        <v>2129</v>
      </c>
      <c r="BB157" s="5782" t="s">
        <v>2129</v>
      </c>
      <c r="BC157" s="5782" t="s">
        <v>2129</v>
      </c>
      <c r="BD157" s="5782" t="s">
        <v>2129</v>
      </c>
      <c r="BE157" s="5788" t="s">
        <v>2129</v>
      </c>
      <c r="BG157" s="5788" t="s">
        <v>2129</v>
      </c>
      <c r="BH157" s="5788" t="s">
        <v>2129</v>
      </c>
      <c r="BI157" s="5788" t="s">
        <v>2129</v>
      </c>
      <c r="BJ157" s="5788" t="s">
        <v>2129</v>
      </c>
      <c r="BK157" s="5788" t="s">
        <v>2129</v>
      </c>
      <c r="BL157" s="5788" t="s">
        <v>2129</v>
      </c>
      <c r="BM157" s="5788" t="s">
        <v>2129</v>
      </c>
      <c r="BN157" s="5788" t="s">
        <v>2129</v>
      </c>
      <c r="BO157" s="5788" t="s">
        <v>2129</v>
      </c>
      <c r="BP157" s="5788" t="s">
        <v>2129</v>
      </c>
      <c r="BQ157" s="5788" t="s">
        <v>2129</v>
      </c>
      <c r="BR157" s="5788" t="s">
        <v>2129</v>
      </c>
      <c r="BS157" s="5788" t="s">
        <v>2129</v>
      </c>
      <c r="BT157" s="5788" t="s">
        <v>2129</v>
      </c>
      <c r="BU157" s="5788" t="s">
        <v>2129</v>
      </c>
      <c r="BV157" s="5788" t="s">
        <v>2129</v>
      </c>
      <c r="BW157" s="5788" t="s">
        <v>2129</v>
      </c>
      <c r="BX157" s="5788" t="s">
        <v>2129</v>
      </c>
      <c r="BY157" s="5788"/>
      <c r="BZ157" s="5788" t="s">
        <v>2129</v>
      </c>
      <c r="CA157" s="5788" t="s">
        <v>2129</v>
      </c>
      <c r="CB157" s="5788" t="s">
        <v>2129</v>
      </c>
      <c r="CC157" s="5788" t="s">
        <v>2129</v>
      </c>
      <c r="CD157" s="5788"/>
      <c r="CE157" s="5784"/>
    </row>
    <row r="158" spans="1:83" s="5782" customFormat="1" ht="13">
      <c r="A158" s="5782">
        <v>322</v>
      </c>
      <c r="B158" s="5783" t="s">
        <v>3379</v>
      </c>
      <c r="C158" s="5784" t="s">
        <v>2129</v>
      </c>
      <c r="D158" s="5784" t="s">
        <v>2129</v>
      </c>
      <c r="E158" s="5784" t="s">
        <v>2129</v>
      </c>
      <c r="F158" s="5784" t="s">
        <v>2129</v>
      </c>
      <c r="G158" s="5784" t="s">
        <v>2129</v>
      </c>
      <c r="H158" s="5785">
        <v>0</v>
      </c>
      <c r="I158" s="5785">
        <v>0</v>
      </c>
      <c r="J158" s="5785">
        <v>2</v>
      </c>
      <c r="K158" s="5785" t="s">
        <v>2129</v>
      </c>
      <c r="L158" s="5786">
        <v>0</v>
      </c>
      <c r="M158" s="5786">
        <v>0</v>
      </c>
      <c r="N158" s="5786">
        <v>0</v>
      </c>
      <c r="O158" s="5786">
        <v>0</v>
      </c>
      <c r="P158" s="5786">
        <v>0</v>
      </c>
      <c r="Q158" s="2476">
        <v>0</v>
      </c>
      <c r="R158" s="2477">
        <v>0</v>
      </c>
      <c r="S158" s="2477" t="b">
        <v>1</v>
      </c>
      <c r="T158" s="5786" t="s">
        <v>2129</v>
      </c>
      <c r="U158" s="5788">
        <v>880000</v>
      </c>
      <c r="V158" s="5788" t="b">
        <v>1</v>
      </c>
      <c r="W158" s="5788">
        <v>11000</v>
      </c>
      <c r="X158" s="5788" t="s">
        <v>2129</v>
      </c>
      <c r="Y158" s="5788"/>
      <c r="Z158" s="5788"/>
      <c r="AA158" s="5788"/>
      <c r="AB158" s="5788"/>
      <c r="AC158" s="5782">
        <v>171</v>
      </c>
      <c r="AD158" s="5789">
        <v>80</v>
      </c>
      <c r="AE158" s="5789">
        <v>91</v>
      </c>
      <c r="AF158" s="5782">
        <v>174</v>
      </c>
      <c r="AG158" s="5782" t="s">
        <v>2129</v>
      </c>
      <c r="AH158" s="5782" t="s">
        <v>2129</v>
      </c>
      <c r="AI158" s="5782" t="s">
        <v>2129</v>
      </c>
      <c r="AJ158" s="5782" t="s">
        <v>2129</v>
      </c>
      <c r="AK158" s="5782" t="s">
        <v>2129</v>
      </c>
      <c r="AL158" s="5782" t="s">
        <v>2129</v>
      </c>
      <c r="AO158" s="5782" t="s">
        <v>2129</v>
      </c>
      <c r="AT158" s="5782" t="s">
        <v>2129</v>
      </c>
      <c r="AU158" s="5782" t="s">
        <v>2129</v>
      </c>
      <c r="AV158" s="5782" t="s">
        <v>2129</v>
      </c>
      <c r="AW158" s="5782" t="s">
        <v>2129</v>
      </c>
      <c r="AX158" s="5782" t="s">
        <v>2129</v>
      </c>
      <c r="AY158" s="5782" t="s">
        <v>2129</v>
      </c>
      <c r="AZ158" s="5782" t="s">
        <v>2129</v>
      </c>
      <c r="BA158" s="5782" t="s">
        <v>2129</v>
      </c>
      <c r="BB158" s="5782" t="s">
        <v>2129</v>
      </c>
      <c r="BC158" s="5782" t="s">
        <v>2129</v>
      </c>
      <c r="BD158" s="5782" t="s">
        <v>2129</v>
      </c>
      <c r="BE158" s="5788" t="s">
        <v>2129</v>
      </c>
      <c r="BG158" s="5788" t="s">
        <v>2129</v>
      </c>
      <c r="BH158" s="5788" t="s">
        <v>2129</v>
      </c>
      <c r="BI158" s="5788" t="s">
        <v>2129</v>
      </c>
      <c r="BJ158" s="5788" t="s">
        <v>2129</v>
      </c>
      <c r="BK158" s="5788" t="s">
        <v>2129</v>
      </c>
      <c r="BL158" s="5788" t="s">
        <v>2129</v>
      </c>
      <c r="BM158" s="5788" t="s">
        <v>2129</v>
      </c>
      <c r="BN158" s="5788" t="s">
        <v>2129</v>
      </c>
      <c r="BO158" s="5788" t="s">
        <v>2129</v>
      </c>
      <c r="BP158" s="5788" t="s">
        <v>2129</v>
      </c>
      <c r="BQ158" s="5788" t="s">
        <v>2129</v>
      </c>
      <c r="BR158" s="5788" t="s">
        <v>2129</v>
      </c>
      <c r="BS158" s="5788" t="s">
        <v>2129</v>
      </c>
      <c r="BT158" s="5788" t="s">
        <v>2129</v>
      </c>
      <c r="BU158" s="5788" t="s">
        <v>2129</v>
      </c>
      <c r="BV158" s="5788" t="s">
        <v>2129</v>
      </c>
      <c r="BW158" s="5788" t="s">
        <v>2129</v>
      </c>
      <c r="BX158" s="5788" t="s">
        <v>2129</v>
      </c>
      <c r="BY158" s="5788"/>
      <c r="BZ158" s="5788" t="s">
        <v>2129</v>
      </c>
      <c r="CA158" s="5788" t="s">
        <v>2129</v>
      </c>
      <c r="CB158" s="5788" t="s">
        <v>2129</v>
      </c>
      <c r="CC158" s="5788" t="s">
        <v>2129</v>
      </c>
      <c r="CD158" s="5788"/>
      <c r="CE158" s="5784"/>
    </row>
    <row r="159" spans="1:83" s="5782" customFormat="1" ht="13">
      <c r="A159" s="5782">
        <v>323</v>
      </c>
      <c r="B159" s="5783" t="s">
        <v>3380</v>
      </c>
      <c r="C159" s="5784" t="s">
        <v>2129</v>
      </c>
      <c r="D159" s="5784" t="s">
        <v>2129</v>
      </c>
      <c r="E159" s="5784" t="s">
        <v>2129</v>
      </c>
      <c r="F159" s="5784" t="s">
        <v>2129</v>
      </c>
      <c r="G159" s="5784" t="s">
        <v>2129</v>
      </c>
      <c r="H159" s="5785">
        <v>0</v>
      </c>
      <c r="I159" s="5785">
        <v>0</v>
      </c>
      <c r="J159" s="5785">
        <v>2</v>
      </c>
      <c r="K159" s="5785" t="s">
        <v>2129</v>
      </c>
      <c r="L159" s="5786">
        <v>0</v>
      </c>
      <c r="M159" s="5786">
        <v>0</v>
      </c>
      <c r="N159" s="5786">
        <v>0</v>
      </c>
      <c r="O159" s="5786">
        <v>0</v>
      </c>
      <c r="P159" s="5786">
        <v>0</v>
      </c>
      <c r="Q159" s="2476">
        <v>0</v>
      </c>
      <c r="R159" s="2477">
        <v>0</v>
      </c>
      <c r="S159" s="2477" t="b">
        <v>1</v>
      </c>
      <c r="T159" s="5786" t="s">
        <v>2129</v>
      </c>
      <c r="U159" s="5788">
        <v>1573435</v>
      </c>
      <c r="V159" s="5788" t="b">
        <v>1</v>
      </c>
      <c r="W159" s="5788">
        <v>19667.9375</v>
      </c>
      <c r="X159" s="5788" t="s">
        <v>2129</v>
      </c>
      <c r="Y159" s="5788"/>
      <c r="Z159" s="5788"/>
      <c r="AA159" s="5788"/>
      <c r="AB159" s="5788"/>
      <c r="AC159" s="5782">
        <v>150</v>
      </c>
      <c r="AD159" s="5789">
        <v>80</v>
      </c>
      <c r="AE159" s="5789">
        <v>70</v>
      </c>
      <c r="AF159" s="5782">
        <v>149</v>
      </c>
      <c r="AG159" s="5782" t="s">
        <v>2129</v>
      </c>
      <c r="AH159" s="5782" t="s">
        <v>2129</v>
      </c>
      <c r="AI159" s="5782" t="s">
        <v>2129</v>
      </c>
      <c r="AJ159" s="5782" t="s">
        <v>2129</v>
      </c>
      <c r="AK159" s="5782" t="s">
        <v>2129</v>
      </c>
      <c r="AL159" s="5782" t="s">
        <v>2129</v>
      </c>
      <c r="AO159" s="5782" t="s">
        <v>2129</v>
      </c>
      <c r="AT159" s="5782" t="s">
        <v>2129</v>
      </c>
      <c r="AU159" s="5782" t="s">
        <v>2129</v>
      </c>
      <c r="AV159" s="5782" t="s">
        <v>2129</v>
      </c>
      <c r="AW159" s="5782" t="s">
        <v>2129</v>
      </c>
      <c r="AX159" s="5782" t="s">
        <v>2129</v>
      </c>
      <c r="AY159" s="5782" t="s">
        <v>2129</v>
      </c>
      <c r="AZ159" s="5782" t="s">
        <v>2129</v>
      </c>
      <c r="BA159" s="5782" t="s">
        <v>2129</v>
      </c>
      <c r="BB159" s="5782" t="s">
        <v>2129</v>
      </c>
      <c r="BC159" s="5782" t="s">
        <v>2129</v>
      </c>
      <c r="BD159" s="5782" t="s">
        <v>2129</v>
      </c>
      <c r="BE159" s="5788" t="s">
        <v>2129</v>
      </c>
      <c r="BG159" s="5788" t="s">
        <v>2129</v>
      </c>
      <c r="BH159" s="5788" t="s">
        <v>2129</v>
      </c>
      <c r="BI159" s="5788" t="s">
        <v>2129</v>
      </c>
      <c r="BJ159" s="5788" t="s">
        <v>2129</v>
      </c>
      <c r="BK159" s="5788" t="s">
        <v>2129</v>
      </c>
      <c r="BL159" s="5788" t="s">
        <v>2129</v>
      </c>
      <c r="BM159" s="5788" t="s">
        <v>2129</v>
      </c>
      <c r="BN159" s="5788" t="s">
        <v>2129</v>
      </c>
      <c r="BO159" s="5788" t="s">
        <v>2129</v>
      </c>
      <c r="BP159" s="5788" t="s">
        <v>2129</v>
      </c>
      <c r="BQ159" s="5788" t="s">
        <v>2129</v>
      </c>
      <c r="BR159" s="5788" t="s">
        <v>2129</v>
      </c>
      <c r="BS159" s="5788" t="s">
        <v>2129</v>
      </c>
      <c r="BT159" s="5788" t="s">
        <v>2129</v>
      </c>
      <c r="BU159" s="5788" t="s">
        <v>2129</v>
      </c>
      <c r="BV159" s="5788" t="s">
        <v>2129</v>
      </c>
      <c r="BW159" s="5788" t="s">
        <v>2129</v>
      </c>
      <c r="BX159" s="5788" t="s">
        <v>2129</v>
      </c>
      <c r="BY159" s="5788"/>
      <c r="BZ159" s="5788" t="s">
        <v>2129</v>
      </c>
      <c r="CA159" s="5788" t="s">
        <v>2129</v>
      </c>
      <c r="CB159" s="5788" t="s">
        <v>2129</v>
      </c>
      <c r="CC159" s="5788" t="s">
        <v>2129</v>
      </c>
      <c r="CD159" s="5788"/>
      <c r="CE159" s="5784"/>
    </row>
    <row r="160" spans="1:83" s="5782" customFormat="1" ht="13">
      <c r="A160" s="5782">
        <v>324</v>
      </c>
      <c r="B160" s="5783" t="s">
        <v>3381</v>
      </c>
      <c r="C160" s="5784" t="s">
        <v>2129</v>
      </c>
      <c r="D160" s="5784" t="s">
        <v>2129</v>
      </c>
      <c r="E160" s="5784" t="s">
        <v>2129</v>
      </c>
      <c r="F160" s="5784" t="s">
        <v>2129</v>
      </c>
      <c r="G160" s="5784" t="s">
        <v>2129</v>
      </c>
      <c r="H160" s="5785">
        <v>0</v>
      </c>
      <c r="I160" s="5785">
        <v>0</v>
      </c>
      <c r="J160" s="5785">
        <v>2</v>
      </c>
      <c r="K160" s="5785" t="s">
        <v>2129</v>
      </c>
      <c r="L160" s="5786">
        <v>0</v>
      </c>
      <c r="M160" s="5786">
        <v>0</v>
      </c>
      <c r="N160" s="5786">
        <v>0</v>
      </c>
      <c r="O160" s="5786">
        <v>0</v>
      </c>
      <c r="P160" s="5786">
        <v>0</v>
      </c>
      <c r="Q160" s="2476">
        <v>0</v>
      </c>
      <c r="R160" s="2477">
        <v>0</v>
      </c>
      <c r="S160" s="2477" t="b">
        <v>1</v>
      </c>
      <c r="T160" s="5786" t="s">
        <v>2129</v>
      </c>
      <c r="U160" s="5788">
        <v>1381142</v>
      </c>
      <c r="V160" s="5788" t="b">
        <v>1</v>
      </c>
      <c r="W160" s="5788">
        <v>15694.795454545454</v>
      </c>
      <c r="X160" s="5788" t="s">
        <v>2129</v>
      </c>
      <c r="Y160" s="5788"/>
      <c r="Z160" s="5788"/>
      <c r="AA160" s="5788"/>
      <c r="AB160" s="5788"/>
      <c r="AC160" s="5782">
        <v>126</v>
      </c>
      <c r="AD160" s="5789">
        <v>88</v>
      </c>
      <c r="AE160" s="5789">
        <v>38</v>
      </c>
      <c r="AF160" s="5782">
        <v>126</v>
      </c>
      <c r="AG160" s="5782" t="s">
        <v>2129</v>
      </c>
      <c r="AH160" s="5782" t="s">
        <v>2129</v>
      </c>
      <c r="AI160" s="5782" t="s">
        <v>2129</v>
      </c>
      <c r="AJ160" s="5782" t="s">
        <v>2129</v>
      </c>
      <c r="AK160" s="5782" t="s">
        <v>2129</v>
      </c>
      <c r="AL160" s="5782" t="s">
        <v>2129</v>
      </c>
      <c r="AO160" s="5782" t="s">
        <v>2129</v>
      </c>
      <c r="AT160" s="5782" t="s">
        <v>2129</v>
      </c>
      <c r="AU160" s="5782" t="s">
        <v>2129</v>
      </c>
      <c r="AV160" s="5782" t="s">
        <v>2129</v>
      </c>
      <c r="AW160" s="5782" t="s">
        <v>2129</v>
      </c>
      <c r="AX160" s="5782" t="s">
        <v>2129</v>
      </c>
      <c r="AY160" s="5782" t="s">
        <v>2129</v>
      </c>
      <c r="AZ160" s="5782" t="s">
        <v>2129</v>
      </c>
      <c r="BA160" s="5782" t="s">
        <v>2129</v>
      </c>
      <c r="BB160" s="5782" t="s">
        <v>2129</v>
      </c>
      <c r="BC160" s="5782" t="s">
        <v>2129</v>
      </c>
      <c r="BD160" s="5782" t="s">
        <v>2129</v>
      </c>
      <c r="BE160" s="5788" t="s">
        <v>2129</v>
      </c>
      <c r="BG160" s="5788" t="s">
        <v>2129</v>
      </c>
      <c r="BH160" s="5788" t="s">
        <v>2129</v>
      </c>
      <c r="BI160" s="5788" t="s">
        <v>2129</v>
      </c>
      <c r="BJ160" s="5788" t="s">
        <v>2129</v>
      </c>
      <c r="BK160" s="5788" t="s">
        <v>2129</v>
      </c>
      <c r="BL160" s="5788" t="s">
        <v>2129</v>
      </c>
      <c r="BM160" s="5788" t="s">
        <v>2129</v>
      </c>
      <c r="BN160" s="5788" t="s">
        <v>2129</v>
      </c>
      <c r="BO160" s="5788" t="s">
        <v>2129</v>
      </c>
      <c r="BP160" s="5788" t="s">
        <v>2129</v>
      </c>
      <c r="BQ160" s="5788" t="s">
        <v>2129</v>
      </c>
      <c r="BR160" s="5788" t="s">
        <v>2129</v>
      </c>
      <c r="BS160" s="5788" t="s">
        <v>2129</v>
      </c>
      <c r="BT160" s="5788" t="s">
        <v>2129</v>
      </c>
      <c r="BU160" s="5788" t="s">
        <v>2129</v>
      </c>
      <c r="BV160" s="5788" t="s">
        <v>2129</v>
      </c>
      <c r="BW160" s="5788" t="s">
        <v>2129</v>
      </c>
      <c r="BX160" s="5788" t="s">
        <v>2129</v>
      </c>
      <c r="BY160" s="5788"/>
      <c r="BZ160" s="5788" t="s">
        <v>2129</v>
      </c>
      <c r="CA160" s="5788" t="s">
        <v>2129</v>
      </c>
      <c r="CB160" s="5788" t="s">
        <v>2129</v>
      </c>
      <c r="CC160" s="5788" t="s">
        <v>2129</v>
      </c>
      <c r="CD160" s="5788"/>
      <c r="CE160" s="5784"/>
    </row>
    <row r="161" spans="1:83" s="5782" customFormat="1" ht="13">
      <c r="A161" s="5782">
        <v>1002</v>
      </c>
      <c r="B161" s="5783" t="s">
        <v>3382</v>
      </c>
      <c r="C161" s="5784" t="s">
        <v>2129</v>
      </c>
      <c r="D161" s="5784" t="s">
        <v>2129</v>
      </c>
      <c r="E161" s="5784" t="s">
        <v>2129</v>
      </c>
      <c r="F161" s="5784" t="s">
        <v>2129</v>
      </c>
      <c r="G161" s="5784" t="s">
        <v>2129</v>
      </c>
      <c r="H161" s="5785">
        <v>0</v>
      </c>
      <c r="I161" s="5785">
        <v>0</v>
      </c>
      <c r="J161" s="5785">
        <v>2</v>
      </c>
      <c r="K161" s="5785" t="s">
        <v>2129</v>
      </c>
      <c r="L161" s="5786">
        <v>0</v>
      </c>
      <c r="M161" s="5786">
        <v>0</v>
      </c>
      <c r="N161" s="5786">
        <v>0</v>
      </c>
      <c r="O161" s="5786">
        <v>0</v>
      </c>
      <c r="P161" s="5786">
        <v>0</v>
      </c>
      <c r="Q161" s="2476">
        <v>0</v>
      </c>
      <c r="R161" s="2477">
        <v>0</v>
      </c>
      <c r="S161" s="2477" t="b">
        <v>1</v>
      </c>
      <c r="T161" s="5786" t="s">
        <v>2129</v>
      </c>
      <c r="U161" s="5788">
        <v>3685951</v>
      </c>
      <c r="V161" s="5788" t="b">
        <v>1</v>
      </c>
      <c r="W161" s="5788">
        <v>26328.221428571429</v>
      </c>
      <c r="X161" s="5788" t="s">
        <v>2129</v>
      </c>
      <c r="Y161" s="5788"/>
      <c r="Z161" s="5788"/>
      <c r="AA161" s="5788"/>
      <c r="AB161" s="5788"/>
      <c r="AC161" s="5782">
        <v>212</v>
      </c>
      <c r="AD161" s="5789">
        <v>140</v>
      </c>
      <c r="AE161" s="5789">
        <v>72</v>
      </c>
      <c r="AF161" s="5782">
        <v>212</v>
      </c>
      <c r="AG161" s="5782" t="s">
        <v>2129</v>
      </c>
      <c r="AH161" s="5782" t="s">
        <v>2129</v>
      </c>
      <c r="AI161" s="5782" t="s">
        <v>2129</v>
      </c>
      <c r="AJ161" s="5782" t="s">
        <v>2129</v>
      </c>
      <c r="AK161" s="5782" t="s">
        <v>2129</v>
      </c>
      <c r="AL161" s="5782" t="s">
        <v>2129</v>
      </c>
      <c r="AO161" s="5782" t="s">
        <v>2129</v>
      </c>
      <c r="AT161" s="5782" t="s">
        <v>2129</v>
      </c>
      <c r="AU161" s="5782" t="s">
        <v>2129</v>
      </c>
      <c r="AV161" s="5782" t="s">
        <v>2129</v>
      </c>
      <c r="AW161" s="5782" t="s">
        <v>2129</v>
      </c>
      <c r="AX161" s="5782" t="s">
        <v>2129</v>
      </c>
      <c r="AY161" s="5782" t="s">
        <v>2129</v>
      </c>
      <c r="AZ161" s="5782" t="s">
        <v>2129</v>
      </c>
      <c r="BA161" s="5782" t="s">
        <v>2129</v>
      </c>
      <c r="BB161" s="5782" t="s">
        <v>2129</v>
      </c>
      <c r="BC161" s="5782" t="s">
        <v>2129</v>
      </c>
      <c r="BD161" s="5782" t="s">
        <v>2129</v>
      </c>
      <c r="BE161" s="5788" t="s">
        <v>2129</v>
      </c>
      <c r="BG161" s="5788" t="s">
        <v>2129</v>
      </c>
      <c r="BH161" s="5788" t="s">
        <v>2129</v>
      </c>
      <c r="BI161" s="5788" t="s">
        <v>2129</v>
      </c>
      <c r="BJ161" s="5788" t="s">
        <v>2129</v>
      </c>
      <c r="BK161" s="5788" t="s">
        <v>2129</v>
      </c>
      <c r="BL161" s="5788" t="s">
        <v>2129</v>
      </c>
      <c r="BM161" s="5788" t="s">
        <v>2129</v>
      </c>
      <c r="BN161" s="5788" t="s">
        <v>2129</v>
      </c>
      <c r="BO161" s="5788" t="s">
        <v>2129</v>
      </c>
      <c r="BP161" s="5788" t="s">
        <v>2129</v>
      </c>
      <c r="BQ161" s="5788" t="s">
        <v>2129</v>
      </c>
      <c r="BR161" s="5788" t="s">
        <v>2129</v>
      </c>
      <c r="BS161" s="5788" t="s">
        <v>2129</v>
      </c>
      <c r="BT161" s="5788" t="s">
        <v>2129</v>
      </c>
      <c r="BU161" s="5788" t="s">
        <v>2129</v>
      </c>
      <c r="BV161" s="5788" t="s">
        <v>2129</v>
      </c>
      <c r="BW161" s="5788" t="s">
        <v>2129</v>
      </c>
      <c r="BX161" s="5788" t="s">
        <v>2129</v>
      </c>
      <c r="BY161" s="5788"/>
      <c r="BZ161" s="5788" t="s">
        <v>2129</v>
      </c>
      <c r="CA161" s="5788" t="s">
        <v>2129</v>
      </c>
      <c r="CB161" s="5788" t="s">
        <v>2129</v>
      </c>
      <c r="CC161" s="5788" t="s">
        <v>2129</v>
      </c>
      <c r="CD161" s="5788"/>
      <c r="CE161" s="5784"/>
    </row>
    <row r="162" spans="1:83" ht="13">
      <c r="A162">
        <v>1003</v>
      </c>
      <c r="B162" s="196" t="s">
        <v>2868</v>
      </c>
      <c r="C162" s="5790" t="s">
        <v>6616</v>
      </c>
      <c r="D162" s="5790" t="s">
        <v>6599</v>
      </c>
      <c r="E162" s="5790" t="s">
        <v>2129</v>
      </c>
      <c r="F162" s="5785" t="s">
        <v>2129</v>
      </c>
      <c r="G162" s="5785" t="s">
        <v>2129</v>
      </c>
      <c r="H162" s="5785">
        <v>0</v>
      </c>
      <c r="I162" s="5785">
        <v>0</v>
      </c>
      <c r="J162" s="5785">
        <v>0</v>
      </c>
      <c r="K162" s="5785">
        <v>0</v>
      </c>
      <c r="L162" s="5786">
        <v>0</v>
      </c>
      <c r="M162" s="5786">
        <v>0</v>
      </c>
      <c r="N162" s="5786">
        <v>0</v>
      </c>
      <c r="O162" s="5786">
        <v>0</v>
      </c>
      <c r="P162" s="5786">
        <v>0</v>
      </c>
      <c r="Q162" s="2476">
        <v>0</v>
      </c>
      <c r="R162" s="2477">
        <v>0</v>
      </c>
      <c r="S162" s="2477" t="b">
        <v>1</v>
      </c>
      <c r="T162" s="5786" t="s">
        <v>2129</v>
      </c>
      <c r="U162" s="863">
        <v>2595443</v>
      </c>
      <c r="V162" s="863" t="b">
        <v>1</v>
      </c>
      <c r="W162" s="863">
        <v>14105.66847826087</v>
      </c>
      <c r="X162" s="863" t="s">
        <v>2129</v>
      </c>
      <c r="Y162" s="863">
        <v>0</v>
      </c>
      <c r="AC162">
        <v>184</v>
      </c>
      <c r="AD162" s="3965">
        <v>184</v>
      </c>
      <c r="AE162">
        <v>0</v>
      </c>
      <c r="AF162">
        <v>186</v>
      </c>
      <c r="AG162">
        <v>184</v>
      </c>
      <c r="AH162" t="s">
        <v>2129</v>
      </c>
      <c r="AI162" t="s">
        <v>2129</v>
      </c>
      <c r="AJ162" t="s">
        <v>2129</v>
      </c>
      <c r="AK162" t="s">
        <v>2129</v>
      </c>
      <c r="AL162">
        <v>0</v>
      </c>
      <c r="AO162" t="s">
        <v>2129</v>
      </c>
      <c r="AT162">
        <v>13</v>
      </c>
      <c r="AU162">
        <v>13</v>
      </c>
      <c r="AV162" t="s">
        <v>2129</v>
      </c>
      <c r="AW162" t="s">
        <v>2129</v>
      </c>
      <c r="AX162" t="s">
        <v>2129</v>
      </c>
      <c r="AY162" t="s">
        <v>2129</v>
      </c>
      <c r="AZ162" t="s">
        <v>2129</v>
      </c>
      <c r="BA162" t="s">
        <v>2129</v>
      </c>
      <c r="BB162" t="s">
        <v>2129</v>
      </c>
      <c r="BC162" t="s">
        <v>2129</v>
      </c>
      <c r="BD162" t="s">
        <v>2129</v>
      </c>
      <c r="BE162" s="1958">
        <v>33740759</v>
      </c>
      <c r="BF162" s="1958">
        <v>33740759</v>
      </c>
      <c r="BG162" s="1958" t="s">
        <v>2129</v>
      </c>
      <c r="BH162" s="1958" t="s">
        <v>2129</v>
      </c>
      <c r="BI162" s="1958" t="s">
        <v>2129</v>
      </c>
      <c r="BJ162" s="1958" t="s">
        <v>2129</v>
      </c>
      <c r="BK162" s="1958" t="s">
        <v>2129</v>
      </c>
      <c r="BL162" s="1958" t="s">
        <v>2129</v>
      </c>
      <c r="BM162" s="1958" t="s">
        <v>2129</v>
      </c>
      <c r="BN162" s="863" t="s">
        <v>2129</v>
      </c>
      <c r="BO162" s="863" t="s">
        <v>2129</v>
      </c>
      <c r="BP162" s="1958" t="s">
        <v>2129</v>
      </c>
      <c r="BQ162" s="1958" t="s">
        <v>2129</v>
      </c>
      <c r="BR162" s="1958" t="s">
        <v>2129</v>
      </c>
      <c r="BS162" s="1958" t="s">
        <v>2129</v>
      </c>
      <c r="BT162" s="1958" t="s">
        <v>2129</v>
      </c>
      <c r="BU162" s="1958" t="s">
        <v>2129</v>
      </c>
      <c r="BV162" s="1958" t="s">
        <v>2129</v>
      </c>
      <c r="BW162" s="1958" t="s">
        <v>2129</v>
      </c>
      <c r="BX162" s="1958" t="s">
        <v>2129</v>
      </c>
      <c r="BZ162" s="1958" t="s">
        <v>2129</v>
      </c>
      <c r="CA162" s="1958" t="s">
        <v>2129</v>
      </c>
      <c r="CB162" s="1958" t="s">
        <v>2129</v>
      </c>
      <c r="CC162" s="1958" t="s">
        <v>2129</v>
      </c>
      <c r="CE162" s="5785"/>
    </row>
    <row r="163" spans="1:83" ht="13">
      <c r="A163">
        <v>1004</v>
      </c>
      <c r="B163" s="196" t="s">
        <v>3383</v>
      </c>
      <c r="C163" s="5785" t="s">
        <v>3694</v>
      </c>
      <c r="D163" s="5785" t="s">
        <v>2129</v>
      </c>
      <c r="E163" s="5785" t="s">
        <v>2129</v>
      </c>
      <c r="F163" s="5785" t="s">
        <v>3694</v>
      </c>
      <c r="G163" s="5785" t="s">
        <v>2129</v>
      </c>
      <c r="H163" s="5785">
        <v>1</v>
      </c>
      <c r="I163" s="5785">
        <v>1</v>
      </c>
      <c r="J163" s="5785">
        <v>1</v>
      </c>
      <c r="K163" s="5785" t="s">
        <v>2129</v>
      </c>
      <c r="L163" s="5786">
        <v>0</v>
      </c>
      <c r="M163" s="5786">
        <v>0</v>
      </c>
      <c r="N163" s="5786">
        <v>0</v>
      </c>
      <c r="O163" s="5786">
        <v>0</v>
      </c>
      <c r="P163" s="5786">
        <v>0</v>
      </c>
      <c r="Q163" s="2476">
        <v>0</v>
      </c>
      <c r="R163" s="2477">
        <v>0</v>
      </c>
      <c r="S163" s="2477" t="b">
        <v>1</v>
      </c>
      <c r="T163" s="5786">
        <v>0</v>
      </c>
      <c r="U163" s="863">
        <v>2889658</v>
      </c>
      <c r="V163" s="863" t="b">
        <v>1</v>
      </c>
      <c r="W163" s="863">
        <v>28896.58</v>
      </c>
      <c r="X163" s="863">
        <v>35390.789957134111</v>
      </c>
      <c r="AC163">
        <v>239</v>
      </c>
      <c r="AD163">
        <v>100</v>
      </c>
      <c r="AE163">
        <v>139</v>
      </c>
      <c r="AF163">
        <v>289</v>
      </c>
      <c r="AG163">
        <v>100</v>
      </c>
      <c r="AH163" t="s">
        <v>2129</v>
      </c>
      <c r="AI163" t="s">
        <v>2129</v>
      </c>
      <c r="AJ163">
        <v>71</v>
      </c>
      <c r="AK163" t="s">
        <v>2129</v>
      </c>
      <c r="AL163">
        <v>0</v>
      </c>
      <c r="AO163">
        <v>-29</v>
      </c>
      <c r="AT163" t="s">
        <v>2129</v>
      </c>
      <c r="AU163" t="s">
        <v>2129</v>
      </c>
      <c r="AV163" t="s">
        <v>2129</v>
      </c>
      <c r="AW163">
        <v>32</v>
      </c>
      <c r="AX163" t="s">
        <v>2129</v>
      </c>
      <c r="AY163" t="s">
        <v>2129</v>
      </c>
      <c r="AZ163" t="s">
        <v>2129</v>
      </c>
      <c r="BA163" t="s">
        <v>2129</v>
      </c>
      <c r="BB163">
        <v>16</v>
      </c>
      <c r="BC163" t="s">
        <v>2129</v>
      </c>
      <c r="BD163" t="s">
        <v>2129</v>
      </c>
      <c r="BE163" s="1958" t="s">
        <v>2129</v>
      </c>
      <c r="BF163"/>
      <c r="BG163" s="863" t="s">
        <v>2129</v>
      </c>
      <c r="BH163" s="863">
        <v>92469056</v>
      </c>
      <c r="BI163" s="863" t="s">
        <v>2129</v>
      </c>
      <c r="BJ163" s="863" t="s">
        <v>2129</v>
      </c>
      <c r="BK163" s="863" t="s">
        <v>2129</v>
      </c>
      <c r="BL163" s="863" t="s">
        <v>2129</v>
      </c>
      <c r="BM163" s="863" t="s">
        <v>2129</v>
      </c>
      <c r="BN163" s="863" t="s">
        <v>2129</v>
      </c>
      <c r="BO163" s="863" t="s">
        <v>2129</v>
      </c>
      <c r="BP163" s="863" t="s">
        <v>2129</v>
      </c>
      <c r="BQ163" s="863">
        <v>32826514.880000003</v>
      </c>
      <c r="BR163" s="863" t="s">
        <v>2129</v>
      </c>
      <c r="BS163" s="863" t="s">
        <v>2129</v>
      </c>
      <c r="BT163" s="863" t="s">
        <v>2129</v>
      </c>
      <c r="BU163" s="863" t="s">
        <v>2129</v>
      </c>
      <c r="BV163" s="863" t="s">
        <v>2129</v>
      </c>
      <c r="BW163" s="863" t="s">
        <v>2129</v>
      </c>
      <c r="BX163" s="863" t="s">
        <v>2129</v>
      </c>
      <c r="BY163" s="863"/>
      <c r="BZ163" s="863" t="s">
        <v>2129</v>
      </c>
      <c r="CA163" s="863" t="s">
        <v>2129</v>
      </c>
      <c r="CB163" s="863" t="s">
        <v>2129</v>
      </c>
      <c r="CC163" s="863" t="s">
        <v>2129</v>
      </c>
      <c r="CD163" s="863"/>
      <c r="CE163" s="5785"/>
    </row>
    <row r="164" spans="1:83" ht="13">
      <c r="A164">
        <v>1006</v>
      </c>
      <c r="B164" s="196" t="s">
        <v>6624</v>
      </c>
      <c r="C164" s="5785" t="s">
        <v>2129</v>
      </c>
      <c r="D164" s="5785" t="s">
        <v>2129</v>
      </c>
      <c r="E164" s="5785" t="s">
        <v>2129</v>
      </c>
      <c r="F164" s="5785" t="s">
        <v>3694</v>
      </c>
      <c r="G164" s="5785" t="s">
        <v>2129</v>
      </c>
      <c r="H164" s="5785">
        <v>0</v>
      </c>
      <c r="I164" s="5785">
        <v>0</v>
      </c>
      <c r="J164" s="5785">
        <v>0</v>
      </c>
      <c r="K164" s="5785" t="s">
        <v>2129</v>
      </c>
      <c r="L164" s="5786">
        <v>0</v>
      </c>
      <c r="M164" s="5786">
        <v>0</v>
      </c>
      <c r="N164" s="5786">
        <v>0</v>
      </c>
      <c r="O164" s="5786">
        <v>0</v>
      </c>
      <c r="P164" s="5786">
        <v>0</v>
      </c>
      <c r="Q164" s="2476">
        <v>0</v>
      </c>
      <c r="R164" s="2477">
        <v>0</v>
      </c>
      <c r="S164" s="2477" t="b">
        <v>1</v>
      </c>
      <c r="T164" s="5786" t="s">
        <v>2129</v>
      </c>
      <c r="U164" s="863">
        <v>3850948</v>
      </c>
      <c r="V164" s="863" t="b">
        <v>1</v>
      </c>
      <c r="W164" s="863">
        <v>35329.798165137618</v>
      </c>
      <c r="X164" s="863">
        <v>48531.165721487087</v>
      </c>
      <c r="AC164">
        <v>229</v>
      </c>
      <c r="AD164" s="3965">
        <v>109</v>
      </c>
      <c r="AE164" s="3965">
        <v>120</v>
      </c>
      <c r="AF164">
        <v>232</v>
      </c>
      <c r="AG164" t="s">
        <v>2129</v>
      </c>
      <c r="AH164" t="s">
        <v>2129</v>
      </c>
      <c r="AI164" t="s">
        <v>2129</v>
      </c>
      <c r="AJ164">
        <v>69</v>
      </c>
      <c r="AK164" t="s">
        <v>2129</v>
      </c>
      <c r="AL164" t="s">
        <v>2129</v>
      </c>
      <c r="AO164">
        <v>-40</v>
      </c>
      <c r="AT164" t="s">
        <v>2129</v>
      </c>
      <c r="AU164" t="s">
        <v>2129</v>
      </c>
      <c r="AV164" t="s">
        <v>2129</v>
      </c>
      <c r="AW164" t="s">
        <v>2129</v>
      </c>
      <c r="AX164" t="s">
        <v>2129</v>
      </c>
      <c r="AY164" t="s">
        <v>2129</v>
      </c>
      <c r="AZ164" t="s">
        <v>2129</v>
      </c>
      <c r="BA164" t="s">
        <v>2129</v>
      </c>
      <c r="BB164">
        <v>16</v>
      </c>
      <c r="BC164" t="s">
        <v>2129</v>
      </c>
      <c r="BD164" t="s">
        <v>2129</v>
      </c>
      <c r="BE164" s="1958" t="s">
        <v>2129</v>
      </c>
      <c r="BF164"/>
      <c r="BG164" s="863" t="s">
        <v>2129</v>
      </c>
      <c r="BH164" s="863" t="s">
        <v>2129</v>
      </c>
      <c r="BI164" s="863" t="s">
        <v>2129</v>
      </c>
      <c r="BJ164" s="863" t="s">
        <v>2129</v>
      </c>
      <c r="BK164" s="863" t="s">
        <v>2129</v>
      </c>
      <c r="BL164" s="863" t="s">
        <v>2129</v>
      </c>
      <c r="BM164" s="863" t="s">
        <v>2129</v>
      </c>
      <c r="BN164" s="863" t="s">
        <v>2129</v>
      </c>
      <c r="BO164" s="863" t="s">
        <v>2129</v>
      </c>
      <c r="BP164" s="863" t="s">
        <v>2129</v>
      </c>
      <c r="BQ164" s="863">
        <v>39004097.174311928</v>
      </c>
      <c r="BR164" s="863" t="s">
        <v>2129</v>
      </c>
      <c r="BS164" s="863" t="s">
        <v>2129</v>
      </c>
      <c r="BT164" s="863" t="s">
        <v>2129</v>
      </c>
      <c r="BU164" s="863" t="s">
        <v>2129</v>
      </c>
      <c r="BV164" s="863" t="s">
        <v>2129</v>
      </c>
      <c r="BW164" s="863" t="s">
        <v>2129</v>
      </c>
      <c r="BX164" s="863" t="s">
        <v>2129</v>
      </c>
      <c r="BY164" s="863"/>
      <c r="BZ164" s="863" t="s">
        <v>2129</v>
      </c>
      <c r="CA164" s="863" t="s">
        <v>2129</v>
      </c>
      <c r="CB164" s="863" t="s">
        <v>2129</v>
      </c>
      <c r="CC164" s="863" t="s">
        <v>2129</v>
      </c>
      <c r="CD164" s="863"/>
      <c r="CE164" s="5785"/>
    </row>
    <row r="165" spans="1:83" ht="13">
      <c r="A165">
        <v>1007</v>
      </c>
      <c r="B165" s="196" t="s">
        <v>2837</v>
      </c>
      <c r="C165" s="5790" t="s">
        <v>6616</v>
      </c>
      <c r="D165" s="5790" t="s">
        <v>6599</v>
      </c>
      <c r="E165" s="5790" t="s">
        <v>2129</v>
      </c>
      <c r="F165" s="5785" t="s">
        <v>2129</v>
      </c>
      <c r="G165" s="5785" t="s">
        <v>2129</v>
      </c>
      <c r="H165" s="5785">
        <v>1</v>
      </c>
      <c r="I165" s="5785">
        <v>1</v>
      </c>
      <c r="J165" s="5785">
        <v>1</v>
      </c>
      <c r="K165" s="5785">
        <v>0</v>
      </c>
      <c r="L165" s="5786">
        <v>847059</v>
      </c>
      <c r="M165" s="5786">
        <v>0</v>
      </c>
      <c r="N165" s="5786">
        <v>0</v>
      </c>
      <c r="O165" s="5786">
        <v>0</v>
      </c>
      <c r="P165" s="5786">
        <v>0</v>
      </c>
      <c r="Q165" s="2476">
        <v>931764.9</v>
      </c>
      <c r="R165" s="2477">
        <v>931764</v>
      </c>
      <c r="S165" s="2477" t="b">
        <v>1</v>
      </c>
      <c r="T165" s="5786">
        <v>931764</v>
      </c>
      <c r="U165" s="863">
        <v>4189144</v>
      </c>
      <c r="V165" s="863" t="b">
        <v>1</v>
      </c>
      <c r="W165" s="863">
        <v>35501.220338983054</v>
      </c>
      <c r="X165" s="863" t="s">
        <v>2129</v>
      </c>
      <c r="Y165" s="863">
        <v>1600</v>
      </c>
      <c r="AC165">
        <v>118</v>
      </c>
      <c r="AD165" s="3965">
        <v>118</v>
      </c>
      <c r="AE165" s="3965">
        <v>0</v>
      </c>
      <c r="AF165">
        <v>192</v>
      </c>
      <c r="AG165">
        <v>118</v>
      </c>
      <c r="AH165" t="s">
        <v>2129</v>
      </c>
      <c r="AI165" t="s">
        <v>2129</v>
      </c>
      <c r="AJ165" t="s">
        <v>2129</v>
      </c>
      <c r="AK165" t="s">
        <v>2129</v>
      </c>
      <c r="AL165">
        <v>0</v>
      </c>
      <c r="AO165" t="s">
        <v>2129</v>
      </c>
      <c r="AT165">
        <v>26</v>
      </c>
      <c r="AU165">
        <v>26</v>
      </c>
      <c r="AV165" t="s">
        <v>2129</v>
      </c>
      <c r="AW165" t="s">
        <v>2129</v>
      </c>
      <c r="AX165" t="s">
        <v>2129</v>
      </c>
      <c r="AY165" t="s">
        <v>2129</v>
      </c>
      <c r="AZ165" t="s">
        <v>2129</v>
      </c>
      <c r="BA165" t="s">
        <v>2129</v>
      </c>
      <c r="BB165" t="s">
        <v>2129</v>
      </c>
      <c r="BC165" t="s">
        <v>2129</v>
      </c>
      <c r="BD165" t="s">
        <v>2129</v>
      </c>
      <c r="BE165" s="1958">
        <v>108917744</v>
      </c>
      <c r="BF165" s="1958">
        <v>108917744</v>
      </c>
      <c r="BG165" s="1958" t="s">
        <v>2129</v>
      </c>
      <c r="BH165" s="1958" t="s">
        <v>2129</v>
      </c>
      <c r="BI165" s="1958" t="s">
        <v>2129</v>
      </c>
      <c r="BJ165" s="1958" t="s">
        <v>2129</v>
      </c>
      <c r="BK165" s="1958" t="s">
        <v>2129</v>
      </c>
      <c r="BL165" s="1958" t="s">
        <v>2129</v>
      </c>
      <c r="BM165" s="1958" t="s">
        <v>2129</v>
      </c>
      <c r="BN165" s="863" t="s">
        <v>2129</v>
      </c>
      <c r="BO165" s="863" t="s">
        <v>2129</v>
      </c>
      <c r="BP165" s="1958" t="s">
        <v>2129</v>
      </c>
      <c r="BQ165" s="1958" t="s">
        <v>2129</v>
      </c>
      <c r="BR165" s="1958" t="s">
        <v>2129</v>
      </c>
      <c r="BS165" s="1958" t="s">
        <v>2129</v>
      </c>
      <c r="BT165" s="1958" t="s">
        <v>2129</v>
      </c>
      <c r="BU165" s="1958">
        <v>24225864</v>
      </c>
      <c r="BV165" s="1958">
        <v>24225864</v>
      </c>
      <c r="BW165" s="1958" t="s">
        <v>2129</v>
      </c>
      <c r="BX165" s="1958" t="s">
        <v>2129</v>
      </c>
      <c r="BZ165" s="1958" t="s">
        <v>2129</v>
      </c>
      <c r="CA165" s="1958" t="s">
        <v>2129</v>
      </c>
      <c r="CB165" s="1958" t="s">
        <v>2129</v>
      </c>
      <c r="CC165" s="1958" t="s">
        <v>2129</v>
      </c>
      <c r="CE165" s="5785"/>
    </row>
    <row r="166" spans="1:83" ht="13">
      <c r="A166">
        <v>1008</v>
      </c>
      <c r="B166" s="196" t="s">
        <v>3385</v>
      </c>
      <c r="C166" s="5790" t="s">
        <v>6616</v>
      </c>
      <c r="D166" s="5790" t="s">
        <v>6599</v>
      </c>
      <c r="E166" s="5790" t="s">
        <v>2129</v>
      </c>
      <c r="F166" s="5785" t="s">
        <v>2695</v>
      </c>
      <c r="G166" s="5785" t="s">
        <v>2129</v>
      </c>
      <c r="H166" s="5785">
        <v>4</v>
      </c>
      <c r="I166" s="5785">
        <v>2</v>
      </c>
      <c r="J166" s="5785">
        <v>4</v>
      </c>
      <c r="K166" s="5785">
        <v>2</v>
      </c>
      <c r="L166" s="5786">
        <v>7178824</v>
      </c>
      <c r="M166" s="5786">
        <v>0</v>
      </c>
      <c r="N166" s="5786">
        <v>0</v>
      </c>
      <c r="O166" s="5786">
        <v>5850</v>
      </c>
      <c r="P166" s="5786">
        <v>0</v>
      </c>
      <c r="Q166" s="2476">
        <v>7902556.4000000004</v>
      </c>
      <c r="R166" s="2477">
        <v>7902556</v>
      </c>
      <c r="S166" s="2477" t="b">
        <v>0</v>
      </c>
      <c r="T166" s="5786">
        <v>3951278</v>
      </c>
      <c r="U166" s="1958">
        <v>9769342</v>
      </c>
      <c r="V166" s="2700" t="b">
        <v>1</v>
      </c>
      <c r="W166" s="863">
        <v>63437.285714285717</v>
      </c>
      <c r="X166" s="863">
        <v>54455.641025641031</v>
      </c>
      <c r="Y166" s="863">
        <v>5500</v>
      </c>
      <c r="AC166">
        <v>154</v>
      </c>
      <c r="AD166" s="3965">
        <v>154</v>
      </c>
      <c r="AE166" s="3965">
        <v>0</v>
      </c>
      <c r="AF166">
        <v>253</v>
      </c>
      <c r="AG166">
        <v>154</v>
      </c>
      <c r="AH166" t="s">
        <v>2129</v>
      </c>
      <c r="AI166" t="s">
        <v>2129</v>
      </c>
      <c r="AJ166">
        <v>156</v>
      </c>
      <c r="AK166" t="s">
        <v>2129</v>
      </c>
      <c r="AL166">
        <v>0</v>
      </c>
      <c r="AO166">
        <v>2</v>
      </c>
      <c r="AT166">
        <v>26</v>
      </c>
      <c r="AU166">
        <v>26</v>
      </c>
      <c r="AV166" t="s">
        <v>2129</v>
      </c>
      <c r="AW166" t="s">
        <v>2129</v>
      </c>
      <c r="AX166" t="s">
        <v>2129</v>
      </c>
      <c r="AY166" t="s">
        <v>2129</v>
      </c>
      <c r="AZ166" t="s">
        <v>2129</v>
      </c>
      <c r="BA166">
        <v>9</v>
      </c>
      <c r="BB166" t="s">
        <v>2129</v>
      </c>
      <c r="BC166" t="s">
        <v>2129</v>
      </c>
      <c r="BD166" t="s">
        <v>2129</v>
      </c>
      <c r="BE166" s="1958">
        <v>254002892</v>
      </c>
      <c r="BF166" s="1958">
        <v>254002892</v>
      </c>
      <c r="BG166" s="1958" t="s">
        <v>2129</v>
      </c>
      <c r="BH166" s="1958" t="s">
        <v>2129</v>
      </c>
      <c r="BI166" s="1958" t="s">
        <v>2129</v>
      </c>
      <c r="BJ166" s="1958" t="s">
        <v>2129</v>
      </c>
      <c r="BK166" s="1958" t="s">
        <v>2129</v>
      </c>
      <c r="BL166" s="1958" t="s">
        <v>2129</v>
      </c>
      <c r="BM166" s="1958" t="s">
        <v>2129</v>
      </c>
      <c r="BN166" s="863" t="s">
        <v>2129</v>
      </c>
      <c r="BO166" s="863" t="s">
        <v>2129</v>
      </c>
      <c r="BP166" s="1958" t="s">
        <v>2129</v>
      </c>
      <c r="BQ166" s="1958" t="s">
        <v>2129</v>
      </c>
      <c r="BR166" s="1958">
        <v>89065949.142857149</v>
      </c>
      <c r="BS166" s="1958" t="s">
        <v>2129</v>
      </c>
      <c r="BT166" s="1958" t="s">
        <v>2129</v>
      </c>
      <c r="BU166" s="1958">
        <v>205466456</v>
      </c>
      <c r="BV166" s="1958">
        <v>205466456</v>
      </c>
      <c r="BW166" s="1958" t="s">
        <v>2129</v>
      </c>
      <c r="BX166" s="1958" t="s">
        <v>2129</v>
      </c>
      <c r="BZ166" s="1958" t="s">
        <v>2129</v>
      </c>
      <c r="CA166" s="1958" t="s">
        <v>2129</v>
      </c>
      <c r="CB166" s="1958" t="s">
        <v>2129</v>
      </c>
      <c r="CC166" s="1958" t="s">
        <v>2129</v>
      </c>
      <c r="CE166" s="5785"/>
    </row>
    <row r="167" spans="1:83" s="5782" customFormat="1" ht="13">
      <c r="A167" s="5782">
        <v>1010</v>
      </c>
      <c r="B167" s="5783" t="s">
        <v>3386</v>
      </c>
      <c r="C167" s="5784" t="s">
        <v>2129</v>
      </c>
      <c r="D167" s="5784" t="s">
        <v>2129</v>
      </c>
      <c r="E167" s="5784" t="s">
        <v>2129</v>
      </c>
      <c r="F167" s="5784" t="s">
        <v>2129</v>
      </c>
      <c r="G167" s="5784" t="s">
        <v>2129</v>
      </c>
      <c r="H167" s="5785">
        <v>12</v>
      </c>
      <c r="I167" s="5785">
        <v>3</v>
      </c>
      <c r="J167" s="5785">
        <v>7</v>
      </c>
      <c r="K167" s="5785" t="s">
        <v>2129</v>
      </c>
      <c r="L167" s="5786">
        <v>129414</v>
      </c>
      <c r="M167" s="5786">
        <v>0</v>
      </c>
      <c r="N167" s="5786">
        <v>0</v>
      </c>
      <c r="O167" s="5786">
        <v>5850</v>
      </c>
      <c r="P167" s="5786">
        <v>0</v>
      </c>
      <c r="Q167" s="2476">
        <v>148205.40000000002</v>
      </c>
      <c r="R167" s="2477">
        <v>148205</v>
      </c>
      <c r="S167" s="2477" t="b">
        <v>0</v>
      </c>
      <c r="T167" s="5786">
        <v>49401.666666666664</v>
      </c>
      <c r="U167" s="5788">
        <v>1138850</v>
      </c>
      <c r="V167" s="5788" t="b">
        <v>0</v>
      </c>
      <c r="W167" s="5788">
        <v>30779.72972972973</v>
      </c>
      <c r="X167" s="5788" t="s">
        <v>2129</v>
      </c>
      <c r="Y167" s="5788"/>
      <c r="Z167" s="5788"/>
      <c r="AA167" s="5788"/>
      <c r="AB167" s="5788"/>
      <c r="AC167" s="5782">
        <v>37</v>
      </c>
      <c r="AD167" s="5789">
        <v>37</v>
      </c>
      <c r="AE167" s="5789">
        <v>0</v>
      </c>
      <c r="AF167" s="5782">
        <v>40</v>
      </c>
      <c r="AG167" s="5782" t="s">
        <v>2129</v>
      </c>
      <c r="AH167" s="5782" t="s">
        <v>2129</v>
      </c>
      <c r="AI167" s="5782" t="s">
        <v>2129</v>
      </c>
      <c r="AJ167" s="5782" t="s">
        <v>2129</v>
      </c>
      <c r="AK167" s="5782" t="s">
        <v>2129</v>
      </c>
      <c r="AL167" s="5782" t="s">
        <v>2129</v>
      </c>
      <c r="AO167" s="5782" t="s">
        <v>2129</v>
      </c>
      <c r="AT167" s="5782" t="s">
        <v>2129</v>
      </c>
      <c r="AU167" s="5782" t="s">
        <v>2129</v>
      </c>
      <c r="AV167" s="5782" t="s">
        <v>2129</v>
      </c>
      <c r="AW167" s="5782" t="s">
        <v>2129</v>
      </c>
      <c r="AX167" s="5782" t="s">
        <v>2129</v>
      </c>
      <c r="AY167" s="5782" t="s">
        <v>2129</v>
      </c>
      <c r="AZ167" s="5782" t="s">
        <v>2129</v>
      </c>
      <c r="BA167" s="5782" t="s">
        <v>2129</v>
      </c>
      <c r="BB167" s="5782" t="s">
        <v>2129</v>
      </c>
      <c r="BC167" s="5782" t="s">
        <v>2129</v>
      </c>
      <c r="BD167" s="5782" t="s">
        <v>2129</v>
      </c>
      <c r="BE167" s="5788" t="s">
        <v>2129</v>
      </c>
      <c r="BG167" s="5788" t="s">
        <v>2129</v>
      </c>
      <c r="BH167" s="5788" t="s">
        <v>2129</v>
      </c>
      <c r="BI167" s="5788" t="s">
        <v>2129</v>
      </c>
      <c r="BJ167" s="5788" t="s">
        <v>2129</v>
      </c>
      <c r="BK167" s="5788" t="s">
        <v>2129</v>
      </c>
      <c r="BL167" s="5788" t="s">
        <v>2129</v>
      </c>
      <c r="BM167" s="5788" t="s">
        <v>2129</v>
      </c>
      <c r="BN167" s="5788" t="s">
        <v>2129</v>
      </c>
      <c r="BO167" s="5788" t="s">
        <v>2129</v>
      </c>
      <c r="BP167" s="5788" t="s">
        <v>2129</v>
      </c>
      <c r="BQ167" s="5788" t="s">
        <v>2129</v>
      </c>
      <c r="BR167" s="5788" t="s">
        <v>2129</v>
      </c>
      <c r="BS167" s="5788" t="s">
        <v>2129</v>
      </c>
      <c r="BT167" s="5788" t="s">
        <v>2129</v>
      </c>
      <c r="BU167" s="5788" t="s">
        <v>2129</v>
      </c>
      <c r="BV167" s="5788" t="s">
        <v>2129</v>
      </c>
      <c r="BW167" s="5788" t="s">
        <v>2129</v>
      </c>
      <c r="BX167" s="5788" t="s">
        <v>2129</v>
      </c>
      <c r="BY167" s="5788"/>
      <c r="BZ167" s="5788" t="s">
        <v>2129</v>
      </c>
      <c r="CA167" s="5788" t="s">
        <v>2129</v>
      </c>
      <c r="CB167" s="5788" t="s">
        <v>2129</v>
      </c>
      <c r="CC167" s="5788" t="s">
        <v>2129</v>
      </c>
      <c r="CD167" s="5788"/>
      <c r="CE167" s="5784"/>
    </row>
    <row r="168" spans="1:83" s="5782" customFormat="1" ht="13">
      <c r="A168" s="5782">
        <v>1012</v>
      </c>
      <c r="B168" s="5783" t="s">
        <v>3387</v>
      </c>
      <c r="C168" s="5784" t="s">
        <v>2129</v>
      </c>
      <c r="D168" s="5784" t="s">
        <v>2129</v>
      </c>
      <c r="E168" s="5784" t="s">
        <v>2129</v>
      </c>
      <c r="F168" s="5784" t="s">
        <v>2129</v>
      </c>
      <c r="G168" s="5784" t="s">
        <v>2129</v>
      </c>
      <c r="H168" s="5785">
        <v>18</v>
      </c>
      <c r="I168" s="5785">
        <v>9</v>
      </c>
      <c r="J168" s="5785">
        <v>13</v>
      </c>
      <c r="K168" s="5785" t="s">
        <v>2129</v>
      </c>
      <c r="L168" s="5786">
        <v>4235301</v>
      </c>
      <c r="M168" s="5786">
        <v>0</v>
      </c>
      <c r="N168" s="5786">
        <v>0</v>
      </c>
      <c r="O168" s="5786">
        <v>0</v>
      </c>
      <c r="P168" s="5786">
        <v>0</v>
      </c>
      <c r="Q168" s="2476">
        <v>4658831.1000000006</v>
      </c>
      <c r="R168" s="2477">
        <v>4658831</v>
      </c>
      <c r="S168" s="2477" t="b">
        <v>0</v>
      </c>
      <c r="T168" s="5786">
        <v>517647.88888888888</v>
      </c>
      <c r="U168" s="5788">
        <v>1210063</v>
      </c>
      <c r="V168" s="5788" t="b">
        <v>0</v>
      </c>
      <c r="W168" s="5788">
        <v>16576.205479452055</v>
      </c>
      <c r="X168" s="5788" t="s">
        <v>2129</v>
      </c>
      <c r="Y168" s="5788"/>
      <c r="Z168" s="5788"/>
      <c r="AA168" s="5788"/>
      <c r="AB168" s="5788"/>
      <c r="AC168" s="5782">
        <v>73</v>
      </c>
      <c r="AD168" s="5789">
        <v>73</v>
      </c>
      <c r="AE168" s="5789">
        <v>0</v>
      </c>
      <c r="AF168" s="5782">
        <v>90</v>
      </c>
      <c r="AG168" s="5782" t="s">
        <v>2129</v>
      </c>
      <c r="AH168" s="5782" t="s">
        <v>2129</v>
      </c>
      <c r="AI168" s="5782" t="s">
        <v>2129</v>
      </c>
      <c r="AJ168" s="5782" t="s">
        <v>2129</v>
      </c>
      <c r="AK168" s="5782" t="s">
        <v>2129</v>
      </c>
      <c r="AL168" s="5782" t="s">
        <v>2129</v>
      </c>
      <c r="AO168" s="5782" t="s">
        <v>2129</v>
      </c>
      <c r="AT168" s="5782" t="s">
        <v>2129</v>
      </c>
      <c r="AU168" s="5782" t="s">
        <v>2129</v>
      </c>
      <c r="AV168" s="5782" t="s">
        <v>2129</v>
      </c>
      <c r="AW168" s="5782" t="s">
        <v>2129</v>
      </c>
      <c r="AX168" s="5782" t="s">
        <v>2129</v>
      </c>
      <c r="AY168" s="5782" t="s">
        <v>2129</v>
      </c>
      <c r="AZ168" s="5782" t="s">
        <v>2129</v>
      </c>
      <c r="BA168" s="5782" t="s">
        <v>2129</v>
      </c>
      <c r="BB168" s="5782" t="s">
        <v>2129</v>
      </c>
      <c r="BC168" s="5782" t="s">
        <v>2129</v>
      </c>
      <c r="BD168" s="5782" t="s">
        <v>2129</v>
      </c>
      <c r="BE168" s="5788" t="s">
        <v>2129</v>
      </c>
      <c r="BG168" s="5788" t="s">
        <v>2129</v>
      </c>
      <c r="BH168" s="5788" t="s">
        <v>2129</v>
      </c>
      <c r="BI168" s="5788" t="s">
        <v>2129</v>
      </c>
      <c r="BJ168" s="5788" t="s">
        <v>2129</v>
      </c>
      <c r="BK168" s="5788" t="s">
        <v>2129</v>
      </c>
      <c r="BL168" s="5788" t="s">
        <v>2129</v>
      </c>
      <c r="BM168" s="5788" t="s">
        <v>2129</v>
      </c>
      <c r="BN168" s="5788" t="s">
        <v>2129</v>
      </c>
      <c r="BO168" s="5788" t="s">
        <v>2129</v>
      </c>
      <c r="BP168" s="5788" t="s">
        <v>2129</v>
      </c>
      <c r="BQ168" s="5788" t="s">
        <v>2129</v>
      </c>
      <c r="BR168" s="5788" t="s">
        <v>2129</v>
      </c>
      <c r="BS168" s="5788" t="s">
        <v>2129</v>
      </c>
      <c r="BT168" s="5788" t="s">
        <v>2129</v>
      </c>
      <c r="BU168" s="5788" t="s">
        <v>2129</v>
      </c>
      <c r="BV168" s="5788" t="s">
        <v>2129</v>
      </c>
      <c r="BW168" s="5788" t="s">
        <v>2129</v>
      </c>
      <c r="BX168" s="5788" t="s">
        <v>2129</v>
      </c>
      <c r="BY168" s="5788"/>
      <c r="BZ168" s="5788" t="s">
        <v>2129</v>
      </c>
      <c r="CA168" s="5788" t="s">
        <v>2129</v>
      </c>
      <c r="CB168" s="5788" t="s">
        <v>2129</v>
      </c>
      <c r="CC168" s="5788" t="s">
        <v>2129</v>
      </c>
      <c r="CD168" s="5788"/>
      <c r="CE168" s="5784"/>
    </row>
    <row r="169" spans="1:83" s="5782" customFormat="1" ht="13">
      <c r="A169" s="5782">
        <v>1013</v>
      </c>
      <c r="B169" s="5783" t="s">
        <v>3388</v>
      </c>
      <c r="C169" s="5784" t="s">
        <v>2129</v>
      </c>
      <c r="D169" s="5784" t="s">
        <v>2129</v>
      </c>
      <c r="E169" s="5784" t="s">
        <v>2129</v>
      </c>
      <c r="F169" s="5784" t="s">
        <v>2129</v>
      </c>
      <c r="G169" s="5784" t="s">
        <v>2129</v>
      </c>
      <c r="H169" s="5785">
        <v>6</v>
      </c>
      <c r="I169" s="5785">
        <v>2</v>
      </c>
      <c r="J169" s="5785">
        <v>6</v>
      </c>
      <c r="K169" s="5785" t="s">
        <v>2129</v>
      </c>
      <c r="L169" s="5786">
        <v>132353</v>
      </c>
      <c r="M169" s="5786">
        <v>0</v>
      </c>
      <c r="N169" s="5786">
        <v>0</v>
      </c>
      <c r="O169" s="5786">
        <v>0</v>
      </c>
      <c r="P169" s="5786">
        <v>0</v>
      </c>
      <c r="Q169" s="2476">
        <v>145588.30000000002</v>
      </c>
      <c r="R169" s="2477">
        <v>145588</v>
      </c>
      <c r="S169" s="2477" t="b">
        <v>0</v>
      </c>
      <c r="T169" s="5786">
        <v>72794</v>
      </c>
      <c r="U169" s="5788">
        <v>1022374</v>
      </c>
      <c r="V169" s="5788" t="b">
        <v>0</v>
      </c>
      <c r="W169" s="5788">
        <v>24342.238095238095</v>
      </c>
      <c r="X169" s="5788" t="s">
        <v>2129</v>
      </c>
      <c r="Y169" s="5788"/>
      <c r="Z169" s="5788"/>
      <c r="AA169" s="5788"/>
      <c r="AB169" s="5788"/>
      <c r="AC169" s="5782">
        <v>42</v>
      </c>
      <c r="AD169" s="5789">
        <v>42</v>
      </c>
      <c r="AE169" s="5789">
        <v>0</v>
      </c>
      <c r="AF169" s="5782">
        <v>45</v>
      </c>
      <c r="AG169" s="5782" t="s">
        <v>2129</v>
      </c>
      <c r="AH169" s="5782" t="s">
        <v>2129</v>
      </c>
      <c r="AI169" s="5782" t="s">
        <v>2129</v>
      </c>
      <c r="AJ169" s="5782" t="s">
        <v>2129</v>
      </c>
      <c r="AK169" s="5782" t="s">
        <v>2129</v>
      </c>
      <c r="AL169" s="5782" t="s">
        <v>2129</v>
      </c>
      <c r="AO169" s="5782" t="s">
        <v>2129</v>
      </c>
      <c r="AT169" s="5782" t="s">
        <v>2129</v>
      </c>
      <c r="AU169" s="5782" t="s">
        <v>2129</v>
      </c>
      <c r="AV169" s="5782" t="s">
        <v>2129</v>
      </c>
      <c r="AW169" s="5782" t="s">
        <v>2129</v>
      </c>
      <c r="AX169" s="5782" t="s">
        <v>2129</v>
      </c>
      <c r="AY169" s="5782" t="s">
        <v>2129</v>
      </c>
      <c r="AZ169" s="5782" t="s">
        <v>2129</v>
      </c>
      <c r="BA169" s="5782" t="s">
        <v>2129</v>
      </c>
      <c r="BB169" s="5782" t="s">
        <v>2129</v>
      </c>
      <c r="BC169" s="5782" t="s">
        <v>2129</v>
      </c>
      <c r="BD169" s="5782" t="s">
        <v>2129</v>
      </c>
      <c r="BE169" s="5788" t="s">
        <v>2129</v>
      </c>
      <c r="BG169" s="5788" t="s">
        <v>2129</v>
      </c>
      <c r="BH169" s="5788" t="s">
        <v>2129</v>
      </c>
      <c r="BI169" s="5788" t="s">
        <v>2129</v>
      </c>
      <c r="BJ169" s="5788" t="s">
        <v>2129</v>
      </c>
      <c r="BK169" s="5788" t="s">
        <v>2129</v>
      </c>
      <c r="BL169" s="5788" t="s">
        <v>2129</v>
      </c>
      <c r="BM169" s="5788" t="s">
        <v>2129</v>
      </c>
      <c r="BN169" s="5788" t="s">
        <v>2129</v>
      </c>
      <c r="BO169" s="5788" t="s">
        <v>2129</v>
      </c>
      <c r="BP169" s="5788" t="s">
        <v>2129</v>
      </c>
      <c r="BQ169" s="5788" t="s">
        <v>2129</v>
      </c>
      <c r="BR169" s="5788" t="s">
        <v>2129</v>
      </c>
      <c r="BS169" s="5788" t="s">
        <v>2129</v>
      </c>
      <c r="BT169" s="5788" t="s">
        <v>2129</v>
      </c>
      <c r="BU169" s="5788" t="s">
        <v>2129</v>
      </c>
      <c r="BV169" s="5788" t="s">
        <v>2129</v>
      </c>
      <c r="BW169" s="5788" t="s">
        <v>2129</v>
      </c>
      <c r="BX169" s="5788" t="s">
        <v>2129</v>
      </c>
      <c r="BY169" s="5788"/>
      <c r="BZ169" s="5788" t="s">
        <v>2129</v>
      </c>
      <c r="CA169" s="5788" t="s">
        <v>2129</v>
      </c>
      <c r="CB169" s="5788" t="s">
        <v>2129</v>
      </c>
      <c r="CC169" s="5788" t="s">
        <v>2129</v>
      </c>
      <c r="CD169" s="5788"/>
      <c r="CE169" s="5784"/>
    </row>
    <row r="170" spans="1:83" s="5782" customFormat="1" ht="13">
      <c r="A170" s="5782">
        <v>1015</v>
      </c>
      <c r="B170" s="5783" t="s">
        <v>2860</v>
      </c>
      <c r="C170" s="5784" t="s">
        <v>2129</v>
      </c>
      <c r="D170" s="5784" t="s">
        <v>2129</v>
      </c>
      <c r="E170" s="5784" t="s">
        <v>2129</v>
      </c>
      <c r="F170" s="5784" t="s">
        <v>2129</v>
      </c>
      <c r="G170" s="5784" t="s">
        <v>2129</v>
      </c>
      <c r="H170" s="5785">
        <v>6</v>
      </c>
      <c r="I170" s="5785">
        <v>2</v>
      </c>
      <c r="J170" s="5785">
        <v>6</v>
      </c>
      <c r="K170" s="5785" t="s">
        <v>2129</v>
      </c>
      <c r="L170" s="5786">
        <v>36883</v>
      </c>
      <c r="M170" s="5786">
        <v>0</v>
      </c>
      <c r="N170" s="5786">
        <v>0</v>
      </c>
      <c r="O170" s="5786">
        <v>0</v>
      </c>
      <c r="P170" s="5786">
        <v>0</v>
      </c>
      <c r="Q170" s="2476">
        <v>40571.300000000003</v>
      </c>
      <c r="R170" s="2477">
        <v>40571</v>
      </c>
      <c r="S170" s="2477" t="b">
        <v>0</v>
      </c>
      <c r="T170" s="5786">
        <v>20285.5</v>
      </c>
      <c r="U170" s="5788">
        <v>1452000</v>
      </c>
      <c r="V170" s="5788" t="b">
        <v>0</v>
      </c>
      <c r="W170" s="5788">
        <v>48400</v>
      </c>
      <c r="X170" s="5788" t="s">
        <v>2129</v>
      </c>
      <c r="Y170" s="5788"/>
      <c r="Z170" s="5788"/>
      <c r="AA170" s="5788"/>
      <c r="AB170" s="5788"/>
      <c r="AC170" s="5782">
        <v>30</v>
      </c>
      <c r="AD170" s="5789">
        <v>30</v>
      </c>
      <c r="AE170" s="5789">
        <v>0</v>
      </c>
      <c r="AF170" s="5782">
        <v>60</v>
      </c>
      <c r="AG170" s="5782" t="s">
        <v>2129</v>
      </c>
      <c r="AH170" s="5782" t="s">
        <v>2129</v>
      </c>
      <c r="AI170" s="5782" t="s">
        <v>2129</v>
      </c>
      <c r="AJ170" s="5782" t="s">
        <v>2129</v>
      </c>
      <c r="AK170" s="5782" t="s">
        <v>2129</v>
      </c>
      <c r="AL170" s="5782" t="s">
        <v>2129</v>
      </c>
      <c r="AO170" s="5782" t="s">
        <v>2129</v>
      </c>
      <c r="AT170" s="5782" t="s">
        <v>2129</v>
      </c>
      <c r="AU170" s="5782" t="s">
        <v>2129</v>
      </c>
      <c r="AV170" s="5782" t="s">
        <v>2129</v>
      </c>
      <c r="AW170" s="5782" t="s">
        <v>2129</v>
      </c>
      <c r="AX170" s="5782" t="s">
        <v>2129</v>
      </c>
      <c r="AY170" s="5782" t="s">
        <v>2129</v>
      </c>
      <c r="AZ170" s="5782" t="s">
        <v>2129</v>
      </c>
      <c r="BA170" s="5782" t="s">
        <v>2129</v>
      </c>
      <c r="BB170" s="5782" t="s">
        <v>2129</v>
      </c>
      <c r="BC170" s="5782" t="s">
        <v>2129</v>
      </c>
      <c r="BD170" s="5782" t="s">
        <v>2129</v>
      </c>
      <c r="BE170" s="5788" t="s">
        <v>2129</v>
      </c>
      <c r="BG170" s="5788" t="s">
        <v>2129</v>
      </c>
      <c r="BH170" s="5788" t="s">
        <v>2129</v>
      </c>
      <c r="BI170" s="5788" t="s">
        <v>2129</v>
      </c>
      <c r="BJ170" s="5788" t="s">
        <v>2129</v>
      </c>
      <c r="BK170" s="5788" t="s">
        <v>2129</v>
      </c>
      <c r="BL170" s="5788" t="s">
        <v>2129</v>
      </c>
      <c r="BM170" s="5788" t="s">
        <v>2129</v>
      </c>
      <c r="BN170" s="5788" t="s">
        <v>2129</v>
      </c>
      <c r="BO170" s="5788" t="s">
        <v>2129</v>
      </c>
      <c r="BP170" s="5788" t="s">
        <v>2129</v>
      </c>
      <c r="BQ170" s="5788" t="s">
        <v>2129</v>
      </c>
      <c r="BR170" s="5788" t="s">
        <v>2129</v>
      </c>
      <c r="BS170" s="5788" t="s">
        <v>2129</v>
      </c>
      <c r="BT170" s="5788" t="s">
        <v>2129</v>
      </c>
      <c r="BU170" s="5788" t="s">
        <v>2129</v>
      </c>
      <c r="BV170" s="5788" t="s">
        <v>2129</v>
      </c>
      <c r="BW170" s="5788" t="s">
        <v>2129</v>
      </c>
      <c r="BX170" s="5788" t="s">
        <v>2129</v>
      </c>
      <c r="BY170" s="5788"/>
      <c r="BZ170" s="5788" t="s">
        <v>2129</v>
      </c>
      <c r="CA170" s="5788" t="s">
        <v>2129</v>
      </c>
      <c r="CB170" s="5788" t="s">
        <v>2129</v>
      </c>
      <c r="CC170" s="5788" t="s">
        <v>2129</v>
      </c>
      <c r="CD170" s="5788"/>
      <c r="CE170" s="5784"/>
    </row>
    <row r="171" spans="1:83" s="5782" customFormat="1" ht="13">
      <c r="A171" s="5782">
        <v>1016</v>
      </c>
      <c r="B171" s="5783" t="s">
        <v>3389</v>
      </c>
      <c r="C171" s="5784" t="s">
        <v>2129</v>
      </c>
      <c r="D171" s="5784" t="s">
        <v>2129</v>
      </c>
      <c r="E171" s="5784" t="s">
        <v>2129</v>
      </c>
      <c r="F171" s="5784" t="s">
        <v>2129</v>
      </c>
      <c r="G171" s="5784" t="s">
        <v>2129</v>
      </c>
      <c r="H171" s="5785">
        <v>0</v>
      </c>
      <c r="I171" s="5785">
        <v>0</v>
      </c>
      <c r="J171" s="5785">
        <v>4</v>
      </c>
      <c r="K171" s="5785" t="s">
        <v>2129</v>
      </c>
      <c r="L171" s="5786">
        <v>0</v>
      </c>
      <c r="M171" s="5786">
        <v>0</v>
      </c>
      <c r="N171" s="5786">
        <v>0</v>
      </c>
      <c r="O171" s="5786">
        <v>0</v>
      </c>
      <c r="P171" s="5786">
        <v>0</v>
      </c>
      <c r="Q171" s="2476">
        <v>0</v>
      </c>
      <c r="R171" s="2477">
        <v>0</v>
      </c>
      <c r="S171" s="2477" t="b">
        <v>1</v>
      </c>
      <c r="T171" s="5786" t="s">
        <v>2129</v>
      </c>
      <c r="U171" s="5788">
        <v>510951</v>
      </c>
      <c r="V171" s="5788" t="b">
        <v>0</v>
      </c>
      <c r="W171" s="5788">
        <v>10871.297872340425</v>
      </c>
      <c r="X171" s="5788" t="s">
        <v>2129</v>
      </c>
      <c r="Y171" s="5788"/>
      <c r="Z171" s="5788"/>
      <c r="AA171" s="5788"/>
      <c r="AB171" s="5788"/>
      <c r="AC171" s="5782">
        <v>147</v>
      </c>
      <c r="AD171" s="5789">
        <v>47</v>
      </c>
      <c r="AE171" s="5782">
        <v>100</v>
      </c>
      <c r="AF171" s="5782">
        <v>159</v>
      </c>
      <c r="AG171" s="5782" t="s">
        <v>2129</v>
      </c>
      <c r="AH171" s="5782" t="s">
        <v>2129</v>
      </c>
      <c r="AI171" s="5782" t="s">
        <v>2129</v>
      </c>
      <c r="AJ171" s="5782" t="s">
        <v>2129</v>
      </c>
      <c r="AK171" s="5782" t="s">
        <v>2129</v>
      </c>
      <c r="AL171" s="5782" t="s">
        <v>2129</v>
      </c>
      <c r="AO171" s="5782" t="s">
        <v>2129</v>
      </c>
      <c r="AT171" s="5782" t="s">
        <v>2129</v>
      </c>
      <c r="AU171" s="5782" t="s">
        <v>2129</v>
      </c>
      <c r="AV171" s="5782" t="s">
        <v>2129</v>
      </c>
      <c r="AW171" s="5782" t="s">
        <v>2129</v>
      </c>
      <c r="AX171" s="5782" t="s">
        <v>2129</v>
      </c>
      <c r="AY171" s="5782" t="s">
        <v>2129</v>
      </c>
      <c r="AZ171" s="5782" t="s">
        <v>2129</v>
      </c>
      <c r="BA171" s="5782" t="s">
        <v>2129</v>
      </c>
      <c r="BB171" s="5782" t="s">
        <v>2129</v>
      </c>
      <c r="BC171" s="5782" t="s">
        <v>2129</v>
      </c>
      <c r="BD171" s="5782" t="s">
        <v>2129</v>
      </c>
      <c r="BE171" s="5788" t="s">
        <v>2129</v>
      </c>
      <c r="BG171" s="5788" t="s">
        <v>2129</v>
      </c>
      <c r="BH171" s="5788" t="s">
        <v>2129</v>
      </c>
      <c r="BI171" s="5788" t="s">
        <v>2129</v>
      </c>
      <c r="BJ171" s="5788" t="s">
        <v>2129</v>
      </c>
      <c r="BK171" s="5788" t="s">
        <v>2129</v>
      </c>
      <c r="BL171" s="5788" t="s">
        <v>2129</v>
      </c>
      <c r="BM171" s="5788" t="s">
        <v>2129</v>
      </c>
      <c r="BN171" s="5788" t="s">
        <v>2129</v>
      </c>
      <c r="BO171" s="5788" t="s">
        <v>2129</v>
      </c>
      <c r="BP171" s="5788" t="s">
        <v>2129</v>
      </c>
      <c r="BQ171" s="5788" t="s">
        <v>2129</v>
      </c>
      <c r="BR171" s="5788" t="s">
        <v>2129</v>
      </c>
      <c r="BS171" s="5788" t="s">
        <v>2129</v>
      </c>
      <c r="BT171" s="5788" t="s">
        <v>2129</v>
      </c>
      <c r="BU171" s="5788" t="s">
        <v>2129</v>
      </c>
      <c r="BV171" s="5788" t="s">
        <v>2129</v>
      </c>
      <c r="BW171" s="5788" t="s">
        <v>2129</v>
      </c>
      <c r="BX171" s="5788" t="s">
        <v>2129</v>
      </c>
      <c r="BY171" s="5788"/>
      <c r="BZ171" s="5788" t="s">
        <v>2129</v>
      </c>
      <c r="CA171" s="5788" t="s">
        <v>2129</v>
      </c>
      <c r="CB171" s="5788" t="s">
        <v>2129</v>
      </c>
      <c r="CC171" s="5788" t="s">
        <v>2129</v>
      </c>
      <c r="CD171" s="5788"/>
      <c r="CE171" s="5784"/>
    </row>
    <row r="172" spans="1:83" ht="13">
      <c r="A172">
        <v>1017</v>
      </c>
      <c r="B172" s="196" t="s">
        <v>3390</v>
      </c>
      <c r="C172" s="5785" t="s">
        <v>2129</v>
      </c>
      <c r="D172" s="5785" t="s">
        <v>2129</v>
      </c>
      <c r="E172" s="5785" t="s">
        <v>2129</v>
      </c>
      <c r="F172" s="5785" t="s">
        <v>3694</v>
      </c>
      <c r="G172" s="5785" t="s">
        <v>2129</v>
      </c>
      <c r="H172" s="5785">
        <v>0</v>
      </c>
      <c r="I172" s="5785">
        <v>0</v>
      </c>
      <c r="J172" s="5785">
        <v>4</v>
      </c>
      <c r="K172" s="5785" t="s">
        <v>2129</v>
      </c>
      <c r="L172" s="5786">
        <v>0</v>
      </c>
      <c r="M172" s="5786">
        <v>0</v>
      </c>
      <c r="N172" s="5786">
        <v>0</v>
      </c>
      <c r="O172" s="5786">
        <v>0</v>
      </c>
      <c r="P172" s="5786">
        <v>0</v>
      </c>
      <c r="Q172" s="2476">
        <v>0</v>
      </c>
      <c r="R172" s="2477">
        <v>0</v>
      </c>
      <c r="S172" s="2477" t="b">
        <v>1</v>
      </c>
      <c r="T172" s="5786" t="s">
        <v>2129</v>
      </c>
      <c r="U172" s="1958">
        <v>2174213</v>
      </c>
      <c r="V172" s="2700" t="b">
        <v>1</v>
      </c>
      <c r="W172" s="863">
        <v>21315.813725490196</v>
      </c>
      <c r="X172" s="863">
        <v>23931.898734177215</v>
      </c>
      <c r="AC172">
        <v>206</v>
      </c>
      <c r="AD172">
        <v>102</v>
      </c>
      <c r="AE172" s="2969">
        <v>104</v>
      </c>
      <c r="AF172">
        <v>114</v>
      </c>
      <c r="AG172" t="s">
        <v>2129</v>
      </c>
      <c r="AH172" t="s">
        <v>2129</v>
      </c>
      <c r="AI172" t="s">
        <v>2129</v>
      </c>
      <c r="AJ172">
        <v>79</v>
      </c>
      <c r="AK172" t="s">
        <v>2129</v>
      </c>
      <c r="AL172" t="s">
        <v>2129</v>
      </c>
      <c r="AO172">
        <v>-23</v>
      </c>
      <c r="AT172" t="s">
        <v>2129</v>
      </c>
      <c r="AU172" t="s">
        <v>2129</v>
      </c>
      <c r="AV172" t="s">
        <v>2129</v>
      </c>
      <c r="AW172" t="s">
        <v>2129</v>
      </c>
      <c r="AX172" t="s">
        <v>2129</v>
      </c>
      <c r="AY172" t="s">
        <v>2129</v>
      </c>
      <c r="AZ172" t="s">
        <v>2129</v>
      </c>
      <c r="BA172" t="s">
        <v>2129</v>
      </c>
      <c r="BB172">
        <v>16</v>
      </c>
      <c r="BC172" t="s">
        <v>2129</v>
      </c>
      <c r="BD172" t="s">
        <v>2129</v>
      </c>
      <c r="BE172" s="1958" t="s">
        <v>2129</v>
      </c>
      <c r="BF172"/>
      <c r="BG172" s="863" t="s">
        <v>2129</v>
      </c>
      <c r="BH172" s="863" t="s">
        <v>2129</v>
      </c>
      <c r="BI172" s="863" t="s">
        <v>2129</v>
      </c>
      <c r="BJ172" s="863" t="s">
        <v>2129</v>
      </c>
      <c r="BK172" s="863" t="s">
        <v>2129</v>
      </c>
      <c r="BL172" s="863" t="s">
        <v>2129</v>
      </c>
      <c r="BM172" s="863" t="s">
        <v>2129</v>
      </c>
      <c r="BN172" s="863" t="s">
        <v>2129</v>
      </c>
      <c r="BO172" s="863" t="s">
        <v>2129</v>
      </c>
      <c r="BP172" s="863" t="s">
        <v>2129</v>
      </c>
      <c r="BQ172" s="863">
        <v>26943188.549019609</v>
      </c>
      <c r="BR172" s="863" t="s">
        <v>2129</v>
      </c>
      <c r="BS172" s="863" t="s">
        <v>2129</v>
      </c>
      <c r="BT172" s="863" t="s">
        <v>2129</v>
      </c>
      <c r="BU172" s="863" t="s">
        <v>2129</v>
      </c>
      <c r="BV172" s="863" t="s">
        <v>2129</v>
      </c>
      <c r="BW172" s="863" t="s">
        <v>2129</v>
      </c>
      <c r="BX172" s="863" t="s">
        <v>2129</v>
      </c>
      <c r="BY172" s="863"/>
      <c r="BZ172" s="863" t="s">
        <v>2129</v>
      </c>
      <c r="CA172" s="863" t="s">
        <v>2129</v>
      </c>
      <c r="CB172" s="863" t="s">
        <v>2129</v>
      </c>
      <c r="CC172" s="863" t="s">
        <v>2129</v>
      </c>
      <c r="CD172" s="863"/>
      <c r="CE172" s="5785"/>
    </row>
    <row r="173" spans="1:83" s="5782" customFormat="1" ht="13">
      <c r="A173" s="5782">
        <v>1018</v>
      </c>
      <c r="B173" s="5783" t="s">
        <v>3391</v>
      </c>
      <c r="C173" s="5784" t="s">
        <v>2129</v>
      </c>
      <c r="D173" s="5784" t="s">
        <v>2129</v>
      </c>
      <c r="E173" s="5784" t="s">
        <v>2129</v>
      </c>
      <c r="F173" s="5784" t="s">
        <v>2129</v>
      </c>
      <c r="G173" s="5784" t="s">
        <v>2129</v>
      </c>
      <c r="H173" s="5785">
        <v>0</v>
      </c>
      <c r="I173" s="5785">
        <v>0</v>
      </c>
      <c r="J173" s="5785">
        <v>4</v>
      </c>
      <c r="K173" s="5785" t="s">
        <v>2129</v>
      </c>
      <c r="L173" s="5786">
        <v>0</v>
      </c>
      <c r="M173" s="5786">
        <v>0</v>
      </c>
      <c r="N173" s="5786">
        <v>0</v>
      </c>
      <c r="O173" s="5786">
        <v>0</v>
      </c>
      <c r="P173" s="5786">
        <v>0</v>
      </c>
      <c r="Q173" s="2476">
        <v>0</v>
      </c>
      <c r="R173" s="2477">
        <v>0</v>
      </c>
      <c r="S173" s="2477" t="b">
        <v>1</v>
      </c>
      <c r="T173" s="5786" t="s">
        <v>2129</v>
      </c>
      <c r="U173" s="5788">
        <v>10811667</v>
      </c>
      <c r="V173" s="5788" t="b">
        <v>0</v>
      </c>
      <c r="W173" s="5788">
        <v>26827.957816377173</v>
      </c>
      <c r="X173" s="5788" t="s">
        <v>2129</v>
      </c>
      <c r="Y173" s="5788"/>
      <c r="Z173" s="5788"/>
      <c r="AA173" s="5788"/>
      <c r="AB173" s="5788"/>
      <c r="AC173" s="5782">
        <v>403</v>
      </c>
      <c r="AD173" s="5782">
        <v>403</v>
      </c>
      <c r="AE173" s="5782">
        <v>0</v>
      </c>
      <c r="AF173" s="5782">
        <v>403</v>
      </c>
      <c r="AG173" s="5782" t="s">
        <v>2129</v>
      </c>
      <c r="AH173" s="5782" t="s">
        <v>2129</v>
      </c>
      <c r="AI173" s="5782" t="s">
        <v>2129</v>
      </c>
      <c r="AJ173" s="5782" t="s">
        <v>2129</v>
      </c>
      <c r="AK173" s="5782" t="s">
        <v>2129</v>
      </c>
      <c r="AL173" s="5782" t="s">
        <v>2129</v>
      </c>
      <c r="AO173" s="5782" t="s">
        <v>2129</v>
      </c>
      <c r="AT173" s="5782" t="s">
        <v>2129</v>
      </c>
      <c r="AU173" s="5782" t="s">
        <v>2129</v>
      </c>
      <c r="AV173" s="5782" t="s">
        <v>2129</v>
      </c>
      <c r="AW173" s="5782" t="s">
        <v>2129</v>
      </c>
      <c r="AX173" s="5782" t="s">
        <v>2129</v>
      </c>
      <c r="AY173" s="5782" t="s">
        <v>2129</v>
      </c>
      <c r="AZ173" s="5782" t="s">
        <v>2129</v>
      </c>
      <c r="BA173" s="5782" t="s">
        <v>2129</v>
      </c>
      <c r="BB173" s="5782" t="s">
        <v>2129</v>
      </c>
      <c r="BC173" s="5782" t="s">
        <v>2129</v>
      </c>
      <c r="BD173" s="5782" t="s">
        <v>2129</v>
      </c>
      <c r="BE173" s="5788" t="s">
        <v>2129</v>
      </c>
      <c r="BG173" s="5788" t="s">
        <v>2129</v>
      </c>
      <c r="BH173" s="5788" t="s">
        <v>2129</v>
      </c>
      <c r="BI173" s="5788" t="s">
        <v>2129</v>
      </c>
      <c r="BJ173" s="5788" t="s">
        <v>2129</v>
      </c>
      <c r="BK173" s="5788" t="s">
        <v>2129</v>
      </c>
      <c r="BL173" s="5788" t="s">
        <v>2129</v>
      </c>
      <c r="BM173" s="5788" t="s">
        <v>2129</v>
      </c>
      <c r="BN173" s="5788" t="s">
        <v>2129</v>
      </c>
      <c r="BO173" s="5788" t="s">
        <v>2129</v>
      </c>
      <c r="BP173" s="5788" t="s">
        <v>2129</v>
      </c>
      <c r="BQ173" s="5788" t="s">
        <v>2129</v>
      </c>
      <c r="BR173" s="5788" t="s">
        <v>2129</v>
      </c>
      <c r="BS173" s="5788" t="s">
        <v>2129</v>
      </c>
      <c r="BT173" s="5788" t="s">
        <v>2129</v>
      </c>
      <c r="BU173" s="5788" t="s">
        <v>2129</v>
      </c>
      <c r="BV173" s="5788" t="s">
        <v>2129</v>
      </c>
      <c r="BW173" s="5788" t="s">
        <v>2129</v>
      </c>
      <c r="BX173" s="5788" t="s">
        <v>2129</v>
      </c>
      <c r="BY173" s="5788"/>
      <c r="BZ173" s="5788" t="s">
        <v>2129</v>
      </c>
      <c r="CA173" s="5788" t="s">
        <v>2129</v>
      </c>
      <c r="CB173" s="5788" t="s">
        <v>2129</v>
      </c>
      <c r="CC173" s="5788" t="s">
        <v>2129</v>
      </c>
      <c r="CD173" s="5788"/>
      <c r="CE173" s="5784"/>
    </row>
    <row r="174" spans="1:83" ht="13">
      <c r="A174">
        <v>1021</v>
      </c>
      <c r="B174" s="196" t="s">
        <v>3392</v>
      </c>
      <c r="C174" s="5785" t="s">
        <v>2129</v>
      </c>
      <c r="D174" s="5785" t="s">
        <v>5293</v>
      </c>
      <c r="E174" s="5785" t="s">
        <v>2129</v>
      </c>
      <c r="F174" s="5792" t="s">
        <v>2129</v>
      </c>
      <c r="G174" s="5792" t="s">
        <v>2129</v>
      </c>
      <c r="H174" s="5785">
        <v>6</v>
      </c>
      <c r="I174" s="5785">
        <v>4</v>
      </c>
      <c r="J174" s="5785">
        <v>4</v>
      </c>
      <c r="K174" s="5785">
        <v>2</v>
      </c>
      <c r="L174" s="5786">
        <v>17882355</v>
      </c>
      <c r="M174" s="5786">
        <v>235296</v>
      </c>
      <c r="N174" s="5786">
        <v>136380</v>
      </c>
      <c r="O174" s="5786">
        <v>0</v>
      </c>
      <c r="P174" s="5786">
        <v>0</v>
      </c>
      <c r="Q174" s="2476">
        <v>20079434.100000001</v>
      </c>
      <c r="R174" s="2477">
        <v>20079434</v>
      </c>
      <c r="S174" s="5800" t="b">
        <v>1</v>
      </c>
      <c r="T174" s="5786">
        <v>5019858.5</v>
      </c>
      <c r="U174" s="863">
        <v>14662483</v>
      </c>
      <c r="V174" s="863" t="b">
        <v>1</v>
      </c>
      <c r="W174" s="863">
        <v>97749.886666666673</v>
      </c>
      <c r="X174" s="863" t="s">
        <v>2129</v>
      </c>
      <c r="AC174">
        <v>360</v>
      </c>
      <c r="AD174">
        <v>150</v>
      </c>
      <c r="AE174">
        <v>210</v>
      </c>
      <c r="AF174">
        <v>500</v>
      </c>
      <c r="AG174" t="s">
        <v>2129</v>
      </c>
      <c r="AH174">
        <v>360</v>
      </c>
      <c r="AI174" t="s">
        <v>2129</v>
      </c>
      <c r="AJ174" s="1866" t="s">
        <v>2129</v>
      </c>
      <c r="AK174" t="s">
        <v>2129</v>
      </c>
      <c r="AL174" t="s">
        <v>2129</v>
      </c>
      <c r="AO174" t="s">
        <v>2129</v>
      </c>
      <c r="AT174" t="s">
        <v>2129</v>
      </c>
      <c r="AU174" t="s">
        <v>2129</v>
      </c>
      <c r="AV174">
        <v>20</v>
      </c>
      <c r="AW174" t="s">
        <v>2129</v>
      </c>
      <c r="AX174" t="s">
        <v>2129</v>
      </c>
      <c r="AY174" t="s">
        <v>2129</v>
      </c>
      <c r="AZ174" t="s">
        <v>2129</v>
      </c>
      <c r="BA174" t="s">
        <v>2129</v>
      </c>
      <c r="BB174" t="s">
        <v>2129</v>
      </c>
      <c r="BC174" t="s">
        <v>2129</v>
      </c>
      <c r="BD174" t="s">
        <v>2129</v>
      </c>
      <c r="BE174" s="1958" t="s">
        <v>2129</v>
      </c>
      <c r="BF174"/>
      <c r="BG174" s="863">
        <v>703799184</v>
      </c>
      <c r="BH174" s="863" t="s">
        <v>2129</v>
      </c>
      <c r="BI174" s="863" t="s">
        <v>2129</v>
      </c>
      <c r="BJ174" s="863" t="s">
        <v>2129</v>
      </c>
      <c r="BK174" s="863" t="s">
        <v>2129</v>
      </c>
      <c r="BL174" s="863" t="s">
        <v>2129</v>
      </c>
      <c r="BM174" s="863" t="s">
        <v>2129</v>
      </c>
      <c r="BN174" s="863" t="s">
        <v>2129</v>
      </c>
      <c r="BO174" s="863" t="s">
        <v>2129</v>
      </c>
      <c r="BP174" s="863" t="s">
        <v>2129</v>
      </c>
      <c r="BQ174" s="863" t="s">
        <v>2129</v>
      </c>
      <c r="BR174" s="863" t="s">
        <v>2129</v>
      </c>
      <c r="BS174" s="863" t="s">
        <v>2129</v>
      </c>
      <c r="BT174" s="863" t="s">
        <v>2129</v>
      </c>
      <c r="BU174" s="863" t="s">
        <v>2129</v>
      </c>
      <c r="BV174" s="863" t="s">
        <v>2129</v>
      </c>
      <c r="BW174" s="863">
        <v>401588680</v>
      </c>
      <c r="BX174" s="863" t="s">
        <v>2129</v>
      </c>
      <c r="BY174" s="863"/>
      <c r="BZ174" s="863" t="s">
        <v>2129</v>
      </c>
      <c r="CA174" s="863" t="s">
        <v>2129</v>
      </c>
      <c r="CB174" s="863" t="s">
        <v>2129</v>
      </c>
      <c r="CC174" s="863" t="s">
        <v>2129</v>
      </c>
      <c r="CD174" s="863"/>
      <c r="CE174" s="5785"/>
    </row>
    <row r="175" spans="1:83" ht="13">
      <c r="A175">
        <v>1027</v>
      </c>
      <c r="B175" s="5802" t="s">
        <v>3393</v>
      </c>
      <c r="C175" s="5785" t="s">
        <v>2695</v>
      </c>
      <c r="D175" s="5785" t="s">
        <v>2129</v>
      </c>
      <c r="E175" s="5785" t="s">
        <v>2129</v>
      </c>
      <c r="F175" s="5792" t="s">
        <v>5205</v>
      </c>
      <c r="G175" s="5792" t="s">
        <v>2129</v>
      </c>
      <c r="H175" s="5785">
        <v>11</v>
      </c>
      <c r="I175" s="5785">
        <v>3</v>
      </c>
      <c r="J175" s="5785">
        <v>7</v>
      </c>
      <c r="K175" s="5785">
        <v>8</v>
      </c>
      <c r="L175" s="5786">
        <v>19661769</v>
      </c>
      <c r="M175" s="5786">
        <v>0</v>
      </c>
      <c r="N175" s="5786">
        <v>0</v>
      </c>
      <c r="O175" s="5786">
        <v>0</v>
      </c>
      <c r="P175" s="5786">
        <v>0</v>
      </c>
      <c r="Q175" s="2476">
        <v>21627945.900000002</v>
      </c>
      <c r="R175" s="2477">
        <v>4961650</v>
      </c>
      <c r="S175" s="5798" t="b">
        <v>1</v>
      </c>
      <c r="T175" s="5786">
        <v>1653883.3333333333</v>
      </c>
      <c r="U175" s="863">
        <v>14761870</v>
      </c>
      <c r="V175" s="863" t="b">
        <v>1</v>
      </c>
      <c r="W175" s="863">
        <v>108543.16176470589</v>
      </c>
      <c r="X175" s="863">
        <v>80227.554347826081</v>
      </c>
      <c r="AC175">
        <v>150</v>
      </c>
      <c r="AD175" s="3965">
        <v>136</v>
      </c>
      <c r="AE175" s="3965">
        <v>14</v>
      </c>
      <c r="AF175">
        <v>216</v>
      </c>
      <c r="AG175">
        <v>150</v>
      </c>
      <c r="AH175" t="s">
        <v>2129</v>
      </c>
      <c r="AI175" t="s">
        <v>2129</v>
      </c>
      <c r="AJ175" s="1866">
        <v>160</v>
      </c>
      <c r="AK175" t="s">
        <v>2129</v>
      </c>
      <c r="AL175">
        <v>14</v>
      </c>
      <c r="AO175">
        <v>24</v>
      </c>
      <c r="AT175" t="s">
        <v>2129</v>
      </c>
      <c r="AU175" t="s">
        <v>2129</v>
      </c>
      <c r="AV175">
        <v>18</v>
      </c>
      <c r="AW175" t="s">
        <v>2129</v>
      </c>
      <c r="AX175" t="s">
        <v>2129</v>
      </c>
      <c r="AY175" t="s">
        <v>2129</v>
      </c>
      <c r="AZ175">
        <v>16</v>
      </c>
      <c r="BA175" t="s">
        <v>2129</v>
      </c>
      <c r="BB175" t="s">
        <v>2129</v>
      </c>
      <c r="BC175" t="s">
        <v>2129</v>
      </c>
      <c r="BD175" t="s">
        <v>2129</v>
      </c>
      <c r="BE175" s="1958" t="s">
        <v>2129</v>
      </c>
      <c r="BF175"/>
      <c r="BG175" s="863" t="s">
        <v>2129</v>
      </c>
      <c r="BH175" s="863" t="s">
        <v>2129</v>
      </c>
      <c r="BI175" s="863">
        <v>293066536.7647059</v>
      </c>
      <c r="BJ175" s="863" t="s">
        <v>2129</v>
      </c>
      <c r="BK175" s="863" t="s">
        <v>2129</v>
      </c>
      <c r="BL175" s="863" t="s">
        <v>2129</v>
      </c>
      <c r="BM175" s="863">
        <v>236189920</v>
      </c>
      <c r="BN175" s="863">
        <v>277870494.11764705</v>
      </c>
      <c r="BO175" s="863" t="s">
        <v>2129</v>
      </c>
      <c r="BP175" s="863" t="s">
        <v>2129</v>
      </c>
      <c r="BQ175" s="863" t="s">
        <v>2129</v>
      </c>
      <c r="BR175" s="863" t="s">
        <v>2129</v>
      </c>
      <c r="BS175" s="863" t="s">
        <v>2129</v>
      </c>
      <c r="BT175" s="863" t="s">
        <v>2129</v>
      </c>
      <c r="BU175" s="863" t="s">
        <v>2129</v>
      </c>
      <c r="BV175" s="863" t="s">
        <v>2129</v>
      </c>
      <c r="BW175" s="863" t="s">
        <v>2129</v>
      </c>
      <c r="BX175" s="863" t="s">
        <v>2129</v>
      </c>
      <c r="BY175" s="863"/>
      <c r="BZ175" s="863">
        <v>79386400</v>
      </c>
      <c r="CA175" s="863">
        <v>79386400</v>
      </c>
      <c r="CB175" s="863" t="s">
        <v>2129</v>
      </c>
      <c r="CC175" s="863" t="s">
        <v>2129</v>
      </c>
      <c r="CD175" s="863"/>
      <c r="CE175" s="5785"/>
    </row>
    <row r="176" spans="1:83" s="5782" customFormat="1" ht="13">
      <c r="A176" s="5782">
        <v>1028</v>
      </c>
      <c r="B176" s="5783" t="s">
        <v>3394</v>
      </c>
      <c r="C176" s="5784" t="s">
        <v>2129</v>
      </c>
      <c r="D176" s="5784" t="s">
        <v>2129</v>
      </c>
      <c r="E176" s="5784" t="s">
        <v>2129</v>
      </c>
      <c r="F176" s="5784" t="s">
        <v>2129</v>
      </c>
      <c r="G176" s="5784" t="s">
        <v>2129</v>
      </c>
      <c r="H176" s="5785">
        <v>1</v>
      </c>
      <c r="I176" s="5785">
        <v>0</v>
      </c>
      <c r="J176" s="5785">
        <v>4</v>
      </c>
      <c r="K176" s="5785" t="s">
        <v>2129</v>
      </c>
      <c r="L176" s="5786">
        <v>0</v>
      </c>
      <c r="M176" s="5786">
        <v>0</v>
      </c>
      <c r="N176" s="5786">
        <v>0</v>
      </c>
      <c r="O176" s="5786">
        <v>0</v>
      </c>
      <c r="P176" s="5786">
        <v>0</v>
      </c>
      <c r="Q176" s="2476">
        <v>0</v>
      </c>
      <c r="R176" s="2477">
        <v>0</v>
      </c>
      <c r="S176" s="2477" t="b">
        <v>1</v>
      </c>
      <c r="T176" s="5786" t="s">
        <v>2129</v>
      </c>
      <c r="U176" s="5788">
        <v>399590</v>
      </c>
      <c r="V176" s="5788" t="b">
        <v>1</v>
      </c>
      <c r="W176" s="5788">
        <v>15983.6</v>
      </c>
      <c r="X176" s="5788" t="s">
        <v>2129</v>
      </c>
      <c r="Y176" s="5788"/>
      <c r="Z176" s="5788"/>
      <c r="AA176" s="5788"/>
      <c r="AB176" s="5788"/>
      <c r="AC176" s="5782">
        <v>25</v>
      </c>
      <c r="AD176" s="5789">
        <v>25</v>
      </c>
      <c r="AE176" s="5789">
        <v>0</v>
      </c>
      <c r="AF176" s="5782">
        <v>54</v>
      </c>
      <c r="AG176" s="5782" t="s">
        <v>2129</v>
      </c>
      <c r="AH176" s="5782" t="s">
        <v>2129</v>
      </c>
      <c r="AI176" s="5782" t="s">
        <v>2129</v>
      </c>
      <c r="AJ176" s="5782" t="s">
        <v>2129</v>
      </c>
      <c r="AK176" s="5782" t="s">
        <v>2129</v>
      </c>
      <c r="AL176" s="5782" t="s">
        <v>2129</v>
      </c>
      <c r="AO176" s="5782" t="s">
        <v>2129</v>
      </c>
      <c r="AT176" s="5782" t="s">
        <v>2129</v>
      </c>
      <c r="AU176" s="5782" t="s">
        <v>2129</v>
      </c>
      <c r="AV176" s="5782" t="s">
        <v>2129</v>
      </c>
      <c r="AW176" s="5782" t="s">
        <v>2129</v>
      </c>
      <c r="AX176" s="5782" t="s">
        <v>2129</v>
      </c>
      <c r="AY176" s="5782" t="s">
        <v>2129</v>
      </c>
      <c r="AZ176" s="5782" t="s">
        <v>2129</v>
      </c>
      <c r="BA176" s="5782" t="s">
        <v>2129</v>
      </c>
      <c r="BB176" s="5782" t="s">
        <v>2129</v>
      </c>
      <c r="BC176" s="5782" t="s">
        <v>2129</v>
      </c>
      <c r="BD176" s="5782" t="s">
        <v>2129</v>
      </c>
      <c r="BE176" s="5788" t="s">
        <v>2129</v>
      </c>
      <c r="BG176" s="5788" t="s">
        <v>2129</v>
      </c>
      <c r="BH176" s="5788" t="s">
        <v>2129</v>
      </c>
      <c r="BI176" s="5788" t="s">
        <v>2129</v>
      </c>
      <c r="BJ176" s="5788" t="s">
        <v>2129</v>
      </c>
      <c r="BK176" s="5788" t="s">
        <v>2129</v>
      </c>
      <c r="BL176" s="5788" t="s">
        <v>2129</v>
      </c>
      <c r="BM176" s="5788" t="s">
        <v>2129</v>
      </c>
      <c r="BN176" s="5788" t="s">
        <v>2129</v>
      </c>
      <c r="BO176" s="5788" t="s">
        <v>2129</v>
      </c>
      <c r="BP176" s="5788" t="s">
        <v>2129</v>
      </c>
      <c r="BQ176" s="5788" t="s">
        <v>2129</v>
      </c>
      <c r="BR176" s="5788" t="s">
        <v>2129</v>
      </c>
      <c r="BS176" s="5788" t="s">
        <v>2129</v>
      </c>
      <c r="BT176" s="5788" t="s">
        <v>2129</v>
      </c>
      <c r="BU176" s="5788" t="s">
        <v>2129</v>
      </c>
      <c r="BV176" s="5788" t="s">
        <v>2129</v>
      </c>
      <c r="BW176" s="5788" t="s">
        <v>2129</v>
      </c>
      <c r="BX176" s="5788" t="s">
        <v>2129</v>
      </c>
      <c r="BY176" s="5788"/>
      <c r="BZ176" s="5788" t="s">
        <v>2129</v>
      </c>
      <c r="CA176" s="5788" t="s">
        <v>2129</v>
      </c>
      <c r="CB176" s="5788" t="s">
        <v>2129</v>
      </c>
      <c r="CC176" s="5788" t="s">
        <v>2129</v>
      </c>
      <c r="CD176" s="5788"/>
      <c r="CE176" s="5784"/>
    </row>
    <row r="177" spans="1:83" ht="13">
      <c r="A177">
        <v>1029</v>
      </c>
      <c r="B177" s="196" t="s">
        <v>2870</v>
      </c>
      <c r="C177" s="5785" t="s">
        <v>2129</v>
      </c>
      <c r="D177" s="2694" t="s">
        <v>3791</v>
      </c>
      <c r="E177" s="2694" t="s">
        <v>2129</v>
      </c>
      <c r="F177" s="5785" t="s">
        <v>2129</v>
      </c>
      <c r="G177" s="5785" t="s">
        <v>2129</v>
      </c>
      <c r="H177" s="5785">
        <v>6</v>
      </c>
      <c r="I177" s="5785">
        <v>5</v>
      </c>
      <c r="J177" s="5785">
        <v>9</v>
      </c>
      <c r="K177" s="5785" t="s">
        <v>2129</v>
      </c>
      <c r="L177" s="5786">
        <v>4706</v>
      </c>
      <c r="M177" s="5786">
        <v>0</v>
      </c>
      <c r="N177" s="5786">
        <v>0</v>
      </c>
      <c r="O177" s="5786">
        <v>14550</v>
      </c>
      <c r="P177" s="5786">
        <v>0</v>
      </c>
      <c r="Q177" s="2476">
        <v>19726.599999999999</v>
      </c>
      <c r="R177" s="2477">
        <v>19726</v>
      </c>
      <c r="S177" s="2477" t="b">
        <v>0</v>
      </c>
      <c r="T177" s="5786">
        <v>3945.2</v>
      </c>
      <c r="U177" s="863">
        <v>7595514</v>
      </c>
      <c r="V177" s="863" t="b">
        <v>1</v>
      </c>
      <c r="W177" s="863">
        <v>51670.163265306124</v>
      </c>
      <c r="X177" s="863" t="s">
        <v>2129</v>
      </c>
      <c r="AC177">
        <v>147</v>
      </c>
      <c r="AD177" s="3965">
        <v>147</v>
      </c>
      <c r="AE177" s="3965">
        <v>0</v>
      </c>
      <c r="AF177">
        <v>316</v>
      </c>
      <c r="AG177" t="s">
        <v>2129</v>
      </c>
      <c r="AH177">
        <v>97</v>
      </c>
      <c r="AI177" t="s">
        <v>2129</v>
      </c>
      <c r="AJ177" t="s">
        <v>2129</v>
      </c>
      <c r="AK177" t="s">
        <v>2129</v>
      </c>
      <c r="AL177" t="s">
        <v>2129</v>
      </c>
      <c r="AM177">
        <v>-50</v>
      </c>
      <c r="AO177" t="s">
        <v>2129</v>
      </c>
      <c r="AT177" t="s">
        <v>2129</v>
      </c>
      <c r="AU177" t="s">
        <v>2129</v>
      </c>
      <c r="AV177" t="s">
        <v>2129</v>
      </c>
      <c r="AW177" t="s">
        <v>2129</v>
      </c>
      <c r="AX177">
        <v>11</v>
      </c>
      <c r="AY177" t="s">
        <v>2129</v>
      </c>
      <c r="AZ177" t="s">
        <v>2129</v>
      </c>
      <c r="BA177" t="s">
        <v>2129</v>
      </c>
      <c r="BB177" t="s">
        <v>2129</v>
      </c>
      <c r="BC177" t="s">
        <v>2129</v>
      </c>
      <c r="BD177" t="s">
        <v>2129</v>
      </c>
      <c r="BE177" s="1958" t="s">
        <v>2129</v>
      </c>
      <c r="BF177"/>
      <c r="BG177" s="863" t="s">
        <v>2129</v>
      </c>
      <c r="BH177" s="863" t="s">
        <v>2129</v>
      </c>
      <c r="BI177" s="863" t="s">
        <v>2129</v>
      </c>
      <c r="BJ177" s="863" t="s">
        <v>2129</v>
      </c>
      <c r="BK177" s="863">
        <v>55132064.20408164</v>
      </c>
      <c r="BL177" s="863" t="s">
        <v>2129</v>
      </c>
      <c r="BM177" s="863" t="s">
        <v>2129</v>
      </c>
      <c r="BN177" s="863" t="s">
        <v>2129</v>
      </c>
      <c r="BO177" s="863" t="s">
        <v>2129</v>
      </c>
      <c r="BP177" s="863" t="s">
        <v>2129</v>
      </c>
      <c r="BQ177" s="863" t="s">
        <v>2129</v>
      </c>
      <c r="BR177" s="863" t="s">
        <v>2129</v>
      </c>
      <c r="BS177" s="863" t="s">
        <v>2129</v>
      </c>
      <c r="BT177" s="863" t="s">
        <v>2129</v>
      </c>
      <c r="BU177" s="863" t="s">
        <v>2129</v>
      </c>
      <c r="BV177" s="863" t="s">
        <v>2129</v>
      </c>
      <c r="BW177" s="863" t="s">
        <v>2129</v>
      </c>
      <c r="BX177" s="863" t="s">
        <v>2129</v>
      </c>
      <c r="BY177" s="863"/>
      <c r="BZ177" s="863" t="s">
        <v>2129</v>
      </c>
      <c r="CA177" s="863" t="s">
        <v>2129</v>
      </c>
      <c r="CB177" s="863" t="s">
        <v>2129</v>
      </c>
      <c r="CC177" s="863" t="s">
        <v>2129</v>
      </c>
      <c r="CD177" s="863"/>
      <c r="CE177" s="5785"/>
    </row>
    <row r="178" spans="1:83" ht="13">
      <c r="A178">
        <v>1030</v>
      </c>
      <c r="B178" s="196" t="s">
        <v>3395</v>
      </c>
      <c r="C178" s="5790" t="s">
        <v>6616</v>
      </c>
      <c r="D178" s="5790" t="s">
        <v>6599</v>
      </c>
      <c r="E178" s="5790" t="s">
        <v>2129</v>
      </c>
      <c r="F178" s="5785" t="s">
        <v>2129</v>
      </c>
      <c r="G178" s="5785" t="s">
        <v>2129</v>
      </c>
      <c r="H178" s="5785">
        <v>9</v>
      </c>
      <c r="I178" s="5785">
        <v>6</v>
      </c>
      <c r="J178" s="5785">
        <v>9</v>
      </c>
      <c r="K178" s="5785">
        <v>3</v>
      </c>
      <c r="L178" s="5786">
        <v>1194121</v>
      </c>
      <c r="M178" s="5786">
        <v>0</v>
      </c>
      <c r="N178" s="5786">
        <v>0</v>
      </c>
      <c r="O178" s="5786">
        <v>8250</v>
      </c>
      <c r="P178" s="5786">
        <v>0</v>
      </c>
      <c r="Q178" s="2476">
        <v>1321783.1000000001</v>
      </c>
      <c r="R178" s="2477">
        <v>1321783</v>
      </c>
      <c r="S178" s="2477" t="b">
        <v>0</v>
      </c>
      <c r="T178" s="5786">
        <v>220297.16666666666</v>
      </c>
      <c r="U178" s="863">
        <v>1097448</v>
      </c>
      <c r="V178" s="863" t="b">
        <v>1</v>
      </c>
      <c r="W178" s="863">
        <v>27436.2</v>
      </c>
      <c r="X178" s="863" t="s">
        <v>2129</v>
      </c>
      <c r="Y178" s="863">
        <v>2200</v>
      </c>
      <c r="AC178">
        <v>67</v>
      </c>
      <c r="AD178" s="3965">
        <v>40</v>
      </c>
      <c r="AE178" s="3965">
        <v>27</v>
      </c>
      <c r="AF178">
        <v>110</v>
      </c>
      <c r="AG178">
        <v>67</v>
      </c>
      <c r="AH178" t="s">
        <v>2129</v>
      </c>
      <c r="AI178" t="s">
        <v>2129</v>
      </c>
      <c r="AJ178" t="s">
        <v>2129</v>
      </c>
      <c r="AK178" t="s">
        <v>2129</v>
      </c>
      <c r="AL178">
        <v>27</v>
      </c>
      <c r="AO178" t="s">
        <v>2129</v>
      </c>
      <c r="AT178">
        <v>15</v>
      </c>
      <c r="AU178">
        <v>15</v>
      </c>
      <c r="AV178" t="s">
        <v>2129</v>
      </c>
      <c r="AW178" t="s">
        <v>2129</v>
      </c>
      <c r="AX178" t="s">
        <v>2129</v>
      </c>
      <c r="AY178" t="s">
        <v>2129</v>
      </c>
      <c r="AZ178" t="s">
        <v>2129</v>
      </c>
      <c r="BA178" t="s">
        <v>2129</v>
      </c>
      <c r="BB178" t="s">
        <v>2129</v>
      </c>
      <c r="BC178" t="s">
        <v>2129</v>
      </c>
      <c r="BD178" t="s">
        <v>2129</v>
      </c>
      <c r="BE178" s="1958">
        <v>16461720</v>
      </c>
      <c r="BF178" s="1958">
        <v>16461720</v>
      </c>
      <c r="BG178" s="1958" t="s">
        <v>2129</v>
      </c>
      <c r="BH178" s="1958" t="s">
        <v>2129</v>
      </c>
      <c r="BI178" s="1958" t="s">
        <v>2129</v>
      </c>
      <c r="BJ178" s="1958" t="s">
        <v>2129</v>
      </c>
      <c r="BK178" s="1958" t="s">
        <v>2129</v>
      </c>
      <c r="BL178" s="1958" t="s">
        <v>2129</v>
      </c>
      <c r="BM178" s="1958" t="s">
        <v>2129</v>
      </c>
      <c r="BN178" s="863" t="s">
        <v>2129</v>
      </c>
      <c r="BO178" s="863" t="s">
        <v>2129</v>
      </c>
      <c r="BP178" s="1958" t="s">
        <v>2129</v>
      </c>
      <c r="BQ178" s="1958" t="s">
        <v>2129</v>
      </c>
      <c r="BR178" s="1958" t="s">
        <v>2129</v>
      </c>
      <c r="BS178" s="1958" t="s">
        <v>2129</v>
      </c>
      <c r="BT178" s="1958" t="s">
        <v>2129</v>
      </c>
      <c r="BU178" s="1958">
        <v>19826745</v>
      </c>
      <c r="BV178" s="1958">
        <v>19826745</v>
      </c>
      <c r="BW178" s="1958" t="s">
        <v>2129</v>
      </c>
      <c r="BX178" s="1958" t="s">
        <v>2129</v>
      </c>
      <c r="BZ178" s="1958" t="s">
        <v>2129</v>
      </c>
      <c r="CA178" s="1958" t="s">
        <v>2129</v>
      </c>
      <c r="CB178" s="1958" t="s">
        <v>2129</v>
      </c>
      <c r="CC178" s="1958" t="s">
        <v>2129</v>
      </c>
      <c r="CE178" s="5785"/>
    </row>
    <row r="179" spans="1:83" ht="13">
      <c r="A179">
        <v>1032</v>
      </c>
      <c r="B179" s="196" t="s">
        <v>3396</v>
      </c>
      <c r="C179" s="5785" t="s">
        <v>2129</v>
      </c>
      <c r="D179" s="5785" t="s">
        <v>5293</v>
      </c>
      <c r="E179" s="5785" t="s">
        <v>2129</v>
      </c>
      <c r="F179" s="5785" t="s">
        <v>2695</v>
      </c>
      <c r="G179" s="5785" t="s">
        <v>2129</v>
      </c>
      <c r="H179" s="5785">
        <v>4</v>
      </c>
      <c r="I179" s="5785">
        <v>4</v>
      </c>
      <c r="J179" s="5785">
        <v>4</v>
      </c>
      <c r="K179" s="5785">
        <v>0</v>
      </c>
      <c r="L179" s="5786">
        <v>4339650</v>
      </c>
      <c r="M179" s="5786">
        <v>0</v>
      </c>
      <c r="N179" s="5786">
        <v>0</v>
      </c>
      <c r="O179" s="5786">
        <v>0</v>
      </c>
      <c r="P179" s="5786">
        <v>0</v>
      </c>
      <c r="Q179" s="2476">
        <v>4773615</v>
      </c>
      <c r="R179" s="2477">
        <v>4773615</v>
      </c>
      <c r="S179" s="2477" t="b">
        <v>1</v>
      </c>
      <c r="T179" s="5786">
        <v>1193403.75</v>
      </c>
      <c r="U179" s="863">
        <v>25771836</v>
      </c>
      <c r="V179" s="863" t="b">
        <v>1</v>
      </c>
      <c r="W179" s="863">
        <v>104763.56097560975</v>
      </c>
      <c r="X179" s="863">
        <v>89641.168695652173</v>
      </c>
      <c r="AC179">
        <v>250</v>
      </c>
      <c r="AD179" s="3965">
        <v>246</v>
      </c>
      <c r="AE179" s="3965">
        <v>4</v>
      </c>
      <c r="AF179" t="s">
        <v>3308</v>
      </c>
      <c r="AG179" t="s">
        <v>2129</v>
      </c>
      <c r="AH179">
        <v>225</v>
      </c>
      <c r="AI179" t="s">
        <v>2129</v>
      </c>
      <c r="AJ179">
        <v>250</v>
      </c>
      <c r="AK179" t="s">
        <v>2129</v>
      </c>
      <c r="AL179" t="s">
        <v>2129</v>
      </c>
      <c r="AO179">
        <v>4</v>
      </c>
      <c r="AT179" t="s">
        <v>2129</v>
      </c>
      <c r="AU179" t="s">
        <v>2129</v>
      </c>
      <c r="AV179">
        <v>20</v>
      </c>
      <c r="AW179" t="s">
        <v>2129</v>
      </c>
      <c r="AX179" t="s">
        <v>2129</v>
      </c>
      <c r="AY179" t="s">
        <v>2129</v>
      </c>
      <c r="AZ179" t="s">
        <v>2129</v>
      </c>
      <c r="BA179">
        <v>9</v>
      </c>
      <c r="BB179" t="s">
        <v>2129</v>
      </c>
      <c r="BC179" t="s">
        <v>2129</v>
      </c>
      <c r="BD179" t="s">
        <v>2129</v>
      </c>
      <c r="BE179" s="1958" t="s">
        <v>2129</v>
      </c>
      <c r="BF179"/>
      <c r="BG179" s="863">
        <v>471436024.39024389</v>
      </c>
      <c r="BH179" s="863" t="s">
        <v>2129</v>
      </c>
      <c r="BI179" s="863" t="s">
        <v>2129</v>
      </c>
      <c r="BJ179" s="863" t="s">
        <v>2129</v>
      </c>
      <c r="BK179" s="863" t="s">
        <v>2129</v>
      </c>
      <c r="BL179" s="863" t="s">
        <v>2129</v>
      </c>
      <c r="BM179" s="863" t="s">
        <v>2129</v>
      </c>
      <c r="BN179" s="863" t="s">
        <v>2129</v>
      </c>
      <c r="BO179" s="863" t="s">
        <v>2129</v>
      </c>
      <c r="BP179" s="863" t="s">
        <v>2129</v>
      </c>
      <c r="BQ179" s="863" t="s">
        <v>2129</v>
      </c>
      <c r="BR179" s="863">
        <v>235718012.19512194</v>
      </c>
      <c r="BS179" s="863" t="s">
        <v>2129</v>
      </c>
      <c r="BT179" s="863" t="s">
        <v>2129</v>
      </c>
      <c r="BU179" s="863" t="s">
        <v>2129</v>
      </c>
      <c r="BV179" s="863" t="s">
        <v>2129</v>
      </c>
      <c r="BW179" s="863">
        <v>95472300</v>
      </c>
      <c r="BX179" s="863" t="s">
        <v>2129</v>
      </c>
      <c r="BY179" s="863"/>
      <c r="BZ179" s="863" t="s">
        <v>2129</v>
      </c>
      <c r="CA179" s="863" t="s">
        <v>2129</v>
      </c>
      <c r="CB179" s="863" t="s">
        <v>2129</v>
      </c>
      <c r="CC179" s="863" t="s">
        <v>2129</v>
      </c>
      <c r="CD179" s="863"/>
      <c r="CE179" s="5785"/>
    </row>
    <row r="180" spans="1:83" ht="13">
      <c r="A180">
        <v>1033</v>
      </c>
      <c r="B180" s="196" t="s">
        <v>3397</v>
      </c>
      <c r="C180" s="5785" t="s">
        <v>2695</v>
      </c>
      <c r="D180" s="5785" t="s">
        <v>2129</v>
      </c>
      <c r="E180" s="5785" t="s">
        <v>2129</v>
      </c>
      <c r="F180" s="5792" t="s">
        <v>5205</v>
      </c>
      <c r="G180" s="5792" t="s">
        <v>2129</v>
      </c>
      <c r="H180" s="5785">
        <v>4</v>
      </c>
      <c r="I180" s="5785">
        <v>4</v>
      </c>
      <c r="J180" s="5785">
        <v>4</v>
      </c>
      <c r="K180" s="5785">
        <v>0</v>
      </c>
      <c r="L180" s="5786">
        <v>4339650</v>
      </c>
      <c r="M180" s="5786">
        <v>0</v>
      </c>
      <c r="N180" s="5786">
        <v>0</v>
      </c>
      <c r="O180" s="5786">
        <v>0</v>
      </c>
      <c r="P180" s="5786">
        <v>0</v>
      </c>
      <c r="Q180" s="2476">
        <v>4773615</v>
      </c>
      <c r="R180" s="2477">
        <v>4773615</v>
      </c>
      <c r="S180" s="2477" t="b">
        <v>1</v>
      </c>
      <c r="T180" s="5786">
        <v>1193403.75</v>
      </c>
      <c r="U180" s="863">
        <v>8750896</v>
      </c>
      <c r="V180" s="863" t="b">
        <v>1</v>
      </c>
      <c r="W180" s="863">
        <v>125012.8</v>
      </c>
      <c r="X180" s="863">
        <v>95118.434782608689</v>
      </c>
      <c r="AA180" s="863">
        <v>113648</v>
      </c>
      <c r="AB180" s="863">
        <v>113648</v>
      </c>
      <c r="AC180" s="1064" t="s">
        <v>3308</v>
      </c>
      <c r="AD180" s="3965">
        <v>70</v>
      </c>
      <c r="AE180" s="3965" t="e">
        <v>#VALUE!</v>
      </c>
      <c r="AF180" s="1064" t="s">
        <v>4470</v>
      </c>
      <c r="AG180">
        <v>100</v>
      </c>
      <c r="AH180" t="s">
        <v>2129</v>
      </c>
      <c r="AI180" t="s">
        <v>2129</v>
      </c>
      <c r="AJ180">
        <v>80</v>
      </c>
      <c r="AK180" t="s">
        <v>2129</v>
      </c>
      <c r="AL180">
        <v>30</v>
      </c>
      <c r="AO180">
        <v>10</v>
      </c>
      <c r="AT180" t="s">
        <v>2129</v>
      </c>
      <c r="AU180" t="s">
        <v>2129</v>
      </c>
      <c r="AV180">
        <v>18</v>
      </c>
      <c r="AW180" t="s">
        <v>2129</v>
      </c>
      <c r="AX180" t="s">
        <v>2129</v>
      </c>
      <c r="AY180" t="s">
        <v>2129</v>
      </c>
      <c r="AZ180" s="191">
        <v>16</v>
      </c>
      <c r="BA180" t="s">
        <v>2129</v>
      </c>
      <c r="BB180" t="s">
        <v>2129</v>
      </c>
      <c r="BC180" t="s">
        <v>2129</v>
      </c>
      <c r="BD180" t="s">
        <v>2129</v>
      </c>
      <c r="BE180" s="1958" t="s">
        <v>2129</v>
      </c>
      <c r="BF180"/>
      <c r="BG180" s="863" t="s">
        <v>2129</v>
      </c>
      <c r="BH180" s="863" t="s">
        <v>2129</v>
      </c>
      <c r="BI180" s="863">
        <v>225023040</v>
      </c>
      <c r="BJ180" s="863" t="s">
        <v>2129</v>
      </c>
      <c r="BK180" s="863" t="s">
        <v>2129</v>
      </c>
      <c r="BL180" s="863" t="s">
        <v>2129</v>
      </c>
      <c r="BM180" s="863">
        <v>140014336</v>
      </c>
      <c r="BN180" s="863">
        <v>160016384</v>
      </c>
      <c r="BO180" s="863" t="s">
        <v>2129</v>
      </c>
      <c r="BP180" s="863" t="s">
        <v>2129</v>
      </c>
      <c r="BQ180" s="863" t="s">
        <v>2129</v>
      </c>
      <c r="BR180" s="863" t="s">
        <v>2129</v>
      </c>
      <c r="BS180" s="863" t="s">
        <v>2129</v>
      </c>
      <c r="BT180" s="863" t="s">
        <v>2129</v>
      </c>
      <c r="BU180" s="863" t="s">
        <v>2129</v>
      </c>
      <c r="BV180" s="863" t="s">
        <v>2129</v>
      </c>
      <c r="BW180" s="863" t="s">
        <v>2129</v>
      </c>
      <c r="BX180" s="863" t="s">
        <v>2129</v>
      </c>
      <c r="BY180" s="863"/>
      <c r="BZ180" s="863">
        <v>76377840</v>
      </c>
      <c r="CA180" s="863">
        <v>76377840</v>
      </c>
      <c r="CB180" s="863" t="s">
        <v>2129</v>
      </c>
      <c r="CC180" s="863" t="s">
        <v>2129</v>
      </c>
      <c r="CD180" s="863"/>
      <c r="CE180" s="5785"/>
    </row>
    <row r="181" spans="1:83" ht="13">
      <c r="A181">
        <v>1034</v>
      </c>
      <c r="B181" s="196" t="s">
        <v>3398</v>
      </c>
      <c r="C181" s="5785" t="s">
        <v>2129</v>
      </c>
      <c r="D181" s="5785" t="s">
        <v>5293</v>
      </c>
      <c r="E181" s="5785" t="s">
        <v>2129</v>
      </c>
      <c r="F181" s="5785" t="s">
        <v>2695</v>
      </c>
      <c r="G181" s="5785" t="s">
        <v>2129</v>
      </c>
      <c r="H181" s="5785">
        <v>4</v>
      </c>
      <c r="I181" s="5785">
        <v>4</v>
      </c>
      <c r="J181" s="5785">
        <v>4</v>
      </c>
      <c r="K181" s="5785">
        <v>0</v>
      </c>
      <c r="L181" s="5786">
        <v>4339650</v>
      </c>
      <c r="M181" s="5786">
        <v>0</v>
      </c>
      <c r="N181" s="5786">
        <v>0</v>
      </c>
      <c r="O181" s="5786">
        <v>0</v>
      </c>
      <c r="P181" s="5786">
        <v>0</v>
      </c>
      <c r="Q181" s="2476">
        <v>4773615</v>
      </c>
      <c r="R181" s="2477">
        <v>4773615</v>
      </c>
      <c r="S181" s="2477" t="b">
        <v>1</v>
      </c>
      <c r="T181" s="5786">
        <v>1193403.75</v>
      </c>
      <c r="U181" s="863">
        <v>13501382</v>
      </c>
      <c r="V181" s="863" t="b">
        <v>1</v>
      </c>
      <c r="W181" s="863">
        <v>125012.79629629629</v>
      </c>
      <c r="X181" s="863">
        <v>117403.32173913045</v>
      </c>
      <c r="AC181">
        <v>165</v>
      </c>
      <c r="AD181" s="3965">
        <v>108</v>
      </c>
      <c r="AE181" s="3965">
        <v>57</v>
      </c>
      <c r="AF181" t="s">
        <v>3308</v>
      </c>
      <c r="AG181" t="s">
        <v>2129</v>
      </c>
      <c r="AH181">
        <v>100</v>
      </c>
      <c r="AI181" t="s">
        <v>2129</v>
      </c>
      <c r="AJ181">
        <v>100</v>
      </c>
      <c r="AK181" t="s">
        <v>2129</v>
      </c>
      <c r="AL181" t="s">
        <v>2129</v>
      </c>
      <c r="AO181">
        <v>-8</v>
      </c>
      <c r="AT181" t="s">
        <v>2129</v>
      </c>
      <c r="AU181" t="s">
        <v>2129</v>
      </c>
      <c r="AV181">
        <v>20</v>
      </c>
      <c r="AW181" t="s">
        <v>2129</v>
      </c>
      <c r="AX181" t="s">
        <v>2129</v>
      </c>
      <c r="AY181" t="s">
        <v>2129</v>
      </c>
      <c r="AZ181" t="s">
        <v>2129</v>
      </c>
      <c r="BA181">
        <v>9</v>
      </c>
      <c r="BB181" t="s">
        <v>2129</v>
      </c>
      <c r="BC181" t="s">
        <v>2129</v>
      </c>
      <c r="BD181" t="s">
        <v>2129</v>
      </c>
      <c r="BE181" s="1958" t="s">
        <v>2129</v>
      </c>
      <c r="BF181"/>
      <c r="BG181" s="863">
        <v>250025592.59259257</v>
      </c>
      <c r="BH181" s="863" t="s">
        <v>2129</v>
      </c>
      <c r="BI181" s="863" t="s">
        <v>2129</v>
      </c>
      <c r="BJ181" s="863" t="s">
        <v>2129</v>
      </c>
      <c r="BK181" s="863" t="s">
        <v>2129</v>
      </c>
      <c r="BL181" s="863" t="s">
        <v>2129</v>
      </c>
      <c r="BM181" s="863" t="s">
        <v>2129</v>
      </c>
      <c r="BN181" s="863" t="s">
        <v>2129</v>
      </c>
      <c r="BO181" s="863" t="s">
        <v>2129</v>
      </c>
      <c r="BP181" s="863" t="s">
        <v>2129</v>
      </c>
      <c r="BQ181" s="863" t="s">
        <v>2129</v>
      </c>
      <c r="BR181" s="863">
        <v>112511516.66666666</v>
      </c>
      <c r="BS181" s="863" t="s">
        <v>2129</v>
      </c>
      <c r="BT181" s="863" t="s">
        <v>2129</v>
      </c>
      <c r="BU181" s="863" t="s">
        <v>2129</v>
      </c>
      <c r="BV181" s="863" t="s">
        <v>2129</v>
      </c>
      <c r="BW181" s="863">
        <v>95472300</v>
      </c>
      <c r="BX181" s="863" t="s">
        <v>2129</v>
      </c>
      <c r="BY181" s="863"/>
      <c r="BZ181" s="863" t="s">
        <v>2129</v>
      </c>
      <c r="CA181" s="863" t="s">
        <v>2129</v>
      </c>
      <c r="CB181" s="863" t="s">
        <v>2129</v>
      </c>
      <c r="CC181" s="863" t="s">
        <v>2129</v>
      </c>
      <c r="CD181" s="863"/>
      <c r="CE181" s="5785"/>
    </row>
    <row r="182" spans="1:83" s="5782" customFormat="1" ht="13">
      <c r="A182" s="5782">
        <v>1035</v>
      </c>
      <c r="B182" s="5783" t="s">
        <v>3399</v>
      </c>
      <c r="C182" s="5784" t="s">
        <v>2129</v>
      </c>
      <c r="D182" s="5784" t="s">
        <v>2129</v>
      </c>
      <c r="E182" s="5784" t="s">
        <v>2129</v>
      </c>
      <c r="F182" s="5784" t="s">
        <v>2129</v>
      </c>
      <c r="G182" s="5784" t="s">
        <v>2129</v>
      </c>
      <c r="H182" s="5785">
        <v>0</v>
      </c>
      <c r="I182" s="5785">
        <v>0</v>
      </c>
      <c r="J182" s="5785">
        <v>0</v>
      </c>
      <c r="K182" s="5785" t="s">
        <v>2129</v>
      </c>
      <c r="L182" s="5786">
        <v>0</v>
      </c>
      <c r="M182" s="5786">
        <v>0</v>
      </c>
      <c r="N182" s="5786">
        <v>0</v>
      </c>
      <c r="O182" s="5786">
        <v>0</v>
      </c>
      <c r="P182" s="5786">
        <v>0</v>
      </c>
      <c r="Q182" s="2476">
        <v>0</v>
      </c>
      <c r="R182" s="2477">
        <v>0</v>
      </c>
      <c r="S182" s="2477" t="b">
        <v>1</v>
      </c>
      <c r="T182" s="5786" t="s">
        <v>2129</v>
      </c>
      <c r="U182" s="5788">
        <v>0</v>
      </c>
      <c r="V182" s="5788" t="b">
        <v>1</v>
      </c>
      <c r="W182" s="5788"/>
      <c r="X182" s="5788" t="s">
        <v>2129</v>
      </c>
      <c r="Y182" s="5788"/>
      <c r="Z182" s="5788"/>
      <c r="AA182" s="5788"/>
      <c r="AB182" s="5788"/>
      <c r="AC182" s="5782" t="s">
        <v>3308</v>
      </c>
      <c r="AD182" s="5789">
        <v>0</v>
      </c>
      <c r="AE182" s="5789" t="e">
        <v>#VALUE!</v>
      </c>
      <c r="AF182" s="5782" t="s">
        <v>3308</v>
      </c>
      <c r="AG182" s="5782" t="s">
        <v>2129</v>
      </c>
      <c r="AH182" s="5782" t="s">
        <v>2129</v>
      </c>
      <c r="AI182" s="5782" t="s">
        <v>2129</v>
      </c>
      <c r="AJ182" s="5782" t="s">
        <v>2129</v>
      </c>
      <c r="AK182" s="5782" t="s">
        <v>2129</v>
      </c>
      <c r="AL182" s="5782" t="s">
        <v>2129</v>
      </c>
      <c r="AO182" s="5782" t="s">
        <v>2129</v>
      </c>
      <c r="AT182" s="5782" t="s">
        <v>2129</v>
      </c>
      <c r="AU182" s="5782" t="s">
        <v>2129</v>
      </c>
      <c r="AV182" s="5782" t="s">
        <v>2129</v>
      </c>
      <c r="AW182" s="5782" t="s">
        <v>2129</v>
      </c>
      <c r="AX182" s="5782" t="s">
        <v>2129</v>
      </c>
      <c r="AY182" s="5782" t="s">
        <v>2129</v>
      </c>
      <c r="AZ182" s="5782" t="s">
        <v>2129</v>
      </c>
      <c r="BA182" s="5782" t="s">
        <v>2129</v>
      </c>
      <c r="BB182" s="5782" t="s">
        <v>2129</v>
      </c>
      <c r="BC182" s="5782" t="s">
        <v>2129</v>
      </c>
      <c r="BD182" s="5782" t="s">
        <v>2129</v>
      </c>
      <c r="BE182" s="5788" t="s">
        <v>2129</v>
      </c>
      <c r="BG182" s="5788" t="s">
        <v>2129</v>
      </c>
      <c r="BH182" s="5788" t="s">
        <v>2129</v>
      </c>
      <c r="BI182" s="5788" t="s">
        <v>2129</v>
      </c>
      <c r="BJ182" s="5788" t="s">
        <v>2129</v>
      </c>
      <c r="BK182" s="5788" t="s">
        <v>2129</v>
      </c>
      <c r="BL182" s="5788" t="s">
        <v>2129</v>
      </c>
      <c r="BM182" s="5788" t="s">
        <v>2129</v>
      </c>
      <c r="BN182" s="5788" t="s">
        <v>2129</v>
      </c>
      <c r="BO182" s="5788" t="s">
        <v>2129</v>
      </c>
      <c r="BP182" s="5788" t="s">
        <v>2129</v>
      </c>
      <c r="BQ182" s="5788" t="s">
        <v>2129</v>
      </c>
      <c r="BR182" s="5788" t="s">
        <v>2129</v>
      </c>
      <c r="BS182" s="5788" t="s">
        <v>2129</v>
      </c>
      <c r="BT182" s="5788" t="s">
        <v>2129</v>
      </c>
      <c r="BU182" s="5788" t="s">
        <v>2129</v>
      </c>
      <c r="BV182" s="5788" t="s">
        <v>2129</v>
      </c>
      <c r="BW182" s="5788" t="s">
        <v>2129</v>
      </c>
      <c r="BX182" s="5788" t="s">
        <v>2129</v>
      </c>
      <c r="BY182" s="5788"/>
      <c r="BZ182" s="5788" t="s">
        <v>2129</v>
      </c>
      <c r="CA182" s="5788" t="s">
        <v>2129</v>
      </c>
      <c r="CB182" s="5788" t="s">
        <v>2129</v>
      </c>
      <c r="CC182" s="5788" t="s">
        <v>2129</v>
      </c>
      <c r="CD182" s="5788"/>
      <c r="CE182" s="5784"/>
    </row>
    <row r="183" spans="1:83" ht="13">
      <c r="A183">
        <v>1036</v>
      </c>
      <c r="B183" s="196" t="s">
        <v>3400</v>
      </c>
      <c r="C183" s="5790" t="s">
        <v>6616</v>
      </c>
      <c r="D183" s="5790" t="s">
        <v>6599</v>
      </c>
      <c r="E183" s="5790" t="s">
        <v>2129</v>
      </c>
      <c r="F183" s="5785" t="s">
        <v>2129</v>
      </c>
      <c r="G183" s="5785" t="s">
        <v>2129</v>
      </c>
      <c r="H183" s="5785">
        <v>0</v>
      </c>
      <c r="I183" s="5785">
        <v>0</v>
      </c>
      <c r="J183" s="5785">
        <v>0</v>
      </c>
      <c r="K183" s="5785">
        <v>0</v>
      </c>
      <c r="L183" s="5786">
        <v>0</v>
      </c>
      <c r="M183" s="5786">
        <v>0</v>
      </c>
      <c r="N183" s="5786">
        <v>0</v>
      </c>
      <c r="O183" s="5786">
        <v>0</v>
      </c>
      <c r="P183" s="5786">
        <v>0</v>
      </c>
      <c r="Q183" s="2476">
        <v>0</v>
      </c>
      <c r="R183" s="2477">
        <v>0</v>
      </c>
      <c r="S183" s="2477" t="b">
        <v>1</v>
      </c>
      <c r="T183" s="5786" t="s">
        <v>2129</v>
      </c>
      <c r="U183" s="863">
        <v>2776042</v>
      </c>
      <c r="V183" s="863" t="b">
        <v>1</v>
      </c>
      <c r="W183" s="863">
        <v>16824.496969696971</v>
      </c>
      <c r="X183" s="863" t="s">
        <v>2129</v>
      </c>
      <c r="Y183" s="863">
        <v>1100</v>
      </c>
      <c r="AC183" t="s">
        <v>3308</v>
      </c>
      <c r="AD183" s="3965">
        <v>165</v>
      </c>
      <c r="AE183" s="3965" t="e">
        <v>#VALUE!</v>
      </c>
      <c r="AF183" t="s">
        <v>3308</v>
      </c>
      <c r="AG183">
        <v>165</v>
      </c>
      <c r="AH183" t="s">
        <v>2129</v>
      </c>
      <c r="AI183" t="s">
        <v>2129</v>
      </c>
      <c r="AJ183" t="s">
        <v>2129</v>
      </c>
      <c r="AK183" t="s">
        <v>2129</v>
      </c>
      <c r="AL183">
        <v>0</v>
      </c>
      <c r="AO183" t="s">
        <v>2129</v>
      </c>
      <c r="AT183">
        <v>24</v>
      </c>
      <c r="AU183">
        <v>24</v>
      </c>
      <c r="AV183" t="s">
        <v>2129</v>
      </c>
      <c r="AW183" t="s">
        <v>2129</v>
      </c>
      <c r="AX183" t="s">
        <v>2129</v>
      </c>
      <c r="AY183" t="s">
        <v>2129</v>
      </c>
      <c r="AZ183" t="s">
        <v>2129</v>
      </c>
      <c r="BA183" t="s">
        <v>2129</v>
      </c>
      <c r="BB183" t="s">
        <v>2129</v>
      </c>
      <c r="BC183" t="s">
        <v>2129</v>
      </c>
      <c r="BD183" t="s">
        <v>2129</v>
      </c>
      <c r="BE183" s="1958">
        <v>66625008</v>
      </c>
      <c r="BF183" s="1958">
        <v>66625008</v>
      </c>
      <c r="BG183" s="1958" t="s">
        <v>2129</v>
      </c>
      <c r="BH183" s="1958" t="s">
        <v>2129</v>
      </c>
      <c r="BI183" s="1958" t="s">
        <v>2129</v>
      </c>
      <c r="BJ183" s="1958" t="s">
        <v>2129</v>
      </c>
      <c r="BK183" s="1958" t="s">
        <v>2129</v>
      </c>
      <c r="BL183" s="1958" t="s">
        <v>2129</v>
      </c>
      <c r="BM183" s="1958" t="s">
        <v>2129</v>
      </c>
      <c r="BN183" s="863" t="s">
        <v>2129</v>
      </c>
      <c r="BO183" s="863" t="s">
        <v>2129</v>
      </c>
      <c r="BP183" s="1958" t="s">
        <v>2129</v>
      </c>
      <c r="BQ183" s="1958" t="s">
        <v>2129</v>
      </c>
      <c r="BR183" s="1958" t="s">
        <v>2129</v>
      </c>
      <c r="BS183" s="1958" t="s">
        <v>2129</v>
      </c>
      <c r="BT183" s="1958" t="s">
        <v>2129</v>
      </c>
      <c r="BU183" s="1958" t="s">
        <v>2129</v>
      </c>
      <c r="BV183" s="1958" t="s">
        <v>2129</v>
      </c>
      <c r="BW183" s="1958" t="s">
        <v>2129</v>
      </c>
      <c r="BX183" s="1958" t="s">
        <v>2129</v>
      </c>
      <c r="BZ183" s="1958" t="s">
        <v>2129</v>
      </c>
      <c r="CA183" s="1958" t="s">
        <v>2129</v>
      </c>
      <c r="CB183" s="1958" t="s">
        <v>2129</v>
      </c>
      <c r="CC183" s="1958" t="s">
        <v>2129</v>
      </c>
      <c r="CE183" s="5785"/>
    </row>
    <row r="184" spans="1:83" ht="13">
      <c r="A184" s="191">
        <v>1039</v>
      </c>
      <c r="B184" s="196" t="s">
        <v>6625</v>
      </c>
      <c r="C184" s="5790" t="s">
        <v>6616</v>
      </c>
      <c r="D184" s="5790" t="s">
        <v>2129</v>
      </c>
      <c r="E184" s="5790" t="s">
        <v>2129</v>
      </c>
      <c r="F184" s="5785"/>
      <c r="G184" s="5785"/>
      <c r="H184" s="5785"/>
      <c r="I184" s="5785">
        <v>0</v>
      </c>
      <c r="J184" s="5785"/>
      <c r="K184" s="5785"/>
      <c r="L184" s="5786">
        <v>0</v>
      </c>
      <c r="M184" s="5786"/>
      <c r="N184" s="5786"/>
      <c r="O184" s="5786"/>
      <c r="P184" s="5786"/>
      <c r="R184" s="2477">
        <v>0</v>
      </c>
      <c r="S184" s="2477" t="b">
        <v>0</v>
      </c>
      <c r="T184" s="5786" t="s">
        <v>2129</v>
      </c>
      <c r="U184" s="863">
        <v>6028074</v>
      </c>
      <c r="V184" s="863" t="b">
        <v>0</v>
      </c>
      <c r="W184" s="863">
        <v>42154.36363636364</v>
      </c>
      <c r="X184" s="863" t="s">
        <v>2129</v>
      </c>
      <c r="AC184">
        <v>143</v>
      </c>
      <c r="AD184" s="3965">
        <v>143</v>
      </c>
      <c r="AE184">
        <v>0</v>
      </c>
      <c r="AF184" s="3965"/>
      <c r="AJ184" t="s">
        <v>2129</v>
      </c>
      <c r="AK184" t="s">
        <v>2129</v>
      </c>
      <c r="AL184">
        <v>-143</v>
      </c>
      <c r="AO184" t="s">
        <v>2129</v>
      </c>
      <c r="AT184" t="s">
        <v>2129</v>
      </c>
      <c r="AU184" t="s">
        <v>2129</v>
      </c>
      <c r="AV184" t="s">
        <v>2129</v>
      </c>
      <c r="AW184" t="s">
        <v>2129</v>
      </c>
      <c r="AX184" t="s">
        <v>2129</v>
      </c>
      <c r="AY184" t="s">
        <v>2129</v>
      </c>
      <c r="AZ184" t="s">
        <v>2129</v>
      </c>
      <c r="BA184" t="s">
        <v>2129</v>
      </c>
      <c r="BB184" t="s">
        <v>2129</v>
      </c>
      <c r="BC184" t="s">
        <v>2129</v>
      </c>
      <c r="BD184" t="s">
        <v>2129</v>
      </c>
      <c r="BE184" s="1958" t="s">
        <v>2129</v>
      </c>
      <c r="BF184" s="1958" t="s">
        <v>2129</v>
      </c>
      <c r="BG184" s="1958" t="s">
        <v>2129</v>
      </c>
      <c r="BH184" s="1958" t="s">
        <v>2129</v>
      </c>
      <c r="BI184" s="1958" t="s">
        <v>2129</v>
      </c>
      <c r="BJ184" s="1958" t="s">
        <v>2129</v>
      </c>
      <c r="BK184" s="1958" t="s">
        <v>2129</v>
      </c>
      <c r="BL184" s="1958" t="s">
        <v>2129</v>
      </c>
      <c r="BM184" s="1958" t="s">
        <v>2129</v>
      </c>
      <c r="BN184" s="863" t="s">
        <v>2129</v>
      </c>
      <c r="BO184" s="863" t="s">
        <v>2129</v>
      </c>
      <c r="BP184" s="1958" t="s">
        <v>2129</v>
      </c>
      <c r="BQ184" s="1958" t="s">
        <v>2129</v>
      </c>
      <c r="BR184" s="1958" t="s">
        <v>2129</v>
      </c>
      <c r="BS184" s="1958" t="s">
        <v>2129</v>
      </c>
      <c r="BT184" s="1958" t="s">
        <v>2129</v>
      </c>
      <c r="BU184" s="1958" t="s">
        <v>2129</v>
      </c>
      <c r="BV184" s="1958" t="s">
        <v>2129</v>
      </c>
      <c r="BW184" s="1958" t="s">
        <v>2129</v>
      </c>
      <c r="BX184" s="1958" t="s">
        <v>2129</v>
      </c>
      <c r="BZ184" s="1958" t="s">
        <v>2129</v>
      </c>
      <c r="CA184" s="1958" t="s">
        <v>2129</v>
      </c>
      <c r="CB184" s="1958" t="s">
        <v>2129</v>
      </c>
      <c r="CC184" s="1958" t="s">
        <v>2129</v>
      </c>
      <c r="CE184" s="5785"/>
    </row>
    <row r="185" spans="1:83" s="5782" customFormat="1" ht="13">
      <c r="A185" s="5782">
        <v>2001</v>
      </c>
      <c r="B185" s="5783" t="s">
        <v>3403</v>
      </c>
      <c r="C185" s="5784" t="s">
        <v>2129</v>
      </c>
      <c r="D185" s="5784" t="s">
        <v>2129</v>
      </c>
      <c r="E185" s="5784" t="s">
        <v>2129</v>
      </c>
      <c r="F185" s="5784" t="s">
        <v>2129</v>
      </c>
      <c r="G185" s="5784" t="s">
        <v>2129</v>
      </c>
      <c r="H185" s="5785">
        <v>1</v>
      </c>
      <c r="I185" s="5785">
        <v>1</v>
      </c>
      <c r="J185" s="5785">
        <v>1</v>
      </c>
      <c r="K185" s="5785" t="s">
        <v>2129</v>
      </c>
      <c r="L185" s="5786">
        <v>17648</v>
      </c>
      <c r="M185" s="5786">
        <v>0</v>
      </c>
      <c r="N185" s="5786">
        <v>0</v>
      </c>
      <c r="O185" s="5786">
        <v>0</v>
      </c>
      <c r="P185" s="5786">
        <v>0</v>
      </c>
      <c r="Q185" s="2476">
        <v>19412.800000000003</v>
      </c>
      <c r="R185" s="2477">
        <v>19412</v>
      </c>
      <c r="S185" s="2477" t="b">
        <v>1</v>
      </c>
      <c r="T185" s="5786">
        <v>19412</v>
      </c>
      <c r="U185" s="5788">
        <v>1914038</v>
      </c>
      <c r="V185" s="5788" t="b">
        <v>1</v>
      </c>
      <c r="W185" s="5788">
        <v>22518.094117647059</v>
      </c>
      <c r="X185" s="5788" t="s">
        <v>2129</v>
      </c>
      <c r="Y185" s="5788"/>
      <c r="Z185" s="5788"/>
      <c r="AA185" s="5788"/>
      <c r="AB185" s="5788"/>
      <c r="AC185" s="5782">
        <v>146</v>
      </c>
      <c r="AD185" s="5789">
        <v>85</v>
      </c>
      <c r="AE185" s="5789">
        <v>61</v>
      </c>
      <c r="AF185" s="5782">
        <v>150</v>
      </c>
      <c r="AG185" s="5782" t="s">
        <v>2129</v>
      </c>
      <c r="AH185" s="5782" t="s">
        <v>2129</v>
      </c>
      <c r="AI185" s="5782" t="s">
        <v>2129</v>
      </c>
      <c r="AJ185" s="5782" t="s">
        <v>2129</v>
      </c>
      <c r="AK185" s="5782" t="s">
        <v>2129</v>
      </c>
      <c r="AL185" s="5782" t="s">
        <v>2129</v>
      </c>
      <c r="AO185" s="5782" t="s">
        <v>2129</v>
      </c>
      <c r="AT185" s="5782" t="s">
        <v>2129</v>
      </c>
      <c r="AU185" s="5782" t="s">
        <v>2129</v>
      </c>
      <c r="AV185" s="5782" t="s">
        <v>2129</v>
      </c>
      <c r="AW185" s="5782" t="s">
        <v>2129</v>
      </c>
      <c r="AX185" s="5782" t="s">
        <v>2129</v>
      </c>
      <c r="AY185" s="5782" t="s">
        <v>2129</v>
      </c>
      <c r="AZ185" s="5782" t="s">
        <v>2129</v>
      </c>
      <c r="BA185" s="5782" t="s">
        <v>2129</v>
      </c>
      <c r="BB185" s="5782" t="s">
        <v>2129</v>
      </c>
      <c r="BC185" s="5782" t="s">
        <v>2129</v>
      </c>
      <c r="BD185" s="5782" t="s">
        <v>2129</v>
      </c>
      <c r="BE185" s="5788" t="s">
        <v>2129</v>
      </c>
      <c r="BG185" s="5788" t="s">
        <v>2129</v>
      </c>
      <c r="BH185" s="5788" t="s">
        <v>2129</v>
      </c>
      <c r="BI185" s="5788" t="s">
        <v>2129</v>
      </c>
      <c r="BJ185" s="5788" t="s">
        <v>2129</v>
      </c>
      <c r="BK185" s="5788" t="s">
        <v>2129</v>
      </c>
      <c r="BL185" s="5788" t="s">
        <v>2129</v>
      </c>
      <c r="BM185" s="5788" t="s">
        <v>2129</v>
      </c>
      <c r="BN185" s="5788" t="s">
        <v>2129</v>
      </c>
      <c r="BO185" s="5788" t="s">
        <v>2129</v>
      </c>
      <c r="BP185" s="5788" t="s">
        <v>2129</v>
      </c>
      <c r="BQ185" s="5788" t="s">
        <v>2129</v>
      </c>
      <c r="BR185" s="5788" t="s">
        <v>2129</v>
      </c>
      <c r="BS185" s="5788" t="s">
        <v>2129</v>
      </c>
      <c r="BT185" s="5788" t="s">
        <v>2129</v>
      </c>
      <c r="BU185" s="5788" t="s">
        <v>2129</v>
      </c>
      <c r="BV185" s="5788" t="s">
        <v>2129</v>
      </c>
      <c r="BW185" s="5788" t="s">
        <v>2129</v>
      </c>
      <c r="BX185" s="5788" t="s">
        <v>2129</v>
      </c>
      <c r="BY185" s="5788"/>
      <c r="BZ185" s="5788" t="s">
        <v>2129</v>
      </c>
      <c r="CA185" s="5788" t="s">
        <v>2129</v>
      </c>
      <c r="CB185" s="5788" t="s">
        <v>2129</v>
      </c>
      <c r="CC185" s="5788" t="s">
        <v>2129</v>
      </c>
      <c r="CD185" s="5788"/>
      <c r="CE185" s="5784"/>
    </row>
    <row r="186" spans="1:83" s="5782" customFormat="1" ht="13">
      <c r="A186" s="5782">
        <v>2007</v>
      </c>
      <c r="B186" s="5783" t="s">
        <v>3404</v>
      </c>
      <c r="C186" s="5784" t="s">
        <v>2129</v>
      </c>
      <c r="D186" s="5784" t="s">
        <v>2129</v>
      </c>
      <c r="E186" s="5784" t="s">
        <v>2129</v>
      </c>
      <c r="F186" s="5784" t="s">
        <v>2129</v>
      </c>
      <c r="G186" s="5784" t="s">
        <v>2129</v>
      </c>
      <c r="H186" s="5785">
        <v>24</v>
      </c>
      <c r="I186" s="5785">
        <v>3</v>
      </c>
      <c r="J186" s="5785">
        <v>3</v>
      </c>
      <c r="K186" s="5785" t="s">
        <v>2129</v>
      </c>
      <c r="L186" s="5786">
        <v>3144706</v>
      </c>
      <c r="M186" s="5786">
        <v>35295</v>
      </c>
      <c r="N186" s="5786">
        <v>0</v>
      </c>
      <c r="O186" s="5786">
        <v>0</v>
      </c>
      <c r="P186" s="5786">
        <v>18000</v>
      </c>
      <c r="Q186" s="2476">
        <v>3516001.1</v>
      </c>
      <c r="R186" s="2477">
        <v>3516001</v>
      </c>
      <c r="S186" s="2477" t="b">
        <v>1</v>
      </c>
      <c r="T186" s="5786">
        <v>1172000.3333333333</v>
      </c>
      <c r="U186" s="5788">
        <v>5531086</v>
      </c>
      <c r="V186" s="5788" t="b">
        <v>1</v>
      </c>
      <c r="W186" s="5788">
        <v>52677.009523809524</v>
      </c>
      <c r="X186" s="5788" t="s">
        <v>2129</v>
      </c>
      <c r="Y186" s="5788"/>
      <c r="Z186" s="5788"/>
      <c r="AA186" s="5788"/>
      <c r="AB186" s="5788"/>
      <c r="AC186" s="5782">
        <v>578</v>
      </c>
      <c r="AD186" s="5789">
        <v>105</v>
      </c>
      <c r="AE186" s="5789">
        <v>473</v>
      </c>
      <c r="AF186" s="5782">
        <v>933</v>
      </c>
      <c r="AG186" s="5782" t="s">
        <v>2129</v>
      </c>
      <c r="AH186" s="5782" t="s">
        <v>2129</v>
      </c>
      <c r="AI186" s="5782" t="s">
        <v>2129</v>
      </c>
      <c r="AJ186" s="5782" t="s">
        <v>2129</v>
      </c>
      <c r="AK186" s="5782" t="s">
        <v>2129</v>
      </c>
      <c r="AL186" s="5782" t="s">
        <v>2129</v>
      </c>
      <c r="AO186" s="5782" t="s">
        <v>2129</v>
      </c>
      <c r="AT186" s="5782" t="s">
        <v>2129</v>
      </c>
      <c r="AU186" s="5782" t="s">
        <v>2129</v>
      </c>
      <c r="AV186" s="5782" t="s">
        <v>2129</v>
      </c>
      <c r="AW186" s="5782" t="s">
        <v>2129</v>
      </c>
      <c r="AX186" s="5782" t="s">
        <v>2129</v>
      </c>
      <c r="AY186" s="5782" t="s">
        <v>2129</v>
      </c>
      <c r="AZ186" s="5782" t="s">
        <v>2129</v>
      </c>
      <c r="BA186" s="5782" t="s">
        <v>2129</v>
      </c>
      <c r="BB186" s="5782" t="s">
        <v>2129</v>
      </c>
      <c r="BC186" s="5782" t="s">
        <v>2129</v>
      </c>
      <c r="BD186" s="5782" t="s">
        <v>2129</v>
      </c>
      <c r="BE186" s="5788" t="s">
        <v>2129</v>
      </c>
      <c r="BG186" s="5788" t="s">
        <v>2129</v>
      </c>
      <c r="BH186" s="5788" t="s">
        <v>2129</v>
      </c>
      <c r="BI186" s="5788" t="s">
        <v>2129</v>
      </c>
      <c r="BJ186" s="5788" t="s">
        <v>2129</v>
      </c>
      <c r="BK186" s="5788" t="s">
        <v>2129</v>
      </c>
      <c r="BL186" s="5788" t="s">
        <v>2129</v>
      </c>
      <c r="BM186" s="5788" t="s">
        <v>2129</v>
      </c>
      <c r="BN186" s="5788" t="s">
        <v>2129</v>
      </c>
      <c r="BO186" s="5788" t="s">
        <v>2129</v>
      </c>
      <c r="BP186" s="5788" t="s">
        <v>2129</v>
      </c>
      <c r="BQ186" s="5788" t="s">
        <v>2129</v>
      </c>
      <c r="BR186" s="5788" t="s">
        <v>2129</v>
      </c>
      <c r="BS186" s="5788" t="s">
        <v>2129</v>
      </c>
      <c r="BT186" s="5788" t="s">
        <v>2129</v>
      </c>
      <c r="BU186" s="5788" t="s">
        <v>2129</v>
      </c>
      <c r="BV186" s="5788" t="s">
        <v>2129</v>
      </c>
      <c r="BW186" s="5788" t="s">
        <v>2129</v>
      </c>
      <c r="BX186" s="5788" t="s">
        <v>2129</v>
      </c>
      <c r="BY186" s="5788"/>
      <c r="BZ186" s="5788" t="s">
        <v>2129</v>
      </c>
      <c r="CA186" s="5788" t="s">
        <v>2129</v>
      </c>
      <c r="CB186" s="5788" t="s">
        <v>2129</v>
      </c>
      <c r="CC186" s="5788" t="s">
        <v>2129</v>
      </c>
      <c r="CD186" s="5788"/>
      <c r="CE186" s="5784"/>
    </row>
    <row r="187" spans="1:83" ht="13">
      <c r="A187">
        <v>2008</v>
      </c>
      <c r="B187" s="196" t="s">
        <v>2884</v>
      </c>
      <c r="C187" s="5790" t="s">
        <v>6616</v>
      </c>
      <c r="D187" s="5790" t="s">
        <v>6599</v>
      </c>
      <c r="E187" s="5790" t="s">
        <v>2129</v>
      </c>
      <c r="F187" s="5785" t="s">
        <v>2129</v>
      </c>
      <c r="G187" s="5785" t="s">
        <v>2129</v>
      </c>
      <c r="H187" s="5785">
        <v>20</v>
      </c>
      <c r="I187" s="5785">
        <v>4</v>
      </c>
      <c r="J187" s="5785">
        <v>20</v>
      </c>
      <c r="K187" s="5785">
        <v>16</v>
      </c>
      <c r="L187" s="5786">
        <v>16647314</v>
      </c>
      <c r="M187" s="5786">
        <v>58825</v>
      </c>
      <c r="N187" s="5786">
        <v>0</v>
      </c>
      <c r="O187" s="5786">
        <v>0</v>
      </c>
      <c r="P187" s="5786">
        <v>18000</v>
      </c>
      <c r="Q187" s="2476">
        <v>18394752.900000002</v>
      </c>
      <c r="R187" s="2477">
        <v>6061533</v>
      </c>
      <c r="S187" s="2477" t="b">
        <v>0</v>
      </c>
      <c r="T187" s="5786">
        <v>1515383.25</v>
      </c>
      <c r="U187" s="863">
        <v>6677704</v>
      </c>
      <c r="V187" s="863" t="b">
        <v>0</v>
      </c>
      <c r="W187" s="863">
        <v>55647.533333333333</v>
      </c>
      <c r="X187" s="863" t="s">
        <v>2129</v>
      </c>
      <c r="Y187" s="863">
        <v>2500</v>
      </c>
      <c r="AC187">
        <v>241</v>
      </c>
      <c r="AD187" s="3965">
        <v>120</v>
      </c>
      <c r="AE187" s="3965">
        <v>121</v>
      </c>
      <c r="AF187">
        <v>456</v>
      </c>
      <c r="AG187">
        <v>241</v>
      </c>
      <c r="AH187" t="s">
        <v>2129</v>
      </c>
      <c r="AI187" t="s">
        <v>2129</v>
      </c>
      <c r="AJ187" t="s">
        <v>2129</v>
      </c>
      <c r="AK187" t="s">
        <v>2129</v>
      </c>
      <c r="AL187">
        <v>121</v>
      </c>
      <c r="AO187" t="s">
        <v>2129</v>
      </c>
      <c r="AT187">
        <v>26</v>
      </c>
      <c r="AU187">
        <v>26</v>
      </c>
      <c r="AV187" t="s">
        <v>2129</v>
      </c>
      <c r="AW187" t="s">
        <v>2129</v>
      </c>
      <c r="AX187" t="s">
        <v>2129</v>
      </c>
      <c r="AY187" t="s">
        <v>2129</v>
      </c>
      <c r="AZ187" t="s">
        <v>2129</v>
      </c>
      <c r="BA187" t="s">
        <v>2129</v>
      </c>
      <c r="BB187" t="s">
        <v>2129</v>
      </c>
      <c r="BC187" t="s">
        <v>2129</v>
      </c>
      <c r="BD187" t="s">
        <v>2129</v>
      </c>
      <c r="BE187" s="1958">
        <v>173620304</v>
      </c>
      <c r="BF187" s="1958">
        <v>173620304</v>
      </c>
      <c r="BG187" s="1958" t="s">
        <v>2129</v>
      </c>
      <c r="BH187" s="1958" t="s">
        <v>2129</v>
      </c>
      <c r="BI187" s="1958" t="s">
        <v>2129</v>
      </c>
      <c r="BJ187" s="1958" t="s">
        <v>2129</v>
      </c>
      <c r="BK187" s="1958" t="s">
        <v>2129</v>
      </c>
      <c r="BL187" s="1958" t="s">
        <v>2129</v>
      </c>
      <c r="BM187" s="1958" t="s">
        <v>2129</v>
      </c>
      <c r="BN187" s="863" t="s">
        <v>2129</v>
      </c>
      <c r="BO187" s="863" t="s">
        <v>2129</v>
      </c>
      <c r="BP187" s="1958" t="s">
        <v>2129</v>
      </c>
      <c r="BQ187" s="1958" t="s">
        <v>2129</v>
      </c>
      <c r="BR187" s="1958" t="s">
        <v>2129</v>
      </c>
      <c r="BS187" s="1958" t="s">
        <v>2129</v>
      </c>
      <c r="BT187" s="1958" t="s">
        <v>2129</v>
      </c>
      <c r="BU187" s="1958">
        <v>157599858</v>
      </c>
      <c r="BV187" s="1958">
        <v>157599858</v>
      </c>
      <c r="BW187" s="1958" t="s">
        <v>2129</v>
      </c>
      <c r="BX187" s="1958" t="s">
        <v>2129</v>
      </c>
      <c r="BZ187" s="1958" t="s">
        <v>2129</v>
      </c>
      <c r="CA187" s="1958" t="s">
        <v>2129</v>
      </c>
      <c r="CB187" s="1958" t="s">
        <v>2129</v>
      </c>
      <c r="CC187" s="1958" t="s">
        <v>2129</v>
      </c>
      <c r="CE187" s="5785"/>
    </row>
    <row r="188" spans="1:83" ht="13">
      <c r="A188">
        <v>2009</v>
      </c>
      <c r="B188" s="196" t="s">
        <v>3405</v>
      </c>
      <c r="C188" s="5785" t="s">
        <v>3694</v>
      </c>
      <c r="D188" s="5785" t="s">
        <v>3791</v>
      </c>
      <c r="E188" s="5785" t="s">
        <v>4095</v>
      </c>
      <c r="F188" s="5785" t="s">
        <v>2129</v>
      </c>
      <c r="G188" s="5785" t="s">
        <v>2129</v>
      </c>
      <c r="H188" s="5785">
        <v>24</v>
      </c>
      <c r="I188" s="5785">
        <v>2</v>
      </c>
      <c r="J188" s="5785">
        <v>32</v>
      </c>
      <c r="K188" s="5785" t="s">
        <v>2129</v>
      </c>
      <c r="L188" s="5786">
        <v>4965178</v>
      </c>
      <c r="M188" s="5786">
        <v>23530</v>
      </c>
      <c r="N188" s="5786">
        <v>0</v>
      </c>
      <c r="O188" s="5786">
        <v>0</v>
      </c>
      <c r="P188" s="5786">
        <v>9000</v>
      </c>
      <c r="Q188" s="2476">
        <v>5496578.8000000007</v>
      </c>
      <c r="R188" s="2477">
        <v>5496578</v>
      </c>
      <c r="S188" s="2477" t="b">
        <v>0</v>
      </c>
      <c r="T188" s="5786">
        <v>2748289</v>
      </c>
      <c r="U188" s="863">
        <v>3688245</v>
      </c>
      <c r="V188" s="863" t="b">
        <v>1</v>
      </c>
      <c r="W188" s="863">
        <v>61470.75</v>
      </c>
      <c r="X188" s="863" t="s">
        <v>2129</v>
      </c>
      <c r="AC188">
        <v>378</v>
      </c>
      <c r="AD188" s="3965">
        <v>60</v>
      </c>
      <c r="AE188" s="3965">
        <v>318</v>
      </c>
      <c r="AF188">
        <v>620</v>
      </c>
      <c r="AG188">
        <v>10</v>
      </c>
      <c r="AH188">
        <v>50</v>
      </c>
      <c r="AI188">
        <v>12</v>
      </c>
      <c r="AJ188" t="s">
        <v>2129</v>
      </c>
      <c r="AK188" t="s">
        <v>2129</v>
      </c>
      <c r="AL188">
        <v>-50</v>
      </c>
      <c r="AM188">
        <v>-10</v>
      </c>
      <c r="AN188">
        <v>-48</v>
      </c>
      <c r="AO188" t="s">
        <v>2129</v>
      </c>
      <c r="AP188" t="s">
        <v>2129</v>
      </c>
      <c r="AT188" t="s">
        <v>2129</v>
      </c>
      <c r="AU188" t="s">
        <v>2129</v>
      </c>
      <c r="AV188" t="s">
        <v>2129</v>
      </c>
      <c r="AW188">
        <v>32</v>
      </c>
      <c r="AX188">
        <v>11</v>
      </c>
      <c r="AY188">
        <v>32</v>
      </c>
      <c r="AZ188" t="s">
        <v>2129</v>
      </c>
      <c r="BA188" t="s">
        <v>2129</v>
      </c>
      <c r="BB188" t="s">
        <v>2129</v>
      </c>
      <c r="BC188" t="s">
        <v>2129</v>
      </c>
      <c r="BD188" t="s">
        <v>2129</v>
      </c>
      <c r="BE188" s="1958" t="s">
        <v>2129</v>
      </c>
      <c r="BF188"/>
      <c r="BG188" s="863" t="s">
        <v>2129</v>
      </c>
      <c r="BH188" s="863">
        <v>19670640</v>
      </c>
      <c r="BI188" s="863" t="s">
        <v>2129</v>
      </c>
      <c r="BJ188" s="863" t="s">
        <v>2129</v>
      </c>
      <c r="BK188" s="863">
        <v>33808912.5</v>
      </c>
      <c r="BL188" s="863">
        <v>23604768</v>
      </c>
      <c r="BM188" s="863" t="s">
        <v>2129</v>
      </c>
      <c r="BN188" s="863" t="s">
        <v>2129</v>
      </c>
      <c r="BO188" s="863" t="s">
        <v>2129</v>
      </c>
      <c r="BP188" s="863" t="s">
        <v>2129</v>
      </c>
      <c r="BQ188" s="863" t="s">
        <v>2129</v>
      </c>
      <c r="BR188" s="863" t="s">
        <v>2129</v>
      </c>
      <c r="BS188" s="863" t="s">
        <v>2129</v>
      </c>
      <c r="BT188" s="863" t="s">
        <v>2129</v>
      </c>
      <c r="BU188" s="863" t="s">
        <v>2129</v>
      </c>
      <c r="BV188" s="863" t="s">
        <v>2129</v>
      </c>
      <c r="BW188" s="863" t="s">
        <v>2129</v>
      </c>
      <c r="BX188" s="863" t="s">
        <v>2129</v>
      </c>
      <c r="BY188" s="863"/>
      <c r="BZ188" s="863" t="s">
        <v>2129</v>
      </c>
      <c r="CA188" s="863" t="s">
        <v>2129</v>
      </c>
      <c r="CB188" s="863" t="s">
        <v>2129</v>
      </c>
      <c r="CC188" s="863" t="s">
        <v>2129</v>
      </c>
      <c r="CD188" s="863"/>
      <c r="CE188" s="5785"/>
    </row>
    <row r="189" spans="1:83" s="5782" customFormat="1" ht="13">
      <c r="A189" s="5782">
        <v>2010</v>
      </c>
      <c r="B189" s="5783" t="s">
        <v>3406</v>
      </c>
      <c r="C189" s="5784" t="s">
        <v>2129</v>
      </c>
      <c r="D189" s="5784" t="s">
        <v>2129</v>
      </c>
      <c r="E189" s="5784" t="s">
        <v>2129</v>
      </c>
      <c r="F189" s="5784" t="s">
        <v>2129</v>
      </c>
      <c r="G189" s="5784" t="s">
        <v>2129</v>
      </c>
      <c r="H189" s="5785">
        <v>6</v>
      </c>
      <c r="I189" s="5785">
        <v>1</v>
      </c>
      <c r="J189" s="5785">
        <v>31</v>
      </c>
      <c r="K189" s="5785" t="s">
        <v>2129</v>
      </c>
      <c r="L189" s="5786">
        <v>452942</v>
      </c>
      <c r="M189" s="5786">
        <v>0</v>
      </c>
      <c r="N189" s="5786">
        <v>0</v>
      </c>
      <c r="O189" s="5786">
        <v>0</v>
      </c>
      <c r="P189" s="5786">
        <v>0</v>
      </c>
      <c r="Q189" s="2476">
        <v>498236.2</v>
      </c>
      <c r="R189" s="2477">
        <v>498236</v>
      </c>
      <c r="S189" s="2477" t="b">
        <v>0</v>
      </c>
      <c r="T189" s="5786">
        <v>498236</v>
      </c>
      <c r="U189" s="5788">
        <v>1054981</v>
      </c>
      <c r="V189" s="5788" t="b">
        <v>1</v>
      </c>
      <c r="W189" s="5788">
        <v>27762.657894736843</v>
      </c>
      <c r="X189" s="5788" t="s">
        <v>2129</v>
      </c>
      <c r="Y189" s="5788"/>
      <c r="Z189" s="5788"/>
      <c r="AA189" s="5788"/>
      <c r="AB189" s="5788"/>
      <c r="AC189" s="5782">
        <v>184</v>
      </c>
      <c r="AD189" s="5789">
        <v>38</v>
      </c>
      <c r="AE189" s="5789">
        <v>146</v>
      </c>
      <c r="AF189" s="5782">
        <v>287</v>
      </c>
      <c r="AG189" s="5782" t="s">
        <v>2129</v>
      </c>
      <c r="AH189" s="5782" t="s">
        <v>2129</v>
      </c>
      <c r="AI189" s="5782" t="s">
        <v>2129</v>
      </c>
      <c r="AJ189" s="5782" t="s">
        <v>2129</v>
      </c>
      <c r="AK189" s="5782" t="s">
        <v>2129</v>
      </c>
      <c r="AL189" s="5782" t="s">
        <v>2129</v>
      </c>
      <c r="AO189" s="5782" t="s">
        <v>2129</v>
      </c>
      <c r="AT189" s="5782" t="s">
        <v>2129</v>
      </c>
      <c r="AU189" s="5782" t="s">
        <v>2129</v>
      </c>
      <c r="AV189" s="5782" t="s">
        <v>2129</v>
      </c>
      <c r="AW189" s="5782" t="s">
        <v>2129</v>
      </c>
      <c r="AX189" s="5782" t="s">
        <v>2129</v>
      </c>
      <c r="AY189" s="5782" t="s">
        <v>2129</v>
      </c>
      <c r="AZ189" s="5782" t="s">
        <v>2129</v>
      </c>
      <c r="BA189" s="5782" t="s">
        <v>2129</v>
      </c>
      <c r="BB189" s="5782" t="s">
        <v>2129</v>
      </c>
      <c r="BC189" s="5782" t="s">
        <v>2129</v>
      </c>
      <c r="BD189" s="5782" t="s">
        <v>2129</v>
      </c>
      <c r="BE189" s="5788" t="s">
        <v>2129</v>
      </c>
      <c r="BG189" s="5788" t="s">
        <v>2129</v>
      </c>
      <c r="BH189" s="5788" t="s">
        <v>2129</v>
      </c>
      <c r="BI189" s="5788" t="s">
        <v>2129</v>
      </c>
      <c r="BJ189" s="5788" t="s">
        <v>2129</v>
      </c>
      <c r="BK189" s="5788" t="s">
        <v>2129</v>
      </c>
      <c r="BL189" s="5788" t="s">
        <v>2129</v>
      </c>
      <c r="BM189" s="5788" t="s">
        <v>2129</v>
      </c>
      <c r="BN189" s="5788" t="s">
        <v>2129</v>
      </c>
      <c r="BO189" s="5788" t="s">
        <v>2129</v>
      </c>
      <c r="BP189" s="5788" t="s">
        <v>2129</v>
      </c>
      <c r="BQ189" s="5788" t="s">
        <v>2129</v>
      </c>
      <c r="BR189" s="5788" t="s">
        <v>2129</v>
      </c>
      <c r="BS189" s="5788" t="s">
        <v>2129</v>
      </c>
      <c r="BT189" s="5788" t="s">
        <v>2129</v>
      </c>
      <c r="BU189" s="5788" t="s">
        <v>2129</v>
      </c>
      <c r="BV189" s="5788" t="s">
        <v>2129</v>
      </c>
      <c r="BW189" s="5788" t="s">
        <v>2129</v>
      </c>
      <c r="BX189" s="5788" t="s">
        <v>2129</v>
      </c>
      <c r="BY189" s="5788"/>
      <c r="BZ189" s="5788" t="s">
        <v>2129</v>
      </c>
      <c r="CA189" s="5788" t="s">
        <v>2129</v>
      </c>
      <c r="CB189" s="5788" t="s">
        <v>2129</v>
      </c>
      <c r="CC189" s="5788" t="s">
        <v>2129</v>
      </c>
      <c r="CD189" s="5788"/>
      <c r="CE189" s="5784"/>
    </row>
    <row r="190" spans="1:83" s="5782" customFormat="1" ht="13">
      <c r="A190" s="5782">
        <v>2011</v>
      </c>
      <c r="B190" s="5783" t="s">
        <v>3407</v>
      </c>
      <c r="C190" s="5784" t="s">
        <v>2129</v>
      </c>
      <c r="D190" s="5784" t="s">
        <v>2129</v>
      </c>
      <c r="E190" s="5784" t="s">
        <v>2129</v>
      </c>
      <c r="F190" s="5784" t="s">
        <v>2129</v>
      </c>
      <c r="G190" s="5784" t="s">
        <v>2129</v>
      </c>
      <c r="H190" s="5785">
        <v>18</v>
      </c>
      <c r="I190" s="5785">
        <v>1</v>
      </c>
      <c r="J190" s="5785">
        <v>31</v>
      </c>
      <c r="K190" s="5785" t="s">
        <v>2129</v>
      </c>
      <c r="L190" s="5786">
        <v>4094118</v>
      </c>
      <c r="M190" s="5786">
        <v>0</v>
      </c>
      <c r="N190" s="5786">
        <v>0</v>
      </c>
      <c r="O190" s="5786">
        <v>0</v>
      </c>
      <c r="P190" s="5786">
        <v>0</v>
      </c>
      <c r="Q190" s="2476">
        <v>4503529.8000000007</v>
      </c>
      <c r="R190" s="2477">
        <v>4503529</v>
      </c>
      <c r="S190" s="2477" t="b">
        <v>0</v>
      </c>
      <c r="T190" s="5786">
        <v>4503529</v>
      </c>
      <c r="U190" s="5788">
        <v>1860975</v>
      </c>
      <c r="V190" s="5788" t="b">
        <v>1</v>
      </c>
      <c r="W190" s="5788">
        <v>30015.725806451614</v>
      </c>
      <c r="X190" s="5788" t="s">
        <v>2129</v>
      </c>
      <c r="Y190" s="5788"/>
      <c r="Z190" s="5788"/>
      <c r="AA190" s="5788"/>
      <c r="AB190" s="5788"/>
      <c r="AC190" s="5782">
        <v>592</v>
      </c>
      <c r="AD190" s="5789">
        <v>62</v>
      </c>
      <c r="AE190" s="5789">
        <v>530</v>
      </c>
      <c r="AF190" s="5782">
        <v>912</v>
      </c>
      <c r="AG190" s="5782" t="s">
        <v>2129</v>
      </c>
      <c r="AH190" s="5782" t="s">
        <v>2129</v>
      </c>
      <c r="AI190" s="5782" t="s">
        <v>2129</v>
      </c>
      <c r="AJ190" s="5782" t="s">
        <v>2129</v>
      </c>
      <c r="AK190" s="5782" t="s">
        <v>2129</v>
      </c>
      <c r="AL190" s="5782" t="s">
        <v>2129</v>
      </c>
      <c r="AO190" s="5782" t="s">
        <v>2129</v>
      </c>
      <c r="AT190" s="5782" t="s">
        <v>2129</v>
      </c>
      <c r="AU190" s="5782" t="s">
        <v>2129</v>
      </c>
      <c r="AV190" s="5782" t="s">
        <v>2129</v>
      </c>
      <c r="AW190" s="5782" t="s">
        <v>2129</v>
      </c>
      <c r="AX190" s="5782" t="s">
        <v>2129</v>
      </c>
      <c r="AY190" s="5782" t="s">
        <v>2129</v>
      </c>
      <c r="AZ190" s="5782" t="s">
        <v>2129</v>
      </c>
      <c r="BA190" s="5782" t="s">
        <v>2129</v>
      </c>
      <c r="BB190" s="5782" t="s">
        <v>2129</v>
      </c>
      <c r="BC190" s="5782" t="s">
        <v>2129</v>
      </c>
      <c r="BD190" s="5782" t="s">
        <v>2129</v>
      </c>
      <c r="BE190" s="5788" t="s">
        <v>2129</v>
      </c>
      <c r="BG190" s="5788" t="s">
        <v>2129</v>
      </c>
      <c r="BH190" s="5788" t="s">
        <v>2129</v>
      </c>
      <c r="BI190" s="5788" t="s">
        <v>2129</v>
      </c>
      <c r="BJ190" s="5788" t="s">
        <v>2129</v>
      </c>
      <c r="BK190" s="5788" t="s">
        <v>2129</v>
      </c>
      <c r="BL190" s="5788" t="s">
        <v>2129</v>
      </c>
      <c r="BM190" s="5788" t="s">
        <v>2129</v>
      </c>
      <c r="BN190" s="5788" t="s">
        <v>2129</v>
      </c>
      <c r="BO190" s="5788" t="s">
        <v>2129</v>
      </c>
      <c r="BP190" s="5788" t="s">
        <v>2129</v>
      </c>
      <c r="BQ190" s="5788" t="s">
        <v>2129</v>
      </c>
      <c r="BR190" s="5788" t="s">
        <v>2129</v>
      </c>
      <c r="BS190" s="5788" t="s">
        <v>2129</v>
      </c>
      <c r="BT190" s="5788" t="s">
        <v>2129</v>
      </c>
      <c r="BU190" s="5788" t="s">
        <v>2129</v>
      </c>
      <c r="BV190" s="5788" t="s">
        <v>2129</v>
      </c>
      <c r="BW190" s="5788" t="s">
        <v>2129</v>
      </c>
      <c r="BX190" s="5788" t="s">
        <v>2129</v>
      </c>
      <c r="BY190" s="5788"/>
      <c r="BZ190" s="5788" t="s">
        <v>2129</v>
      </c>
      <c r="CA190" s="5788" t="s">
        <v>2129</v>
      </c>
      <c r="CB190" s="5788" t="s">
        <v>2129</v>
      </c>
      <c r="CC190" s="5788" t="s">
        <v>2129</v>
      </c>
      <c r="CD190" s="5788"/>
      <c r="CE190" s="5784"/>
    </row>
    <row r="191" spans="1:83" s="5782" customFormat="1" ht="13">
      <c r="A191" s="5782">
        <v>2012</v>
      </c>
      <c r="B191" s="5783" t="s">
        <v>3408</v>
      </c>
      <c r="C191" s="5784" t="s">
        <v>2129</v>
      </c>
      <c r="D191" s="5784" t="s">
        <v>2129</v>
      </c>
      <c r="E191" s="5784" t="s">
        <v>2129</v>
      </c>
      <c r="F191" s="5784" t="s">
        <v>2129</v>
      </c>
      <c r="G191" s="5784" t="s">
        <v>2129</v>
      </c>
      <c r="H191" s="5785">
        <v>19</v>
      </c>
      <c r="I191" s="5785">
        <v>7</v>
      </c>
      <c r="J191" s="5785">
        <v>37</v>
      </c>
      <c r="K191" s="5785" t="s">
        <v>2129</v>
      </c>
      <c r="L191" s="5786">
        <v>2744179</v>
      </c>
      <c r="M191" s="5786">
        <v>0</v>
      </c>
      <c r="N191" s="5786">
        <v>0</v>
      </c>
      <c r="O191" s="5786">
        <v>0</v>
      </c>
      <c r="P191" s="5786">
        <v>0</v>
      </c>
      <c r="Q191" s="2476">
        <v>3018596.9000000004</v>
      </c>
      <c r="R191" s="2477">
        <v>3018596</v>
      </c>
      <c r="S191" s="2477" t="b">
        <v>0</v>
      </c>
      <c r="T191" s="5786">
        <v>431228</v>
      </c>
      <c r="U191" s="5788">
        <v>1937340</v>
      </c>
      <c r="V191" s="5788" t="b">
        <v>1</v>
      </c>
      <c r="W191" s="5788">
        <v>32289</v>
      </c>
      <c r="X191" s="5788" t="s">
        <v>2129</v>
      </c>
      <c r="Y191" s="5788"/>
      <c r="Z191" s="5788"/>
      <c r="AA191" s="5788"/>
      <c r="AB191" s="5788"/>
      <c r="AC191" s="5782">
        <v>247</v>
      </c>
      <c r="AD191" s="5789">
        <v>60</v>
      </c>
      <c r="AE191" s="5789">
        <v>187</v>
      </c>
      <c r="AF191" s="5782">
        <v>379</v>
      </c>
      <c r="AG191" s="5782" t="s">
        <v>2129</v>
      </c>
      <c r="AH191" s="5782" t="s">
        <v>2129</v>
      </c>
      <c r="AI191" s="5782" t="s">
        <v>2129</v>
      </c>
      <c r="AJ191" s="5782" t="s">
        <v>2129</v>
      </c>
      <c r="AK191" s="5782" t="s">
        <v>2129</v>
      </c>
      <c r="AL191" s="5782" t="s">
        <v>2129</v>
      </c>
      <c r="AO191" s="5782" t="s">
        <v>2129</v>
      </c>
      <c r="AT191" s="5782" t="s">
        <v>2129</v>
      </c>
      <c r="AU191" s="5782" t="s">
        <v>2129</v>
      </c>
      <c r="AV191" s="5782" t="s">
        <v>2129</v>
      </c>
      <c r="AW191" s="5782" t="s">
        <v>2129</v>
      </c>
      <c r="AX191" s="5782" t="s">
        <v>2129</v>
      </c>
      <c r="AY191" s="5782" t="s">
        <v>2129</v>
      </c>
      <c r="AZ191" s="5782" t="s">
        <v>2129</v>
      </c>
      <c r="BA191" s="5782" t="s">
        <v>2129</v>
      </c>
      <c r="BB191" s="5782" t="s">
        <v>2129</v>
      </c>
      <c r="BC191" s="5782" t="s">
        <v>2129</v>
      </c>
      <c r="BD191" s="5782" t="s">
        <v>2129</v>
      </c>
      <c r="BE191" s="5788" t="s">
        <v>2129</v>
      </c>
      <c r="BG191" s="5788" t="s">
        <v>2129</v>
      </c>
      <c r="BH191" s="5788" t="s">
        <v>2129</v>
      </c>
      <c r="BI191" s="5788" t="s">
        <v>2129</v>
      </c>
      <c r="BJ191" s="5788" t="s">
        <v>2129</v>
      </c>
      <c r="BK191" s="5788" t="s">
        <v>2129</v>
      </c>
      <c r="BL191" s="5788" t="s">
        <v>2129</v>
      </c>
      <c r="BM191" s="5788" t="s">
        <v>2129</v>
      </c>
      <c r="BN191" s="5788" t="s">
        <v>2129</v>
      </c>
      <c r="BO191" s="5788" t="s">
        <v>2129</v>
      </c>
      <c r="BP191" s="5788" t="s">
        <v>2129</v>
      </c>
      <c r="BQ191" s="5788" t="s">
        <v>2129</v>
      </c>
      <c r="BR191" s="5788" t="s">
        <v>2129</v>
      </c>
      <c r="BS191" s="5788" t="s">
        <v>2129</v>
      </c>
      <c r="BT191" s="5788" t="s">
        <v>2129</v>
      </c>
      <c r="BU191" s="5788" t="s">
        <v>2129</v>
      </c>
      <c r="BV191" s="5788" t="s">
        <v>2129</v>
      </c>
      <c r="BW191" s="5788" t="s">
        <v>2129</v>
      </c>
      <c r="BX191" s="5788" t="s">
        <v>2129</v>
      </c>
      <c r="BY191" s="5788"/>
      <c r="BZ191" s="5788" t="s">
        <v>2129</v>
      </c>
      <c r="CA191" s="5788" t="s">
        <v>2129</v>
      </c>
      <c r="CB191" s="5788" t="s">
        <v>2129</v>
      </c>
      <c r="CC191" s="5788" t="s">
        <v>2129</v>
      </c>
      <c r="CD191" s="5788"/>
      <c r="CE191" s="5784"/>
    </row>
    <row r="192" spans="1:83" s="5782" customFormat="1" ht="13">
      <c r="A192" s="5782">
        <v>2013</v>
      </c>
      <c r="B192" s="5783" t="s">
        <v>3409</v>
      </c>
      <c r="C192" s="5784" t="s">
        <v>2129</v>
      </c>
      <c r="D192" s="5784" t="s">
        <v>2129</v>
      </c>
      <c r="E192" s="5784" t="s">
        <v>2129</v>
      </c>
      <c r="F192" s="5784" t="s">
        <v>2129</v>
      </c>
      <c r="G192" s="5784" t="s">
        <v>2129</v>
      </c>
      <c r="H192" s="5785">
        <v>14</v>
      </c>
      <c r="I192" s="5785">
        <v>9</v>
      </c>
      <c r="J192" s="5785">
        <v>69</v>
      </c>
      <c r="K192" s="5785" t="s">
        <v>2129</v>
      </c>
      <c r="L192" s="5786">
        <v>7958828</v>
      </c>
      <c r="M192" s="5786">
        <v>105885</v>
      </c>
      <c r="N192" s="5786">
        <v>0</v>
      </c>
      <c r="O192" s="5786">
        <v>0</v>
      </c>
      <c r="P192" s="5786">
        <v>0</v>
      </c>
      <c r="Q192" s="2476">
        <v>8871184.3000000007</v>
      </c>
      <c r="R192" s="2477">
        <v>8871184</v>
      </c>
      <c r="S192" s="2477" t="b">
        <v>0</v>
      </c>
      <c r="T192" s="5786">
        <v>985687.11111111112</v>
      </c>
      <c r="U192" s="5788">
        <v>1900437</v>
      </c>
      <c r="V192" s="5788" t="b">
        <v>1</v>
      </c>
      <c r="W192" s="5788">
        <v>63347.9</v>
      </c>
      <c r="X192" s="5788" t="s">
        <v>2129</v>
      </c>
      <c r="Y192" s="5788"/>
      <c r="Z192" s="5788"/>
      <c r="AA192" s="5788"/>
      <c r="AB192" s="5788"/>
      <c r="AC192" s="5782">
        <v>460</v>
      </c>
      <c r="AD192" s="5789">
        <v>30</v>
      </c>
      <c r="AE192" s="5789">
        <v>430</v>
      </c>
      <c r="AF192" s="5782">
        <v>790</v>
      </c>
      <c r="AG192" s="5782" t="s">
        <v>2129</v>
      </c>
      <c r="AH192" s="5782" t="s">
        <v>2129</v>
      </c>
      <c r="AI192" s="5782" t="s">
        <v>2129</v>
      </c>
      <c r="AJ192" s="5782" t="s">
        <v>2129</v>
      </c>
      <c r="AK192" s="5782" t="s">
        <v>2129</v>
      </c>
      <c r="AL192" s="5782" t="s">
        <v>2129</v>
      </c>
      <c r="AO192" s="5782" t="s">
        <v>2129</v>
      </c>
      <c r="AT192" s="5782" t="s">
        <v>2129</v>
      </c>
      <c r="AU192" s="5782" t="s">
        <v>2129</v>
      </c>
      <c r="AV192" s="5782" t="s">
        <v>2129</v>
      </c>
      <c r="AW192" s="5782" t="s">
        <v>2129</v>
      </c>
      <c r="AX192" s="5782" t="s">
        <v>2129</v>
      </c>
      <c r="AY192" s="5782" t="s">
        <v>2129</v>
      </c>
      <c r="AZ192" s="5782" t="s">
        <v>2129</v>
      </c>
      <c r="BA192" s="5782" t="s">
        <v>2129</v>
      </c>
      <c r="BB192" s="5782" t="s">
        <v>2129</v>
      </c>
      <c r="BC192" s="5782" t="s">
        <v>2129</v>
      </c>
      <c r="BD192" s="5782" t="s">
        <v>2129</v>
      </c>
      <c r="BE192" s="5788" t="s">
        <v>2129</v>
      </c>
      <c r="BG192" s="5788" t="s">
        <v>2129</v>
      </c>
      <c r="BH192" s="5788" t="s">
        <v>2129</v>
      </c>
      <c r="BI192" s="5788" t="s">
        <v>2129</v>
      </c>
      <c r="BJ192" s="5788" t="s">
        <v>2129</v>
      </c>
      <c r="BK192" s="5788" t="s">
        <v>2129</v>
      </c>
      <c r="BL192" s="5788" t="s">
        <v>2129</v>
      </c>
      <c r="BM192" s="5788" t="s">
        <v>2129</v>
      </c>
      <c r="BN192" s="5788" t="s">
        <v>2129</v>
      </c>
      <c r="BO192" s="5788" t="s">
        <v>2129</v>
      </c>
      <c r="BP192" s="5788" t="s">
        <v>2129</v>
      </c>
      <c r="BQ192" s="5788" t="s">
        <v>2129</v>
      </c>
      <c r="BR192" s="5788" t="s">
        <v>2129</v>
      </c>
      <c r="BS192" s="5788" t="s">
        <v>2129</v>
      </c>
      <c r="BT192" s="5788" t="s">
        <v>2129</v>
      </c>
      <c r="BU192" s="5788" t="s">
        <v>2129</v>
      </c>
      <c r="BV192" s="5788" t="s">
        <v>2129</v>
      </c>
      <c r="BW192" s="5788" t="s">
        <v>2129</v>
      </c>
      <c r="BX192" s="5788" t="s">
        <v>2129</v>
      </c>
      <c r="BY192" s="5788"/>
      <c r="BZ192" s="5788" t="s">
        <v>2129</v>
      </c>
      <c r="CA192" s="5788" t="s">
        <v>2129</v>
      </c>
      <c r="CB192" s="5788" t="s">
        <v>2129</v>
      </c>
      <c r="CC192" s="5788" t="s">
        <v>2129</v>
      </c>
      <c r="CD192" s="5788"/>
      <c r="CE192" s="5784"/>
    </row>
    <row r="193" spans="1:83" s="5782" customFormat="1" ht="13">
      <c r="A193" s="5782">
        <v>2015</v>
      </c>
      <c r="B193" s="5783" t="s">
        <v>3410</v>
      </c>
      <c r="C193" s="5784" t="s">
        <v>2129</v>
      </c>
      <c r="D193" s="5784" t="s">
        <v>2129</v>
      </c>
      <c r="E193" s="5784" t="s">
        <v>2129</v>
      </c>
      <c r="F193" s="5784" t="s">
        <v>2129</v>
      </c>
      <c r="G193" s="5784" t="s">
        <v>2129</v>
      </c>
      <c r="H193" s="5785">
        <v>12</v>
      </c>
      <c r="I193" s="5785">
        <v>2</v>
      </c>
      <c r="J193" s="5785">
        <v>2</v>
      </c>
      <c r="K193" s="5785" t="s">
        <v>2129</v>
      </c>
      <c r="L193" s="5786">
        <v>1552942</v>
      </c>
      <c r="M193" s="5786">
        <v>82354</v>
      </c>
      <c r="N193" s="5786">
        <v>0</v>
      </c>
      <c r="O193" s="5786">
        <v>0</v>
      </c>
      <c r="P193" s="5786">
        <v>15000</v>
      </c>
      <c r="Q193" s="2476">
        <v>1813825.6</v>
      </c>
      <c r="R193" s="2477">
        <v>1813825</v>
      </c>
      <c r="S193" s="2477" t="b">
        <v>1</v>
      </c>
      <c r="T193" s="5786">
        <v>906912.5</v>
      </c>
      <c r="U193" s="5788">
        <v>1164735</v>
      </c>
      <c r="V193" s="5788" t="b">
        <v>1</v>
      </c>
      <c r="W193" s="5788">
        <v>38824.5</v>
      </c>
      <c r="X193" s="5788" t="s">
        <v>2129</v>
      </c>
      <c r="Y193" s="5788"/>
      <c r="Z193" s="5788"/>
      <c r="AA193" s="5788"/>
      <c r="AB193" s="5788"/>
      <c r="AC193" s="5782">
        <v>321</v>
      </c>
      <c r="AD193" s="5789">
        <v>30</v>
      </c>
      <c r="AE193" s="5789">
        <v>291</v>
      </c>
      <c r="AF193" s="5782">
        <v>576</v>
      </c>
      <c r="AG193" s="5782" t="s">
        <v>2129</v>
      </c>
      <c r="AH193" s="5782" t="s">
        <v>2129</v>
      </c>
      <c r="AI193" s="5782" t="s">
        <v>2129</v>
      </c>
      <c r="AJ193" s="5782" t="s">
        <v>2129</v>
      </c>
      <c r="AK193" s="5782" t="s">
        <v>2129</v>
      </c>
      <c r="AL193" s="5782" t="s">
        <v>2129</v>
      </c>
      <c r="AO193" s="5782" t="s">
        <v>2129</v>
      </c>
      <c r="AT193" s="5782" t="s">
        <v>2129</v>
      </c>
      <c r="AU193" s="5782" t="s">
        <v>2129</v>
      </c>
      <c r="AV193" s="5782" t="s">
        <v>2129</v>
      </c>
      <c r="AW193" s="5782" t="s">
        <v>2129</v>
      </c>
      <c r="AX193" s="5782" t="s">
        <v>2129</v>
      </c>
      <c r="AY193" s="5782" t="s">
        <v>2129</v>
      </c>
      <c r="AZ193" s="5782" t="s">
        <v>2129</v>
      </c>
      <c r="BA193" s="5782" t="s">
        <v>2129</v>
      </c>
      <c r="BB193" s="5782" t="s">
        <v>2129</v>
      </c>
      <c r="BC193" s="5782" t="s">
        <v>2129</v>
      </c>
      <c r="BD193" s="5782" t="s">
        <v>2129</v>
      </c>
      <c r="BE193" s="5788" t="s">
        <v>2129</v>
      </c>
      <c r="BG193" s="5788" t="s">
        <v>2129</v>
      </c>
      <c r="BH193" s="5788" t="s">
        <v>2129</v>
      </c>
      <c r="BI193" s="5788" t="s">
        <v>2129</v>
      </c>
      <c r="BJ193" s="5788" t="s">
        <v>2129</v>
      </c>
      <c r="BK193" s="5788" t="s">
        <v>2129</v>
      </c>
      <c r="BL193" s="5788" t="s">
        <v>2129</v>
      </c>
      <c r="BM193" s="5788" t="s">
        <v>2129</v>
      </c>
      <c r="BN193" s="5788" t="s">
        <v>2129</v>
      </c>
      <c r="BO193" s="5788" t="s">
        <v>2129</v>
      </c>
      <c r="BP193" s="5788" t="s">
        <v>2129</v>
      </c>
      <c r="BQ193" s="5788" t="s">
        <v>2129</v>
      </c>
      <c r="BR193" s="5788" t="s">
        <v>2129</v>
      </c>
      <c r="BS193" s="5788" t="s">
        <v>2129</v>
      </c>
      <c r="BT193" s="5788" t="s">
        <v>2129</v>
      </c>
      <c r="BU193" s="5788" t="s">
        <v>2129</v>
      </c>
      <c r="BV193" s="5788" t="s">
        <v>2129</v>
      </c>
      <c r="BW193" s="5788" t="s">
        <v>2129</v>
      </c>
      <c r="BX193" s="5788" t="s">
        <v>2129</v>
      </c>
      <c r="BY193" s="5788"/>
      <c r="BZ193" s="5788" t="s">
        <v>2129</v>
      </c>
      <c r="CA193" s="5788" t="s">
        <v>2129</v>
      </c>
      <c r="CB193" s="5788" t="s">
        <v>2129</v>
      </c>
      <c r="CC193" s="5788" t="s">
        <v>2129</v>
      </c>
      <c r="CD193" s="5788"/>
      <c r="CE193" s="5784"/>
    </row>
    <row r="194" spans="1:83" ht="13">
      <c r="A194">
        <v>2016</v>
      </c>
      <c r="B194" s="196" t="s">
        <v>2880</v>
      </c>
      <c r="C194" s="5790" t="s">
        <v>6616</v>
      </c>
      <c r="D194" s="5790" t="s">
        <v>6599</v>
      </c>
      <c r="E194" s="5790" t="s">
        <v>2129</v>
      </c>
      <c r="F194" s="5785" t="s">
        <v>2129</v>
      </c>
      <c r="G194" s="5785" t="s">
        <v>2129</v>
      </c>
      <c r="H194" s="5785">
        <v>40</v>
      </c>
      <c r="I194" s="5785">
        <v>5</v>
      </c>
      <c r="J194" s="5785">
        <v>40</v>
      </c>
      <c r="K194" s="5785">
        <v>35</v>
      </c>
      <c r="L194" s="5786">
        <v>5458826</v>
      </c>
      <c r="M194" s="5786">
        <v>0</v>
      </c>
      <c r="N194" s="5786">
        <v>0</v>
      </c>
      <c r="O194" s="5786">
        <v>0</v>
      </c>
      <c r="P194" s="5786">
        <v>0</v>
      </c>
      <c r="Q194" s="2476">
        <v>6004708.6000000006</v>
      </c>
      <c r="R194" s="2477">
        <v>3002355</v>
      </c>
      <c r="S194" s="2477" t="b">
        <v>0</v>
      </c>
      <c r="T194" s="5786">
        <v>600471</v>
      </c>
      <c r="U194" s="863">
        <v>5525905</v>
      </c>
      <c r="V194" s="863" t="b">
        <v>0</v>
      </c>
      <c r="W194" s="863">
        <v>52627.666666666664</v>
      </c>
      <c r="X194" s="863" t="s">
        <v>2129</v>
      </c>
      <c r="Y194" s="863">
        <v>5500</v>
      </c>
      <c r="AC194">
        <v>232</v>
      </c>
      <c r="AD194" s="3965">
        <v>105</v>
      </c>
      <c r="AE194" s="3965">
        <v>127</v>
      </c>
      <c r="AF194">
        <v>718</v>
      </c>
      <c r="AG194">
        <v>232</v>
      </c>
      <c r="AH194" t="s">
        <v>2129</v>
      </c>
      <c r="AI194" t="s">
        <v>2129</v>
      </c>
      <c r="AJ194" t="s">
        <v>2129</v>
      </c>
      <c r="AK194" t="s">
        <v>2129</v>
      </c>
      <c r="AL194">
        <v>127</v>
      </c>
      <c r="AO194" t="s">
        <v>2129</v>
      </c>
      <c r="AT194">
        <v>29</v>
      </c>
      <c r="AU194">
        <v>29</v>
      </c>
      <c r="AV194" t="s">
        <v>2129</v>
      </c>
      <c r="AW194" t="s">
        <v>2129</v>
      </c>
      <c r="AX194" t="s">
        <v>2129</v>
      </c>
      <c r="AY194" t="s">
        <v>2129</v>
      </c>
      <c r="AZ194" t="s">
        <v>2129</v>
      </c>
      <c r="BA194" t="s">
        <v>2129</v>
      </c>
      <c r="BB194" t="s">
        <v>2129</v>
      </c>
      <c r="BC194" t="s">
        <v>2129</v>
      </c>
      <c r="BD194" t="s">
        <v>2129</v>
      </c>
      <c r="BE194" s="1958">
        <v>160251245</v>
      </c>
      <c r="BF194" s="1958">
        <v>160251245</v>
      </c>
      <c r="BG194" s="1958" t="s">
        <v>2129</v>
      </c>
      <c r="BH194" s="1958" t="s">
        <v>2129</v>
      </c>
      <c r="BI194" s="1958" t="s">
        <v>2129</v>
      </c>
      <c r="BJ194" s="1958" t="s">
        <v>2129</v>
      </c>
      <c r="BK194" s="1958" t="s">
        <v>2129</v>
      </c>
      <c r="BL194" s="1958" t="s">
        <v>2129</v>
      </c>
      <c r="BM194" s="1958" t="s">
        <v>2129</v>
      </c>
      <c r="BN194" s="863" t="s">
        <v>2129</v>
      </c>
      <c r="BO194" s="863" t="s">
        <v>2129</v>
      </c>
      <c r="BP194" s="1958" t="s">
        <v>2129</v>
      </c>
      <c r="BQ194" s="1958" t="s">
        <v>2129</v>
      </c>
      <c r="BR194" s="1958" t="s">
        <v>2129</v>
      </c>
      <c r="BS194" s="1958" t="s">
        <v>2129</v>
      </c>
      <c r="BT194" s="1958" t="s">
        <v>2129</v>
      </c>
      <c r="BU194" s="1958">
        <v>87068295</v>
      </c>
      <c r="BV194" s="1958">
        <v>87068295</v>
      </c>
      <c r="BW194" s="1958" t="s">
        <v>2129</v>
      </c>
      <c r="BX194" s="1958" t="s">
        <v>2129</v>
      </c>
      <c r="BZ194" s="1958" t="s">
        <v>2129</v>
      </c>
      <c r="CA194" s="1958" t="s">
        <v>2129</v>
      </c>
      <c r="CB194" s="1958" t="s">
        <v>2129</v>
      </c>
      <c r="CC194" s="1958" t="s">
        <v>2129</v>
      </c>
      <c r="CE194" s="5785"/>
    </row>
    <row r="195" spans="1:83" s="5782" customFormat="1" ht="13">
      <c r="A195" s="5782">
        <v>2018</v>
      </c>
      <c r="B195" s="5783" t="s">
        <v>3411</v>
      </c>
      <c r="C195" s="5784" t="s">
        <v>2129</v>
      </c>
      <c r="D195" s="5784" t="s">
        <v>2129</v>
      </c>
      <c r="E195" s="5784" t="s">
        <v>2129</v>
      </c>
      <c r="F195" s="5784" t="s">
        <v>2129</v>
      </c>
      <c r="G195" s="5784" t="s">
        <v>2129</v>
      </c>
      <c r="H195" s="5785">
        <v>9</v>
      </c>
      <c r="I195" s="5785">
        <v>5</v>
      </c>
      <c r="J195" s="5785">
        <v>75</v>
      </c>
      <c r="K195" s="5785" t="s">
        <v>2129</v>
      </c>
      <c r="L195" s="5786">
        <v>1229413</v>
      </c>
      <c r="M195" s="5786">
        <v>0</v>
      </c>
      <c r="N195" s="5786">
        <v>0</v>
      </c>
      <c r="O195" s="5786">
        <v>0</v>
      </c>
      <c r="P195" s="5786">
        <v>0</v>
      </c>
      <c r="Q195" s="2476">
        <v>1352354.3</v>
      </c>
      <c r="R195" s="2477">
        <v>1352354</v>
      </c>
      <c r="S195" s="2477" t="b">
        <v>0</v>
      </c>
      <c r="T195" s="5786">
        <v>270470.8</v>
      </c>
      <c r="U195" s="5788">
        <v>1698572</v>
      </c>
      <c r="V195" s="5788" t="b">
        <v>0</v>
      </c>
      <c r="W195" s="5788">
        <v>30883.127272727274</v>
      </c>
      <c r="X195" s="5788" t="s">
        <v>2129</v>
      </c>
      <c r="Y195" s="5788"/>
      <c r="Z195" s="5788"/>
      <c r="AA195" s="5788"/>
      <c r="AB195" s="5788"/>
      <c r="AC195" s="5782">
        <v>92</v>
      </c>
      <c r="AD195" s="5789">
        <v>55</v>
      </c>
      <c r="AE195" s="5789">
        <v>37</v>
      </c>
      <c r="AF195" s="5782">
        <v>148</v>
      </c>
      <c r="AG195" s="5782" t="s">
        <v>2129</v>
      </c>
      <c r="AH195" s="5782" t="s">
        <v>2129</v>
      </c>
      <c r="AI195" s="5782" t="s">
        <v>2129</v>
      </c>
      <c r="AJ195" s="5782" t="s">
        <v>2129</v>
      </c>
      <c r="AK195" s="5782" t="s">
        <v>2129</v>
      </c>
      <c r="AL195" s="5782" t="s">
        <v>2129</v>
      </c>
      <c r="AO195" s="5782" t="s">
        <v>2129</v>
      </c>
      <c r="AT195" s="5782" t="s">
        <v>2129</v>
      </c>
      <c r="AU195" s="5782" t="s">
        <v>2129</v>
      </c>
      <c r="AV195" s="5782" t="s">
        <v>2129</v>
      </c>
      <c r="AW195" s="5782" t="s">
        <v>2129</v>
      </c>
      <c r="AX195" s="5782" t="s">
        <v>2129</v>
      </c>
      <c r="AY195" s="5782" t="s">
        <v>2129</v>
      </c>
      <c r="AZ195" s="5782" t="s">
        <v>2129</v>
      </c>
      <c r="BA195" s="5782" t="s">
        <v>2129</v>
      </c>
      <c r="BB195" s="5782" t="s">
        <v>2129</v>
      </c>
      <c r="BC195" s="5782" t="s">
        <v>2129</v>
      </c>
      <c r="BD195" s="5782" t="s">
        <v>2129</v>
      </c>
      <c r="BE195" s="5788" t="s">
        <v>2129</v>
      </c>
      <c r="BG195" s="5788" t="s">
        <v>2129</v>
      </c>
      <c r="BH195" s="5788" t="s">
        <v>2129</v>
      </c>
      <c r="BI195" s="5788" t="s">
        <v>2129</v>
      </c>
      <c r="BJ195" s="5788" t="s">
        <v>2129</v>
      </c>
      <c r="BK195" s="5788" t="s">
        <v>2129</v>
      </c>
      <c r="BL195" s="5788" t="s">
        <v>2129</v>
      </c>
      <c r="BM195" s="5788" t="s">
        <v>2129</v>
      </c>
      <c r="BN195" s="5788" t="s">
        <v>2129</v>
      </c>
      <c r="BO195" s="5788" t="s">
        <v>2129</v>
      </c>
      <c r="BP195" s="5788" t="s">
        <v>2129</v>
      </c>
      <c r="BQ195" s="5788" t="s">
        <v>2129</v>
      </c>
      <c r="BR195" s="5788" t="s">
        <v>2129</v>
      </c>
      <c r="BS195" s="5788" t="s">
        <v>2129</v>
      </c>
      <c r="BT195" s="5788" t="s">
        <v>2129</v>
      </c>
      <c r="BU195" s="5788" t="s">
        <v>2129</v>
      </c>
      <c r="BV195" s="5788" t="s">
        <v>2129</v>
      </c>
      <c r="BW195" s="5788" t="s">
        <v>2129</v>
      </c>
      <c r="BX195" s="5788" t="s">
        <v>2129</v>
      </c>
      <c r="BY195" s="5788"/>
      <c r="BZ195" s="5788" t="s">
        <v>2129</v>
      </c>
      <c r="CA195" s="5788" t="s">
        <v>2129</v>
      </c>
      <c r="CB195" s="5788" t="s">
        <v>2129</v>
      </c>
      <c r="CC195" s="5788" t="s">
        <v>2129</v>
      </c>
      <c r="CD195" s="5788"/>
      <c r="CE195" s="5784"/>
    </row>
    <row r="196" spans="1:83" ht="13">
      <c r="A196">
        <v>2019</v>
      </c>
      <c r="B196" s="196" t="s">
        <v>3412</v>
      </c>
      <c r="C196" s="5790" t="s">
        <v>6616</v>
      </c>
      <c r="D196" s="5790" t="s">
        <v>6599</v>
      </c>
      <c r="E196" s="5790" t="s">
        <v>2129</v>
      </c>
      <c r="F196" s="5785" t="s">
        <v>2129</v>
      </c>
      <c r="G196" s="5785" t="s">
        <v>2129</v>
      </c>
      <c r="H196" s="5785">
        <v>27</v>
      </c>
      <c r="I196" s="5785">
        <v>10</v>
      </c>
      <c r="J196" s="5785">
        <v>27</v>
      </c>
      <c r="K196" s="5785">
        <v>17</v>
      </c>
      <c r="L196" s="5786">
        <v>971383</v>
      </c>
      <c r="M196" s="5786">
        <v>0</v>
      </c>
      <c r="N196" s="5786">
        <v>0</v>
      </c>
      <c r="O196" s="5786">
        <v>18600</v>
      </c>
      <c r="P196" s="5786">
        <v>0</v>
      </c>
      <c r="Q196" s="2476">
        <v>1087121.3</v>
      </c>
      <c r="R196" s="2477">
        <v>0</v>
      </c>
      <c r="S196" s="2477" t="b">
        <v>0</v>
      </c>
      <c r="T196" s="5786">
        <v>0</v>
      </c>
      <c r="U196" s="863">
        <v>35295</v>
      </c>
      <c r="V196" s="863" t="b">
        <v>1</v>
      </c>
      <c r="W196" s="863">
        <v>882.375</v>
      </c>
      <c r="X196" s="863" t="s">
        <v>2129</v>
      </c>
      <c r="Y196" s="863">
        <v>3800</v>
      </c>
      <c r="AC196">
        <v>369</v>
      </c>
      <c r="AD196" s="3965">
        <v>40</v>
      </c>
      <c r="AE196" s="3965">
        <v>329</v>
      </c>
      <c r="AF196">
        <v>641</v>
      </c>
      <c r="AG196">
        <v>369</v>
      </c>
      <c r="AH196" t="s">
        <v>2129</v>
      </c>
      <c r="AI196" t="s">
        <v>2129</v>
      </c>
      <c r="AJ196" t="s">
        <v>2129</v>
      </c>
      <c r="AK196" t="s">
        <v>2129</v>
      </c>
      <c r="AL196">
        <v>329</v>
      </c>
      <c r="AO196" t="s">
        <v>2129</v>
      </c>
      <c r="AT196">
        <v>13</v>
      </c>
      <c r="AU196">
        <v>13</v>
      </c>
      <c r="AV196" t="s">
        <v>2129</v>
      </c>
      <c r="AW196" t="s">
        <v>2129</v>
      </c>
      <c r="AX196" t="s">
        <v>2129</v>
      </c>
      <c r="AY196" t="s">
        <v>2129</v>
      </c>
      <c r="AZ196" t="s">
        <v>2129</v>
      </c>
      <c r="BA196" t="s">
        <v>2129</v>
      </c>
      <c r="BB196" t="s">
        <v>2129</v>
      </c>
      <c r="BC196" t="s">
        <v>2129</v>
      </c>
      <c r="BD196" t="s">
        <v>2129</v>
      </c>
      <c r="BE196" s="1958">
        <v>458835</v>
      </c>
      <c r="BF196" s="1958">
        <v>458835</v>
      </c>
      <c r="BG196" s="1958" t="s">
        <v>2129</v>
      </c>
      <c r="BH196" s="1958" t="s">
        <v>2129</v>
      </c>
      <c r="BI196" s="1958" t="s">
        <v>2129</v>
      </c>
      <c r="BJ196" s="1958" t="s">
        <v>2129</v>
      </c>
      <c r="BK196" s="1958" t="s">
        <v>2129</v>
      </c>
      <c r="BL196" s="1958" t="s">
        <v>2129</v>
      </c>
      <c r="BM196" s="1958" t="s">
        <v>2129</v>
      </c>
      <c r="BN196" s="863" t="s">
        <v>2129</v>
      </c>
      <c r="BO196" s="863" t="s">
        <v>2129</v>
      </c>
      <c r="BP196" s="1958" t="s">
        <v>2129</v>
      </c>
      <c r="BQ196" s="1958" t="s">
        <v>2129</v>
      </c>
      <c r="BR196" s="1958" t="s">
        <v>2129</v>
      </c>
      <c r="BS196" s="1958" t="s">
        <v>2129</v>
      </c>
      <c r="BT196" s="1958" t="s">
        <v>2129</v>
      </c>
      <c r="BU196" s="1958" t="s">
        <v>2129</v>
      </c>
      <c r="BV196" s="1958" t="s">
        <v>2129</v>
      </c>
      <c r="BW196" s="1958" t="s">
        <v>2129</v>
      </c>
      <c r="BX196" s="1958" t="s">
        <v>2129</v>
      </c>
      <c r="BZ196" s="1958" t="s">
        <v>2129</v>
      </c>
      <c r="CA196" s="1958" t="s">
        <v>2129</v>
      </c>
      <c r="CB196" s="1958" t="s">
        <v>2129</v>
      </c>
      <c r="CC196" s="1958" t="s">
        <v>2129</v>
      </c>
      <c r="CE196" s="5785"/>
    </row>
    <row r="197" spans="1:83" ht="13">
      <c r="A197">
        <v>2021</v>
      </c>
      <c r="B197" s="196" t="s">
        <v>3413</v>
      </c>
      <c r="C197" s="5785" t="s">
        <v>3694</v>
      </c>
      <c r="D197" s="5785" t="s">
        <v>3791</v>
      </c>
      <c r="E197" s="5785" t="s">
        <v>4095</v>
      </c>
      <c r="F197" s="5785" t="s">
        <v>2129</v>
      </c>
      <c r="G197" s="5785" t="s">
        <v>2129</v>
      </c>
      <c r="H197" s="5785">
        <v>11</v>
      </c>
      <c r="I197" s="5785">
        <v>7</v>
      </c>
      <c r="J197" s="5785">
        <v>59</v>
      </c>
      <c r="K197" s="5785" t="s">
        <v>2129</v>
      </c>
      <c r="L197" s="5786">
        <v>4818826</v>
      </c>
      <c r="M197" s="5786">
        <v>194120</v>
      </c>
      <c r="N197" s="5786">
        <v>0</v>
      </c>
      <c r="O197" s="5786">
        <v>0</v>
      </c>
      <c r="P197" s="5786">
        <v>0</v>
      </c>
      <c r="Q197" s="2476">
        <v>5514240.6000000006</v>
      </c>
      <c r="R197" s="2477">
        <v>5514240</v>
      </c>
      <c r="S197" s="2477" t="b">
        <v>0</v>
      </c>
      <c r="T197" s="5786">
        <v>787748.57142857148</v>
      </c>
      <c r="U197" s="863">
        <v>4757781</v>
      </c>
      <c r="V197" s="863" t="b">
        <v>1</v>
      </c>
      <c r="W197" s="863">
        <v>31096.607843137255</v>
      </c>
      <c r="X197" s="863" t="s">
        <v>2129</v>
      </c>
      <c r="AC197">
        <v>322</v>
      </c>
      <c r="AD197" s="3965">
        <v>153</v>
      </c>
      <c r="AE197" s="3965">
        <v>169</v>
      </c>
      <c r="AF197">
        <v>521</v>
      </c>
      <c r="AG197">
        <v>10</v>
      </c>
      <c r="AH197">
        <v>34</v>
      </c>
      <c r="AI197">
        <v>12</v>
      </c>
      <c r="AJ197" t="s">
        <v>2129</v>
      </c>
      <c r="AK197" t="s">
        <v>2129</v>
      </c>
      <c r="AL197">
        <v>-143</v>
      </c>
      <c r="AM197">
        <v>-119</v>
      </c>
      <c r="AN197">
        <v>-141</v>
      </c>
      <c r="AO197" t="s">
        <v>2129</v>
      </c>
      <c r="AP197" t="s">
        <v>2129</v>
      </c>
      <c r="AT197" t="s">
        <v>2129</v>
      </c>
      <c r="AU197" t="s">
        <v>2129</v>
      </c>
      <c r="AV197" t="s">
        <v>2129</v>
      </c>
      <c r="AW197">
        <v>32</v>
      </c>
      <c r="AX197">
        <v>11</v>
      </c>
      <c r="AY197">
        <v>32</v>
      </c>
      <c r="AZ197" t="s">
        <v>2129</v>
      </c>
      <c r="BA197" t="s">
        <v>2129</v>
      </c>
      <c r="BB197" t="s">
        <v>2129</v>
      </c>
      <c r="BC197" t="s">
        <v>2129</v>
      </c>
      <c r="BD197" t="s">
        <v>2129</v>
      </c>
      <c r="BE197" s="1958" t="s">
        <v>2129</v>
      </c>
      <c r="BF197"/>
      <c r="BG197" s="863" t="s">
        <v>2129</v>
      </c>
      <c r="BH197" s="863">
        <v>9950914.509803921</v>
      </c>
      <c r="BI197" s="863" t="s">
        <v>2129</v>
      </c>
      <c r="BJ197" s="863" t="s">
        <v>2129</v>
      </c>
      <c r="BK197" s="863">
        <v>11630131.333333334</v>
      </c>
      <c r="BL197" s="863">
        <v>11941097.411764706</v>
      </c>
      <c r="BM197" s="863" t="s">
        <v>2129</v>
      </c>
      <c r="BN197" s="863" t="s">
        <v>2129</v>
      </c>
      <c r="BO197" s="863" t="s">
        <v>2129</v>
      </c>
      <c r="BP197" s="863" t="s">
        <v>2129</v>
      </c>
      <c r="BQ197" s="863" t="s">
        <v>2129</v>
      </c>
      <c r="BR197" s="863" t="s">
        <v>2129</v>
      </c>
      <c r="BS197" s="863" t="s">
        <v>2129</v>
      </c>
      <c r="BT197" s="863" t="s">
        <v>2129</v>
      </c>
      <c r="BU197" s="863" t="s">
        <v>2129</v>
      </c>
      <c r="BV197" s="863" t="s">
        <v>2129</v>
      </c>
      <c r="BW197" s="863" t="s">
        <v>2129</v>
      </c>
      <c r="BX197" s="863" t="s">
        <v>2129</v>
      </c>
      <c r="BY197" s="863"/>
      <c r="BZ197" s="863" t="s">
        <v>2129</v>
      </c>
      <c r="CA197" s="863" t="s">
        <v>2129</v>
      </c>
      <c r="CB197" s="863" t="s">
        <v>2129</v>
      </c>
      <c r="CC197" s="863" t="s">
        <v>2129</v>
      </c>
      <c r="CD197" s="863"/>
      <c r="CE197" s="5785"/>
    </row>
    <row r="198" spans="1:83" ht="13">
      <c r="A198">
        <v>2022</v>
      </c>
      <c r="B198" s="196" t="s">
        <v>2878</v>
      </c>
      <c r="C198" s="5790" t="s">
        <v>6616</v>
      </c>
      <c r="D198" s="5790" t="s">
        <v>6599</v>
      </c>
      <c r="E198" s="5790" t="s">
        <v>2129</v>
      </c>
      <c r="F198" s="5792" t="s">
        <v>5205</v>
      </c>
      <c r="G198" s="5792" t="s">
        <v>2129</v>
      </c>
      <c r="H198" s="5785">
        <v>12</v>
      </c>
      <c r="I198" s="5785">
        <v>6</v>
      </c>
      <c r="J198" s="5785">
        <v>6</v>
      </c>
      <c r="K198" s="5785">
        <v>6</v>
      </c>
      <c r="L198" s="5786">
        <v>1364708</v>
      </c>
      <c r="M198" s="5786">
        <v>0</v>
      </c>
      <c r="N198" s="5786">
        <v>0</v>
      </c>
      <c r="O198" s="5786">
        <v>34050</v>
      </c>
      <c r="P198" s="5786">
        <v>0</v>
      </c>
      <c r="Q198" s="2476">
        <v>1535228.8</v>
      </c>
      <c r="R198" s="2477">
        <v>1535228</v>
      </c>
      <c r="S198" s="5798" t="b">
        <v>1</v>
      </c>
      <c r="T198" s="5786">
        <v>255871.33333333334</v>
      </c>
      <c r="U198" s="863">
        <v>5922049</v>
      </c>
      <c r="V198" s="863" t="b">
        <v>1</v>
      </c>
      <c r="W198" s="863">
        <v>63677.946236559139</v>
      </c>
      <c r="X198" s="863">
        <v>46392.863298080694</v>
      </c>
      <c r="Y198" s="863">
        <v>3000</v>
      </c>
      <c r="AA198" s="863">
        <v>45722</v>
      </c>
      <c r="AB198" s="863">
        <v>64973</v>
      </c>
      <c r="AC198">
        <v>212</v>
      </c>
      <c r="AD198" s="3965">
        <v>93</v>
      </c>
      <c r="AE198" s="3965">
        <v>119</v>
      </c>
      <c r="AF198">
        <v>522</v>
      </c>
      <c r="AG198" s="191">
        <v>212</v>
      </c>
      <c r="AH198" s="191" t="s">
        <v>2129</v>
      </c>
      <c r="AI198" s="191" t="s">
        <v>2129</v>
      </c>
      <c r="AJ198" s="2705">
        <v>111</v>
      </c>
      <c r="AK198" t="s">
        <v>2129</v>
      </c>
      <c r="AL198">
        <v>119</v>
      </c>
      <c r="AO198">
        <v>18</v>
      </c>
      <c r="AT198">
        <v>14</v>
      </c>
      <c r="AU198">
        <v>14</v>
      </c>
      <c r="AV198" t="s">
        <v>2129</v>
      </c>
      <c r="AW198" t="s">
        <v>2129</v>
      </c>
      <c r="AX198" t="s">
        <v>2129</v>
      </c>
      <c r="AY198" t="s">
        <v>2129</v>
      </c>
      <c r="AZ198">
        <v>16</v>
      </c>
      <c r="BA198" t="s">
        <v>2129</v>
      </c>
      <c r="BB198" t="s">
        <v>2129</v>
      </c>
      <c r="BC198" t="s">
        <v>2129</v>
      </c>
      <c r="BD198" t="s">
        <v>2129</v>
      </c>
      <c r="BE198" s="1958">
        <v>82908686</v>
      </c>
      <c r="BF198" s="1958">
        <v>82908686</v>
      </c>
      <c r="BG198" s="1958" t="s">
        <v>2129</v>
      </c>
      <c r="BH198" s="1958" t="s">
        <v>2129</v>
      </c>
      <c r="BI198" s="1958" t="s">
        <v>2129</v>
      </c>
      <c r="BJ198" s="1958" t="s">
        <v>2129</v>
      </c>
      <c r="BK198" s="1958" t="s">
        <v>2129</v>
      </c>
      <c r="BL198" s="1958" t="s">
        <v>2129</v>
      </c>
      <c r="BM198" s="1958">
        <v>94752784</v>
      </c>
      <c r="BN198" s="863">
        <v>113092032.51612903</v>
      </c>
      <c r="BO198" s="863" t="s">
        <v>2129</v>
      </c>
      <c r="BP198" s="1958" t="s">
        <v>2129</v>
      </c>
      <c r="BQ198" s="1958" t="s">
        <v>2129</v>
      </c>
      <c r="BR198" s="1958" t="s">
        <v>2129</v>
      </c>
      <c r="BS198" s="1958" t="s">
        <v>2129</v>
      </c>
      <c r="BT198" s="1958" t="s">
        <v>2129</v>
      </c>
      <c r="BU198" s="1958">
        <v>21493192</v>
      </c>
      <c r="BV198" s="1958">
        <v>21493192</v>
      </c>
      <c r="BW198" s="1958" t="s">
        <v>2129</v>
      </c>
      <c r="BX198" s="1958" t="s">
        <v>2129</v>
      </c>
      <c r="BZ198" s="1958">
        <v>24563648</v>
      </c>
      <c r="CA198" s="1958">
        <v>24563648</v>
      </c>
      <c r="CB198" s="1958" t="s">
        <v>2129</v>
      </c>
      <c r="CC198" s="1958" t="s">
        <v>2129</v>
      </c>
      <c r="CE198" s="5785" t="s">
        <v>6602</v>
      </c>
    </row>
    <row r="199" spans="1:83" ht="13">
      <c r="A199">
        <v>2024</v>
      </c>
      <c r="B199" s="5802" t="s">
        <v>3414</v>
      </c>
      <c r="C199" s="5785" t="s">
        <v>2129</v>
      </c>
      <c r="D199" s="5785" t="s">
        <v>5293</v>
      </c>
      <c r="E199" s="5785" t="s">
        <v>2129</v>
      </c>
      <c r="F199" s="5785" t="s">
        <v>3791</v>
      </c>
      <c r="G199" s="5785" t="s">
        <v>4095</v>
      </c>
      <c r="H199" s="5785">
        <v>1</v>
      </c>
      <c r="I199" s="2694">
        <v>1</v>
      </c>
      <c r="J199" s="2694">
        <v>1</v>
      </c>
      <c r="K199" s="5785">
        <v>0</v>
      </c>
      <c r="L199" s="5786">
        <v>282353</v>
      </c>
      <c r="M199" s="5786">
        <v>0</v>
      </c>
      <c r="N199" s="5786">
        <v>0</v>
      </c>
      <c r="O199" s="5786">
        <v>0</v>
      </c>
      <c r="P199" s="5786">
        <v>0</v>
      </c>
      <c r="Q199" s="2476">
        <v>310588.30000000005</v>
      </c>
      <c r="R199" s="2477">
        <v>310588</v>
      </c>
      <c r="S199" s="2477" t="b">
        <v>1</v>
      </c>
      <c r="T199" s="5786">
        <v>310588</v>
      </c>
      <c r="U199" s="863">
        <v>5836506</v>
      </c>
      <c r="V199" s="863" t="b">
        <v>1</v>
      </c>
      <c r="W199" s="863">
        <v>58365.06</v>
      </c>
      <c r="X199" s="863">
        <v>57672.984189723327</v>
      </c>
      <c r="AC199">
        <v>195</v>
      </c>
      <c r="AD199" s="3965">
        <v>100</v>
      </c>
      <c r="AE199" s="3965">
        <v>95</v>
      </c>
      <c r="AF199">
        <v>307</v>
      </c>
      <c r="AG199" t="s">
        <v>2129</v>
      </c>
      <c r="AH199">
        <v>30</v>
      </c>
      <c r="AI199" t="s">
        <v>2129</v>
      </c>
      <c r="AJ199">
        <v>88</v>
      </c>
      <c r="AK199">
        <v>12</v>
      </c>
      <c r="AL199" t="s">
        <v>2129</v>
      </c>
      <c r="AO199">
        <v>-12</v>
      </c>
      <c r="AT199" t="s">
        <v>2129</v>
      </c>
      <c r="AU199" t="s">
        <v>2129</v>
      </c>
      <c r="AV199">
        <v>20</v>
      </c>
      <c r="AW199" t="s">
        <v>2129</v>
      </c>
      <c r="AX199" t="s">
        <v>2129</v>
      </c>
      <c r="AY199" t="s">
        <v>2129</v>
      </c>
      <c r="AZ199" t="s">
        <v>2129</v>
      </c>
      <c r="BA199" t="s">
        <v>2129</v>
      </c>
      <c r="BB199" t="s">
        <v>2129</v>
      </c>
      <c r="BC199">
        <v>10</v>
      </c>
      <c r="BD199">
        <v>15</v>
      </c>
      <c r="BE199" s="1958" t="s">
        <v>2129</v>
      </c>
      <c r="BF199"/>
      <c r="BG199" s="863">
        <v>35019036</v>
      </c>
      <c r="BH199" s="863" t="s">
        <v>2129</v>
      </c>
      <c r="BI199" s="863" t="s">
        <v>2129</v>
      </c>
      <c r="BJ199" s="863" t="s">
        <v>2129</v>
      </c>
      <c r="BK199" s="863" t="s">
        <v>2129</v>
      </c>
      <c r="BL199" s="863" t="s">
        <v>2129</v>
      </c>
      <c r="BM199" s="863" t="s">
        <v>2129</v>
      </c>
      <c r="BN199" s="863" t="s">
        <v>2129</v>
      </c>
      <c r="BO199" s="863" t="s">
        <v>2129</v>
      </c>
      <c r="BP199" s="863" t="s">
        <v>2129</v>
      </c>
      <c r="BQ199" s="863" t="s">
        <v>2129</v>
      </c>
      <c r="BR199" s="863" t="s">
        <v>2129</v>
      </c>
      <c r="BS199" s="863">
        <v>51361252.799999997</v>
      </c>
      <c r="BT199" s="863">
        <v>10505710.799999999</v>
      </c>
      <c r="BU199" s="863" t="s">
        <v>2129</v>
      </c>
      <c r="BV199" s="863" t="s">
        <v>2129</v>
      </c>
      <c r="BW199" s="863">
        <v>6211760</v>
      </c>
      <c r="BX199" s="863" t="s">
        <v>2129</v>
      </c>
      <c r="BY199" s="863"/>
      <c r="BZ199" s="863" t="s">
        <v>2129</v>
      </c>
      <c r="CA199" s="863" t="s">
        <v>2129</v>
      </c>
      <c r="CB199" s="863" t="s">
        <v>2129</v>
      </c>
      <c r="CC199" s="863" t="s">
        <v>2129</v>
      </c>
      <c r="CD199" s="863"/>
      <c r="CE199" s="5785"/>
    </row>
    <row r="200" spans="1:83" ht="13">
      <c r="A200">
        <v>2025</v>
      </c>
      <c r="B200" s="196" t="s">
        <v>3415</v>
      </c>
      <c r="C200" s="5785" t="s">
        <v>3694</v>
      </c>
      <c r="D200" s="5785" t="s">
        <v>3791</v>
      </c>
      <c r="E200" s="5785" t="s">
        <v>4095</v>
      </c>
      <c r="F200" s="5785" t="s">
        <v>2129</v>
      </c>
      <c r="G200" s="5785" t="s">
        <v>2129</v>
      </c>
      <c r="H200" s="5785">
        <v>3</v>
      </c>
      <c r="I200" s="5785">
        <v>3</v>
      </c>
      <c r="J200" s="5785">
        <v>3</v>
      </c>
      <c r="K200" s="5785" t="s">
        <v>2129</v>
      </c>
      <c r="L200" s="5786">
        <v>682354</v>
      </c>
      <c r="M200" s="5786">
        <v>0</v>
      </c>
      <c r="N200" s="5786">
        <v>0</v>
      </c>
      <c r="O200" s="5786">
        <v>5100</v>
      </c>
      <c r="P200" s="5786">
        <v>0</v>
      </c>
      <c r="Q200" s="2476">
        <v>755689.4</v>
      </c>
      <c r="R200" s="2477">
        <v>755689</v>
      </c>
      <c r="S200" s="2477" t="b">
        <v>1</v>
      </c>
      <c r="T200" s="5786">
        <v>251896.33333333334</v>
      </c>
      <c r="U200" s="863">
        <v>2859595</v>
      </c>
      <c r="V200" s="863" t="b">
        <v>1</v>
      </c>
      <c r="W200" s="863">
        <v>79433.194444444438</v>
      </c>
      <c r="X200" s="863" t="s">
        <v>2129</v>
      </c>
      <c r="AC200">
        <v>128</v>
      </c>
      <c r="AD200" s="3965">
        <v>36</v>
      </c>
      <c r="AE200" s="3965">
        <v>92</v>
      </c>
      <c r="AF200">
        <v>223</v>
      </c>
      <c r="AG200">
        <v>10</v>
      </c>
      <c r="AH200">
        <v>34</v>
      </c>
      <c r="AI200">
        <v>12</v>
      </c>
      <c r="AJ200" t="s">
        <v>2129</v>
      </c>
      <c r="AK200" t="s">
        <v>2129</v>
      </c>
      <c r="AL200">
        <v>-26</v>
      </c>
      <c r="AM200">
        <v>-2</v>
      </c>
      <c r="AN200">
        <v>-24</v>
      </c>
      <c r="AO200" t="s">
        <v>2129</v>
      </c>
      <c r="AP200" t="s">
        <v>2129</v>
      </c>
      <c r="AT200" t="s">
        <v>2129</v>
      </c>
      <c r="AU200" t="s">
        <v>2129</v>
      </c>
      <c r="AV200" t="s">
        <v>2129</v>
      </c>
      <c r="AW200">
        <v>32</v>
      </c>
      <c r="AX200">
        <v>11</v>
      </c>
      <c r="AY200">
        <v>32</v>
      </c>
      <c r="AZ200" t="s">
        <v>2129</v>
      </c>
      <c r="BA200" t="s">
        <v>2129</v>
      </c>
      <c r="BB200" t="s">
        <v>2129</v>
      </c>
      <c r="BC200">
        <v>0</v>
      </c>
      <c r="BD200" t="s">
        <v>2129</v>
      </c>
      <c r="BE200" s="1958" t="s">
        <v>2129</v>
      </c>
      <c r="BF200"/>
      <c r="BG200" s="863" t="s">
        <v>2129</v>
      </c>
      <c r="BH200" s="863">
        <v>25418622.22222222</v>
      </c>
      <c r="BI200" s="863" t="s">
        <v>2129</v>
      </c>
      <c r="BJ200" s="863" t="s">
        <v>2129</v>
      </c>
      <c r="BK200" s="863">
        <v>29708014.72222222</v>
      </c>
      <c r="BL200" s="863">
        <v>30502346.666666664</v>
      </c>
      <c r="BM200" s="863" t="s">
        <v>2129</v>
      </c>
      <c r="BN200" s="863" t="s">
        <v>2129</v>
      </c>
      <c r="BO200" s="863" t="s">
        <v>2129</v>
      </c>
      <c r="BP200" s="863" t="s">
        <v>2129</v>
      </c>
      <c r="BQ200" s="863" t="s">
        <v>2129</v>
      </c>
      <c r="BR200" s="863" t="s">
        <v>2129</v>
      </c>
      <c r="BS200" s="863" t="s">
        <v>2129</v>
      </c>
      <c r="BT200" s="863" t="s">
        <v>2129</v>
      </c>
      <c r="BU200" s="863" t="s">
        <v>2129</v>
      </c>
      <c r="BV200" s="863" t="s">
        <v>2129</v>
      </c>
      <c r="BW200" s="863" t="s">
        <v>2129</v>
      </c>
      <c r="BX200" s="863" t="s">
        <v>2129</v>
      </c>
      <c r="BY200" s="863"/>
      <c r="BZ200" s="863" t="s">
        <v>2129</v>
      </c>
      <c r="CA200" s="863" t="s">
        <v>2129</v>
      </c>
      <c r="CB200" s="863" t="s">
        <v>2129</v>
      </c>
      <c r="CC200" s="863" t="s">
        <v>2129</v>
      </c>
      <c r="CD200" s="863"/>
      <c r="CE200" s="5785"/>
    </row>
    <row r="201" spans="1:83" ht="13">
      <c r="A201">
        <v>2026</v>
      </c>
      <c r="B201" s="196" t="s">
        <v>2873</v>
      </c>
      <c r="C201" s="5790" t="s">
        <v>6616</v>
      </c>
      <c r="D201" s="5790" t="s">
        <v>6599</v>
      </c>
      <c r="E201" s="5790" t="s">
        <v>2129</v>
      </c>
      <c r="F201" s="5785" t="s">
        <v>2129</v>
      </c>
      <c r="G201" s="5785" t="s">
        <v>2129</v>
      </c>
      <c r="H201" s="5785">
        <v>14</v>
      </c>
      <c r="I201" s="5785">
        <v>9</v>
      </c>
      <c r="J201" s="5785">
        <v>14</v>
      </c>
      <c r="K201" s="5785">
        <v>5</v>
      </c>
      <c r="L201" s="5786">
        <v>4146357</v>
      </c>
      <c r="M201" s="5786">
        <v>0</v>
      </c>
      <c r="N201" s="5786">
        <v>0</v>
      </c>
      <c r="O201" s="5786">
        <v>10500</v>
      </c>
      <c r="P201" s="5786">
        <v>0</v>
      </c>
      <c r="Q201" s="2476">
        <v>4571492.7</v>
      </c>
      <c r="R201" s="2477">
        <v>4571492</v>
      </c>
      <c r="S201" s="2477" t="b">
        <v>0</v>
      </c>
      <c r="T201" s="5786">
        <v>507943.55555555556</v>
      </c>
      <c r="U201" s="863">
        <v>5101533</v>
      </c>
      <c r="V201" s="863" t="b">
        <v>0</v>
      </c>
      <c r="W201" s="863">
        <v>32288.183544303796</v>
      </c>
      <c r="X201" s="863" t="s">
        <v>2129</v>
      </c>
      <c r="Y201" s="863">
        <v>1100</v>
      </c>
      <c r="AC201">
        <v>158</v>
      </c>
      <c r="AD201" s="3965">
        <v>158</v>
      </c>
      <c r="AE201" s="3965">
        <v>0</v>
      </c>
      <c r="AF201">
        <v>184</v>
      </c>
      <c r="AG201">
        <v>158</v>
      </c>
      <c r="AH201" t="s">
        <v>2129</v>
      </c>
      <c r="AI201" t="s">
        <v>2129</v>
      </c>
      <c r="AJ201" t="s">
        <v>2129</v>
      </c>
      <c r="AK201" t="s">
        <v>2129</v>
      </c>
      <c r="AL201">
        <v>0</v>
      </c>
      <c r="AO201" t="s">
        <v>2129</v>
      </c>
      <c r="AT201">
        <v>21</v>
      </c>
      <c r="AU201">
        <v>21</v>
      </c>
      <c r="AV201" t="s">
        <v>2129</v>
      </c>
      <c r="AW201" t="s">
        <v>2129</v>
      </c>
      <c r="AX201" t="s">
        <v>2129</v>
      </c>
      <c r="AY201" t="s">
        <v>2129</v>
      </c>
      <c r="AZ201" t="s">
        <v>2129</v>
      </c>
      <c r="BA201" t="s">
        <v>2129</v>
      </c>
      <c r="BB201" t="s">
        <v>2129</v>
      </c>
      <c r="BC201" t="s">
        <v>2129</v>
      </c>
      <c r="BD201" t="s">
        <v>2129</v>
      </c>
      <c r="BE201" s="1958">
        <v>107132193</v>
      </c>
      <c r="BF201" s="1958">
        <v>107132193</v>
      </c>
      <c r="BG201" s="1958" t="s">
        <v>2129</v>
      </c>
      <c r="BH201" s="1958" t="s">
        <v>2129</v>
      </c>
      <c r="BI201" s="1958" t="s">
        <v>2129</v>
      </c>
      <c r="BJ201" s="1958" t="s">
        <v>2129</v>
      </c>
      <c r="BK201" s="1958" t="s">
        <v>2129</v>
      </c>
      <c r="BL201" s="1958" t="s">
        <v>2129</v>
      </c>
      <c r="BM201" s="1958" t="s">
        <v>2129</v>
      </c>
      <c r="BN201" s="863" t="s">
        <v>2129</v>
      </c>
      <c r="BO201" s="863" t="s">
        <v>2129</v>
      </c>
      <c r="BP201" s="1958" t="s">
        <v>2129</v>
      </c>
      <c r="BQ201" s="1958" t="s">
        <v>2129</v>
      </c>
      <c r="BR201" s="1958" t="s">
        <v>2129</v>
      </c>
      <c r="BS201" s="1958" t="s">
        <v>2129</v>
      </c>
      <c r="BT201" s="1958" t="s">
        <v>2129</v>
      </c>
      <c r="BU201" s="1958">
        <v>96001332</v>
      </c>
      <c r="BV201" s="1958">
        <v>96001332</v>
      </c>
      <c r="BW201" s="1958" t="s">
        <v>2129</v>
      </c>
      <c r="BX201" s="1958" t="s">
        <v>2129</v>
      </c>
      <c r="BZ201" s="1958" t="s">
        <v>2129</v>
      </c>
      <c r="CA201" s="1958" t="s">
        <v>2129</v>
      </c>
      <c r="CB201" s="1958" t="s">
        <v>2129</v>
      </c>
      <c r="CC201" s="1958" t="s">
        <v>2129</v>
      </c>
      <c r="CE201" s="5785"/>
    </row>
    <row r="202" spans="1:83" ht="13">
      <c r="A202">
        <v>2027</v>
      </c>
      <c r="B202" s="196" t="s">
        <v>2875</v>
      </c>
      <c r="C202" s="5790" t="s">
        <v>6616</v>
      </c>
      <c r="D202" s="5790" t="s">
        <v>6599</v>
      </c>
      <c r="E202" s="5790" t="s">
        <v>2129</v>
      </c>
      <c r="F202" s="5792" t="s">
        <v>5205</v>
      </c>
      <c r="G202" s="5792" t="s">
        <v>2129</v>
      </c>
      <c r="H202" s="5785">
        <v>16</v>
      </c>
      <c r="I202" s="5785">
        <v>7</v>
      </c>
      <c r="J202" s="5785">
        <v>9</v>
      </c>
      <c r="K202" s="5785">
        <v>9</v>
      </c>
      <c r="L202" s="5786">
        <v>4673063</v>
      </c>
      <c r="M202" s="5786">
        <v>388240</v>
      </c>
      <c r="N202" s="5786">
        <v>0</v>
      </c>
      <c r="O202" s="5786">
        <v>0</v>
      </c>
      <c r="P202" s="5786">
        <v>0</v>
      </c>
      <c r="Q202" s="2476">
        <v>5567433.3000000007</v>
      </c>
      <c r="R202" s="2477">
        <v>3867736</v>
      </c>
      <c r="S202" s="5798" t="b">
        <v>1</v>
      </c>
      <c r="T202" s="5786">
        <v>552533.71428571432</v>
      </c>
      <c r="U202" s="863">
        <v>9690417</v>
      </c>
      <c r="V202" s="863" t="b">
        <v>1</v>
      </c>
      <c r="W202" s="863">
        <v>50470.921875</v>
      </c>
      <c r="X202" s="863">
        <v>32534.554305858659</v>
      </c>
      <c r="Y202" s="863">
        <v>3000</v>
      </c>
      <c r="AA202" s="863">
        <v>24706</v>
      </c>
      <c r="AB202" s="863">
        <v>47059</v>
      </c>
      <c r="AC202">
        <v>192</v>
      </c>
      <c r="AD202" s="3965">
        <v>192</v>
      </c>
      <c r="AE202" s="3965">
        <v>0</v>
      </c>
      <c r="AF202">
        <v>348</v>
      </c>
      <c r="AG202">
        <v>192</v>
      </c>
      <c r="AH202" t="s">
        <v>2129</v>
      </c>
      <c r="AI202" t="s">
        <v>2129</v>
      </c>
      <c r="AJ202" s="1866">
        <v>259</v>
      </c>
      <c r="AK202" t="s">
        <v>2129</v>
      </c>
      <c r="AL202">
        <v>0</v>
      </c>
      <c r="AO202">
        <v>67</v>
      </c>
      <c r="AT202">
        <v>26</v>
      </c>
      <c r="AU202">
        <v>26</v>
      </c>
      <c r="AV202" t="s">
        <v>2129</v>
      </c>
      <c r="AW202" t="s">
        <v>2129</v>
      </c>
      <c r="AX202" t="s">
        <v>2129</v>
      </c>
      <c r="AY202" t="s">
        <v>2129</v>
      </c>
      <c r="AZ202">
        <v>16</v>
      </c>
      <c r="BA202" t="s">
        <v>2129</v>
      </c>
      <c r="BB202" t="s">
        <v>2129</v>
      </c>
      <c r="BC202" t="s">
        <v>2129</v>
      </c>
      <c r="BD202" t="s">
        <v>2129</v>
      </c>
      <c r="BE202" s="1958">
        <v>251950842</v>
      </c>
      <c r="BF202" s="1958">
        <v>251950842</v>
      </c>
      <c r="BG202" s="1958" t="s">
        <v>2129</v>
      </c>
      <c r="BH202" s="1958" t="s">
        <v>2129</v>
      </c>
      <c r="BI202" s="1958" t="s">
        <v>2129</v>
      </c>
      <c r="BJ202" s="1958" t="s">
        <v>2129</v>
      </c>
      <c r="BK202" s="1958" t="s">
        <v>2129</v>
      </c>
      <c r="BL202" s="1958" t="s">
        <v>2129</v>
      </c>
      <c r="BM202" s="1958">
        <v>155046672</v>
      </c>
      <c r="BN202" s="863">
        <v>209151500.25</v>
      </c>
      <c r="BO202" s="863" t="s">
        <v>2129</v>
      </c>
      <c r="BP202" s="1958" t="s">
        <v>2129</v>
      </c>
      <c r="BQ202" s="1958" t="s">
        <v>2129</v>
      </c>
      <c r="BR202" s="1958" t="s">
        <v>2129</v>
      </c>
      <c r="BS202" s="1958" t="s">
        <v>2129</v>
      </c>
      <c r="BT202" s="1958" t="s">
        <v>2129</v>
      </c>
      <c r="BU202" s="1958">
        <v>100561136</v>
      </c>
      <c r="BV202" s="1958">
        <v>100561136</v>
      </c>
      <c r="BW202" s="1958" t="s">
        <v>2129</v>
      </c>
      <c r="BX202" s="1958" t="s">
        <v>2129</v>
      </c>
      <c r="BZ202" s="1958">
        <v>61883776</v>
      </c>
      <c r="CA202" s="1958">
        <v>61883776</v>
      </c>
      <c r="CB202" s="1958" t="s">
        <v>2129</v>
      </c>
      <c r="CC202" s="1958" t="s">
        <v>2129</v>
      </c>
      <c r="CE202" s="5785"/>
    </row>
    <row r="203" spans="1:83" ht="13">
      <c r="A203">
        <v>2028</v>
      </c>
      <c r="B203" s="196" t="s">
        <v>3416</v>
      </c>
      <c r="C203" s="5785" t="s">
        <v>2129</v>
      </c>
      <c r="D203" s="2694" t="s">
        <v>3791</v>
      </c>
      <c r="E203" s="2694" t="s">
        <v>2129</v>
      </c>
      <c r="F203" s="5785" t="s">
        <v>2129</v>
      </c>
      <c r="G203" s="5785" t="s">
        <v>2129</v>
      </c>
      <c r="H203" s="5785">
        <v>16</v>
      </c>
      <c r="I203" s="5785">
        <v>11</v>
      </c>
      <c r="J203" s="5785">
        <v>23</v>
      </c>
      <c r="K203" s="5785" t="s">
        <v>2129</v>
      </c>
      <c r="L203" s="5786">
        <v>5399062</v>
      </c>
      <c r="M203" s="5786">
        <v>70590</v>
      </c>
      <c r="N203" s="5786">
        <v>0</v>
      </c>
      <c r="O203" s="5786">
        <v>0</v>
      </c>
      <c r="P203" s="5786">
        <v>0</v>
      </c>
      <c r="Q203" s="2476">
        <v>6016617.2000000002</v>
      </c>
      <c r="R203" s="2477">
        <v>6016617</v>
      </c>
      <c r="S203" s="2477" t="b">
        <v>0</v>
      </c>
      <c r="T203" s="5786">
        <v>546965.18181818177</v>
      </c>
      <c r="U203" s="863">
        <v>891017</v>
      </c>
      <c r="V203" s="863" t="b">
        <v>1</v>
      </c>
      <c r="W203" s="863">
        <v>14850.283333333333</v>
      </c>
      <c r="X203" s="863" t="s">
        <v>2129</v>
      </c>
      <c r="AC203">
        <v>60</v>
      </c>
      <c r="AD203" s="3965">
        <v>60</v>
      </c>
      <c r="AE203" s="3965">
        <v>0</v>
      </c>
      <c r="AF203">
        <v>64</v>
      </c>
      <c r="AG203" t="s">
        <v>2129</v>
      </c>
      <c r="AH203">
        <v>60</v>
      </c>
      <c r="AI203" t="s">
        <v>2129</v>
      </c>
      <c r="AJ203" t="s">
        <v>2129</v>
      </c>
      <c r="AK203" t="s">
        <v>2129</v>
      </c>
      <c r="AL203" t="s">
        <v>2129</v>
      </c>
      <c r="AO203" t="s">
        <v>2129</v>
      </c>
      <c r="AT203" t="s">
        <v>2129</v>
      </c>
      <c r="AU203" t="s">
        <v>2129</v>
      </c>
      <c r="AV203" t="s">
        <v>2129</v>
      </c>
      <c r="AW203" t="s">
        <v>2129</v>
      </c>
      <c r="AX203">
        <v>11</v>
      </c>
      <c r="AY203" t="s">
        <v>2129</v>
      </c>
      <c r="AZ203" t="s">
        <v>2129</v>
      </c>
      <c r="BA203" t="s">
        <v>2129</v>
      </c>
      <c r="BB203" t="s">
        <v>2129</v>
      </c>
      <c r="BC203" t="s">
        <v>2129</v>
      </c>
      <c r="BD203" t="s">
        <v>2129</v>
      </c>
      <c r="BE203" s="1958" t="s">
        <v>2129</v>
      </c>
      <c r="BF203"/>
      <c r="BG203" s="863" t="s">
        <v>2129</v>
      </c>
      <c r="BH203" s="863" t="s">
        <v>2129</v>
      </c>
      <c r="BI203" s="863" t="s">
        <v>2129</v>
      </c>
      <c r="BJ203" s="863" t="s">
        <v>2129</v>
      </c>
      <c r="BK203" s="863">
        <v>9801187</v>
      </c>
      <c r="BL203" s="863" t="s">
        <v>2129</v>
      </c>
      <c r="BM203" s="863" t="s">
        <v>2129</v>
      </c>
      <c r="BN203" s="863" t="s">
        <v>2129</v>
      </c>
      <c r="BO203" s="863" t="s">
        <v>2129</v>
      </c>
      <c r="BP203" s="863" t="s">
        <v>2129</v>
      </c>
      <c r="BQ203" s="863" t="s">
        <v>2129</v>
      </c>
      <c r="BR203" s="863" t="s">
        <v>2129</v>
      </c>
      <c r="BS203" s="863" t="s">
        <v>2129</v>
      </c>
      <c r="BT203" s="863" t="s">
        <v>2129</v>
      </c>
      <c r="BU203" s="863" t="s">
        <v>2129</v>
      </c>
      <c r="BV203" s="863" t="s">
        <v>2129</v>
      </c>
      <c r="BW203" s="863" t="s">
        <v>2129</v>
      </c>
      <c r="BX203" s="863" t="s">
        <v>2129</v>
      </c>
      <c r="BY203" s="863"/>
      <c r="BZ203" s="863" t="s">
        <v>2129</v>
      </c>
      <c r="CA203" s="863" t="s">
        <v>2129</v>
      </c>
      <c r="CB203" s="863" t="s">
        <v>2129</v>
      </c>
      <c r="CC203" s="863" t="s">
        <v>2129</v>
      </c>
      <c r="CD203" s="863"/>
      <c r="CE203" s="5785"/>
    </row>
    <row r="204" spans="1:83" ht="13">
      <c r="A204">
        <v>2030</v>
      </c>
      <c r="B204" s="196" t="s">
        <v>3417</v>
      </c>
      <c r="C204" s="5785" t="s">
        <v>2129</v>
      </c>
      <c r="D204" s="2694" t="s">
        <v>3791</v>
      </c>
      <c r="E204" s="2694" t="s">
        <v>2129</v>
      </c>
      <c r="F204" s="5785" t="s">
        <v>2129</v>
      </c>
      <c r="G204" s="5785" t="s">
        <v>2129</v>
      </c>
      <c r="H204" s="5785">
        <v>3</v>
      </c>
      <c r="I204" s="5785">
        <v>1</v>
      </c>
      <c r="J204" s="5785">
        <v>13</v>
      </c>
      <c r="K204" s="5785" t="s">
        <v>2129</v>
      </c>
      <c r="L204" s="5786">
        <v>398589</v>
      </c>
      <c r="M204" s="5786">
        <v>0</v>
      </c>
      <c r="N204" s="5786">
        <v>0</v>
      </c>
      <c r="O204" s="5786">
        <v>0</v>
      </c>
      <c r="P204" s="5786">
        <v>0</v>
      </c>
      <c r="Q204" s="2476">
        <v>438447.9</v>
      </c>
      <c r="R204" s="2477">
        <v>438447</v>
      </c>
      <c r="S204" s="2477" t="b">
        <v>0</v>
      </c>
      <c r="T204" s="5786">
        <v>438447</v>
      </c>
      <c r="U204" s="863">
        <v>2211422</v>
      </c>
      <c r="V204" s="863" t="b">
        <v>1</v>
      </c>
      <c r="W204" s="863">
        <v>26643.638554216868</v>
      </c>
      <c r="X204" s="863" t="s">
        <v>2129</v>
      </c>
      <c r="AC204">
        <v>120</v>
      </c>
      <c r="AD204" s="3965">
        <v>83</v>
      </c>
      <c r="AE204" s="3965">
        <v>37</v>
      </c>
      <c r="AF204">
        <v>163</v>
      </c>
      <c r="AG204" t="s">
        <v>2129</v>
      </c>
      <c r="AH204">
        <v>76</v>
      </c>
      <c r="AI204" t="s">
        <v>2129</v>
      </c>
      <c r="AJ204" t="s">
        <v>2129</v>
      </c>
      <c r="AK204" t="s">
        <v>2129</v>
      </c>
      <c r="AL204" t="s">
        <v>2129</v>
      </c>
      <c r="AO204" t="s">
        <v>2129</v>
      </c>
      <c r="AT204" t="s">
        <v>2129</v>
      </c>
      <c r="AU204" t="s">
        <v>2129</v>
      </c>
      <c r="AV204" t="s">
        <v>2129</v>
      </c>
      <c r="AW204" t="s">
        <v>2129</v>
      </c>
      <c r="AX204">
        <v>11</v>
      </c>
      <c r="AY204" t="s">
        <v>2129</v>
      </c>
      <c r="AZ204" t="s">
        <v>2129</v>
      </c>
      <c r="BA204" t="s">
        <v>2129</v>
      </c>
      <c r="BB204" t="s">
        <v>2129</v>
      </c>
      <c r="BC204" t="s">
        <v>2129</v>
      </c>
      <c r="BD204" t="s">
        <v>2129</v>
      </c>
      <c r="BE204" s="1958" t="s">
        <v>2129</v>
      </c>
      <c r="BF204"/>
      <c r="BG204" s="863" t="s">
        <v>2129</v>
      </c>
      <c r="BH204" s="863" t="s">
        <v>2129</v>
      </c>
      <c r="BI204" s="863" t="s">
        <v>2129</v>
      </c>
      <c r="BJ204" s="863" t="s">
        <v>2129</v>
      </c>
      <c r="BK204" s="863">
        <v>22274081.8313253</v>
      </c>
      <c r="BL204" s="863" t="s">
        <v>2129</v>
      </c>
      <c r="BM204" s="863" t="s">
        <v>2129</v>
      </c>
      <c r="BN204" s="863" t="s">
        <v>2129</v>
      </c>
      <c r="BO204" s="863" t="s">
        <v>2129</v>
      </c>
      <c r="BP204" s="863" t="s">
        <v>2129</v>
      </c>
      <c r="BQ204" s="863" t="s">
        <v>2129</v>
      </c>
      <c r="BR204" s="863" t="s">
        <v>2129</v>
      </c>
      <c r="BS204" s="863" t="s">
        <v>2129</v>
      </c>
      <c r="BT204" s="863" t="s">
        <v>2129</v>
      </c>
      <c r="BU204" s="863" t="s">
        <v>2129</v>
      </c>
      <c r="BV204" s="863" t="s">
        <v>2129</v>
      </c>
      <c r="BW204" s="863" t="s">
        <v>2129</v>
      </c>
      <c r="BX204" s="863" t="s">
        <v>2129</v>
      </c>
      <c r="BY204" s="863"/>
      <c r="BZ204" s="863" t="s">
        <v>2129</v>
      </c>
      <c r="CA204" s="863" t="s">
        <v>2129</v>
      </c>
      <c r="CB204" s="863" t="s">
        <v>2129</v>
      </c>
      <c r="CC204" s="863" t="s">
        <v>2129</v>
      </c>
      <c r="CD204" s="863"/>
      <c r="CE204" s="5785"/>
    </row>
    <row r="205" spans="1:83" ht="13">
      <c r="A205">
        <v>2032</v>
      </c>
      <c r="B205" s="196" t="s">
        <v>2876</v>
      </c>
      <c r="C205" s="5790" t="s">
        <v>6616</v>
      </c>
      <c r="D205" s="5790" t="s">
        <v>6599</v>
      </c>
      <c r="E205" s="5790" t="s">
        <v>2129</v>
      </c>
      <c r="F205" s="5785" t="s">
        <v>2129</v>
      </c>
      <c r="G205" s="5785" t="s">
        <v>2129</v>
      </c>
      <c r="H205" s="5785">
        <v>23</v>
      </c>
      <c r="I205" s="5785">
        <v>10</v>
      </c>
      <c r="J205" s="5785">
        <v>23</v>
      </c>
      <c r="K205" s="5785">
        <v>13</v>
      </c>
      <c r="L205" s="5786">
        <v>3827198</v>
      </c>
      <c r="M205" s="5786">
        <v>51768</v>
      </c>
      <c r="N205" s="5786">
        <v>0</v>
      </c>
      <c r="O205" s="5786">
        <v>0</v>
      </c>
      <c r="P205" s="5786">
        <v>0</v>
      </c>
      <c r="Q205" s="2476">
        <v>4266862.6000000006</v>
      </c>
      <c r="R205" s="2477">
        <v>4266862</v>
      </c>
      <c r="S205" s="2477" t="b">
        <v>0</v>
      </c>
      <c r="T205" s="5786">
        <v>426686.2</v>
      </c>
      <c r="U205" s="863">
        <v>1560732</v>
      </c>
      <c r="V205" s="863" t="b">
        <v>0</v>
      </c>
      <c r="W205" s="863">
        <v>20009.384615384617</v>
      </c>
      <c r="X205" s="863" t="s">
        <v>2129</v>
      </c>
      <c r="Y205" s="863">
        <v>1300</v>
      </c>
      <c r="AC205">
        <v>78</v>
      </c>
      <c r="AD205" s="3965">
        <v>78</v>
      </c>
      <c r="AE205" s="3965">
        <v>0</v>
      </c>
      <c r="AF205">
        <v>132</v>
      </c>
      <c r="AG205">
        <v>78</v>
      </c>
      <c r="AH205" t="s">
        <v>2129</v>
      </c>
      <c r="AI205" t="s">
        <v>2129</v>
      </c>
      <c r="AJ205" t="s">
        <v>2129</v>
      </c>
      <c r="AK205" t="s">
        <v>2129</v>
      </c>
      <c r="AL205">
        <v>0</v>
      </c>
      <c r="AO205" t="s">
        <v>2129</v>
      </c>
      <c r="AT205">
        <v>18</v>
      </c>
      <c r="AU205">
        <v>18</v>
      </c>
      <c r="AV205" t="s">
        <v>2129</v>
      </c>
      <c r="AW205" t="s">
        <v>2129</v>
      </c>
      <c r="AX205" t="s">
        <v>2129</v>
      </c>
      <c r="AY205" t="s">
        <v>2129</v>
      </c>
      <c r="AZ205" t="s">
        <v>2129</v>
      </c>
      <c r="BA205" t="s">
        <v>2129</v>
      </c>
      <c r="BB205" t="s">
        <v>2129</v>
      </c>
      <c r="BC205" t="s">
        <v>2129</v>
      </c>
      <c r="BD205" t="s">
        <v>2129</v>
      </c>
      <c r="BE205" s="1958">
        <v>28093176</v>
      </c>
      <c r="BF205" s="1958">
        <v>28093176</v>
      </c>
      <c r="BG205" s="1958" t="s">
        <v>2129</v>
      </c>
      <c r="BH205" s="1958" t="s">
        <v>2129</v>
      </c>
      <c r="BI205" s="1958" t="s">
        <v>2129</v>
      </c>
      <c r="BJ205" s="1958" t="s">
        <v>2129</v>
      </c>
      <c r="BK205" s="1958" t="s">
        <v>2129</v>
      </c>
      <c r="BL205" s="1958" t="s">
        <v>2129</v>
      </c>
      <c r="BM205" s="1958" t="s">
        <v>2129</v>
      </c>
      <c r="BN205" s="863" t="s">
        <v>2129</v>
      </c>
      <c r="BO205" s="863" t="s">
        <v>2129</v>
      </c>
      <c r="BP205" s="1958" t="s">
        <v>2129</v>
      </c>
      <c r="BQ205" s="1958" t="s">
        <v>2129</v>
      </c>
      <c r="BR205" s="1958" t="s">
        <v>2129</v>
      </c>
      <c r="BS205" s="1958" t="s">
        <v>2129</v>
      </c>
      <c r="BT205" s="1958" t="s">
        <v>2129</v>
      </c>
      <c r="BU205" s="1958">
        <v>76803516</v>
      </c>
      <c r="BV205" s="1958">
        <v>76803516</v>
      </c>
      <c r="BW205" s="1958" t="s">
        <v>2129</v>
      </c>
      <c r="BX205" s="1958" t="s">
        <v>2129</v>
      </c>
      <c r="BZ205" s="1958" t="s">
        <v>2129</v>
      </c>
      <c r="CA205" s="1958" t="s">
        <v>2129</v>
      </c>
      <c r="CB205" s="1958" t="s">
        <v>2129</v>
      </c>
      <c r="CC205" s="1958" t="s">
        <v>2129</v>
      </c>
      <c r="CE205" s="5785"/>
    </row>
    <row r="206" spans="1:83" ht="13">
      <c r="A206">
        <v>2034</v>
      </c>
      <c r="B206" s="196" t="s">
        <v>3418</v>
      </c>
      <c r="C206" s="5785" t="s">
        <v>2129</v>
      </c>
      <c r="D206" s="2694" t="s">
        <v>3791</v>
      </c>
      <c r="E206" s="2694" t="s">
        <v>2129</v>
      </c>
      <c r="F206" s="5785" t="s">
        <v>2129</v>
      </c>
      <c r="G206" s="5785" t="s">
        <v>2129</v>
      </c>
      <c r="H206" s="5785">
        <v>2</v>
      </c>
      <c r="I206" s="5785">
        <v>1</v>
      </c>
      <c r="J206" s="5785">
        <v>27</v>
      </c>
      <c r="K206" s="5785" t="s">
        <v>2129</v>
      </c>
      <c r="L206" s="5786">
        <v>141177</v>
      </c>
      <c r="M206" s="5786">
        <v>0</v>
      </c>
      <c r="N206" s="5786">
        <v>0</v>
      </c>
      <c r="O206" s="5786">
        <v>0</v>
      </c>
      <c r="P206" s="5786">
        <v>0</v>
      </c>
      <c r="Q206" s="2476">
        <v>155294.70000000001</v>
      </c>
      <c r="R206" s="2477">
        <v>155294</v>
      </c>
      <c r="S206" s="2477" t="b">
        <v>0</v>
      </c>
      <c r="T206" s="5786">
        <v>155294</v>
      </c>
      <c r="U206" s="863">
        <v>1309679</v>
      </c>
      <c r="V206" s="863" t="b">
        <v>1</v>
      </c>
      <c r="W206" s="863">
        <v>14551.988888888889</v>
      </c>
      <c r="X206" s="863" t="s">
        <v>2129</v>
      </c>
      <c r="AC206">
        <v>155</v>
      </c>
      <c r="AD206" s="3965">
        <v>90</v>
      </c>
      <c r="AE206" s="3965">
        <v>65</v>
      </c>
      <c r="AF206">
        <v>155</v>
      </c>
      <c r="AG206" t="s">
        <v>2129</v>
      </c>
      <c r="AH206">
        <v>88</v>
      </c>
      <c r="AI206" t="s">
        <v>2129</v>
      </c>
      <c r="AJ206" t="s">
        <v>2129</v>
      </c>
      <c r="AK206" t="s">
        <v>2129</v>
      </c>
      <c r="AL206" t="s">
        <v>2129</v>
      </c>
      <c r="AO206" t="s">
        <v>2129</v>
      </c>
      <c r="AT206" t="s">
        <v>2129</v>
      </c>
      <c r="AU206" t="s">
        <v>2129</v>
      </c>
      <c r="AV206" t="s">
        <v>2129</v>
      </c>
      <c r="AW206" t="s">
        <v>2129</v>
      </c>
      <c r="AX206">
        <v>11</v>
      </c>
      <c r="AY206" t="s">
        <v>2129</v>
      </c>
      <c r="AZ206" t="s">
        <v>2129</v>
      </c>
      <c r="BA206" t="s">
        <v>2129</v>
      </c>
      <c r="BB206" t="s">
        <v>2129</v>
      </c>
      <c r="BC206" t="s">
        <v>2129</v>
      </c>
      <c r="BD206" t="s">
        <v>2129</v>
      </c>
      <c r="BE206" s="1958" t="s">
        <v>2129</v>
      </c>
      <c r="BF206"/>
      <c r="BG206" s="863" t="s">
        <v>2129</v>
      </c>
      <c r="BH206" s="863" t="s">
        <v>2129</v>
      </c>
      <c r="BI206" s="863" t="s">
        <v>2129</v>
      </c>
      <c r="BJ206" s="863" t="s">
        <v>2129</v>
      </c>
      <c r="BK206" s="863">
        <v>14086325.244444445</v>
      </c>
      <c r="BL206" s="863" t="s">
        <v>2129</v>
      </c>
      <c r="BM206" s="863" t="s">
        <v>2129</v>
      </c>
      <c r="BN206" s="863" t="s">
        <v>2129</v>
      </c>
      <c r="BO206" s="863" t="s">
        <v>2129</v>
      </c>
      <c r="BP206" s="863" t="s">
        <v>2129</v>
      </c>
      <c r="BQ206" s="863" t="s">
        <v>2129</v>
      </c>
      <c r="BR206" s="863" t="s">
        <v>2129</v>
      </c>
      <c r="BS206" s="863" t="s">
        <v>2129</v>
      </c>
      <c r="BT206" s="863" t="s">
        <v>2129</v>
      </c>
      <c r="BU206" s="863" t="s">
        <v>2129</v>
      </c>
      <c r="BV206" s="863" t="s">
        <v>2129</v>
      </c>
      <c r="BW206" s="863" t="s">
        <v>2129</v>
      </c>
      <c r="BX206" s="863" t="s">
        <v>2129</v>
      </c>
      <c r="BY206" s="863"/>
      <c r="BZ206" s="863" t="s">
        <v>2129</v>
      </c>
      <c r="CA206" s="863" t="s">
        <v>2129</v>
      </c>
      <c r="CB206" s="863" t="s">
        <v>2129</v>
      </c>
      <c r="CC206" s="863" t="s">
        <v>2129</v>
      </c>
      <c r="CD206" s="863"/>
      <c r="CE206" s="5785"/>
    </row>
    <row r="207" spans="1:83" s="5782" customFormat="1" ht="13">
      <c r="A207" s="5782">
        <v>2036</v>
      </c>
      <c r="B207" s="5783" t="s">
        <v>3419</v>
      </c>
      <c r="C207" s="5784" t="s">
        <v>2129</v>
      </c>
      <c r="D207" s="5784" t="s">
        <v>2129</v>
      </c>
      <c r="E207" s="5784" t="s">
        <v>2129</v>
      </c>
      <c r="F207" s="5784" t="s">
        <v>2129</v>
      </c>
      <c r="G207" s="5784" t="s">
        <v>2129</v>
      </c>
      <c r="H207" s="5785">
        <v>0</v>
      </c>
      <c r="I207" s="5785">
        <v>0</v>
      </c>
      <c r="J207" s="5785">
        <v>26</v>
      </c>
      <c r="K207" s="5785" t="s">
        <v>2129</v>
      </c>
      <c r="L207" s="5786">
        <v>0</v>
      </c>
      <c r="M207" s="5786">
        <v>0</v>
      </c>
      <c r="N207" s="5786">
        <v>0</v>
      </c>
      <c r="O207" s="5786">
        <v>0</v>
      </c>
      <c r="P207" s="5786">
        <v>0</v>
      </c>
      <c r="Q207" s="2476">
        <v>0</v>
      </c>
      <c r="R207" s="2477">
        <v>0</v>
      </c>
      <c r="S207" s="2477" t="b">
        <v>1</v>
      </c>
      <c r="T207" s="5786" t="s">
        <v>2129</v>
      </c>
      <c r="U207" s="5788">
        <v>1720570</v>
      </c>
      <c r="V207" s="5788" t="b">
        <v>1</v>
      </c>
      <c r="W207" s="5788">
        <v>11470.466666666667</v>
      </c>
      <c r="X207" s="5788" t="s">
        <v>2129</v>
      </c>
      <c r="Y207" s="5788"/>
      <c r="Z207" s="5788"/>
      <c r="AA207" s="5788"/>
      <c r="AB207" s="5788"/>
      <c r="AC207" s="5782">
        <v>234</v>
      </c>
      <c r="AD207" s="5789">
        <v>150</v>
      </c>
      <c r="AE207" s="5789">
        <v>84</v>
      </c>
      <c r="AF207" s="5782">
        <v>234</v>
      </c>
      <c r="AG207" s="5782" t="s">
        <v>2129</v>
      </c>
      <c r="AH207" s="5782" t="s">
        <v>2129</v>
      </c>
      <c r="AI207" s="5782" t="s">
        <v>2129</v>
      </c>
      <c r="AJ207" s="5782" t="s">
        <v>2129</v>
      </c>
      <c r="AK207" s="5782" t="s">
        <v>2129</v>
      </c>
      <c r="AL207" s="5782" t="s">
        <v>2129</v>
      </c>
      <c r="AO207" s="5782" t="s">
        <v>2129</v>
      </c>
      <c r="AT207" s="5782" t="s">
        <v>2129</v>
      </c>
      <c r="AU207" s="5782" t="s">
        <v>2129</v>
      </c>
      <c r="AV207" s="5782" t="s">
        <v>2129</v>
      </c>
      <c r="AW207" s="5782" t="s">
        <v>2129</v>
      </c>
      <c r="AX207" s="5782" t="s">
        <v>2129</v>
      </c>
      <c r="AY207" s="5782" t="s">
        <v>2129</v>
      </c>
      <c r="AZ207" s="5782" t="s">
        <v>2129</v>
      </c>
      <c r="BA207" s="5782" t="s">
        <v>2129</v>
      </c>
      <c r="BB207" s="5782" t="s">
        <v>2129</v>
      </c>
      <c r="BC207" s="5782" t="s">
        <v>2129</v>
      </c>
      <c r="BD207" s="5782" t="s">
        <v>2129</v>
      </c>
      <c r="BE207" s="5788" t="s">
        <v>2129</v>
      </c>
      <c r="BG207" s="5788" t="s">
        <v>2129</v>
      </c>
      <c r="BH207" s="5788" t="s">
        <v>2129</v>
      </c>
      <c r="BI207" s="5788" t="s">
        <v>2129</v>
      </c>
      <c r="BJ207" s="5788" t="s">
        <v>2129</v>
      </c>
      <c r="BK207" s="5788" t="s">
        <v>2129</v>
      </c>
      <c r="BL207" s="5788" t="s">
        <v>2129</v>
      </c>
      <c r="BM207" s="5788" t="s">
        <v>2129</v>
      </c>
      <c r="BN207" s="5788" t="s">
        <v>2129</v>
      </c>
      <c r="BO207" s="5788" t="s">
        <v>2129</v>
      </c>
      <c r="BP207" s="5788" t="s">
        <v>2129</v>
      </c>
      <c r="BQ207" s="5788" t="s">
        <v>2129</v>
      </c>
      <c r="BR207" s="5788" t="s">
        <v>2129</v>
      </c>
      <c r="BS207" s="5788" t="s">
        <v>2129</v>
      </c>
      <c r="BT207" s="5788" t="s">
        <v>2129</v>
      </c>
      <c r="BU207" s="5788" t="s">
        <v>2129</v>
      </c>
      <c r="BV207" s="5788" t="s">
        <v>2129</v>
      </c>
      <c r="BW207" s="5788" t="s">
        <v>2129</v>
      </c>
      <c r="BX207" s="5788" t="s">
        <v>2129</v>
      </c>
      <c r="BY207" s="5788"/>
      <c r="BZ207" s="5788" t="s">
        <v>2129</v>
      </c>
      <c r="CA207" s="5788" t="s">
        <v>2129</v>
      </c>
      <c r="CB207" s="5788" t="s">
        <v>2129</v>
      </c>
      <c r="CC207" s="5788" t="s">
        <v>2129</v>
      </c>
      <c r="CD207" s="5788"/>
      <c r="CE207" s="5784"/>
    </row>
    <row r="208" spans="1:83" ht="13">
      <c r="A208">
        <v>2037</v>
      </c>
      <c r="B208" s="196" t="s">
        <v>3420</v>
      </c>
      <c r="C208" s="5790" t="s">
        <v>6616</v>
      </c>
      <c r="D208" s="5790" t="s">
        <v>6599</v>
      </c>
      <c r="E208" s="5790" t="s">
        <v>2129</v>
      </c>
      <c r="F208" s="5785" t="s">
        <v>3791</v>
      </c>
      <c r="G208" s="5785" t="s">
        <v>2129</v>
      </c>
      <c r="H208" s="5785">
        <v>8</v>
      </c>
      <c r="I208" s="5785">
        <v>8</v>
      </c>
      <c r="J208" s="5785">
        <v>8</v>
      </c>
      <c r="K208" s="5785">
        <v>0</v>
      </c>
      <c r="L208" s="5786">
        <v>423532</v>
      </c>
      <c r="M208" s="5786">
        <v>0</v>
      </c>
      <c r="N208" s="5786">
        <v>0</v>
      </c>
      <c r="O208" s="5786">
        <v>0</v>
      </c>
      <c r="P208" s="5786">
        <v>0</v>
      </c>
      <c r="Q208" s="2476">
        <v>465885.2</v>
      </c>
      <c r="R208" s="2477">
        <v>465885</v>
      </c>
      <c r="S208" s="2477" t="b">
        <v>1</v>
      </c>
      <c r="T208" s="5786">
        <v>58235.625</v>
      </c>
      <c r="U208" s="863">
        <v>6067486</v>
      </c>
      <c r="V208" s="863" t="b">
        <v>1</v>
      </c>
      <c r="W208" s="863">
        <v>22896.17358490566</v>
      </c>
      <c r="X208" s="863">
        <v>97705.088566827704</v>
      </c>
      <c r="Y208" s="863">
        <v>0</v>
      </c>
      <c r="AC208">
        <v>265</v>
      </c>
      <c r="AD208" s="3965">
        <v>265</v>
      </c>
      <c r="AE208" s="3965">
        <v>0</v>
      </c>
      <c r="AF208">
        <v>297</v>
      </c>
      <c r="AG208">
        <v>265</v>
      </c>
      <c r="AH208" t="s">
        <v>2129</v>
      </c>
      <c r="AI208" t="s">
        <v>2129</v>
      </c>
      <c r="AJ208">
        <v>54</v>
      </c>
      <c r="AK208" t="s">
        <v>2129</v>
      </c>
      <c r="AL208">
        <v>0</v>
      </c>
      <c r="AO208">
        <v>-211</v>
      </c>
      <c r="AT208">
        <v>18</v>
      </c>
      <c r="AU208">
        <v>18</v>
      </c>
      <c r="AV208" t="s">
        <v>2129</v>
      </c>
      <c r="AW208" t="s">
        <v>2129</v>
      </c>
      <c r="AX208" t="s">
        <v>2129</v>
      </c>
      <c r="AY208" t="s">
        <v>2129</v>
      </c>
      <c r="AZ208" t="s">
        <v>2129</v>
      </c>
      <c r="BA208" t="s">
        <v>2129</v>
      </c>
      <c r="BB208" t="s">
        <v>2129</v>
      </c>
      <c r="BC208">
        <v>10</v>
      </c>
      <c r="BD208" t="s">
        <v>2129</v>
      </c>
      <c r="BE208" s="1958">
        <v>109214748</v>
      </c>
      <c r="BF208" s="1958">
        <v>109214748</v>
      </c>
      <c r="BG208" s="1958" t="s">
        <v>2129</v>
      </c>
      <c r="BH208" s="1958" t="s">
        <v>2129</v>
      </c>
      <c r="BI208" s="1958" t="s">
        <v>2129</v>
      </c>
      <c r="BJ208" s="1958" t="s">
        <v>2129</v>
      </c>
      <c r="BK208" s="1958" t="s">
        <v>2129</v>
      </c>
      <c r="BL208" s="1958" t="s">
        <v>2129</v>
      </c>
      <c r="BM208" s="1958" t="s">
        <v>2129</v>
      </c>
      <c r="BN208" s="863" t="s">
        <v>2129</v>
      </c>
      <c r="BO208" s="863" t="s">
        <v>2129</v>
      </c>
      <c r="BP208" s="1958" t="s">
        <v>2129</v>
      </c>
      <c r="BQ208" s="1958" t="s">
        <v>2129</v>
      </c>
      <c r="BR208" s="1958" t="s">
        <v>2129</v>
      </c>
      <c r="BS208" s="1958">
        <v>12363933.735849056</v>
      </c>
      <c r="BT208" s="1958" t="s">
        <v>2129</v>
      </c>
      <c r="BU208" s="1958">
        <v>8385930</v>
      </c>
      <c r="BV208" s="1958">
        <v>8385930</v>
      </c>
      <c r="BW208" s="1958" t="s">
        <v>2129</v>
      </c>
      <c r="BX208" s="1958" t="s">
        <v>2129</v>
      </c>
      <c r="BZ208" s="1958" t="s">
        <v>2129</v>
      </c>
      <c r="CA208" s="1958" t="s">
        <v>2129</v>
      </c>
      <c r="CB208" s="1958" t="s">
        <v>2129</v>
      </c>
      <c r="CC208" s="1958" t="s">
        <v>2129</v>
      </c>
      <c r="CE208" s="5785"/>
    </row>
    <row r="209" spans="1:83" s="5782" customFormat="1" ht="13">
      <c r="A209" s="5782">
        <v>2038</v>
      </c>
      <c r="B209" s="5783" t="s">
        <v>3421</v>
      </c>
      <c r="C209" s="5784" t="s">
        <v>2129</v>
      </c>
      <c r="D209" s="5784" t="s">
        <v>2129</v>
      </c>
      <c r="E209" s="5784" t="s">
        <v>2129</v>
      </c>
      <c r="F209" s="5784" t="s">
        <v>2129</v>
      </c>
      <c r="G209" s="5784" t="s">
        <v>2129</v>
      </c>
      <c r="H209" s="5785">
        <v>11</v>
      </c>
      <c r="I209" s="5785">
        <v>9</v>
      </c>
      <c r="J209" s="5785">
        <v>21</v>
      </c>
      <c r="K209" s="5785" t="s">
        <v>2129</v>
      </c>
      <c r="L209" s="5786">
        <v>8339299</v>
      </c>
      <c r="M209" s="5786">
        <v>0</v>
      </c>
      <c r="N209" s="5786">
        <v>0</v>
      </c>
      <c r="O209" s="5786">
        <v>0</v>
      </c>
      <c r="P209" s="5786">
        <v>30000</v>
      </c>
      <c r="Q209" s="2476">
        <v>9203228.9000000004</v>
      </c>
      <c r="R209" s="2477">
        <v>9206228</v>
      </c>
      <c r="S209" s="2477" t="b">
        <v>0</v>
      </c>
      <c r="T209" s="5786">
        <v>1022914.2222222222</v>
      </c>
      <c r="U209" s="5788">
        <v>3366082</v>
      </c>
      <c r="V209" s="5788" t="b">
        <v>1</v>
      </c>
      <c r="W209" s="5788">
        <v>28050.683333333334</v>
      </c>
      <c r="X209" s="5788" t="s">
        <v>2129</v>
      </c>
      <c r="Y209" s="5788"/>
      <c r="Z209" s="5788"/>
      <c r="AA209" s="5788"/>
      <c r="AB209" s="5788"/>
      <c r="AC209" s="5782">
        <v>408</v>
      </c>
      <c r="AD209" s="5789">
        <v>120</v>
      </c>
      <c r="AE209" s="5789">
        <v>288</v>
      </c>
      <c r="AF209" s="5782">
        <v>743</v>
      </c>
      <c r="AG209" s="5782" t="s">
        <v>2129</v>
      </c>
      <c r="AH209" s="5782" t="s">
        <v>2129</v>
      </c>
      <c r="AI209" s="5782" t="s">
        <v>2129</v>
      </c>
      <c r="AJ209" s="5782" t="s">
        <v>2129</v>
      </c>
      <c r="AK209" s="5782" t="s">
        <v>2129</v>
      </c>
      <c r="AL209" s="5782" t="s">
        <v>2129</v>
      </c>
      <c r="AO209" s="5782" t="s">
        <v>2129</v>
      </c>
      <c r="AT209" s="5782" t="s">
        <v>2129</v>
      </c>
      <c r="AU209" s="5782" t="s">
        <v>2129</v>
      </c>
      <c r="AV209" s="5782" t="s">
        <v>2129</v>
      </c>
      <c r="AW209" s="5782" t="s">
        <v>2129</v>
      </c>
      <c r="AX209" s="5782" t="s">
        <v>2129</v>
      </c>
      <c r="AY209" s="5782" t="s">
        <v>2129</v>
      </c>
      <c r="AZ209" s="5782" t="s">
        <v>2129</v>
      </c>
      <c r="BA209" s="5782" t="s">
        <v>2129</v>
      </c>
      <c r="BB209" s="5782" t="s">
        <v>2129</v>
      </c>
      <c r="BC209" s="5782" t="s">
        <v>2129</v>
      </c>
      <c r="BD209" s="5782" t="s">
        <v>2129</v>
      </c>
      <c r="BE209" s="5788" t="s">
        <v>2129</v>
      </c>
      <c r="BG209" s="5788" t="s">
        <v>2129</v>
      </c>
      <c r="BH209" s="5788" t="s">
        <v>2129</v>
      </c>
      <c r="BI209" s="5788" t="s">
        <v>2129</v>
      </c>
      <c r="BJ209" s="5788" t="s">
        <v>2129</v>
      </c>
      <c r="BK209" s="5788" t="s">
        <v>2129</v>
      </c>
      <c r="BL209" s="5788" t="s">
        <v>2129</v>
      </c>
      <c r="BM209" s="5788" t="s">
        <v>2129</v>
      </c>
      <c r="BN209" s="5788" t="s">
        <v>2129</v>
      </c>
      <c r="BO209" s="5788" t="s">
        <v>2129</v>
      </c>
      <c r="BP209" s="5788" t="s">
        <v>2129</v>
      </c>
      <c r="BQ209" s="5788" t="s">
        <v>2129</v>
      </c>
      <c r="BR209" s="5788" t="s">
        <v>2129</v>
      </c>
      <c r="BS209" s="5788" t="s">
        <v>2129</v>
      </c>
      <c r="BT209" s="5788" t="s">
        <v>2129</v>
      </c>
      <c r="BU209" s="5788" t="s">
        <v>2129</v>
      </c>
      <c r="BV209" s="5788" t="s">
        <v>2129</v>
      </c>
      <c r="BW209" s="5788" t="s">
        <v>2129</v>
      </c>
      <c r="BX209" s="5788" t="s">
        <v>2129</v>
      </c>
      <c r="BY209" s="5788"/>
      <c r="BZ209" s="5788" t="s">
        <v>2129</v>
      </c>
      <c r="CA209" s="5788" t="s">
        <v>2129</v>
      </c>
      <c r="CB209" s="5788" t="s">
        <v>2129</v>
      </c>
      <c r="CC209" s="5788" t="s">
        <v>2129</v>
      </c>
      <c r="CD209" s="5788"/>
      <c r="CE209" s="5784"/>
    </row>
    <row r="210" spans="1:83" s="5782" customFormat="1" ht="17.25" customHeight="1">
      <c r="A210" s="5782">
        <v>2040</v>
      </c>
      <c r="B210" s="5783" t="s">
        <v>3422</v>
      </c>
      <c r="C210" s="5784" t="s">
        <v>2129</v>
      </c>
      <c r="D210" s="5784" t="s">
        <v>2129</v>
      </c>
      <c r="E210" s="5784" t="s">
        <v>2129</v>
      </c>
      <c r="F210" s="5784" t="s">
        <v>2129</v>
      </c>
      <c r="G210" s="5784" t="s">
        <v>2129</v>
      </c>
      <c r="H210" s="5785">
        <v>0</v>
      </c>
      <c r="I210" s="5785">
        <v>2</v>
      </c>
      <c r="J210" s="5785">
        <v>14</v>
      </c>
      <c r="K210" s="5785" t="s">
        <v>2129</v>
      </c>
      <c r="L210" s="5786">
        <v>1552942</v>
      </c>
      <c r="M210" s="5786">
        <v>82354</v>
      </c>
      <c r="N210" s="5786">
        <v>0</v>
      </c>
      <c r="O210" s="5786">
        <v>0</v>
      </c>
      <c r="P210" s="5786">
        <v>15000</v>
      </c>
      <c r="Q210" s="2476">
        <v>1813825.6</v>
      </c>
      <c r="R210" s="2477">
        <v>1813825</v>
      </c>
      <c r="S210" s="2477" t="b">
        <v>0</v>
      </c>
      <c r="T210" s="5786">
        <v>906912.5</v>
      </c>
      <c r="U210" s="5788">
        <v>1863576</v>
      </c>
      <c r="V210" s="5788" t="b">
        <v>1</v>
      </c>
      <c r="W210" s="5788">
        <v>31059.599999999999</v>
      </c>
      <c r="X210" s="5788" t="s">
        <v>2129</v>
      </c>
      <c r="Y210" s="5788"/>
      <c r="Z210" s="5788"/>
      <c r="AA210" s="5788"/>
      <c r="AB210" s="5788"/>
      <c r="AC210" s="5782">
        <v>489</v>
      </c>
      <c r="AD210" s="5789">
        <v>60</v>
      </c>
      <c r="AE210" s="5789">
        <v>429</v>
      </c>
      <c r="AF210" s="5782">
        <v>921</v>
      </c>
      <c r="AG210" s="5782" t="s">
        <v>2129</v>
      </c>
      <c r="AH210" s="5782" t="s">
        <v>2129</v>
      </c>
      <c r="AI210" s="5782" t="s">
        <v>2129</v>
      </c>
      <c r="AJ210" s="5782" t="s">
        <v>2129</v>
      </c>
      <c r="AK210" s="5782" t="s">
        <v>2129</v>
      </c>
      <c r="AL210" s="5782" t="s">
        <v>2129</v>
      </c>
      <c r="AO210" s="5782" t="s">
        <v>2129</v>
      </c>
      <c r="AT210" s="5782" t="s">
        <v>2129</v>
      </c>
      <c r="AU210" s="5782" t="s">
        <v>2129</v>
      </c>
      <c r="AV210" s="5782" t="s">
        <v>2129</v>
      </c>
      <c r="AW210" s="5782" t="s">
        <v>2129</v>
      </c>
      <c r="AX210" s="5782" t="s">
        <v>2129</v>
      </c>
      <c r="AY210" s="5782" t="s">
        <v>2129</v>
      </c>
      <c r="AZ210" s="5782" t="s">
        <v>2129</v>
      </c>
      <c r="BA210" s="5782" t="s">
        <v>2129</v>
      </c>
      <c r="BB210" s="5782" t="s">
        <v>2129</v>
      </c>
      <c r="BC210" s="5782" t="s">
        <v>2129</v>
      </c>
      <c r="BD210" s="5782" t="s">
        <v>2129</v>
      </c>
      <c r="BE210" s="5788" t="s">
        <v>2129</v>
      </c>
      <c r="BG210" s="5788" t="s">
        <v>2129</v>
      </c>
      <c r="BH210" s="5788" t="s">
        <v>2129</v>
      </c>
      <c r="BI210" s="5788" t="s">
        <v>2129</v>
      </c>
      <c r="BJ210" s="5788" t="s">
        <v>2129</v>
      </c>
      <c r="BK210" s="5788" t="s">
        <v>2129</v>
      </c>
      <c r="BL210" s="5788" t="s">
        <v>2129</v>
      </c>
      <c r="BM210" s="5788" t="s">
        <v>2129</v>
      </c>
      <c r="BN210" s="5788" t="s">
        <v>2129</v>
      </c>
      <c r="BO210" s="5788" t="s">
        <v>2129</v>
      </c>
      <c r="BP210" s="5788" t="s">
        <v>2129</v>
      </c>
      <c r="BQ210" s="5788" t="s">
        <v>2129</v>
      </c>
      <c r="BR210" s="5788" t="s">
        <v>2129</v>
      </c>
      <c r="BS210" s="5788" t="s">
        <v>2129</v>
      </c>
      <c r="BT210" s="5788" t="s">
        <v>2129</v>
      </c>
      <c r="BU210" s="5788" t="s">
        <v>2129</v>
      </c>
      <c r="BV210" s="5788" t="s">
        <v>2129</v>
      </c>
      <c r="BW210" s="5788" t="s">
        <v>2129</v>
      </c>
      <c r="BX210" s="5788" t="s">
        <v>2129</v>
      </c>
      <c r="BY210" s="5788"/>
      <c r="BZ210" s="5788" t="s">
        <v>2129</v>
      </c>
      <c r="CA210" s="5788" t="s">
        <v>2129</v>
      </c>
      <c r="CB210" s="5788" t="s">
        <v>2129</v>
      </c>
      <c r="CC210" s="5788" t="s">
        <v>2129</v>
      </c>
      <c r="CD210" s="5788"/>
      <c r="CE210" s="5784"/>
    </row>
    <row r="211" spans="1:83" ht="13">
      <c r="A211">
        <v>2041</v>
      </c>
      <c r="B211" s="5802" t="s">
        <v>2882</v>
      </c>
      <c r="C211" s="5785" t="s">
        <v>3694</v>
      </c>
      <c r="D211" s="5785" t="s">
        <v>2129</v>
      </c>
      <c r="E211" s="5785" t="s">
        <v>2129</v>
      </c>
      <c r="F211" s="5785" t="s">
        <v>2129</v>
      </c>
      <c r="G211" s="5785" t="s">
        <v>2129</v>
      </c>
      <c r="H211" s="5785">
        <v>0</v>
      </c>
      <c r="I211" s="5785">
        <v>9</v>
      </c>
      <c r="J211" s="5785">
        <v>17</v>
      </c>
      <c r="K211" s="5785" t="s">
        <v>2129</v>
      </c>
      <c r="L211" s="5786">
        <v>4929032</v>
      </c>
      <c r="M211" s="5786">
        <v>0</v>
      </c>
      <c r="N211" s="5786">
        <v>0</v>
      </c>
      <c r="O211" s="5786">
        <v>0</v>
      </c>
      <c r="P211" s="5786">
        <v>0</v>
      </c>
      <c r="Q211" s="2476">
        <v>5421935.2000000002</v>
      </c>
      <c r="R211" s="2477">
        <v>6574347</v>
      </c>
      <c r="S211" s="2477" t="b">
        <v>0</v>
      </c>
      <c r="T211" s="5786">
        <v>730483</v>
      </c>
      <c r="U211" s="863">
        <v>2475693</v>
      </c>
      <c r="V211" s="863" t="b">
        <v>1</v>
      </c>
      <c r="W211" s="863">
        <v>20127.585365853658</v>
      </c>
      <c r="X211" s="863" t="s">
        <v>2129</v>
      </c>
      <c r="AC211">
        <v>232</v>
      </c>
      <c r="AD211" s="3965">
        <v>123</v>
      </c>
      <c r="AE211" s="3965">
        <v>109</v>
      </c>
      <c r="AF211">
        <v>306</v>
      </c>
      <c r="AG211">
        <v>140</v>
      </c>
      <c r="AH211" t="s">
        <v>2129</v>
      </c>
      <c r="AI211" t="s">
        <v>2129</v>
      </c>
      <c r="AJ211" t="s">
        <v>2129</v>
      </c>
      <c r="AK211" t="s">
        <v>2129</v>
      </c>
      <c r="AL211">
        <v>17</v>
      </c>
      <c r="AO211" t="s">
        <v>2129</v>
      </c>
      <c r="AT211" t="s">
        <v>2129</v>
      </c>
      <c r="AU211" t="s">
        <v>2129</v>
      </c>
      <c r="AV211" t="s">
        <v>2129</v>
      </c>
      <c r="AW211">
        <v>32</v>
      </c>
      <c r="AX211" t="s">
        <v>2129</v>
      </c>
      <c r="AY211" t="s">
        <v>2129</v>
      </c>
      <c r="AZ211" t="s">
        <v>2129</v>
      </c>
      <c r="BA211" t="s">
        <v>2129</v>
      </c>
      <c r="BB211" t="s">
        <v>2129</v>
      </c>
      <c r="BC211" t="s">
        <v>2129</v>
      </c>
      <c r="BD211" t="s">
        <v>2129</v>
      </c>
      <c r="BE211" s="1958" t="s">
        <v>2129</v>
      </c>
      <c r="BF211"/>
      <c r="BG211" s="863" t="s">
        <v>2129</v>
      </c>
      <c r="BH211" s="863">
        <v>90171582.439024389</v>
      </c>
      <c r="BI211" s="863" t="s">
        <v>2129</v>
      </c>
      <c r="BJ211" s="863" t="s">
        <v>2129</v>
      </c>
      <c r="BK211" s="863" t="s">
        <v>2129</v>
      </c>
      <c r="BL211" s="863" t="s">
        <v>2129</v>
      </c>
      <c r="BM211" s="863" t="s">
        <v>2129</v>
      </c>
      <c r="BN211" s="863" t="s">
        <v>2129</v>
      </c>
      <c r="BO211" s="863" t="s">
        <v>2129</v>
      </c>
      <c r="BP211" s="863" t="s">
        <v>2129</v>
      </c>
      <c r="BQ211" s="863" t="s">
        <v>2129</v>
      </c>
      <c r="BR211" s="863" t="s">
        <v>2129</v>
      </c>
      <c r="BS211" s="863" t="s">
        <v>2129</v>
      </c>
      <c r="BT211" s="863" t="s">
        <v>2129</v>
      </c>
      <c r="BU211" s="863" t="s">
        <v>2129</v>
      </c>
      <c r="BV211" s="863" t="s">
        <v>2129</v>
      </c>
      <c r="BW211" s="863" t="s">
        <v>2129</v>
      </c>
      <c r="BX211" s="863" t="s">
        <v>2129</v>
      </c>
      <c r="BY211" s="863"/>
      <c r="BZ211" s="863" t="s">
        <v>2129</v>
      </c>
      <c r="CA211" s="863" t="s">
        <v>2129</v>
      </c>
      <c r="CB211" s="863" t="s">
        <v>2129</v>
      </c>
      <c r="CC211" s="863" t="s">
        <v>2129</v>
      </c>
      <c r="CD211" s="863"/>
      <c r="CE211" s="5785"/>
    </row>
    <row r="212" spans="1:83" s="5782" customFormat="1" ht="13">
      <c r="A212" s="5782">
        <v>2042</v>
      </c>
      <c r="B212" s="5783" t="s">
        <v>3423</v>
      </c>
      <c r="C212" s="5784" t="s">
        <v>2129</v>
      </c>
      <c r="D212" s="5784" t="s">
        <v>2129</v>
      </c>
      <c r="E212" s="5784" t="s">
        <v>2129</v>
      </c>
      <c r="F212" s="5784" t="s">
        <v>2129</v>
      </c>
      <c r="G212" s="5784" t="s">
        <v>2129</v>
      </c>
      <c r="H212" s="5785">
        <v>0</v>
      </c>
      <c r="I212" s="5785">
        <v>10</v>
      </c>
      <c r="J212" s="5785">
        <v>18</v>
      </c>
      <c r="K212" s="5785" t="s">
        <v>2129</v>
      </c>
      <c r="L212" s="5786">
        <v>2353680</v>
      </c>
      <c r="M212" s="5786">
        <v>388242</v>
      </c>
      <c r="N212" s="5786">
        <v>0</v>
      </c>
      <c r="O212" s="5786">
        <v>0</v>
      </c>
      <c r="P212" s="5786">
        <v>0</v>
      </c>
      <c r="Q212" s="2476">
        <v>3016114.2</v>
      </c>
      <c r="R212" s="2477">
        <v>3016114</v>
      </c>
      <c r="S212" s="2477" t="b">
        <v>0</v>
      </c>
      <c r="T212" s="5786">
        <v>301611.40000000002</v>
      </c>
      <c r="U212" s="5788">
        <v>3983304</v>
      </c>
      <c r="V212" s="5788" t="b">
        <v>1</v>
      </c>
      <c r="W212" s="5788">
        <v>36882.444444444445</v>
      </c>
      <c r="X212" s="5788" t="s">
        <v>2129</v>
      </c>
      <c r="Y212" s="5788"/>
      <c r="Z212" s="5788"/>
      <c r="AA212" s="5788"/>
      <c r="AB212" s="5788"/>
      <c r="AC212" s="5782">
        <v>746</v>
      </c>
      <c r="AD212" s="5789">
        <v>108</v>
      </c>
      <c r="AE212" s="5789">
        <v>638</v>
      </c>
      <c r="AF212" s="5782">
        <v>1320</v>
      </c>
      <c r="AG212" s="5782" t="s">
        <v>2129</v>
      </c>
      <c r="AH212" s="5782" t="s">
        <v>2129</v>
      </c>
      <c r="AI212" s="5782" t="s">
        <v>2129</v>
      </c>
      <c r="AJ212" s="5782" t="s">
        <v>2129</v>
      </c>
      <c r="AK212" s="5782" t="s">
        <v>2129</v>
      </c>
      <c r="AL212" s="5782" t="s">
        <v>2129</v>
      </c>
      <c r="AO212" s="5782" t="s">
        <v>2129</v>
      </c>
      <c r="AT212" s="5782" t="s">
        <v>2129</v>
      </c>
      <c r="AU212" s="5782" t="s">
        <v>2129</v>
      </c>
      <c r="AV212" s="5782" t="s">
        <v>2129</v>
      </c>
      <c r="AW212" s="5782" t="s">
        <v>2129</v>
      </c>
      <c r="AX212" s="5782" t="s">
        <v>2129</v>
      </c>
      <c r="AY212" s="5782" t="s">
        <v>2129</v>
      </c>
      <c r="AZ212" s="5782" t="s">
        <v>2129</v>
      </c>
      <c r="BA212" s="5782" t="s">
        <v>2129</v>
      </c>
      <c r="BB212" s="5782" t="s">
        <v>2129</v>
      </c>
      <c r="BC212" s="5782" t="s">
        <v>2129</v>
      </c>
      <c r="BD212" s="5782" t="s">
        <v>2129</v>
      </c>
      <c r="BE212" s="5788" t="s">
        <v>2129</v>
      </c>
      <c r="BG212" s="5788" t="s">
        <v>2129</v>
      </c>
      <c r="BH212" s="5788" t="s">
        <v>2129</v>
      </c>
      <c r="BI212" s="5788" t="s">
        <v>2129</v>
      </c>
      <c r="BJ212" s="5788" t="s">
        <v>2129</v>
      </c>
      <c r="BK212" s="5788" t="s">
        <v>2129</v>
      </c>
      <c r="BL212" s="5788" t="s">
        <v>2129</v>
      </c>
      <c r="BM212" s="5788" t="s">
        <v>2129</v>
      </c>
      <c r="BN212" s="5788" t="s">
        <v>2129</v>
      </c>
      <c r="BO212" s="5788" t="s">
        <v>2129</v>
      </c>
      <c r="BP212" s="5788" t="s">
        <v>2129</v>
      </c>
      <c r="BQ212" s="5788" t="s">
        <v>2129</v>
      </c>
      <c r="BR212" s="5788" t="s">
        <v>2129</v>
      </c>
      <c r="BS212" s="5788" t="s">
        <v>2129</v>
      </c>
      <c r="BT212" s="5788" t="s">
        <v>2129</v>
      </c>
      <c r="BU212" s="5788" t="s">
        <v>2129</v>
      </c>
      <c r="BV212" s="5788" t="s">
        <v>2129</v>
      </c>
      <c r="BW212" s="5788" t="s">
        <v>2129</v>
      </c>
      <c r="BX212" s="5788" t="s">
        <v>2129</v>
      </c>
      <c r="BY212" s="5788"/>
      <c r="BZ212" s="5788" t="s">
        <v>2129</v>
      </c>
      <c r="CA212" s="5788" t="s">
        <v>2129</v>
      </c>
      <c r="CB212" s="5788" t="s">
        <v>2129</v>
      </c>
      <c r="CC212" s="5788" t="s">
        <v>2129</v>
      </c>
      <c r="CD212" s="5788"/>
      <c r="CE212" s="5784"/>
    </row>
    <row r="213" spans="1:83" ht="13">
      <c r="A213">
        <v>2043</v>
      </c>
      <c r="B213" s="196" t="s">
        <v>3424</v>
      </c>
      <c r="C213" s="5785" t="s">
        <v>2129</v>
      </c>
      <c r="D213" s="2694" t="s">
        <v>3791</v>
      </c>
      <c r="E213" s="2694" t="s">
        <v>2129</v>
      </c>
      <c r="F213" s="5785" t="s">
        <v>2129</v>
      </c>
      <c r="G213" s="5785" t="s">
        <v>2129</v>
      </c>
      <c r="H213" s="5785">
        <v>0</v>
      </c>
      <c r="I213" s="5785">
        <v>2</v>
      </c>
      <c r="J213" s="5785">
        <v>14</v>
      </c>
      <c r="K213" s="5785" t="s">
        <v>2129</v>
      </c>
      <c r="L213" s="5786">
        <v>465884</v>
      </c>
      <c r="M213" s="5786">
        <v>0</v>
      </c>
      <c r="N213" s="5786">
        <v>0</v>
      </c>
      <c r="O213" s="5786">
        <v>0</v>
      </c>
      <c r="P213" s="5786">
        <v>0</v>
      </c>
      <c r="Q213" s="2476">
        <v>512472.4</v>
      </c>
      <c r="R213" s="2477">
        <v>512472</v>
      </c>
      <c r="S213" s="2477" t="b">
        <v>0</v>
      </c>
      <c r="T213" s="5786">
        <v>256236</v>
      </c>
      <c r="U213" s="863">
        <v>680453</v>
      </c>
      <c r="V213" s="863" t="b">
        <v>1</v>
      </c>
      <c r="W213" s="863">
        <v>13609.06</v>
      </c>
      <c r="X213" s="863" t="s">
        <v>2129</v>
      </c>
      <c r="AC213">
        <v>63</v>
      </c>
      <c r="AD213" s="3965">
        <v>50</v>
      </c>
      <c r="AE213" s="3965">
        <v>13</v>
      </c>
      <c r="AF213">
        <v>72</v>
      </c>
      <c r="AG213" t="s">
        <v>2129</v>
      </c>
      <c r="AH213">
        <v>50</v>
      </c>
      <c r="AI213" t="s">
        <v>2129</v>
      </c>
      <c r="AJ213" t="s">
        <v>2129</v>
      </c>
      <c r="AK213" t="s">
        <v>2129</v>
      </c>
      <c r="AL213" t="s">
        <v>2129</v>
      </c>
      <c r="AO213" t="s">
        <v>2129</v>
      </c>
      <c r="AT213" t="s">
        <v>2129</v>
      </c>
      <c r="AU213" t="s">
        <v>2129</v>
      </c>
      <c r="AV213" t="s">
        <v>2129</v>
      </c>
      <c r="AW213" t="s">
        <v>2129</v>
      </c>
      <c r="AX213">
        <v>11</v>
      </c>
      <c r="AY213" t="s">
        <v>2129</v>
      </c>
      <c r="AZ213" t="s">
        <v>2129</v>
      </c>
      <c r="BA213" t="s">
        <v>2129</v>
      </c>
      <c r="BB213" t="s">
        <v>2129</v>
      </c>
      <c r="BC213" t="s">
        <v>2129</v>
      </c>
      <c r="BD213" t="s">
        <v>2129</v>
      </c>
      <c r="BE213" s="1958" t="s">
        <v>2129</v>
      </c>
      <c r="BF213"/>
      <c r="BG213" s="863" t="s">
        <v>2129</v>
      </c>
      <c r="BH213" s="863" t="s">
        <v>2129</v>
      </c>
      <c r="BI213" s="863" t="s">
        <v>2129</v>
      </c>
      <c r="BJ213" s="863" t="s">
        <v>2129</v>
      </c>
      <c r="BK213" s="863">
        <v>7484983</v>
      </c>
      <c r="BL213" s="863" t="s">
        <v>2129</v>
      </c>
      <c r="BM213" s="863" t="s">
        <v>2129</v>
      </c>
      <c r="BN213" s="863" t="s">
        <v>2129</v>
      </c>
      <c r="BO213" s="863" t="s">
        <v>2129</v>
      </c>
      <c r="BP213" s="863" t="s">
        <v>2129</v>
      </c>
      <c r="BQ213" s="863" t="s">
        <v>2129</v>
      </c>
      <c r="BR213" s="863" t="s">
        <v>2129</v>
      </c>
      <c r="BS213" s="863" t="s">
        <v>2129</v>
      </c>
      <c r="BT213" s="863" t="s">
        <v>2129</v>
      </c>
      <c r="BU213" s="863" t="s">
        <v>2129</v>
      </c>
      <c r="BV213" s="863" t="s">
        <v>2129</v>
      </c>
      <c r="BW213" s="863" t="s">
        <v>2129</v>
      </c>
      <c r="BX213" s="863" t="s">
        <v>2129</v>
      </c>
      <c r="BY213" s="863"/>
      <c r="BZ213" s="863" t="s">
        <v>2129</v>
      </c>
      <c r="CA213" s="863" t="s">
        <v>2129</v>
      </c>
      <c r="CB213" s="863" t="s">
        <v>2129</v>
      </c>
      <c r="CC213" s="863" t="s">
        <v>2129</v>
      </c>
      <c r="CD213" s="863"/>
      <c r="CE213" s="5785"/>
    </row>
    <row r="214" spans="1:83" ht="13">
      <c r="A214">
        <v>2044</v>
      </c>
      <c r="B214" s="196" t="s">
        <v>3425</v>
      </c>
      <c r="C214" s="5785" t="s">
        <v>2129</v>
      </c>
      <c r="D214" s="2694" t="s">
        <v>3791</v>
      </c>
      <c r="E214" s="2694" t="s">
        <v>2129</v>
      </c>
      <c r="F214" s="5785" t="s">
        <v>2129</v>
      </c>
      <c r="G214" s="5785" t="s">
        <v>2129</v>
      </c>
      <c r="H214" s="5785">
        <v>0</v>
      </c>
      <c r="I214" s="5785">
        <v>0</v>
      </c>
      <c r="J214" s="5785">
        <v>12</v>
      </c>
      <c r="K214" s="5785" t="s">
        <v>2129</v>
      </c>
      <c r="L214" s="5786">
        <v>0</v>
      </c>
      <c r="M214" s="5786">
        <v>0</v>
      </c>
      <c r="N214" s="5786">
        <v>0</v>
      </c>
      <c r="O214" s="5786">
        <v>0</v>
      </c>
      <c r="P214" s="5786">
        <v>0</v>
      </c>
      <c r="Q214" s="2476">
        <v>0</v>
      </c>
      <c r="R214" s="2477">
        <v>0</v>
      </c>
      <c r="S214" s="2477" t="b">
        <v>1</v>
      </c>
      <c r="T214" s="5786" t="s">
        <v>2129</v>
      </c>
      <c r="U214" s="863">
        <v>1077265</v>
      </c>
      <c r="V214" s="863" t="b">
        <v>1</v>
      </c>
      <c r="W214" s="863">
        <v>12241.647727272728</v>
      </c>
      <c r="X214" s="863" t="s">
        <v>2129</v>
      </c>
      <c r="AC214">
        <v>158</v>
      </c>
      <c r="AD214" s="3965">
        <v>88</v>
      </c>
      <c r="AE214" s="3965">
        <v>70</v>
      </c>
      <c r="AF214">
        <v>175</v>
      </c>
      <c r="AG214" t="s">
        <v>2129</v>
      </c>
      <c r="AH214">
        <v>70</v>
      </c>
      <c r="AI214" t="s">
        <v>2129</v>
      </c>
      <c r="AJ214" t="s">
        <v>2129</v>
      </c>
      <c r="AK214" t="s">
        <v>2129</v>
      </c>
      <c r="AL214" t="s">
        <v>2129</v>
      </c>
      <c r="AO214" t="s">
        <v>2129</v>
      </c>
      <c r="AT214" t="s">
        <v>2129</v>
      </c>
      <c r="AU214" t="s">
        <v>2129</v>
      </c>
      <c r="AV214" t="s">
        <v>2129</v>
      </c>
      <c r="AW214" t="s">
        <v>2129</v>
      </c>
      <c r="AX214">
        <v>11</v>
      </c>
      <c r="AY214" t="s">
        <v>2129</v>
      </c>
      <c r="AZ214" t="s">
        <v>2129</v>
      </c>
      <c r="BA214" t="s">
        <v>2129</v>
      </c>
      <c r="BB214" t="s">
        <v>2129</v>
      </c>
      <c r="BC214" t="s">
        <v>2129</v>
      </c>
      <c r="BD214" t="s">
        <v>2129</v>
      </c>
      <c r="BE214" s="1958" t="s">
        <v>2129</v>
      </c>
      <c r="BF214"/>
      <c r="BG214" s="863" t="s">
        <v>2129</v>
      </c>
      <c r="BH214" s="863" t="s">
        <v>2129</v>
      </c>
      <c r="BI214" s="863" t="s">
        <v>2129</v>
      </c>
      <c r="BJ214" s="863" t="s">
        <v>2129</v>
      </c>
      <c r="BK214" s="863">
        <v>9426068.75</v>
      </c>
      <c r="BL214" s="863" t="s">
        <v>2129</v>
      </c>
      <c r="BM214" s="863" t="s">
        <v>2129</v>
      </c>
      <c r="BN214" s="863" t="s">
        <v>2129</v>
      </c>
      <c r="BO214" s="863" t="s">
        <v>2129</v>
      </c>
      <c r="BP214" s="863" t="s">
        <v>2129</v>
      </c>
      <c r="BQ214" s="863" t="s">
        <v>2129</v>
      </c>
      <c r="BR214" s="863" t="s">
        <v>2129</v>
      </c>
      <c r="BS214" s="863" t="s">
        <v>2129</v>
      </c>
      <c r="BT214" s="863" t="s">
        <v>2129</v>
      </c>
      <c r="BU214" s="863" t="s">
        <v>2129</v>
      </c>
      <c r="BV214" s="863" t="s">
        <v>2129</v>
      </c>
      <c r="BW214" s="863" t="s">
        <v>2129</v>
      </c>
      <c r="BX214" s="863" t="s">
        <v>2129</v>
      </c>
      <c r="BY214" s="863"/>
      <c r="BZ214" s="863" t="s">
        <v>2129</v>
      </c>
      <c r="CA214" s="863" t="s">
        <v>2129</v>
      </c>
      <c r="CB214" s="863" t="s">
        <v>2129</v>
      </c>
      <c r="CC214" s="863" t="s">
        <v>2129</v>
      </c>
      <c r="CD214" s="863"/>
      <c r="CE214" s="5785"/>
    </row>
    <row r="215" spans="1:83" s="5782" customFormat="1" ht="13">
      <c r="A215" s="5782">
        <v>2045</v>
      </c>
      <c r="B215" s="5783" t="s">
        <v>2877</v>
      </c>
      <c r="C215" s="5784" t="s">
        <v>2129</v>
      </c>
      <c r="D215" s="5784" t="s">
        <v>2129</v>
      </c>
      <c r="E215" s="5784" t="s">
        <v>2129</v>
      </c>
      <c r="F215" s="5784" t="s">
        <v>2129</v>
      </c>
      <c r="G215" s="5784" t="s">
        <v>2129</v>
      </c>
      <c r="H215" s="5785">
        <v>0</v>
      </c>
      <c r="I215" s="5784">
        <v>6</v>
      </c>
      <c r="J215" s="5784">
        <v>18</v>
      </c>
      <c r="K215" s="5784" t="s">
        <v>2129</v>
      </c>
      <c r="L215" s="5787">
        <v>1529416</v>
      </c>
      <c r="M215" s="5787">
        <v>0</v>
      </c>
      <c r="N215" s="5787">
        <v>0</v>
      </c>
      <c r="O215" s="5787">
        <v>0</v>
      </c>
      <c r="P215" s="5787">
        <v>0</v>
      </c>
      <c r="Q215" s="5809">
        <v>1682357.6</v>
      </c>
      <c r="R215" s="2477">
        <v>1682357</v>
      </c>
      <c r="S215" s="2477" t="b">
        <v>0</v>
      </c>
      <c r="T215" s="5786">
        <v>280392.83333333331</v>
      </c>
      <c r="U215" s="5788">
        <v>1163444</v>
      </c>
      <c r="V215" s="5788" t="b">
        <v>1</v>
      </c>
      <c r="W215" s="5788">
        <v>11871.877551020409</v>
      </c>
      <c r="X215" s="5788" t="s">
        <v>2129</v>
      </c>
      <c r="Y215" s="5788"/>
      <c r="Z215" s="5788"/>
      <c r="AA215" s="5788"/>
      <c r="AB215" s="5788"/>
      <c r="AC215" s="5782">
        <v>98</v>
      </c>
      <c r="AD215" s="5789">
        <v>98</v>
      </c>
      <c r="AE215" s="5789">
        <v>0</v>
      </c>
      <c r="AF215" s="5782">
        <v>119</v>
      </c>
      <c r="AG215" s="5782" t="s">
        <v>2129</v>
      </c>
      <c r="AH215" s="5782" t="s">
        <v>2129</v>
      </c>
      <c r="AI215" s="5782" t="s">
        <v>2129</v>
      </c>
      <c r="AJ215" s="5782" t="s">
        <v>2129</v>
      </c>
      <c r="AK215" s="5782" t="s">
        <v>2129</v>
      </c>
      <c r="AL215" s="5782" t="s">
        <v>2129</v>
      </c>
      <c r="AO215" s="5782" t="s">
        <v>2129</v>
      </c>
      <c r="AT215" s="5782" t="s">
        <v>2129</v>
      </c>
      <c r="AU215" s="5782" t="s">
        <v>2129</v>
      </c>
      <c r="AV215" s="5782" t="s">
        <v>2129</v>
      </c>
      <c r="AW215" s="5782" t="s">
        <v>2129</v>
      </c>
      <c r="AX215" s="5782" t="s">
        <v>2129</v>
      </c>
      <c r="AY215" s="5782" t="s">
        <v>2129</v>
      </c>
      <c r="AZ215" s="5782" t="s">
        <v>2129</v>
      </c>
      <c r="BA215" s="5782" t="s">
        <v>2129</v>
      </c>
      <c r="BB215" s="5782" t="s">
        <v>2129</v>
      </c>
      <c r="BC215" s="5782" t="s">
        <v>2129</v>
      </c>
      <c r="BD215" s="5782" t="s">
        <v>2129</v>
      </c>
      <c r="BE215" s="5788" t="s">
        <v>2129</v>
      </c>
      <c r="BG215" s="5788" t="s">
        <v>2129</v>
      </c>
      <c r="BH215" s="5788" t="s">
        <v>2129</v>
      </c>
      <c r="BI215" s="5788" t="s">
        <v>2129</v>
      </c>
      <c r="BJ215" s="5788" t="s">
        <v>2129</v>
      </c>
      <c r="BK215" s="5788" t="s">
        <v>2129</v>
      </c>
      <c r="BL215" s="5788" t="s">
        <v>2129</v>
      </c>
      <c r="BM215" s="5788" t="s">
        <v>2129</v>
      </c>
      <c r="BN215" s="5788" t="s">
        <v>2129</v>
      </c>
      <c r="BO215" s="5788" t="s">
        <v>2129</v>
      </c>
      <c r="BP215" s="5788" t="s">
        <v>2129</v>
      </c>
      <c r="BQ215" s="5788" t="s">
        <v>2129</v>
      </c>
      <c r="BR215" s="5788" t="s">
        <v>2129</v>
      </c>
      <c r="BS215" s="5788" t="s">
        <v>2129</v>
      </c>
      <c r="BT215" s="5788" t="s">
        <v>2129</v>
      </c>
      <c r="BU215" s="5788" t="s">
        <v>2129</v>
      </c>
      <c r="BV215" s="5788" t="s">
        <v>2129</v>
      </c>
      <c r="BW215" s="5788" t="s">
        <v>2129</v>
      </c>
      <c r="BX215" s="5788" t="s">
        <v>2129</v>
      </c>
      <c r="BY215" s="5788"/>
      <c r="BZ215" s="5788" t="s">
        <v>2129</v>
      </c>
      <c r="CA215" s="5788" t="s">
        <v>2129</v>
      </c>
      <c r="CB215" s="5788" t="s">
        <v>2129</v>
      </c>
      <c r="CC215" s="5788" t="s">
        <v>2129</v>
      </c>
      <c r="CD215" s="5788"/>
      <c r="CE215" s="5784"/>
    </row>
    <row r="216" spans="1:83" ht="13">
      <c r="A216">
        <v>2046</v>
      </c>
      <c r="B216" s="196" t="s">
        <v>3426</v>
      </c>
      <c r="C216" s="5785" t="s">
        <v>2695</v>
      </c>
      <c r="D216" s="5785" t="s">
        <v>2129</v>
      </c>
      <c r="E216" s="5785" t="s">
        <v>2129</v>
      </c>
      <c r="F216" s="5785" t="s">
        <v>2129</v>
      </c>
      <c r="G216" s="5785" t="s">
        <v>2129</v>
      </c>
      <c r="H216" s="5785" t="e">
        <v>#N/A</v>
      </c>
      <c r="I216" s="5785">
        <v>116</v>
      </c>
      <c r="J216" s="5785">
        <v>128</v>
      </c>
      <c r="K216" s="5785" t="s">
        <v>2129</v>
      </c>
      <c r="L216" s="5786">
        <v>15011792</v>
      </c>
      <c r="M216" s="5786">
        <v>0</v>
      </c>
      <c r="N216" s="5786">
        <v>0</v>
      </c>
      <c r="O216" s="5786">
        <v>0</v>
      </c>
      <c r="P216" s="5786">
        <v>0</v>
      </c>
      <c r="Q216" s="2476">
        <v>16512971.200000001</v>
      </c>
      <c r="R216" s="2477">
        <v>16512971</v>
      </c>
      <c r="S216" s="2477" t="b">
        <v>0</v>
      </c>
      <c r="T216" s="5786">
        <v>142353.19827586206</v>
      </c>
      <c r="U216" s="863">
        <v>4529412</v>
      </c>
      <c r="V216" s="863" t="b">
        <v>1</v>
      </c>
      <c r="W216" s="863">
        <v>47678.021052631579</v>
      </c>
      <c r="X216" s="863" t="s">
        <v>2129</v>
      </c>
      <c r="AC216">
        <v>95</v>
      </c>
      <c r="AD216" s="3965">
        <v>95</v>
      </c>
      <c r="AE216" s="3965">
        <v>0</v>
      </c>
      <c r="AF216">
        <v>190</v>
      </c>
      <c r="AG216">
        <v>95</v>
      </c>
      <c r="AH216" t="s">
        <v>2129</v>
      </c>
      <c r="AI216" t="s">
        <v>2129</v>
      </c>
      <c r="AJ216" t="s">
        <v>2129</v>
      </c>
      <c r="AK216" t="s">
        <v>2129</v>
      </c>
      <c r="AL216">
        <v>0</v>
      </c>
      <c r="AO216" t="s">
        <v>2129</v>
      </c>
      <c r="AT216" t="s">
        <v>2129</v>
      </c>
      <c r="AU216" t="s">
        <v>2129</v>
      </c>
      <c r="AV216">
        <v>18</v>
      </c>
      <c r="AW216" t="s">
        <v>2129</v>
      </c>
      <c r="AX216" t="s">
        <v>2129</v>
      </c>
      <c r="AY216" t="s">
        <v>2129</v>
      </c>
      <c r="AZ216" t="s">
        <v>2129</v>
      </c>
      <c r="BA216" t="s">
        <v>2129</v>
      </c>
      <c r="BB216" t="s">
        <v>2129</v>
      </c>
      <c r="BC216" t="s">
        <v>2129</v>
      </c>
      <c r="BD216" t="s">
        <v>2129</v>
      </c>
      <c r="BE216" s="1958" t="s">
        <v>2129</v>
      </c>
      <c r="BF216"/>
      <c r="BG216" s="863" t="s">
        <v>2129</v>
      </c>
      <c r="BH216" s="863" t="s">
        <v>2129</v>
      </c>
      <c r="BI216" s="863">
        <v>81529416</v>
      </c>
      <c r="BJ216" s="863" t="s">
        <v>2129</v>
      </c>
      <c r="BK216" s="863" t="s">
        <v>2129</v>
      </c>
      <c r="BL216" s="863" t="s">
        <v>2129</v>
      </c>
      <c r="BM216" s="863" t="s">
        <v>2129</v>
      </c>
      <c r="BN216" s="863" t="s">
        <v>2129</v>
      </c>
      <c r="BO216" s="863" t="s">
        <v>2129</v>
      </c>
      <c r="BP216" s="863" t="s">
        <v>2129</v>
      </c>
      <c r="BQ216" s="863" t="s">
        <v>2129</v>
      </c>
      <c r="BR216" s="863" t="s">
        <v>2129</v>
      </c>
      <c r="BS216" s="863" t="s">
        <v>2129</v>
      </c>
      <c r="BT216" s="863" t="s">
        <v>2129</v>
      </c>
      <c r="BU216" s="863" t="s">
        <v>2129</v>
      </c>
      <c r="BV216" s="863" t="s">
        <v>2129</v>
      </c>
      <c r="BW216" s="863" t="s">
        <v>2129</v>
      </c>
      <c r="BX216" s="863" t="s">
        <v>2129</v>
      </c>
      <c r="BY216" s="863"/>
      <c r="BZ216" s="863" t="s">
        <v>2129</v>
      </c>
      <c r="CA216" s="863" t="s">
        <v>2129</v>
      </c>
      <c r="CB216" s="863" t="s">
        <v>2129</v>
      </c>
      <c r="CC216" s="863" t="s">
        <v>2129</v>
      </c>
      <c r="CD216" s="863"/>
      <c r="CE216" s="5785"/>
    </row>
    <row r="217" spans="1:83" ht="13">
      <c r="A217">
        <v>2048</v>
      </c>
      <c r="B217" s="196" t="s">
        <v>3427</v>
      </c>
      <c r="C217" s="5785" t="s">
        <v>2129</v>
      </c>
      <c r="D217" s="5785" t="s">
        <v>3791</v>
      </c>
      <c r="E217" s="5785" t="s">
        <v>4095</v>
      </c>
      <c r="F217" s="5785" t="s">
        <v>2129</v>
      </c>
      <c r="G217" s="5785" t="s">
        <v>2129</v>
      </c>
      <c r="H217" s="5785">
        <v>3</v>
      </c>
      <c r="I217" s="5785">
        <v>0</v>
      </c>
      <c r="J217" s="5785">
        <v>12</v>
      </c>
      <c r="K217" s="5785" t="s">
        <v>2129</v>
      </c>
      <c r="L217" s="5786">
        <v>0</v>
      </c>
      <c r="M217" s="5786">
        <v>0</v>
      </c>
      <c r="N217" s="5786">
        <v>0</v>
      </c>
      <c r="O217" s="5786">
        <v>0</v>
      </c>
      <c r="P217" s="5786">
        <v>0</v>
      </c>
      <c r="Q217" s="2476">
        <v>0</v>
      </c>
      <c r="R217" s="2477">
        <v>0</v>
      </c>
      <c r="S217" s="2477" t="b">
        <v>1</v>
      </c>
      <c r="T217" s="5786" t="s">
        <v>2129</v>
      </c>
      <c r="U217" s="863">
        <v>12346074</v>
      </c>
      <c r="V217" s="863" t="b">
        <v>1</v>
      </c>
      <c r="W217" s="863">
        <v>58236.198113207545</v>
      </c>
      <c r="X217" s="863" t="s">
        <v>2129</v>
      </c>
      <c r="AC217" t="s">
        <v>2131</v>
      </c>
      <c r="AD217" s="3965">
        <v>212</v>
      </c>
      <c r="AE217" s="3965" t="e">
        <v>#VALUE!</v>
      </c>
      <c r="AF217" t="s">
        <v>2131</v>
      </c>
      <c r="AG217" t="s">
        <v>2129</v>
      </c>
      <c r="AH217">
        <v>119</v>
      </c>
      <c r="AI217">
        <v>24</v>
      </c>
      <c r="AJ217" t="s">
        <v>2129</v>
      </c>
      <c r="AK217" t="s">
        <v>2129</v>
      </c>
      <c r="AL217" t="s">
        <v>2129</v>
      </c>
      <c r="AM217">
        <v>-93</v>
      </c>
      <c r="AO217" t="s">
        <v>2129</v>
      </c>
      <c r="AP217" t="s">
        <v>2129</v>
      </c>
      <c r="AT217" t="s">
        <v>2129</v>
      </c>
      <c r="AU217" t="s">
        <v>2129</v>
      </c>
      <c r="AV217" t="s">
        <v>2129</v>
      </c>
      <c r="AW217" t="s">
        <v>2129</v>
      </c>
      <c r="AX217">
        <v>11</v>
      </c>
      <c r="AY217">
        <v>32</v>
      </c>
      <c r="AZ217" t="s">
        <v>2129</v>
      </c>
      <c r="BA217" t="s">
        <v>2129</v>
      </c>
      <c r="BB217" t="s">
        <v>2129</v>
      </c>
      <c r="BC217" t="s">
        <v>2129</v>
      </c>
      <c r="BD217" t="s">
        <v>2129</v>
      </c>
      <c r="BE217" s="1958" t="s">
        <v>2129</v>
      </c>
      <c r="BF217"/>
      <c r="BG217" s="863" t="s">
        <v>2129</v>
      </c>
      <c r="BH217" s="863" t="s">
        <v>2129</v>
      </c>
      <c r="BI217" s="863" t="s">
        <v>2129</v>
      </c>
      <c r="BJ217" s="863" t="s">
        <v>2129</v>
      </c>
      <c r="BK217" s="863">
        <v>76231183.330188677</v>
      </c>
      <c r="BL217" s="863">
        <v>44725400.150943398</v>
      </c>
      <c r="BM217" s="863" t="s">
        <v>2129</v>
      </c>
      <c r="BN217" s="863" t="s">
        <v>2129</v>
      </c>
      <c r="BO217" s="863" t="s">
        <v>2129</v>
      </c>
      <c r="BP217" s="863" t="s">
        <v>2129</v>
      </c>
      <c r="BQ217" s="863" t="s">
        <v>2129</v>
      </c>
      <c r="BR217" s="863" t="s">
        <v>2129</v>
      </c>
      <c r="BS217" s="863" t="s">
        <v>2129</v>
      </c>
      <c r="BT217" s="863" t="s">
        <v>2129</v>
      </c>
      <c r="BU217" s="863" t="s">
        <v>2129</v>
      </c>
      <c r="BV217" s="863" t="s">
        <v>2129</v>
      </c>
      <c r="BW217" s="863" t="s">
        <v>2129</v>
      </c>
      <c r="BX217" s="863" t="s">
        <v>2129</v>
      </c>
      <c r="BY217" s="863"/>
      <c r="BZ217" s="863" t="s">
        <v>2129</v>
      </c>
      <c r="CA217" s="863" t="s">
        <v>2129</v>
      </c>
      <c r="CB217" s="863" t="s">
        <v>2129</v>
      </c>
      <c r="CC217" s="863" t="s">
        <v>2129</v>
      </c>
      <c r="CD217" s="863"/>
      <c r="CE217" s="5785"/>
    </row>
    <row r="218" spans="1:83" ht="13">
      <c r="A218">
        <v>2050</v>
      </c>
      <c r="B218" s="196" t="s">
        <v>3428</v>
      </c>
      <c r="C218" s="5785" t="s">
        <v>2129</v>
      </c>
      <c r="D218" s="2694" t="s">
        <v>3791</v>
      </c>
      <c r="E218" s="2694" t="s">
        <v>2129</v>
      </c>
      <c r="F218" s="5785" t="s">
        <v>2129</v>
      </c>
      <c r="G218" s="5785" t="s">
        <v>2129</v>
      </c>
      <c r="H218" s="5785">
        <v>3</v>
      </c>
      <c r="I218" s="5785">
        <v>0</v>
      </c>
      <c r="J218" s="5785">
        <v>12</v>
      </c>
      <c r="K218" s="5785" t="s">
        <v>2129</v>
      </c>
      <c r="L218" s="5786">
        <v>0</v>
      </c>
      <c r="M218" s="5786">
        <v>0</v>
      </c>
      <c r="N218" s="5786">
        <v>0</v>
      </c>
      <c r="O218" s="5786">
        <v>0</v>
      </c>
      <c r="P218" s="5786">
        <v>0</v>
      </c>
      <c r="Q218" s="2476">
        <v>0</v>
      </c>
      <c r="R218" s="2477">
        <v>0</v>
      </c>
      <c r="S218" s="5786" t="b">
        <v>1</v>
      </c>
      <c r="T218" s="5786" t="s">
        <v>2129</v>
      </c>
      <c r="U218" s="863">
        <v>6173037</v>
      </c>
      <c r="V218" s="863" t="b">
        <v>1</v>
      </c>
      <c r="W218" s="863">
        <v>58236.198113207545</v>
      </c>
      <c r="X218" s="863" t="s">
        <v>2129</v>
      </c>
      <c r="AC218" t="s">
        <v>2131</v>
      </c>
      <c r="AD218" s="3965">
        <v>106</v>
      </c>
      <c r="AE218" s="3965" t="e">
        <v>#VALUE!</v>
      </c>
      <c r="AF218" t="s">
        <v>2131</v>
      </c>
      <c r="AG218" t="s">
        <v>2129</v>
      </c>
      <c r="AH218">
        <v>93</v>
      </c>
      <c r="AI218" t="s">
        <v>2129</v>
      </c>
      <c r="AJ218" t="s">
        <v>2129</v>
      </c>
      <c r="AK218" t="s">
        <v>2129</v>
      </c>
      <c r="AL218" t="s">
        <v>2129</v>
      </c>
      <c r="AO218" t="s">
        <v>2129</v>
      </c>
      <c r="AT218" t="s">
        <v>2129</v>
      </c>
      <c r="AU218" t="s">
        <v>2129</v>
      </c>
      <c r="AV218" t="s">
        <v>2129</v>
      </c>
      <c r="AW218" t="s">
        <v>2129</v>
      </c>
      <c r="AX218">
        <v>11</v>
      </c>
      <c r="AY218" t="s">
        <v>2129</v>
      </c>
      <c r="AZ218" t="s">
        <v>2129</v>
      </c>
      <c r="BA218" t="s">
        <v>2129</v>
      </c>
      <c r="BB218" t="s">
        <v>2129</v>
      </c>
      <c r="BC218" t="s">
        <v>2129</v>
      </c>
      <c r="BD218" t="s">
        <v>2129</v>
      </c>
      <c r="BE218" s="1958" t="s">
        <v>2129</v>
      </c>
      <c r="BF218"/>
      <c r="BG218" s="863" t="s">
        <v>2129</v>
      </c>
      <c r="BH218" s="863" t="s">
        <v>2129</v>
      </c>
      <c r="BI218" s="863" t="s">
        <v>2129</v>
      </c>
      <c r="BJ218" s="863" t="s">
        <v>2129</v>
      </c>
      <c r="BK218" s="863">
        <v>59575630.669811316</v>
      </c>
      <c r="BL218" s="863" t="s">
        <v>2129</v>
      </c>
      <c r="BM218" s="863" t="s">
        <v>2129</v>
      </c>
      <c r="BN218" s="863" t="s">
        <v>2129</v>
      </c>
      <c r="BO218" s="863" t="s">
        <v>2129</v>
      </c>
      <c r="BP218" s="863" t="s">
        <v>2129</v>
      </c>
      <c r="BQ218" s="863" t="s">
        <v>2129</v>
      </c>
      <c r="BR218" s="863" t="s">
        <v>2129</v>
      </c>
      <c r="BS218" s="863" t="s">
        <v>2129</v>
      </c>
      <c r="BT218" s="863" t="s">
        <v>2129</v>
      </c>
      <c r="BU218" s="863" t="s">
        <v>2129</v>
      </c>
      <c r="BV218" s="863" t="s">
        <v>2129</v>
      </c>
      <c r="BW218" s="863" t="s">
        <v>2129</v>
      </c>
      <c r="BX218" s="863" t="s">
        <v>2129</v>
      </c>
      <c r="BY218" s="863"/>
      <c r="BZ218" s="863" t="s">
        <v>2129</v>
      </c>
      <c r="CA218" s="863" t="s">
        <v>2129</v>
      </c>
      <c r="CB218" s="863" t="s">
        <v>2129</v>
      </c>
      <c r="CC218" s="863" t="s">
        <v>2129</v>
      </c>
      <c r="CD218" s="863"/>
      <c r="CE218" s="5785"/>
    </row>
    <row r="219" spans="1:83" ht="13">
      <c r="A219">
        <v>2051</v>
      </c>
      <c r="B219" s="196" t="s">
        <v>3429</v>
      </c>
      <c r="C219" s="5790" t="s">
        <v>6616</v>
      </c>
      <c r="D219" s="5790" t="s">
        <v>6599</v>
      </c>
      <c r="E219" s="5790" t="s">
        <v>2129</v>
      </c>
      <c r="F219" s="5785" t="s">
        <v>2129</v>
      </c>
      <c r="G219" s="5785" t="s">
        <v>2129</v>
      </c>
      <c r="H219" s="5785">
        <v>3</v>
      </c>
      <c r="I219" s="5785">
        <v>3</v>
      </c>
      <c r="J219" s="2694">
        <v>3</v>
      </c>
      <c r="K219" s="2694">
        <v>0</v>
      </c>
      <c r="L219" s="5786">
        <v>1411767</v>
      </c>
      <c r="M219" s="5786">
        <v>0</v>
      </c>
      <c r="N219" s="5786"/>
      <c r="O219" s="5786"/>
      <c r="P219" s="5786">
        <v>121000</v>
      </c>
      <c r="Q219" s="2476">
        <v>1673943.7000000002</v>
      </c>
      <c r="R219" s="2477">
        <v>1591590</v>
      </c>
      <c r="S219" s="2477" t="b">
        <v>1</v>
      </c>
      <c r="T219" s="5786">
        <v>530530</v>
      </c>
      <c r="U219" s="863">
        <v>29673979</v>
      </c>
      <c r="V219" s="863" t="b">
        <v>0</v>
      </c>
      <c r="W219" s="863">
        <v>49047.89917355372</v>
      </c>
      <c r="X219" s="863" t="s">
        <v>2129</v>
      </c>
      <c r="Y219" s="863">
        <v>3277</v>
      </c>
      <c r="AC219">
        <v>605</v>
      </c>
      <c r="AD219" s="3965">
        <v>605</v>
      </c>
      <c r="AE219" s="3965">
        <v>0</v>
      </c>
      <c r="AF219" t="s">
        <v>2131</v>
      </c>
      <c r="AG219">
        <v>605</v>
      </c>
      <c r="AH219" t="s">
        <v>2129</v>
      </c>
      <c r="AI219" t="s">
        <v>2129</v>
      </c>
      <c r="AJ219" t="s">
        <v>2129</v>
      </c>
      <c r="AK219" t="s">
        <v>2129</v>
      </c>
      <c r="AL219">
        <v>0</v>
      </c>
      <c r="AO219" t="s">
        <v>2129</v>
      </c>
      <c r="AT219">
        <v>21</v>
      </c>
      <c r="AU219">
        <v>21</v>
      </c>
      <c r="AV219" t="s">
        <v>2129</v>
      </c>
      <c r="AW219" t="s">
        <v>2129</v>
      </c>
      <c r="AX219" t="s">
        <v>2129</v>
      </c>
      <c r="AY219" t="s">
        <v>2129</v>
      </c>
      <c r="AZ219" t="s">
        <v>2129</v>
      </c>
      <c r="BA219" t="s">
        <v>2129</v>
      </c>
      <c r="BB219" t="s">
        <v>2129</v>
      </c>
      <c r="BC219" t="s">
        <v>2129</v>
      </c>
      <c r="BD219" t="s">
        <v>2129</v>
      </c>
      <c r="BE219" s="1958">
        <v>623153559</v>
      </c>
      <c r="BF219" s="1958">
        <v>623153559</v>
      </c>
      <c r="BG219" s="1958" t="s">
        <v>2129</v>
      </c>
      <c r="BH219" s="1958" t="s">
        <v>2129</v>
      </c>
      <c r="BI219" s="1958" t="s">
        <v>2129</v>
      </c>
      <c r="BJ219" s="1958" t="s">
        <v>2129</v>
      </c>
      <c r="BK219" s="1958" t="s">
        <v>2129</v>
      </c>
      <c r="BL219" s="1958" t="s">
        <v>2129</v>
      </c>
      <c r="BM219" s="1958" t="s">
        <v>2129</v>
      </c>
      <c r="BN219" s="863" t="s">
        <v>2129</v>
      </c>
      <c r="BO219" s="863" t="s">
        <v>2129</v>
      </c>
      <c r="BP219" s="1958" t="s">
        <v>2129</v>
      </c>
      <c r="BQ219" s="1958" t="s">
        <v>2129</v>
      </c>
      <c r="BR219" s="1958" t="s">
        <v>2129</v>
      </c>
      <c r="BS219" s="1958" t="s">
        <v>2129</v>
      </c>
      <c r="BT219" s="1958" t="s">
        <v>2129</v>
      </c>
      <c r="BU219" s="1958">
        <v>33423390</v>
      </c>
      <c r="BV219" s="1958">
        <v>33423390</v>
      </c>
      <c r="BW219" s="1958" t="s">
        <v>2129</v>
      </c>
      <c r="BX219" s="1958" t="s">
        <v>2129</v>
      </c>
      <c r="BZ219" s="1958" t="s">
        <v>2129</v>
      </c>
      <c r="CA219" s="1958" t="s">
        <v>2129</v>
      </c>
      <c r="CB219" s="1958" t="s">
        <v>2129</v>
      </c>
      <c r="CC219" s="1958" t="s">
        <v>2129</v>
      </c>
      <c r="CE219" s="5785"/>
    </row>
    <row r="220" spans="1:83" ht="12.75" customHeight="1">
      <c r="A220">
        <v>3000</v>
      </c>
      <c r="B220" s="5828" t="s">
        <v>3430</v>
      </c>
      <c r="C220" s="5790" t="s">
        <v>6616</v>
      </c>
      <c r="D220" s="5790" t="s">
        <v>6599</v>
      </c>
      <c r="E220" s="5790" t="s">
        <v>2129</v>
      </c>
      <c r="F220" s="5785" t="s">
        <v>2129</v>
      </c>
      <c r="G220" s="5785" t="s">
        <v>2129</v>
      </c>
      <c r="H220" s="5785">
        <v>0</v>
      </c>
      <c r="I220" s="5785">
        <v>0</v>
      </c>
      <c r="J220" s="5785">
        <v>0</v>
      </c>
      <c r="K220" s="5785">
        <v>0</v>
      </c>
      <c r="L220" s="5786">
        <v>0</v>
      </c>
      <c r="M220" s="5786">
        <v>0</v>
      </c>
      <c r="N220" s="5786"/>
      <c r="O220" s="5786">
        <v>0</v>
      </c>
      <c r="P220" s="5786">
        <v>0</v>
      </c>
      <c r="R220" s="2477">
        <v>0</v>
      </c>
      <c r="S220" s="5786" t="b">
        <v>1</v>
      </c>
      <c r="T220" s="5786" t="s">
        <v>2129</v>
      </c>
      <c r="U220" s="1958">
        <v>2750022</v>
      </c>
      <c r="V220" s="1958" t="b">
        <v>1</v>
      </c>
      <c r="W220" s="863">
        <v>16176.6</v>
      </c>
      <c r="X220" s="863" t="s">
        <v>2129</v>
      </c>
      <c r="Y220" s="863">
        <v>0</v>
      </c>
      <c r="AC220" t="s">
        <v>2131</v>
      </c>
      <c r="AD220" s="3965">
        <v>170</v>
      </c>
      <c r="AE220" s="3965" t="e">
        <v>#VALUE!</v>
      </c>
      <c r="AF220" t="s">
        <v>2131</v>
      </c>
      <c r="AG220">
        <v>170</v>
      </c>
      <c r="AH220" t="s">
        <v>2129</v>
      </c>
      <c r="AI220" t="s">
        <v>2129</v>
      </c>
      <c r="AJ220" t="s">
        <v>2129</v>
      </c>
      <c r="AK220" t="s">
        <v>2129</v>
      </c>
      <c r="AL220">
        <v>0</v>
      </c>
      <c r="AO220" t="s">
        <v>2129</v>
      </c>
      <c r="AT220">
        <v>30</v>
      </c>
      <c r="AU220">
        <v>30</v>
      </c>
      <c r="AV220" t="s">
        <v>2129</v>
      </c>
      <c r="AW220" t="s">
        <v>2129</v>
      </c>
      <c r="AX220" t="s">
        <v>2129</v>
      </c>
      <c r="AY220" t="s">
        <v>2129</v>
      </c>
      <c r="AZ220" t="s">
        <v>2129</v>
      </c>
      <c r="BA220" t="s">
        <v>2129</v>
      </c>
      <c r="BB220" t="s">
        <v>2129</v>
      </c>
      <c r="BC220" t="s">
        <v>2129</v>
      </c>
      <c r="BD220" t="s">
        <v>2129</v>
      </c>
      <c r="BE220" s="863">
        <v>82500660</v>
      </c>
      <c r="BF220" s="863">
        <v>82500660</v>
      </c>
      <c r="BG220" s="863" t="s">
        <v>2129</v>
      </c>
      <c r="BH220" s="863" t="s">
        <v>2129</v>
      </c>
      <c r="BI220" s="863" t="s">
        <v>2129</v>
      </c>
      <c r="BJ220" s="863" t="s">
        <v>2129</v>
      </c>
      <c r="BK220" s="863" t="s">
        <v>2129</v>
      </c>
      <c r="BL220" s="863" t="s">
        <v>2129</v>
      </c>
      <c r="BM220" s="863" t="s">
        <v>2129</v>
      </c>
      <c r="BN220" s="863" t="s">
        <v>2129</v>
      </c>
      <c r="BO220" s="863" t="s">
        <v>2129</v>
      </c>
      <c r="BP220" s="863" t="s">
        <v>2129</v>
      </c>
      <c r="BQ220" s="863" t="s">
        <v>2129</v>
      </c>
      <c r="BR220" s="863" t="s">
        <v>2129</v>
      </c>
      <c r="BS220" s="863" t="s">
        <v>2129</v>
      </c>
      <c r="BT220" s="863" t="s">
        <v>2129</v>
      </c>
      <c r="BU220" s="863" t="s">
        <v>2129</v>
      </c>
      <c r="BV220" s="863" t="s">
        <v>2129</v>
      </c>
      <c r="BW220" s="863" t="s">
        <v>2129</v>
      </c>
      <c r="BX220" s="863" t="s">
        <v>2129</v>
      </c>
      <c r="BY220" s="863"/>
      <c r="BZ220" s="863" t="s">
        <v>2129</v>
      </c>
      <c r="CA220" s="863" t="s">
        <v>2129</v>
      </c>
      <c r="CB220" s="863" t="s">
        <v>2129</v>
      </c>
      <c r="CC220" s="863" t="s">
        <v>2129</v>
      </c>
      <c r="CD220" s="863"/>
      <c r="CE220" s="5785"/>
    </row>
    <row r="221" spans="1:83" ht="13">
      <c r="A221">
        <v>3001</v>
      </c>
      <c r="B221" s="196" t="s">
        <v>3431</v>
      </c>
      <c r="C221" s="5785" t="s">
        <v>3694</v>
      </c>
      <c r="D221" s="5785" t="s">
        <v>5293</v>
      </c>
      <c r="E221" s="5785" t="s">
        <v>2129</v>
      </c>
      <c r="F221" s="5785" t="s">
        <v>2129</v>
      </c>
      <c r="G221" s="5785" t="s">
        <v>2129</v>
      </c>
      <c r="H221" s="3925">
        <v>0</v>
      </c>
      <c r="I221" s="5785">
        <v>0</v>
      </c>
      <c r="J221" s="3925">
        <v>0</v>
      </c>
      <c r="K221" s="5785">
        <v>0</v>
      </c>
      <c r="L221" s="5786"/>
      <c r="M221" s="5786"/>
      <c r="N221" s="5786"/>
      <c r="O221" s="5786"/>
      <c r="P221" s="5786"/>
      <c r="R221" s="2477"/>
      <c r="S221" s="5786" t="b">
        <v>1</v>
      </c>
      <c r="T221" s="5786" t="s">
        <v>2129</v>
      </c>
      <c r="U221" s="1958">
        <v>9695919</v>
      </c>
      <c r="V221" s="1958" t="b">
        <v>1</v>
      </c>
      <c r="W221" s="863">
        <v>96959.19</v>
      </c>
      <c r="X221" s="863" t="s">
        <v>2129</v>
      </c>
      <c r="AC221" t="s">
        <v>3432</v>
      </c>
      <c r="AD221" s="3965">
        <v>100</v>
      </c>
      <c r="AE221" s="3965" t="e">
        <v>#VALUE!</v>
      </c>
      <c r="AG221">
        <v>100</v>
      </c>
      <c r="AH221">
        <v>60</v>
      </c>
      <c r="AI221" t="s">
        <v>2129</v>
      </c>
      <c r="AJ221" t="s">
        <v>2129</v>
      </c>
      <c r="AK221" t="s">
        <v>2129</v>
      </c>
      <c r="AL221">
        <v>0</v>
      </c>
      <c r="AM221">
        <v>-40</v>
      </c>
      <c r="AO221" t="s">
        <v>2129</v>
      </c>
      <c r="AT221" t="s">
        <v>2129</v>
      </c>
      <c r="AU221" t="s">
        <v>2129</v>
      </c>
      <c r="AV221">
        <v>20</v>
      </c>
      <c r="AW221">
        <v>32</v>
      </c>
      <c r="AX221" t="s">
        <v>2129</v>
      </c>
      <c r="AY221" t="s">
        <v>2129</v>
      </c>
      <c r="AZ221" t="s">
        <v>2129</v>
      </c>
      <c r="BA221" t="s">
        <v>2129</v>
      </c>
      <c r="BB221" t="s">
        <v>2129</v>
      </c>
      <c r="BC221" t="s">
        <v>2129</v>
      </c>
      <c r="BD221" t="s">
        <v>2129</v>
      </c>
      <c r="BE221" s="1958" t="s">
        <v>2129</v>
      </c>
      <c r="BF221"/>
      <c r="BG221" s="863">
        <v>116351028</v>
      </c>
      <c r="BH221" s="863">
        <v>310269408</v>
      </c>
      <c r="BI221" s="863" t="s">
        <v>2129</v>
      </c>
      <c r="BJ221" s="863" t="s">
        <v>2129</v>
      </c>
      <c r="BK221" s="863" t="s">
        <v>2129</v>
      </c>
      <c r="BL221" s="863" t="s">
        <v>2129</v>
      </c>
      <c r="BM221" s="863" t="s">
        <v>2129</v>
      </c>
      <c r="BN221" s="863" t="s">
        <v>2129</v>
      </c>
      <c r="BO221" s="863" t="s">
        <v>2129</v>
      </c>
      <c r="BP221" s="863" t="s">
        <v>2129</v>
      </c>
      <c r="BQ221" s="863" t="s">
        <v>2129</v>
      </c>
      <c r="BR221" s="863" t="s">
        <v>2129</v>
      </c>
      <c r="BS221" s="863" t="s">
        <v>2129</v>
      </c>
      <c r="BT221" s="863" t="s">
        <v>2129</v>
      </c>
      <c r="BU221" s="863" t="s">
        <v>2129</v>
      </c>
      <c r="BV221" s="863" t="s">
        <v>2129</v>
      </c>
      <c r="BW221" s="863" t="s">
        <v>2129</v>
      </c>
      <c r="BX221" s="863" t="s">
        <v>2129</v>
      </c>
      <c r="BY221" s="863"/>
      <c r="BZ221" s="863" t="s">
        <v>2129</v>
      </c>
      <c r="CA221" s="863" t="s">
        <v>2129</v>
      </c>
      <c r="CB221" s="863" t="s">
        <v>2129</v>
      </c>
      <c r="CC221" s="863" t="s">
        <v>2129</v>
      </c>
      <c r="CD221" s="863"/>
      <c r="CE221" s="5785"/>
    </row>
    <row r="222" spans="1:83" ht="13">
      <c r="A222">
        <v>3002</v>
      </c>
      <c r="B222" s="5794" t="s">
        <v>3433</v>
      </c>
      <c r="C222" s="5785" t="s">
        <v>2695</v>
      </c>
      <c r="D222" s="5785" t="s">
        <v>2129</v>
      </c>
      <c r="E222" s="5785" t="s">
        <v>2129</v>
      </c>
      <c r="F222" s="5785" t="s">
        <v>2129</v>
      </c>
      <c r="G222" s="5785" t="s">
        <v>2129</v>
      </c>
      <c r="H222" s="5785"/>
      <c r="I222" s="5785">
        <v>0</v>
      </c>
      <c r="J222" s="5785">
        <v>0</v>
      </c>
      <c r="K222" s="5785" t="s">
        <v>2129</v>
      </c>
      <c r="L222" s="5786">
        <v>0</v>
      </c>
      <c r="M222" s="5786"/>
      <c r="N222" s="5786"/>
      <c r="O222" s="5786"/>
      <c r="P222" s="5786"/>
      <c r="R222" s="2477">
        <v>0</v>
      </c>
      <c r="S222" s="5786" t="b">
        <v>1</v>
      </c>
      <c r="T222" s="5786" t="s">
        <v>2129</v>
      </c>
      <c r="U222" s="1958">
        <v>12096483</v>
      </c>
      <c r="V222" s="1958" t="b">
        <v>1</v>
      </c>
      <c r="W222" s="863">
        <v>95247.897637795279</v>
      </c>
      <c r="X222" s="863" t="s">
        <v>2129</v>
      </c>
      <c r="AD222" s="3965">
        <v>127</v>
      </c>
      <c r="AE222" s="3965">
        <v>-127</v>
      </c>
      <c r="AG222">
        <v>127</v>
      </c>
      <c r="AH222" t="s">
        <v>2129</v>
      </c>
      <c r="AI222" t="s">
        <v>2129</v>
      </c>
      <c r="AJ222" t="s">
        <v>2129</v>
      </c>
      <c r="AK222" t="s">
        <v>2129</v>
      </c>
      <c r="AL222">
        <v>0</v>
      </c>
      <c r="AO222" t="s">
        <v>2129</v>
      </c>
      <c r="AT222" t="s">
        <v>2129</v>
      </c>
      <c r="AU222" t="s">
        <v>2129</v>
      </c>
      <c r="AV222">
        <v>18</v>
      </c>
      <c r="AW222" t="s">
        <v>2129</v>
      </c>
      <c r="AX222" t="s">
        <v>2129</v>
      </c>
      <c r="AY222" t="s">
        <v>2129</v>
      </c>
      <c r="AZ222" t="s">
        <v>2129</v>
      </c>
      <c r="BA222" t="s">
        <v>2129</v>
      </c>
      <c r="BB222" t="s">
        <v>2129</v>
      </c>
      <c r="BC222" t="s">
        <v>2129</v>
      </c>
      <c r="BD222" t="s">
        <v>2129</v>
      </c>
      <c r="BE222" s="1958" t="s">
        <v>2129</v>
      </c>
      <c r="BF222"/>
      <c r="BG222" s="863" t="s">
        <v>2129</v>
      </c>
      <c r="BH222" s="863" t="s">
        <v>2129</v>
      </c>
      <c r="BI222" s="863">
        <v>217736694</v>
      </c>
      <c r="BJ222" s="863" t="s">
        <v>2129</v>
      </c>
      <c r="BK222" s="863" t="s">
        <v>2129</v>
      </c>
      <c r="BL222" s="863" t="s">
        <v>2129</v>
      </c>
      <c r="BM222" s="863" t="s">
        <v>2129</v>
      </c>
      <c r="BN222" s="863" t="s">
        <v>2129</v>
      </c>
      <c r="BO222" s="863" t="s">
        <v>2129</v>
      </c>
      <c r="BP222" s="863" t="s">
        <v>2129</v>
      </c>
      <c r="BQ222" s="863" t="s">
        <v>2129</v>
      </c>
      <c r="BR222" s="863" t="s">
        <v>2129</v>
      </c>
      <c r="BS222" s="863" t="s">
        <v>2129</v>
      </c>
      <c r="BT222" s="863" t="s">
        <v>2129</v>
      </c>
      <c r="BU222" s="863" t="s">
        <v>2129</v>
      </c>
      <c r="BV222" s="863" t="s">
        <v>2129</v>
      </c>
      <c r="BW222" s="863" t="s">
        <v>2129</v>
      </c>
      <c r="BX222" s="863" t="s">
        <v>2129</v>
      </c>
      <c r="BY222" s="863"/>
      <c r="BZ222" s="863" t="s">
        <v>2129</v>
      </c>
      <c r="CA222" s="863" t="s">
        <v>2129</v>
      </c>
      <c r="CB222" s="863" t="s">
        <v>2129</v>
      </c>
      <c r="CC222" s="863" t="s">
        <v>2129</v>
      </c>
      <c r="CD222" s="863"/>
      <c r="CE222" s="5785"/>
    </row>
    <row r="223" spans="1:83" ht="13">
      <c r="A223">
        <v>3003</v>
      </c>
      <c r="B223" s="5794" t="s">
        <v>3434</v>
      </c>
      <c r="C223" s="5785" t="s">
        <v>2695</v>
      </c>
      <c r="D223" s="5785" t="s">
        <v>2129</v>
      </c>
      <c r="E223" s="5785" t="s">
        <v>2129</v>
      </c>
      <c r="F223" s="5785" t="s">
        <v>2129</v>
      </c>
      <c r="G223" s="5785" t="s">
        <v>2129</v>
      </c>
      <c r="H223" s="5785">
        <v>3</v>
      </c>
      <c r="I223" s="5785">
        <v>0</v>
      </c>
      <c r="J223" s="5785">
        <v>0</v>
      </c>
      <c r="K223" s="5785" t="s">
        <v>2129</v>
      </c>
      <c r="L223" s="5786">
        <v>0</v>
      </c>
      <c r="M223" s="5786"/>
      <c r="N223" s="5786"/>
      <c r="O223" s="5786"/>
      <c r="P223" s="5786"/>
      <c r="R223" s="2477">
        <v>0</v>
      </c>
      <c r="S223" s="5786" t="b">
        <v>1</v>
      </c>
      <c r="T223" s="5786" t="s">
        <v>2129</v>
      </c>
      <c r="U223" s="1958">
        <v>16858878</v>
      </c>
      <c r="V223" s="1958" t="b">
        <v>1</v>
      </c>
      <c r="W223" s="863">
        <v>95247.898305084746</v>
      </c>
      <c r="X223" s="863" t="s">
        <v>2129</v>
      </c>
      <c r="AD223" s="3965">
        <v>177</v>
      </c>
      <c r="AE223" s="3965">
        <v>-177</v>
      </c>
      <c r="AG223">
        <v>177</v>
      </c>
      <c r="AH223" t="s">
        <v>2129</v>
      </c>
      <c r="AI223" t="s">
        <v>2129</v>
      </c>
      <c r="AJ223" t="s">
        <v>2129</v>
      </c>
      <c r="AK223" t="s">
        <v>2129</v>
      </c>
      <c r="AL223">
        <v>0</v>
      </c>
      <c r="AO223" t="s">
        <v>2129</v>
      </c>
      <c r="AT223" t="s">
        <v>2129</v>
      </c>
      <c r="AU223" t="s">
        <v>2129</v>
      </c>
      <c r="AV223">
        <v>18</v>
      </c>
      <c r="AW223" t="s">
        <v>2129</v>
      </c>
      <c r="AX223" t="s">
        <v>2129</v>
      </c>
      <c r="AY223" t="s">
        <v>2129</v>
      </c>
      <c r="AZ223" t="s">
        <v>2129</v>
      </c>
      <c r="BA223" t="s">
        <v>2129</v>
      </c>
      <c r="BB223" t="s">
        <v>2129</v>
      </c>
      <c r="BC223" t="s">
        <v>2129</v>
      </c>
      <c r="BD223" t="s">
        <v>2129</v>
      </c>
      <c r="BE223" s="1958" t="s">
        <v>2129</v>
      </c>
      <c r="BF223"/>
      <c r="BG223" s="863" t="s">
        <v>2129</v>
      </c>
      <c r="BH223" s="863" t="s">
        <v>2129</v>
      </c>
      <c r="BI223" s="863">
        <v>303459804</v>
      </c>
      <c r="BJ223" s="863" t="s">
        <v>2129</v>
      </c>
      <c r="BK223" s="863" t="s">
        <v>2129</v>
      </c>
      <c r="BL223" s="863" t="s">
        <v>2129</v>
      </c>
      <c r="BM223" s="863" t="s">
        <v>2129</v>
      </c>
      <c r="BN223" s="863" t="s">
        <v>2129</v>
      </c>
      <c r="BO223" s="863" t="s">
        <v>2129</v>
      </c>
      <c r="BP223" s="863" t="s">
        <v>2129</v>
      </c>
      <c r="BQ223" s="863" t="s">
        <v>2129</v>
      </c>
      <c r="BR223" s="863" t="s">
        <v>2129</v>
      </c>
      <c r="BS223" s="863" t="s">
        <v>2129</v>
      </c>
      <c r="BT223" s="863" t="s">
        <v>2129</v>
      </c>
      <c r="BU223" s="863" t="s">
        <v>2129</v>
      </c>
      <c r="BV223" s="863" t="s">
        <v>2129</v>
      </c>
      <c r="BW223" s="863" t="s">
        <v>2129</v>
      </c>
      <c r="BX223" s="863" t="s">
        <v>2129</v>
      </c>
      <c r="BY223" s="863"/>
      <c r="BZ223" s="863" t="s">
        <v>2129</v>
      </c>
      <c r="CA223" s="863" t="s">
        <v>2129</v>
      </c>
      <c r="CB223" s="863" t="s">
        <v>2129</v>
      </c>
      <c r="CC223" s="863" t="s">
        <v>2129</v>
      </c>
      <c r="CD223" s="863"/>
      <c r="CE223" s="5785"/>
    </row>
    <row r="224" spans="1:83" ht="13">
      <c r="A224">
        <v>3004</v>
      </c>
      <c r="B224" s="196" t="s">
        <v>3435</v>
      </c>
      <c r="C224" s="5785" t="s">
        <v>3694</v>
      </c>
      <c r="D224" s="5785" t="s">
        <v>2129</v>
      </c>
      <c r="E224" s="5785" t="s">
        <v>2129</v>
      </c>
      <c r="F224" s="5785" t="s">
        <v>2129</v>
      </c>
      <c r="G224" s="5785" t="s">
        <v>2129</v>
      </c>
      <c r="H224" s="5785"/>
      <c r="I224" s="5785">
        <v>0</v>
      </c>
      <c r="J224" s="5785"/>
      <c r="K224" s="5785" t="s">
        <v>2129</v>
      </c>
      <c r="L224" s="5786"/>
      <c r="M224" s="5786"/>
      <c r="N224" s="5786"/>
      <c r="O224" s="5786"/>
      <c r="P224" s="5786"/>
      <c r="R224" s="2477"/>
      <c r="S224" s="5786" t="b">
        <v>1</v>
      </c>
      <c r="T224" s="5786" t="s">
        <v>2129</v>
      </c>
      <c r="U224" s="1958">
        <v>449075</v>
      </c>
      <c r="V224" s="1958" t="b">
        <v>1</v>
      </c>
      <c r="W224" s="863">
        <v>11226.875</v>
      </c>
      <c r="X224" s="863" t="s">
        <v>2129</v>
      </c>
      <c r="AD224" s="3965">
        <v>40</v>
      </c>
      <c r="AE224" s="3965">
        <v>-40</v>
      </c>
      <c r="AG224">
        <v>40</v>
      </c>
      <c r="AH224" t="s">
        <v>2129</v>
      </c>
      <c r="AI224" t="s">
        <v>2129</v>
      </c>
      <c r="AJ224" t="s">
        <v>2129</v>
      </c>
      <c r="AK224" t="s">
        <v>2129</v>
      </c>
      <c r="AL224">
        <v>0</v>
      </c>
      <c r="AO224" t="s">
        <v>2129</v>
      </c>
      <c r="AT224" t="s">
        <v>2129</v>
      </c>
      <c r="AU224" t="s">
        <v>2129</v>
      </c>
      <c r="AV224" t="s">
        <v>2129</v>
      </c>
      <c r="AW224">
        <v>32</v>
      </c>
      <c r="AX224" t="s">
        <v>2129</v>
      </c>
      <c r="AY224" t="s">
        <v>2129</v>
      </c>
      <c r="AZ224" t="s">
        <v>2129</v>
      </c>
      <c r="BA224" t="s">
        <v>2129</v>
      </c>
      <c r="BB224" t="s">
        <v>2129</v>
      </c>
      <c r="BC224" t="s">
        <v>2129</v>
      </c>
      <c r="BD224" t="s">
        <v>2129</v>
      </c>
      <c r="BE224" s="863" t="s">
        <v>2129</v>
      </c>
      <c r="BF224"/>
      <c r="BG224" s="863" t="s">
        <v>2129</v>
      </c>
      <c r="BH224" s="863">
        <v>14370400</v>
      </c>
      <c r="BI224" s="863" t="s">
        <v>2129</v>
      </c>
      <c r="BJ224" s="863" t="s">
        <v>2129</v>
      </c>
      <c r="BK224" s="863" t="s">
        <v>2129</v>
      </c>
      <c r="BL224" s="863" t="s">
        <v>2129</v>
      </c>
      <c r="BM224" s="863" t="s">
        <v>2129</v>
      </c>
      <c r="BN224" s="863" t="s">
        <v>2129</v>
      </c>
      <c r="BO224" s="863" t="s">
        <v>2129</v>
      </c>
      <c r="BP224" s="863" t="s">
        <v>2129</v>
      </c>
      <c r="BQ224" s="863" t="s">
        <v>2129</v>
      </c>
      <c r="BR224" s="863" t="s">
        <v>2129</v>
      </c>
      <c r="BS224" s="863" t="s">
        <v>2129</v>
      </c>
      <c r="BT224" s="863" t="s">
        <v>2129</v>
      </c>
      <c r="BU224" s="863" t="s">
        <v>2129</v>
      </c>
      <c r="BV224" s="863" t="s">
        <v>2129</v>
      </c>
      <c r="BW224" s="863" t="s">
        <v>2129</v>
      </c>
      <c r="BX224" s="863" t="s">
        <v>2129</v>
      </c>
      <c r="BY224" s="863"/>
      <c r="BZ224" s="863" t="s">
        <v>2129</v>
      </c>
      <c r="CA224" s="863" t="s">
        <v>2129</v>
      </c>
      <c r="CB224" s="863" t="s">
        <v>2129</v>
      </c>
      <c r="CC224" s="863" t="s">
        <v>2129</v>
      </c>
      <c r="CD224" s="863"/>
      <c r="CE224" s="5785"/>
    </row>
    <row r="225" spans="1:83" ht="13">
      <c r="A225">
        <v>3005</v>
      </c>
      <c r="B225" s="5794" t="s">
        <v>6626</v>
      </c>
      <c r="C225" s="5785" t="s">
        <v>3694</v>
      </c>
      <c r="D225" s="5785" t="s">
        <v>2129</v>
      </c>
      <c r="E225" s="5785" t="s">
        <v>2129</v>
      </c>
      <c r="F225" s="5785" t="s">
        <v>2129</v>
      </c>
      <c r="G225" s="5785" t="s">
        <v>2129</v>
      </c>
      <c r="H225" s="5785"/>
      <c r="I225" s="5785" t="s">
        <v>6627</v>
      </c>
      <c r="J225" s="5785">
        <v>0</v>
      </c>
      <c r="K225" s="5785" t="s">
        <v>2129</v>
      </c>
      <c r="L225" s="5786">
        <v>0</v>
      </c>
      <c r="M225" s="5786"/>
      <c r="N225" s="5786"/>
      <c r="O225" s="5786"/>
      <c r="P225" s="5786"/>
      <c r="R225" s="2477">
        <v>0</v>
      </c>
      <c r="S225" s="5786" t="b">
        <v>0</v>
      </c>
      <c r="T225" s="5786" t="s">
        <v>2129</v>
      </c>
      <c r="U225" s="1958">
        <v>3996520</v>
      </c>
      <c r="V225" s="1958" t="b">
        <v>1</v>
      </c>
      <c r="W225" s="863">
        <v>28546.571428571428</v>
      </c>
      <c r="X225" s="863" t="s">
        <v>2129</v>
      </c>
      <c r="AD225" s="3965">
        <v>140</v>
      </c>
      <c r="AE225" s="3965">
        <v>-140</v>
      </c>
      <c r="AG225">
        <v>140</v>
      </c>
      <c r="AH225" t="s">
        <v>2129</v>
      </c>
      <c r="AI225" t="s">
        <v>2129</v>
      </c>
      <c r="AJ225" t="s">
        <v>2129</v>
      </c>
      <c r="AK225" t="s">
        <v>2129</v>
      </c>
      <c r="AL225">
        <v>0</v>
      </c>
      <c r="AT225" t="s">
        <v>2129</v>
      </c>
      <c r="AU225" t="s">
        <v>2129</v>
      </c>
      <c r="AV225" t="s">
        <v>2129</v>
      </c>
      <c r="AW225">
        <v>32</v>
      </c>
      <c r="AX225" t="s">
        <v>2129</v>
      </c>
      <c r="AY225" t="s">
        <v>2129</v>
      </c>
      <c r="AZ225" t="s">
        <v>2129</v>
      </c>
      <c r="BA225" t="s">
        <v>2129</v>
      </c>
      <c r="BB225" t="s">
        <v>2129</v>
      </c>
      <c r="BC225" t="s">
        <v>2129</v>
      </c>
      <c r="BD225" t="s">
        <v>2129</v>
      </c>
      <c r="BF225"/>
      <c r="BG225" s="863" t="s">
        <v>2129</v>
      </c>
      <c r="BH225" s="863">
        <v>127888640</v>
      </c>
      <c r="BI225" s="863" t="s">
        <v>2129</v>
      </c>
      <c r="BJ225" s="863" t="s">
        <v>2129</v>
      </c>
      <c r="BK225" s="863" t="s">
        <v>2129</v>
      </c>
      <c r="BL225" s="863" t="s">
        <v>2129</v>
      </c>
      <c r="BM225" s="863" t="s">
        <v>2129</v>
      </c>
      <c r="BN225" s="863" t="s">
        <v>2129</v>
      </c>
      <c r="BO225" s="863" t="s">
        <v>2129</v>
      </c>
      <c r="BP225" s="863" t="s">
        <v>2129</v>
      </c>
      <c r="BQ225" s="863" t="s">
        <v>2129</v>
      </c>
      <c r="BR225" s="863" t="s">
        <v>2129</v>
      </c>
      <c r="BS225" s="863" t="s">
        <v>2129</v>
      </c>
      <c r="BT225" s="863" t="s">
        <v>2129</v>
      </c>
      <c r="BU225" s="863" t="s">
        <v>2129</v>
      </c>
      <c r="BV225" s="863" t="s">
        <v>2129</v>
      </c>
      <c r="BW225" s="863" t="s">
        <v>2129</v>
      </c>
      <c r="BX225" s="863" t="s">
        <v>2129</v>
      </c>
      <c r="BY225" s="863"/>
      <c r="BZ225" s="863" t="s">
        <v>2129</v>
      </c>
      <c r="CA225" s="863" t="s">
        <v>2129</v>
      </c>
      <c r="CB225" s="863" t="s">
        <v>2129</v>
      </c>
      <c r="CC225" s="863" t="s">
        <v>2129</v>
      </c>
      <c r="CD225" s="863"/>
      <c r="CE225" s="5785"/>
    </row>
    <row r="226" spans="1:83" ht="13">
      <c r="A226">
        <v>3006</v>
      </c>
      <c r="B226" s="5794" t="s">
        <v>6628</v>
      </c>
      <c r="C226" s="5785" t="s">
        <v>3694</v>
      </c>
      <c r="D226" s="5785" t="s">
        <v>2129</v>
      </c>
      <c r="E226" s="5785" t="s">
        <v>2129</v>
      </c>
      <c r="F226" s="5785" t="s">
        <v>2129</v>
      </c>
      <c r="G226" s="5785" t="s">
        <v>2129</v>
      </c>
      <c r="H226" s="5785"/>
      <c r="I226" s="5785" t="s">
        <v>6627</v>
      </c>
      <c r="J226" s="5785">
        <v>0</v>
      </c>
      <c r="K226" s="5785" t="s">
        <v>2129</v>
      </c>
      <c r="L226" s="5786">
        <v>0</v>
      </c>
      <c r="M226" s="5786"/>
      <c r="N226" s="5786"/>
      <c r="O226" s="5786"/>
      <c r="P226" s="5786"/>
      <c r="R226" s="5786">
        <v>0</v>
      </c>
      <c r="S226" s="5786" t="b">
        <v>0</v>
      </c>
      <c r="T226" s="5786" t="s">
        <v>2129</v>
      </c>
      <c r="U226" s="1958">
        <v>8689516</v>
      </c>
      <c r="V226" s="1958" t="b">
        <v>1</v>
      </c>
      <c r="W226" s="863">
        <v>28965.053333333333</v>
      </c>
      <c r="X226" s="863" t="s">
        <v>2129</v>
      </c>
      <c r="AD226" s="3965">
        <v>300</v>
      </c>
      <c r="AE226" s="3965">
        <v>-300</v>
      </c>
      <c r="AG226">
        <v>300</v>
      </c>
      <c r="AH226" t="s">
        <v>2129</v>
      </c>
      <c r="AI226" t="s">
        <v>2129</v>
      </c>
      <c r="AJ226" t="s">
        <v>2129</v>
      </c>
      <c r="AK226" t="s">
        <v>2129</v>
      </c>
      <c r="AL226">
        <v>0</v>
      </c>
      <c r="AT226" t="s">
        <v>2129</v>
      </c>
      <c r="AU226" t="s">
        <v>2129</v>
      </c>
      <c r="AV226" t="s">
        <v>2129</v>
      </c>
      <c r="AW226">
        <v>32</v>
      </c>
      <c r="AX226" t="s">
        <v>2129</v>
      </c>
      <c r="AY226" t="s">
        <v>2129</v>
      </c>
      <c r="AZ226" t="s">
        <v>2129</v>
      </c>
      <c r="BA226" t="s">
        <v>2129</v>
      </c>
      <c r="BB226" t="s">
        <v>2129</v>
      </c>
      <c r="BC226" t="s">
        <v>2129</v>
      </c>
      <c r="BD226" t="s">
        <v>2129</v>
      </c>
      <c r="BF226"/>
      <c r="BG226" s="863" t="s">
        <v>2129</v>
      </c>
      <c r="BH226" s="863">
        <v>278064512</v>
      </c>
      <c r="BI226" s="863" t="s">
        <v>2129</v>
      </c>
      <c r="BJ226" s="863" t="s">
        <v>2129</v>
      </c>
      <c r="BK226" s="863" t="s">
        <v>2129</v>
      </c>
      <c r="BL226" s="863" t="s">
        <v>2129</v>
      </c>
      <c r="BM226" s="863" t="s">
        <v>2129</v>
      </c>
      <c r="BN226" s="863" t="s">
        <v>2129</v>
      </c>
      <c r="BO226" s="863" t="s">
        <v>2129</v>
      </c>
      <c r="BP226" s="863" t="s">
        <v>2129</v>
      </c>
      <c r="BQ226" s="863" t="s">
        <v>2129</v>
      </c>
      <c r="BR226" s="863" t="s">
        <v>2129</v>
      </c>
      <c r="BS226" s="863" t="s">
        <v>2129</v>
      </c>
      <c r="BT226" s="863" t="s">
        <v>2129</v>
      </c>
      <c r="BU226" s="863" t="s">
        <v>2129</v>
      </c>
      <c r="BV226" s="863" t="s">
        <v>2129</v>
      </c>
      <c r="BW226" s="863" t="s">
        <v>2129</v>
      </c>
      <c r="BX226" s="863" t="s">
        <v>2129</v>
      </c>
      <c r="BY226" s="863"/>
      <c r="BZ226" s="863" t="s">
        <v>2129</v>
      </c>
      <c r="CA226" s="863" t="s">
        <v>2129</v>
      </c>
      <c r="CB226" s="863" t="s">
        <v>2129</v>
      </c>
      <c r="CC226" s="863" t="s">
        <v>2129</v>
      </c>
      <c r="CD226" s="863"/>
      <c r="CE226" s="5785"/>
    </row>
    <row r="227" spans="1:83" s="5815" customFormat="1" ht="13">
      <c r="A227" s="5815" t="s">
        <v>3453</v>
      </c>
      <c r="B227" s="5816" t="s">
        <v>3454</v>
      </c>
      <c r="C227" s="5817" t="s">
        <v>2129</v>
      </c>
      <c r="D227" s="5817" t="s">
        <v>2129</v>
      </c>
      <c r="E227" s="5817"/>
      <c r="F227" s="5817" t="s">
        <v>2129</v>
      </c>
      <c r="G227" s="5817"/>
      <c r="H227" s="5817"/>
      <c r="I227" s="5817" t="s">
        <v>6629</v>
      </c>
      <c r="J227" s="5817"/>
      <c r="K227" s="5817" t="s">
        <v>2129</v>
      </c>
      <c r="L227" s="5818"/>
      <c r="M227" s="5818"/>
      <c r="N227" s="5818"/>
      <c r="O227" s="5818"/>
      <c r="P227" s="5818"/>
      <c r="Q227" s="5819"/>
      <c r="R227" s="5818"/>
      <c r="S227" s="5818" t="b">
        <v>1</v>
      </c>
      <c r="T227" s="5818" t="s">
        <v>2129</v>
      </c>
      <c r="U227" s="5814">
        <v>0</v>
      </c>
      <c r="V227" s="5814" t="b">
        <v>1</v>
      </c>
      <c r="W227" s="5814"/>
      <c r="X227" s="5814" t="s">
        <v>2129</v>
      </c>
      <c r="Y227" s="5814"/>
      <c r="Z227" s="5814"/>
      <c r="AA227" s="5814"/>
      <c r="AB227" s="5814"/>
      <c r="AD227" s="5815" t="s">
        <v>6627</v>
      </c>
      <c r="AE227" s="5815" t="e">
        <v>#VALUE!</v>
      </c>
      <c r="AG227" s="5815" t="s">
        <v>2129</v>
      </c>
      <c r="AH227" s="5815" t="s">
        <v>2129</v>
      </c>
      <c r="AJ227" s="5815" t="s">
        <v>2129</v>
      </c>
      <c r="AK227" s="5815" t="s">
        <v>2129</v>
      </c>
      <c r="AL227" s="5815" t="s">
        <v>2129</v>
      </c>
      <c r="AO227" s="5815" t="s">
        <v>2129</v>
      </c>
      <c r="AT227" s="5815" t="s">
        <v>2129</v>
      </c>
      <c r="AU227" s="5815" t="s">
        <v>2129</v>
      </c>
      <c r="AV227" s="5815" t="s">
        <v>2129</v>
      </c>
      <c r="AW227" s="5815" t="s">
        <v>2129</v>
      </c>
      <c r="AX227" s="5815" t="s">
        <v>2129</v>
      </c>
      <c r="AY227" s="5815" t="s">
        <v>2129</v>
      </c>
      <c r="AZ227" s="5815" t="s">
        <v>2129</v>
      </c>
      <c r="BA227" s="5815" t="s">
        <v>2129</v>
      </c>
      <c r="BB227" s="5815" t="s">
        <v>2129</v>
      </c>
      <c r="BC227" s="5815" t="s">
        <v>2129</v>
      </c>
      <c r="BD227" s="5815" t="s">
        <v>2129</v>
      </c>
      <c r="BE227" s="5814" t="s">
        <v>2129</v>
      </c>
      <c r="BG227" s="5814" t="s">
        <v>2129</v>
      </c>
      <c r="BH227" s="5814" t="s">
        <v>2129</v>
      </c>
      <c r="BI227" s="5814" t="s">
        <v>2129</v>
      </c>
      <c r="BJ227" s="5814" t="s">
        <v>2129</v>
      </c>
      <c r="BK227" s="5814" t="s">
        <v>2129</v>
      </c>
      <c r="BL227" s="5814" t="s">
        <v>2129</v>
      </c>
      <c r="BM227" s="5814" t="s">
        <v>2129</v>
      </c>
      <c r="BN227" s="5814" t="s">
        <v>2129</v>
      </c>
      <c r="BO227" s="5814" t="s">
        <v>2129</v>
      </c>
      <c r="BP227" s="5814" t="s">
        <v>2129</v>
      </c>
      <c r="BQ227" s="5814" t="s">
        <v>2129</v>
      </c>
      <c r="BR227" s="5814" t="s">
        <v>2129</v>
      </c>
      <c r="BS227" s="5814" t="s">
        <v>2129</v>
      </c>
      <c r="BT227" s="5814" t="s">
        <v>2129</v>
      </c>
      <c r="BU227" s="5814" t="s">
        <v>2129</v>
      </c>
      <c r="BV227" s="5814" t="s">
        <v>2129</v>
      </c>
      <c r="BW227" s="5814" t="s">
        <v>2129</v>
      </c>
      <c r="BX227" s="5814" t="s">
        <v>2129</v>
      </c>
      <c r="BY227" s="5814"/>
      <c r="BZ227" s="5814" t="s">
        <v>2129</v>
      </c>
      <c r="CA227" s="5814" t="s">
        <v>2129</v>
      </c>
      <c r="CB227" s="5814" t="s">
        <v>2129</v>
      </c>
      <c r="CC227" s="5814" t="s">
        <v>2129</v>
      </c>
      <c r="CD227" s="5814"/>
      <c r="CE227" s="5817"/>
    </row>
    <row r="228" spans="1:83" s="5815" customFormat="1" ht="13">
      <c r="A228" s="5815" t="s">
        <v>3453</v>
      </c>
      <c r="B228" s="5816" t="s">
        <v>3455</v>
      </c>
      <c r="C228" s="5817" t="s">
        <v>2129</v>
      </c>
      <c r="D228" s="5817" t="s">
        <v>2129</v>
      </c>
      <c r="E228" s="5817"/>
      <c r="F228" s="5817" t="s">
        <v>2129</v>
      </c>
      <c r="G228" s="5817"/>
      <c r="H228" s="5817"/>
      <c r="I228" s="5817" t="s">
        <v>6629</v>
      </c>
      <c r="J228" s="5817"/>
      <c r="K228" s="5817" t="s">
        <v>2129</v>
      </c>
      <c r="L228" s="5818"/>
      <c r="M228" s="5818"/>
      <c r="N228" s="5818"/>
      <c r="O228" s="5818"/>
      <c r="P228" s="5818"/>
      <c r="Q228" s="5819"/>
      <c r="R228" s="5818"/>
      <c r="S228" s="5818" t="b">
        <v>1</v>
      </c>
      <c r="T228" s="5818" t="s">
        <v>2129</v>
      </c>
      <c r="U228" s="5814">
        <v>0</v>
      </c>
      <c r="V228" s="5814" t="b">
        <v>1</v>
      </c>
      <c r="W228" s="5814"/>
      <c r="X228" s="5814" t="s">
        <v>2129</v>
      </c>
      <c r="Y228" s="5814"/>
      <c r="Z228" s="5814"/>
      <c r="AA228" s="5814"/>
      <c r="AB228" s="5814"/>
      <c r="AC228" s="5815" t="s">
        <v>3308</v>
      </c>
      <c r="AD228" s="5820" t="s">
        <v>6627</v>
      </c>
      <c r="AE228" s="5820" t="e">
        <v>#VALUE!</v>
      </c>
      <c r="AF228" s="5815" t="s">
        <v>3308</v>
      </c>
      <c r="AG228" s="5815" t="s">
        <v>2129</v>
      </c>
      <c r="AH228" s="5815" t="s">
        <v>2129</v>
      </c>
      <c r="AJ228" s="5815" t="s">
        <v>2129</v>
      </c>
      <c r="AK228" s="5815" t="s">
        <v>2129</v>
      </c>
      <c r="AL228" s="5815" t="s">
        <v>2129</v>
      </c>
      <c r="AO228" s="5815" t="s">
        <v>2129</v>
      </c>
      <c r="AT228" s="5815" t="s">
        <v>2129</v>
      </c>
      <c r="AU228" s="5815" t="s">
        <v>2129</v>
      </c>
      <c r="AV228" s="5815" t="s">
        <v>2129</v>
      </c>
      <c r="AW228" s="5815" t="s">
        <v>2129</v>
      </c>
      <c r="AX228" s="5815" t="s">
        <v>2129</v>
      </c>
      <c r="AY228" s="5815" t="s">
        <v>2129</v>
      </c>
      <c r="AZ228" s="5815" t="s">
        <v>2129</v>
      </c>
      <c r="BA228" s="5815" t="s">
        <v>2129</v>
      </c>
      <c r="BB228" s="5815" t="s">
        <v>2129</v>
      </c>
      <c r="BC228" s="5815" t="s">
        <v>2129</v>
      </c>
      <c r="BD228" s="5815" t="s">
        <v>2129</v>
      </c>
      <c r="BE228" s="5814" t="s">
        <v>2129</v>
      </c>
      <c r="BG228" s="5814" t="s">
        <v>2129</v>
      </c>
      <c r="BH228" s="5814" t="s">
        <v>2129</v>
      </c>
      <c r="BI228" s="5814" t="s">
        <v>2129</v>
      </c>
      <c r="BJ228" s="5814" t="s">
        <v>2129</v>
      </c>
      <c r="BK228" s="5814" t="s">
        <v>2129</v>
      </c>
      <c r="BL228" s="5814" t="s">
        <v>2129</v>
      </c>
      <c r="BM228" s="5814" t="s">
        <v>2129</v>
      </c>
      <c r="BN228" s="5814" t="s">
        <v>2129</v>
      </c>
      <c r="BO228" s="5814" t="s">
        <v>2129</v>
      </c>
      <c r="BP228" s="5814" t="s">
        <v>2129</v>
      </c>
      <c r="BQ228" s="5814" t="s">
        <v>2129</v>
      </c>
      <c r="BR228" s="5814" t="s">
        <v>2129</v>
      </c>
      <c r="BS228" s="5814" t="s">
        <v>2129</v>
      </c>
      <c r="BT228" s="5814" t="s">
        <v>2129</v>
      </c>
      <c r="BU228" s="5814" t="s">
        <v>2129</v>
      </c>
      <c r="BV228" s="5814" t="s">
        <v>2129</v>
      </c>
      <c r="BW228" s="5814" t="s">
        <v>2129</v>
      </c>
      <c r="BX228" s="5814" t="s">
        <v>2129</v>
      </c>
      <c r="BY228" s="5814"/>
      <c r="BZ228" s="5814" t="s">
        <v>2129</v>
      </c>
      <c r="CA228" s="5814" t="s">
        <v>2129</v>
      </c>
      <c r="CB228" s="5814" t="s">
        <v>2129</v>
      </c>
      <c r="CC228" s="5814" t="s">
        <v>2129</v>
      </c>
      <c r="CD228" s="5814"/>
      <c r="CE228" s="5817"/>
    </row>
    <row r="229" spans="1:83" s="5815" customFormat="1" ht="13">
      <c r="A229" s="5815" t="s">
        <v>3453</v>
      </c>
      <c r="B229" s="5816" t="s">
        <v>3456</v>
      </c>
      <c r="C229" s="5817" t="s">
        <v>2129</v>
      </c>
      <c r="D229" s="5817" t="s">
        <v>2129</v>
      </c>
      <c r="E229" s="5817"/>
      <c r="F229" s="5817" t="s">
        <v>2129</v>
      </c>
      <c r="G229" s="5817"/>
      <c r="H229" s="5817"/>
      <c r="I229" s="5817" t="s">
        <v>6629</v>
      </c>
      <c r="J229" s="5817"/>
      <c r="K229" s="5817" t="s">
        <v>2129</v>
      </c>
      <c r="L229" s="5818"/>
      <c r="M229" s="5818"/>
      <c r="N229" s="5818"/>
      <c r="O229" s="5818"/>
      <c r="P229" s="5818"/>
      <c r="Q229" s="5819"/>
      <c r="R229" s="5818"/>
      <c r="S229" s="5818" t="b">
        <v>1</v>
      </c>
      <c r="T229" s="5818" t="s">
        <v>2129</v>
      </c>
      <c r="U229" s="5814">
        <v>0</v>
      </c>
      <c r="V229" s="5814" t="b">
        <v>1</v>
      </c>
      <c r="W229" s="5814"/>
      <c r="X229" s="5814" t="s">
        <v>2129</v>
      </c>
      <c r="Y229" s="5814"/>
      <c r="Z229" s="5814"/>
      <c r="AA229" s="5814"/>
      <c r="AB229" s="5814"/>
      <c r="AD229" s="5820" t="s">
        <v>6627</v>
      </c>
      <c r="AE229" s="5820" t="e">
        <v>#VALUE!</v>
      </c>
      <c r="AG229" s="5815" t="s">
        <v>2129</v>
      </c>
      <c r="AH229" s="5815" t="s">
        <v>2129</v>
      </c>
      <c r="AJ229" s="5815" t="s">
        <v>2129</v>
      </c>
      <c r="AK229" s="5815" t="s">
        <v>2129</v>
      </c>
      <c r="AL229" s="5815" t="s">
        <v>2129</v>
      </c>
      <c r="AO229" s="5815" t="s">
        <v>2129</v>
      </c>
      <c r="AT229" s="5815" t="s">
        <v>2129</v>
      </c>
      <c r="AU229" s="5815" t="s">
        <v>2129</v>
      </c>
      <c r="AV229" s="5815" t="s">
        <v>2129</v>
      </c>
      <c r="AW229" s="5815" t="s">
        <v>2129</v>
      </c>
      <c r="AX229" s="5815" t="s">
        <v>2129</v>
      </c>
      <c r="AY229" s="5815" t="s">
        <v>2129</v>
      </c>
      <c r="AZ229" s="5815" t="s">
        <v>2129</v>
      </c>
      <c r="BA229" s="5815" t="s">
        <v>2129</v>
      </c>
      <c r="BB229" s="5815" t="s">
        <v>2129</v>
      </c>
      <c r="BC229" s="5815" t="s">
        <v>2129</v>
      </c>
      <c r="BD229" s="5815" t="s">
        <v>2129</v>
      </c>
      <c r="BE229" s="5814" t="s">
        <v>2129</v>
      </c>
      <c r="BG229" s="5814" t="s">
        <v>2129</v>
      </c>
      <c r="BH229" s="5814" t="s">
        <v>2129</v>
      </c>
      <c r="BI229" s="5814" t="s">
        <v>2129</v>
      </c>
      <c r="BJ229" s="5814" t="s">
        <v>2129</v>
      </c>
      <c r="BK229" s="5814" t="s">
        <v>2129</v>
      </c>
      <c r="BL229" s="5814" t="s">
        <v>2129</v>
      </c>
      <c r="BM229" s="5814" t="s">
        <v>2129</v>
      </c>
      <c r="BN229" s="5814" t="s">
        <v>2129</v>
      </c>
      <c r="BO229" s="5814" t="s">
        <v>2129</v>
      </c>
      <c r="BP229" s="5814" t="s">
        <v>2129</v>
      </c>
      <c r="BQ229" s="5814" t="s">
        <v>2129</v>
      </c>
      <c r="BR229" s="5814" t="s">
        <v>2129</v>
      </c>
      <c r="BS229" s="5814" t="s">
        <v>2129</v>
      </c>
      <c r="BT229" s="5814" t="s">
        <v>2129</v>
      </c>
      <c r="BU229" s="5814" t="s">
        <v>2129</v>
      </c>
      <c r="BV229" s="5814" t="s">
        <v>2129</v>
      </c>
      <c r="BW229" s="5814" t="s">
        <v>2129</v>
      </c>
      <c r="BX229" s="5814" t="s">
        <v>2129</v>
      </c>
      <c r="BY229" s="5814"/>
      <c r="BZ229" s="5814" t="s">
        <v>2129</v>
      </c>
      <c r="CA229" s="5814" t="s">
        <v>2129</v>
      </c>
      <c r="CB229" s="5814" t="s">
        <v>2129</v>
      </c>
      <c r="CC229" s="5814" t="s">
        <v>2129</v>
      </c>
      <c r="CD229" s="5814"/>
      <c r="CE229" s="5817"/>
    </row>
    <row r="230" spans="1:83" s="5815" customFormat="1" ht="13">
      <c r="A230" s="5815" t="s">
        <v>3453</v>
      </c>
      <c r="B230" s="5816" t="s">
        <v>3457</v>
      </c>
      <c r="C230" s="5817" t="s">
        <v>2129</v>
      </c>
      <c r="D230" s="5817" t="s">
        <v>2129</v>
      </c>
      <c r="E230" s="5817"/>
      <c r="F230" s="5817" t="s">
        <v>2129</v>
      </c>
      <c r="G230" s="5817"/>
      <c r="H230" s="5817"/>
      <c r="I230" s="5817" t="s">
        <v>6629</v>
      </c>
      <c r="J230" s="5817"/>
      <c r="K230" s="5817" t="s">
        <v>2129</v>
      </c>
      <c r="L230" s="5818"/>
      <c r="M230" s="5818"/>
      <c r="N230" s="5818"/>
      <c r="O230" s="5818"/>
      <c r="P230" s="5818"/>
      <c r="Q230" s="5819"/>
      <c r="R230" s="5818"/>
      <c r="S230" s="5818" t="b">
        <v>1</v>
      </c>
      <c r="T230" s="5818" t="s">
        <v>2129</v>
      </c>
      <c r="U230" s="5814">
        <v>0</v>
      </c>
      <c r="V230" s="5814" t="b">
        <v>1</v>
      </c>
      <c r="W230" s="5814"/>
      <c r="X230" s="5814" t="s">
        <v>2129</v>
      </c>
      <c r="Y230" s="5814"/>
      <c r="Z230" s="5814"/>
      <c r="AA230" s="5814"/>
      <c r="AB230" s="5814"/>
      <c r="AD230" s="5820" t="s">
        <v>6627</v>
      </c>
      <c r="AE230" s="5820" t="e">
        <v>#VALUE!</v>
      </c>
      <c r="AG230" s="5815" t="s">
        <v>2129</v>
      </c>
      <c r="AH230" s="5815" t="s">
        <v>2129</v>
      </c>
      <c r="AJ230" s="5815" t="s">
        <v>2129</v>
      </c>
      <c r="AK230" s="5815" t="s">
        <v>2129</v>
      </c>
      <c r="AL230" s="5815" t="s">
        <v>2129</v>
      </c>
      <c r="AO230" s="5815" t="s">
        <v>2129</v>
      </c>
      <c r="AT230" s="5815" t="s">
        <v>2129</v>
      </c>
      <c r="AU230" s="5815" t="s">
        <v>2129</v>
      </c>
      <c r="AV230" s="5815" t="s">
        <v>2129</v>
      </c>
      <c r="AW230" s="5815" t="s">
        <v>2129</v>
      </c>
      <c r="AX230" s="5815" t="s">
        <v>2129</v>
      </c>
      <c r="AY230" s="5815" t="s">
        <v>2129</v>
      </c>
      <c r="AZ230" s="5815" t="s">
        <v>2129</v>
      </c>
      <c r="BA230" s="5815" t="s">
        <v>2129</v>
      </c>
      <c r="BB230" s="5815" t="s">
        <v>2129</v>
      </c>
      <c r="BC230" s="5815" t="s">
        <v>2129</v>
      </c>
      <c r="BD230" s="5815" t="s">
        <v>2129</v>
      </c>
      <c r="BE230" s="5814" t="s">
        <v>2129</v>
      </c>
      <c r="BG230" s="5814" t="s">
        <v>2129</v>
      </c>
      <c r="BH230" s="5814" t="s">
        <v>2129</v>
      </c>
      <c r="BI230" s="5814" t="s">
        <v>2129</v>
      </c>
      <c r="BJ230" s="5814" t="s">
        <v>2129</v>
      </c>
      <c r="BK230" s="5814" t="s">
        <v>2129</v>
      </c>
      <c r="BL230" s="5814" t="s">
        <v>2129</v>
      </c>
      <c r="BM230" s="5814" t="s">
        <v>2129</v>
      </c>
      <c r="BN230" s="5814" t="s">
        <v>2129</v>
      </c>
      <c r="BO230" s="5814" t="s">
        <v>2129</v>
      </c>
      <c r="BP230" s="5814" t="s">
        <v>2129</v>
      </c>
      <c r="BQ230" s="5814" t="s">
        <v>2129</v>
      </c>
      <c r="BR230" s="5814" t="s">
        <v>2129</v>
      </c>
      <c r="BS230" s="5814" t="s">
        <v>2129</v>
      </c>
      <c r="BT230" s="5814" t="s">
        <v>2129</v>
      </c>
      <c r="BU230" s="5814" t="s">
        <v>2129</v>
      </c>
      <c r="BV230" s="5814" t="s">
        <v>2129</v>
      </c>
      <c r="BW230" s="5814" t="s">
        <v>2129</v>
      </c>
      <c r="BX230" s="5814" t="s">
        <v>2129</v>
      </c>
      <c r="BY230" s="5814"/>
      <c r="BZ230" s="5814" t="s">
        <v>2129</v>
      </c>
      <c r="CA230" s="5814" t="s">
        <v>2129</v>
      </c>
      <c r="CB230" s="5814" t="s">
        <v>2129</v>
      </c>
      <c r="CC230" s="5814" t="s">
        <v>2129</v>
      </c>
      <c r="CD230" s="5814"/>
      <c r="CE230" s="5817"/>
    </row>
    <row r="231" spans="1:83" s="5815" customFormat="1" ht="13">
      <c r="A231" s="5815" t="s">
        <v>3453</v>
      </c>
      <c r="B231" s="5816" t="s">
        <v>3458</v>
      </c>
      <c r="C231" s="5817" t="s">
        <v>2129</v>
      </c>
      <c r="D231" s="5817" t="s">
        <v>2129</v>
      </c>
      <c r="E231" s="5817"/>
      <c r="F231" s="5817" t="s">
        <v>2129</v>
      </c>
      <c r="G231" s="5817"/>
      <c r="H231" s="5817"/>
      <c r="I231" s="5817" t="s">
        <v>6629</v>
      </c>
      <c r="J231" s="5817"/>
      <c r="K231" s="5817" t="s">
        <v>2129</v>
      </c>
      <c r="L231" s="5818"/>
      <c r="M231" s="5818"/>
      <c r="N231" s="5818"/>
      <c r="O231" s="5818"/>
      <c r="P231" s="5818"/>
      <c r="Q231" s="5819"/>
      <c r="R231" s="5818"/>
      <c r="S231" s="5818" t="b">
        <v>1</v>
      </c>
      <c r="T231" s="5818" t="s">
        <v>2129</v>
      </c>
      <c r="U231" s="5814">
        <v>0</v>
      </c>
      <c r="V231" s="5814" t="b">
        <v>1</v>
      </c>
      <c r="W231" s="5814"/>
      <c r="X231" s="5814" t="s">
        <v>2129</v>
      </c>
      <c r="Y231" s="5814"/>
      <c r="Z231" s="5814"/>
      <c r="AA231" s="5814"/>
      <c r="AB231" s="5814"/>
      <c r="AD231" s="5820" t="s">
        <v>6627</v>
      </c>
      <c r="AE231" s="5820" t="e">
        <v>#VALUE!</v>
      </c>
      <c r="AG231" s="5815" t="s">
        <v>2129</v>
      </c>
      <c r="AH231" s="5815" t="s">
        <v>2129</v>
      </c>
      <c r="AJ231" s="5815" t="s">
        <v>2129</v>
      </c>
      <c r="AK231" s="5815" t="s">
        <v>2129</v>
      </c>
      <c r="AL231" s="5815" t="s">
        <v>2129</v>
      </c>
      <c r="AO231" s="5815" t="s">
        <v>2129</v>
      </c>
      <c r="AT231" s="5815" t="s">
        <v>2129</v>
      </c>
      <c r="AU231" s="5815" t="s">
        <v>2129</v>
      </c>
      <c r="AV231" s="5815" t="s">
        <v>2129</v>
      </c>
      <c r="AW231" s="5815" t="s">
        <v>2129</v>
      </c>
      <c r="AX231" s="5815" t="s">
        <v>2129</v>
      </c>
      <c r="AY231" s="5815" t="s">
        <v>2129</v>
      </c>
      <c r="AZ231" s="5815" t="s">
        <v>2129</v>
      </c>
      <c r="BA231" s="5815" t="s">
        <v>2129</v>
      </c>
      <c r="BB231" s="5815" t="s">
        <v>2129</v>
      </c>
      <c r="BC231" s="5815" t="s">
        <v>2129</v>
      </c>
      <c r="BD231" s="5815" t="s">
        <v>2129</v>
      </c>
      <c r="BE231" s="5814" t="s">
        <v>2129</v>
      </c>
      <c r="BG231" s="5814" t="s">
        <v>2129</v>
      </c>
      <c r="BH231" s="5814" t="s">
        <v>2129</v>
      </c>
      <c r="BI231" s="5814" t="s">
        <v>2129</v>
      </c>
      <c r="BJ231" s="5814" t="s">
        <v>2129</v>
      </c>
      <c r="BK231" s="5814" t="s">
        <v>2129</v>
      </c>
      <c r="BL231" s="5814" t="s">
        <v>2129</v>
      </c>
      <c r="BM231" s="5814" t="s">
        <v>2129</v>
      </c>
      <c r="BN231" s="5814" t="s">
        <v>2129</v>
      </c>
      <c r="BO231" s="5814" t="s">
        <v>2129</v>
      </c>
      <c r="BP231" s="5814" t="s">
        <v>2129</v>
      </c>
      <c r="BQ231" s="5814" t="s">
        <v>2129</v>
      </c>
      <c r="BR231" s="5814" t="s">
        <v>2129</v>
      </c>
      <c r="BS231" s="5814" t="s">
        <v>2129</v>
      </c>
      <c r="BT231" s="5814" t="s">
        <v>2129</v>
      </c>
      <c r="BU231" s="5814" t="s">
        <v>2129</v>
      </c>
      <c r="BV231" s="5814" t="s">
        <v>2129</v>
      </c>
      <c r="BW231" s="5814" t="s">
        <v>2129</v>
      </c>
      <c r="BX231" s="5814" t="s">
        <v>2129</v>
      </c>
      <c r="BY231" s="5814"/>
      <c r="BZ231" s="5814" t="s">
        <v>2129</v>
      </c>
      <c r="CA231" s="5814" t="s">
        <v>2129</v>
      </c>
      <c r="CB231" s="5814" t="s">
        <v>2129</v>
      </c>
      <c r="CC231" s="5814" t="s">
        <v>2129</v>
      </c>
      <c r="CD231" s="5814"/>
      <c r="CE231" s="5817"/>
    </row>
    <row r="232" spans="1:83" s="5815" customFormat="1" ht="13">
      <c r="A232" s="5815" t="s">
        <v>3453</v>
      </c>
      <c r="B232" s="5816" t="s">
        <v>3459</v>
      </c>
      <c r="C232" s="5817" t="s">
        <v>2129</v>
      </c>
      <c r="D232" s="5817" t="s">
        <v>2129</v>
      </c>
      <c r="E232" s="5817"/>
      <c r="F232" s="5817" t="s">
        <v>2129</v>
      </c>
      <c r="G232" s="5817"/>
      <c r="H232" s="5817"/>
      <c r="I232" s="5817" t="s">
        <v>6629</v>
      </c>
      <c r="J232" s="5817"/>
      <c r="K232" s="5817" t="s">
        <v>2129</v>
      </c>
      <c r="L232" s="5818"/>
      <c r="M232" s="5818"/>
      <c r="N232" s="5818"/>
      <c r="O232" s="5818"/>
      <c r="P232" s="5818"/>
      <c r="Q232" s="5819"/>
      <c r="R232" s="5818"/>
      <c r="S232" s="5818" t="b">
        <v>1</v>
      </c>
      <c r="T232" s="5818" t="s">
        <v>2129</v>
      </c>
      <c r="U232" s="5814">
        <v>0</v>
      </c>
      <c r="V232" s="5814" t="b">
        <v>1</v>
      </c>
      <c r="W232" s="5814"/>
      <c r="X232" s="5814" t="s">
        <v>2129</v>
      </c>
      <c r="Y232" s="5814"/>
      <c r="Z232" s="5814"/>
      <c r="AA232" s="5814"/>
      <c r="AB232" s="5814"/>
      <c r="AD232" s="5820" t="s">
        <v>6627</v>
      </c>
      <c r="AE232" s="5820" t="e">
        <v>#VALUE!</v>
      </c>
      <c r="AG232" s="5815" t="s">
        <v>2129</v>
      </c>
      <c r="AH232" s="5815" t="s">
        <v>2129</v>
      </c>
      <c r="AJ232" s="5815" t="s">
        <v>2129</v>
      </c>
      <c r="AK232" s="5815" t="s">
        <v>2129</v>
      </c>
      <c r="AL232" s="5815" t="s">
        <v>2129</v>
      </c>
      <c r="AO232" s="5815" t="s">
        <v>2129</v>
      </c>
      <c r="AT232" s="5815" t="s">
        <v>2129</v>
      </c>
      <c r="AU232" s="5815" t="s">
        <v>2129</v>
      </c>
      <c r="AV232" s="5815" t="s">
        <v>2129</v>
      </c>
      <c r="AW232" s="5815" t="s">
        <v>2129</v>
      </c>
      <c r="AX232" s="5815" t="s">
        <v>2129</v>
      </c>
      <c r="AY232" s="5815" t="s">
        <v>2129</v>
      </c>
      <c r="AZ232" s="5815" t="s">
        <v>2129</v>
      </c>
      <c r="BA232" s="5815" t="s">
        <v>2129</v>
      </c>
      <c r="BB232" s="5815" t="s">
        <v>2129</v>
      </c>
      <c r="BC232" s="5815" t="s">
        <v>2129</v>
      </c>
      <c r="BD232" s="5815" t="s">
        <v>2129</v>
      </c>
      <c r="BE232" s="5814" t="s">
        <v>2129</v>
      </c>
      <c r="BG232" s="5814" t="s">
        <v>2129</v>
      </c>
      <c r="BH232" s="5814" t="s">
        <v>2129</v>
      </c>
      <c r="BI232" s="5814" t="s">
        <v>2129</v>
      </c>
      <c r="BJ232" s="5814" t="s">
        <v>2129</v>
      </c>
      <c r="BK232" s="5814" t="s">
        <v>2129</v>
      </c>
      <c r="BL232" s="5814" t="s">
        <v>2129</v>
      </c>
      <c r="BM232" s="5814" t="s">
        <v>2129</v>
      </c>
      <c r="BN232" s="5814" t="s">
        <v>2129</v>
      </c>
      <c r="BO232" s="5814" t="s">
        <v>2129</v>
      </c>
      <c r="BP232" s="5814" t="s">
        <v>2129</v>
      </c>
      <c r="BQ232" s="5814" t="s">
        <v>2129</v>
      </c>
      <c r="BR232" s="5814" t="s">
        <v>2129</v>
      </c>
      <c r="BS232" s="5814" t="s">
        <v>2129</v>
      </c>
      <c r="BT232" s="5814" t="s">
        <v>2129</v>
      </c>
      <c r="BU232" s="5814" t="s">
        <v>2129</v>
      </c>
      <c r="BV232" s="5814" t="s">
        <v>2129</v>
      </c>
      <c r="BW232" s="5814" t="s">
        <v>2129</v>
      </c>
      <c r="BX232" s="5814" t="s">
        <v>2129</v>
      </c>
      <c r="BY232" s="5814"/>
      <c r="BZ232" s="5814" t="s">
        <v>2129</v>
      </c>
      <c r="CA232" s="5814" t="s">
        <v>2129</v>
      </c>
      <c r="CB232" s="5814" t="s">
        <v>2129</v>
      </c>
      <c r="CC232" s="5814" t="s">
        <v>2129</v>
      </c>
      <c r="CD232" s="5814"/>
      <c r="CE232" s="5817"/>
    </row>
    <row r="233" spans="1:83" s="5815" customFormat="1" ht="13">
      <c r="A233" s="5815" t="s">
        <v>3453</v>
      </c>
      <c r="B233" s="5816" t="s">
        <v>3460</v>
      </c>
      <c r="C233" s="5817" t="s">
        <v>2129</v>
      </c>
      <c r="D233" s="5817" t="s">
        <v>2129</v>
      </c>
      <c r="E233" s="5817"/>
      <c r="F233" s="5817" t="s">
        <v>2129</v>
      </c>
      <c r="G233" s="5817"/>
      <c r="H233" s="5817"/>
      <c r="I233" s="5817" t="s">
        <v>6629</v>
      </c>
      <c r="J233" s="5817"/>
      <c r="K233" s="5817" t="s">
        <v>2129</v>
      </c>
      <c r="L233" s="5818"/>
      <c r="M233" s="5818"/>
      <c r="N233" s="5818"/>
      <c r="O233" s="5818"/>
      <c r="P233" s="5818"/>
      <c r="Q233" s="5819"/>
      <c r="R233" s="5818"/>
      <c r="S233" s="5818" t="b">
        <v>1</v>
      </c>
      <c r="T233" s="5818" t="s">
        <v>2129</v>
      </c>
      <c r="U233" s="5814">
        <v>0</v>
      </c>
      <c r="V233" s="5814" t="b">
        <v>1</v>
      </c>
      <c r="W233" s="5814"/>
      <c r="X233" s="5814" t="s">
        <v>2129</v>
      </c>
      <c r="Y233" s="5814"/>
      <c r="Z233" s="5814"/>
      <c r="AA233" s="5814"/>
      <c r="AB233" s="5814"/>
      <c r="AD233" s="5820" t="s">
        <v>6627</v>
      </c>
      <c r="AE233" s="5820" t="e">
        <v>#VALUE!</v>
      </c>
      <c r="AG233" s="5815" t="s">
        <v>2129</v>
      </c>
      <c r="AH233" s="5815" t="s">
        <v>2129</v>
      </c>
      <c r="AJ233" s="5815" t="s">
        <v>2129</v>
      </c>
      <c r="AK233" s="5815" t="s">
        <v>2129</v>
      </c>
      <c r="AL233" s="5815" t="s">
        <v>2129</v>
      </c>
      <c r="AO233" s="5815" t="s">
        <v>2129</v>
      </c>
      <c r="AT233" s="5815" t="s">
        <v>2129</v>
      </c>
      <c r="AU233" s="5815" t="s">
        <v>2129</v>
      </c>
      <c r="AV233" s="5815" t="s">
        <v>2129</v>
      </c>
      <c r="AW233" s="5815" t="s">
        <v>2129</v>
      </c>
      <c r="AX233" s="5815" t="s">
        <v>2129</v>
      </c>
      <c r="AY233" s="5815" t="s">
        <v>2129</v>
      </c>
      <c r="AZ233" s="5815" t="s">
        <v>2129</v>
      </c>
      <c r="BA233" s="5815" t="s">
        <v>2129</v>
      </c>
      <c r="BB233" s="5815" t="s">
        <v>2129</v>
      </c>
      <c r="BC233" s="5815" t="s">
        <v>2129</v>
      </c>
      <c r="BD233" s="5815" t="s">
        <v>2129</v>
      </c>
      <c r="BE233" s="5814" t="s">
        <v>2129</v>
      </c>
      <c r="BG233" s="5814" t="s">
        <v>2129</v>
      </c>
      <c r="BH233" s="5814" t="s">
        <v>2129</v>
      </c>
      <c r="BI233" s="5814" t="s">
        <v>2129</v>
      </c>
      <c r="BJ233" s="5814" t="s">
        <v>2129</v>
      </c>
      <c r="BK233" s="5814" t="s">
        <v>2129</v>
      </c>
      <c r="BL233" s="5814" t="s">
        <v>2129</v>
      </c>
      <c r="BM233" s="5814" t="s">
        <v>2129</v>
      </c>
      <c r="BN233" s="5814" t="s">
        <v>2129</v>
      </c>
      <c r="BO233" s="5814" t="s">
        <v>2129</v>
      </c>
      <c r="BP233" s="5814" t="s">
        <v>2129</v>
      </c>
      <c r="BQ233" s="5814" t="s">
        <v>2129</v>
      </c>
      <c r="BR233" s="5814" t="s">
        <v>2129</v>
      </c>
      <c r="BS233" s="5814" t="s">
        <v>2129</v>
      </c>
      <c r="BT233" s="5814" t="s">
        <v>2129</v>
      </c>
      <c r="BU233" s="5814" t="s">
        <v>2129</v>
      </c>
      <c r="BV233" s="5814" t="s">
        <v>2129</v>
      </c>
      <c r="BW233" s="5814" t="s">
        <v>2129</v>
      </c>
      <c r="BX233" s="5814" t="s">
        <v>2129</v>
      </c>
      <c r="BY233" s="5814"/>
      <c r="BZ233" s="5814" t="s">
        <v>2129</v>
      </c>
      <c r="CA233" s="5814" t="s">
        <v>2129</v>
      </c>
      <c r="CB233" s="5814" t="s">
        <v>2129</v>
      </c>
      <c r="CC233" s="5814" t="s">
        <v>2129</v>
      </c>
      <c r="CD233" s="5814"/>
      <c r="CE233" s="5817"/>
    </row>
    <row r="234" spans="1:83" s="5815" customFormat="1" ht="13">
      <c r="A234" s="5815" t="s">
        <v>3453</v>
      </c>
      <c r="B234" s="5816" t="s">
        <v>3461</v>
      </c>
      <c r="C234" s="5817" t="s">
        <v>2129</v>
      </c>
      <c r="D234" s="5817" t="s">
        <v>2129</v>
      </c>
      <c r="E234" s="5817"/>
      <c r="F234" s="5817" t="s">
        <v>2129</v>
      </c>
      <c r="G234" s="5817"/>
      <c r="H234" s="5817"/>
      <c r="I234" s="5817" t="s">
        <v>6629</v>
      </c>
      <c r="J234" s="5817"/>
      <c r="K234" s="5817" t="s">
        <v>2129</v>
      </c>
      <c r="L234" s="5818"/>
      <c r="M234" s="5818"/>
      <c r="N234" s="5818"/>
      <c r="O234" s="5818"/>
      <c r="P234" s="5818"/>
      <c r="Q234" s="5819"/>
      <c r="R234" s="5818"/>
      <c r="S234" s="5818" t="b">
        <v>1</v>
      </c>
      <c r="T234" s="5818" t="s">
        <v>2129</v>
      </c>
      <c r="U234" s="5814">
        <v>0</v>
      </c>
      <c r="V234" s="5814" t="b">
        <v>1</v>
      </c>
      <c r="W234" s="5814"/>
      <c r="X234" s="5814" t="s">
        <v>2129</v>
      </c>
      <c r="Y234" s="5814"/>
      <c r="Z234" s="5814"/>
      <c r="AA234" s="5814"/>
      <c r="AB234" s="5814"/>
      <c r="AD234" s="5820" t="s">
        <v>6627</v>
      </c>
      <c r="AE234" s="5820" t="e">
        <v>#VALUE!</v>
      </c>
      <c r="AG234" s="5815" t="s">
        <v>2129</v>
      </c>
      <c r="AH234" s="5815" t="s">
        <v>2129</v>
      </c>
      <c r="AJ234" s="5815" t="s">
        <v>2129</v>
      </c>
      <c r="AK234" s="5815" t="s">
        <v>2129</v>
      </c>
      <c r="AL234" s="5815" t="s">
        <v>2129</v>
      </c>
      <c r="AO234" s="5815" t="s">
        <v>2129</v>
      </c>
      <c r="AT234" s="5815" t="s">
        <v>2129</v>
      </c>
      <c r="AU234" s="5815" t="s">
        <v>2129</v>
      </c>
      <c r="AV234" s="5815" t="s">
        <v>2129</v>
      </c>
      <c r="AW234" s="5815" t="s">
        <v>2129</v>
      </c>
      <c r="AX234" s="5815" t="s">
        <v>2129</v>
      </c>
      <c r="AY234" s="5815" t="s">
        <v>2129</v>
      </c>
      <c r="AZ234" s="5815" t="s">
        <v>2129</v>
      </c>
      <c r="BA234" s="5815" t="s">
        <v>2129</v>
      </c>
      <c r="BB234" s="5815" t="s">
        <v>2129</v>
      </c>
      <c r="BC234" s="5815" t="s">
        <v>2129</v>
      </c>
      <c r="BD234" s="5815" t="s">
        <v>2129</v>
      </c>
      <c r="BE234" s="5814" t="s">
        <v>2129</v>
      </c>
      <c r="BG234" s="5814" t="s">
        <v>2129</v>
      </c>
      <c r="BH234" s="5814" t="s">
        <v>2129</v>
      </c>
      <c r="BI234" s="5814" t="s">
        <v>2129</v>
      </c>
      <c r="BJ234" s="5814" t="s">
        <v>2129</v>
      </c>
      <c r="BK234" s="5814" t="s">
        <v>2129</v>
      </c>
      <c r="BL234" s="5814" t="s">
        <v>2129</v>
      </c>
      <c r="BM234" s="5814" t="s">
        <v>2129</v>
      </c>
      <c r="BN234" s="5814" t="s">
        <v>2129</v>
      </c>
      <c r="BO234" s="5814" t="s">
        <v>2129</v>
      </c>
      <c r="BP234" s="5814" t="s">
        <v>2129</v>
      </c>
      <c r="BQ234" s="5814" t="s">
        <v>2129</v>
      </c>
      <c r="BR234" s="5814" t="s">
        <v>2129</v>
      </c>
      <c r="BS234" s="5814" t="s">
        <v>2129</v>
      </c>
      <c r="BT234" s="5814" t="s">
        <v>2129</v>
      </c>
      <c r="BU234" s="5814" t="s">
        <v>2129</v>
      </c>
      <c r="BV234" s="5814" t="s">
        <v>2129</v>
      </c>
      <c r="BW234" s="5814" t="s">
        <v>2129</v>
      </c>
      <c r="BX234" s="5814" t="s">
        <v>2129</v>
      </c>
      <c r="BY234" s="5814"/>
      <c r="BZ234" s="5814" t="s">
        <v>2129</v>
      </c>
      <c r="CA234" s="5814" t="s">
        <v>2129</v>
      </c>
      <c r="CB234" s="5814" t="s">
        <v>2129</v>
      </c>
      <c r="CC234" s="5814" t="s">
        <v>2129</v>
      </c>
      <c r="CD234" s="5814"/>
      <c r="CE234" s="5817"/>
    </row>
    <row r="235" spans="1:83" s="5815" customFormat="1" ht="13">
      <c r="A235" s="5815" t="s">
        <v>3453</v>
      </c>
      <c r="B235" s="5816" t="s">
        <v>3462</v>
      </c>
      <c r="C235" s="5817" t="s">
        <v>2129</v>
      </c>
      <c r="D235" s="5817" t="s">
        <v>2129</v>
      </c>
      <c r="E235" s="5817"/>
      <c r="F235" s="5817" t="s">
        <v>2129</v>
      </c>
      <c r="G235" s="5817"/>
      <c r="H235" s="5817"/>
      <c r="I235" s="5817" t="s">
        <v>6629</v>
      </c>
      <c r="J235" s="5817"/>
      <c r="K235" s="5817" t="s">
        <v>2129</v>
      </c>
      <c r="L235" s="5818"/>
      <c r="M235" s="5818"/>
      <c r="N235" s="5818"/>
      <c r="O235" s="5818"/>
      <c r="P235" s="5818"/>
      <c r="Q235" s="5819"/>
      <c r="R235" s="5818"/>
      <c r="S235" s="5818" t="b">
        <v>1</v>
      </c>
      <c r="T235" s="5818" t="s">
        <v>2129</v>
      </c>
      <c r="U235" s="5814">
        <v>0</v>
      </c>
      <c r="V235" s="5814" t="b">
        <v>1</v>
      </c>
      <c r="W235" s="5814"/>
      <c r="X235" s="5814" t="s">
        <v>2129</v>
      </c>
      <c r="Y235" s="5814"/>
      <c r="Z235" s="5814"/>
      <c r="AA235" s="5814"/>
      <c r="AB235" s="5814"/>
      <c r="AD235" s="5820" t="s">
        <v>6627</v>
      </c>
      <c r="AE235" s="5820" t="e">
        <v>#VALUE!</v>
      </c>
      <c r="AG235" s="5815" t="s">
        <v>2129</v>
      </c>
      <c r="AH235" s="5815" t="s">
        <v>2129</v>
      </c>
      <c r="AJ235" s="5815" t="s">
        <v>2129</v>
      </c>
      <c r="AK235" s="5815" t="s">
        <v>2129</v>
      </c>
      <c r="AL235" s="5815" t="s">
        <v>2129</v>
      </c>
      <c r="AO235" s="5815" t="s">
        <v>2129</v>
      </c>
      <c r="AT235" s="5815" t="s">
        <v>2129</v>
      </c>
      <c r="AU235" s="5815" t="s">
        <v>2129</v>
      </c>
      <c r="AV235" s="5815" t="s">
        <v>2129</v>
      </c>
      <c r="AW235" s="5815" t="s">
        <v>2129</v>
      </c>
      <c r="AX235" s="5815" t="s">
        <v>2129</v>
      </c>
      <c r="AY235" s="5815" t="s">
        <v>2129</v>
      </c>
      <c r="AZ235" s="5815" t="s">
        <v>2129</v>
      </c>
      <c r="BA235" s="5815" t="s">
        <v>2129</v>
      </c>
      <c r="BB235" s="5815" t="s">
        <v>2129</v>
      </c>
      <c r="BC235" s="5815" t="s">
        <v>2129</v>
      </c>
      <c r="BD235" s="5815" t="s">
        <v>2129</v>
      </c>
      <c r="BE235" s="5814" t="s">
        <v>2129</v>
      </c>
      <c r="BG235" s="5814" t="s">
        <v>2129</v>
      </c>
      <c r="BH235" s="5814" t="s">
        <v>2129</v>
      </c>
      <c r="BI235" s="5814" t="s">
        <v>2129</v>
      </c>
      <c r="BJ235" s="5814" t="s">
        <v>2129</v>
      </c>
      <c r="BK235" s="5814" t="s">
        <v>2129</v>
      </c>
      <c r="BL235" s="5814" t="s">
        <v>2129</v>
      </c>
      <c r="BM235" s="5814" t="s">
        <v>2129</v>
      </c>
      <c r="BN235" s="5814" t="s">
        <v>2129</v>
      </c>
      <c r="BO235" s="5814" t="s">
        <v>2129</v>
      </c>
      <c r="BP235" s="5814" t="s">
        <v>2129</v>
      </c>
      <c r="BQ235" s="5814" t="s">
        <v>2129</v>
      </c>
      <c r="BR235" s="5814" t="s">
        <v>2129</v>
      </c>
      <c r="BS235" s="5814" t="s">
        <v>2129</v>
      </c>
      <c r="BT235" s="5814" t="s">
        <v>2129</v>
      </c>
      <c r="BU235" s="5814" t="s">
        <v>2129</v>
      </c>
      <c r="BV235" s="5814" t="s">
        <v>2129</v>
      </c>
      <c r="BW235" s="5814" t="s">
        <v>2129</v>
      </c>
      <c r="BX235" s="5814" t="s">
        <v>2129</v>
      </c>
      <c r="BY235" s="5814"/>
      <c r="BZ235" s="5814" t="s">
        <v>2129</v>
      </c>
      <c r="CA235" s="5814" t="s">
        <v>2129</v>
      </c>
      <c r="CB235" s="5814" t="s">
        <v>2129</v>
      </c>
      <c r="CC235" s="5814" t="s">
        <v>2129</v>
      </c>
      <c r="CD235" s="5814"/>
      <c r="CE235" s="5817"/>
    </row>
    <row r="236" spans="1:83" s="5815" customFormat="1" ht="13">
      <c r="A236" s="5815" t="s">
        <v>3453</v>
      </c>
      <c r="B236" s="5816" t="s">
        <v>3463</v>
      </c>
      <c r="C236" s="5817" t="s">
        <v>2129</v>
      </c>
      <c r="D236" s="5817" t="s">
        <v>2129</v>
      </c>
      <c r="E236" s="5817"/>
      <c r="F236" s="5817" t="s">
        <v>2129</v>
      </c>
      <c r="G236" s="5817"/>
      <c r="H236" s="5817"/>
      <c r="I236" s="5817">
        <v>0</v>
      </c>
      <c r="J236" s="5817">
        <v>0</v>
      </c>
      <c r="K236" s="5817" t="s">
        <v>2129</v>
      </c>
      <c r="L236" s="5818">
        <v>0</v>
      </c>
      <c r="M236" s="5818">
        <v>0</v>
      </c>
      <c r="N236" s="5818">
        <v>0</v>
      </c>
      <c r="O236" s="5818">
        <v>0</v>
      </c>
      <c r="P236" s="5818">
        <v>0</v>
      </c>
      <c r="Q236" s="5819"/>
      <c r="R236" s="5818">
        <v>0</v>
      </c>
      <c r="S236" s="5818" t="b">
        <v>1</v>
      </c>
      <c r="T236" s="5818" t="s">
        <v>2129</v>
      </c>
      <c r="U236" s="5814">
        <v>0</v>
      </c>
      <c r="V236" s="5814" t="b">
        <v>1</v>
      </c>
      <c r="W236" s="5814"/>
      <c r="X236" s="5814" t="s">
        <v>2129</v>
      </c>
      <c r="Y236" s="5814"/>
      <c r="Z236" s="5814"/>
      <c r="AA236" s="5814"/>
      <c r="AB236" s="5814"/>
      <c r="AD236" s="5815">
        <v>0</v>
      </c>
      <c r="AE236" s="5815">
        <v>0</v>
      </c>
      <c r="AG236" s="5815" t="s">
        <v>2129</v>
      </c>
      <c r="AH236" s="5815" t="s">
        <v>2129</v>
      </c>
      <c r="AJ236" s="5815" t="s">
        <v>2129</v>
      </c>
      <c r="AK236" s="5815" t="s">
        <v>2129</v>
      </c>
      <c r="AL236" s="5815" t="s">
        <v>2129</v>
      </c>
      <c r="AO236" s="5815" t="s">
        <v>2129</v>
      </c>
      <c r="AT236" s="5815" t="s">
        <v>2129</v>
      </c>
      <c r="AU236" s="5815" t="s">
        <v>2129</v>
      </c>
      <c r="AV236" s="5815" t="s">
        <v>2129</v>
      </c>
      <c r="AW236" s="5815" t="s">
        <v>2129</v>
      </c>
      <c r="AX236" s="5815" t="s">
        <v>2129</v>
      </c>
      <c r="AY236" s="5815" t="s">
        <v>2129</v>
      </c>
      <c r="AZ236" s="5815" t="s">
        <v>2129</v>
      </c>
      <c r="BA236" s="5815" t="s">
        <v>2129</v>
      </c>
      <c r="BB236" s="5815" t="s">
        <v>2129</v>
      </c>
      <c r="BC236" s="5815" t="s">
        <v>2129</v>
      </c>
      <c r="BD236" s="5815" t="s">
        <v>2129</v>
      </c>
      <c r="BE236" s="5814" t="s">
        <v>2129</v>
      </c>
      <c r="BG236" s="5814" t="s">
        <v>2129</v>
      </c>
      <c r="BH236" s="5814" t="s">
        <v>2129</v>
      </c>
      <c r="BI236" s="5814" t="s">
        <v>2129</v>
      </c>
      <c r="BJ236" s="5814" t="s">
        <v>2129</v>
      </c>
      <c r="BK236" s="5814" t="s">
        <v>2129</v>
      </c>
      <c r="BL236" s="5814" t="s">
        <v>2129</v>
      </c>
      <c r="BM236" s="5814" t="s">
        <v>2129</v>
      </c>
      <c r="BN236" s="5814" t="s">
        <v>2129</v>
      </c>
      <c r="BO236" s="5814" t="s">
        <v>2129</v>
      </c>
      <c r="BP236" s="5814" t="s">
        <v>2129</v>
      </c>
      <c r="BQ236" s="5814" t="s">
        <v>2129</v>
      </c>
      <c r="BR236" s="5814" t="s">
        <v>2129</v>
      </c>
      <c r="BS236" s="5814" t="s">
        <v>2129</v>
      </c>
      <c r="BT236" s="5814" t="s">
        <v>2129</v>
      </c>
      <c r="BU236" s="5814" t="s">
        <v>2129</v>
      </c>
      <c r="BV236" s="5814" t="s">
        <v>2129</v>
      </c>
      <c r="BW236" s="5814" t="s">
        <v>2129</v>
      </c>
      <c r="BX236" s="5814" t="s">
        <v>2129</v>
      </c>
      <c r="BY236" s="5814"/>
      <c r="BZ236" s="5814" t="s">
        <v>2129</v>
      </c>
      <c r="CA236" s="5814" t="s">
        <v>2129</v>
      </c>
      <c r="CB236" s="5814" t="s">
        <v>2129</v>
      </c>
      <c r="CC236" s="5814" t="s">
        <v>2129</v>
      </c>
      <c r="CD236" s="5814"/>
      <c r="CE236" s="5817"/>
    </row>
    <row r="237" spans="1:83" s="2696" customFormat="1" ht="13.5" customHeight="1">
      <c r="B237" s="2696" t="s">
        <v>127</v>
      </c>
      <c r="C237" s="2697"/>
      <c r="D237" s="2697"/>
      <c r="E237" s="2697"/>
      <c r="F237" s="2697"/>
      <c r="G237" s="2697"/>
      <c r="H237" s="2697"/>
      <c r="I237" s="2697"/>
      <c r="J237" s="2697"/>
      <c r="K237" s="2753">
        <v>293</v>
      </c>
      <c r="L237" s="2698"/>
      <c r="M237" s="2698"/>
      <c r="N237" s="2698"/>
      <c r="O237" s="2698"/>
      <c r="P237" s="2698"/>
      <c r="Q237" s="2699"/>
      <c r="R237" s="2698"/>
      <c r="S237" s="2698"/>
      <c r="T237" s="2698"/>
      <c r="U237" s="2700"/>
      <c r="V237" s="2700"/>
      <c r="W237" s="2700"/>
      <c r="X237" s="2700"/>
      <c r="Y237" s="2700"/>
      <c r="Z237" s="2700"/>
      <c r="AA237" s="2700"/>
      <c r="AB237" s="2700"/>
      <c r="AC237" s="2700"/>
      <c r="BE237" s="2700">
        <v>6325655145.1999998</v>
      </c>
      <c r="BF237" s="2700">
        <v>5565711456</v>
      </c>
      <c r="BG237" s="2700">
        <v>3749129614.7173519</v>
      </c>
      <c r="BH237" s="2700">
        <v>2079516602.9598873</v>
      </c>
      <c r="BI237" s="2700">
        <v>2436287258.7703457</v>
      </c>
      <c r="BJ237" s="2700">
        <v>613310046.5454545</v>
      </c>
      <c r="BK237" s="2700" t="e">
        <v>#DIV/0!</v>
      </c>
      <c r="BL237" s="2700">
        <v>444310436.48613292</v>
      </c>
      <c r="BM237" s="2700">
        <v>2596055904</v>
      </c>
      <c r="BN237" s="2700">
        <v>2802404586.0871162</v>
      </c>
      <c r="BO237" s="2700">
        <v>784511087.65375853</v>
      </c>
      <c r="BP237" s="2700">
        <v>106465645</v>
      </c>
      <c r="BQ237" s="2700">
        <v>541238089.38434672</v>
      </c>
      <c r="BR237" s="2700">
        <v>839128518.20596921</v>
      </c>
      <c r="BS237" s="2700">
        <v>175023963.26404473</v>
      </c>
      <c r="BT237" s="2700">
        <v>42380324.717947654</v>
      </c>
      <c r="BU237" s="2700">
        <v>2487264086</v>
      </c>
      <c r="BV237" s="2700">
        <v>2313126348</v>
      </c>
      <c r="BW237" s="2700">
        <v>1717446171</v>
      </c>
      <c r="BX237" s="2700">
        <v>541074132</v>
      </c>
      <c r="BY237" s="2700"/>
      <c r="BZ237" s="2700">
        <v>1030634912</v>
      </c>
      <c r="CA237" s="2700">
        <v>1254283216</v>
      </c>
      <c r="CB237" s="2700">
        <v>526117761</v>
      </c>
      <c r="CC237" s="2700">
        <v>255507229</v>
      </c>
      <c r="CD237" s="2700"/>
      <c r="CE237" s="2697"/>
    </row>
    <row r="238" spans="1:83" ht="13.5" customHeight="1">
      <c r="BN238" s="863"/>
      <c r="BO238" s="863"/>
    </row>
    <row r="239" spans="1:83" ht="13.5" customHeight="1">
      <c r="BN239" s="863"/>
      <c r="BO239" s="863"/>
    </row>
    <row r="240" spans="1:83" ht="33" customHeight="1"/>
  </sheetData>
  <autoFilter ref="A1:CF237" xr:uid="{8DEFF6DE-2D06-41DE-B70D-3F3588FC768F}"/>
  <phoneticPr fontId="2"/>
  <conditionalFormatting sqref="AL1:AP1048576">
    <cfRule type="cellIs" dxfId="0" priority="1" operator="lessThan">
      <formula>0</formula>
    </cfRule>
  </conditionalFormatting>
  <hyperlinks>
    <hyperlink ref="B2" location="'0001_アパホテル&lt;尾張一宮駅&gt;'!A1" display="0001_アパホテル&lt;尾張一宮駅&gt;" xr:uid="{1B50C304-D206-4F09-90F3-617353E03EEE}"/>
    <hyperlink ref="B3" location="'0002_東横INN名古屋尾張一宮駅前'!A1" display="0002_東横INN名古屋尾張一宮駅前" xr:uid="{16C454CE-7FED-467A-B399-93A64D3A24B2}"/>
    <hyperlink ref="B4" location="'0004_ホテルルートイン一宮駅前'!A1" display="0004_ホテルルートイン一宮駅前" xr:uid="{2E333542-367E-4918-A9FC-CF28F1D297C7}"/>
    <hyperlink ref="B5" location="'0007_一宮グリーンホテル'!A1" display="0007_一宮グリーンホテル" xr:uid="{62A683F4-8DB2-43F9-8B74-1DCF4B924FE4}"/>
    <hyperlink ref="B6" location="'008_ホテルプラザ勝川'!A1" display="008_ホテルプラザ勝川" xr:uid="{9CD199B1-F720-4905-A5C8-641986D9CF29}"/>
    <hyperlink ref="B7" location="'0010_春日井中央ホテル'!A1" display="0010_春日井中央ホテル" xr:uid="{E9EE5E45-5E48-44D7-B889-493BEF848F2F}"/>
    <hyperlink ref="B8" location="'0012_ルートイングランディア小牧'!A1" display="0012_ルートイングランディア小牧" xr:uid="{9814D429-1055-41C5-9DE1-9E4AB5EB2A78}"/>
    <hyperlink ref="B9" location="'0015_名鉄小牧ホテル'!A1" display="0015_名鉄小牧ホテル" xr:uid="{B3190B4E-2D08-4C22-96FD-9ED8A90A3DDD}"/>
    <hyperlink ref="B10" location="'0020_あいち健康の森　健康科学総合センター'!A1" display="0020_あいち健康の森　健康科学総合センター" xr:uid="{3B9E3598-3287-4B39-BB6B-8A4CA48F7E3C}"/>
    <hyperlink ref="B11" location="'0021_公立学校共済組合　名古屋宿泊所　ホテルルブラ王山'!A1" display="0021_公立学校共済組合　名古屋宿泊所　ホテルルブラ王山" xr:uid="{DAEAE5A6-2834-4A25-BF4C-78CF07C55C2F}"/>
    <hyperlink ref="B12" location="'0022_ホテルルートイン　名古屋今池駅前'!A1" display="0022_ホテルルートイン　名古屋今池駅前" xr:uid="{A53817A9-6DAB-4F68-980A-AE3A42D6BA02}"/>
    <hyperlink ref="B13" location="'0024_ホテルメルパルク名古屋'!A1" display="0024_ホテルメルパルク名古屋" xr:uid="{8FE00F2A-ADF8-4339-891C-5C4B19E34D45}"/>
    <hyperlink ref="B14" location="'0026_名鉄イン名古屋駅前'!A1" display="0026_名鉄イン名古屋駅前" xr:uid="{BC5EF522-B8D5-44E8-BE14-46F13149FEB2}"/>
    <hyperlink ref="B15" location="'0027_HOTEL LiVEMAX名古屋桜通口'!A1" display="0027_HOTEL LiVEMAX名古屋桜通口" xr:uid="{9890DDB2-DB2F-4490-B271-E50C27370327}"/>
    <hyperlink ref="B16" location="'0034_サイプレスホテル名古屋駅前'!A1" display="0034_サイプレスホテル名古屋駅前" xr:uid="{6CBC5896-8451-4665-ADC0-79FD77D81F70}"/>
    <hyperlink ref="B17" location="'0038_東横INN名古屋駅桜通口本館'!A1" display="0038_東横INN名古屋駅桜通口本館" xr:uid="{1286133A-C061-46E7-8C51-E987FCA9F25B}"/>
    <hyperlink ref="B18" location="'0039_ザサイプレスメルキュールホテル名古屋'!A1" display="0039_ザサイプレスメルキュールホテル名古屋" xr:uid="{AEA300D3-83EC-4E0D-85BA-2347D36BDF35}"/>
    <hyperlink ref="B19" location="'0040_名古屋マリオットアソシアホテル'!A1" display="0040_名古屋マリオットアソシアホテル" xr:uid="{A635922A-5288-4CB9-9D8D-1E2414E6EEAC}"/>
    <hyperlink ref="B20" location="'0041_三交イン名古屋新幹線口'!A1" display="0041_三交イン名古屋新幹線口" xr:uid="{AB2C9D2D-2F98-4ED5-8686-63E320009830}"/>
    <hyperlink ref="B21" location="'0042_スーパーホテル名古屋駅前'!A1" display="0042_スーパーホテル名古屋駅前" xr:uid="{740AD480-7FE4-4FD8-9D97-B3C2535DFAC8}"/>
    <hyperlink ref="B22" location="'0043_チサンイン名古屋'!A1" display="0043_チサンイン名古屋" xr:uid="{C91C45FF-249B-42CA-AA0A-FBD64CF0398C}"/>
    <hyperlink ref="B23" location="'0044_ホテルパレス名古屋'!A1" display="0044_ホテルパレス名古屋" xr:uid="{803D150D-3806-4A1C-9D72-1510B6DE488E}"/>
    <hyperlink ref="B24" location="'0047_東横INN名古屋駅新幹線口'!A1" display="0047_東横INN名古屋駅新幹線口" xr:uid="{8016A4D8-1AEF-4395-B357-7A1D596FA433}"/>
    <hyperlink ref="B25" location="'0049_名鉄グランドホテル'!A1" display="0049_名鉄グランドホテル" xr:uid="{05D0A858-349F-4ED6-97B7-9D655EAD66DE}"/>
    <hyperlink ref="B26" location="'0050_ダイワロイネットホテル名古屋駅前'!A1" display="0050_ダイワロイネットホテル名古屋駅前" xr:uid="{EF693788-3D49-4D2D-BDB7-619DFD92974E}"/>
    <hyperlink ref="B27" location="'0051_ダイワロイネットホテル名古屋新幹線口'!A1" display="0051_ダイワロイネットホテル名古屋新幹線口" xr:uid="{7956703D-FEBD-4750-8365-42C2EE58BFEA}"/>
    <hyperlink ref="B28" location="'0052_名鉄イン名古屋桜通'!A1" display="0052_名鉄イン名古屋桜通" xr:uid="{89EA3632-E578-4775-A8EC-C1C9BF1CDF28}"/>
    <hyperlink ref="B29" location="'0053_ヴィアイン名古屋新幹線口'!A1" display="0053_ヴィアイン名古屋新幹線口" xr:uid="{8B5D7400-7E2A-4B1E-AD65-37DA2ACF6D2E}"/>
    <hyperlink ref="B30" location="'0054_ザロイヤルパークキャンバス名古屋'!A1" display="0054_ザロイヤルパークキャンバス名古屋" xr:uid="{C09C6757-6BF2-4801-9BC6-83F04846C8ED}"/>
    <hyperlink ref="B31" location="'0055_ホテルリソル名古屋'!A1" display="0055_ホテルリソル名古屋" xr:uid="{1BDAB244-06F6-49D5-9EE8-037EE8F4D3BE}"/>
    <hyperlink ref="B32" location="'0056_ストリングスホテル 名古屋'!A1" display="0056_ストリングスホテル 名古屋" xr:uid="{C0B6A218-E9C6-4719-B426-B38596AB5585}"/>
    <hyperlink ref="B33" location="'0057_リッチモンドホテル名古屋新幹線口'!A1" display="0057_リッチモンドホテル名古屋新幹線口" xr:uid="{7E62FD90-2EB9-458E-B77D-B7F3B8273C1B}"/>
    <hyperlink ref="B34" location="'0059_三井ガーデンホテル名古屋プレミア'!A1" display="0059_三井ガーデンホテル名古屋プレミア" xr:uid="{DC3C0D64-99E5-489E-8E26-3B2BB6FA4FA3}"/>
    <hyperlink ref="B35" location="'0060_ダイワロイネットホテル名古屋太閤通口'!A1" display="0060_ダイワロイネットホテル名古屋太閤通口" xr:uid="{79BE26F0-948C-46EA-95E8-D6D1C89AFAFF}"/>
    <hyperlink ref="B36" location="'0061_名鉄イン名古屋駅新幹線口'!A1" display="0061_名鉄イン名古屋駅新幹線口" xr:uid="{1E69C4D8-9F2B-4B08-BA1E-1DD82798D0D4}"/>
    <hyperlink ref="B37" location="'0062_名古屋JRゲートタワーホテル'!A1" display="0062_名古屋JRゲートタワーホテル" xr:uid="{EBD0BA67-BDDC-4258-87C8-36C80A22E5BF}"/>
    <hyperlink ref="B38" location="'0063_HOTEL LiVEMAX名駅'!A1" display="0063_HOTEL LiVEMAX名駅" xr:uid="{D7802099-ACC6-4B14-B592-5E4BCBBC7664}"/>
    <hyperlink ref="B39" location="'0064_名古屋プリンスホテルスカイタワー'!A1" display="0064_名古屋プリンスホテルスカイタワー" xr:uid="{A1BF3D08-2D1C-4040-A333-13C669EBA76A}"/>
    <hyperlink ref="B40" location="'0065_くれたけインプレミアム名古屋納屋橋'!A1" display="0065_くれたけインプレミアム名古屋納屋橋" xr:uid="{E4AF6857-9AD7-4C4E-B831-CE7EFD7CA72A}"/>
    <hyperlink ref="B41" location="'0066_三交イン名古屋新幹線口ANNEX'!A1" display="0066_三交イン名古屋新幹線口ANNEX" xr:uid="{D3669AC1-DBFF-46A2-9D71-810E97BF0283}"/>
    <hyperlink ref="B42" location="'0067_東横INN名駅南'!A1" display="0067_東横INN名駅南" xr:uid="{20894C7C-9AF4-41BA-AC58-1DB328297752}"/>
    <hyperlink ref="B43" location="'0068_HOTELLiVEMAXBUDGET名古屋太閤通口'!A1" display="0068_HOTELLiVEMAXBUDGET名古屋太閤通口" xr:uid="{50F534F3-860D-48C6-BC88-26DF953E7BC8}"/>
    <hyperlink ref="B44" location="'0069_ヴィアイン名古屋駅前椿町'!A1" display="0069_ヴィアイン名古屋駅前椿町" xr:uid="{77CAFBD3-C23B-4113-B6B4-9463120F9E5B}"/>
    <hyperlink ref="B45" location="'0070_ベッセルホテルカンパーナ名古屋'!A1" display="0070_ベッセルホテルカンパーナ名古屋" xr:uid="{6F29037D-052E-4F05-AF75-A89998627AB1}"/>
    <hyperlink ref="B46" location="'0071_アットインホテル名古屋駅'!A1" display="0071_アットインホテル名古屋駅" xr:uid="{6051EFE0-354E-42F8-AB6F-DA0E7C1A7B3F}"/>
    <hyperlink ref="B47" location="'0073_Hamilton Hotel-BLUE-名駅南'!A1" display="0073_Hamilton Hotel-BLUE-名駅南" xr:uid="{518CD20D-F807-499A-AE50-BB2D8B72263E}"/>
    <hyperlink ref="B48" location="'0074_スマイルホテル名古屋新幹線口'!A1" display="0074_スマイルホテル名古屋新幹線口" xr:uid="{6952BD5A-B146-487B-954E-2230349FA63A}"/>
    <hyperlink ref="B49" location="'0075_R&amp;Bホテル名古屋新幹線口'!A1" display="0075_R&amp;Bホテル名古屋新幹線口" xr:uid="{03651A7E-2F25-41D6-AB24-3044F92E353D}"/>
    <hyperlink ref="B50" location="'0076_コンフォートホテル名古屋新幹線口'!A1" display="0076_コンフォートホテル名古屋新幹線口" xr:uid="{CAA96DBC-DB48-4681-87C8-66957FC783BA}"/>
    <hyperlink ref="B51" location="'0077_相鉄フレッサイン名古屋駅桜通口'!A1" display="0077_相鉄フレッサイン名古屋駅桜通口" xr:uid="{4F541F9D-55C5-47D1-9D40-A60352F85575}"/>
    <hyperlink ref="B52" location="'0078_三交インGrande名古屋-HOTEL＆SPA-'!A1" display="0078_三交インGrande名古屋-HOTEL＆SPA-" xr:uid="{64825855-B8C4-4942-AFFF-05FF378707A0}"/>
    <hyperlink ref="B53" location="'0079_ニッコースタイル名古屋'!A1" display="0079_ニッコースタイル名古屋" xr:uid="{52326556-4E35-4F26-9289-F8FB289349EE}"/>
    <hyperlink ref="B54" location="'0080_アパホテル&lt;名古屋駅新幹線口北&gt;'!A1" display="0080_アパホテル&lt;名古屋駅新幹線口北&gt;" xr:uid="{E0209116-6BFA-4267-9FAF-AD1AB81ADAB9}"/>
    <hyperlink ref="B55" location="'0081_イビススタイルズ名古屋'!A1" display="0081_イビススタイルズ名古屋" xr:uid="{A72EBB47-2015-4F9E-A0AA-1C19A5960250}"/>
    <hyperlink ref="B56" location="'0082_アパホテル&lt;名古屋駅新幹線口南&gt;'!A1" display="0082_アパホテル&lt;名古屋駅新幹線口南&gt;" xr:uid="{F68E9FCC-984E-40CF-834A-2A73F9E918E8}"/>
    <hyperlink ref="B57" location="'0083_R&amp;Bホテル名古屋駅前'!A1" display="0083_R&amp;Bホテル名古屋駅前" xr:uid="{EFC48AAD-6E39-4659-8717-1D0CF9A3F90D}"/>
    <hyperlink ref="B58" location="'0084_コンフォートホテル名古屋名駅南'!A1" display="0084_コンフォートホテル名古屋名駅南" xr:uid="{17D3A411-5626-445A-BFB6-E260F32EA0D9}"/>
    <hyperlink ref="B59" location="'0090_名古屋観光ホテル'!A1" display="0090_名古屋観光ホテル" xr:uid="{2BDA2DEF-9FE9-4020-9168-A2DEF97B4139}"/>
    <hyperlink ref="B60" location="'0092_国家公務員共済組合連合会名古屋共済会館'!A1" display="0092_国家公務員共済組合連合会名古屋共済会館" xr:uid="{AEAB54B1-1C7D-4185-A774-DB07C3A186FA}"/>
    <hyperlink ref="B61" location="'0093_都心の天然温泉名古屋クラウンホテル'!A1" display="0093_都心の天然温泉名古屋クラウンホテル" xr:uid="{0A4BA847-1DBF-4EBB-990A-C5C49BFA870F}"/>
    <hyperlink ref="B62" location="'0094_ヒルトン名古屋'!A1" display="0094_ヒルトン名古屋" xr:uid="{88664BCF-0E42-42C4-8404-E1953C3EBA2A}"/>
    <hyperlink ref="B63" location="'0096_アイリス愛知'!A1" display="0096_アイリス愛知" xr:uid="{E668CF8D-ADA8-462D-9404-4FAA9B013C7F}"/>
    <hyperlink ref="B64" location="'0099_名古屋ガーデンパレス'!A1" display="0099_名古屋ガーデンパレス" xr:uid="{ABA493EF-971A-4673-8C51-06D3A13E0E9B}"/>
    <hyperlink ref="B65" location="'0101_東京第一ホテル錦'!A1" display="0101_東京第一ホテル錦" xr:uid="{4FEA7071-0C68-452E-BB2D-20773D318EF1}"/>
    <hyperlink ref="B66" location="'0105_ANAクラウンプラザホテルグランコート名古屋'!A1" display="0105_ANAクラウンプラザホテルグランコート名古屋" xr:uid="{D860ABA5-B926-44E3-A592-F2EBFD9F323A}"/>
    <hyperlink ref="B68" location="'0114_リッチモンドホテル名古屋納屋橋'!A1" display="0114_リッチモンドホテル名古屋納屋橋" xr:uid="{3BE1C57D-CEC2-423B-BA4A-D8F3A4BD23BD}"/>
    <hyperlink ref="B69" location="'0115_ザ・ビー名古屋'!A1" display="0115_ザ・ビー名古屋" xr:uid="{591F553A-836B-4E5C-9979-8EA984541082}"/>
    <hyperlink ref="B70" location="'0117_ホテルウィングインターナショナル名古屋'!A1" display="0117_ホテルウィングインターナショナル名古屋" xr:uid="{C03E5FA0-0C4C-4D40-8C98-52E8923973E7}"/>
    <hyperlink ref="B71" location="'0121_名古屋東急ホテル'!A1" display="0121_名古屋東急ホテル" xr:uid="{E34652E7-9232-4CC9-9F16-62B2AE0BEE88}"/>
    <hyperlink ref="B72" location="'0127_名古屋クレストンホテル'!A1" display="0127_名古屋クレストンホテル" xr:uid="{7AA6F486-BFCC-4612-878C-EFC71D2DEF95}"/>
    <hyperlink ref="B73" location="'0130_ホテル シルク・トゥリー名古屋'!A1" display="0130_ホテル シルク・トゥリー名古屋" xr:uid="{BED2715F-F3F1-4E43-A808-D1E21C794FF0}"/>
    <hyperlink ref="B74" location="'0133_アパホテル＜名古屋栄＞'!A1" display="0133_アパホテル＜名古屋栄＞" xr:uid="{AB4C6C36-F6B2-46C0-BE2C-2F65B99556A3}"/>
    <hyperlink ref="B75" location="'0139_ドーミーインPREMIUM名古屋栄'!A1" display="0139_ドーミーインPREMIUM名古屋栄" xr:uid="{71232085-5416-4BB2-9FDA-C1F8A33378DE}"/>
    <hyperlink ref="B77" location="'0141_プリンセスガーデンホテル'!A1" display="0141_プリンセスガーデンホテル" xr:uid="{7B446928-3009-4674-9DE7-7D9C66DC9FDB}"/>
    <hyperlink ref="B78" location="'0146_ホテルビスタ名古屋〔錦〕 '!A1" display="0146_ホテルビスタ名古屋〔錦〕 " xr:uid="{88ECDC73-07A6-4E5B-AD29-E949A0F75BE9}"/>
    <hyperlink ref="B79" location="'0154_ダイワロイネットホテル名古屋納屋橋'!A1" display="0154_ダイワロイネットホテル名古屋納屋橋" xr:uid="{7C18EFCC-4E0F-4F43-BFD2-243F8A17E6FF}"/>
    <hyperlink ref="B80" location="'0158_ベッセルイン栄駅前'!A1" display="0158_ベッセルイン栄駅前" xr:uid="{70981DAD-00A3-4CA2-9944-4EBCDDAC7898}"/>
    <hyperlink ref="B81" location="'0159_ホテルJALシティ名古屋 錦'!A1" display="0159_ホテルJALシティ名古屋 錦" xr:uid="{28874899-2F82-4CD5-866D-9E5E848D5B39}"/>
    <hyperlink ref="B82" location="'0160_西鉄ホテルクルーム名古屋'!A1" display="0160_西鉄ホテルクルーム名古屋" xr:uid="{D8DE1B56-5258-4F6F-B3B0-CE03463B6735}"/>
    <hyperlink ref="B83" location="'0161_ダイワロイネットホテル名古屋伏見'!A1" display="0161_ダイワロイネットホテル名古屋伏見" xr:uid="{FC3EC8C6-089E-4B4F-8512-A81FFA26E03A}"/>
    <hyperlink ref="B84" location="'0167_グリーンリッチホテル名古屋錦'!A1" display="0167_グリーンリッチホテル名古屋錦" xr:uid="{BB3F6500-2A41-4C2C-B536-47BFE56F1DEE}"/>
    <hyperlink ref="B86" location="'0172_サイプレスガーデンホテル'!A1" display="0172_サイプレスガーデンホテル" xr:uid="{AE4E7F68-A366-4B37-8D35-FC2C95707DB2}"/>
    <hyperlink ref="B87" location="'0177_邦和セミナープラザ'!A1" display="0177_邦和セミナープラザ" xr:uid="{CF4E4EEC-D988-4AC6-ACA3-D0683FE2C9FD}"/>
    <hyperlink ref="B88" location="'179_LEGOLAND Japan Hotel'!A1" display="179_LEGOLAND Japan Hotel" xr:uid="{75D455A0-C913-4787-854A-B0D492D84175}"/>
    <hyperlink ref="B89" location="'180_名古屋笠寺ホテル'!A1" display="180_名古屋笠寺ホテル" xr:uid="{76E9E0F1-CA87-4733-B2DC-5CFA7E604690}"/>
    <hyperlink ref="B90" location="'0184_犬山セントラルホテル'!A1" display="0184_犬山セントラルホテル" xr:uid="{CA650E48-4A0C-487E-8CDA-FA2E938010CF}"/>
    <hyperlink ref="B91" location="'0186_ホテルユニゾ名古屋駅前'!A1" display="0186_ホテルユニゾ名古屋駅前" xr:uid="{56711F99-6BF2-4554-A8FE-78E329E613C8}"/>
    <hyperlink ref="B92" location="'188_名鉄イン刈谷'!A1" display="188_名鉄イン刈谷" xr:uid="{97711803-8A33-44AF-93A1-A611B464BC4D}"/>
    <hyperlink ref="B93" location="'189_コンフォートホテル刈谷'!A1" display="189_コンフォートホテル刈谷" xr:uid="{DBA49C87-0CBD-4963-AA26-EA3906EDC1C9}"/>
    <hyperlink ref="B94" location="'0192_パークホテル刈谷'!A1" display="0192_パークホテル刈谷" xr:uid="{24544C6F-0731-40D0-B171-D0646F567D17}"/>
    <hyperlink ref="B95" location="'0193_アクセスイン刈谷'!A1" display="0193_アクセスイン刈谷" xr:uid="{FDD1EB1D-B269-4633-B8B7-9028FCBCE3BE}"/>
    <hyperlink ref="B96" location="'0200_アットインホテル豊田市駅'!A1" display="0200_アットインホテル豊田市駅" xr:uid="{42FCE369-A70A-4107-8C7F-7CEE60E23F12}"/>
    <hyperlink ref="B97" location="'0201_全トヨタ労連研修センター つどいの丘'!A1" display="0201_全トヨタ労連研修センター つどいの丘" xr:uid="{837619A9-1382-4799-8799-4D9EF64E48BE}"/>
    <hyperlink ref="B98" location="'0206_トヨタキャッスルホテル'!A1" display="0206_トヨタキャッスルホテル" xr:uid="{869C1F12-FEA3-437D-BC8E-06B23A612CE2}"/>
    <hyperlink ref="B99" location="'0207_豊田プレステージホテル'!A1" display="0207_豊田プレステージホテル" xr:uid="{0D3E1CA8-CCD5-441B-A06C-8B56C9C08C83}"/>
    <hyperlink ref="B100" location="'0208_東横INN豊田駅前'!A1" display="0208_東横INN豊田駅前" xr:uid="{CEB33B7D-AEBA-4820-B096-C752C8D6B194}"/>
    <hyperlink ref="B101" location="'0210_名鉄トヨタホテル'!A1" display="0210_名鉄トヨタホテル" xr:uid="{C543F271-2DBE-4240-B4B9-0AB169012069}"/>
    <hyperlink ref="B102" location="'0211_ホテル松風'!A1" display="0211_ホテル松風" xr:uid="{8D77D640-5A13-4380-9834-2758035CD3E3}"/>
    <hyperlink ref="B103" location="'0212_ホテルルートイン豊田陣中'!A1" display="0212_ホテルルートイン豊田陣中" xr:uid="{6596F647-8CFE-4747-B974-A0ADD69D1358}"/>
    <hyperlink ref="B104" location="'0213_ホテルルートイン豊田元町'!Print_Area" display="0213_ホテルルートイン豊田元町" xr:uid="{3F192EA5-E434-4CB1-844B-1AB509D44BE3}"/>
    <hyperlink ref="B105" location="'0214_HOTEL LiVEMAX愛知豊田駅前'!A1" display="0214_HOTEL LiVEMAX愛知豊田駅前" xr:uid="{C292A8E3-9683-474A-A458-B4D44CCC31FA}"/>
    <hyperlink ref="B106" location="'0219_東横INN三河安城駅新幹線南口2'!A1" display="0219_東横INN三河安城駅新幹線南口2" xr:uid="{2F44E1EB-0725-4B4C-820A-0FE7A125F898}"/>
    <hyperlink ref="B107" location="'0220_東横INN三河安城駅新幹線南口1'!A1" display="0220_東横INN三河安城駅新幹線南口1" xr:uid="{E1BC018A-8E83-49AC-8273-E9FC5CD85106}"/>
    <hyperlink ref="B108" location="'0221_ホテルグランドティアラ南名古屋'!A1" display="0221_ホテルグランドティアラ南名古屋" xr:uid="{A70BE7CA-C4A7-4A4E-B9AC-11C0CE9ECA0D}"/>
    <hyperlink ref="B109" location="'0222_HOTEL LiVEMAX三河安城駅前'!A1" display="0222_HOTEL LiVEMAX三河安城駅前" xr:uid="{67D64D91-E5ED-4AD1-AFEC-87234CB79C64}"/>
    <hyperlink ref="B110" location="'0223_天然温泉三州の湯ドーミーインEXPRESS三河安城'!A1" display="0223_天然温泉三州の湯ドーミーインEXPRESS三河安城" xr:uid="{CB3A8E2A-A53E-4E9C-91B2-AC955F1043CE}"/>
    <hyperlink ref="B111" location="'0227_ホテルクラウンパレス知立'!A1" display="0227_ホテルクラウンパレス知立" xr:uid="{69BA59F5-08BB-4EBA-B43D-E676BA8F4B47}"/>
    <hyperlink ref="B112" location="'0228_東横INN名鉄知立駅前'!A1" display="0228_東横INN名鉄知立駅前" xr:uid="{B241D05B-2109-41B1-9415-5BD48544CAE5}"/>
    <hyperlink ref="B113" location="'0229_岡崎オーワホテル'!A1" display="0229_岡崎オーワホテル" xr:uid="{9057827F-7C9F-4508-94DE-7485B1B0C36D}"/>
    <hyperlink ref="B114" location="'0231_グランドイン東岡崎'!A1" display="0231_グランドイン東岡崎" xr:uid="{436BFA5D-844B-4908-B7BE-8339031CC700}"/>
    <hyperlink ref="B115" location="'0232_HOTEL LiVEＭAX岡崎'!A1" display="0232_HOTEL LiVEＭAX岡崎" xr:uid="{5EB70695-38CB-4CDF-B512-7CFE439CF780}"/>
    <hyperlink ref="B116" location="'0234_MyHotelOkazaKi'!A1" display="0234_MyHotelOkazaKi" xr:uid="{C296AF0A-4C99-4B0F-A026-2F6935362BF6}"/>
    <hyperlink ref="B117" location="'0238_岡崎ニューグランドホテル'!A1" display="0238_岡崎ニューグランドホテル" xr:uid="{10381004-D25D-48AF-9D52-EE41FE31C690}"/>
    <hyperlink ref="B118" location="'0239_アクセスイン西尾'!A1" display="0239_アクセスイン西尾" xr:uid="{9433109C-C0E5-4324-827A-C6F7A021F83C}"/>
    <hyperlink ref="B119" location="'0240_株式会社竜宮ホテル'!A1" display="0240_株式会社竜宮ホテル" xr:uid="{32260E23-EB1E-4AB4-A3B9-AC183E1AC020}"/>
    <hyperlink ref="B120" location="'0241_株式会社三河湾リゾート・リンクス'!A1" display="0241_株式会社三河湾リゾート・リンクス" xr:uid="{B14A51AA-211B-4E2B-AA79-78D983716013}"/>
    <hyperlink ref="B121" location="'0242_吉良かん'!A1" display="0242_吉良かん" xr:uid="{9F593BF8-8B0C-43AD-B85F-30F798E00FD4}"/>
    <hyperlink ref="B122" location="'0243_三河湾ヒルズ・ホテル'!A1" display="0243_三河湾ヒルズ・ホテル" xr:uid="{76357C31-2E2F-4A75-B26E-B0F0FDEFB8A7}"/>
    <hyperlink ref="B123" location="'0245_変なホテルラグーナテンボス'!A1" display="0245_変なホテルラグーナテンボス" xr:uid="{0D432C1E-B3D3-4FB3-BE31-25DCEFE0241B}"/>
    <hyperlink ref="B124" location="'0247_株式会社鈴岡'!A1" display="0247_株式会社鈴岡" xr:uid="{B3804DD5-BB86-4D24-B22E-E2D605577122}"/>
    <hyperlink ref="B125" location="'0249_ホテル明山荘'!A1" display="0249_ホテル明山荘" xr:uid="{A8B87CAC-BA5A-44AF-B030-529E7E8DDA3D}"/>
    <hyperlink ref="B126" location="'0250_松風園'!A1" display="0250_松風園" xr:uid="{86D8ECF2-F9CC-4520-9B67-B6AEC8939E95}"/>
    <hyperlink ref="B127" location="'0251_株式会社三谷温泉ひがきホテル'!A1" display="0251_株式会社三谷温泉ひがきホテル" xr:uid="{6EFC9303-C2E2-41F6-AD82-5E1D63701BC4}"/>
    <hyperlink ref="B128" location="'0252_株式会社平野屋'!A1" display="0252_株式会社平野屋" xr:uid="{62D866BF-DE6C-4936-8C30-74413FCED539}"/>
    <hyperlink ref="B129" location="'0253_蒲郡ホテル'!A1" display="0253_蒲郡ホテル" xr:uid="{F1F40F10-9493-478B-A827-040E7E030CB2}"/>
    <hyperlink ref="B131" location="'0257_和のリゾートはづ'!A1" display="0257_和のリゾートはづ" xr:uid="{5795CCD8-8A55-4CC5-985E-D4A02DB7AAA2}"/>
    <hyperlink ref="B132" location="'0260_蒲郡クラシックホテル'!A1" display="0260_蒲郡クラシックホテル" xr:uid="{866CF211-5195-4163-88E9-5BEEFCB9ADDF}"/>
    <hyperlink ref="B133" location="'0261_ホテル竹島'!A1" display="0261_ホテル竹島" xr:uid="{0B80C00F-E2EA-4E42-95C0-0664178E1762}"/>
    <hyperlink ref="B134" location="'0269_ホテルルートイン豊川インター'!A1" display="0269_ホテルルートイン豊川インター" xr:uid="{69F8A809-8EC3-4357-BD37-B3E0C8B6B9C3}"/>
    <hyperlink ref="B135" location="'0275_シーパレスリゾート'!A1" display="0275_シーパレスリゾート" xr:uid="{BDA20D05-5733-4C6C-9276-7854B977F648}"/>
    <hyperlink ref="B136" location="'0278_ホテルアソシア豊橋'!A1" display="0278_ホテルアソシア豊橋" xr:uid="{7F28754C-B603-43B8-AE43-F11B4271B0C0}"/>
    <hyperlink ref="B137" location="'0281_ロワジール豊橋'!A1" display="0281_ロワジール豊橋" xr:uid="{F00F2344-3EF8-4975-979A-C07D2AB64FA9}"/>
    <hyperlink ref="B138" location="'0282_ホテルアークリッシュ豊橋'!A1" display="0282_ホテルアークリッシュ豊橋" xr:uid="{5DC9D683-CF0C-432E-BCC8-2A93EAAE036C}"/>
    <hyperlink ref="B139" location="'0283_東横INN豊橋駅東口'!A1" display="0283_東横INN豊橋駅東口" xr:uid="{AFB19E17-2805-4573-BAA2-2CBD69D7EFB9}"/>
    <hyperlink ref="B140" location="'0287_コンフォートホテル豊橋'!A1" display="0287_コンフォートホテル豊橋" xr:uid="{2CEA3A59-989E-43DD-B83C-11EBABF3362B}"/>
    <hyperlink ref="B141" location="'0288_ホテルルートイン豊橋駅前'!A1" display="0288_ホテルルートイン豊橋駅前" xr:uid="{97E13CD6-AEA9-4004-988F-4DECE8768BF3}"/>
    <hyperlink ref="B142" location="'0290_ジャストインプレミアム豊橋駅新幹線口'!A1" display="0290_ジャストインプレミアム豊橋駅新幹線口" xr:uid="{2A7555AC-691A-48DE-8CBF-1FCE5D2D4BA6}"/>
    <hyperlink ref="B143" location="'0292_マーレホテル東海'!A1" display="0292_マーレホテル東海" xr:uid="{08B32D01-1D37-4CF0-818A-D40E489EB465}"/>
    <hyperlink ref="B144" location="'0293_ザ・カトーホテル'!A1" display="0293_ザ・カトーホテル" xr:uid="{D261B9A1-0AE3-4DF6-B79D-B2B175B3E6BE}"/>
    <hyperlink ref="B145" location="'0295_東海シティホテル'!A1" display="0295_東海シティホテル" xr:uid="{88694845-DECC-45C0-8ECC-698AF567D49C}"/>
    <hyperlink ref="B146" location="'0298_フォーポイントバイシェラトン名古屋中部空港'!A1" display="0298_フォーポイントバイシェラトン名古屋中部空港" xr:uid="{501C77B6-8B7A-4433-925A-B794FDCCD1BA}"/>
    <hyperlink ref="B147" location="'0299_東横INN中部国際空港2'!A1" display="0299_東横INN中部国際空港2" xr:uid="{652CCD34-CD46-4391-A192-122867254774}"/>
    <hyperlink ref="B148" location="'0300_東横INN中部国際空港1'!A1" display="0300_東横INN中部国際空港1" xr:uid="{D091929D-B444-4A4D-BEDA-576CC7BB4E4B}"/>
    <hyperlink ref="B149" location="'0302_中部国際空港セントレアホテル'!A1" display="0302_中部国際空港セントレアホテル" xr:uid="{7646F664-085C-46B3-AE85-907010A601DB}"/>
    <hyperlink ref="B150" location="'0303_J・HOTEL ANNEX'!A1" display="0303_J・HOTEL ANNEX" xr:uid="{31A4A1FB-5C50-402C-B7E2-17486A036CD8}"/>
    <hyperlink ref="B151" location="'0304_J・ホテルりんくう'!A1" display="0304_J・ホテルりんくう" xr:uid="{A1530865-BE25-4090-9786-23315F5FBFEC}"/>
    <hyperlink ref="B152" location="'0305_ホテルルートイン常滑駅前グランドアネックス'!A1" display="0305_ホテルルートイン常滑駅前グランドアネックス" xr:uid="{359A057F-1A91-4EDD-B9F6-6A7F203DD9F5}"/>
    <hyperlink ref="B153" location="'0306_ホテルルートイン常滑駅前'!A1" display="0306_ホテルルートイン常滑駅前" xr:uid="{E42890DB-19D8-406B-9041-9EC364DC07FA}"/>
    <hyperlink ref="B154" location="'0307_スプリングサニーホテル名古屋常滑駅前'!A1" display="0307_スプリングサニーホテル名古屋常滑駅前" xr:uid="{33755CCE-A387-4F2C-9733-759C3FE86C85}"/>
    <hyperlink ref="B155" location="'0319_ホテルルートイン半田亀崎'!A1" display="0319_ホテルルートイン半田亀崎" xr:uid="{D6228E5C-CEB0-4D38-B2A5-C2A3AE337D31}"/>
    <hyperlink ref="B156" location="'0320_アズイン半田インター'!A1" display="0320_アズイン半田インター" xr:uid="{24D22582-1DD1-40F2-856D-E3B6499DF60F}"/>
    <hyperlink ref="B157" location="'0321_半田ステーションホテル'!A1" display="0321_半田ステーションホテル" xr:uid="{BA3AA437-1AF7-418A-9DD0-8D758B9CDC2F}"/>
    <hyperlink ref="B158" location="'0322_名鉄イン知多半田駅前'!A1" display="0322_名鉄イン知多半田駅前" xr:uid="{8A822FFF-2EC5-412B-B252-E1ADD532CC2C}"/>
    <hyperlink ref="B159" location="'0323_センターワンホテル半田'!A1" display="0323_センターワンホテル半田" xr:uid="{BAD3DEAC-2BE0-448B-A7F5-F3291B69419D}"/>
    <hyperlink ref="B160" location="'0324_カンデオホテルズ半田'!A1" display="0324_カンデオホテルズ半田" xr:uid="{49C9CDF8-2532-4B6A-9B82-1DE76C8D3C81}"/>
    <hyperlink ref="B161" location="'1002ルートイングランティア東海Spa＆Relaxation'!A1" display="1002ルートイングランティア東海Spa＆Relaxation" xr:uid="{2540FF1A-8033-4906-BE91-B8D27EB8340C}"/>
    <hyperlink ref="B162" location="'1003_ホテルルートイン新城'!A1" display="1003_ホテルルートイン新城" xr:uid="{84A0203B-8474-469A-B55D-5552B6C9B8AF}"/>
    <hyperlink ref="B163" location="'1004_モンブランホテルラフィネ名古屋駅前'!A1" display="1004_モンブランホテルラフィネ名古屋駅前" xr:uid="{3AAED3FF-D920-4A2E-B49A-D021B4431162}"/>
    <hyperlink ref="B164" location="'1006_相鉄フレッサイン名古屋駅新幹線口'!A1" display="1006_相鉄フレッサイン名古屋駅新幹線口" xr:uid="{BE820614-0F7B-4421-B473-A80ADEA8C8BD}"/>
    <hyperlink ref="B165" location="'1007_ホテルミュースタイル犬山エクスペリエンス'!A1" display="1007_ホテルミュースタイル犬山エクスペリエンス" xr:uid="{D1DC236F-7F7E-4789-AEE3-7B712B3C9CD0}"/>
    <hyperlink ref="B166" location="'1008_ホテルインディゴ犬山有楽苑'!A1" display="1008_ホテルインディゴ犬山有楽苑" xr:uid="{CC91F310-947D-4AF2-9227-EDB11F3A18F1}"/>
    <hyperlink ref="B167" location="'1010_天の丸'!A1" display="1010_天の丸" xr:uid="{2D710258-C0D4-4293-8C9D-31FF862C65C7}"/>
    <hyperlink ref="B168" location="'1012_ホテルたつき'!A1" display="1012_ホテルたつき" xr:uid="{08216E03-3ABB-4F38-AE64-F4CA2073C60B}"/>
    <hyperlink ref="B169" location="'1013_西浦グランドホテル吉慶'!A1" display="1013_西浦グランドホテル吉慶" xr:uid="{7314429F-2B57-47BD-A239-DDEFEF12148F}"/>
    <hyperlink ref="B170" location="'1015_ホテル三河　海陽閣'!A1" display="1015_ホテル三河　海陽閣" xr:uid="{FCF78C37-547A-4FEB-813B-FE1BA01BC6F2}"/>
    <hyperlink ref="B171" location="'1016_くれたけインプレミアム名駅南'!A1" display="1016_くれたけインプレミアム名駅南" xr:uid="{62C745DC-3FBF-4C42-AD41-248D459CADC5}"/>
    <hyperlink ref="B172" location="'1017_HOTEL LiVEMAX名古屋桜通口'!A1" display="1017_HOTEL LiVEMAX名古屋桜通口" xr:uid="{C5516D08-B4A8-4FA8-A48C-F61DD78E9B74}"/>
    <hyperlink ref="B173" location="'1018_アパホテル&lt;名古屋駅前&gt;'!A1" display="1018_アパホテル&lt;名古屋駅前&gt;" xr:uid="{7124D10A-51F6-4539-872D-2BD146668638}"/>
    <hyperlink ref="B174" location="'1021_コートヤードバイマリオット名古屋'!A1" display="1021_コートヤードバイマリオット名古屋" xr:uid="{5CAFD181-AAC3-4191-95CE-5A683EB522B8}"/>
    <hyperlink ref="B175" location="'1027_TIAD'!A1" display="1027_TIAD" xr:uid="{11C5BA3B-2110-47F5-B440-B77C0C587921}"/>
    <hyperlink ref="B176" location="'1028_蒲郡ホテル＜別館＞'!A1" display="1028_蒲郡ホテル＜別館＞" xr:uid="{5395DD74-B6A4-4C32-8F79-7A1FB7AD7FC8}"/>
    <hyperlink ref="B177" location="'1029_伊良湖オーシャンリゾート'!A1" display="1029_伊良湖オーシャンリゾート" xr:uid="{483A056C-BAB8-4A4D-AF26-9729EAC65912}"/>
    <hyperlink ref="B178" location="'1030_伊良湖シーパーク＆スパ'!A1" display="1030_伊良湖シーパーク＆スパ" xr:uid="{0F315CF4-E13F-4DBF-846C-AC27AA8E8793}"/>
    <hyperlink ref="B179" location="'1032_ザロイヤルパークアイコニック名古屋'!A1" display="1032_ザロイヤルパークアイコニック名古屋" xr:uid="{1B31C014-D213-441B-A58B-DF865AF0F017}"/>
    <hyperlink ref="B180" location="'1033_エスパシオ　ナゴヤキャッスル'!A1" display="1033_エスパシオ　ナゴヤキャッスル" xr:uid="{B2D2F0C6-F013-44D7-A465-4FE7DB3E920B}"/>
    <hyperlink ref="B181" location="'1034_コンラッド名古屋'!A1" display="1034_コンラッド名古屋" xr:uid="{2029BEA3-F513-49E9-82D3-CD528B120B87}"/>
    <hyperlink ref="B182" location="'1035_JICA中部'!A1" display="1035_JICA中部" xr:uid="{B49E79C4-63C9-4AD9-BD3C-DBCA30E64CD6}"/>
    <hyperlink ref="B183" location="'1036_衣浦グランドホテル'!A1" display="1036_衣浦グランドホテル" xr:uid="{7D2C2578-51AA-4116-845E-43BB17BDD6F1}"/>
    <hyperlink ref="B185" location="'2001_アパホテル&lt;岐阜羽島駅前&gt;'!A1" display="2001_アパホテル&lt;岐阜羽島駅前&gt;" xr:uid="{9EF99A53-D35C-4821-B6D2-2CC0A11BCCEB}"/>
    <hyperlink ref="B186" location="'2007_シェラトン都ホテル大阪'!A1" display="2007_シェラトン都ホテル大阪" xr:uid="{E9B6750B-74A7-4774-A943-5F38AB4DC95D}"/>
    <hyperlink ref="B187" location="'2008_ホテルアゴーラリージェンシー大阪堺'!A1" display="2008_ホテルアゴーラリージェンシー大阪堺" xr:uid="{41207561-A8A4-4586-B0CF-1B265310CA44}"/>
    <hyperlink ref="B188" location="'2009_帝国ホテル大阪'!A1" display="2009_帝国ホテル大阪" xr:uid="{DACECA78-A924-4006-9BAC-D3D9B460FFB6}"/>
    <hyperlink ref="B189" location="'2010_神戸西神オリエンタルホテル'!A1" display="2010_神戸西神オリエンタルホテル" xr:uid="{5E46CF50-03C3-4E1B-B064-7350603FCC12}"/>
    <hyperlink ref="B190" location="'2011_ANAクラウンプラザホテル神戸'!A1" display="2011_ANAクラウンプラザホテル神戸" xr:uid="{CBBEEB75-917C-4200-BD84-5D8A920763FB}"/>
    <hyperlink ref="B191" location="'2012_シーサイドホテル舞子ビラ神戸'!A1" display="2012_シーサイドホテル舞子ビラ神戸" xr:uid="{C14F486B-5776-452C-8587-F3E79C55823B}"/>
    <hyperlink ref="B192" location="'2013_ホテルオークラ神戸'!A1" display="2013_ホテルオークラ神戸" xr:uid="{B5C42460-B35B-4303-99A9-9C300A5F392A}"/>
    <hyperlink ref="B193" location="'2015_京都ホテルオークラ '!A1" display="2015_京都ホテルオークラ " xr:uid="{E7BFDDA5-644E-49D2-BA3B-163CB549EAC6}"/>
    <hyperlink ref="B194" location="'2016_つま恋リゾート彩の郷'!A1" display="2016_つま恋リゾート彩の郷" xr:uid="{2388DEAC-234A-4E47-A236-6DF20F0AB49D}"/>
    <hyperlink ref="B195" location="'2018_掛川グランドホテル'!A1" display="2018_掛川グランドホテル" xr:uid="{C198F962-1D2A-4AF9-8DF2-D546811CB484}"/>
    <hyperlink ref="B196" location="'2019_THE HAMANAKO'!A1" display="2019_THE HAMANAKO" xr:uid="{ECDC4B8F-BABB-45A5-9FD8-C3722D3B06F5}"/>
    <hyperlink ref="B197" location="'2021_オークラアクトシティホテル浜松'!A1" display="2021_オークラアクトシティホテル浜松" xr:uid="{331FF6BE-DEAA-4BB3-A479-7EA0FAB1B252}"/>
    <hyperlink ref="B198" location="'2022_ホテルラフォーレ修善寺'!A1" display="2022_ホテルラフォーレ修善寺" xr:uid="{28CBFC61-7811-4533-BFC3-0754DD90083A}"/>
    <hyperlink ref="B199" location="'2024_富士山三島東急ホテル'!A1" display="2024_富士山三島東急ホテル" xr:uid="{A5DB597F-738A-4781-BB5B-495426E32A5C}"/>
    <hyperlink ref="B200" location="'2025_伊豆マリオット修善寺'!A1" display="2025_伊豆マリオット修善寺" xr:uid="{713BEF07-03BB-46CC-8B46-1128C5202BCC}"/>
    <hyperlink ref="B201" location="'2026_岐阜グランドホテル'!A1" display="2026_岐阜グランドホテル" xr:uid="{15FE94BF-4374-471F-A29E-38B780F70642}"/>
    <hyperlink ref="B202" location="'2027_都ホテル岐阜長良川'!A1" display="2027_都ホテル岐阜長良川" xr:uid="{20953BB5-6235-4CCF-8809-6AE0E0FE4035}"/>
    <hyperlink ref="B203" location="'2028_ホテルグランヴェール岐山（公立共済やすらぎの里）'!A1" display="2028_ホテルグランヴェール岐山（公立共済やすらぎの里）" xr:uid="{F7C50BE6-AD59-4DC0-A719-1CB704E6E8BE}"/>
    <hyperlink ref="B204" location="'2030_ホテルリソル岐阜'!A1" display="2030_ホテルリソル岐阜" xr:uid="{F3BBB8D3-1F52-4AEC-810E-0A7547E1D1B3}"/>
    <hyperlink ref="B205" location="'2032_大垣フォーラムホテル'!A1" display="2032_大垣フォーラムホテル" xr:uid="{93CE48E7-35E2-4DED-8DF5-33A83BB372E0}"/>
    <hyperlink ref="B206" location="'2034_ホテルルートイン各務原'!A1" display="2034_ホテルルートイン各務原" xr:uid="{CB9B632D-2050-461F-8DC2-8870A17D03B5}"/>
    <hyperlink ref="B207" location="'2036_ホテルルートイン羽島駅前'!A1" display="2036_ホテルルートイン羽島駅前" xr:uid="{0D75AC13-0A82-4974-A980-3A35E6668177}"/>
    <hyperlink ref="B208" location="'2037_ホテルコーヨー'!A1" display="2037_ホテルコーヨー" xr:uid="{A465D786-3749-4A7F-BE19-867C3A824681}"/>
    <hyperlink ref="B209" location="'2038_京都 東急ホテル'!A1" display="2038_京都 東急ホテル" xr:uid="{47EFB72A-2689-4C0A-9422-EB88FE1F4372}"/>
    <hyperlink ref="B210" location="'2040_リーガロイヤルホテル京都'!A1" display="2040_リーガロイヤルホテル京都" xr:uid="{AB9160EA-9C8D-4F23-A5CD-9AF64D1C0544}"/>
    <hyperlink ref="B211" location="'2041_ホテルコンコルド浜松'!A1" display="2041_ホテルコンコルド浜松" xr:uid="{0A062293-351F-47A5-AC3A-903F4F6B1D8E}"/>
    <hyperlink ref="B212" location="'2042_神戸ポートピアホテル'!A1" display="2042_神戸ポートピアホテル" xr:uid="{95969BEB-B61F-4986-919A-2FA4E0C9C5DA}"/>
    <hyperlink ref="B213" location="'2043_パレスホテル掛川'!A1" display="2043_パレスホテル掛川" xr:uid="{645589E6-2D64-4744-B67A-C26C64144439}"/>
    <hyperlink ref="B214" location="'2044_くれたけインプレミアム大垣駅前'!A1" display="2044_くれたけインプレミアム大垣駅前" xr:uid="{297AF2C1-7894-4846-84DE-481973FA66D7}"/>
    <hyperlink ref="B215" location="'2045_クインテッサホテル大垣'!A1" display="2045_クインテッサホテル大垣" xr:uid="{9E7E6B69-98C2-4F8C-BB42-11C7FC105884}"/>
    <hyperlink ref="B216" location="'2046_ホテルナガシマ'!A1" display="2046_ホテルナガシマ" xr:uid="{F250E6C4-C123-4B4F-A44A-93EC403DD190}"/>
    <hyperlink ref="B217" location="'2048_東京イーストサイドホテル櫂会'!A1" display="2048_東京イーストサイドホテル櫂会" xr:uid="{AF331758-3213-42C1-8DC7-1DA74D0C9956}"/>
    <hyperlink ref="B218" location="'2050_二子玉川エクセルホテル東急'!A1" display="2050_二子玉川エクセルホテル東急" xr:uid="{222F2B18-A281-4AA6-B313-1080C93E0601}"/>
    <hyperlink ref="B219" location="'2051_東京ベイ潮見プリンスホテル'!A1" display="2051_東京ベイ潮見プリンスホテル" xr:uid="{356DA13C-EB47-436F-8F1C-A836A9A9CDAB}"/>
    <hyperlink ref="B221" location="'3001_グランドニッコー東京　台場'!Print_Area" display="3001_グランドニッコー東京 台場" xr:uid="{E046D176-EA76-41F4-855E-759549AB6AC6}"/>
    <hyperlink ref="B227" location="'-_ホテルイースト21東京'!A1" display="-_ホテルイースト21東京" xr:uid="{35C27F9E-35E2-4C3C-8F42-CE6362EF43C1}"/>
    <hyperlink ref="B236" location="'オリジナル'!A1" display="オリジナル" xr:uid="{86A987C4-1495-48DB-A22E-319F3BDF75DA}"/>
    <hyperlink ref="B67" location="'0111_アパホテル&lt;名古屋錦&gt; EXCELLENT'!Print_Area" display="0111_アパホテル&lt;名古屋錦&gt; EXCELLENT" xr:uid="{902179EE-83E0-406F-A561-2B47A77D333D}"/>
    <hyperlink ref="B76" location="'0140_名古屋金山ホテル'!Print_Area" display="'0140_名古屋金山ホテル'!Print_Area" xr:uid="{2A6A4CB2-DEC5-4158-A8CC-67F1922F3C63}"/>
    <hyperlink ref="B85" location="'0168_ホテルフォルツァ栄'!Print_Area" display="'0168_ホテルフォルツァ栄'!Print_Area" xr:uid="{A14E4019-D90E-453E-ACE8-3CA44EA0A543}"/>
    <hyperlink ref="B222" location="'3002_長島温泉ガーデンホテルオリーブ'!Print_Area" display="3002_長島温泉ガーデンホテルオリーブ" xr:uid="{E8FB8FEF-E7D5-46A8-9BC0-BEFAF8DF5D11}"/>
    <hyperlink ref="B223" location="'3003_長島温泉 ホテル花水木'!Print_Area" display="3003_長島温泉 ホテル花水木" xr:uid="{AF75828B-7414-4877-BC9B-076FEFC6233E}"/>
    <hyperlink ref="B225" location="'3005_アパホテル新大阪駅前'!Print_Area" display="3005-_アパホテル新大阪駅前" xr:uid="{C6E95417-4BCC-4669-9B56-E49F977E6810}"/>
    <hyperlink ref="B226" location="'3006_アパホテル＆リゾート東京ベイ潮見'!Print_Area" display="3006-_アパホテル＆リゾート東京ベイ潮見" xr:uid="{D32310D3-F4D0-4AD5-89F0-0E46565B868E}"/>
    <hyperlink ref="B224" location="'3004_東横イン富士山三島駅'!Print_Area" display="東横イン富士山三島駅" xr:uid="{CD2E6C1F-0385-42F4-AAC8-9DF21DB3713B}"/>
    <hyperlink ref="B228" location="'2052_オースタット国際ホテル多治見'!A1" display="2052_オースタット国際ホテル多治見" xr:uid="{22B64CD1-0934-4645-9655-6DDFD8531F9C}"/>
    <hyperlink ref="B229" location="'-_THE OKURA TOKYO'!A1" display="-_THE OKURA TOKYO" xr:uid="{58C336E4-2B56-488F-B1E1-C4EBAD18A08F}"/>
    <hyperlink ref="B230" location="'-_帝国ホテル　東京'!A1" display="-_帝国ホテル　東京" xr:uid="{71164274-4F34-4750-BE89-2432EB5AA778}"/>
    <hyperlink ref="B231" location="'-_ルートイン愛知東郷町'!A1" display="-_ルートイン愛知東郷町" xr:uid="{62E11264-8E8B-4BB3-8C0E-90E1E7091DEF}"/>
    <hyperlink ref="B232" location="'-_東横イン浜松駅北口'!A1" display="-_東横イン浜松駅北口" xr:uid="{FEC5F335-F046-4AFC-89A8-DC86AA0D32E3}"/>
    <hyperlink ref="B233" location="'-_東横イン京都四条烏丸'!A1" display="-_東横イン京都四条烏丸" xr:uid="{478D7812-117B-4E3C-BE8C-104343F85C53}"/>
    <hyperlink ref="B234" location="'-_東横イン神戸三ノ宮1'!A1" display="-_東横イン神戸三ノ宮1" xr:uid="{95C96F40-F136-4B3F-AB6F-7011246AB421}"/>
    <hyperlink ref="B235" location="'-_東横イン大阪なんば日本橋'!A1" display="-_東横イン大阪なんば日本橋" xr:uid="{75D25445-B6C2-4D32-921E-A31A1E0DFDC8}"/>
    <hyperlink ref="B220" location="'3000_ルートイン愛知東郷町'!Print_Area" display="ホテルルートイン愛知東郷町" xr:uid="{264D2695-1E8D-421D-A61E-8188D041544A}"/>
    <hyperlink ref="B130" location="'0256_ホテル東海園'!Print_Area" display="0256_ホテル東海園" xr:uid="{CE1E83D6-8168-433A-8D90-13D473CB173C}"/>
    <hyperlink ref="B184" location="'1039_ベストウェスタンプラス名古屋栄'!Print_Area" display="1039_ベストウェスタンプラス名古屋栄" xr:uid="{B340F545-656A-45A6-BCE8-3D1394A7A6E7}"/>
  </hyperlinks>
  <pageMargins left="0.7" right="0.7" top="0.75" bottom="0.75" header="0.3" footer="0.3"/>
  <legacy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10116-D7DF-435C-8ED4-6C9A17E8FA57}">
  <sheetPr codeName="Sheet409">
    <pageSetUpPr fitToPage="1"/>
  </sheetPr>
  <dimension ref="B2:N77"/>
  <sheetViews>
    <sheetView showGridLines="0" zoomScale="70" zoomScaleNormal="70" workbookViewId="0">
      <selection activeCell="K32" sqref="K32"/>
    </sheetView>
  </sheetViews>
  <sheetFormatPr defaultRowHeight="13"/>
  <cols>
    <col min="2" max="2" width="11.54296875" customWidth="1"/>
    <col min="3" max="3" width="23.26953125" customWidth="1"/>
    <col min="4" max="4" width="9.453125" customWidth="1"/>
    <col min="5" max="5" width="5.36328125" customWidth="1"/>
    <col min="6" max="6" width="9.453125" customWidth="1"/>
    <col min="7" max="7" width="5.453125" customWidth="1"/>
    <col min="8" max="8" width="26.81640625" customWidth="1"/>
    <col min="9" max="9" width="34.453125" customWidth="1"/>
    <col min="10" max="10" width="13.36328125" customWidth="1"/>
    <col min="11" max="11" width="5.453125" customWidth="1"/>
    <col min="12" max="12" width="50.1796875" customWidth="1"/>
    <col min="13" max="13" width="13.453125" customWidth="1"/>
    <col min="14" max="14" width="12" customWidth="1"/>
  </cols>
  <sheetData>
    <row r="2" spans="2:11" ht="14">
      <c r="B2" s="4333" t="s">
        <v>189</v>
      </c>
    </row>
    <row r="3" spans="2:11">
      <c r="B3" t="s">
        <v>190</v>
      </c>
    </row>
    <row r="4" spans="2:11">
      <c r="B4" s="6332" t="s">
        <v>7037</v>
      </c>
    </row>
    <row r="6" spans="2:11">
      <c r="B6" t="s">
        <v>192</v>
      </c>
    </row>
    <row r="7" spans="2:11">
      <c r="C7" s="6422" t="s">
        <v>193</v>
      </c>
      <c r="D7" s="6422"/>
      <c r="E7" s="4316" t="s">
        <v>194</v>
      </c>
    </row>
    <row r="8" spans="2:11">
      <c r="C8" s="4314"/>
      <c r="D8" s="4314"/>
      <c r="E8" s="4315"/>
    </row>
    <row r="9" spans="2:11">
      <c r="C9" s="4314"/>
      <c r="D9" s="4314"/>
      <c r="E9" s="4315"/>
    </row>
    <row r="10" spans="2:11">
      <c r="C10" s="6422" t="s">
        <v>195</v>
      </c>
      <c r="D10" s="6422"/>
      <c r="E10" t="s">
        <v>196</v>
      </c>
    </row>
    <row r="11" spans="2:11">
      <c r="E11" s="1064"/>
    </row>
    <row r="12" spans="2:11">
      <c r="B12" t="s">
        <v>7032</v>
      </c>
      <c r="E12" s="1064"/>
    </row>
    <row r="13" spans="2:11" ht="13.5" thickBot="1">
      <c r="C13" s="6422" t="s">
        <v>193</v>
      </c>
      <c r="D13" s="6422"/>
      <c r="E13" s="4316" t="s">
        <v>194</v>
      </c>
      <c r="F13" s="6423" t="s">
        <v>198</v>
      </c>
      <c r="G13" s="6423"/>
      <c r="H13" s="6423"/>
      <c r="I13" s="6423"/>
      <c r="J13" s="1064"/>
      <c r="K13" s="1064"/>
    </row>
    <row r="14" spans="2:11">
      <c r="C14" s="4314"/>
      <c r="D14" s="4314"/>
      <c r="E14" s="4315"/>
      <c r="F14" s="6424" t="s">
        <v>199</v>
      </c>
      <c r="G14" s="6425"/>
      <c r="H14" s="4317" t="s">
        <v>200</v>
      </c>
      <c r="I14" s="4318" t="s">
        <v>201</v>
      </c>
      <c r="J14" s="1064"/>
      <c r="K14" s="1064"/>
    </row>
    <row r="15" spans="2:11" ht="13.5" thickBot="1">
      <c r="C15" s="4314"/>
      <c r="D15" s="4314"/>
      <c r="E15" s="4315"/>
      <c r="F15" s="6426"/>
      <c r="G15" s="6427"/>
      <c r="H15" s="4319"/>
      <c r="I15" s="4320"/>
    </row>
    <row r="16" spans="2:11">
      <c r="C16" s="6422" t="s">
        <v>195</v>
      </c>
      <c r="D16" s="6422"/>
      <c r="E16" t="s">
        <v>196</v>
      </c>
      <c r="H16" s="2812" t="s">
        <v>202</v>
      </c>
    </row>
    <row r="17" spans="2:11">
      <c r="E17" s="1064"/>
    </row>
    <row r="18" spans="2:11">
      <c r="B18" t="s">
        <v>7033</v>
      </c>
      <c r="E18" s="1064"/>
    </row>
    <row r="19" spans="2:11" ht="13.5" thickBot="1">
      <c r="C19" s="6422" t="s">
        <v>193</v>
      </c>
      <c r="D19" s="6422"/>
      <c r="E19" s="4316" t="s">
        <v>194</v>
      </c>
      <c r="F19" s="6423" t="s">
        <v>198</v>
      </c>
      <c r="G19" s="6423"/>
      <c r="H19" s="6423"/>
      <c r="I19" s="6423"/>
      <c r="J19" s="1064"/>
      <c r="K19" s="1064"/>
    </row>
    <row r="20" spans="2:11">
      <c r="C20" s="4314"/>
      <c r="D20" s="4314"/>
      <c r="E20" s="4315"/>
      <c r="F20" s="6418" t="s">
        <v>204</v>
      </c>
      <c r="G20" s="6419"/>
      <c r="H20" s="4317" t="s">
        <v>200</v>
      </c>
      <c r="I20" s="4318" t="s">
        <v>201</v>
      </c>
      <c r="J20" s="1064"/>
      <c r="K20" s="1064"/>
    </row>
    <row r="21" spans="2:11" ht="13.5" thickBot="1">
      <c r="C21" s="4314"/>
      <c r="D21" s="4314"/>
      <c r="E21" s="4315"/>
      <c r="F21" s="6420" t="s">
        <v>205</v>
      </c>
      <c r="G21" s="6421"/>
      <c r="H21" s="4319"/>
      <c r="I21" s="4320"/>
    </row>
    <row r="22" spans="2:11">
      <c r="C22" s="6422" t="s">
        <v>195</v>
      </c>
      <c r="D22" s="6422"/>
      <c r="E22" t="s">
        <v>196</v>
      </c>
      <c r="H22" s="6428" t="s">
        <v>206</v>
      </c>
      <c r="I22" s="6428"/>
      <c r="J22" s="1064"/>
      <c r="K22" s="1064"/>
    </row>
    <row r="23" spans="2:11">
      <c r="E23" s="1064"/>
    </row>
    <row r="25" spans="2:11">
      <c r="B25" t="s">
        <v>7034</v>
      </c>
    </row>
    <row r="27" spans="2:11" ht="13.5" thickBot="1">
      <c r="C27" s="1064" t="s">
        <v>193</v>
      </c>
      <c r="D27" s="6422" t="s">
        <v>198</v>
      </c>
      <c r="E27" s="6422"/>
      <c r="F27" s="6422"/>
      <c r="G27" s="6422"/>
      <c r="H27" s="6422"/>
      <c r="I27" s="6422"/>
      <c r="J27" s="1064"/>
      <c r="K27" s="1064"/>
    </row>
    <row r="28" spans="2:11">
      <c r="C28" s="4314"/>
      <c r="D28" s="4323" t="s">
        <v>208</v>
      </c>
      <c r="E28" s="4321" t="s">
        <v>209</v>
      </c>
      <c r="F28" s="6429"/>
      <c r="G28" s="6430"/>
      <c r="H28" s="4317" t="s">
        <v>200</v>
      </c>
      <c r="I28" s="4318" t="s">
        <v>201</v>
      </c>
      <c r="J28" s="1064"/>
      <c r="K28" s="1064"/>
    </row>
    <row r="29" spans="2:11" ht="13.5" thickBot="1">
      <c r="C29" s="4314"/>
      <c r="D29" s="4324" t="s">
        <v>210</v>
      </c>
      <c r="E29" s="4322" t="s">
        <v>196</v>
      </c>
      <c r="F29" s="6431"/>
      <c r="G29" s="6432"/>
      <c r="H29" s="4319"/>
      <c r="I29" s="4320"/>
    </row>
    <row r="30" spans="2:11">
      <c r="C30" s="1064" t="s">
        <v>211</v>
      </c>
      <c r="D30" s="6428" t="s">
        <v>212</v>
      </c>
      <c r="E30" s="6428"/>
      <c r="H30" s="6428" t="s">
        <v>206</v>
      </c>
      <c r="I30" s="6428"/>
      <c r="J30" s="1064"/>
      <c r="K30" s="1064"/>
    </row>
    <row r="32" spans="2:11">
      <c r="C32" s="4325" t="s">
        <v>213</v>
      </c>
    </row>
    <row r="33" spans="2:12">
      <c r="C33" s="4325" t="s">
        <v>214</v>
      </c>
    </row>
    <row r="35" spans="2:12">
      <c r="B35" s="6250" t="s">
        <v>7035</v>
      </c>
      <c r="C35" s="6250"/>
    </row>
    <row r="36" spans="2:12" ht="13.5" thickBot="1">
      <c r="C36" s="6422" t="s">
        <v>193</v>
      </c>
      <c r="D36" s="6422"/>
      <c r="E36" s="6422" t="s">
        <v>216</v>
      </c>
      <c r="F36" s="6422"/>
      <c r="G36" s="6422"/>
      <c r="H36" s="6422"/>
      <c r="I36" s="6422"/>
      <c r="J36" s="1064"/>
      <c r="K36" s="1064"/>
    </row>
    <row r="37" spans="2:12">
      <c r="C37" s="4314"/>
      <c r="D37" s="4328"/>
      <c r="E37" s="4329" t="s">
        <v>209</v>
      </c>
      <c r="F37" s="4331" t="s">
        <v>208</v>
      </c>
      <c r="G37" s="4327"/>
      <c r="H37" s="4317" t="s">
        <v>200</v>
      </c>
      <c r="I37" s="4318" t="s">
        <v>201</v>
      </c>
      <c r="J37" s="1064"/>
      <c r="K37" s="1064"/>
    </row>
    <row r="38" spans="2:12" ht="13.5" thickBot="1">
      <c r="C38" s="4314"/>
      <c r="D38" s="4328"/>
      <c r="E38" s="4330" t="s">
        <v>196</v>
      </c>
      <c r="F38" s="4332" t="s">
        <v>210</v>
      </c>
      <c r="G38" s="4326"/>
      <c r="H38" s="4319"/>
      <c r="I38" s="4320"/>
    </row>
    <row r="39" spans="2:12">
      <c r="C39" s="6422" t="s">
        <v>217</v>
      </c>
      <c r="D39" s="6422"/>
      <c r="E39" s="6428" t="s">
        <v>212</v>
      </c>
      <c r="F39" s="6428"/>
      <c r="H39" s="6428" t="s">
        <v>206</v>
      </c>
      <c r="I39" s="6428"/>
      <c r="J39" s="1064"/>
      <c r="K39" s="1064"/>
    </row>
    <row r="40" spans="2:12">
      <c r="L40" t="s">
        <v>329</v>
      </c>
    </row>
    <row r="41" spans="2:12">
      <c r="C41" t="s">
        <v>7042</v>
      </c>
    </row>
    <row r="43" spans="2:12">
      <c r="B43" s="6250" t="s">
        <v>7036</v>
      </c>
      <c r="C43" s="6250"/>
    </row>
    <row r="44" spans="2:12" ht="13.5" thickBot="1">
      <c r="C44" s="6422" t="s">
        <v>193</v>
      </c>
      <c r="D44" s="6422"/>
      <c r="E44" s="6422" t="s">
        <v>216</v>
      </c>
      <c r="F44" s="6422"/>
      <c r="G44" s="6422"/>
      <c r="H44" s="6422"/>
      <c r="I44" s="6422"/>
      <c r="J44" s="6422"/>
      <c r="K44" s="6422"/>
    </row>
    <row r="45" spans="2:12">
      <c r="C45" s="4314"/>
      <c r="D45" s="4328"/>
      <c r="E45" s="4329" t="s">
        <v>209</v>
      </c>
      <c r="F45" s="4331" t="s">
        <v>208</v>
      </c>
      <c r="G45" s="4327"/>
      <c r="H45" s="6329" t="s">
        <v>4248</v>
      </c>
      <c r="I45" s="7044" t="s">
        <v>7044</v>
      </c>
      <c r="J45" s="7044"/>
      <c r="K45" s="7045"/>
    </row>
    <row r="46" spans="2:12" ht="13.5" thickBot="1">
      <c r="C46" s="4314"/>
      <c r="D46" s="4328"/>
      <c r="E46" s="4330" t="s">
        <v>196</v>
      </c>
      <c r="F46" s="4332" t="s">
        <v>210</v>
      </c>
      <c r="G46" s="4326"/>
      <c r="H46" s="6330"/>
      <c r="I46" s="7046"/>
      <c r="J46" s="7046"/>
      <c r="K46" s="7047"/>
    </row>
    <row r="47" spans="2:12">
      <c r="C47" s="6422" t="s">
        <v>217</v>
      </c>
      <c r="D47" s="6422"/>
      <c r="E47" s="6428"/>
      <c r="F47" s="6428"/>
      <c r="H47" s="6428"/>
      <c r="I47" s="6428"/>
      <c r="J47" s="1064"/>
      <c r="K47" s="1064"/>
    </row>
    <row r="50" spans="2:13">
      <c r="C50" s="4325" t="s">
        <v>7038</v>
      </c>
    </row>
    <row r="51" spans="2:13">
      <c r="C51" s="4325" t="s">
        <v>7039</v>
      </c>
    </row>
    <row r="52" spans="2:13">
      <c r="C52" t="s">
        <v>7041</v>
      </c>
    </row>
    <row r="56" spans="2:13">
      <c r="B56" t="s">
        <v>7018</v>
      </c>
    </row>
    <row r="57" spans="2:13" ht="13.5" thickBot="1">
      <c r="C57" s="6422" t="s">
        <v>193</v>
      </c>
      <c r="D57" s="6422"/>
      <c r="E57" s="4316" t="s">
        <v>194</v>
      </c>
      <c r="F57" s="6423" t="s">
        <v>198</v>
      </c>
      <c r="G57" s="6423"/>
      <c r="H57" s="6423"/>
      <c r="I57" s="6423"/>
      <c r="J57" s="6423" t="s">
        <v>330</v>
      </c>
      <c r="K57" s="6423"/>
      <c r="L57" s="6423"/>
      <c r="M57" s="1064"/>
    </row>
    <row r="58" spans="2:13">
      <c r="C58" s="4314"/>
      <c r="D58" s="4314"/>
      <c r="E58" s="4315"/>
      <c r="F58" s="6424" t="s">
        <v>199</v>
      </c>
      <c r="G58" s="6425"/>
      <c r="H58" s="4317" t="s">
        <v>200</v>
      </c>
      <c r="I58" s="4318" t="s">
        <v>201</v>
      </c>
      <c r="J58" s="7048" t="s">
        <v>331</v>
      </c>
      <c r="K58" s="7049"/>
      <c r="L58" s="7060"/>
      <c r="M58" s="1064"/>
    </row>
    <row r="59" spans="2:13" ht="13.5" thickBot="1">
      <c r="C59" s="4314"/>
      <c r="D59" s="4314"/>
      <c r="E59" s="4315"/>
      <c r="F59" s="6426"/>
      <c r="G59" s="6427"/>
      <c r="H59" s="4319"/>
      <c r="I59" s="4320"/>
      <c r="J59" s="7051"/>
      <c r="K59" s="7052"/>
      <c r="L59" s="7061"/>
      <c r="M59" s="1064"/>
    </row>
    <row r="60" spans="2:13">
      <c r="C60" s="6422" t="s">
        <v>195</v>
      </c>
      <c r="D60" s="6422"/>
      <c r="E60" t="s">
        <v>196</v>
      </c>
      <c r="H60" s="2812" t="s">
        <v>202</v>
      </c>
      <c r="J60" s="6428" t="s">
        <v>332</v>
      </c>
      <c r="K60" s="6428"/>
      <c r="L60" s="6428"/>
      <c r="M60" s="1064"/>
    </row>
    <row r="62" spans="2:13">
      <c r="B62" t="s">
        <v>7019</v>
      </c>
    </row>
    <row r="63" spans="2:13" ht="13.5" thickBot="1">
      <c r="C63" s="6422" t="s">
        <v>193</v>
      </c>
      <c r="D63" s="6422"/>
      <c r="E63" s="4316" t="s">
        <v>194</v>
      </c>
      <c r="F63" s="6423" t="s">
        <v>198</v>
      </c>
      <c r="G63" s="6423"/>
      <c r="H63" s="6423"/>
      <c r="I63" s="6423"/>
      <c r="J63" s="6423" t="s">
        <v>330</v>
      </c>
      <c r="K63" s="6423"/>
      <c r="L63" s="6423"/>
      <c r="M63" s="1064"/>
    </row>
    <row r="64" spans="2:13">
      <c r="C64" s="4314"/>
      <c r="D64" s="4314"/>
      <c r="E64" s="4315"/>
      <c r="F64" s="7054" t="s">
        <v>333</v>
      </c>
      <c r="G64" s="7055"/>
      <c r="H64" s="7055"/>
      <c r="I64" s="7056"/>
      <c r="J64" s="7048" t="s">
        <v>331</v>
      </c>
      <c r="K64" s="7049"/>
      <c r="L64" s="7060"/>
      <c r="M64" s="1064"/>
    </row>
    <row r="65" spans="2:14" ht="13.5" thickBot="1">
      <c r="C65" s="4314"/>
      <c r="D65" s="4314"/>
      <c r="E65" s="4315"/>
      <c r="F65" s="7057" t="s">
        <v>334</v>
      </c>
      <c r="G65" s="7058"/>
      <c r="H65" s="7058"/>
      <c r="I65" s="7059"/>
      <c r="J65" s="7051"/>
      <c r="K65" s="7052"/>
      <c r="L65" s="7061"/>
      <c r="M65" s="1064"/>
    </row>
    <row r="66" spans="2:14">
      <c r="C66" s="6422" t="s">
        <v>195</v>
      </c>
      <c r="D66" s="6422"/>
      <c r="E66" t="s">
        <v>196</v>
      </c>
      <c r="J66" s="6428" t="s">
        <v>332</v>
      </c>
      <c r="K66" s="6428"/>
      <c r="L66" s="6428"/>
      <c r="M66" s="1064"/>
    </row>
    <row r="68" spans="2:14">
      <c r="B68" s="6326" t="s">
        <v>7020</v>
      </c>
      <c r="C68" s="6250"/>
    </row>
    <row r="69" spans="2:14" ht="13.5" thickBot="1">
      <c r="C69" s="6422" t="s">
        <v>193</v>
      </c>
      <c r="D69" s="6422"/>
      <c r="E69" s="4316" t="s">
        <v>194</v>
      </c>
      <c r="F69" s="6422" t="s">
        <v>198</v>
      </c>
      <c r="G69" s="6422"/>
      <c r="H69" s="6422"/>
      <c r="I69" s="6422"/>
      <c r="J69" s="6422"/>
      <c r="K69" s="6423" t="s">
        <v>330</v>
      </c>
      <c r="L69" s="6423"/>
      <c r="M69" s="6423"/>
      <c r="N69" s="6423"/>
    </row>
    <row r="70" spans="2:14">
      <c r="C70" s="4314"/>
      <c r="D70" s="4314"/>
      <c r="E70" s="6323">
        <v>1500</v>
      </c>
      <c r="F70" s="6318" t="s">
        <v>208</v>
      </c>
      <c r="G70" s="6321"/>
      <c r="H70" s="6328" t="s">
        <v>4248</v>
      </c>
      <c r="I70" s="7044" t="s">
        <v>7040</v>
      </c>
      <c r="J70" s="7045"/>
      <c r="K70" s="7048" t="s">
        <v>7029</v>
      </c>
      <c r="L70" s="7049"/>
      <c r="M70" s="7050"/>
      <c r="N70" s="6324" t="s">
        <v>7026</v>
      </c>
    </row>
    <row r="71" spans="2:14" ht="13.5" thickBot="1">
      <c r="C71" s="4314"/>
      <c r="D71" s="4314"/>
      <c r="E71" s="6323" t="s">
        <v>7024</v>
      </c>
      <c r="F71" s="6319" t="s">
        <v>210</v>
      </c>
      <c r="G71" s="6320"/>
      <c r="H71" s="6331"/>
      <c r="I71" s="7046"/>
      <c r="J71" s="7047"/>
      <c r="K71" s="7051" t="s">
        <v>7028</v>
      </c>
      <c r="L71" s="7052"/>
      <c r="M71" s="7053"/>
      <c r="N71" s="6325" t="s">
        <v>7027</v>
      </c>
    </row>
    <row r="72" spans="2:14">
      <c r="C72" s="6422" t="s">
        <v>195</v>
      </c>
      <c r="D72" s="6422"/>
      <c r="H72" s="6322"/>
      <c r="K72" s="6428" t="s">
        <v>7025</v>
      </c>
      <c r="L72" s="6428"/>
      <c r="M72" s="6428"/>
      <c r="N72" s="6428"/>
    </row>
    <row r="73" spans="2:14">
      <c r="C73" s="1064"/>
      <c r="D73" s="1064"/>
      <c r="H73" s="6322"/>
      <c r="L73" s="1064"/>
      <c r="M73" s="1064"/>
    </row>
    <row r="74" spans="2:14">
      <c r="C74" s="1064"/>
      <c r="D74" s="1064"/>
      <c r="H74" s="6322"/>
      <c r="L74" s="1064"/>
      <c r="M74" s="1064"/>
    </row>
    <row r="75" spans="2:14">
      <c r="C75" s="4325" t="s">
        <v>335</v>
      </c>
    </row>
    <row r="76" spans="2:14">
      <c r="C76" s="4325" t="s">
        <v>7023</v>
      </c>
    </row>
    <row r="77" spans="2:14">
      <c r="C77" t="s">
        <v>7043</v>
      </c>
    </row>
  </sheetData>
  <mergeCells count="57">
    <mergeCell ref="J66:L66"/>
    <mergeCell ref="K69:N69"/>
    <mergeCell ref="F58:G58"/>
    <mergeCell ref="J58:L58"/>
    <mergeCell ref="J59:L59"/>
    <mergeCell ref="J64:L64"/>
    <mergeCell ref="J65:L65"/>
    <mergeCell ref="J60:L60"/>
    <mergeCell ref="J63:L63"/>
    <mergeCell ref="C66:D66"/>
    <mergeCell ref="F59:G59"/>
    <mergeCell ref="C60:D60"/>
    <mergeCell ref="C63:D63"/>
    <mergeCell ref="F63:I63"/>
    <mergeCell ref="F64:I64"/>
    <mergeCell ref="F65:I65"/>
    <mergeCell ref="C69:D69"/>
    <mergeCell ref="C72:D72"/>
    <mergeCell ref="K70:M70"/>
    <mergeCell ref="K71:M71"/>
    <mergeCell ref="K72:N72"/>
    <mergeCell ref="I70:J70"/>
    <mergeCell ref="I71:J71"/>
    <mergeCell ref="F69:J69"/>
    <mergeCell ref="D27:I27"/>
    <mergeCell ref="F28:G28"/>
    <mergeCell ref="F29:G29"/>
    <mergeCell ref="D30:E30"/>
    <mergeCell ref="H30:I30"/>
    <mergeCell ref="C36:D36"/>
    <mergeCell ref="E36:I36"/>
    <mergeCell ref="C39:D39"/>
    <mergeCell ref="E39:F39"/>
    <mergeCell ref="H39:I39"/>
    <mergeCell ref="C57:D57"/>
    <mergeCell ref="F57:I57"/>
    <mergeCell ref="C44:D44"/>
    <mergeCell ref="C47:D47"/>
    <mergeCell ref="I45:K45"/>
    <mergeCell ref="I46:K46"/>
    <mergeCell ref="E44:K44"/>
    <mergeCell ref="E47:F47"/>
    <mergeCell ref="H47:I47"/>
    <mergeCell ref="J57:L57"/>
    <mergeCell ref="C22:D22"/>
    <mergeCell ref="H22:I22"/>
    <mergeCell ref="C7:D7"/>
    <mergeCell ref="C10:D10"/>
    <mergeCell ref="C13:D13"/>
    <mergeCell ref="F13:I13"/>
    <mergeCell ref="F14:G14"/>
    <mergeCell ref="F15:G15"/>
    <mergeCell ref="C16:D16"/>
    <mergeCell ref="C19:D19"/>
    <mergeCell ref="F19:I19"/>
    <mergeCell ref="F20:G20"/>
    <mergeCell ref="F21:G21"/>
  </mergeCells>
  <phoneticPr fontId="2"/>
  <pageMargins left="0.7" right="0.7" top="0.75" bottom="0.75" header="0.3" footer="0.3"/>
  <pageSetup paperSize="9" scale="51" orientation="landscape" verticalDpi="0" r:id="rId1"/>
  <drawing r:id="rId2"/>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ECAE-6469-4453-A919-DF5A8A0EFE62}">
  <sheetPr codeName="Sheet258"/>
  <dimension ref="A1:K11"/>
  <sheetViews>
    <sheetView workbookViewId="0">
      <selection activeCell="E41" sqref="E41"/>
    </sheetView>
  </sheetViews>
  <sheetFormatPr defaultColWidth="8.7265625" defaultRowHeight="13"/>
  <cols>
    <col min="1" max="1" width="12.453125" style="1064" customWidth="1"/>
    <col min="2" max="2" width="24.81640625" style="1064" customWidth="1"/>
    <col min="3" max="3" width="13.453125" style="1064" customWidth="1"/>
    <col min="4" max="12" width="8.7265625" style="1064"/>
    <col min="13" max="13" width="28.1796875" style="1064" customWidth="1"/>
    <col min="14" max="16384" width="8.7265625" style="1064"/>
  </cols>
  <sheetData>
    <row r="1" spans="1:11">
      <c r="A1" s="1062"/>
      <c r="B1" s="1062" t="s">
        <v>316</v>
      </c>
      <c r="C1" s="1063" t="s">
        <v>317</v>
      </c>
      <c r="D1" s="6445" t="s">
        <v>318</v>
      </c>
      <c r="E1" s="6445"/>
      <c r="F1" s="6445"/>
      <c r="G1" s="6445"/>
      <c r="H1" s="6445"/>
      <c r="I1" s="6445"/>
    </row>
    <row r="2" spans="1:11">
      <c r="A2" s="1062" t="s">
        <v>319</v>
      </c>
      <c r="B2" s="1062">
        <v>99.9</v>
      </c>
      <c r="C2" s="1062">
        <v>98.7</v>
      </c>
      <c r="D2" s="6446">
        <f>ROUNDUP(C3/C2,2)</f>
        <v>1.19</v>
      </c>
      <c r="I2" s="1065"/>
    </row>
    <row r="3" spans="1:11">
      <c r="A3" s="1062" t="s">
        <v>320</v>
      </c>
      <c r="B3" s="1066">
        <v>100</v>
      </c>
      <c r="C3" s="1062">
        <v>116.9</v>
      </c>
      <c r="D3" s="6445"/>
      <c r="E3" s="6445">
        <f>ROUNDUP(C4/C3,2)</f>
        <v>0.98</v>
      </c>
      <c r="I3" s="1065"/>
      <c r="J3" s="1067">
        <v>100</v>
      </c>
      <c r="K3" t="s">
        <v>321</v>
      </c>
    </row>
    <row r="4" spans="1:11">
      <c r="A4" s="1062" t="s">
        <v>322</v>
      </c>
      <c r="B4" s="1062">
        <v>103.2</v>
      </c>
      <c r="C4" s="1062">
        <v>113.6</v>
      </c>
      <c r="D4" s="1068"/>
      <c r="E4" s="6445"/>
      <c r="F4" s="6445">
        <f>ROUNDUP(C5/C4,2)</f>
        <v>1.26</v>
      </c>
      <c r="I4" s="1065"/>
      <c r="J4" s="1067"/>
      <c r="K4"/>
    </row>
    <row r="5" spans="1:11">
      <c r="A5" s="1062" t="s">
        <v>323</v>
      </c>
      <c r="B5" s="1062">
        <v>106.3</v>
      </c>
      <c r="C5" s="1062">
        <v>142.6</v>
      </c>
      <c r="D5" s="1068"/>
      <c r="F5" s="6445"/>
      <c r="G5" s="7062">
        <f>ROUNDUP(C6/C5,2)</f>
        <v>1.1000000000000001</v>
      </c>
      <c r="I5" s="1065"/>
      <c r="J5" s="1067"/>
      <c r="K5"/>
    </row>
    <row r="6" spans="1:11">
      <c r="A6" s="1062" t="s">
        <v>336</v>
      </c>
      <c r="B6" s="1064">
        <v>109.5</v>
      </c>
      <c r="C6" s="1062">
        <v>156.4</v>
      </c>
      <c r="D6" s="1068"/>
      <c r="G6" s="6446"/>
      <c r="H6" s="6447" t="s">
        <v>246</v>
      </c>
      <c r="I6" s="1065"/>
      <c r="J6" s="1067"/>
    </row>
    <row r="7" spans="1:11">
      <c r="A7" s="1069" t="s">
        <v>325</v>
      </c>
      <c r="B7" s="1070"/>
      <c r="C7" s="2802">
        <v>156.4</v>
      </c>
      <c r="D7" s="1071"/>
      <c r="E7" s="1072"/>
      <c r="F7" s="1072"/>
      <c r="G7" s="1072"/>
      <c r="H7" s="6447"/>
      <c r="I7" s="6447" t="s">
        <v>246</v>
      </c>
      <c r="J7" s="1067"/>
    </row>
    <row r="8" spans="1:11">
      <c r="A8" s="1069" t="s">
        <v>326</v>
      </c>
      <c r="B8" s="1070"/>
      <c r="C8" s="2802">
        <v>156.4</v>
      </c>
      <c r="D8" s="1074"/>
      <c r="E8" s="1075"/>
      <c r="F8" s="1075"/>
      <c r="G8" s="1075"/>
      <c r="H8" s="1075"/>
      <c r="I8" s="6447"/>
      <c r="J8" s="1067">
        <f>ROUNDUP(C8*100/C3,1)</f>
        <v>133.79999999999998</v>
      </c>
      <c r="K8" t="s">
        <v>327</v>
      </c>
    </row>
    <row r="9" spans="1:11" ht="13.5" thickBot="1"/>
    <row r="10" spans="1:11" ht="13.5" thickBot="1">
      <c r="F10" s="6443" t="s">
        <v>337</v>
      </c>
      <c r="G10" s="6444"/>
      <c r="H10" s="6444"/>
      <c r="I10" s="1076">
        <f>ROUNDUP(C8/C3,2)</f>
        <v>1.34</v>
      </c>
    </row>
    <row r="11" spans="1:11" ht="13.5" thickBot="1">
      <c r="F11" s="6443" t="s">
        <v>338</v>
      </c>
      <c r="G11" s="6444"/>
      <c r="H11" s="6444"/>
      <c r="I11" s="5860">
        <f>ROUNDUP(B6/B3,2)</f>
        <v>1.1000000000000001</v>
      </c>
    </row>
  </sheetData>
  <mergeCells count="9">
    <mergeCell ref="F11:H11"/>
    <mergeCell ref="F10:H10"/>
    <mergeCell ref="D1:I1"/>
    <mergeCell ref="D2:D3"/>
    <mergeCell ref="E3:E4"/>
    <mergeCell ref="F4:F5"/>
    <mergeCell ref="G5:G6"/>
    <mergeCell ref="H6:H7"/>
    <mergeCell ref="I7:I8"/>
  </mergeCells>
  <phoneticPr fontId="2"/>
  <pageMargins left="0.7" right="0.7" top="0.75" bottom="0.75" header="0.3" footer="0.3"/>
  <pageSetup paperSize="9" orientation="landscape" r:id="rId1"/>
  <legacy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2750-D77A-4845-9C44-9F8FF7279DEA}">
  <sheetPr codeName="Sheet229">
    <tabColor rgb="FFFFFF00"/>
    <pageSetUpPr fitToPage="1"/>
  </sheetPr>
  <dimension ref="B2:T69"/>
  <sheetViews>
    <sheetView topLeftCell="A8" workbookViewId="0"/>
  </sheetViews>
  <sheetFormatPr defaultColWidth="9" defaultRowHeight="12"/>
  <cols>
    <col min="1" max="1" width="2.81640625" style="1" customWidth="1"/>
    <col min="2" max="6" width="14.54296875" style="1" customWidth="1"/>
    <col min="7" max="7" width="17.81640625" style="1" customWidth="1"/>
    <col min="8" max="9" width="13.453125" style="1" customWidth="1"/>
    <col min="10" max="10" width="2.453125" style="1" customWidth="1"/>
    <col min="11" max="11" width="19.453125" style="1" customWidth="1"/>
    <col min="12" max="12" width="11" style="1" customWidth="1"/>
    <col min="13" max="13" width="17.1796875" style="1" bestFit="1" customWidth="1"/>
    <col min="14" max="14" width="11" style="1" customWidth="1"/>
    <col min="15" max="15" width="22.453125" style="1" bestFit="1" customWidth="1"/>
    <col min="16" max="16" width="11" style="1" customWidth="1"/>
    <col min="17" max="17" width="9.54296875" style="1" bestFit="1" customWidth="1"/>
    <col min="18" max="18" width="9" style="1"/>
    <col min="19" max="19" width="28.453125" style="1" bestFit="1" customWidth="1"/>
    <col min="20" max="16384" width="9" style="1"/>
  </cols>
  <sheetData>
    <row r="2" spans="2:20">
      <c r="I2" s="1">
        <v>0</v>
      </c>
    </row>
    <row r="3" spans="2:20" ht="35.25" customHeight="1" thickBot="1">
      <c r="B3" s="25"/>
      <c r="C3" s="26" t="s">
        <v>2103</v>
      </c>
      <c r="D3" s="6813"/>
      <c r="E3" s="6813"/>
      <c r="F3" s="6813"/>
      <c r="G3" s="6813"/>
      <c r="H3" s="6813"/>
      <c r="I3" s="6813"/>
      <c r="L3" s="11"/>
      <c r="N3" s="11"/>
      <c r="P3" s="11"/>
      <c r="R3" s="11"/>
      <c r="T3" s="11"/>
    </row>
    <row r="4" spans="2:20" ht="12.5" thickTop="1">
      <c r="M4" s="10"/>
    </row>
    <row r="5" spans="2:20" ht="13">
      <c r="B5" s="8" t="s">
        <v>4092</v>
      </c>
      <c r="C5" s="6814"/>
      <c r="D5" s="6815"/>
      <c r="E5" s="6816"/>
      <c r="F5" s="14"/>
      <c r="G5" s="49" t="s">
        <v>5109</v>
      </c>
      <c r="H5" s="22">
        <f>C6+C9</f>
        <v>0</v>
      </c>
      <c r="M5" s="10"/>
    </row>
    <row r="6" spans="2:20" ht="13">
      <c r="B6" s="8" t="s">
        <v>5110</v>
      </c>
      <c r="C6" s="21"/>
      <c r="D6" s="8" t="s">
        <v>3691</v>
      </c>
      <c r="E6" s="20"/>
      <c r="F6" s="13"/>
      <c r="G6" s="49" t="s">
        <v>5111</v>
      </c>
      <c r="H6" s="23">
        <f>E6+E9</f>
        <v>0</v>
      </c>
      <c r="I6" s="16"/>
      <c r="M6" s="10"/>
    </row>
    <row r="7" spans="2:20" ht="6" customHeight="1">
      <c r="B7" s="12"/>
      <c r="C7" s="2"/>
      <c r="D7" s="3"/>
      <c r="E7" s="2"/>
      <c r="F7" s="2"/>
      <c r="I7" s="17"/>
      <c r="M7" s="10"/>
    </row>
    <row r="8" spans="2:20" ht="12" customHeight="1">
      <c r="B8" s="8" t="s">
        <v>4092</v>
      </c>
      <c r="C8" s="6814"/>
      <c r="D8" s="6815"/>
      <c r="E8" s="6816"/>
      <c r="F8" s="2"/>
      <c r="G8" s="15"/>
      <c r="H8" s="15"/>
      <c r="I8" s="16"/>
      <c r="M8" s="10"/>
    </row>
    <row r="9" spans="2:20" ht="12" customHeight="1">
      <c r="B9" s="8" t="s">
        <v>5110</v>
      </c>
      <c r="C9" s="21"/>
      <c r="D9" s="8" t="s">
        <v>3691</v>
      </c>
      <c r="E9" s="20"/>
      <c r="F9" s="2"/>
      <c r="G9" s="15"/>
      <c r="H9" s="15"/>
      <c r="I9" s="17"/>
      <c r="M9" s="10"/>
    </row>
    <row r="10" spans="2:20">
      <c r="M10" s="10"/>
    </row>
    <row r="11" spans="2:20" ht="15" customHeight="1" thickBot="1">
      <c r="B11" s="6817" t="s">
        <v>5017</v>
      </c>
      <c r="C11" s="6818"/>
      <c r="D11" s="6818"/>
      <c r="E11" s="6818"/>
      <c r="F11" s="6818"/>
      <c r="G11" s="6818"/>
      <c r="H11" s="6818"/>
      <c r="I11" s="6819"/>
      <c r="K11" s="18" t="s">
        <v>5018</v>
      </c>
      <c r="M11" s="10"/>
    </row>
    <row r="12" spans="2:20" ht="14.25" customHeight="1" thickTop="1">
      <c r="B12" s="7" t="s">
        <v>5023</v>
      </c>
      <c r="C12" s="6820" t="s">
        <v>4239</v>
      </c>
      <c r="D12" s="6821"/>
      <c r="E12" s="9" t="s">
        <v>5024</v>
      </c>
      <c r="F12" s="9" t="s">
        <v>5025</v>
      </c>
      <c r="G12" s="9" t="s">
        <v>5026</v>
      </c>
      <c r="H12" s="6820" t="s">
        <v>5027</v>
      </c>
      <c r="I12" s="6821"/>
      <c r="K12" s="58" t="s">
        <v>5028</v>
      </c>
      <c r="M12" s="10"/>
    </row>
    <row r="13" spans="2:20" ht="12.5">
      <c r="B13" s="24"/>
      <c r="C13" s="6822" t="e">
        <f>VLOOKUP(B13,#REF!,2,0)</f>
        <v>#REF!</v>
      </c>
      <c r="D13" s="6823"/>
      <c r="E13" s="4">
        <f>K13+(K13*0.15)</f>
        <v>0</v>
      </c>
      <c r="F13" s="5"/>
      <c r="G13" s="4">
        <f>E13*F13</f>
        <v>0</v>
      </c>
      <c r="H13" s="6824"/>
      <c r="I13" s="6825"/>
      <c r="K13" s="19"/>
      <c r="M13" s="10"/>
    </row>
    <row r="14" spans="2:20" ht="12.5">
      <c r="B14" s="24"/>
      <c r="C14" s="6822" t="e">
        <f>VLOOKUP(B14,#REF!,2,0)</f>
        <v>#REF!</v>
      </c>
      <c r="D14" s="6823"/>
      <c r="E14" s="4">
        <f t="shared" ref="E14:E25" si="0">K14+(K14*0.15)</f>
        <v>0</v>
      </c>
      <c r="F14" s="5"/>
      <c r="G14" s="4">
        <f t="shared" ref="G14:G25" si="1">E14*F14</f>
        <v>0</v>
      </c>
      <c r="H14" s="6824"/>
      <c r="I14" s="6825"/>
      <c r="K14" s="19"/>
      <c r="M14" s="10"/>
    </row>
    <row r="15" spans="2:20" ht="12.5">
      <c r="B15" s="24"/>
      <c r="C15" s="6822" t="e">
        <f>VLOOKUP(B15,#REF!,2,0)</f>
        <v>#REF!</v>
      </c>
      <c r="D15" s="6823"/>
      <c r="E15" s="4">
        <f t="shared" si="0"/>
        <v>0</v>
      </c>
      <c r="F15" s="5"/>
      <c r="G15" s="4">
        <f t="shared" si="1"/>
        <v>0</v>
      </c>
      <c r="H15" s="6824"/>
      <c r="I15" s="6825"/>
      <c r="K15" s="19"/>
      <c r="M15" s="10"/>
    </row>
    <row r="16" spans="2:20" ht="12.5">
      <c r="B16" s="24"/>
      <c r="C16" s="6822" t="e">
        <f>VLOOKUP(B16,#REF!,2,0)</f>
        <v>#REF!</v>
      </c>
      <c r="D16" s="6823"/>
      <c r="E16" s="4">
        <f t="shared" si="0"/>
        <v>0</v>
      </c>
      <c r="F16" s="5"/>
      <c r="G16" s="4">
        <f t="shared" si="1"/>
        <v>0</v>
      </c>
      <c r="H16" s="6824"/>
      <c r="I16" s="6825"/>
      <c r="K16" s="19"/>
      <c r="M16" s="10"/>
    </row>
    <row r="17" spans="2:13" ht="12.5">
      <c r="B17" s="24"/>
      <c r="C17" s="6822" t="e">
        <f>VLOOKUP(B17,#REF!,2,0)</f>
        <v>#REF!</v>
      </c>
      <c r="D17" s="6823"/>
      <c r="E17" s="4">
        <f t="shared" si="0"/>
        <v>0</v>
      </c>
      <c r="F17" s="5"/>
      <c r="G17" s="4">
        <f t="shared" si="1"/>
        <v>0</v>
      </c>
      <c r="H17" s="6824"/>
      <c r="I17" s="6825"/>
      <c r="K17" s="19"/>
      <c r="M17" s="10"/>
    </row>
    <row r="18" spans="2:13" ht="12.5">
      <c r="B18" s="24"/>
      <c r="C18" s="6822" t="e">
        <f>VLOOKUP(B18,#REF!,2,0)</f>
        <v>#REF!</v>
      </c>
      <c r="D18" s="6823"/>
      <c r="E18" s="4">
        <f t="shared" si="0"/>
        <v>0</v>
      </c>
      <c r="F18" s="5"/>
      <c r="G18" s="4">
        <f t="shared" si="1"/>
        <v>0</v>
      </c>
      <c r="H18" s="6824"/>
      <c r="I18" s="6825"/>
      <c r="K18" s="19"/>
      <c r="M18" s="10"/>
    </row>
    <row r="19" spans="2:13" ht="12.5">
      <c r="B19" s="24"/>
      <c r="C19" s="6822" t="e">
        <f>VLOOKUP(B19,#REF!,2,0)</f>
        <v>#REF!</v>
      </c>
      <c r="D19" s="6823"/>
      <c r="E19" s="4">
        <f t="shared" si="0"/>
        <v>0</v>
      </c>
      <c r="F19" s="5"/>
      <c r="G19" s="4">
        <f t="shared" si="1"/>
        <v>0</v>
      </c>
      <c r="H19" s="6824"/>
      <c r="I19" s="6825"/>
      <c r="K19" s="19"/>
      <c r="M19" s="10"/>
    </row>
    <row r="20" spans="2:13" ht="12.5">
      <c r="B20" s="24"/>
      <c r="C20" s="6822" t="e">
        <f>VLOOKUP(B20,#REF!,2,0)</f>
        <v>#REF!</v>
      </c>
      <c r="D20" s="6823"/>
      <c r="E20" s="4">
        <f t="shared" si="0"/>
        <v>0</v>
      </c>
      <c r="F20" s="5"/>
      <c r="G20" s="4">
        <f t="shared" si="1"/>
        <v>0</v>
      </c>
      <c r="H20" s="53"/>
      <c r="I20" s="54"/>
      <c r="K20" s="19"/>
      <c r="M20" s="10"/>
    </row>
    <row r="21" spans="2:13" ht="12.5">
      <c r="B21" s="24"/>
      <c r="C21" s="6822" t="e">
        <f>VLOOKUP(B21,#REF!,2,0)</f>
        <v>#REF!</v>
      </c>
      <c r="D21" s="6823"/>
      <c r="E21" s="4">
        <f t="shared" si="0"/>
        <v>0</v>
      </c>
      <c r="F21" s="5"/>
      <c r="G21" s="4">
        <f t="shared" si="1"/>
        <v>0</v>
      </c>
      <c r="H21" s="53"/>
      <c r="I21" s="54"/>
      <c r="K21" s="19"/>
      <c r="M21" s="10"/>
    </row>
    <row r="22" spans="2:13" ht="12.5">
      <c r="B22" s="24"/>
      <c r="C22" s="6822" t="e">
        <f>VLOOKUP(B22,#REF!,2,0)</f>
        <v>#REF!</v>
      </c>
      <c r="D22" s="6823"/>
      <c r="E22" s="4">
        <f t="shared" si="0"/>
        <v>0</v>
      </c>
      <c r="F22" s="5"/>
      <c r="G22" s="4">
        <f t="shared" si="1"/>
        <v>0</v>
      </c>
      <c r="H22" s="53"/>
      <c r="I22" s="54"/>
      <c r="K22" s="19"/>
      <c r="M22" s="10"/>
    </row>
    <row r="23" spans="2:13" ht="12.5">
      <c r="B23" s="24"/>
      <c r="C23" s="6822" t="e">
        <f>VLOOKUP(B23,#REF!,2,0)</f>
        <v>#REF!</v>
      </c>
      <c r="D23" s="6823"/>
      <c r="E23" s="4">
        <f t="shared" si="0"/>
        <v>0</v>
      </c>
      <c r="F23" s="5"/>
      <c r="G23" s="4">
        <f t="shared" si="1"/>
        <v>0</v>
      </c>
      <c r="H23" s="6824"/>
      <c r="I23" s="6825"/>
      <c r="K23" s="19"/>
      <c r="M23" s="10"/>
    </row>
    <row r="24" spans="2:13" ht="12.5">
      <c r="B24" s="24"/>
      <c r="C24" s="6822" t="e">
        <f>VLOOKUP(B24,#REF!,2,0)</f>
        <v>#REF!</v>
      </c>
      <c r="D24" s="6823"/>
      <c r="E24" s="4">
        <f t="shared" si="0"/>
        <v>0</v>
      </c>
      <c r="F24" s="5"/>
      <c r="G24" s="4">
        <f t="shared" si="1"/>
        <v>0</v>
      </c>
      <c r="H24" s="6824"/>
      <c r="I24" s="6825"/>
      <c r="K24" s="19"/>
      <c r="M24" s="10"/>
    </row>
    <row r="25" spans="2:13" ht="13" thickBot="1">
      <c r="B25" s="27"/>
      <c r="C25" s="6843" t="e">
        <f>VLOOKUP(B25,#REF!,2,0)</f>
        <v>#REF!</v>
      </c>
      <c r="D25" s="6844"/>
      <c r="E25" s="28">
        <f t="shared" si="0"/>
        <v>0</v>
      </c>
      <c r="F25" s="44"/>
      <c r="G25" s="28">
        <f t="shared" si="1"/>
        <v>0</v>
      </c>
      <c r="H25" s="6828"/>
      <c r="I25" s="6829"/>
      <c r="K25" s="51"/>
      <c r="M25" s="10"/>
    </row>
    <row r="26" spans="2:13" ht="15" customHeight="1" thickTop="1">
      <c r="B26" s="6830" t="s">
        <v>5029</v>
      </c>
      <c r="C26" s="6830"/>
      <c r="D26" s="6830"/>
      <c r="E26" s="6830"/>
      <c r="F26" s="45">
        <f>SUM(F13:F25)</f>
        <v>0</v>
      </c>
      <c r="G26" s="55">
        <f>SUM(G13:G25)</f>
        <v>0</v>
      </c>
      <c r="H26" s="6831"/>
      <c r="I26" s="6831"/>
      <c r="K26" s="52"/>
      <c r="M26" s="10"/>
    </row>
    <row r="27" spans="2:13" ht="15" customHeight="1" thickBot="1">
      <c r="B27" s="30"/>
      <c r="C27" s="31"/>
      <c r="D27" s="31"/>
      <c r="E27" s="32" t="s">
        <v>5030</v>
      </c>
      <c r="F27" s="33" t="s">
        <v>246</v>
      </c>
      <c r="G27" s="34">
        <f>G26*0.1</f>
        <v>0</v>
      </c>
      <c r="H27" s="35"/>
      <c r="I27" s="36"/>
      <c r="M27" s="10"/>
    </row>
    <row r="28" spans="2:13" ht="15" customHeight="1" thickTop="1">
      <c r="B28" s="37"/>
      <c r="C28" s="38"/>
      <c r="D28" s="38"/>
      <c r="E28" s="39" t="s">
        <v>5031</v>
      </c>
      <c r="F28" s="40" t="s">
        <v>246</v>
      </c>
      <c r="G28" s="41">
        <f>SUM(G26:G27)</f>
        <v>0</v>
      </c>
      <c r="H28" s="42"/>
      <c r="I28" s="43"/>
      <c r="M28" s="10"/>
    </row>
    <row r="29" spans="2:13">
      <c r="B29" s="6"/>
      <c r="C29" s="6"/>
      <c r="D29" s="6"/>
      <c r="E29" s="6"/>
      <c r="F29" s="6"/>
      <c r="G29" s="6"/>
      <c r="H29" s="6"/>
      <c r="I29" s="6"/>
      <c r="M29" s="10"/>
    </row>
    <row r="30" spans="2:13" ht="15" customHeight="1" thickBot="1">
      <c r="B30" s="6832" t="s">
        <v>5032</v>
      </c>
      <c r="C30" s="6833"/>
      <c r="D30" s="6833"/>
      <c r="E30" s="6833"/>
      <c r="F30" s="6833"/>
      <c r="G30" s="6833"/>
      <c r="H30" s="6833"/>
      <c r="I30" s="6834"/>
      <c r="K30" s="18" t="s">
        <v>5018</v>
      </c>
      <c r="M30" s="10"/>
    </row>
    <row r="31" spans="2:13" ht="13.5" customHeight="1" thickTop="1">
      <c r="B31" s="7" t="s">
        <v>5023</v>
      </c>
      <c r="C31" s="6820" t="s">
        <v>4239</v>
      </c>
      <c r="D31" s="6821"/>
      <c r="E31" s="9" t="s">
        <v>5024</v>
      </c>
      <c r="F31" s="9" t="s">
        <v>5033</v>
      </c>
      <c r="G31" s="9" t="s">
        <v>5026</v>
      </c>
      <c r="H31" s="6820" t="s">
        <v>5027</v>
      </c>
      <c r="I31" s="6821"/>
      <c r="K31" s="58" t="s">
        <v>5028</v>
      </c>
      <c r="M31" s="10"/>
    </row>
    <row r="32" spans="2:13" ht="12.5">
      <c r="B32" s="24"/>
      <c r="C32" s="6826" t="e">
        <f>VLOOKUP(B32,#REF!,2,0)</f>
        <v>#REF!</v>
      </c>
      <c r="D32" s="6827"/>
      <c r="E32" s="4">
        <f>K32+(K32*0.15)</f>
        <v>0</v>
      </c>
      <c r="F32" s="4"/>
      <c r="G32" s="4">
        <f>E32*F32</f>
        <v>0</v>
      </c>
      <c r="H32" s="6824"/>
      <c r="I32" s="6825"/>
      <c r="K32" s="19"/>
      <c r="M32" s="10"/>
    </row>
    <row r="33" spans="2:13" ht="12.5">
      <c r="B33" s="24"/>
      <c r="C33" s="6826" t="e">
        <f>VLOOKUP(B33,#REF!,2,0)</f>
        <v>#REF!</v>
      </c>
      <c r="D33" s="6827"/>
      <c r="E33" s="4">
        <f>K33+(K33*0.15)</f>
        <v>0</v>
      </c>
      <c r="F33" s="4"/>
      <c r="G33" s="4">
        <f>E33*F33</f>
        <v>0</v>
      </c>
      <c r="H33" s="6824"/>
      <c r="I33" s="6825"/>
      <c r="K33" s="19"/>
      <c r="M33" s="10"/>
    </row>
    <row r="34" spans="2:13" ht="12.5">
      <c r="B34" s="24"/>
      <c r="C34" s="6826" t="e">
        <f>VLOOKUP(B34,#REF!,2,0)</f>
        <v>#REF!</v>
      </c>
      <c r="D34" s="6827"/>
      <c r="E34" s="4">
        <f>K34+(K34*0.15)</f>
        <v>0</v>
      </c>
      <c r="F34" s="4"/>
      <c r="G34" s="4">
        <f>E34*F34</f>
        <v>0</v>
      </c>
      <c r="H34" s="6824"/>
      <c r="I34" s="6825"/>
      <c r="K34" s="19"/>
      <c r="M34" s="10"/>
    </row>
    <row r="35" spans="2:13" ht="12.5">
      <c r="B35" s="24"/>
      <c r="C35" s="6826" t="e">
        <f>VLOOKUP(B35,#REF!,2,0)</f>
        <v>#REF!</v>
      </c>
      <c r="D35" s="6827"/>
      <c r="E35" s="4"/>
      <c r="F35" s="4"/>
      <c r="G35" s="4">
        <f>E35*F35</f>
        <v>0</v>
      </c>
      <c r="H35" s="6824"/>
      <c r="I35" s="6825"/>
      <c r="K35" s="19"/>
      <c r="M35" s="10"/>
    </row>
    <row r="36" spans="2:13" ht="13" thickBot="1">
      <c r="B36" s="24"/>
      <c r="C36" s="6826" t="e">
        <f>VLOOKUP(B36,#REF!,2,0)</f>
        <v>#REF!</v>
      </c>
      <c r="D36" s="6827"/>
      <c r="E36" s="4"/>
      <c r="F36" s="4"/>
      <c r="G36" s="4">
        <f>E36*F36</f>
        <v>0</v>
      </c>
      <c r="H36" s="6824"/>
      <c r="I36" s="6825"/>
      <c r="K36" s="51"/>
      <c r="M36" s="10"/>
    </row>
    <row r="37" spans="2:13" ht="15" customHeight="1" thickTop="1">
      <c r="B37" s="6835" t="s">
        <v>5029</v>
      </c>
      <c r="C37" s="6836"/>
      <c r="D37" s="6836"/>
      <c r="E37" s="6837"/>
      <c r="F37" s="29" t="s">
        <v>246</v>
      </c>
      <c r="G37" s="55">
        <f>SUM(G32:G36)</f>
        <v>0</v>
      </c>
      <c r="H37" s="6838"/>
      <c r="I37" s="6839"/>
      <c r="K37" s="57"/>
    </row>
    <row r="38" spans="2:13" ht="15" customHeight="1" thickBot="1">
      <c r="B38" s="30"/>
      <c r="C38" s="31"/>
      <c r="D38" s="31"/>
      <c r="E38" s="32" t="s">
        <v>5030</v>
      </c>
      <c r="F38" s="33" t="s">
        <v>246</v>
      </c>
      <c r="G38" s="34">
        <f>G37*0.1</f>
        <v>0</v>
      </c>
      <c r="H38" s="35"/>
      <c r="I38" s="36"/>
      <c r="K38" s="56"/>
    </row>
    <row r="39" spans="2:13" ht="15" customHeight="1" thickTop="1">
      <c r="B39" s="37"/>
      <c r="C39" s="38"/>
      <c r="D39" s="38"/>
      <c r="E39" s="39" t="s">
        <v>5031</v>
      </c>
      <c r="F39" s="40" t="s">
        <v>246</v>
      </c>
      <c r="G39" s="41">
        <f>SUM(G37:G38)</f>
        <v>0</v>
      </c>
      <c r="H39" s="42"/>
      <c r="I39" s="43"/>
      <c r="K39" s="56"/>
    </row>
    <row r="40" spans="2:13" ht="12.5">
      <c r="B40" s="6"/>
      <c r="C40" s="6"/>
      <c r="D40" s="6"/>
      <c r="E40" s="6"/>
      <c r="F40" s="6"/>
      <c r="G40" s="6"/>
      <c r="H40" s="6"/>
      <c r="I40" s="6"/>
      <c r="K40" s="56"/>
    </row>
    <row r="41" spans="2:13" ht="15" customHeight="1" thickBot="1">
      <c r="B41" s="6817" t="s">
        <v>5034</v>
      </c>
      <c r="C41" s="6818"/>
      <c r="D41" s="6818"/>
      <c r="E41" s="6818"/>
      <c r="F41" s="6818"/>
      <c r="G41" s="6818"/>
      <c r="H41" s="6818"/>
      <c r="I41" s="6819"/>
      <c r="K41" s="18" t="s">
        <v>5018</v>
      </c>
    </row>
    <row r="42" spans="2:13" ht="13.5" customHeight="1" thickTop="1">
      <c r="B42" s="7" t="s">
        <v>5023</v>
      </c>
      <c r="C42" s="6820" t="s">
        <v>4239</v>
      </c>
      <c r="D42" s="6821"/>
      <c r="E42" s="9" t="s">
        <v>5024</v>
      </c>
      <c r="F42" s="9" t="s">
        <v>5033</v>
      </c>
      <c r="G42" s="9" t="s">
        <v>5026</v>
      </c>
      <c r="H42" s="6820" t="s">
        <v>5027</v>
      </c>
      <c r="I42" s="6821"/>
      <c r="K42" s="58" t="s">
        <v>5028</v>
      </c>
    </row>
    <row r="43" spans="2:13" ht="12.5">
      <c r="B43" s="24"/>
      <c r="C43" s="6826" t="e">
        <f>VLOOKUP(B43,#REF!,2,0)</f>
        <v>#REF!</v>
      </c>
      <c r="D43" s="6827"/>
      <c r="E43" s="4">
        <f>K43+(K43*0.15)</f>
        <v>0</v>
      </c>
      <c r="F43" s="4">
        <v>1</v>
      </c>
      <c r="G43" s="4">
        <f>IF(E43="","",E43*F43)</f>
        <v>0</v>
      </c>
      <c r="H43" s="6824"/>
      <c r="I43" s="6825"/>
      <c r="K43" s="19"/>
    </row>
    <row r="44" spans="2:13" ht="12.5">
      <c r="B44" s="24"/>
      <c r="C44" s="6826" t="e">
        <f>VLOOKUP(B44,#REF!,2,0)</f>
        <v>#REF!</v>
      </c>
      <c r="D44" s="6827"/>
      <c r="E44" s="4">
        <f t="shared" ref="E44:E62" si="2">K44+(K44*0.15)</f>
        <v>0</v>
      </c>
      <c r="F44" s="4">
        <v>1</v>
      </c>
      <c r="G44" s="4">
        <f t="shared" ref="G44:G62" si="3">IF(E44="","",E44*F44)</f>
        <v>0</v>
      </c>
      <c r="H44" s="6824"/>
      <c r="I44" s="6825"/>
      <c r="K44" s="19"/>
    </row>
    <row r="45" spans="2:13" ht="12.5">
      <c r="B45" s="24"/>
      <c r="C45" s="6826" t="e">
        <f>VLOOKUP(B45,#REF!,2,0)</f>
        <v>#REF!</v>
      </c>
      <c r="D45" s="6827"/>
      <c r="E45" s="4">
        <f t="shared" si="2"/>
        <v>0</v>
      </c>
      <c r="F45" s="4">
        <v>1</v>
      </c>
      <c r="G45" s="4">
        <f t="shared" si="3"/>
        <v>0</v>
      </c>
      <c r="H45" s="6824"/>
      <c r="I45" s="6825"/>
      <c r="K45" s="19"/>
    </row>
    <row r="46" spans="2:13" ht="12.5">
      <c r="B46" s="24"/>
      <c r="C46" s="6826" t="e">
        <f>VLOOKUP(B46,#REF!,2,0)</f>
        <v>#REF!</v>
      </c>
      <c r="D46" s="6827"/>
      <c r="E46" s="4">
        <f t="shared" si="2"/>
        <v>0</v>
      </c>
      <c r="F46" s="4">
        <v>1</v>
      </c>
      <c r="G46" s="4">
        <f t="shared" si="3"/>
        <v>0</v>
      </c>
      <c r="H46" s="6824"/>
      <c r="I46" s="6825"/>
      <c r="K46" s="19"/>
    </row>
    <row r="47" spans="2:13" ht="12.5">
      <c r="B47" s="24"/>
      <c r="C47" s="6826" t="e">
        <f>VLOOKUP(B47,#REF!,2,0)</f>
        <v>#REF!</v>
      </c>
      <c r="D47" s="6827"/>
      <c r="E47" s="4">
        <f t="shared" si="2"/>
        <v>0</v>
      </c>
      <c r="F47" s="4">
        <v>1</v>
      </c>
      <c r="G47" s="4">
        <f t="shared" si="3"/>
        <v>0</v>
      </c>
      <c r="H47" s="53"/>
      <c r="I47" s="54"/>
      <c r="K47" s="19"/>
    </row>
    <row r="48" spans="2:13" ht="12.5">
      <c r="B48" s="24"/>
      <c r="C48" s="6826" t="e">
        <f>VLOOKUP(B48,#REF!,2,0)</f>
        <v>#REF!</v>
      </c>
      <c r="D48" s="6827"/>
      <c r="E48" s="4">
        <f t="shared" si="2"/>
        <v>0</v>
      </c>
      <c r="F48" s="4">
        <v>1</v>
      </c>
      <c r="G48" s="4">
        <f t="shared" si="3"/>
        <v>0</v>
      </c>
      <c r="H48" s="53"/>
      <c r="I48" s="54"/>
      <c r="K48" s="19"/>
    </row>
    <row r="49" spans="2:11" ht="12.5">
      <c r="B49" s="24"/>
      <c r="C49" s="6826" t="e">
        <f>VLOOKUP(B49,#REF!,2,0)</f>
        <v>#REF!</v>
      </c>
      <c r="D49" s="6827"/>
      <c r="E49" s="4">
        <f t="shared" si="2"/>
        <v>0</v>
      </c>
      <c r="F49" s="4">
        <v>1</v>
      </c>
      <c r="G49" s="4">
        <f t="shared" si="3"/>
        <v>0</v>
      </c>
      <c r="H49" s="53"/>
      <c r="I49" s="54"/>
      <c r="K49" s="19"/>
    </row>
    <row r="50" spans="2:11" ht="12.5">
      <c r="B50" s="24"/>
      <c r="C50" s="6826" t="e">
        <f>VLOOKUP(B50,#REF!,2,0)</f>
        <v>#REF!</v>
      </c>
      <c r="D50" s="6827"/>
      <c r="E50" s="4">
        <f t="shared" si="2"/>
        <v>0</v>
      </c>
      <c r="F50" s="4">
        <v>1</v>
      </c>
      <c r="G50" s="4">
        <f t="shared" si="3"/>
        <v>0</v>
      </c>
      <c r="H50" s="53"/>
      <c r="I50" s="54"/>
      <c r="K50" s="19"/>
    </row>
    <row r="51" spans="2:11" ht="12.5">
      <c r="B51" s="24"/>
      <c r="C51" s="6826" t="e">
        <f>VLOOKUP(B51,#REF!,2,0)</f>
        <v>#REF!</v>
      </c>
      <c r="D51" s="6827"/>
      <c r="E51" s="4">
        <f t="shared" si="2"/>
        <v>0</v>
      </c>
      <c r="F51" s="4">
        <v>1</v>
      </c>
      <c r="G51" s="4">
        <f t="shared" si="3"/>
        <v>0</v>
      </c>
      <c r="H51" s="53"/>
      <c r="I51" s="54"/>
      <c r="K51" s="19"/>
    </row>
    <row r="52" spans="2:11" ht="12.5">
      <c r="B52" s="24"/>
      <c r="C52" s="6826" t="e">
        <f>VLOOKUP(B52,#REF!,2,0)</f>
        <v>#REF!</v>
      </c>
      <c r="D52" s="6827"/>
      <c r="E52" s="4">
        <f t="shared" si="2"/>
        <v>0</v>
      </c>
      <c r="F52" s="4">
        <v>1</v>
      </c>
      <c r="G52" s="4">
        <f t="shared" si="3"/>
        <v>0</v>
      </c>
      <c r="H52" s="53"/>
      <c r="I52" s="54"/>
      <c r="K52" s="19"/>
    </row>
    <row r="53" spans="2:11" ht="12.5">
      <c r="B53" s="24"/>
      <c r="C53" s="6826" t="e">
        <f>VLOOKUP(B53,#REF!,2,0)</f>
        <v>#REF!</v>
      </c>
      <c r="D53" s="6827"/>
      <c r="E53" s="4">
        <f t="shared" si="2"/>
        <v>0</v>
      </c>
      <c r="F53" s="4">
        <v>1</v>
      </c>
      <c r="G53" s="4">
        <f t="shared" si="3"/>
        <v>0</v>
      </c>
      <c r="H53" s="53"/>
      <c r="I53" s="54"/>
      <c r="K53" s="19"/>
    </row>
    <row r="54" spans="2:11" ht="12.5">
      <c r="B54" s="24"/>
      <c r="C54" s="6826" t="e">
        <f>VLOOKUP(B54,#REF!,2,0)</f>
        <v>#REF!</v>
      </c>
      <c r="D54" s="6827"/>
      <c r="E54" s="4">
        <f t="shared" si="2"/>
        <v>0</v>
      </c>
      <c r="F54" s="4">
        <v>1</v>
      </c>
      <c r="G54" s="4">
        <f t="shared" si="3"/>
        <v>0</v>
      </c>
      <c r="H54" s="53"/>
      <c r="I54" s="54"/>
      <c r="K54" s="19"/>
    </row>
    <row r="55" spans="2:11" ht="12.5">
      <c r="B55" s="24"/>
      <c r="C55" s="6826" t="e">
        <f>VLOOKUP(B55,#REF!,2,0)</f>
        <v>#REF!</v>
      </c>
      <c r="D55" s="6827"/>
      <c r="E55" s="4">
        <f t="shared" si="2"/>
        <v>0</v>
      </c>
      <c r="F55" s="4">
        <v>1</v>
      </c>
      <c r="G55" s="4">
        <f t="shared" si="3"/>
        <v>0</v>
      </c>
      <c r="H55" s="53"/>
      <c r="I55" s="54"/>
      <c r="K55" s="19"/>
    </row>
    <row r="56" spans="2:11" ht="12.5">
      <c r="B56" s="24"/>
      <c r="C56" s="6826" t="e">
        <f>VLOOKUP(B56,#REF!,2,0)</f>
        <v>#REF!</v>
      </c>
      <c r="D56" s="6827"/>
      <c r="E56" s="4">
        <f t="shared" si="2"/>
        <v>0</v>
      </c>
      <c r="F56" s="4">
        <v>1</v>
      </c>
      <c r="G56" s="4">
        <f t="shared" si="3"/>
        <v>0</v>
      </c>
      <c r="H56" s="53"/>
      <c r="I56" s="54"/>
      <c r="K56" s="19"/>
    </row>
    <row r="57" spans="2:11" ht="12.5">
      <c r="B57" s="24"/>
      <c r="C57" s="6826" t="e">
        <f>VLOOKUP(B57,#REF!,2,0)</f>
        <v>#REF!</v>
      </c>
      <c r="D57" s="6827"/>
      <c r="E57" s="4">
        <f t="shared" si="2"/>
        <v>0</v>
      </c>
      <c r="F57" s="4">
        <v>1</v>
      </c>
      <c r="G57" s="4">
        <f t="shared" si="3"/>
        <v>0</v>
      </c>
      <c r="H57" s="53"/>
      <c r="I57" s="54"/>
      <c r="K57" s="19"/>
    </row>
    <row r="58" spans="2:11" ht="12.5">
      <c r="B58" s="24"/>
      <c r="C58" s="6826" t="e">
        <f>VLOOKUP(B58,#REF!,2,0)</f>
        <v>#REF!</v>
      </c>
      <c r="D58" s="6827"/>
      <c r="E58" s="4">
        <f t="shared" si="2"/>
        <v>0</v>
      </c>
      <c r="F58" s="4">
        <v>1</v>
      </c>
      <c r="G58" s="4">
        <f t="shared" si="3"/>
        <v>0</v>
      </c>
      <c r="H58" s="53"/>
      <c r="I58" s="54"/>
      <c r="K58" s="19"/>
    </row>
    <row r="59" spans="2:11" ht="12.5">
      <c r="B59" s="24"/>
      <c r="C59" s="6826" t="e">
        <f>VLOOKUP(B59,#REF!,2,0)</f>
        <v>#REF!</v>
      </c>
      <c r="D59" s="6827"/>
      <c r="E59" s="4">
        <f t="shared" si="2"/>
        <v>0</v>
      </c>
      <c r="F59" s="4">
        <v>1</v>
      </c>
      <c r="G59" s="4">
        <f t="shared" si="3"/>
        <v>0</v>
      </c>
      <c r="H59" s="6840"/>
      <c r="I59" s="6825"/>
      <c r="K59" s="19"/>
    </row>
    <row r="60" spans="2:11" ht="12.5">
      <c r="B60" s="24"/>
      <c r="C60" s="6826" t="e">
        <f>VLOOKUP(B60,#REF!,2,0)</f>
        <v>#REF!</v>
      </c>
      <c r="D60" s="6827"/>
      <c r="E60" s="4">
        <f t="shared" si="2"/>
        <v>0</v>
      </c>
      <c r="F60" s="4">
        <v>1</v>
      </c>
      <c r="G60" s="4">
        <f t="shared" si="3"/>
        <v>0</v>
      </c>
      <c r="H60" s="6824"/>
      <c r="I60" s="6825"/>
      <c r="K60" s="19"/>
    </row>
    <row r="61" spans="2:11" ht="12.5">
      <c r="B61" s="24"/>
      <c r="C61" s="6826" t="e">
        <f>VLOOKUP(B61,#REF!,2,0)</f>
        <v>#REF!</v>
      </c>
      <c r="D61" s="6827"/>
      <c r="E61" s="4">
        <f t="shared" si="2"/>
        <v>0</v>
      </c>
      <c r="F61" s="4"/>
      <c r="G61" s="4">
        <f t="shared" si="3"/>
        <v>0</v>
      </c>
      <c r="H61" s="6824"/>
      <c r="I61" s="6825"/>
      <c r="K61" s="19"/>
    </row>
    <row r="62" spans="2:11" ht="13" thickBot="1">
      <c r="B62" s="24"/>
      <c r="C62" s="6826" t="e">
        <f>VLOOKUP(B62,#REF!,2,0)</f>
        <v>#REF!</v>
      </c>
      <c r="D62" s="6827"/>
      <c r="E62" s="4">
        <f t="shared" si="2"/>
        <v>0</v>
      </c>
      <c r="F62" s="4"/>
      <c r="G62" s="4">
        <f t="shared" si="3"/>
        <v>0</v>
      </c>
      <c r="H62" s="6824"/>
      <c r="I62" s="6825"/>
      <c r="K62" s="50"/>
    </row>
    <row r="63" spans="2:11" ht="15" customHeight="1" thickTop="1">
      <c r="B63" s="6835" t="s">
        <v>5029</v>
      </c>
      <c r="C63" s="6836"/>
      <c r="D63" s="6836"/>
      <c r="E63" s="6837"/>
      <c r="F63" s="29" t="s">
        <v>246</v>
      </c>
      <c r="G63" s="55">
        <f>SUM(G43:G62)</f>
        <v>0</v>
      </c>
      <c r="H63" s="6838"/>
      <c r="I63" s="6839"/>
    </row>
    <row r="64" spans="2:11" ht="15" customHeight="1" thickBot="1">
      <c r="B64" s="30"/>
      <c r="C64" s="31"/>
      <c r="D64" s="31"/>
      <c r="E64" s="32" t="s">
        <v>5030</v>
      </c>
      <c r="F64" s="33" t="s">
        <v>246</v>
      </c>
      <c r="G64" s="34">
        <f>ROUNDDOWN(0*0.1,0)</f>
        <v>0</v>
      </c>
      <c r="H64" s="35"/>
      <c r="I64" s="36"/>
    </row>
    <row r="65" spans="2:9" ht="15" customHeight="1" thickTop="1">
      <c r="B65" s="37"/>
      <c r="C65" s="38"/>
      <c r="D65" s="38"/>
      <c r="E65" s="39" t="s">
        <v>5031</v>
      </c>
      <c r="F65" s="40" t="s">
        <v>246</v>
      </c>
      <c r="G65" s="41">
        <f>SUM(G63:G64)</f>
        <v>0</v>
      </c>
      <c r="H65" s="42"/>
      <c r="I65" s="43"/>
    </row>
    <row r="67" spans="2:9" ht="20.25" customHeight="1">
      <c r="B67" s="46"/>
      <c r="C67" s="46"/>
      <c r="D67" s="46"/>
      <c r="E67" s="46"/>
      <c r="F67" s="47" t="s">
        <v>5036</v>
      </c>
      <c r="G67" s="48">
        <f>G65+G39+G28</f>
        <v>0</v>
      </c>
      <c r="H67" s="46"/>
      <c r="I67" s="46"/>
    </row>
    <row r="69" spans="2:9">
      <c r="B69" s="2" t="s">
        <v>5037</v>
      </c>
    </row>
  </sheetData>
  <mergeCells count="79">
    <mergeCell ref="D3:I3"/>
    <mergeCell ref="C5:E5"/>
    <mergeCell ref="C8:E8"/>
    <mergeCell ref="B11:I11"/>
    <mergeCell ref="C12:D12"/>
    <mergeCell ref="H12:I12"/>
    <mergeCell ref="C13:D13"/>
    <mergeCell ref="H13:I13"/>
    <mergeCell ref="C14:D14"/>
    <mergeCell ref="H14:I14"/>
    <mergeCell ref="C15:D15"/>
    <mergeCell ref="H15:I15"/>
    <mergeCell ref="C23:D23"/>
    <mergeCell ref="H23:I23"/>
    <mergeCell ref="C16:D16"/>
    <mergeCell ref="H16:I16"/>
    <mergeCell ref="C17:D17"/>
    <mergeCell ref="H17:I17"/>
    <mergeCell ref="C18:D18"/>
    <mergeCell ref="H18:I18"/>
    <mergeCell ref="C19:D19"/>
    <mergeCell ref="H19:I19"/>
    <mergeCell ref="C20:D20"/>
    <mergeCell ref="C21:D21"/>
    <mergeCell ref="C22:D22"/>
    <mergeCell ref="C33:D33"/>
    <mergeCell ref="H33:I33"/>
    <mergeCell ref="C24:D24"/>
    <mergeCell ref="H24:I24"/>
    <mergeCell ref="C25:D25"/>
    <mergeCell ref="H25:I25"/>
    <mergeCell ref="B26:E26"/>
    <mergeCell ref="H26:I26"/>
    <mergeCell ref="B30:I30"/>
    <mergeCell ref="C31:D31"/>
    <mergeCell ref="H31:I31"/>
    <mergeCell ref="C32:D32"/>
    <mergeCell ref="H32:I32"/>
    <mergeCell ref="C43:D43"/>
    <mergeCell ref="H43:I43"/>
    <mergeCell ref="C34:D34"/>
    <mergeCell ref="H34:I34"/>
    <mergeCell ref="C35:D35"/>
    <mergeCell ref="H35:I35"/>
    <mergeCell ref="C36:D36"/>
    <mergeCell ref="H36:I36"/>
    <mergeCell ref="B37:E37"/>
    <mergeCell ref="H37:I37"/>
    <mergeCell ref="B41:I41"/>
    <mergeCell ref="C42:D42"/>
    <mergeCell ref="H42:I42"/>
    <mergeCell ref="C44:D44"/>
    <mergeCell ref="H44:I44"/>
    <mergeCell ref="C45:D45"/>
    <mergeCell ref="H45:I45"/>
    <mergeCell ref="C46:D46"/>
    <mergeCell ref="H46:I46"/>
    <mergeCell ref="C58:D58"/>
    <mergeCell ref="C47:D47"/>
    <mergeCell ref="C48:D48"/>
    <mergeCell ref="C49:D49"/>
    <mergeCell ref="C50:D50"/>
    <mergeCell ref="C51:D51"/>
    <mergeCell ref="C52:D52"/>
    <mergeCell ref="C53:D53"/>
    <mergeCell ref="C54:D54"/>
    <mergeCell ref="C55:D55"/>
    <mergeCell ref="C56:D56"/>
    <mergeCell ref="C57:D57"/>
    <mergeCell ref="C62:D62"/>
    <mergeCell ref="H62:I62"/>
    <mergeCell ref="B63:E63"/>
    <mergeCell ref="H63:I63"/>
    <mergeCell ref="C59:D59"/>
    <mergeCell ref="H59:I59"/>
    <mergeCell ref="C60:D60"/>
    <mergeCell ref="H60:I60"/>
    <mergeCell ref="C61:D61"/>
    <mergeCell ref="H61:I61"/>
  </mergeCells>
  <phoneticPr fontId="2"/>
  <pageMargins left="0.7" right="0.7" top="0.75" bottom="0.75" header="0.3" footer="0.3"/>
  <pageSetup paperSize="9" scale="76"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0AAE-6F16-4723-BF5E-6123A34EF5BB}">
  <sheetPr codeName="Sheet238">
    <tabColor theme="2" tint="-0.499984740745262"/>
  </sheetPr>
  <dimension ref="A1:G91"/>
  <sheetViews>
    <sheetView workbookViewId="0">
      <selection activeCell="E4" sqref="E4"/>
    </sheetView>
  </sheetViews>
  <sheetFormatPr defaultColWidth="8.7265625" defaultRowHeight="12"/>
  <cols>
    <col min="1" max="1" width="5.453125" style="1960" customWidth="1"/>
    <col min="2" max="2" width="14.81640625" style="1961" customWidth="1"/>
    <col min="3" max="5" width="14.81640625" style="1960" customWidth="1"/>
    <col min="6" max="6" width="14.81640625" style="1962" customWidth="1"/>
    <col min="7" max="7" width="18" style="1960" customWidth="1"/>
    <col min="8" max="9" width="14.81640625" style="1960" customWidth="1"/>
    <col min="10" max="16384" width="8.7265625" style="1960"/>
  </cols>
  <sheetData>
    <row r="1" spans="1:7" ht="26">
      <c r="A1" s="1963" t="s">
        <v>6630</v>
      </c>
      <c r="B1" s="2691" t="s">
        <v>5006</v>
      </c>
      <c r="C1" s="2691" t="s">
        <v>5007</v>
      </c>
      <c r="D1" s="2691" t="s">
        <v>5008</v>
      </c>
      <c r="E1" s="2701" t="s">
        <v>5009</v>
      </c>
      <c r="F1" s="2701" t="s">
        <v>5010</v>
      </c>
    </row>
    <row r="2" spans="1:7">
      <c r="A2" s="1963"/>
      <c r="B2" s="1963"/>
    </row>
    <row r="3" spans="1:7">
      <c r="A3" s="1964"/>
      <c r="B3" s="1965" t="s">
        <v>6631</v>
      </c>
      <c r="C3" s="1966" t="s">
        <v>4239</v>
      </c>
    </row>
    <row r="4" spans="1:7">
      <c r="A4" s="7063" t="s">
        <v>6632</v>
      </c>
      <c r="B4" s="1967">
        <v>101</v>
      </c>
      <c r="C4" s="1968" t="s">
        <v>6633</v>
      </c>
      <c r="F4" s="1969"/>
      <c r="G4" s="1970"/>
    </row>
    <row r="5" spans="1:7">
      <c r="A5" s="7064"/>
      <c r="B5" s="1971">
        <v>102</v>
      </c>
      <c r="C5" s="1972" t="s">
        <v>6634</v>
      </c>
      <c r="F5" s="1969"/>
      <c r="G5" s="1970"/>
    </row>
    <row r="6" spans="1:7">
      <c r="A6" s="7064"/>
      <c r="B6" s="1971">
        <v>103</v>
      </c>
      <c r="C6" s="1972" t="s">
        <v>6635</v>
      </c>
    </row>
    <row r="7" spans="1:7">
      <c r="A7" s="7064"/>
      <c r="B7" s="1971">
        <v>104</v>
      </c>
      <c r="C7" s="1972" t="s">
        <v>6636</v>
      </c>
    </row>
    <row r="8" spans="1:7">
      <c r="A8" s="7064"/>
      <c r="B8" s="1971">
        <v>105</v>
      </c>
      <c r="C8" s="1972" t="s">
        <v>6637</v>
      </c>
    </row>
    <row r="9" spans="1:7">
      <c r="A9" s="7064"/>
      <c r="B9" s="1971">
        <v>106</v>
      </c>
      <c r="C9" s="1972" t="s">
        <v>6638</v>
      </c>
    </row>
    <row r="10" spans="1:7">
      <c r="A10" s="7064"/>
      <c r="B10" s="1971">
        <v>107</v>
      </c>
      <c r="C10" s="1972" t="s">
        <v>6639</v>
      </c>
    </row>
    <row r="11" spans="1:7">
      <c r="A11" s="7064"/>
      <c r="B11" s="1971">
        <v>108</v>
      </c>
      <c r="C11" s="1972" t="s">
        <v>6640</v>
      </c>
    </row>
    <row r="12" spans="1:7">
      <c r="A12" s="7064"/>
      <c r="B12" s="1971">
        <v>109</v>
      </c>
      <c r="C12" s="1972" t="s">
        <v>6641</v>
      </c>
    </row>
    <row r="13" spans="1:7">
      <c r="A13" s="7064"/>
      <c r="B13" s="1971">
        <v>110</v>
      </c>
      <c r="C13" s="1972" t="s">
        <v>6642</v>
      </c>
    </row>
    <row r="14" spans="1:7">
      <c r="A14" s="7064"/>
      <c r="B14" s="1971">
        <v>111</v>
      </c>
      <c r="C14" s="1972" t="s">
        <v>6643</v>
      </c>
    </row>
    <row r="15" spans="1:7">
      <c r="A15" s="7064"/>
      <c r="B15" s="1971">
        <v>112</v>
      </c>
      <c r="C15" s="1972" t="s">
        <v>6644</v>
      </c>
    </row>
    <row r="16" spans="1:7">
      <c r="A16" s="7064"/>
      <c r="B16" s="1971">
        <v>113</v>
      </c>
      <c r="C16" s="1972" t="s">
        <v>6645</v>
      </c>
    </row>
    <row r="17" spans="1:4">
      <c r="A17" s="7064"/>
      <c r="B17" s="1971">
        <v>114</v>
      </c>
      <c r="C17" s="1972" t="s">
        <v>6646</v>
      </c>
    </row>
    <row r="18" spans="1:4">
      <c r="A18" s="7064"/>
      <c r="B18" s="1971">
        <v>115</v>
      </c>
      <c r="C18" s="1972" t="s">
        <v>6647</v>
      </c>
    </row>
    <row r="19" spans="1:4">
      <c r="A19" s="7064"/>
      <c r="B19" s="1971">
        <v>116</v>
      </c>
      <c r="C19" s="1972" t="s">
        <v>6648</v>
      </c>
    </row>
    <row r="20" spans="1:4">
      <c r="A20" s="7064"/>
      <c r="B20" s="1971">
        <v>117</v>
      </c>
      <c r="C20" s="1972" t="s">
        <v>6649</v>
      </c>
    </row>
    <row r="21" spans="1:4">
      <c r="A21" s="7064"/>
      <c r="B21" s="1971">
        <v>118</v>
      </c>
      <c r="C21" s="1972" t="s">
        <v>6650</v>
      </c>
    </row>
    <row r="22" spans="1:4">
      <c r="A22" s="7064"/>
      <c r="B22" s="1971">
        <v>119</v>
      </c>
      <c r="C22" s="1972" t="s">
        <v>6651</v>
      </c>
    </row>
    <row r="23" spans="1:4">
      <c r="A23" s="7064"/>
      <c r="B23" s="1971">
        <v>120</v>
      </c>
      <c r="C23" s="1972" t="s">
        <v>6652</v>
      </c>
    </row>
    <row r="24" spans="1:4">
      <c r="A24" s="7064"/>
      <c r="B24" s="1971">
        <v>121</v>
      </c>
      <c r="C24" s="1972" t="s">
        <v>6653</v>
      </c>
    </row>
    <row r="25" spans="1:4">
      <c r="A25" s="7064"/>
      <c r="B25" s="1971">
        <v>122</v>
      </c>
      <c r="C25" s="1972" t="s">
        <v>6654</v>
      </c>
    </row>
    <row r="26" spans="1:4">
      <c r="A26" s="7064"/>
      <c r="B26" s="1971">
        <v>123</v>
      </c>
      <c r="C26" s="1972" t="s">
        <v>6655</v>
      </c>
    </row>
    <row r="27" spans="1:4">
      <c r="A27" s="7064"/>
      <c r="B27" s="1971">
        <v>124</v>
      </c>
      <c r="C27" s="1972" t="s">
        <v>6656</v>
      </c>
    </row>
    <row r="28" spans="1:4">
      <c r="A28" s="7064"/>
      <c r="B28" s="1971">
        <v>125</v>
      </c>
      <c r="C28" s="1972" t="s">
        <v>6657</v>
      </c>
    </row>
    <row r="29" spans="1:4">
      <c r="A29" s="7064"/>
      <c r="B29" s="1971"/>
      <c r="C29" s="1972"/>
    </row>
    <row r="30" spans="1:4">
      <c r="A30" s="7065"/>
      <c r="B30" s="1973"/>
      <c r="C30" s="1972"/>
    </row>
    <row r="31" spans="1:4">
      <c r="A31" s="7066" t="s">
        <v>6658</v>
      </c>
      <c r="B31" s="1967">
        <v>201</v>
      </c>
      <c r="C31" s="1974" t="s">
        <v>6659</v>
      </c>
      <c r="D31" s="1975">
        <v>2000</v>
      </c>
    </row>
    <row r="32" spans="1:4">
      <c r="A32" s="7067"/>
      <c r="B32" s="1971">
        <v>202</v>
      </c>
      <c r="C32" s="1976" t="s">
        <v>5055</v>
      </c>
      <c r="D32" s="1975">
        <v>3000</v>
      </c>
    </row>
    <row r="33" spans="1:4">
      <c r="A33" s="7067"/>
      <c r="B33" s="1971">
        <v>203</v>
      </c>
      <c r="C33" s="1976" t="s">
        <v>6660</v>
      </c>
      <c r="D33" s="1975">
        <v>4000</v>
      </c>
    </row>
    <row r="34" spans="1:4">
      <c r="A34" s="7067"/>
      <c r="B34" s="1971">
        <v>204</v>
      </c>
      <c r="C34" s="1976" t="s">
        <v>6661</v>
      </c>
    </row>
    <row r="35" spans="1:4">
      <c r="A35" s="7067"/>
      <c r="B35" s="1971">
        <v>205</v>
      </c>
      <c r="C35" s="1976" t="s">
        <v>6662</v>
      </c>
    </row>
    <row r="36" spans="1:4">
      <c r="A36" s="7067"/>
      <c r="B36" s="1971">
        <v>206</v>
      </c>
      <c r="C36" s="1976"/>
    </row>
    <row r="37" spans="1:4">
      <c r="A37" s="7067"/>
      <c r="B37" s="1971">
        <v>207</v>
      </c>
      <c r="C37" s="1976"/>
    </row>
    <row r="38" spans="1:4">
      <c r="A38" s="7067"/>
      <c r="B38" s="1971">
        <v>208</v>
      </c>
      <c r="C38" s="1976"/>
    </row>
    <row r="39" spans="1:4">
      <c r="A39" s="7067"/>
      <c r="B39" s="1971">
        <v>209</v>
      </c>
      <c r="C39" s="1976"/>
    </row>
    <row r="40" spans="1:4">
      <c r="A40" s="7068"/>
      <c r="B40" s="1973">
        <v>210</v>
      </c>
      <c r="C40" s="1977"/>
    </row>
    <row r="41" spans="1:4">
      <c r="A41" s="7066" t="s">
        <v>6663</v>
      </c>
      <c r="B41" s="1967">
        <v>401</v>
      </c>
      <c r="C41" s="1968" t="s">
        <v>5078</v>
      </c>
    </row>
    <row r="42" spans="1:4">
      <c r="A42" s="7067"/>
      <c r="B42" s="1971">
        <v>402</v>
      </c>
      <c r="C42" s="1972" t="s">
        <v>5079</v>
      </c>
    </row>
    <row r="43" spans="1:4">
      <c r="A43" s="7067"/>
      <c r="B43" s="1971">
        <v>403</v>
      </c>
      <c r="C43" s="1972" t="s">
        <v>6664</v>
      </c>
    </row>
    <row r="44" spans="1:4">
      <c r="A44" s="7067"/>
      <c r="B44" s="1971">
        <v>404</v>
      </c>
      <c r="C44" s="1972" t="s">
        <v>6665</v>
      </c>
    </row>
    <row r="45" spans="1:4">
      <c r="A45" s="7067"/>
      <c r="B45" s="1971">
        <v>405</v>
      </c>
      <c r="C45" s="1972" t="s">
        <v>6666</v>
      </c>
    </row>
    <row r="46" spans="1:4">
      <c r="A46" s="7067"/>
      <c r="B46" s="1971">
        <v>406</v>
      </c>
      <c r="C46" s="1972" t="s">
        <v>6667</v>
      </c>
    </row>
    <row r="47" spans="1:4">
      <c r="A47" s="7067"/>
      <c r="B47" s="1971">
        <v>407</v>
      </c>
      <c r="C47" s="1972" t="s">
        <v>6668</v>
      </c>
    </row>
    <row r="48" spans="1:4">
      <c r="A48" s="7067"/>
      <c r="B48" s="1971">
        <v>408</v>
      </c>
      <c r="C48" s="1972" t="s">
        <v>6669</v>
      </c>
    </row>
    <row r="49" spans="1:3">
      <c r="A49" s="7067"/>
      <c r="B49" s="1971">
        <v>409</v>
      </c>
      <c r="C49" s="1972" t="s">
        <v>6670</v>
      </c>
    </row>
    <row r="50" spans="1:3">
      <c r="A50" s="7067"/>
      <c r="B50" s="1971">
        <v>410</v>
      </c>
      <c r="C50" s="1972" t="s">
        <v>6671</v>
      </c>
    </row>
    <row r="51" spans="1:3">
      <c r="A51" s="7067"/>
      <c r="B51" s="1971">
        <v>411</v>
      </c>
      <c r="C51" s="1976" t="s">
        <v>6672</v>
      </c>
    </row>
    <row r="52" spans="1:3">
      <c r="A52" s="7067"/>
      <c r="B52" s="1971">
        <v>412</v>
      </c>
      <c r="C52" s="1976" t="s">
        <v>6673</v>
      </c>
    </row>
    <row r="53" spans="1:3">
      <c r="A53" s="7067"/>
      <c r="B53" s="1971">
        <v>413</v>
      </c>
      <c r="C53" s="1976" t="s">
        <v>6674</v>
      </c>
    </row>
    <row r="54" spans="1:3">
      <c r="A54" s="7067"/>
      <c r="B54" s="1971">
        <v>414</v>
      </c>
      <c r="C54" s="1976" t="s">
        <v>6675</v>
      </c>
    </row>
    <row r="55" spans="1:3">
      <c r="A55" s="7067"/>
      <c r="B55" s="1971">
        <v>415</v>
      </c>
      <c r="C55" s="1976" t="s">
        <v>6676</v>
      </c>
    </row>
    <row r="56" spans="1:3">
      <c r="A56" s="7067"/>
      <c r="B56" s="1971">
        <v>416</v>
      </c>
      <c r="C56" s="1976" t="s">
        <v>6677</v>
      </c>
    </row>
    <row r="57" spans="1:3">
      <c r="A57" s="7067"/>
      <c r="B57" s="1971">
        <v>417</v>
      </c>
      <c r="C57" s="1976" t="s">
        <v>6678</v>
      </c>
    </row>
    <row r="58" spans="1:3">
      <c r="A58" s="7067"/>
      <c r="B58" s="1971">
        <v>418</v>
      </c>
      <c r="C58" s="1976" t="s">
        <v>6679</v>
      </c>
    </row>
    <row r="59" spans="1:3">
      <c r="A59" s="7067"/>
      <c r="B59" s="1971">
        <v>419</v>
      </c>
      <c r="C59" s="1976" t="s">
        <v>6680</v>
      </c>
    </row>
    <row r="60" spans="1:3">
      <c r="A60" s="7067"/>
      <c r="B60" s="1971">
        <v>420</v>
      </c>
      <c r="C60" s="1976" t="s">
        <v>6681</v>
      </c>
    </row>
    <row r="61" spans="1:3">
      <c r="A61" s="7067"/>
      <c r="B61" s="1971">
        <v>421</v>
      </c>
      <c r="C61" s="1976" t="s">
        <v>6682</v>
      </c>
    </row>
    <row r="62" spans="1:3">
      <c r="A62" s="7067"/>
      <c r="B62" s="1971">
        <v>422</v>
      </c>
      <c r="C62" s="1976" t="s">
        <v>6683</v>
      </c>
    </row>
    <row r="63" spans="1:3">
      <c r="A63" s="7067"/>
      <c r="B63" s="1971">
        <v>423</v>
      </c>
      <c r="C63" s="1976" t="s">
        <v>6684</v>
      </c>
    </row>
    <row r="64" spans="1:3">
      <c r="A64" s="7067"/>
      <c r="B64" s="1971">
        <v>424</v>
      </c>
      <c r="C64" s="1976" t="s">
        <v>6685</v>
      </c>
    </row>
    <row r="65" spans="1:3">
      <c r="A65" s="7067"/>
      <c r="B65" s="1971">
        <v>425</v>
      </c>
      <c r="C65" s="1976" t="s">
        <v>6686</v>
      </c>
    </row>
    <row r="66" spans="1:3">
      <c r="A66" s="7067"/>
      <c r="B66" s="1971">
        <v>426</v>
      </c>
      <c r="C66" s="1976" t="s">
        <v>6687</v>
      </c>
    </row>
    <row r="67" spans="1:3">
      <c r="A67" s="7067"/>
      <c r="B67" s="1971">
        <v>427</v>
      </c>
      <c r="C67" s="1976" t="s">
        <v>6688</v>
      </c>
    </row>
    <row r="68" spans="1:3">
      <c r="A68" s="7067"/>
      <c r="B68" s="1971">
        <v>428</v>
      </c>
      <c r="C68" s="1976" t="s">
        <v>6689</v>
      </c>
    </row>
    <row r="69" spans="1:3">
      <c r="A69" s="7067"/>
      <c r="B69" s="1971">
        <v>429</v>
      </c>
      <c r="C69" s="1976" t="s">
        <v>6690</v>
      </c>
    </row>
    <row r="70" spans="1:3">
      <c r="A70" s="7067"/>
      <c r="B70" s="1971">
        <v>430</v>
      </c>
      <c r="C70" s="1976" t="s">
        <v>6691</v>
      </c>
    </row>
    <row r="71" spans="1:3">
      <c r="A71" s="7068"/>
      <c r="B71" s="1971">
        <v>431</v>
      </c>
      <c r="C71" s="1977" t="s">
        <v>6692</v>
      </c>
    </row>
    <row r="72" spans="1:3" ht="12" customHeight="1">
      <c r="A72" s="7064" t="s">
        <v>6693</v>
      </c>
      <c r="B72" s="1971">
        <v>501</v>
      </c>
      <c r="C72" s="1976" t="s">
        <v>6694</v>
      </c>
    </row>
    <row r="73" spans="1:3">
      <c r="A73" s="7064"/>
      <c r="B73" s="1971">
        <v>502</v>
      </c>
      <c r="C73" s="1976"/>
    </row>
    <row r="74" spans="1:3">
      <c r="A74" s="7064"/>
      <c r="B74" s="1971">
        <v>503</v>
      </c>
      <c r="C74" s="1976"/>
    </row>
    <row r="75" spans="1:3">
      <c r="A75" s="7064"/>
      <c r="B75" s="1971">
        <v>504</v>
      </c>
      <c r="C75" s="1976"/>
    </row>
    <row r="76" spans="1:3">
      <c r="A76" s="7064"/>
      <c r="B76" s="1971">
        <v>505</v>
      </c>
      <c r="C76" s="1976"/>
    </row>
    <row r="77" spans="1:3">
      <c r="A77" s="7064"/>
      <c r="B77" s="1971">
        <v>506</v>
      </c>
      <c r="C77" s="1976"/>
    </row>
    <row r="78" spans="1:3">
      <c r="A78" s="7064"/>
      <c r="B78" s="1971">
        <v>507</v>
      </c>
      <c r="C78" s="1976"/>
    </row>
    <row r="79" spans="1:3">
      <c r="A79" s="7064"/>
      <c r="B79" s="1971">
        <v>508</v>
      </c>
      <c r="C79" s="1976"/>
    </row>
    <row r="80" spans="1:3">
      <c r="A80" s="7064"/>
      <c r="B80" s="1971">
        <v>509</v>
      </c>
      <c r="C80" s="1976"/>
    </row>
    <row r="81" spans="1:3">
      <c r="A81" s="7065"/>
      <c r="B81" s="1973">
        <v>510</v>
      </c>
      <c r="C81" s="1977"/>
    </row>
    <row r="82" spans="1:3">
      <c r="A82" s="7064" t="s">
        <v>6695</v>
      </c>
      <c r="B82" s="1967">
        <v>601</v>
      </c>
      <c r="C82" s="1974" t="s">
        <v>6696</v>
      </c>
    </row>
    <row r="83" spans="1:3">
      <c r="A83" s="7064"/>
      <c r="B83" s="1971">
        <v>602</v>
      </c>
      <c r="C83" s="1976" t="s">
        <v>6697</v>
      </c>
    </row>
    <row r="84" spans="1:3">
      <c r="A84" s="7064"/>
      <c r="B84" s="1971">
        <v>603</v>
      </c>
      <c r="C84" s="1976" t="s">
        <v>6158</v>
      </c>
    </row>
    <row r="85" spans="1:3">
      <c r="A85" s="7064"/>
      <c r="B85" s="1971">
        <v>604</v>
      </c>
      <c r="C85" s="1976" t="s">
        <v>3113</v>
      </c>
    </row>
    <row r="86" spans="1:3">
      <c r="A86" s="7064"/>
      <c r="B86" s="1971">
        <v>605</v>
      </c>
      <c r="C86" s="1976"/>
    </row>
    <row r="87" spans="1:3">
      <c r="A87" s="7064"/>
      <c r="B87" s="1971">
        <v>606</v>
      </c>
      <c r="C87" s="1976"/>
    </row>
    <row r="88" spans="1:3">
      <c r="A88" s="7064"/>
      <c r="B88" s="1971">
        <v>607</v>
      </c>
      <c r="C88" s="1976"/>
    </row>
    <row r="89" spans="1:3">
      <c r="A89" s="7064"/>
      <c r="B89" s="1971">
        <v>608</v>
      </c>
      <c r="C89" s="1976"/>
    </row>
    <row r="90" spans="1:3">
      <c r="A90" s="7064"/>
      <c r="B90" s="1971">
        <v>609</v>
      </c>
      <c r="C90" s="1976"/>
    </row>
    <row r="91" spans="1:3">
      <c r="A91" s="7065"/>
      <c r="B91" s="1973">
        <v>610</v>
      </c>
      <c r="C91" s="1977"/>
    </row>
  </sheetData>
  <mergeCells count="5">
    <mergeCell ref="A4:A30"/>
    <mergeCell ref="A31:A40"/>
    <mergeCell ref="A41:A71"/>
    <mergeCell ref="A72:A81"/>
    <mergeCell ref="A82:A91"/>
  </mergeCells>
  <phoneticPr fontId="2"/>
  <pageMargins left="0.7" right="0.7" top="0.75" bottom="0.75" header="0.3" footer="0.3"/>
  <pageSetup paperSize="9" orientation="portrait" r:id="rId1"/>
  <rowBreaks count="1" manualBreakCount="1">
    <brk id="40" max="16383" man="1"/>
  </rowBreaks>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FAEF-59BD-4382-AFDD-5F3B37F759CF}">
  <sheetPr codeName="Sheet242">
    <tabColor theme="2" tint="-0.499984740745262"/>
    <pageSetUpPr fitToPage="1"/>
  </sheetPr>
  <dimension ref="A1:AG362"/>
  <sheetViews>
    <sheetView workbookViewId="0"/>
  </sheetViews>
  <sheetFormatPr defaultColWidth="8.7265625" defaultRowHeight="20"/>
  <cols>
    <col min="1" max="1" width="6.453125" style="1978" customWidth="1"/>
    <col min="2" max="4" width="14.81640625" style="1981" customWidth="1"/>
    <col min="5" max="5" width="36.453125" style="1979" customWidth="1"/>
    <col min="6" max="6" width="14.81640625" style="1982" customWidth="1"/>
    <col min="7" max="7" width="18" style="1978" customWidth="1"/>
    <col min="8" max="9" width="14.81640625" style="1978" customWidth="1"/>
    <col min="10" max="18" width="11" style="1978" customWidth="1"/>
    <col min="19" max="19" width="11" style="1983" customWidth="1"/>
    <col min="20" max="20" width="11" style="1978" customWidth="1"/>
    <col min="21" max="16384" width="8.7265625" style="1978"/>
  </cols>
  <sheetData>
    <row r="1" spans="1:20">
      <c r="B1" s="7069" t="s">
        <v>6698</v>
      </c>
      <c r="C1" s="7069"/>
      <c r="D1" s="7069"/>
      <c r="E1" s="7069"/>
      <c r="F1" s="7069"/>
      <c r="G1" s="7069"/>
      <c r="H1" s="7069"/>
      <c r="I1" s="7069"/>
      <c r="J1" s="7069"/>
      <c r="K1" s="7069"/>
      <c r="L1" s="7069"/>
      <c r="M1" s="7069"/>
      <c r="N1" s="7069"/>
      <c r="O1" s="7069"/>
      <c r="P1" s="7069"/>
      <c r="Q1" s="7069"/>
      <c r="R1" s="7069"/>
      <c r="S1" s="7069"/>
      <c r="T1" s="7069"/>
    </row>
    <row r="2" spans="1:20">
      <c r="B2" s="7069"/>
      <c r="C2" s="7069"/>
      <c r="D2" s="7069"/>
      <c r="E2" s="7069"/>
      <c r="F2" s="7069"/>
      <c r="G2" s="7069"/>
      <c r="H2" s="7069"/>
      <c r="I2" s="7069"/>
      <c r="J2" s="7069"/>
      <c r="K2" s="7069"/>
      <c r="L2" s="7069"/>
      <c r="M2" s="7069"/>
      <c r="N2" s="7069"/>
      <c r="O2" s="7069"/>
      <c r="P2" s="7069"/>
      <c r="Q2" s="7069"/>
      <c r="R2" s="7069"/>
      <c r="S2" s="7069"/>
      <c r="T2" s="7069"/>
    </row>
    <row r="3" spans="1:20">
      <c r="B3" s="7069"/>
      <c r="C3" s="7069"/>
      <c r="D3" s="7069"/>
      <c r="E3" s="7069"/>
      <c r="F3" s="7069"/>
      <c r="G3" s="7069"/>
      <c r="H3" s="7069"/>
      <c r="I3" s="7069"/>
      <c r="J3" s="7069"/>
      <c r="K3" s="7069"/>
      <c r="L3" s="7069"/>
      <c r="M3" s="7069"/>
      <c r="N3" s="7069"/>
      <c r="O3" s="7069"/>
      <c r="P3" s="7069"/>
      <c r="Q3" s="7069"/>
      <c r="R3" s="7069"/>
      <c r="S3" s="7069"/>
      <c r="T3" s="7069"/>
    </row>
    <row r="4" spans="1:20" ht="58.5">
      <c r="B4" s="1984">
        <v>1</v>
      </c>
      <c r="C4" s="1984">
        <v>2</v>
      </c>
      <c r="D4" s="1984">
        <v>3</v>
      </c>
      <c r="E4" s="1984">
        <v>4</v>
      </c>
      <c r="F4" s="1985">
        <v>5</v>
      </c>
      <c r="G4" s="1986">
        <v>6</v>
      </c>
      <c r="H4" s="1984">
        <v>7</v>
      </c>
      <c r="I4" s="1984">
        <v>8</v>
      </c>
      <c r="J4" s="1984">
        <v>9</v>
      </c>
      <c r="K4" s="1984">
        <v>10</v>
      </c>
      <c r="L4" s="1984">
        <v>11</v>
      </c>
      <c r="M4" s="1984">
        <v>12</v>
      </c>
      <c r="N4" s="1984">
        <v>13</v>
      </c>
      <c r="O4" s="1984">
        <v>14</v>
      </c>
      <c r="P4" s="1984">
        <v>15</v>
      </c>
      <c r="Q4" s="1984">
        <v>16</v>
      </c>
      <c r="R4" s="1984">
        <v>17</v>
      </c>
      <c r="S4" s="1984">
        <v>18</v>
      </c>
      <c r="T4" s="1984">
        <v>19</v>
      </c>
    </row>
    <row r="5" spans="1:20" s="1979" customFormat="1" ht="17">
      <c r="B5" s="7070" t="s">
        <v>6699</v>
      </c>
      <c r="C5" s="7071"/>
      <c r="D5" s="7071"/>
      <c r="E5" s="7071"/>
      <c r="F5" s="7072"/>
      <c r="G5" s="7072"/>
      <c r="H5" s="7070" t="s">
        <v>6700</v>
      </c>
      <c r="I5" s="7071"/>
      <c r="J5" s="7071"/>
      <c r="K5" s="7071"/>
      <c r="L5" s="7073"/>
      <c r="M5" s="7070" t="s">
        <v>6701</v>
      </c>
      <c r="N5" s="7071"/>
      <c r="O5" s="7071"/>
      <c r="P5" s="7071"/>
      <c r="Q5" s="7073"/>
      <c r="R5" s="7070" t="s">
        <v>6555</v>
      </c>
      <c r="S5" s="7073"/>
      <c r="T5" s="1987" t="s">
        <v>6702</v>
      </c>
    </row>
    <row r="6" spans="1:20" s="1979" customFormat="1" ht="34">
      <c r="B6" s="1988" t="s">
        <v>6703</v>
      </c>
      <c r="C6" s="1988" t="s">
        <v>2101</v>
      </c>
      <c r="D6" s="1988" t="s">
        <v>6704</v>
      </c>
      <c r="E6" s="1988" t="s">
        <v>6705</v>
      </c>
      <c r="F6" s="1989" t="s">
        <v>6706</v>
      </c>
      <c r="G6" s="1988" t="s">
        <v>6707</v>
      </c>
      <c r="H6" s="1988" t="s">
        <v>6708</v>
      </c>
      <c r="I6" s="1988" t="s">
        <v>6709</v>
      </c>
      <c r="J6" s="1988" t="s">
        <v>6710</v>
      </c>
      <c r="K6" s="1990" t="s">
        <v>6711</v>
      </c>
      <c r="L6" s="1990" t="s">
        <v>6712</v>
      </c>
      <c r="M6" s="1990" t="s">
        <v>6713</v>
      </c>
      <c r="N6" s="1988" t="s">
        <v>6714</v>
      </c>
      <c r="O6" s="1988" t="s">
        <v>6715</v>
      </c>
      <c r="P6" s="1990" t="s">
        <v>6716</v>
      </c>
      <c r="Q6" s="1991" t="s">
        <v>6717</v>
      </c>
      <c r="R6" s="1988" t="s">
        <v>6718</v>
      </c>
      <c r="S6" s="1992" t="s">
        <v>6719</v>
      </c>
      <c r="T6" s="1988" t="s">
        <v>6720</v>
      </c>
    </row>
    <row r="7" spans="1:20" s="1979" customFormat="1" ht="18">
      <c r="A7" s="1979">
        <v>1</v>
      </c>
      <c r="B7" s="1993">
        <v>1</v>
      </c>
      <c r="C7" s="1993" t="s">
        <v>6721</v>
      </c>
      <c r="D7" s="1993" t="s">
        <v>2179</v>
      </c>
      <c r="E7" s="1994" t="s">
        <v>4871</v>
      </c>
      <c r="F7" s="1995" t="s">
        <v>6722</v>
      </c>
      <c r="G7" s="1996" t="s">
        <v>6723</v>
      </c>
      <c r="H7" s="1997" t="s">
        <v>2610</v>
      </c>
      <c r="I7" s="1998" t="s">
        <v>2610</v>
      </c>
      <c r="J7" s="1999">
        <v>75</v>
      </c>
      <c r="K7" s="1999">
        <v>75</v>
      </c>
      <c r="L7" s="2000">
        <f t="shared" ref="L7:L70" si="0">SUM(K7/J7)</f>
        <v>1</v>
      </c>
      <c r="M7" s="2001" t="s">
        <v>2133</v>
      </c>
      <c r="N7" s="2001" t="s">
        <v>2688</v>
      </c>
      <c r="O7" s="2001" t="s">
        <v>2688</v>
      </c>
      <c r="P7" s="1999">
        <v>30</v>
      </c>
      <c r="Q7" s="2002">
        <v>1</v>
      </c>
      <c r="R7" s="2002">
        <v>2</v>
      </c>
      <c r="S7" s="2002">
        <v>2</v>
      </c>
      <c r="T7" s="1997" t="s">
        <v>2688</v>
      </c>
    </row>
    <row r="8" spans="1:20" s="1979" customFormat="1" ht="18">
      <c r="A8" s="1979">
        <v>2</v>
      </c>
      <c r="B8" s="1993">
        <v>2</v>
      </c>
      <c r="C8" s="1993" t="s">
        <v>6721</v>
      </c>
      <c r="D8" s="1993" t="s">
        <v>2179</v>
      </c>
      <c r="E8" s="1994" t="s">
        <v>5192</v>
      </c>
      <c r="F8" s="1995" t="s">
        <v>5193</v>
      </c>
      <c r="G8" s="1996" t="s">
        <v>6723</v>
      </c>
      <c r="H8" s="1997" t="s">
        <v>2609</v>
      </c>
      <c r="I8" s="1998" t="s">
        <v>2609</v>
      </c>
      <c r="J8" s="1999">
        <v>116</v>
      </c>
      <c r="K8" s="1999">
        <v>70</v>
      </c>
      <c r="L8" s="2000">
        <f t="shared" si="0"/>
        <v>0.60344827586206895</v>
      </c>
      <c r="M8" s="2001" t="s">
        <v>2161</v>
      </c>
      <c r="N8" s="2001" t="s">
        <v>2688</v>
      </c>
      <c r="O8" s="2001" t="s">
        <v>2688</v>
      </c>
      <c r="P8" s="1999">
        <v>15</v>
      </c>
      <c r="Q8" s="2002">
        <v>0</v>
      </c>
      <c r="R8" s="2002">
        <v>0</v>
      </c>
      <c r="S8" s="2002">
        <v>0</v>
      </c>
      <c r="T8" s="1997" t="s">
        <v>2688</v>
      </c>
    </row>
    <row r="9" spans="1:20" s="1979" customFormat="1" ht="18">
      <c r="A9" s="1979">
        <v>3</v>
      </c>
      <c r="B9" s="1993">
        <v>4</v>
      </c>
      <c r="C9" s="1993" t="s">
        <v>6721</v>
      </c>
      <c r="D9" s="1993" t="s">
        <v>2179</v>
      </c>
      <c r="E9" s="1994" t="s">
        <v>3535</v>
      </c>
      <c r="F9" s="1995" t="s">
        <v>5194</v>
      </c>
      <c r="G9" s="1996" t="s">
        <v>6723</v>
      </c>
      <c r="H9" s="1997" t="s">
        <v>2609</v>
      </c>
      <c r="I9" s="1998" t="s">
        <v>2609</v>
      </c>
      <c r="J9" s="1999">
        <v>149</v>
      </c>
      <c r="K9" s="1999">
        <v>75</v>
      </c>
      <c r="L9" s="2000">
        <f t="shared" si="0"/>
        <v>0.50335570469798663</v>
      </c>
      <c r="M9" s="2001" t="s">
        <v>2161</v>
      </c>
      <c r="N9" s="2001" t="s">
        <v>2688</v>
      </c>
      <c r="O9" s="2001" t="s">
        <v>2688</v>
      </c>
      <c r="P9" s="1999">
        <v>43</v>
      </c>
      <c r="Q9" s="2002">
        <v>0</v>
      </c>
      <c r="R9" s="2002">
        <v>0</v>
      </c>
      <c r="S9" s="2002">
        <v>0</v>
      </c>
      <c r="T9" s="1997" t="s">
        <v>2688</v>
      </c>
    </row>
    <row r="10" spans="1:20" s="1979" customFormat="1" ht="18">
      <c r="A10" s="1979">
        <v>4</v>
      </c>
      <c r="B10" s="1993">
        <v>5</v>
      </c>
      <c r="C10" s="1993" t="s">
        <v>6721</v>
      </c>
      <c r="D10" s="1993" t="s">
        <v>2179</v>
      </c>
      <c r="E10" s="1994" t="s">
        <v>6724</v>
      </c>
      <c r="F10" s="1995" t="s">
        <v>6725</v>
      </c>
      <c r="G10" s="1996" t="s">
        <v>6726</v>
      </c>
      <c r="H10" s="1997" t="s">
        <v>2609</v>
      </c>
      <c r="I10" s="1998" t="s">
        <v>2609</v>
      </c>
      <c r="J10" s="1999">
        <v>66</v>
      </c>
      <c r="K10" s="1999">
        <v>20</v>
      </c>
      <c r="L10" s="2000">
        <f t="shared" si="0"/>
        <v>0.30303030303030304</v>
      </c>
      <c r="M10" s="2001" t="s">
        <v>2133</v>
      </c>
      <c r="N10" s="2001" t="s">
        <v>2688</v>
      </c>
      <c r="O10" s="2001" t="s">
        <v>2133</v>
      </c>
      <c r="P10" s="1999">
        <v>35</v>
      </c>
      <c r="Q10" s="2002">
        <v>0</v>
      </c>
      <c r="R10" s="2002">
        <v>0</v>
      </c>
      <c r="S10" s="2002">
        <v>0</v>
      </c>
      <c r="T10" s="1997" t="s">
        <v>2688</v>
      </c>
    </row>
    <row r="11" spans="1:20" s="1979" customFormat="1" ht="18">
      <c r="A11" s="1979">
        <v>5</v>
      </c>
      <c r="B11" s="1993">
        <v>7</v>
      </c>
      <c r="C11" s="1993" t="s">
        <v>6721</v>
      </c>
      <c r="D11" s="1993" t="s">
        <v>2179</v>
      </c>
      <c r="E11" s="1994" t="s">
        <v>5195</v>
      </c>
      <c r="F11" s="1995" t="s">
        <v>5196</v>
      </c>
      <c r="G11" s="1996" t="s">
        <v>6723</v>
      </c>
      <c r="H11" s="1997" t="s">
        <v>2609</v>
      </c>
      <c r="I11" s="1998" t="s">
        <v>2609</v>
      </c>
      <c r="J11" s="1999">
        <v>44</v>
      </c>
      <c r="K11" s="1999">
        <v>44</v>
      </c>
      <c r="L11" s="2000">
        <f t="shared" si="0"/>
        <v>1</v>
      </c>
      <c r="M11" s="2001" t="s">
        <v>2133</v>
      </c>
      <c r="N11" s="2001" t="s">
        <v>2133</v>
      </c>
      <c r="O11" s="2001" t="s">
        <v>2133</v>
      </c>
      <c r="P11" s="1999">
        <v>50</v>
      </c>
      <c r="Q11" s="2002">
        <v>1</v>
      </c>
      <c r="R11" s="2003">
        <v>1</v>
      </c>
      <c r="S11" s="2003">
        <v>1</v>
      </c>
      <c r="T11" s="1997" t="s">
        <v>3804</v>
      </c>
    </row>
    <row r="12" spans="1:20" s="1979" customFormat="1" ht="18">
      <c r="A12" s="1979">
        <v>6</v>
      </c>
      <c r="B12" s="1993">
        <v>8</v>
      </c>
      <c r="C12" s="1993" t="s">
        <v>6721</v>
      </c>
      <c r="D12" s="1993" t="s">
        <v>2218</v>
      </c>
      <c r="E12" s="1994" t="s">
        <v>3544</v>
      </c>
      <c r="F12" s="1995" t="s">
        <v>5197</v>
      </c>
      <c r="G12" s="1996" t="s">
        <v>6727</v>
      </c>
      <c r="H12" s="1997" t="s">
        <v>2609</v>
      </c>
      <c r="I12" s="1998" t="s">
        <v>2610</v>
      </c>
      <c r="J12" s="1999">
        <v>90</v>
      </c>
      <c r="K12" s="1999">
        <v>66</v>
      </c>
      <c r="L12" s="2000">
        <f t="shared" si="0"/>
        <v>0.73333333333333328</v>
      </c>
      <c r="M12" s="2001" t="s">
        <v>2133</v>
      </c>
      <c r="N12" s="2001" t="s">
        <v>2133</v>
      </c>
      <c r="O12" s="2001" t="s">
        <v>2133</v>
      </c>
      <c r="P12" s="1999">
        <v>50</v>
      </c>
      <c r="Q12" s="2002">
        <v>4</v>
      </c>
      <c r="R12" s="2002">
        <v>10</v>
      </c>
      <c r="S12" s="2002">
        <v>10</v>
      </c>
      <c r="T12" s="1997" t="s">
        <v>2161</v>
      </c>
    </row>
    <row r="13" spans="1:20" s="1979" customFormat="1" ht="18">
      <c r="A13" s="1979">
        <v>7</v>
      </c>
      <c r="B13" s="1993">
        <v>9</v>
      </c>
      <c r="C13" s="1993" t="s">
        <v>6721</v>
      </c>
      <c r="D13" s="1993" t="s">
        <v>2218</v>
      </c>
      <c r="E13" s="1994" t="s">
        <v>5198</v>
      </c>
      <c r="F13" s="1995" t="s">
        <v>5199</v>
      </c>
      <c r="G13" s="1996" t="s">
        <v>6726</v>
      </c>
      <c r="H13" s="1997" t="s">
        <v>2609</v>
      </c>
      <c r="I13" s="1998" t="s">
        <v>2610</v>
      </c>
      <c r="J13" s="1999">
        <v>56</v>
      </c>
      <c r="K13" s="1999">
        <v>35</v>
      </c>
      <c r="L13" s="2000">
        <f t="shared" si="0"/>
        <v>0.625</v>
      </c>
      <c r="M13" s="2001" t="s">
        <v>2133</v>
      </c>
      <c r="N13" s="2001" t="s">
        <v>2688</v>
      </c>
      <c r="O13" s="2001" t="s">
        <v>2688</v>
      </c>
      <c r="P13" s="1999">
        <v>20</v>
      </c>
      <c r="Q13" s="2002">
        <v>0</v>
      </c>
      <c r="R13" s="2002">
        <v>0</v>
      </c>
      <c r="S13" s="2002">
        <v>0</v>
      </c>
      <c r="T13" s="1997" t="s">
        <v>2688</v>
      </c>
    </row>
    <row r="14" spans="1:20" s="1979" customFormat="1" ht="18">
      <c r="A14" s="1979">
        <v>8</v>
      </c>
      <c r="B14" s="1993">
        <v>10</v>
      </c>
      <c r="C14" s="1993" t="s">
        <v>6721</v>
      </c>
      <c r="D14" s="1993" t="s">
        <v>2218</v>
      </c>
      <c r="E14" s="1994" t="s">
        <v>5200</v>
      </c>
      <c r="F14" s="1995" t="s">
        <v>5201</v>
      </c>
      <c r="G14" s="1996" t="s">
        <v>6723</v>
      </c>
      <c r="H14" s="1997" t="s">
        <v>2609</v>
      </c>
      <c r="I14" s="1998" t="s">
        <v>2610</v>
      </c>
      <c r="J14" s="1999">
        <v>77</v>
      </c>
      <c r="K14" s="1999">
        <v>53</v>
      </c>
      <c r="L14" s="2000">
        <f t="shared" si="0"/>
        <v>0.68831168831168832</v>
      </c>
      <c r="M14" s="2001" t="s">
        <v>2133</v>
      </c>
      <c r="N14" s="2001" t="s">
        <v>2688</v>
      </c>
      <c r="O14" s="2001" t="s">
        <v>2688</v>
      </c>
      <c r="P14" s="1999">
        <v>30</v>
      </c>
      <c r="Q14" s="2002">
        <v>0</v>
      </c>
      <c r="R14" s="2002">
        <v>0</v>
      </c>
      <c r="S14" s="2002">
        <v>0</v>
      </c>
      <c r="T14" s="1997" t="s">
        <v>2688</v>
      </c>
    </row>
    <row r="15" spans="1:20" s="1979" customFormat="1" ht="18">
      <c r="A15" s="1979">
        <v>9</v>
      </c>
      <c r="B15" s="1993">
        <v>11</v>
      </c>
      <c r="C15" s="1993" t="s">
        <v>6721</v>
      </c>
      <c r="D15" s="1993" t="s">
        <v>2243</v>
      </c>
      <c r="E15" s="1994" t="s">
        <v>5202</v>
      </c>
      <c r="F15" s="1995" t="s">
        <v>5203</v>
      </c>
      <c r="G15" s="1996" t="s">
        <v>6723</v>
      </c>
      <c r="H15" s="1997" t="s">
        <v>2609</v>
      </c>
      <c r="I15" s="1998" t="s">
        <v>2610</v>
      </c>
      <c r="J15" s="1999">
        <v>101</v>
      </c>
      <c r="K15" s="1999">
        <v>39</v>
      </c>
      <c r="L15" s="2000">
        <f t="shared" si="0"/>
        <v>0.38613861386138615</v>
      </c>
      <c r="M15" s="2001" t="s">
        <v>2133</v>
      </c>
      <c r="N15" s="2001" t="s">
        <v>2688</v>
      </c>
      <c r="O15" s="2001" t="s">
        <v>2133</v>
      </c>
      <c r="P15" s="1999">
        <v>145</v>
      </c>
      <c r="Q15" s="2002">
        <v>1</v>
      </c>
      <c r="R15" s="2002">
        <v>0</v>
      </c>
      <c r="S15" s="2002">
        <v>0</v>
      </c>
      <c r="T15" s="1997" t="s">
        <v>2161</v>
      </c>
    </row>
    <row r="16" spans="1:20" s="1979" customFormat="1" ht="18">
      <c r="A16" s="1979">
        <v>10</v>
      </c>
      <c r="B16" s="1993">
        <v>12</v>
      </c>
      <c r="C16" s="1993" t="s">
        <v>6721</v>
      </c>
      <c r="D16" s="1993" t="s">
        <v>2243</v>
      </c>
      <c r="E16" s="1994" t="s">
        <v>5204</v>
      </c>
      <c r="F16" s="1995" t="s">
        <v>6728</v>
      </c>
      <c r="G16" s="1996" t="s">
        <v>6726</v>
      </c>
      <c r="H16" s="1997" t="s">
        <v>2609</v>
      </c>
      <c r="I16" s="1998" t="s">
        <v>2610</v>
      </c>
      <c r="J16" s="1999">
        <v>224</v>
      </c>
      <c r="K16" s="1999">
        <v>150</v>
      </c>
      <c r="L16" s="2000">
        <f t="shared" si="0"/>
        <v>0.6696428571428571</v>
      </c>
      <c r="M16" s="2001" t="s">
        <v>2133</v>
      </c>
      <c r="N16" s="2001" t="s">
        <v>2688</v>
      </c>
      <c r="O16" s="2001" t="s">
        <v>2133</v>
      </c>
      <c r="P16" s="1999">
        <v>82</v>
      </c>
      <c r="Q16" s="2002">
        <v>2</v>
      </c>
      <c r="R16" s="2002">
        <v>7</v>
      </c>
      <c r="S16" s="2002">
        <v>7</v>
      </c>
      <c r="T16" s="1997" t="s">
        <v>2161</v>
      </c>
    </row>
    <row r="17" spans="1:20" s="1979" customFormat="1" ht="18">
      <c r="A17" s="1979">
        <v>11</v>
      </c>
      <c r="B17" s="1993">
        <v>13</v>
      </c>
      <c r="C17" s="1993" t="s">
        <v>6721</v>
      </c>
      <c r="D17" s="1993" t="s">
        <v>2243</v>
      </c>
      <c r="E17" s="1994" t="s">
        <v>5206</v>
      </c>
      <c r="F17" s="1995" t="s">
        <v>5207</v>
      </c>
      <c r="G17" s="1996" t="s">
        <v>6729</v>
      </c>
      <c r="H17" s="1997" t="s">
        <v>2609</v>
      </c>
      <c r="I17" s="1998" t="s">
        <v>2610</v>
      </c>
      <c r="J17" s="1999">
        <v>103</v>
      </c>
      <c r="K17" s="1999">
        <v>30</v>
      </c>
      <c r="L17" s="2000">
        <f t="shared" si="0"/>
        <v>0.29126213592233008</v>
      </c>
      <c r="M17" s="2001" t="s">
        <v>2133</v>
      </c>
      <c r="N17" s="2001" t="s">
        <v>2688</v>
      </c>
      <c r="O17" s="2001" t="s">
        <v>2688</v>
      </c>
      <c r="P17" s="1999">
        <v>35</v>
      </c>
      <c r="Q17" s="2002">
        <v>0</v>
      </c>
      <c r="R17" s="2002">
        <v>1</v>
      </c>
      <c r="S17" s="2002">
        <v>1</v>
      </c>
      <c r="T17" s="1997" t="s">
        <v>2161</v>
      </c>
    </row>
    <row r="18" spans="1:20" s="1979" customFormat="1" ht="18">
      <c r="A18" s="1979">
        <v>12</v>
      </c>
      <c r="B18" s="1993">
        <v>15</v>
      </c>
      <c r="C18" s="1993" t="s">
        <v>6721</v>
      </c>
      <c r="D18" s="1993" t="s">
        <v>2243</v>
      </c>
      <c r="E18" s="1994" t="s">
        <v>3541</v>
      </c>
      <c r="F18" s="1995" t="s">
        <v>5208</v>
      </c>
      <c r="G18" s="1996" t="s">
        <v>6723</v>
      </c>
      <c r="H18" s="1997" t="s">
        <v>2609</v>
      </c>
      <c r="I18" s="2004" t="s">
        <v>2610</v>
      </c>
      <c r="J18" s="1999">
        <v>73</v>
      </c>
      <c r="K18" s="1999">
        <v>54</v>
      </c>
      <c r="L18" s="2000">
        <f t="shared" si="0"/>
        <v>0.73972602739726023</v>
      </c>
      <c r="M18" s="2001" t="s">
        <v>2133</v>
      </c>
      <c r="N18" s="2001" t="s">
        <v>2133</v>
      </c>
      <c r="O18" s="2001" t="s">
        <v>2133</v>
      </c>
      <c r="P18" s="1999">
        <v>59</v>
      </c>
      <c r="Q18" s="2002">
        <v>1</v>
      </c>
      <c r="R18" s="2002">
        <v>7</v>
      </c>
      <c r="S18" s="2002">
        <v>3</v>
      </c>
      <c r="T18" s="1997" t="s">
        <v>2688</v>
      </c>
    </row>
    <row r="19" spans="1:20" s="1979" customFormat="1" ht="18">
      <c r="A19" s="1979">
        <v>13</v>
      </c>
      <c r="B19" s="1993">
        <v>19</v>
      </c>
      <c r="C19" s="1993" t="s">
        <v>6721</v>
      </c>
      <c r="D19" s="1993" t="s">
        <v>5211</v>
      </c>
      <c r="E19" s="1994" t="s">
        <v>5209</v>
      </c>
      <c r="F19" s="1995" t="s">
        <v>5210</v>
      </c>
      <c r="G19" s="1996" t="s">
        <v>6726</v>
      </c>
      <c r="H19" s="1997" t="s">
        <v>2609</v>
      </c>
      <c r="I19" s="1998" t="s">
        <v>2610</v>
      </c>
      <c r="J19" s="1999">
        <v>125</v>
      </c>
      <c r="K19" s="1999">
        <v>70</v>
      </c>
      <c r="L19" s="2000">
        <f t="shared" si="0"/>
        <v>0.56000000000000005</v>
      </c>
      <c r="M19" s="2001" t="s">
        <v>2133</v>
      </c>
      <c r="N19" s="2001" t="s">
        <v>2688</v>
      </c>
      <c r="O19" s="2001" t="s">
        <v>2688</v>
      </c>
      <c r="P19" s="1999">
        <v>32</v>
      </c>
      <c r="Q19" s="2002">
        <v>0</v>
      </c>
      <c r="R19" s="2002">
        <v>0</v>
      </c>
      <c r="S19" s="2002">
        <v>0</v>
      </c>
      <c r="T19" s="1997" t="s">
        <v>2688</v>
      </c>
    </row>
    <row r="20" spans="1:20" s="1979" customFormat="1" ht="18">
      <c r="A20" s="1979">
        <v>247</v>
      </c>
      <c r="B20" s="1993">
        <v>298</v>
      </c>
      <c r="C20" s="1993" t="s">
        <v>6730</v>
      </c>
      <c r="D20" s="1993" t="s">
        <v>2261</v>
      </c>
      <c r="E20" s="1994" t="s">
        <v>2473</v>
      </c>
      <c r="F20" s="1995" t="s">
        <v>5561</v>
      </c>
      <c r="G20" s="1996" t="s">
        <v>6723</v>
      </c>
      <c r="H20" s="1997" t="s">
        <v>2609</v>
      </c>
      <c r="I20" s="1998" t="s">
        <v>2610</v>
      </c>
      <c r="J20" s="1999">
        <v>319</v>
      </c>
      <c r="K20" s="1999">
        <v>140</v>
      </c>
      <c r="L20" s="2000">
        <f t="shared" si="0"/>
        <v>0.43887147335423199</v>
      </c>
      <c r="M20" s="2001" t="s">
        <v>2133</v>
      </c>
      <c r="N20" s="2001" t="s">
        <v>2133</v>
      </c>
      <c r="O20" s="2001" t="s">
        <v>2133</v>
      </c>
      <c r="P20" s="1999">
        <v>140</v>
      </c>
      <c r="Q20" s="2002">
        <v>2</v>
      </c>
      <c r="R20" s="2002">
        <v>1</v>
      </c>
      <c r="S20" s="2002" t="s">
        <v>6731</v>
      </c>
      <c r="T20" s="1997" t="s">
        <v>2161</v>
      </c>
    </row>
    <row r="21" spans="1:20" s="1979" customFormat="1" ht="18">
      <c r="A21" s="1979">
        <v>15</v>
      </c>
      <c r="B21" s="1993">
        <v>21</v>
      </c>
      <c r="C21" s="1993" t="s">
        <v>6721</v>
      </c>
      <c r="D21" s="1993" t="s">
        <v>2138</v>
      </c>
      <c r="E21" s="1994" t="s">
        <v>3522</v>
      </c>
      <c r="F21" s="1995" t="s">
        <v>5213</v>
      </c>
      <c r="G21" s="1996" t="s">
        <v>6729</v>
      </c>
      <c r="H21" s="1997" t="s">
        <v>2610</v>
      </c>
      <c r="I21" s="2004" t="s">
        <v>2610</v>
      </c>
      <c r="J21" s="1999">
        <v>56</v>
      </c>
      <c r="K21" s="1999">
        <v>56</v>
      </c>
      <c r="L21" s="2000">
        <f t="shared" si="0"/>
        <v>1</v>
      </c>
      <c r="M21" s="2001" t="s">
        <v>2133</v>
      </c>
      <c r="N21" s="2001" t="s">
        <v>2133</v>
      </c>
      <c r="O21" s="2001" t="s">
        <v>2133</v>
      </c>
      <c r="P21" s="1999">
        <v>60</v>
      </c>
      <c r="Q21" s="2002">
        <v>3</v>
      </c>
      <c r="R21" s="2002">
        <v>15</v>
      </c>
      <c r="S21" s="2002">
        <v>15</v>
      </c>
      <c r="T21" s="1997" t="s">
        <v>2688</v>
      </c>
    </row>
    <row r="22" spans="1:20" s="1979" customFormat="1" ht="18">
      <c r="A22" s="1979">
        <v>16</v>
      </c>
      <c r="B22" s="1993">
        <v>22</v>
      </c>
      <c r="C22" s="1993" t="s">
        <v>6721</v>
      </c>
      <c r="D22" s="1993" t="s">
        <v>2138</v>
      </c>
      <c r="E22" s="1994" t="s">
        <v>3512</v>
      </c>
      <c r="F22" s="1995" t="s">
        <v>5214</v>
      </c>
      <c r="G22" s="1996" t="s">
        <v>6729</v>
      </c>
      <c r="H22" s="1997" t="s">
        <v>2609</v>
      </c>
      <c r="I22" s="1998" t="s">
        <v>2610</v>
      </c>
      <c r="J22" s="1999">
        <v>262</v>
      </c>
      <c r="K22" s="1999">
        <v>121</v>
      </c>
      <c r="L22" s="2000">
        <f t="shared" si="0"/>
        <v>0.46183206106870228</v>
      </c>
      <c r="M22" s="2001" t="s">
        <v>2133</v>
      </c>
      <c r="N22" s="2001" t="s">
        <v>2688</v>
      </c>
      <c r="O22" s="2001" t="s">
        <v>2688</v>
      </c>
      <c r="P22" s="1999">
        <v>82</v>
      </c>
      <c r="Q22" s="2002">
        <v>0</v>
      </c>
      <c r="R22" s="2002">
        <v>0</v>
      </c>
      <c r="S22" s="2002">
        <v>0</v>
      </c>
      <c r="T22" s="1997" t="s">
        <v>2688</v>
      </c>
    </row>
    <row r="23" spans="1:20" s="1979" customFormat="1" ht="18">
      <c r="A23" s="1979">
        <v>17</v>
      </c>
      <c r="B23" s="1993">
        <v>23</v>
      </c>
      <c r="C23" s="1993" t="s">
        <v>6721</v>
      </c>
      <c r="D23" s="1993" t="s">
        <v>2138</v>
      </c>
      <c r="E23" s="1994" t="s">
        <v>3517</v>
      </c>
      <c r="F23" s="1995" t="s">
        <v>5215</v>
      </c>
      <c r="G23" s="1996" t="s">
        <v>3694</v>
      </c>
      <c r="H23" s="1997" t="s">
        <v>2609</v>
      </c>
      <c r="I23" s="1998" t="s">
        <v>2610</v>
      </c>
      <c r="J23" s="1999">
        <v>153</v>
      </c>
      <c r="K23" s="1999">
        <v>65</v>
      </c>
      <c r="L23" s="2000">
        <f t="shared" si="0"/>
        <v>0.42483660130718953</v>
      </c>
      <c r="M23" s="2001" t="s">
        <v>2133</v>
      </c>
      <c r="N23" s="2001" t="s">
        <v>3804</v>
      </c>
      <c r="O23" s="2001" t="s">
        <v>3804</v>
      </c>
      <c r="P23" s="1999">
        <v>26</v>
      </c>
      <c r="Q23" s="2002">
        <v>0</v>
      </c>
      <c r="R23" s="2002">
        <v>3</v>
      </c>
      <c r="S23" s="2002">
        <v>3</v>
      </c>
      <c r="T23" s="1997" t="s">
        <v>2688</v>
      </c>
    </row>
    <row r="24" spans="1:20" s="1979" customFormat="1" ht="18">
      <c r="A24" s="1979">
        <v>18</v>
      </c>
      <c r="B24" s="1993">
        <v>25</v>
      </c>
      <c r="C24" s="1993" t="s">
        <v>6721</v>
      </c>
      <c r="D24" s="1993" t="s">
        <v>2138</v>
      </c>
      <c r="E24" s="1994" t="s">
        <v>5216</v>
      </c>
      <c r="F24" s="1995" t="s">
        <v>5217</v>
      </c>
      <c r="G24" s="1996" t="s">
        <v>3694</v>
      </c>
      <c r="H24" s="1997" t="s">
        <v>2609</v>
      </c>
      <c r="I24" s="1998" t="s">
        <v>2610</v>
      </c>
      <c r="J24" s="1999">
        <v>229</v>
      </c>
      <c r="K24" s="1999">
        <v>80</v>
      </c>
      <c r="L24" s="2000">
        <f t="shared" si="0"/>
        <v>0.34934497816593885</v>
      </c>
      <c r="M24" s="2001" t="s">
        <v>2133</v>
      </c>
      <c r="N24" s="2001" t="s">
        <v>2688</v>
      </c>
      <c r="O24" s="2001" t="s">
        <v>2688</v>
      </c>
      <c r="P24" s="1999">
        <v>55</v>
      </c>
      <c r="Q24" s="2002">
        <v>0</v>
      </c>
      <c r="R24" s="2002">
        <v>0</v>
      </c>
      <c r="S24" s="2002">
        <v>0</v>
      </c>
      <c r="T24" s="1997" t="s">
        <v>2688</v>
      </c>
    </row>
    <row r="25" spans="1:20" s="1979" customFormat="1" ht="18">
      <c r="A25" s="1979">
        <v>19</v>
      </c>
      <c r="B25" s="1993">
        <v>26</v>
      </c>
      <c r="C25" s="1993" t="s">
        <v>6721</v>
      </c>
      <c r="D25" s="1993" t="s">
        <v>2138</v>
      </c>
      <c r="E25" s="1994" t="s">
        <v>4266</v>
      </c>
      <c r="F25" s="1995" t="s">
        <v>5218</v>
      </c>
      <c r="G25" s="1996" t="s">
        <v>3694</v>
      </c>
      <c r="H25" s="1997" t="s">
        <v>2609</v>
      </c>
      <c r="I25" s="1998" t="s">
        <v>2610</v>
      </c>
      <c r="J25" s="1999">
        <v>285</v>
      </c>
      <c r="K25" s="1999">
        <v>70</v>
      </c>
      <c r="L25" s="2000">
        <f t="shared" si="0"/>
        <v>0.24561403508771928</v>
      </c>
      <c r="M25" s="2001" t="s">
        <v>2133</v>
      </c>
      <c r="N25" s="2001" t="s">
        <v>2688</v>
      </c>
      <c r="O25" s="2001" t="s">
        <v>2688</v>
      </c>
      <c r="P25" s="1999">
        <v>45</v>
      </c>
      <c r="Q25" s="2002">
        <v>0</v>
      </c>
      <c r="R25" s="2002">
        <v>0</v>
      </c>
      <c r="S25" s="2002">
        <v>0</v>
      </c>
      <c r="T25" s="1997" t="s">
        <v>2688</v>
      </c>
    </row>
    <row r="26" spans="1:20" s="1979" customFormat="1" ht="18">
      <c r="A26" s="1979">
        <v>20</v>
      </c>
      <c r="B26" s="1993">
        <v>27</v>
      </c>
      <c r="C26" s="1993" t="s">
        <v>6721</v>
      </c>
      <c r="D26" s="1993" t="s">
        <v>2138</v>
      </c>
      <c r="E26" s="1994" t="s">
        <v>5219</v>
      </c>
      <c r="F26" s="1995" t="s">
        <v>5220</v>
      </c>
      <c r="G26" s="1996" t="s">
        <v>3694</v>
      </c>
      <c r="H26" s="1997" t="s">
        <v>2610</v>
      </c>
      <c r="I26" s="1998" t="s">
        <v>2610</v>
      </c>
      <c r="J26" s="1999">
        <v>94</v>
      </c>
      <c r="K26" s="1999">
        <v>94</v>
      </c>
      <c r="L26" s="2000">
        <f t="shared" si="0"/>
        <v>1</v>
      </c>
      <c r="M26" s="2001" t="s">
        <v>2133</v>
      </c>
      <c r="N26" s="2001" t="s">
        <v>2133</v>
      </c>
      <c r="O26" s="2001" t="s">
        <v>2133</v>
      </c>
      <c r="P26" s="1999">
        <v>51</v>
      </c>
      <c r="Q26" s="2002">
        <v>0</v>
      </c>
      <c r="R26" s="2002">
        <v>0</v>
      </c>
      <c r="S26" s="2002">
        <v>0</v>
      </c>
      <c r="T26" s="1997" t="s">
        <v>2688</v>
      </c>
    </row>
    <row r="27" spans="1:20" s="1979" customFormat="1" ht="18">
      <c r="A27" s="1979">
        <v>21</v>
      </c>
      <c r="B27" s="1993">
        <v>28</v>
      </c>
      <c r="C27" s="1993" t="s">
        <v>6721</v>
      </c>
      <c r="D27" s="1993" t="s">
        <v>2138</v>
      </c>
      <c r="E27" s="1994" t="s">
        <v>3733</v>
      </c>
      <c r="F27" s="1995" t="s">
        <v>5221</v>
      </c>
      <c r="G27" s="1996" t="s">
        <v>6726</v>
      </c>
      <c r="H27" s="1997" t="s">
        <v>2609</v>
      </c>
      <c r="I27" s="1998" t="s">
        <v>2610</v>
      </c>
      <c r="J27" s="1999">
        <v>179</v>
      </c>
      <c r="K27" s="1999">
        <v>74</v>
      </c>
      <c r="L27" s="2000">
        <f t="shared" si="0"/>
        <v>0.41340782122905029</v>
      </c>
      <c r="M27" s="2001" t="s">
        <v>2133</v>
      </c>
      <c r="N27" s="2001" t="s">
        <v>2688</v>
      </c>
      <c r="O27" s="2001" t="s">
        <v>2688</v>
      </c>
      <c r="P27" s="1999">
        <v>25</v>
      </c>
      <c r="Q27" s="2002">
        <v>1</v>
      </c>
      <c r="R27" s="2002">
        <v>0</v>
      </c>
      <c r="S27" s="2002">
        <v>0</v>
      </c>
      <c r="T27" s="1997" t="s">
        <v>2688</v>
      </c>
    </row>
    <row r="28" spans="1:20" s="1979" customFormat="1" ht="18">
      <c r="A28" s="1979">
        <v>22</v>
      </c>
      <c r="B28" s="1993">
        <v>32</v>
      </c>
      <c r="C28" s="1993" t="s">
        <v>6721</v>
      </c>
      <c r="D28" s="1993" t="s">
        <v>2138</v>
      </c>
      <c r="E28" s="1994" t="s">
        <v>5222</v>
      </c>
      <c r="F28" s="1995" t="s">
        <v>5223</v>
      </c>
      <c r="G28" s="1996" t="s">
        <v>6726</v>
      </c>
      <c r="H28" s="1997" t="s">
        <v>2609</v>
      </c>
      <c r="I28" s="1998" t="s">
        <v>2609</v>
      </c>
      <c r="J28" s="1999">
        <v>96</v>
      </c>
      <c r="K28" s="1999">
        <v>15</v>
      </c>
      <c r="L28" s="2000">
        <f t="shared" si="0"/>
        <v>0.15625</v>
      </c>
      <c r="M28" s="2001" t="s">
        <v>2688</v>
      </c>
      <c r="N28" s="2001" t="s">
        <v>2688</v>
      </c>
      <c r="O28" s="2001" t="s">
        <v>2688</v>
      </c>
      <c r="P28" s="1999">
        <v>0</v>
      </c>
      <c r="Q28" s="2002">
        <v>0</v>
      </c>
      <c r="R28" s="2002">
        <v>0</v>
      </c>
      <c r="S28" s="2002">
        <v>0</v>
      </c>
      <c r="T28" s="1997" t="s">
        <v>2688</v>
      </c>
    </row>
    <row r="29" spans="1:20" s="1979" customFormat="1" ht="18">
      <c r="A29" s="1979">
        <v>23</v>
      </c>
      <c r="B29" s="1993">
        <v>34</v>
      </c>
      <c r="C29" s="1993" t="s">
        <v>6721</v>
      </c>
      <c r="D29" s="1993" t="s">
        <v>2138</v>
      </c>
      <c r="E29" s="1994" t="s">
        <v>6732</v>
      </c>
      <c r="F29" s="1995" t="s">
        <v>5224</v>
      </c>
      <c r="G29" s="1996" t="s">
        <v>6733</v>
      </c>
      <c r="H29" s="1997" t="s">
        <v>2609</v>
      </c>
      <c r="I29" s="1998" t="s">
        <v>2609</v>
      </c>
      <c r="J29" s="1999">
        <v>271</v>
      </c>
      <c r="K29" s="1999">
        <v>120</v>
      </c>
      <c r="L29" s="2000">
        <f t="shared" si="0"/>
        <v>0.44280442804428044</v>
      </c>
      <c r="M29" s="2001" t="s">
        <v>2133</v>
      </c>
      <c r="N29" s="2001" t="s">
        <v>2133</v>
      </c>
      <c r="O29" s="2001" t="s">
        <v>2133</v>
      </c>
      <c r="P29" s="1999">
        <v>112</v>
      </c>
      <c r="Q29" s="2002">
        <v>0</v>
      </c>
      <c r="R29" s="2002">
        <v>6</v>
      </c>
      <c r="S29" s="2002">
        <v>6</v>
      </c>
      <c r="T29" s="1997" t="s">
        <v>2688</v>
      </c>
    </row>
    <row r="30" spans="1:20" s="1979" customFormat="1" ht="18">
      <c r="A30" s="1979">
        <v>24</v>
      </c>
      <c r="B30" s="1993">
        <v>35</v>
      </c>
      <c r="C30" s="1993" t="s">
        <v>6721</v>
      </c>
      <c r="D30" s="1993" t="s">
        <v>2138</v>
      </c>
      <c r="E30" s="1994" t="s">
        <v>5225</v>
      </c>
      <c r="F30" s="1995" t="s">
        <v>5226</v>
      </c>
      <c r="G30" s="1996" t="s">
        <v>3694</v>
      </c>
      <c r="H30" s="1997" t="s">
        <v>2610</v>
      </c>
      <c r="I30" s="1998" t="s">
        <v>2610</v>
      </c>
      <c r="J30" s="1999">
        <v>37</v>
      </c>
      <c r="K30" s="1999">
        <v>37</v>
      </c>
      <c r="L30" s="2000">
        <f t="shared" si="0"/>
        <v>1</v>
      </c>
      <c r="M30" s="2001" t="s">
        <v>3804</v>
      </c>
      <c r="N30" s="2001" t="s">
        <v>3804</v>
      </c>
      <c r="O30" s="2001" t="s">
        <v>3804</v>
      </c>
      <c r="P30" s="1999">
        <v>20</v>
      </c>
      <c r="Q30" s="2002">
        <v>0</v>
      </c>
      <c r="R30" s="2003">
        <v>1</v>
      </c>
      <c r="S30" s="2003">
        <v>1</v>
      </c>
      <c r="T30" s="1997" t="s">
        <v>2688</v>
      </c>
    </row>
    <row r="31" spans="1:20" s="1979" customFormat="1" ht="18">
      <c r="A31" s="1979">
        <v>25</v>
      </c>
      <c r="B31" s="1993">
        <v>38</v>
      </c>
      <c r="C31" s="1993" t="s">
        <v>6721</v>
      </c>
      <c r="D31" s="1993" t="s">
        <v>2138</v>
      </c>
      <c r="E31" s="1994" t="s">
        <v>4268</v>
      </c>
      <c r="F31" s="1995" t="s">
        <v>5227</v>
      </c>
      <c r="G31" s="1996" t="s">
        <v>3694</v>
      </c>
      <c r="H31" s="1997" t="s">
        <v>2609</v>
      </c>
      <c r="I31" s="1998" t="s">
        <v>2610</v>
      </c>
      <c r="J31" s="1999">
        <v>102</v>
      </c>
      <c r="K31" s="1999">
        <v>49</v>
      </c>
      <c r="L31" s="2000">
        <f t="shared" si="0"/>
        <v>0.48039215686274511</v>
      </c>
      <c r="M31" s="2001" t="s">
        <v>2133</v>
      </c>
      <c r="N31" s="2001" t="s">
        <v>2688</v>
      </c>
      <c r="O31" s="2001" t="s">
        <v>2688</v>
      </c>
      <c r="P31" s="1999">
        <v>28</v>
      </c>
      <c r="Q31" s="2002">
        <v>0</v>
      </c>
      <c r="R31" s="2002">
        <v>0</v>
      </c>
      <c r="S31" s="2002">
        <v>0</v>
      </c>
      <c r="T31" s="1997" t="s">
        <v>2688</v>
      </c>
    </row>
    <row r="32" spans="1:20" s="1979" customFormat="1" ht="18">
      <c r="A32" s="1979">
        <v>26</v>
      </c>
      <c r="B32" s="1993">
        <v>39</v>
      </c>
      <c r="C32" s="1993" t="s">
        <v>6721</v>
      </c>
      <c r="D32" s="1993" t="s">
        <v>2138</v>
      </c>
      <c r="E32" s="1994" t="s">
        <v>3645</v>
      </c>
      <c r="F32" s="1995" t="s">
        <v>5228</v>
      </c>
      <c r="G32" s="1996" t="s">
        <v>6734</v>
      </c>
      <c r="H32" s="1997" t="s">
        <v>2610</v>
      </c>
      <c r="I32" s="1998" t="s">
        <v>2610</v>
      </c>
      <c r="J32" s="1999">
        <v>115</v>
      </c>
      <c r="K32" s="1999">
        <v>115</v>
      </c>
      <c r="L32" s="2000">
        <f t="shared" si="0"/>
        <v>1</v>
      </c>
      <c r="M32" s="2001" t="s">
        <v>2133</v>
      </c>
      <c r="N32" s="2001" t="s">
        <v>2133</v>
      </c>
      <c r="O32" s="2001" t="s">
        <v>2133</v>
      </c>
      <c r="P32" s="1999">
        <v>52</v>
      </c>
      <c r="Q32" s="2002">
        <v>2</v>
      </c>
      <c r="R32" s="2002">
        <v>3</v>
      </c>
      <c r="S32" s="2002">
        <v>3</v>
      </c>
      <c r="T32" s="1997" t="s">
        <v>2688</v>
      </c>
    </row>
    <row r="33" spans="1:20" s="1979" customFormat="1" ht="18">
      <c r="A33" s="1979">
        <v>27</v>
      </c>
      <c r="B33" s="1993">
        <v>40</v>
      </c>
      <c r="C33" s="1993" t="s">
        <v>6721</v>
      </c>
      <c r="D33" s="1993" t="s">
        <v>2138</v>
      </c>
      <c r="E33" s="1994" t="s">
        <v>5059</v>
      </c>
      <c r="F33" s="1995" t="s">
        <v>5229</v>
      </c>
      <c r="G33" s="1996" t="s">
        <v>6735</v>
      </c>
      <c r="H33" s="1997" t="s">
        <v>2609</v>
      </c>
      <c r="I33" s="1998" t="s">
        <v>2610</v>
      </c>
      <c r="J33" s="1999">
        <v>766</v>
      </c>
      <c r="K33" s="1999">
        <v>350</v>
      </c>
      <c r="L33" s="2000">
        <f t="shared" si="0"/>
        <v>0.45691906005221933</v>
      </c>
      <c r="M33" s="2001" t="s">
        <v>2133</v>
      </c>
      <c r="N33" s="2001" t="s">
        <v>2133</v>
      </c>
      <c r="O33" s="2001" t="s">
        <v>2133</v>
      </c>
      <c r="P33" s="1999">
        <v>160</v>
      </c>
      <c r="Q33" s="2002">
        <v>8</v>
      </c>
      <c r="R33" s="2002">
        <v>25</v>
      </c>
      <c r="S33" s="2002">
        <v>7</v>
      </c>
      <c r="T33" s="1997" t="s">
        <v>2161</v>
      </c>
    </row>
    <row r="34" spans="1:20" s="1979" customFormat="1" ht="18">
      <c r="A34" s="1979">
        <v>28</v>
      </c>
      <c r="B34" s="1993">
        <v>41</v>
      </c>
      <c r="C34" s="1993" t="s">
        <v>6721</v>
      </c>
      <c r="D34" s="1993" t="s">
        <v>2138</v>
      </c>
      <c r="E34" s="1994" t="s">
        <v>3702</v>
      </c>
      <c r="F34" s="1995" t="s">
        <v>5231</v>
      </c>
      <c r="G34" s="1996" t="s">
        <v>3694</v>
      </c>
      <c r="H34" s="1997" t="s">
        <v>2609</v>
      </c>
      <c r="I34" s="1998" t="s">
        <v>2609</v>
      </c>
      <c r="J34" s="1999">
        <v>195</v>
      </c>
      <c r="K34" s="1999">
        <v>70</v>
      </c>
      <c r="L34" s="2000">
        <f t="shared" si="0"/>
        <v>0.35897435897435898</v>
      </c>
      <c r="M34" s="2001" t="s">
        <v>2133</v>
      </c>
      <c r="N34" s="2001" t="s">
        <v>2688</v>
      </c>
      <c r="O34" s="2001" t="s">
        <v>2688</v>
      </c>
      <c r="P34" s="1999">
        <v>26</v>
      </c>
      <c r="Q34" s="2002">
        <v>0</v>
      </c>
      <c r="R34" s="2002">
        <v>0</v>
      </c>
      <c r="S34" s="2002">
        <v>0</v>
      </c>
      <c r="T34" s="1997" t="s">
        <v>2688</v>
      </c>
    </row>
    <row r="35" spans="1:20" s="1979" customFormat="1" ht="18">
      <c r="A35" s="1979">
        <v>29</v>
      </c>
      <c r="B35" s="1993">
        <v>42</v>
      </c>
      <c r="C35" s="1993" t="s">
        <v>6721</v>
      </c>
      <c r="D35" s="1993" t="s">
        <v>2138</v>
      </c>
      <c r="E35" s="1994" t="s">
        <v>3704</v>
      </c>
      <c r="F35" s="1995" t="s">
        <v>5232</v>
      </c>
      <c r="G35" s="1996" t="s">
        <v>3694</v>
      </c>
      <c r="H35" s="1997" t="s">
        <v>2610</v>
      </c>
      <c r="I35" s="1998" t="s">
        <v>2610</v>
      </c>
      <c r="J35" s="1999">
        <v>139</v>
      </c>
      <c r="K35" s="1999">
        <v>95</v>
      </c>
      <c r="L35" s="2000">
        <f t="shared" si="0"/>
        <v>0.68345323741007191</v>
      </c>
      <c r="M35" s="2001" t="s">
        <v>2133</v>
      </c>
      <c r="N35" s="2001" t="s">
        <v>3804</v>
      </c>
      <c r="O35" s="2001" t="s">
        <v>3804</v>
      </c>
      <c r="P35" s="1999">
        <v>57</v>
      </c>
      <c r="Q35" s="2002">
        <v>0</v>
      </c>
      <c r="R35" s="2002">
        <v>0</v>
      </c>
      <c r="S35" s="2002">
        <v>0</v>
      </c>
      <c r="T35" s="1997" t="s">
        <v>2688</v>
      </c>
    </row>
    <row r="36" spans="1:20" s="1979" customFormat="1" ht="18">
      <c r="A36" s="1979">
        <v>30</v>
      </c>
      <c r="B36" s="1993">
        <v>43</v>
      </c>
      <c r="C36" s="1993" t="s">
        <v>6721</v>
      </c>
      <c r="D36" s="1993" t="s">
        <v>2138</v>
      </c>
      <c r="E36" s="1994" t="s">
        <v>3709</v>
      </c>
      <c r="F36" s="1995" t="s">
        <v>5233</v>
      </c>
      <c r="G36" s="1996" t="s">
        <v>3694</v>
      </c>
      <c r="H36" s="1997" t="s">
        <v>2609</v>
      </c>
      <c r="I36" s="1998" t="s">
        <v>2610</v>
      </c>
      <c r="J36" s="1999">
        <v>375</v>
      </c>
      <c r="K36" s="1999">
        <v>212</v>
      </c>
      <c r="L36" s="2000">
        <f t="shared" si="0"/>
        <v>0.56533333333333335</v>
      </c>
      <c r="M36" s="2001" t="s">
        <v>2133</v>
      </c>
      <c r="N36" s="2001" t="s">
        <v>2688</v>
      </c>
      <c r="O36" s="2001" t="s">
        <v>2688</v>
      </c>
      <c r="P36" s="1999">
        <v>90</v>
      </c>
      <c r="Q36" s="2002">
        <v>1</v>
      </c>
      <c r="R36" s="2002">
        <v>2</v>
      </c>
      <c r="S36" s="2002" t="s">
        <v>6731</v>
      </c>
      <c r="T36" s="1997" t="s">
        <v>2688</v>
      </c>
    </row>
    <row r="37" spans="1:20" s="1979" customFormat="1" ht="18">
      <c r="A37" s="1979">
        <v>31</v>
      </c>
      <c r="B37" s="1993">
        <v>44</v>
      </c>
      <c r="C37" s="1993" t="s">
        <v>6721</v>
      </c>
      <c r="D37" s="1993" t="s">
        <v>2138</v>
      </c>
      <c r="E37" s="1994" t="s">
        <v>3716</v>
      </c>
      <c r="F37" s="1995" t="s">
        <v>5234</v>
      </c>
      <c r="G37" s="1996" t="s">
        <v>3694</v>
      </c>
      <c r="H37" s="1997" t="s">
        <v>2609</v>
      </c>
      <c r="I37" s="1998" t="s">
        <v>2610</v>
      </c>
      <c r="J37" s="1999">
        <v>100</v>
      </c>
      <c r="K37" s="1999">
        <v>65</v>
      </c>
      <c r="L37" s="2000">
        <f t="shared" si="0"/>
        <v>0.65</v>
      </c>
      <c r="M37" s="2001" t="s">
        <v>2133</v>
      </c>
      <c r="N37" s="2001" t="s">
        <v>2688</v>
      </c>
      <c r="O37" s="2001" t="s">
        <v>2688</v>
      </c>
      <c r="P37" s="1999">
        <v>50</v>
      </c>
      <c r="Q37" s="2002">
        <v>1</v>
      </c>
      <c r="R37" s="2003">
        <v>1</v>
      </c>
      <c r="S37" s="2003">
        <v>1</v>
      </c>
      <c r="T37" s="1997" t="s">
        <v>2161</v>
      </c>
    </row>
    <row r="38" spans="1:20" s="1979" customFormat="1" ht="18">
      <c r="A38" s="1979">
        <v>32</v>
      </c>
      <c r="B38" s="1993">
        <v>45</v>
      </c>
      <c r="C38" s="1993" t="s">
        <v>6721</v>
      </c>
      <c r="D38" s="1993" t="s">
        <v>2138</v>
      </c>
      <c r="E38" s="1994" t="s">
        <v>3734</v>
      </c>
      <c r="F38" s="1995" t="s">
        <v>5235</v>
      </c>
      <c r="G38" s="1996" t="s">
        <v>3694</v>
      </c>
      <c r="H38" s="1997" t="s">
        <v>2609</v>
      </c>
      <c r="I38" s="1998" t="s">
        <v>2610</v>
      </c>
      <c r="J38" s="1999">
        <v>143</v>
      </c>
      <c r="K38" s="1999">
        <v>102</v>
      </c>
      <c r="L38" s="2000">
        <f t="shared" si="0"/>
        <v>0.71328671328671334</v>
      </c>
      <c r="M38" s="2001" t="s">
        <v>2133</v>
      </c>
      <c r="N38" s="2001" t="s">
        <v>2688</v>
      </c>
      <c r="O38" s="2001" t="s">
        <v>2688</v>
      </c>
      <c r="P38" s="1999">
        <v>45</v>
      </c>
      <c r="Q38" s="2002">
        <v>1</v>
      </c>
      <c r="R38" s="2002">
        <v>1</v>
      </c>
      <c r="S38" s="2002">
        <v>1</v>
      </c>
      <c r="T38" s="1997" t="s">
        <v>2688</v>
      </c>
    </row>
    <row r="39" spans="1:20" s="1979" customFormat="1" ht="18">
      <c r="A39" s="1979">
        <v>33</v>
      </c>
      <c r="B39" s="1993">
        <v>46</v>
      </c>
      <c r="C39" s="1993" t="s">
        <v>6721</v>
      </c>
      <c r="D39" s="1993" t="s">
        <v>2138</v>
      </c>
      <c r="E39" s="1994" t="s">
        <v>3736</v>
      </c>
      <c r="F39" s="1995" t="s">
        <v>5236</v>
      </c>
      <c r="G39" s="1996" t="s">
        <v>3694</v>
      </c>
      <c r="H39" s="1997" t="s">
        <v>2610</v>
      </c>
      <c r="I39" s="1998" t="s">
        <v>2610</v>
      </c>
      <c r="J39" s="1999">
        <v>77</v>
      </c>
      <c r="K39" s="1999">
        <v>77</v>
      </c>
      <c r="L39" s="2000">
        <f t="shared" si="0"/>
        <v>1</v>
      </c>
      <c r="M39" s="2001" t="s">
        <v>2133</v>
      </c>
      <c r="N39" s="2001" t="s">
        <v>3804</v>
      </c>
      <c r="O39" s="2001" t="s">
        <v>3804</v>
      </c>
      <c r="P39" s="1999">
        <v>14</v>
      </c>
      <c r="Q39" s="2002">
        <v>0</v>
      </c>
      <c r="R39" s="2002">
        <v>0</v>
      </c>
      <c r="S39" s="2002">
        <v>0</v>
      </c>
      <c r="T39" s="1997" t="s">
        <v>2688</v>
      </c>
    </row>
    <row r="40" spans="1:20" s="1979" customFormat="1" ht="18">
      <c r="A40" s="1979">
        <v>34</v>
      </c>
      <c r="B40" s="1993">
        <v>47</v>
      </c>
      <c r="C40" s="1993" t="s">
        <v>6721</v>
      </c>
      <c r="D40" s="1993" t="s">
        <v>2138</v>
      </c>
      <c r="E40" s="1994" t="s">
        <v>3722</v>
      </c>
      <c r="F40" s="1995" t="s">
        <v>6736</v>
      </c>
      <c r="G40" s="1996" t="s">
        <v>3694</v>
      </c>
      <c r="H40" s="1997" t="s">
        <v>2610</v>
      </c>
      <c r="I40" s="1998" t="s">
        <v>2610</v>
      </c>
      <c r="J40" s="1999">
        <v>161</v>
      </c>
      <c r="K40" s="1999">
        <v>161</v>
      </c>
      <c r="L40" s="2000">
        <f t="shared" si="0"/>
        <v>1</v>
      </c>
      <c r="M40" s="2001" t="s">
        <v>2133</v>
      </c>
      <c r="N40" s="2001" t="s">
        <v>2688</v>
      </c>
      <c r="O40" s="2001" t="s">
        <v>2688</v>
      </c>
      <c r="P40" s="1999">
        <v>30</v>
      </c>
      <c r="Q40" s="2002">
        <v>0</v>
      </c>
      <c r="R40" s="2002">
        <v>0</v>
      </c>
      <c r="S40" s="2002">
        <v>0</v>
      </c>
      <c r="T40" s="1997" t="s">
        <v>2688</v>
      </c>
    </row>
    <row r="41" spans="1:20" s="1979" customFormat="1" ht="18">
      <c r="A41" s="1979">
        <v>35</v>
      </c>
      <c r="B41" s="1993">
        <v>49</v>
      </c>
      <c r="C41" s="1993" t="s">
        <v>6721</v>
      </c>
      <c r="D41" s="1993" t="s">
        <v>2138</v>
      </c>
      <c r="E41" s="1994" t="s">
        <v>5237</v>
      </c>
      <c r="F41" s="1995" t="s">
        <v>5238</v>
      </c>
      <c r="G41" s="1996" t="s">
        <v>6734</v>
      </c>
      <c r="H41" s="1997" t="s">
        <v>2610</v>
      </c>
      <c r="I41" s="1998" t="s">
        <v>2610</v>
      </c>
      <c r="J41" s="1999">
        <v>241</v>
      </c>
      <c r="K41" s="1999">
        <v>241</v>
      </c>
      <c r="L41" s="2000">
        <f t="shared" si="0"/>
        <v>1</v>
      </c>
      <c r="M41" s="2001" t="s">
        <v>2133</v>
      </c>
      <c r="N41" s="2001" t="s">
        <v>2133</v>
      </c>
      <c r="O41" s="2001" t="s">
        <v>2133</v>
      </c>
      <c r="P41" s="1999">
        <v>80</v>
      </c>
      <c r="Q41" s="2002">
        <v>4</v>
      </c>
      <c r="R41" s="2002">
        <v>11</v>
      </c>
      <c r="S41" s="2002">
        <v>11</v>
      </c>
      <c r="T41" s="1997" t="s">
        <v>2161</v>
      </c>
    </row>
    <row r="42" spans="1:20" s="1979" customFormat="1" ht="18">
      <c r="A42" s="1979">
        <v>36</v>
      </c>
      <c r="B42" s="1993">
        <v>50</v>
      </c>
      <c r="C42" s="1993" t="s">
        <v>6721</v>
      </c>
      <c r="D42" s="1993" t="s">
        <v>2138</v>
      </c>
      <c r="E42" s="1994" t="s">
        <v>3668</v>
      </c>
      <c r="F42" s="1995" t="s">
        <v>5239</v>
      </c>
      <c r="G42" s="1996" t="s">
        <v>3694</v>
      </c>
      <c r="H42" s="1997" t="s">
        <v>2609</v>
      </c>
      <c r="I42" s="1998" t="s">
        <v>2610</v>
      </c>
      <c r="J42" s="1999">
        <v>188</v>
      </c>
      <c r="K42" s="1999">
        <v>80</v>
      </c>
      <c r="L42" s="2000">
        <f t="shared" si="0"/>
        <v>0.42553191489361702</v>
      </c>
      <c r="M42" s="2001" t="s">
        <v>2133</v>
      </c>
      <c r="N42" s="2001" t="s">
        <v>2688</v>
      </c>
      <c r="O42" s="2001" t="s">
        <v>2688</v>
      </c>
      <c r="P42" s="1999">
        <v>75</v>
      </c>
      <c r="Q42" s="2002">
        <v>0</v>
      </c>
      <c r="R42" s="2002">
        <v>0</v>
      </c>
      <c r="S42" s="2002">
        <v>0</v>
      </c>
      <c r="T42" s="1997" t="s">
        <v>2688</v>
      </c>
    </row>
    <row r="43" spans="1:20" s="1979" customFormat="1" ht="18">
      <c r="A43" s="1979">
        <v>37</v>
      </c>
      <c r="B43" s="1993">
        <v>51</v>
      </c>
      <c r="C43" s="1993" t="s">
        <v>6721</v>
      </c>
      <c r="D43" s="1993" t="s">
        <v>2138</v>
      </c>
      <c r="E43" s="1994" t="s">
        <v>3651</v>
      </c>
      <c r="F43" s="1995" t="s">
        <v>5240</v>
      </c>
      <c r="G43" s="1996" t="s">
        <v>6729</v>
      </c>
      <c r="H43" s="1997" t="s">
        <v>2609</v>
      </c>
      <c r="I43" s="1998" t="s">
        <v>2610</v>
      </c>
      <c r="J43" s="1999">
        <v>165</v>
      </c>
      <c r="K43" s="1999">
        <v>70</v>
      </c>
      <c r="L43" s="2000">
        <f t="shared" si="0"/>
        <v>0.42424242424242425</v>
      </c>
      <c r="M43" s="2001" t="s">
        <v>2688</v>
      </c>
      <c r="N43" s="2001" t="s">
        <v>2688</v>
      </c>
      <c r="O43" s="2001" t="s">
        <v>2688</v>
      </c>
      <c r="P43" s="1999">
        <v>0</v>
      </c>
      <c r="Q43" s="2002">
        <v>1</v>
      </c>
      <c r="R43" s="2002">
        <v>1</v>
      </c>
      <c r="S43" s="2002">
        <v>1</v>
      </c>
      <c r="T43" s="1997" t="s">
        <v>2688</v>
      </c>
    </row>
    <row r="44" spans="1:20" s="1979" customFormat="1" ht="18">
      <c r="A44" s="1979">
        <v>38</v>
      </c>
      <c r="B44" s="1993">
        <v>52</v>
      </c>
      <c r="C44" s="1993" t="s">
        <v>6721</v>
      </c>
      <c r="D44" s="1993" t="s">
        <v>2138</v>
      </c>
      <c r="E44" s="1994" t="s">
        <v>3671</v>
      </c>
      <c r="F44" s="1995" t="s">
        <v>5241</v>
      </c>
      <c r="G44" s="1996" t="s">
        <v>3694</v>
      </c>
      <c r="H44" s="1997" t="s">
        <v>2609</v>
      </c>
      <c r="I44" s="1998" t="s">
        <v>2609</v>
      </c>
      <c r="J44" s="1999">
        <v>98</v>
      </c>
      <c r="K44" s="1999">
        <v>20</v>
      </c>
      <c r="L44" s="2000">
        <f t="shared" si="0"/>
        <v>0.20408163265306123</v>
      </c>
      <c r="M44" s="2001" t="s">
        <v>2133</v>
      </c>
      <c r="N44" s="2001" t="s">
        <v>2688</v>
      </c>
      <c r="O44" s="2001" t="s">
        <v>2688</v>
      </c>
      <c r="P44" s="1999">
        <v>80</v>
      </c>
      <c r="Q44" s="2002">
        <v>0</v>
      </c>
      <c r="R44" s="2002">
        <v>0</v>
      </c>
      <c r="S44" s="2002">
        <v>0</v>
      </c>
      <c r="T44" s="1997" t="s">
        <v>2688</v>
      </c>
    </row>
    <row r="45" spans="1:20" s="1979" customFormat="1" ht="18">
      <c r="A45" s="1979">
        <v>39</v>
      </c>
      <c r="B45" s="1993">
        <v>53</v>
      </c>
      <c r="C45" s="1993" t="s">
        <v>6721</v>
      </c>
      <c r="D45" s="1993" t="s">
        <v>2138</v>
      </c>
      <c r="E45" s="1994" t="s">
        <v>3737</v>
      </c>
      <c r="F45" s="1995" t="s">
        <v>5242</v>
      </c>
      <c r="G45" s="1996" t="s">
        <v>3694</v>
      </c>
      <c r="H45" s="1997" t="s">
        <v>2610</v>
      </c>
      <c r="I45" s="1998" t="s">
        <v>2610</v>
      </c>
      <c r="J45" s="1999">
        <v>238</v>
      </c>
      <c r="K45" s="1999">
        <v>238</v>
      </c>
      <c r="L45" s="2000">
        <f t="shared" si="0"/>
        <v>1</v>
      </c>
      <c r="M45" s="2001" t="s">
        <v>2133</v>
      </c>
      <c r="N45" s="2001" t="s">
        <v>2688</v>
      </c>
      <c r="O45" s="2001" t="s">
        <v>2688</v>
      </c>
      <c r="P45" s="1999">
        <v>50</v>
      </c>
      <c r="Q45" s="2002">
        <v>0</v>
      </c>
      <c r="R45" s="2002">
        <v>0</v>
      </c>
      <c r="S45" s="2002">
        <v>0</v>
      </c>
      <c r="T45" s="1997" t="s">
        <v>2688</v>
      </c>
    </row>
    <row r="46" spans="1:20" s="1979" customFormat="1" ht="18">
      <c r="A46" s="1979">
        <v>40</v>
      </c>
      <c r="B46" s="1993">
        <v>54</v>
      </c>
      <c r="C46" s="1993" t="s">
        <v>6721</v>
      </c>
      <c r="D46" s="1993" t="s">
        <v>2138</v>
      </c>
      <c r="E46" s="1994" t="s">
        <v>3643</v>
      </c>
      <c r="F46" s="1995" t="s">
        <v>5244</v>
      </c>
      <c r="G46" s="1996" t="s">
        <v>6733</v>
      </c>
      <c r="H46" s="1997" t="s">
        <v>2610</v>
      </c>
      <c r="I46" s="1998" t="s">
        <v>2610</v>
      </c>
      <c r="J46" s="1999">
        <v>153</v>
      </c>
      <c r="K46" s="1999">
        <v>153</v>
      </c>
      <c r="L46" s="2000">
        <f t="shared" si="0"/>
        <v>1</v>
      </c>
      <c r="M46" s="2001" t="s">
        <v>2133</v>
      </c>
      <c r="N46" s="2001" t="s">
        <v>2133</v>
      </c>
      <c r="O46" s="2001" t="s">
        <v>2133</v>
      </c>
      <c r="P46" s="1999">
        <v>30</v>
      </c>
      <c r="Q46" s="2002">
        <v>1</v>
      </c>
      <c r="R46" s="2002">
        <v>0</v>
      </c>
      <c r="S46" s="2002">
        <v>0</v>
      </c>
      <c r="T46" s="1997" t="s">
        <v>2688</v>
      </c>
    </row>
    <row r="47" spans="1:20" s="1979" customFormat="1" ht="18">
      <c r="A47" s="1979">
        <v>41</v>
      </c>
      <c r="B47" s="1993">
        <v>55</v>
      </c>
      <c r="C47" s="1993" t="s">
        <v>6721</v>
      </c>
      <c r="D47" s="1993" t="s">
        <v>2138</v>
      </c>
      <c r="E47" s="1994" t="s">
        <v>5245</v>
      </c>
      <c r="F47" s="1995" t="s">
        <v>5246</v>
      </c>
      <c r="G47" s="1996" t="s">
        <v>6733</v>
      </c>
      <c r="H47" s="1997" t="s">
        <v>2609</v>
      </c>
      <c r="I47" s="1998" t="s">
        <v>2609</v>
      </c>
      <c r="J47" s="1999">
        <v>101</v>
      </c>
      <c r="K47" s="1999">
        <v>20</v>
      </c>
      <c r="L47" s="2000">
        <f t="shared" si="0"/>
        <v>0.19801980198019803</v>
      </c>
      <c r="M47" s="2001" t="s">
        <v>2133</v>
      </c>
      <c r="N47" s="2001" t="s">
        <v>2688</v>
      </c>
      <c r="O47" s="2001" t="s">
        <v>2688</v>
      </c>
      <c r="P47" s="1999">
        <v>35</v>
      </c>
      <c r="Q47" s="2002">
        <v>2</v>
      </c>
      <c r="R47" s="2002">
        <v>2</v>
      </c>
      <c r="S47" s="2002">
        <v>2</v>
      </c>
      <c r="T47" s="1997" t="s">
        <v>2688</v>
      </c>
    </row>
    <row r="48" spans="1:20" s="1979" customFormat="1" ht="18">
      <c r="A48" s="1979">
        <v>42</v>
      </c>
      <c r="B48" s="1993">
        <v>56</v>
      </c>
      <c r="C48" s="1993" t="s">
        <v>6721</v>
      </c>
      <c r="D48" s="1993" t="s">
        <v>2138</v>
      </c>
      <c r="E48" s="1994" t="s">
        <v>6737</v>
      </c>
      <c r="F48" s="1995" t="s">
        <v>5247</v>
      </c>
      <c r="G48" s="1996" t="s">
        <v>6735</v>
      </c>
      <c r="H48" s="1997" t="s">
        <v>2609</v>
      </c>
      <c r="I48" s="1998" t="s">
        <v>2610</v>
      </c>
      <c r="J48" s="1999">
        <v>126</v>
      </c>
      <c r="K48" s="1999">
        <v>116</v>
      </c>
      <c r="L48" s="2000">
        <f t="shared" si="0"/>
        <v>0.92063492063492058</v>
      </c>
      <c r="M48" s="2001" t="s">
        <v>2133</v>
      </c>
      <c r="N48" s="2001" t="s">
        <v>2133</v>
      </c>
      <c r="O48" s="2001" t="s">
        <v>2133</v>
      </c>
      <c r="P48" s="1999">
        <v>110</v>
      </c>
      <c r="Q48" s="2002">
        <v>5</v>
      </c>
      <c r="R48" s="2002">
        <v>7</v>
      </c>
      <c r="S48" s="2002">
        <v>7</v>
      </c>
      <c r="T48" s="1997" t="s">
        <v>2688</v>
      </c>
    </row>
    <row r="49" spans="1:20" s="1979" customFormat="1" ht="18">
      <c r="A49" s="1979">
        <v>43</v>
      </c>
      <c r="B49" s="1993">
        <v>57</v>
      </c>
      <c r="C49" s="1993" t="s">
        <v>6721</v>
      </c>
      <c r="D49" s="1993" t="s">
        <v>2138</v>
      </c>
      <c r="E49" s="1994" t="s">
        <v>3738</v>
      </c>
      <c r="F49" s="1995" t="s">
        <v>5249</v>
      </c>
      <c r="G49" s="1996" t="s">
        <v>6729</v>
      </c>
      <c r="H49" s="1997" t="s">
        <v>2610</v>
      </c>
      <c r="I49" s="1998" t="s">
        <v>2610</v>
      </c>
      <c r="J49" s="1999">
        <v>150</v>
      </c>
      <c r="K49" s="1999">
        <v>150</v>
      </c>
      <c r="L49" s="2000">
        <f t="shared" si="0"/>
        <v>1</v>
      </c>
      <c r="M49" s="2001" t="s">
        <v>2133</v>
      </c>
      <c r="N49" s="2001" t="s">
        <v>2688</v>
      </c>
      <c r="O49" s="2001" t="s">
        <v>2688</v>
      </c>
      <c r="P49" s="1999">
        <v>30</v>
      </c>
      <c r="Q49" s="2002">
        <v>0</v>
      </c>
      <c r="R49" s="2002">
        <v>0</v>
      </c>
      <c r="S49" s="2002">
        <v>0</v>
      </c>
      <c r="T49" s="1997" t="s">
        <v>2688</v>
      </c>
    </row>
    <row r="50" spans="1:20" s="1979" customFormat="1" ht="18">
      <c r="A50" s="1979">
        <v>44</v>
      </c>
      <c r="B50" s="1993">
        <v>58</v>
      </c>
      <c r="C50" s="1993" t="s">
        <v>6721</v>
      </c>
      <c r="D50" s="1993" t="s">
        <v>2138</v>
      </c>
      <c r="E50" s="1994" t="s">
        <v>5250</v>
      </c>
      <c r="F50" s="1995" t="s">
        <v>5251</v>
      </c>
      <c r="G50" s="1996" t="s">
        <v>6726</v>
      </c>
      <c r="H50" s="1997" t="s">
        <v>2609</v>
      </c>
      <c r="I50" s="1998" t="s">
        <v>6738</v>
      </c>
      <c r="J50" s="1999">
        <v>57</v>
      </c>
      <c r="K50" s="1999">
        <v>0</v>
      </c>
      <c r="L50" s="2000">
        <f t="shared" si="0"/>
        <v>0</v>
      </c>
      <c r="M50" s="2001" t="s">
        <v>2133</v>
      </c>
      <c r="N50" s="2001" t="s">
        <v>2688</v>
      </c>
      <c r="O50" s="2001" t="s">
        <v>2688</v>
      </c>
      <c r="P50" s="1999">
        <v>22</v>
      </c>
      <c r="Q50" s="2002">
        <v>1</v>
      </c>
      <c r="R50" s="2002">
        <v>0</v>
      </c>
      <c r="S50" s="2002">
        <v>0</v>
      </c>
      <c r="T50" s="1997" t="s">
        <v>2688</v>
      </c>
    </row>
    <row r="51" spans="1:20" s="1979" customFormat="1" ht="18">
      <c r="A51" s="1979">
        <v>45</v>
      </c>
      <c r="B51" s="1993">
        <v>59</v>
      </c>
      <c r="C51" s="1993" t="s">
        <v>6721</v>
      </c>
      <c r="D51" s="1993" t="s">
        <v>2138</v>
      </c>
      <c r="E51" s="1994" t="s">
        <v>2681</v>
      </c>
      <c r="F51" s="1995" t="s">
        <v>5252</v>
      </c>
      <c r="G51" s="1996" t="s">
        <v>6735</v>
      </c>
      <c r="H51" s="1997" t="s">
        <v>2609</v>
      </c>
      <c r="I51" s="1998" t="s">
        <v>2609</v>
      </c>
      <c r="J51" s="1999">
        <v>295</v>
      </c>
      <c r="K51" s="1999">
        <v>130</v>
      </c>
      <c r="L51" s="2000">
        <f t="shared" si="0"/>
        <v>0.44067796610169491</v>
      </c>
      <c r="M51" s="2001" t="s">
        <v>2133</v>
      </c>
      <c r="N51" s="2001" t="s">
        <v>2688</v>
      </c>
      <c r="O51" s="2001" t="s">
        <v>2688</v>
      </c>
      <c r="P51" s="1999">
        <v>86</v>
      </c>
      <c r="Q51" s="2002">
        <v>1</v>
      </c>
      <c r="R51" s="2002">
        <v>0</v>
      </c>
      <c r="S51" s="2002">
        <v>0</v>
      </c>
      <c r="T51" s="1997" t="s">
        <v>2688</v>
      </c>
    </row>
    <row r="52" spans="1:20" s="1979" customFormat="1" ht="18">
      <c r="A52" s="1979">
        <v>46</v>
      </c>
      <c r="B52" s="1993">
        <v>60</v>
      </c>
      <c r="C52" s="1993" t="s">
        <v>6721</v>
      </c>
      <c r="D52" s="1993" t="s">
        <v>2138</v>
      </c>
      <c r="E52" s="1994" t="s">
        <v>3697</v>
      </c>
      <c r="F52" s="1995" t="s">
        <v>5253</v>
      </c>
      <c r="G52" s="1996" t="s">
        <v>3694</v>
      </c>
      <c r="H52" s="1997" t="s">
        <v>2609</v>
      </c>
      <c r="I52" s="1998" t="s">
        <v>6738</v>
      </c>
      <c r="J52" s="1999">
        <v>272</v>
      </c>
      <c r="K52" s="1999">
        <v>120</v>
      </c>
      <c r="L52" s="2000">
        <f t="shared" si="0"/>
        <v>0.44117647058823528</v>
      </c>
      <c r="M52" s="2001" t="s">
        <v>2133</v>
      </c>
      <c r="N52" s="2001" t="s">
        <v>3804</v>
      </c>
      <c r="O52" s="2001" t="s">
        <v>3804</v>
      </c>
      <c r="P52" s="1999">
        <v>60</v>
      </c>
      <c r="Q52" s="2002">
        <v>1</v>
      </c>
      <c r="R52" s="2002">
        <v>0</v>
      </c>
      <c r="S52" s="2002">
        <v>0</v>
      </c>
      <c r="T52" s="1997" t="s">
        <v>2688</v>
      </c>
    </row>
    <row r="53" spans="1:20" s="1979" customFormat="1" ht="18">
      <c r="A53" s="1979">
        <v>47</v>
      </c>
      <c r="B53" s="1993">
        <v>61</v>
      </c>
      <c r="C53" s="1993" t="s">
        <v>6721</v>
      </c>
      <c r="D53" s="1993" t="s">
        <v>2138</v>
      </c>
      <c r="E53" s="1994" t="s">
        <v>3695</v>
      </c>
      <c r="F53" s="1995" t="s">
        <v>5254</v>
      </c>
      <c r="G53" s="1996" t="s">
        <v>6729</v>
      </c>
      <c r="H53" s="1997" t="s">
        <v>2609</v>
      </c>
      <c r="I53" s="1998" t="s">
        <v>2610</v>
      </c>
      <c r="J53" s="1999">
        <v>313</v>
      </c>
      <c r="K53" s="1999">
        <v>60</v>
      </c>
      <c r="L53" s="2000">
        <f t="shared" si="0"/>
        <v>0.19169329073482427</v>
      </c>
      <c r="M53" s="2001" t="s">
        <v>2133</v>
      </c>
      <c r="N53" s="2001" t="s">
        <v>2688</v>
      </c>
      <c r="O53" s="2001" t="s">
        <v>2688</v>
      </c>
      <c r="P53" s="1999">
        <v>36</v>
      </c>
      <c r="Q53" s="2002">
        <v>0</v>
      </c>
      <c r="R53" s="2002">
        <v>0</v>
      </c>
      <c r="S53" s="2002">
        <v>0</v>
      </c>
      <c r="T53" s="1997" t="s">
        <v>2688</v>
      </c>
    </row>
    <row r="54" spans="1:20" s="1979" customFormat="1" ht="18">
      <c r="A54" s="1979">
        <v>48</v>
      </c>
      <c r="B54" s="1993">
        <v>62</v>
      </c>
      <c r="C54" s="1993" t="s">
        <v>6721</v>
      </c>
      <c r="D54" s="1993" t="s">
        <v>2138</v>
      </c>
      <c r="E54" s="1994" t="s">
        <v>2692</v>
      </c>
      <c r="F54" s="1995" t="s">
        <v>5255</v>
      </c>
      <c r="G54" s="1996" t="s">
        <v>6735</v>
      </c>
      <c r="H54" s="1997" t="s">
        <v>2610</v>
      </c>
      <c r="I54" s="1998" t="s">
        <v>2610</v>
      </c>
      <c r="J54" s="1999">
        <v>350</v>
      </c>
      <c r="K54" s="1999">
        <v>350</v>
      </c>
      <c r="L54" s="2000">
        <f t="shared" si="0"/>
        <v>1</v>
      </c>
      <c r="M54" s="2001" t="s">
        <v>2133</v>
      </c>
      <c r="N54" s="2001" t="s">
        <v>2688</v>
      </c>
      <c r="O54" s="2001" t="s">
        <v>2688</v>
      </c>
      <c r="P54" s="1999">
        <v>220</v>
      </c>
      <c r="Q54" s="2002">
        <v>1</v>
      </c>
      <c r="R54" s="2003">
        <v>12</v>
      </c>
      <c r="S54" s="2003">
        <v>6</v>
      </c>
      <c r="T54" s="1997" t="s">
        <v>2161</v>
      </c>
    </row>
    <row r="55" spans="1:20" s="1979" customFormat="1" ht="18">
      <c r="A55" s="1979">
        <v>49</v>
      </c>
      <c r="B55" s="1993">
        <v>63</v>
      </c>
      <c r="C55" s="1993" t="s">
        <v>6721</v>
      </c>
      <c r="D55" s="1993" t="s">
        <v>2138</v>
      </c>
      <c r="E55" s="1994" t="s">
        <v>5256</v>
      </c>
      <c r="F55" s="1995" t="s">
        <v>5257</v>
      </c>
      <c r="G55" s="1996" t="s">
        <v>3694</v>
      </c>
      <c r="H55" s="1997" t="s">
        <v>2610</v>
      </c>
      <c r="I55" s="1998" t="s">
        <v>2610</v>
      </c>
      <c r="J55" s="1999">
        <v>56</v>
      </c>
      <c r="K55" s="1999">
        <v>56</v>
      </c>
      <c r="L55" s="2000">
        <f t="shared" si="0"/>
        <v>1</v>
      </c>
      <c r="M55" s="2001" t="s">
        <v>2688</v>
      </c>
      <c r="N55" s="2001" t="s">
        <v>2688</v>
      </c>
      <c r="O55" s="2001" t="s">
        <v>2688</v>
      </c>
      <c r="P55" s="1999">
        <v>0</v>
      </c>
      <c r="Q55" s="2002">
        <v>0</v>
      </c>
      <c r="R55" s="2002">
        <v>0</v>
      </c>
      <c r="S55" s="2002">
        <v>0</v>
      </c>
      <c r="T55" s="1997" t="s">
        <v>2688</v>
      </c>
    </row>
    <row r="56" spans="1:20" s="1979" customFormat="1" ht="18">
      <c r="A56" s="1979">
        <v>50</v>
      </c>
      <c r="B56" s="1993">
        <v>64</v>
      </c>
      <c r="C56" s="1993" t="s">
        <v>6721</v>
      </c>
      <c r="D56" s="1993" t="s">
        <v>2138</v>
      </c>
      <c r="E56" s="1994" t="s">
        <v>6739</v>
      </c>
      <c r="F56" s="1995" t="s">
        <v>5258</v>
      </c>
      <c r="G56" s="1996" t="s">
        <v>6735</v>
      </c>
      <c r="H56" s="1997" t="s">
        <v>2610</v>
      </c>
      <c r="I56" s="1998" t="s">
        <v>2610</v>
      </c>
      <c r="J56" s="1999">
        <v>170</v>
      </c>
      <c r="K56" s="1999">
        <v>170</v>
      </c>
      <c r="L56" s="2000">
        <f t="shared" si="0"/>
        <v>1</v>
      </c>
      <c r="M56" s="2001" t="s">
        <v>2133</v>
      </c>
      <c r="N56" s="2001" t="s">
        <v>2133</v>
      </c>
      <c r="O56" s="2001" t="s">
        <v>2133</v>
      </c>
      <c r="P56" s="1999">
        <v>100</v>
      </c>
      <c r="Q56" s="2002">
        <v>1</v>
      </c>
      <c r="R56" s="2002">
        <v>0</v>
      </c>
      <c r="S56" s="2002">
        <v>0</v>
      </c>
      <c r="T56" s="1997" t="s">
        <v>2161</v>
      </c>
    </row>
    <row r="57" spans="1:20" s="1979" customFormat="1" ht="18">
      <c r="A57" s="1979">
        <v>51</v>
      </c>
      <c r="B57" s="1993">
        <v>65</v>
      </c>
      <c r="C57" s="1993" t="s">
        <v>6721</v>
      </c>
      <c r="D57" s="1993" t="s">
        <v>2138</v>
      </c>
      <c r="E57" s="1994" t="s">
        <v>5259</v>
      </c>
      <c r="F57" s="1995" t="s">
        <v>5260</v>
      </c>
      <c r="G57" s="1996" t="s">
        <v>6729</v>
      </c>
      <c r="H57" s="1997" t="s">
        <v>2609</v>
      </c>
      <c r="I57" s="1998" t="s">
        <v>2609</v>
      </c>
      <c r="J57" s="1999">
        <v>166</v>
      </c>
      <c r="K57" s="1999">
        <v>73</v>
      </c>
      <c r="L57" s="2000">
        <f t="shared" si="0"/>
        <v>0.43975903614457829</v>
      </c>
      <c r="M57" s="2001" t="s">
        <v>2133</v>
      </c>
      <c r="N57" s="2001" t="s">
        <v>2688</v>
      </c>
      <c r="O57" s="2001" t="s">
        <v>2688</v>
      </c>
      <c r="P57" s="1999">
        <v>38</v>
      </c>
      <c r="Q57" s="2002">
        <v>0</v>
      </c>
      <c r="R57" s="2002">
        <v>0</v>
      </c>
      <c r="S57" s="2002">
        <v>0</v>
      </c>
      <c r="T57" s="1997" t="s">
        <v>2688</v>
      </c>
    </row>
    <row r="58" spans="1:20" s="1979" customFormat="1" ht="18">
      <c r="A58" s="1979">
        <v>52</v>
      </c>
      <c r="B58" s="1993">
        <v>66</v>
      </c>
      <c r="C58" s="1993" t="s">
        <v>6721</v>
      </c>
      <c r="D58" s="1993" t="s">
        <v>2138</v>
      </c>
      <c r="E58" s="1994" t="s">
        <v>3675</v>
      </c>
      <c r="F58" s="1995" t="s">
        <v>5261</v>
      </c>
      <c r="G58" s="1996" t="s">
        <v>3694</v>
      </c>
      <c r="H58" s="1997" t="s">
        <v>2609</v>
      </c>
      <c r="I58" s="1998" t="s">
        <v>2609</v>
      </c>
      <c r="J58" s="1999">
        <v>118</v>
      </c>
      <c r="K58" s="1999">
        <v>40</v>
      </c>
      <c r="L58" s="2000">
        <f t="shared" si="0"/>
        <v>0.33898305084745761</v>
      </c>
      <c r="M58" s="2001" t="s">
        <v>2688</v>
      </c>
      <c r="N58" s="2001" t="s">
        <v>2688</v>
      </c>
      <c r="O58" s="2001" t="s">
        <v>2688</v>
      </c>
      <c r="P58" s="1999">
        <v>0</v>
      </c>
      <c r="Q58" s="2002">
        <v>1</v>
      </c>
      <c r="R58" s="2002">
        <v>0</v>
      </c>
      <c r="S58" s="2002">
        <v>0</v>
      </c>
      <c r="T58" s="1997" t="s">
        <v>2688</v>
      </c>
    </row>
    <row r="59" spans="1:20" s="1979" customFormat="1" ht="18">
      <c r="A59" s="1979">
        <v>53</v>
      </c>
      <c r="B59" s="1993">
        <v>67</v>
      </c>
      <c r="C59" s="1993" t="s">
        <v>6721</v>
      </c>
      <c r="D59" s="1993" t="s">
        <v>2138</v>
      </c>
      <c r="E59" s="1994" t="s">
        <v>6740</v>
      </c>
      <c r="F59" s="1995" t="s">
        <v>5262</v>
      </c>
      <c r="G59" s="1996" t="s">
        <v>6729</v>
      </c>
      <c r="H59" s="1997" t="s">
        <v>2609</v>
      </c>
      <c r="I59" s="1998" t="s">
        <v>2610</v>
      </c>
      <c r="J59" s="1999">
        <v>805</v>
      </c>
      <c r="K59" s="1999">
        <v>300</v>
      </c>
      <c r="L59" s="2000">
        <f t="shared" si="0"/>
        <v>0.37267080745341613</v>
      </c>
      <c r="M59" s="2001" t="s">
        <v>2133</v>
      </c>
      <c r="N59" s="2001" t="s">
        <v>2688</v>
      </c>
      <c r="O59" s="2001" t="s">
        <v>2688</v>
      </c>
      <c r="P59" s="1999">
        <v>130</v>
      </c>
      <c r="Q59" s="2002">
        <v>2</v>
      </c>
      <c r="R59" s="2002">
        <v>1</v>
      </c>
      <c r="S59" s="2002">
        <v>1</v>
      </c>
      <c r="T59" s="1997" t="s">
        <v>2688</v>
      </c>
    </row>
    <row r="60" spans="1:20" s="1979" customFormat="1" ht="18">
      <c r="A60" s="1979">
        <v>54</v>
      </c>
      <c r="B60" s="1993">
        <v>68</v>
      </c>
      <c r="C60" s="1993" t="s">
        <v>6721</v>
      </c>
      <c r="D60" s="1993" t="s">
        <v>2138</v>
      </c>
      <c r="E60" s="1994" t="s">
        <v>5263</v>
      </c>
      <c r="F60" s="1995" t="s">
        <v>5264</v>
      </c>
      <c r="G60" s="1996" t="s">
        <v>3694</v>
      </c>
      <c r="H60" s="1997" t="s">
        <v>2610</v>
      </c>
      <c r="I60" s="1998" t="s">
        <v>2610</v>
      </c>
      <c r="J60" s="1999">
        <v>40</v>
      </c>
      <c r="K60" s="1999">
        <v>40</v>
      </c>
      <c r="L60" s="2000">
        <f t="shared" si="0"/>
        <v>1</v>
      </c>
      <c r="M60" s="2001" t="s">
        <v>2688</v>
      </c>
      <c r="N60" s="2001" t="s">
        <v>2688</v>
      </c>
      <c r="O60" s="2001" t="s">
        <v>2688</v>
      </c>
      <c r="P60" s="1999">
        <v>0</v>
      </c>
      <c r="Q60" s="2002">
        <v>3</v>
      </c>
      <c r="R60" s="2002">
        <v>0</v>
      </c>
      <c r="S60" s="2002">
        <v>0</v>
      </c>
      <c r="T60" s="1997" t="s">
        <v>2688</v>
      </c>
    </row>
    <row r="61" spans="1:20" s="1979" customFormat="1" ht="18">
      <c r="A61" s="1979">
        <v>55</v>
      </c>
      <c r="B61" s="1993">
        <v>69</v>
      </c>
      <c r="C61" s="1993" t="s">
        <v>6721</v>
      </c>
      <c r="D61" s="1993" t="s">
        <v>2138</v>
      </c>
      <c r="E61" s="1994" t="s">
        <v>3677</v>
      </c>
      <c r="F61" s="1995" t="s">
        <v>5265</v>
      </c>
      <c r="G61" s="1996" t="s">
        <v>3694</v>
      </c>
      <c r="H61" s="1997" t="s">
        <v>2610</v>
      </c>
      <c r="I61" s="1998" t="s">
        <v>2610</v>
      </c>
      <c r="J61" s="1999">
        <v>249</v>
      </c>
      <c r="K61" s="1999">
        <v>249</v>
      </c>
      <c r="L61" s="2000">
        <f t="shared" si="0"/>
        <v>1</v>
      </c>
      <c r="M61" s="2001" t="s">
        <v>2133</v>
      </c>
      <c r="N61" s="2001" t="s">
        <v>2688</v>
      </c>
      <c r="O61" s="2001" t="s">
        <v>2688</v>
      </c>
      <c r="P61" s="1999">
        <v>50</v>
      </c>
      <c r="Q61" s="2002">
        <v>4</v>
      </c>
      <c r="R61" s="2002">
        <v>0</v>
      </c>
      <c r="S61" s="2002">
        <v>0</v>
      </c>
      <c r="T61" s="1997" t="s">
        <v>2688</v>
      </c>
    </row>
    <row r="62" spans="1:20" s="1979" customFormat="1" ht="18">
      <c r="A62" s="1979">
        <v>56</v>
      </c>
      <c r="B62" s="1993">
        <v>70</v>
      </c>
      <c r="C62" s="1993" t="s">
        <v>6721</v>
      </c>
      <c r="D62" s="1993" t="s">
        <v>2138</v>
      </c>
      <c r="E62" s="1994" t="s">
        <v>5266</v>
      </c>
      <c r="F62" s="1995" t="s">
        <v>5267</v>
      </c>
      <c r="G62" s="1996" t="s">
        <v>6733</v>
      </c>
      <c r="H62" s="1997" t="s">
        <v>2610</v>
      </c>
      <c r="I62" s="1998" t="s">
        <v>2610</v>
      </c>
      <c r="J62" s="1999">
        <v>233</v>
      </c>
      <c r="K62" s="1999">
        <v>233</v>
      </c>
      <c r="L62" s="2000">
        <f t="shared" si="0"/>
        <v>1</v>
      </c>
      <c r="M62" s="2001" t="s">
        <v>2133</v>
      </c>
      <c r="N62" s="2001" t="s">
        <v>2688</v>
      </c>
      <c r="O62" s="2001" t="s">
        <v>2133</v>
      </c>
      <c r="P62" s="1999">
        <v>106</v>
      </c>
      <c r="Q62" s="2002">
        <v>5</v>
      </c>
      <c r="R62" s="2002">
        <v>0</v>
      </c>
      <c r="S62" s="2002">
        <v>0</v>
      </c>
      <c r="T62" s="1997" t="s">
        <v>2688</v>
      </c>
    </row>
    <row r="63" spans="1:20" s="1979" customFormat="1" ht="18">
      <c r="A63" s="1979">
        <v>57</v>
      </c>
      <c r="B63" s="1993">
        <v>71</v>
      </c>
      <c r="C63" s="1993" t="s">
        <v>6721</v>
      </c>
      <c r="D63" s="1993" t="s">
        <v>2138</v>
      </c>
      <c r="E63" s="1994" t="s">
        <v>5268</v>
      </c>
      <c r="F63" s="1995" t="s">
        <v>5269</v>
      </c>
      <c r="G63" s="1996" t="s">
        <v>3694</v>
      </c>
      <c r="H63" s="1997" t="s">
        <v>2610</v>
      </c>
      <c r="I63" s="1998" t="s">
        <v>2610</v>
      </c>
      <c r="J63" s="1999">
        <v>119</v>
      </c>
      <c r="K63" s="1999">
        <v>119</v>
      </c>
      <c r="L63" s="2000">
        <f t="shared" si="0"/>
        <v>1</v>
      </c>
      <c r="M63" s="2001" t="s">
        <v>2688</v>
      </c>
      <c r="N63" s="2001" t="s">
        <v>2688</v>
      </c>
      <c r="O63" s="2001" t="s">
        <v>2688</v>
      </c>
      <c r="P63" s="1999">
        <v>0</v>
      </c>
      <c r="Q63" s="2002">
        <v>6</v>
      </c>
      <c r="R63" s="2002">
        <v>0</v>
      </c>
      <c r="S63" s="2002">
        <v>0</v>
      </c>
      <c r="T63" s="1997" t="s">
        <v>2688</v>
      </c>
    </row>
    <row r="64" spans="1:20" s="1979" customFormat="1" ht="18">
      <c r="A64" s="1979">
        <v>58</v>
      </c>
      <c r="B64" s="1993">
        <v>73</v>
      </c>
      <c r="C64" s="1993" t="s">
        <v>6721</v>
      </c>
      <c r="D64" s="1993" t="s">
        <v>2138</v>
      </c>
      <c r="E64" s="1994" t="s">
        <v>5270</v>
      </c>
      <c r="F64" s="1995" t="s">
        <v>5271</v>
      </c>
      <c r="G64" s="1996" t="s">
        <v>3694</v>
      </c>
      <c r="H64" s="1997" t="s">
        <v>2609</v>
      </c>
      <c r="I64" s="2004" t="s">
        <v>2609</v>
      </c>
      <c r="J64" s="1999">
        <v>96</v>
      </c>
      <c r="K64" s="1999">
        <v>80</v>
      </c>
      <c r="L64" s="2000">
        <f t="shared" si="0"/>
        <v>0.83333333333333337</v>
      </c>
      <c r="M64" s="2001" t="s">
        <v>2133</v>
      </c>
      <c r="N64" s="2001" t="s">
        <v>3804</v>
      </c>
      <c r="O64" s="2001" t="s">
        <v>3804</v>
      </c>
      <c r="P64" s="1999">
        <v>24</v>
      </c>
      <c r="Q64" s="2002">
        <v>7</v>
      </c>
      <c r="R64" s="2002">
        <v>0</v>
      </c>
      <c r="S64" s="2002">
        <v>0</v>
      </c>
      <c r="T64" s="1997" t="s">
        <v>2688</v>
      </c>
    </row>
    <row r="65" spans="1:20" s="1979" customFormat="1" ht="18">
      <c r="A65" s="1979">
        <v>59</v>
      </c>
      <c r="B65" s="1993">
        <v>74</v>
      </c>
      <c r="C65" s="1993" t="s">
        <v>6721</v>
      </c>
      <c r="D65" s="1993" t="s">
        <v>2138</v>
      </c>
      <c r="E65" s="1994" t="s">
        <v>3727</v>
      </c>
      <c r="F65" s="1995" t="s">
        <v>5272</v>
      </c>
      <c r="G65" s="1996" t="s">
        <v>3694</v>
      </c>
      <c r="H65" s="1997" t="s">
        <v>2609</v>
      </c>
      <c r="I65" s="1998" t="s">
        <v>2610</v>
      </c>
      <c r="J65" s="1999">
        <v>117</v>
      </c>
      <c r="K65" s="1999">
        <v>24</v>
      </c>
      <c r="L65" s="2000">
        <f t="shared" si="0"/>
        <v>0.20512820512820512</v>
      </c>
      <c r="M65" s="2001" t="s">
        <v>2133</v>
      </c>
      <c r="N65" s="2001" t="s">
        <v>2688</v>
      </c>
      <c r="O65" s="2001" t="s">
        <v>2688</v>
      </c>
      <c r="P65" s="1999">
        <v>24</v>
      </c>
      <c r="Q65" s="2002">
        <v>8</v>
      </c>
      <c r="R65" s="2002">
        <v>0</v>
      </c>
      <c r="S65" s="2002">
        <v>0</v>
      </c>
      <c r="T65" s="1997" t="s">
        <v>2688</v>
      </c>
    </row>
    <row r="66" spans="1:20" s="1979" customFormat="1" ht="18">
      <c r="A66" s="1979">
        <v>60</v>
      </c>
      <c r="B66" s="1993">
        <v>75</v>
      </c>
      <c r="C66" s="1993" t="s">
        <v>6721</v>
      </c>
      <c r="D66" s="1993" t="s">
        <v>2138</v>
      </c>
      <c r="E66" s="1994" t="s">
        <v>3730</v>
      </c>
      <c r="F66" s="1995" t="s">
        <v>5273</v>
      </c>
      <c r="G66" s="1996" t="s">
        <v>3694</v>
      </c>
      <c r="H66" s="1997" t="s">
        <v>2609</v>
      </c>
      <c r="I66" s="1998" t="s">
        <v>2610</v>
      </c>
      <c r="J66" s="1999">
        <v>262</v>
      </c>
      <c r="K66" s="1999">
        <v>80</v>
      </c>
      <c r="L66" s="2000">
        <f t="shared" si="0"/>
        <v>0.30534351145038169</v>
      </c>
      <c r="M66" s="2001" t="s">
        <v>2133</v>
      </c>
      <c r="N66" s="2001" t="s">
        <v>2688</v>
      </c>
      <c r="O66" s="2001" t="s">
        <v>2688</v>
      </c>
      <c r="P66" s="1999">
        <v>24</v>
      </c>
      <c r="Q66" s="2002">
        <v>9</v>
      </c>
      <c r="R66" s="2002">
        <v>0</v>
      </c>
      <c r="S66" s="2002">
        <v>0</v>
      </c>
      <c r="T66" s="1997" t="s">
        <v>2688</v>
      </c>
    </row>
    <row r="67" spans="1:20" s="1979" customFormat="1" ht="18">
      <c r="A67" s="1979">
        <v>61</v>
      </c>
      <c r="B67" s="1993">
        <v>76</v>
      </c>
      <c r="C67" s="1993" t="s">
        <v>6721</v>
      </c>
      <c r="D67" s="1993" t="s">
        <v>2138</v>
      </c>
      <c r="E67" s="1994" t="s">
        <v>3739</v>
      </c>
      <c r="F67" s="1995" t="s">
        <v>5274</v>
      </c>
      <c r="G67" s="1996" t="s">
        <v>3694</v>
      </c>
      <c r="H67" s="1997" t="s">
        <v>2609</v>
      </c>
      <c r="I67" s="1998" t="s">
        <v>2610</v>
      </c>
      <c r="J67" s="1999">
        <v>156</v>
      </c>
      <c r="K67" s="1999">
        <v>50</v>
      </c>
      <c r="L67" s="2000">
        <f t="shared" si="0"/>
        <v>0.32051282051282054</v>
      </c>
      <c r="M67" s="2001" t="s">
        <v>2133</v>
      </c>
      <c r="N67" s="2001" t="s">
        <v>2688</v>
      </c>
      <c r="O67" s="2001" t="s">
        <v>2688</v>
      </c>
      <c r="P67" s="1999">
        <v>55</v>
      </c>
      <c r="Q67" s="2002">
        <v>10</v>
      </c>
      <c r="R67" s="2002">
        <v>0</v>
      </c>
      <c r="S67" s="2002">
        <v>0</v>
      </c>
      <c r="T67" s="1997" t="s">
        <v>2688</v>
      </c>
    </row>
    <row r="68" spans="1:20" s="1979" customFormat="1" ht="18">
      <c r="A68" s="1979">
        <v>62</v>
      </c>
      <c r="B68" s="1993">
        <v>77</v>
      </c>
      <c r="C68" s="1993" t="s">
        <v>6721</v>
      </c>
      <c r="D68" s="1993" t="s">
        <v>2138</v>
      </c>
      <c r="E68" s="1994" t="s">
        <v>3680</v>
      </c>
      <c r="F68" s="1995" t="s">
        <v>5275</v>
      </c>
      <c r="G68" s="1996" t="s">
        <v>3694</v>
      </c>
      <c r="H68" s="1997" t="s">
        <v>2609</v>
      </c>
      <c r="I68" s="1998" t="s">
        <v>2610</v>
      </c>
      <c r="J68" s="1999">
        <v>250</v>
      </c>
      <c r="K68" s="1999">
        <v>100</v>
      </c>
      <c r="L68" s="2000">
        <f t="shared" si="0"/>
        <v>0.4</v>
      </c>
      <c r="M68" s="2001" t="s">
        <v>2133</v>
      </c>
      <c r="N68" s="2001" t="s">
        <v>2688</v>
      </c>
      <c r="O68" s="2001" t="s">
        <v>2688</v>
      </c>
      <c r="P68" s="1999">
        <v>30</v>
      </c>
      <c r="Q68" s="2002">
        <v>11</v>
      </c>
      <c r="R68" s="2002">
        <v>0</v>
      </c>
      <c r="S68" s="2002">
        <v>0</v>
      </c>
      <c r="T68" s="1997" t="s">
        <v>2688</v>
      </c>
    </row>
    <row r="69" spans="1:20" s="1979" customFormat="1" ht="18">
      <c r="A69" s="1979">
        <v>63</v>
      </c>
      <c r="B69" s="1993">
        <v>78</v>
      </c>
      <c r="C69" s="1993" t="s">
        <v>6721</v>
      </c>
      <c r="D69" s="1993" t="s">
        <v>2138</v>
      </c>
      <c r="E69" s="1994" t="s">
        <v>3654</v>
      </c>
      <c r="F69" s="1995" t="s">
        <v>5276</v>
      </c>
      <c r="G69" s="1996" t="s">
        <v>6729</v>
      </c>
      <c r="H69" s="1997" t="s">
        <v>2609</v>
      </c>
      <c r="I69" s="1998" t="s">
        <v>2609</v>
      </c>
      <c r="J69" s="1999">
        <v>128</v>
      </c>
      <c r="K69" s="1999">
        <v>45</v>
      </c>
      <c r="L69" s="2000">
        <f t="shared" si="0"/>
        <v>0.3515625</v>
      </c>
      <c r="M69" s="2001" t="s">
        <v>2133</v>
      </c>
      <c r="N69" s="2001" t="s">
        <v>2688</v>
      </c>
      <c r="O69" s="2001" t="s">
        <v>2688</v>
      </c>
      <c r="P69" s="1999">
        <v>30</v>
      </c>
      <c r="Q69" s="2002">
        <v>12</v>
      </c>
      <c r="R69" s="2002">
        <v>0</v>
      </c>
      <c r="S69" s="2002">
        <v>0</v>
      </c>
      <c r="T69" s="1997" t="s">
        <v>2688</v>
      </c>
    </row>
    <row r="70" spans="1:20" s="1979" customFormat="1" ht="18">
      <c r="A70" s="1979">
        <v>64</v>
      </c>
      <c r="B70" s="1993">
        <v>79</v>
      </c>
      <c r="C70" s="1993" t="s">
        <v>6721</v>
      </c>
      <c r="D70" s="1993" t="s">
        <v>2138</v>
      </c>
      <c r="E70" s="1994" t="s">
        <v>3642</v>
      </c>
      <c r="F70" s="1995" t="s">
        <v>5277</v>
      </c>
      <c r="G70" s="1996" t="s">
        <v>6733</v>
      </c>
      <c r="H70" s="1997" t="s">
        <v>2610</v>
      </c>
      <c r="I70" s="1998" t="s">
        <v>2610</v>
      </c>
      <c r="J70" s="1999">
        <v>191</v>
      </c>
      <c r="K70" s="1999">
        <v>191</v>
      </c>
      <c r="L70" s="2000">
        <f t="shared" si="0"/>
        <v>1</v>
      </c>
      <c r="M70" s="2001" t="s">
        <v>2133</v>
      </c>
      <c r="N70" s="2001" t="s">
        <v>2133</v>
      </c>
      <c r="O70" s="2001" t="s">
        <v>2133</v>
      </c>
      <c r="P70" s="1999">
        <v>62</v>
      </c>
      <c r="Q70" s="2002">
        <v>2</v>
      </c>
      <c r="R70" s="2002">
        <v>0</v>
      </c>
      <c r="S70" s="2002">
        <v>0</v>
      </c>
      <c r="T70" s="1997" t="s">
        <v>2688</v>
      </c>
    </row>
    <row r="71" spans="1:20" s="1979" customFormat="1" ht="18">
      <c r="A71" s="1979">
        <v>65</v>
      </c>
      <c r="B71" s="1993">
        <v>80</v>
      </c>
      <c r="C71" s="1993" t="s">
        <v>6721</v>
      </c>
      <c r="D71" s="1993" t="s">
        <v>2138</v>
      </c>
      <c r="E71" s="1994" t="s">
        <v>6741</v>
      </c>
      <c r="F71" s="1995" t="s">
        <v>5278</v>
      </c>
      <c r="G71" s="1996" t="s">
        <v>6729</v>
      </c>
      <c r="H71" s="1997" t="s">
        <v>2609</v>
      </c>
      <c r="I71" s="1998" t="s">
        <v>2609</v>
      </c>
      <c r="J71" s="1999">
        <v>288</v>
      </c>
      <c r="K71" s="1999">
        <v>142</v>
      </c>
      <c r="L71" s="2000">
        <f t="shared" ref="L71:L134" si="1">SUM(K71/J71)</f>
        <v>0.49305555555555558</v>
      </c>
      <c r="M71" s="2001" t="s">
        <v>2133</v>
      </c>
      <c r="N71" s="2001" t="s">
        <v>2688</v>
      </c>
      <c r="O71" s="2001" t="s">
        <v>2688</v>
      </c>
      <c r="P71" s="1999">
        <v>44</v>
      </c>
      <c r="Q71" s="2002">
        <v>1</v>
      </c>
      <c r="R71" s="2002">
        <v>0</v>
      </c>
      <c r="S71" s="2002">
        <v>0</v>
      </c>
      <c r="T71" s="1997" t="s">
        <v>2688</v>
      </c>
    </row>
    <row r="72" spans="1:20" s="1979" customFormat="1" ht="18">
      <c r="A72" s="1979">
        <v>66</v>
      </c>
      <c r="B72" s="1993">
        <v>81</v>
      </c>
      <c r="C72" s="1993" t="s">
        <v>6721</v>
      </c>
      <c r="D72" s="1993" t="s">
        <v>2138</v>
      </c>
      <c r="E72" s="1994" t="s">
        <v>3648</v>
      </c>
      <c r="F72" s="1995" t="s">
        <v>5280</v>
      </c>
      <c r="G72" s="1996" t="s">
        <v>3694</v>
      </c>
      <c r="H72" s="1997" t="s">
        <v>2610</v>
      </c>
      <c r="I72" s="1998" t="s">
        <v>2610</v>
      </c>
      <c r="J72" s="1999">
        <v>284</v>
      </c>
      <c r="K72" s="1999">
        <v>284</v>
      </c>
      <c r="L72" s="2000">
        <f t="shared" si="1"/>
        <v>1</v>
      </c>
      <c r="M72" s="2001" t="s">
        <v>2133</v>
      </c>
      <c r="N72" s="2001" t="s">
        <v>2133</v>
      </c>
      <c r="O72" s="2001" t="s">
        <v>2133</v>
      </c>
      <c r="P72" s="1999">
        <v>95</v>
      </c>
      <c r="Q72" s="2002">
        <v>1</v>
      </c>
      <c r="R72" s="2003">
        <v>1</v>
      </c>
      <c r="S72" s="2003">
        <v>1</v>
      </c>
      <c r="T72" s="1997" t="s">
        <v>2688</v>
      </c>
    </row>
    <row r="73" spans="1:20" s="1979" customFormat="1" ht="18">
      <c r="A73" s="1979">
        <v>67</v>
      </c>
      <c r="B73" s="1993">
        <v>82</v>
      </c>
      <c r="C73" s="1993" t="s">
        <v>6721</v>
      </c>
      <c r="D73" s="1993" t="s">
        <v>2138</v>
      </c>
      <c r="E73" s="1994" t="s">
        <v>3740</v>
      </c>
      <c r="F73" s="1995" t="s">
        <v>5282</v>
      </c>
      <c r="G73" s="1996" t="s">
        <v>6729</v>
      </c>
      <c r="H73" s="1997" t="s">
        <v>2609</v>
      </c>
      <c r="I73" s="1998" t="s">
        <v>2610</v>
      </c>
      <c r="J73" s="1999">
        <v>191</v>
      </c>
      <c r="K73" s="1999">
        <v>95</v>
      </c>
      <c r="L73" s="2000">
        <f t="shared" si="1"/>
        <v>0.49738219895287961</v>
      </c>
      <c r="M73" s="2001" t="s">
        <v>2133</v>
      </c>
      <c r="N73" s="2001" t="s">
        <v>2688</v>
      </c>
      <c r="O73" s="2001" t="s">
        <v>2688</v>
      </c>
      <c r="P73" s="1999">
        <v>12</v>
      </c>
      <c r="Q73" s="2002">
        <v>1</v>
      </c>
      <c r="R73" s="2002">
        <v>0</v>
      </c>
      <c r="S73" s="2002">
        <v>0</v>
      </c>
      <c r="T73" s="1997" t="s">
        <v>2688</v>
      </c>
    </row>
    <row r="74" spans="1:20" s="1979" customFormat="1" ht="18">
      <c r="A74" s="1979">
        <v>68</v>
      </c>
      <c r="B74" s="1993">
        <v>83</v>
      </c>
      <c r="C74" s="1993" t="s">
        <v>6721</v>
      </c>
      <c r="D74" s="1993" t="s">
        <v>2138</v>
      </c>
      <c r="E74" s="1994" t="s">
        <v>4271</v>
      </c>
      <c r="F74" s="1995" t="s">
        <v>5283</v>
      </c>
      <c r="G74" s="1996" t="s">
        <v>3694</v>
      </c>
      <c r="H74" s="1997" t="s">
        <v>2609</v>
      </c>
      <c r="I74" s="1998" t="s">
        <v>2610</v>
      </c>
      <c r="J74" s="1999">
        <v>238</v>
      </c>
      <c r="K74" s="1999">
        <v>70</v>
      </c>
      <c r="L74" s="2000">
        <f t="shared" si="1"/>
        <v>0.29411764705882354</v>
      </c>
      <c r="M74" s="2001" t="s">
        <v>2133</v>
      </c>
      <c r="N74" s="2001" t="s">
        <v>3804</v>
      </c>
      <c r="O74" s="2001" t="s">
        <v>3804</v>
      </c>
      <c r="P74" s="1999">
        <v>74</v>
      </c>
      <c r="Q74" s="2002">
        <v>0</v>
      </c>
      <c r="R74" s="2002">
        <v>0</v>
      </c>
      <c r="S74" s="2002">
        <v>0</v>
      </c>
      <c r="T74" s="1997" t="s">
        <v>2688</v>
      </c>
    </row>
    <row r="75" spans="1:20" s="1979" customFormat="1" ht="18">
      <c r="A75" s="1979">
        <v>69</v>
      </c>
      <c r="B75" s="1993">
        <v>84</v>
      </c>
      <c r="C75" s="1993" t="s">
        <v>6721</v>
      </c>
      <c r="D75" s="1993" t="s">
        <v>2138</v>
      </c>
      <c r="E75" s="1994" t="s">
        <v>3681</v>
      </c>
      <c r="F75" s="1995" t="s">
        <v>5284</v>
      </c>
      <c r="G75" s="1996" t="s">
        <v>3694</v>
      </c>
      <c r="H75" s="1997" t="s">
        <v>2609</v>
      </c>
      <c r="I75" s="1998" t="s">
        <v>2610</v>
      </c>
      <c r="J75" s="1999">
        <v>178</v>
      </c>
      <c r="K75" s="1999">
        <v>50</v>
      </c>
      <c r="L75" s="2000">
        <f t="shared" si="1"/>
        <v>0.2808988764044944</v>
      </c>
      <c r="M75" s="2001" t="s">
        <v>2133</v>
      </c>
      <c r="N75" s="2001" t="s">
        <v>2688</v>
      </c>
      <c r="O75" s="2001" t="s">
        <v>2688</v>
      </c>
      <c r="P75" s="1999">
        <v>77</v>
      </c>
      <c r="Q75" s="2002">
        <v>0</v>
      </c>
      <c r="R75" s="2002">
        <v>0</v>
      </c>
      <c r="S75" s="2002">
        <v>0</v>
      </c>
      <c r="T75" s="1997" t="s">
        <v>2688</v>
      </c>
    </row>
    <row r="76" spans="1:20" s="1979" customFormat="1" ht="18">
      <c r="A76" s="1979">
        <v>70</v>
      </c>
      <c r="B76" s="1993">
        <v>86</v>
      </c>
      <c r="C76" s="1993" t="s">
        <v>6721</v>
      </c>
      <c r="D76" s="1993" t="s">
        <v>2138</v>
      </c>
      <c r="E76" s="1994" t="s">
        <v>5285</v>
      </c>
      <c r="F76" s="1995" t="s">
        <v>5286</v>
      </c>
      <c r="G76" s="1996" t="s">
        <v>6726</v>
      </c>
      <c r="H76" s="1997" t="s">
        <v>2609</v>
      </c>
      <c r="I76" s="1998" t="s">
        <v>2610</v>
      </c>
      <c r="J76" s="1999">
        <v>145</v>
      </c>
      <c r="K76" s="1999">
        <v>36</v>
      </c>
      <c r="L76" s="2000">
        <f t="shared" si="1"/>
        <v>0.24827586206896551</v>
      </c>
      <c r="M76" s="2001" t="s">
        <v>2133</v>
      </c>
      <c r="N76" s="2001" t="s">
        <v>2688</v>
      </c>
      <c r="O76" s="2001" t="s">
        <v>2688</v>
      </c>
      <c r="P76" s="1999">
        <v>45</v>
      </c>
      <c r="Q76" s="2002">
        <v>2</v>
      </c>
      <c r="R76" s="2002">
        <v>1</v>
      </c>
      <c r="S76" s="2002">
        <v>1</v>
      </c>
      <c r="T76" s="1997" t="s">
        <v>2688</v>
      </c>
    </row>
    <row r="77" spans="1:20" s="1979" customFormat="1" ht="18">
      <c r="A77" s="1979">
        <v>71</v>
      </c>
      <c r="B77" s="1993">
        <v>87</v>
      </c>
      <c r="C77" s="1993" t="s">
        <v>6721</v>
      </c>
      <c r="D77" s="1993" t="s">
        <v>2138</v>
      </c>
      <c r="E77" s="1994" t="s">
        <v>5287</v>
      </c>
      <c r="F77" s="1995" t="s">
        <v>5288</v>
      </c>
      <c r="G77" s="1996" t="s">
        <v>6726</v>
      </c>
      <c r="H77" s="1997" t="s">
        <v>2609</v>
      </c>
      <c r="I77" s="1998" t="s">
        <v>2609</v>
      </c>
      <c r="J77" s="1999">
        <v>144</v>
      </c>
      <c r="K77" s="1999">
        <v>0</v>
      </c>
      <c r="L77" s="2000">
        <f t="shared" si="1"/>
        <v>0</v>
      </c>
      <c r="M77" s="2001" t="s">
        <v>2133</v>
      </c>
      <c r="N77" s="2001" t="s">
        <v>2688</v>
      </c>
      <c r="O77" s="2001" t="s">
        <v>2688</v>
      </c>
      <c r="P77" s="1999">
        <v>40</v>
      </c>
      <c r="Q77" s="2002">
        <v>0</v>
      </c>
      <c r="R77" s="2002">
        <v>0</v>
      </c>
      <c r="S77" s="2002">
        <v>0</v>
      </c>
      <c r="T77" s="1997" t="s">
        <v>2688</v>
      </c>
    </row>
    <row r="78" spans="1:20" s="1979" customFormat="1" ht="18">
      <c r="A78" s="1979">
        <v>72</v>
      </c>
      <c r="B78" s="1993">
        <v>90</v>
      </c>
      <c r="C78" s="1993" t="s">
        <v>6721</v>
      </c>
      <c r="D78" s="1993" t="s">
        <v>2138</v>
      </c>
      <c r="E78" s="1994" t="s">
        <v>6742</v>
      </c>
      <c r="F78" s="1995" t="s">
        <v>5289</v>
      </c>
      <c r="G78" s="1996" t="s">
        <v>6735</v>
      </c>
      <c r="H78" s="1997" t="s">
        <v>2609</v>
      </c>
      <c r="I78" s="1998" t="s">
        <v>2610</v>
      </c>
      <c r="J78" s="1999">
        <v>233</v>
      </c>
      <c r="K78" s="1999">
        <v>230</v>
      </c>
      <c r="L78" s="2000">
        <f t="shared" si="1"/>
        <v>0.98712446351931327</v>
      </c>
      <c r="M78" s="2001" t="s">
        <v>2133</v>
      </c>
      <c r="N78" s="2001" t="s">
        <v>2133</v>
      </c>
      <c r="O78" s="2001" t="s">
        <v>2133</v>
      </c>
      <c r="P78" s="1999">
        <v>116</v>
      </c>
      <c r="Q78" s="2002">
        <v>8</v>
      </c>
      <c r="R78" s="2002">
        <v>22</v>
      </c>
      <c r="S78" s="2002">
        <v>22</v>
      </c>
      <c r="T78" s="1997" t="s">
        <v>2161</v>
      </c>
    </row>
    <row r="79" spans="1:20" s="1979" customFormat="1" ht="18">
      <c r="A79" s="1979">
        <v>73</v>
      </c>
      <c r="B79" s="1993">
        <v>92</v>
      </c>
      <c r="C79" s="1993" t="s">
        <v>6721</v>
      </c>
      <c r="D79" s="1993" t="s">
        <v>2138</v>
      </c>
      <c r="E79" s="1994" t="s">
        <v>3498</v>
      </c>
      <c r="F79" s="1995" t="s">
        <v>5290</v>
      </c>
      <c r="G79" s="1996" t="s">
        <v>6729</v>
      </c>
      <c r="H79" s="1997" t="s">
        <v>2610</v>
      </c>
      <c r="I79" s="2004" t="s">
        <v>2610</v>
      </c>
      <c r="J79" s="1999">
        <v>106</v>
      </c>
      <c r="K79" s="1999">
        <v>106</v>
      </c>
      <c r="L79" s="2000">
        <f t="shared" si="1"/>
        <v>1</v>
      </c>
      <c r="M79" s="2001" t="s">
        <v>2133</v>
      </c>
      <c r="N79" s="2001" t="s">
        <v>2133</v>
      </c>
      <c r="O79" s="2001" t="s">
        <v>2133</v>
      </c>
      <c r="P79" s="1999">
        <v>48</v>
      </c>
      <c r="Q79" s="2002">
        <v>1</v>
      </c>
      <c r="R79" s="2002">
        <v>8</v>
      </c>
      <c r="S79" s="2002" t="s">
        <v>6731</v>
      </c>
      <c r="T79" s="1997" t="s">
        <v>2161</v>
      </c>
    </row>
    <row r="80" spans="1:20" s="1979" customFormat="1" ht="18">
      <c r="A80" s="1979">
        <v>74</v>
      </c>
      <c r="B80" s="1993">
        <v>93</v>
      </c>
      <c r="C80" s="1993" t="s">
        <v>6721</v>
      </c>
      <c r="D80" s="1993" t="s">
        <v>2138</v>
      </c>
      <c r="E80" s="1994" t="s">
        <v>4866</v>
      </c>
      <c r="F80" s="1995" t="s">
        <v>5291</v>
      </c>
      <c r="G80" s="1996" t="s">
        <v>6729</v>
      </c>
      <c r="H80" s="1997" t="s">
        <v>2609</v>
      </c>
      <c r="I80" s="1998" t="s">
        <v>2610</v>
      </c>
      <c r="J80" s="1999">
        <v>592</v>
      </c>
      <c r="K80" s="1999">
        <v>300</v>
      </c>
      <c r="L80" s="2000">
        <f t="shared" si="1"/>
        <v>0.5067567567567568</v>
      </c>
      <c r="M80" s="2001" t="s">
        <v>2133</v>
      </c>
      <c r="N80" s="2001" t="s">
        <v>2688</v>
      </c>
      <c r="O80" s="2001" t="s">
        <v>2133</v>
      </c>
      <c r="P80" s="1999">
        <v>120</v>
      </c>
      <c r="Q80" s="2002">
        <v>1</v>
      </c>
      <c r="R80" s="2002">
        <v>19</v>
      </c>
      <c r="S80" s="2002">
        <v>8</v>
      </c>
      <c r="T80" s="1997" t="s">
        <v>2688</v>
      </c>
    </row>
    <row r="81" spans="1:20" s="1979" customFormat="1" ht="18">
      <c r="A81" s="1979">
        <v>75</v>
      </c>
      <c r="B81" s="1993">
        <v>94</v>
      </c>
      <c r="C81" s="1993" t="s">
        <v>6721</v>
      </c>
      <c r="D81" s="1993" t="s">
        <v>2138</v>
      </c>
      <c r="E81" s="1994" t="s">
        <v>2601</v>
      </c>
      <c r="F81" s="1995" t="s">
        <v>5292</v>
      </c>
      <c r="G81" s="1996" t="s">
        <v>6735</v>
      </c>
      <c r="H81" s="1997" t="s">
        <v>2609</v>
      </c>
      <c r="I81" s="1998" t="s">
        <v>2610</v>
      </c>
      <c r="J81" s="1999">
        <v>460</v>
      </c>
      <c r="K81" s="1999">
        <v>370</v>
      </c>
      <c r="L81" s="2000">
        <f t="shared" si="1"/>
        <v>0.80434782608695654</v>
      </c>
      <c r="M81" s="2001" t="s">
        <v>2133</v>
      </c>
      <c r="N81" s="2001" t="s">
        <v>2133</v>
      </c>
      <c r="O81" s="2001" t="s">
        <v>2133</v>
      </c>
      <c r="P81" s="1999">
        <v>240</v>
      </c>
      <c r="Q81" s="2002">
        <v>7</v>
      </c>
      <c r="R81" s="2002">
        <v>16</v>
      </c>
      <c r="S81" s="2002">
        <v>16</v>
      </c>
      <c r="T81" s="1997" t="s">
        <v>2161</v>
      </c>
    </row>
    <row r="82" spans="1:20" s="1979" customFormat="1" ht="18">
      <c r="A82" s="1979">
        <v>76</v>
      </c>
      <c r="B82" s="1993">
        <v>95</v>
      </c>
      <c r="C82" s="1993" t="s">
        <v>6721</v>
      </c>
      <c r="D82" s="1993" t="s">
        <v>2138</v>
      </c>
      <c r="E82" s="1994" t="s">
        <v>5294</v>
      </c>
      <c r="F82" s="1995" t="s">
        <v>5295</v>
      </c>
      <c r="G82" s="1996" t="s">
        <v>3694</v>
      </c>
      <c r="H82" s="1997" t="s">
        <v>2609</v>
      </c>
      <c r="I82" s="1998" t="s">
        <v>2610</v>
      </c>
      <c r="J82" s="1999">
        <v>105</v>
      </c>
      <c r="K82" s="1999">
        <v>35</v>
      </c>
      <c r="L82" s="2000">
        <f t="shared" si="1"/>
        <v>0.33333333333333331</v>
      </c>
      <c r="M82" s="2001" t="s">
        <v>2688</v>
      </c>
      <c r="N82" s="2001" t="s">
        <v>2688</v>
      </c>
      <c r="O82" s="2001" t="s">
        <v>2688</v>
      </c>
      <c r="P82" s="1999">
        <v>0</v>
      </c>
      <c r="Q82" s="2002">
        <v>0</v>
      </c>
      <c r="R82" s="2002">
        <v>0</v>
      </c>
      <c r="S82" s="2002">
        <v>0</v>
      </c>
      <c r="T82" s="1997" t="s">
        <v>2688</v>
      </c>
    </row>
    <row r="83" spans="1:20" s="1979" customFormat="1" ht="18">
      <c r="A83" s="1979">
        <v>77</v>
      </c>
      <c r="B83" s="1993">
        <v>96</v>
      </c>
      <c r="C83" s="1993" t="s">
        <v>6721</v>
      </c>
      <c r="D83" s="1993" t="s">
        <v>2138</v>
      </c>
      <c r="E83" s="1994" t="s">
        <v>3513</v>
      </c>
      <c r="F83" s="1995" t="s">
        <v>5296</v>
      </c>
      <c r="G83" s="1996" t="s">
        <v>6729</v>
      </c>
      <c r="H83" s="1997" t="s">
        <v>2609</v>
      </c>
      <c r="I83" s="1998" t="s">
        <v>2609</v>
      </c>
      <c r="J83" s="1999">
        <v>72</v>
      </c>
      <c r="K83" s="1999">
        <v>34</v>
      </c>
      <c r="L83" s="2000">
        <f t="shared" si="1"/>
        <v>0.47222222222222221</v>
      </c>
      <c r="M83" s="2001" t="s">
        <v>2133</v>
      </c>
      <c r="N83" s="2001" t="s">
        <v>2133</v>
      </c>
      <c r="O83" s="2001" t="s">
        <v>2133</v>
      </c>
      <c r="P83" s="1999">
        <v>72</v>
      </c>
      <c r="Q83" s="2002">
        <v>3</v>
      </c>
      <c r="R83" s="2002">
        <v>17</v>
      </c>
      <c r="S83" s="2002" t="s">
        <v>6743</v>
      </c>
      <c r="T83" s="1997" t="s">
        <v>2161</v>
      </c>
    </row>
    <row r="84" spans="1:20" s="1979" customFormat="1" ht="18">
      <c r="A84" s="1979">
        <v>78</v>
      </c>
      <c r="B84" s="1993">
        <v>98</v>
      </c>
      <c r="C84" s="1993" t="s">
        <v>6721</v>
      </c>
      <c r="D84" s="1993" t="s">
        <v>2138</v>
      </c>
      <c r="E84" s="1994" t="s">
        <v>5297</v>
      </c>
      <c r="F84" s="1995" t="s">
        <v>5298</v>
      </c>
      <c r="G84" s="1996" t="s">
        <v>3694</v>
      </c>
      <c r="H84" s="1997" t="s">
        <v>2609</v>
      </c>
      <c r="I84" s="1998" t="s">
        <v>2610</v>
      </c>
      <c r="J84" s="1999">
        <v>97</v>
      </c>
      <c r="K84" s="1999">
        <v>42</v>
      </c>
      <c r="L84" s="2000">
        <f t="shared" si="1"/>
        <v>0.4329896907216495</v>
      </c>
      <c r="M84" s="2001" t="s">
        <v>2133</v>
      </c>
      <c r="N84" s="2001" t="s">
        <v>2688</v>
      </c>
      <c r="O84" s="2001" t="s">
        <v>2688</v>
      </c>
      <c r="P84" s="1999">
        <v>26</v>
      </c>
      <c r="Q84" s="2002">
        <v>0</v>
      </c>
      <c r="R84" s="2002">
        <v>0</v>
      </c>
      <c r="S84" s="2002">
        <v>0</v>
      </c>
      <c r="T84" s="1997" t="s">
        <v>2688</v>
      </c>
    </row>
    <row r="85" spans="1:20" s="1979" customFormat="1" ht="18">
      <c r="A85" s="1979">
        <v>79</v>
      </c>
      <c r="B85" s="1993">
        <v>99</v>
      </c>
      <c r="C85" s="1993" t="s">
        <v>6721</v>
      </c>
      <c r="D85" s="1993" t="s">
        <v>2138</v>
      </c>
      <c r="E85" s="1994" t="s">
        <v>3644</v>
      </c>
      <c r="F85" s="1995" t="s">
        <v>5299</v>
      </c>
      <c r="G85" s="1996" t="s">
        <v>6726</v>
      </c>
      <c r="H85" s="1997" t="s">
        <v>2609</v>
      </c>
      <c r="I85" s="1998" t="s">
        <v>2609</v>
      </c>
      <c r="J85" s="1999">
        <v>170</v>
      </c>
      <c r="K85" s="1999">
        <v>50</v>
      </c>
      <c r="L85" s="2000">
        <f t="shared" si="1"/>
        <v>0.29411764705882354</v>
      </c>
      <c r="M85" s="2001" t="s">
        <v>2133</v>
      </c>
      <c r="N85" s="2001" t="s">
        <v>2688</v>
      </c>
      <c r="O85" s="2001" t="s">
        <v>2688</v>
      </c>
      <c r="P85" s="1999">
        <v>30</v>
      </c>
      <c r="Q85" s="2002">
        <v>2</v>
      </c>
      <c r="R85" s="2002">
        <v>10</v>
      </c>
      <c r="S85" s="2002" t="s">
        <v>6731</v>
      </c>
      <c r="T85" s="1997" t="s">
        <v>2688</v>
      </c>
    </row>
    <row r="86" spans="1:20" s="1979" customFormat="1" ht="18">
      <c r="A86" s="1979">
        <v>80</v>
      </c>
      <c r="B86" s="1993">
        <v>100</v>
      </c>
      <c r="C86" s="1993" t="s">
        <v>6721</v>
      </c>
      <c r="D86" s="1993" t="s">
        <v>2138</v>
      </c>
      <c r="E86" s="1994" t="s">
        <v>5300</v>
      </c>
      <c r="F86" s="1995" t="s">
        <v>5301</v>
      </c>
      <c r="G86" s="1996" t="s">
        <v>3694</v>
      </c>
      <c r="H86" s="1997" t="s">
        <v>2610</v>
      </c>
      <c r="I86" s="1998" t="s">
        <v>2610</v>
      </c>
      <c r="J86" s="1999">
        <v>159</v>
      </c>
      <c r="K86" s="1999">
        <v>159</v>
      </c>
      <c r="L86" s="2000">
        <f t="shared" si="1"/>
        <v>1</v>
      </c>
      <c r="M86" s="2001" t="s">
        <v>2133</v>
      </c>
      <c r="N86" s="2001" t="s">
        <v>2688</v>
      </c>
      <c r="O86" s="2001" t="s">
        <v>2688</v>
      </c>
      <c r="P86" s="1999">
        <v>31</v>
      </c>
      <c r="Q86" s="2002">
        <v>0</v>
      </c>
      <c r="R86" s="2002">
        <v>0</v>
      </c>
      <c r="S86" s="2002">
        <v>0</v>
      </c>
      <c r="T86" s="1997" t="s">
        <v>2688</v>
      </c>
    </row>
    <row r="87" spans="1:20" s="1979" customFormat="1" ht="18">
      <c r="A87" s="1979">
        <v>81</v>
      </c>
      <c r="B87" s="1993">
        <v>101</v>
      </c>
      <c r="C87" s="1993" t="s">
        <v>6721</v>
      </c>
      <c r="D87" s="1993" t="s">
        <v>2138</v>
      </c>
      <c r="E87" s="1994" t="s">
        <v>6744</v>
      </c>
      <c r="F87" s="1995" t="s">
        <v>5302</v>
      </c>
      <c r="G87" s="1996" t="s">
        <v>6729</v>
      </c>
      <c r="H87" s="1997" t="s">
        <v>2609</v>
      </c>
      <c r="I87" s="1998" t="s">
        <v>2610</v>
      </c>
      <c r="J87" s="1999">
        <v>233</v>
      </c>
      <c r="K87" s="1999">
        <v>50</v>
      </c>
      <c r="L87" s="2000">
        <f t="shared" si="1"/>
        <v>0.21459227467811159</v>
      </c>
      <c r="M87" s="2001" t="s">
        <v>2133</v>
      </c>
      <c r="N87" s="2001" t="s">
        <v>2688</v>
      </c>
      <c r="O87" s="2001" t="s">
        <v>2133</v>
      </c>
      <c r="P87" s="1999">
        <v>100</v>
      </c>
      <c r="Q87" s="2002">
        <v>0</v>
      </c>
      <c r="R87" s="2002">
        <v>6</v>
      </c>
      <c r="S87" s="2002">
        <v>4</v>
      </c>
      <c r="T87" s="1997" t="s">
        <v>2688</v>
      </c>
    </row>
    <row r="88" spans="1:20" s="1979" customFormat="1" ht="18">
      <c r="A88" s="1979">
        <v>82</v>
      </c>
      <c r="B88" s="1993">
        <v>102</v>
      </c>
      <c r="C88" s="1993" t="s">
        <v>6721</v>
      </c>
      <c r="D88" s="1993" t="s">
        <v>2138</v>
      </c>
      <c r="E88" s="1994" t="s">
        <v>6745</v>
      </c>
      <c r="F88" s="1995" t="s">
        <v>5303</v>
      </c>
      <c r="G88" s="1996" t="s">
        <v>6729</v>
      </c>
      <c r="H88" s="1997" t="s">
        <v>2609</v>
      </c>
      <c r="I88" s="1998" t="s">
        <v>2610</v>
      </c>
      <c r="J88" s="1999">
        <v>236</v>
      </c>
      <c r="K88" s="1999">
        <v>140</v>
      </c>
      <c r="L88" s="2000">
        <f t="shared" si="1"/>
        <v>0.59322033898305082</v>
      </c>
      <c r="M88" s="2001" t="s">
        <v>2133</v>
      </c>
      <c r="N88" s="2001" t="s">
        <v>2688</v>
      </c>
      <c r="O88" s="2001" t="s">
        <v>2688</v>
      </c>
      <c r="P88" s="1999">
        <v>50</v>
      </c>
      <c r="Q88" s="2002">
        <v>0</v>
      </c>
      <c r="R88" s="2002">
        <v>1</v>
      </c>
      <c r="S88" s="2002">
        <v>1</v>
      </c>
      <c r="T88" s="1997" t="s">
        <v>2688</v>
      </c>
    </row>
    <row r="89" spans="1:20" s="1979" customFormat="1" ht="18">
      <c r="A89" s="1979">
        <v>83</v>
      </c>
      <c r="B89" s="1993">
        <v>103</v>
      </c>
      <c r="C89" s="1993" t="s">
        <v>6721</v>
      </c>
      <c r="D89" s="1993" t="s">
        <v>2138</v>
      </c>
      <c r="E89" s="1994" t="s">
        <v>6746</v>
      </c>
      <c r="F89" s="1995" t="s">
        <v>5304</v>
      </c>
      <c r="G89" s="1996" t="s">
        <v>3694</v>
      </c>
      <c r="H89" s="1997" t="s">
        <v>2609</v>
      </c>
      <c r="I89" s="1998" t="s">
        <v>2610</v>
      </c>
      <c r="J89" s="1999">
        <v>324</v>
      </c>
      <c r="K89" s="1999">
        <v>86</v>
      </c>
      <c r="L89" s="2000">
        <f t="shared" si="1"/>
        <v>0.26543209876543211</v>
      </c>
      <c r="M89" s="2001" t="s">
        <v>2133</v>
      </c>
      <c r="N89" s="2001" t="s">
        <v>2688</v>
      </c>
      <c r="O89" s="2001" t="s">
        <v>2688</v>
      </c>
      <c r="P89" s="1999">
        <v>70</v>
      </c>
      <c r="Q89" s="2002">
        <v>0</v>
      </c>
      <c r="R89" s="2002">
        <v>0</v>
      </c>
      <c r="S89" s="2002">
        <v>0</v>
      </c>
      <c r="T89" s="1997" t="s">
        <v>2688</v>
      </c>
    </row>
    <row r="90" spans="1:20" s="1979" customFormat="1" ht="18">
      <c r="A90" s="1979">
        <v>84</v>
      </c>
      <c r="B90" s="1993">
        <v>104</v>
      </c>
      <c r="C90" s="1993" t="s">
        <v>6721</v>
      </c>
      <c r="D90" s="1993" t="s">
        <v>2138</v>
      </c>
      <c r="E90" s="1994" t="s">
        <v>6747</v>
      </c>
      <c r="F90" s="1995" t="s">
        <v>5305</v>
      </c>
      <c r="G90" s="1996" t="s">
        <v>3694</v>
      </c>
      <c r="H90" s="1997" t="s">
        <v>2609</v>
      </c>
      <c r="I90" s="1998" t="s">
        <v>2610</v>
      </c>
      <c r="J90" s="1999">
        <v>308</v>
      </c>
      <c r="K90" s="1999">
        <v>50</v>
      </c>
      <c r="L90" s="2000">
        <f t="shared" si="1"/>
        <v>0.16233766233766234</v>
      </c>
      <c r="M90" s="2001" t="s">
        <v>2133</v>
      </c>
      <c r="N90" s="2001" t="s">
        <v>2688</v>
      </c>
      <c r="O90" s="2001" t="s">
        <v>2688</v>
      </c>
      <c r="P90" s="1999">
        <v>87</v>
      </c>
      <c r="Q90" s="2002">
        <v>0</v>
      </c>
      <c r="R90" s="2002">
        <v>0</v>
      </c>
      <c r="S90" s="2002">
        <v>0</v>
      </c>
      <c r="T90" s="1997" t="s">
        <v>2688</v>
      </c>
    </row>
    <row r="91" spans="1:20" s="1979" customFormat="1" ht="18">
      <c r="A91" s="1979">
        <v>85</v>
      </c>
      <c r="B91" s="1993">
        <v>105</v>
      </c>
      <c r="C91" s="1993" t="s">
        <v>6721</v>
      </c>
      <c r="D91" s="1993" t="s">
        <v>2138</v>
      </c>
      <c r="E91" s="1994" t="s">
        <v>6748</v>
      </c>
      <c r="F91" s="1995" t="s">
        <v>5306</v>
      </c>
      <c r="G91" s="1996" t="s">
        <v>6735</v>
      </c>
      <c r="H91" s="1997" t="s">
        <v>2609</v>
      </c>
      <c r="I91" s="1998" t="s">
        <v>2610</v>
      </c>
      <c r="J91" s="1999">
        <v>245</v>
      </c>
      <c r="K91" s="1999">
        <v>100</v>
      </c>
      <c r="L91" s="2000">
        <f t="shared" si="1"/>
        <v>0.40816326530612246</v>
      </c>
      <c r="M91" s="2001" t="s">
        <v>2133</v>
      </c>
      <c r="N91" s="2001" t="s">
        <v>2133</v>
      </c>
      <c r="O91" s="2001" t="s">
        <v>2133</v>
      </c>
      <c r="P91" s="1999">
        <v>154</v>
      </c>
      <c r="Q91" s="2002">
        <v>7</v>
      </c>
      <c r="R91" s="2002">
        <v>19</v>
      </c>
      <c r="S91" s="2002">
        <v>19</v>
      </c>
      <c r="T91" s="1997" t="s">
        <v>2688</v>
      </c>
    </row>
    <row r="92" spans="1:20" s="1979" customFormat="1" ht="18">
      <c r="A92" s="1979">
        <v>86</v>
      </c>
      <c r="B92" s="1993">
        <v>106</v>
      </c>
      <c r="C92" s="1993" t="s">
        <v>6721</v>
      </c>
      <c r="D92" s="1993" t="s">
        <v>2138</v>
      </c>
      <c r="E92" s="1994" t="s">
        <v>6749</v>
      </c>
      <c r="F92" s="1995" t="s">
        <v>5307</v>
      </c>
      <c r="G92" s="1996" t="s">
        <v>3694</v>
      </c>
      <c r="H92" s="1997" t="s">
        <v>2609</v>
      </c>
      <c r="I92" s="1998" t="s">
        <v>2610</v>
      </c>
      <c r="J92" s="1999">
        <v>204</v>
      </c>
      <c r="K92" s="1999">
        <v>60</v>
      </c>
      <c r="L92" s="2000">
        <f t="shared" si="1"/>
        <v>0.29411764705882354</v>
      </c>
      <c r="M92" s="2001" t="s">
        <v>2133</v>
      </c>
      <c r="N92" s="2001" t="s">
        <v>2688</v>
      </c>
      <c r="O92" s="2001" t="s">
        <v>2688</v>
      </c>
      <c r="P92" s="1999">
        <v>45</v>
      </c>
      <c r="Q92" s="2002">
        <v>0</v>
      </c>
      <c r="R92" s="2002">
        <v>0</v>
      </c>
      <c r="S92" s="2002">
        <v>0</v>
      </c>
      <c r="T92" s="1997" t="s">
        <v>2688</v>
      </c>
    </row>
    <row r="93" spans="1:20" s="1979" customFormat="1" ht="18">
      <c r="A93" s="1979">
        <v>87</v>
      </c>
      <c r="B93" s="1993">
        <v>107</v>
      </c>
      <c r="C93" s="1993" t="s">
        <v>6721</v>
      </c>
      <c r="D93" s="1993" t="s">
        <v>2138</v>
      </c>
      <c r="E93" s="1994" t="s">
        <v>6750</v>
      </c>
      <c r="F93" s="1995" t="s">
        <v>5308</v>
      </c>
      <c r="G93" s="1996" t="s">
        <v>6726</v>
      </c>
      <c r="H93" s="1997" t="s">
        <v>2609</v>
      </c>
      <c r="I93" s="1998" t="s">
        <v>2610</v>
      </c>
      <c r="J93" s="1999">
        <v>144</v>
      </c>
      <c r="K93" s="1999">
        <v>36</v>
      </c>
      <c r="L93" s="2000">
        <f t="shared" si="1"/>
        <v>0.25</v>
      </c>
      <c r="M93" s="2001" t="s">
        <v>2133</v>
      </c>
      <c r="N93" s="2001" t="s">
        <v>2688</v>
      </c>
      <c r="O93" s="2001" t="s">
        <v>2688</v>
      </c>
      <c r="P93" s="1999">
        <v>35</v>
      </c>
      <c r="Q93" s="2002">
        <v>1</v>
      </c>
      <c r="R93" s="2002">
        <v>0</v>
      </c>
      <c r="S93" s="2002">
        <v>0</v>
      </c>
      <c r="T93" s="1997" t="s">
        <v>2688</v>
      </c>
    </row>
    <row r="94" spans="1:20" s="1979" customFormat="1" ht="18">
      <c r="A94" s="1979">
        <v>88</v>
      </c>
      <c r="B94" s="1993">
        <v>108</v>
      </c>
      <c r="C94" s="1993" t="s">
        <v>6721</v>
      </c>
      <c r="D94" s="1993" t="s">
        <v>2138</v>
      </c>
      <c r="E94" s="1994" t="s">
        <v>6751</v>
      </c>
      <c r="F94" s="1995" t="s">
        <v>5309</v>
      </c>
      <c r="G94" s="1996" t="s">
        <v>3694</v>
      </c>
      <c r="H94" s="1997" t="s">
        <v>2609</v>
      </c>
      <c r="I94" s="1998" t="s">
        <v>2610</v>
      </c>
      <c r="J94" s="1999">
        <v>205</v>
      </c>
      <c r="K94" s="1999">
        <v>60</v>
      </c>
      <c r="L94" s="2000">
        <f t="shared" si="1"/>
        <v>0.29268292682926828</v>
      </c>
      <c r="M94" s="2001" t="s">
        <v>2133</v>
      </c>
      <c r="N94" s="2001" t="s">
        <v>2688</v>
      </c>
      <c r="O94" s="2001" t="s">
        <v>2688</v>
      </c>
      <c r="P94" s="1999">
        <v>26</v>
      </c>
      <c r="Q94" s="2002">
        <v>0</v>
      </c>
      <c r="R94" s="2002">
        <v>0</v>
      </c>
      <c r="S94" s="2002">
        <v>0</v>
      </c>
      <c r="T94" s="1997" t="s">
        <v>2688</v>
      </c>
    </row>
    <row r="95" spans="1:20" s="1979" customFormat="1" ht="18">
      <c r="A95" s="1979">
        <v>89</v>
      </c>
      <c r="B95" s="1993">
        <v>110</v>
      </c>
      <c r="C95" s="1993" t="s">
        <v>6721</v>
      </c>
      <c r="D95" s="1993" t="s">
        <v>2138</v>
      </c>
      <c r="E95" s="1994" t="s">
        <v>6752</v>
      </c>
      <c r="F95" s="1995" t="s">
        <v>5633</v>
      </c>
      <c r="G95" s="1996" t="s">
        <v>6733</v>
      </c>
      <c r="H95" s="1997" t="s">
        <v>2609</v>
      </c>
      <c r="I95" s="1998" t="s">
        <v>2610</v>
      </c>
      <c r="J95" s="1999">
        <v>194</v>
      </c>
      <c r="K95" s="1999">
        <v>93</v>
      </c>
      <c r="L95" s="2000">
        <f t="shared" si="1"/>
        <v>0.47938144329896909</v>
      </c>
      <c r="M95" s="2001" t="s">
        <v>2133</v>
      </c>
      <c r="N95" s="2001" t="s">
        <v>2133</v>
      </c>
      <c r="O95" s="2001" t="s">
        <v>2133</v>
      </c>
      <c r="P95" s="1999">
        <v>30</v>
      </c>
      <c r="Q95" s="2002">
        <v>1</v>
      </c>
      <c r="R95" s="2002">
        <v>1</v>
      </c>
      <c r="S95" s="2002">
        <v>1</v>
      </c>
      <c r="T95" s="1997" t="s">
        <v>2688</v>
      </c>
    </row>
    <row r="96" spans="1:20" s="1979" customFormat="1" ht="18">
      <c r="A96" s="1979">
        <v>90</v>
      </c>
      <c r="B96" s="1993">
        <v>111</v>
      </c>
      <c r="C96" s="1993" t="s">
        <v>6721</v>
      </c>
      <c r="D96" s="1993" t="s">
        <v>2138</v>
      </c>
      <c r="E96" s="1994" t="s">
        <v>2834</v>
      </c>
      <c r="F96" s="1995" t="s">
        <v>5310</v>
      </c>
      <c r="G96" s="1996" t="s">
        <v>3694</v>
      </c>
      <c r="H96" s="1997" t="s">
        <v>2610</v>
      </c>
      <c r="I96" s="2004" t="s">
        <v>2609</v>
      </c>
      <c r="J96" s="1999">
        <v>250</v>
      </c>
      <c r="K96" s="1999">
        <v>250</v>
      </c>
      <c r="L96" s="2000">
        <f t="shared" si="1"/>
        <v>1</v>
      </c>
      <c r="M96" s="2001" t="s">
        <v>2133</v>
      </c>
      <c r="N96" s="2001" t="s">
        <v>3804</v>
      </c>
      <c r="O96" s="2001" t="s">
        <v>3804</v>
      </c>
      <c r="P96" s="1999">
        <v>26</v>
      </c>
      <c r="Q96" s="2002">
        <v>2</v>
      </c>
      <c r="R96" s="2003">
        <v>4</v>
      </c>
      <c r="S96" s="2003" t="s">
        <v>6753</v>
      </c>
      <c r="T96" s="1997" t="s">
        <v>2688</v>
      </c>
    </row>
    <row r="97" spans="1:20" s="1979" customFormat="1" ht="18">
      <c r="A97" s="1979">
        <v>91</v>
      </c>
      <c r="B97" s="1993">
        <v>112</v>
      </c>
      <c r="C97" s="1993" t="s">
        <v>6721</v>
      </c>
      <c r="D97" s="1993" t="s">
        <v>2138</v>
      </c>
      <c r="E97" s="1994" t="s">
        <v>5311</v>
      </c>
      <c r="F97" s="1995" t="s">
        <v>5312</v>
      </c>
      <c r="G97" s="1996" t="s">
        <v>6754</v>
      </c>
      <c r="H97" s="1997" t="s">
        <v>2609</v>
      </c>
      <c r="I97" s="1998" t="s">
        <v>2609</v>
      </c>
      <c r="J97" s="1999">
        <v>230</v>
      </c>
      <c r="K97" s="1999">
        <v>0</v>
      </c>
      <c r="L97" s="2000">
        <f t="shared" si="1"/>
        <v>0</v>
      </c>
      <c r="M97" s="2001" t="s">
        <v>2133</v>
      </c>
      <c r="N97" s="2001" t="s">
        <v>3804</v>
      </c>
      <c r="O97" s="2001" t="s">
        <v>2688</v>
      </c>
      <c r="P97" s="1999">
        <v>41</v>
      </c>
      <c r="Q97" s="2002">
        <v>0</v>
      </c>
      <c r="R97" s="2002">
        <v>0</v>
      </c>
      <c r="S97" s="2002">
        <v>0</v>
      </c>
      <c r="T97" s="1997" t="s">
        <v>2688</v>
      </c>
    </row>
    <row r="98" spans="1:20" s="1979" customFormat="1" ht="18">
      <c r="A98" s="1979">
        <v>92</v>
      </c>
      <c r="B98" s="1993">
        <v>114</v>
      </c>
      <c r="C98" s="1993" t="s">
        <v>6721</v>
      </c>
      <c r="D98" s="1993" t="s">
        <v>2138</v>
      </c>
      <c r="E98" s="1994" t="s">
        <v>2725</v>
      </c>
      <c r="F98" s="1995" t="s">
        <v>5313</v>
      </c>
      <c r="G98" s="1996" t="s">
        <v>6733</v>
      </c>
      <c r="H98" s="1997" t="s">
        <v>2610</v>
      </c>
      <c r="I98" s="1998" t="s">
        <v>2610</v>
      </c>
      <c r="J98" s="1999">
        <v>238</v>
      </c>
      <c r="K98" s="1999">
        <v>238</v>
      </c>
      <c r="L98" s="2000">
        <f t="shared" si="1"/>
        <v>1</v>
      </c>
      <c r="M98" s="2001" t="s">
        <v>2133</v>
      </c>
      <c r="N98" s="2001" t="s">
        <v>3804</v>
      </c>
      <c r="O98" s="2001" t="s">
        <v>2688</v>
      </c>
      <c r="P98" s="1999">
        <v>80</v>
      </c>
      <c r="Q98" s="2002">
        <v>0</v>
      </c>
      <c r="R98" s="2002">
        <v>0</v>
      </c>
      <c r="S98" s="2002">
        <v>0</v>
      </c>
      <c r="T98" s="1997" t="s">
        <v>2688</v>
      </c>
    </row>
    <row r="99" spans="1:20" s="1979" customFormat="1" ht="18">
      <c r="A99" s="1979">
        <v>93</v>
      </c>
      <c r="B99" s="1993">
        <v>115</v>
      </c>
      <c r="C99" s="1993" t="s">
        <v>6721</v>
      </c>
      <c r="D99" s="1993" t="s">
        <v>2138</v>
      </c>
      <c r="E99" s="1994" t="s">
        <v>5314</v>
      </c>
      <c r="F99" s="1995" t="s">
        <v>5315</v>
      </c>
      <c r="G99" s="1996" t="s">
        <v>3694</v>
      </c>
      <c r="H99" s="1997" t="s">
        <v>2610</v>
      </c>
      <c r="I99" s="1998" t="s">
        <v>2610</v>
      </c>
      <c r="J99" s="1999">
        <v>219</v>
      </c>
      <c r="K99" s="1999">
        <v>219</v>
      </c>
      <c r="L99" s="2000">
        <f t="shared" si="1"/>
        <v>1</v>
      </c>
      <c r="M99" s="2001" t="s">
        <v>2133</v>
      </c>
      <c r="N99" s="2001" t="s">
        <v>3804</v>
      </c>
      <c r="O99" s="2001" t="s">
        <v>2688</v>
      </c>
      <c r="P99" s="1999">
        <v>60</v>
      </c>
      <c r="Q99" s="2002">
        <v>0</v>
      </c>
      <c r="R99" s="2002">
        <v>3</v>
      </c>
      <c r="S99" s="2002">
        <v>3</v>
      </c>
      <c r="T99" s="1997" t="s">
        <v>2688</v>
      </c>
    </row>
    <row r="100" spans="1:20" s="1979" customFormat="1" ht="18">
      <c r="A100" s="1979">
        <v>94</v>
      </c>
      <c r="B100" s="1993">
        <v>116</v>
      </c>
      <c r="C100" s="1993" t="s">
        <v>6721</v>
      </c>
      <c r="D100" s="1993" t="s">
        <v>2138</v>
      </c>
      <c r="E100" s="1994" t="s">
        <v>5316</v>
      </c>
      <c r="F100" s="1995" t="s">
        <v>5317</v>
      </c>
      <c r="G100" s="1996" t="s">
        <v>3694</v>
      </c>
      <c r="H100" s="1997" t="s">
        <v>2609</v>
      </c>
      <c r="I100" s="1998" t="s">
        <v>2610</v>
      </c>
      <c r="J100" s="1999">
        <v>254</v>
      </c>
      <c r="K100" s="1999">
        <v>130</v>
      </c>
      <c r="L100" s="2000">
        <f t="shared" si="1"/>
        <v>0.51181102362204722</v>
      </c>
      <c r="M100" s="2001" t="s">
        <v>2133</v>
      </c>
      <c r="N100" s="2001" t="s">
        <v>3804</v>
      </c>
      <c r="O100" s="2001" t="s">
        <v>2688</v>
      </c>
      <c r="P100" s="1999">
        <v>25</v>
      </c>
      <c r="Q100" s="2002">
        <v>1</v>
      </c>
      <c r="R100" s="2002">
        <v>0</v>
      </c>
      <c r="S100" s="2002">
        <v>0</v>
      </c>
      <c r="T100" s="1997" t="s">
        <v>2688</v>
      </c>
    </row>
    <row r="101" spans="1:20" s="1979" customFormat="1" ht="18">
      <c r="A101" s="1979">
        <v>95</v>
      </c>
      <c r="B101" s="1993">
        <v>117</v>
      </c>
      <c r="C101" s="1993" t="s">
        <v>6721</v>
      </c>
      <c r="D101" s="1993" t="s">
        <v>2138</v>
      </c>
      <c r="E101" s="1994" t="s">
        <v>5318</v>
      </c>
      <c r="F101" s="1995" t="s">
        <v>5319</v>
      </c>
      <c r="G101" s="1996" t="s">
        <v>6729</v>
      </c>
      <c r="H101" s="1997" t="s">
        <v>2609</v>
      </c>
      <c r="I101" s="1998" t="s">
        <v>2610</v>
      </c>
      <c r="J101" s="1999">
        <v>224</v>
      </c>
      <c r="K101" s="1999">
        <v>99</v>
      </c>
      <c r="L101" s="2000">
        <f t="shared" si="1"/>
        <v>0.4419642857142857</v>
      </c>
      <c r="M101" s="2001" t="s">
        <v>2133</v>
      </c>
      <c r="N101" s="2001" t="s">
        <v>2133</v>
      </c>
      <c r="O101" s="2001" t="s">
        <v>2133</v>
      </c>
      <c r="P101" s="1999">
        <v>40</v>
      </c>
      <c r="Q101" s="2002">
        <v>1</v>
      </c>
      <c r="R101" s="2002">
        <v>4</v>
      </c>
      <c r="S101" s="2002">
        <v>4</v>
      </c>
      <c r="T101" s="1997" t="s">
        <v>2688</v>
      </c>
    </row>
    <row r="102" spans="1:20" s="1979" customFormat="1" ht="18">
      <c r="A102" s="1979">
        <v>96</v>
      </c>
      <c r="B102" s="1993">
        <v>118</v>
      </c>
      <c r="C102" s="1993" t="s">
        <v>6721</v>
      </c>
      <c r="D102" s="1993" t="s">
        <v>2138</v>
      </c>
      <c r="E102" s="1994" t="s">
        <v>5320</v>
      </c>
      <c r="F102" s="1995" t="s">
        <v>5321</v>
      </c>
      <c r="G102" s="1996" t="s">
        <v>3694</v>
      </c>
      <c r="H102" s="1997" t="s">
        <v>2609</v>
      </c>
      <c r="I102" s="1998" t="s">
        <v>2610</v>
      </c>
      <c r="J102" s="1999">
        <v>230</v>
      </c>
      <c r="K102" s="1999">
        <v>110</v>
      </c>
      <c r="L102" s="2000">
        <f t="shared" si="1"/>
        <v>0.47826086956521741</v>
      </c>
      <c r="M102" s="2001" t="s">
        <v>2133</v>
      </c>
      <c r="N102" s="2001" t="s">
        <v>3804</v>
      </c>
      <c r="O102" s="2001" t="s">
        <v>2133</v>
      </c>
      <c r="P102" s="1999">
        <v>45</v>
      </c>
      <c r="Q102" s="2002">
        <v>1</v>
      </c>
      <c r="R102" s="2002">
        <v>0</v>
      </c>
      <c r="S102" s="2002">
        <v>0</v>
      </c>
      <c r="T102" s="1997" t="s">
        <v>2688</v>
      </c>
    </row>
    <row r="103" spans="1:20" s="1979" customFormat="1" ht="18">
      <c r="A103" s="1979">
        <v>97</v>
      </c>
      <c r="B103" s="1993">
        <v>119</v>
      </c>
      <c r="C103" s="1993" t="s">
        <v>6721</v>
      </c>
      <c r="D103" s="1993" t="s">
        <v>2138</v>
      </c>
      <c r="E103" s="1994" t="s">
        <v>5322</v>
      </c>
      <c r="F103" s="1995" t="s">
        <v>5323</v>
      </c>
      <c r="G103" s="1996" t="s">
        <v>3694</v>
      </c>
      <c r="H103" s="1997" t="s">
        <v>2609</v>
      </c>
      <c r="I103" s="1998" t="s">
        <v>2610</v>
      </c>
      <c r="J103" s="1999">
        <v>76</v>
      </c>
      <c r="K103" s="1999">
        <v>76</v>
      </c>
      <c r="L103" s="2000">
        <f t="shared" si="1"/>
        <v>1</v>
      </c>
      <c r="M103" s="2001" t="s">
        <v>2133</v>
      </c>
      <c r="N103" s="2001" t="s">
        <v>3804</v>
      </c>
      <c r="O103" s="2001" t="s">
        <v>3804</v>
      </c>
      <c r="P103" s="1999">
        <v>0</v>
      </c>
      <c r="Q103" s="2002">
        <v>0</v>
      </c>
      <c r="R103" s="2002">
        <v>3</v>
      </c>
      <c r="S103" s="2002" t="s">
        <v>6755</v>
      </c>
      <c r="T103" s="1997" t="s">
        <v>2688</v>
      </c>
    </row>
    <row r="104" spans="1:20" s="1979" customFormat="1" ht="18">
      <c r="A104" s="1979">
        <v>98</v>
      </c>
      <c r="B104" s="1993">
        <v>120</v>
      </c>
      <c r="C104" s="1993" t="s">
        <v>6721</v>
      </c>
      <c r="D104" s="1993" t="s">
        <v>2138</v>
      </c>
      <c r="E104" s="1994" t="s">
        <v>5324</v>
      </c>
      <c r="F104" s="1995" t="s">
        <v>5325</v>
      </c>
      <c r="G104" s="1996" t="s">
        <v>3694</v>
      </c>
      <c r="H104" s="1997" t="s">
        <v>2609</v>
      </c>
      <c r="I104" s="1998" t="s">
        <v>2610</v>
      </c>
      <c r="J104" s="1999">
        <v>235</v>
      </c>
      <c r="K104" s="1999">
        <v>50</v>
      </c>
      <c r="L104" s="2000">
        <f t="shared" si="1"/>
        <v>0.21276595744680851</v>
      </c>
      <c r="M104" s="2001" t="s">
        <v>2133</v>
      </c>
      <c r="N104" s="2001" t="s">
        <v>2688</v>
      </c>
      <c r="O104" s="2001" t="s">
        <v>2688</v>
      </c>
      <c r="P104" s="1999">
        <v>44</v>
      </c>
      <c r="Q104" s="2002">
        <v>0</v>
      </c>
      <c r="R104" s="2003">
        <v>1</v>
      </c>
      <c r="S104" s="2003">
        <v>1</v>
      </c>
      <c r="T104" s="1997" t="s">
        <v>2688</v>
      </c>
    </row>
    <row r="105" spans="1:20" s="1979" customFormat="1" ht="18">
      <c r="A105" s="1979">
        <v>99</v>
      </c>
      <c r="B105" s="1993">
        <v>121</v>
      </c>
      <c r="C105" s="1993" t="s">
        <v>6721</v>
      </c>
      <c r="D105" s="1993" t="s">
        <v>2138</v>
      </c>
      <c r="E105" s="1994" t="s">
        <v>4370</v>
      </c>
      <c r="F105" s="1995" t="s">
        <v>5326</v>
      </c>
      <c r="G105" s="1996" t="s">
        <v>6735</v>
      </c>
      <c r="H105" s="1997" t="s">
        <v>2609</v>
      </c>
      <c r="I105" s="1998" t="s">
        <v>2610</v>
      </c>
      <c r="J105" s="1999">
        <v>565</v>
      </c>
      <c r="K105" s="1999">
        <v>284</v>
      </c>
      <c r="L105" s="2000">
        <f t="shared" si="1"/>
        <v>0.50265486725663722</v>
      </c>
      <c r="M105" s="2001" t="s">
        <v>2133</v>
      </c>
      <c r="N105" s="2001" t="s">
        <v>2133</v>
      </c>
      <c r="O105" s="2001" t="s">
        <v>2133</v>
      </c>
      <c r="P105" s="1999">
        <v>116</v>
      </c>
      <c r="Q105" s="2002">
        <v>8</v>
      </c>
      <c r="R105" s="2002">
        <v>15</v>
      </c>
      <c r="S105" s="2002" t="s">
        <v>6731</v>
      </c>
      <c r="T105" s="1997" t="s">
        <v>2161</v>
      </c>
    </row>
    <row r="106" spans="1:20" s="1979" customFormat="1" ht="18">
      <c r="A106" s="1979">
        <v>100</v>
      </c>
      <c r="B106" s="1993">
        <v>122</v>
      </c>
      <c r="C106" s="1993" t="s">
        <v>6721</v>
      </c>
      <c r="D106" s="1993" t="s">
        <v>2138</v>
      </c>
      <c r="E106" s="1994" t="s">
        <v>5327</v>
      </c>
      <c r="F106" s="1995" t="s">
        <v>5328</v>
      </c>
      <c r="G106" s="1996" t="s">
        <v>3694</v>
      </c>
      <c r="H106" s="1997" t="s">
        <v>2609</v>
      </c>
      <c r="I106" s="1998" t="s">
        <v>2610</v>
      </c>
      <c r="J106" s="1999">
        <v>280</v>
      </c>
      <c r="K106" s="1999">
        <v>70</v>
      </c>
      <c r="L106" s="2000">
        <f t="shared" si="1"/>
        <v>0.25</v>
      </c>
      <c r="M106" s="2001" t="s">
        <v>2133</v>
      </c>
      <c r="N106" s="2001" t="s">
        <v>2688</v>
      </c>
      <c r="O106" s="2001" t="s">
        <v>2688</v>
      </c>
      <c r="P106" s="1999">
        <v>50</v>
      </c>
      <c r="Q106" s="2002">
        <v>0</v>
      </c>
      <c r="R106" s="2002">
        <v>0</v>
      </c>
      <c r="S106" s="2002">
        <v>0</v>
      </c>
      <c r="T106" s="1997" t="s">
        <v>2688</v>
      </c>
    </row>
    <row r="107" spans="1:20" s="1979" customFormat="1" ht="18">
      <c r="A107" s="1979">
        <v>101</v>
      </c>
      <c r="B107" s="1993">
        <v>123</v>
      </c>
      <c r="C107" s="1993" t="s">
        <v>6721</v>
      </c>
      <c r="D107" s="1993" t="s">
        <v>2138</v>
      </c>
      <c r="E107" s="1994" t="s">
        <v>5329</v>
      </c>
      <c r="F107" s="1995" t="s">
        <v>5330</v>
      </c>
      <c r="G107" s="1996" t="s">
        <v>3694</v>
      </c>
      <c r="H107" s="1997" t="s">
        <v>2609</v>
      </c>
      <c r="I107" s="1998" t="s">
        <v>2609</v>
      </c>
      <c r="J107" s="1999">
        <v>138</v>
      </c>
      <c r="K107" s="1999">
        <v>50</v>
      </c>
      <c r="L107" s="2000">
        <f t="shared" si="1"/>
        <v>0.36231884057971014</v>
      </c>
      <c r="M107" s="2001" t="s">
        <v>2133</v>
      </c>
      <c r="N107" s="2001" t="s">
        <v>2688</v>
      </c>
      <c r="O107" s="2001" t="s">
        <v>2688</v>
      </c>
      <c r="P107" s="1999">
        <v>25</v>
      </c>
      <c r="Q107" s="2002">
        <v>0</v>
      </c>
      <c r="R107" s="2002">
        <v>0</v>
      </c>
      <c r="S107" s="2002">
        <v>0</v>
      </c>
      <c r="T107" s="1997" t="s">
        <v>2688</v>
      </c>
    </row>
    <row r="108" spans="1:20" s="1979" customFormat="1" ht="18">
      <c r="A108" s="1979">
        <v>102</v>
      </c>
      <c r="B108" s="1993">
        <v>124</v>
      </c>
      <c r="C108" s="1993" t="s">
        <v>6721</v>
      </c>
      <c r="D108" s="1993" t="s">
        <v>2138</v>
      </c>
      <c r="E108" s="1994" t="s">
        <v>5331</v>
      </c>
      <c r="F108" s="1995" t="s">
        <v>5332</v>
      </c>
      <c r="G108" s="1996" t="s">
        <v>3694</v>
      </c>
      <c r="H108" s="1997" t="s">
        <v>2609</v>
      </c>
      <c r="I108" s="1998" t="s">
        <v>2610</v>
      </c>
      <c r="J108" s="1999">
        <v>363</v>
      </c>
      <c r="K108" s="1999">
        <v>146</v>
      </c>
      <c r="L108" s="2000">
        <f t="shared" si="1"/>
        <v>0.40220385674931131</v>
      </c>
      <c r="M108" s="2001" t="s">
        <v>2133</v>
      </c>
      <c r="N108" s="2001" t="s">
        <v>2688</v>
      </c>
      <c r="O108" s="2001" t="s">
        <v>2688</v>
      </c>
      <c r="P108" s="1999">
        <v>107</v>
      </c>
      <c r="Q108" s="2002">
        <v>0</v>
      </c>
      <c r="R108" s="2002">
        <v>0</v>
      </c>
      <c r="S108" s="2002">
        <v>0</v>
      </c>
      <c r="T108" s="1997" t="s">
        <v>2688</v>
      </c>
    </row>
    <row r="109" spans="1:20" s="1979" customFormat="1" ht="18">
      <c r="A109" s="1979">
        <v>103</v>
      </c>
      <c r="B109" s="1993">
        <v>125</v>
      </c>
      <c r="C109" s="1993" t="s">
        <v>6721</v>
      </c>
      <c r="D109" s="1993" t="s">
        <v>2138</v>
      </c>
      <c r="E109" s="1994" t="s">
        <v>5333</v>
      </c>
      <c r="F109" s="1995" t="s">
        <v>5334</v>
      </c>
      <c r="G109" s="1996" t="s">
        <v>6726</v>
      </c>
      <c r="H109" s="1997" t="s">
        <v>2610</v>
      </c>
      <c r="I109" s="1998" t="s">
        <v>2610</v>
      </c>
      <c r="J109" s="1999">
        <v>90</v>
      </c>
      <c r="K109" s="1999">
        <v>86</v>
      </c>
      <c r="L109" s="2000">
        <f t="shared" si="1"/>
        <v>0.9555555555555556</v>
      </c>
      <c r="M109" s="2001" t="s">
        <v>2133</v>
      </c>
      <c r="N109" s="2001" t="s">
        <v>2688</v>
      </c>
      <c r="O109" s="2001" t="s">
        <v>2688</v>
      </c>
      <c r="P109" s="1999">
        <v>24</v>
      </c>
      <c r="Q109" s="2002">
        <v>1</v>
      </c>
      <c r="R109" s="2002">
        <v>0</v>
      </c>
      <c r="S109" s="2002">
        <v>0</v>
      </c>
      <c r="T109" s="1997" t="s">
        <v>2688</v>
      </c>
    </row>
    <row r="110" spans="1:20" s="1979" customFormat="1" ht="18">
      <c r="A110" s="1979">
        <v>104</v>
      </c>
      <c r="B110" s="1993">
        <v>126</v>
      </c>
      <c r="C110" s="1993" t="s">
        <v>6721</v>
      </c>
      <c r="D110" s="1993" t="s">
        <v>2138</v>
      </c>
      <c r="E110" s="1994" t="s">
        <v>5335</v>
      </c>
      <c r="F110" s="1995" t="s">
        <v>5336</v>
      </c>
      <c r="G110" s="1996" t="s">
        <v>3694</v>
      </c>
      <c r="H110" s="1997" t="s">
        <v>2609</v>
      </c>
      <c r="I110" s="1998" t="s">
        <v>2610</v>
      </c>
      <c r="J110" s="1999">
        <v>53</v>
      </c>
      <c r="K110" s="1999">
        <v>42</v>
      </c>
      <c r="L110" s="2000">
        <f t="shared" si="1"/>
        <v>0.79245283018867929</v>
      </c>
      <c r="M110" s="2001" t="s">
        <v>2133</v>
      </c>
      <c r="N110" s="2001" t="s">
        <v>2688</v>
      </c>
      <c r="O110" s="2001" t="s">
        <v>2688</v>
      </c>
      <c r="P110" s="1999">
        <v>10</v>
      </c>
      <c r="Q110" s="2002">
        <v>0</v>
      </c>
      <c r="R110" s="2002">
        <v>0</v>
      </c>
      <c r="S110" s="2002">
        <v>0</v>
      </c>
      <c r="T110" s="1997" t="s">
        <v>2688</v>
      </c>
    </row>
    <row r="111" spans="1:20" s="1979" customFormat="1" ht="18">
      <c r="A111" s="1979">
        <v>105</v>
      </c>
      <c r="B111" s="1993">
        <v>127</v>
      </c>
      <c r="C111" s="1993" t="s">
        <v>6721</v>
      </c>
      <c r="D111" s="1993" t="s">
        <v>2138</v>
      </c>
      <c r="E111" s="1994" t="s">
        <v>2729</v>
      </c>
      <c r="F111" s="1995" t="s">
        <v>6756</v>
      </c>
      <c r="G111" s="1996" t="s">
        <v>6729</v>
      </c>
      <c r="H111" s="1997" t="s">
        <v>2609</v>
      </c>
      <c r="I111" s="1998" t="s">
        <v>2610</v>
      </c>
      <c r="J111" s="1999">
        <v>63</v>
      </c>
      <c r="K111" s="1999">
        <v>61</v>
      </c>
      <c r="L111" s="2000">
        <f t="shared" si="1"/>
        <v>0.96825396825396826</v>
      </c>
      <c r="M111" s="2001" t="s">
        <v>2133</v>
      </c>
      <c r="N111" s="2001" t="s">
        <v>2133</v>
      </c>
      <c r="O111" s="2001" t="s">
        <v>2133</v>
      </c>
      <c r="P111" s="1999">
        <v>40</v>
      </c>
      <c r="Q111" s="2002">
        <v>2</v>
      </c>
      <c r="R111" s="2002">
        <v>6</v>
      </c>
      <c r="S111" s="2002" t="s">
        <v>6731</v>
      </c>
      <c r="T111" s="1997" t="s">
        <v>2688</v>
      </c>
    </row>
    <row r="112" spans="1:20" s="1979" customFormat="1" ht="18">
      <c r="A112" s="1979">
        <v>106</v>
      </c>
      <c r="B112" s="1993">
        <v>128</v>
      </c>
      <c r="C112" s="1993" t="s">
        <v>6721</v>
      </c>
      <c r="D112" s="1993" t="s">
        <v>2138</v>
      </c>
      <c r="E112" s="1994" t="s">
        <v>5337</v>
      </c>
      <c r="F112" s="1995" t="s">
        <v>5338</v>
      </c>
      <c r="G112" s="1996" t="s">
        <v>6726</v>
      </c>
      <c r="H112" s="1997" t="s">
        <v>2609</v>
      </c>
      <c r="I112" s="1998" t="s">
        <v>2609</v>
      </c>
      <c r="J112" s="1999">
        <v>53</v>
      </c>
      <c r="K112" s="1999">
        <v>10</v>
      </c>
      <c r="L112" s="2000">
        <f t="shared" si="1"/>
        <v>0.18867924528301888</v>
      </c>
      <c r="M112" s="2001" t="s">
        <v>2133</v>
      </c>
      <c r="N112" s="2001" t="s">
        <v>2688</v>
      </c>
      <c r="O112" s="2001" t="s">
        <v>2688</v>
      </c>
      <c r="P112" s="1999">
        <v>20</v>
      </c>
      <c r="Q112" s="2002">
        <v>0</v>
      </c>
      <c r="R112" s="2002">
        <v>0</v>
      </c>
      <c r="S112" s="2002">
        <v>0</v>
      </c>
      <c r="T112" s="1997" t="s">
        <v>2688</v>
      </c>
    </row>
    <row r="113" spans="1:20" s="1979" customFormat="1" ht="18">
      <c r="A113" s="1979">
        <v>107</v>
      </c>
      <c r="B113" s="1993">
        <v>129</v>
      </c>
      <c r="C113" s="1993" t="s">
        <v>6721</v>
      </c>
      <c r="D113" s="1993" t="s">
        <v>2138</v>
      </c>
      <c r="E113" s="1994" t="s">
        <v>5339</v>
      </c>
      <c r="F113" s="1995" t="s">
        <v>5340</v>
      </c>
      <c r="G113" s="1996" t="s">
        <v>3694</v>
      </c>
      <c r="H113" s="1997" t="s">
        <v>2609</v>
      </c>
      <c r="I113" s="1998" t="s">
        <v>2610</v>
      </c>
      <c r="J113" s="1999">
        <v>308</v>
      </c>
      <c r="K113" s="1999">
        <v>96</v>
      </c>
      <c r="L113" s="2000">
        <f t="shared" si="1"/>
        <v>0.31168831168831168</v>
      </c>
      <c r="M113" s="2001" t="s">
        <v>2133</v>
      </c>
      <c r="N113" s="2001" t="s">
        <v>2688</v>
      </c>
      <c r="O113" s="2001" t="s">
        <v>2688</v>
      </c>
      <c r="P113" s="1999">
        <v>68</v>
      </c>
      <c r="Q113" s="2002">
        <v>0</v>
      </c>
      <c r="R113" s="2002">
        <v>0</v>
      </c>
      <c r="S113" s="2002">
        <v>0</v>
      </c>
      <c r="T113" s="1997" t="s">
        <v>2688</v>
      </c>
    </row>
    <row r="114" spans="1:20" s="1979" customFormat="1" ht="18">
      <c r="A114" s="1979">
        <v>108</v>
      </c>
      <c r="B114" s="1993">
        <v>130</v>
      </c>
      <c r="C114" s="1993" t="s">
        <v>6721</v>
      </c>
      <c r="D114" s="1993" t="s">
        <v>2138</v>
      </c>
      <c r="E114" s="1994" t="s">
        <v>3527</v>
      </c>
      <c r="F114" s="1995" t="s">
        <v>5341</v>
      </c>
      <c r="G114" s="1996" t="s">
        <v>6729</v>
      </c>
      <c r="H114" s="1997" t="s">
        <v>2609</v>
      </c>
      <c r="I114" s="1998" t="s">
        <v>2610</v>
      </c>
      <c r="J114" s="1999">
        <v>208</v>
      </c>
      <c r="K114" s="1999">
        <v>100</v>
      </c>
      <c r="L114" s="2000">
        <f t="shared" si="1"/>
        <v>0.48076923076923078</v>
      </c>
      <c r="M114" s="2001" t="s">
        <v>2133</v>
      </c>
      <c r="N114" s="2001" t="s">
        <v>2688</v>
      </c>
      <c r="O114" s="2001" t="s">
        <v>2688</v>
      </c>
      <c r="P114" s="1999">
        <v>40</v>
      </c>
      <c r="Q114" s="2002">
        <v>1</v>
      </c>
      <c r="R114" s="2002">
        <v>2</v>
      </c>
      <c r="S114" s="2002">
        <v>1</v>
      </c>
      <c r="T114" s="1997" t="s">
        <v>2688</v>
      </c>
    </row>
    <row r="115" spans="1:20" s="1979" customFormat="1" ht="18">
      <c r="A115" s="1979">
        <v>109</v>
      </c>
      <c r="B115" s="1993">
        <v>133</v>
      </c>
      <c r="C115" s="1993" t="s">
        <v>6721</v>
      </c>
      <c r="D115" s="1993" t="s">
        <v>2138</v>
      </c>
      <c r="E115" s="1994" t="s">
        <v>3505</v>
      </c>
      <c r="F115" s="1995" t="s">
        <v>5342</v>
      </c>
      <c r="G115" s="1996" t="s">
        <v>3694</v>
      </c>
      <c r="H115" s="1997" t="s">
        <v>2609</v>
      </c>
      <c r="I115" s="1998" t="s">
        <v>2610</v>
      </c>
      <c r="J115" s="1999">
        <v>400</v>
      </c>
      <c r="K115" s="1999">
        <v>396</v>
      </c>
      <c r="L115" s="2000">
        <f t="shared" si="1"/>
        <v>0.99</v>
      </c>
      <c r="M115" s="2001" t="s">
        <v>2133</v>
      </c>
      <c r="N115" s="2001" t="s">
        <v>2688</v>
      </c>
      <c r="O115" s="2001" t="s">
        <v>2688</v>
      </c>
      <c r="P115" s="1999">
        <v>75</v>
      </c>
      <c r="Q115" s="2002">
        <v>1</v>
      </c>
      <c r="R115" s="2002">
        <v>0</v>
      </c>
      <c r="S115" s="2002">
        <v>0</v>
      </c>
      <c r="T115" s="1997" t="s">
        <v>2688</v>
      </c>
    </row>
    <row r="116" spans="1:20" s="1979" customFormat="1" ht="18">
      <c r="A116" s="1979">
        <v>110</v>
      </c>
      <c r="B116" s="1993">
        <v>138</v>
      </c>
      <c r="C116" s="1993" t="s">
        <v>6721</v>
      </c>
      <c r="D116" s="1993" t="s">
        <v>2138</v>
      </c>
      <c r="E116" s="1994" t="s">
        <v>5343</v>
      </c>
      <c r="F116" s="1995" t="s">
        <v>5344</v>
      </c>
      <c r="G116" s="1996" t="s">
        <v>3694</v>
      </c>
      <c r="H116" s="1997" t="s">
        <v>2609</v>
      </c>
      <c r="I116" s="1998" t="s">
        <v>2609</v>
      </c>
      <c r="J116" s="1999">
        <v>149</v>
      </c>
      <c r="K116" s="1999">
        <v>50</v>
      </c>
      <c r="L116" s="2000">
        <f t="shared" si="1"/>
        <v>0.33557046979865773</v>
      </c>
      <c r="M116" s="2001" t="s">
        <v>2133</v>
      </c>
      <c r="N116" s="2001" t="s">
        <v>2688</v>
      </c>
      <c r="O116" s="2001" t="s">
        <v>2688</v>
      </c>
      <c r="P116" s="1999">
        <v>57</v>
      </c>
      <c r="Q116" s="2002">
        <v>0</v>
      </c>
      <c r="R116" s="2002">
        <v>0</v>
      </c>
      <c r="S116" s="2002">
        <v>0</v>
      </c>
      <c r="T116" s="1997" t="s">
        <v>2688</v>
      </c>
    </row>
    <row r="117" spans="1:20" s="1979" customFormat="1" ht="18">
      <c r="A117" s="1979">
        <v>111</v>
      </c>
      <c r="B117" s="1993">
        <v>139</v>
      </c>
      <c r="C117" s="1993" t="s">
        <v>6721</v>
      </c>
      <c r="D117" s="1993" t="s">
        <v>2138</v>
      </c>
      <c r="E117" s="1994" t="s">
        <v>6757</v>
      </c>
      <c r="F117" s="1995" t="s">
        <v>5345</v>
      </c>
      <c r="G117" s="1996" t="s">
        <v>3694</v>
      </c>
      <c r="H117" s="1997" t="s">
        <v>2610</v>
      </c>
      <c r="I117" s="1998" t="s">
        <v>2610</v>
      </c>
      <c r="J117" s="1999">
        <v>212</v>
      </c>
      <c r="K117" s="1999">
        <v>212</v>
      </c>
      <c r="L117" s="2000">
        <f t="shared" si="1"/>
        <v>1</v>
      </c>
      <c r="M117" s="2001" t="s">
        <v>2133</v>
      </c>
      <c r="N117" s="2001" t="s">
        <v>2688</v>
      </c>
      <c r="O117" s="2001" t="s">
        <v>2688</v>
      </c>
      <c r="P117" s="1999">
        <v>60</v>
      </c>
      <c r="Q117" s="2002">
        <v>1</v>
      </c>
      <c r="R117" s="2002">
        <v>0</v>
      </c>
      <c r="S117" s="2002">
        <v>0</v>
      </c>
      <c r="T117" s="1997" t="s">
        <v>2688</v>
      </c>
    </row>
    <row r="118" spans="1:20" s="1979" customFormat="1" ht="18">
      <c r="A118" s="1979">
        <v>112</v>
      </c>
      <c r="B118" s="1993">
        <v>140</v>
      </c>
      <c r="C118" s="1993" t="s">
        <v>6721</v>
      </c>
      <c r="D118" s="1993" t="s">
        <v>2138</v>
      </c>
      <c r="E118" s="1994" t="s">
        <v>2738</v>
      </c>
      <c r="F118" s="1995" t="s">
        <v>5346</v>
      </c>
      <c r="G118" s="1996" t="s">
        <v>6729</v>
      </c>
      <c r="H118" s="1997" t="s">
        <v>2609</v>
      </c>
      <c r="I118" s="1998" t="s">
        <v>2610</v>
      </c>
      <c r="J118" s="1999">
        <v>190</v>
      </c>
      <c r="K118" s="1999">
        <v>97</v>
      </c>
      <c r="L118" s="2000">
        <f t="shared" si="1"/>
        <v>0.51052631578947372</v>
      </c>
      <c r="M118" s="2001" t="s">
        <v>2133</v>
      </c>
      <c r="N118" s="2001" t="s">
        <v>2133</v>
      </c>
      <c r="O118" s="2001" t="s">
        <v>2133</v>
      </c>
      <c r="P118" s="1999">
        <v>150</v>
      </c>
      <c r="Q118" s="2002">
        <v>1</v>
      </c>
      <c r="R118" s="2002">
        <v>7</v>
      </c>
      <c r="S118" s="2002">
        <v>5</v>
      </c>
      <c r="T118" s="1997" t="s">
        <v>2688</v>
      </c>
    </row>
    <row r="119" spans="1:20" s="1979" customFormat="1" ht="18">
      <c r="A119" s="1979">
        <v>113</v>
      </c>
      <c r="B119" s="1993">
        <v>141</v>
      </c>
      <c r="C119" s="1993" t="s">
        <v>6721</v>
      </c>
      <c r="D119" s="1993" t="s">
        <v>2138</v>
      </c>
      <c r="E119" s="1994" t="s">
        <v>6758</v>
      </c>
      <c r="F119" s="1995" t="s">
        <v>6759</v>
      </c>
      <c r="G119" s="1996" t="s">
        <v>6729</v>
      </c>
      <c r="H119" s="1997" t="s">
        <v>2609</v>
      </c>
      <c r="I119" s="1998" t="s">
        <v>2610</v>
      </c>
      <c r="J119" s="1999">
        <v>196</v>
      </c>
      <c r="K119" s="1999">
        <v>99</v>
      </c>
      <c r="L119" s="2000">
        <f t="shared" si="1"/>
        <v>0.50510204081632648</v>
      </c>
      <c r="M119" s="2001" t="s">
        <v>2133</v>
      </c>
      <c r="N119" s="2001" t="s">
        <v>2688</v>
      </c>
      <c r="O119" s="2001" t="s">
        <v>2688</v>
      </c>
      <c r="P119" s="1999">
        <v>40</v>
      </c>
      <c r="Q119" s="2002">
        <v>1</v>
      </c>
      <c r="R119" s="2002">
        <v>6</v>
      </c>
      <c r="S119" s="2002">
        <v>6</v>
      </c>
      <c r="T119" s="1997" t="s">
        <v>2688</v>
      </c>
    </row>
    <row r="120" spans="1:20" s="1979" customFormat="1" ht="18">
      <c r="A120" s="1979">
        <v>114</v>
      </c>
      <c r="B120" s="1993">
        <v>142</v>
      </c>
      <c r="C120" s="1993" t="s">
        <v>6721</v>
      </c>
      <c r="D120" s="1993" t="s">
        <v>2138</v>
      </c>
      <c r="E120" s="1994" t="s">
        <v>5347</v>
      </c>
      <c r="F120" s="1995" t="s">
        <v>5348</v>
      </c>
      <c r="G120" s="1996" t="s">
        <v>3694</v>
      </c>
      <c r="H120" s="1997" t="s">
        <v>2609</v>
      </c>
      <c r="I120" s="1998" t="s">
        <v>2610</v>
      </c>
      <c r="J120" s="1999">
        <v>84</v>
      </c>
      <c r="K120" s="1999">
        <v>50</v>
      </c>
      <c r="L120" s="2000">
        <f t="shared" si="1"/>
        <v>0.59523809523809523</v>
      </c>
      <c r="M120" s="2001" t="s">
        <v>2133</v>
      </c>
      <c r="N120" s="2001" t="s">
        <v>3804</v>
      </c>
      <c r="O120" s="2001" t="s">
        <v>3804</v>
      </c>
      <c r="P120" s="1999">
        <v>36</v>
      </c>
      <c r="Q120" s="2002">
        <v>0</v>
      </c>
      <c r="R120" s="2002">
        <v>0</v>
      </c>
      <c r="S120" s="2002">
        <v>0</v>
      </c>
      <c r="T120" s="1997" t="s">
        <v>2688</v>
      </c>
    </row>
    <row r="121" spans="1:20" s="1979" customFormat="1" ht="18">
      <c r="A121" s="1979">
        <v>115</v>
      </c>
      <c r="B121" s="1993">
        <v>143</v>
      </c>
      <c r="C121" s="1993" t="s">
        <v>6721</v>
      </c>
      <c r="D121" s="1993" t="s">
        <v>2138</v>
      </c>
      <c r="E121" s="1994" t="s">
        <v>5349</v>
      </c>
      <c r="F121" s="1995" t="s">
        <v>5350</v>
      </c>
      <c r="G121" s="1996" t="s">
        <v>6726</v>
      </c>
      <c r="H121" s="1997" t="s">
        <v>2609</v>
      </c>
      <c r="I121" s="1998" t="s">
        <v>2610</v>
      </c>
      <c r="J121" s="1999">
        <v>142</v>
      </c>
      <c r="K121" s="1999">
        <v>24</v>
      </c>
      <c r="L121" s="2000">
        <f t="shared" si="1"/>
        <v>0.16901408450704225</v>
      </c>
      <c r="M121" s="2001" t="s">
        <v>2133</v>
      </c>
      <c r="N121" s="2001" t="s">
        <v>3804</v>
      </c>
      <c r="O121" s="2001" t="s">
        <v>3804</v>
      </c>
      <c r="P121" s="1999">
        <v>36</v>
      </c>
      <c r="Q121" s="2002">
        <v>0</v>
      </c>
      <c r="R121" s="2002">
        <v>0</v>
      </c>
      <c r="S121" s="2002">
        <v>0</v>
      </c>
      <c r="T121" s="1997" t="s">
        <v>2688</v>
      </c>
    </row>
    <row r="122" spans="1:20" s="1979" customFormat="1" ht="18">
      <c r="A122" s="1979">
        <v>116</v>
      </c>
      <c r="B122" s="1993">
        <v>144</v>
      </c>
      <c r="C122" s="1993" t="s">
        <v>6721</v>
      </c>
      <c r="D122" s="1993" t="s">
        <v>2138</v>
      </c>
      <c r="E122" s="1994" t="s">
        <v>5351</v>
      </c>
      <c r="F122" s="1995" t="s">
        <v>5352</v>
      </c>
      <c r="G122" s="1996" t="s">
        <v>3694</v>
      </c>
      <c r="H122" s="1997" t="s">
        <v>2609</v>
      </c>
      <c r="I122" s="1998" t="s">
        <v>2610</v>
      </c>
      <c r="J122" s="1999">
        <v>181</v>
      </c>
      <c r="K122" s="1999">
        <v>50</v>
      </c>
      <c r="L122" s="2000">
        <f t="shared" si="1"/>
        <v>0.27624309392265195</v>
      </c>
      <c r="M122" s="2001" t="s">
        <v>2133</v>
      </c>
      <c r="N122" s="2001" t="s">
        <v>3804</v>
      </c>
      <c r="O122" s="2001" t="s">
        <v>3804</v>
      </c>
      <c r="P122" s="1999">
        <v>49</v>
      </c>
      <c r="Q122" s="2002">
        <v>0</v>
      </c>
      <c r="R122" s="2002">
        <v>0</v>
      </c>
      <c r="S122" s="2002">
        <v>0</v>
      </c>
      <c r="T122" s="1997" t="s">
        <v>2161</v>
      </c>
    </row>
    <row r="123" spans="1:20" s="1979" customFormat="1" ht="18">
      <c r="A123" s="1979">
        <v>117</v>
      </c>
      <c r="B123" s="1993">
        <v>145</v>
      </c>
      <c r="C123" s="1993" t="s">
        <v>6721</v>
      </c>
      <c r="D123" s="1993" t="s">
        <v>2138</v>
      </c>
      <c r="E123" s="1994" t="s">
        <v>5353</v>
      </c>
      <c r="F123" s="1995" t="s">
        <v>5354</v>
      </c>
      <c r="G123" s="1996" t="s">
        <v>6729</v>
      </c>
      <c r="H123" s="1997" t="s">
        <v>2609</v>
      </c>
      <c r="I123" s="1998" t="s">
        <v>2610</v>
      </c>
      <c r="J123" s="1999">
        <v>150</v>
      </c>
      <c r="K123" s="1999">
        <v>75</v>
      </c>
      <c r="L123" s="2000">
        <f t="shared" si="1"/>
        <v>0.5</v>
      </c>
      <c r="M123" s="2001" t="s">
        <v>2133</v>
      </c>
      <c r="N123" s="2001" t="s">
        <v>2133</v>
      </c>
      <c r="O123" s="2001" t="s">
        <v>2133</v>
      </c>
      <c r="P123" s="1999">
        <v>75</v>
      </c>
      <c r="Q123" s="2002">
        <v>1</v>
      </c>
      <c r="R123" s="2002">
        <v>0</v>
      </c>
      <c r="S123" s="2002">
        <v>0</v>
      </c>
      <c r="T123" s="1997" t="s">
        <v>2688</v>
      </c>
    </row>
    <row r="124" spans="1:20" s="1979" customFormat="1" ht="18">
      <c r="A124" s="1979">
        <v>118</v>
      </c>
      <c r="B124" s="1993">
        <v>146</v>
      </c>
      <c r="C124" s="1993" t="s">
        <v>6721</v>
      </c>
      <c r="D124" s="1993" t="s">
        <v>2138</v>
      </c>
      <c r="E124" s="1994" t="s">
        <v>5355</v>
      </c>
      <c r="F124" s="1995" t="s">
        <v>5356</v>
      </c>
      <c r="G124" s="1996" t="s">
        <v>6733</v>
      </c>
      <c r="H124" s="1997" t="s">
        <v>2609</v>
      </c>
      <c r="I124" s="1998" t="s">
        <v>2609</v>
      </c>
      <c r="J124" s="1999">
        <v>143</v>
      </c>
      <c r="K124" s="1999">
        <v>60</v>
      </c>
      <c r="L124" s="2000">
        <f t="shared" si="1"/>
        <v>0.41958041958041958</v>
      </c>
      <c r="M124" s="2001" t="s">
        <v>2133</v>
      </c>
      <c r="N124" s="2001" t="s">
        <v>3804</v>
      </c>
      <c r="O124" s="2001" t="s">
        <v>3804</v>
      </c>
      <c r="P124" s="1999">
        <v>49</v>
      </c>
      <c r="Q124" s="2002">
        <v>0</v>
      </c>
      <c r="R124" s="2002">
        <v>0</v>
      </c>
      <c r="S124" s="2002">
        <v>0</v>
      </c>
      <c r="T124" s="1997" t="s">
        <v>2688</v>
      </c>
    </row>
    <row r="125" spans="1:20" s="1979" customFormat="1" ht="18">
      <c r="A125" s="1979">
        <v>119</v>
      </c>
      <c r="B125" s="1993">
        <v>147</v>
      </c>
      <c r="C125" s="1993" t="s">
        <v>6721</v>
      </c>
      <c r="D125" s="1993" t="s">
        <v>2138</v>
      </c>
      <c r="E125" s="1994" t="s">
        <v>5357</v>
      </c>
      <c r="F125" s="1995" t="s">
        <v>5358</v>
      </c>
      <c r="G125" s="1996" t="s">
        <v>3694</v>
      </c>
      <c r="H125" s="1997" t="s">
        <v>2610</v>
      </c>
      <c r="I125" s="1998" t="s">
        <v>2610</v>
      </c>
      <c r="J125" s="1999">
        <v>113</v>
      </c>
      <c r="K125" s="1999">
        <v>113</v>
      </c>
      <c r="L125" s="2000">
        <f t="shared" si="1"/>
        <v>1</v>
      </c>
      <c r="M125" s="2001" t="s">
        <v>2133</v>
      </c>
      <c r="N125" s="2001" t="s">
        <v>2133</v>
      </c>
      <c r="O125" s="2001" t="s">
        <v>2133</v>
      </c>
      <c r="P125" s="1999">
        <v>42</v>
      </c>
      <c r="Q125" s="2002">
        <v>0</v>
      </c>
      <c r="R125" s="2002">
        <v>0</v>
      </c>
      <c r="S125" s="2002">
        <v>0</v>
      </c>
      <c r="T125" s="1997" t="s">
        <v>2688</v>
      </c>
    </row>
    <row r="126" spans="1:20" s="1979" customFormat="1" ht="18">
      <c r="A126" s="1979">
        <v>120</v>
      </c>
      <c r="B126" s="1993">
        <v>149</v>
      </c>
      <c r="C126" s="1993" t="s">
        <v>6721</v>
      </c>
      <c r="D126" s="1993" t="s">
        <v>2138</v>
      </c>
      <c r="E126" s="1994" t="s">
        <v>5359</v>
      </c>
      <c r="F126" s="1995" t="s">
        <v>5360</v>
      </c>
      <c r="G126" s="1996" t="s">
        <v>3694</v>
      </c>
      <c r="H126" s="1997" t="s">
        <v>2609</v>
      </c>
      <c r="I126" s="1998" t="s">
        <v>2610</v>
      </c>
      <c r="J126" s="1999">
        <v>120</v>
      </c>
      <c r="K126" s="1999">
        <v>40</v>
      </c>
      <c r="L126" s="2000">
        <f t="shared" si="1"/>
        <v>0.33333333333333331</v>
      </c>
      <c r="M126" s="2001" t="s">
        <v>2133</v>
      </c>
      <c r="N126" s="2001" t="s">
        <v>3804</v>
      </c>
      <c r="O126" s="2001" t="s">
        <v>3804</v>
      </c>
      <c r="P126" s="1999">
        <v>38</v>
      </c>
      <c r="Q126" s="2002">
        <v>0</v>
      </c>
      <c r="R126" s="2002">
        <v>0</v>
      </c>
      <c r="S126" s="2002">
        <v>0</v>
      </c>
      <c r="T126" s="1997" t="s">
        <v>2688</v>
      </c>
    </row>
    <row r="127" spans="1:20" s="1979" customFormat="1" ht="18">
      <c r="A127" s="1979">
        <v>121</v>
      </c>
      <c r="B127" s="1993">
        <v>150</v>
      </c>
      <c r="C127" s="1993" t="s">
        <v>6721</v>
      </c>
      <c r="D127" s="1993" t="s">
        <v>2138</v>
      </c>
      <c r="E127" s="1994" t="s">
        <v>5361</v>
      </c>
      <c r="F127" s="1995" t="s">
        <v>5362</v>
      </c>
      <c r="G127" s="1996" t="s">
        <v>3694</v>
      </c>
      <c r="H127" s="1997" t="s">
        <v>2609</v>
      </c>
      <c r="I127" s="1998" t="s">
        <v>2610</v>
      </c>
      <c r="J127" s="1999">
        <v>70</v>
      </c>
      <c r="K127" s="1999">
        <v>5</v>
      </c>
      <c r="L127" s="2000">
        <f t="shared" si="1"/>
        <v>7.1428571428571425E-2</v>
      </c>
      <c r="M127" s="2001" t="s">
        <v>2133</v>
      </c>
      <c r="N127" s="2001" t="s">
        <v>2133</v>
      </c>
      <c r="O127" s="2001" t="s">
        <v>2133</v>
      </c>
      <c r="P127" s="1999">
        <v>28</v>
      </c>
      <c r="Q127" s="2002">
        <v>1</v>
      </c>
      <c r="R127" s="2002">
        <v>0</v>
      </c>
      <c r="S127" s="2002">
        <v>0</v>
      </c>
      <c r="T127" s="1997" t="s">
        <v>2688</v>
      </c>
    </row>
    <row r="128" spans="1:20" s="1979" customFormat="1" ht="18">
      <c r="A128" s="1979">
        <v>122</v>
      </c>
      <c r="B128" s="1993">
        <v>151</v>
      </c>
      <c r="C128" s="1993" t="s">
        <v>6721</v>
      </c>
      <c r="D128" s="1993" t="s">
        <v>2138</v>
      </c>
      <c r="E128" s="1994" t="s">
        <v>5363</v>
      </c>
      <c r="F128" s="1995" t="s">
        <v>5364</v>
      </c>
      <c r="G128" s="1996" t="s">
        <v>3694</v>
      </c>
      <c r="H128" s="1997" t="s">
        <v>2609</v>
      </c>
      <c r="I128" s="1998" t="s">
        <v>2610</v>
      </c>
      <c r="J128" s="1999">
        <v>175</v>
      </c>
      <c r="K128" s="1999">
        <v>40</v>
      </c>
      <c r="L128" s="2000">
        <f t="shared" si="1"/>
        <v>0.22857142857142856</v>
      </c>
      <c r="M128" s="2001" t="s">
        <v>2133</v>
      </c>
      <c r="N128" s="2001" t="s">
        <v>3804</v>
      </c>
      <c r="O128" s="2001" t="s">
        <v>3804</v>
      </c>
      <c r="P128" s="1999">
        <v>67</v>
      </c>
      <c r="Q128" s="2002">
        <v>0</v>
      </c>
      <c r="R128" s="2002">
        <v>0</v>
      </c>
      <c r="S128" s="2002">
        <v>0</v>
      </c>
      <c r="T128" s="1997" t="s">
        <v>2688</v>
      </c>
    </row>
    <row r="129" spans="1:20" s="1979" customFormat="1" ht="18">
      <c r="A129" s="1979">
        <v>123</v>
      </c>
      <c r="B129" s="1993">
        <v>152</v>
      </c>
      <c r="C129" s="1993" t="s">
        <v>6721</v>
      </c>
      <c r="D129" s="1993" t="s">
        <v>2138</v>
      </c>
      <c r="E129" s="1994" t="s">
        <v>5365</v>
      </c>
      <c r="F129" s="1995" t="s">
        <v>5366</v>
      </c>
      <c r="G129" s="1996" t="s">
        <v>3694</v>
      </c>
      <c r="H129" s="1997" t="s">
        <v>2609</v>
      </c>
      <c r="I129" s="1998" t="s">
        <v>2610</v>
      </c>
      <c r="J129" s="1999">
        <v>108</v>
      </c>
      <c r="K129" s="1999">
        <v>70</v>
      </c>
      <c r="L129" s="2000">
        <f t="shared" si="1"/>
        <v>0.64814814814814814</v>
      </c>
      <c r="M129" s="2001" t="s">
        <v>2133</v>
      </c>
      <c r="N129" s="2001" t="s">
        <v>2133</v>
      </c>
      <c r="O129" s="2001" t="s">
        <v>2133</v>
      </c>
      <c r="P129" s="1999">
        <v>36</v>
      </c>
      <c r="Q129" s="2002">
        <v>1</v>
      </c>
      <c r="R129" s="2002">
        <v>0</v>
      </c>
      <c r="S129" s="2002">
        <v>0</v>
      </c>
      <c r="T129" s="1997" t="s">
        <v>2688</v>
      </c>
    </row>
    <row r="130" spans="1:20" s="1979" customFormat="1" ht="18">
      <c r="A130" s="1979">
        <v>124</v>
      </c>
      <c r="B130" s="1993">
        <v>154</v>
      </c>
      <c r="C130" s="1993" t="s">
        <v>6721</v>
      </c>
      <c r="D130" s="1993" t="s">
        <v>2138</v>
      </c>
      <c r="E130" s="1994" t="s">
        <v>3658</v>
      </c>
      <c r="F130" s="1995" t="s">
        <v>5367</v>
      </c>
      <c r="G130" s="1996" t="s">
        <v>6733</v>
      </c>
      <c r="H130" s="1997" t="s">
        <v>2609</v>
      </c>
      <c r="I130" s="1998" t="s">
        <v>2609</v>
      </c>
      <c r="J130" s="1999">
        <v>246</v>
      </c>
      <c r="K130" s="1999">
        <v>70</v>
      </c>
      <c r="L130" s="2000">
        <f t="shared" si="1"/>
        <v>0.28455284552845528</v>
      </c>
      <c r="M130" s="2001" t="s">
        <v>2133</v>
      </c>
      <c r="N130" s="2001" t="s">
        <v>3804</v>
      </c>
      <c r="O130" s="2001" t="s">
        <v>3804</v>
      </c>
      <c r="P130" s="1999">
        <v>62</v>
      </c>
      <c r="Q130" s="2002">
        <v>1</v>
      </c>
      <c r="R130" s="2002">
        <v>0</v>
      </c>
      <c r="S130" s="2002">
        <v>0</v>
      </c>
      <c r="T130" s="1997" t="s">
        <v>2688</v>
      </c>
    </row>
    <row r="131" spans="1:20" s="1979" customFormat="1" ht="18">
      <c r="A131" s="1979">
        <v>125</v>
      </c>
      <c r="B131" s="1993">
        <v>155</v>
      </c>
      <c r="C131" s="1993" t="s">
        <v>6721</v>
      </c>
      <c r="D131" s="1993" t="s">
        <v>2138</v>
      </c>
      <c r="E131" s="1994" t="s">
        <v>5368</v>
      </c>
      <c r="F131" s="1995" t="s">
        <v>5369</v>
      </c>
      <c r="G131" s="1996" t="s">
        <v>3694</v>
      </c>
      <c r="H131" s="1997" t="s">
        <v>2610</v>
      </c>
      <c r="I131" s="1998" t="s">
        <v>2610</v>
      </c>
      <c r="J131" s="1999">
        <v>156</v>
      </c>
      <c r="K131" s="1999">
        <v>156</v>
      </c>
      <c r="L131" s="2000">
        <f t="shared" si="1"/>
        <v>1</v>
      </c>
      <c r="M131" s="2001" t="s">
        <v>2688</v>
      </c>
      <c r="N131" s="2001" t="s">
        <v>3804</v>
      </c>
      <c r="O131" s="2001" t="s">
        <v>3804</v>
      </c>
      <c r="P131" s="1999">
        <v>0</v>
      </c>
      <c r="Q131" s="2002">
        <v>1</v>
      </c>
      <c r="R131" s="2002">
        <v>0</v>
      </c>
      <c r="S131" s="2002">
        <v>0</v>
      </c>
      <c r="T131" s="1997" t="s">
        <v>2688</v>
      </c>
    </row>
    <row r="132" spans="1:20" s="1979" customFormat="1" ht="18">
      <c r="A132" s="1979">
        <v>126</v>
      </c>
      <c r="B132" s="1993">
        <v>156</v>
      </c>
      <c r="C132" s="1993" t="s">
        <v>6721</v>
      </c>
      <c r="D132" s="1993" t="s">
        <v>2138</v>
      </c>
      <c r="E132" s="1994" t="s">
        <v>5370</v>
      </c>
      <c r="F132" s="1995" t="s">
        <v>5371</v>
      </c>
      <c r="G132" s="1996" t="s">
        <v>6729</v>
      </c>
      <c r="H132" s="1997" t="s">
        <v>2610</v>
      </c>
      <c r="I132" s="1998" t="s">
        <v>2610</v>
      </c>
      <c r="J132" s="1999">
        <v>350</v>
      </c>
      <c r="K132" s="1999">
        <v>350</v>
      </c>
      <c r="L132" s="2000">
        <f t="shared" si="1"/>
        <v>1</v>
      </c>
      <c r="M132" s="2001" t="s">
        <v>2133</v>
      </c>
      <c r="N132" s="2001" t="s">
        <v>3804</v>
      </c>
      <c r="O132" s="2001" t="s">
        <v>3804</v>
      </c>
      <c r="P132" s="1999">
        <v>64</v>
      </c>
      <c r="Q132" s="2002">
        <v>1</v>
      </c>
      <c r="R132" s="2002">
        <v>0</v>
      </c>
      <c r="S132" s="2002">
        <v>0</v>
      </c>
      <c r="T132" s="1997" t="s">
        <v>2688</v>
      </c>
    </row>
    <row r="133" spans="1:20" s="1979" customFormat="1" ht="18">
      <c r="A133" s="1979">
        <v>127</v>
      </c>
      <c r="B133" s="1993">
        <v>157</v>
      </c>
      <c r="C133" s="1993" t="s">
        <v>6721</v>
      </c>
      <c r="D133" s="1993" t="s">
        <v>2138</v>
      </c>
      <c r="E133" s="1994" t="s">
        <v>5372</v>
      </c>
      <c r="F133" s="1995" t="s">
        <v>5373</v>
      </c>
      <c r="G133" s="1996" t="s">
        <v>3694</v>
      </c>
      <c r="H133" s="1997" t="s">
        <v>2609</v>
      </c>
      <c r="I133" s="1998" t="s">
        <v>2610</v>
      </c>
      <c r="J133" s="1999">
        <v>168</v>
      </c>
      <c r="K133" s="1999">
        <v>60</v>
      </c>
      <c r="L133" s="2000">
        <f t="shared" si="1"/>
        <v>0.35714285714285715</v>
      </c>
      <c r="M133" s="2001" t="s">
        <v>2133</v>
      </c>
      <c r="N133" s="2001" t="s">
        <v>3804</v>
      </c>
      <c r="O133" s="2001" t="s">
        <v>3804</v>
      </c>
      <c r="P133" s="1999">
        <v>28</v>
      </c>
      <c r="Q133" s="2002">
        <v>2</v>
      </c>
      <c r="R133" s="2002">
        <v>0</v>
      </c>
      <c r="S133" s="2002">
        <v>0</v>
      </c>
      <c r="T133" s="1997" t="s">
        <v>2688</v>
      </c>
    </row>
    <row r="134" spans="1:20" s="1979" customFormat="1" ht="18">
      <c r="A134" s="1979">
        <v>128</v>
      </c>
      <c r="B134" s="1993">
        <v>158</v>
      </c>
      <c r="C134" s="1993" t="s">
        <v>6721</v>
      </c>
      <c r="D134" s="1993" t="s">
        <v>2138</v>
      </c>
      <c r="E134" s="1994" t="s">
        <v>3683</v>
      </c>
      <c r="F134" s="1995" t="s">
        <v>5374</v>
      </c>
      <c r="G134" s="1996" t="s">
        <v>6733</v>
      </c>
      <c r="H134" s="1997" t="s">
        <v>2610</v>
      </c>
      <c r="I134" s="1998" t="s">
        <v>2610</v>
      </c>
      <c r="J134" s="1999">
        <v>225</v>
      </c>
      <c r="K134" s="1999">
        <v>225</v>
      </c>
      <c r="L134" s="2000">
        <f t="shared" si="1"/>
        <v>1</v>
      </c>
      <c r="M134" s="2001" t="s">
        <v>2133</v>
      </c>
      <c r="N134" s="2001" t="s">
        <v>3804</v>
      </c>
      <c r="O134" s="2001" t="s">
        <v>3804</v>
      </c>
      <c r="P134" s="1999">
        <v>87</v>
      </c>
      <c r="Q134" s="2002">
        <v>0</v>
      </c>
      <c r="R134" s="2002">
        <v>0</v>
      </c>
      <c r="S134" s="2002">
        <v>0</v>
      </c>
      <c r="T134" s="1997" t="s">
        <v>2688</v>
      </c>
    </row>
    <row r="135" spans="1:20" s="1979" customFormat="1" ht="18">
      <c r="A135" s="1979">
        <v>129</v>
      </c>
      <c r="B135" s="1993">
        <v>159</v>
      </c>
      <c r="C135" s="1993" t="s">
        <v>6721</v>
      </c>
      <c r="D135" s="1993" t="s">
        <v>2138</v>
      </c>
      <c r="E135" s="1994" t="s">
        <v>2832</v>
      </c>
      <c r="F135" s="1995" t="s">
        <v>5376</v>
      </c>
      <c r="G135" s="1996" t="s">
        <v>6733</v>
      </c>
      <c r="H135" s="1997" t="s">
        <v>2610</v>
      </c>
      <c r="I135" s="1998" t="s">
        <v>2610</v>
      </c>
      <c r="J135" s="1999">
        <v>216</v>
      </c>
      <c r="K135" s="1999">
        <v>216</v>
      </c>
      <c r="L135" s="2000">
        <f t="shared" ref="L135:L198" si="2">SUM(K135/J135)</f>
        <v>1</v>
      </c>
      <c r="M135" s="2001" t="s">
        <v>2133</v>
      </c>
      <c r="N135" s="2001" t="s">
        <v>2133</v>
      </c>
      <c r="O135" s="2001" t="s">
        <v>2133</v>
      </c>
      <c r="P135" s="1999">
        <v>95</v>
      </c>
      <c r="Q135" s="2002">
        <v>1</v>
      </c>
      <c r="R135" s="2002">
        <v>0</v>
      </c>
      <c r="S135" s="2002">
        <v>0</v>
      </c>
      <c r="T135" s="1997" t="s">
        <v>2688</v>
      </c>
    </row>
    <row r="136" spans="1:20" s="1979" customFormat="1" ht="18">
      <c r="A136" s="1979">
        <v>130</v>
      </c>
      <c r="B136" s="1993">
        <v>160</v>
      </c>
      <c r="C136" s="1993" t="s">
        <v>6721</v>
      </c>
      <c r="D136" s="1993" t="s">
        <v>2138</v>
      </c>
      <c r="E136" s="1994" t="s">
        <v>5377</v>
      </c>
      <c r="F136" s="1995" t="s">
        <v>5378</v>
      </c>
      <c r="G136" s="1996" t="s">
        <v>6733</v>
      </c>
      <c r="H136" s="1997" t="s">
        <v>2609</v>
      </c>
      <c r="I136" s="1998" t="s">
        <v>2610</v>
      </c>
      <c r="J136" s="1999">
        <v>242</v>
      </c>
      <c r="K136" s="1999">
        <v>35</v>
      </c>
      <c r="L136" s="2000">
        <f t="shared" si="2"/>
        <v>0.14462809917355371</v>
      </c>
      <c r="M136" s="2001" t="s">
        <v>2133</v>
      </c>
      <c r="N136" s="2001" t="s">
        <v>2688</v>
      </c>
      <c r="O136" s="2001" t="s">
        <v>2688</v>
      </c>
      <c r="P136" s="1999">
        <v>58</v>
      </c>
      <c r="Q136" s="2002">
        <v>0</v>
      </c>
      <c r="R136" s="2002">
        <v>0</v>
      </c>
      <c r="S136" s="2002">
        <v>0</v>
      </c>
      <c r="T136" s="1997" t="s">
        <v>2688</v>
      </c>
    </row>
    <row r="137" spans="1:20" s="1979" customFormat="1" ht="18">
      <c r="A137" s="1979">
        <v>131</v>
      </c>
      <c r="B137" s="1993">
        <v>161</v>
      </c>
      <c r="C137" s="1993" t="s">
        <v>6721</v>
      </c>
      <c r="D137" s="1993" t="s">
        <v>2138</v>
      </c>
      <c r="E137" s="1994" t="s">
        <v>3661</v>
      </c>
      <c r="F137" s="1995" t="s">
        <v>5379</v>
      </c>
      <c r="G137" s="1996" t="s">
        <v>6733</v>
      </c>
      <c r="H137" s="1997" t="s">
        <v>2609</v>
      </c>
      <c r="I137" s="1998" t="s">
        <v>2610</v>
      </c>
      <c r="J137" s="1999">
        <v>233</v>
      </c>
      <c r="K137" s="1999">
        <v>60</v>
      </c>
      <c r="L137" s="2000">
        <f t="shared" si="2"/>
        <v>0.25751072961373389</v>
      </c>
      <c r="M137" s="2001" t="s">
        <v>2133</v>
      </c>
      <c r="N137" s="2001" t="s">
        <v>2688</v>
      </c>
      <c r="O137" s="2001" t="s">
        <v>2688</v>
      </c>
      <c r="P137" s="1999">
        <v>75</v>
      </c>
      <c r="Q137" s="2002">
        <v>1</v>
      </c>
      <c r="R137" s="2002">
        <v>0</v>
      </c>
      <c r="S137" s="2002">
        <v>0</v>
      </c>
      <c r="T137" s="1997" t="s">
        <v>2688</v>
      </c>
    </row>
    <row r="138" spans="1:20" s="1979" customFormat="1" ht="18">
      <c r="A138" s="1979">
        <v>132</v>
      </c>
      <c r="B138" s="1993">
        <v>162</v>
      </c>
      <c r="C138" s="1993" t="s">
        <v>6721</v>
      </c>
      <c r="D138" s="1993" t="s">
        <v>2138</v>
      </c>
      <c r="E138" s="1994" t="s">
        <v>5380</v>
      </c>
      <c r="F138" s="1995" t="s">
        <v>5381</v>
      </c>
      <c r="G138" s="1996" t="s">
        <v>6726</v>
      </c>
      <c r="H138" s="1997" t="s">
        <v>2609</v>
      </c>
      <c r="I138" s="1998" t="s">
        <v>2610</v>
      </c>
      <c r="J138" s="1999">
        <v>88</v>
      </c>
      <c r="K138" s="1999">
        <v>20</v>
      </c>
      <c r="L138" s="2000">
        <f t="shared" si="2"/>
        <v>0.22727272727272727</v>
      </c>
      <c r="M138" s="2001" t="s">
        <v>2133</v>
      </c>
      <c r="N138" s="2001" t="s">
        <v>2688</v>
      </c>
      <c r="O138" s="2001" t="s">
        <v>2688</v>
      </c>
      <c r="P138" s="1999">
        <v>31</v>
      </c>
      <c r="Q138" s="2002">
        <v>1</v>
      </c>
      <c r="R138" s="2002">
        <v>0</v>
      </c>
      <c r="S138" s="2002">
        <v>0</v>
      </c>
      <c r="T138" s="1997" t="s">
        <v>2688</v>
      </c>
    </row>
    <row r="139" spans="1:20" s="1979" customFormat="1" ht="18">
      <c r="A139" s="1979">
        <v>133</v>
      </c>
      <c r="B139" s="1993">
        <v>163</v>
      </c>
      <c r="C139" s="1993" t="s">
        <v>6721</v>
      </c>
      <c r="D139" s="1993" t="s">
        <v>2138</v>
      </c>
      <c r="E139" s="1994" t="s">
        <v>5382</v>
      </c>
      <c r="F139" s="1995" t="s">
        <v>5383</v>
      </c>
      <c r="G139" s="1996" t="s">
        <v>3694</v>
      </c>
      <c r="H139" s="1997" t="s">
        <v>2609</v>
      </c>
      <c r="I139" s="1998" t="s">
        <v>2610</v>
      </c>
      <c r="J139" s="1999">
        <v>148</v>
      </c>
      <c r="K139" s="1999">
        <v>70</v>
      </c>
      <c r="L139" s="2000">
        <f t="shared" si="2"/>
        <v>0.47297297297297297</v>
      </c>
      <c r="M139" s="2001" t="s">
        <v>2133</v>
      </c>
      <c r="N139" s="2001" t="s">
        <v>2688</v>
      </c>
      <c r="O139" s="2001" t="s">
        <v>2688</v>
      </c>
      <c r="P139" s="1999">
        <v>0</v>
      </c>
      <c r="Q139" s="2002">
        <v>0</v>
      </c>
      <c r="R139" s="2002">
        <v>0</v>
      </c>
      <c r="S139" s="2002">
        <v>0</v>
      </c>
      <c r="T139" s="1997" t="s">
        <v>2688</v>
      </c>
    </row>
    <row r="140" spans="1:20" s="1979" customFormat="1" ht="18">
      <c r="A140" s="1979">
        <v>134</v>
      </c>
      <c r="B140" s="1993">
        <v>164</v>
      </c>
      <c r="C140" s="1993" t="s">
        <v>6721</v>
      </c>
      <c r="D140" s="1993" t="s">
        <v>2138</v>
      </c>
      <c r="E140" s="1994" t="s">
        <v>5384</v>
      </c>
      <c r="F140" s="1995" t="s">
        <v>5385</v>
      </c>
      <c r="G140" s="1996" t="s">
        <v>3694</v>
      </c>
      <c r="H140" s="1997" t="s">
        <v>2610</v>
      </c>
      <c r="I140" s="1998" t="s">
        <v>2610</v>
      </c>
      <c r="J140" s="1999">
        <v>64</v>
      </c>
      <c r="K140" s="1999">
        <v>64</v>
      </c>
      <c r="L140" s="2000">
        <f t="shared" si="2"/>
        <v>1</v>
      </c>
      <c r="M140" s="2001" t="s">
        <v>2688</v>
      </c>
      <c r="N140" s="2001" t="s">
        <v>2688</v>
      </c>
      <c r="O140" s="2001" t="s">
        <v>2688</v>
      </c>
      <c r="P140" s="1999">
        <v>0</v>
      </c>
      <c r="Q140" s="2002">
        <v>0</v>
      </c>
      <c r="R140" s="2002">
        <v>0</v>
      </c>
      <c r="S140" s="2002">
        <v>0</v>
      </c>
      <c r="T140" s="1997" t="s">
        <v>2688</v>
      </c>
    </row>
    <row r="141" spans="1:20" s="1979" customFormat="1" ht="18">
      <c r="A141" s="1979">
        <v>135</v>
      </c>
      <c r="B141" s="1993">
        <v>165</v>
      </c>
      <c r="C141" s="1993" t="s">
        <v>6721</v>
      </c>
      <c r="D141" s="1993" t="s">
        <v>2138</v>
      </c>
      <c r="E141" s="1994" t="s">
        <v>5386</v>
      </c>
      <c r="F141" s="1995" t="s">
        <v>5387</v>
      </c>
      <c r="G141" s="1996" t="s">
        <v>6726</v>
      </c>
      <c r="H141" s="1997" t="s">
        <v>2609</v>
      </c>
      <c r="I141" s="1998" t="s">
        <v>2610</v>
      </c>
      <c r="J141" s="1999">
        <v>247</v>
      </c>
      <c r="K141" s="1999">
        <v>0</v>
      </c>
      <c r="L141" s="2000">
        <f t="shared" si="2"/>
        <v>0</v>
      </c>
      <c r="M141" s="2001" t="s">
        <v>2133</v>
      </c>
      <c r="N141" s="2001" t="s">
        <v>2688</v>
      </c>
      <c r="O141" s="2001" t="s">
        <v>2688</v>
      </c>
      <c r="P141" s="1999">
        <v>88</v>
      </c>
      <c r="Q141" s="2002">
        <v>0</v>
      </c>
      <c r="R141" s="2002">
        <v>0</v>
      </c>
      <c r="S141" s="2002">
        <v>0</v>
      </c>
      <c r="T141" s="1997" t="s">
        <v>2688</v>
      </c>
    </row>
    <row r="142" spans="1:20" s="1979" customFormat="1" ht="18">
      <c r="A142" s="1979">
        <v>136</v>
      </c>
      <c r="B142" s="1993">
        <v>166</v>
      </c>
      <c r="C142" s="1993" t="s">
        <v>6721</v>
      </c>
      <c r="D142" s="1993" t="s">
        <v>2138</v>
      </c>
      <c r="E142" s="1994" t="s">
        <v>5388</v>
      </c>
      <c r="F142" s="1995" t="s">
        <v>5389</v>
      </c>
      <c r="G142" s="1996" t="s">
        <v>3694</v>
      </c>
      <c r="H142" s="1997" t="s">
        <v>2609</v>
      </c>
      <c r="I142" s="1998" t="s">
        <v>2610</v>
      </c>
      <c r="J142" s="1999">
        <v>519</v>
      </c>
      <c r="K142" s="1999">
        <v>440</v>
      </c>
      <c r="L142" s="2000">
        <f t="shared" si="2"/>
        <v>0.8477842003853564</v>
      </c>
      <c r="M142" s="2001" t="s">
        <v>2133</v>
      </c>
      <c r="N142" s="2001" t="s">
        <v>2688</v>
      </c>
      <c r="O142" s="2001" t="s">
        <v>2688</v>
      </c>
      <c r="P142" s="1999">
        <v>95</v>
      </c>
      <c r="Q142" s="2002">
        <v>0</v>
      </c>
      <c r="R142" s="2002">
        <v>1</v>
      </c>
      <c r="S142" s="2002">
        <v>1</v>
      </c>
      <c r="T142" s="1997" t="s">
        <v>2688</v>
      </c>
    </row>
    <row r="143" spans="1:20" s="1979" customFormat="1" ht="18">
      <c r="A143" s="1979">
        <v>137</v>
      </c>
      <c r="B143" s="1993">
        <v>167</v>
      </c>
      <c r="C143" s="1993" t="s">
        <v>6721</v>
      </c>
      <c r="D143" s="1993" t="s">
        <v>2138</v>
      </c>
      <c r="E143" s="1994" t="s">
        <v>2833</v>
      </c>
      <c r="F143" s="1995" t="s">
        <v>5390</v>
      </c>
      <c r="G143" s="1996" t="s">
        <v>6733</v>
      </c>
      <c r="H143" s="1997" t="s">
        <v>2610</v>
      </c>
      <c r="I143" s="1998" t="s">
        <v>2610</v>
      </c>
      <c r="J143" s="1999">
        <v>135</v>
      </c>
      <c r="K143" s="1999">
        <v>135</v>
      </c>
      <c r="L143" s="2000">
        <f t="shared" si="2"/>
        <v>1</v>
      </c>
      <c r="M143" s="2001" t="s">
        <v>2133</v>
      </c>
      <c r="N143" s="2001" t="s">
        <v>2688</v>
      </c>
      <c r="O143" s="2001" t="s">
        <v>2688</v>
      </c>
      <c r="P143" s="1999">
        <v>56</v>
      </c>
      <c r="Q143" s="2002">
        <v>1</v>
      </c>
      <c r="R143" s="2002">
        <v>0</v>
      </c>
      <c r="S143" s="2002">
        <v>0</v>
      </c>
      <c r="T143" s="1997" t="s">
        <v>2688</v>
      </c>
    </row>
    <row r="144" spans="1:20" s="1979" customFormat="1" ht="18">
      <c r="A144" s="1979">
        <v>138</v>
      </c>
      <c r="B144" s="1993">
        <v>168</v>
      </c>
      <c r="C144" s="1993" t="s">
        <v>6721</v>
      </c>
      <c r="D144" s="1993" t="s">
        <v>2138</v>
      </c>
      <c r="E144" s="1994" t="s">
        <v>3646</v>
      </c>
      <c r="F144" s="1995" t="s">
        <v>5391</v>
      </c>
      <c r="G144" s="1996" t="s">
        <v>3694</v>
      </c>
      <c r="H144" s="1997" t="s">
        <v>2609</v>
      </c>
      <c r="I144" s="1998" t="s">
        <v>2609</v>
      </c>
      <c r="J144" s="1999">
        <v>195</v>
      </c>
      <c r="K144" s="1999">
        <v>15</v>
      </c>
      <c r="L144" s="2000">
        <f t="shared" si="2"/>
        <v>7.6923076923076927E-2</v>
      </c>
      <c r="M144" s="2001" t="s">
        <v>2133</v>
      </c>
      <c r="N144" s="2001" t="s">
        <v>2688</v>
      </c>
      <c r="O144" s="2001" t="s">
        <v>2688</v>
      </c>
      <c r="P144" s="1999">
        <v>45</v>
      </c>
      <c r="Q144" s="2002">
        <v>0</v>
      </c>
      <c r="R144" s="2002">
        <v>0</v>
      </c>
      <c r="S144" s="2002">
        <v>0</v>
      </c>
      <c r="T144" s="1997" t="s">
        <v>2688</v>
      </c>
    </row>
    <row r="145" spans="1:20" s="1979" customFormat="1" ht="18">
      <c r="A145" s="1979">
        <v>139</v>
      </c>
      <c r="B145" s="1993">
        <v>170</v>
      </c>
      <c r="C145" s="1993" t="s">
        <v>6721</v>
      </c>
      <c r="D145" s="1993" t="s">
        <v>2138</v>
      </c>
      <c r="E145" s="1994" t="s">
        <v>6760</v>
      </c>
      <c r="F145" s="1995" t="s">
        <v>6761</v>
      </c>
      <c r="G145" s="1996" t="s">
        <v>6762</v>
      </c>
      <c r="H145" s="1997" t="s">
        <v>2609</v>
      </c>
      <c r="I145" s="1998" t="s">
        <v>6738</v>
      </c>
      <c r="J145" s="1999">
        <v>77</v>
      </c>
      <c r="K145" s="1999">
        <v>0</v>
      </c>
      <c r="L145" s="2000">
        <f t="shared" si="2"/>
        <v>0</v>
      </c>
      <c r="M145" s="2001" t="s">
        <v>2133</v>
      </c>
      <c r="N145" s="2001" t="s">
        <v>2133</v>
      </c>
      <c r="O145" s="2001" t="s">
        <v>2133</v>
      </c>
      <c r="P145" s="1999">
        <v>20</v>
      </c>
      <c r="Q145" s="2002">
        <v>3</v>
      </c>
      <c r="R145" s="2002">
        <v>13</v>
      </c>
      <c r="S145" s="2002" t="s">
        <v>6755</v>
      </c>
      <c r="T145" s="1997" t="s">
        <v>2688</v>
      </c>
    </row>
    <row r="146" spans="1:20" s="1979" customFormat="1" ht="18">
      <c r="A146" s="1979">
        <v>140</v>
      </c>
      <c r="B146" s="1993">
        <v>171</v>
      </c>
      <c r="C146" s="1993" t="s">
        <v>6721</v>
      </c>
      <c r="D146" s="1993" t="s">
        <v>2138</v>
      </c>
      <c r="E146" s="1994" t="s">
        <v>5392</v>
      </c>
      <c r="F146" s="1995" t="s">
        <v>5393</v>
      </c>
      <c r="G146" s="1996" t="s">
        <v>6729</v>
      </c>
      <c r="H146" s="1997" t="s">
        <v>2610</v>
      </c>
      <c r="I146" s="1998" t="s">
        <v>2610</v>
      </c>
      <c r="J146" s="1999">
        <v>38</v>
      </c>
      <c r="K146" s="1999">
        <v>38</v>
      </c>
      <c r="L146" s="2000">
        <f t="shared" si="2"/>
        <v>1</v>
      </c>
      <c r="M146" s="2001" t="s">
        <v>2133</v>
      </c>
      <c r="N146" s="2001" t="s">
        <v>2688</v>
      </c>
      <c r="O146" s="2001" t="s">
        <v>2688</v>
      </c>
      <c r="P146" s="1999">
        <v>20</v>
      </c>
      <c r="Q146" s="2002">
        <v>0</v>
      </c>
      <c r="R146" s="2002">
        <v>3</v>
      </c>
      <c r="S146" s="2002">
        <v>3</v>
      </c>
      <c r="T146" s="1997" t="s">
        <v>2688</v>
      </c>
    </row>
    <row r="147" spans="1:20" s="1979" customFormat="1" ht="18">
      <c r="A147" s="1979">
        <v>141</v>
      </c>
      <c r="B147" s="1993">
        <v>172</v>
      </c>
      <c r="C147" s="1993" t="s">
        <v>6721</v>
      </c>
      <c r="D147" s="1993" t="s">
        <v>2138</v>
      </c>
      <c r="E147" s="1994" t="s">
        <v>2166</v>
      </c>
      <c r="F147" s="1995" t="s">
        <v>5394</v>
      </c>
      <c r="G147" s="1996" t="s">
        <v>6763</v>
      </c>
      <c r="H147" s="1997" t="s">
        <v>2609</v>
      </c>
      <c r="I147" s="1998" t="s">
        <v>2610</v>
      </c>
      <c r="J147" s="1999">
        <v>203</v>
      </c>
      <c r="K147" s="1999">
        <v>129</v>
      </c>
      <c r="L147" s="2000">
        <f t="shared" si="2"/>
        <v>0.6354679802955665</v>
      </c>
      <c r="M147" s="2001" t="s">
        <v>2133</v>
      </c>
      <c r="N147" s="2001" t="s">
        <v>2133</v>
      </c>
      <c r="O147" s="2001" t="s">
        <v>2133</v>
      </c>
      <c r="P147" s="1999">
        <v>70</v>
      </c>
      <c r="Q147" s="2002">
        <v>1</v>
      </c>
      <c r="R147" s="2002">
        <v>5</v>
      </c>
      <c r="S147" s="2002">
        <v>5</v>
      </c>
      <c r="T147" s="1997" t="s">
        <v>2688</v>
      </c>
    </row>
    <row r="148" spans="1:20" s="1979" customFormat="1" ht="18">
      <c r="A148" s="1979">
        <v>142</v>
      </c>
      <c r="B148" s="1993">
        <v>173</v>
      </c>
      <c r="C148" s="1993" t="s">
        <v>6721</v>
      </c>
      <c r="D148" s="1993" t="s">
        <v>2138</v>
      </c>
      <c r="E148" s="1994" t="s">
        <v>5395</v>
      </c>
      <c r="F148" s="1995" t="s">
        <v>5396</v>
      </c>
      <c r="G148" s="1996" t="s">
        <v>6729</v>
      </c>
      <c r="H148" s="1997" t="s">
        <v>2609</v>
      </c>
      <c r="I148" s="1998" t="s">
        <v>2610</v>
      </c>
      <c r="J148" s="1999">
        <v>166</v>
      </c>
      <c r="K148" s="1999">
        <v>87</v>
      </c>
      <c r="L148" s="2000">
        <f t="shared" si="2"/>
        <v>0.52409638554216864</v>
      </c>
      <c r="M148" s="2001" t="s">
        <v>2133</v>
      </c>
      <c r="N148" s="2001" t="s">
        <v>2688</v>
      </c>
      <c r="O148" s="2001" t="s">
        <v>2688</v>
      </c>
      <c r="P148" s="1999">
        <v>36</v>
      </c>
      <c r="Q148" s="2002">
        <v>0</v>
      </c>
      <c r="R148" s="2003">
        <v>1</v>
      </c>
      <c r="S148" s="2003">
        <v>1</v>
      </c>
      <c r="T148" s="1997" t="s">
        <v>2688</v>
      </c>
    </row>
    <row r="149" spans="1:20" s="1979" customFormat="1" ht="18">
      <c r="A149" s="1979">
        <v>143</v>
      </c>
      <c r="B149" s="1993">
        <v>174</v>
      </c>
      <c r="C149" s="1993" t="s">
        <v>6721</v>
      </c>
      <c r="D149" s="1993" t="s">
        <v>2138</v>
      </c>
      <c r="E149" s="1994" t="s">
        <v>5397</v>
      </c>
      <c r="F149" s="1995" t="s">
        <v>5398</v>
      </c>
      <c r="G149" s="1996" t="s">
        <v>6726</v>
      </c>
      <c r="H149" s="1997" t="s">
        <v>2609</v>
      </c>
      <c r="I149" s="2004" t="s">
        <v>2610</v>
      </c>
      <c r="J149" s="1999">
        <v>36</v>
      </c>
      <c r="K149" s="1999">
        <v>31</v>
      </c>
      <c r="L149" s="2000">
        <f t="shared" si="2"/>
        <v>0.86111111111111116</v>
      </c>
      <c r="M149" s="2001" t="s">
        <v>2133</v>
      </c>
      <c r="N149" s="2001" t="s">
        <v>2133</v>
      </c>
      <c r="O149" s="2001" t="s">
        <v>2133</v>
      </c>
      <c r="P149" s="1999">
        <v>70</v>
      </c>
      <c r="Q149" s="2002">
        <v>1</v>
      </c>
      <c r="R149" s="2002">
        <v>2</v>
      </c>
      <c r="S149" s="2002">
        <v>2</v>
      </c>
      <c r="T149" s="1997" t="s">
        <v>2161</v>
      </c>
    </row>
    <row r="150" spans="1:20" s="1979" customFormat="1" ht="18">
      <c r="A150" s="1979">
        <v>144</v>
      </c>
      <c r="B150" s="1993">
        <v>175</v>
      </c>
      <c r="C150" s="1993" t="s">
        <v>6721</v>
      </c>
      <c r="D150" s="1993" t="s">
        <v>2138</v>
      </c>
      <c r="E150" s="1994" t="s">
        <v>5399</v>
      </c>
      <c r="F150" s="1995" t="s">
        <v>5400</v>
      </c>
      <c r="G150" s="1996" t="s">
        <v>6726</v>
      </c>
      <c r="H150" s="1997" t="s">
        <v>2609</v>
      </c>
      <c r="I150" s="2004" t="s">
        <v>2609</v>
      </c>
      <c r="J150" s="1999">
        <v>63</v>
      </c>
      <c r="K150" s="1999">
        <v>41</v>
      </c>
      <c r="L150" s="2000">
        <f t="shared" si="2"/>
        <v>0.65079365079365081</v>
      </c>
      <c r="M150" s="2001" t="s">
        <v>2133</v>
      </c>
      <c r="N150" s="2001" t="s">
        <v>2133</v>
      </c>
      <c r="O150" s="2001" t="s">
        <v>2133</v>
      </c>
      <c r="P150" s="1999">
        <v>30</v>
      </c>
      <c r="Q150" s="2002">
        <v>2</v>
      </c>
      <c r="R150" s="2002">
        <v>5</v>
      </c>
      <c r="S150" s="2002">
        <v>2</v>
      </c>
      <c r="T150" s="1997" t="s">
        <v>2688</v>
      </c>
    </row>
    <row r="151" spans="1:20" s="1979" customFormat="1" ht="18">
      <c r="A151" s="1979">
        <v>145</v>
      </c>
      <c r="B151" s="1993">
        <v>176</v>
      </c>
      <c r="C151" s="1993" t="s">
        <v>6721</v>
      </c>
      <c r="D151" s="1993" t="s">
        <v>2138</v>
      </c>
      <c r="E151" s="1994" t="s">
        <v>5401</v>
      </c>
      <c r="F151" s="1995" t="s">
        <v>5402</v>
      </c>
      <c r="G151" s="1996" t="s">
        <v>3694</v>
      </c>
      <c r="H151" s="1997" t="s">
        <v>2610</v>
      </c>
      <c r="I151" s="1998" t="s">
        <v>2610</v>
      </c>
      <c r="J151" s="1999">
        <v>48</v>
      </c>
      <c r="K151" s="1999">
        <v>48</v>
      </c>
      <c r="L151" s="2000">
        <f t="shared" si="2"/>
        <v>1</v>
      </c>
      <c r="M151" s="2001" t="s">
        <v>2688</v>
      </c>
      <c r="N151" s="2001" t="s">
        <v>2688</v>
      </c>
      <c r="O151" s="2001" t="s">
        <v>2688</v>
      </c>
      <c r="P151" s="1999">
        <v>0</v>
      </c>
      <c r="Q151" s="2002">
        <v>0</v>
      </c>
      <c r="R151" s="2002">
        <v>0</v>
      </c>
      <c r="S151" s="2002">
        <v>0</v>
      </c>
      <c r="T151" s="1997" t="s">
        <v>2688</v>
      </c>
    </row>
    <row r="152" spans="1:20" s="1979" customFormat="1" ht="18">
      <c r="A152" s="1979">
        <v>146</v>
      </c>
      <c r="B152" s="1993">
        <v>177</v>
      </c>
      <c r="C152" s="1993" t="s">
        <v>6721</v>
      </c>
      <c r="D152" s="1993" t="s">
        <v>2138</v>
      </c>
      <c r="E152" s="1994" t="s">
        <v>5403</v>
      </c>
      <c r="F152" s="1995" t="s">
        <v>5404</v>
      </c>
      <c r="G152" s="1996" t="s">
        <v>6729</v>
      </c>
      <c r="H152" s="1997" t="s">
        <v>2610</v>
      </c>
      <c r="I152" s="2004" t="s">
        <v>2610</v>
      </c>
      <c r="J152" s="1999">
        <v>73</v>
      </c>
      <c r="K152" s="1999">
        <v>73</v>
      </c>
      <c r="L152" s="2000">
        <f t="shared" si="2"/>
        <v>1</v>
      </c>
      <c r="M152" s="2001" t="s">
        <v>2133</v>
      </c>
      <c r="N152" s="2001" t="s">
        <v>2133</v>
      </c>
      <c r="O152" s="2001" t="s">
        <v>2133</v>
      </c>
      <c r="P152" s="1999">
        <v>180</v>
      </c>
      <c r="Q152" s="2002">
        <v>1</v>
      </c>
      <c r="R152" s="2002">
        <v>17</v>
      </c>
      <c r="S152" s="2002">
        <v>17</v>
      </c>
      <c r="T152" s="1997" t="s">
        <v>2688</v>
      </c>
    </row>
    <row r="153" spans="1:20" s="1979" customFormat="1" ht="18">
      <c r="A153" s="1979">
        <v>147</v>
      </c>
      <c r="B153" s="1993">
        <v>178</v>
      </c>
      <c r="C153" s="1993" t="s">
        <v>6721</v>
      </c>
      <c r="D153" s="1993" t="s">
        <v>2138</v>
      </c>
      <c r="E153" s="1994" t="s">
        <v>6764</v>
      </c>
      <c r="F153" s="1995" t="s">
        <v>6765</v>
      </c>
      <c r="G153" s="1996" t="s">
        <v>6726</v>
      </c>
      <c r="H153" s="1997" t="s">
        <v>2609</v>
      </c>
      <c r="I153" s="1998" t="s">
        <v>2610</v>
      </c>
      <c r="J153" s="1999">
        <v>73</v>
      </c>
      <c r="K153" s="1999">
        <v>31</v>
      </c>
      <c r="L153" s="2000">
        <f t="shared" si="2"/>
        <v>0.42465753424657532</v>
      </c>
      <c r="M153" s="2001" t="s">
        <v>2688</v>
      </c>
      <c r="N153" s="2001" t="s">
        <v>2688</v>
      </c>
      <c r="O153" s="2001" t="s">
        <v>2688</v>
      </c>
      <c r="P153" s="1999">
        <v>0</v>
      </c>
      <c r="Q153" s="2002">
        <v>0</v>
      </c>
      <c r="R153" s="2002">
        <v>0</v>
      </c>
      <c r="S153" s="2002">
        <v>0</v>
      </c>
      <c r="T153" s="1997" t="s">
        <v>2688</v>
      </c>
    </row>
    <row r="154" spans="1:20" s="1979" customFormat="1" ht="18">
      <c r="A154" s="1979">
        <v>148</v>
      </c>
      <c r="B154" s="1993">
        <v>179</v>
      </c>
      <c r="C154" s="1993" t="s">
        <v>6721</v>
      </c>
      <c r="D154" s="1993" t="s">
        <v>2138</v>
      </c>
      <c r="E154" s="1994" t="s">
        <v>4303</v>
      </c>
      <c r="F154" s="1995" t="s">
        <v>5406</v>
      </c>
      <c r="G154" s="1996" t="s">
        <v>6726</v>
      </c>
      <c r="H154" s="1997" t="s">
        <v>2609</v>
      </c>
      <c r="I154" s="1998" t="s">
        <v>2609</v>
      </c>
      <c r="J154" s="1999">
        <v>252</v>
      </c>
      <c r="K154" s="1999">
        <v>45</v>
      </c>
      <c r="L154" s="2000">
        <f t="shared" si="2"/>
        <v>0.17857142857142858</v>
      </c>
      <c r="M154" s="2001" t="s">
        <v>2133</v>
      </c>
      <c r="N154" s="2001" t="s">
        <v>2133</v>
      </c>
      <c r="O154" s="2001" t="s">
        <v>2133</v>
      </c>
      <c r="P154" s="1999">
        <v>360</v>
      </c>
      <c r="Q154" s="2002">
        <v>2</v>
      </c>
      <c r="R154" s="2002">
        <v>0</v>
      </c>
      <c r="S154" s="2002">
        <v>0</v>
      </c>
      <c r="T154" s="1997" t="s">
        <v>2161</v>
      </c>
    </row>
    <row r="155" spans="1:20" s="1979" customFormat="1" ht="18">
      <c r="A155" s="1979">
        <v>149</v>
      </c>
      <c r="B155" s="1993">
        <v>180</v>
      </c>
      <c r="C155" s="1993" t="s">
        <v>6721</v>
      </c>
      <c r="D155" s="1993" t="s">
        <v>2138</v>
      </c>
      <c r="E155" s="1994" t="s">
        <v>3936</v>
      </c>
      <c r="F155" s="1995" t="s">
        <v>5407</v>
      </c>
      <c r="G155" s="1996" t="s">
        <v>6729</v>
      </c>
      <c r="H155" s="1997" t="s">
        <v>2609</v>
      </c>
      <c r="I155" s="1998" t="s">
        <v>2610</v>
      </c>
      <c r="J155" s="1999">
        <v>179</v>
      </c>
      <c r="K155" s="1999">
        <v>100</v>
      </c>
      <c r="L155" s="2000">
        <f t="shared" si="2"/>
        <v>0.55865921787709494</v>
      </c>
      <c r="M155" s="2001" t="s">
        <v>2133</v>
      </c>
      <c r="N155" s="2001" t="s">
        <v>2133</v>
      </c>
      <c r="O155" s="2001" t="s">
        <v>2133</v>
      </c>
      <c r="P155" s="1999">
        <v>216</v>
      </c>
      <c r="Q155" s="2002">
        <v>1</v>
      </c>
      <c r="R155" s="2002">
        <v>2</v>
      </c>
      <c r="S155" s="2002">
        <v>2</v>
      </c>
      <c r="T155" s="1997" t="s">
        <v>2161</v>
      </c>
    </row>
    <row r="156" spans="1:20" s="1979" customFormat="1" ht="18">
      <c r="A156" s="1979">
        <v>150</v>
      </c>
      <c r="B156" s="1993">
        <v>181</v>
      </c>
      <c r="C156" s="1993" t="s">
        <v>6721</v>
      </c>
      <c r="D156" s="1993" t="s">
        <v>2138</v>
      </c>
      <c r="E156" s="1994" t="s">
        <v>5408</v>
      </c>
      <c r="F156" s="1995" t="s">
        <v>5409</v>
      </c>
      <c r="G156" s="1996" t="s">
        <v>6726</v>
      </c>
      <c r="H156" s="1997" t="s">
        <v>2609</v>
      </c>
      <c r="I156" s="1998" t="s">
        <v>2610</v>
      </c>
      <c r="J156" s="1999">
        <v>60</v>
      </c>
      <c r="K156" s="1999">
        <v>30</v>
      </c>
      <c r="L156" s="2000">
        <f t="shared" si="2"/>
        <v>0.5</v>
      </c>
      <c r="M156" s="2001" t="s">
        <v>2133</v>
      </c>
      <c r="N156" s="2001" t="s">
        <v>2688</v>
      </c>
      <c r="O156" s="2001" t="s">
        <v>2688</v>
      </c>
      <c r="P156" s="1999">
        <v>20</v>
      </c>
      <c r="Q156" s="2002">
        <v>0</v>
      </c>
      <c r="R156" s="2003">
        <v>1</v>
      </c>
      <c r="S156" s="2003">
        <v>1</v>
      </c>
      <c r="T156" s="1997" t="s">
        <v>2688</v>
      </c>
    </row>
    <row r="157" spans="1:20" s="1979" customFormat="1" ht="18">
      <c r="A157" s="1979">
        <v>151</v>
      </c>
      <c r="B157" s="1993">
        <v>182</v>
      </c>
      <c r="C157" s="1993" t="s">
        <v>6721</v>
      </c>
      <c r="D157" s="1993" t="s">
        <v>2138</v>
      </c>
      <c r="E157" s="1994" t="s">
        <v>5410</v>
      </c>
      <c r="F157" s="1995" t="s">
        <v>5411</v>
      </c>
      <c r="G157" s="1996" t="s">
        <v>3694</v>
      </c>
      <c r="H157" s="1997" t="s">
        <v>2609</v>
      </c>
      <c r="I157" s="1998" t="s">
        <v>2610</v>
      </c>
      <c r="J157" s="1999">
        <v>139</v>
      </c>
      <c r="K157" s="1999">
        <v>45</v>
      </c>
      <c r="L157" s="2000">
        <f t="shared" si="2"/>
        <v>0.32374100719424459</v>
      </c>
      <c r="M157" s="2001" t="s">
        <v>2133</v>
      </c>
      <c r="N157" s="2001" t="s">
        <v>2688</v>
      </c>
      <c r="O157" s="2001" t="s">
        <v>2688</v>
      </c>
      <c r="P157" s="1999">
        <v>0</v>
      </c>
      <c r="Q157" s="2002">
        <v>0</v>
      </c>
      <c r="R157" s="2002">
        <v>0</v>
      </c>
      <c r="S157" s="2002">
        <v>0</v>
      </c>
      <c r="T157" s="1997" t="s">
        <v>2688</v>
      </c>
    </row>
    <row r="158" spans="1:20" s="1979" customFormat="1" ht="18">
      <c r="A158" s="1979">
        <v>152</v>
      </c>
      <c r="B158" s="1993">
        <v>183</v>
      </c>
      <c r="C158" s="1993" t="s">
        <v>6721</v>
      </c>
      <c r="D158" s="1993" t="s">
        <v>2138</v>
      </c>
      <c r="E158" s="1994" t="s">
        <v>5412</v>
      </c>
      <c r="F158" s="1995" t="s">
        <v>5413</v>
      </c>
      <c r="G158" s="1996" t="s">
        <v>6729</v>
      </c>
      <c r="H158" s="1997" t="s">
        <v>2610</v>
      </c>
      <c r="I158" s="1998" t="s">
        <v>2610</v>
      </c>
      <c r="J158" s="1999">
        <v>156</v>
      </c>
      <c r="K158" s="1999">
        <v>156</v>
      </c>
      <c r="L158" s="2000">
        <f t="shared" si="2"/>
        <v>1</v>
      </c>
      <c r="M158" s="2001" t="s">
        <v>2133</v>
      </c>
      <c r="N158" s="2001" t="s">
        <v>2133</v>
      </c>
      <c r="O158" s="2001" t="s">
        <v>2133</v>
      </c>
      <c r="P158" s="1999">
        <v>62</v>
      </c>
      <c r="Q158" s="2002">
        <v>0</v>
      </c>
      <c r="R158" s="2002">
        <v>0</v>
      </c>
      <c r="S158" s="2002">
        <v>0</v>
      </c>
      <c r="T158" s="1997" t="s">
        <v>2688</v>
      </c>
    </row>
    <row r="159" spans="1:20" s="1979" customFormat="1" ht="18">
      <c r="A159" s="1979">
        <v>153</v>
      </c>
      <c r="B159" s="1993">
        <v>184</v>
      </c>
      <c r="C159" s="1993" t="s">
        <v>6721</v>
      </c>
      <c r="D159" s="1993" t="s">
        <v>2233</v>
      </c>
      <c r="E159" s="1994" t="s">
        <v>3985</v>
      </c>
      <c r="F159" s="1995" t="s">
        <v>5414</v>
      </c>
      <c r="G159" s="1996" t="s">
        <v>6727</v>
      </c>
      <c r="H159" s="1997" t="s">
        <v>2609</v>
      </c>
      <c r="I159" s="1998" t="s">
        <v>2610</v>
      </c>
      <c r="J159" s="1999">
        <v>113</v>
      </c>
      <c r="K159" s="1999">
        <v>75</v>
      </c>
      <c r="L159" s="2000">
        <f t="shared" si="2"/>
        <v>0.66371681415929207</v>
      </c>
      <c r="M159" s="2001" t="s">
        <v>2133</v>
      </c>
      <c r="N159" s="2001" t="s">
        <v>2688</v>
      </c>
      <c r="O159" s="2001" t="s">
        <v>2688</v>
      </c>
      <c r="P159" s="1999">
        <v>34</v>
      </c>
      <c r="Q159" s="2002">
        <v>0</v>
      </c>
      <c r="R159" s="2003">
        <v>1</v>
      </c>
      <c r="S159" s="2003">
        <v>1</v>
      </c>
      <c r="T159" s="1997" t="s">
        <v>2688</v>
      </c>
    </row>
    <row r="160" spans="1:20" s="1979" customFormat="1" ht="18">
      <c r="A160" s="1979">
        <v>154</v>
      </c>
      <c r="B160" s="1993">
        <v>186</v>
      </c>
      <c r="C160" s="1993" t="s">
        <v>6721</v>
      </c>
      <c r="D160" s="1993" t="s">
        <v>2138</v>
      </c>
      <c r="E160" s="1994" t="s">
        <v>5415</v>
      </c>
      <c r="F160" s="1995" t="s">
        <v>5416</v>
      </c>
      <c r="G160" s="1996" t="s">
        <v>6733</v>
      </c>
      <c r="H160" s="1997" t="s">
        <v>2610</v>
      </c>
      <c r="I160" s="1998" t="s">
        <v>2610</v>
      </c>
      <c r="J160" s="1999">
        <v>205</v>
      </c>
      <c r="K160" s="1999">
        <v>205</v>
      </c>
      <c r="L160" s="2000">
        <f t="shared" si="2"/>
        <v>1</v>
      </c>
      <c r="M160" s="2001" t="s">
        <v>2133</v>
      </c>
      <c r="N160" s="2001" t="s">
        <v>2688</v>
      </c>
      <c r="O160" s="2001" t="s">
        <v>2133</v>
      </c>
      <c r="P160" s="1999">
        <v>57</v>
      </c>
      <c r="Q160" s="2002">
        <v>1</v>
      </c>
      <c r="R160" s="2002">
        <v>0</v>
      </c>
      <c r="S160" s="2002">
        <v>0</v>
      </c>
      <c r="T160" s="1997" t="s">
        <v>2688</v>
      </c>
    </row>
    <row r="161" spans="1:20" s="1979" customFormat="1" ht="18">
      <c r="A161" s="1979">
        <v>155</v>
      </c>
      <c r="B161" s="1993">
        <v>187</v>
      </c>
      <c r="C161" s="1993" t="s">
        <v>6766</v>
      </c>
      <c r="D161" s="1993" t="s">
        <v>2171</v>
      </c>
      <c r="E161" s="1994" t="s">
        <v>5417</v>
      </c>
      <c r="F161" s="1995" t="s">
        <v>5418</v>
      </c>
      <c r="G161" s="1996" t="s">
        <v>6723</v>
      </c>
      <c r="H161" s="1997" t="s">
        <v>2609</v>
      </c>
      <c r="I161" s="1998" t="s">
        <v>2610</v>
      </c>
      <c r="J161" s="1999">
        <v>123</v>
      </c>
      <c r="K161" s="1999">
        <v>80</v>
      </c>
      <c r="L161" s="2000">
        <f t="shared" si="2"/>
        <v>0.65040650406504064</v>
      </c>
      <c r="M161" s="2001" t="s">
        <v>2133</v>
      </c>
      <c r="N161" s="2001" t="s">
        <v>2688</v>
      </c>
      <c r="O161" s="2001" t="s">
        <v>2688</v>
      </c>
      <c r="P161" s="1999">
        <v>24</v>
      </c>
      <c r="Q161" s="2002">
        <v>0</v>
      </c>
      <c r="R161" s="2002">
        <v>0</v>
      </c>
      <c r="S161" s="2002">
        <v>0</v>
      </c>
      <c r="T161" s="1997" t="s">
        <v>2161</v>
      </c>
    </row>
    <row r="162" spans="1:20" s="1979" customFormat="1" ht="18">
      <c r="A162" s="1979">
        <v>156</v>
      </c>
      <c r="B162" s="1993">
        <v>188</v>
      </c>
      <c r="C162" s="1993" t="s">
        <v>6766</v>
      </c>
      <c r="D162" s="1993" t="s">
        <v>2171</v>
      </c>
      <c r="E162" s="1994" t="s">
        <v>3948</v>
      </c>
      <c r="F162" s="1995" t="s">
        <v>5419</v>
      </c>
      <c r="G162" s="1996" t="s">
        <v>6723</v>
      </c>
      <c r="H162" s="1997" t="s">
        <v>2609</v>
      </c>
      <c r="I162" s="1998" t="s">
        <v>2610</v>
      </c>
      <c r="J162" s="1999">
        <v>206</v>
      </c>
      <c r="K162" s="1999">
        <v>50</v>
      </c>
      <c r="L162" s="2000">
        <f t="shared" si="2"/>
        <v>0.24271844660194175</v>
      </c>
      <c r="M162" s="2001" t="s">
        <v>2133</v>
      </c>
      <c r="N162" s="2001" t="s">
        <v>2688</v>
      </c>
      <c r="O162" s="2001" t="s">
        <v>2688</v>
      </c>
      <c r="P162" s="1999">
        <v>40</v>
      </c>
      <c r="Q162" s="2002">
        <v>2</v>
      </c>
      <c r="R162" s="2002">
        <v>0</v>
      </c>
      <c r="S162" s="2002">
        <v>0</v>
      </c>
      <c r="T162" s="1997" t="s">
        <v>2688</v>
      </c>
    </row>
    <row r="163" spans="1:20" s="1979" customFormat="1" ht="18">
      <c r="A163" s="1979">
        <v>157</v>
      </c>
      <c r="B163" s="1993">
        <v>189</v>
      </c>
      <c r="C163" s="1993" t="s">
        <v>6766</v>
      </c>
      <c r="D163" s="1993" t="s">
        <v>2171</v>
      </c>
      <c r="E163" s="1994" t="s">
        <v>3839</v>
      </c>
      <c r="F163" s="1995" t="s">
        <v>5420</v>
      </c>
      <c r="G163" s="1996" t="s">
        <v>6723</v>
      </c>
      <c r="H163" s="1997" t="s">
        <v>2609</v>
      </c>
      <c r="I163" s="1998" t="s">
        <v>2610</v>
      </c>
      <c r="J163" s="1999">
        <v>135</v>
      </c>
      <c r="K163" s="1999">
        <v>40</v>
      </c>
      <c r="L163" s="2000">
        <f t="shared" si="2"/>
        <v>0.29629629629629628</v>
      </c>
      <c r="M163" s="2001" t="s">
        <v>2133</v>
      </c>
      <c r="N163" s="2001" t="s">
        <v>2688</v>
      </c>
      <c r="O163" s="2001" t="s">
        <v>2688</v>
      </c>
      <c r="P163" s="1999">
        <v>61</v>
      </c>
      <c r="Q163" s="2002">
        <v>0</v>
      </c>
      <c r="R163" s="2002">
        <v>0</v>
      </c>
      <c r="S163" s="2002">
        <v>0</v>
      </c>
      <c r="T163" s="1997" t="s">
        <v>2688</v>
      </c>
    </row>
    <row r="164" spans="1:20" s="1979" customFormat="1" ht="18">
      <c r="A164" s="1979">
        <v>158</v>
      </c>
      <c r="B164" s="1993">
        <v>191</v>
      </c>
      <c r="C164" s="1993" t="s">
        <v>6766</v>
      </c>
      <c r="D164" s="1993" t="s">
        <v>2171</v>
      </c>
      <c r="E164" s="1994" t="s">
        <v>5421</v>
      </c>
      <c r="F164" s="1995" t="s">
        <v>5422</v>
      </c>
      <c r="G164" s="1996" t="s">
        <v>6767</v>
      </c>
      <c r="H164" s="1997" t="s">
        <v>2609</v>
      </c>
      <c r="I164" s="1998" t="s">
        <v>2610</v>
      </c>
      <c r="J164" s="1999">
        <v>50</v>
      </c>
      <c r="K164" s="1999">
        <v>0</v>
      </c>
      <c r="L164" s="2000">
        <f t="shared" si="2"/>
        <v>0</v>
      </c>
      <c r="M164" s="2001" t="s">
        <v>2133</v>
      </c>
      <c r="N164" s="2001" t="s">
        <v>2133</v>
      </c>
      <c r="O164" s="2001" t="s">
        <v>2133</v>
      </c>
      <c r="P164" s="1999">
        <v>70</v>
      </c>
      <c r="Q164" s="2002">
        <v>1</v>
      </c>
      <c r="R164" s="2002">
        <v>0</v>
      </c>
      <c r="S164" s="2002">
        <v>0</v>
      </c>
      <c r="T164" s="1997" t="s">
        <v>2688</v>
      </c>
    </row>
    <row r="165" spans="1:20" s="1979" customFormat="1" ht="18">
      <c r="A165" s="1979">
        <v>159</v>
      </c>
      <c r="B165" s="1993">
        <v>192</v>
      </c>
      <c r="C165" s="1993" t="s">
        <v>6766</v>
      </c>
      <c r="D165" s="1993" t="s">
        <v>2171</v>
      </c>
      <c r="E165" s="1994" t="s">
        <v>5423</v>
      </c>
      <c r="F165" s="1995" t="s">
        <v>5424</v>
      </c>
      <c r="G165" s="1996" t="s">
        <v>6723</v>
      </c>
      <c r="H165" s="1997" t="s">
        <v>2610</v>
      </c>
      <c r="I165" s="1998" t="s">
        <v>2610</v>
      </c>
      <c r="J165" s="1999">
        <v>80</v>
      </c>
      <c r="K165" s="1999">
        <v>80</v>
      </c>
      <c r="L165" s="2000">
        <f t="shared" si="2"/>
        <v>1</v>
      </c>
      <c r="M165" s="2001" t="s">
        <v>2133</v>
      </c>
      <c r="N165" s="2001" t="s">
        <v>2133</v>
      </c>
      <c r="O165" s="2001" t="s">
        <v>2133</v>
      </c>
      <c r="P165" s="1999">
        <v>70</v>
      </c>
      <c r="Q165" s="2002">
        <v>0</v>
      </c>
      <c r="R165" s="2002">
        <v>0</v>
      </c>
      <c r="S165" s="2002">
        <v>0</v>
      </c>
      <c r="T165" s="1997" t="s">
        <v>2688</v>
      </c>
    </row>
    <row r="166" spans="1:20" s="1979" customFormat="1" ht="18">
      <c r="A166" s="1979">
        <v>160</v>
      </c>
      <c r="B166" s="1993">
        <v>193</v>
      </c>
      <c r="C166" s="1993" t="s">
        <v>6766</v>
      </c>
      <c r="D166" s="1993" t="s">
        <v>2171</v>
      </c>
      <c r="E166" s="1994" t="s">
        <v>5425</v>
      </c>
      <c r="F166" s="1995" t="s">
        <v>5426</v>
      </c>
      <c r="G166" s="1996" t="s">
        <v>6723</v>
      </c>
      <c r="H166" s="1997" t="s">
        <v>2609</v>
      </c>
      <c r="I166" s="1998" t="s">
        <v>2610</v>
      </c>
      <c r="J166" s="1999">
        <v>119</v>
      </c>
      <c r="K166" s="1999">
        <v>30</v>
      </c>
      <c r="L166" s="2000">
        <f t="shared" si="2"/>
        <v>0.25210084033613445</v>
      </c>
      <c r="M166" s="2001" t="s">
        <v>2133</v>
      </c>
      <c r="N166" s="2001" t="s">
        <v>2688</v>
      </c>
      <c r="O166" s="2001" t="s">
        <v>2688</v>
      </c>
      <c r="P166" s="1999">
        <v>40</v>
      </c>
      <c r="Q166" s="2002">
        <v>1</v>
      </c>
      <c r="R166" s="2002">
        <v>0</v>
      </c>
      <c r="S166" s="2002">
        <v>0</v>
      </c>
      <c r="T166" s="1997" t="s">
        <v>2688</v>
      </c>
    </row>
    <row r="167" spans="1:20" s="1979" customFormat="1" ht="18">
      <c r="A167" s="1979">
        <v>161</v>
      </c>
      <c r="B167" s="1993">
        <v>194</v>
      </c>
      <c r="C167" s="1993" t="s">
        <v>6766</v>
      </c>
      <c r="D167" s="1993" t="s">
        <v>2171</v>
      </c>
      <c r="E167" s="1994" t="s">
        <v>5427</v>
      </c>
      <c r="F167" s="1995" t="s">
        <v>5428</v>
      </c>
      <c r="G167" s="1996" t="s">
        <v>6723</v>
      </c>
      <c r="H167" s="1997" t="s">
        <v>2609</v>
      </c>
      <c r="I167" s="1998" t="s">
        <v>2610</v>
      </c>
      <c r="J167" s="1999">
        <v>142</v>
      </c>
      <c r="K167" s="1999">
        <v>63</v>
      </c>
      <c r="L167" s="2000">
        <f t="shared" si="2"/>
        <v>0.44366197183098594</v>
      </c>
      <c r="M167" s="2001" t="s">
        <v>2133</v>
      </c>
      <c r="N167" s="2001" t="s">
        <v>2688</v>
      </c>
      <c r="O167" s="2001" t="s">
        <v>2688</v>
      </c>
      <c r="P167" s="1999">
        <v>40</v>
      </c>
      <c r="Q167" s="2002">
        <v>1</v>
      </c>
      <c r="R167" s="2002">
        <v>1</v>
      </c>
      <c r="S167" s="2002">
        <v>1</v>
      </c>
      <c r="T167" s="1997" t="s">
        <v>2161</v>
      </c>
    </row>
    <row r="168" spans="1:20" s="1979" customFormat="1" ht="18">
      <c r="A168" s="1979">
        <v>162</v>
      </c>
      <c r="B168" s="1993">
        <v>195</v>
      </c>
      <c r="C168" s="1993" t="s">
        <v>6766</v>
      </c>
      <c r="D168" s="1993" t="s">
        <v>2256</v>
      </c>
      <c r="E168" s="1994" t="s">
        <v>2534</v>
      </c>
      <c r="F168" s="1995" t="s">
        <v>5429</v>
      </c>
      <c r="G168" s="1996" t="s">
        <v>6723</v>
      </c>
      <c r="H168" s="1997" t="s">
        <v>2609</v>
      </c>
      <c r="I168" s="2004" t="s">
        <v>2610</v>
      </c>
      <c r="J168" s="1999">
        <v>159</v>
      </c>
      <c r="K168" s="1999">
        <v>80</v>
      </c>
      <c r="L168" s="2000">
        <f t="shared" si="2"/>
        <v>0.50314465408805031</v>
      </c>
      <c r="M168" s="2001" t="s">
        <v>2133</v>
      </c>
      <c r="N168" s="2001" t="s">
        <v>2133</v>
      </c>
      <c r="O168" s="2001" t="s">
        <v>2133</v>
      </c>
      <c r="P168" s="1999">
        <v>40</v>
      </c>
      <c r="Q168" s="2002">
        <v>0</v>
      </c>
      <c r="R168" s="2002">
        <v>8</v>
      </c>
      <c r="S168" s="2002">
        <v>1</v>
      </c>
      <c r="T168" s="1997" t="s">
        <v>2161</v>
      </c>
    </row>
    <row r="169" spans="1:20" s="1979" customFormat="1" ht="18">
      <c r="A169" s="1979">
        <v>163</v>
      </c>
      <c r="B169" s="1993">
        <v>196</v>
      </c>
      <c r="C169" s="1993" t="s">
        <v>6766</v>
      </c>
      <c r="D169" s="1993" t="s">
        <v>2256</v>
      </c>
      <c r="E169" s="1994" t="s">
        <v>5430</v>
      </c>
      <c r="F169" s="1995" t="s">
        <v>5431</v>
      </c>
      <c r="G169" s="1996" t="s">
        <v>6723</v>
      </c>
      <c r="H169" s="1997" t="s">
        <v>2609</v>
      </c>
      <c r="I169" s="1998" t="s">
        <v>2609</v>
      </c>
      <c r="J169" s="1999">
        <v>67</v>
      </c>
      <c r="K169" s="1999">
        <v>25</v>
      </c>
      <c r="L169" s="2000">
        <f t="shared" si="2"/>
        <v>0.37313432835820898</v>
      </c>
      <c r="M169" s="2001" t="s">
        <v>2133</v>
      </c>
      <c r="N169" s="2001" t="s">
        <v>2688</v>
      </c>
      <c r="O169" s="2001" t="s">
        <v>2688</v>
      </c>
      <c r="P169" s="1999">
        <v>40</v>
      </c>
      <c r="Q169" s="2002">
        <v>0</v>
      </c>
      <c r="R169" s="2002">
        <v>2</v>
      </c>
      <c r="S169" s="2002">
        <v>2</v>
      </c>
      <c r="T169" s="1997" t="s">
        <v>2161</v>
      </c>
    </row>
    <row r="170" spans="1:20" s="1979" customFormat="1" ht="18">
      <c r="A170" s="1979">
        <v>164</v>
      </c>
      <c r="B170" s="1993">
        <v>200</v>
      </c>
      <c r="C170" s="1993" t="s">
        <v>6766</v>
      </c>
      <c r="D170" s="1993" t="s">
        <v>2256</v>
      </c>
      <c r="E170" s="1994" t="s">
        <v>3809</v>
      </c>
      <c r="F170" s="1995" t="s">
        <v>5432</v>
      </c>
      <c r="G170" s="1996" t="s">
        <v>6723</v>
      </c>
      <c r="H170" s="1997" t="s">
        <v>2610</v>
      </c>
      <c r="I170" s="1998" t="s">
        <v>2610</v>
      </c>
      <c r="J170" s="1999">
        <v>122</v>
      </c>
      <c r="K170" s="1999">
        <v>122</v>
      </c>
      <c r="L170" s="2000">
        <f t="shared" si="2"/>
        <v>1</v>
      </c>
      <c r="M170" s="2001" t="s">
        <v>2133</v>
      </c>
      <c r="N170" s="2001" t="s">
        <v>2688</v>
      </c>
      <c r="O170" s="2001" t="s">
        <v>2688</v>
      </c>
      <c r="P170" s="1999">
        <v>50</v>
      </c>
      <c r="Q170" s="2002">
        <v>1</v>
      </c>
      <c r="R170" s="2002">
        <v>0</v>
      </c>
      <c r="S170" s="2002">
        <v>0</v>
      </c>
      <c r="T170" s="1997" t="s">
        <v>2688</v>
      </c>
    </row>
    <row r="171" spans="1:20" s="1979" customFormat="1" ht="18">
      <c r="A171" s="1979">
        <v>165</v>
      </c>
      <c r="B171" s="1993">
        <v>201</v>
      </c>
      <c r="C171" s="1993" t="s">
        <v>6766</v>
      </c>
      <c r="D171" s="1993" t="s">
        <v>2256</v>
      </c>
      <c r="E171" s="1994" t="s">
        <v>6768</v>
      </c>
      <c r="F171" s="1995" t="s">
        <v>5433</v>
      </c>
      <c r="G171" s="1996" t="s">
        <v>6723</v>
      </c>
      <c r="H171" s="1997" t="s">
        <v>2610</v>
      </c>
      <c r="I171" s="2004" t="s">
        <v>3128</v>
      </c>
      <c r="J171" s="1999">
        <v>69</v>
      </c>
      <c r="K171" s="1999">
        <v>69</v>
      </c>
      <c r="L171" s="2000">
        <f t="shared" si="2"/>
        <v>1</v>
      </c>
      <c r="M171" s="2001" t="s">
        <v>2133</v>
      </c>
      <c r="N171" s="2001" t="s">
        <v>2133</v>
      </c>
      <c r="O171" s="2001" t="s">
        <v>2133</v>
      </c>
      <c r="P171" s="1999">
        <v>106</v>
      </c>
      <c r="Q171" s="2002">
        <v>1</v>
      </c>
      <c r="R171" s="2002">
        <v>19</v>
      </c>
      <c r="S171" s="2002">
        <v>18</v>
      </c>
      <c r="T171" s="1997" t="s">
        <v>2161</v>
      </c>
    </row>
    <row r="172" spans="1:20" s="1979" customFormat="1" ht="18">
      <c r="A172" s="1979">
        <v>166</v>
      </c>
      <c r="B172" s="1993">
        <v>202</v>
      </c>
      <c r="C172" s="1993" t="s">
        <v>6766</v>
      </c>
      <c r="D172" s="1993" t="s">
        <v>2256</v>
      </c>
      <c r="E172" s="1994" t="s">
        <v>5434</v>
      </c>
      <c r="F172" s="1995" t="s">
        <v>5435</v>
      </c>
      <c r="G172" s="1996" t="s">
        <v>6723</v>
      </c>
      <c r="H172" s="1997" t="s">
        <v>2609</v>
      </c>
      <c r="I172" s="2004" t="s">
        <v>2610</v>
      </c>
      <c r="J172" s="1999">
        <v>56</v>
      </c>
      <c r="K172" s="1999">
        <v>39</v>
      </c>
      <c r="L172" s="2000">
        <f t="shared" si="2"/>
        <v>0.6964285714285714</v>
      </c>
      <c r="M172" s="2001" t="s">
        <v>2133</v>
      </c>
      <c r="N172" s="2001" t="s">
        <v>2133</v>
      </c>
      <c r="O172" s="2001" t="s">
        <v>2133</v>
      </c>
      <c r="P172" s="1999">
        <v>45</v>
      </c>
      <c r="Q172" s="2002">
        <v>1</v>
      </c>
      <c r="R172" s="2002">
        <v>1</v>
      </c>
      <c r="S172" s="2002">
        <v>1</v>
      </c>
      <c r="T172" s="1997" t="s">
        <v>2161</v>
      </c>
    </row>
    <row r="173" spans="1:20" s="1979" customFormat="1" ht="18">
      <c r="A173" s="1979">
        <v>167</v>
      </c>
      <c r="B173" s="1993">
        <v>203</v>
      </c>
      <c r="C173" s="1993" t="s">
        <v>6766</v>
      </c>
      <c r="D173" s="1993" t="s">
        <v>2256</v>
      </c>
      <c r="E173" s="1994" t="s">
        <v>5436</v>
      </c>
      <c r="F173" s="1995" t="s">
        <v>5437</v>
      </c>
      <c r="G173" s="1996" t="s">
        <v>6723</v>
      </c>
      <c r="H173" s="1997" t="s">
        <v>2609</v>
      </c>
      <c r="I173" s="1998" t="s">
        <v>2610</v>
      </c>
      <c r="J173" s="1999">
        <v>61</v>
      </c>
      <c r="K173" s="1999">
        <v>30</v>
      </c>
      <c r="L173" s="2000">
        <f t="shared" si="2"/>
        <v>0.49180327868852458</v>
      </c>
      <c r="M173" s="2001" t="s">
        <v>2133</v>
      </c>
      <c r="N173" s="2001" t="s">
        <v>2688</v>
      </c>
      <c r="O173" s="2001" t="s">
        <v>2688</v>
      </c>
      <c r="P173" s="1999">
        <v>16</v>
      </c>
      <c r="Q173" s="2002">
        <v>0</v>
      </c>
      <c r="R173" s="2002">
        <v>0</v>
      </c>
      <c r="S173" s="2002">
        <v>0</v>
      </c>
      <c r="T173" s="1997" t="s">
        <v>2688</v>
      </c>
    </row>
    <row r="174" spans="1:20" s="1979" customFormat="1" ht="18">
      <c r="A174" s="1979">
        <v>168</v>
      </c>
      <c r="B174" s="1993">
        <v>204</v>
      </c>
      <c r="C174" s="1993" t="s">
        <v>6766</v>
      </c>
      <c r="D174" s="1993" t="s">
        <v>6769</v>
      </c>
      <c r="E174" s="1994" t="s">
        <v>5438</v>
      </c>
      <c r="F174" s="1995" t="s">
        <v>6770</v>
      </c>
      <c r="G174" s="1996" t="s">
        <v>6723</v>
      </c>
      <c r="H174" s="1997" t="s">
        <v>2609</v>
      </c>
      <c r="I174" s="1998" t="s">
        <v>2610</v>
      </c>
      <c r="J174" s="1999">
        <v>102</v>
      </c>
      <c r="K174" s="1999">
        <v>16</v>
      </c>
      <c r="L174" s="2000">
        <f t="shared" si="2"/>
        <v>0.15686274509803921</v>
      </c>
      <c r="M174" s="2001" t="s">
        <v>2133</v>
      </c>
      <c r="N174" s="2001" t="s">
        <v>2688</v>
      </c>
      <c r="O174" s="2001" t="s">
        <v>2688</v>
      </c>
      <c r="P174" s="1999">
        <v>30</v>
      </c>
      <c r="Q174" s="2002">
        <v>0</v>
      </c>
      <c r="R174" s="2002">
        <v>0</v>
      </c>
      <c r="S174" s="2002">
        <v>0</v>
      </c>
      <c r="T174" s="1997" t="s">
        <v>2161</v>
      </c>
    </row>
    <row r="175" spans="1:20" s="1979" customFormat="1" ht="18">
      <c r="A175" s="1979">
        <v>169</v>
      </c>
      <c r="B175" s="1993">
        <v>205</v>
      </c>
      <c r="C175" s="1993" t="s">
        <v>6766</v>
      </c>
      <c r="D175" s="1993" t="s">
        <v>2256</v>
      </c>
      <c r="E175" s="1994" t="s">
        <v>5439</v>
      </c>
      <c r="F175" s="1995" t="s">
        <v>5440</v>
      </c>
      <c r="G175" s="1996" t="s">
        <v>6723</v>
      </c>
      <c r="H175" s="1997" t="s">
        <v>2609</v>
      </c>
      <c r="I175" s="1998" t="s">
        <v>2609</v>
      </c>
      <c r="J175" s="1999">
        <v>144</v>
      </c>
      <c r="K175" s="1999">
        <v>50</v>
      </c>
      <c r="L175" s="2000">
        <f t="shared" si="2"/>
        <v>0.34722222222222221</v>
      </c>
      <c r="M175" s="2001" t="s">
        <v>2133</v>
      </c>
      <c r="N175" s="2001" t="s">
        <v>2688</v>
      </c>
      <c r="O175" s="2001" t="s">
        <v>2688</v>
      </c>
      <c r="P175" s="1999">
        <v>26</v>
      </c>
      <c r="Q175" s="2002">
        <v>0</v>
      </c>
      <c r="R175" s="2002">
        <v>0</v>
      </c>
      <c r="S175" s="2002">
        <v>0</v>
      </c>
      <c r="T175" s="1997" t="s">
        <v>2688</v>
      </c>
    </row>
    <row r="176" spans="1:20" s="1979" customFormat="1" ht="18">
      <c r="A176" s="1979">
        <v>170</v>
      </c>
      <c r="B176" s="1993">
        <v>206</v>
      </c>
      <c r="C176" s="1993" t="s">
        <v>6766</v>
      </c>
      <c r="D176" s="1993" t="s">
        <v>2256</v>
      </c>
      <c r="E176" s="1994" t="s">
        <v>5441</v>
      </c>
      <c r="F176" s="1995" t="s">
        <v>5442</v>
      </c>
      <c r="G176" s="1996" t="s">
        <v>6723</v>
      </c>
      <c r="H176" s="1997" t="s">
        <v>2609</v>
      </c>
      <c r="I176" s="1998" t="s">
        <v>2610</v>
      </c>
      <c r="J176" s="1999">
        <v>151</v>
      </c>
      <c r="K176" s="1999">
        <v>49</v>
      </c>
      <c r="L176" s="2000">
        <f t="shared" si="2"/>
        <v>0.32450331125827814</v>
      </c>
      <c r="M176" s="2001" t="s">
        <v>2133</v>
      </c>
      <c r="N176" s="2001" t="s">
        <v>2133</v>
      </c>
      <c r="O176" s="2001" t="s">
        <v>2133</v>
      </c>
      <c r="P176" s="1999">
        <v>60</v>
      </c>
      <c r="Q176" s="2002">
        <v>4</v>
      </c>
      <c r="R176" s="2002">
        <v>6</v>
      </c>
      <c r="S176" s="2002">
        <v>2</v>
      </c>
      <c r="T176" s="1997" t="s">
        <v>2161</v>
      </c>
    </row>
    <row r="177" spans="1:20" s="1979" customFormat="1" ht="18">
      <c r="A177" s="1979">
        <v>171</v>
      </c>
      <c r="B177" s="1993">
        <v>207</v>
      </c>
      <c r="C177" s="1993" t="s">
        <v>6766</v>
      </c>
      <c r="D177" s="1993" t="s">
        <v>2256</v>
      </c>
      <c r="E177" s="1994" t="s">
        <v>3565</v>
      </c>
      <c r="F177" s="1995" t="s">
        <v>5443</v>
      </c>
      <c r="G177" s="1996" t="s">
        <v>6723</v>
      </c>
      <c r="H177" s="1997" t="s">
        <v>2610</v>
      </c>
      <c r="I177" s="1998" t="s">
        <v>2610</v>
      </c>
      <c r="J177" s="1999">
        <v>115</v>
      </c>
      <c r="K177" s="1999">
        <v>115</v>
      </c>
      <c r="L177" s="2000">
        <f t="shared" si="2"/>
        <v>1</v>
      </c>
      <c r="M177" s="2001" t="s">
        <v>2133</v>
      </c>
      <c r="N177" s="2001" t="s">
        <v>2688</v>
      </c>
      <c r="O177" s="2001" t="s">
        <v>2133</v>
      </c>
      <c r="P177" s="1999">
        <v>40</v>
      </c>
      <c r="Q177" s="2002">
        <v>4</v>
      </c>
      <c r="R177" s="2002">
        <v>2</v>
      </c>
      <c r="S177" s="2002">
        <v>2</v>
      </c>
      <c r="T177" s="1997" t="s">
        <v>2688</v>
      </c>
    </row>
    <row r="178" spans="1:20" s="1979" customFormat="1" ht="18">
      <c r="A178" s="1979">
        <v>172</v>
      </c>
      <c r="B178" s="1993">
        <v>208</v>
      </c>
      <c r="C178" s="1993" t="s">
        <v>6766</v>
      </c>
      <c r="D178" s="1993" t="s">
        <v>2256</v>
      </c>
      <c r="E178" s="1994" t="s">
        <v>5444</v>
      </c>
      <c r="F178" s="1995" t="s">
        <v>5445</v>
      </c>
      <c r="G178" s="1996" t="s">
        <v>6723</v>
      </c>
      <c r="H178" s="1997" t="s">
        <v>2609</v>
      </c>
      <c r="I178" s="1998" t="s">
        <v>2610</v>
      </c>
      <c r="J178" s="1999">
        <v>155</v>
      </c>
      <c r="K178" s="1999">
        <v>88</v>
      </c>
      <c r="L178" s="2000">
        <f t="shared" si="2"/>
        <v>0.56774193548387097</v>
      </c>
      <c r="M178" s="2001" t="s">
        <v>2133</v>
      </c>
      <c r="N178" s="2001" t="s">
        <v>2688</v>
      </c>
      <c r="O178" s="2001" t="s">
        <v>2688</v>
      </c>
      <c r="P178" s="1999">
        <v>33</v>
      </c>
      <c r="Q178" s="2002">
        <v>0</v>
      </c>
      <c r="R178" s="2002">
        <v>0</v>
      </c>
      <c r="S178" s="2002">
        <v>0</v>
      </c>
      <c r="T178" s="1997" t="s">
        <v>2688</v>
      </c>
    </row>
    <row r="179" spans="1:20" s="1979" customFormat="1" ht="18">
      <c r="A179" s="1979">
        <v>173</v>
      </c>
      <c r="B179" s="1993">
        <v>209</v>
      </c>
      <c r="C179" s="1993" t="s">
        <v>6766</v>
      </c>
      <c r="D179" s="1993" t="s">
        <v>2256</v>
      </c>
      <c r="E179" s="1994" t="s">
        <v>6771</v>
      </c>
      <c r="F179" s="1995" t="s">
        <v>6772</v>
      </c>
      <c r="G179" s="1996" t="s">
        <v>6723</v>
      </c>
      <c r="H179" s="1997" t="s">
        <v>2609</v>
      </c>
      <c r="I179" s="1998" t="s">
        <v>2610</v>
      </c>
      <c r="J179" s="1999">
        <v>60</v>
      </c>
      <c r="K179" s="1999">
        <v>34</v>
      </c>
      <c r="L179" s="2000">
        <f t="shared" si="2"/>
        <v>0.56666666666666665</v>
      </c>
      <c r="M179" s="2001" t="s">
        <v>2133</v>
      </c>
      <c r="N179" s="2001" t="s">
        <v>2688</v>
      </c>
      <c r="O179" s="2001" t="s">
        <v>2688</v>
      </c>
      <c r="P179" s="1999">
        <v>7</v>
      </c>
      <c r="Q179" s="2002">
        <v>1</v>
      </c>
      <c r="R179" s="2002">
        <v>0</v>
      </c>
      <c r="S179" s="2002">
        <v>0</v>
      </c>
      <c r="T179" s="1997" t="s">
        <v>2688</v>
      </c>
    </row>
    <row r="180" spans="1:20" s="1979" customFormat="1" ht="18">
      <c r="A180" s="1979">
        <v>174</v>
      </c>
      <c r="B180" s="1993">
        <v>210</v>
      </c>
      <c r="C180" s="1993" t="s">
        <v>6766</v>
      </c>
      <c r="D180" s="1993" t="s">
        <v>2256</v>
      </c>
      <c r="E180" s="1994" t="s">
        <v>2312</v>
      </c>
      <c r="F180" s="1995" t="s">
        <v>5446</v>
      </c>
      <c r="G180" s="1996" t="s">
        <v>6723</v>
      </c>
      <c r="H180" s="1997" t="s">
        <v>2609</v>
      </c>
      <c r="I180" s="1998" t="s">
        <v>2610</v>
      </c>
      <c r="J180" s="1999">
        <v>99</v>
      </c>
      <c r="K180" s="1999">
        <v>81</v>
      </c>
      <c r="L180" s="2000">
        <f t="shared" si="2"/>
        <v>0.81818181818181823</v>
      </c>
      <c r="M180" s="2001" t="s">
        <v>2133</v>
      </c>
      <c r="N180" s="2001" t="s">
        <v>2133</v>
      </c>
      <c r="O180" s="2001" t="s">
        <v>2133</v>
      </c>
      <c r="P180" s="1999">
        <v>76</v>
      </c>
      <c r="Q180" s="2002">
        <v>4</v>
      </c>
      <c r="R180" s="2002">
        <v>6</v>
      </c>
      <c r="S180" s="2002" t="s">
        <v>6755</v>
      </c>
      <c r="T180" s="1997" t="s">
        <v>2161</v>
      </c>
    </row>
    <row r="181" spans="1:20" s="1979" customFormat="1" ht="18">
      <c r="A181" s="1979">
        <v>175</v>
      </c>
      <c r="B181" s="1993">
        <v>211</v>
      </c>
      <c r="C181" s="1993" t="s">
        <v>6766</v>
      </c>
      <c r="D181" s="1993" t="s">
        <v>2256</v>
      </c>
      <c r="E181" s="1994" t="s">
        <v>3992</v>
      </c>
      <c r="F181" s="1995" t="s">
        <v>5447</v>
      </c>
      <c r="G181" s="1996" t="s">
        <v>6723</v>
      </c>
      <c r="H181" s="1997" t="s">
        <v>2610</v>
      </c>
      <c r="I181" s="2004" t="s">
        <v>2610</v>
      </c>
      <c r="J181" s="1999">
        <v>68</v>
      </c>
      <c r="K181" s="1999">
        <v>68</v>
      </c>
      <c r="L181" s="2000">
        <f t="shared" si="2"/>
        <v>1</v>
      </c>
      <c r="M181" s="2001" t="s">
        <v>2133</v>
      </c>
      <c r="N181" s="2001" t="s">
        <v>2133</v>
      </c>
      <c r="O181" s="2001" t="s">
        <v>2133</v>
      </c>
      <c r="P181" s="1999">
        <v>70</v>
      </c>
      <c r="Q181" s="2002">
        <v>1</v>
      </c>
      <c r="R181" s="2002">
        <v>4</v>
      </c>
      <c r="S181" s="2002">
        <v>4</v>
      </c>
      <c r="T181" s="1997" t="s">
        <v>2161</v>
      </c>
    </row>
    <row r="182" spans="1:20" s="1979" customFormat="1" ht="18">
      <c r="A182" s="1979">
        <v>176</v>
      </c>
      <c r="B182" s="1993">
        <v>212</v>
      </c>
      <c r="C182" s="1993" t="s">
        <v>6766</v>
      </c>
      <c r="D182" s="1993" t="s">
        <v>2256</v>
      </c>
      <c r="E182" s="1994" t="s">
        <v>3910</v>
      </c>
      <c r="F182" s="1995" t="s">
        <v>5448</v>
      </c>
      <c r="G182" s="1996" t="s">
        <v>6723</v>
      </c>
      <c r="H182" s="1997" t="s">
        <v>2609</v>
      </c>
      <c r="I182" s="1998" t="s">
        <v>2610</v>
      </c>
      <c r="J182" s="1999">
        <v>151</v>
      </c>
      <c r="K182" s="1999">
        <v>83</v>
      </c>
      <c r="L182" s="2000">
        <f t="shared" si="2"/>
        <v>0.54966887417218546</v>
      </c>
      <c r="M182" s="2001" t="s">
        <v>2133</v>
      </c>
      <c r="N182" s="2001" t="s">
        <v>2688</v>
      </c>
      <c r="O182" s="2001" t="s">
        <v>2133</v>
      </c>
      <c r="P182" s="1999">
        <v>60</v>
      </c>
      <c r="Q182" s="2002">
        <v>1</v>
      </c>
      <c r="R182" s="2002">
        <v>0</v>
      </c>
      <c r="S182" s="2002">
        <v>0</v>
      </c>
      <c r="T182" s="1997" t="s">
        <v>2161</v>
      </c>
    </row>
    <row r="183" spans="1:20" s="1979" customFormat="1" ht="18">
      <c r="A183" s="1979">
        <v>177</v>
      </c>
      <c r="B183" s="1993">
        <v>213</v>
      </c>
      <c r="C183" s="1993" t="s">
        <v>6766</v>
      </c>
      <c r="D183" s="1993" t="s">
        <v>2256</v>
      </c>
      <c r="E183" s="1994" t="s">
        <v>3904</v>
      </c>
      <c r="F183" s="1995" t="s">
        <v>5449</v>
      </c>
      <c r="G183" s="1996" t="s">
        <v>6723</v>
      </c>
      <c r="H183" s="1997" t="s">
        <v>2609</v>
      </c>
      <c r="I183" s="1998" t="s">
        <v>2610</v>
      </c>
      <c r="J183" s="1999">
        <v>201</v>
      </c>
      <c r="K183" s="1999">
        <v>58</v>
      </c>
      <c r="L183" s="2000">
        <f t="shared" si="2"/>
        <v>0.28855721393034828</v>
      </c>
      <c r="M183" s="2001" t="s">
        <v>2133</v>
      </c>
      <c r="N183" s="2001" t="s">
        <v>2688</v>
      </c>
      <c r="O183" s="2001" t="s">
        <v>2133</v>
      </c>
      <c r="P183" s="1999">
        <v>97</v>
      </c>
      <c r="Q183" s="2002">
        <v>1</v>
      </c>
      <c r="R183" s="2002">
        <v>0</v>
      </c>
      <c r="S183" s="2002">
        <v>0</v>
      </c>
      <c r="T183" s="1997" t="s">
        <v>2161</v>
      </c>
    </row>
    <row r="184" spans="1:20" s="1979" customFormat="1" ht="18">
      <c r="A184" s="1979">
        <v>178</v>
      </c>
      <c r="B184" s="1993">
        <v>214</v>
      </c>
      <c r="C184" s="1993" t="s">
        <v>6766</v>
      </c>
      <c r="D184" s="1993" t="s">
        <v>2256</v>
      </c>
      <c r="E184" s="1994" t="s">
        <v>5450</v>
      </c>
      <c r="F184" s="1995" t="s">
        <v>5451</v>
      </c>
      <c r="G184" s="1996" t="s">
        <v>6723</v>
      </c>
      <c r="H184" s="1997" t="s">
        <v>2610</v>
      </c>
      <c r="I184" s="1998" t="s">
        <v>2610</v>
      </c>
      <c r="J184" s="1999">
        <v>88</v>
      </c>
      <c r="K184" s="1999">
        <v>88</v>
      </c>
      <c r="L184" s="2000">
        <f t="shared" si="2"/>
        <v>1</v>
      </c>
      <c r="M184" s="2001" t="s">
        <v>2133</v>
      </c>
      <c r="N184" s="2001" t="s">
        <v>2133</v>
      </c>
      <c r="O184" s="2001" t="s">
        <v>2133</v>
      </c>
      <c r="P184" s="1999">
        <v>52</v>
      </c>
      <c r="Q184" s="2002">
        <v>0</v>
      </c>
      <c r="R184" s="2002">
        <v>0</v>
      </c>
      <c r="S184" s="2002">
        <v>0</v>
      </c>
      <c r="T184" s="1997" t="s">
        <v>2688</v>
      </c>
    </row>
    <row r="185" spans="1:20" s="1979" customFormat="1" ht="18">
      <c r="A185" s="1979">
        <v>179</v>
      </c>
      <c r="B185" s="1993">
        <v>216</v>
      </c>
      <c r="C185" s="1993" t="s">
        <v>6766</v>
      </c>
      <c r="D185" s="1993" t="s">
        <v>2315</v>
      </c>
      <c r="E185" s="1994" t="s">
        <v>5452</v>
      </c>
      <c r="F185" s="1995" t="s">
        <v>5453</v>
      </c>
      <c r="G185" s="1996" t="s">
        <v>6723</v>
      </c>
      <c r="H185" s="1997" t="s">
        <v>2609</v>
      </c>
      <c r="I185" s="1998" t="s">
        <v>2609</v>
      </c>
      <c r="J185" s="1999">
        <v>70</v>
      </c>
      <c r="K185" s="1999">
        <v>20</v>
      </c>
      <c r="L185" s="2000">
        <f t="shared" si="2"/>
        <v>0.2857142857142857</v>
      </c>
      <c r="M185" s="2001" t="s">
        <v>2133</v>
      </c>
      <c r="N185" s="2001" t="s">
        <v>2688</v>
      </c>
      <c r="O185" s="2001" t="s">
        <v>2688</v>
      </c>
      <c r="P185" s="1999">
        <v>18</v>
      </c>
      <c r="Q185" s="2002">
        <v>0</v>
      </c>
      <c r="R185" s="2002">
        <v>0</v>
      </c>
      <c r="S185" s="2002">
        <v>0</v>
      </c>
      <c r="T185" s="1997" t="s">
        <v>2688</v>
      </c>
    </row>
    <row r="186" spans="1:20" s="1979" customFormat="1" ht="18">
      <c r="A186" s="1979">
        <v>180</v>
      </c>
      <c r="B186" s="1993">
        <v>219</v>
      </c>
      <c r="C186" s="1993" t="s">
        <v>6766</v>
      </c>
      <c r="D186" s="1993" t="s">
        <v>2158</v>
      </c>
      <c r="E186" s="1994" t="s">
        <v>5454</v>
      </c>
      <c r="F186" s="1995" t="s">
        <v>5455</v>
      </c>
      <c r="G186" s="1996" t="s">
        <v>6723</v>
      </c>
      <c r="H186" s="1997" t="s">
        <v>2609</v>
      </c>
      <c r="I186" s="1998" t="s">
        <v>2610</v>
      </c>
      <c r="J186" s="1999">
        <v>246</v>
      </c>
      <c r="K186" s="1999">
        <v>100</v>
      </c>
      <c r="L186" s="2000">
        <f t="shared" si="2"/>
        <v>0.4065040650406504</v>
      </c>
      <c r="M186" s="2001" t="s">
        <v>2133</v>
      </c>
      <c r="N186" s="2001" t="s">
        <v>2688</v>
      </c>
      <c r="O186" s="2001" t="s">
        <v>2688</v>
      </c>
      <c r="P186" s="1999">
        <v>40</v>
      </c>
      <c r="Q186" s="2002">
        <v>0</v>
      </c>
      <c r="R186" s="2002">
        <v>0</v>
      </c>
      <c r="S186" s="2002">
        <v>0</v>
      </c>
      <c r="T186" s="1997" t="s">
        <v>2688</v>
      </c>
    </row>
    <row r="187" spans="1:20" s="1979" customFormat="1" ht="18">
      <c r="A187" s="1979">
        <v>181</v>
      </c>
      <c r="B187" s="1993">
        <v>220</v>
      </c>
      <c r="C187" s="1993" t="s">
        <v>6766</v>
      </c>
      <c r="D187" s="1993" t="s">
        <v>2158</v>
      </c>
      <c r="E187" s="1994" t="s">
        <v>5456</v>
      </c>
      <c r="F187" s="1995" t="s">
        <v>5457</v>
      </c>
      <c r="G187" s="1996" t="s">
        <v>6723</v>
      </c>
      <c r="H187" s="1997" t="s">
        <v>2609</v>
      </c>
      <c r="I187" s="1998" t="s">
        <v>2610</v>
      </c>
      <c r="J187" s="1999">
        <v>143</v>
      </c>
      <c r="K187" s="1999">
        <v>70</v>
      </c>
      <c r="L187" s="2000">
        <f t="shared" si="2"/>
        <v>0.48951048951048953</v>
      </c>
      <c r="M187" s="2001" t="s">
        <v>2133</v>
      </c>
      <c r="N187" s="2001" t="s">
        <v>2688</v>
      </c>
      <c r="O187" s="2001" t="s">
        <v>2688</v>
      </c>
      <c r="P187" s="1999">
        <v>16</v>
      </c>
      <c r="Q187" s="2002">
        <v>0</v>
      </c>
      <c r="R187" s="2002">
        <v>0</v>
      </c>
      <c r="S187" s="2002">
        <v>0</v>
      </c>
      <c r="T187" s="1997" t="s">
        <v>2688</v>
      </c>
    </row>
    <row r="188" spans="1:20" s="1979" customFormat="1" ht="18">
      <c r="A188" s="1979">
        <v>182</v>
      </c>
      <c r="B188" s="1993">
        <v>221</v>
      </c>
      <c r="C188" s="1993" t="s">
        <v>6766</v>
      </c>
      <c r="D188" s="1993" t="s">
        <v>2158</v>
      </c>
      <c r="E188" s="1994" t="s">
        <v>6773</v>
      </c>
      <c r="F188" s="1995" t="s">
        <v>5458</v>
      </c>
      <c r="G188" s="1996" t="s">
        <v>6723</v>
      </c>
      <c r="H188" s="1997" t="s">
        <v>2610</v>
      </c>
      <c r="I188" s="1998" t="s">
        <v>2610</v>
      </c>
      <c r="J188" s="1999">
        <v>68</v>
      </c>
      <c r="K188" s="1999">
        <v>68</v>
      </c>
      <c r="L188" s="2000">
        <f t="shared" si="2"/>
        <v>1</v>
      </c>
      <c r="M188" s="2001" t="s">
        <v>2133</v>
      </c>
      <c r="N188" s="2001" t="s">
        <v>2133</v>
      </c>
      <c r="O188" s="2001" t="s">
        <v>2133</v>
      </c>
      <c r="P188" s="1999">
        <v>40</v>
      </c>
      <c r="Q188" s="2002">
        <v>0</v>
      </c>
      <c r="R188" s="2002">
        <v>7</v>
      </c>
      <c r="S188" s="2002">
        <v>4</v>
      </c>
      <c r="T188" s="1997" t="s">
        <v>2161</v>
      </c>
    </row>
    <row r="189" spans="1:20" s="1979" customFormat="1" ht="18">
      <c r="A189" s="1979">
        <v>183</v>
      </c>
      <c r="B189" s="1993">
        <v>222</v>
      </c>
      <c r="C189" s="1993" t="s">
        <v>6766</v>
      </c>
      <c r="D189" s="1993" t="s">
        <v>2158</v>
      </c>
      <c r="E189" s="1994" t="s">
        <v>2852</v>
      </c>
      <c r="F189" s="1995" t="s">
        <v>5459</v>
      </c>
      <c r="G189" s="1996" t="s">
        <v>6723</v>
      </c>
      <c r="H189" s="1997" t="s">
        <v>2610</v>
      </c>
      <c r="I189" s="1998" t="s">
        <v>2610</v>
      </c>
      <c r="J189" s="1999">
        <v>72</v>
      </c>
      <c r="K189" s="1999">
        <v>72</v>
      </c>
      <c r="L189" s="2000">
        <f t="shared" si="2"/>
        <v>1</v>
      </c>
      <c r="M189" s="2001" t="s">
        <v>2688</v>
      </c>
      <c r="N189" s="2001" t="s">
        <v>2688</v>
      </c>
      <c r="O189" s="2001" t="s">
        <v>2688</v>
      </c>
      <c r="P189" s="1999">
        <v>0</v>
      </c>
      <c r="Q189" s="2002">
        <v>0</v>
      </c>
      <c r="R189" s="2002">
        <v>0</v>
      </c>
      <c r="S189" s="2002">
        <v>0</v>
      </c>
      <c r="T189" s="1997" t="s">
        <v>2688</v>
      </c>
    </row>
    <row r="190" spans="1:20" s="1979" customFormat="1" ht="18">
      <c r="A190" s="1979">
        <v>184</v>
      </c>
      <c r="B190" s="1993">
        <v>223</v>
      </c>
      <c r="C190" s="1993" t="s">
        <v>6766</v>
      </c>
      <c r="D190" s="1993" t="s">
        <v>2158</v>
      </c>
      <c r="E190" s="1994" t="s">
        <v>2298</v>
      </c>
      <c r="F190" s="1995" t="s">
        <v>5460</v>
      </c>
      <c r="G190" s="1996" t="s">
        <v>6723</v>
      </c>
      <c r="H190" s="1997" t="s">
        <v>2610</v>
      </c>
      <c r="I190" s="2004" t="s">
        <v>2610</v>
      </c>
      <c r="J190" s="1999">
        <v>128</v>
      </c>
      <c r="K190" s="1999">
        <v>128</v>
      </c>
      <c r="L190" s="2000">
        <f t="shared" si="2"/>
        <v>1</v>
      </c>
      <c r="M190" s="2001" t="s">
        <v>2133</v>
      </c>
      <c r="N190" s="2001" t="s">
        <v>2688</v>
      </c>
      <c r="O190" s="2001" t="s">
        <v>2688</v>
      </c>
      <c r="P190" s="1999">
        <v>40</v>
      </c>
      <c r="Q190" s="2002">
        <v>1</v>
      </c>
      <c r="R190" s="2003">
        <v>1</v>
      </c>
      <c r="S190" s="2003">
        <v>1</v>
      </c>
      <c r="T190" s="1997" t="s">
        <v>2161</v>
      </c>
    </row>
    <row r="191" spans="1:20" s="1979" customFormat="1" ht="18">
      <c r="A191" s="1979">
        <v>185</v>
      </c>
      <c r="B191" s="1993">
        <v>224</v>
      </c>
      <c r="C191" s="1993" t="s">
        <v>6766</v>
      </c>
      <c r="D191" s="1993" t="s">
        <v>2158</v>
      </c>
      <c r="E191" s="1994" t="s">
        <v>5461</v>
      </c>
      <c r="F191" s="1995" t="s">
        <v>5462</v>
      </c>
      <c r="G191" s="1996" t="s">
        <v>6723</v>
      </c>
      <c r="H191" s="1997" t="s">
        <v>2609</v>
      </c>
      <c r="I191" s="1998" t="s">
        <v>2610</v>
      </c>
      <c r="J191" s="1999">
        <v>55</v>
      </c>
      <c r="K191" s="1999">
        <v>55</v>
      </c>
      <c r="L191" s="2000">
        <f t="shared" si="2"/>
        <v>1</v>
      </c>
      <c r="M191" s="2001" t="s">
        <v>2133</v>
      </c>
      <c r="N191" s="2001" t="s">
        <v>2688</v>
      </c>
      <c r="O191" s="2001" t="s">
        <v>2688</v>
      </c>
      <c r="P191" s="1999">
        <v>10</v>
      </c>
      <c r="Q191" s="2002">
        <v>0</v>
      </c>
      <c r="R191" s="2002">
        <v>0</v>
      </c>
      <c r="S191" s="2002">
        <v>0</v>
      </c>
      <c r="T191" s="1997" t="s">
        <v>2688</v>
      </c>
    </row>
    <row r="192" spans="1:20" s="1979" customFormat="1" ht="18">
      <c r="A192" s="1979">
        <v>186</v>
      </c>
      <c r="B192" s="1993">
        <v>225</v>
      </c>
      <c r="C192" s="1993" t="s">
        <v>6766</v>
      </c>
      <c r="D192" s="1993" t="s">
        <v>2158</v>
      </c>
      <c r="E192" s="1994" t="s">
        <v>5463</v>
      </c>
      <c r="F192" s="1995" t="s">
        <v>5464</v>
      </c>
      <c r="G192" s="1996" t="s">
        <v>6723</v>
      </c>
      <c r="H192" s="1997" t="s">
        <v>2609</v>
      </c>
      <c r="I192" s="1998" t="s">
        <v>2609</v>
      </c>
      <c r="J192" s="1999">
        <v>115</v>
      </c>
      <c r="K192" s="1999">
        <v>38</v>
      </c>
      <c r="L192" s="2000">
        <f t="shared" si="2"/>
        <v>0.33043478260869563</v>
      </c>
      <c r="M192" s="2001" t="s">
        <v>2133</v>
      </c>
      <c r="N192" s="2001" t="s">
        <v>2688</v>
      </c>
      <c r="O192" s="2001" t="s">
        <v>2688</v>
      </c>
      <c r="P192" s="1999">
        <v>30</v>
      </c>
      <c r="Q192" s="2002">
        <v>0</v>
      </c>
      <c r="R192" s="2002">
        <v>0</v>
      </c>
      <c r="S192" s="2002">
        <v>0</v>
      </c>
      <c r="T192" s="1997" t="s">
        <v>2688</v>
      </c>
    </row>
    <row r="193" spans="1:20" s="1979" customFormat="1" ht="18">
      <c r="A193" s="1979">
        <v>187</v>
      </c>
      <c r="B193" s="1993">
        <v>226</v>
      </c>
      <c r="C193" s="1993" t="s">
        <v>6766</v>
      </c>
      <c r="D193" s="1993" t="s">
        <v>5467</v>
      </c>
      <c r="E193" s="1994" t="s">
        <v>5465</v>
      </c>
      <c r="F193" s="1995" t="s">
        <v>5466</v>
      </c>
      <c r="G193" s="1996" t="s">
        <v>6723</v>
      </c>
      <c r="H193" s="1997" t="s">
        <v>2609</v>
      </c>
      <c r="I193" s="1998" t="s">
        <v>2610</v>
      </c>
      <c r="J193" s="1999">
        <v>158</v>
      </c>
      <c r="K193" s="1999">
        <v>85</v>
      </c>
      <c r="L193" s="2000">
        <f t="shared" si="2"/>
        <v>0.53797468354430378</v>
      </c>
      <c r="M193" s="2001" t="s">
        <v>2133</v>
      </c>
      <c r="N193" s="2001" t="s">
        <v>2688</v>
      </c>
      <c r="O193" s="2001" t="s">
        <v>2133</v>
      </c>
      <c r="P193" s="1999">
        <v>62</v>
      </c>
      <c r="Q193" s="2002">
        <v>1</v>
      </c>
      <c r="R193" s="2002">
        <v>0</v>
      </c>
      <c r="S193" s="2002">
        <v>0</v>
      </c>
      <c r="T193" s="1997" t="s">
        <v>2161</v>
      </c>
    </row>
    <row r="194" spans="1:20" s="1979" customFormat="1" ht="18">
      <c r="A194" s="1979">
        <v>188</v>
      </c>
      <c r="B194" s="1993">
        <v>227</v>
      </c>
      <c r="C194" s="1993" t="s">
        <v>6766</v>
      </c>
      <c r="D194" s="1993" t="s">
        <v>5467</v>
      </c>
      <c r="E194" s="1994" t="s">
        <v>4648</v>
      </c>
      <c r="F194" s="1995" t="s">
        <v>5468</v>
      </c>
      <c r="G194" s="1996" t="s">
        <v>6723</v>
      </c>
      <c r="H194" s="1997" t="s">
        <v>2609</v>
      </c>
      <c r="I194" s="2004" t="s">
        <v>2609</v>
      </c>
      <c r="J194" s="1999">
        <v>105</v>
      </c>
      <c r="K194" s="1999">
        <v>80</v>
      </c>
      <c r="L194" s="2000">
        <f t="shared" si="2"/>
        <v>0.76190476190476186</v>
      </c>
      <c r="M194" s="2001" t="s">
        <v>2133</v>
      </c>
      <c r="N194" s="2001" t="s">
        <v>2133</v>
      </c>
      <c r="O194" s="2001" t="s">
        <v>2133</v>
      </c>
      <c r="P194" s="1999">
        <v>70</v>
      </c>
      <c r="Q194" s="2002">
        <v>3</v>
      </c>
      <c r="R194" s="2003">
        <v>9</v>
      </c>
      <c r="S194" s="2003">
        <v>9</v>
      </c>
      <c r="T194" s="1997" t="s">
        <v>2161</v>
      </c>
    </row>
    <row r="195" spans="1:20" s="1979" customFormat="1" ht="18">
      <c r="A195" s="1979">
        <v>189</v>
      </c>
      <c r="B195" s="1993">
        <v>228</v>
      </c>
      <c r="C195" s="1993" t="s">
        <v>6766</v>
      </c>
      <c r="D195" s="1993" t="s">
        <v>5467</v>
      </c>
      <c r="E195" s="1994" t="s">
        <v>5469</v>
      </c>
      <c r="F195" s="1995" t="s">
        <v>6774</v>
      </c>
      <c r="G195" s="1996" t="s">
        <v>6723</v>
      </c>
      <c r="H195" s="1997" t="s">
        <v>2609</v>
      </c>
      <c r="I195" s="1998" t="s">
        <v>2610</v>
      </c>
      <c r="J195" s="1999">
        <v>186</v>
      </c>
      <c r="K195" s="1999">
        <v>86</v>
      </c>
      <c r="L195" s="2000">
        <f t="shared" si="2"/>
        <v>0.46236559139784944</v>
      </c>
      <c r="M195" s="2001" t="s">
        <v>2133</v>
      </c>
      <c r="N195" s="2001" t="s">
        <v>2688</v>
      </c>
      <c r="O195" s="2001" t="s">
        <v>2688</v>
      </c>
      <c r="P195" s="1999">
        <v>40</v>
      </c>
      <c r="Q195" s="2002">
        <v>0</v>
      </c>
      <c r="R195" s="2002">
        <v>0</v>
      </c>
      <c r="S195" s="2002">
        <v>0</v>
      </c>
      <c r="T195" s="1997" t="s">
        <v>2688</v>
      </c>
    </row>
    <row r="196" spans="1:20" s="1979" customFormat="1" ht="18">
      <c r="A196" s="1979">
        <v>190</v>
      </c>
      <c r="B196" s="1993">
        <v>229</v>
      </c>
      <c r="C196" s="1993" t="s">
        <v>6766</v>
      </c>
      <c r="D196" s="1993" t="s">
        <v>2315</v>
      </c>
      <c r="E196" s="1994" t="s">
        <v>3573</v>
      </c>
      <c r="F196" s="1995" t="s">
        <v>5470</v>
      </c>
      <c r="G196" s="1996" t="s">
        <v>6723</v>
      </c>
      <c r="H196" s="1997" t="s">
        <v>2610</v>
      </c>
      <c r="I196" s="1998" t="s">
        <v>2610</v>
      </c>
      <c r="J196" s="1999">
        <v>107</v>
      </c>
      <c r="K196" s="1999">
        <v>106</v>
      </c>
      <c r="L196" s="2000">
        <f t="shared" si="2"/>
        <v>0.99065420560747663</v>
      </c>
      <c r="M196" s="2001" t="s">
        <v>2133</v>
      </c>
      <c r="N196" s="2001" t="s">
        <v>2133</v>
      </c>
      <c r="O196" s="2001" t="s">
        <v>2133</v>
      </c>
      <c r="P196" s="1999">
        <v>50</v>
      </c>
      <c r="Q196" s="2002">
        <v>1</v>
      </c>
      <c r="R196" s="2002">
        <v>2</v>
      </c>
      <c r="S196" s="2002">
        <v>1</v>
      </c>
      <c r="T196" s="1997" t="s">
        <v>2161</v>
      </c>
    </row>
    <row r="197" spans="1:20" s="1979" customFormat="1" ht="18">
      <c r="A197" s="1979">
        <v>191</v>
      </c>
      <c r="B197" s="1993">
        <v>230</v>
      </c>
      <c r="C197" s="1993" t="s">
        <v>6766</v>
      </c>
      <c r="D197" s="1993" t="s">
        <v>2158</v>
      </c>
      <c r="E197" s="1994" t="s">
        <v>5471</v>
      </c>
      <c r="F197" s="1995" t="s">
        <v>5472</v>
      </c>
      <c r="G197" s="1996" t="s">
        <v>6723</v>
      </c>
      <c r="H197" s="1997" t="s">
        <v>2609</v>
      </c>
      <c r="I197" s="1998" t="s">
        <v>2609</v>
      </c>
      <c r="J197" s="1999">
        <v>72</v>
      </c>
      <c r="K197" s="1999">
        <v>24</v>
      </c>
      <c r="L197" s="2000">
        <f t="shared" si="2"/>
        <v>0.33333333333333331</v>
      </c>
      <c r="M197" s="2001" t="s">
        <v>2133</v>
      </c>
      <c r="N197" s="2001" t="s">
        <v>2688</v>
      </c>
      <c r="O197" s="2001" t="s">
        <v>2688</v>
      </c>
      <c r="P197" s="1999">
        <v>24</v>
      </c>
      <c r="Q197" s="2002">
        <v>0</v>
      </c>
      <c r="R197" s="2002">
        <v>0</v>
      </c>
      <c r="S197" s="2002">
        <v>0</v>
      </c>
      <c r="T197" s="1997" t="s">
        <v>2688</v>
      </c>
    </row>
    <row r="198" spans="1:20" s="1979" customFormat="1" ht="18">
      <c r="A198" s="1979">
        <v>192</v>
      </c>
      <c r="B198" s="1993">
        <v>231</v>
      </c>
      <c r="C198" s="1993" t="s">
        <v>6766</v>
      </c>
      <c r="D198" s="1993" t="s">
        <v>2315</v>
      </c>
      <c r="E198" s="1994" t="s">
        <v>3825</v>
      </c>
      <c r="F198" s="1995" t="s">
        <v>5473</v>
      </c>
      <c r="G198" s="1996" t="s">
        <v>6723</v>
      </c>
      <c r="H198" s="1997" t="s">
        <v>2609</v>
      </c>
      <c r="I198" s="1998" t="s">
        <v>2610</v>
      </c>
      <c r="J198" s="1999">
        <v>102</v>
      </c>
      <c r="K198" s="1999">
        <v>51</v>
      </c>
      <c r="L198" s="2000">
        <f t="shared" si="2"/>
        <v>0.5</v>
      </c>
      <c r="M198" s="2001" t="s">
        <v>2133</v>
      </c>
      <c r="N198" s="2001" t="s">
        <v>2688</v>
      </c>
      <c r="O198" s="2001" t="s">
        <v>2688</v>
      </c>
      <c r="P198" s="1999">
        <v>28</v>
      </c>
      <c r="Q198" s="2002">
        <v>0</v>
      </c>
      <c r="R198" s="2002">
        <v>1</v>
      </c>
      <c r="S198" s="2002">
        <v>1</v>
      </c>
      <c r="T198" s="1997" t="s">
        <v>2688</v>
      </c>
    </row>
    <row r="199" spans="1:20" s="1979" customFormat="1" ht="18">
      <c r="A199" s="1979">
        <v>193</v>
      </c>
      <c r="B199" s="1993">
        <v>232</v>
      </c>
      <c r="C199" s="1993" t="s">
        <v>6766</v>
      </c>
      <c r="D199" s="1993" t="s">
        <v>2315</v>
      </c>
      <c r="E199" s="1994" t="s">
        <v>3797</v>
      </c>
      <c r="F199" s="1995" t="s">
        <v>5474</v>
      </c>
      <c r="G199" s="1996" t="s">
        <v>6723</v>
      </c>
      <c r="H199" s="1997" t="s">
        <v>2610</v>
      </c>
      <c r="I199" s="1998" t="s">
        <v>2610</v>
      </c>
      <c r="J199" s="1999">
        <v>93</v>
      </c>
      <c r="K199" s="1999">
        <v>93</v>
      </c>
      <c r="L199" s="2000">
        <f t="shared" ref="L199:L262" si="3">SUM(K199/J199)</f>
        <v>1</v>
      </c>
      <c r="M199" s="2001" t="s">
        <v>2133</v>
      </c>
      <c r="N199" s="2001" t="s">
        <v>2133</v>
      </c>
      <c r="O199" s="2001" t="s">
        <v>2133</v>
      </c>
      <c r="P199" s="1999">
        <v>25</v>
      </c>
      <c r="Q199" s="2002">
        <v>0</v>
      </c>
      <c r="R199" s="2002">
        <v>0</v>
      </c>
      <c r="S199" s="2002">
        <v>0</v>
      </c>
      <c r="T199" s="1997" t="s">
        <v>2688</v>
      </c>
    </row>
    <row r="200" spans="1:20" s="1979" customFormat="1" ht="18">
      <c r="A200" s="1979">
        <v>194</v>
      </c>
      <c r="B200" s="1993">
        <v>234</v>
      </c>
      <c r="C200" s="1993" t="s">
        <v>6766</v>
      </c>
      <c r="D200" s="1993" t="s">
        <v>2315</v>
      </c>
      <c r="E200" s="1994" t="s">
        <v>5475</v>
      </c>
      <c r="F200" s="1995" t="s">
        <v>5476</v>
      </c>
      <c r="G200" s="1996" t="s">
        <v>6723</v>
      </c>
      <c r="H200" s="1997" t="s">
        <v>2609</v>
      </c>
      <c r="I200" s="1998" t="s">
        <v>2610</v>
      </c>
      <c r="J200" s="1999">
        <v>105</v>
      </c>
      <c r="K200" s="1999">
        <v>28</v>
      </c>
      <c r="L200" s="2000">
        <f t="shared" si="3"/>
        <v>0.26666666666666666</v>
      </c>
      <c r="M200" s="2001" t="s">
        <v>2133</v>
      </c>
      <c r="N200" s="2001" t="s">
        <v>2688</v>
      </c>
      <c r="O200" s="2001" t="s">
        <v>2688</v>
      </c>
      <c r="P200" s="1999">
        <v>39</v>
      </c>
      <c r="Q200" s="2002">
        <v>0</v>
      </c>
      <c r="R200" s="2002">
        <v>0</v>
      </c>
      <c r="S200" s="2002">
        <v>0</v>
      </c>
      <c r="T200" s="1997" t="s">
        <v>2688</v>
      </c>
    </row>
    <row r="201" spans="1:20" s="1979" customFormat="1" ht="18">
      <c r="A201" s="1979">
        <v>195</v>
      </c>
      <c r="B201" s="1993">
        <v>235</v>
      </c>
      <c r="C201" s="1993" t="s">
        <v>6766</v>
      </c>
      <c r="D201" s="1993" t="s">
        <v>2315</v>
      </c>
      <c r="E201" s="1994" t="s">
        <v>5477</v>
      </c>
      <c r="F201" s="1995" t="s">
        <v>5478</v>
      </c>
      <c r="G201" s="1996" t="s">
        <v>6775</v>
      </c>
      <c r="H201" s="1997" t="s">
        <v>2609</v>
      </c>
      <c r="I201" s="1998" t="s">
        <v>6738</v>
      </c>
      <c r="J201" s="1999">
        <v>92</v>
      </c>
      <c r="K201" s="1999">
        <v>20</v>
      </c>
      <c r="L201" s="2000">
        <f t="shared" si="3"/>
        <v>0.21739130434782608</v>
      </c>
      <c r="M201" s="2001" t="s">
        <v>2133</v>
      </c>
      <c r="N201" s="2001" t="s">
        <v>2133</v>
      </c>
      <c r="O201" s="2001" t="s">
        <v>2133</v>
      </c>
      <c r="P201" s="1999">
        <v>25</v>
      </c>
      <c r="Q201" s="2002">
        <v>0</v>
      </c>
      <c r="R201" s="2002">
        <v>0</v>
      </c>
      <c r="S201" s="2002">
        <v>0</v>
      </c>
      <c r="T201" s="1997" t="s">
        <v>2161</v>
      </c>
    </row>
    <row r="202" spans="1:20" s="1979" customFormat="1" ht="18">
      <c r="A202" s="1979">
        <v>196</v>
      </c>
      <c r="B202" s="1993">
        <v>238</v>
      </c>
      <c r="C202" s="1993" t="s">
        <v>6766</v>
      </c>
      <c r="D202" s="1993" t="s">
        <v>2315</v>
      </c>
      <c r="E202" s="1994" t="s">
        <v>3571</v>
      </c>
      <c r="F202" s="1995" t="s">
        <v>5479</v>
      </c>
      <c r="G202" s="1996" t="s">
        <v>6723</v>
      </c>
      <c r="H202" s="1997" t="s">
        <v>2609</v>
      </c>
      <c r="I202" s="1998" t="s">
        <v>2610</v>
      </c>
      <c r="J202" s="1999">
        <v>90</v>
      </c>
      <c r="K202" s="1999">
        <v>57</v>
      </c>
      <c r="L202" s="2000">
        <f t="shared" si="3"/>
        <v>0.6333333333333333</v>
      </c>
      <c r="M202" s="2001" t="s">
        <v>2133</v>
      </c>
      <c r="N202" s="2001" t="s">
        <v>2133</v>
      </c>
      <c r="O202" s="2001" t="s">
        <v>2133</v>
      </c>
      <c r="P202" s="1999">
        <v>60</v>
      </c>
      <c r="Q202" s="2002">
        <v>3</v>
      </c>
      <c r="R202" s="2002">
        <v>12</v>
      </c>
      <c r="S202" s="2002">
        <v>10</v>
      </c>
      <c r="T202" s="1997" t="s">
        <v>2161</v>
      </c>
    </row>
    <row r="203" spans="1:20" s="1979" customFormat="1" ht="18">
      <c r="A203" s="1979">
        <v>197</v>
      </c>
      <c r="B203" s="1993">
        <v>239</v>
      </c>
      <c r="C203" s="1993" t="s">
        <v>6766</v>
      </c>
      <c r="D203" s="1993" t="s">
        <v>2324</v>
      </c>
      <c r="E203" s="1994" t="s">
        <v>5480</v>
      </c>
      <c r="F203" s="1995" t="s">
        <v>5481</v>
      </c>
      <c r="G203" s="1996" t="s">
        <v>6723</v>
      </c>
      <c r="H203" s="1997" t="s">
        <v>2610</v>
      </c>
      <c r="I203" s="1998" t="s">
        <v>2610</v>
      </c>
      <c r="J203" s="1999">
        <v>87</v>
      </c>
      <c r="K203" s="1999">
        <v>87</v>
      </c>
      <c r="L203" s="2000">
        <f t="shared" si="3"/>
        <v>1</v>
      </c>
      <c r="M203" s="2001" t="s">
        <v>2133</v>
      </c>
      <c r="N203" s="2001" t="s">
        <v>2688</v>
      </c>
      <c r="O203" s="2001" t="s">
        <v>2133</v>
      </c>
      <c r="P203" s="1999">
        <v>80</v>
      </c>
      <c r="Q203" s="2002">
        <v>0</v>
      </c>
      <c r="R203" s="2002">
        <v>0</v>
      </c>
      <c r="S203" s="2002">
        <v>0</v>
      </c>
      <c r="T203" s="1997" t="s">
        <v>2161</v>
      </c>
    </row>
    <row r="204" spans="1:20" s="1979" customFormat="1" ht="18">
      <c r="A204" s="1979">
        <v>198</v>
      </c>
      <c r="B204" s="1993">
        <v>240</v>
      </c>
      <c r="C204" s="1993" t="s">
        <v>6766</v>
      </c>
      <c r="D204" s="1993" t="s">
        <v>2324</v>
      </c>
      <c r="E204" s="1994" t="s">
        <v>5482</v>
      </c>
      <c r="F204" s="1995" t="s">
        <v>5483</v>
      </c>
      <c r="G204" s="1996" t="s">
        <v>6723</v>
      </c>
      <c r="H204" s="1997" t="s">
        <v>2610</v>
      </c>
      <c r="I204" s="2004" t="s">
        <v>2610</v>
      </c>
      <c r="J204" s="1999">
        <v>48</v>
      </c>
      <c r="K204" s="1999">
        <v>48</v>
      </c>
      <c r="L204" s="2000">
        <f t="shared" si="3"/>
        <v>1</v>
      </c>
      <c r="M204" s="2001" t="s">
        <v>2133</v>
      </c>
      <c r="N204" s="2001" t="s">
        <v>2688</v>
      </c>
      <c r="O204" s="2001" t="s">
        <v>2133</v>
      </c>
      <c r="P204" s="1999">
        <v>64</v>
      </c>
      <c r="Q204" s="2002">
        <v>0</v>
      </c>
      <c r="R204" s="2002">
        <v>5</v>
      </c>
      <c r="S204" s="2002">
        <v>5</v>
      </c>
      <c r="T204" s="1997" t="s">
        <v>2161</v>
      </c>
    </row>
    <row r="205" spans="1:20" s="1979" customFormat="1" ht="18">
      <c r="A205" s="1979">
        <v>199</v>
      </c>
      <c r="B205" s="1993">
        <v>241</v>
      </c>
      <c r="C205" s="1993" t="s">
        <v>6766</v>
      </c>
      <c r="D205" s="1993" t="s">
        <v>2324</v>
      </c>
      <c r="E205" s="1994" t="s">
        <v>5484</v>
      </c>
      <c r="F205" s="1995" t="s">
        <v>5485</v>
      </c>
      <c r="G205" s="1996" t="s">
        <v>6723</v>
      </c>
      <c r="H205" s="1997" t="s">
        <v>2609</v>
      </c>
      <c r="I205" s="2004" t="s">
        <v>2610</v>
      </c>
      <c r="J205" s="1999">
        <v>152</v>
      </c>
      <c r="K205" s="1999">
        <v>50</v>
      </c>
      <c r="L205" s="2000">
        <f t="shared" si="3"/>
        <v>0.32894736842105265</v>
      </c>
      <c r="M205" s="2001" t="s">
        <v>2133</v>
      </c>
      <c r="N205" s="2001" t="s">
        <v>2133</v>
      </c>
      <c r="O205" s="2001" t="s">
        <v>2133</v>
      </c>
      <c r="P205" s="1999">
        <v>120</v>
      </c>
      <c r="Q205" s="2002">
        <v>3</v>
      </c>
      <c r="R205" s="2002">
        <v>10</v>
      </c>
      <c r="S205" s="2002">
        <v>10</v>
      </c>
      <c r="T205" s="1997" t="s">
        <v>2161</v>
      </c>
    </row>
    <row r="206" spans="1:20" s="1979" customFormat="1" ht="18">
      <c r="A206" s="1979">
        <v>200</v>
      </c>
      <c r="B206" s="1993">
        <v>242</v>
      </c>
      <c r="C206" s="1993" t="s">
        <v>6766</v>
      </c>
      <c r="D206" s="1993" t="s">
        <v>2324</v>
      </c>
      <c r="E206" s="1994" t="s">
        <v>5486</v>
      </c>
      <c r="F206" s="1995" t="s">
        <v>5487</v>
      </c>
      <c r="G206" s="1996" t="s">
        <v>6723</v>
      </c>
      <c r="H206" s="1997" t="s">
        <v>2610</v>
      </c>
      <c r="I206" s="2004" t="s">
        <v>2610</v>
      </c>
      <c r="J206" s="1999">
        <v>41</v>
      </c>
      <c r="K206" s="1999">
        <v>37</v>
      </c>
      <c r="L206" s="2000">
        <f t="shared" si="3"/>
        <v>0.90243902439024393</v>
      </c>
      <c r="M206" s="2001" t="s">
        <v>2133</v>
      </c>
      <c r="N206" s="2001" t="s">
        <v>2133</v>
      </c>
      <c r="O206" s="2001" t="s">
        <v>2133</v>
      </c>
      <c r="P206" s="1999">
        <v>100</v>
      </c>
      <c r="Q206" s="2002">
        <v>1</v>
      </c>
      <c r="R206" s="2002">
        <v>3</v>
      </c>
      <c r="S206" s="2002">
        <v>1</v>
      </c>
      <c r="T206" s="1997" t="s">
        <v>2161</v>
      </c>
    </row>
    <row r="207" spans="1:20" s="1979" customFormat="1" ht="18">
      <c r="A207" s="1979">
        <v>201</v>
      </c>
      <c r="B207" s="1993">
        <v>243</v>
      </c>
      <c r="C207" s="1993" t="s">
        <v>6766</v>
      </c>
      <c r="D207" s="1993" t="s">
        <v>2324</v>
      </c>
      <c r="E207" s="1994" t="s">
        <v>4012</v>
      </c>
      <c r="F207" s="1995" t="s">
        <v>5488</v>
      </c>
      <c r="G207" s="1996" t="s">
        <v>6723</v>
      </c>
      <c r="H207" s="1997" t="s">
        <v>2610</v>
      </c>
      <c r="I207" s="2004" t="s">
        <v>2610</v>
      </c>
      <c r="J207" s="1999">
        <v>61</v>
      </c>
      <c r="K207" s="1999">
        <v>61</v>
      </c>
      <c r="L207" s="2000">
        <f t="shared" si="3"/>
        <v>1</v>
      </c>
      <c r="M207" s="2001" t="s">
        <v>2133</v>
      </c>
      <c r="N207" s="2001" t="s">
        <v>2133</v>
      </c>
      <c r="O207" s="2001" t="s">
        <v>2133</v>
      </c>
      <c r="P207" s="1999">
        <v>104</v>
      </c>
      <c r="Q207" s="2002">
        <v>2</v>
      </c>
      <c r="R207" s="2002">
        <v>9</v>
      </c>
      <c r="S207" s="2002">
        <v>7</v>
      </c>
      <c r="T207" s="1997" t="s">
        <v>2161</v>
      </c>
    </row>
    <row r="208" spans="1:20" s="1979" customFormat="1" ht="18">
      <c r="A208" s="1979">
        <v>202</v>
      </c>
      <c r="B208" s="1993">
        <v>244</v>
      </c>
      <c r="C208" s="1993" t="s">
        <v>6766</v>
      </c>
      <c r="D208" s="1993" t="s">
        <v>2324</v>
      </c>
      <c r="E208" s="1994" t="s">
        <v>5489</v>
      </c>
      <c r="F208" s="1995" t="s">
        <v>5490</v>
      </c>
      <c r="G208" s="1996" t="s">
        <v>6767</v>
      </c>
      <c r="H208" s="1997" t="s">
        <v>2609</v>
      </c>
      <c r="I208" s="1998" t="s">
        <v>2609</v>
      </c>
      <c r="J208" s="1999">
        <v>50</v>
      </c>
      <c r="K208" s="1999">
        <v>0</v>
      </c>
      <c r="L208" s="2000">
        <f t="shared" si="3"/>
        <v>0</v>
      </c>
      <c r="M208" s="2001" t="s">
        <v>2133</v>
      </c>
      <c r="N208" s="2001" t="s">
        <v>2688</v>
      </c>
      <c r="O208" s="2001" t="s">
        <v>2688</v>
      </c>
      <c r="P208" s="1999">
        <v>30</v>
      </c>
      <c r="Q208" s="2002">
        <v>0</v>
      </c>
      <c r="R208" s="2002">
        <v>0</v>
      </c>
      <c r="S208" s="2002">
        <v>0</v>
      </c>
      <c r="T208" s="1997" t="s">
        <v>2161</v>
      </c>
    </row>
    <row r="209" spans="1:20" s="1979" customFormat="1" ht="18">
      <c r="A209" s="1979">
        <v>203</v>
      </c>
      <c r="B209" s="1993">
        <v>245</v>
      </c>
      <c r="C209" s="1993" t="s">
        <v>6776</v>
      </c>
      <c r="D209" s="1993" t="s">
        <v>2331</v>
      </c>
      <c r="E209" s="1994" t="s">
        <v>5491</v>
      </c>
      <c r="F209" s="1995" t="s">
        <v>5492</v>
      </c>
      <c r="G209" s="1996" t="s">
        <v>6723</v>
      </c>
      <c r="H209" s="1997" t="s">
        <v>2610</v>
      </c>
      <c r="I209" s="1998" t="s">
        <v>2610</v>
      </c>
      <c r="J209" s="1999">
        <v>100</v>
      </c>
      <c r="K209" s="1999">
        <v>100</v>
      </c>
      <c r="L209" s="2000">
        <f t="shared" si="3"/>
        <v>1</v>
      </c>
      <c r="M209" s="2001" t="s">
        <v>2133</v>
      </c>
      <c r="N209" s="2001" t="s">
        <v>2133</v>
      </c>
      <c r="O209" s="2001" t="s">
        <v>2133</v>
      </c>
      <c r="P209" s="1999">
        <v>216</v>
      </c>
      <c r="Q209" s="2002">
        <v>1</v>
      </c>
      <c r="R209" s="2002">
        <v>0</v>
      </c>
      <c r="S209" s="2002">
        <v>0</v>
      </c>
      <c r="T209" s="1997" t="s">
        <v>2161</v>
      </c>
    </row>
    <row r="210" spans="1:20" s="1979" customFormat="1" ht="18">
      <c r="A210" s="1979">
        <v>204</v>
      </c>
      <c r="B210" s="1993">
        <v>247</v>
      </c>
      <c r="C210" s="1993" t="s">
        <v>6776</v>
      </c>
      <c r="D210" s="1993" t="s">
        <v>2331</v>
      </c>
      <c r="E210" s="1994" t="s">
        <v>5493</v>
      </c>
      <c r="F210" s="1995" t="s">
        <v>5494</v>
      </c>
      <c r="G210" s="1996" t="s">
        <v>6723</v>
      </c>
      <c r="H210" s="1997" t="s">
        <v>2610</v>
      </c>
      <c r="I210" s="2004" t="s">
        <v>2610</v>
      </c>
      <c r="J210" s="1999">
        <v>50</v>
      </c>
      <c r="K210" s="1999">
        <v>50</v>
      </c>
      <c r="L210" s="2000">
        <f t="shared" si="3"/>
        <v>1</v>
      </c>
      <c r="M210" s="2001" t="s">
        <v>2133</v>
      </c>
      <c r="N210" s="2001" t="s">
        <v>2133</v>
      </c>
      <c r="O210" s="2001" t="s">
        <v>2133</v>
      </c>
      <c r="P210" s="1999">
        <v>150</v>
      </c>
      <c r="Q210" s="2002">
        <v>2</v>
      </c>
      <c r="R210" s="2002">
        <v>14</v>
      </c>
      <c r="S210" s="2002">
        <v>11</v>
      </c>
      <c r="T210" s="1997" t="s">
        <v>2161</v>
      </c>
    </row>
    <row r="211" spans="1:20" s="1979" customFormat="1" ht="18">
      <c r="A211" s="1979">
        <v>205</v>
      </c>
      <c r="B211" s="1993">
        <v>249</v>
      </c>
      <c r="C211" s="1993" t="s">
        <v>6776</v>
      </c>
      <c r="D211" s="1993" t="s">
        <v>2331</v>
      </c>
      <c r="E211" s="1994" t="s">
        <v>5495</v>
      </c>
      <c r="F211" s="1995" t="s">
        <v>5496</v>
      </c>
      <c r="G211" s="1996" t="s">
        <v>6723</v>
      </c>
      <c r="H211" s="1997" t="s">
        <v>2610</v>
      </c>
      <c r="I211" s="2004" t="s">
        <v>2610</v>
      </c>
      <c r="J211" s="1999">
        <v>101</v>
      </c>
      <c r="K211" s="1999">
        <v>82</v>
      </c>
      <c r="L211" s="2000">
        <f t="shared" si="3"/>
        <v>0.81188118811881194</v>
      </c>
      <c r="M211" s="2001" t="s">
        <v>2133</v>
      </c>
      <c r="N211" s="2001" t="s">
        <v>2133</v>
      </c>
      <c r="O211" s="2001" t="s">
        <v>2133</v>
      </c>
      <c r="P211" s="1999">
        <v>100</v>
      </c>
      <c r="Q211" s="2002">
        <v>1</v>
      </c>
      <c r="R211" s="2002">
        <v>20</v>
      </c>
      <c r="S211" s="2002">
        <v>12</v>
      </c>
      <c r="T211" s="1997" t="s">
        <v>2161</v>
      </c>
    </row>
    <row r="212" spans="1:20" s="1979" customFormat="1" ht="18">
      <c r="A212" s="1979">
        <v>206</v>
      </c>
      <c r="B212" s="1993">
        <v>250</v>
      </c>
      <c r="C212" s="1993" t="s">
        <v>6776</v>
      </c>
      <c r="D212" s="1993" t="s">
        <v>2331</v>
      </c>
      <c r="E212" s="1994" t="s">
        <v>5497</v>
      </c>
      <c r="F212" s="1995" t="s">
        <v>5498</v>
      </c>
      <c r="G212" s="1996" t="s">
        <v>6723</v>
      </c>
      <c r="H212" s="1997" t="s">
        <v>2609</v>
      </c>
      <c r="I212" s="2004" t="s">
        <v>2610</v>
      </c>
      <c r="J212" s="1999">
        <v>103</v>
      </c>
      <c r="K212" s="1999">
        <v>58</v>
      </c>
      <c r="L212" s="2000">
        <f t="shared" si="3"/>
        <v>0.56310679611650483</v>
      </c>
      <c r="M212" s="2001" t="s">
        <v>2133</v>
      </c>
      <c r="N212" s="2001" t="s">
        <v>2133</v>
      </c>
      <c r="O212" s="2001" t="s">
        <v>2133</v>
      </c>
      <c r="P212" s="1999">
        <v>200</v>
      </c>
      <c r="Q212" s="2002">
        <v>2</v>
      </c>
      <c r="R212" s="2002">
        <v>16</v>
      </c>
      <c r="S212" s="2002">
        <v>7</v>
      </c>
      <c r="T212" s="1997" t="s">
        <v>2161</v>
      </c>
    </row>
    <row r="213" spans="1:20" s="1979" customFormat="1" ht="18">
      <c r="A213" s="1979">
        <v>207</v>
      </c>
      <c r="B213" s="1993">
        <v>251</v>
      </c>
      <c r="C213" s="1993" t="s">
        <v>6776</v>
      </c>
      <c r="D213" s="1993" t="s">
        <v>2331</v>
      </c>
      <c r="E213" s="1994" t="s">
        <v>5499</v>
      </c>
      <c r="F213" s="1995" t="s">
        <v>5500</v>
      </c>
      <c r="G213" s="1996" t="s">
        <v>6723</v>
      </c>
      <c r="H213" s="1997" t="s">
        <v>2609</v>
      </c>
      <c r="I213" s="2004" t="s">
        <v>2609</v>
      </c>
      <c r="J213" s="1999">
        <v>62</v>
      </c>
      <c r="K213" s="1999">
        <v>62</v>
      </c>
      <c r="L213" s="2000">
        <f t="shared" si="3"/>
        <v>1</v>
      </c>
      <c r="M213" s="2001" t="s">
        <v>2133</v>
      </c>
      <c r="N213" s="2001" t="s">
        <v>2133</v>
      </c>
      <c r="O213" s="2001" t="s">
        <v>2133</v>
      </c>
      <c r="P213" s="1999">
        <v>140</v>
      </c>
      <c r="Q213" s="2002">
        <v>0</v>
      </c>
      <c r="R213" s="2002">
        <v>13</v>
      </c>
      <c r="S213" s="2002">
        <v>5</v>
      </c>
      <c r="T213" s="1997" t="s">
        <v>2161</v>
      </c>
    </row>
    <row r="214" spans="1:20" s="1979" customFormat="1" ht="18">
      <c r="A214" s="1979">
        <v>208</v>
      </c>
      <c r="B214" s="1993">
        <v>252</v>
      </c>
      <c r="C214" s="1993" t="s">
        <v>6776</v>
      </c>
      <c r="D214" s="1993" t="s">
        <v>2331</v>
      </c>
      <c r="E214" s="1994" t="s">
        <v>5502</v>
      </c>
      <c r="F214" s="1995" t="s">
        <v>5503</v>
      </c>
      <c r="G214" s="1996" t="s">
        <v>6723</v>
      </c>
      <c r="H214" s="1997" t="s">
        <v>2610</v>
      </c>
      <c r="I214" s="2004" t="s">
        <v>2609</v>
      </c>
      <c r="J214" s="1999">
        <v>70</v>
      </c>
      <c r="K214" s="1999">
        <v>55</v>
      </c>
      <c r="L214" s="2000">
        <f t="shared" si="3"/>
        <v>0.7857142857142857</v>
      </c>
      <c r="M214" s="2001" t="s">
        <v>2133</v>
      </c>
      <c r="N214" s="2001" t="s">
        <v>2133</v>
      </c>
      <c r="O214" s="2001" t="s">
        <v>2133</v>
      </c>
      <c r="P214" s="1999">
        <v>125</v>
      </c>
      <c r="Q214" s="2002">
        <v>3</v>
      </c>
      <c r="R214" s="2002">
        <v>14</v>
      </c>
      <c r="S214" s="2002">
        <v>14</v>
      </c>
      <c r="T214" s="1997" t="s">
        <v>2161</v>
      </c>
    </row>
    <row r="215" spans="1:20" s="1979" customFormat="1" ht="18">
      <c r="A215" s="1979">
        <v>209</v>
      </c>
      <c r="B215" s="1993">
        <v>253</v>
      </c>
      <c r="C215" s="1993" t="s">
        <v>6776</v>
      </c>
      <c r="D215" s="1993" t="s">
        <v>2331</v>
      </c>
      <c r="E215" s="1994" t="s">
        <v>3576</v>
      </c>
      <c r="F215" s="1995" t="s">
        <v>5505</v>
      </c>
      <c r="G215" s="1996" t="s">
        <v>6723</v>
      </c>
      <c r="H215" s="1997" t="s">
        <v>2610</v>
      </c>
      <c r="I215" s="2004" t="s">
        <v>2610</v>
      </c>
      <c r="J215" s="1999">
        <v>114</v>
      </c>
      <c r="K215" s="1999">
        <v>114</v>
      </c>
      <c r="L215" s="2000">
        <f t="shared" si="3"/>
        <v>1</v>
      </c>
      <c r="M215" s="2001" t="s">
        <v>2133</v>
      </c>
      <c r="N215" s="2001" t="s">
        <v>2688</v>
      </c>
      <c r="O215" s="2001" t="s">
        <v>2688</v>
      </c>
      <c r="P215" s="1999">
        <v>64</v>
      </c>
      <c r="Q215" s="2002">
        <v>3</v>
      </c>
      <c r="R215" s="2002">
        <v>2</v>
      </c>
      <c r="S215" s="2002">
        <v>2</v>
      </c>
      <c r="T215" s="1997" t="s">
        <v>2161</v>
      </c>
    </row>
    <row r="216" spans="1:20" s="1979" customFormat="1" ht="18">
      <c r="A216" s="1979">
        <v>210</v>
      </c>
      <c r="B216" s="1993">
        <v>255</v>
      </c>
      <c r="C216" s="1993" t="s">
        <v>6776</v>
      </c>
      <c r="D216" s="1993" t="s">
        <v>2331</v>
      </c>
      <c r="E216" s="1994" t="s">
        <v>5506</v>
      </c>
      <c r="F216" s="1995" t="s">
        <v>5507</v>
      </c>
      <c r="G216" s="1996" t="s">
        <v>6723</v>
      </c>
      <c r="H216" s="1997" t="s">
        <v>2610</v>
      </c>
      <c r="I216" s="1998" t="s">
        <v>2610</v>
      </c>
      <c r="J216" s="1999">
        <v>17</v>
      </c>
      <c r="K216" s="1999">
        <v>17</v>
      </c>
      <c r="L216" s="2000">
        <f t="shared" si="3"/>
        <v>1</v>
      </c>
      <c r="M216" s="2001" t="s">
        <v>2133</v>
      </c>
      <c r="N216" s="2001" t="s">
        <v>2133</v>
      </c>
      <c r="O216" s="2001" t="s">
        <v>2133</v>
      </c>
      <c r="P216" s="1999">
        <v>50</v>
      </c>
      <c r="Q216" s="2002">
        <v>4</v>
      </c>
      <c r="R216" s="2002">
        <v>0</v>
      </c>
      <c r="S216" s="2002">
        <v>0</v>
      </c>
      <c r="T216" s="1997" t="s">
        <v>2161</v>
      </c>
    </row>
    <row r="217" spans="1:20" s="1979" customFormat="1" ht="18">
      <c r="A217" s="1979">
        <v>211</v>
      </c>
      <c r="B217" s="1993">
        <v>256</v>
      </c>
      <c r="C217" s="1993" t="s">
        <v>6776</v>
      </c>
      <c r="D217" s="1993" t="s">
        <v>2331</v>
      </c>
      <c r="E217" s="1994" t="s">
        <v>2481</v>
      </c>
      <c r="F217" s="1995" t="s">
        <v>5507</v>
      </c>
      <c r="G217" s="1996" t="s">
        <v>6723</v>
      </c>
      <c r="H217" s="1997" t="s">
        <v>2610</v>
      </c>
      <c r="I217" s="2004" t="s">
        <v>2609</v>
      </c>
      <c r="J217" s="1999">
        <v>82</v>
      </c>
      <c r="K217" s="1999">
        <v>82</v>
      </c>
      <c r="L217" s="2000">
        <f t="shared" si="3"/>
        <v>1</v>
      </c>
      <c r="M217" s="2001" t="s">
        <v>2133</v>
      </c>
      <c r="N217" s="2001" t="s">
        <v>2133</v>
      </c>
      <c r="O217" s="2001" t="s">
        <v>2133</v>
      </c>
      <c r="P217" s="1999">
        <v>120</v>
      </c>
      <c r="Q217" s="2002">
        <v>2</v>
      </c>
      <c r="R217" s="2002">
        <v>16</v>
      </c>
      <c r="S217" s="2002">
        <v>16</v>
      </c>
      <c r="T217" s="1997" t="s">
        <v>2161</v>
      </c>
    </row>
    <row r="218" spans="1:20" s="1979" customFormat="1" ht="18">
      <c r="A218" s="1979">
        <v>212</v>
      </c>
      <c r="B218" s="1993">
        <v>257</v>
      </c>
      <c r="C218" s="1993" t="s">
        <v>6776</v>
      </c>
      <c r="D218" s="1993" t="s">
        <v>2331</v>
      </c>
      <c r="E218" s="1994" t="s">
        <v>5508</v>
      </c>
      <c r="F218" s="1995" t="s">
        <v>5507</v>
      </c>
      <c r="G218" s="1996" t="s">
        <v>6723</v>
      </c>
      <c r="H218" s="1997" t="s">
        <v>2610</v>
      </c>
      <c r="I218" s="2004" t="s">
        <v>2610</v>
      </c>
      <c r="J218" s="1999">
        <v>42</v>
      </c>
      <c r="K218" s="1999">
        <v>42</v>
      </c>
      <c r="L218" s="2000">
        <f t="shared" si="3"/>
        <v>1</v>
      </c>
      <c r="M218" s="2001" t="s">
        <v>2133</v>
      </c>
      <c r="N218" s="2001" t="s">
        <v>2688</v>
      </c>
      <c r="O218" s="2001" t="s">
        <v>2133</v>
      </c>
      <c r="P218" s="1999">
        <v>96</v>
      </c>
      <c r="Q218" s="2002">
        <v>2</v>
      </c>
      <c r="R218" s="2002">
        <v>8</v>
      </c>
      <c r="S218" s="2002">
        <v>8</v>
      </c>
      <c r="T218" s="1997" t="s">
        <v>2161</v>
      </c>
    </row>
    <row r="219" spans="1:20" s="1979" customFormat="1" ht="18">
      <c r="A219" s="1979">
        <v>213</v>
      </c>
      <c r="B219" s="1993">
        <v>260</v>
      </c>
      <c r="C219" s="1993" t="s">
        <v>6776</v>
      </c>
      <c r="D219" s="1993" t="s">
        <v>2331</v>
      </c>
      <c r="E219" s="1994" t="s">
        <v>3580</v>
      </c>
      <c r="F219" s="1995" t="s">
        <v>5509</v>
      </c>
      <c r="G219" s="1996" t="s">
        <v>6723</v>
      </c>
      <c r="H219" s="1997" t="s">
        <v>2610</v>
      </c>
      <c r="I219" s="2004" t="s">
        <v>3128</v>
      </c>
      <c r="J219" s="1999">
        <v>27</v>
      </c>
      <c r="K219" s="1999">
        <v>16</v>
      </c>
      <c r="L219" s="2000">
        <f t="shared" si="3"/>
        <v>0.59259259259259256</v>
      </c>
      <c r="M219" s="2001" t="s">
        <v>2133</v>
      </c>
      <c r="N219" s="2001" t="s">
        <v>2133</v>
      </c>
      <c r="O219" s="2001" t="s">
        <v>2133</v>
      </c>
      <c r="P219" s="1999">
        <v>40</v>
      </c>
      <c r="Q219" s="2002">
        <v>2</v>
      </c>
      <c r="R219" s="2002">
        <v>12</v>
      </c>
      <c r="S219" s="2002">
        <v>12</v>
      </c>
      <c r="T219" s="1997" t="s">
        <v>2161</v>
      </c>
    </row>
    <row r="220" spans="1:20" s="1979" customFormat="1" ht="18">
      <c r="A220" s="1979">
        <v>214</v>
      </c>
      <c r="B220" s="1993">
        <v>261</v>
      </c>
      <c r="C220" s="1993" t="s">
        <v>6776</v>
      </c>
      <c r="D220" s="1993" t="s">
        <v>2331</v>
      </c>
      <c r="E220" s="1994" t="s">
        <v>5510</v>
      </c>
      <c r="F220" s="1995" t="s">
        <v>5511</v>
      </c>
      <c r="G220" s="1996" t="s">
        <v>6723</v>
      </c>
      <c r="H220" s="1997" t="s">
        <v>2610</v>
      </c>
      <c r="I220" s="2004" t="s">
        <v>2610</v>
      </c>
      <c r="J220" s="1999">
        <v>82</v>
      </c>
      <c r="K220" s="1999">
        <v>82</v>
      </c>
      <c r="L220" s="2000">
        <f t="shared" si="3"/>
        <v>1</v>
      </c>
      <c r="M220" s="2001" t="s">
        <v>2133</v>
      </c>
      <c r="N220" s="2001" t="s">
        <v>2133</v>
      </c>
      <c r="O220" s="2001" t="s">
        <v>2133</v>
      </c>
      <c r="P220" s="1999">
        <v>200</v>
      </c>
      <c r="Q220" s="2002">
        <v>0</v>
      </c>
      <c r="R220" s="2002">
        <v>18</v>
      </c>
      <c r="S220" s="2002" t="s">
        <v>6731</v>
      </c>
      <c r="T220" s="1997" t="s">
        <v>2161</v>
      </c>
    </row>
    <row r="221" spans="1:20" s="1979" customFormat="1" ht="18">
      <c r="A221" s="1979">
        <v>215</v>
      </c>
      <c r="B221" s="1993">
        <v>262</v>
      </c>
      <c r="C221" s="1993" t="s">
        <v>6777</v>
      </c>
      <c r="D221" s="1993" t="s">
        <v>2359</v>
      </c>
      <c r="E221" s="1994" t="s">
        <v>5512</v>
      </c>
      <c r="F221" s="1995" t="s">
        <v>5513</v>
      </c>
      <c r="G221" s="1996" t="s">
        <v>6723</v>
      </c>
      <c r="H221" s="1997" t="s">
        <v>2609</v>
      </c>
      <c r="I221" s="1998" t="s">
        <v>2609</v>
      </c>
      <c r="J221" s="1999">
        <v>89</v>
      </c>
      <c r="K221" s="1999">
        <v>25</v>
      </c>
      <c r="L221" s="2000">
        <f t="shared" si="3"/>
        <v>0.2808988764044944</v>
      </c>
      <c r="M221" s="2001" t="s">
        <v>2133</v>
      </c>
      <c r="N221" s="2001" t="s">
        <v>2133</v>
      </c>
      <c r="O221" s="2001" t="s">
        <v>2133</v>
      </c>
      <c r="P221" s="1999">
        <v>45</v>
      </c>
      <c r="Q221" s="2002">
        <v>1</v>
      </c>
      <c r="R221" s="2002">
        <v>0</v>
      </c>
      <c r="S221" s="2002">
        <v>0</v>
      </c>
      <c r="T221" s="1997" t="s">
        <v>2161</v>
      </c>
    </row>
    <row r="222" spans="1:20" s="1979" customFormat="1" ht="18">
      <c r="A222" s="1979">
        <v>216</v>
      </c>
      <c r="B222" s="1993">
        <v>263</v>
      </c>
      <c r="C222" s="1993" t="s">
        <v>6777</v>
      </c>
      <c r="D222" s="1993" t="s">
        <v>2359</v>
      </c>
      <c r="E222" s="1994" t="s">
        <v>5514</v>
      </c>
      <c r="F222" s="1995" t="s">
        <v>5515</v>
      </c>
      <c r="G222" s="1996" t="s">
        <v>6723</v>
      </c>
      <c r="H222" s="1997" t="s">
        <v>2609</v>
      </c>
      <c r="I222" s="2004" t="s">
        <v>2610</v>
      </c>
      <c r="J222" s="1999">
        <v>57</v>
      </c>
      <c r="K222" s="1999">
        <v>5</v>
      </c>
      <c r="L222" s="2000">
        <f t="shared" si="3"/>
        <v>8.771929824561403E-2</v>
      </c>
      <c r="M222" s="2001" t="s">
        <v>2133</v>
      </c>
      <c r="N222" s="2001" t="s">
        <v>2133</v>
      </c>
      <c r="O222" s="2001" t="s">
        <v>2133</v>
      </c>
      <c r="P222" s="1999">
        <v>200</v>
      </c>
      <c r="Q222" s="2002">
        <v>3</v>
      </c>
      <c r="R222" s="2002">
        <v>4</v>
      </c>
      <c r="S222" s="2003" t="s">
        <v>6731</v>
      </c>
      <c r="T222" s="1997" t="s">
        <v>2161</v>
      </c>
    </row>
    <row r="223" spans="1:20" s="1979" customFormat="1" ht="18">
      <c r="A223" s="1979">
        <v>217</v>
      </c>
      <c r="B223" s="1993">
        <v>265</v>
      </c>
      <c r="C223" s="1993" t="s">
        <v>6777</v>
      </c>
      <c r="D223" s="1993" t="s">
        <v>2359</v>
      </c>
      <c r="E223" s="1994" t="s">
        <v>6778</v>
      </c>
      <c r="F223" s="1995" t="s">
        <v>5631</v>
      </c>
      <c r="G223" s="1996" t="s">
        <v>6723</v>
      </c>
      <c r="H223" s="1997" t="s">
        <v>2610</v>
      </c>
      <c r="I223" s="2004" t="s">
        <v>2610</v>
      </c>
      <c r="J223" s="1999">
        <v>147</v>
      </c>
      <c r="K223" s="1999">
        <v>147</v>
      </c>
      <c r="L223" s="2000">
        <f t="shared" si="3"/>
        <v>1</v>
      </c>
      <c r="M223" s="2001" t="s">
        <v>2133</v>
      </c>
      <c r="N223" s="2001" t="s">
        <v>2133</v>
      </c>
      <c r="O223" s="2001" t="s">
        <v>2133</v>
      </c>
      <c r="P223" s="1999">
        <v>260</v>
      </c>
      <c r="Q223" s="2002">
        <v>2</v>
      </c>
      <c r="R223" s="2002">
        <v>6</v>
      </c>
      <c r="S223" s="2002">
        <v>6</v>
      </c>
      <c r="T223" s="1997" t="s">
        <v>2161</v>
      </c>
    </row>
    <row r="224" spans="1:20" s="1979" customFormat="1" ht="18">
      <c r="A224" s="1979">
        <v>218</v>
      </c>
      <c r="B224" s="1993">
        <v>266</v>
      </c>
      <c r="C224" s="1993" t="s">
        <v>6777</v>
      </c>
      <c r="D224" s="1993" t="s">
        <v>2359</v>
      </c>
      <c r="E224" s="1994" t="s">
        <v>5516</v>
      </c>
      <c r="F224" s="1995" t="s">
        <v>5517</v>
      </c>
      <c r="G224" s="1996" t="s">
        <v>6723</v>
      </c>
      <c r="H224" s="1997" t="s">
        <v>2609</v>
      </c>
      <c r="I224" s="1998" t="s">
        <v>2610</v>
      </c>
      <c r="J224" s="1999">
        <v>105</v>
      </c>
      <c r="K224" s="1999">
        <v>40</v>
      </c>
      <c r="L224" s="2000">
        <f t="shared" si="3"/>
        <v>0.38095238095238093</v>
      </c>
      <c r="M224" s="2001" t="s">
        <v>2133</v>
      </c>
      <c r="N224" s="2001" t="s">
        <v>2133</v>
      </c>
      <c r="O224" s="2001" t="s">
        <v>2133</v>
      </c>
      <c r="P224" s="1999">
        <v>42</v>
      </c>
      <c r="Q224" s="2002">
        <v>1</v>
      </c>
      <c r="R224" s="2002">
        <v>1</v>
      </c>
      <c r="S224" s="2002" t="s">
        <v>6731</v>
      </c>
      <c r="T224" s="1997" t="s">
        <v>2161</v>
      </c>
    </row>
    <row r="225" spans="1:33" s="1979" customFormat="1" ht="18">
      <c r="A225" s="1979">
        <v>219</v>
      </c>
      <c r="B225" s="1993">
        <v>267</v>
      </c>
      <c r="C225" s="1993" t="s">
        <v>6777</v>
      </c>
      <c r="D225" s="1993" t="s">
        <v>3899</v>
      </c>
      <c r="E225" s="1994" t="s">
        <v>5518</v>
      </c>
      <c r="F225" s="1995" t="s">
        <v>5519</v>
      </c>
      <c r="G225" s="1996" t="s">
        <v>6723</v>
      </c>
      <c r="H225" s="1997" t="s">
        <v>2609</v>
      </c>
      <c r="I225" s="1998" t="s">
        <v>2610</v>
      </c>
      <c r="J225" s="1999">
        <v>100</v>
      </c>
      <c r="K225" s="1999">
        <v>39</v>
      </c>
      <c r="L225" s="2000">
        <f t="shared" si="3"/>
        <v>0.39</v>
      </c>
      <c r="M225" s="2001" t="s">
        <v>2133</v>
      </c>
      <c r="N225" s="2001" t="s">
        <v>2133</v>
      </c>
      <c r="O225" s="2001" t="s">
        <v>2133</v>
      </c>
      <c r="P225" s="1999">
        <v>157</v>
      </c>
      <c r="Q225" s="2002">
        <v>1</v>
      </c>
      <c r="R225" s="2002">
        <v>2</v>
      </c>
      <c r="S225" s="2002" t="s">
        <v>6731</v>
      </c>
      <c r="T225" s="1997" t="s">
        <v>2161</v>
      </c>
    </row>
    <row r="226" spans="1:33" s="1979" customFormat="1" ht="18">
      <c r="A226" s="1979">
        <v>220</v>
      </c>
      <c r="B226" s="1993">
        <v>268</v>
      </c>
      <c r="C226" s="1993" t="s">
        <v>6777</v>
      </c>
      <c r="D226" s="1993" t="s">
        <v>3899</v>
      </c>
      <c r="E226" s="1994" t="s">
        <v>5520</v>
      </c>
      <c r="F226" s="1995" t="s">
        <v>5521</v>
      </c>
      <c r="G226" s="1996" t="s">
        <v>6723</v>
      </c>
      <c r="H226" s="1997" t="s">
        <v>2610</v>
      </c>
      <c r="I226" s="2004" t="s">
        <v>2610</v>
      </c>
      <c r="J226" s="1999">
        <v>58</v>
      </c>
      <c r="K226" s="1999">
        <v>58</v>
      </c>
      <c r="L226" s="2000">
        <f t="shared" si="3"/>
        <v>1</v>
      </c>
      <c r="M226" s="2001" t="s">
        <v>2133</v>
      </c>
      <c r="N226" s="2001" t="s">
        <v>3804</v>
      </c>
      <c r="O226" s="2001" t="s">
        <v>3804</v>
      </c>
      <c r="P226" s="1999">
        <v>80</v>
      </c>
      <c r="Q226" s="2002">
        <v>0</v>
      </c>
      <c r="R226" s="2002">
        <v>4</v>
      </c>
      <c r="S226" s="2002">
        <v>4</v>
      </c>
      <c r="T226" s="1997" t="s">
        <v>2161</v>
      </c>
    </row>
    <row r="227" spans="1:33" s="1979" customFormat="1" ht="18">
      <c r="A227" s="1979">
        <v>221</v>
      </c>
      <c r="B227" s="1993">
        <v>269</v>
      </c>
      <c r="C227" s="1993" t="s">
        <v>6777</v>
      </c>
      <c r="D227" s="1993" t="s">
        <v>3899</v>
      </c>
      <c r="E227" s="1994" t="s">
        <v>3898</v>
      </c>
      <c r="F227" s="1995" t="s">
        <v>5522</v>
      </c>
      <c r="G227" s="1996" t="s">
        <v>6723</v>
      </c>
      <c r="H227" s="1997" t="s">
        <v>2609</v>
      </c>
      <c r="I227" s="1998" t="s">
        <v>2610</v>
      </c>
      <c r="J227" s="1999">
        <v>162</v>
      </c>
      <c r="K227" s="1999">
        <v>136</v>
      </c>
      <c r="L227" s="2000">
        <f t="shared" si="3"/>
        <v>0.83950617283950613</v>
      </c>
      <c r="M227" s="2001" t="s">
        <v>2133</v>
      </c>
      <c r="N227" s="2001" t="s">
        <v>2688</v>
      </c>
      <c r="O227" s="2001" t="s">
        <v>2133</v>
      </c>
      <c r="P227" s="1999">
        <v>60</v>
      </c>
      <c r="Q227" s="2002">
        <v>1</v>
      </c>
      <c r="R227" s="2002">
        <v>0</v>
      </c>
      <c r="S227" s="2002">
        <v>0</v>
      </c>
      <c r="T227" s="1997" t="s">
        <v>2161</v>
      </c>
    </row>
    <row r="228" spans="1:33" s="1979" customFormat="1" ht="18">
      <c r="A228" s="1979">
        <v>222</v>
      </c>
      <c r="B228" s="1993">
        <v>270</v>
      </c>
      <c r="C228" s="1993" t="s">
        <v>6777</v>
      </c>
      <c r="D228" s="1993" t="s">
        <v>3899</v>
      </c>
      <c r="E228" s="1994" t="s">
        <v>5523</v>
      </c>
      <c r="F228" s="1995" t="s">
        <v>5524</v>
      </c>
      <c r="G228" s="1996" t="s">
        <v>6723</v>
      </c>
      <c r="H228" s="1997" t="s">
        <v>2609</v>
      </c>
      <c r="I228" s="1998" t="s">
        <v>2609</v>
      </c>
      <c r="J228" s="1999">
        <v>94</v>
      </c>
      <c r="K228" s="1999">
        <v>46</v>
      </c>
      <c r="L228" s="2000">
        <f t="shared" si="3"/>
        <v>0.48936170212765956</v>
      </c>
      <c r="M228" s="2001" t="s">
        <v>2133</v>
      </c>
      <c r="N228" s="2001" t="s">
        <v>2688</v>
      </c>
      <c r="O228" s="2001" t="s">
        <v>2688</v>
      </c>
      <c r="P228" s="1999">
        <v>18</v>
      </c>
      <c r="Q228" s="2002">
        <v>0</v>
      </c>
      <c r="R228" s="2002">
        <v>0</v>
      </c>
      <c r="S228" s="2002">
        <v>0</v>
      </c>
      <c r="T228" s="1997" t="s">
        <v>2161</v>
      </c>
    </row>
    <row r="229" spans="1:33" s="1979" customFormat="1" ht="18">
      <c r="A229" s="1979">
        <v>223</v>
      </c>
      <c r="B229" s="1993">
        <v>271</v>
      </c>
      <c r="C229" s="1993" t="s">
        <v>6777</v>
      </c>
      <c r="D229" s="1993" t="s">
        <v>3899</v>
      </c>
      <c r="E229" s="1994" t="s">
        <v>5525</v>
      </c>
      <c r="F229" s="1995" t="s">
        <v>5526</v>
      </c>
      <c r="G229" s="1996" t="s">
        <v>6723</v>
      </c>
      <c r="H229" s="1997" t="s">
        <v>2609</v>
      </c>
      <c r="I229" s="1998" t="s">
        <v>2610</v>
      </c>
      <c r="J229" s="1999">
        <v>143</v>
      </c>
      <c r="K229" s="1999">
        <v>40</v>
      </c>
      <c r="L229" s="2000">
        <f t="shared" si="3"/>
        <v>0.27972027972027974</v>
      </c>
      <c r="M229" s="2001" t="s">
        <v>2133</v>
      </c>
      <c r="N229" s="2001" t="s">
        <v>2688</v>
      </c>
      <c r="O229" s="2001" t="s">
        <v>2688</v>
      </c>
      <c r="P229" s="1999">
        <v>54</v>
      </c>
      <c r="Q229" s="2002">
        <v>0</v>
      </c>
      <c r="R229" s="2002">
        <v>0</v>
      </c>
      <c r="S229" s="2002">
        <v>0</v>
      </c>
      <c r="T229" s="1997" t="s">
        <v>2161</v>
      </c>
    </row>
    <row r="230" spans="1:33" s="1979" customFormat="1" ht="18">
      <c r="A230" s="1979">
        <v>224</v>
      </c>
      <c r="B230" s="1993">
        <v>272</v>
      </c>
      <c r="C230" s="1993" t="s">
        <v>6777</v>
      </c>
      <c r="D230" s="1993" t="s">
        <v>3899</v>
      </c>
      <c r="E230" s="1994" t="s">
        <v>5527</v>
      </c>
      <c r="F230" s="1995" t="s">
        <v>5528</v>
      </c>
      <c r="G230" s="1996" t="s">
        <v>6723</v>
      </c>
      <c r="H230" s="1997" t="s">
        <v>2610</v>
      </c>
      <c r="I230" s="1998" t="s">
        <v>2610</v>
      </c>
      <c r="J230" s="1999">
        <v>139</v>
      </c>
      <c r="K230" s="1999">
        <v>139</v>
      </c>
      <c r="L230" s="2000">
        <f t="shared" si="3"/>
        <v>1</v>
      </c>
      <c r="M230" s="2001" t="s">
        <v>2133</v>
      </c>
      <c r="N230" s="2001" t="s">
        <v>2688</v>
      </c>
      <c r="O230" s="2001" t="s">
        <v>2688</v>
      </c>
      <c r="P230" s="1999">
        <v>50</v>
      </c>
      <c r="Q230" s="2002">
        <v>0</v>
      </c>
      <c r="R230" s="2002">
        <v>0</v>
      </c>
      <c r="S230" s="2002">
        <v>0</v>
      </c>
      <c r="T230" s="1997" t="s">
        <v>2688</v>
      </c>
    </row>
    <row r="231" spans="1:33" s="1979" customFormat="1" ht="18">
      <c r="A231" s="1979">
        <v>225</v>
      </c>
      <c r="B231" s="1993">
        <v>273</v>
      </c>
      <c r="C231" s="1993" t="s">
        <v>6777</v>
      </c>
      <c r="D231" s="1993" t="s">
        <v>3899</v>
      </c>
      <c r="E231" s="1994" t="s">
        <v>5529</v>
      </c>
      <c r="F231" s="1995" t="s">
        <v>5530</v>
      </c>
      <c r="G231" s="1996" t="s">
        <v>6723</v>
      </c>
      <c r="H231" s="1997" t="s">
        <v>2609</v>
      </c>
      <c r="I231" s="1998" t="s">
        <v>2610</v>
      </c>
      <c r="J231" s="1999">
        <v>71</v>
      </c>
      <c r="K231" s="1999">
        <v>40</v>
      </c>
      <c r="L231" s="2000">
        <f t="shared" si="3"/>
        <v>0.56338028169014087</v>
      </c>
      <c r="M231" s="2001" t="s">
        <v>2133</v>
      </c>
      <c r="N231" s="2001" t="s">
        <v>2688</v>
      </c>
      <c r="O231" s="2001" t="s">
        <v>2688</v>
      </c>
      <c r="P231" s="1999">
        <v>18</v>
      </c>
      <c r="Q231" s="2002">
        <v>0</v>
      </c>
      <c r="R231" s="2002">
        <v>1</v>
      </c>
      <c r="S231" s="2002">
        <v>1</v>
      </c>
      <c r="T231" s="1997" t="s">
        <v>2161</v>
      </c>
    </row>
    <row r="232" spans="1:33" s="1980" customFormat="1" ht="18">
      <c r="A232" s="1980">
        <v>226</v>
      </c>
      <c r="B232" s="2005">
        <v>274</v>
      </c>
      <c r="C232" s="2005" t="s">
        <v>6777</v>
      </c>
      <c r="D232" s="2005" t="s">
        <v>4305</v>
      </c>
      <c r="E232" s="2006" t="s">
        <v>6779</v>
      </c>
      <c r="F232" s="2007" t="s">
        <v>6780</v>
      </c>
      <c r="G232" s="2008" t="s">
        <v>6726</v>
      </c>
      <c r="H232" s="1998" t="s">
        <v>2609</v>
      </c>
      <c r="I232" s="1998" t="s">
        <v>2609</v>
      </c>
      <c r="J232" s="2009">
        <v>10</v>
      </c>
      <c r="K232" s="2009">
        <v>0</v>
      </c>
      <c r="L232" s="2010">
        <f t="shared" si="3"/>
        <v>0</v>
      </c>
      <c r="M232" s="2001" t="s">
        <v>2161</v>
      </c>
      <c r="N232" s="2011" t="s">
        <v>3804</v>
      </c>
      <c r="O232" s="2011" t="s">
        <v>3804</v>
      </c>
      <c r="P232" s="2012">
        <v>120</v>
      </c>
      <c r="Q232" s="2012">
        <v>1</v>
      </c>
      <c r="R232" s="2012">
        <v>1</v>
      </c>
      <c r="S232" s="2013" t="s">
        <v>6755</v>
      </c>
      <c r="T232" s="2011" t="s">
        <v>2161</v>
      </c>
    </row>
    <row r="233" spans="1:33" s="1979" customFormat="1" ht="18">
      <c r="A233" s="1979">
        <v>227</v>
      </c>
      <c r="B233" s="1993">
        <v>275</v>
      </c>
      <c r="C233" s="1993" t="s">
        <v>6777</v>
      </c>
      <c r="D233" s="1993" t="s">
        <v>2364</v>
      </c>
      <c r="E233" s="1994" t="s">
        <v>5531</v>
      </c>
      <c r="F233" s="1995" t="s">
        <v>5532</v>
      </c>
      <c r="G233" s="1996" t="s">
        <v>6767</v>
      </c>
      <c r="H233" s="1997" t="s">
        <v>6781</v>
      </c>
      <c r="I233" s="2004" t="s">
        <v>2609</v>
      </c>
      <c r="J233" s="1999">
        <v>54</v>
      </c>
      <c r="K233" s="1999">
        <v>0</v>
      </c>
      <c r="L233" s="2000">
        <f t="shared" si="3"/>
        <v>0</v>
      </c>
      <c r="M233" s="2001" t="s">
        <v>2133</v>
      </c>
      <c r="N233" s="2001" t="s">
        <v>2133</v>
      </c>
      <c r="O233" s="2001" t="s">
        <v>2133</v>
      </c>
      <c r="P233" s="1999">
        <v>130</v>
      </c>
      <c r="Q233" s="2002">
        <v>4</v>
      </c>
      <c r="R233" s="2002">
        <v>8</v>
      </c>
      <c r="S233" s="2002" t="s">
        <v>6731</v>
      </c>
      <c r="T233" s="1997" t="s">
        <v>2161</v>
      </c>
      <c r="AA233" s="2014"/>
      <c r="AB233" s="2014"/>
      <c r="AC233" s="2015"/>
      <c r="AD233" s="2016"/>
      <c r="AE233" s="2017"/>
      <c r="AF233" s="2016"/>
      <c r="AG233" s="2018"/>
    </row>
    <row r="234" spans="1:33" s="1979" customFormat="1" ht="18">
      <c r="A234" s="1979">
        <v>228</v>
      </c>
      <c r="B234" s="1993">
        <v>276</v>
      </c>
      <c r="C234" s="1993" t="s">
        <v>6777</v>
      </c>
      <c r="D234" s="1993" t="s">
        <v>2364</v>
      </c>
      <c r="E234" s="1994" t="s">
        <v>5533</v>
      </c>
      <c r="F234" s="1995" t="s">
        <v>6782</v>
      </c>
      <c r="G234" s="1996" t="s">
        <v>6723</v>
      </c>
      <c r="H234" s="1997" t="s">
        <v>2609</v>
      </c>
      <c r="I234" s="1998" t="s">
        <v>2610</v>
      </c>
      <c r="J234" s="1999">
        <v>87</v>
      </c>
      <c r="K234" s="1999">
        <v>28</v>
      </c>
      <c r="L234" s="2000">
        <f t="shared" si="3"/>
        <v>0.32183908045977011</v>
      </c>
      <c r="M234" s="2001" t="s">
        <v>2133</v>
      </c>
      <c r="N234" s="2001" t="s">
        <v>2133</v>
      </c>
      <c r="O234" s="2001" t="s">
        <v>2133</v>
      </c>
      <c r="P234" s="1999">
        <v>23</v>
      </c>
      <c r="Q234" s="2002">
        <v>1</v>
      </c>
      <c r="R234" s="2002">
        <v>2</v>
      </c>
      <c r="S234" s="2002">
        <v>2</v>
      </c>
      <c r="T234" s="1997" t="s">
        <v>2161</v>
      </c>
    </row>
    <row r="235" spans="1:33" s="1979" customFormat="1" ht="18">
      <c r="A235" s="1979">
        <v>229</v>
      </c>
      <c r="B235" s="1993">
        <v>277</v>
      </c>
      <c r="C235" s="1993" t="s">
        <v>6777</v>
      </c>
      <c r="D235" s="1993" t="s">
        <v>2364</v>
      </c>
      <c r="E235" s="1994" t="s">
        <v>5534</v>
      </c>
      <c r="F235" s="1995" t="s">
        <v>5535</v>
      </c>
      <c r="G235" s="1996" t="s">
        <v>6723</v>
      </c>
      <c r="H235" s="1997" t="s">
        <v>2609</v>
      </c>
      <c r="I235" s="1998" t="s">
        <v>2610</v>
      </c>
      <c r="J235" s="1999">
        <v>87</v>
      </c>
      <c r="K235" s="1999">
        <v>85</v>
      </c>
      <c r="L235" s="2000">
        <f t="shared" si="3"/>
        <v>0.97701149425287359</v>
      </c>
      <c r="M235" s="2001" t="s">
        <v>2133</v>
      </c>
      <c r="N235" s="2001" t="s">
        <v>2688</v>
      </c>
      <c r="O235" s="2001" t="s">
        <v>2688</v>
      </c>
      <c r="P235" s="1999">
        <v>22</v>
      </c>
      <c r="Q235" s="2002">
        <v>0</v>
      </c>
      <c r="R235" s="2003">
        <v>1</v>
      </c>
      <c r="S235" s="2003">
        <v>1</v>
      </c>
      <c r="T235" s="1997" t="s">
        <v>2688</v>
      </c>
    </row>
    <row r="236" spans="1:33" s="1979" customFormat="1" ht="18">
      <c r="A236" s="1979">
        <v>230</v>
      </c>
      <c r="B236" s="1993">
        <v>278</v>
      </c>
      <c r="C236" s="1993" t="s">
        <v>6777</v>
      </c>
      <c r="D236" s="1993" t="s">
        <v>2364</v>
      </c>
      <c r="E236" s="1994" t="s">
        <v>2373</v>
      </c>
      <c r="F236" s="1995" t="s">
        <v>5536</v>
      </c>
      <c r="G236" s="1996" t="s">
        <v>6723</v>
      </c>
      <c r="H236" s="1997" t="s">
        <v>2610</v>
      </c>
      <c r="I236" s="1998" t="s">
        <v>2610</v>
      </c>
      <c r="J236" s="1999">
        <v>222</v>
      </c>
      <c r="K236" s="1999">
        <v>222</v>
      </c>
      <c r="L236" s="2000">
        <f t="shared" si="3"/>
        <v>1</v>
      </c>
      <c r="M236" s="2001" t="s">
        <v>2133</v>
      </c>
      <c r="N236" s="2001" t="s">
        <v>2133</v>
      </c>
      <c r="O236" s="2001" t="s">
        <v>2133</v>
      </c>
      <c r="P236" s="1999">
        <v>84</v>
      </c>
      <c r="Q236" s="2002">
        <v>4</v>
      </c>
      <c r="R236" s="2002">
        <v>9</v>
      </c>
      <c r="S236" s="2002">
        <v>9</v>
      </c>
      <c r="T236" s="1997" t="s">
        <v>2161</v>
      </c>
    </row>
    <row r="237" spans="1:33" s="1979" customFormat="1" ht="18">
      <c r="A237" s="1979">
        <v>231</v>
      </c>
      <c r="B237" s="1993">
        <v>279</v>
      </c>
      <c r="C237" s="1993" t="s">
        <v>6777</v>
      </c>
      <c r="D237" s="1993" t="s">
        <v>2364</v>
      </c>
      <c r="E237" s="1994" t="s">
        <v>5537</v>
      </c>
      <c r="F237" s="1995" t="s">
        <v>5538</v>
      </c>
      <c r="G237" s="1996" t="s">
        <v>6723</v>
      </c>
      <c r="H237" s="1997" t="s">
        <v>2610</v>
      </c>
      <c r="I237" s="1998" t="s">
        <v>2610</v>
      </c>
      <c r="J237" s="1999">
        <v>35</v>
      </c>
      <c r="K237" s="1999">
        <v>33</v>
      </c>
      <c r="L237" s="2000">
        <f t="shared" si="3"/>
        <v>0.94285714285714284</v>
      </c>
      <c r="M237" s="2001" t="s">
        <v>2133</v>
      </c>
      <c r="N237" s="2001" t="s">
        <v>2688</v>
      </c>
      <c r="O237" s="2001" t="s">
        <v>2133</v>
      </c>
      <c r="P237" s="1999">
        <v>17</v>
      </c>
      <c r="Q237" s="2002">
        <v>1</v>
      </c>
      <c r="R237" s="2002">
        <v>0</v>
      </c>
      <c r="S237" s="2002">
        <v>0</v>
      </c>
      <c r="T237" s="1997" t="s">
        <v>2688</v>
      </c>
    </row>
    <row r="238" spans="1:33" s="1979" customFormat="1" ht="18">
      <c r="A238" s="1979">
        <v>232</v>
      </c>
      <c r="B238" s="1993">
        <v>280</v>
      </c>
      <c r="C238" s="1993" t="s">
        <v>6777</v>
      </c>
      <c r="D238" s="1993" t="s">
        <v>2364</v>
      </c>
      <c r="E238" s="1994" t="s">
        <v>5539</v>
      </c>
      <c r="F238" s="1995" t="s">
        <v>5540</v>
      </c>
      <c r="G238" s="1996" t="s">
        <v>6723</v>
      </c>
      <c r="H238" s="1997" t="s">
        <v>2610</v>
      </c>
      <c r="I238" s="1998" t="s">
        <v>2610</v>
      </c>
      <c r="J238" s="1999">
        <v>57</v>
      </c>
      <c r="K238" s="1999">
        <v>57</v>
      </c>
      <c r="L238" s="2000">
        <f t="shared" si="3"/>
        <v>1</v>
      </c>
      <c r="M238" s="2001" t="s">
        <v>2133</v>
      </c>
      <c r="N238" s="2001" t="s">
        <v>2688</v>
      </c>
      <c r="O238" s="2001" t="s">
        <v>2133</v>
      </c>
      <c r="P238" s="1999">
        <v>38</v>
      </c>
      <c r="Q238" s="2002">
        <v>1</v>
      </c>
      <c r="R238" s="2002">
        <v>0</v>
      </c>
      <c r="S238" s="2002">
        <v>0</v>
      </c>
      <c r="T238" s="1997" t="s">
        <v>2161</v>
      </c>
    </row>
    <row r="239" spans="1:33" s="1979" customFormat="1" ht="18">
      <c r="A239" s="1979">
        <v>233</v>
      </c>
      <c r="B239" s="1993">
        <v>281</v>
      </c>
      <c r="C239" s="1993" t="s">
        <v>6777</v>
      </c>
      <c r="D239" s="1993" t="s">
        <v>2364</v>
      </c>
      <c r="E239" s="1994" t="s">
        <v>2365</v>
      </c>
      <c r="F239" s="1995" t="s">
        <v>5541</v>
      </c>
      <c r="G239" s="1996" t="s">
        <v>6723</v>
      </c>
      <c r="H239" s="1997" t="s">
        <v>2609</v>
      </c>
      <c r="I239" s="1998" t="s">
        <v>2610</v>
      </c>
      <c r="J239" s="1999">
        <v>379</v>
      </c>
      <c r="K239" s="1999">
        <v>150</v>
      </c>
      <c r="L239" s="2000">
        <f t="shared" si="3"/>
        <v>0.39577836411609496</v>
      </c>
      <c r="M239" s="2001" t="s">
        <v>2133</v>
      </c>
      <c r="N239" s="2001" t="s">
        <v>2688</v>
      </c>
      <c r="O239" s="2001" t="s">
        <v>2688</v>
      </c>
      <c r="P239" s="1999">
        <v>122</v>
      </c>
      <c r="Q239" s="2002">
        <v>3</v>
      </c>
      <c r="R239" s="2002">
        <v>24</v>
      </c>
      <c r="S239" s="2002">
        <v>19</v>
      </c>
      <c r="T239" s="1997" t="s">
        <v>2161</v>
      </c>
    </row>
    <row r="240" spans="1:33" s="1979" customFormat="1" ht="18">
      <c r="A240" s="1979">
        <v>234</v>
      </c>
      <c r="B240" s="1993">
        <v>282</v>
      </c>
      <c r="C240" s="1993" t="s">
        <v>6777</v>
      </c>
      <c r="D240" s="1993" t="s">
        <v>2364</v>
      </c>
      <c r="E240" s="1994" t="s">
        <v>3583</v>
      </c>
      <c r="F240" s="1995" t="s">
        <v>5542</v>
      </c>
      <c r="G240" s="1996" t="s">
        <v>6723</v>
      </c>
      <c r="H240" s="1997" t="s">
        <v>2609</v>
      </c>
      <c r="I240" s="1998" t="s">
        <v>2610</v>
      </c>
      <c r="J240" s="1999">
        <v>91</v>
      </c>
      <c r="K240" s="1999">
        <v>30</v>
      </c>
      <c r="L240" s="2000">
        <f t="shared" si="3"/>
        <v>0.32967032967032966</v>
      </c>
      <c r="M240" s="2001" t="s">
        <v>2133</v>
      </c>
      <c r="N240" s="2001" t="s">
        <v>2133</v>
      </c>
      <c r="O240" s="2001" t="s">
        <v>2133</v>
      </c>
      <c r="P240" s="1999">
        <v>38</v>
      </c>
      <c r="Q240" s="2002">
        <v>2</v>
      </c>
      <c r="R240" s="2002">
        <v>8</v>
      </c>
      <c r="S240" s="2002" t="s">
        <v>6731</v>
      </c>
      <c r="T240" s="1997" t="s">
        <v>2688</v>
      </c>
    </row>
    <row r="241" spans="1:20" s="1979" customFormat="1" ht="18">
      <c r="A241" s="1979">
        <v>235</v>
      </c>
      <c r="B241" s="1993">
        <v>283</v>
      </c>
      <c r="C241" s="1993" t="s">
        <v>6777</v>
      </c>
      <c r="D241" s="1993" t="s">
        <v>2364</v>
      </c>
      <c r="E241" s="1994" t="s">
        <v>3745</v>
      </c>
      <c r="F241" s="1995" t="s">
        <v>6783</v>
      </c>
      <c r="G241" s="1996" t="s">
        <v>6723</v>
      </c>
      <c r="H241" s="1997" t="s">
        <v>2609</v>
      </c>
      <c r="I241" s="1998" t="s">
        <v>2610</v>
      </c>
      <c r="J241" s="1999">
        <v>135</v>
      </c>
      <c r="K241" s="1999">
        <v>60</v>
      </c>
      <c r="L241" s="2000">
        <f t="shared" si="3"/>
        <v>0.44444444444444442</v>
      </c>
      <c r="M241" s="2001" t="s">
        <v>2133</v>
      </c>
      <c r="N241" s="2001" t="s">
        <v>2688</v>
      </c>
      <c r="O241" s="2001" t="s">
        <v>2688</v>
      </c>
      <c r="P241" s="1999">
        <v>20</v>
      </c>
      <c r="Q241" s="2002">
        <v>0</v>
      </c>
      <c r="R241" s="2002">
        <v>0</v>
      </c>
      <c r="S241" s="2002">
        <v>0</v>
      </c>
      <c r="T241" s="1997" t="s">
        <v>2688</v>
      </c>
    </row>
    <row r="242" spans="1:20" s="1979" customFormat="1" ht="18">
      <c r="A242" s="1979">
        <v>236</v>
      </c>
      <c r="B242" s="1993">
        <v>284</v>
      </c>
      <c r="C242" s="1993" t="s">
        <v>6777</v>
      </c>
      <c r="D242" s="1993" t="s">
        <v>2364</v>
      </c>
      <c r="E242" s="1994" t="s">
        <v>5543</v>
      </c>
      <c r="F242" s="1995" t="s">
        <v>5544</v>
      </c>
      <c r="G242" s="1996" t="s">
        <v>6723</v>
      </c>
      <c r="H242" s="1997" t="s">
        <v>2609</v>
      </c>
      <c r="I242" s="1998" t="s">
        <v>2610</v>
      </c>
      <c r="J242" s="1999">
        <v>102</v>
      </c>
      <c r="K242" s="1999">
        <v>60</v>
      </c>
      <c r="L242" s="2000">
        <f t="shared" si="3"/>
        <v>0.58823529411764708</v>
      </c>
      <c r="M242" s="2001" t="s">
        <v>2133</v>
      </c>
      <c r="N242" s="2001" t="s">
        <v>2688</v>
      </c>
      <c r="O242" s="2001" t="s">
        <v>2688</v>
      </c>
      <c r="P242" s="1999">
        <v>13</v>
      </c>
      <c r="Q242" s="2002">
        <v>0</v>
      </c>
      <c r="R242" s="2002">
        <v>0</v>
      </c>
      <c r="S242" s="2002">
        <v>0</v>
      </c>
      <c r="T242" s="1997" t="s">
        <v>2161</v>
      </c>
    </row>
    <row r="243" spans="1:20" s="1979" customFormat="1" ht="18">
      <c r="A243" s="1979">
        <v>237</v>
      </c>
      <c r="B243" s="1993">
        <v>285</v>
      </c>
      <c r="C243" s="1993" t="s">
        <v>6777</v>
      </c>
      <c r="D243" s="1993" t="s">
        <v>2364</v>
      </c>
      <c r="E243" s="1994" t="s">
        <v>5545</v>
      </c>
      <c r="F243" s="1995" t="s">
        <v>6784</v>
      </c>
      <c r="G243" s="1996" t="s">
        <v>6723</v>
      </c>
      <c r="H243" s="1997" t="s">
        <v>2609</v>
      </c>
      <c r="I243" s="1998" t="s">
        <v>2610</v>
      </c>
      <c r="J243" s="1999">
        <v>70</v>
      </c>
      <c r="K243" s="1999">
        <v>30</v>
      </c>
      <c r="L243" s="2000">
        <f t="shared" si="3"/>
        <v>0.42857142857142855</v>
      </c>
      <c r="M243" s="2001" t="s">
        <v>2133</v>
      </c>
      <c r="N243" s="2001" t="s">
        <v>2133</v>
      </c>
      <c r="O243" s="2001" t="s">
        <v>2133</v>
      </c>
      <c r="P243" s="1999">
        <v>21</v>
      </c>
      <c r="Q243" s="2002">
        <v>1</v>
      </c>
      <c r="R243" s="2002">
        <v>2</v>
      </c>
      <c r="S243" s="2002">
        <v>2</v>
      </c>
      <c r="T243" s="1997" t="s">
        <v>2688</v>
      </c>
    </row>
    <row r="244" spans="1:20" s="1979" customFormat="1" ht="18">
      <c r="A244" s="1979">
        <v>238</v>
      </c>
      <c r="B244" s="1993">
        <v>287</v>
      </c>
      <c r="C244" s="1993" t="s">
        <v>6777</v>
      </c>
      <c r="D244" s="1993" t="s">
        <v>2364</v>
      </c>
      <c r="E244" s="1994" t="s">
        <v>5546</v>
      </c>
      <c r="F244" s="1995" t="s">
        <v>5547</v>
      </c>
      <c r="G244" s="1996" t="s">
        <v>6723</v>
      </c>
      <c r="H244" s="1997" t="s">
        <v>2609</v>
      </c>
      <c r="I244" s="1998" t="s">
        <v>2610</v>
      </c>
      <c r="J244" s="1999">
        <v>132</v>
      </c>
      <c r="K244" s="1999">
        <v>40</v>
      </c>
      <c r="L244" s="2000">
        <f t="shared" si="3"/>
        <v>0.30303030303030304</v>
      </c>
      <c r="M244" s="2001" t="s">
        <v>2133</v>
      </c>
      <c r="N244" s="2001" t="s">
        <v>2688</v>
      </c>
      <c r="O244" s="2001" t="s">
        <v>2688</v>
      </c>
      <c r="P244" s="1999">
        <v>15</v>
      </c>
      <c r="Q244" s="2002">
        <v>0</v>
      </c>
      <c r="R244" s="2002">
        <v>0</v>
      </c>
      <c r="S244" s="2002">
        <v>0</v>
      </c>
      <c r="T244" s="1997" t="s">
        <v>2688</v>
      </c>
    </row>
    <row r="245" spans="1:20" s="1979" customFormat="1" ht="18">
      <c r="A245" s="1979">
        <v>239</v>
      </c>
      <c r="B245" s="1993">
        <v>288</v>
      </c>
      <c r="C245" s="1993" t="s">
        <v>6777</v>
      </c>
      <c r="D245" s="1993" t="s">
        <v>2364</v>
      </c>
      <c r="E245" s="1994" t="s">
        <v>3751</v>
      </c>
      <c r="F245" s="1995" t="s">
        <v>5548</v>
      </c>
      <c r="G245" s="1996" t="s">
        <v>6723</v>
      </c>
      <c r="H245" s="1997" t="s">
        <v>2609</v>
      </c>
      <c r="I245" s="1998" t="s">
        <v>2610</v>
      </c>
      <c r="J245" s="1999">
        <v>196</v>
      </c>
      <c r="K245" s="1999">
        <v>100</v>
      </c>
      <c r="L245" s="2000">
        <f t="shared" si="3"/>
        <v>0.51020408163265307</v>
      </c>
      <c r="M245" s="2001" t="s">
        <v>2133</v>
      </c>
      <c r="N245" s="2001" t="s">
        <v>2688</v>
      </c>
      <c r="O245" s="2001" t="s">
        <v>2688</v>
      </c>
      <c r="P245" s="1999">
        <v>60</v>
      </c>
      <c r="Q245" s="2002">
        <v>0</v>
      </c>
      <c r="R245" s="2002">
        <v>0</v>
      </c>
      <c r="S245" s="2002">
        <v>0</v>
      </c>
      <c r="T245" s="1997" t="s">
        <v>2688</v>
      </c>
    </row>
    <row r="246" spans="1:20" s="1979" customFormat="1" ht="18">
      <c r="A246" s="1979">
        <v>240</v>
      </c>
      <c r="B246" s="1993">
        <v>289</v>
      </c>
      <c r="C246" s="1993" t="s">
        <v>6777</v>
      </c>
      <c r="D246" s="1993" t="s">
        <v>2364</v>
      </c>
      <c r="E246" s="1994" t="s">
        <v>5549</v>
      </c>
      <c r="F246" s="1995" t="s">
        <v>5550</v>
      </c>
      <c r="G246" s="1996" t="s">
        <v>6723</v>
      </c>
      <c r="H246" s="1997" t="s">
        <v>2610</v>
      </c>
      <c r="I246" s="1998" t="s">
        <v>2610</v>
      </c>
      <c r="J246" s="1999">
        <v>110</v>
      </c>
      <c r="K246" s="1999">
        <v>110</v>
      </c>
      <c r="L246" s="2000">
        <f t="shared" si="3"/>
        <v>1</v>
      </c>
      <c r="M246" s="2001" t="s">
        <v>2133</v>
      </c>
      <c r="N246" s="2001" t="s">
        <v>2688</v>
      </c>
      <c r="O246" s="2001" t="s">
        <v>2133</v>
      </c>
      <c r="P246" s="1999">
        <v>40</v>
      </c>
      <c r="Q246" s="2002">
        <v>1</v>
      </c>
      <c r="R246" s="2002">
        <v>0</v>
      </c>
      <c r="S246" s="2002">
        <v>0</v>
      </c>
      <c r="T246" s="1997" t="s">
        <v>2688</v>
      </c>
    </row>
    <row r="247" spans="1:20" s="1979" customFormat="1" ht="18">
      <c r="A247" s="1979">
        <v>241</v>
      </c>
      <c r="B247" s="1993">
        <v>290</v>
      </c>
      <c r="C247" s="1993" t="s">
        <v>6777</v>
      </c>
      <c r="D247" s="1993" t="s">
        <v>2364</v>
      </c>
      <c r="E247" s="1994" t="s">
        <v>6785</v>
      </c>
      <c r="F247" s="1995" t="s">
        <v>5551</v>
      </c>
      <c r="G247" s="1996" t="s">
        <v>6723</v>
      </c>
      <c r="H247" s="1997" t="s">
        <v>2609</v>
      </c>
      <c r="I247" s="1998" t="s">
        <v>2610</v>
      </c>
      <c r="J247" s="1999">
        <v>171</v>
      </c>
      <c r="K247" s="1999">
        <v>60</v>
      </c>
      <c r="L247" s="2000">
        <f t="shared" si="3"/>
        <v>0.35087719298245612</v>
      </c>
      <c r="M247" s="2001" t="s">
        <v>2133</v>
      </c>
      <c r="N247" s="2001" t="s">
        <v>2688</v>
      </c>
      <c r="O247" s="2001" t="s">
        <v>2688</v>
      </c>
      <c r="P247" s="1999">
        <v>45</v>
      </c>
      <c r="Q247" s="2002">
        <v>0</v>
      </c>
      <c r="R247" s="2002">
        <v>0</v>
      </c>
      <c r="S247" s="2002">
        <v>0</v>
      </c>
      <c r="T247" s="1997" t="s">
        <v>2688</v>
      </c>
    </row>
    <row r="248" spans="1:20" s="1979" customFormat="1" ht="18">
      <c r="A248" s="1979">
        <v>248</v>
      </c>
      <c r="B248" s="1993">
        <v>299</v>
      </c>
      <c r="C248" s="1993" t="s">
        <v>6730</v>
      </c>
      <c r="D248" s="1993" t="s">
        <v>2261</v>
      </c>
      <c r="E248" s="1994" t="s">
        <v>2262</v>
      </c>
      <c r="F248" s="1995" t="s">
        <v>5562</v>
      </c>
      <c r="G248" s="1996" t="s">
        <v>6726</v>
      </c>
      <c r="H248" s="1997" t="s">
        <v>2609</v>
      </c>
      <c r="I248" s="1998" t="s">
        <v>2609</v>
      </c>
      <c r="J248" s="1999">
        <v>1286</v>
      </c>
      <c r="K248" s="1999">
        <v>0</v>
      </c>
      <c r="L248" s="2000">
        <f t="shared" si="3"/>
        <v>0</v>
      </c>
      <c r="M248" s="2001" t="s">
        <v>2133</v>
      </c>
      <c r="N248" s="2001" t="s">
        <v>2688</v>
      </c>
      <c r="O248" s="2001" t="s">
        <v>2688</v>
      </c>
      <c r="P248" s="1999">
        <v>380</v>
      </c>
      <c r="Q248" s="2002">
        <v>0</v>
      </c>
      <c r="R248" s="2002">
        <v>0</v>
      </c>
      <c r="S248" s="2002">
        <v>0</v>
      </c>
      <c r="T248" s="1997" t="s">
        <v>2688</v>
      </c>
    </row>
    <row r="249" spans="1:20" s="1979" customFormat="1" ht="18">
      <c r="A249" s="1979">
        <v>249</v>
      </c>
      <c r="B249" s="1993">
        <v>300</v>
      </c>
      <c r="C249" s="1993" t="s">
        <v>6730</v>
      </c>
      <c r="D249" s="1993" t="s">
        <v>2261</v>
      </c>
      <c r="E249" s="1994" t="s">
        <v>2470</v>
      </c>
      <c r="F249" s="1995" t="s">
        <v>5562</v>
      </c>
      <c r="G249" s="1996" t="s">
        <v>6723</v>
      </c>
      <c r="H249" s="1997" t="s">
        <v>2610</v>
      </c>
      <c r="I249" s="1998" t="s">
        <v>2610</v>
      </c>
      <c r="J249" s="1999">
        <v>1001</v>
      </c>
      <c r="K249" s="1999">
        <v>1001</v>
      </c>
      <c r="L249" s="2000">
        <f t="shared" si="3"/>
        <v>1</v>
      </c>
      <c r="M249" s="2001" t="s">
        <v>2133</v>
      </c>
      <c r="N249" s="2001" t="s">
        <v>2688</v>
      </c>
      <c r="O249" s="2001" t="s">
        <v>2688</v>
      </c>
      <c r="P249" s="1999">
        <v>180</v>
      </c>
      <c r="Q249" s="2002">
        <v>0</v>
      </c>
      <c r="R249" s="2002">
        <v>1</v>
      </c>
      <c r="S249" s="2002">
        <v>1</v>
      </c>
      <c r="T249" s="1997" t="s">
        <v>2161</v>
      </c>
    </row>
    <row r="250" spans="1:20" s="1979" customFormat="1" ht="18">
      <c r="A250" s="1979">
        <v>250</v>
      </c>
      <c r="B250" s="1993">
        <v>301</v>
      </c>
      <c r="C250" s="1993" t="s">
        <v>6730</v>
      </c>
      <c r="D250" s="1993" t="s">
        <v>2261</v>
      </c>
      <c r="E250" s="1994" t="s">
        <v>3558</v>
      </c>
      <c r="F250" s="1995" t="s">
        <v>5563</v>
      </c>
      <c r="G250" s="1996" t="s">
        <v>6723</v>
      </c>
      <c r="H250" s="1997" t="s">
        <v>2609</v>
      </c>
      <c r="I250" s="1998" t="s">
        <v>2610</v>
      </c>
      <c r="J250" s="1999">
        <v>347</v>
      </c>
      <c r="K250" s="1999">
        <v>50</v>
      </c>
      <c r="L250" s="2000">
        <f t="shared" si="3"/>
        <v>0.14409221902017291</v>
      </c>
      <c r="M250" s="2001" t="s">
        <v>2133</v>
      </c>
      <c r="N250" s="2001" t="s">
        <v>2688</v>
      </c>
      <c r="O250" s="2001" t="s">
        <v>2688</v>
      </c>
      <c r="P250" s="1999">
        <v>100</v>
      </c>
      <c r="Q250" s="2002">
        <v>0</v>
      </c>
      <c r="R250" s="2002">
        <v>0</v>
      </c>
      <c r="S250" s="2002">
        <v>0</v>
      </c>
      <c r="T250" s="1997" t="s">
        <v>2688</v>
      </c>
    </row>
    <row r="251" spans="1:20" s="1979" customFormat="1" ht="18">
      <c r="A251" s="1979">
        <v>251</v>
      </c>
      <c r="B251" s="1993">
        <v>302</v>
      </c>
      <c r="C251" s="1993" t="s">
        <v>6730</v>
      </c>
      <c r="D251" s="1993" t="s">
        <v>2261</v>
      </c>
      <c r="E251" s="1994" t="s">
        <v>4029</v>
      </c>
      <c r="F251" s="1995" t="s">
        <v>5564</v>
      </c>
      <c r="G251" s="1996" t="s">
        <v>6723</v>
      </c>
      <c r="H251" s="1997" t="s">
        <v>2609</v>
      </c>
      <c r="I251" s="1998" t="s">
        <v>2610</v>
      </c>
      <c r="J251" s="1999">
        <v>381</v>
      </c>
      <c r="K251" s="1999">
        <v>160</v>
      </c>
      <c r="L251" s="2000">
        <f t="shared" si="3"/>
        <v>0.41994750656167978</v>
      </c>
      <c r="M251" s="2001" t="s">
        <v>2133</v>
      </c>
      <c r="N251" s="2001" t="s">
        <v>2133</v>
      </c>
      <c r="O251" s="2001" t="s">
        <v>2133</v>
      </c>
      <c r="P251" s="1999">
        <v>106</v>
      </c>
      <c r="Q251" s="2002">
        <v>1</v>
      </c>
      <c r="R251" s="2003">
        <v>1</v>
      </c>
      <c r="S251" s="2002" t="s">
        <v>6731</v>
      </c>
      <c r="T251" s="1997" t="s">
        <v>2688</v>
      </c>
    </row>
    <row r="252" spans="1:20" s="1979" customFormat="1" ht="18">
      <c r="A252" s="1979">
        <v>252</v>
      </c>
      <c r="B252" s="1993">
        <v>303</v>
      </c>
      <c r="C252" s="1993" t="s">
        <v>6730</v>
      </c>
      <c r="D252" s="1993" t="s">
        <v>2261</v>
      </c>
      <c r="E252" s="1994" t="s">
        <v>5565</v>
      </c>
      <c r="F252" s="1995" t="s">
        <v>6786</v>
      </c>
      <c r="G252" s="1996" t="s">
        <v>6775</v>
      </c>
      <c r="H252" s="1997" t="s">
        <v>2610</v>
      </c>
      <c r="I252" s="1998" t="s">
        <v>2610</v>
      </c>
      <c r="J252" s="1999">
        <v>38</v>
      </c>
      <c r="K252" s="1999">
        <v>38</v>
      </c>
      <c r="L252" s="2000">
        <f t="shared" si="3"/>
        <v>1</v>
      </c>
      <c r="M252" s="2001" t="s">
        <v>2133</v>
      </c>
      <c r="N252" s="2001" t="s">
        <v>2133</v>
      </c>
      <c r="O252" s="2001" t="s">
        <v>2133</v>
      </c>
      <c r="P252" s="1999">
        <v>80</v>
      </c>
      <c r="Q252" s="2002">
        <v>1</v>
      </c>
      <c r="R252" s="2002">
        <v>0</v>
      </c>
      <c r="S252" s="2002">
        <v>0</v>
      </c>
      <c r="T252" s="1997" t="s">
        <v>2688</v>
      </c>
    </row>
    <row r="253" spans="1:20" s="1979" customFormat="1" ht="18">
      <c r="A253" s="1979">
        <v>253</v>
      </c>
      <c r="B253" s="1993">
        <v>304</v>
      </c>
      <c r="C253" s="1993" t="s">
        <v>6730</v>
      </c>
      <c r="D253" s="1993" t="s">
        <v>2261</v>
      </c>
      <c r="E253" s="1994" t="s">
        <v>2278</v>
      </c>
      <c r="F253" s="1995" t="s">
        <v>5566</v>
      </c>
      <c r="G253" s="1996" t="s">
        <v>6723</v>
      </c>
      <c r="H253" s="1997" t="s">
        <v>2609</v>
      </c>
      <c r="I253" s="1998" t="s">
        <v>2610</v>
      </c>
      <c r="J253" s="1999">
        <v>180</v>
      </c>
      <c r="K253" s="1999">
        <v>96</v>
      </c>
      <c r="L253" s="2000">
        <f t="shared" si="3"/>
        <v>0.53333333333333333</v>
      </c>
      <c r="M253" s="2001" t="s">
        <v>2133</v>
      </c>
      <c r="N253" s="2001" t="s">
        <v>2133</v>
      </c>
      <c r="O253" s="2001" t="s">
        <v>2133</v>
      </c>
      <c r="P253" s="1999">
        <v>80</v>
      </c>
      <c r="Q253" s="2002">
        <v>1</v>
      </c>
      <c r="R253" s="2002">
        <v>3</v>
      </c>
      <c r="S253" s="2002">
        <v>1</v>
      </c>
      <c r="T253" s="1997" t="s">
        <v>2688</v>
      </c>
    </row>
    <row r="254" spans="1:20" s="1979" customFormat="1" ht="18">
      <c r="A254" s="1979">
        <v>254</v>
      </c>
      <c r="B254" s="1993">
        <v>305</v>
      </c>
      <c r="C254" s="1993" t="s">
        <v>6730</v>
      </c>
      <c r="D254" s="1993" t="s">
        <v>2261</v>
      </c>
      <c r="E254" s="1994" t="s">
        <v>4034</v>
      </c>
      <c r="F254" s="1995" t="s">
        <v>5567</v>
      </c>
      <c r="G254" s="1996" t="s">
        <v>6723</v>
      </c>
      <c r="H254" s="1997" t="s">
        <v>2609</v>
      </c>
      <c r="I254" s="1998" t="s">
        <v>2609</v>
      </c>
      <c r="J254" s="1999">
        <v>106</v>
      </c>
      <c r="K254" s="1999">
        <v>70</v>
      </c>
      <c r="L254" s="2000">
        <f t="shared" si="3"/>
        <v>0.660377358490566</v>
      </c>
      <c r="M254" s="2001" t="s">
        <v>2133</v>
      </c>
      <c r="N254" s="2001" t="s">
        <v>2133</v>
      </c>
      <c r="O254" s="2001" t="s">
        <v>2133</v>
      </c>
      <c r="P254" s="1999">
        <v>94</v>
      </c>
      <c r="Q254" s="2002">
        <v>1</v>
      </c>
      <c r="R254" s="2002">
        <v>0</v>
      </c>
      <c r="S254" s="2002">
        <v>0</v>
      </c>
      <c r="T254" s="1997" t="s">
        <v>2161</v>
      </c>
    </row>
    <row r="255" spans="1:20" s="1979" customFormat="1" ht="18">
      <c r="A255" s="1979">
        <v>255</v>
      </c>
      <c r="B255" s="1993">
        <v>306</v>
      </c>
      <c r="C255" s="1993" t="s">
        <v>6730</v>
      </c>
      <c r="D255" s="1993" t="s">
        <v>2261</v>
      </c>
      <c r="E255" s="1994" t="s">
        <v>3883</v>
      </c>
      <c r="F255" s="1995" t="s">
        <v>5568</v>
      </c>
      <c r="G255" s="1996" t="s">
        <v>6723</v>
      </c>
      <c r="H255" s="1997" t="s">
        <v>2609</v>
      </c>
      <c r="I255" s="1998" t="s">
        <v>2609</v>
      </c>
      <c r="J255" s="1999">
        <v>144</v>
      </c>
      <c r="K255" s="1999">
        <v>50</v>
      </c>
      <c r="L255" s="2000">
        <f t="shared" si="3"/>
        <v>0.34722222222222221</v>
      </c>
      <c r="M255" s="2001" t="s">
        <v>2133</v>
      </c>
      <c r="N255" s="2001" t="s">
        <v>2688</v>
      </c>
      <c r="O255" s="2001" t="s">
        <v>2688</v>
      </c>
      <c r="P255" s="1999">
        <v>94</v>
      </c>
      <c r="Q255" s="2002">
        <v>1</v>
      </c>
      <c r="R255" s="2002">
        <v>0</v>
      </c>
      <c r="S255" s="2002">
        <v>0</v>
      </c>
      <c r="T255" s="1997" t="s">
        <v>2161</v>
      </c>
    </row>
    <row r="256" spans="1:20" s="1979" customFormat="1" ht="18">
      <c r="A256" s="1979">
        <v>256</v>
      </c>
      <c r="B256" s="1993">
        <v>307</v>
      </c>
      <c r="C256" s="1993" t="s">
        <v>6730</v>
      </c>
      <c r="D256" s="1993" t="s">
        <v>2261</v>
      </c>
      <c r="E256" s="1994" t="s">
        <v>3552</v>
      </c>
      <c r="F256" s="1995" t="s">
        <v>5569</v>
      </c>
      <c r="G256" s="1996" t="s">
        <v>6723</v>
      </c>
      <c r="H256" s="1997" t="s">
        <v>2609</v>
      </c>
      <c r="I256" s="1998" t="s">
        <v>2610</v>
      </c>
      <c r="J256" s="1999">
        <v>194</v>
      </c>
      <c r="K256" s="1999">
        <v>52</v>
      </c>
      <c r="L256" s="2000">
        <f t="shared" si="3"/>
        <v>0.26804123711340205</v>
      </c>
      <c r="M256" s="2001" t="s">
        <v>2133</v>
      </c>
      <c r="N256" s="2001" t="s">
        <v>2133</v>
      </c>
      <c r="O256" s="2001" t="s">
        <v>2133</v>
      </c>
      <c r="P256" s="1999">
        <v>100</v>
      </c>
      <c r="Q256" s="2002">
        <v>0</v>
      </c>
      <c r="R256" s="2002">
        <v>0</v>
      </c>
      <c r="S256" s="2002">
        <v>0</v>
      </c>
      <c r="T256" s="1997" t="s">
        <v>2161</v>
      </c>
    </row>
    <row r="257" spans="1:20" s="1979" customFormat="1" ht="18">
      <c r="A257" s="1979">
        <v>257</v>
      </c>
      <c r="B257" s="1993">
        <v>308</v>
      </c>
      <c r="C257" s="1993" t="s">
        <v>6730</v>
      </c>
      <c r="D257" s="1993" t="s">
        <v>2261</v>
      </c>
      <c r="E257" s="1994" t="s">
        <v>5570</v>
      </c>
      <c r="F257" s="1995" t="s">
        <v>5571</v>
      </c>
      <c r="G257" s="1996" t="s">
        <v>6723</v>
      </c>
      <c r="H257" s="1997" t="s">
        <v>2610</v>
      </c>
      <c r="I257" s="1998" t="s">
        <v>2610</v>
      </c>
      <c r="J257" s="1999">
        <v>71</v>
      </c>
      <c r="K257" s="1999">
        <v>16</v>
      </c>
      <c r="L257" s="2000">
        <f t="shared" si="3"/>
        <v>0.22535211267605634</v>
      </c>
      <c r="M257" s="2001" t="s">
        <v>2133</v>
      </c>
      <c r="N257" s="2001" t="s">
        <v>2688</v>
      </c>
      <c r="O257" s="2001" t="s">
        <v>2688</v>
      </c>
      <c r="P257" s="1999">
        <v>70</v>
      </c>
      <c r="Q257" s="2002">
        <v>1</v>
      </c>
      <c r="R257" s="2002">
        <v>0</v>
      </c>
      <c r="S257" s="2002">
        <v>0</v>
      </c>
      <c r="T257" s="1997" t="s">
        <v>2161</v>
      </c>
    </row>
    <row r="258" spans="1:20" s="1979" customFormat="1" ht="18">
      <c r="A258" s="1979">
        <v>14</v>
      </c>
      <c r="B258" s="1993">
        <v>20</v>
      </c>
      <c r="C258" s="1993" t="s">
        <v>6721</v>
      </c>
      <c r="D258" s="1993" t="s">
        <v>5212</v>
      </c>
      <c r="E258" s="1994" t="s">
        <v>4883</v>
      </c>
      <c r="F258" s="1995" t="s">
        <v>6787</v>
      </c>
      <c r="G258" s="1996" t="s">
        <v>6723</v>
      </c>
      <c r="H258" s="1997" t="s">
        <v>2610</v>
      </c>
      <c r="I258" s="2004" t="s">
        <v>2610</v>
      </c>
      <c r="J258" s="1999">
        <v>63</v>
      </c>
      <c r="K258" s="1999">
        <v>63</v>
      </c>
      <c r="L258" s="2000">
        <f t="shared" si="3"/>
        <v>1</v>
      </c>
      <c r="M258" s="2001" t="s">
        <v>2133</v>
      </c>
      <c r="N258" s="2001" t="s">
        <v>2133</v>
      </c>
      <c r="O258" s="2001" t="s">
        <v>2133</v>
      </c>
      <c r="P258" s="1999">
        <v>140</v>
      </c>
      <c r="Q258" s="2002">
        <v>1</v>
      </c>
      <c r="R258" s="2002">
        <v>11</v>
      </c>
      <c r="S258" s="2002">
        <v>11</v>
      </c>
      <c r="T258" s="1997" t="s">
        <v>2161</v>
      </c>
    </row>
    <row r="259" spans="1:20" s="1979" customFormat="1" ht="18">
      <c r="A259" s="1979">
        <v>258</v>
      </c>
      <c r="B259" s="1993">
        <v>310</v>
      </c>
      <c r="C259" s="1993" t="s">
        <v>6730</v>
      </c>
      <c r="D259" s="1993" t="s">
        <v>5212</v>
      </c>
      <c r="E259" s="1994" t="s">
        <v>5572</v>
      </c>
      <c r="F259" s="1995" t="s">
        <v>5573</v>
      </c>
      <c r="G259" s="1996" t="s">
        <v>6723</v>
      </c>
      <c r="H259" s="1997" t="s">
        <v>2610</v>
      </c>
      <c r="I259" s="2004" t="s">
        <v>2610</v>
      </c>
      <c r="J259" s="1999">
        <v>28</v>
      </c>
      <c r="K259" s="1999">
        <v>28</v>
      </c>
      <c r="L259" s="2000">
        <f t="shared" si="3"/>
        <v>1</v>
      </c>
      <c r="M259" s="2001" t="s">
        <v>2133</v>
      </c>
      <c r="N259" s="2001" t="s">
        <v>2133</v>
      </c>
      <c r="O259" s="2001" t="s">
        <v>2133</v>
      </c>
      <c r="P259" s="1999">
        <v>30</v>
      </c>
      <c r="Q259" s="2002">
        <v>1</v>
      </c>
      <c r="R259" s="2002">
        <v>3</v>
      </c>
      <c r="S259" s="2002">
        <v>3</v>
      </c>
      <c r="T259" s="1997" t="s">
        <v>2161</v>
      </c>
    </row>
    <row r="260" spans="1:20" s="1979" customFormat="1" ht="18">
      <c r="A260" s="1979">
        <v>259</v>
      </c>
      <c r="B260" s="1993">
        <v>311</v>
      </c>
      <c r="C260" s="1993" t="s">
        <v>6730</v>
      </c>
      <c r="D260" s="1993" t="s">
        <v>5212</v>
      </c>
      <c r="E260" s="1994" t="s">
        <v>5574</v>
      </c>
      <c r="F260" s="1995" t="s">
        <v>5575</v>
      </c>
      <c r="G260" s="1996" t="s">
        <v>6723</v>
      </c>
      <c r="H260" s="1997" t="s">
        <v>2609</v>
      </c>
      <c r="I260" s="2004" t="s">
        <v>2610</v>
      </c>
      <c r="J260" s="1999">
        <v>36</v>
      </c>
      <c r="K260" s="1999">
        <v>36</v>
      </c>
      <c r="L260" s="2000">
        <f t="shared" si="3"/>
        <v>1</v>
      </c>
      <c r="M260" s="2001" t="s">
        <v>2133</v>
      </c>
      <c r="N260" s="2001" t="s">
        <v>2133</v>
      </c>
      <c r="O260" s="2001" t="s">
        <v>2133</v>
      </c>
      <c r="P260" s="1999">
        <v>200</v>
      </c>
      <c r="Q260" s="2002">
        <v>1</v>
      </c>
      <c r="R260" s="2002">
        <v>7</v>
      </c>
      <c r="S260" s="2002">
        <v>7</v>
      </c>
      <c r="T260" s="1997" t="s">
        <v>2161</v>
      </c>
    </row>
    <row r="261" spans="1:20" s="1979" customFormat="1" ht="18">
      <c r="A261" s="1979">
        <v>260</v>
      </c>
      <c r="B261" s="1993">
        <v>312</v>
      </c>
      <c r="C261" s="1993" t="s">
        <v>6730</v>
      </c>
      <c r="D261" s="1993" t="s">
        <v>5212</v>
      </c>
      <c r="E261" s="1994" t="s">
        <v>5576</v>
      </c>
      <c r="F261" s="1995" t="s">
        <v>5577</v>
      </c>
      <c r="G261" s="1996" t="s">
        <v>6723</v>
      </c>
      <c r="H261" s="1997" t="s">
        <v>2610</v>
      </c>
      <c r="I261" s="2004" t="s">
        <v>2610</v>
      </c>
      <c r="J261" s="1999">
        <v>41</v>
      </c>
      <c r="K261" s="1999">
        <v>41</v>
      </c>
      <c r="L261" s="2000">
        <f t="shared" si="3"/>
        <v>1</v>
      </c>
      <c r="M261" s="2001" t="s">
        <v>2133</v>
      </c>
      <c r="N261" s="2001" t="s">
        <v>2133</v>
      </c>
      <c r="O261" s="2001" t="s">
        <v>2133</v>
      </c>
      <c r="P261" s="1999">
        <v>23</v>
      </c>
      <c r="Q261" s="2002">
        <v>0</v>
      </c>
      <c r="R261" s="2002">
        <v>6</v>
      </c>
      <c r="S261" s="2002">
        <v>6</v>
      </c>
      <c r="T261" s="1997" t="s">
        <v>2161</v>
      </c>
    </row>
    <row r="262" spans="1:20" s="1979" customFormat="1" ht="18">
      <c r="A262" s="1979">
        <v>261</v>
      </c>
      <c r="B262" s="1993">
        <v>313</v>
      </c>
      <c r="C262" s="1993" t="s">
        <v>6730</v>
      </c>
      <c r="D262" s="1993" t="s">
        <v>5212</v>
      </c>
      <c r="E262" s="1994" t="s">
        <v>5578</v>
      </c>
      <c r="F262" s="1995" t="s">
        <v>5579</v>
      </c>
      <c r="G262" s="1996" t="s">
        <v>6767</v>
      </c>
      <c r="H262" s="1997" t="s">
        <v>2609</v>
      </c>
      <c r="I262" s="2004" t="s">
        <v>2609</v>
      </c>
      <c r="J262" s="1999">
        <v>29</v>
      </c>
      <c r="K262" s="1999">
        <v>0</v>
      </c>
      <c r="L262" s="2000">
        <f t="shared" si="3"/>
        <v>0</v>
      </c>
      <c r="M262" s="2001" t="s">
        <v>2133</v>
      </c>
      <c r="N262" s="2001" t="s">
        <v>2133</v>
      </c>
      <c r="O262" s="2001" t="s">
        <v>2133</v>
      </c>
      <c r="P262" s="1999">
        <v>115</v>
      </c>
      <c r="Q262" s="2002">
        <v>1</v>
      </c>
      <c r="R262" s="2002">
        <v>2</v>
      </c>
      <c r="S262" s="2002">
        <v>2</v>
      </c>
      <c r="T262" s="1997" t="s">
        <v>2161</v>
      </c>
    </row>
    <row r="263" spans="1:20" s="1979" customFormat="1" ht="18">
      <c r="A263" s="1979">
        <v>262</v>
      </c>
      <c r="B263" s="1993">
        <v>315</v>
      </c>
      <c r="C263" s="1993" t="s">
        <v>6730</v>
      </c>
      <c r="D263" s="1993" t="s">
        <v>5212</v>
      </c>
      <c r="E263" s="1994" t="s">
        <v>5580</v>
      </c>
      <c r="F263" s="1995" t="s">
        <v>5581</v>
      </c>
      <c r="G263" s="1996" t="s">
        <v>6723</v>
      </c>
      <c r="H263" s="1997" t="s">
        <v>2609</v>
      </c>
      <c r="I263" s="2004" t="s">
        <v>2609</v>
      </c>
      <c r="J263" s="1999">
        <v>64</v>
      </c>
      <c r="K263" s="1999">
        <v>30</v>
      </c>
      <c r="L263" s="2000">
        <f t="shared" ref="L263:L283" si="4">SUM(K263/J263)</f>
        <v>0.46875</v>
      </c>
      <c r="M263" s="2001" t="s">
        <v>2133</v>
      </c>
      <c r="N263" s="2001" t="s">
        <v>2133</v>
      </c>
      <c r="O263" s="2001" t="s">
        <v>2133</v>
      </c>
      <c r="P263" s="1999">
        <v>76</v>
      </c>
      <c r="Q263" s="2002">
        <v>1</v>
      </c>
      <c r="R263" s="2002">
        <v>5</v>
      </c>
      <c r="S263" s="2002" t="s">
        <v>6731</v>
      </c>
      <c r="T263" s="1997" t="s">
        <v>2161</v>
      </c>
    </row>
    <row r="264" spans="1:20" s="1979" customFormat="1" ht="18">
      <c r="A264" s="1979">
        <v>263</v>
      </c>
      <c r="B264" s="1993">
        <v>316</v>
      </c>
      <c r="C264" s="1993" t="s">
        <v>6730</v>
      </c>
      <c r="D264" s="1993" t="s">
        <v>5212</v>
      </c>
      <c r="E264" s="1994" t="s">
        <v>5582</v>
      </c>
      <c r="F264" s="1995" t="s">
        <v>5583</v>
      </c>
      <c r="G264" s="1996" t="s">
        <v>6723</v>
      </c>
      <c r="H264" s="1997" t="s">
        <v>2610</v>
      </c>
      <c r="I264" s="2004" t="s">
        <v>2610</v>
      </c>
      <c r="J264" s="1999">
        <v>48</v>
      </c>
      <c r="K264" s="1999">
        <v>48</v>
      </c>
      <c r="L264" s="2000">
        <f t="shared" si="4"/>
        <v>1</v>
      </c>
      <c r="M264" s="2001" t="s">
        <v>2133</v>
      </c>
      <c r="N264" s="2001" t="s">
        <v>2133</v>
      </c>
      <c r="O264" s="2001" t="s">
        <v>2133</v>
      </c>
      <c r="P264" s="1999">
        <v>27</v>
      </c>
      <c r="Q264" s="2002">
        <v>3</v>
      </c>
      <c r="R264" s="2002">
        <v>7</v>
      </c>
      <c r="S264" s="2002">
        <v>5</v>
      </c>
      <c r="T264" s="1997" t="s">
        <v>2161</v>
      </c>
    </row>
    <row r="265" spans="1:20" s="1979" customFormat="1" ht="18">
      <c r="A265" s="1979">
        <v>264</v>
      </c>
      <c r="B265" s="1993">
        <v>317</v>
      </c>
      <c r="C265" s="1993" t="s">
        <v>6730</v>
      </c>
      <c r="D265" s="1993" t="s">
        <v>6788</v>
      </c>
      <c r="E265" s="1994" t="s">
        <v>5584</v>
      </c>
      <c r="F265" s="1995" t="s">
        <v>5585</v>
      </c>
      <c r="G265" s="1996" t="s">
        <v>6767</v>
      </c>
      <c r="H265" s="1997" t="s">
        <v>2609</v>
      </c>
      <c r="I265" s="1998" t="s">
        <v>2609</v>
      </c>
      <c r="J265" s="1999">
        <v>60</v>
      </c>
      <c r="K265" s="1999">
        <v>0</v>
      </c>
      <c r="L265" s="2000">
        <f t="shared" si="4"/>
        <v>0</v>
      </c>
      <c r="M265" s="2001" t="s">
        <v>2133</v>
      </c>
      <c r="N265" s="2001" t="s">
        <v>2133</v>
      </c>
      <c r="O265" s="2001" t="s">
        <v>2133</v>
      </c>
      <c r="P265" s="1999">
        <v>228</v>
      </c>
      <c r="Q265" s="2002">
        <v>1</v>
      </c>
      <c r="R265" s="2002">
        <v>16</v>
      </c>
      <c r="S265" s="2002" t="s">
        <v>6743</v>
      </c>
      <c r="T265" s="1997" t="s">
        <v>2161</v>
      </c>
    </row>
    <row r="266" spans="1:20" s="1979" customFormat="1" ht="18">
      <c r="A266" s="1979">
        <v>246</v>
      </c>
      <c r="B266" s="1993">
        <v>297</v>
      </c>
      <c r="C266" s="1993" t="s">
        <v>6730</v>
      </c>
      <c r="D266" s="1993" t="s">
        <v>2269</v>
      </c>
      <c r="E266" s="1994" t="s">
        <v>5559</v>
      </c>
      <c r="F266" s="1995" t="s">
        <v>5560</v>
      </c>
      <c r="G266" s="1996" t="s">
        <v>6726</v>
      </c>
      <c r="H266" s="1997" t="s">
        <v>2609</v>
      </c>
      <c r="I266" s="1998" t="s">
        <v>2609</v>
      </c>
      <c r="J266" s="1999">
        <v>50</v>
      </c>
      <c r="K266" s="1999">
        <v>0</v>
      </c>
      <c r="L266" s="2000">
        <f t="shared" si="4"/>
        <v>0</v>
      </c>
      <c r="M266" s="2001" t="s">
        <v>2133</v>
      </c>
      <c r="N266" s="2001" t="s">
        <v>2688</v>
      </c>
      <c r="O266" s="2001" t="s">
        <v>2688</v>
      </c>
      <c r="P266" s="1999">
        <v>15</v>
      </c>
      <c r="Q266" s="2002">
        <v>1</v>
      </c>
      <c r="R266" s="2002">
        <v>0</v>
      </c>
      <c r="S266" s="2002">
        <v>0</v>
      </c>
      <c r="T266" s="1997" t="s">
        <v>2688</v>
      </c>
    </row>
    <row r="267" spans="1:20" s="1979" customFormat="1" ht="18">
      <c r="A267" s="1979">
        <v>242</v>
      </c>
      <c r="B267" s="1993">
        <v>292</v>
      </c>
      <c r="C267" s="1993" t="s">
        <v>6730</v>
      </c>
      <c r="D267" s="1993" t="s">
        <v>2150</v>
      </c>
      <c r="E267" s="1994" t="s">
        <v>5552</v>
      </c>
      <c r="F267" s="1995" t="s">
        <v>5553</v>
      </c>
      <c r="G267" s="1996" t="s">
        <v>6723</v>
      </c>
      <c r="H267" s="1997" t="s">
        <v>2610</v>
      </c>
      <c r="I267" s="1998" t="s">
        <v>2610</v>
      </c>
      <c r="J267" s="1999">
        <v>113</v>
      </c>
      <c r="K267" s="1999">
        <v>113</v>
      </c>
      <c r="L267" s="2000">
        <f t="shared" si="4"/>
        <v>1</v>
      </c>
      <c r="M267" s="2001" t="s">
        <v>2133</v>
      </c>
      <c r="N267" s="2001" t="s">
        <v>2688</v>
      </c>
      <c r="O267" s="2001" t="s">
        <v>2133</v>
      </c>
      <c r="P267" s="1999">
        <v>40</v>
      </c>
      <c r="Q267" s="2002">
        <v>1</v>
      </c>
      <c r="R267" s="2002">
        <v>0</v>
      </c>
      <c r="S267" s="2002">
        <v>0</v>
      </c>
      <c r="T267" s="1997" t="s">
        <v>2161</v>
      </c>
    </row>
    <row r="268" spans="1:20" s="1979" customFormat="1" ht="18">
      <c r="A268" s="1979">
        <v>243</v>
      </c>
      <c r="B268" s="1993">
        <v>293</v>
      </c>
      <c r="C268" s="1993" t="s">
        <v>6730</v>
      </c>
      <c r="D268" s="1993" t="s">
        <v>2150</v>
      </c>
      <c r="E268" s="1994" t="s">
        <v>5554</v>
      </c>
      <c r="F268" s="1995" t="s">
        <v>5555</v>
      </c>
      <c r="G268" s="1996" t="s">
        <v>6723</v>
      </c>
      <c r="H268" s="1997" t="s">
        <v>2609</v>
      </c>
      <c r="I268" s="2004" t="s">
        <v>2609</v>
      </c>
      <c r="J268" s="1999">
        <v>113</v>
      </c>
      <c r="K268" s="1999">
        <v>84</v>
      </c>
      <c r="L268" s="2000">
        <f t="shared" si="4"/>
        <v>0.74336283185840712</v>
      </c>
      <c r="M268" s="2001" t="s">
        <v>2133</v>
      </c>
      <c r="N268" s="2001" t="s">
        <v>2688</v>
      </c>
      <c r="O268" s="2001" t="s">
        <v>2133</v>
      </c>
      <c r="P268" s="1999">
        <v>30</v>
      </c>
      <c r="Q268" s="2002">
        <v>1</v>
      </c>
      <c r="R268" s="2002">
        <v>0</v>
      </c>
      <c r="S268" s="2002">
        <v>0</v>
      </c>
      <c r="T268" s="1997" t="s">
        <v>2161</v>
      </c>
    </row>
    <row r="269" spans="1:20" s="1979" customFormat="1" ht="18">
      <c r="A269" s="1979">
        <v>244</v>
      </c>
      <c r="B269" s="1993">
        <v>295</v>
      </c>
      <c r="C269" s="1993" t="s">
        <v>6730</v>
      </c>
      <c r="D269" s="1993" t="s">
        <v>2150</v>
      </c>
      <c r="E269" s="1994" t="s">
        <v>3933</v>
      </c>
      <c r="F269" s="1995" t="s">
        <v>5556</v>
      </c>
      <c r="G269" s="1996" t="s">
        <v>6723</v>
      </c>
      <c r="H269" s="1997" t="s">
        <v>2609</v>
      </c>
      <c r="I269" s="2004" t="s">
        <v>2609</v>
      </c>
      <c r="J269" s="1999">
        <v>53</v>
      </c>
      <c r="K269" s="1999">
        <v>39</v>
      </c>
      <c r="L269" s="2000">
        <f t="shared" si="4"/>
        <v>0.73584905660377353</v>
      </c>
      <c r="M269" s="2001" t="s">
        <v>2133</v>
      </c>
      <c r="N269" s="2001" t="s">
        <v>2133</v>
      </c>
      <c r="O269" s="2001" t="s">
        <v>2133</v>
      </c>
      <c r="P269" s="1999">
        <v>50</v>
      </c>
      <c r="Q269" s="2002">
        <v>0</v>
      </c>
      <c r="R269" s="2002">
        <v>1</v>
      </c>
      <c r="S269" s="2002">
        <v>1</v>
      </c>
      <c r="T269" s="1997" t="s">
        <v>2161</v>
      </c>
    </row>
    <row r="270" spans="1:20" s="1979" customFormat="1" ht="18">
      <c r="A270" s="1979">
        <v>245</v>
      </c>
      <c r="B270" s="1993">
        <v>296</v>
      </c>
      <c r="C270" s="1993" t="s">
        <v>6730</v>
      </c>
      <c r="D270" s="1993" t="s">
        <v>2150</v>
      </c>
      <c r="E270" s="1994" t="s">
        <v>5557</v>
      </c>
      <c r="F270" s="1995" t="s">
        <v>5558</v>
      </c>
      <c r="G270" s="1996" t="s">
        <v>6723</v>
      </c>
      <c r="H270" s="1997" t="s">
        <v>2609</v>
      </c>
      <c r="I270" s="1998" t="s">
        <v>2610</v>
      </c>
      <c r="J270" s="1999">
        <v>66</v>
      </c>
      <c r="K270" s="1999">
        <v>21</v>
      </c>
      <c r="L270" s="2000">
        <f t="shared" si="4"/>
        <v>0.31818181818181818</v>
      </c>
      <c r="M270" s="2001" t="s">
        <v>2133</v>
      </c>
      <c r="N270" s="2001" t="s">
        <v>2688</v>
      </c>
      <c r="O270" s="2001" t="s">
        <v>2688</v>
      </c>
      <c r="P270" s="1999">
        <v>20</v>
      </c>
      <c r="Q270" s="2002">
        <v>0</v>
      </c>
      <c r="R270" s="2002">
        <v>0</v>
      </c>
      <c r="S270" s="2002">
        <v>0</v>
      </c>
      <c r="T270" s="1997" t="s">
        <v>2688</v>
      </c>
    </row>
    <row r="271" spans="1:20" s="1979" customFormat="1" ht="18">
      <c r="A271" s="1979">
        <v>272</v>
      </c>
      <c r="B271" s="1993">
        <v>1002</v>
      </c>
      <c r="C271" s="1993" t="s">
        <v>6730</v>
      </c>
      <c r="D271" s="1993" t="s">
        <v>2150</v>
      </c>
      <c r="E271" s="1994" t="s">
        <v>3548</v>
      </c>
      <c r="F271" s="1995" t="s">
        <v>5601</v>
      </c>
      <c r="G271" s="1996" t="s">
        <v>6723</v>
      </c>
      <c r="H271" s="1997" t="s">
        <v>2609</v>
      </c>
      <c r="I271" s="1998" t="s">
        <v>2610</v>
      </c>
      <c r="J271" s="1999">
        <v>212</v>
      </c>
      <c r="K271" s="1999">
        <v>90</v>
      </c>
      <c r="L271" s="2000">
        <f t="shared" si="4"/>
        <v>0.42452830188679247</v>
      </c>
      <c r="M271" s="2001" t="s">
        <v>2133</v>
      </c>
      <c r="N271" s="2001" t="s">
        <v>2133</v>
      </c>
      <c r="O271" s="2001" t="s">
        <v>2133</v>
      </c>
      <c r="P271" s="1999">
        <v>159</v>
      </c>
      <c r="Q271" s="2002">
        <v>1</v>
      </c>
      <c r="R271" s="2002">
        <v>0</v>
      </c>
      <c r="S271" s="2002">
        <v>0</v>
      </c>
      <c r="T271" s="1997" t="s">
        <v>2161</v>
      </c>
    </row>
    <row r="272" spans="1:20" s="1979" customFormat="1" ht="18">
      <c r="A272" s="1979">
        <v>265</v>
      </c>
      <c r="B272" s="1993">
        <v>319</v>
      </c>
      <c r="C272" s="1993" t="s">
        <v>6730</v>
      </c>
      <c r="D272" s="1993" t="s">
        <v>5588</v>
      </c>
      <c r="E272" s="1994" t="s">
        <v>5586</v>
      </c>
      <c r="F272" s="1995" t="s">
        <v>5587</v>
      </c>
      <c r="G272" s="1996" t="s">
        <v>6723</v>
      </c>
      <c r="H272" s="1997" t="s">
        <v>2609</v>
      </c>
      <c r="I272" s="1998" t="s">
        <v>2610</v>
      </c>
      <c r="J272" s="1999">
        <v>135</v>
      </c>
      <c r="K272" s="1999">
        <v>72</v>
      </c>
      <c r="L272" s="2000">
        <f t="shared" si="4"/>
        <v>0.53333333333333333</v>
      </c>
      <c r="M272" s="2001" t="s">
        <v>2133</v>
      </c>
      <c r="N272" s="2001" t="s">
        <v>3804</v>
      </c>
      <c r="O272" s="2001" t="s">
        <v>2133</v>
      </c>
      <c r="P272" s="1999">
        <v>59</v>
      </c>
      <c r="Q272" s="2002">
        <v>1</v>
      </c>
      <c r="R272" s="2002">
        <v>0</v>
      </c>
      <c r="S272" s="2002">
        <v>0</v>
      </c>
      <c r="T272" s="1997" t="s">
        <v>2161</v>
      </c>
    </row>
    <row r="273" spans="1:20" s="1979" customFormat="1" ht="18">
      <c r="A273" s="1979">
        <v>266</v>
      </c>
      <c r="B273" s="1993">
        <v>320</v>
      </c>
      <c r="C273" s="1993" t="s">
        <v>6730</v>
      </c>
      <c r="D273" s="1993" t="s">
        <v>5588</v>
      </c>
      <c r="E273" s="1994" t="s">
        <v>5589</v>
      </c>
      <c r="F273" s="1995" t="s">
        <v>5590</v>
      </c>
      <c r="G273" s="1996" t="s">
        <v>6723</v>
      </c>
      <c r="H273" s="1997" t="s">
        <v>2609</v>
      </c>
      <c r="I273" s="1998" t="s">
        <v>2610</v>
      </c>
      <c r="J273" s="1999">
        <v>127</v>
      </c>
      <c r="K273" s="1999">
        <v>55</v>
      </c>
      <c r="L273" s="2000">
        <f t="shared" si="4"/>
        <v>0.43307086614173229</v>
      </c>
      <c r="M273" s="2001" t="s">
        <v>2133</v>
      </c>
      <c r="N273" s="2001" t="s">
        <v>3804</v>
      </c>
      <c r="O273" s="2001" t="s">
        <v>3804</v>
      </c>
      <c r="P273" s="1999">
        <v>50</v>
      </c>
      <c r="Q273" s="2002">
        <v>0</v>
      </c>
      <c r="R273" s="2002">
        <v>0</v>
      </c>
      <c r="S273" s="2002">
        <v>0</v>
      </c>
      <c r="T273" s="1997" t="s">
        <v>2161</v>
      </c>
    </row>
    <row r="274" spans="1:20" s="1979" customFormat="1" ht="18">
      <c r="A274" s="1979">
        <v>267</v>
      </c>
      <c r="B274" s="1993">
        <v>321</v>
      </c>
      <c r="C274" s="1993" t="s">
        <v>6730</v>
      </c>
      <c r="D274" s="1993" t="s">
        <v>5588</v>
      </c>
      <c r="E274" s="1994" t="s">
        <v>5591</v>
      </c>
      <c r="F274" s="1995" t="s">
        <v>5592</v>
      </c>
      <c r="G274" s="1996" t="s">
        <v>6723</v>
      </c>
      <c r="H274" s="1997" t="s">
        <v>2609</v>
      </c>
      <c r="I274" s="1998" t="s">
        <v>2610</v>
      </c>
      <c r="J274" s="1999">
        <v>52</v>
      </c>
      <c r="K274" s="1999">
        <v>44</v>
      </c>
      <c r="L274" s="2000">
        <f t="shared" si="4"/>
        <v>0.84615384615384615</v>
      </c>
      <c r="M274" s="2001" t="s">
        <v>2133</v>
      </c>
      <c r="N274" s="2001" t="s">
        <v>3804</v>
      </c>
      <c r="O274" s="2001" t="s">
        <v>3804</v>
      </c>
      <c r="P274" s="1999">
        <v>25</v>
      </c>
      <c r="Q274" s="2002">
        <v>0</v>
      </c>
      <c r="R274" s="2002">
        <v>0</v>
      </c>
      <c r="S274" s="2002">
        <v>0</v>
      </c>
      <c r="T274" s="1997" t="s">
        <v>2161</v>
      </c>
    </row>
    <row r="275" spans="1:20" s="1979" customFormat="1" ht="18">
      <c r="A275" s="1979">
        <v>268</v>
      </c>
      <c r="B275" s="1993">
        <v>322</v>
      </c>
      <c r="C275" s="1993" t="s">
        <v>6730</v>
      </c>
      <c r="D275" s="1993" t="s">
        <v>5588</v>
      </c>
      <c r="E275" s="1994" t="s">
        <v>5593</v>
      </c>
      <c r="F275" s="1995" t="s">
        <v>5594</v>
      </c>
      <c r="G275" s="1996" t="s">
        <v>6723</v>
      </c>
      <c r="H275" s="1997" t="s">
        <v>2609</v>
      </c>
      <c r="I275" s="1998" t="s">
        <v>2610</v>
      </c>
      <c r="J275" s="1999">
        <v>171</v>
      </c>
      <c r="K275" s="1999">
        <v>30</v>
      </c>
      <c r="L275" s="2000">
        <f t="shared" si="4"/>
        <v>0.17543859649122806</v>
      </c>
      <c r="M275" s="2001" t="s">
        <v>2133</v>
      </c>
      <c r="N275" s="2001" t="s">
        <v>3804</v>
      </c>
      <c r="O275" s="2001" t="s">
        <v>3804</v>
      </c>
      <c r="P275" s="1999">
        <v>40</v>
      </c>
      <c r="Q275" s="2002">
        <v>0</v>
      </c>
      <c r="R275" s="2002">
        <v>0</v>
      </c>
      <c r="S275" s="2002">
        <v>0</v>
      </c>
      <c r="T275" s="1997" t="s">
        <v>2688</v>
      </c>
    </row>
    <row r="276" spans="1:20" s="1979" customFormat="1" ht="18">
      <c r="A276" s="1979">
        <v>269</v>
      </c>
      <c r="B276" s="1993">
        <v>323</v>
      </c>
      <c r="C276" s="1993" t="s">
        <v>6730</v>
      </c>
      <c r="D276" s="1993" t="s">
        <v>5588</v>
      </c>
      <c r="E276" s="1994" t="s">
        <v>5595</v>
      </c>
      <c r="F276" s="1995" t="s">
        <v>5596</v>
      </c>
      <c r="G276" s="1996" t="s">
        <v>6723</v>
      </c>
      <c r="H276" s="1997" t="s">
        <v>2609</v>
      </c>
      <c r="I276" s="1998" t="s">
        <v>2610</v>
      </c>
      <c r="J276" s="1999">
        <v>150</v>
      </c>
      <c r="K276" s="1999">
        <v>50</v>
      </c>
      <c r="L276" s="2000">
        <f t="shared" si="4"/>
        <v>0.33333333333333331</v>
      </c>
      <c r="M276" s="2001" t="s">
        <v>2133</v>
      </c>
      <c r="N276" s="2001" t="s">
        <v>3804</v>
      </c>
      <c r="O276" s="2001" t="s">
        <v>3804</v>
      </c>
      <c r="P276" s="1999">
        <v>62</v>
      </c>
      <c r="Q276" s="2002">
        <v>0</v>
      </c>
      <c r="R276" s="2002">
        <v>0</v>
      </c>
      <c r="S276" s="2002">
        <v>0</v>
      </c>
      <c r="T276" s="1997" t="s">
        <v>2688</v>
      </c>
    </row>
    <row r="277" spans="1:20" s="1979" customFormat="1" ht="18">
      <c r="A277" s="1979">
        <v>271</v>
      </c>
      <c r="B277" s="1993">
        <v>1001</v>
      </c>
      <c r="C277" s="1993" t="s">
        <v>6766</v>
      </c>
      <c r="D277" s="1993" t="s">
        <v>2315</v>
      </c>
      <c r="E277" s="1994" t="s">
        <v>5599</v>
      </c>
      <c r="F277" s="1995" t="s">
        <v>5600</v>
      </c>
      <c r="G277" s="1996" t="s">
        <v>6723</v>
      </c>
      <c r="H277" s="1997" t="s">
        <v>2609</v>
      </c>
      <c r="I277" s="1998" t="s">
        <v>2609</v>
      </c>
      <c r="J277" s="1999">
        <v>105</v>
      </c>
      <c r="K277" s="1999">
        <v>30</v>
      </c>
      <c r="L277" s="2000">
        <f t="shared" si="4"/>
        <v>0.2857142857142857</v>
      </c>
      <c r="M277" s="2001" t="s">
        <v>2133</v>
      </c>
      <c r="N277" s="2001" t="s">
        <v>3804</v>
      </c>
      <c r="O277" s="2001" t="s">
        <v>3804</v>
      </c>
      <c r="P277" s="1999">
        <v>20</v>
      </c>
      <c r="Q277" s="2002">
        <v>0</v>
      </c>
      <c r="R277" s="2002">
        <v>0</v>
      </c>
      <c r="S277" s="2002">
        <v>0</v>
      </c>
      <c r="T277" s="1997" t="s">
        <v>2688</v>
      </c>
    </row>
    <row r="278" spans="1:20" s="1979" customFormat="1" ht="18">
      <c r="A278" s="1979">
        <v>270</v>
      </c>
      <c r="B278" s="1993">
        <v>324</v>
      </c>
      <c r="C278" s="1993" t="s">
        <v>6730</v>
      </c>
      <c r="D278" s="1993" t="s">
        <v>5588</v>
      </c>
      <c r="E278" s="1994" t="s">
        <v>5597</v>
      </c>
      <c r="F278" s="1995" t="s">
        <v>5598</v>
      </c>
      <c r="G278" s="1996" t="s">
        <v>6723</v>
      </c>
      <c r="H278" s="1997" t="s">
        <v>2609</v>
      </c>
      <c r="I278" s="1998" t="s">
        <v>2609</v>
      </c>
      <c r="J278" s="1999">
        <v>126</v>
      </c>
      <c r="K278" s="1999">
        <v>64</v>
      </c>
      <c r="L278" s="2000">
        <f t="shared" si="4"/>
        <v>0.50793650793650791</v>
      </c>
      <c r="M278" s="2001" t="s">
        <v>2133</v>
      </c>
      <c r="N278" s="2001" t="s">
        <v>3804</v>
      </c>
      <c r="O278" s="2001" t="s">
        <v>3804</v>
      </c>
      <c r="P278" s="1999">
        <v>60</v>
      </c>
      <c r="Q278" s="2002">
        <v>0</v>
      </c>
      <c r="R278" s="2002">
        <v>0</v>
      </c>
      <c r="S278" s="2002">
        <v>0</v>
      </c>
      <c r="T278" s="1997" t="s">
        <v>2688</v>
      </c>
    </row>
    <row r="279" spans="1:20" s="1979" customFormat="1" ht="18">
      <c r="A279" s="1979">
        <v>273</v>
      </c>
      <c r="B279" s="1993">
        <v>1003</v>
      </c>
      <c r="C279" s="1993" t="s">
        <v>6777</v>
      </c>
      <c r="D279" s="1993" t="s">
        <v>2354</v>
      </c>
      <c r="E279" s="1994" t="s">
        <v>5602</v>
      </c>
      <c r="F279" s="1995" t="s">
        <v>5603</v>
      </c>
      <c r="G279" s="1996" t="s">
        <v>6723</v>
      </c>
      <c r="H279" s="1997" t="s">
        <v>2609</v>
      </c>
      <c r="I279" s="1998" t="s">
        <v>2610</v>
      </c>
      <c r="J279" s="1999">
        <v>184</v>
      </c>
      <c r="K279" s="1999">
        <v>80</v>
      </c>
      <c r="L279" s="2000">
        <f t="shared" si="4"/>
        <v>0.43478260869565216</v>
      </c>
      <c r="M279" s="2001" t="s">
        <v>2133</v>
      </c>
      <c r="N279" s="2001" t="s">
        <v>3804</v>
      </c>
      <c r="O279" s="2001" t="s">
        <v>2133</v>
      </c>
      <c r="P279" s="1999">
        <v>92</v>
      </c>
      <c r="Q279" s="2002">
        <v>1</v>
      </c>
      <c r="R279" s="2002">
        <v>0</v>
      </c>
      <c r="S279" s="2002">
        <v>0</v>
      </c>
      <c r="T279" s="1997" t="s">
        <v>2161</v>
      </c>
    </row>
    <row r="280" spans="1:20" s="1979" customFormat="1" ht="18">
      <c r="A280" s="1979">
        <v>274</v>
      </c>
      <c r="B280" s="1993">
        <v>1004</v>
      </c>
      <c r="C280" s="1993" t="s">
        <v>6721</v>
      </c>
      <c r="D280" s="1993" t="s">
        <v>2138</v>
      </c>
      <c r="E280" s="1994" t="s">
        <v>3664</v>
      </c>
      <c r="F280" s="1995" t="s">
        <v>5604</v>
      </c>
      <c r="G280" s="1996" t="s">
        <v>6733</v>
      </c>
      <c r="H280" s="1997" t="s">
        <v>2609</v>
      </c>
      <c r="I280" s="1998" t="s">
        <v>2610</v>
      </c>
      <c r="J280" s="1999">
        <v>239</v>
      </c>
      <c r="K280" s="1999">
        <v>91</v>
      </c>
      <c r="L280" s="2000">
        <f t="shared" si="4"/>
        <v>0.3807531380753138</v>
      </c>
      <c r="M280" s="2001" t="s">
        <v>2133</v>
      </c>
      <c r="N280" s="2001" t="s">
        <v>2133</v>
      </c>
      <c r="O280" s="2001" t="s">
        <v>2133</v>
      </c>
      <c r="P280" s="1999">
        <v>69</v>
      </c>
      <c r="Q280" s="2002">
        <v>0</v>
      </c>
      <c r="R280" s="2003">
        <v>1</v>
      </c>
      <c r="S280" s="2003" t="s">
        <v>6731</v>
      </c>
      <c r="T280" s="1997" t="s">
        <v>2688</v>
      </c>
    </row>
    <row r="281" spans="1:20" s="1979" customFormat="1" ht="18">
      <c r="A281" s="1979">
        <v>275</v>
      </c>
      <c r="B281" s="1993">
        <v>1005</v>
      </c>
      <c r="C281" s="1993" t="s">
        <v>6721</v>
      </c>
      <c r="D281" s="1993" t="s">
        <v>2138</v>
      </c>
      <c r="E281" s="1994" t="s">
        <v>6789</v>
      </c>
      <c r="F281" s="1995" t="s">
        <v>6790</v>
      </c>
      <c r="G281" s="1996" t="s">
        <v>6726</v>
      </c>
      <c r="H281" s="1997" t="s">
        <v>2609</v>
      </c>
      <c r="I281" s="1998" t="s">
        <v>2610</v>
      </c>
      <c r="J281" s="1999">
        <v>252</v>
      </c>
      <c r="K281" s="1999">
        <v>40</v>
      </c>
      <c r="L281" s="2000">
        <f t="shared" si="4"/>
        <v>0.15873015873015872</v>
      </c>
      <c r="M281" s="2001" t="s">
        <v>2133</v>
      </c>
      <c r="N281" s="2001" t="s">
        <v>2688</v>
      </c>
      <c r="O281" s="2001" t="s">
        <v>2688</v>
      </c>
      <c r="P281" s="1999">
        <v>60</v>
      </c>
      <c r="Q281" s="2002">
        <v>0</v>
      </c>
      <c r="R281" s="2002">
        <v>0</v>
      </c>
      <c r="S281" s="2002">
        <v>0</v>
      </c>
      <c r="T281" s="1997" t="s">
        <v>2688</v>
      </c>
    </row>
    <row r="282" spans="1:20" s="1979" customFormat="1" ht="18">
      <c r="A282" s="1979">
        <v>276</v>
      </c>
      <c r="B282" s="1993">
        <v>1006</v>
      </c>
      <c r="C282" s="1993" t="s">
        <v>6721</v>
      </c>
      <c r="D282" s="1993" t="s">
        <v>2138</v>
      </c>
      <c r="E282" s="1994" t="s">
        <v>3741</v>
      </c>
      <c r="F282" s="1995" t="s">
        <v>5605</v>
      </c>
      <c r="G282" s="1996" t="s">
        <v>3694</v>
      </c>
      <c r="H282" s="1997" t="s">
        <v>2609</v>
      </c>
      <c r="I282" s="1998" t="s">
        <v>2610</v>
      </c>
      <c r="J282" s="1999">
        <v>229</v>
      </c>
      <c r="K282" s="1999">
        <v>100</v>
      </c>
      <c r="L282" s="2000">
        <f t="shared" si="4"/>
        <v>0.4366812227074236</v>
      </c>
      <c r="M282" s="2001" t="s">
        <v>2133</v>
      </c>
      <c r="N282" s="2001" t="s">
        <v>2688</v>
      </c>
      <c r="O282" s="2001" t="s">
        <v>2688</v>
      </c>
      <c r="P282" s="1999">
        <v>35</v>
      </c>
      <c r="Q282" s="2002">
        <v>0</v>
      </c>
      <c r="R282" s="2002">
        <v>0</v>
      </c>
      <c r="S282" s="2002">
        <v>0</v>
      </c>
      <c r="T282" s="1997" t="s">
        <v>2688</v>
      </c>
    </row>
    <row r="283" spans="1:20" s="1979" customFormat="1" ht="18">
      <c r="A283" s="1979">
        <v>277</v>
      </c>
      <c r="B283" s="1993">
        <v>1007</v>
      </c>
      <c r="C283" s="1993" t="s">
        <v>6721</v>
      </c>
      <c r="D283" s="1993" t="s">
        <v>2233</v>
      </c>
      <c r="E283" s="1994" t="s">
        <v>5606</v>
      </c>
      <c r="F283" s="1995" t="s">
        <v>5607</v>
      </c>
      <c r="G283" s="1996" t="s">
        <v>6727</v>
      </c>
      <c r="H283" s="1997" t="s">
        <v>2610</v>
      </c>
      <c r="I283" s="1998" t="s">
        <v>2610</v>
      </c>
      <c r="J283" s="1999">
        <v>118</v>
      </c>
      <c r="K283" s="1999">
        <v>118</v>
      </c>
      <c r="L283" s="2000">
        <f t="shared" si="4"/>
        <v>1</v>
      </c>
      <c r="M283" s="2001" t="s">
        <v>2133</v>
      </c>
      <c r="N283" s="2001" t="s">
        <v>2688</v>
      </c>
      <c r="O283" s="2001" t="s">
        <v>2688</v>
      </c>
      <c r="P283" s="1999">
        <v>72</v>
      </c>
      <c r="Q283" s="2002">
        <v>1</v>
      </c>
      <c r="R283" s="2002">
        <v>1</v>
      </c>
      <c r="S283" s="2002" t="s">
        <v>6731</v>
      </c>
      <c r="T283" s="1997" t="s">
        <v>2161</v>
      </c>
    </row>
    <row r="284" spans="1:20" s="1979" customFormat="1" ht="18">
      <c r="A284" s="1979">
        <v>278</v>
      </c>
      <c r="B284" s="1993">
        <v>1008</v>
      </c>
      <c r="C284" s="1993" t="s">
        <v>6721</v>
      </c>
      <c r="D284" s="1993" t="s">
        <v>6791</v>
      </c>
      <c r="E284" s="1994" t="s">
        <v>2234</v>
      </c>
      <c r="F284" s="1995" t="s">
        <v>6792</v>
      </c>
      <c r="G284" s="1996" t="s">
        <v>6729</v>
      </c>
      <c r="H284" s="1997" t="s">
        <v>2609</v>
      </c>
      <c r="I284" s="1998" t="s">
        <v>6738</v>
      </c>
      <c r="J284" s="1999">
        <v>156</v>
      </c>
      <c r="K284" s="1997" t="s">
        <v>246</v>
      </c>
      <c r="L284" s="2019" t="s">
        <v>246</v>
      </c>
      <c r="M284" s="2001" t="s">
        <v>246</v>
      </c>
      <c r="N284" s="2001" t="s">
        <v>246</v>
      </c>
      <c r="O284" s="2001" t="s">
        <v>246</v>
      </c>
      <c r="P284" s="1997" t="s">
        <v>246</v>
      </c>
      <c r="Q284" s="2004" t="s">
        <v>246</v>
      </c>
      <c r="R284" s="2002">
        <v>4</v>
      </c>
      <c r="S284" s="2002" t="s">
        <v>6731</v>
      </c>
      <c r="T284" s="1997" t="s">
        <v>2161</v>
      </c>
    </row>
    <row r="285" spans="1:20" s="1979" customFormat="1" ht="18">
      <c r="A285" s="1979">
        <v>279</v>
      </c>
      <c r="B285" s="1993">
        <v>1009</v>
      </c>
      <c r="C285" s="1993" t="s">
        <v>6721</v>
      </c>
      <c r="D285" s="1993" t="s">
        <v>2233</v>
      </c>
      <c r="E285" s="1994" t="s">
        <v>5608</v>
      </c>
      <c r="F285" s="1995" t="s">
        <v>5609</v>
      </c>
      <c r="G285" s="1996" t="s">
        <v>6729</v>
      </c>
      <c r="H285" s="1997" t="s">
        <v>2610</v>
      </c>
      <c r="I285" s="2004" t="s">
        <v>2609</v>
      </c>
      <c r="J285" s="1999">
        <v>10</v>
      </c>
      <c r="K285" s="1999">
        <v>10</v>
      </c>
      <c r="L285" s="2000">
        <f t="shared" ref="L285:L296" si="5">SUM(K285/J285)</f>
        <v>1</v>
      </c>
      <c r="M285" s="2001" t="s">
        <v>2133</v>
      </c>
      <c r="N285" s="2001" t="s">
        <v>2133</v>
      </c>
      <c r="O285" s="2001" t="s">
        <v>2133</v>
      </c>
      <c r="P285" s="1999">
        <v>40</v>
      </c>
      <c r="Q285" s="2002">
        <v>1</v>
      </c>
      <c r="R285" s="2002">
        <v>0</v>
      </c>
      <c r="S285" s="2002">
        <v>0</v>
      </c>
      <c r="T285" s="1997" t="s">
        <v>2688</v>
      </c>
    </row>
    <row r="286" spans="1:20" s="1979" customFormat="1" ht="18">
      <c r="A286" s="1979">
        <v>280</v>
      </c>
      <c r="B286" s="1993">
        <v>1010</v>
      </c>
      <c r="C286" s="1993" t="s">
        <v>6766</v>
      </c>
      <c r="D286" s="1993" t="s">
        <v>6793</v>
      </c>
      <c r="E286" s="1994" t="s">
        <v>5610</v>
      </c>
      <c r="F286" s="1995" t="s">
        <v>5611</v>
      </c>
      <c r="G286" s="1996" t="s">
        <v>6723</v>
      </c>
      <c r="H286" s="1997" t="s">
        <v>2610</v>
      </c>
      <c r="I286" s="2004" t="s">
        <v>2610</v>
      </c>
      <c r="J286" s="1999">
        <v>37</v>
      </c>
      <c r="K286" s="1999">
        <v>37</v>
      </c>
      <c r="L286" s="2000">
        <f t="shared" si="5"/>
        <v>1</v>
      </c>
      <c r="M286" s="2001" t="s">
        <v>2133</v>
      </c>
      <c r="N286" s="2001" t="s">
        <v>2133</v>
      </c>
      <c r="O286" s="2001" t="s">
        <v>2133</v>
      </c>
      <c r="P286" s="1999">
        <v>30</v>
      </c>
      <c r="Q286" s="2002">
        <v>2</v>
      </c>
      <c r="R286" s="2002">
        <v>12</v>
      </c>
      <c r="S286" s="2002">
        <v>12</v>
      </c>
      <c r="T286" s="1997" t="s">
        <v>2161</v>
      </c>
    </row>
    <row r="287" spans="1:20" s="1979" customFormat="1" ht="18">
      <c r="A287" s="1979">
        <v>281</v>
      </c>
      <c r="B287" s="1993">
        <v>1011</v>
      </c>
      <c r="C287" s="1993" t="s">
        <v>6721</v>
      </c>
      <c r="D287" s="1993" t="s">
        <v>2138</v>
      </c>
      <c r="E287" s="1994" t="s">
        <v>5612</v>
      </c>
      <c r="F287" s="1995" t="s">
        <v>5613</v>
      </c>
      <c r="G287" s="1996" t="s">
        <v>3694</v>
      </c>
      <c r="H287" s="1997" t="s">
        <v>2609</v>
      </c>
      <c r="I287" s="1998" t="s">
        <v>2610</v>
      </c>
      <c r="J287" s="1999">
        <v>207</v>
      </c>
      <c r="K287" s="1999">
        <v>50</v>
      </c>
      <c r="L287" s="2000">
        <f t="shared" si="5"/>
        <v>0.24154589371980675</v>
      </c>
      <c r="M287" s="2001" t="s">
        <v>2133</v>
      </c>
      <c r="N287" s="2001" t="s">
        <v>2688</v>
      </c>
      <c r="O287" s="2001" t="s">
        <v>2688</v>
      </c>
      <c r="P287" s="1999">
        <v>81</v>
      </c>
      <c r="Q287" s="2002">
        <v>0</v>
      </c>
      <c r="R287" s="2002">
        <v>0</v>
      </c>
      <c r="S287" s="2002">
        <v>0</v>
      </c>
      <c r="T287" s="1997" t="s">
        <v>2688</v>
      </c>
    </row>
    <row r="288" spans="1:20" s="1979" customFormat="1" ht="18">
      <c r="A288" s="1979">
        <v>282</v>
      </c>
      <c r="B288" s="1993">
        <v>1012</v>
      </c>
      <c r="C288" s="1993" t="s">
        <v>6776</v>
      </c>
      <c r="D288" s="1993" t="s">
        <v>2331</v>
      </c>
      <c r="E288" s="1994" t="s">
        <v>5614</v>
      </c>
      <c r="F288" s="1995" t="s">
        <v>5615</v>
      </c>
      <c r="G288" s="1996" t="s">
        <v>6723</v>
      </c>
      <c r="H288" s="1997" t="s">
        <v>2610</v>
      </c>
      <c r="I288" s="2004" t="s">
        <v>2610</v>
      </c>
      <c r="J288" s="1999">
        <v>73</v>
      </c>
      <c r="K288" s="1999">
        <v>61</v>
      </c>
      <c r="L288" s="2000">
        <f t="shared" si="5"/>
        <v>0.83561643835616439</v>
      </c>
      <c r="M288" s="2001" t="s">
        <v>2161</v>
      </c>
      <c r="N288" s="2001" t="s">
        <v>2133</v>
      </c>
      <c r="O288" s="2001" t="s">
        <v>2133</v>
      </c>
      <c r="P288" s="1999">
        <v>250</v>
      </c>
      <c r="Q288" s="2002">
        <v>3</v>
      </c>
      <c r="R288" s="2002">
        <v>18</v>
      </c>
      <c r="S288" s="2002">
        <v>18</v>
      </c>
      <c r="T288" s="1997" t="s">
        <v>2161</v>
      </c>
    </row>
    <row r="289" spans="1:20" s="1979" customFormat="1" ht="18">
      <c r="A289" s="1979">
        <v>283</v>
      </c>
      <c r="B289" s="1993">
        <v>1013</v>
      </c>
      <c r="C289" s="1993" t="s">
        <v>6776</v>
      </c>
      <c r="D289" s="1993" t="s">
        <v>2331</v>
      </c>
      <c r="E289" s="1994" t="s">
        <v>5616</v>
      </c>
      <c r="F289" s="1995" t="s">
        <v>5617</v>
      </c>
      <c r="G289" s="1996" t="s">
        <v>6723</v>
      </c>
      <c r="H289" s="1997" t="s">
        <v>2610</v>
      </c>
      <c r="I289" s="2004" t="s">
        <v>2610</v>
      </c>
      <c r="J289" s="1999">
        <v>42</v>
      </c>
      <c r="K289" s="1999">
        <v>42</v>
      </c>
      <c r="L289" s="2000">
        <f t="shared" si="5"/>
        <v>1</v>
      </c>
      <c r="M289" s="2001" t="s">
        <v>2133</v>
      </c>
      <c r="N289" s="2001" t="s">
        <v>2133</v>
      </c>
      <c r="O289" s="2001" t="s">
        <v>2133</v>
      </c>
      <c r="P289" s="1999">
        <v>70</v>
      </c>
      <c r="Q289" s="2002">
        <v>2</v>
      </c>
      <c r="R289" s="2002">
        <v>6</v>
      </c>
      <c r="S289" s="2002">
        <v>6</v>
      </c>
      <c r="T289" s="1997" t="s">
        <v>2161</v>
      </c>
    </row>
    <row r="290" spans="1:20" s="1979" customFormat="1" ht="18">
      <c r="A290" s="1979">
        <v>284</v>
      </c>
      <c r="B290" s="1993">
        <v>1015</v>
      </c>
      <c r="C290" s="1993" t="s">
        <v>6776</v>
      </c>
      <c r="D290" s="1993" t="s">
        <v>2331</v>
      </c>
      <c r="E290" s="1994" t="s">
        <v>5618</v>
      </c>
      <c r="F290" s="1995" t="s">
        <v>5619</v>
      </c>
      <c r="G290" s="1996" t="s">
        <v>6726</v>
      </c>
      <c r="H290" s="1997" t="s">
        <v>2610</v>
      </c>
      <c r="I290" s="2004" t="s">
        <v>2609</v>
      </c>
      <c r="J290" s="1999">
        <v>30</v>
      </c>
      <c r="K290" s="1999">
        <v>30</v>
      </c>
      <c r="L290" s="2000">
        <f t="shared" si="5"/>
        <v>1</v>
      </c>
      <c r="M290" s="2001" t="s">
        <v>2133</v>
      </c>
      <c r="N290" s="2001" t="s">
        <v>2133</v>
      </c>
      <c r="O290" s="2001" t="s">
        <v>2133</v>
      </c>
      <c r="P290" s="1999">
        <v>30</v>
      </c>
      <c r="Q290" s="2002">
        <v>1</v>
      </c>
      <c r="R290" s="2002">
        <v>6</v>
      </c>
      <c r="S290" s="2002">
        <v>5</v>
      </c>
      <c r="T290" s="1997" t="s">
        <v>2161</v>
      </c>
    </row>
    <row r="291" spans="1:20" s="1979" customFormat="1" ht="18">
      <c r="A291" s="1979">
        <v>285</v>
      </c>
      <c r="B291" s="1993">
        <v>1016</v>
      </c>
      <c r="C291" s="1993" t="s">
        <v>6721</v>
      </c>
      <c r="D291" s="1993" t="s">
        <v>2138</v>
      </c>
      <c r="E291" s="1994" t="s">
        <v>5620</v>
      </c>
      <c r="F291" s="1995" t="s">
        <v>5621</v>
      </c>
      <c r="G291" s="1996" t="s">
        <v>6733</v>
      </c>
      <c r="H291" s="1997" t="s">
        <v>2609</v>
      </c>
      <c r="I291" s="1998" t="s">
        <v>2609</v>
      </c>
      <c r="J291" s="1999">
        <v>147</v>
      </c>
      <c r="K291" s="1999">
        <v>47</v>
      </c>
      <c r="L291" s="2000">
        <f t="shared" si="5"/>
        <v>0.31972789115646261</v>
      </c>
      <c r="M291" s="2001" t="s">
        <v>2133</v>
      </c>
      <c r="N291" s="2001" t="s">
        <v>3804</v>
      </c>
      <c r="O291" s="2001" t="s">
        <v>3804</v>
      </c>
      <c r="P291" s="1999">
        <v>46</v>
      </c>
      <c r="Q291" s="2002">
        <v>0</v>
      </c>
      <c r="R291" s="2002">
        <v>0</v>
      </c>
      <c r="S291" s="2002">
        <v>0</v>
      </c>
      <c r="T291" s="1997" t="s">
        <v>2688</v>
      </c>
    </row>
    <row r="292" spans="1:20" s="1979" customFormat="1" ht="18">
      <c r="A292" s="1979">
        <v>286</v>
      </c>
      <c r="B292" s="1993">
        <v>1017</v>
      </c>
      <c r="C292" s="1993" t="s">
        <v>6721</v>
      </c>
      <c r="D292" s="1993" t="s">
        <v>2138</v>
      </c>
      <c r="E292" s="1994" t="s">
        <v>3742</v>
      </c>
      <c r="F292" s="1995" t="s">
        <v>5622</v>
      </c>
      <c r="G292" s="1996" t="s">
        <v>6729</v>
      </c>
      <c r="H292" s="1997" t="s">
        <v>2610</v>
      </c>
      <c r="I292" s="1998" t="s">
        <v>2610</v>
      </c>
      <c r="J292" s="1999">
        <v>102</v>
      </c>
      <c r="K292" s="1999">
        <v>102</v>
      </c>
      <c r="L292" s="2000">
        <f t="shared" si="5"/>
        <v>1</v>
      </c>
      <c r="M292" s="2001" t="s">
        <v>2133</v>
      </c>
      <c r="N292" s="2001" t="s">
        <v>2133</v>
      </c>
      <c r="O292" s="2001" t="s">
        <v>2133</v>
      </c>
      <c r="P292" s="1999">
        <v>51</v>
      </c>
      <c r="Q292" s="2002">
        <v>0</v>
      </c>
      <c r="R292" s="2002">
        <v>0</v>
      </c>
      <c r="S292" s="2002">
        <v>0</v>
      </c>
      <c r="T292" s="1997" t="s">
        <v>2688</v>
      </c>
    </row>
    <row r="293" spans="1:20" s="1979" customFormat="1" ht="18">
      <c r="A293" s="1979">
        <v>287</v>
      </c>
      <c r="B293" s="1993">
        <v>1018</v>
      </c>
      <c r="C293" s="1993" t="s">
        <v>6721</v>
      </c>
      <c r="D293" s="1993" t="s">
        <v>2138</v>
      </c>
      <c r="E293" s="1994" t="s">
        <v>5623</v>
      </c>
      <c r="F293" s="1995" t="s">
        <v>5624</v>
      </c>
      <c r="G293" s="1996" t="s">
        <v>6729</v>
      </c>
      <c r="H293" s="1997" t="s">
        <v>2610</v>
      </c>
      <c r="I293" s="1998" t="s">
        <v>2610</v>
      </c>
      <c r="J293" s="1999">
        <v>403</v>
      </c>
      <c r="K293" s="1999">
        <v>403</v>
      </c>
      <c r="L293" s="2000">
        <f t="shared" si="5"/>
        <v>1</v>
      </c>
      <c r="M293" s="2001" t="s">
        <v>2133</v>
      </c>
      <c r="N293" s="2001" t="s">
        <v>2688</v>
      </c>
      <c r="O293" s="2001" t="s">
        <v>2688</v>
      </c>
      <c r="P293" s="1999">
        <v>83</v>
      </c>
      <c r="Q293" s="2002">
        <v>1</v>
      </c>
      <c r="R293" s="2002">
        <v>0</v>
      </c>
      <c r="S293" s="2002">
        <v>0</v>
      </c>
      <c r="T293" s="1997" t="s">
        <v>2688</v>
      </c>
    </row>
    <row r="294" spans="1:20" s="1979" customFormat="1" ht="18">
      <c r="A294" s="1979">
        <v>288</v>
      </c>
      <c r="B294" s="1993">
        <v>1021</v>
      </c>
      <c r="C294" s="1993" t="s">
        <v>6721</v>
      </c>
      <c r="D294" s="1993" t="s">
        <v>3126</v>
      </c>
      <c r="E294" s="1994" t="s">
        <v>2618</v>
      </c>
      <c r="F294" s="1995" t="s">
        <v>6792</v>
      </c>
      <c r="G294" s="1996" t="s">
        <v>6735</v>
      </c>
      <c r="H294" s="1997" t="s">
        <v>2609</v>
      </c>
      <c r="I294" s="1998" t="s">
        <v>2610</v>
      </c>
      <c r="J294" s="1999">
        <v>360</v>
      </c>
      <c r="K294" s="1999">
        <v>252</v>
      </c>
      <c r="L294" s="2000">
        <f t="shared" si="5"/>
        <v>0.7</v>
      </c>
      <c r="M294" s="2001" t="s">
        <v>2161</v>
      </c>
      <c r="N294" s="2001" t="s">
        <v>2161</v>
      </c>
      <c r="O294" s="2001" t="s">
        <v>2161</v>
      </c>
      <c r="P294" s="1997">
        <v>100</v>
      </c>
      <c r="Q294" s="2004">
        <v>2</v>
      </c>
      <c r="R294" s="2002">
        <v>6</v>
      </c>
      <c r="S294" s="2002">
        <v>6</v>
      </c>
      <c r="T294" s="1997" t="s">
        <v>2161</v>
      </c>
    </row>
    <row r="295" spans="1:20" s="1979" customFormat="1" ht="18">
      <c r="A295" s="1979">
        <v>289</v>
      </c>
      <c r="B295" s="1993">
        <v>1022</v>
      </c>
      <c r="C295" s="1993" t="s">
        <v>6721</v>
      </c>
      <c r="D295" s="1993" t="s">
        <v>2179</v>
      </c>
      <c r="E295" s="1994" t="s">
        <v>5625</v>
      </c>
      <c r="F295" s="1995" t="s">
        <v>5626</v>
      </c>
      <c r="G295" s="1996" t="s">
        <v>6726</v>
      </c>
      <c r="H295" s="1997" t="s">
        <v>2609</v>
      </c>
      <c r="I295" s="1998" t="s">
        <v>2610</v>
      </c>
      <c r="J295" s="1999">
        <v>84</v>
      </c>
      <c r="K295" s="1999">
        <v>0</v>
      </c>
      <c r="L295" s="2000">
        <f t="shared" si="5"/>
        <v>0</v>
      </c>
      <c r="M295" s="2001" t="s">
        <v>2133</v>
      </c>
      <c r="N295" s="2001" t="s">
        <v>2688</v>
      </c>
      <c r="O295" s="2001" t="s">
        <v>2688</v>
      </c>
      <c r="P295" s="1999">
        <v>20</v>
      </c>
      <c r="Q295" s="2002">
        <v>0</v>
      </c>
      <c r="R295" s="2002">
        <v>0</v>
      </c>
      <c r="S295" s="2002">
        <v>0</v>
      </c>
      <c r="T295" s="1997" t="s">
        <v>2688</v>
      </c>
    </row>
    <row r="296" spans="1:20" s="1979" customFormat="1" ht="18">
      <c r="A296" s="1979">
        <v>290</v>
      </c>
      <c r="B296" s="1993">
        <v>1023</v>
      </c>
      <c r="C296" s="1993" t="s">
        <v>6721</v>
      </c>
      <c r="D296" s="1993" t="s">
        <v>2243</v>
      </c>
      <c r="E296" s="1994" t="s">
        <v>5627</v>
      </c>
      <c r="F296" s="1995" t="s">
        <v>5628</v>
      </c>
      <c r="G296" s="1996" t="s">
        <v>6727</v>
      </c>
      <c r="H296" s="1997" t="s">
        <v>2609</v>
      </c>
      <c r="I296" s="1998" t="s">
        <v>2610</v>
      </c>
      <c r="J296" s="1999">
        <v>80</v>
      </c>
      <c r="K296" s="1999">
        <v>30</v>
      </c>
      <c r="L296" s="2000">
        <f t="shared" si="5"/>
        <v>0.375</v>
      </c>
      <c r="M296" s="2001" t="s">
        <v>2133</v>
      </c>
      <c r="N296" s="2001" t="s">
        <v>2688</v>
      </c>
      <c r="O296" s="2001" t="s">
        <v>2688</v>
      </c>
      <c r="P296" s="1999">
        <v>35</v>
      </c>
      <c r="Q296" s="2002">
        <v>0</v>
      </c>
      <c r="R296" s="2002">
        <v>0</v>
      </c>
      <c r="S296" s="2002">
        <v>0</v>
      </c>
      <c r="T296" s="1997" t="s">
        <v>2688</v>
      </c>
    </row>
    <row r="297" spans="1:20" s="1979" customFormat="1" ht="18">
      <c r="A297" s="1979">
        <v>291</v>
      </c>
      <c r="B297" s="1993">
        <v>1025</v>
      </c>
      <c r="C297" s="1993" t="s">
        <v>6721</v>
      </c>
      <c r="D297" s="1993" t="s">
        <v>3126</v>
      </c>
      <c r="E297" s="1994" t="s">
        <v>6794</v>
      </c>
      <c r="F297" s="1995" t="s">
        <v>6792</v>
      </c>
      <c r="G297" s="1996" t="s">
        <v>6726</v>
      </c>
      <c r="H297" s="1997" t="s">
        <v>2609</v>
      </c>
      <c r="I297" s="1998" t="s">
        <v>2610</v>
      </c>
      <c r="J297" s="1999">
        <v>211</v>
      </c>
      <c r="K297" s="1997" t="s">
        <v>246</v>
      </c>
      <c r="L297" s="2019" t="s">
        <v>246</v>
      </c>
      <c r="M297" s="2001" t="s">
        <v>246</v>
      </c>
      <c r="N297" s="2001" t="s">
        <v>246</v>
      </c>
      <c r="O297" s="2001" t="s">
        <v>246</v>
      </c>
      <c r="P297" s="1997" t="s">
        <v>246</v>
      </c>
      <c r="Q297" s="2004" t="s">
        <v>246</v>
      </c>
      <c r="R297" s="2002">
        <v>0</v>
      </c>
      <c r="S297" s="2002">
        <v>0</v>
      </c>
      <c r="T297" s="1997" t="s">
        <v>2688</v>
      </c>
    </row>
    <row r="298" spans="1:20" s="1979" customFormat="1" ht="18">
      <c r="A298" s="1979">
        <v>292</v>
      </c>
      <c r="B298" s="1993">
        <v>1027</v>
      </c>
      <c r="C298" s="1993" t="s">
        <v>6721</v>
      </c>
      <c r="D298" s="1993" t="s">
        <v>3126</v>
      </c>
      <c r="E298" s="1994" t="s">
        <v>2696</v>
      </c>
      <c r="F298" s="1995" t="s">
        <v>6792</v>
      </c>
      <c r="G298" s="1996" t="s">
        <v>6735</v>
      </c>
      <c r="H298" s="1997" t="s">
        <v>2610</v>
      </c>
      <c r="I298" s="1998" t="s">
        <v>2610</v>
      </c>
      <c r="J298" s="1999">
        <v>150</v>
      </c>
      <c r="K298" s="1999">
        <v>150</v>
      </c>
      <c r="L298" s="2000">
        <f t="shared" ref="L298:L338" si="6">SUM(K298/J298)</f>
        <v>1</v>
      </c>
      <c r="M298" s="2001" t="s">
        <v>246</v>
      </c>
      <c r="N298" s="2001" t="s">
        <v>246</v>
      </c>
      <c r="O298" s="2001" t="s">
        <v>246</v>
      </c>
      <c r="P298" s="1997">
        <v>170</v>
      </c>
      <c r="Q298" s="2004">
        <v>2</v>
      </c>
      <c r="R298" s="2003">
        <v>5</v>
      </c>
      <c r="S298" s="2003">
        <v>5</v>
      </c>
      <c r="T298" s="1997" t="s">
        <v>246</v>
      </c>
    </row>
    <row r="299" spans="1:20" s="1979" customFormat="1" ht="18">
      <c r="A299" s="1979">
        <v>293</v>
      </c>
      <c r="B299" s="1993">
        <v>1028</v>
      </c>
      <c r="C299" s="1993" t="s">
        <v>6777</v>
      </c>
      <c r="D299" s="1993" t="s">
        <v>2331</v>
      </c>
      <c r="E299" s="1994" t="s">
        <v>5629</v>
      </c>
      <c r="F299" s="1995" t="s">
        <v>5630</v>
      </c>
      <c r="G299" s="1996" t="s">
        <v>6723</v>
      </c>
      <c r="H299" s="1997" t="s">
        <v>2610</v>
      </c>
      <c r="I299" s="2004" t="s">
        <v>2610</v>
      </c>
      <c r="J299" s="1999">
        <v>25</v>
      </c>
      <c r="K299" s="1999">
        <v>25</v>
      </c>
      <c r="L299" s="2000">
        <f t="shared" si="6"/>
        <v>1</v>
      </c>
      <c r="M299" s="2001" t="s">
        <v>2133</v>
      </c>
      <c r="N299" s="2001" t="s">
        <v>2688</v>
      </c>
      <c r="O299" s="2001" t="s">
        <v>2688</v>
      </c>
      <c r="P299" s="1999">
        <v>80</v>
      </c>
      <c r="Q299" s="2002">
        <v>0</v>
      </c>
      <c r="R299" s="2002">
        <v>1</v>
      </c>
      <c r="S299" s="2002">
        <v>1</v>
      </c>
      <c r="T299" s="1997" t="s">
        <v>2161</v>
      </c>
    </row>
    <row r="300" spans="1:20" s="1979" customFormat="1" ht="18">
      <c r="A300" s="1979">
        <v>294</v>
      </c>
      <c r="B300" s="1993">
        <v>2001</v>
      </c>
      <c r="C300" s="1993" t="s">
        <v>6795</v>
      </c>
      <c r="D300" s="1993" t="s">
        <v>2391</v>
      </c>
      <c r="E300" s="1994" t="s">
        <v>5634</v>
      </c>
      <c r="F300" s="1995" t="s">
        <v>5635</v>
      </c>
      <c r="G300" s="1996" t="s">
        <v>6727</v>
      </c>
      <c r="H300" s="1997" t="s">
        <v>2609</v>
      </c>
      <c r="I300" s="1998" t="s">
        <v>2610</v>
      </c>
      <c r="J300" s="1999">
        <v>146</v>
      </c>
      <c r="K300" s="1999">
        <v>80</v>
      </c>
      <c r="L300" s="2000">
        <f t="shared" si="6"/>
        <v>0.54794520547945202</v>
      </c>
      <c r="M300" s="2001" t="s">
        <v>2133</v>
      </c>
      <c r="N300" s="2001" t="s">
        <v>2688</v>
      </c>
      <c r="O300" s="2001" t="s">
        <v>2688</v>
      </c>
      <c r="P300" s="1999">
        <v>60</v>
      </c>
      <c r="Q300" s="2002">
        <v>0</v>
      </c>
      <c r="R300" s="2002">
        <v>1</v>
      </c>
      <c r="S300" s="2002">
        <v>1</v>
      </c>
      <c r="T300" s="1997" t="s">
        <v>2688</v>
      </c>
    </row>
    <row r="301" spans="1:20" s="1979" customFormat="1" ht="18">
      <c r="A301" s="1979">
        <v>295</v>
      </c>
      <c r="B301" s="1993">
        <v>2002</v>
      </c>
      <c r="C301" s="1993" t="s">
        <v>6795</v>
      </c>
      <c r="D301" s="1993" t="s">
        <v>2385</v>
      </c>
      <c r="E301" s="1994" t="s">
        <v>5636</v>
      </c>
      <c r="F301" s="1995" t="s">
        <v>5637</v>
      </c>
      <c r="G301" s="1996" t="s">
        <v>6727</v>
      </c>
      <c r="H301" s="1997" t="s">
        <v>2609</v>
      </c>
      <c r="I301" s="1998" t="s">
        <v>2609</v>
      </c>
      <c r="J301" s="1999">
        <v>252</v>
      </c>
      <c r="K301" s="1999">
        <v>125</v>
      </c>
      <c r="L301" s="2000">
        <f t="shared" si="6"/>
        <v>0.49603174603174605</v>
      </c>
      <c r="M301" s="2001" t="s">
        <v>2133</v>
      </c>
      <c r="N301" s="2001" t="s">
        <v>2688</v>
      </c>
      <c r="O301" s="2001" t="s">
        <v>2688</v>
      </c>
      <c r="P301" s="1999">
        <v>50</v>
      </c>
      <c r="Q301" s="2002">
        <v>1</v>
      </c>
      <c r="R301" s="2002">
        <v>4</v>
      </c>
      <c r="S301" s="2002" t="s">
        <v>6731</v>
      </c>
      <c r="T301" s="1997" t="s">
        <v>2688</v>
      </c>
    </row>
    <row r="302" spans="1:20" s="1979" customFormat="1" ht="18">
      <c r="A302" s="1979">
        <v>296</v>
      </c>
      <c r="B302" s="1993">
        <v>2003</v>
      </c>
      <c r="C302" s="1993" t="s">
        <v>6796</v>
      </c>
      <c r="D302" s="1993" t="s">
        <v>5640</v>
      </c>
      <c r="E302" s="1994" t="s">
        <v>5638</v>
      </c>
      <c r="F302" s="1995" t="s">
        <v>5639</v>
      </c>
      <c r="G302" s="1996" t="s">
        <v>6727</v>
      </c>
      <c r="H302" s="1997" t="s">
        <v>2609</v>
      </c>
      <c r="I302" s="1998" t="s">
        <v>2610</v>
      </c>
      <c r="J302" s="1999">
        <v>258</v>
      </c>
      <c r="K302" s="1999">
        <v>130</v>
      </c>
      <c r="L302" s="2000">
        <f t="shared" si="6"/>
        <v>0.50387596899224807</v>
      </c>
      <c r="M302" s="2001" t="s">
        <v>2688</v>
      </c>
      <c r="N302" s="2001" t="s">
        <v>2688</v>
      </c>
      <c r="O302" s="2001" t="s">
        <v>2688</v>
      </c>
      <c r="P302" s="1999">
        <v>0</v>
      </c>
      <c r="Q302" s="2002">
        <v>1</v>
      </c>
      <c r="R302" s="2002">
        <v>0</v>
      </c>
      <c r="S302" s="2002">
        <v>0</v>
      </c>
      <c r="T302" s="1997" t="s">
        <v>2688</v>
      </c>
    </row>
    <row r="303" spans="1:20" s="1979" customFormat="1" ht="18">
      <c r="A303" s="1979">
        <v>297</v>
      </c>
      <c r="B303" s="1993">
        <v>2004</v>
      </c>
      <c r="C303" s="1993" t="s">
        <v>6796</v>
      </c>
      <c r="D303" s="1993" t="s">
        <v>2408</v>
      </c>
      <c r="E303" s="1994" t="s">
        <v>5641</v>
      </c>
      <c r="F303" s="1995" t="s">
        <v>5642</v>
      </c>
      <c r="G303" s="1996" t="s">
        <v>6727</v>
      </c>
      <c r="H303" s="1997" t="s">
        <v>2609</v>
      </c>
      <c r="I303" s="1998" t="s">
        <v>2610</v>
      </c>
      <c r="J303" s="1999">
        <v>177</v>
      </c>
      <c r="K303" s="1999">
        <v>72</v>
      </c>
      <c r="L303" s="2000">
        <f t="shared" si="6"/>
        <v>0.40677966101694918</v>
      </c>
      <c r="M303" s="2001" t="s">
        <v>2133</v>
      </c>
      <c r="N303" s="2001" t="s">
        <v>2133</v>
      </c>
      <c r="O303" s="2001" t="s">
        <v>2133</v>
      </c>
      <c r="P303" s="1999">
        <v>30</v>
      </c>
      <c r="Q303" s="2002">
        <v>1</v>
      </c>
      <c r="R303" s="2002">
        <v>1</v>
      </c>
      <c r="S303" s="2002" t="s">
        <v>6731</v>
      </c>
      <c r="T303" s="1997" t="s">
        <v>2161</v>
      </c>
    </row>
    <row r="304" spans="1:20" s="1979" customFormat="1" ht="18">
      <c r="A304" s="1979">
        <v>298</v>
      </c>
      <c r="B304" s="1993">
        <v>2005</v>
      </c>
      <c r="C304" s="1993" t="s">
        <v>6795</v>
      </c>
      <c r="D304" s="1993" t="s">
        <v>2385</v>
      </c>
      <c r="E304" s="1994" t="s">
        <v>5643</v>
      </c>
      <c r="F304" s="1995" t="s">
        <v>5644</v>
      </c>
      <c r="G304" s="1996" t="s">
        <v>6727</v>
      </c>
      <c r="H304" s="1997" t="s">
        <v>2609</v>
      </c>
      <c r="I304" s="1998" t="s">
        <v>2610</v>
      </c>
      <c r="J304" s="1999">
        <v>105</v>
      </c>
      <c r="K304" s="1999">
        <v>40</v>
      </c>
      <c r="L304" s="2000">
        <f t="shared" si="6"/>
        <v>0.38095238095238093</v>
      </c>
      <c r="M304" s="2001" t="s">
        <v>2133</v>
      </c>
      <c r="N304" s="2001" t="s">
        <v>2688</v>
      </c>
      <c r="O304" s="2001" t="s">
        <v>2688</v>
      </c>
      <c r="P304" s="1999">
        <v>30</v>
      </c>
      <c r="Q304" s="2002">
        <v>0</v>
      </c>
      <c r="R304" s="2002">
        <v>0</v>
      </c>
      <c r="S304" s="2002">
        <v>0</v>
      </c>
      <c r="T304" s="1997" t="s">
        <v>2161</v>
      </c>
    </row>
    <row r="305" spans="1:20" s="1979" customFormat="1" ht="18">
      <c r="A305" s="1979">
        <v>299</v>
      </c>
      <c r="B305" s="1993">
        <v>2006</v>
      </c>
      <c r="C305" s="1993" t="s">
        <v>6795</v>
      </c>
      <c r="D305" s="1993" t="s">
        <v>2378</v>
      </c>
      <c r="E305" s="1994" t="s">
        <v>5645</v>
      </c>
      <c r="F305" s="1995" t="s">
        <v>5646</v>
      </c>
      <c r="G305" s="1996" t="s">
        <v>6727</v>
      </c>
      <c r="H305" s="1997" t="s">
        <v>2609</v>
      </c>
      <c r="I305" s="1998" t="s">
        <v>2610</v>
      </c>
      <c r="J305" s="1999">
        <v>219</v>
      </c>
      <c r="K305" s="1999">
        <v>80</v>
      </c>
      <c r="L305" s="2000">
        <f t="shared" si="6"/>
        <v>0.36529680365296802</v>
      </c>
      <c r="M305" s="2001" t="s">
        <v>2133</v>
      </c>
      <c r="N305" s="2001" t="s">
        <v>2688</v>
      </c>
      <c r="O305" s="2001" t="s">
        <v>2688</v>
      </c>
      <c r="P305" s="1999">
        <v>40</v>
      </c>
      <c r="Q305" s="2002">
        <v>0</v>
      </c>
      <c r="R305" s="2002">
        <v>0</v>
      </c>
      <c r="S305" s="2002">
        <v>0</v>
      </c>
      <c r="T305" s="1997" t="s">
        <v>2688</v>
      </c>
    </row>
    <row r="306" spans="1:20" s="1979" customFormat="1" ht="18">
      <c r="A306" s="1979">
        <v>300</v>
      </c>
      <c r="B306" s="1993">
        <v>2007</v>
      </c>
      <c r="C306" s="1993" t="s">
        <v>6797</v>
      </c>
      <c r="D306" s="1993" t="s">
        <v>2417</v>
      </c>
      <c r="E306" s="1994" t="s">
        <v>5647</v>
      </c>
      <c r="F306" s="1995" t="s">
        <v>5648</v>
      </c>
      <c r="G306" s="1996" t="s">
        <v>6727</v>
      </c>
      <c r="H306" s="1997" t="s">
        <v>2609</v>
      </c>
      <c r="I306" s="1998" t="s">
        <v>2610</v>
      </c>
      <c r="J306" s="1999">
        <v>578</v>
      </c>
      <c r="K306" s="1999">
        <v>0</v>
      </c>
      <c r="L306" s="2000">
        <f t="shared" si="6"/>
        <v>0</v>
      </c>
      <c r="M306" s="2001" t="s">
        <v>2133</v>
      </c>
      <c r="N306" s="2001" t="s">
        <v>2133</v>
      </c>
      <c r="O306" s="2001" t="s">
        <v>2133</v>
      </c>
      <c r="P306" s="1999">
        <v>120</v>
      </c>
      <c r="Q306" s="2002">
        <v>5</v>
      </c>
      <c r="R306" s="2002">
        <v>24</v>
      </c>
      <c r="S306" s="2002" t="s">
        <v>6731</v>
      </c>
      <c r="T306" s="1997" t="s">
        <v>2161</v>
      </c>
    </row>
    <row r="307" spans="1:20" s="1979" customFormat="1" ht="18">
      <c r="A307" s="1979">
        <v>301</v>
      </c>
      <c r="B307" s="1993">
        <v>2008</v>
      </c>
      <c r="C307" s="1993" t="s">
        <v>6797</v>
      </c>
      <c r="D307" s="1993" t="s">
        <v>2413</v>
      </c>
      <c r="E307" s="1994" t="s">
        <v>5649</v>
      </c>
      <c r="F307" s="1995" t="s">
        <v>5650</v>
      </c>
      <c r="G307" s="1996" t="s">
        <v>6727</v>
      </c>
      <c r="H307" s="1997" t="s">
        <v>2609</v>
      </c>
      <c r="I307" s="1998" t="s">
        <v>2610</v>
      </c>
      <c r="J307" s="1999">
        <v>241</v>
      </c>
      <c r="K307" s="1999">
        <v>150</v>
      </c>
      <c r="L307" s="2000">
        <f t="shared" si="6"/>
        <v>0.62240663900414939</v>
      </c>
      <c r="M307" s="2001" t="s">
        <v>2133</v>
      </c>
      <c r="N307" s="2001" t="s">
        <v>2133</v>
      </c>
      <c r="O307" s="2001" t="s">
        <v>2133</v>
      </c>
      <c r="P307" s="1999">
        <v>170</v>
      </c>
      <c r="Q307" s="2002">
        <v>4</v>
      </c>
      <c r="R307" s="2002">
        <v>20</v>
      </c>
      <c r="S307" s="2002">
        <v>7</v>
      </c>
      <c r="T307" s="1997" t="s">
        <v>2161</v>
      </c>
    </row>
    <row r="308" spans="1:20" s="1979" customFormat="1" ht="18">
      <c r="A308" s="1979">
        <v>302</v>
      </c>
      <c r="B308" s="1993">
        <v>2009</v>
      </c>
      <c r="C308" s="1993" t="s">
        <v>6797</v>
      </c>
      <c r="D308" s="1993" t="s">
        <v>2417</v>
      </c>
      <c r="E308" s="1994" t="s">
        <v>4051</v>
      </c>
      <c r="F308" s="1995" t="s">
        <v>5651</v>
      </c>
      <c r="G308" s="1996" t="s">
        <v>6729</v>
      </c>
      <c r="H308" s="1997" t="s">
        <v>2609</v>
      </c>
      <c r="I308" s="1998" t="s">
        <v>2610</v>
      </c>
      <c r="J308" s="1999">
        <v>378</v>
      </c>
      <c r="K308" s="1999">
        <v>60</v>
      </c>
      <c r="L308" s="2000">
        <f t="shared" si="6"/>
        <v>0.15873015873015872</v>
      </c>
      <c r="M308" s="2001" t="s">
        <v>2133</v>
      </c>
      <c r="N308" s="2001" t="s">
        <v>2133</v>
      </c>
      <c r="O308" s="2001" t="s">
        <v>2133</v>
      </c>
      <c r="P308" s="1999">
        <v>100</v>
      </c>
      <c r="Q308" s="2002">
        <v>7</v>
      </c>
      <c r="R308" s="2002">
        <v>24</v>
      </c>
      <c r="S308" s="2002">
        <v>3</v>
      </c>
      <c r="T308" s="1997" t="s">
        <v>2161</v>
      </c>
    </row>
    <row r="309" spans="1:20" s="1979" customFormat="1" ht="18">
      <c r="A309" s="1979">
        <v>303</v>
      </c>
      <c r="B309" s="1993">
        <v>2010</v>
      </c>
      <c r="C309" s="1993" t="s">
        <v>6798</v>
      </c>
      <c r="D309" s="1993" t="s">
        <v>5654</v>
      </c>
      <c r="E309" s="1994" t="s">
        <v>5652</v>
      </c>
      <c r="F309" s="1995" t="s">
        <v>5653</v>
      </c>
      <c r="G309" s="1996" t="s">
        <v>6723</v>
      </c>
      <c r="H309" s="1997" t="s">
        <v>2609</v>
      </c>
      <c r="I309" s="1998" t="s">
        <v>2610</v>
      </c>
      <c r="J309" s="1999">
        <v>184</v>
      </c>
      <c r="K309" s="1999">
        <v>38</v>
      </c>
      <c r="L309" s="2000">
        <f t="shared" si="6"/>
        <v>0.20652173913043478</v>
      </c>
      <c r="M309" s="2001" t="s">
        <v>2133</v>
      </c>
      <c r="N309" s="2001" t="s">
        <v>2133</v>
      </c>
      <c r="O309" s="2001" t="s">
        <v>2133</v>
      </c>
      <c r="P309" s="1999">
        <v>155</v>
      </c>
      <c r="Q309" s="2002">
        <v>4</v>
      </c>
      <c r="R309" s="2002">
        <v>6</v>
      </c>
      <c r="S309" s="2002">
        <v>1</v>
      </c>
      <c r="T309" s="1997" t="s">
        <v>2161</v>
      </c>
    </row>
    <row r="310" spans="1:20" s="1979" customFormat="1" ht="18">
      <c r="A310" s="1979">
        <v>304</v>
      </c>
      <c r="B310" s="1993">
        <v>2011</v>
      </c>
      <c r="C310" s="1993" t="s">
        <v>6798</v>
      </c>
      <c r="D310" s="1993" t="s">
        <v>5654</v>
      </c>
      <c r="E310" s="1994" t="s">
        <v>5655</v>
      </c>
      <c r="F310" s="1995" t="s">
        <v>5656</v>
      </c>
      <c r="G310" s="1996" t="s">
        <v>6723</v>
      </c>
      <c r="H310" s="1997" t="s">
        <v>2609</v>
      </c>
      <c r="I310" s="1998" t="s">
        <v>2610</v>
      </c>
      <c r="J310" s="1999">
        <v>592</v>
      </c>
      <c r="K310" s="1999">
        <v>30</v>
      </c>
      <c r="L310" s="2000">
        <f t="shared" si="6"/>
        <v>5.0675675675675678E-2</v>
      </c>
      <c r="M310" s="2001" t="s">
        <v>2133</v>
      </c>
      <c r="N310" s="2001" t="s">
        <v>3804</v>
      </c>
      <c r="O310" s="2001" t="s">
        <v>3804</v>
      </c>
      <c r="P310" s="1999">
        <v>80</v>
      </c>
      <c r="Q310" s="2002">
        <v>9</v>
      </c>
      <c r="R310" s="2002">
        <v>18</v>
      </c>
      <c r="S310" s="2002">
        <v>3</v>
      </c>
      <c r="T310" s="1997" t="s">
        <v>2161</v>
      </c>
    </row>
    <row r="311" spans="1:20" s="1979" customFormat="1" ht="18">
      <c r="A311" s="1979">
        <v>305</v>
      </c>
      <c r="B311" s="1993">
        <v>2012</v>
      </c>
      <c r="C311" s="1993" t="s">
        <v>6798</v>
      </c>
      <c r="D311" s="1993" t="s">
        <v>5654</v>
      </c>
      <c r="E311" s="1994" t="s">
        <v>5657</v>
      </c>
      <c r="F311" s="1995" t="s">
        <v>5658</v>
      </c>
      <c r="G311" s="1996" t="s">
        <v>6723</v>
      </c>
      <c r="H311" s="1997" t="s">
        <v>2609</v>
      </c>
      <c r="I311" s="1998" t="s">
        <v>2610</v>
      </c>
      <c r="J311" s="1999">
        <v>247</v>
      </c>
      <c r="K311" s="1999">
        <v>60</v>
      </c>
      <c r="L311" s="2000">
        <f t="shared" si="6"/>
        <v>0.24291497975708501</v>
      </c>
      <c r="M311" s="2001" t="s">
        <v>2133</v>
      </c>
      <c r="N311" s="2001" t="s">
        <v>2133</v>
      </c>
      <c r="O311" s="2001" t="s">
        <v>2133</v>
      </c>
      <c r="P311" s="1999">
        <v>100</v>
      </c>
      <c r="Q311" s="2002">
        <v>4</v>
      </c>
      <c r="R311" s="2002">
        <v>19</v>
      </c>
      <c r="S311" s="2002">
        <v>11</v>
      </c>
      <c r="T311" s="1997" t="s">
        <v>2161</v>
      </c>
    </row>
    <row r="312" spans="1:20" s="1979" customFormat="1" ht="18">
      <c r="A312" s="1979">
        <v>306</v>
      </c>
      <c r="B312" s="1993">
        <v>2013</v>
      </c>
      <c r="C312" s="1993" t="s">
        <v>6798</v>
      </c>
      <c r="D312" s="1993" t="s">
        <v>5654</v>
      </c>
      <c r="E312" s="1994" t="s">
        <v>5659</v>
      </c>
      <c r="F312" s="1995" t="s">
        <v>5660</v>
      </c>
      <c r="G312" s="1996" t="s">
        <v>6729</v>
      </c>
      <c r="H312" s="1997" t="s">
        <v>2609</v>
      </c>
      <c r="I312" s="1998" t="s">
        <v>2609</v>
      </c>
      <c r="J312" s="1999">
        <v>474</v>
      </c>
      <c r="K312" s="1999">
        <v>30</v>
      </c>
      <c r="L312" s="2000">
        <f t="shared" si="6"/>
        <v>6.3291139240506333E-2</v>
      </c>
      <c r="M312" s="2001" t="s">
        <v>2133</v>
      </c>
      <c r="N312" s="2001" t="s">
        <v>2133</v>
      </c>
      <c r="O312" s="2001" t="s">
        <v>2133</v>
      </c>
      <c r="P312" s="1999">
        <v>120</v>
      </c>
      <c r="Q312" s="2002">
        <v>6</v>
      </c>
      <c r="R312" s="2002">
        <v>14</v>
      </c>
      <c r="S312" s="2002">
        <v>14</v>
      </c>
      <c r="T312" s="1997" t="s">
        <v>2161</v>
      </c>
    </row>
    <row r="313" spans="1:20" s="1979" customFormat="1" ht="18">
      <c r="A313" s="1979">
        <v>307</v>
      </c>
      <c r="B313" s="1993">
        <v>2014</v>
      </c>
      <c r="C313" s="1993" t="s">
        <v>6797</v>
      </c>
      <c r="D313" s="1993" t="s">
        <v>2413</v>
      </c>
      <c r="E313" s="1994" t="s">
        <v>5661</v>
      </c>
      <c r="F313" s="1995" t="s">
        <v>5662</v>
      </c>
      <c r="G313" s="1996" t="s">
        <v>6727</v>
      </c>
      <c r="H313" s="1997" t="s">
        <v>2609</v>
      </c>
      <c r="I313" s="1998" t="s">
        <v>2610</v>
      </c>
      <c r="J313" s="1999">
        <v>350</v>
      </c>
      <c r="K313" s="1999">
        <v>150</v>
      </c>
      <c r="L313" s="2000">
        <f t="shared" si="6"/>
        <v>0.42857142857142855</v>
      </c>
      <c r="M313" s="2001" t="s">
        <v>246</v>
      </c>
      <c r="N313" s="2001" t="s">
        <v>246</v>
      </c>
      <c r="O313" s="2001" t="s">
        <v>246</v>
      </c>
      <c r="P313" s="1997" t="s">
        <v>246</v>
      </c>
      <c r="Q313" s="2004" t="s">
        <v>246</v>
      </c>
      <c r="R313" s="2004" t="s">
        <v>246</v>
      </c>
      <c r="S313" s="2004" t="s">
        <v>246</v>
      </c>
      <c r="T313" s="1997" t="s">
        <v>246</v>
      </c>
    </row>
    <row r="314" spans="1:20" s="1979" customFormat="1" ht="18">
      <c r="A314" s="1979">
        <v>308</v>
      </c>
      <c r="B314" s="1993">
        <v>2015</v>
      </c>
      <c r="C314" s="1993" t="s">
        <v>6799</v>
      </c>
      <c r="D314" s="1993" t="s">
        <v>5665</v>
      </c>
      <c r="E314" s="1994" t="s">
        <v>5663</v>
      </c>
      <c r="F314" s="1995" t="s">
        <v>5664</v>
      </c>
      <c r="G314" s="1996" t="s">
        <v>6729</v>
      </c>
      <c r="H314" s="1997" t="s">
        <v>2609</v>
      </c>
      <c r="I314" s="1998" t="s">
        <v>2609</v>
      </c>
      <c r="J314" s="1999">
        <v>321</v>
      </c>
      <c r="K314" s="1999">
        <v>260</v>
      </c>
      <c r="L314" s="2000">
        <f t="shared" si="6"/>
        <v>0.8099688473520249</v>
      </c>
      <c r="M314" s="2001" t="s">
        <v>2133</v>
      </c>
      <c r="N314" s="2001" t="s">
        <v>2133</v>
      </c>
      <c r="O314" s="2001" t="s">
        <v>2133</v>
      </c>
      <c r="P314" s="1999">
        <v>120</v>
      </c>
      <c r="Q314" s="2002">
        <v>8</v>
      </c>
      <c r="R314" s="2002">
        <v>12</v>
      </c>
      <c r="S314" s="2002">
        <v>12</v>
      </c>
      <c r="T314" s="1997" t="s">
        <v>2688</v>
      </c>
    </row>
    <row r="315" spans="1:20" s="1979" customFormat="1" ht="18">
      <c r="A315" s="1979">
        <v>309</v>
      </c>
      <c r="B315" s="1993">
        <v>2016</v>
      </c>
      <c r="C315" s="1993" t="s">
        <v>6796</v>
      </c>
      <c r="D315" s="1993" t="s">
        <v>2402</v>
      </c>
      <c r="E315" s="1994" t="s">
        <v>5666</v>
      </c>
      <c r="F315" s="1995" t="s">
        <v>5667</v>
      </c>
      <c r="G315" s="1996" t="s">
        <v>6727</v>
      </c>
      <c r="H315" s="1997" t="s">
        <v>2609</v>
      </c>
      <c r="I315" s="1998" t="s">
        <v>2610</v>
      </c>
      <c r="J315" s="1999">
        <v>232</v>
      </c>
      <c r="K315" s="1999">
        <v>150</v>
      </c>
      <c r="L315" s="2000">
        <f t="shared" si="6"/>
        <v>0.64655172413793105</v>
      </c>
      <c r="M315" s="2001" t="s">
        <v>2133</v>
      </c>
      <c r="N315" s="2001" t="s">
        <v>2133</v>
      </c>
      <c r="O315" s="2001" t="s">
        <v>2133</v>
      </c>
      <c r="P315" s="1999">
        <v>100</v>
      </c>
      <c r="Q315" s="2002">
        <v>2</v>
      </c>
      <c r="R315" s="2002">
        <v>40</v>
      </c>
      <c r="S315" s="2002">
        <v>9</v>
      </c>
      <c r="T315" s="1997" t="s">
        <v>2161</v>
      </c>
    </row>
    <row r="316" spans="1:20" s="1979" customFormat="1" ht="18">
      <c r="A316" s="1979">
        <v>310</v>
      </c>
      <c r="B316" s="1993">
        <v>2017</v>
      </c>
      <c r="C316" s="1993" t="s">
        <v>6796</v>
      </c>
      <c r="D316" s="1993" t="s">
        <v>2405</v>
      </c>
      <c r="E316" s="1994" t="s">
        <v>5668</v>
      </c>
      <c r="F316" s="1995" t="s">
        <v>6800</v>
      </c>
      <c r="G316" s="1996" t="s">
        <v>6727</v>
      </c>
      <c r="H316" s="1997" t="s">
        <v>2610</v>
      </c>
      <c r="I316" s="2004" t="s">
        <v>2609</v>
      </c>
      <c r="J316" s="1999">
        <v>49</v>
      </c>
      <c r="K316" s="1999">
        <v>49</v>
      </c>
      <c r="L316" s="2000">
        <f t="shared" si="6"/>
        <v>1</v>
      </c>
      <c r="M316" s="2001" t="s">
        <v>2133</v>
      </c>
      <c r="N316" s="2001" t="s">
        <v>2133</v>
      </c>
      <c r="O316" s="2001" t="s">
        <v>2133</v>
      </c>
      <c r="P316" s="1999">
        <v>48</v>
      </c>
      <c r="Q316" s="2002">
        <v>2</v>
      </c>
      <c r="R316" s="2002">
        <v>6</v>
      </c>
      <c r="S316" s="2002" t="s">
        <v>6731</v>
      </c>
      <c r="T316" s="1997" t="s">
        <v>2161</v>
      </c>
    </row>
    <row r="317" spans="1:20" s="1979" customFormat="1" ht="18">
      <c r="A317" s="1979">
        <v>311</v>
      </c>
      <c r="B317" s="1993">
        <v>2018</v>
      </c>
      <c r="C317" s="1993" t="s">
        <v>6796</v>
      </c>
      <c r="D317" s="1993" t="s">
        <v>2402</v>
      </c>
      <c r="E317" s="1994" t="s">
        <v>5669</v>
      </c>
      <c r="F317" s="1995" t="s">
        <v>5670</v>
      </c>
      <c r="G317" s="1996" t="s">
        <v>6729</v>
      </c>
      <c r="H317" s="1997" t="s">
        <v>2609</v>
      </c>
      <c r="I317" s="1998" t="s">
        <v>2610</v>
      </c>
      <c r="J317" s="1999">
        <v>93</v>
      </c>
      <c r="K317" s="1999">
        <v>64</v>
      </c>
      <c r="L317" s="2000">
        <f t="shared" si="6"/>
        <v>0.68817204301075274</v>
      </c>
      <c r="M317" s="2001" t="s">
        <v>2133</v>
      </c>
      <c r="N317" s="2001" t="s">
        <v>2133</v>
      </c>
      <c r="O317" s="2001" t="s">
        <v>2688</v>
      </c>
      <c r="P317" s="1999">
        <v>53</v>
      </c>
      <c r="Q317" s="2002">
        <v>4</v>
      </c>
      <c r="R317" s="2002">
        <v>9</v>
      </c>
      <c r="S317" s="2002">
        <v>7</v>
      </c>
      <c r="T317" s="1997" t="s">
        <v>2161</v>
      </c>
    </row>
    <row r="318" spans="1:20" s="1979" customFormat="1" ht="18">
      <c r="A318" s="1979">
        <v>312</v>
      </c>
      <c r="B318" s="1993">
        <v>2019</v>
      </c>
      <c r="C318" s="1993" t="s">
        <v>6801</v>
      </c>
      <c r="D318" s="1993" t="s">
        <v>2408</v>
      </c>
      <c r="E318" s="1994" t="s">
        <v>6802</v>
      </c>
      <c r="F318" s="1995" t="s">
        <v>6803</v>
      </c>
      <c r="G318" s="1996" t="s">
        <v>6723</v>
      </c>
      <c r="H318" s="1997" t="s">
        <v>2609</v>
      </c>
      <c r="I318" s="1998" t="s">
        <v>2610</v>
      </c>
      <c r="J318" s="1999">
        <v>369</v>
      </c>
      <c r="K318" s="1999">
        <v>90</v>
      </c>
      <c r="L318" s="2000">
        <f t="shared" si="6"/>
        <v>0.24390243902439024</v>
      </c>
      <c r="M318" s="2001" t="s">
        <v>2133</v>
      </c>
      <c r="N318" s="2001" t="s">
        <v>2133</v>
      </c>
      <c r="O318" s="2001" t="s">
        <v>2133</v>
      </c>
      <c r="P318" s="1999">
        <v>250</v>
      </c>
      <c r="Q318" s="2002">
        <v>6</v>
      </c>
      <c r="R318" s="2002">
        <v>27</v>
      </c>
      <c r="S318" s="2002">
        <v>2</v>
      </c>
      <c r="T318" s="1997" t="s">
        <v>2161</v>
      </c>
    </row>
    <row r="319" spans="1:20" s="1979" customFormat="1" ht="18">
      <c r="A319" s="1979">
        <v>313</v>
      </c>
      <c r="B319" s="1993">
        <v>2020</v>
      </c>
      <c r="C319" s="1993" t="s">
        <v>6801</v>
      </c>
      <c r="D319" s="1993" t="s">
        <v>2408</v>
      </c>
      <c r="E319" s="1994" t="s">
        <v>5671</v>
      </c>
      <c r="F319" s="1995" t="s">
        <v>5672</v>
      </c>
      <c r="G319" s="1996" t="s">
        <v>6723</v>
      </c>
      <c r="H319" s="1997" t="s">
        <v>2610</v>
      </c>
      <c r="I319" s="1998" t="s">
        <v>2610</v>
      </c>
      <c r="J319" s="1999">
        <v>103</v>
      </c>
      <c r="K319" s="1999">
        <v>103</v>
      </c>
      <c r="L319" s="2000">
        <f t="shared" si="6"/>
        <v>1</v>
      </c>
      <c r="M319" s="2001" t="s">
        <v>2133</v>
      </c>
      <c r="N319" s="2001" t="s">
        <v>2133</v>
      </c>
      <c r="O319" s="2001" t="s">
        <v>2133</v>
      </c>
      <c r="P319" s="1999">
        <v>80</v>
      </c>
      <c r="Q319" s="2002">
        <v>1</v>
      </c>
      <c r="R319" s="2002">
        <v>3</v>
      </c>
      <c r="S319" s="2002">
        <v>1</v>
      </c>
      <c r="T319" s="1997" t="s">
        <v>2688</v>
      </c>
    </row>
    <row r="320" spans="1:20" s="1979" customFormat="1" ht="18">
      <c r="A320" s="1979">
        <v>314</v>
      </c>
      <c r="B320" s="1993">
        <v>2021</v>
      </c>
      <c r="C320" s="1993" t="s">
        <v>6801</v>
      </c>
      <c r="D320" s="1993" t="s">
        <v>2408</v>
      </c>
      <c r="E320" s="1994" t="s">
        <v>4055</v>
      </c>
      <c r="F320" s="1995" t="s">
        <v>5673</v>
      </c>
      <c r="G320" s="1996" t="s">
        <v>6729</v>
      </c>
      <c r="H320" s="1997" t="s">
        <v>2609</v>
      </c>
      <c r="I320" s="1998" t="s">
        <v>2610</v>
      </c>
      <c r="J320" s="1999">
        <v>322</v>
      </c>
      <c r="K320" s="1999">
        <v>153</v>
      </c>
      <c r="L320" s="2000">
        <f t="shared" si="6"/>
        <v>0.4751552795031056</v>
      </c>
      <c r="M320" s="2001" t="s">
        <v>2133</v>
      </c>
      <c r="N320" s="2001" t="s">
        <v>2133</v>
      </c>
      <c r="O320" s="2001" t="s">
        <v>2133</v>
      </c>
      <c r="P320" s="1999">
        <v>146</v>
      </c>
      <c r="Q320" s="2002">
        <v>7</v>
      </c>
      <c r="R320" s="2002">
        <v>11</v>
      </c>
      <c r="S320" s="2002">
        <v>11</v>
      </c>
      <c r="T320" s="1997" t="s">
        <v>2161</v>
      </c>
    </row>
    <row r="321" spans="1:20" s="1979" customFormat="1" ht="18">
      <c r="A321" s="1979">
        <v>315</v>
      </c>
      <c r="B321" s="1993">
        <v>2022</v>
      </c>
      <c r="C321" s="1993" t="s">
        <v>6804</v>
      </c>
      <c r="D321" s="1993" t="s">
        <v>2396</v>
      </c>
      <c r="E321" s="1994" t="s">
        <v>5674</v>
      </c>
      <c r="F321" s="1995" t="s">
        <v>5675</v>
      </c>
      <c r="G321" s="1996" t="s">
        <v>6727</v>
      </c>
      <c r="H321" s="1997" t="s">
        <v>2609</v>
      </c>
      <c r="I321" s="1998" t="s">
        <v>2610</v>
      </c>
      <c r="J321" s="1999">
        <v>212</v>
      </c>
      <c r="K321" s="1999">
        <v>121</v>
      </c>
      <c r="L321" s="2000">
        <f t="shared" si="6"/>
        <v>0.57075471698113212</v>
      </c>
      <c r="M321" s="2001" t="s">
        <v>2133</v>
      </c>
      <c r="N321" s="2001" t="s">
        <v>2133</v>
      </c>
      <c r="O321" s="2001" t="s">
        <v>2133</v>
      </c>
      <c r="P321" s="1999">
        <v>122</v>
      </c>
      <c r="Q321" s="2002">
        <v>1</v>
      </c>
      <c r="R321" s="2002">
        <v>12</v>
      </c>
      <c r="S321" s="2002">
        <v>12</v>
      </c>
      <c r="T321" s="1997" t="s">
        <v>2161</v>
      </c>
    </row>
    <row r="322" spans="1:20" s="1979" customFormat="1" ht="18">
      <c r="A322" s="1979">
        <v>316</v>
      </c>
      <c r="B322" s="1993">
        <v>2023</v>
      </c>
      <c r="C322" s="1993" t="s">
        <v>6804</v>
      </c>
      <c r="D322" s="1993" t="s">
        <v>2396</v>
      </c>
      <c r="E322" s="1994" t="s">
        <v>5676</v>
      </c>
      <c r="F322" s="1995" t="s">
        <v>5677</v>
      </c>
      <c r="G322" s="1996" t="s">
        <v>6727</v>
      </c>
      <c r="H322" s="1997" t="s">
        <v>2610</v>
      </c>
      <c r="I322" s="1998" t="s">
        <v>2610</v>
      </c>
      <c r="J322" s="1999">
        <v>40</v>
      </c>
      <c r="K322" s="1999">
        <v>40</v>
      </c>
      <c r="L322" s="2000">
        <f t="shared" si="6"/>
        <v>1</v>
      </c>
      <c r="M322" s="2001" t="s">
        <v>2133</v>
      </c>
      <c r="N322" s="2001" t="s">
        <v>2133</v>
      </c>
      <c r="O322" s="2001" t="s">
        <v>2133</v>
      </c>
      <c r="P322" s="1999">
        <v>60</v>
      </c>
      <c r="Q322" s="2002">
        <v>1</v>
      </c>
      <c r="R322" s="2002">
        <v>3</v>
      </c>
      <c r="S322" s="2002">
        <v>2</v>
      </c>
      <c r="T322" s="1997" t="s">
        <v>2161</v>
      </c>
    </row>
    <row r="323" spans="1:20" s="1979" customFormat="1" ht="18">
      <c r="A323" s="1979">
        <v>317</v>
      </c>
      <c r="B323" s="1993">
        <v>2024</v>
      </c>
      <c r="C323" s="1993" t="s">
        <v>6804</v>
      </c>
      <c r="D323" s="1993" t="s">
        <v>5680</v>
      </c>
      <c r="E323" s="1994" t="s">
        <v>5678</v>
      </c>
      <c r="F323" s="1995" t="s">
        <v>5679</v>
      </c>
      <c r="G323" s="1996" t="s">
        <v>6727</v>
      </c>
      <c r="H323" s="1997" t="s">
        <v>2609</v>
      </c>
      <c r="I323" s="1998" t="s">
        <v>2610</v>
      </c>
      <c r="J323" s="1999">
        <v>195</v>
      </c>
      <c r="K323" s="1999">
        <v>100</v>
      </c>
      <c r="L323" s="2000">
        <f t="shared" si="6"/>
        <v>0.51282051282051277</v>
      </c>
      <c r="M323" s="2001" t="s">
        <v>2133</v>
      </c>
      <c r="N323" s="2001" t="s">
        <v>2133</v>
      </c>
      <c r="O323" s="2001" t="s">
        <v>2133</v>
      </c>
      <c r="P323" s="1999">
        <v>134</v>
      </c>
      <c r="Q323" s="2002">
        <v>2</v>
      </c>
      <c r="R323" s="2003">
        <v>1</v>
      </c>
      <c r="S323" s="2003">
        <v>1</v>
      </c>
      <c r="T323" s="1997" t="s">
        <v>2688</v>
      </c>
    </row>
    <row r="324" spans="1:20" s="1979" customFormat="1" ht="18">
      <c r="A324" s="1979">
        <v>318</v>
      </c>
      <c r="B324" s="1993">
        <v>2025</v>
      </c>
      <c r="C324" s="1993" t="s">
        <v>6804</v>
      </c>
      <c r="D324" s="1993" t="s">
        <v>2396</v>
      </c>
      <c r="E324" s="1994" t="s">
        <v>4060</v>
      </c>
      <c r="F324" s="1995" t="s">
        <v>5681</v>
      </c>
      <c r="G324" s="1996" t="s">
        <v>6729</v>
      </c>
      <c r="H324" s="1997" t="s">
        <v>2609</v>
      </c>
      <c r="I324" s="1998" t="s">
        <v>2609</v>
      </c>
      <c r="J324" s="1999">
        <v>128</v>
      </c>
      <c r="K324" s="1999">
        <v>36</v>
      </c>
      <c r="L324" s="2000">
        <f t="shared" si="6"/>
        <v>0.28125</v>
      </c>
      <c r="M324" s="2001" t="s">
        <v>2133</v>
      </c>
      <c r="N324" s="2001" t="s">
        <v>2133</v>
      </c>
      <c r="O324" s="2001" t="s">
        <v>2133</v>
      </c>
      <c r="P324" s="1999">
        <v>168</v>
      </c>
      <c r="Q324" s="2002">
        <v>2</v>
      </c>
      <c r="R324" s="2002">
        <v>3</v>
      </c>
      <c r="S324" s="2002">
        <v>2</v>
      </c>
      <c r="T324" s="1997" t="s">
        <v>2161</v>
      </c>
    </row>
    <row r="325" spans="1:20" s="1979" customFormat="1" ht="18">
      <c r="A325" s="1979">
        <v>319</v>
      </c>
      <c r="B325" s="1993">
        <v>2026</v>
      </c>
      <c r="C325" s="1993" t="s">
        <v>6795</v>
      </c>
      <c r="D325" s="1993" t="s">
        <v>2378</v>
      </c>
      <c r="E325" s="1994" t="s">
        <v>5682</v>
      </c>
      <c r="F325" s="1995" t="s">
        <v>5683</v>
      </c>
      <c r="G325" s="1996" t="s">
        <v>6727</v>
      </c>
      <c r="H325" s="1997" t="s">
        <v>2609</v>
      </c>
      <c r="I325" s="2004" t="s">
        <v>2610</v>
      </c>
      <c r="J325" s="1999">
        <v>158</v>
      </c>
      <c r="K325" s="1999">
        <v>30</v>
      </c>
      <c r="L325" s="2000">
        <f t="shared" si="6"/>
        <v>0.189873417721519</v>
      </c>
      <c r="M325" s="2001" t="s">
        <v>2133</v>
      </c>
      <c r="N325" s="2001" t="s">
        <v>2133</v>
      </c>
      <c r="O325" s="2001" t="s">
        <v>2133</v>
      </c>
      <c r="P325" s="1999">
        <v>150</v>
      </c>
      <c r="Q325" s="2002">
        <v>5</v>
      </c>
      <c r="R325" s="2002">
        <v>14</v>
      </c>
      <c r="S325" s="2002">
        <v>14</v>
      </c>
      <c r="T325" s="1997" t="s">
        <v>2161</v>
      </c>
    </row>
    <row r="326" spans="1:20" s="1979" customFormat="1" ht="18">
      <c r="A326" s="1979">
        <v>320</v>
      </c>
      <c r="B326" s="1993">
        <v>2027</v>
      </c>
      <c r="C326" s="1993" t="s">
        <v>6795</v>
      </c>
      <c r="D326" s="1993" t="s">
        <v>2378</v>
      </c>
      <c r="E326" s="1994" t="s">
        <v>5684</v>
      </c>
      <c r="F326" s="1995" t="s">
        <v>5685</v>
      </c>
      <c r="G326" s="1996" t="s">
        <v>6729</v>
      </c>
      <c r="H326" s="1997" t="s">
        <v>2609</v>
      </c>
      <c r="I326" s="1998" t="s">
        <v>2610</v>
      </c>
      <c r="J326" s="1999">
        <v>192</v>
      </c>
      <c r="K326" s="1999">
        <v>110</v>
      </c>
      <c r="L326" s="2000">
        <f t="shared" si="6"/>
        <v>0.57291666666666663</v>
      </c>
      <c r="M326" s="2001" t="s">
        <v>2133</v>
      </c>
      <c r="N326" s="2001" t="s">
        <v>2133</v>
      </c>
      <c r="O326" s="2001" t="s">
        <v>2133</v>
      </c>
      <c r="P326" s="1999">
        <v>142</v>
      </c>
      <c r="Q326" s="2002">
        <v>6</v>
      </c>
      <c r="R326" s="2002">
        <v>16</v>
      </c>
      <c r="S326" s="2002">
        <v>14</v>
      </c>
      <c r="T326" s="1997" t="s">
        <v>2161</v>
      </c>
    </row>
    <row r="327" spans="1:20" s="1979" customFormat="1" ht="18">
      <c r="A327" s="1979">
        <v>321</v>
      </c>
      <c r="B327" s="1993">
        <v>2028</v>
      </c>
      <c r="C327" s="1993" t="s">
        <v>6795</v>
      </c>
      <c r="D327" s="1993" t="s">
        <v>2378</v>
      </c>
      <c r="E327" s="1994" t="s">
        <v>3594</v>
      </c>
      <c r="F327" s="1995" t="s">
        <v>5686</v>
      </c>
      <c r="G327" s="1996" t="s">
        <v>6727</v>
      </c>
      <c r="H327" s="1997" t="s">
        <v>2609</v>
      </c>
      <c r="I327" s="1998" t="s">
        <v>2610</v>
      </c>
      <c r="J327" s="1999">
        <v>61</v>
      </c>
      <c r="K327" s="1999">
        <v>30</v>
      </c>
      <c r="L327" s="2000">
        <f t="shared" si="6"/>
        <v>0.49180327868852458</v>
      </c>
      <c r="M327" s="2001" t="s">
        <v>2133</v>
      </c>
      <c r="N327" s="2001" t="s">
        <v>2133</v>
      </c>
      <c r="O327" s="2001" t="s">
        <v>2133</v>
      </c>
      <c r="P327" s="1999">
        <v>68</v>
      </c>
      <c r="Q327" s="2002">
        <v>2</v>
      </c>
      <c r="R327" s="2002">
        <v>16</v>
      </c>
      <c r="S327" s="2002" t="s">
        <v>6731</v>
      </c>
      <c r="T327" s="1997" t="s">
        <v>2161</v>
      </c>
    </row>
    <row r="328" spans="1:20" s="1979" customFormat="1" ht="18">
      <c r="A328" s="1979">
        <v>322</v>
      </c>
      <c r="B328" s="1993">
        <v>2029</v>
      </c>
      <c r="C328" s="1993" t="s">
        <v>6795</v>
      </c>
      <c r="D328" s="1993" t="s">
        <v>2378</v>
      </c>
      <c r="E328" s="1994" t="s">
        <v>5687</v>
      </c>
      <c r="F328" s="1995" t="s">
        <v>5688</v>
      </c>
      <c r="G328" s="1996" t="s">
        <v>6727</v>
      </c>
      <c r="H328" s="1997" t="s">
        <v>2609</v>
      </c>
      <c r="I328" s="1998" t="s">
        <v>2610</v>
      </c>
      <c r="J328" s="1999">
        <v>116</v>
      </c>
      <c r="K328" s="1999">
        <v>62</v>
      </c>
      <c r="L328" s="2000">
        <f t="shared" si="6"/>
        <v>0.53448275862068961</v>
      </c>
      <c r="M328" s="2001" t="s">
        <v>2133</v>
      </c>
      <c r="N328" s="2001" t="s">
        <v>2688</v>
      </c>
      <c r="O328" s="2001" t="s">
        <v>2688</v>
      </c>
      <c r="P328" s="1999">
        <v>36</v>
      </c>
      <c r="Q328" s="2002">
        <v>2</v>
      </c>
      <c r="R328" s="2002">
        <v>7</v>
      </c>
      <c r="S328" s="2002" t="s">
        <v>6731</v>
      </c>
      <c r="T328" s="1997" t="s">
        <v>2161</v>
      </c>
    </row>
    <row r="329" spans="1:20" s="1979" customFormat="1" ht="18">
      <c r="A329" s="1979">
        <v>323</v>
      </c>
      <c r="B329" s="1993">
        <v>2030</v>
      </c>
      <c r="C329" s="1993" t="s">
        <v>6795</v>
      </c>
      <c r="D329" s="1993" t="s">
        <v>2378</v>
      </c>
      <c r="E329" s="1994" t="s">
        <v>3871</v>
      </c>
      <c r="F329" s="1995" t="s">
        <v>5689</v>
      </c>
      <c r="G329" s="1996" t="s">
        <v>6727</v>
      </c>
      <c r="H329" s="1997" t="s">
        <v>2609</v>
      </c>
      <c r="I329" s="1998" t="s">
        <v>2610</v>
      </c>
      <c r="J329" s="1999">
        <v>120</v>
      </c>
      <c r="K329" s="1999">
        <v>83</v>
      </c>
      <c r="L329" s="2000">
        <f t="shared" si="6"/>
        <v>0.69166666666666665</v>
      </c>
      <c r="M329" s="2001" t="s">
        <v>2133</v>
      </c>
      <c r="N329" s="2001" t="s">
        <v>2133</v>
      </c>
      <c r="O329" s="2001" t="s">
        <v>2133</v>
      </c>
      <c r="P329" s="1999">
        <v>36</v>
      </c>
      <c r="Q329" s="2002">
        <v>1</v>
      </c>
      <c r="R329" s="2002">
        <v>3</v>
      </c>
      <c r="S329" s="2002">
        <v>2</v>
      </c>
      <c r="T329" s="1997" t="s">
        <v>2688</v>
      </c>
    </row>
    <row r="330" spans="1:20" s="1979" customFormat="1" ht="18">
      <c r="A330" s="1979">
        <v>324</v>
      </c>
      <c r="B330" s="1993">
        <v>2031</v>
      </c>
      <c r="C330" s="1993" t="s">
        <v>6795</v>
      </c>
      <c r="D330" s="1993" t="s">
        <v>2378</v>
      </c>
      <c r="E330" s="1994" t="s">
        <v>5690</v>
      </c>
      <c r="F330" s="1995" t="s">
        <v>5691</v>
      </c>
      <c r="G330" s="1996" t="s">
        <v>6727</v>
      </c>
      <c r="H330" s="1997" t="s">
        <v>2609</v>
      </c>
      <c r="I330" s="1998" t="s">
        <v>2610</v>
      </c>
      <c r="J330" s="1999">
        <v>188</v>
      </c>
      <c r="K330" s="1999">
        <v>75</v>
      </c>
      <c r="L330" s="2000">
        <f t="shared" si="6"/>
        <v>0.39893617021276595</v>
      </c>
      <c r="M330" s="2001" t="s">
        <v>2133</v>
      </c>
      <c r="N330" s="2001" t="s">
        <v>3804</v>
      </c>
      <c r="O330" s="2001" t="s">
        <v>3804</v>
      </c>
      <c r="P330" s="1999">
        <v>80</v>
      </c>
      <c r="Q330" s="2002">
        <v>2</v>
      </c>
      <c r="R330" s="2002">
        <v>2</v>
      </c>
      <c r="S330" s="2002" t="s">
        <v>6755</v>
      </c>
      <c r="T330" s="1997" t="s">
        <v>2688</v>
      </c>
    </row>
    <row r="331" spans="1:20" s="1979" customFormat="1" ht="18">
      <c r="A331" s="1979">
        <v>325</v>
      </c>
      <c r="B331" s="1993">
        <v>2032</v>
      </c>
      <c r="C331" s="1993" t="s">
        <v>6795</v>
      </c>
      <c r="D331" s="1993" t="s">
        <v>2385</v>
      </c>
      <c r="E331" s="1994" t="s">
        <v>5692</v>
      </c>
      <c r="F331" s="1995" t="s">
        <v>5693</v>
      </c>
      <c r="G331" s="1996" t="s">
        <v>6727</v>
      </c>
      <c r="H331" s="1997" t="s">
        <v>2609</v>
      </c>
      <c r="I331" s="1998" t="s">
        <v>2609</v>
      </c>
      <c r="J331" s="1999">
        <v>78</v>
      </c>
      <c r="K331" s="1999">
        <v>51</v>
      </c>
      <c r="L331" s="2000">
        <f t="shared" si="6"/>
        <v>0.65384615384615385</v>
      </c>
      <c r="M331" s="2001" t="s">
        <v>2133</v>
      </c>
      <c r="N331" s="2001" t="s">
        <v>2133</v>
      </c>
      <c r="O331" s="2001" t="s">
        <v>2133</v>
      </c>
      <c r="P331" s="1999">
        <v>100</v>
      </c>
      <c r="Q331" s="2002">
        <v>3</v>
      </c>
      <c r="R331" s="2002">
        <v>23</v>
      </c>
      <c r="S331" s="2002">
        <v>3</v>
      </c>
      <c r="T331" s="1997" t="s">
        <v>2161</v>
      </c>
    </row>
    <row r="332" spans="1:20" s="1979" customFormat="1" ht="18">
      <c r="A332" s="1979">
        <v>326</v>
      </c>
      <c r="B332" s="1993">
        <v>2033</v>
      </c>
      <c r="C332" s="1993" t="s">
        <v>6795</v>
      </c>
      <c r="D332" s="1993" t="s">
        <v>2385</v>
      </c>
      <c r="E332" s="1994" t="s">
        <v>5694</v>
      </c>
      <c r="F332" s="1995" t="s">
        <v>5695</v>
      </c>
      <c r="G332" s="1996" t="s">
        <v>6727</v>
      </c>
      <c r="H332" s="1997" t="s">
        <v>2609</v>
      </c>
      <c r="I332" s="1998" t="s">
        <v>2609</v>
      </c>
      <c r="J332" s="1999">
        <v>140</v>
      </c>
      <c r="K332" s="1999">
        <v>70</v>
      </c>
      <c r="L332" s="2000">
        <f t="shared" si="6"/>
        <v>0.5</v>
      </c>
      <c r="M332" s="2001" t="s">
        <v>2133</v>
      </c>
      <c r="N332" s="2001" t="s">
        <v>3804</v>
      </c>
      <c r="O332" s="2001" t="s">
        <v>3804</v>
      </c>
      <c r="P332" s="1999">
        <v>55</v>
      </c>
      <c r="Q332" s="2002">
        <v>1</v>
      </c>
      <c r="R332" s="2002">
        <v>0</v>
      </c>
      <c r="S332" s="2002">
        <v>0</v>
      </c>
      <c r="T332" s="1997" t="s">
        <v>2161</v>
      </c>
    </row>
    <row r="333" spans="1:20" s="1979" customFormat="1" ht="18">
      <c r="A333" s="1979">
        <v>327</v>
      </c>
      <c r="B333" s="1993">
        <v>2034</v>
      </c>
      <c r="C333" s="1993" t="s">
        <v>6795</v>
      </c>
      <c r="D333" s="1993" t="s">
        <v>2874</v>
      </c>
      <c r="E333" s="1994" t="s">
        <v>3597</v>
      </c>
      <c r="F333" s="1995" t="s">
        <v>5696</v>
      </c>
      <c r="G333" s="1996" t="s">
        <v>6727</v>
      </c>
      <c r="H333" s="1997" t="s">
        <v>2609</v>
      </c>
      <c r="I333" s="1998" t="s">
        <v>2609</v>
      </c>
      <c r="J333" s="1999">
        <v>155</v>
      </c>
      <c r="K333" s="1999">
        <v>55</v>
      </c>
      <c r="L333" s="2000">
        <f t="shared" si="6"/>
        <v>0.35483870967741937</v>
      </c>
      <c r="M333" s="2001" t="s">
        <v>2133</v>
      </c>
      <c r="N333" s="2001" t="s">
        <v>3804</v>
      </c>
      <c r="O333" s="2001" t="s">
        <v>2133</v>
      </c>
      <c r="P333" s="1999">
        <v>70</v>
      </c>
      <c r="Q333" s="2002">
        <v>1</v>
      </c>
      <c r="R333" s="2002">
        <v>2</v>
      </c>
      <c r="S333" s="2002">
        <v>1</v>
      </c>
      <c r="T333" s="1997" t="s">
        <v>2161</v>
      </c>
    </row>
    <row r="334" spans="1:20" s="1979" customFormat="1" ht="18">
      <c r="A334" s="1979">
        <v>328</v>
      </c>
      <c r="B334" s="1993">
        <v>2035</v>
      </c>
      <c r="C334" s="1993" t="s">
        <v>6795</v>
      </c>
      <c r="D334" s="1993" t="s">
        <v>2378</v>
      </c>
      <c r="E334" s="1994" t="s">
        <v>5697</v>
      </c>
      <c r="F334" s="1995" t="s">
        <v>5698</v>
      </c>
      <c r="G334" s="1996" t="s">
        <v>6727</v>
      </c>
      <c r="H334" s="1997" t="s">
        <v>2609</v>
      </c>
      <c r="I334" s="1998" t="s">
        <v>2609</v>
      </c>
      <c r="J334" s="1999">
        <v>140</v>
      </c>
      <c r="K334" s="1999">
        <v>70</v>
      </c>
      <c r="L334" s="2000">
        <f t="shared" si="6"/>
        <v>0.5</v>
      </c>
      <c r="M334" s="2001" t="s">
        <v>2133</v>
      </c>
      <c r="N334" s="2001" t="s">
        <v>3804</v>
      </c>
      <c r="O334" s="2001" t="s">
        <v>2133</v>
      </c>
      <c r="P334" s="1999">
        <v>55</v>
      </c>
      <c r="Q334" s="2002">
        <v>1</v>
      </c>
      <c r="R334" s="2002">
        <v>0</v>
      </c>
      <c r="S334" s="2002">
        <v>0</v>
      </c>
      <c r="T334" s="1997" t="s">
        <v>2161</v>
      </c>
    </row>
    <row r="335" spans="1:20" s="1979" customFormat="1" ht="18">
      <c r="A335" s="1979">
        <v>329</v>
      </c>
      <c r="B335" s="1993">
        <v>2036</v>
      </c>
      <c r="C335" s="1993" t="s">
        <v>6795</v>
      </c>
      <c r="D335" s="1993" t="s">
        <v>2391</v>
      </c>
      <c r="E335" s="1994" t="s">
        <v>5699</v>
      </c>
      <c r="F335" s="1995" t="s">
        <v>5700</v>
      </c>
      <c r="G335" s="1996" t="s">
        <v>6727</v>
      </c>
      <c r="H335" s="1997" t="s">
        <v>2609</v>
      </c>
      <c r="I335" s="1998" t="s">
        <v>2609</v>
      </c>
      <c r="J335" s="1999">
        <v>234</v>
      </c>
      <c r="K335" s="1999">
        <v>60</v>
      </c>
      <c r="L335" s="2000">
        <f t="shared" si="6"/>
        <v>0.25641025641025639</v>
      </c>
      <c r="M335" s="2001" t="s">
        <v>2133</v>
      </c>
      <c r="N335" s="2001" t="s">
        <v>3804</v>
      </c>
      <c r="O335" s="2001" t="s">
        <v>2133</v>
      </c>
      <c r="P335" s="1999">
        <v>50</v>
      </c>
      <c r="Q335" s="2002">
        <v>1</v>
      </c>
      <c r="R335" s="2002">
        <v>0</v>
      </c>
      <c r="S335" s="2002">
        <v>0</v>
      </c>
      <c r="T335" s="1997" t="s">
        <v>2688</v>
      </c>
    </row>
    <row r="336" spans="1:20" s="1979" customFormat="1" ht="18">
      <c r="A336" s="1979">
        <v>330</v>
      </c>
      <c r="B336" s="1993">
        <v>2037</v>
      </c>
      <c r="C336" s="1993" t="s">
        <v>6795</v>
      </c>
      <c r="D336" s="1993" t="s">
        <v>2391</v>
      </c>
      <c r="E336" s="1994" t="s">
        <v>5701</v>
      </c>
      <c r="F336" s="1995" t="s">
        <v>5702</v>
      </c>
      <c r="G336" s="1996" t="s">
        <v>6727</v>
      </c>
      <c r="H336" s="1997" t="s">
        <v>2610</v>
      </c>
      <c r="I336" s="2004" t="s">
        <v>3128</v>
      </c>
      <c r="J336" s="1999">
        <v>265</v>
      </c>
      <c r="K336" s="1999">
        <v>264</v>
      </c>
      <c r="L336" s="2000">
        <f t="shared" si="6"/>
        <v>0.99622641509433962</v>
      </c>
      <c r="M336" s="2001" t="s">
        <v>2133</v>
      </c>
      <c r="N336" s="2001" t="s">
        <v>2133</v>
      </c>
      <c r="O336" s="2001" t="s">
        <v>2133</v>
      </c>
      <c r="P336" s="1999">
        <v>172</v>
      </c>
      <c r="Q336" s="2002">
        <v>1</v>
      </c>
      <c r="R336" s="2002">
        <v>8</v>
      </c>
      <c r="S336" s="2002">
        <v>3</v>
      </c>
      <c r="T336" s="1997" t="s">
        <v>2161</v>
      </c>
    </row>
    <row r="337" spans="1:20" s="1979" customFormat="1" ht="18">
      <c r="A337" s="1979">
        <v>331</v>
      </c>
      <c r="B337" s="1993">
        <v>2038</v>
      </c>
      <c r="C337" s="1993" t="s">
        <v>6799</v>
      </c>
      <c r="D337" s="1993" t="s">
        <v>5665</v>
      </c>
      <c r="E337" s="1994" t="s">
        <v>5703</v>
      </c>
      <c r="F337" s="1995" t="s">
        <v>5704</v>
      </c>
      <c r="G337" s="1996" t="s">
        <v>6727</v>
      </c>
      <c r="H337" s="1997" t="s">
        <v>2609</v>
      </c>
      <c r="I337" s="1998" t="s">
        <v>2610</v>
      </c>
      <c r="J337" s="1999">
        <v>408</v>
      </c>
      <c r="K337" s="1999">
        <v>120</v>
      </c>
      <c r="L337" s="2000">
        <f t="shared" si="6"/>
        <v>0.29411764705882354</v>
      </c>
      <c r="M337" s="2001" t="s">
        <v>2133</v>
      </c>
      <c r="N337" s="2001" t="s">
        <v>2133</v>
      </c>
      <c r="O337" s="2001" t="s">
        <v>2133</v>
      </c>
      <c r="P337" s="1999">
        <v>200</v>
      </c>
      <c r="Q337" s="2002">
        <v>5</v>
      </c>
      <c r="R337" s="2002">
        <v>11</v>
      </c>
      <c r="S337" s="2002">
        <v>11</v>
      </c>
      <c r="T337" s="1997" t="s">
        <v>2161</v>
      </c>
    </row>
    <row r="338" spans="1:20" s="1979" customFormat="1" ht="18">
      <c r="A338" s="1979">
        <v>332</v>
      </c>
      <c r="B338" s="1993">
        <v>2039</v>
      </c>
      <c r="C338" s="1993" t="s">
        <v>6799</v>
      </c>
      <c r="D338" s="1993" t="s">
        <v>5665</v>
      </c>
      <c r="E338" s="1994" t="s">
        <v>5705</v>
      </c>
      <c r="F338" s="2020" t="s">
        <v>5706</v>
      </c>
      <c r="G338" s="1996" t="s">
        <v>6727</v>
      </c>
      <c r="H338" s="1997" t="s">
        <v>2609</v>
      </c>
      <c r="I338" s="1998" t="s">
        <v>2610</v>
      </c>
      <c r="J338" s="1999">
        <v>216</v>
      </c>
      <c r="K338" s="1999">
        <v>85</v>
      </c>
      <c r="L338" s="2000">
        <f t="shared" si="6"/>
        <v>0.39351851851851855</v>
      </c>
      <c r="M338" s="2001" t="s">
        <v>2133</v>
      </c>
      <c r="N338" s="2001" t="s">
        <v>2133</v>
      </c>
      <c r="O338" s="2001" t="s">
        <v>2133</v>
      </c>
      <c r="P338" s="1999">
        <v>88</v>
      </c>
      <c r="Q338" s="2002">
        <v>6</v>
      </c>
      <c r="R338" s="2002">
        <v>9</v>
      </c>
      <c r="S338" s="2002">
        <v>9</v>
      </c>
      <c r="T338" s="1997" t="s">
        <v>2161</v>
      </c>
    </row>
    <row r="339" spans="1:20">
      <c r="B339" s="1993">
        <v>2040</v>
      </c>
      <c r="C339" s="2021" t="s">
        <v>6805</v>
      </c>
      <c r="D339" s="2021" t="s">
        <v>6806</v>
      </c>
      <c r="E339" s="2022" t="s">
        <v>6807</v>
      </c>
      <c r="F339" s="2023"/>
      <c r="G339" s="2024"/>
      <c r="H339" s="2024"/>
      <c r="I339" s="2024"/>
      <c r="J339" s="2024"/>
      <c r="K339" s="2024"/>
      <c r="L339" s="2024"/>
      <c r="M339" s="2024"/>
      <c r="N339" s="2024"/>
      <c r="O339" s="2024"/>
      <c r="P339" s="2024"/>
      <c r="Q339" s="2024"/>
      <c r="R339" s="2024"/>
      <c r="S339" s="2025"/>
      <c r="T339" s="2024"/>
    </row>
    <row r="340" spans="1:20" ht="20.25" customHeight="1">
      <c r="B340" s="1993">
        <v>2041</v>
      </c>
      <c r="C340" s="2021" t="s">
        <v>6808</v>
      </c>
      <c r="D340" s="2021" t="s">
        <v>6809</v>
      </c>
      <c r="E340" s="2022" t="s">
        <v>5189</v>
      </c>
      <c r="F340" s="2023"/>
      <c r="G340" s="2024"/>
      <c r="H340" s="2024"/>
      <c r="I340" s="2024"/>
      <c r="J340" s="2024"/>
      <c r="K340" s="2024"/>
      <c r="L340" s="2024"/>
      <c r="M340" s="2024"/>
      <c r="N340" s="2024"/>
      <c r="O340" s="2024"/>
      <c r="P340" s="2024"/>
      <c r="Q340" s="2024"/>
      <c r="R340" s="2024"/>
      <c r="S340" s="2025"/>
      <c r="T340" s="2024"/>
    </row>
    <row r="341" spans="1:20" ht="20.25" customHeight="1">
      <c r="B341" s="1993">
        <v>2042</v>
      </c>
      <c r="C341" s="2021" t="s">
        <v>6810</v>
      </c>
      <c r="D341" s="2021" t="s">
        <v>6811</v>
      </c>
      <c r="E341" s="2022" t="s">
        <v>2542</v>
      </c>
      <c r="F341" s="2023"/>
      <c r="G341" s="2024"/>
      <c r="H341" s="2024"/>
      <c r="I341" s="2024"/>
      <c r="J341" s="2024"/>
      <c r="K341" s="2024"/>
      <c r="L341" s="2024"/>
      <c r="M341" s="2024"/>
      <c r="N341" s="2024"/>
      <c r="O341" s="2024"/>
      <c r="P341" s="2024"/>
      <c r="Q341" s="2024"/>
      <c r="R341" s="2024"/>
      <c r="S341" s="2025"/>
      <c r="T341" s="2024"/>
    </row>
    <row r="342" spans="1:20" ht="20.25" customHeight="1">
      <c r="B342" s="1993">
        <v>2043</v>
      </c>
      <c r="C342" s="2021" t="s">
        <v>6812</v>
      </c>
      <c r="D342" s="2021" t="s">
        <v>6813</v>
      </c>
      <c r="E342" s="2022" t="s">
        <v>6814</v>
      </c>
      <c r="F342" s="2023"/>
      <c r="G342" s="2024"/>
      <c r="H342" s="2024"/>
      <c r="I342" s="2024"/>
      <c r="J342" s="2024"/>
      <c r="K342" s="2024"/>
      <c r="L342" s="2024"/>
      <c r="M342" s="2024"/>
      <c r="N342" s="2024"/>
      <c r="O342" s="2024"/>
      <c r="P342" s="2024"/>
      <c r="Q342" s="2024"/>
      <c r="R342" s="2024"/>
      <c r="S342" s="2025"/>
      <c r="T342" s="2024"/>
    </row>
    <row r="343" spans="1:20" ht="20.25" customHeight="1">
      <c r="B343" s="1993">
        <v>2044</v>
      </c>
      <c r="C343" s="2021" t="s">
        <v>6815</v>
      </c>
      <c r="D343" s="2021" t="s">
        <v>2539</v>
      </c>
      <c r="E343" s="2022" t="s">
        <v>6816</v>
      </c>
      <c r="F343" s="2023"/>
      <c r="G343" s="2024"/>
      <c r="H343" s="2024"/>
      <c r="I343" s="2024"/>
      <c r="J343" s="2024"/>
      <c r="K343" s="2024"/>
      <c r="L343" s="2024"/>
      <c r="M343" s="2024"/>
      <c r="N343" s="2024"/>
      <c r="O343" s="2024"/>
      <c r="P343" s="2024"/>
      <c r="Q343" s="2024"/>
      <c r="R343" s="2024"/>
      <c r="S343" s="2025"/>
      <c r="T343" s="2024"/>
    </row>
    <row r="344" spans="1:20" ht="20.25" customHeight="1">
      <c r="B344" s="1993">
        <v>2045</v>
      </c>
      <c r="C344" s="2021" t="s">
        <v>6815</v>
      </c>
      <c r="D344" s="2021" t="s">
        <v>2539</v>
      </c>
      <c r="E344" s="2022" t="s">
        <v>6817</v>
      </c>
      <c r="F344" s="2023"/>
      <c r="G344" s="2024"/>
      <c r="H344" s="2024"/>
      <c r="I344" s="2024"/>
      <c r="J344" s="2024"/>
      <c r="K344" s="2024"/>
      <c r="L344" s="2024"/>
      <c r="M344" s="2024"/>
      <c r="N344" s="2024"/>
      <c r="O344" s="2024"/>
      <c r="P344" s="2024"/>
      <c r="Q344" s="2024"/>
      <c r="R344" s="2024"/>
      <c r="S344" s="2025"/>
      <c r="T344" s="2024"/>
    </row>
    <row r="345" spans="1:20" ht="20.25" customHeight="1">
      <c r="B345" s="2021"/>
      <c r="C345" s="2021"/>
      <c r="D345" s="2021"/>
      <c r="E345" s="2022"/>
      <c r="F345" s="2023"/>
      <c r="G345" s="2024"/>
      <c r="H345" s="2024"/>
      <c r="I345" s="2024"/>
      <c r="J345" s="2024"/>
      <c r="K345" s="2024"/>
      <c r="L345" s="2024"/>
      <c r="M345" s="2024"/>
      <c r="N345" s="2024"/>
      <c r="O345" s="2024"/>
      <c r="P345" s="2024"/>
      <c r="Q345" s="2024"/>
      <c r="R345" s="2024"/>
      <c r="S345" s="2025"/>
      <c r="T345" s="2024"/>
    </row>
    <row r="346" spans="1:20" ht="20.25" customHeight="1">
      <c r="B346" s="2021"/>
      <c r="C346" s="2021"/>
      <c r="D346" s="2021"/>
      <c r="E346" s="2022"/>
      <c r="F346" s="2023"/>
      <c r="G346" s="2024"/>
      <c r="H346" s="2024"/>
      <c r="I346" s="2024"/>
      <c r="J346" s="2024"/>
      <c r="K346" s="2024"/>
      <c r="L346" s="2024"/>
      <c r="M346" s="2024"/>
      <c r="N346" s="2024"/>
      <c r="O346" s="2024"/>
      <c r="P346" s="2024"/>
      <c r="Q346" s="2024"/>
      <c r="R346" s="2024"/>
      <c r="S346" s="2025"/>
      <c r="T346" s="2024"/>
    </row>
    <row r="347" spans="1:20" ht="20.25" customHeight="1">
      <c r="B347" s="2021"/>
      <c r="C347" s="2021"/>
      <c r="D347" s="2021"/>
      <c r="E347" s="2022"/>
      <c r="F347" s="2023"/>
      <c r="G347" s="2024"/>
      <c r="H347" s="2024"/>
      <c r="I347" s="2024"/>
      <c r="J347" s="2024"/>
      <c r="K347" s="2024"/>
      <c r="L347" s="2024"/>
      <c r="M347" s="2024"/>
      <c r="N347" s="2024"/>
      <c r="O347" s="2024"/>
      <c r="P347" s="2024"/>
      <c r="Q347" s="2024"/>
      <c r="R347" s="2024"/>
      <c r="S347" s="2025"/>
      <c r="T347" s="2024"/>
    </row>
    <row r="348" spans="1:20" ht="20.25" customHeight="1">
      <c r="B348" s="2021"/>
      <c r="C348" s="2021"/>
      <c r="D348" s="2021"/>
      <c r="E348" s="2022"/>
      <c r="F348" s="2023"/>
      <c r="G348" s="2024"/>
      <c r="H348" s="2024"/>
      <c r="I348" s="2024"/>
      <c r="J348" s="2024"/>
      <c r="K348" s="2024"/>
      <c r="L348" s="2024"/>
      <c r="M348" s="2024"/>
      <c r="N348" s="2024"/>
      <c r="O348" s="2024"/>
      <c r="P348" s="2024"/>
      <c r="Q348" s="2024"/>
      <c r="R348" s="2024"/>
      <c r="S348" s="2025"/>
      <c r="T348" s="2024"/>
    </row>
    <row r="349" spans="1:20" ht="20.25" customHeight="1">
      <c r="B349" s="2021"/>
      <c r="C349" s="2021"/>
      <c r="D349" s="2021"/>
      <c r="E349" s="2022"/>
      <c r="F349" s="2023"/>
      <c r="G349" s="2024"/>
      <c r="H349" s="2024"/>
      <c r="I349" s="2024"/>
      <c r="J349" s="2024"/>
      <c r="K349" s="2024"/>
      <c r="L349" s="2024"/>
      <c r="M349" s="2024"/>
      <c r="N349" s="2024"/>
      <c r="O349" s="2024"/>
      <c r="P349" s="2024"/>
      <c r="Q349" s="2024"/>
      <c r="R349" s="2024"/>
      <c r="S349" s="2025"/>
      <c r="T349" s="2024"/>
    </row>
    <row r="350" spans="1:20" ht="20.25" customHeight="1">
      <c r="B350" s="2021"/>
      <c r="C350" s="2021"/>
      <c r="D350" s="2021"/>
      <c r="E350" s="2022"/>
      <c r="F350" s="2023"/>
      <c r="G350" s="2024"/>
      <c r="H350" s="2024"/>
      <c r="I350" s="2024"/>
      <c r="J350" s="2024"/>
      <c r="K350" s="2024"/>
      <c r="L350" s="2024"/>
      <c r="M350" s="2024"/>
      <c r="N350" s="2024"/>
      <c r="O350" s="2024"/>
      <c r="P350" s="2024"/>
      <c r="Q350" s="2024"/>
      <c r="R350" s="2024"/>
      <c r="S350" s="2025"/>
      <c r="T350" s="2024"/>
    </row>
    <row r="351" spans="1:20" ht="20.25" customHeight="1">
      <c r="B351" s="2021"/>
      <c r="C351" s="2021"/>
      <c r="D351" s="2021"/>
      <c r="E351" s="2022"/>
      <c r="F351" s="2023"/>
      <c r="G351" s="2024"/>
      <c r="H351" s="2024"/>
      <c r="I351" s="2024"/>
      <c r="J351" s="2024"/>
      <c r="K351" s="2024"/>
      <c r="L351" s="2024"/>
      <c r="M351" s="2024"/>
      <c r="N351" s="2024"/>
      <c r="O351" s="2024"/>
      <c r="P351" s="2024"/>
      <c r="Q351" s="2024"/>
      <c r="R351" s="2024"/>
      <c r="S351" s="2025"/>
      <c r="T351" s="2024"/>
    </row>
    <row r="352" spans="1:20" ht="20.25" customHeight="1">
      <c r="B352" s="2021"/>
      <c r="C352" s="2021"/>
      <c r="D352" s="2021"/>
      <c r="E352" s="2022"/>
      <c r="F352" s="2023"/>
      <c r="G352" s="2024"/>
      <c r="H352" s="2024"/>
      <c r="I352" s="2024"/>
      <c r="J352" s="2024"/>
      <c r="K352" s="2024"/>
      <c r="L352" s="2024"/>
      <c r="M352" s="2024"/>
      <c r="N352" s="2024"/>
      <c r="O352" s="2024"/>
      <c r="P352" s="2024"/>
      <c r="Q352" s="2024"/>
      <c r="R352" s="2024"/>
      <c r="S352" s="2025"/>
      <c r="T352" s="2024"/>
    </row>
    <row r="353" spans="2:20" ht="20.25" customHeight="1">
      <c r="B353" s="2021"/>
      <c r="C353" s="2021"/>
      <c r="D353" s="2021"/>
      <c r="E353" s="2022"/>
      <c r="F353" s="2023"/>
      <c r="G353" s="2024"/>
      <c r="H353" s="2024"/>
      <c r="I353" s="2024"/>
      <c r="J353" s="2024"/>
      <c r="K353" s="2024"/>
      <c r="L353" s="2024"/>
      <c r="M353" s="2024"/>
      <c r="N353" s="2024"/>
      <c r="O353" s="2024"/>
      <c r="P353" s="2024"/>
      <c r="Q353" s="2024"/>
      <c r="R353" s="2024"/>
      <c r="S353" s="2025"/>
      <c r="T353" s="2024"/>
    </row>
    <row r="354" spans="2:20" ht="20.25" customHeight="1">
      <c r="B354" s="2021"/>
      <c r="C354" s="2021"/>
      <c r="D354" s="2021"/>
      <c r="E354" s="2022"/>
      <c r="F354" s="2023"/>
      <c r="G354" s="2024"/>
      <c r="H354" s="2024"/>
      <c r="I354" s="2024"/>
      <c r="J354" s="2024"/>
      <c r="K354" s="2024"/>
      <c r="L354" s="2024"/>
      <c r="M354" s="2024"/>
      <c r="N354" s="2024"/>
      <c r="O354" s="2024"/>
      <c r="P354" s="2024"/>
      <c r="Q354" s="2024"/>
      <c r="R354" s="2024"/>
      <c r="S354" s="2025"/>
      <c r="T354" s="2024"/>
    </row>
    <row r="355" spans="2:20" ht="20.25" customHeight="1">
      <c r="B355" s="2021"/>
      <c r="C355" s="2021"/>
      <c r="D355" s="2021"/>
      <c r="E355" s="2022"/>
      <c r="F355" s="2023"/>
      <c r="G355" s="2024"/>
      <c r="H355" s="2024"/>
      <c r="I355" s="2024"/>
      <c r="J355" s="2024"/>
      <c r="K355" s="2024"/>
      <c r="L355" s="2024"/>
      <c r="M355" s="2024"/>
      <c r="N355" s="2024"/>
      <c r="O355" s="2024"/>
      <c r="P355" s="2024"/>
      <c r="Q355" s="2024"/>
      <c r="R355" s="2024"/>
      <c r="S355" s="2025"/>
      <c r="T355" s="2024"/>
    </row>
    <row r="356" spans="2:20" ht="20.25" customHeight="1">
      <c r="B356" s="2021"/>
      <c r="C356" s="2021"/>
      <c r="D356" s="2021"/>
      <c r="E356" s="2022"/>
      <c r="F356" s="2023"/>
      <c r="G356" s="2024"/>
      <c r="H356" s="2024"/>
      <c r="I356" s="2024"/>
      <c r="J356" s="2024"/>
      <c r="K356" s="2024"/>
      <c r="L356" s="2024"/>
      <c r="M356" s="2024"/>
      <c r="N356" s="2024"/>
      <c r="O356" s="2024"/>
      <c r="P356" s="2024"/>
      <c r="Q356" s="2024"/>
      <c r="R356" s="2024"/>
      <c r="S356" s="2025"/>
      <c r="T356" s="2024"/>
    </row>
    <row r="357" spans="2:20" ht="20.25" customHeight="1">
      <c r="B357" s="2021"/>
      <c r="C357" s="2021"/>
      <c r="D357" s="2021"/>
      <c r="E357" s="2022"/>
      <c r="F357" s="2023"/>
      <c r="G357" s="2024"/>
      <c r="H357" s="2024"/>
      <c r="I357" s="2024"/>
      <c r="J357" s="2024"/>
      <c r="K357" s="2024"/>
      <c r="L357" s="2024"/>
      <c r="M357" s="2024"/>
      <c r="N357" s="2024"/>
      <c r="O357" s="2024"/>
      <c r="P357" s="2024"/>
      <c r="Q357" s="2024"/>
      <c r="R357" s="2024"/>
      <c r="S357" s="2025"/>
      <c r="T357" s="2024"/>
    </row>
    <row r="358" spans="2:20" ht="20.25" customHeight="1">
      <c r="B358" s="2021"/>
      <c r="C358" s="2021"/>
      <c r="D358" s="2021"/>
      <c r="E358" s="2022"/>
      <c r="F358" s="2023"/>
      <c r="G358" s="2024"/>
      <c r="H358" s="2024"/>
      <c r="I358" s="2024"/>
      <c r="J358" s="2024"/>
      <c r="K358" s="2024"/>
      <c r="L358" s="2024"/>
      <c r="M358" s="2024"/>
      <c r="N358" s="2024"/>
      <c r="O358" s="2024"/>
      <c r="P358" s="2024"/>
      <c r="Q358" s="2024"/>
      <c r="R358" s="2024"/>
      <c r="S358" s="2025"/>
      <c r="T358" s="2024"/>
    </row>
    <row r="359" spans="2:20" ht="20.25" customHeight="1">
      <c r="B359" s="2021"/>
      <c r="C359" s="2021"/>
      <c r="D359" s="2021"/>
      <c r="E359" s="2022"/>
      <c r="F359" s="2023"/>
      <c r="G359" s="2024"/>
      <c r="H359" s="2024"/>
      <c r="I359" s="2024"/>
      <c r="J359" s="2024"/>
      <c r="K359" s="2024"/>
      <c r="L359" s="2024"/>
      <c r="M359" s="2024"/>
      <c r="N359" s="2024"/>
      <c r="O359" s="2024"/>
      <c r="P359" s="2024"/>
      <c r="Q359" s="2024"/>
      <c r="R359" s="2024"/>
      <c r="S359" s="2025"/>
      <c r="T359" s="2024"/>
    </row>
    <row r="360" spans="2:20" ht="20.25" customHeight="1">
      <c r="B360" s="2021"/>
      <c r="C360" s="2021"/>
      <c r="D360" s="2021"/>
      <c r="E360" s="2022"/>
      <c r="F360" s="2023"/>
      <c r="G360" s="2024"/>
      <c r="H360" s="2024"/>
      <c r="I360" s="2024"/>
      <c r="J360" s="2024"/>
      <c r="K360" s="2024"/>
      <c r="L360" s="2024"/>
      <c r="M360" s="2024"/>
      <c r="N360" s="2024"/>
      <c r="O360" s="2024"/>
      <c r="P360" s="2024"/>
      <c r="Q360" s="2024"/>
      <c r="R360" s="2024"/>
      <c r="S360" s="2025"/>
      <c r="T360" s="2024"/>
    </row>
    <row r="361" spans="2:20" ht="20.25" customHeight="1">
      <c r="B361" s="2021"/>
      <c r="C361" s="2021"/>
      <c r="D361" s="2021"/>
      <c r="E361" s="2022"/>
      <c r="F361" s="2023"/>
      <c r="G361" s="2024"/>
      <c r="H361" s="2024"/>
      <c r="I361" s="2024"/>
      <c r="J361" s="2024"/>
      <c r="K361" s="2024"/>
      <c r="L361" s="2024"/>
      <c r="M361" s="2024"/>
      <c r="N361" s="2024"/>
      <c r="O361" s="2024"/>
      <c r="P361" s="2024"/>
      <c r="Q361" s="2024"/>
      <c r="R361" s="2024"/>
      <c r="S361" s="2025"/>
      <c r="T361" s="2024"/>
    </row>
    <row r="362" spans="2:20" ht="20.25" customHeight="1">
      <c r="B362" s="2021"/>
      <c r="C362" s="2021"/>
      <c r="D362" s="2021"/>
      <c r="E362" s="2022"/>
      <c r="F362" s="2023"/>
      <c r="G362" s="2024"/>
      <c r="H362" s="2024"/>
      <c r="I362" s="2024"/>
      <c r="J362" s="2024"/>
      <c r="K362" s="2024"/>
      <c r="L362" s="2024"/>
      <c r="M362" s="2024"/>
      <c r="N362" s="2024"/>
      <c r="O362" s="2024"/>
      <c r="P362" s="2024"/>
      <c r="Q362" s="2024"/>
      <c r="R362" s="2024"/>
      <c r="S362" s="2025"/>
      <c r="T362" s="2024"/>
    </row>
  </sheetData>
  <autoFilter ref="A6:AG344" xr:uid="{AEAE2B5E-D390-43D4-ACC4-9A72EF19F04C}"/>
  <mergeCells count="5">
    <mergeCell ref="B1:T3"/>
    <mergeCell ref="B5:G5"/>
    <mergeCell ref="H5:L5"/>
    <mergeCell ref="M5:Q5"/>
    <mergeCell ref="R5:S5"/>
  </mergeCells>
  <phoneticPr fontId="2"/>
  <pageMargins left="0.70866141732283472" right="0.70866141732283472" top="0.74803149606299213" bottom="0.74803149606299213" header="0.31496062992125984" footer="0.59055118110236227"/>
  <pageSetup paperSize="9" scale="49" fitToHeight="0" orientation="landscape" r:id="rId1"/>
  <headerFooter>
    <oddFooter>&amp;L&amp;10「全館貸切可」と記載されている施設でもスタッフの対応上、満館での受入ができない、また予備控室の確保等の理由で客室提供率が100%でない施設がある。 
ファンクションルームの保有/提供可能数について、分割利用できる会場は、分割した会場数を記載。制限のある会場を含む場合（）で記した。
※1 提供可能客室数が0室の施設、現時点で具体的な想定が見当たらない施設
※2 提供可能客室数が0室の施設、開業前で提供可能客室数が0室になっている施設の場合でも、配宿したい施設にはステークホルダー名を記載している。</oddFooter>
  </headerFooter>
  <rowBreaks count="6" manualBreakCount="6">
    <brk id="56" max="16383" man="1"/>
    <brk id="106" max="16383" man="1"/>
    <brk id="156" max="16383" man="1"/>
    <brk id="206" max="16383" man="1"/>
    <brk id="256" max="16383" man="1"/>
    <brk id="306" max="16383" man="1"/>
  </rowBreak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85E1-2CFB-48F8-98B2-DE8B104BBED9}">
  <sheetPr codeName="Sheet247">
    <tabColor rgb="FF00B050"/>
    <pageSetUpPr fitToPage="1"/>
  </sheetPr>
  <dimension ref="A2:T36"/>
  <sheetViews>
    <sheetView workbookViewId="0"/>
  </sheetViews>
  <sheetFormatPr defaultColWidth="8.7265625" defaultRowHeight="13"/>
  <cols>
    <col min="1" max="2" width="2.453125" style="2727" customWidth="1"/>
    <col min="3" max="3" width="11" style="2730" customWidth="1"/>
    <col min="4" max="4" width="23.81640625" style="2727" customWidth="1"/>
    <col min="5" max="5" width="17.26953125" style="2728" customWidth="1"/>
    <col min="6" max="6" width="12.453125" style="2728" customWidth="1"/>
    <col min="7" max="7" width="10.7265625" style="2728" customWidth="1"/>
    <col min="8" max="8" width="8.7265625" style="2729" customWidth="1"/>
    <col min="9" max="10" width="16.453125" style="2728" bestFit="1" customWidth="1"/>
    <col min="11" max="11" width="18.54296875" style="2728" customWidth="1"/>
    <col min="12" max="12" width="5.453125" style="2728" customWidth="1"/>
    <col min="13" max="13" width="12.81640625" style="2728" customWidth="1"/>
    <col min="14" max="14" width="15.26953125" style="2728" customWidth="1"/>
    <col min="15" max="15" width="7.1796875" style="2727" bestFit="1" customWidth="1"/>
    <col min="16" max="16" width="8.81640625" style="2727" bestFit="1" customWidth="1"/>
    <col min="17" max="17" width="7.7265625" style="2727" customWidth="1"/>
    <col min="18" max="18" width="12" style="2727" customWidth="1"/>
    <col min="19" max="19" width="16.7265625" style="2727" customWidth="1"/>
    <col min="20" max="20" width="18.453125" style="2727" customWidth="1"/>
    <col min="21" max="21" width="14.453125" style="2727" customWidth="1"/>
    <col min="22" max="22" width="17.26953125" style="2727" bestFit="1" customWidth="1"/>
    <col min="23" max="23" width="17" style="2727" bestFit="1" customWidth="1"/>
    <col min="24" max="25" width="8.7265625" style="2727"/>
    <col min="26" max="26" width="11.54296875" style="2727" bestFit="1" customWidth="1"/>
    <col min="27" max="16384" width="8.7265625" style="2727"/>
  </cols>
  <sheetData>
    <row r="2" spans="1:20" ht="31.5" customHeight="1">
      <c r="A2" s="2746" t="s">
        <v>6818</v>
      </c>
      <c r="G2" s="2744"/>
      <c r="H2" s="2745"/>
      <c r="I2" s="2744"/>
      <c r="J2" s="2744"/>
      <c r="K2" s="2744"/>
      <c r="L2" s="2744"/>
      <c r="S2" s="2730"/>
      <c r="T2" s="2730"/>
    </row>
    <row r="3" spans="1:20">
      <c r="C3" s="2743" t="s">
        <v>6819</v>
      </c>
      <c r="H3" s="2750" t="s">
        <v>6820</v>
      </c>
      <c r="K3" s="2740"/>
      <c r="L3" s="2740"/>
      <c r="M3" s="2739"/>
      <c r="N3" s="2738"/>
    </row>
    <row r="4" spans="1:20" ht="52">
      <c r="C4" s="2742"/>
      <c r="D4" s="2735" t="s">
        <v>4487</v>
      </c>
      <c r="E4" s="2741" t="s">
        <v>6821</v>
      </c>
      <c r="F4" s="2741" t="s">
        <v>6822</v>
      </c>
      <c r="G4" s="2741" t="s">
        <v>6823</v>
      </c>
      <c r="H4" s="2741" t="s">
        <v>227</v>
      </c>
      <c r="I4" s="2748" t="s">
        <v>6824</v>
      </c>
      <c r="J4" s="2748" t="s">
        <v>6825</v>
      </c>
      <c r="K4" s="2733" t="s">
        <v>6826</v>
      </c>
      <c r="L4" s="2740"/>
      <c r="M4" s="2740"/>
      <c r="N4" s="2739"/>
      <c r="O4" s="2738"/>
    </row>
    <row r="5" spans="1:20">
      <c r="C5" s="7074" t="s">
        <v>232</v>
      </c>
      <c r="D5" s="2735" t="s">
        <v>251</v>
      </c>
      <c r="E5" s="2734">
        <v>44317</v>
      </c>
      <c r="F5" s="2747">
        <v>12060</v>
      </c>
      <c r="G5" s="2733">
        <v>32</v>
      </c>
      <c r="H5" s="2732"/>
      <c r="I5" s="2731">
        <f>G5*E5*F5</f>
        <v>17102816640</v>
      </c>
      <c r="J5" s="2731">
        <f t="shared" ref="J5:J18" si="0">E5*F5*G5*H5</f>
        <v>0</v>
      </c>
      <c r="K5" s="2737">
        <f>J5</f>
        <v>0</v>
      </c>
      <c r="L5" s="2740"/>
      <c r="M5" s="2740"/>
      <c r="N5" s="2739"/>
      <c r="O5" s="2738"/>
    </row>
    <row r="6" spans="1:20">
      <c r="C6" s="7075"/>
      <c r="D6" s="2735" t="s">
        <v>236</v>
      </c>
      <c r="E6" s="2734">
        <v>67602</v>
      </c>
      <c r="F6" s="2747">
        <v>1643</v>
      </c>
      <c r="G6" s="2733">
        <v>32</v>
      </c>
      <c r="H6" s="2732"/>
      <c r="I6" s="2731">
        <f t="shared" ref="I6:I18" si="1">G6*E6*F6</f>
        <v>3554242752</v>
      </c>
      <c r="J6" s="2731">
        <f t="shared" si="0"/>
        <v>0</v>
      </c>
      <c r="K6" s="6438">
        <f>SUM(J6:J11)</f>
        <v>0</v>
      </c>
      <c r="L6" s="2740"/>
      <c r="M6" s="2740"/>
      <c r="N6" s="2739"/>
      <c r="O6" s="2738"/>
    </row>
    <row r="7" spans="1:20">
      <c r="C7" s="7075"/>
      <c r="D7" s="2735" t="s">
        <v>237</v>
      </c>
      <c r="E7" s="2734">
        <v>67602</v>
      </c>
      <c r="F7" s="2747">
        <v>2560</v>
      </c>
      <c r="G7" s="2733">
        <v>32</v>
      </c>
      <c r="H7" s="2732"/>
      <c r="I7" s="2731">
        <f t="shared" si="1"/>
        <v>5537955840</v>
      </c>
      <c r="J7" s="2731">
        <f t="shared" si="0"/>
        <v>0</v>
      </c>
      <c r="K7" s="6439"/>
      <c r="L7" s="2740"/>
      <c r="M7" s="2740"/>
      <c r="N7" s="2739"/>
      <c r="O7" s="2738"/>
    </row>
    <row r="8" spans="1:20">
      <c r="C8" s="7075"/>
      <c r="D8" s="2735" t="s">
        <v>238</v>
      </c>
      <c r="E8" s="2734">
        <v>67394</v>
      </c>
      <c r="F8" s="2747">
        <v>286</v>
      </c>
      <c r="G8" s="2736">
        <v>36</v>
      </c>
      <c r="H8" s="2732"/>
      <c r="I8" s="2731">
        <f t="shared" si="1"/>
        <v>693888624</v>
      </c>
      <c r="J8" s="2731">
        <f t="shared" si="0"/>
        <v>0</v>
      </c>
      <c r="K8" s="6439"/>
      <c r="L8" s="2740"/>
      <c r="M8" s="2740"/>
      <c r="N8" s="2739"/>
      <c r="O8" s="2738"/>
    </row>
    <row r="9" spans="1:20">
      <c r="C9" s="7075"/>
      <c r="D9" s="2735" t="s">
        <v>239</v>
      </c>
      <c r="E9" s="2734">
        <v>25178</v>
      </c>
      <c r="F9" s="2747">
        <v>2960</v>
      </c>
      <c r="G9" s="2733">
        <v>32</v>
      </c>
      <c r="H9" s="2732"/>
      <c r="I9" s="2731">
        <f t="shared" si="1"/>
        <v>2384860160</v>
      </c>
      <c r="J9" s="2731">
        <f t="shared" si="0"/>
        <v>0</v>
      </c>
      <c r="K9" s="6439"/>
      <c r="L9" s="2740"/>
      <c r="M9" s="2740"/>
      <c r="N9" s="2739"/>
      <c r="O9" s="2738"/>
    </row>
    <row r="10" spans="1:20">
      <c r="C10" s="7075"/>
      <c r="D10" s="2735" t="s">
        <v>240</v>
      </c>
      <c r="E10" s="2734">
        <v>35573</v>
      </c>
      <c r="F10" s="2747">
        <v>3354</v>
      </c>
      <c r="G10" s="2733">
        <v>32</v>
      </c>
      <c r="H10" s="2732"/>
      <c r="I10" s="2731">
        <f t="shared" si="1"/>
        <v>3817978944</v>
      </c>
      <c r="J10" s="2731">
        <f t="shared" si="0"/>
        <v>0</v>
      </c>
      <c r="K10" s="6439"/>
      <c r="O10" s="2728"/>
    </row>
    <row r="11" spans="1:20">
      <c r="C11" s="7076"/>
      <c r="D11" s="2735" t="s">
        <v>241</v>
      </c>
      <c r="E11" s="2734">
        <v>43283</v>
      </c>
      <c r="F11" s="2747">
        <v>504</v>
      </c>
      <c r="G11" s="2733">
        <v>32</v>
      </c>
      <c r="H11" s="2732"/>
      <c r="I11" s="2731">
        <f t="shared" si="1"/>
        <v>698068224</v>
      </c>
      <c r="J11" s="2731">
        <f t="shared" si="0"/>
        <v>0</v>
      </c>
      <c r="K11" s="7077"/>
      <c r="O11" s="2728"/>
    </row>
    <row r="12" spans="1:20">
      <c r="C12" s="7074" t="s">
        <v>242</v>
      </c>
      <c r="D12" s="2735" t="s">
        <v>251</v>
      </c>
      <c r="E12" s="2734">
        <v>78022</v>
      </c>
      <c r="F12" s="2747">
        <v>5160</v>
      </c>
      <c r="G12" s="2733">
        <v>18</v>
      </c>
      <c r="H12" s="2732"/>
      <c r="I12" s="2731">
        <f t="shared" si="1"/>
        <v>7246683360</v>
      </c>
      <c r="J12" s="2731">
        <f t="shared" si="0"/>
        <v>0</v>
      </c>
      <c r="K12" s="2737">
        <f>J12</f>
        <v>0</v>
      </c>
      <c r="O12" s="2728"/>
    </row>
    <row r="13" spans="1:20">
      <c r="C13" s="7075"/>
      <c r="D13" s="2735" t="s">
        <v>236</v>
      </c>
      <c r="E13" s="2734">
        <v>66614</v>
      </c>
      <c r="F13" s="2747">
        <v>370</v>
      </c>
      <c r="G13" s="2733">
        <v>18</v>
      </c>
      <c r="H13" s="2732"/>
      <c r="I13" s="2731">
        <f t="shared" si="1"/>
        <v>443649240</v>
      </c>
      <c r="J13" s="2731">
        <f t="shared" si="0"/>
        <v>0</v>
      </c>
      <c r="K13" s="6438">
        <f>SUM(J13:J18)</f>
        <v>0</v>
      </c>
      <c r="O13" s="2728"/>
    </row>
    <row r="14" spans="1:20">
      <c r="C14" s="7075"/>
      <c r="D14" s="2735" t="s">
        <v>237</v>
      </c>
      <c r="E14" s="2734">
        <v>66614</v>
      </c>
      <c r="F14" s="2747">
        <v>1560</v>
      </c>
      <c r="G14" s="2733">
        <v>18</v>
      </c>
      <c r="H14" s="2732"/>
      <c r="I14" s="2731">
        <f t="shared" si="1"/>
        <v>1870521120</v>
      </c>
      <c r="J14" s="2731">
        <f t="shared" si="0"/>
        <v>0</v>
      </c>
      <c r="K14" s="6439"/>
      <c r="O14" s="2728"/>
    </row>
    <row r="15" spans="1:20">
      <c r="C15" s="7075"/>
      <c r="D15" s="2735" t="s">
        <v>245</v>
      </c>
      <c r="E15" s="2734">
        <v>53989</v>
      </c>
      <c r="F15" s="2747">
        <v>116</v>
      </c>
      <c r="G15" s="2736">
        <v>19</v>
      </c>
      <c r="H15" s="2732"/>
      <c r="I15" s="2731">
        <f t="shared" si="1"/>
        <v>118991756</v>
      </c>
      <c r="J15" s="2731">
        <f t="shared" si="0"/>
        <v>0</v>
      </c>
      <c r="K15" s="6439"/>
      <c r="O15" s="2728"/>
    </row>
    <row r="16" spans="1:20">
      <c r="C16" s="7075"/>
      <c r="D16" s="2735" t="s">
        <v>239</v>
      </c>
      <c r="E16" s="2734">
        <v>20630</v>
      </c>
      <c r="F16" s="2747">
        <v>1790</v>
      </c>
      <c r="G16" s="2733">
        <v>18</v>
      </c>
      <c r="H16" s="2732"/>
      <c r="I16" s="2731">
        <f t="shared" si="1"/>
        <v>664698600</v>
      </c>
      <c r="J16" s="2731">
        <f t="shared" si="0"/>
        <v>0</v>
      </c>
      <c r="K16" s="6439"/>
      <c r="O16" s="2728"/>
    </row>
    <row r="17" spans="3:15">
      <c r="C17" s="7075"/>
      <c r="D17" s="2735" t="s">
        <v>240</v>
      </c>
      <c r="E17" s="2734">
        <v>23446</v>
      </c>
      <c r="F17" s="2747">
        <v>812</v>
      </c>
      <c r="G17" s="2733">
        <v>18</v>
      </c>
      <c r="H17" s="2732"/>
      <c r="I17" s="2731">
        <f t="shared" si="1"/>
        <v>342686736</v>
      </c>
      <c r="J17" s="2731">
        <f t="shared" si="0"/>
        <v>0</v>
      </c>
      <c r="K17" s="6439"/>
      <c r="O17" s="2728"/>
    </row>
    <row r="18" spans="3:15">
      <c r="C18" s="7076"/>
      <c r="D18" s="2735" t="s">
        <v>241</v>
      </c>
      <c r="E18" s="2734">
        <v>40205</v>
      </c>
      <c r="F18" s="2747">
        <v>122</v>
      </c>
      <c r="G18" s="2733">
        <v>18</v>
      </c>
      <c r="H18" s="2732"/>
      <c r="I18" s="2731">
        <f t="shared" si="1"/>
        <v>88290180</v>
      </c>
      <c r="J18" s="2731">
        <f t="shared" si="0"/>
        <v>0</v>
      </c>
      <c r="K18" s="7077"/>
      <c r="O18" s="2728"/>
    </row>
    <row r="19" spans="3:15">
      <c r="I19" s="2728">
        <f>SUM(I5:I18)</f>
        <v>44565332176</v>
      </c>
      <c r="J19" s="2728">
        <f>SUM(J5:J18)</f>
        <v>0</v>
      </c>
      <c r="K19" s="2728">
        <f>SUM(K5:K18)</f>
        <v>0</v>
      </c>
    </row>
    <row r="21" spans="3:15">
      <c r="C21" s="2749" t="s">
        <v>247</v>
      </c>
      <c r="K21" s="2740"/>
      <c r="L21" s="2740"/>
      <c r="M21" s="2739"/>
      <c r="N21" s="2738"/>
    </row>
    <row r="22" spans="3:15" ht="52">
      <c r="C22" s="2742"/>
      <c r="D22" s="2735" t="s">
        <v>4487</v>
      </c>
      <c r="E22" s="2741" t="s">
        <v>6821</v>
      </c>
      <c r="F22" s="2741" t="s">
        <v>6822</v>
      </c>
      <c r="G22" s="2741" t="s">
        <v>6823</v>
      </c>
      <c r="H22" s="2741" t="s">
        <v>227</v>
      </c>
      <c r="I22" s="2748" t="s">
        <v>6824</v>
      </c>
      <c r="J22" s="2748" t="s">
        <v>6825</v>
      </c>
      <c r="K22" s="2733" t="s">
        <v>6826</v>
      </c>
      <c r="L22" s="2740"/>
      <c r="M22" s="2740"/>
      <c r="N22" s="2739"/>
      <c r="O22" s="2738"/>
    </row>
    <row r="23" spans="3:15">
      <c r="C23" s="7074" t="s">
        <v>232</v>
      </c>
      <c r="D23" s="2735" t="s">
        <v>251</v>
      </c>
      <c r="E23" s="2734"/>
      <c r="F23" s="2747"/>
      <c r="G23" s="2733">
        <f t="shared" ref="G23:G36" si="2">$G5+1</f>
        <v>33</v>
      </c>
      <c r="H23" s="2732"/>
      <c r="I23" s="2731">
        <f t="shared" ref="I23:I36" si="3">G23*E23*F23</f>
        <v>0</v>
      </c>
      <c r="J23" s="2731">
        <f t="shared" ref="J23:J36" si="4">E23*F23*G23*H23</f>
        <v>0</v>
      </c>
      <c r="K23" s="2737">
        <f>J23</f>
        <v>0</v>
      </c>
      <c r="L23" s="2740"/>
      <c r="M23" s="2740"/>
      <c r="N23" s="2739"/>
      <c r="O23" s="2738"/>
    </row>
    <row r="24" spans="3:15">
      <c r="C24" s="7075"/>
      <c r="D24" s="2735" t="s">
        <v>236</v>
      </c>
      <c r="E24" s="2734"/>
      <c r="F24" s="2747"/>
      <c r="G24" s="2733">
        <f t="shared" si="2"/>
        <v>33</v>
      </c>
      <c r="H24" s="2732"/>
      <c r="I24" s="2731">
        <f t="shared" si="3"/>
        <v>0</v>
      </c>
      <c r="J24" s="2731">
        <f t="shared" si="4"/>
        <v>0</v>
      </c>
      <c r="K24" s="6438">
        <f>SUM(J24:J29)</f>
        <v>0</v>
      </c>
      <c r="L24" s="2740"/>
      <c r="M24" s="2740"/>
      <c r="N24" s="2739"/>
      <c r="O24" s="2738"/>
    </row>
    <row r="25" spans="3:15">
      <c r="C25" s="7075"/>
      <c r="D25" s="2735" t="s">
        <v>237</v>
      </c>
      <c r="E25" s="2734"/>
      <c r="F25" s="2747"/>
      <c r="G25" s="2733">
        <f t="shared" si="2"/>
        <v>33</v>
      </c>
      <c r="H25" s="2732"/>
      <c r="I25" s="2731">
        <f t="shared" si="3"/>
        <v>0</v>
      </c>
      <c r="J25" s="2731">
        <f t="shared" si="4"/>
        <v>0</v>
      </c>
      <c r="K25" s="6439"/>
      <c r="L25" s="2740"/>
      <c r="M25" s="2740"/>
      <c r="N25" s="2739"/>
      <c r="O25" s="2738"/>
    </row>
    <row r="26" spans="3:15">
      <c r="C26" s="7075"/>
      <c r="D26" s="2735" t="s">
        <v>238</v>
      </c>
      <c r="E26" s="2734"/>
      <c r="F26" s="2747"/>
      <c r="G26" s="2736">
        <f t="shared" si="2"/>
        <v>37</v>
      </c>
      <c r="H26" s="2732"/>
      <c r="I26" s="2731">
        <f t="shared" si="3"/>
        <v>0</v>
      </c>
      <c r="J26" s="2731">
        <f t="shared" si="4"/>
        <v>0</v>
      </c>
      <c r="K26" s="6439"/>
      <c r="L26" s="2740"/>
      <c r="M26" s="2740"/>
      <c r="N26" s="2739"/>
      <c r="O26" s="2738"/>
    </row>
    <row r="27" spans="3:15">
      <c r="C27" s="7075"/>
      <c r="D27" s="2735" t="s">
        <v>239</v>
      </c>
      <c r="E27" s="2734"/>
      <c r="F27" s="2747"/>
      <c r="G27" s="2733">
        <f t="shared" si="2"/>
        <v>33</v>
      </c>
      <c r="H27" s="2732"/>
      <c r="I27" s="2731">
        <f t="shared" si="3"/>
        <v>0</v>
      </c>
      <c r="J27" s="2731">
        <f t="shared" si="4"/>
        <v>0</v>
      </c>
      <c r="K27" s="6439"/>
      <c r="L27" s="2740"/>
      <c r="M27" s="2740"/>
      <c r="N27" s="2739"/>
      <c r="O27" s="2738"/>
    </row>
    <row r="28" spans="3:15">
      <c r="C28" s="7075"/>
      <c r="D28" s="2735" t="s">
        <v>240</v>
      </c>
      <c r="E28" s="2734"/>
      <c r="F28" s="2747"/>
      <c r="G28" s="2733">
        <f t="shared" si="2"/>
        <v>33</v>
      </c>
      <c r="H28" s="2732"/>
      <c r="I28" s="2731">
        <f t="shared" si="3"/>
        <v>0</v>
      </c>
      <c r="J28" s="2731">
        <f t="shared" si="4"/>
        <v>0</v>
      </c>
      <c r="K28" s="6439"/>
      <c r="O28" s="2728"/>
    </row>
    <row r="29" spans="3:15">
      <c r="C29" s="7076"/>
      <c r="D29" s="2735" t="s">
        <v>241</v>
      </c>
      <c r="E29" s="2734"/>
      <c r="F29" s="2747"/>
      <c r="G29" s="2733">
        <f t="shared" si="2"/>
        <v>33</v>
      </c>
      <c r="H29" s="2732"/>
      <c r="I29" s="2731">
        <f t="shared" si="3"/>
        <v>0</v>
      </c>
      <c r="J29" s="2731">
        <f t="shared" si="4"/>
        <v>0</v>
      </c>
      <c r="K29" s="7077"/>
      <c r="O29" s="2728"/>
    </row>
    <row r="30" spans="3:15">
      <c r="C30" s="7074" t="s">
        <v>242</v>
      </c>
      <c r="D30" s="2735" t="s">
        <v>251</v>
      </c>
      <c r="E30" s="2734"/>
      <c r="F30" s="2747"/>
      <c r="G30" s="2733">
        <f t="shared" si="2"/>
        <v>19</v>
      </c>
      <c r="H30" s="2732"/>
      <c r="I30" s="2731">
        <f t="shared" si="3"/>
        <v>0</v>
      </c>
      <c r="J30" s="2731">
        <f t="shared" si="4"/>
        <v>0</v>
      </c>
      <c r="K30" s="2737">
        <f>J30</f>
        <v>0</v>
      </c>
      <c r="O30" s="2728"/>
    </row>
    <row r="31" spans="3:15">
      <c r="C31" s="7075"/>
      <c r="D31" s="2735" t="s">
        <v>236</v>
      </c>
      <c r="E31" s="2734"/>
      <c r="F31" s="2747"/>
      <c r="G31" s="2733">
        <f t="shared" si="2"/>
        <v>19</v>
      </c>
      <c r="H31" s="2732"/>
      <c r="I31" s="2731">
        <f t="shared" si="3"/>
        <v>0</v>
      </c>
      <c r="J31" s="2731">
        <f t="shared" si="4"/>
        <v>0</v>
      </c>
      <c r="K31" s="6438">
        <f>SUM(J31:J36)</f>
        <v>0</v>
      </c>
      <c r="O31" s="2728"/>
    </row>
    <row r="32" spans="3:15">
      <c r="C32" s="7075"/>
      <c r="D32" s="2735" t="s">
        <v>237</v>
      </c>
      <c r="E32" s="2734"/>
      <c r="F32" s="2747"/>
      <c r="G32" s="2733">
        <f t="shared" si="2"/>
        <v>19</v>
      </c>
      <c r="H32" s="2732"/>
      <c r="I32" s="2731">
        <f t="shared" si="3"/>
        <v>0</v>
      </c>
      <c r="J32" s="2731">
        <f t="shared" si="4"/>
        <v>0</v>
      </c>
      <c r="K32" s="6439"/>
      <c r="O32" s="2728"/>
    </row>
    <row r="33" spans="3:15">
      <c r="C33" s="7075"/>
      <c r="D33" s="2735" t="s">
        <v>245</v>
      </c>
      <c r="E33" s="2734"/>
      <c r="F33" s="2747"/>
      <c r="G33" s="2736">
        <f t="shared" si="2"/>
        <v>20</v>
      </c>
      <c r="H33" s="2732"/>
      <c r="I33" s="2731">
        <f t="shared" si="3"/>
        <v>0</v>
      </c>
      <c r="J33" s="2731">
        <f t="shared" si="4"/>
        <v>0</v>
      </c>
      <c r="K33" s="6439"/>
      <c r="O33" s="2728"/>
    </row>
    <row r="34" spans="3:15">
      <c r="C34" s="7075"/>
      <c r="D34" s="2735" t="s">
        <v>239</v>
      </c>
      <c r="E34" s="2734"/>
      <c r="F34" s="2747"/>
      <c r="G34" s="2733">
        <f t="shared" si="2"/>
        <v>19</v>
      </c>
      <c r="H34" s="2732"/>
      <c r="I34" s="2731">
        <f t="shared" si="3"/>
        <v>0</v>
      </c>
      <c r="J34" s="2731">
        <f t="shared" si="4"/>
        <v>0</v>
      </c>
      <c r="K34" s="6439"/>
      <c r="O34" s="2728"/>
    </row>
    <row r="35" spans="3:15">
      <c r="C35" s="7075"/>
      <c r="D35" s="2735" t="s">
        <v>240</v>
      </c>
      <c r="E35" s="2734"/>
      <c r="F35" s="2747"/>
      <c r="G35" s="2733">
        <f t="shared" si="2"/>
        <v>19</v>
      </c>
      <c r="H35" s="2732"/>
      <c r="I35" s="2731">
        <f t="shared" si="3"/>
        <v>0</v>
      </c>
      <c r="J35" s="2731">
        <f t="shared" si="4"/>
        <v>0</v>
      </c>
      <c r="K35" s="6439"/>
      <c r="O35" s="2728"/>
    </row>
    <row r="36" spans="3:15">
      <c r="C36" s="7076"/>
      <c r="D36" s="2735" t="s">
        <v>241</v>
      </c>
      <c r="E36" s="2734"/>
      <c r="F36" s="2747"/>
      <c r="G36" s="2733">
        <f t="shared" si="2"/>
        <v>19</v>
      </c>
      <c r="H36" s="2732"/>
      <c r="I36" s="2731">
        <f t="shared" si="3"/>
        <v>0</v>
      </c>
      <c r="J36" s="2731">
        <f t="shared" si="4"/>
        <v>0</v>
      </c>
      <c r="K36" s="7077"/>
      <c r="O36" s="2728"/>
    </row>
  </sheetData>
  <mergeCells count="8">
    <mergeCell ref="C30:C36"/>
    <mergeCell ref="K31:K36"/>
    <mergeCell ref="K6:K11"/>
    <mergeCell ref="K13:K18"/>
    <mergeCell ref="C5:C11"/>
    <mergeCell ref="C12:C18"/>
    <mergeCell ref="C23:C29"/>
    <mergeCell ref="K24:K29"/>
  </mergeCells>
  <phoneticPr fontId="2"/>
  <printOptions verticalCentered="1"/>
  <pageMargins left="0.70866141732283472" right="0.70866141732283472" top="0.74803149606299213" bottom="0.74803149606299213" header="0.31496062992125984" footer="0.31496062992125984"/>
  <pageSetup paperSize="8" scale="6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0F709ADF897244CB282107599990651" ma:contentTypeVersion="13" ma:contentTypeDescription="新しいドキュメントを作成します。" ma:contentTypeScope="" ma:versionID="3ab2cf02c4b3327b842544b33ab2f65c">
  <xsd:schema xmlns:xsd="http://www.w3.org/2001/XMLSchema" xmlns:xs="http://www.w3.org/2001/XMLSchema" xmlns:p="http://schemas.microsoft.com/office/2006/metadata/properties" xmlns:ns2="d898ed9a-082d-4cb0-b5ba-3cbad5018608" xmlns:ns3="962a684d-024b-4ae7-ab3d-4ad5f8315139" targetNamespace="http://schemas.microsoft.com/office/2006/metadata/properties" ma:root="true" ma:fieldsID="e820662aa70237b62af230d854000eca" ns2:_="" ns3:_="">
    <xsd:import namespace="d898ed9a-082d-4cb0-b5ba-3cbad5018608"/>
    <xsd:import namespace="962a684d-024b-4ae7-ab3d-4ad5f83151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98ed9a-082d-4cb0-b5ba-3cbad50186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93f9746-2781-4877-9de6-add67710d55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2a684d-024b-4ae7-ab3d-4ad5f83151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7d631b7-c6cc-497a-84c7-5de792e1830e}" ma:internalName="TaxCatchAll" ma:showField="CatchAllData" ma:web="962a684d-024b-4ae7-ab3d-4ad5f831513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898ed9a-082d-4cb0-b5ba-3cbad5018608">
      <Terms xmlns="http://schemas.microsoft.com/office/infopath/2007/PartnerControls"/>
    </lcf76f155ced4ddcb4097134ff3c332f>
    <TaxCatchAll xmlns="962a684d-024b-4ae7-ab3d-4ad5f83151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B5F0132-8D58-4B68-9D88-00EF7593F7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98ed9a-082d-4cb0-b5ba-3cbad5018608"/>
    <ds:schemaRef ds:uri="962a684d-024b-4ae7-ab3d-4ad5f83151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F97E10-567A-4BCC-9FAF-70C3D91F9E76}">
  <ds:schemaRefs>
    <ds:schemaRef ds:uri="d898ed9a-082d-4cb0-b5ba-3cbad5018608"/>
    <ds:schemaRef ds:uri="http://schemas.microsoft.com/office/infopath/2007/PartnerControls"/>
    <ds:schemaRef ds:uri="http://purl.org/dc/dcmitype/"/>
    <ds:schemaRef ds:uri="http://schemas.microsoft.com/office/2006/documentManagement/types"/>
    <ds:schemaRef ds:uri="http://purl.org/dc/terms/"/>
    <ds:schemaRef ds:uri="962a684d-024b-4ae7-ab3d-4ad5f8315139"/>
    <ds:schemaRef ds:uri="http://purl.org/dc/elements/1.1/"/>
    <ds:schemaRef ds:uri="http://www.w3.org/XML/1998/namespac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DB639459-9297-46D0-9E67-8E025FEAB452}">
  <ds:schemaRefs>
    <ds:schemaRef ds:uri="http://schemas.microsoft.com/sharepoint/v3/contenttype/forms"/>
  </ds:schemaRefs>
</ds:datastoreItem>
</file>

<file path=customXml/itemProps4.xml><?xml version="1.0" encoding="utf-8"?>
<ds:datastoreItem xmlns:ds="http://schemas.openxmlformats.org/officeDocument/2006/customXml" ds:itemID="{050D867E-8184-4C8A-A8F3-46ADB5C1E0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TM10289897</Template>
  <Application>Microsoft Excel</Application>
  <DocSecurity>0</DocSecurity>
  <ScaleCrop>false</ScaleCrop>
  <HeadingPairs>
    <vt:vector size="4" baseType="variant">
      <vt:variant>
        <vt:lpstr>ワークシート</vt:lpstr>
      </vt:variant>
      <vt:variant>
        <vt:i4>148</vt:i4>
      </vt:variant>
      <vt:variant>
        <vt:lpstr>名前付き一覧</vt:lpstr>
      </vt:variant>
      <vt:variant>
        <vt:i4>144</vt:i4>
      </vt:variant>
    </vt:vector>
  </HeadingPairs>
  <TitlesOfParts>
    <vt:vector size="292" baseType="lpstr">
      <vt:lpstr>Sheet1</vt:lpstr>
      <vt:lpstr>予算管理比較積算 (VIL移管前)</vt:lpstr>
      <vt:lpstr>内示額反映積算（VIL移管反映）</vt:lpstr>
      <vt:lpstr>新予算管理比較積算（VIL移管反映）</vt:lpstr>
      <vt:lpstr>予算管理比較積算（VIL移管反映）</vt:lpstr>
      <vt:lpstr>食事単価の考え方</vt:lpstr>
      <vt:lpstr>債務負担行為積算  (全部盛り) </vt:lpstr>
      <vt:lpstr>財政見通し積算</vt:lpstr>
      <vt:lpstr>債務負担行為積算  (数式)</vt:lpstr>
      <vt:lpstr>消費者物価平均指数　IMF</vt:lpstr>
      <vt:lpstr>物価（案1）</vt:lpstr>
      <vt:lpstr>物価（案2）</vt:lpstr>
      <vt:lpstr>案3元データ</vt:lpstr>
      <vt:lpstr>アジア選手（v4）</vt:lpstr>
      <vt:lpstr>アジア選手（0913試行更新版）</vt:lpstr>
      <vt:lpstr>【20240925】アジア競技大会配宿シュミレーション</vt:lpstr>
      <vt:lpstr>アジアファミスポ(更新)</vt:lpstr>
      <vt:lpstr>財政見通し積算 (全SH全項目統合版）</vt:lpstr>
      <vt:lpstr>【251001】アジア選手積算</vt:lpstr>
      <vt:lpstr>【251001】パラ選手積算</vt:lpstr>
      <vt:lpstr>財政見通し積算 (技術役員、スポンサー、メディア）</vt:lpstr>
      <vt:lpstr>【250925】アジパラファミリー積算</vt:lpstr>
      <vt:lpstr>Results【技術役員スポンサーメディア積算】</vt:lpstr>
      <vt:lpstr>【251001】アジア技術役員シミュ</vt:lpstr>
      <vt:lpstr>【251001】アジアスポンサーシミュ</vt:lpstr>
      <vt:lpstr>【251001】アジアメディアシミュ</vt:lpstr>
      <vt:lpstr>アジア技術役員　更新版</vt:lpstr>
      <vt:lpstr>アジア技術役員(DCO以外 0913)</vt:lpstr>
      <vt:lpstr>アジア技術役員 (DCO更新) </vt:lpstr>
      <vt:lpstr>【アジア】飲食提供経費シュミレーション</vt:lpstr>
      <vt:lpstr>注意点</vt:lpstr>
      <vt:lpstr>アジアメディア（更新 没）</vt:lpstr>
      <vt:lpstr>アジアメディア(新更新版）</vt:lpstr>
      <vt:lpstr>パラ選手・チーム役員 (0531)</vt:lpstr>
      <vt:lpstr>パラメディア</vt:lpstr>
      <vt:lpstr>シン・パラ技術役員</vt:lpstr>
      <vt:lpstr>シン・パラ技術役員 (DCO)</vt:lpstr>
      <vt:lpstr>まとめ（考え方）</vt:lpstr>
      <vt:lpstr>契約期間上 宿泊期間  (2024財政見通し用）</vt:lpstr>
      <vt:lpstr>契約期間上　カレンダー確保泊数 (2024財政見通し用）</vt:lpstr>
      <vt:lpstr>【251001】パラ技術役員シミュ</vt:lpstr>
      <vt:lpstr>【250610】パラスポンサーシミュ</vt:lpstr>
      <vt:lpstr>パラファミスポ(0530)</vt:lpstr>
      <vt:lpstr>【251001】パラメディアシミュ</vt:lpstr>
      <vt:lpstr>0012_ルートイン小牧　別紙1-1</vt:lpstr>
      <vt:lpstr>0012_ルートイン小牧　別紙1-2</vt:lpstr>
      <vt:lpstr>0024_ホテルメルパルク名古屋　別紙1-1</vt:lpstr>
      <vt:lpstr>0024_ホテルメルパルク名古屋　別紙1-2</vt:lpstr>
      <vt:lpstr>0024_ホテルメルパルク名古屋　別紙1-3</vt:lpstr>
      <vt:lpstr>0040_名古屋マリオット　別紙1-1</vt:lpstr>
      <vt:lpstr>0040_名古屋マリオット　別紙1-2</vt:lpstr>
      <vt:lpstr>0064_名古屋プリンス　別紙1-1</vt:lpstr>
      <vt:lpstr>0064_名古屋プリンス　別紙1-2</vt:lpstr>
      <vt:lpstr>0094_ヒルトン名古屋　別紙1-1</vt:lpstr>
      <vt:lpstr>0094_ヒルトン名古屋　別紙1-2</vt:lpstr>
      <vt:lpstr>0094_ヒルトン名古屋　別紙1-3</vt:lpstr>
      <vt:lpstr>0105_ANAクラウン　別紙1-1</vt:lpstr>
      <vt:lpstr>0105_ANAクラウン　別紙1-2</vt:lpstr>
      <vt:lpstr>0105_ANAクラウン　別紙1-3</vt:lpstr>
      <vt:lpstr>0111　アパEXCELLENT_別紙1-1</vt:lpstr>
      <vt:lpstr>0111_アパEXCELLENT 別紙1-2</vt:lpstr>
      <vt:lpstr>0121_名古屋東急　別紙1-1</vt:lpstr>
      <vt:lpstr>0121_名古屋東急　別紙1-2</vt:lpstr>
      <vt:lpstr>0159_JALシティ錦　別紙1-1</vt:lpstr>
      <vt:lpstr>0167_グリーンリッチ　別紙1-1</vt:lpstr>
      <vt:lpstr>0201_つどいの丘　別紙1-1</vt:lpstr>
      <vt:lpstr>0201_つどいの丘　別紙1-2</vt:lpstr>
      <vt:lpstr>0206_トヨタキャッスル　別紙1-1</vt:lpstr>
      <vt:lpstr>0206_トヨタキャッスル　別紙1-2</vt:lpstr>
      <vt:lpstr>0210_名鉄トヨタ　別紙1-1</vt:lpstr>
      <vt:lpstr>0210_名鉄トヨタ　別紙1-2</vt:lpstr>
      <vt:lpstr>0219_東横三河Ⅱ　別紙1-1</vt:lpstr>
      <vt:lpstr>0200_東横三河Ⅰ　別紙1-1</vt:lpstr>
      <vt:lpstr>0221_グランドティアラ　別紙1-1</vt:lpstr>
      <vt:lpstr>0221_グランドティアラ　別紙1-2</vt:lpstr>
      <vt:lpstr>0221_グランドティアラ　別紙1-3</vt:lpstr>
      <vt:lpstr>0223_ドーミー三河安城　別紙1-1</vt:lpstr>
      <vt:lpstr>0245_変なホテル　別紙1-1</vt:lpstr>
      <vt:lpstr>0245_変なホテル　別紙1-2</vt:lpstr>
      <vt:lpstr>0249_明山荘　別紙1-1</vt:lpstr>
      <vt:lpstr>0249_明山荘　別紙1-2</vt:lpstr>
      <vt:lpstr>0252_ホテル平野屋　別紙1-1</vt:lpstr>
      <vt:lpstr>0252_ホテル平野屋　別紙1-2</vt:lpstr>
      <vt:lpstr>0253_蒲郡ホテル　別紙1-1</vt:lpstr>
      <vt:lpstr>0253_蒲郡ホテル　別紙1-2</vt:lpstr>
      <vt:lpstr>0261_ホテル竹島　別紙1-1</vt:lpstr>
      <vt:lpstr>0261_ホテル竹島　別紙1-2</vt:lpstr>
      <vt:lpstr>0281_ロワジール豊橋　別紙1-1</vt:lpstr>
      <vt:lpstr>0281_ロワジール豊橋　別紙1-2</vt:lpstr>
      <vt:lpstr>0298_フォーポイント中部　別紙1-1</vt:lpstr>
      <vt:lpstr>0298_フォーポイント中部　別紙1-3</vt:lpstr>
      <vt:lpstr>0299_東横中部国際Ⅱ　別紙1-1</vt:lpstr>
      <vt:lpstr>0299_東横中部国際Ⅱ　別紙1-3</vt:lpstr>
      <vt:lpstr>0300_東横中部国際Ⅰ　別紙1-1</vt:lpstr>
      <vt:lpstr>0300_東横中部国際Ⅰ　別紙1-2</vt:lpstr>
      <vt:lpstr>0301_Jホテルりんくう　別紙1-1</vt:lpstr>
      <vt:lpstr>0301_Jホテルりんくう　別紙1-2</vt:lpstr>
      <vt:lpstr>0302_セントレアホテル　別紙1-1</vt:lpstr>
      <vt:lpstr>1003_ルートイン新城　別紙1-1</vt:lpstr>
      <vt:lpstr>1003_ルートイン新城　別紙1-2</vt:lpstr>
      <vt:lpstr>1007_ミュースタイル　別紙1-1</vt:lpstr>
      <vt:lpstr>1007_ミュースタイル　別紙1-2</vt:lpstr>
      <vt:lpstr>1015_三河海陽閣　別紙1-1</vt:lpstr>
      <vt:lpstr>1015_三河海陽閣　別紙1-2</vt:lpstr>
      <vt:lpstr>1021_コートヤード　別紙1-1</vt:lpstr>
      <vt:lpstr>1021_コートヤード　別紙1-2</vt:lpstr>
      <vt:lpstr>1021_コートヤード　別紙1-3</vt:lpstr>
      <vt:lpstr>1027_TIAD 別紙1-1</vt:lpstr>
      <vt:lpstr>1027_TIAD 別紙1-2</vt:lpstr>
      <vt:lpstr>1029_伊良湖オーシャン　別紙1-1</vt:lpstr>
      <vt:lpstr>1029_伊良湖オーシャン　別紙1-2</vt:lpstr>
      <vt:lpstr>2007_シェラトン都ホテル大阪 (2)</vt:lpstr>
      <vt:lpstr>2007_シェラトン都ホテル　別紙1-3</vt:lpstr>
      <vt:lpstr>2008_アゴーラ堺　別紙1-1</vt:lpstr>
      <vt:lpstr>2008_アゴーラ堺　別紙1-2</vt:lpstr>
      <vt:lpstr>2016_つま恋リゾート　別紙1-1</vt:lpstr>
      <vt:lpstr>2016_つま恋リゾート　別紙1-2</vt:lpstr>
      <vt:lpstr>2018_掛川グランド　別紙1-1</vt:lpstr>
      <vt:lpstr>2018_掛川グランド　別紙1-2</vt:lpstr>
      <vt:lpstr>2019_メルキュール浜名湖　別紙1-1</vt:lpstr>
      <vt:lpstr>2019_メルキュール浜名湖　別紙1-2</vt:lpstr>
      <vt:lpstr>2022_ラフォーレ修善寺 別紙1-1</vt:lpstr>
      <vt:lpstr>2022_ラフォーレ修善寺 別紙1-2</vt:lpstr>
      <vt:lpstr>2022_ラフォーレ修善寺 別紙1-3</vt:lpstr>
      <vt:lpstr>2026_岐阜グランド　別紙1-1</vt:lpstr>
      <vt:lpstr>2026_岐阜グランド　別紙1-2</vt:lpstr>
      <vt:lpstr>2027_岐阜都　別紙1-1</vt:lpstr>
      <vt:lpstr>2027_岐阜都　別紙1-2</vt:lpstr>
      <vt:lpstr>2032_大垣フォーラム　別紙1-1</vt:lpstr>
      <vt:lpstr>2032_大垣フォーラム　別紙1-2</vt:lpstr>
      <vt:lpstr>2041_コンコルド浜松　別紙1-1</vt:lpstr>
      <vt:lpstr>2041_コンコルド浜松　別紙1-2</vt:lpstr>
      <vt:lpstr>2045_クインテッサ大垣　別紙1-1</vt:lpstr>
      <vt:lpstr>2045_クインテッサ大垣　別紙1-2</vt:lpstr>
      <vt:lpstr>2049_青年館ホテル　別紙1-1</vt:lpstr>
      <vt:lpstr>2049_青年館ホテル　別紙1-2</vt:lpstr>
      <vt:lpstr>2051_ベイ潮見プリンス　別紙1-1</vt:lpstr>
      <vt:lpstr>2051_ベイ潮見プリンス　別紙1-2</vt:lpstr>
      <vt:lpstr>3001_グランドニッコー台場　別紙1-1</vt:lpstr>
      <vt:lpstr>3001_グランドニッコー台場　別紙1-3</vt:lpstr>
      <vt:lpstr>アジアResults1031</vt:lpstr>
      <vt:lpstr>パラResults1031</vt:lpstr>
      <vt:lpstr>食事単価の考え方(1021更新)</vt:lpstr>
      <vt:lpstr>物価（案3）</vt:lpstr>
      <vt:lpstr>オリジナル</vt:lpstr>
      <vt:lpstr>マスター1_項目コード</vt:lpstr>
      <vt:lpstr>マスター2_施設情報</vt:lpstr>
      <vt:lpstr>ボツ債務負担行為積算 </vt:lpstr>
      <vt:lpstr>【20240925】アジア競技大会配宿シュミレーション!Print_Area</vt:lpstr>
      <vt:lpstr>【250610】パラスポンサーシミュ!Print_Area</vt:lpstr>
      <vt:lpstr>【251001】アジアスポンサーシミュ!Print_Area</vt:lpstr>
      <vt:lpstr>【251001】アジアメディアシミュ!Print_Area</vt:lpstr>
      <vt:lpstr>【251001】アジア技術役員シミュ!Print_Area</vt:lpstr>
      <vt:lpstr>【251001】アジア選手積算!Print_Area</vt:lpstr>
      <vt:lpstr>【251001】パラメディアシミュ!Print_Area</vt:lpstr>
      <vt:lpstr>【251001】パラ技術役員シミュ!Print_Area</vt:lpstr>
      <vt:lpstr>【251001】パラ選手積算!Print_Area</vt:lpstr>
      <vt:lpstr>【アジア】飲食提供経費シュミレーション!Print_Area</vt:lpstr>
      <vt:lpstr>'0012_ルートイン小牧　別紙1-1'!Print_Area</vt:lpstr>
      <vt:lpstr>'0012_ルートイン小牧　別紙1-2'!Print_Area</vt:lpstr>
      <vt:lpstr>'0024_ホテルメルパルク名古屋　別紙1-1'!Print_Area</vt:lpstr>
      <vt:lpstr>'0024_ホテルメルパルク名古屋　別紙1-2'!Print_Area</vt:lpstr>
      <vt:lpstr>'0024_ホテルメルパルク名古屋　別紙1-3'!Print_Area</vt:lpstr>
      <vt:lpstr>'0040_名古屋マリオット　別紙1-1'!Print_Area</vt:lpstr>
      <vt:lpstr>'0040_名古屋マリオット　別紙1-2'!Print_Area</vt:lpstr>
      <vt:lpstr>'0064_名古屋プリンス　別紙1-1'!Print_Area</vt:lpstr>
      <vt:lpstr>'0064_名古屋プリンス　別紙1-2'!Print_Area</vt:lpstr>
      <vt:lpstr>'0094_ヒルトン名古屋　別紙1-1'!Print_Area</vt:lpstr>
      <vt:lpstr>'0094_ヒルトン名古屋　別紙1-2'!Print_Area</vt:lpstr>
      <vt:lpstr>'0094_ヒルトン名古屋　別紙1-3'!Print_Area</vt:lpstr>
      <vt:lpstr>'0105_ANAクラウン　別紙1-1'!Print_Area</vt:lpstr>
      <vt:lpstr>'0105_ANAクラウン　別紙1-2'!Print_Area</vt:lpstr>
      <vt:lpstr>'0105_ANAクラウン　別紙1-3'!Print_Area</vt:lpstr>
      <vt:lpstr>'0111　アパEXCELLENT_別紙1-1'!Print_Area</vt:lpstr>
      <vt:lpstr>'0111_アパEXCELLENT 別紙1-2'!Print_Area</vt:lpstr>
      <vt:lpstr>'0121_名古屋東急　別紙1-1'!Print_Area</vt:lpstr>
      <vt:lpstr>'0121_名古屋東急　別紙1-2'!Print_Area</vt:lpstr>
      <vt:lpstr>'0159_JALシティ錦　別紙1-1'!Print_Area</vt:lpstr>
      <vt:lpstr>'0167_グリーンリッチ　別紙1-1'!Print_Area</vt:lpstr>
      <vt:lpstr>'0200_東横三河Ⅰ　別紙1-1'!Print_Area</vt:lpstr>
      <vt:lpstr>'0201_つどいの丘　別紙1-1'!Print_Area</vt:lpstr>
      <vt:lpstr>'0201_つどいの丘　別紙1-2'!Print_Area</vt:lpstr>
      <vt:lpstr>'0206_トヨタキャッスル　別紙1-1'!Print_Area</vt:lpstr>
      <vt:lpstr>'0206_トヨタキャッスル　別紙1-2'!Print_Area</vt:lpstr>
      <vt:lpstr>'0210_名鉄トヨタ　別紙1-1'!Print_Area</vt:lpstr>
      <vt:lpstr>'0210_名鉄トヨタ　別紙1-2'!Print_Area</vt:lpstr>
      <vt:lpstr>'0219_東横三河Ⅱ　別紙1-1'!Print_Area</vt:lpstr>
      <vt:lpstr>'0221_グランドティアラ　別紙1-1'!Print_Area</vt:lpstr>
      <vt:lpstr>'0221_グランドティアラ　別紙1-3'!Print_Area</vt:lpstr>
      <vt:lpstr>'0223_ドーミー三河安城　別紙1-1'!Print_Area</vt:lpstr>
      <vt:lpstr>'0245_変なホテル　別紙1-1'!Print_Area</vt:lpstr>
      <vt:lpstr>'0245_変なホテル　別紙1-2'!Print_Area</vt:lpstr>
      <vt:lpstr>'0249_明山荘　別紙1-1'!Print_Area</vt:lpstr>
      <vt:lpstr>'0249_明山荘　別紙1-2'!Print_Area</vt:lpstr>
      <vt:lpstr>'0252_ホテル平野屋　別紙1-1'!Print_Area</vt:lpstr>
      <vt:lpstr>'0252_ホテル平野屋　別紙1-2'!Print_Area</vt:lpstr>
      <vt:lpstr>'0253_蒲郡ホテル　別紙1-1'!Print_Area</vt:lpstr>
      <vt:lpstr>'0253_蒲郡ホテル　別紙1-2'!Print_Area</vt:lpstr>
      <vt:lpstr>'0261_ホテル竹島　別紙1-1'!Print_Area</vt:lpstr>
      <vt:lpstr>'0261_ホテル竹島　別紙1-2'!Print_Area</vt:lpstr>
      <vt:lpstr>'0281_ロワジール豊橋　別紙1-1'!Print_Area</vt:lpstr>
      <vt:lpstr>'0281_ロワジール豊橋　別紙1-2'!Print_Area</vt:lpstr>
      <vt:lpstr>'0298_フォーポイント中部　別紙1-1'!Print_Area</vt:lpstr>
      <vt:lpstr>'0298_フォーポイント中部　別紙1-3'!Print_Area</vt:lpstr>
      <vt:lpstr>'0299_東横中部国際Ⅱ　別紙1-1'!Print_Area</vt:lpstr>
      <vt:lpstr>'0299_東横中部国際Ⅱ　別紙1-3'!Print_Area</vt:lpstr>
      <vt:lpstr>'0300_東横中部国際Ⅰ　別紙1-1'!Print_Area</vt:lpstr>
      <vt:lpstr>'0300_東横中部国際Ⅰ　別紙1-2'!Print_Area</vt:lpstr>
      <vt:lpstr>'0301_Jホテルりんくう　別紙1-1'!Print_Area</vt:lpstr>
      <vt:lpstr>'0301_Jホテルりんくう　別紙1-2'!Print_Area</vt:lpstr>
      <vt:lpstr>'0302_セントレアホテル　別紙1-1'!Print_Area</vt:lpstr>
      <vt:lpstr>'1003_ルートイン新城　別紙1-1'!Print_Area</vt:lpstr>
      <vt:lpstr>'1003_ルートイン新城　別紙1-2'!Print_Area</vt:lpstr>
      <vt:lpstr>'1007_ミュースタイル　別紙1-1'!Print_Area</vt:lpstr>
      <vt:lpstr>'1007_ミュースタイル　別紙1-2'!Print_Area</vt:lpstr>
      <vt:lpstr>'1015_三河海陽閣　別紙1-1'!Print_Area</vt:lpstr>
      <vt:lpstr>'1015_三河海陽閣　別紙1-2'!Print_Area</vt:lpstr>
      <vt:lpstr>'1021_コートヤード　別紙1-1'!Print_Area</vt:lpstr>
      <vt:lpstr>'1021_コートヤード　別紙1-2'!Print_Area</vt:lpstr>
      <vt:lpstr>'1021_コートヤード　別紙1-3'!Print_Area</vt:lpstr>
      <vt:lpstr>'1027_TIAD 別紙1-1'!Print_Area</vt:lpstr>
      <vt:lpstr>'1027_TIAD 別紙1-2'!Print_Area</vt:lpstr>
      <vt:lpstr>'1029_伊良湖オーシャン　別紙1-1'!Print_Area</vt:lpstr>
      <vt:lpstr>'1029_伊良湖オーシャン　別紙1-2'!Print_Area</vt:lpstr>
      <vt:lpstr>'2007_シェラトン都ホテル　別紙1-3'!Print_Area</vt:lpstr>
      <vt:lpstr>'2007_シェラトン都ホテル大阪 (2)'!Print_Area</vt:lpstr>
      <vt:lpstr>'2008_アゴーラ堺　別紙1-1'!Print_Area</vt:lpstr>
      <vt:lpstr>'2008_アゴーラ堺　別紙1-2'!Print_Area</vt:lpstr>
      <vt:lpstr>'2016_つま恋リゾート　別紙1-1'!Print_Area</vt:lpstr>
      <vt:lpstr>'2016_つま恋リゾート　別紙1-2'!Print_Area</vt:lpstr>
      <vt:lpstr>'2018_掛川グランド　別紙1-1'!Print_Area</vt:lpstr>
      <vt:lpstr>'2018_掛川グランド　別紙1-2'!Print_Area</vt:lpstr>
      <vt:lpstr>'2019_メルキュール浜名湖　別紙1-1'!Print_Area</vt:lpstr>
      <vt:lpstr>'2019_メルキュール浜名湖　別紙1-2'!Print_Area</vt:lpstr>
      <vt:lpstr>'2022_ラフォーレ修善寺 別紙1-1'!Print_Area</vt:lpstr>
      <vt:lpstr>'2022_ラフォーレ修善寺 別紙1-2'!Print_Area</vt:lpstr>
      <vt:lpstr>'2022_ラフォーレ修善寺 別紙1-3'!Print_Area</vt:lpstr>
      <vt:lpstr>'2026_岐阜グランド　別紙1-1'!Print_Area</vt:lpstr>
      <vt:lpstr>'2026_岐阜グランド　別紙1-2'!Print_Area</vt:lpstr>
      <vt:lpstr>'2027_岐阜都　別紙1-1'!Print_Area</vt:lpstr>
      <vt:lpstr>'2027_岐阜都　別紙1-2'!Print_Area</vt:lpstr>
      <vt:lpstr>'2032_大垣フォーラム　別紙1-1'!Print_Area</vt:lpstr>
      <vt:lpstr>'2032_大垣フォーラム　別紙1-2'!Print_Area</vt:lpstr>
      <vt:lpstr>'2041_コンコルド浜松　別紙1-1'!Print_Area</vt:lpstr>
      <vt:lpstr>'2041_コンコルド浜松　別紙1-2'!Print_Area</vt:lpstr>
      <vt:lpstr>'2045_クインテッサ大垣　別紙1-1'!Print_Area</vt:lpstr>
      <vt:lpstr>'2045_クインテッサ大垣　別紙1-2'!Print_Area</vt:lpstr>
      <vt:lpstr>'2049_青年館ホテル　別紙1-1'!Print_Area</vt:lpstr>
      <vt:lpstr>'2049_青年館ホテル　別紙1-2'!Print_Area</vt:lpstr>
      <vt:lpstr>'2051_ベイ潮見プリンス　別紙1-1'!Print_Area</vt:lpstr>
      <vt:lpstr>'2051_ベイ潮見プリンス　別紙1-2'!Print_Area</vt:lpstr>
      <vt:lpstr>'3001_グランドニッコー台場　別紙1-1'!Print_Area</vt:lpstr>
      <vt:lpstr>'3001_グランドニッコー台場　別紙1-3'!Print_Area</vt:lpstr>
      <vt:lpstr>'アジアメディア（更新 没）'!Print_Area</vt:lpstr>
      <vt:lpstr>'アジアメディア(新更新版）'!Print_Area</vt:lpstr>
      <vt:lpstr>'アジア技術役員 (DCO更新) '!Print_Area</vt:lpstr>
      <vt:lpstr>'アジア技術役員　更新版'!Print_Area</vt:lpstr>
      <vt:lpstr>'アジア技術役員(DCO以外 0913)'!Print_Area</vt:lpstr>
      <vt:lpstr>'アジア選手（0913試行更新版）'!Print_Area</vt:lpstr>
      <vt:lpstr>'アジア選手（v4）'!Print_Area</vt:lpstr>
      <vt:lpstr>オリジナル!Print_Area</vt:lpstr>
      <vt:lpstr>シン・パラ技術役員!Print_Area</vt:lpstr>
      <vt:lpstr>'シン・パラ技術役員 (DCO)'!Print_Area</vt:lpstr>
      <vt:lpstr>'パラファミスポ(0530)'!Print_Area</vt:lpstr>
      <vt:lpstr>パラメディア!Print_Area</vt:lpstr>
      <vt:lpstr>'パラ選手・チーム役員 (0531)'!Print_Area</vt:lpstr>
      <vt:lpstr>'ボツ債務負担行為積算 '!Print_Area</vt:lpstr>
      <vt:lpstr>マスター2_施設情報!Print_Area</vt:lpstr>
      <vt:lpstr>'債務負担行為積算  (数式)'!Print_Area</vt:lpstr>
      <vt:lpstr>'債務負担行為積算  (全部盛り) '!Print_Area</vt:lpstr>
      <vt:lpstr>'新予算管理比較積算（VIL移管反映）'!Print_Area</vt:lpstr>
      <vt:lpstr>'内示額反映積算（VIL移管反映）'!Print_Area</vt:lpstr>
      <vt:lpstr>'予算管理比較積算 (VIL移管前)'!Print_Area</vt:lpstr>
      <vt:lpstr>'予算管理比較積算（VIL移管反映）'!Print_Area</vt:lpstr>
      <vt:lpstr>【20240925】アジア競技大会配宿シュミレーション!Print_Titles</vt:lpstr>
      <vt:lpstr>【250610】パラスポンサーシミュ!Print_Titles</vt:lpstr>
      <vt:lpstr>【251001】アジアメディアシミュ!Print_Titles</vt:lpstr>
      <vt:lpstr>【251001】アジア技術役員シミュ!Print_Titles</vt:lpstr>
      <vt:lpstr>【251001】アジア選手積算!Print_Titles</vt:lpstr>
      <vt:lpstr>【251001】パラメディアシミュ!Print_Titles</vt:lpstr>
      <vt:lpstr>【251001】パラ技術役員シミュ!Print_Titles</vt:lpstr>
      <vt:lpstr>【251001】パラ選手積算!Print_Titles</vt:lpstr>
      <vt:lpstr>'アジアメディア（更新 没）'!Print_Titles</vt:lpstr>
      <vt:lpstr>'アジアメディア(新更新版）'!Print_Titles</vt:lpstr>
      <vt:lpstr>'アジア技術役員 (DCO更新) '!Print_Titles</vt:lpstr>
      <vt:lpstr>'アジア技術役員　更新版'!Print_Titles</vt:lpstr>
      <vt:lpstr>'アジア技術役員(DCO以外 0913)'!Print_Titles</vt:lpstr>
      <vt:lpstr>'アジア選手（0913試行更新版）'!Print_Titles</vt:lpstr>
      <vt:lpstr>'アジア選手（v4）'!Print_Titles</vt:lpstr>
      <vt:lpstr>パラメディア!Print_Titles</vt:lpstr>
      <vt:lpstr>'パラ選手・チーム役員 (0531)'!Print_Titles</vt:lpstr>
      <vt:lpstr>マスター2_施設情報!Print_Titles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旅行費用計算</dc:title>
  <dc:subject/>
  <dc:creator>松本 英朗</dc:creator>
  <cp:keywords/>
  <dc:description/>
  <cp:lastModifiedBy>松本　英朗</cp:lastModifiedBy>
  <cp:revision/>
  <cp:lastPrinted>2026-02-05T11:32:11Z</cp:lastPrinted>
  <dcterms:created xsi:type="dcterms:W3CDTF">2008-09-29T11:04:30Z</dcterms:created>
  <dcterms:modified xsi:type="dcterms:W3CDTF">2026-03-30T04:16:33Z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0x0101000A8EC69C17E06C4D89299D49D92D43CB</vt:lpwstr>
  </property>
  <property fmtid="{D5CDD505-2E9C-101B-9397-08002B2CF9AE}" pid="3" name="ImageGenCounter">
    <vt:lpwstr>0</vt:lpwstr>
  </property>
  <property fmtid="{D5CDD505-2E9C-101B-9397-08002B2CF9AE}" pid="4" name="ViolationReportStatus">
    <vt:lpwstr>None</vt:lpwstr>
  </property>
  <property fmtid="{D5CDD505-2E9C-101B-9397-08002B2CF9AE}" pid="5" name="ImageGenStatus">
    <vt:lpwstr>0</vt:lpwstr>
  </property>
  <property fmtid="{D5CDD505-2E9C-101B-9397-08002B2CF9AE}" pid="6" name="Applications">
    <vt:lpwstr>1322;#Excel 12;#1665;# Template 12</vt:lpwstr>
  </property>
  <property fmtid="{D5CDD505-2E9C-101B-9397-08002B2CF9AE}" pid="7" name="PolicheckCounter">
    <vt:lpwstr>0</vt:lpwstr>
  </property>
  <property fmtid="{D5CDD505-2E9C-101B-9397-08002B2CF9AE}" pid="8" name="PolicheckStatus">
    <vt:lpwstr>0</vt:lpwstr>
  </property>
  <property fmtid="{D5CDD505-2E9C-101B-9397-08002B2CF9AE}" pid="9" name="APTrustLevel">
    <vt:r8>0</vt:r8>
  </property>
  <property fmtid="{D5CDD505-2E9C-101B-9397-08002B2CF9AE}" pid="10" name="MediaServiceImageTags">
    <vt:lpwstr/>
  </property>
</Properties>
</file>